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8" autoFilterDateGrouping="1"/>
  </bookViews>
  <sheets>
    <sheet xmlns:r="http://schemas.openxmlformats.org/officeDocument/2006/relationships" name="Investors" sheetId="1" state="hidden" r:id="rId1"/>
    <sheet xmlns:r="http://schemas.openxmlformats.org/officeDocument/2006/relationships" name="Opportunities" sheetId="2" state="hidden" r:id="rId2"/>
    <sheet xmlns:r="http://schemas.openxmlformats.org/officeDocument/2006/relationships" name="Construction" sheetId="3" state="hidden" r:id="rId3"/>
    <sheet xmlns:r="http://schemas.openxmlformats.org/officeDocument/2006/relationships" name="Updated Construction" sheetId="4" state="hidden" r:id="rId4"/>
    <sheet xmlns:r="http://schemas.openxmlformats.org/officeDocument/2006/relationships" name="Sales" sheetId="5" state="hidden" r:id="rId5"/>
    <sheet xmlns:r="http://schemas.openxmlformats.org/officeDocument/2006/relationships" name="Operational Costs" sheetId="6" state="hidden" r:id="rId6"/>
    <sheet xmlns:r="http://schemas.openxmlformats.org/officeDocument/2006/relationships" name="Xero" sheetId="7" state="hidden" r:id="rId7"/>
    <sheet xmlns:r="http://schemas.openxmlformats.org/officeDocument/2006/relationships" name="Other Costs" sheetId="8" state="hidden" r:id="rId8"/>
    <sheet xmlns:r="http://schemas.openxmlformats.org/officeDocument/2006/relationships" name="Cashflow Projection" sheetId="9" state="visible" r:id="rId9"/>
    <sheet xmlns:r="http://schemas.openxmlformats.org/officeDocument/2006/relationships" name="Dashboard" sheetId="10" state="visible" r:id="rId10"/>
    <sheet xmlns:r="http://schemas.openxmlformats.org/officeDocument/2006/relationships" name="Heron" sheetId="11" state="hidden" r:id="rId11"/>
    <sheet xmlns:r="http://schemas.openxmlformats.org/officeDocument/2006/relationships" name="NSST Print" sheetId="12" state="visible" r:id="rId12"/>
    <sheet xmlns:r="http://schemas.openxmlformats.org/officeDocument/2006/relationships" name="Investor Exit List" sheetId="13" state="visible" r:id="rId13"/>
    <sheet xmlns:r="http://schemas.openxmlformats.org/officeDocument/2006/relationships" name="Momentum" sheetId="14" state="visible" r:id="rId14"/>
    <sheet xmlns:r="http://schemas.openxmlformats.org/officeDocument/2006/relationships" name="Checklist" sheetId="15" state="visible" r:id="rId15"/>
  </sheets>
  <definedNames>
    <definedName name="_xlnm._FilterDatabase" localSheetId="0" hidden="1">'Investors'!$A$4:$S$575</definedName>
    <definedName name="_xlnm._FilterDatabase" localSheetId="1" hidden="1">'Opportunities'!$A$5:$H$230</definedName>
    <definedName name="_xlnm._FilterDatabase" localSheetId="2" hidden="1">'Construction'!$A$4:$T$26</definedName>
    <definedName name="_xlnm._FilterDatabase" localSheetId="4" hidden="1">'Sales'!$A$4:$V$290</definedName>
    <definedName name="_xlnm._FilterDatabase" localSheetId="5" hidden="1">'Operational Costs'!$A$4:$N$101</definedName>
    <definedName name="_xlnm._FilterDatabase" localSheetId="6" hidden="1">'Xero'!$A$4:$G$20878</definedName>
    <definedName name="_xlnm._FilterDatabase" localSheetId="8" hidden="1">'Cashflow Projection'!$A$244:$E$595</definedName>
  </definedNames>
  <calcPr calcId="124519" fullCalcOnLoad="1"/>
</workbook>
</file>

<file path=xl/styles.xml><?xml version="1.0" encoding="utf-8"?>
<styleSheet xmlns="http://schemas.openxmlformats.org/spreadsheetml/2006/main">
  <numFmts count="7">
    <numFmt numFmtId="164" formatCode="yyyy-mm-dd h:mm:ss"/>
    <numFmt numFmtId="165" formatCode="dd-mmm-yy"/>
    <numFmt numFmtId="166" formatCode="dd-mm-yyyy"/>
    <numFmt numFmtId="167" formatCode="yyyy-mm-dd"/>
    <numFmt numFmtId="168" formatCode="dd MMMM yyyy"/>
    <numFmt numFmtId="169" formatCode="R#,##0.00"/>
    <numFmt numFmtId="170" formatCode="YYYY-MM-DD"/>
  </numFmts>
  <fonts count="25">
    <font>
      <name val="Calibri"/>
      <family val="2"/>
      <color theme="1"/>
      <sz val="11"/>
      <scheme val="minor"/>
    </font>
    <font>
      <b val="1"/>
    </font>
    <font>
      <b val="1"/>
      <color rgb="000C0C0C"/>
      <sz val="28"/>
    </font>
    <font>
      <b val="1"/>
      <color rgb="000C0C0C"/>
      <sz val="22"/>
    </font>
    <font>
      <b val="1"/>
      <color rgb="000C0C0C"/>
      <sz val="26"/>
    </font>
    <font>
      <b val="1"/>
      <sz val="28"/>
    </font>
    <font>
      <b val="1"/>
      <color rgb="00FF0000"/>
      <sz val="22"/>
    </font>
    <font>
      <b val="1"/>
      <color rgb="00FF0000"/>
      <sz val="18"/>
    </font>
    <font>
      <b val="1"/>
      <color rgb="00000000"/>
      <sz val="18"/>
    </font>
    <font>
      <b val="1"/>
      <color rgb="00000000"/>
      <sz val="22"/>
    </font>
    <font>
      <b val="1"/>
      <color rgb="00FFFFFF"/>
      <sz val="22"/>
    </font>
    <font>
      <b val="1"/>
      <color rgb="000C0C0C"/>
      <sz val="18"/>
    </font>
    <font>
      <b val="1"/>
      <color rgb="00FFFFFF"/>
      <sz val="18"/>
    </font>
    <font>
      <b val="1"/>
      <color rgb="0031304D"/>
      <sz val="22"/>
    </font>
    <font>
      <b val="1"/>
      <sz val="18"/>
    </font>
    <font>
      <b val="1"/>
      <sz val="18"/>
      <u val="single"/>
    </font>
    <font>
      <sz val="18"/>
    </font>
    <font>
      <b val="1"/>
      <color rgb="0031304D"/>
      <sz val="14"/>
    </font>
    <font>
      <b val="1"/>
      <sz val="14"/>
    </font>
    <font>
      <sz val="12"/>
    </font>
    <font>
      <b val="1"/>
      <sz val="22"/>
    </font>
    <font>
      <b val="1"/>
      <color rgb="00FFFFFF"/>
      <sz val="26"/>
    </font>
    <font>
      <b val="1"/>
      <sz val="13"/>
    </font>
    <font>
      <b val="1"/>
      <color rgb="00FFFFFF"/>
      <sz val="12"/>
    </font>
    <font>
      <sz val="14"/>
    </font>
  </fonts>
  <fills count="20">
    <fill>
      <patternFill/>
    </fill>
    <fill>
      <patternFill patternType="gray125"/>
    </fill>
    <fill>
      <patternFill patternType="solid">
        <fgColor rgb="004CCD99"/>
        <bgColor rgb="004CCD99"/>
      </patternFill>
    </fill>
    <fill>
      <patternFill patternType="solid">
        <fgColor rgb="007F9F80"/>
        <bgColor rgb="007F9F80"/>
      </patternFill>
    </fill>
    <fill>
      <patternFill patternType="solid">
        <fgColor rgb="00BFEA7C"/>
        <bgColor rgb="00BFEA7C"/>
      </patternFill>
    </fill>
    <fill>
      <patternFill patternType="solid">
        <fgColor rgb="00FFC7CE"/>
        <bgColor rgb="00FFC7CE"/>
      </patternFill>
    </fill>
    <fill>
      <patternFill patternType="solid">
        <fgColor rgb="003ABEF9"/>
        <bgColor rgb="003ABEF9"/>
      </patternFill>
    </fill>
    <fill>
      <patternFill patternType="solid">
        <fgColor rgb="00B5C18E"/>
        <bgColor rgb="00B5C18E"/>
      </patternFill>
    </fill>
    <fill>
      <patternFill patternType="solid">
        <fgColor rgb="00FFF67E"/>
        <bgColor rgb="00FFF67E"/>
      </patternFill>
    </fill>
    <fill>
      <patternFill patternType="solid">
        <fgColor rgb="003572EF"/>
        <bgColor rgb="003572EF"/>
      </patternFill>
    </fill>
    <fill>
      <patternFill patternType="solid">
        <fgColor rgb="00FF0000"/>
        <bgColor rgb="00FF0000"/>
      </patternFill>
    </fill>
    <fill>
      <patternFill patternType="solid">
        <fgColor rgb="00D4E7C5"/>
        <bgColor rgb="00D4E7C5"/>
      </patternFill>
    </fill>
    <fill>
      <patternFill patternType="solid">
        <fgColor rgb="00FFF455"/>
        <bgColor rgb="00FFF455"/>
      </patternFill>
    </fill>
    <fill>
      <patternFill patternType="solid">
        <fgColor rgb="00749BC2"/>
        <bgColor rgb="00749BC2"/>
      </patternFill>
    </fill>
    <fill>
      <patternFill patternType="solid">
        <fgColor rgb="00FFFF00"/>
        <bgColor rgb="00FFFF00"/>
      </patternFill>
    </fill>
    <fill>
      <patternFill patternType="solid">
        <fgColor rgb="00D9D9D9"/>
        <bgColor rgb="00D9D9D9"/>
      </patternFill>
    </fill>
    <fill>
      <patternFill patternType="solid">
        <fgColor rgb="00D3D3D3"/>
        <bgColor rgb="00D3D3D3"/>
      </patternFill>
    </fill>
    <fill>
      <patternFill patternType="solid">
        <fgColor rgb="00FFD966"/>
        <bgColor rgb="00FFD966"/>
      </patternFill>
    </fill>
    <fill>
      <patternFill patternType="solid">
        <fgColor rgb="00008DDA"/>
        <bgColor rgb="00008DDA"/>
      </patternFill>
    </fill>
    <fill>
      <patternFill patternType="solid">
        <fgColor rgb="00FFFDD7"/>
        <bgColor rgb="00FFFDD7"/>
      </patternFill>
    </fill>
  </fills>
  <borders count="26">
    <border>
      <left/>
      <right/>
      <top/>
      <bottom/>
      <diagonal/>
    </border>
    <border>
      <left style="medium"/>
      <right style="medium"/>
      <top style="medium"/>
      <bottom style="medium"/>
    </border>
    <border>
      <left/>
      <right/>
      <top style="medium"/>
      <bottom/>
      <diagonal/>
    </border>
    <border>
      <left/>
      <right style="medium"/>
      <top style="medium"/>
      <bottom/>
      <diagonal/>
    </border>
    <border>
      <left/>
      <right/>
      <top style="medium"/>
      <bottom style="medium"/>
      <diagonal/>
    </border>
    <border>
      <left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bottom style="medium"/>
    </border>
    <border>
      <left style="medium"/>
    </border>
    <border>
      <right style="medium"/>
    </border>
    <border>
      <left style="medium"/>
      <bottom style="medium"/>
    </border>
    <border>
      <bottom style="medium"/>
    </border>
    <border>
      <right style="medium"/>
      <bottom style="medium"/>
    </border>
    <border>
      <right style="medium"/>
      <top style="medium"/>
      <bottom style="medium"/>
    </border>
    <border>
      <top style="medium"/>
      <bottom style="double"/>
    </border>
    <border>
      <right style="medium"/>
      <top style="medium"/>
      <bottom style="double"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medium"/>
      <top style="medium"/>
      <bottom style="medium"/>
    </border>
    <border>
      <top style="medium"/>
      <bottom style="medium"/>
    </border>
    <border>
      <left style="medium"/>
      <top style="medium"/>
    </border>
    <border>
      <top style="medium"/>
    </border>
    <border>
      <right style="medium"/>
      <top style="medium"/>
    </border>
  </borders>
  <cellStyleXfs count="1">
    <xf numFmtId="0" fontId="0" fillId="0" borderId="0"/>
  </cellStyleXfs>
  <cellXfs count="163">
    <xf numFmtId="0" fontId="0" fillId="0" borderId="0" pivotButton="0" quotePrefix="0" xfId="0"/>
    <xf numFmtId="4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0" fontId="0" fillId="0" borderId="6" applyAlignment="1" pivotButton="0" quotePrefix="0" xfId="0">
      <alignment horizontal="center" vertical="center"/>
    </xf>
    <xf numFmtId="164" fontId="0" fillId="0" borderId="0" pivotButton="0" quotePrefix="0" xfId="0"/>
    <xf numFmtId="0" fontId="0" fillId="2" borderId="0" pivotButton="0" quotePrefix="0" xfId="0"/>
    <xf numFmtId="3" fontId="0" fillId="0" borderId="0" applyAlignment="1" pivotButton="0" quotePrefix="0" xfId="0">
      <alignment horizontal="center" vertical="center"/>
    </xf>
    <xf numFmtId="4" fontId="0" fillId="0" borderId="0" applyAlignment="1" pivotButton="0" quotePrefix="0" xfId="0">
      <alignment horizontal="center" vertical="center"/>
    </xf>
    <xf numFmtId="166" fontId="0" fillId="0" borderId="0" pivotButton="0" quotePrefix="0" xfId="0"/>
    <xf numFmtId="0" fontId="2" fillId="0" borderId="0" pivotButton="0" quotePrefix="0" xfId="0"/>
    <xf numFmtId="0" fontId="5" fillId="0" borderId="1" applyAlignment="1" pivotButton="0" quotePrefix="0" xfId="0">
      <alignment horizontal="center" vertical="center"/>
    </xf>
    <xf numFmtId="0" fontId="3" fillId="0" borderId="0" pivotButton="0" quotePrefix="0" xfId="0"/>
    <xf numFmtId="0" fontId="4" fillId="3" borderId="1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5" pivotButton="0" quotePrefix="0" xfId="0"/>
    <xf numFmtId="0" fontId="0" fillId="0" borderId="8" pivotButton="0" quotePrefix="0" xfId="0"/>
    <xf numFmtId="0" fontId="0" fillId="0" borderId="9" pivotButton="0" quotePrefix="0" xfId="0"/>
    <xf numFmtId="0" fontId="3" fillId="0" borderId="8" pivotButton="0" quotePrefix="0" xfId="0"/>
    <xf numFmtId="165" fontId="3" fillId="0" borderId="0" pivotButton="0" quotePrefix="0" xfId="0"/>
    <xf numFmtId="3" fontId="3" fillId="11" borderId="1" pivotButton="0" quotePrefix="0" xfId="0"/>
    <xf numFmtId="3" fontId="3" fillId="0" borderId="1" applyAlignment="1" pivotButton="0" quotePrefix="0" xfId="0">
      <alignment horizontal="center" vertical="center"/>
    </xf>
    <xf numFmtId="3" fontId="3" fillId="11" borderId="6" applyAlignment="1" pivotButton="0" quotePrefix="0" xfId="0">
      <alignment horizontal="right" vertical="center"/>
    </xf>
    <xf numFmtId="3" fontId="3" fillId="0" borderId="6" applyAlignment="1" pivotButton="0" quotePrefix="0" xfId="0">
      <alignment horizontal="center" vertical="center"/>
    </xf>
    <xf numFmtId="3" fontId="3" fillId="0" borderId="9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3" fontId="3" fillId="0" borderId="1" pivotButton="0" quotePrefix="0" xfId="0"/>
    <xf numFmtId="0" fontId="3" fillId="0" borderId="0" applyAlignment="1" pivotButton="0" quotePrefix="0" xfId="0">
      <alignment horizontal="center" vertical="center"/>
    </xf>
    <xf numFmtId="3" fontId="3" fillId="4" borderId="6" pivotButton="0" quotePrefix="0" xfId="0"/>
    <xf numFmtId="3" fontId="3" fillId="0" borderId="0" pivotButton="0" quotePrefix="0" xfId="0"/>
    <xf numFmtId="3" fontId="3" fillId="5" borderId="6" pivotButton="0" quotePrefix="0" xfId="0"/>
    <xf numFmtId="3" fontId="3" fillId="4" borderId="1" pivotButton="0" quotePrefix="0" xfId="0"/>
    <xf numFmtId="3" fontId="3" fillId="0" borderId="6" pivotButton="0" quotePrefix="0" xfId="0"/>
    <xf numFmtId="0" fontId="3" fillId="4" borderId="1" pivotButton="0" quotePrefix="0" xfId="0"/>
    <xf numFmtId="0" fontId="3" fillId="10" borderId="8" applyAlignment="1" pivotButton="0" quotePrefix="0" xfId="0">
      <alignment horizontal="center" vertical="center"/>
    </xf>
    <xf numFmtId="0" fontId="0" fillId="10" borderId="0" applyAlignment="1" pivotButton="0" quotePrefix="0" xfId="0">
      <alignment horizontal="center" vertical="center"/>
    </xf>
    <xf numFmtId="0" fontId="10" fillId="10" borderId="0" applyAlignment="1" pivotButton="0" quotePrefix="0" xfId="0">
      <alignment horizontal="center" vertical="center"/>
    </xf>
    <xf numFmtId="3" fontId="3" fillId="5" borderId="1" pivotButton="0" quotePrefix="0" xfId="0"/>
    <xf numFmtId="3" fontId="3" fillId="5" borderId="6" applyAlignment="1" pivotButton="0" quotePrefix="0" xfId="0">
      <alignment horizontal="center" vertical="center"/>
    </xf>
    <xf numFmtId="0" fontId="3" fillId="0" borderId="8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10" fillId="10" borderId="6" applyAlignment="1" pivotButton="0" quotePrefix="0" xfId="0">
      <alignment horizontal="center" vertical="center"/>
    </xf>
    <xf numFmtId="3" fontId="3" fillId="0" borderId="9" pivotButton="0" quotePrefix="0" xfId="0"/>
    <xf numFmtId="0" fontId="3" fillId="14" borderId="8" applyAlignment="1" pivotButton="0" quotePrefix="0" xfId="0">
      <alignment horizontal="center" vertical="center"/>
    </xf>
    <xf numFmtId="0" fontId="3" fillId="14" borderId="6" applyAlignment="1" pivotButton="0" quotePrefix="0" xfId="0">
      <alignment horizontal="center" vertical="center"/>
    </xf>
    <xf numFmtId="0" fontId="10" fillId="10" borderId="8" applyAlignment="1" pivotButton="0" quotePrefix="0" xfId="0">
      <alignment horizontal="center" vertical="center"/>
    </xf>
    <xf numFmtId="0" fontId="0" fillId="10" borderId="0" pivotButton="0" quotePrefix="0" xfId="0"/>
    <xf numFmtId="9" fontId="3" fillId="0" borderId="0" pivotButton="0" quotePrefix="0" xfId="0"/>
    <xf numFmtId="3" fontId="3" fillId="6" borderId="1" pivotButton="0" quotePrefix="0" xfId="0"/>
    <xf numFmtId="3" fontId="3" fillId="6" borderId="6" pivotButton="0" quotePrefix="0" xfId="0"/>
    <xf numFmtId="0" fontId="11" fillId="13" borderId="6" pivotButton="0" quotePrefix="0" xfId="0"/>
    <xf numFmtId="0" fontId="11" fillId="13" borderId="9" pivotButton="0" quotePrefix="0" xfId="0"/>
    <xf numFmtId="3" fontId="3" fillId="5" borderId="9" pivotButton="0" quotePrefix="0" xfId="0"/>
    <xf numFmtId="9" fontId="3" fillId="8" borderId="6" pivotButton="0" quotePrefix="0" xfId="0"/>
    <xf numFmtId="3" fontId="11" fillId="0" borderId="6" pivotButton="0" quotePrefix="0" xfId="0"/>
    <xf numFmtId="3" fontId="11" fillId="0" borderId="9" pivotButton="0" quotePrefix="0" xfId="0"/>
    <xf numFmtId="9" fontId="3" fillId="0" borderId="6" pivotButton="0" quotePrefix="0" xfId="0"/>
    <xf numFmtId="0" fontId="3" fillId="0" borderId="1" pivotButton="0" quotePrefix="0" xfId="0"/>
    <xf numFmtId="9" fontId="3" fillId="0" borderId="1" pivotButton="0" quotePrefix="0" xfId="0"/>
    <xf numFmtId="1" fontId="3" fillId="0" borderId="1" pivotButton="0" quotePrefix="0" xfId="0"/>
    <xf numFmtId="9" fontId="11" fillId="0" borderId="6" pivotButton="0" quotePrefix="0" xfId="0"/>
    <xf numFmtId="9" fontId="11" fillId="0" borderId="9" pivotButton="0" quotePrefix="0" xfId="0"/>
    <xf numFmtId="3" fontId="11" fillId="0" borderId="1" pivotButton="0" quotePrefix="0" xfId="0"/>
    <xf numFmtId="0" fontId="6" fillId="7" borderId="8" pivotButton="0" quotePrefix="0" xfId="0"/>
    <xf numFmtId="0" fontId="3" fillId="7" borderId="0" pivotButton="0" quotePrefix="0" xfId="0"/>
    <xf numFmtId="0" fontId="3" fillId="7" borderId="9" pivotButton="0" quotePrefix="0" xfId="0"/>
    <xf numFmtId="0" fontId="3" fillId="7" borderId="8" pivotButton="0" quotePrefix="0" xfId="0"/>
    <xf numFmtId="3" fontId="3" fillId="7" borderId="6" pivotButton="0" quotePrefix="0" xfId="0"/>
    <xf numFmtId="3" fontId="3" fillId="12" borderId="6" pivotButton="0" quotePrefix="0" xfId="0"/>
    <xf numFmtId="3" fontId="3" fillId="12" borderId="9" pivotButton="0" quotePrefix="0" xfId="0"/>
    <xf numFmtId="0" fontId="3" fillId="12" borderId="6" pivotButton="0" quotePrefix="0" xfId="0"/>
    <xf numFmtId="3" fontId="11" fillId="12" borderId="6" pivotButton="0" quotePrefix="0" xfId="0"/>
    <xf numFmtId="3" fontId="11" fillId="12" borderId="9" pivotButton="0" quotePrefix="0" xfId="0"/>
    <xf numFmtId="0" fontId="6" fillId="0" borderId="8" pivotButton="0" quotePrefix="0" xfId="0"/>
    <xf numFmtId="1" fontId="3" fillId="7" borderId="6" pivotButton="0" quotePrefix="0" xfId="0"/>
    <xf numFmtId="166" fontId="3" fillId="0" borderId="1" pivotButton="0" quotePrefix="0" xfId="0"/>
    <xf numFmtId="0" fontId="3" fillId="7" borderId="1" pivotButton="0" quotePrefix="0" xfId="0"/>
    <xf numFmtId="0" fontId="11" fillId="0" borderId="6" pivotButton="0" quotePrefix="0" xfId="0"/>
    <xf numFmtId="0" fontId="11" fillId="0" borderId="9" pivotButton="0" quotePrefix="0" xfId="0"/>
    <xf numFmtId="3" fontId="6" fillId="8" borderId="1" pivotButton="0" quotePrefix="0" xfId="0"/>
    <xf numFmtId="0" fontId="6" fillId="0" borderId="1" pivotButton="0" quotePrefix="0" xfId="0"/>
    <xf numFmtId="3" fontId="10" fillId="9" borderId="1" pivotButton="0" quotePrefix="0" xfId="0"/>
    <xf numFmtId="3" fontId="12" fillId="9" borderId="1" pivotButton="0" quotePrefix="0" xfId="0"/>
    <xf numFmtId="3" fontId="12" fillId="9" borderId="9" pivotButton="0" quotePrefix="0" xfId="0"/>
    <xf numFmtId="0" fontId="7" fillId="0" borderId="8" pivotButton="0" quotePrefix="0" xfId="0"/>
    <xf numFmtId="3" fontId="10" fillId="10" borderId="6" pivotButton="0" quotePrefix="0" xfId="0"/>
    <xf numFmtId="3" fontId="12" fillId="10" borderId="1" pivotButton="0" quotePrefix="0" xfId="0"/>
    <xf numFmtId="0" fontId="9" fillId="0" borderId="0" pivotButton="0" quotePrefix="0" xfId="0"/>
    <xf numFmtId="0" fontId="9" fillId="8" borderId="0" pivotButton="0" quotePrefix="0" xfId="0"/>
    <xf numFmtId="0" fontId="8" fillId="0" borderId="0" pivotButton="0" quotePrefix="0" xfId="0"/>
    <xf numFmtId="3" fontId="8" fillId="0" borderId="1" pivotButton="0" quotePrefix="0" xfId="0"/>
    <xf numFmtId="0" fontId="8" fillId="0" borderId="9" pivotButton="0" quotePrefix="0" xfId="0"/>
    <xf numFmtId="0" fontId="8" fillId="0" borderId="1" pivotButton="0" quotePrefix="0" xfId="0"/>
    <xf numFmtId="3" fontId="3" fillId="0" borderId="7" pivotButton="0" quotePrefix="0" xfId="0"/>
    <xf numFmtId="0" fontId="0" fillId="0" borderId="10" pivotButton="0" quotePrefix="0" xfId="0"/>
    <xf numFmtId="0" fontId="0" fillId="0" borderId="11" pivotButton="0" quotePrefix="0" xfId="0"/>
    <xf numFmtId="0" fontId="0" fillId="0" borderId="12" pivotButton="0" quotePrefix="0" xfId="0"/>
    <xf numFmtId="0" fontId="13" fillId="0" borderId="1" applyAlignment="1" pivotButton="0" quotePrefix="0" xfId="0">
      <alignment horizontal="center" vertical="center"/>
    </xf>
    <xf numFmtId="0" fontId="13" fillId="15" borderId="8" applyAlignment="1" pivotButton="0" quotePrefix="0" xfId="0">
      <alignment horizontal="center" vertical="center"/>
    </xf>
    <xf numFmtId="0" fontId="0" fillId="15" borderId="9" pivotButton="0" quotePrefix="0" xfId="0"/>
    <xf numFmtId="0" fontId="0" fillId="15" borderId="13" pivotButton="0" quotePrefix="0" xfId="0"/>
    <xf numFmtId="0" fontId="14" fillId="0" borderId="8" applyAlignment="1" pivotButton="0" quotePrefix="0" xfId="0">
      <alignment horizontal="center" vertical="center"/>
    </xf>
    <xf numFmtId="0" fontId="15" fillId="0" borderId="9" applyAlignment="1" pivotButton="0" quotePrefix="0" xfId="0">
      <alignment horizontal="center" vertical="center"/>
    </xf>
    <xf numFmtId="0" fontId="15" fillId="0" borderId="0" applyAlignment="1" pivotButton="0" quotePrefix="0" xfId="0">
      <alignment horizontal="center" vertical="center"/>
    </xf>
    <xf numFmtId="0" fontId="16" fillId="0" borderId="8" pivotButton="0" quotePrefix="0" xfId="0"/>
    <xf numFmtId="4" fontId="16" fillId="0" borderId="9" pivotButton="0" quotePrefix="0" xfId="0"/>
    <xf numFmtId="4" fontId="16" fillId="0" borderId="0" pivotButton="0" quotePrefix="0" xfId="0"/>
    <xf numFmtId="0" fontId="14" fillId="0" borderId="8" pivotButton="0" quotePrefix="0" xfId="0"/>
    <xf numFmtId="4" fontId="14" fillId="0" borderId="15" pivotButton="0" quotePrefix="0" xfId="0"/>
    <xf numFmtId="4" fontId="14" fillId="0" borderId="14" pivotButton="0" quotePrefix="0" xfId="0"/>
    <xf numFmtId="0" fontId="17" fillId="0" borderId="0" pivotButton="0" quotePrefix="0" xfId="0"/>
    <xf numFmtId="0" fontId="18" fillId="5" borderId="0" applyAlignment="1" pivotButton="0" quotePrefix="0" xfId="0">
      <alignment horizontal="center" vertical="center"/>
    </xf>
    <xf numFmtId="167" fontId="18" fillId="5" borderId="0" applyAlignment="1" pivotButton="0" quotePrefix="0" xfId="0">
      <alignment horizontal="center" vertical="center"/>
    </xf>
    <xf numFmtId="0" fontId="18" fillId="0" borderId="0" pivotButton="0" quotePrefix="0" xfId="0"/>
    <xf numFmtId="0" fontId="19" fillId="0" borderId="0" pivotButton="0" quotePrefix="0" xfId="0"/>
    <xf numFmtId="4" fontId="19" fillId="0" borderId="0" pivotButton="0" quotePrefix="0" xfId="0"/>
    <xf numFmtId="4" fontId="18" fillId="0" borderId="14" pivotButton="0" quotePrefix="0" xfId="0"/>
    <xf numFmtId="4" fontId="19" fillId="16" borderId="0" pivotButton="0" quotePrefix="0" xfId="0"/>
    <xf numFmtId="4" fontId="19" fillId="17" borderId="0" pivotButton="0" quotePrefix="0" xfId="0"/>
    <xf numFmtId="0" fontId="16" fillId="0" borderId="0" pivotButton="0" quotePrefix="0" xfId="0"/>
    <xf numFmtId="0" fontId="20" fillId="0" borderId="1" applyAlignment="1" pivotButton="0" quotePrefix="0" xfId="0">
      <alignment horizontal="center" vertical="center"/>
    </xf>
    <xf numFmtId="0" fontId="21" fillId="3" borderId="16" applyAlignment="1" pivotButton="0" quotePrefix="0" xfId="0">
      <alignment horizontal="center" vertical="center"/>
    </xf>
    <xf numFmtId="0" fontId="0" fillId="0" borderId="19" pivotButton="0" quotePrefix="0" xfId="0"/>
    <xf numFmtId="0" fontId="0" fillId="0" borderId="20" pivotButton="0" quotePrefix="0" xfId="0"/>
    <xf numFmtId="0" fontId="16" fillId="0" borderId="16" pivotButton="0" quotePrefix="0" xfId="0"/>
    <xf numFmtId="168" fontId="16" fillId="0" borderId="16" applyAlignment="1" pivotButton="0" quotePrefix="0" xfId="0">
      <alignment horizontal="center" vertical="center"/>
    </xf>
    <xf numFmtId="0" fontId="16" fillId="0" borderId="16" applyAlignment="1" pivotButton="0" quotePrefix="0" xfId="0">
      <alignment horizontal="center" vertical="center"/>
    </xf>
    <xf numFmtId="0" fontId="12" fillId="3" borderId="16" applyAlignment="1" pivotButton="0" quotePrefix="0" xfId="0">
      <alignment horizontal="center" vertical="center"/>
    </xf>
    <xf numFmtId="169" fontId="16" fillId="0" borderId="16" applyAlignment="1" pivotButton="0" quotePrefix="0" xfId="0">
      <alignment horizontal="center" vertical="center"/>
    </xf>
    <xf numFmtId="169" fontId="16" fillId="0" borderId="16" pivotButton="0" quotePrefix="0" xfId="0"/>
    <xf numFmtId="9" fontId="16" fillId="0" borderId="0" pivotButton="0" quotePrefix="0" xfId="0"/>
    <xf numFmtId="169" fontId="16" fillId="0" borderId="0" pivotButton="0" quotePrefix="0" xfId="0"/>
    <xf numFmtId="1" fontId="16" fillId="0" borderId="0" pivotButton="0" quotePrefix="0" xfId="0"/>
    <xf numFmtId="0" fontId="10" fillId="18" borderId="1" applyAlignment="1" pivotButton="0" quotePrefix="0" xfId="0">
      <alignment horizontal="center" vertical="center"/>
    </xf>
    <xf numFmtId="0" fontId="22" fillId="16" borderId="16" applyAlignment="1" pivotButton="0" quotePrefix="0" xfId="0">
      <alignment wrapText="1"/>
    </xf>
    <xf numFmtId="1" fontId="23" fillId="10" borderId="16" pivotButton="0" quotePrefix="0" xfId="0"/>
    <xf numFmtId="0" fontId="23" fillId="10" borderId="16" pivotButton="0" quotePrefix="0" xfId="0"/>
    <xf numFmtId="169" fontId="23" fillId="10" borderId="16" pivotButton="0" quotePrefix="0" xfId="0"/>
    <xf numFmtId="0" fontId="19" fillId="0" borderId="16" pivotButton="0" quotePrefix="0" xfId="0"/>
    <xf numFmtId="169" fontId="19" fillId="0" borderId="16" pivotButton="0" quotePrefix="0" xfId="0"/>
    <xf numFmtId="167" fontId="19" fillId="0" borderId="16" pivotButton="0" quotePrefix="0" xfId="0"/>
    <xf numFmtId="1" fontId="19" fillId="0" borderId="16" pivotButton="0" quotePrefix="0" xfId="0"/>
    <xf numFmtId="170" fontId="19" fillId="0" borderId="16" pivotButton="0" quotePrefix="0" xfId="0"/>
    <xf numFmtId="0" fontId="0" fillId="0" borderId="16" pivotButton="0" quotePrefix="0" xfId="0"/>
    <xf numFmtId="0" fontId="18" fillId="0" borderId="16" applyAlignment="1" pivotButton="0" quotePrefix="0" xfId="0">
      <alignment horizontal="center" vertical="center"/>
    </xf>
    <xf numFmtId="0" fontId="20" fillId="0" borderId="16" applyAlignment="1" pivotButton="0" quotePrefix="0" xfId="0">
      <alignment horizontal="center" vertical="center"/>
    </xf>
    <xf numFmtId="0" fontId="22" fillId="16" borderId="16" applyAlignment="1" pivotButton="0" quotePrefix="0" xfId="0">
      <alignment horizontal="center" vertical="center"/>
    </xf>
    <xf numFmtId="167" fontId="24" fillId="0" borderId="16" pivotButton="0" quotePrefix="0" xfId="0"/>
    <xf numFmtId="169" fontId="24" fillId="0" borderId="16" pivotButton="0" quotePrefix="0" xfId="0"/>
    <xf numFmtId="169" fontId="18" fillId="0" borderId="21" applyAlignment="1" pivotButton="0" quotePrefix="0" xfId="0">
      <alignment horizontal="center" vertical="center"/>
    </xf>
    <xf numFmtId="169" fontId="18" fillId="0" borderId="22" pivotButton="0" quotePrefix="0" xfId="0"/>
    <xf numFmtId="0" fontId="0" fillId="0" borderId="23" pivotButton="0" quotePrefix="0" xfId="0"/>
    <xf numFmtId="169" fontId="18" fillId="0" borderId="24" applyAlignment="1" pivotButton="0" quotePrefix="0" xfId="0">
      <alignment horizontal="center" vertical="center"/>
    </xf>
    <xf numFmtId="0" fontId="0" fillId="0" borderId="24" pivotButton="0" quotePrefix="0" xfId="0"/>
    <xf numFmtId="0" fontId="0" fillId="0" borderId="25" pivotButton="0" quotePrefix="0" xfId="0"/>
    <xf numFmtId="169" fontId="18" fillId="0" borderId="0" applyAlignment="1" pivotButton="0" quotePrefix="0" xfId="0">
      <alignment horizontal="center" vertical="center"/>
    </xf>
    <xf numFmtId="169" fontId="18" fillId="16" borderId="0" applyAlignment="1" pivotButton="0" quotePrefix="0" xfId="0">
      <alignment horizontal="center" vertical="center"/>
    </xf>
    <xf numFmtId="169" fontId="18" fillId="19" borderId="0" applyAlignment="1" pivotButton="0" quotePrefix="0" xfId="0">
      <alignment horizontal="center" vertical="center"/>
    </xf>
    <xf numFmtId="169" fontId="18" fillId="0" borderId="0" pivotButton="0" quotePrefix="0" xfId="0"/>
    <xf numFmtId="169" fontId="18" fillId="0" borderId="11" pivotButton="0" quotePrefix="0" xfId="0"/>
    <xf numFmtId="0" fontId="20" fillId="0" borderId="0" applyAlignment="1" pivotButton="0" quotePrefix="0" xfId="0">
      <alignment horizontal="center" vertical="center"/>
    </xf>
  </cellXfs>
  <cellStyles count="1">
    <cellStyle name="Normal" xfId="0" builtinId="0" hidden="0"/>
  </cellStyles>
  <dxfs count="3">
    <dxf>
      <fill>
        <patternFill patternType="solid">
          <fgColor rgb="00FFC7CE"/>
          <bgColor rgb="00FFC7CE"/>
        </patternFill>
      </fill>
    </dxf>
    <dxf>
      <fill>
        <patternFill patternType="solid">
          <fgColor rgb="00BFEA7C"/>
          <bgColor rgb="00BFEA7C"/>
        </patternFill>
      </fill>
    </dxf>
    <dxf>
      <fill>
        <patternFill patternType="solid">
          <fgColor rgb="00FFF67E"/>
          <bgColor rgb="00FFF67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rgb="001072BA"/>
    <outlinePr summaryBelow="1" summaryRight="1"/>
    <pageSetUpPr/>
  </sheetPr>
  <dimension ref="A1:T575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</cols>
  <sheetData>
    <row r="1">
      <c r="A1" t="inlineStr">
        <is>
          <t>Investors</t>
        </is>
      </c>
    </row>
    <row r="2">
      <c r="M2" s="1">
        <f>SUBTOTAL(9,M5:M575)</f>
        <v/>
      </c>
      <c r="Q2" s="1">
        <f>SUBTOTAL(9,Q5:Q575)</f>
        <v/>
      </c>
      <c r="R2" s="1">
        <f>SUBTOTAL(9,R5:R575)</f>
        <v/>
      </c>
      <c r="S2" s="1">
        <f>SUBTOTAL(9,S5:S575)</f>
        <v/>
      </c>
      <c r="T2" s="1">
        <f>SUBTOTAL(9,T5:T575)</f>
        <v/>
      </c>
    </row>
    <row r="4">
      <c r="A4" s="2" t="inlineStr">
        <is>
          <t>Investor Acc Number</t>
        </is>
      </c>
      <c r="B4" s="2" t="inlineStr">
        <is>
          <t>Investor Name</t>
        </is>
      </c>
      <c r="C4" s="2" t="inlineStr">
        <is>
          <t>Investor Surname</t>
        </is>
      </c>
      <c r="D4" s="2" t="inlineStr">
        <is>
          <t>Category</t>
        </is>
      </c>
      <c r="E4" s="2" t="inlineStr">
        <is>
          <t>Opportunity Code</t>
        </is>
      </c>
      <c r="F4" s="2" t="inlineStr">
        <is>
          <t>Sold</t>
        </is>
      </c>
      <c r="G4" s="2" t="inlineStr">
        <is>
          <t>Tansferred</t>
        </is>
      </c>
      <c r="H4" s="2" t="inlineStr">
        <is>
          <t>Block</t>
        </is>
      </c>
      <c r="I4" s="2" t="inlineStr">
        <is>
          <t>Deposit Date</t>
        </is>
      </c>
      <c r="J4" s="2" t="inlineStr">
        <is>
          <t>Release Date</t>
        </is>
      </c>
      <c r="K4" s="2" t="inlineStr">
        <is>
          <t>End Date</t>
        </is>
      </c>
      <c r="L4" s="2" t="inlineStr">
        <is>
          <t>Investment Number</t>
        </is>
      </c>
      <c r="M4" s="2" t="inlineStr">
        <is>
          <t>Investment Amount</t>
        </is>
      </c>
      <c r="N4" s="2" t="inlineStr">
        <is>
          <t>Investment Interest Rate</t>
        </is>
      </c>
      <c r="O4" s="2" t="inlineStr">
        <is>
          <t>Early Release</t>
        </is>
      </c>
      <c r="P4" s="2" t="inlineStr">
        <is>
          <t>Still Pledged</t>
        </is>
      </c>
      <c r="Q4" s="2" t="inlineStr">
        <is>
          <t>Momentum Interest</t>
        </is>
      </c>
      <c r="R4" s="2" t="inlineStr">
        <is>
          <t>Investment Interest</t>
        </is>
      </c>
      <c r="S4" s="2" t="inlineStr">
        <is>
          <t>Interest</t>
        </is>
      </c>
      <c r="T4" t="inlineStr">
        <is>
          <t>Interest to Date</t>
        </is>
      </c>
    </row>
    <row r="5">
      <c r="A5" s="3" t="inlineStr">
        <is>
          <t>ZCAM01</t>
        </is>
      </c>
      <c r="B5" s="3" t="inlineStr">
        <is>
          <t>Jeremy &amp; Rosaline</t>
        </is>
      </c>
      <c r="C5" s="3" t="inlineStr">
        <is>
          <t>Campbell</t>
        </is>
      </c>
      <c r="D5" s="3" t="inlineStr">
        <is>
          <t>Heron Fields</t>
        </is>
      </c>
      <c r="E5" s="3" t="inlineStr">
        <is>
          <t>HFA101</t>
        </is>
      </c>
      <c r="F5" s="3" t="b">
        <v>1</v>
      </c>
      <c r="G5" s="3" t="b">
        <v>1</v>
      </c>
      <c r="H5" s="3" t="inlineStr">
        <is>
          <t>A</t>
        </is>
      </c>
      <c r="I5" s="4" t="n">
        <v>44609</v>
      </c>
      <c r="J5" s="4" t="n">
        <v>44610</v>
      </c>
      <c r="K5" s="4" t="n">
        <v>44887</v>
      </c>
      <c r="L5" s="3" t="n">
        <v>2</v>
      </c>
      <c r="M5" s="3" t="n">
        <v>433413.71</v>
      </c>
      <c r="N5" s="3" t="n">
        <v>18</v>
      </c>
      <c r="O5" s="3" t="b">
        <v>0</v>
      </c>
      <c r="P5" s="3" t="b">
        <v>0</v>
      </c>
      <c r="Q5" s="3" t="n">
        <v>80.15185047945207</v>
      </c>
      <c r="R5" s="3" t="n">
        <v>59205.50022082192</v>
      </c>
      <c r="S5" s="3" t="n">
        <v>59285.65207130137</v>
      </c>
      <c r="T5" s="5">
        <f>IF(J5&lt;&gt;"",M5*N5/365/100*('Cashflow Projection'!$B$2-Investors!J5),0)</f>
        <v/>
      </c>
    </row>
    <row r="6">
      <c r="A6" s="3" t="inlineStr">
        <is>
          <t>ZSCH01</t>
        </is>
      </c>
      <c r="B6" s="3" t="inlineStr">
        <is>
          <t>Inge</t>
        </is>
      </c>
      <c r="C6" s="3" t="inlineStr">
        <is>
          <t>Schubert</t>
        </is>
      </c>
      <c r="D6" s="3" t="inlineStr">
        <is>
          <t>Heron Fields</t>
        </is>
      </c>
      <c r="E6" s="3" t="inlineStr">
        <is>
          <t>HFA101</t>
        </is>
      </c>
      <c r="F6" s="3" t="b">
        <v>1</v>
      </c>
      <c r="G6" s="3" t="b">
        <v>1</v>
      </c>
      <c r="H6" s="3" t="inlineStr">
        <is>
          <t>A</t>
        </is>
      </c>
      <c r="I6" s="4" t="n">
        <v>44081</v>
      </c>
      <c r="J6" s="4" t="n">
        <v>44316</v>
      </c>
      <c r="K6" s="4" t="n">
        <v>44887</v>
      </c>
      <c r="L6" s="3" t="n">
        <v>10</v>
      </c>
      <c r="M6" s="3" t="n">
        <v>498918.83</v>
      </c>
      <c r="N6" s="3" t="n">
        <v>18</v>
      </c>
      <c r="O6" s="3" t="b">
        <v>0</v>
      </c>
      <c r="P6" s="3" t="b">
        <v>0</v>
      </c>
      <c r="Q6" s="3" t="n">
        <v>20076.35702910955</v>
      </c>
      <c r="R6" s="3" t="n">
        <v>140490.0749243835</v>
      </c>
      <c r="S6" s="3" t="n">
        <v>160566.4319534931</v>
      </c>
      <c r="T6" s="5">
        <f>IF(J6&lt;&gt;"",M6*N6/365/100*('Cashflow Projection'!$B$2-Investors!J6),0)</f>
        <v/>
      </c>
    </row>
    <row r="7">
      <c r="A7" s="3" t="inlineStr">
        <is>
          <t>ZZYL03</t>
        </is>
      </c>
      <c r="B7" s="3" t="inlineStr">
        <is>
          <t>Sandra Robyn</t>
        </is>
      </c>
      <c r="C7" s="3" t="inlineStr">
        <is>
          <t>Zylstra</t>
        </is>
      </c>
      <c r="D7" s="3" t="inlineStr">
        <is>
          <t>Heron Fields</t>
        </is>
      </c>
      <c r="E7" s="3" t="inlineStr">
        <is>
          <t>HFA102</t>
        </is>
      </c>
      <c r="F7" s="3" t="b">
        <v>1</v>
      </c>
      <c r="G7" s="3" t="b">
        <v>1</v>
      </c>
      <c r="H7" s="3" t="inlineStr">
        <is>
          <t>A</t>
        </is>
      </c>
      <c r="I7" s="4" t="n">
        <v>44159</v>
      </c>
      <c r="J7" s="4" t="n">
        <v>44352</v>
      </c>
      <c r="K7" s="4" t="n">
        <v>44887</v>
      </c>
      <c r="L7" s="3" t="n">
        <v>1</v>
      </c>
      <c r="M7" s="3" t="n">
        <v>900000</v>
      </c>
      <c r="N7" s="3" t="n">
        <v>18</v>
      </c>
      <c r="O7" s="3" t="b">
        <v>0</v>
      </c>
      <c r="P7" s="3" t="b">
        <v>0</v>
      </c>
      <c r="Q7" s="3" t="n">
        <v>29743.15068493139</v>
      </c>
      <c r="R7" s="3" t="n">
        <v>237452.0547945205</v>
      </c>
      <c r="S7" s="3" t="n">
        <v>267195.2054794519</v>
      </c>
      <c r="T7" s="5">
        <f>IF(J7&lt;&gt;"",M7*N7/365/100*('Cashflow Projection'!$B$2-Investors!J7),0)</f>
        <v/>
      </c>
    </row>
    <row r="8">
      <c r="A8" s="3" t="inlineStr">
        <is>
          <t>ZELE01</t>
        </is>
      </c>
      <c r="B8" s="3" t="inlineStr">
        <is>
          <t>Emile Kenneth</t>
        </is>
      </c>
      <c r="C8" s="3" t="inlineStr">
        <is>
          <t>Lew</t>
        </is>
      </c>
      <c r="D8" s="3" t="inlineStr">
        <is>
          <t>Heron Fields</t>
        </is>
      </c>
      <c r="E8" s="3" t="inlineStr">
        <is>
          <t>HFA103</t>
        </is>
      </c>
      <c r="F8" s="3" t="b">
        <v>1</v>
      </c>
      <c r="G8" s="3" t="b">
        <v>1</v>
      </c>
      <c r="H8" s="3" t="inlineStr">
        <is>
          <t>A</t>
        </is>
      </c>
      <c r="I8" s="4" t="n">
        <v>44090</v>
      </c>
      <c r="J8" s="4" t="n">
        <v>44316</v>
      </c>
      <c r="K8" s="4" t="n">
        <v>44887</v>
      </c>
      <c r="L8" s="3" t="n">
        <v>1</v>
      </c>
      <c r="M8" s="3" t="n">
        <v>200000</v>
      </c>
      <c r="N8" s="3" t="n">
        <v>15</v>
      </c>
      <c r="O8" s="3" t="b">
        <v>0</v>
      </c>
      <c r="P8" s="3" t="b">
        <v>0</v>
      </c>
      <c r="Q8" s="3" t="n">
        <v>7739.726027397271</v>
      </c>
      <c r="R8" s="3" t="n">
        <v>46931.50684931507</v>
      </c>
      <c r="S8" s="3" t="n">
        <v>54671.23287671234</v>
      </c>
      <c r="T8" s="5">
        <f>IF(J8&lt;&gt;"",M8*N8/365/100*('Cashflow Projection'!$B$2-Investors!J8),0)</f>
        <v/>
      </c>
    </row>
    <row r="9">
      <c r="A9" s="3" t="inlineStr">
        <is>
          <t>ZHIL01</t>
        </is>
      </c>
      <c r="B9" s="3" t="inlineStr">
        <is>
          <t>Trevor David</t>
        </is>
      </c>
      <c r="C9" s="3" t="inlineStr">
        <is>
          <t>Hill</t>
        </is>
      </c>
      <c r="D9" s="3" t="inlineStr">
        <is>
          <t>Heron Fields</t>
        </is>
      </c>
      <c r="E9" s="3" t="inlineStr">
        <is>
          <t>HFA103</t>
        </is>
      </c>
      <c r="F9" s="3" t="b">
        <v>1</v>
      </c>
      <c r="G9" s="3" t="b">
        <v>1</v>
      </c>
      <c r="H9" s="3" t="inlineStr">
        <is>
          <t>A</t>
        </is>
      </c>
      <c r="I9" s="4" t="n">
        <v>44270</v>
      </c>
      <c r="J9" s="4" t="n">
        <v>44352</v>
      </c>
      <c r="K9" s="4" t="n">
        <v>44887</v>
      </c>
      <c r="L9" s="3" t="n">
        <v>1</v>
      </c>
      <c r="M9" s="3" t="n">
        <v>100000</v>
      </c>
      <c r="N9" s="3" t="n">
        <v>15</v>
      </c>
      <c r="O9" s="3" t="b">
        <v>0</v>
      </c>
      <c r="P9" s="3" t="b">
        <v>0</v>
      </c>
      <c r="Q9" s="3" t="n">
        <v>1404.109589041097</v>
      </c>
      <c r="R9" s="3" t="n">
        <v>21986.30136986301</v>
      </c>
      <c r="S9" s="3" t="n">
        <v>23390.41095890411</v>
      </c>
      <c r="T9" s="5">
        <f>IF(J9&lt;&gt;"",M9*N9/365/100*('Cashflow Projection'!$B$2-Investors!J9),0)</f>
        <v/>
      </c>
    </row>
    <row r="10">
      <c r="A10" s="3" t="inlineStr">
        <is>
          <t>ZVAN02</t>
        </is>
      </c>
      <c r="B10" s="3" t="inlineStr">
        <is>
          <t>Agatha Dorothea</t>
        </is>
      </c>
      <c r="C10" s="3" t="inlineStr">
        <is>
          <t>van Schalkwyk</t>
        </is>
      </c>
      <c r="D10" s="3" t="inlineStr">
        <is>
          <t>Heron Fields</t>
        </is>
      </c>
      <c r="E10" s="3" t="inlineStr">
        <is>
          <t>HFA103</t>
        </is>
      </c>
      <c r="F10" s="3" t="b">
        <v>1</v>
      </c>
      <c r="G10" s="3" t="b">
        <v>1</v>
      </c>
      <c r="H10" s="3" t="inlineStr">
        <is>
          <t>A</t>
        </is>
      </c>
      <c r="I10" s="4" t="n">
        <v>44287</v>
      </c>
      <c r="J10" s="4" t="n">
        <v>44352</v>
      </c>
      <c r="K10" s="4" t="n">
        <v>44887</v>
      </c>
      <c r="L10" s="3" t="n">
        <v>1</v>
      </c>
      <c r="M10" s="3" t="n">
        <v>100000</v>
      </c>
      <c r="N10" s="3" t="n">
        <v>15</v>
      </c>
      <c r="O10" s="3" t="b">
        <v>0</v>
      </c>
      <c r="P10" s="3" t="b">
        <v>0</v>
      </c>
      <c r="Q10" s="3" t="n">
        <v>1113.013698630138</v>
      </c>
      <c r="R10" s="3" t="n">
        <v>21986.30136986301</v>
      </c>
      <c r="S10" s="3" t="n">
        <v>23099.31506849315</v>
      </c>
      <c r="T10" s="5">
        <f>IF(J10&lt;&gt;"",M10*N10/365/100*('Cashflow Projection'!$B$2-Investors!J10),0)</f>
        <v/>
      </c>
    </row>
    <row r="11">
      <c r="A11" s="3" t="inlineStr">
        <is>
          <t>ZZYL03</t>
        </is>
      </c>
      <c r="B11" s="3" t="inlineStr">
        <is>
          <t>Sandra Robyn</t>
        </is>
      </c>
      <c r="C11" s="3" t="inlineStr">
        <is>
          <t>Zylstra</t>
        </is>
      </c>
      <c r="D11" s="3" t="inlineStr">
        <is>
          <t>Heron Fields</t>
        </is>
      </c>
      <c r="E11" s="3" t="inlineStr">
        <is>
          <t>HFA103</t>
        </is>
      </c>
      <c r="F11" s="3" t="b">
        <v>1</v>
      </c>
      <c r="G11" s="3" t="b">
        <v>1</v>
      </c>
      <c r="H11" s="3" t="inlineStr">
        <is>
          <t>A</t>
        </is>
      </c>
      <c r="I11" s="4" t="n">
        <v>44159</v>
      </c>
      <c r="J11" s="4" t="n">
        <v>44352</v>
      </c>
      <c r="K11" s="4" t="n">
        <v>44887</v>
      </c>
      <c r="L11" s="3" t="n">
        <v>2</v>
      </c>
      <c r="M11" s="3" t="n">
        <v>500000</v>
      </c>
      <c r="N11" s="3" t="n">
        <v>18</v>
      </c>
      <c r="O11" s="3" t="b">
        <v>0</v>
      </c>
      <c r="P11" s="3" t="b">
        <v>0</v>
      </c>
      <c r="Q11" s="3" t="n">
        <v>16523.97260273974</v>
      </c>
      <c r="R11" s="3" t="n">
        <v>131917.8082191781</v>
      </c>
      <c r="S11" s="3" t="n">
        <v>148441.7808219178</v>
      </c>
      <c r="T11" s="5">
        <f>IF(J11&lt;&gt;"",M11*N11/365/100*('Cashflow Projection'!$B$2-Investors!J11),0)</f>
        <v/>
      </c>
    </row>
    <row r="12">
      <c r="A12" s="3" t="inlineStr">
        <is>
          <t>ZDEB01</t>
        </is>
      </c>
      <c r="B12" s="3" t="inlineStr">
        <is>
          <t>William Henry</t>
        </is>
      </c>
      <c r="C12" s="3" t="inlineStr">
        <is>
          <t>De Beer</t>
        </is>
      </c>
      <c r="D12" s="3" t="inlineStr">
        <is>
          <t>Heron Fields</t>
        </is>
      </c>
      <c r="E12" s="3" t="inlineStr">
        <is>
          <t>HFA104</t>
        </is>
      </c>
      <c r="F12" s="3" t="b">
        <v>1</v>
      </c>
      <c r="G12" s="3" t="b">
        <v>1</v>
      </c>
      <c r="H12" s="3" t="inlineStr">
        <is>
          <t>A</t>
        </is>
      </c>
      <c r="I12" s="4" t="n">
        <v>44287</v>
      </c>
      <c r="J12" s="4" t="n">
        <v>44352</v>
      </c>
      <c r="K12" s="4" t="n">
        <v>44887</v>
      </c>
      <c r="L12" s="3" t="n">
        <v>5</v>
      </c>
      <c r="M12" s="3" t="n">
        <v>900000</v>
      </c>
      <c r="N12" s="3" t="n">
        <v>18</v>
      </c>
      <c r="O12" s="3" t="b">
        <v>0</v>
      </c>
      <c r="P12" s="3" t="b">
        <v>0</v>
      </c>
      <c r="Q12" s="3" t="n">
        <v>10017.12328767124</v>
      </c>
      <c r="R12" s="3" t="n">
        <v>237452.0547945205</v>
      </c>
      <c r="S12" s="3" t="n">
        <v>247469.1780821918</v>
      </c>
      <c r="T12" s="5">
        <f>IF(J12&lt;&gt;"",M12*N12/365/100*('Cashflow Projection'!$B$2-Investors!J12),0)</f>
        <v/>
      </c>
    </row>
    <row r="13">
      <c r="A13" s="3" t="inlineStr">
        <is>
          <t>ZBLO01</t>
        </is>
      </c>
      <c r="B13" s="3" t="inlineStr">
        <is>
          <t>Robert Errol</t>
        </is>
      </c>
      <c r="C13" s="3" t="inlineStr">
        <is>
          <t>Blows</t>
        </is>
      </c>
      <c r="D13" s="3" t="inlineStr">
        <is>
          <t>Heron Fields</t>
        </is>
      </c>
      <c r="E13" s="3" t="inlineStr">
        <is>
          <t>HFA105</t>
        </is>
      </c>
      <c r="F13" s="3" t="b">
        <v>1</v>
      </c>
      <c r="G13" s="3" t="b">
        <v>1</v>
      </c>
      <c r="H13" s="3" t="inlineStr">
        <is>
          <t>A</t>
        </is>
      </c>
      <c r="I13" s="4" t="n">
        <v>44342</v>
      </c>
      <c r="J13" s="4" t="n">
        <v>44352</v>
      </c>
      <c r="K13" s="4" t="n">
        <v>44887</v>
      </c>
      <c r="L13" s="3" t="n">
        <v>1</v>
      </c>
      <c r="M13" s="3" t="n">
        <v>100000</v>
      </c>
      <c r="N13" s="3" t="n">
        <v>15</v>
      </c>
      <c r="O13" s="3" t="b">
        <v>0</v>
      </c>
      <c r="P13" s="3" t="b">
        <v>0</v>
      </c>
      <c r="Q13" s="3" t="n">
        <v>171.2328767123288</v>
      </c>
      <c r="R13" s="3" t="n">
        <v>21986.30136986301</v>
      </c>
      <c r="S13" s="3" t="n">
        <v>22157.53424657534</v>
      </c>
      <c r="T13" s="5">
        <f>IF(J13&lt;&gt;"",M13*N13/365/100*('Cashflow Projection'!$B$2-Investors!J13),0)</f>
        <v/>
      </c>
    </row>
    <row r="14">
      <c r="A14" s="3" t="inlineStr">
        <is>
          <t>ZCRO01</t>
        </is>
      </c>
      <c r="B14" s="3" t="inlineStr">
        <is>
          <t>Marc</t>
        </is>
      </c>
      <c r="C14" s="3" t="inlineStr">
        <is>
          <t>Lunau</t>
        </is>
      </c>
      <c r="D14" s="3" t="inlineStr">
        <is>
          <t>Heron Fields</t>
        </is>
      </c>
      <c r="E14" s="3" t="inlineStr">
        <is>
          <t>HFA105</t>
        </is>
      </c>
      <c r="F14" s="3" t="b">
        <v>1</v>
      </c>
      <c r="G14" s="3" t="b">
        <v>1</v>
      </c>
      <c r="H14" s="3" t="inlineStr">
        <is>
          <t>A</t>
        </is>
      </c>
      <c r="I14" s="4" t="n">
        <v>44266</v>
      </c>
      <c r="J14" s="4" t="n">
        <v>44352</v>
      </c>
      <c r="K14" s="4" t="n">
        <v>44887</v>
      </c>
      <c r="L14" s="3" t="n">
        <v>1</v>
      </c>
      <c r="M14" s="3" t="n">
        <v>110000</v>
      </c>
      <c r="N14" s="3" t="n">
        <v>18</v>
      </c>
      <c r="O14" s="3" t="b">
        <v>0</v>
      </c>
      <c r="P14" s="3" t="b">
        <v>0</v>
      </c>
      <c r="Q14" s="3" t="n">
        <v>1619.863013698627</v>
      </c>
      <c r="R14" s="3" t="n">
        <v>29021.91780821918</v>
      </c>
      <c r="S14" s="3" t="n">
        <v>30641.78082191781</v>
      </c>
      <c r="T14" s="5">
        <f>IF(J14&lt;&gt;"",M14*N14/365/100*('Cashflow Projection'!$B$2-Investors!J14),0)</f>
        <v/>
      </c>
    </row>
    <row r="15">
      <c r="A15" s="3" t="inlineStr">
        <is>
          <t>ZDEB01</t>
        </is>
      </c>
      <c r="B15" s="3" t="inlineStr">
        <is>
          <t>William Henry</t>
        </is>
      </c>
      <c r="C15" s="3" t="inlineStr">
        <is>
          <t>De Beer</t>
        </is>
      </c>
      <c r="D15" s="3" t="inlineStr">
        <is>
          <t>Heron Fields</t>
        </is>
      </c>
      <c r="E15" s="3" t="inlineStr">
        <is>
          <t>HFA105</t>
        </is>
      </c>
      <c r="F15" s="3" t="b">
        <v>1</v>
      </c>
      <c r="G15" s="3" t="b">
        <v>1</v>
      </c>
      <c r="H15" s="3" t="inlineStr">
        <is>
          <t>A</t>
        </is>
      </c>
      <c r="I15" s="4" t="n">
        <v>44287</v>
      </c>
      <c r="J15" s="4" t="n">
        <v>44352</v>
      </c>
      <c r="K15" s="4" t="n">
        <v>44887</v>
      </c>
      <c r="L15" s="3" t="n">
        <v>6</v>
      </c>
      <c r="M15" s="3" t="n">
        <v>150000</v>
      </c>
      <c r="N15" s="3" t="n">
        <v>18</v>
      </c>
      <c r="O15" s="3" t="b">
        <v>0</v>
      </c>
      <c r="P15" s="3" t="b">
        <v>0</v>
      </c>
      <c r="Q15" s="3" t="n">
        <v>1669.520547945207</v>
      </c>
      <c r="R15" s="3" t="n">
        <v>39575.34246575343</v>
      </c>
      <c r="S15" s="3" t="n">
        <v>41244.86301369863</v>
      </c>
      <c r="T15" s="5">
        <f>IF(J15&lt;&gt;"",M15*N15/365/100*('Cashflow Projection'!$B$2-Investors!J15),0)</f>
        <v/>
      </c>
    </row>
    <row r="16">
      <c r="A16" s="3" t="inlineStr">
        <is>
          <t>ZLAB02</t>
        </is>
      </c>
      <c r="B16" s="3" t="inlineStr">
        <is>
          <t>Jandre</t>
        </is>
      </c>
      <c r="C16" s="3" t="inlineStr">
        <is>
          <t>Labuschagne</t>
        </is>
      </c>
      <c r="D16" s="3" t="inlineStr">
        <is>
          <t>Heron Fields</t>
        </is>
      </c>
      <c r="E16" s="3" t="inlineStr">
        <is>
          <t>HFA105</t>
        </is>
      </c>
      <c r="F16" s="3" t="b">
        <v>1</v>
      </c>
      <c r="G16" s="3" t="b">
        <v>1</v>
      </c>
      <c r="H16" s="3" t="inlineStr">
        <is>
          <t>A</t>
        </is>
      </c>
      <c r="I16" s="4" t="n">
        <v>44483</v>
      </c>
      <c r="J16" s="4" t="n">
        <v>44618</v>
      </c>
      <c r="K16" s="4" t="n">
        <v>44887</v>
      </c>
      <c r="L16" s="3" t="n">
        <v>1</v>
      </c>
      <c r="M16" s="3" t="n">
        <v>100000</v>
      </c>
      <c r="N16" s="3" t="n">
        <v>14</v>
      </c>
      <c r="O16" s="3" t="b">
        <v>0</v>
      </c>
      <c r="P16" s="3" t="b">
        <v>0</v>
      </c>
      <c r="Q16" s="3" t="n">
        <v>2389.726027397266</v>
      </c>
      <c r="R16" s="3" t="n">
        <v>10317.80821917808</v>
      </c>
      <c r="S16" s="3" t="n">
        <v>12707.53424657535</v>
      </c>
      <c r="T16" s="5">
        <f>IF(J16&lt;&gt;"",M16*N16/365/100*('Cashflow Projection'!$B$2-Investors!J16),0)</f>
        <v/>
      </c>
    </row>
    <row r="17">
      <c r="A17" s="3" t="inlineStr">
        <is>
          <t>ZLUN01</t>
        </is>
      </c>
      <c r="B17" s="3" t="inlineStr">
        <is>
          <t>Marc</t>
        </is>
      </c>
      <c r="C17" s="3" t="inlineStr">
        <is>
          <t>Lunau</t>
        </is>
      </c>
      <c r="D17" s="3" t="inlineStr">
        <is>
          <t>Heron Fields</t>
        </is>
      </c>
      <c r="E17" s="3" t="inlineStr">
        <is>
          <t>HFA105</t>
        </is>
      </c>
      <c r="F17" s="3" t="b">
        <v>1</v>
      </c>
      <c r="G17" s="3" t="b">
        <v>1</v>
      </c>
      <c r="H17" s="3" t="inlineStr">
        <is>
          <t>A</t>
        </is>
      </c>
      <c r="I17" s="4" t="n">
        <v>44113</v>
      </c>
      <c r="J17" s="4" t="n">
        <v>44352</v>
      </c>
      <c r="K17" s="4" t="n">
        <v>44887</v>
      </c>
      <c r="L17" s="3" t="n">
        <v>2</v>
      </c>
      <c r="M17" s="3" t="n">
        <v>120000</v>
      </c>
      <c r="N17" s="3" t="n">
        <v>18</v>
      </c>
      <c r="O17" s="3" t="b">
        <v>0</v>
      </c>
      <c r="P17" s="3" t="b">
        <v>0</v>
      </c>
      <c r="Q17" s="3" t="n">
        <v>4910.958904109617</v>
      </c>
      <c r="R17" s="3" t="n">
        <v>31660.27397260274</v>
      </c>
      <c r="S17" s="3" t="n">
        <v>36571.23287671235</v>
      </c>
      <c r="T17" s="5">
        <f>IF(J17&lt;&gt;"",M17*N17/365/100*('Cashflow Projection'!$B$2-Investors!J17),0)</f>
        <v/>
      </c>
    </row>
    <row r="18">
      <c r="A18" s="3" t="inlineStr">
        <is>
          <t>ZRAN01</t>
        </is>
      </c>
      <c r="B18" s="3" t="inlineStr">
        <is>
          <t>Ross Partick Gemill</t>
        </is>
      </c>
      <c r="C18" s="3" t="inlineStr">
        <is>
          <t>Rankin</t>
        </is>
      </c>
      <c r="D18" s="3" t="inlineStr">
        <is>
          <t>Heron Fields</t>
        </is>
      </c>
      <c r="E18" s="3" t="inlineStr">
        <is>
          <t>HFA105</t>
        </is>
      </c>
      <c r="F18" s="3" t="b">
        <v>1</v>
      </c>
      <c r="G18" s="3" t="b">
        <v>1</v>
      </c>
      <c r="H18" s="3" t="inlineStr">
        <is>
          <t>A</t>
        </is>
      </c>
      <c r="I18" s="4" t="n">
        <v>44308</v>
      </c>
      <c r="J18" s="4" t="n">
        <v>44378</v>
      </c>
      <c r="K18" s="4" t="n">
        <v>44887</v>
      </c>
      <c r="L18" s="3" t="n">
        <v>19</v>
      </c>
      <c r="M18" s="3" t="n">
        <v>100000</v>
      </c>
      <c r="N18" s="3" t="n">
        <v>18</v>
      </c>
      <c r="O18" s="3" t="b">
        <v>0</v>
      </c>
      <c r="P18" s="3" t="b">
        <v>0</v>
      </c>
      <c r="Q18" s="3" t="n">
        <v>1198.630136986303</v>
      </c>
      <c r="R18" s="3" t="n">
        <v>25101.3698630137</v>
      </c>
      <c r="S18" s="3" t="n">
        <v>26300</v>
      </c>
      <c r="T18" s="5">
        <f>IF(J18&lt;&gt;"",M18*N18/365/100*('Cashflow Projection'!$B$2-Investors!J18),0)</f>
        <v/>
      </c>
    </row>
    <row r="19">
      <c r="A19" s="3" t="inlineStr">
        <is>
          <t>ZSPE01</t>
        </is>
      </c>
      <c r="B19" s="3" t="inlineStr">
        <is>
          <t>Mosiuoa Samuel</t>
        </is>
      </c>
      <c r="C19" s="3" t="inlineStr">
        <is>
          <t>Speelman</t>
        </is>
      </c>
      <c r="D19" s="3" t="inlineStr">
        <is>
          <t>Heron Fields</t>
        </is>
      </c>
      <c r="E19" s="3" t="inlineStr">
        <is>
          <t>HFA105</t>
        </is>
      </c>
      <c r="F19" s="3" t="b">
        <v>1</v>
      </c>
      <c r="G19" s="3" t="b">
        <v>1</v>
      </c>
      <c r="H19" s="3" t="inlineStr">
        <is>
          <t>A</t>
        </is>
      </c>
      <c r="I19" s="4" t="n">
        <v>44116</v>
      </c>
      <c r="J19" s="4" t="n">
        <v>44378</v>
      </c>
      <c r="K19" s="4" t="n">
        <v>44887</v>
      </c>
      <c r="L19" s="3" t="n">
        <v>3</v>
      </c>
      <c r="M19" s="3" t="n">
        <v>69774.42999999999</v>
      </c>
      <c r="N19" s="3" t="n">
        <v>18</v>
      </c>
      <c r="O19" s="3" t="b">
        <v>0</v>
      </c>
      <c r="P19" s="3" t="b">
        <v>0</v>
      </c>
      <c r="Q19" s="3" t="n">
        <v>3130.291208904118</v>
      </c>
      <c r="R19" s="3" t="n">
        <v>17514.33774410959</v>
      </c>
      <c r="S19" s="3" t="n">
        <v>20644.62895301371</v>
      </c>
      <c r="T19" s="5">
        <f>IF(J19&lt;&gt;"",M19*N19/365/100*('Cashflow Projection'!$B$2-Investors!J19),0)</f>
        <v/>
      </c>
    </row>
    <row r="20">
      <c r="A20" s="3" t="inlineStr">
        <is>
          <t>ZCOL01</t>
        </is>
      </c>
      <c r="B20" s="3" t="inlineStr">
        <is>
          <t>Christine</t>
        </is>
      </c>
      <c r="C20" s="3" t="inlineStr">
        <is>
          <t>Collins</t>
        </is>
      </c>
      <c r="D20" s="3" t="inlineStr">
        <is>
          <t>Heron Fields</t>
        </is>
      </c>
      <c r="E20" s="3" t="inlineStr">
        <is>
          <t>HFA106</t>
        </is>
      </c>
      <c r="F20" s="3" t="b">
        <v>1</v>
      </c>
      <c r="G20" s="3" t="b">
        <v>1</v>
      </c>
      <c r="H20" s="3" t="inlineStr">
        <is>
          <t>A</t>
        </is>
      </c>
      <c r="I20" s="4" t="n">
        <v>44119</v>
      </c>
      <c r="J20" s="4" t="n">
        <v>44352</v>
      </c>
      <c r="K20" s="4" t="n">
        <v>44887</v>
      </c>
      <c r="L20" s="3" t="n">
        <v>2</v>
      </c>
      <c r="M20" s="3" t="n">
        <v>61132.88</v>
      </c>
      <c r="N20" s="3" t="n">
        <v>18</v>
      </c>
      <c r="O20" s="3" t="b">
        <v>0</v>
      </c>
      <c r="P20" s="3" t="b">
        <v>0</v>
      </c>
      <c r="Q20" s="3" t="n">
        <v>2439.034424657533</v>
      </c>
      <c r="R20" s="3" t="n">
        <v>16129.03107945205</v>
      </c>
      <c r="S20" s="3" t="n">
        <v>18568.06550410959</v>
      </c>
      <c r="T20" s="5">
        <f>IF(J20&lt;&gt;"",M20*N20/365/100*('Cashflow Projection'!$B$2-Investors!J20),0)</f>
        <v/>
      </c>
    </row>
    <row r="21">
      <c r="A21" s="3" t="inlineStr">
        <is>
          <t>ZCOL01</t>
        </is>
      </c>
      <c r="B21" s="3" t="inlineStr">
        <is>
          <t>Christine</t>
        </is>
      </c>
      <c r="C21" s="3" t="inlineStr">
        <is>
          <t>Collins</t>
        </is>
      </c>
      <c r="D21" s="3" t="inlineStr">
        <is>
          <t>Heron Fields</t>
        </is>
      </c>
      <c r="E21" s="3" t="inlineStr">
        <is>
          <t>HFA106</t>
        </is>
      </c>
      <c r="F21" s="3" t="b">
        <v>1</v>
      </c>
      <c r="G21" s="3" t="b">
        <v>1</v>
      </c>
      <c r="H21" s="3" t="inlineStr">
        <is>
          <t>A</t>
        </is>
      </c>
      <c r="I21" s="4" t="n">
        <v>44155</v>
      </c>
      <c r="J21" s="4" t="n">
        <v>44352</v>
      </c>
      <c r="K21" s="4" t="n">
        <v>44887</v>
      </c>
      <c r="L21" s="3" t="n">
        <v>3</v>
      </c>
      <c r="M21" s="3" t="n">
        <v>38867.12</v>
      </c>
      <c r="N21" s="3" t="n">
        <v>18</v>
      </c>
      <c r="O21" s="3" t="b">
        <v>0</v>
      </c>
      <c r="P21" s="3" t="b">
        <v>0</v>
      </c>
      <c r="Q21" s="3" t="n">
        <v>1311.099767123289</v>
      </c>
      <c r="R21" s="3" t="n">
        <v>10254.53056438356</v>
      </c>
      <c r="S21" s="3" t="n">
        <v>11565.63033150685</v>
      </c>
      <c r="T21" s="5">
        <f>IF(J21&lt;&gt;"",M21*N21/365/100*('Cashflow Projection'!$B$2-Investors!J21),0)</f>
        <v/>
      </c>
    </row>
    <row r="22">
      <c r="A22" s="3" t="inlineStr">
        <is>
          <t>ZJOH01</t>
        </is>
      </c>
      <c r="B22" s="3" t="inlineStr">
        <is>
          <t>Lisa-Marie Natalie</t>
        </is>
      </c>
      <c r="C22" s="3" t="inlineStr">
        <is>
          <t>Johns</t>
        </is>
      </c>
      <c r="D22" s="3" t="inlineStr">
        <is>
          <t>Heron Fields</t>
        </is>
      </c>
      <c r="E22" s="3" t="inlineStr">
        <is>
          <t>HFA106</t>
        </is>
      </c>
      <c r="F22" s="3" t="b">
        <v>1</v>
      </c>
      <c r="G22" s="3" t="b">
        <v>1</v>
      </c>
      <c r="H22" s="3" t="inlineStr">
        <is>
          <t>A</t>
        </is>
      </c>
      <c r="I22" s="4" t="n">
        <v>44113</v>
      </c>
      <c r="J22" s="4" t="n">
        <v>44316</v>
      </c>
      <c r="K22" s="4" t="n">
        <v>44887</v>
      </c>
      <c r="L22" s="3" t="n">
        <v>1</v>
      </c>
      <c r="M22" s="3" t="n">
        <v>110000</v>
      </c>
      <c r="N22" s="3" t="n">
        <v>18</v>
      </c>
      <c r="O22" s="3" t="b">
        <v>0</v>
      </c>
      <c r="P22" s="3" t="b">
        <v>0</v>
      </c>
      <c r="Q22" s="3" t="n">
        <v>3823.630136986307</v>
      </c>
      <c r="R22" s="3" t="n">
        <v>30974.79452054794</v>
      </c>
      <c r="S22" s="3" t="n">
        <v>34798.42465753425</v>
      </c>
      <c r="T22" s="5">
        <f>IF(J22&lt;&gt;"",M22*N22/365/100*('Cashflow Projection'!$B$2-Investors!J22),0)</f>
        <v/>
      </c>
    </row>
    <row r="23">
      <c r="A23" s="3" t="inlineStr">
        <is>
          <t>ZLOU01</t>
        </is>
      </c>
      <c r="B23" s="3" t="inlineStr">
        <is>
          <t>Ricardo Brandon</t>
        </is>
      </c>
      <c r="C23" s="3" t="inlineStr">
        <is>
          <t>Louw</t>
        </is>
      </c>
      <c r="D23" s="3" t="inlineStr">
        <is>
          <t>Heron Fields</t>
        </is>
      </c>
      <c r="E23" s="3" t="inlineStr">
        <is>
          <t>HFA106</t>
        </is>
      </c>
      <c r="F23" s="3" t="b">
        <v>1</v>
      </c>
      <c r="G23" s="3" t="b">
        <v>1</v>
      </c>
      <c r="H23" s="3" t="inlineStr">
        <is>
          <t>A</t>
        </is>
      </c>
      <c r="I23" s="4" t="n">
        <v>44284</v>
      </c>
      <c r="J23" s="4" t="n">
        <v>44352</v>
      </c>
      <c r="K23" s="4" t="n">
        <v>44887</v>
      </c>
      <c r="L23" s="3" t="n">
        <v>1</v>
      </c>
      <c r="M23" s="3" t="n">
        <v>500000</v>
      </c>
      <c r="N23" s="3" t="n">
        <v>18</v>
      </c>
      <c r="O23" s="3" t="b">
        <v>0</v>
      </c>
      <c r="P23" s="3" t="b">
        <v>0</v>
      </c>
      <c r="Q23" s="3" t="n">
        <v>5821.917808219182</v>
      </c>
      <c r="R23" s="3" t="n">
        <v>131917.8082191781</v>
      </c>
      <c r="S23" s="3" t="n">
        <v>137739.7260273973</v>
      </c>
      <c r="T23" s="5">
        <f>IF(J23&lt;&gt;"",M23*N23/365/100*('Cashflow Projection'!$B$2-Investors!J23),0)</f>
        <v/>
      </c>
    </row>
    <row r="24">
      <c r="A24" s="3" t="inlineStr">
        <is>
          <t>ZVZY01</t>
        </is>
      </c>
      <c r="B24" s="3" t="inlineStr">
        <is>
          <t>Jacques Petrus</t>
        </is>
      </c>
      <c r="C24" s="3" t="inlineStr">
        <is>
          <t>van Zyl</t>
        </is>
      </c>
      <c r="D24" s="3" t="inlineStr">
        <is>
          <t>Heron Fields</t>
        </is>
      </c>
      <c r="E24" s="3" t="inlineStr">
        <is>
          <t>HFA106</t>
        </is>
      </c>
      <c r="F24" s="3" t="b">
        <v>1</v>
      </c>
      <c r="G24" s="3" t="b">
        <v>1</v>
      </c>
      <c r="H24" s="3" t="inlineStr">
        <is>
          <t>A</t>
        </is>
      </c>
      <c r="I24" s="4" t="n">
        <v>44273</v>
      </c>
      <c r="J24" s="4" t="n">
        <v>44352</v>
      </c>
      <c r="K24" s="4" t="n">
        <v>44887</v>
      </c>
      <c r="L24" s="3" t="n">
        <v>1</v>
      </c>
      <c r="M24" s="3" t="n">
        <v>200000</v>
      </c>
      <c r="N24" s="3" t="n">
        <v>15</v>
      </c>
      <c r="O24" s="3" t="b">
        <v>0</v>
      </c>
      <c r="P24" s="3" t="b">
        <v>0</v>
      </c>
      <c r="Q24" s="3" t="n">
        <v>2705.479452054798</v>
      </c>
      <c r="R24" s="3" t="n">
        <v>43972.60273972603</v>
      </c>
      <c r="S24" s="3" t="n">
        <v>46678.08219178082</v>
      </c>
      <c r="T24" s="5">
        <f>IF(J24&lt;&gt;"",M24*N24/365/100*('Cashflow Projection'!$B$2-Investors!J24),0)</f>
        <v/>
      </c>
    </row>
    <row r="25">
      <c r="A25" s="3" t="inlineStr">
        <is>
          <t>ZDAD01</t>
        </is>
      </c>
      <c r="B25" s="3" t="inlineStr">
        <is>
          <t>Feroz</t>
        </is>
      </c>
      <c r="C25" s="3" t="inlineStr">
        <is>
          <t>Dadoo</t>
        </is>
      </c>
      <c r="D25" s="3" t="inlineStr">
        <is>
          <t>Heron Fields</t>
        </is>
      </c>
      <c r="E25" s="3" t="inlineStr">
        <is>
          <t>HFA201</t>
        </is>
      </c>
      <c r="F25" s="3" t="b">
        <v>1</v>
      </c>
      <c r="G25" s="3" t="b">
        <v>1</v>
      </c>
      <c r="H25" s="3" t="inlineStr">
        <is>
          <t>A</t>
        </is>
      </c>
      <c r="I25" s="4" t="n">
        <v>44287</v>
      </c>
      <c r="J25" s="4" t="n">
        <v>44352</v>
      </c>
      <c r="K25" s="4" t="n">
        <v>44887</v>
      </c>
      <c r="L25" s="3" t="n">
        <v>1</v>
      </c>
      <c r="M25" s="3" t="n">
        <v>500000</v>
      </c>
      <c r="N25" s="3" t="n">
        <v>18</v>
      </c>
      <c r="O25" s="3" t="b">
        <v>0</v>
      </c>
      <c r="P25" s="3" t="b">
        <v>0</v>
      </c>
      <c r="Q25" s="3" t="n">
        <v>5565.068493150688</v>
      </c>
      <c r="R25" s="3" t="n">
        <v>131917.8082191781</v>
      </c>
      <c r="S25" s="3" t="n">
        <v>137482.8767123288</v>
      </c>
      <c r="T25" s="5">
        <f>IF(J25&lt;&gt;"",M25*N25/365/100*('Cashflow Projection'!$B$2-Investors!J25),0)</f>
        <v/>
      </c>
    </row>
    <row r="26">
      <c r="A26" s="3" t="inlineStr">
        <is>
          <t>ZDAM01</t>
        </is>
      </c>
      <c r="B26" s="3" t="inlineStr">
        <is>
          <t>Lisbeth</t>
        </is>
      </c>
      <c r="C26" s="3" t="inlineStr">
        <is>
          <t>Damane</t>
        </is>
      </c>
      <c r="D26" s="3" t="inlineStr">
        <is>
          <t>Heron Fields</t>
        </is>
      </c>
      <c r="E26" s="3" t="inlineStr">
        <is>
          <t>HFA201</t>
        </is>
      </c>
      <c r="F26" s="3" t="b">
        <v>1</v>
      </c>
      <c r="G26" s="3" t="b">
        <v>1</v>
      </c>
      <c r="H26" s="3" t="inlineStr">
        <is>
          <t>A</t>
        </is>
      </c>
      <c r="I26" s="4" t="n">
        <v>44116</v>
      </c>
      <c r="J26" s="4" t="n">
        <v>44316</v>
      </c>
      <c r="K26" s="4" t="n">
        <v>44887</v>
      </c>
      <c r="L26" s="3" t="n">
        <v>2</v>
      </c>
      <c r="M26" s="3" t="n">
        <v>405157.53</v>
      </c>
      <c r="N26" s="3" t="n">
        <v>18</v>
      </c>
      <c r="O26" s="3" t="b">
        <v>0</v>
      </c>
      <c r="P26" s="3" t="b">
        <v>0</v>
      </c>
      <c r="Q26" s="3" t="n">
        <v>13875.25787671229</v>
      </c>
      <c r="R26" s="3" t="n">
        <v>114087.9203654795</v>
      </c>
      <c r="S26" s="3" t="n">
        <v>127963.1782421918</v>
      </c>
      <c r="T26" s="5">
        <f>IF(J26&lt;&gt;"",M26*N26/365/100*('Cashflow Projection'!$B$2-Investors!J26),0)</f>
        <v/>
      </c>
    </row>
    <row r="27">
      <c r="A27" s="3" t="inlineStr">
        <is>
          <t>ZBEL01</t>
        </is>
      </c>
      <c r="B27" s="3" t="inlineStr">
        <is>
          <t>Helen Constance</t>
        </is>
      </c>
      <c r="C27" s="3" t="inlineStr">
        <is>
          <t>Belford</t>
        </is>
      </c>
      <c r="D27" s="3" t="inlineStr">
        <is>
          <t>Heron Fields</t>
        </is>
      </c>
      <c r="E27" s="3" t="inlineStr">
        <is>
          <t>HFA202</t>
        </is>
      </c>
      <c r="F27" s="3" t="b">
        <v>1</v>
      </c>
      <c r="G27" s="3" t="b">
        <v>1</v>
      </c>
      <c r="H27" s="3" t="inlineStr">
        <is>
          <t>A</t>
        </is>
      </c>
      <c r="I27" s="4" t="n">
        <v>44126</v>
      </c>
      <c r="J27" s="4" t="n">
        <v>44316</v>
      </c>
      <c r="K27" s="4" t="n">
        <v>44895</v>
      </c>
      <c r="L27" s="3" t="n">
        <v>2</v>
      </c>
      <c r="M27" s="3" t="n">
        <v>280000</v>
      </c>
      <c r="N27" s="3" t="n">
        <v>18</v>
      </c>
      <c r="O27" s="3" t="b">
        <v>1</v>
      </c>
      <c r="P27" s="3" t="b">
        <v>0</v>
      </c>
      <c r="Q27" s="3" t="n">
        <v>9109.589041095889</v>
      </c>
      <c r="R27" s="3" t="n">
        <v>79949.58904109588</v>
      </c>
      <c r="S27" s="3" t="n">
        <v>89059.17808219176</v>
      </c>
      <c r="T27" s="5">
        <f>IF(J27&lt;&gt;"",M27*N27/365/100*('Cashflow Projection'!$B$2-Investors!J27),0)</f>
        <v/>
      </c>
    </row>
    <row r="28">
      <c r="A28" s="3" t="inlineStr">
        <is>
          <t>ZHUN01</t>
        </is>
      </c>
      <c r="B28" s="3" t="inlineStr">
        <is>
          <t>Lance</t>
        </is>
      </c>
      <c r="C28" s="3" t="inlineStr">
        <is>
          <t>Hunter</t>
        </is>
      </c>
      <c r="D28" s="3" t="inlineStr">
        <is>
          <t>Heron Fields</t>
        </is>
      </c>
      <c r="E28" s="3" t="inlineStr">
        <is>
          <t>HFA202</t>
        </is>
      </c>
      <c r="F28" s="3" t="b">
        <v>1</v>
      </c>
      <c r="G28" s="3" t="b">
        <v>1</v>
      </c>
      <c r="H28" s="3" t="inlineStr">
        <is>
          <t>A</t>
        </is>
      </c>
      <c r="I28" s="4" t="n">
        <v>44139</v>
      </c>
      <c r="J28" s="4" t="n">
        <v>44316</v>
      </c>
      <c r="K28" s="4" t="n">
        <v>44895</v>
      </c>
      <c r="L28" s="3" t="n">
        <v>2</v>
      </c>
      <c r="M28" s="3" t="n">
        <v>60898.63</v>
      </c>
      <c r="N28" s="3" t="n">
        <v>18</v>
      </c>
      <c r="O28" s="3" t="b">
        <v>1</v>
      </c>
      <c r="P28" s="3" t="b">
        <v>0</v>
      </c>
      <c r="Q28" s="3" t="n">
        <v>1845.729025684936</v>
      </c>
      <c r="R28" s="3" t="n">
        <v>17388.64443452055</v>
      </c>
      <c r="S28" s="3" t="n">
        <v>19234.37346020548</v>
      </c>
      <c r="T28" s="5">
        <f>IF(J28&lt;&gt;"",M28*N28/365/100*('Cashflow Projection'!$B$2-Investors!J28),0)</f>
        <v/>
      </c>
    </row>
    <row r="29">
      <c r="A29" s="3" t="inlineStr">
        <is>
          <t>ZHUN01</t>
        </is>
      </c>
      <c r="B29" s="3" t="inlineStr">
        <is>
          <t>Lance</t>
        </is>
      </c>
      <c r="C29" s="3" t="inlineStr">
        <is>
          <t>Hunter</t>
        </is>
      </c>
      <c r="D29" s="3" t="inlineStr">
        <is>
          <t>Heron Fields</t>
        </is>
      </c>
      <c r="E29" s="3" t="inlineStr">
        <is>
          <t>HFA202</t>
        </is>
      </c>
      <c r="F29" s="3" t="b">
        <v>1</v>
      </c>
      <c r="G29" s="3" t="b">
        <v>1</v>
      </c>
      <c r="H29" s="3" t="inlineStr">
        <is>
          <t>A</t>
        </is>
      </c>
      <c r="I29" s="4" t="n">
        <v>44139</v>
      </c>
      <c r="J29" s="4" t="n">
        <v>44316</v>
      </c>
      <c r="K29" s="4" t="n">
        <v>44895</v>
      </c>
      <c r="L29" s="3" t="n">
        <v>3</v>
      </c>
      <c r="M29" s="3" t="n">
        <v>39101.37</v>
      </c>
      <c r="N29" s="3" t="n">
        <v>18</v>
      </c>
      <c r="O29" s="3" t="b">
        <v>1</v>
      </c>
      <c r="P29" s="3" t="b">
        <v>0</v>
      </c>
      <c r="Q29" s="3" t="n">
        <v>1185.092892123283</v>
      </c>
      <c r="R29" s="3" t="n">
        <v>11164.7802230137</v>
      </c>
      <c r="S29" s="3" t="n">
        <v>12349.87311513698</v>
      </c>
      <c r="T29" s="5">
        <f>IF(J29&lt;&gt;"",M29*N29/365/100*('Cashflow Projection'!$B$2-Investors!J29),0)</f>
        <v/>
      </c>
    </row>
    <row r="30">
      <c r="A30" s="3" t="inlineStr">
        <is>
          <t>ZLEW01</t>
        </is>
      </c>
      <c r="B30" s="3" t="inlineStr">
        <is>
          <t>Martina Christina</t>
        </is>
      </c>
      <c r="C30" s="3" t="inlineStr">
        <is>
          <t>Lewis</t>
        </is>
      </c>
      <c r="D30" s="3" t="inlineStr">
        <is>
          <t>Heron Fields</t>
        </is>
      </c>
      <c r="E30" s="3" t="inlineStr">
        <is>
          <t>HFA202</t>
        </is>
      </c>
      <c r="F30" s="3" t="b">
        <v>1</v>
      </c>
      <c r="G30" s="3" t="b">
        <v>1</v>
      </c>
      <c r="H30" s="3" t="inlineStr">
        <is>
          <t>A</t>
        </is>
      </c>
      <c r="I30" s="4" t="n">
        <v>44119</v>
      </c>
      <c r="J30" s="4" t="n">
        <v>44352</v>
      </c>
      <c r="K30" s="4" t="n">
        <v>44895</v>
      </c>
      <c r="L30" s="3" t="n">
        <v>4</v>
      </c>
      <c r="M30" s="3" t="n">
        <v>341424.66</v>
      </c>
      <c r="N30" s="3" t="n">
        <v>18</v>
      </c>
      <c r="O30" s="3" t="b">
        <v>1</v>
      </c>
      <c r="P30" s="3" t="b">
        <v>0</v>
      </c>
      <c r="Q30" s="3" t="n">
        <v>13621.90852397266</v>
      </c>
      <c r="R30" s="3" t="n">
        <v>91426.97607780821</v>
      </c>
      <c r="S30" s="3" t="n">
        <v>105048.8846017809</v>
      </c>
      <c r="T30" s="5">
        <f>IF(J30&lt;&gt;"",M30*N30/365/100*('Cashflow Projection'!$B$2-Investors!J30),0)</f>
        <v/>
      </c>
    </row>
    <row r="31">
      <c r="A31" s="3" t="inlineStr">
        <is>
          <t>ZMAR01</t>
        </is>
      </c>
      <c r="B31" s="3" t="inlineStr">
        <is>
          <t>Beverley-Ann Kinsla</t>
        </is>
      </c>
      <c r="C31" s="3" t="inlineStr">
        <is>
          <t>Martin</t>
        </is>
      </c>
      <c r="D31" s="3" t="inlineStr">
        <is>
          <t>Heron Fields</t>
        </is>
      </c>
      <c r="E31" s="3" t="inlineStr">
        <is>
          <t>HFA202</t>
        </is>
      </c>
      <c r="F31" s="3" t="b">
        <v>1</v>
      </c>
      <c r="G31" s="3" t="b">
        <v>1</v>
      </c>
      <c r="H31" s="3" t="inlineStr">
        <is>
          <t>A</t>
        </is>
      </c>
      <c r="I31" s="4" t="n">
        <v>44138</v>
      </c>
      <c r="J31" s="4" t="n">
        <v>44316</v>
      </c>
      <c r="K31" s="4" t="n">
        <v>44895</v>
      </c>
      <c r="L31" s="3" t="n">
        <v>2</v>
      </c>
      <c r="M31" s="3" t="n">
        <v>200000</v>
      </c>
      <c r="N31" s="3" t="n">
        <v>18</v>
      </c>
      <c r="O31" s="3" t="b">
        <v>1</v>
      </c>
      <c r="P31" s="3" t="b">
        <v>0</v>
      </c>
      <c r="Q31" s="3" t="n">
        <v>6095.890410958912</v>
      </c>
      <c r="R31" s="3" t="n">
        <v>57106.84931506849</v>
      </c>
      <c r="S31" s="3" t="n">
        <v>63202.7397260274</v>
      </c>
      <c r="T31" s="5">
        <f>IF(J31&lt;&gt;"",M31*N31/365/100*('Cashflow Projection'!$B$2-Investors!J31),0)</f>
        <v/>
      </c>
    </row>
    <row r="32">
      <c r="A32" s="3" t="inlineStr">
        <is>
          <t>ZBAR01</t>
        </is>
      </c>
      <c r="B32" s="3" t="inlineStr">
        <is>
          <t>Stuart Christopher</t>
        </is>
      </c>
      <c r="C32" s="3" t="inlineStr">
        <is>
          <t>Barr</t>
        </is>
      </c>
      <c r="D32" s="3" t="inlineStr">
        <is>
          <t>Heron Fields</t>
        </is>
      </c>
      <c r="E32" s="3" t="inlineStr">
        <is>
          <t>HFA203</t>
        </is>
      </c>
      <c r="F32" s="3" t="b">
        <v>1</v>
      </c>
      <c r="G32" s="3" t="b">
        <v>1</v>
      </c>
      <c r="H32" s="3" t="inlineStr">
        <is>
          <t>A</t>
        </is>
      </c>
      <c r="I32" s="4" t="n">
        <v>44165</v>
      </c>
      <c r="J32" s="4" t="n">
        <v>44352</v>
      </c>
      <c r="K32" s="4" t="n">
        <v>44897</v>
      </c>
      <c r="L32" s="3" t="n">
        <v>1</v>
      </c>
      <c r="M32" s="3" t="n">
        <v>200000</v>
      </c>
      <c r="N32" s="3" t="n">
        <v>15</v>
      </c>
      <c r="O32" s="3" t="b">
        <v>0</v>
      </c>
      <c r="P32" s="3" t="b">
        <v>0</v>
      </c>
      <c r="Q32" s="3" t="n">
        <v>6404.109589041104</v>
      </c>
      <c r="R32" s="3" t="n">
        <v>44794.52054794521</v>
      </c>
      <c r="S32" s="3" t="n">
        <v>51198.63013698631</v>
      </c>
      <c r="T32" s="5">
        <f>IF(J32&lt;&gt;"",M32*N32/365/100*('Cashflow Projection'!$B$2-Investors!J32),0)</f>
        <v/>
      </c>
    </row>
    <row r="33">
      <c r="A33" s="3" t="inlineStr">
        <is>
          <t>ZDAV01</t>
        </is>
      </c>
      <c r="B33" s="3" t="inlineStr">
        <is>
          <t>Heather Mary Lyn</t>
        </is>
      </c>
      <c r="C33" s="3" t="inlineStr">
        <is>
          <t>Davies</t>
        </is>
      </c>
      <c r="D33" s="3" t="inlineStr">
        <is>
          <t>Heron Fields</t>
        </is>
      </c>
      <c r="E33" s="3" t="inlineStr">
        <is>
          <t>HFA203</t>
        </is>
      </c>
      <c r="F33" s="3" t="b">
        <v>1</v>
      </c>
      <c r="G33" s="3" t="b">
        <v>1</v>
      </c>
      <c r="H33" s="3" t="inlineStr">
        <is>
          <t>A</t>
        </is>
      </c>
      <c r="I33" s="4" t="n">
        <v>44126</v>
      </c>
      <c r="J33" s="4" t="n">
        <v>44352</v>
      </c>
      <c r="K33" s="4" t="n">
        <v>44897</v>
      </c>
      <c r="L33" s="3" t="n">
        <v>2</v>
      </c>
      <c r="M33" s="3" t="n">
        <v>250000</v>
      </c>
      <c r="N33" s="3" t="n">
        <v>18</v>
      </c>
      <c r="O33" s="3" t="b">
        <v>0</v>
      </c>
      <c r="P33" s="3" t="b">
        <v>0</v>
      </c>
      <c r="Q33" s="3" t="n">
        <v>9674.657534246555</v>
      </c>
      <c r="R33" s="3" t="n">
        <v>67191.78082191781</v>
      </c>
      <c r="S33" s="3" t="n">
        <v>76866.43835616436</v>
      </c>
      <c r="T33" s="5">
        <f>IF(J33&lt;&gt;"",M33*N33/365/100*('Cashflow Projection'!$B$2-Investors!J33),0)</f>
        <v/>
      </c>
    </row>
    <row r="34">
      <c r="A34" s="3" t="inlineStr">
        <is>
          <t>ZNGO01</t>
        </is>
      </c>
      <c r="B34" s="3" t="inlineStr">
        <is>
          <t>Khula Moses</t>
        </is>
      </c>
      <c r="C34" s="3" t="inlineStr">
        <is>
          <t>Ngomane</t>
        </is>
      </c>
      <c r="D34" s="3" t="inlineStr">
        <is>
          <t>Heron Fields</t>
        </is>
      </c>
      <c r="E34" s="3" t="inlineStr">
        <is>
          <t>HFA203</t>
        </is>
      </c>
      <c r="F34" s="3" t="b">
        <v>1</v>
      </c>
      <c r="G34" s="3" t="b">
        <v>1</v>
      </c>
      <c r="H34" s="3" t="inlineStr">
        <is>
          <t>A</t>
        </is>
      </c>
      <c r="I34" s="4" t="n">
        <v>44160</v>
      </c>
      <c r="J34" s="4" t="n">
        <v>44352</v>
      </c>
      <c r="K34" s="4" t="n">
        <v>44897</v>
      </c>
      <c r="L34" s="3" t="n">
        <v>2</v>
      </c>
      <c r="M34" s="3" t="n">
        <v>100000</v>
      </c>
      <c r="N34" s="3" t="n">
        <v>15</v>
      </c>
      <c r="O34" s="3" t="b">
        <v>0</v>
      </c>
      <c r="P34" s="3" t="b">
        <v>0</v>
      </c>
      <c r="Q34" s="3" t="n">
        <v>3287.671232876717</v>
      </c>
      <c r="R34" s="3" t="n">
        <v>22397.2602739726</v>
      </c>
      <c r="S34" s="3" t="n">
        <v>25684.93150684932</v>
      </c>
      <c r="T34" s="5">
        <f>IF(J34&lt;&gt;"",M34*N34/365/100*('Cashflow Projection'!$B$2-Investors!J34),0)</f>
        <v/>
      </c>
    </row>
    <row r="35">
      <c r="A35" s="3" t="inlineStr">
        <is>
          <t>ZRAN01</t>
        </is>
      </c>
      <c r="B35" s="3" t="inlineStr">
        <is>
          <t>Ross Partick Gemill</t>
        </is>
      </c>
      <c r="C35" s="3" t="inlineStr">
        <is>
          <t>Rankin</t>
        </is>
      </c>
      <c r="D35" s="3" t="inlineStr">
        <is>
          <t>Heron Fields</t>
        </is>
      </c>
      <c r="E35" s="3" t="inlineStr">
        <is>
          <t>HFA203</t>
        </is>
      </c>
      <c r="F35" s="3" t="b">
        <v>1</v>
      </c>
      <c r="G35" s="3" t="b">
        <v>1</v>
      </c>
      <c r="H35" s="3" t="inlineStr">
        <is>
          <t>A</t>
        </is>
      </c>
      <c r="I35" s="4" t="n">
        <v>44287</v>
      </c>
      <c r="J35" s="4" t="n">
        <v>44378</v>
      </c>
      <c r="K35" s="4" t="n">
        <v>44897</v>
      </c>
      <c r="L35" s="3" t="n">
        <v>18</v>
      </c>
      <c r="M35" s="3" t="n">
        <v>140000</v>
      </c>
      <c r="N35" s="3" t="n">
        <v>18</v>
      </c>
      <c r="O35" s="3" t="b">
        <v>0</v>
      </c>
      <c r="P35" s="3" t="b">
        <v>0</v>
      </c>
      <c r="Q35" s="3" t="n">
        <v>2181.506849315065</v>
      </c>
      <c r="R35" s="3" t="n">
        <v>35832.32876712329</v>
      </c>
      <c r="S35" s="3" t="n">
        <v>38013.83561643836</v>
      </c>
      <c r="T35" s="5">
        <f>IF(J35&lt;&gt;"",M35*N35/365/100*('Cashflow Projection'!$B$2-Investors!J35),0)</f>
        <v/>
      </c>
    </row>
    <row r="36">
      <c r="A36" s="3" t="inlineStr">
        <is>
          <t>ZVBL01</t>
        </is>
      </c>
      <c r="B36" s="3" t="inlineStr">
        <is>
          <t>Glenda</t>
        </is>
      </c>
      <c r="C36" s="3" t="inlineStr">
        <is>
          <t>van Blerk</t>
        </is>
      </c>
      <c r="D36" s="3" t="inlineStr">
        <is>
          <t>Heron Fields</t>
        </is>
      </c>
      <c r="E36" s="3" t="inlineStr">
        <is>
          <t>HFA203</t>
        </is>
      </c>
      <c r="F36" s="3" t="b">
        <v>1</v>
      </c>
      <c r="G36" s="3" t="b">
        <v>1</v>
      </c>
      <c r="H36" s="3" t="inlineStr">
        <is>
          <t>A</t>
        </is>
      </c>
      <c r="I36" s="4" t="n">
        <v>44165</v>
      </c>
      <c r="J36" s="4" t="n">
        <v>44352</v>
      </c>
      <c r="K36" s="4" t="n">
        <v>44897</v>
      </c>
      <c r="L36" s="3" t="n">
        <v>1</v>
      </c>
      <c r="M36" s="3" t="n">
        <v>200000</v>
      </c>
      <c r="N36" s="3" t="n">
        <v>15</v>
      </c>
      <c r="O36" s="3" t="b">
        <v>0</v>
      </c>
      <c r="P36" s="3" t="b">
        <v>0</v>
      </c>
      <c r="Q36" s="3" t="n">
        <v>6404.109589041104</v>
      </c>
      <c r="R36" s="3" t="n">
        <v>44794.52054794521</v>
      </c>
      <c r="S36" s="3" t="n">
        <v>51198.63013698631</v>
      </c>
      <c r="T36" s="5">
        <f>IF(J36&lt;&gt;"",M36*N36/365/100*('Cashflow Projection'!$B$2-Investors!J36),0)</f>
        <v/>
      </c>
    </row>
    <row r="37">
      <c r="A37" s="3" t="inlineStr">
        <is>
          <t>ZFEM01</t>
        </is>
      </c>
      <c r="B37" s="3" t="inlineStr">
        <is>
          <t>Francina Elisabeth</t>
        </is>
      </c>
      <c r="C37" s="3" t="inlineStr">
        <is>
          <t>Morkel</t>
        </is>
      </c>
      <c r="D37" s="3" t="inlineStr">
        <is>
          <t>Heron Fields</t>
        </is>
      </c>
      <c r="E37" s="3" t="inlineStr">
        <is>
          <t>HFA204</t>
        </is>
      </c>
      <c r="F37" s="3" t="b">
        <v>1</v>
      </c>
      <c r="G37" s="3" t="b">
        <v>1</v>
      </c>
      <c r="H37" s="3" t="inlineStr">
        <is>
          <t>A</t>
        </is>
      </c>
      <c r="I37" s="4" t="n">
        <v>44179</v>
      </c>
      <c r="J37" s="4" t="n">
        <v>44352</v>
      </c>
      <c r="K37" s="4" t="n">
        <v>44887</v>
      </c>
      <c r="L37" s="3" t="n">
        <v>1</v>
      </c>
      <c r="M37" s="3" t="n">
        <v>100000</v>
      </c>
      <c r="N37" s="3" t="n">
        <v>15</v>
      </c>
      <c r="O37" s="3" t="b">
        <v>0</v>
      </c>
      <c r="P37" s="3" t="b">
        <v>0</v>
      </c>
      <c r="Q37" s="3" t="n">
        <v>2962.328767123292</v>
      </c>
      <c r="R37" s="3" t="n">
        <v>21986.30136986301</v>
      </c>
      <c r="S37" s="3" t="n">
        <v>24948.6301369863</v>
      </c>
      <c r="T37" s="5">
        <f>IF(J37&lt;&gt;"",M37*N37/365/100*('Cashflow Projection'!$B$2-Investors!J37),0)</f>
        <v/>
      </c>
    </row>
    <row r="38">
      <c r="A38" s="3" t="inlineStr">
        <is>
          <t>ZJBM01</t>
        </is>
      </c>
      <c r="B38" s="3" t="inlineStr">
        <is>
          <t>Jacobus Bruwer</t>
        </is>
      </c>
      <c r="C38" s="3" t="inlineStr">
        <is>
          <t>Morkel</t>
        </is>
      </c>
      <c r="D38" s="3" t="inlineStr">
        <is>
          <t>Heron Fields</t>
        </is>
      </c>
      <c r="E38" s="3" t="inlineStr">
        <is>
          <t>HFA204</t>
        </is>
      </c>
      <c r="F38" s="3" t="b">
        <v>1</v>
      </c>
      <c r="G38" s="3" t="b">
        <v>1</v>
      </c>
      <c r="H38" s="3" t="inlineStr">
        <is>
          <t>A</t>
        </is>
      </c>
      <c r="I38" s="4" t="n">
        <v>44179</v>
      </c>
      <c r="J38" s="4" t="n">
        <v>44352</v>
      </c>
      <c r="K38" s="4" t="n">
        <v>44887</v>
      </c>
      <c r="L38" s="3" t="n">
        <v>1</v>
      </c>
      <c r="M38" s="3" t="n">
        <v>100000</v>
      </c>
      <c r="N38" s="3" t="n">
        <v>15</v>
      </c>
      <c r="O38" s="3" t="b">
        <v>0</v>
      </c>
      <c r="P38" s="3" t="b">
        <v>0</v>
      </c>
      <c r="Q38" s="3" t="n">
        <v>2962.328767123292</v>
      </c>
      <c r="R38" s="3" t="n">
        <v>21986.30136986301</v>
      </c>
      <c r="S38" s="3" t="n">
        <v>24948.6301369863</v>
      </c>
      <c r="T38" s="5">
        <f>IF(J38&lt;&gt;"",M38*N38/365/100*('Cashflow Projection'!$B$2-Investors!J38),0)</f>
        <v/>
      </c>
    </row>
    <row r="39">
      <c r="A39" s="3" t="inlineStr">
        <is>
          <t>ZKOO01</t>
        </is>
      </c>
      <c r="B39" s="3" t="inlineStr">
        <is>
          <t>Jayprakash Brijbukhandas</t>
        </is>
      </c>
      <c r="C39" s="3" t="inlineStr">
        <is>
          <t>Koovarjee</t>
        </is>
      </c>
      <c r="D39" s="3" t="inlineStr">
        <is>
          <t>Heron Fields</t>
        </is>
      </c>
      <c r="E39" s="3" t="inlineStr">
        <is>
          <t>HFA204</t>
        </is>
      </c>
      <c r="F39" s="3" t="b">
        <v>1</v>
      </c>
      <c r="G39" s="3" t="b">
        <v>1</v>
      </c>
      <c r="H39" s="3" t="inlineStr">
        <is>
          <t>A</t>
        </is>
      </c>
      <c r="I39" s="4" t="n">
        <v>44155</v>
      </c>
      <c r="J39" s="4" t="n">
        <v>44352</v>
      </c>
      <c r="K39" s="4" t="n">
        <v>44887</v>
      </c>
      <c r="L39" s="3" t="n">
        <v>1</v>
      </c>
      <c r="M39" s="3" t="n">
        <v>500000</v>
      </c>
      <c r="N39" s="3" t="n">
        <v>18</v>
      </c>
      <c r="O39" s="3" t="b">
        <v>0</v>
      </c>
      <c r="P39" s="3" t="b">
        <v>0</v>
      </c>
      <c r="Q39" s="3" t="n">
        <v>16866.43835616439</v>
      </c>
      <c r="R39" s="3" t="n">
        <v>131917.8082191781</v>
      </c>
      <c r="S39" s="3" t="n">
        <v>148784.2465753425</v>
      </c>
      <c r="T39" s="5">
        <f>IF(J39&lt;&gt;"",M39*N39/365/100*('Cashflow Projection'!$B$2-Investors!J39),0)</f>
        <v/>
      </c>
    </row>
    <row r="40">
      <c r="A40" s="3" t="inlineStr">
        <is>
          <t>ZVAN01</t>
        </is>
      </c>
      <c r="B40" s="3" t="inlineStr">
        <is>
          <t>Gerhard Andre</t>
        </is>
      </c>
      <c r="C40" s="3" t="inlineStr">
        <is>
          <t>van Rensburg</t>
        </is>
      </c>
      <c r="D40" s="3" t="inlineStr">
        <is>
          <t>Heron Fields</t>
        </is>
      </c>
      <c r="E40" s="3" t="inlineStr">
        <is>
          <t>HFA204</t>
        </is>
      </c>
      <c r="F40" s="3" t="b">
        <v>1</v>
      </c>
      <c r="G40" s="3" t="b">
        <v>1</v>
      </c>
      <c r="H40" s="3" t="inlineStr">
        <is>
          <t>A</t>
        </is>
      </c>
      <c r="I40" s="4" t="n">
        <v>44274</v>
      </c>
      <c r="J40" s="4" t="n">
        <v>44352</v>
      </c>
      <c r="K40" s="4" t="n">
        <v>44887</v>
      </c>
      <c r="L40" s="3" t="n">
        <v>1</v>
      </c>
      <c r="M40" s="3" t="n">
        <v>200000</v>
      </c>
      <c r="N40" s="3" t="n">
        <v>15</v>
      </c>
      <c r="O40" s="3" t="b">
        <v>0</v>
      </c>
      <c r="P40" s="3" t="b">
        <v>0</v>
      </c>
      <c r="Q40" s="3" t="n">
        <v>2671.232876712332</v>
      </c>
      <c r="R40" s="3" t="n">
        <v>43972.60273972603</v>
      </c>
      <c r="S40" s="3" t="n">
        <v>46643.83561643836</v>
      </c>
      <c r="T40" s="5">
        <f>IF(J40&lt;&gt;"",M40*N40/365/100*('Cashflow Projection'!$B$2-Investors!J40),0)</f>
        <v/>
      </c>
    </row>
    <row r="41">
      <c r="A41" s="3" t="inlineStr">
        <is>
          <t>ZHEI01</t>
        </is>
      </c>
      <c r="B41" s="3" t="inlineStr">
        <is>
          <t>Dieter Raimund</t>
        </is>
      </c>
      <c r="C41" s="3" t="inlineStr">
        <is>
          <t>Heinze</t>
        </is>
      </c>
      <c r="D41" s="3" t="inlineStr">
        <is>
          <t>Heron Fields</t>
        </is>
      </c>
      <c r="E41" s="3" t="inlineStr">
        <is>
          <t>HFA205</t>
        </is>
      </c>
      <c r="F41" s="3" t="b">
        <v>1</v>
      </c>
      <c r="G41" s="3" t="b">
        <v>1</v>
      </c>
      <c r="H41" s="3" t="inlineStr">
        <is>
          <t>A</t>
        </is>
      </c>
      <c r="I41" s="4" t="n">
        <v>44771</v>
      </c>
      <c r="J41" s="4" t="n">
        <v>44772</v>
      </c>
      <c r="K41" s="4" t="n">
        <v>44943</v>
      </c>
      <c r="L41" s="3" t="n">
        <v>10</v>
      </c>
      <c r="M41" s="3" t="n">
        <v>238431.51</v>
      </c>
      <c r="N41" s="3" t="n">
        <v>18</v>
      </c>
      <c r="O41" s="3" t="b">
        <v>0</v>
      </c>
      <c r="P41" s="3" t="b">
        <v>0</v>
      </c>
      <c r="Q41" s="3" t="n">
        <v>48.99277602739726</v>
      </c>
      <c r="R41" s="3" t="n">
        <v>20106.63528164383</v>
      </c>
      <c r="S41" s="3" t="n">
        <v>20155.62805767123</v>
      </c>
      <c r="T41" s="5">
        <f>IF(J41&lt;&gt;"",M41*N41/365/100*('Cashflow Projection'!$B$2-Investors!J41),0)</f>
        <v/>
      </c>
    </row>
    <row r="42">
      <c r="A42" s="3" t="inlineStr">
        <is>
          <t>ZHEY01</t>
        </is>
      </c>
      <c r="B42" s="3" t="inlineStr">
        <is>
          <t>Vincent Derick</t>
        </is>
      </c>
      <c r="C42" s="3" t="inlineStr">
        <is>
          <t>Heynes</t>
        </is>
      </c>
      <c r="D42" s="3" t="inlineStr">
        <is>
          <t>Heron Fields</t>
        </is>
      </c>
      <c r="E42" s="3" t="inlineStr">
        <is>
          <t>HFA205</t>
        </is>
      </c>
      <c r="F42" s="3" t="b">
        <v>1</v>
      </c>
      <c r="G42" s="3" t="b">
        <v>1</v>
      </c>
      <c r="H42" s="3" t="inlineStr">
        <is>
          <t>A</t>
        </is>
      </c>
      <c r="I42" s="4" t="n">
        <v>44274</v>
      </c>
      <c r="J42" s="4" t="n">
        <v>44352</v>
      </c>
      <c r="K42" s="4" t="n">
        <v>44804</v>
      </c>
      <c r="L42" s="3" t="n">
        <v>1</v>
      </c>
      <c r="M42" s="3" t="n">
        <v>100000</v>
      </c>
      <c r="N42" s="3" t="n">
        <v>15</v>
      </c>
      <c r="O42" s="3" t="b">
        <v>1</v>
      </c>
      <c r="P42" s="3" t="b">
        <v>0</v>
      </c>
      <c r="Q42" s="3" t="n">
        <v>1335.616438356166</v>
      </c>
      <c r="R42" s="3" t="n">
        <v>18575.34246575342</v>
      </c>
      <c r="S42" s="3" t="n">
        <v>19910.95890410959</v>
      </c>
      <c r="T42" s="5">
        <f>IF(J42&lt;&gt;"",M42*N42/365/100*('Cashflow Projection'!$B$2-Investors!J42),0)</f>
        <v/>
      </c>
    </row>
    <row r="43">
      <c r="A43" s="3" t="inlineStr">
        <is>
          <t>ZKOO01</t>
        </is>
      </c>
      <c r="B43" s="3" t="inlineStr">
        <is>
          <t>Jayprakash Brijbukhandas</t>
        </is>
      </c>
      <c r="C43" s="3" t="inlineStr">
        <is>
          <t>Koovarjee</t>
        </is>
      </c>
      <c r="D43" s="3" t="inlineStr">
        <is>
          <t>Heron Fields</t>
        </is>
      </c>
      <c r="E43" s="3" t="inlineStr">
        <is>
          <t>HFA205</t>
        </is>
      </c>
      <c r="F43" s="3" t="b">
        <v>1</v>
      </c>
      <c r="G43" s="3" t="b">
        <v>1</v>
      </c>
      <c r="H43" s="3" t="inlineStr">
        <is>
          <t>A</t>
        </is>
      </c>
      <c r="I43" s="4" t="n">
        <v>44155</v>
      </c>
      <c r="J43" s="4" t="n">
        <v>44352</v>
      </c>
      <c r="K43" s="4" t="n">
        <v>44943</v>
      </c>
      <c r="L43" s="3" t="n">
        <v>2</v>
      </c>
      <c r="M43" s="3" t="n">
        <v>500000</v>
      </c>
      <c r="N43" s="3" t="n">
        <v>18</v>
      </c>
      <c r="O43" s="3" t="b">
        <v>0</v>
      </c>
      <c r="P43" s="3" t="b">
        <v>0</v>
      </c>
      <c r="Q43" s="3" t="n">
        <v>16866.43835616439</v>
      </c>
      <c r="R43" s="3" t="n">
        <v>145726.0273972603</v>
      </c>
      <c r="S43" s="3" t="n">
        <v>162592.4657534247</v>
      </c>
      <c r="T43" s="5">
        <f>IF(J43&lt;&gt;"",M43*N43/365/100*('Cashflow Projection'!$B$2-Investors!J43),0)</f>
        <v/>
      </c>
    </row>
    <row r="44">
      <c r="A44" s="3" t="inlineStr">
        <is>
          <t>ZTPI01</t>
        </is>
      </c>
      <c r="B44" s="3" t="inlineStr">
        <is>
          <t>Raisibe Ellen</t>
        </is>
      </c>
      <c r="C44" s="3" t="inlineStr">
        <is>
          <t>Matlala</t>
        </is>
      </c>
      <c r="D44" s="3" t="inlineStr">
        <is>
          <t>Heron Fields</t>
        </is>
      </c>
      <c r="E44" s="3" t="inlineStr">
        <is>
          <t>HFA205</t>
        </is>
      </c>
      <c r="F44" s="3" t="b">
        <v>1</v>
      </c>
      <c r="G44" s="3" t="b">
        <v>1</v>
      </c>
      <c r="H44" s="3" t="inlineStr">
        <is>
          <t>A</t>
        </is>
      </c>
      <c r="I44" s="4" t="n">
        <v>44237</v>
      </c>
      <c r="J44" s="4" t="n">
        <v>44378</v>
      </c>
      <c r="K44" s="4" t="n">
        <v>44943</v>
      </c>
      <c r="L44" s="3" t="n">
        <v>1</v>
      </c>
      <c r="M44" s="3" t="n">
        <v>100000</v>
      </c>
      <c r="N44" s="3" t="n">
        <v>15</v>
      </c>
      <c r="O44" s="3" t="b">
        <v>0</v>
      </c>
      <c r="P44" s="3" t="b">
        <v>0</v>
      </c>
      <c r="Q44" s="3" t="n">
        <v>2414.383561643839</v>
      </c>
      <c r="R44" s="3" t="n">
        <v>23219.17808219178</v>
      </c>
      <c r="S44" s="3" t="n">
        <v>25633.56164383562</v>
      </c>
      <c r="T44" s="5">
        <f>IF(J44&lt;&gt;"",M44*N44/365/100*('Cashflow Projection'!$B$2-Investors!J44),0)</f>
        <v/>
      </c>
    </row>
    <row r="45">
      <c r="A45" s="3" t="inlineStr">
        <is>
          <t>ZBOH01</t>
        </is>
      </c>
      <c r="B45" s="3" t="inlineStr">
        <is>
          <t>Werner Hugo Bohme &amp;</t>
        </is>
      </c>
      <c r="C45" s="3" t="inlineStr">
        <is>
          <t>Brenda Bohme</t>
        </is>
      </c>
      <c r="D45" s="3" t="inlineStr">
        <is>
          <t>Heron Fields</t>
        </is>
      </c>
      <c r="E45" s="3" t="inlineStr">
        <is>
          <t>HFA206</t>
        </is>
      </c>
      <c r="F45" s="3" t="b">
        <v>1</v>
      </c>
      <c r="G45" s="3" t="b">
        <v>1</v>
      </c>
      <c r="H45" s="3" t="inlineStr">
        <is>
          <t>A</t>
        </is>
      </c>
      <c r="I45" s="4" t="n">
        <v>44266</v>
      </c>
      <c r="J45" s="4" t="n">
        <v>44352</v>
      </c>
      <c r="K45" s="4" t="n">
        <v>44887</v>
      </c>
      <c r="L45" s="3" t="n">
        <v>1</v>
      </c>
      <c r="M45" s="3" t="n">
        <v>500000</v>
      </c>
      <c r="N45" s="3" t="n">
        <v>18</v>
      </c>
      <c r="O45" s="3" t="b">
        <v>0</v>
      </c>
      <c r="P45" s="3" t="b">
        <v>0</v>
      </c>
      <c r="Q45" s="3" t="n">
        <v>7363.013698630143</v>
      </c>
      <c r="R45" s="3" t="n">
        <v>131917.8082191781</v>
      </c>
      <c r="S45" s="3" t="n">
        <v>139280.8219178082</v>
      </c>
      <c r="T45" s="5">
        <f>IF(J45&lt;&gt;"",M45*N45/365/100*('Cashflow Projection'!$B$2-Investors!J45),0)</f>
        <v/>
      </c>
    </row>
    <row r="46">
      <c r="A46" s="3" t="inlineStr">
        <is>
          <t>ZLEW02</t>
        </is>
      </c>
      <c r="B46" s="3" t="inlineStr">
        <is>
          <t>Leon</t>
        </is>
      </c>
      <c r="C46" s="3" t="inlineStr">
        <is>
          <t>Lewis</t>
        </is>
      </c>
      <c r="D46" s="3" t="inlineStr">
        <is>
          <t>Heron Fields</t>
        </is>
      </c>
      <c r="E46" s="3" t="inlineStr">
        <is>
          <t>HFA206</t>
        </is>
      </c>
      <c r="F46" s="3" t="b">
        <v>1</v>
      </c>
      <c r="G46" s="3" t="b">
        <v>1</v>
      </c>
      <c r="H46" s="3" t="inlineStr">
        <is>
          <t>A</t>
        </is>
      </c>
      <c r="I46" s="4" t="n">
        <v>44256</v>
      </c>
      <c r="J46" s="4" t="n">
        <v>44352</v>
      </c>
      <c r="K46" s="4" t="n">
        <v>44887</v>
      </c>
      <c r="L46" s="3" t="n">
        <v>1</v>
      </c>
      <c r="M46" s="3" t="n">
        <v>100000</v>
      </c>
      <c r="N46" s="3" t="n">
        <v>15</v>
      </c>
      <c r="O46" s="3" t="b">
        <v>0</v>
      </c>
      <c r="P46" s="3" t="b">
        <v>0</v>
      </c>
      <c r="Q46" s="3" t="n">
        <v>1643.835616438358</v>
      </c>
      <c r="R46" s="3" t="n">
        <v>21986.30136986301</v>
      </c>
      <c r="S46" s="3" t="n">
        <v>23630.13698630137</v>
      </c>
      <c r="T46" s="5">
        <f>IF(J46&lt;&gt;"",M46*N46/365/100*('Cashflow Projection'!$B$2-Investors!J46),0)</f>
        <v/>
      </c>
    </row>
    <row r="47">
      <c r="A47" s="3" t="inlineStr">
        <is>
          <t>ZMAG01</t>
        </is>
      </c>
      <c r="B47" s="3" t="inlineStr">
        <is>
          <t>Petro</t>
        </is>
      </c>
      <c r="C47" s="3" t="inlineStr">
        <is>
          <t>Psomotragos</t>
        </is>
      </c>
      <c r="D47" s="3" t="inlineStr">
        <is>
          <t>Heron Fields</t>
        </is>
      </c>
      <c r="E47" s="3" t="inlineStr">
        <is>
          <t>HFA206</t>
        </is>
      </c>
      <c r="F47" s="3" t="b">
        <v>1</v>
      </c>
      <c r="G47" s="3" t="b">
        <v>1</v>
      </c>
      <c r="H47" s="3" t="inlineStr">
        <is>
          <t>A</t>
        </is>
      </c>
      <c r="I47" s="4" t="n">
        <v>44180</v>
      </c>
      <c r="J47" s="4" t="n">
        <v>44378</v>
      </c>
      <c r="K47" s="4" t="n">
        <v>44887</v>
      </c>
      <c r="L47" s="3" t="n">
        <v>3</v>
      </c>
      <c r="M47" s="3" t="n">
        <v>118641.1</v>
      </c>
      <c r="N47" s="3" t="n">
        <v>18</v>
      </c>
      <c r="O47" s="3" t="b">
        <v>0</v>
      </c>
      <c r="P47" s="3" t="b">
        <v>0</v>
      </c>
      <c r="Q47" s="3" t="n">
        <v>4022.420856164392</v>
      </c>
      <c r="R47" s="3" t="n">
        <v>29780.54132054795</v>
      </c>
      <c r="S47" s="3" t="n">
        <v>33802.96217671234</v>
      </c>
      <c r="T47" s="5">
        <f>IF(J47&lt;&gt;"",M47*N47/365/100*('Cashflow Projection'!$B$2-Investors!J47),0)</f>
        <v/>
      </c>
    </row>
    <row r="48">
      <c r="A48" s="3" t="inlineStr">
        <is>
          <t>ZVDM01</t>
        </is>
      </c>
      <c r="B48" s="3" t="inlineStr">
        <is>
          <t>Paula</t>
        </is>
      </c>
      <c r="C48" s="3" t="inlineStr">
        <is>
          <t>van der Mescht</t>
        </is>
      </c>
      <c r="D48" s="3" t="inlineStr">
        <is>
          <t>Heron Fields</t>
        </is>
      </c>
      <c r="E48" s="3" t="inlineStr">
        <is>
          <t>HFA206</t>
        </is>
      </c>
      <c r="F48" s="3" t="b">
        <v>1</v>
      </c>
      <c r="G48" s="3" t="b">
        <v>1</v>
      </c>
      <c r="H48" s="3" t="inlineStr">
        <is>
          <t>A</t>
        </is>
      </c>
      <c r="I48" s="4" t="n">
        <v>44183</v>
      </c>
      <c r="J48" s="4" t="n">
        <v>44316</v>
      </c>
      <c r="K48" s="4" t="n">
        <v>44887</v>
      </c>
      <c r="L48" s="3" t="n">
        <v>3</v>
      </c>
      <c r="M48" s="3" t="n">
        <v>50000</v>
      </c>
      <c r="N48" s="3" t="n">
        <v>18</v>
      </c>
      <c r="O48" s="3" t="b">
        <v>0</v>
      </c>
      <c r="P48" s="3" t="b">
        <v>0</v>
      </c>
      <c r="Q48" s="3" t="n">
        <v>1138.698630136988</v>
      </c>
      <c r="R48" s="3" t="n">
        <v>14079.45205479452</v>
      </c>
      <c r="S48" s="3" t="n">
        <v>15218.15068493151</v>
      </c>
      <c r="T48" s="5">
        <f>IF(J48&lt;&gt;"",M48*N48/365/100*('Cashflow Projection'!$B$2-Investors!J48),0)</f>
        <v/>
      </c>
    </row>
    <row r="49">
      <c r="A49" s="3" t="inlineStr">
        <is>
          <t>ZMAT01</t>
        </is>
      </c>
      <c r="B49" s="3" t="inlineStr">
        <is>
          <t>Natalie</t>
        </is>
      </c>
      <c r="C49" s="6" t="inlineStr">
        <is>
          <t>Matthews</t>
        </is>
      </c>
      <c r="D49" s="3" t="inlineStr">
        <is>
          <t>Heron Fields</t>
        </is>
      </c>
      <c r="E49" s="3" t="inlineStr">
        <is>
          <t>HFA301</t>
        </is>
      </c>
      <c r="F49" s="3" t="b">
        <v>1</v>
      </c>
      <c r="G49" s="3" t="b">
        <v>1</v>
      </c>
      <c r="H49" s="3" t="inlineStr">
        <is>
          <t>A</t>
        </is>
      </c>
      <c r="I49" s="4" t="n">
        <v>44230</v>
      </c>
      <c r="J49" s="4" t="n">
        <v>44378</v>
      </c>
      <c r="K49" s="4" t="n">
        <v>44901</v>
      </c>
      <c r="L49" s="3" t="n">
        <v>4</v>
      </c>
      <c r="M49" s="3" t="n">
        <v>200000</v>
      </c>
      <c r="N49" s="3" t="n">
        <v>18</v>
      </c>
      <c r="O49" s="3" t="b">
        <v>0</v>
      </c>
      <c r="P49" s="3" t="b">
        <v>0</v>
      </c>
      <c r="Q49" s="3" t="n">
        <v>5068.493150684938</v>
      </c>
      <c r="R49" s="3" t="n">
        <v>51583.56164383562</v>
      </c>
      <c r="S49" s="3" t="n">
        <v>56652.05479452055</v>
      </c>
      <c r="T49" s="5">
        <f>IF(J49&lt;&gt;"",M49*N49/365/100*('Cashflow Projection'!$B$2-Investors!J49),0)</f>
        <v/>
      </c>
    </row>
    <row r="50">
      <c r="A50" s="3" t="inlineStr">
        <is>
          <t>ZSCH01</t>
        </is>
      </c>
      <c r="B50" s="3" t="inlineStr">
        <is>
          <t>Inge</t>
        </is>
      </c>
      <c r="C50" s="3" t="inlineStr">
        <is>
          <t>Schubert</t>
        </is>
      </c>
      <c r="D50" s="3" t="inlineStr">
        <is>
          <t>Heron Fields</t>
        </is>
      </c>
      <c r="E50" s="3" t="inlineStr">
        <is>
          <t>HFA301</t>
        </is>
      </c>
      <c r="F50" s="3" t="b">
        <v>1</v>
      </c>
      <c r="G50" s="3" t="b">
        <v>1</v>
      </c>
      <c r="H50" s="3" t="inlineStr">
        <is>
          <t>A</t>
        </is>
      </c>
      <c r="I50" s="4" t="n">
        <v>44160</v>
      </c>
      <c r="J50" s="4" t="n">
        <v>44352</v>
      </c>
      <c r="K50" s="4" t="n">
        <v>44901</v>
      </c>
      <c r="L50" s="3" t="n">
        <v>11</v>
      </c>
      <c r="M50" s="3" t="n">
        <v>618344.34</v>
      </c>
      <c r="N50" s="3" t="n">
        <v>18</v>
      </c>
      <c r="O50" s="3" t="b">
        <v>0</v>
      </c>
      <c r="P50" s="3" t="b">
        <v>0</v>
      </c>
      <c r="Q50" s="3" t="n">
        <v>20329.12898630136</v>
      </c>
      <c r="R50" s="3" t="n">
        <v>167410.3772021918</v>
      </c>
      <c r="S50" s="3" t="n">
        <v>187739.5061884931</v>
      </c>
      <c r="T50" s="5">
        <f>IF(J50&lt;&gt;"",M50*N50/365/100*('Cashflow Projection'!$B$2-Investors!J50),0)</f>
        <v/>
      </c>
    </row>
    <row r="51">
      <c r="A51" s="3" t="inlineStr">
        <is>
          <t>ZTSH01</t>
        </is>
      </c>
      <c r="B51" s="3" t="inlineStr">
        <is>
          <t>Thandeka Patience</t>
        </is>
      </c>
      <c r="C51" s="3" t="inlineStr">
        <is>
          <t>Tshabalala</t>
        </is>
      </c>
      <c r="D51" s="3" t="inlineStr">
        <is>
          <t>Heron Fields</t>
        </is>
      </c>
      <c r="E51" s="3" t="inlineStr">
        <is>
          <t>HFA301</t>
        </is>
      </c>
      <c r="F51" s="3" t="b">
        <v>1</v>
      </c>
      <c r="G51" s="3" t="b">
        <v>1</v>
      </c>
      <c r="H51" s="3" t="inlineStr">
        <is>
          <t>A</t>
        </is>
      </c>
      <c r="I51" s="4" t="n">
        <v>44257</v>
      </c>
      <c r="J51" s="4" t="n">
        <v>44378</v>
      </c>
      <c r="K51" s="4" t="n">
        <v>44901</v>
      </c>
      <c r="L51" s="3" t="n">
        <v>1</v>
      </c>
      <c r="M51" s="3" t="n">
        <v>100000</v>
      </c>
      <c r="N51" s="3" t="n">
        <v>15</v>
      </c>
      <c r="O51" s="3" t="b">
        <v>0</v>
      </c>
      <c r="P51" s="3" t="b">
        <v>0</v>
      </c>
      <c r="Q51" s="3" t="n">
        <v>2071.917808219181</v>
      </c>
      <c r="R51" s="3" t="n">
        <v>21493.1506849315</v>
      </c>
      <c r="S51" s="3" t="n">
        <v>23565.06849315068</v>
      </c>
      <c r="T51" s="5">
        <f>IF(J51&lt;&gt;"",M51*N51/365/100*('Cashflow Projection'!$B$2-Investors!J51),0)</f>
        <v/>
      </c>
    </row>
    <row r="52">
      <c r="A52" s="3" t="inlineStr">
        <is>
          <t>ZASD01</t>
        </is>
      </c>
      <c r="B52" s="3" t="inlineStr">
        <is>
          <t>Stuart Charles</t>
        </is>
      </c>
      <c r="C52" s="3" t="inlineStr">
        <is>
          <t>Bendall</t>
        </is>
      </c>
      <c r="D52" s="3" t="inlineStr">
        <is>
          <t>Heron Fields</t>
        </is>
      </c>
      <c r="E52" s="3" t="inlineStr">
        <is>
          <t>HFA302</t>
        </is>
      </c>
      <c r="F52" s="3" t="b">
        <v>1</v>
      </c>
      <c r="G52" s="3" t="b">
        <v>1</v>
      </c>
      <c r="H52" s="3" t="inlineStr">
        <is>
          <t>A</t>
        </is>
      </c>
      <c r="I52" s="4" t="n">
        <v>44238</v>
      </c>
      <c r="J52" s="4" t="n">
        <v>44352</v>
      </c>
      <c r="K52" s="4" t="n">
        <v>44887</v>
      </c>
      <c r="L52" s="3" t="n">
        <v>1</v>
      </c>
      <c r="M52" s="3" t="n">
        <v>300000</v>
      </c>
      <c r="N52" s="3" t="n">
        <v>15</v>
      </c>
      <c r="O52" s="3" t="b">
        <v>0</v>
      </c>
      <c r="P52" s="3" t="b">
        <v>0</v>
      </c>
      <c r="Q52" s="3" t="n">
        <v>5856.164383561651</v>
      </c>
      <c r="R52" s="3" t="n">
        <v>65958.90410958904</v>
      </c>
      <c r="S52" s="3" t="n">
        <v>71815.0684931507</v>
      </c>
      <c r="T52" s="5">
        <f>IF(J52&lt;&gt;"",M52*N52/365/100*('Cashflow Projection'!$B$2-Investors!J52),0)</f>
        <v/>
      </c>
    </row>
    <row r="53">
      <c r="A53" s="3" t="inlineStr">
        <is>
          <t>ZMCK01</t>
        </is>
      </c>
      <c r="B53" s="3" t="inlineStr">
        <is>
          <t>Caitlin</t>
        </is>
      </c>
      <c r="C53" s="3" t="inlineStr">
        <is>
          <t>MacKenzie-Jones</t>
        </is>
      </c>
      <c r="D53" s="3" t="inlineStr">
        <is>
          <t>Heron Fields</t>
        </is>
      </c>
      <c r="E53" s="3" t="inlineStr">
        <is>
          <t>HFA302</t>
        </is>
      </c>
      <c r="F53" s="3" t="b">
        <v>1</v>
      </c>
      <c r="G53" s="3" t="b">
        <v>1</v>
      </c>
      <c r="H53" s="3" t="inlineStr">
        <is>
          <t>A</t>
        </is>
      </c>
      <c r="I53" s="4" t="n">
        <v>44180</v>
      </c>
      <c r="J53" s="4" t="n">
        <v>44352</v>
      </c>
      <c r="K53" s="4" t="n">
        <v>44887</v>
      </c>
      <c r="L53" s="3" t="n">
        <v>2</v>
      </c>
      <c r="M53" s="3" t="n">
        <v>592342.47</v>
      </c>
      <c r="N53" s="3" t="n">
        <v>18</v>
      </c>
      <c r="O53" s="3" t="b">
        <v>0</v>
      </c>
      <c r="P53" s="3" t="b">
        <v>0</v>
      </c>
      <c r="Q53" s="3" t="n">
        <v>17445.70288356164</v>
      </c>
      <c r="R53" s="3" t="n">
        <v>156281.0407150685</v>
      </c>
      <c r="S53" s="3" t="n">
        <v>173726.7435986301</v>
      </c>
      <c r="T53" s="5">
        <f>IF(J53&lt;&gt;"",M53*N53/365/100*('Cashflow Projection'!$B$2-Investors!J53),0)</f>
        <v/>
      </c>
    </row>
    <row r="54">
      <c r="A54" s="3" t="inlineStr">
        <is>
          <t>ZGMA01</t>
        </is>
      </c>
      <c r="B54" s="3" t="inlineStr">
        <is>
          <t>Gerald Adriaan Odendal</t>
        </is>
      </c>
      <c r="C54" s="3" t="inlineStr">
        <is>
          <t>Matthee</t>
        </is>
      </c>
      <c r="D54" s="3" t="inlineStr">
        <is>
          <t>Heron Fields</t>
        </is>
      </c>
      <c r="E54" s="3" t="inlineStr">
        <is>
          <t>HFA303</t>
        </is>
      </c>
      <c r="F54" s="3" t="b">
        <v>1</v>
      </c>
      <c r="G54" s="3" t="b">
        <v>1</v>
      </c>
      <c r="H54" s="3" t="inlineStr">
        <is>
          <t>A</t>
        </is>
      </c>
      <c r="I54" s="4" t="n">
        <v>44221</v>
      </c>
      <c r="J54" s="4" t="n">
        <v>44352</v>
      </c>
      <c r="K54" s="4" t="n">
        <v>44896</v>
      </c>
      <c r="L54" s="3" t="n">
        <v>1</v>
      </c>
      <c r="M54" s="3" t="n">
        <v>100000</v>
      </c>
      <c r="N54" s="3" t="n">
        <v>15</v>
      </c>
      <c r="O54" s="3" t="b">
        <v>0</v>
      </c>
      <c r="P54" s="3" t="b">
        <v>0</v>
      </c>
      <c r="Q54" s="3" t="n">
        <v>2243.15068493151</v>
      </c>
      <c r="R54" s="3" t="n">
        <v>22356.16438356164</v>
      </c>
      <c r="S54" s="3" t="n">
        <v>24599.31506849315</v>
      </c>
      <c r="T54" s="5">
        <f>IF(J54&lt;&gt;"",M54*N54/365/100*('Cashflow Projection'!$B$2-Investors!J54),0)</f>
        <v/>
      </c>
    </row>
    <row r="55">
      <c r="A55" s="3" t="inlineStr">
        <is>
          <t>ZLMA01</t>
        </is>
      </c>
      <c r="B55" s="3" t="inlineStr">
        <is>
          <t>Luvo</t>
        </is>
      </c>
      <c r="C55" s="3" t="inlineStr">
        <is>
          <t>Magwaza</t>
        </is>
      </c>
      <c r="D55" s="3" t="inlineStr">
        <is>
          <t>Heron Fields</t>
        </is>
      </c>
      <c r="E55" s="3" t="inlineStr">
        <is>
          <t>HFA303</t>
        </is>
      </c>
      <c r="F55" s="3" t="b">
        <v>1</v>
      </c>
      <c r="G55" s="3" t="b">
        <v>1</v>
      </c>
      <c r="H55" s="3" t="inlineStr">
        <is>
          <t>A</t>
        </is>
      </c>
      <c r="I55" s="4" t="n">
        <v>44230</v>
      </c>
      <c r="J55" s="4" t="n">
        <v>44352</v>
      </c>
      <c r="K55" s="4" t="n">
        <v>44896</v>
      </c>
      <c r="L55" s="3" t="n">
        <v>1</v>
      </c>
      <c r="M55" s="3" t="n">
        <v>200000</v>
      </c>
      <c r="N55" s="3" t="n">
        <v>15</v>
      </c>
      <c r="O55" s="3" t="b">
        <v>0</v>
      </c>
      <c r="P55" s="3" t="b">
        <v>0</v>
      </c>
      <c r="Q55" s="3" t="n">
        <v>4178.082191780827</v>
      </c>
      <c r="R55" s="3" t="n">
        <v>44712.32876712328</v>
      </c>
      <c r="S55" s="3" t="n">
        <v>48890.41095890411</v>
      </c>
      <c r="T55" s="5">
        <f>IF(J55&lt;&gt;"",M55*N55/365/100*('Cashflow Projection'!$B$2-Investors!J55),0)</f>
        <v/>
      </c>
    </row>
    <row r="56">
      <c r="A56" s="3" t="inlineStr">
        <is>
          <t>ZSMI01</t>
        </is>
      </c>
      <c r="B56" s="3" t="inlineStr">
        <is>
          <t>Eugene Patrick</t>
        </is>
      </c>
      <c r="C56" s="3" t="inlineStr">
        <is>
          <t>Smit</t>
        </is>
      </c>
      <c r="D56" s="3" t="inlineStr">
        <is>
          <t>Heron Fields</t>
        </is>
      </c>
      <c r="E56" s="3" t="inlineStr">
        <is>
          <t>HFA303</t>
        </is>
      </c>
      <c r="F56" s="3" t="b">
        <v>1</v>
      </c>
      <c r="G56" s="3" t="b">
        <v>1</v>
      </c>
      <c r="H56" s="3" t="inlineStr">
        <is>
          <t>A</t>
        </is>
      </c>
      <c r="I56" s="4" t="n">
        <v>44218</v>
      </c>
      <c r="J56" s="4" t="n">
        <v>44352</v>
      </c>
      <c r="K56" s="4" t="n">
        <v>44896</v>
      </c>
      <c r="L56" s="3" t="n">
        <v>1</v>
      </c>
      <c r="M56" s="3" t="n">
        <v>100000</v>
      </c>
      <c r="N56" s="3" t="n">
        <v>15</v>
      </c>
      <c r="O56" s="3" t="b">
        <v>0</v>
      </c>
      <c r="P56" s="3" t="b">
        <v>0</v>
      </c>
      <c r="Q56" s="3" t="n">
        <v>2294.520547945208</v>
      </c>
      <c r="R56" s="3" t="n">
        <v>22356.16438356164</v>
      </c>
      <c r="S56" s="3" t="n">
        <v>24650.68493150685</v>
      </c>
      <c r="T56" s="5">
        <f>IF(J56&lt;&gt;"",M56*N56/365/100*('Cashflow Projection'!$B$2-Investors!J56),0)</f>
        <v/>
      </c>
    </row>
    <row r="57">
      <c r="A57" s="3" t="inlineStr">
        <is>
          <t>ZVDW01</t>
        </is>
      </c>
      <c r="B57" s="3" t="inlineStr">
        <is>
          <t>Philip</t>
        </is>
      </c>
      <c r="C57" s="3" t="inlineStr">
        <is>
          <t xml:space="preserve">van der Walt </t>
        </is>
      </c>
      <c r="D57" s="3" t="inlineStr">
        <is>
          <t>Heron Fields</t>
        </is>
      </c>
      <c r="E57" s="3" t="inlineStr">
        <is>
          <t>HFA303</t>
        </is>
      </c>
      <c r="F57" s="3" t="b">
        <v>1</v>
      </c>
      <c r="G57" s="3" t="b">
        <v>1</v>
      </c>
      <c r="H57" s="3" t="inlineStr">
        <is>
          <t>A</t>
        </is>
      </c>
      <c r="I57" s="4" t="n">
        <v>44228</v>
      </c>
      <c r="J57" s="4" t="n">
        <v>44352</v>
      </c>
      <c r="K57" s="4" t="n">
        <v>44896</v>
      </c>
      <c r="L57" s="3" t="n">
        <v>1</v>
      </c>
      <c r="M57" s="3" t="n">
        <v>500500</v>
      </c>
      <c r="N57" s="3" t="n">
        <v>18</v>
      </c>
      <c r="O57" s="3" t="b">
        <v>0</v>
      </c>
      <c r="P57" s="3" t="b">
        <v>0</v>
      </c>
      <c r="Q57" s="3" t="n">
        <v>10627.05479452055</v>
      </c>
      <c r="R57" s="3" t="n">
        <v>134271.1232876712</v>
      </c>
      <c r="S57" s="3" t="n">
        <v>144898.1780821918</v>
      </c>
      <c r="T57" s="5">
        <f>IF(J57&lt;&gt;"",M57*N57/365/100*('Cashflow Projection'!$B$2-Investors!J57),0)</f>
        <v/>
      </c>
    </row>
    <row r="58">
      <c r="A58" s="3" t="inlineStr">
        <is>
          <t>ZJHO01</t>
        </is>
      </c>
      <c r="B58" s="3" t="inlineStr">
        <is>
          <t>Jean</t>
        </is>
      </c>
      <c r="C58" s="3" t="inlineStr">
        <is>
          <t>Hoets</t>
        </is>
      </c>
      <c r="D58" s="3" t="inlineStr">
        <is>
          <t>Heron Fields</t>
        </is>
      </c>
      <c r="E58" s="3" t="inlineStr">
        <is>
          <t>HFA304</t>
        </is>
      </c>
      <c r="F58" s="3" t="b">
        <v>1</v>
      </c>
      <c r="G58" s="3" t="b">
        <v>1</v>
      </c>
      <c r="H58" s="3" t="inlineStr">
        <is>
          <t>A</t>
        </is>
      </c>
      <c r="I58" s="4" t="n">
        <v>44245</v>
      </c>
      <c r="J58" s="4" t="n">
        <v>44855</v>
      </c>
      <c r="K58" s="4" t="n">
        <v>44915</v>
      </c>
      <c r="L58" s="3" t="n">
        <v>2</v>
      </c>
      <c r="M58" s="3" t="n">
        <v>350000</v>
      </c>
      <c r="N58" s="3" t="n">
        <v>15</v>
      </c>
      <c r="O58" s="3" t="b">
        <v>1</v>
      </c>
      <c r="P58" s="3" t="b">
        <v>0</v>
      </c>
      <c r="Q58" s="3" t="n">
        <v>39883.21917808198</v>
      </c>
      <c r="R58" s="3" t="n">
        <v>8630.13698630137</v>
      </c>
      <c r="S58" s="3" t="n">
        <v>48513.35616438335</v>
      </c>
      <c r="T58" s="5">
        <f>IF(J58&lt;&gt;"",M58*N58/365/100*('Cashflow Projection'!$B$2-Investors!J58),0)</f>
        <v/>
      </c>
    </row>
    <row r="59">
      <c r="A59" s="3" t="inlineStr">
        <is>
          <t>ZKRO01</t>
        </is>
      </c>
      <c r="B59" s="3" t="inlineStr">
        <is>
          <t>Frans</t>
        </is>
      </c>
      <c r="C59" s="3" t="inlineStr">
        <is>
          <t>van der Merwe</t>
        </is>
      </c>
      <c r="D59" s="3" t="inlineStr">
        <is>
          <t>Heron Fields</t>
        </is>
      </c>
      <c r="E59" s="3" t="inlineStr">
        <is>
          <t>HFA304</t>
        </is>
      </c>
      <c r="F59" s="3" t="b">
        <v>1</v>
      </c>
      <c r="G59" s="3" t="b">
        <v>1</v>
      </c>
      <c r="H59" s="3" t="inlineStr">
        <is>
          <t>A</t>
        </is>
      </c>
      <c r="I59" s="4" t="n">
        <v>44246</v>
      </c>
      <c r="J59" s="4" t="n">
        <v>44352</v>
      </c>
      <c r="K59" s="4" t="n">
        <v>44951</v>
      </c>
      <c r="L59" s="3" t="n">
        <v>1</v>
      </c>
      <c r="M59" s="3" t="n">
        <v>150000</v>
      </c>
      <c r="N59" s="3" t="n">
        <v>15</v>
      </c>
      <c r="O59" s="3" t="b">
        <v>1</v>
      </c>
      <c r="P59" s="3" t="b">
        <v>0</v>
      </c>
      <c r="Q59" s="3" t="n">
        <v>2722.60273972603</v>
      </c>
      <c r="R59" s="3" t="n">
        <v>36924.65753424658</v>
      </c>
      <c r="S59" s="3" t="n">
        <v>39647.26027397261</v>
      </c>
      <c r="T59" s="5">
        <f>IF(J59&lt;&gt;"",M59*N59/365/100*('Cashflow Projection'!$B$2-Investors!J59),0)</f>
        <v/>
      </c>
    </row>
    <row r="60">
      <c r="A60" s="3" t="inlineStr">
        <is>
          <t>ZPED01</t>
        </is>
      </c>
      <c r="B60" s="3" t="inlineStr">
        <is>
          <t>Wendy</t>
        </is>
      </c>
      <c r="C60" s="3" t="inlineStr">
        <is>
          <t>Pedersen</t>
        </is>
      </c>
      <c r="D60" s="3" t="inlineStr">
        <is>
          <t>Heron Fields</t>
        </is>
      </c>
      <c r="E60" s="3" t="inlineStr">
        <is>
          <t>HFA304</t>
        </is>
      </c>
      <c r="F60" s="3" t="b">
        <v>1</v>
      </c>
      <c r="G60" s="3" t="b">
        <v>1</v>
      </c>
      <c r="H60" s="3" t="inlineStr">
        <is>
          <t>A</t>
        </is>
      </c>
      <c r="I60" s="4" t="n">
        <v>44253</v>
      </c>
      <c r="J60" s="4" t="n">
        <v>44352</v>
      </c>
      <c r="K60" s="4" t="n">
        <v>44951</v>
      </c>
      <c r="L60" s="3" t="n">
        <v>1</v>
      </c>
      <c r="M60" s="3" t="n">
        <v>100000</v>
      </c>
      <c r="N60" s="3" t="n">
        <v>18</v>
      </c>
      <c r="O60" s="3" t="b">
        <v>1</v>
      </c>
      <c r="P60" s="3" t="b">
        <v>0</v>
      </c>
      <c r="Q60" s="3" t="n">
        <v>1695.205479452057</v>
      </c>
      <c r="R60" s="3" t="n">
        <v>29539.72602739726</v>
      </c>
      <c r="S60" s="3" t="n">
        <v>31234.93150684932</v>
      </c>
      <c r="T60" s="5">
        <f>IF(J60&lt;&gt;"",M60*N60/365/100*('Cashflow Projection'!$B$2-Investors!J60),0)</f>
        <v/>
      </c>
    </row>
    <row r="61">
      <c r="A61" s="3" t="inlineStr">
        <is>
          <t>ZSOU02</t>
        </is>
      </c>
      <c r="B61" s="3" t="inlineStr">
        <is>
          <t>Frances Leathem</t>
        </is>
      </c>
      <c r="C61" s="3" t="inlineStr">
        <is>
          <t>Sourgen</t>
        </is>
      </c>
      <c r="D61" s="3" t="inlineStr">
        <is>
          <t>Heron Fields</t>
        </is>
      </c>
      <c r="E61" s="3" t="inlineStr">
        <is>
          <t>HFA304</t>
        </is>
      </c>
      <c r="F61" s="3" t="b">
        <v>1</v>
      </c>
      <c r="G61" s="3" t="b">
        <v>1</v>
      </c>
      <c r="H61" s="3" t="inlineStr">
        <is>
          <t>A</t>
        </is>
      </c>
      <c r="I61" s="4" t="n">
        <v>44442</v>
      </c>
      <c r="J61" s="4" t="n">
        <v>44508</v>
      </c>
      <c r="K61" s="4" t="n">
        <v>45020</v>
      </c>
      <c r="L61" s="3" t="n">
        <v>1</v>
      </c>
      <c r="M61" s="3" t="n">
        <v>100000</v>
      </c>
      <c r="N61" s="3" t="n">
        <v>14</v>
      </c>
      <c r="O61" s="3" t="b">
        <v>1</v>
      </c>
      <c r="P61" s="3" t="b">
        <v>0</v>
      </c>
      <c r="Q61" s="3" t="n">
        <v>1130.136986301371</v>
      </c>
      <c r="R61" s="3" t="n">
        <v>19638.35616438356</v>
      </c>
      <c r="S61" s="3" t="n">
        <v>20768.49315068493</v>
      </c>
      <c r="T61" s="5">
        <f>IF(J61&lt;&gt;"",M61*N61/365/100*('Cashflow Projection'!$B$2-Investors!J61),0)</f>
        <v/>
      </c>
    </row>
    <row r="62">
      <c r="A62" s="3" t="inlineStr">
        <is>
          <t>ZVER02</t>
        </is>
      </c>
      <c r="B62" s="3" t="inlineStr">
        <is>
          <t>Jean-Jacques EP</t>
        </is>
      </c>
      <c r="C62" s="3" t="inlineStr">
        <is>
          <t>Verhaeghe</t>
        </is>
      </c>
      <c r="D62" s="3" t="inlineStr">
        <is>
          <t>Heron Fields</t>
        </is>
      </c>
      <c r="E62" s="3" t="inlineStr">
        <is>
          <t>HFA304</t>
        </is>
      </c>
      <c r="F62" s="3" t="b">
        <v>1</v>
      </c>
      <c r="G62" s="3" t="b">
        <v>1</v>
      </c>
      <c r="H62" s="3" t="inlineStr">
        <is>
          <t>A</t>
        </is>
      </c>
      <c r="I62" s="4" t="n">
        <v>44454</v>
      </c>
      <c r="J62" s="4" t="n">
        <v>44508</v>
      </c>
      <c r="K62" s="4" t="n">
        <v>44951</v>
      </c>
      <c r="L62" s="3" t="n">
        <v>2</v>
      </c>
      <c r="M62" s="3" t="n">
        <v>100000</v>
      </c>
      <c r="N62" s="3" t="n">
        <v>14</v>
      </c>
      <c r="O62" s="3" t="b">
        <v>1</v>
      </c>
      <c r="P62" s="3" t="b">
        <v>0</v>
      </c>
      <c r="Q62" s="3" t="n">
        <v>924.6575342465762</v>
      </c>
      <c r="R62" s="3" t="n">
        <v>16991.78082191781</v>
      </c>
      <c r="S62" s="3" t="n">
        <v>17916.43835616438</v>
      </c>
      <c r="T62" s="5">
        <f>IF(J62&lt;&gt;"",M62*N62/365/100*('Cashflow Projection'!$B$2-Investors!J62),0)</f>
        <v/>
      </c>
    </row>
    <row r="63">
      <c r="A63" s="3" t="inlineStr">
        <is>
          <t>ZKRO03</t>
        </is>
      </c>
      <c r="B63" s="3" t="inlineStr">
        <is>
          <t>Jacqueline</t>
        </is>
      </c>
      <c r="C63" s="3" t="inlineStr">
        <is>
          <t>Krohn</t>
        </is>
      </c>
      <c r="D63" s="3" t="inlineStr">
        <is>
          <t>Heron Fields</t>
        </is>
      </c>
      <c r="E63" s="3" t="inlineStr">
        <is>
          <t>HFA305</t>
        </is>
      </c>
      <c r="F63" s="3" t="b">
        <v>1</v>
      </c>
      <c r="G63" s="3" t="b">
        <v>1</v>
      </c>
      <c r="H63" s="3" t="inlineStr">
        <is>
          <t>A</t>
        </is>
      </c>
      <c r="I63" s="4" t="n">
        <v>44321</v>
      </c>
      <c r="J63" s="4" t="n">
        <v>44352</v>
      </c>
      <c r="K63" s="4" t="n">
        <v>44895</v>
      </c>
      <c r="L63" s="3" t="n">
        <v>1</v>
      </c>
      <c r="M63" s="3" t="n">
        <v>500100</v>
      </c>
      <c r="N63" s="3" t="n">
        <v>18</v>
      </c>
      <c r="O63" s="3" t="b">
        <v>1</v>
      </c>
      <c r="P63" s="3" t="b">
        <v>0</v>
      </c>
      <c r="Q63" s="3" t="n">
        <v>2654.640410958904</v>
      </c>
      <c r="R63" s="3" t="n">
        <v>133917.1890410959</v>
      </c>
      <c r="S63" s="3" t="n">
        <v>136571.8294520548</v>
      </c>
      <c r="T63" s="5">
        <f>IF(J63&lt;&gt;"",M63*N63/365/100*('Cashflow Projection'!$B$2-Investors!J63),0)</f>
        <v/>
      </c>
    </row>
    <row r="64">
      <c r="A64" s="3" t="inlineStr">
        <is>
          <t>ZMUS01</t>
        </is>
      </c>
      <c r="B64" s="3" t="inlineStr">
        <is>
          <t>Claire Louise</t>
        </is>
      </c>
      <c r="C64" s="3" t="inlineStr">
        <is>
          <t>Musson</t>
        </is>
      </c>
      <c r="D64" s="3" t="inlineStr">
        <is>
          <t>Heron Fields</t>
        </is>
      </c>
      <c r="E64" s="3" t="inlineStr">
        <is>
          <t>HFA305</t>
        </is>
      </c>
      <c r="F64" s="3" t="b">
        <v>1</v>
      </c>
      <c r="G64" s="3" t="b">
        <v>1</v>
      </c>
      <c r="H64" s="3" t="inlineStr">
        <is>
          <t>A</t>
        </is>
      </c>
      <c r="I64" s="4" t="n">
        <v>44488</v>
      </c>
      <c r="J64" s="4" t="n">
        <v>44618</v>
      </c>
      <c r="K64" s="4" t="n">
        <v>44942</v>
      </c>
      <c r="L64" s="3" t="n">
        <v>1</v>
      </c>
      <c r="M64" s="3" t="n">
        <v>100000</v>
      </c>
      <c r="N64" s="3" t="n">
        <v>14</v>
      </c>
      <c r="O64" s="3" t="b">
        <v>0</v>
      </c>
      <c r="P64" s="3" t="b">
        <v>0</v>
      </c>
      <c r="Q64" s="3" t="n">
        <v>2304.109589041101</v>
      </c>
      <c r="R64" s="3" t="n">
        <v>12427.39726027397</v>
      </c>
      <c r="S64" s="3" t="n">
        <v>14731.50684931507</v>
      </c>
      <c r="T64" s="5">
        <f>IF(J64&lt;&gt;"",M64*N64/365/100*('Cashflow Projection'!$B$2-Investors!J64),0)</f>
        <v/>
      </c>
    </row>
    <row r="65">
      <c r="A65" s="3" t="inlineStr">
        <is>
          <t>ZPRE01</t>
        </is>
      </c>
      <c r="B65" s="3" t="inlineStr">
        <is>
          <t>Magdalena</t>
        </is>
      </c>
      <c r="C65" s="3" t="inlineStr">
        <is>
          <t>Pretorius</t>
        </is>
      </c>
      <c r="D65" s="3" t="inlineStr">
        <is>
          <t>Heron Fields</t>
        </is>
      </c>
      <c r="E65" s="3" t="inlineStr">
        <is>
          <t>HFA305</t>
        </is>
      </c>
      <c r="F65" s="3" t="b">
        <v>1</v>
      </c>
      <c r="G65" s="3" t="b">
        <v>1</v>
      </c>
      <c r="H65" s="3" t="inlineStr">
        <is>
          <t>A</t>
        </is>
      </c>
      <c r="I65" s="4" t="n">
        <v>44477</v>
      </c>
      <c r="J65" s="4" t="n">
        <v>44590</v>
      </c>
      <c r="K65" s="4" t="n">
        <v>44942</v>
      </c>
      <c r="L65" s="3" t="n">
        <v>1</v>
      </c>
      <c r="M65" s="3" t="n">
        <v>100000</v>
      </c>
      <c r="N65" s="3" t="n">
        <v>14</v>
      </c>
      <c r="O65" s="3" t="b">
        <v>0</v>
      </c>
      <c r="P65" s="3" t="b">
        <v>0</v>
      </c>
      <c r="Q65" s="3" t="n">
        <v>1976.027397260278</v>
      </c>
      <c r="R65" s="3" t="n">
        <v>13501.3698630137</v>
      </c>
      <c r="S65" s="3" t="n">
        <v>15477.39726027397</v>
      </c>
      <c r="T65" s="5">
        <f>IF(J65&lt;&gt;"",M65*N65/365/100*('Cashflow Projection'!$B$2-Investors!J65),0)</f>
        <v/>
      </c>
    </row>
    <row r="66">
      <c r="A66" s="3" t="inlineStr">
        <is>
          <t>ZDEB01</t>
        </is>
      </c>
      <c r="B66" s="3" t="inlineStr">
        <is>
          <t>William Henry</t>
        </is>
      </c>
      <c r="C66" s="3" t="inlineStr">
        <is>
          <t>De Beer</t>
        </is>
      </c>
      <c r="D66" s="3" t="inlineStr">
        <is>
          <t>Heron Fields</t>
        </is>
      </c>
      <c r="E66" s="3" t="inlineStr">
        <is>
          <t>HFA306</t>
        </is>
      </c>
      <c r="F66" s="3" t="b">
        <v>1</v>
      </c>
      <c r="G66" s="3" t="b">
        <v>1</v>
      </c>
      <c r="H66" s="3" t="inlineStr">
        <is>
          <t>A</t>
        </is>
      </c>
      <c r="I66" s="4" t="n">
        <v>44270</v>
      </c>
      <c r="J66" s="4" t="n">
        <v>44352</v>
      </c>
      <c r="K66" s="4" t="n">
        <v>44901</v>
      </c>
      <c r="L66" s="3" t="n">
        <v>1</v>
      </c>
      <c r="M66" s="3" t="n">
        <v>500100</v>
      </c>
      <c r="N66" s="3" t="n">
        <v>18</v>
      </c>
      <c r="O66" s="3" t="b">
        <v>0</v>
      </c>
      <c r="P66" s="3" t="b">
        <v>0</v>
      </c>
      <c r="Q66" s="3" t="n">
        <v>7021.952054794515</v>
      </c>
      <c r="R66" s="3" t="n">
        <v>135396.9369863014</v>
      </c>
      <c r="S66" s="3" t="n">
        <v>142418.8890410959</v>
      </c>
      <c r="T66" s="5">
        <f>IF(J66&lt;&gt;"",M66*N66/365/100*('Cashflow Projection'!$B$2-Investors!J66),0)</f>
        <v/>
      </c>
    </row>
    <row r="67">
      <c r="A67" s="3" t="inlineStr">
        <is>
          <t>ZFOU01</t>
        </is>
      </c>
      <c r="B67" s="3" t="inlineStr">
        <is>
          <t>Hester Magrietha</t>
        </is>
      </c>
      <c r="C67" s="3" t="inlineStr">
        <is>
          <t>Fourie</t>
        </is>
      </c>
      <c r="D67" s="3" t="inlineStr">
        <is>
          <t>Heron Fields</t>
        </is>
      </c>
      <c r="E67" s="3" t="inlineStr">
        <is>
          <t>HFA306</t>
        </is>
      </c>
      <c r="F67" s="3" t="b">
        <v>1</v>
      </c>
      <c r="G67" s="3" t="b">
        <v>1</v>
      </c>
      <c r="H67" s="3" t="inlineStr">
        <is>
          <t>A</t>
        </is>
      </c>
      <c r="I67" s="4" t="n">
        <v>44285</v>
      </c>
      <c r="J67" s="4" t="n">
        <v>44352</v>
      </c>
      <c r="K67" s="4" t="n">
        <v>44901</v>
      </c>
      <c r="L67" s="3" t="n">
        <v>1</v>
      </c>
      <c r="M67" s="3" t="n">
        <v>100000</v>
      </c>
      <c r="N67" s="3" t="n">
        <v>15</v>
      </c>
      <c r="O67" s="3" t="b">
        <v>0</v>
      </c>
      <c r="P67" s="3" t="b">
        <v>0</v>
      </c>
      <c r="Q67" s="3" t="n">
        <v>1147.260273972604</v>
      </c>
      <c r="R67" s="3" t="n">
        <v>22561.64383561644</v>
      </c>
      <c r="S67" s="3" t="n">
        <v>23708.90410958904</v>
      </c>
      <c r="T67" s="5">
        <f>IF(J67&lt;&gt;"",M67*N67/365/100*('Cashflow Projection'!$B$2-Investors!J67),0)</f>
        <v/>
      </c>
    </row>
    <row r="68">
      <c r="A68" s="3" t="inlineStr">
        <is>
          <t>ZMAT03</t>
        </is>
      </c>
      <c r="B68" s="3" t="inlineStr">
        <is>
          <t>Delia</t>
        </is>
      </c>
      <c r="C68" s="3" t="inlineStr">
        <is>
          <t>Matthee</t>
        </is>
      </c>
      <c r="D68" s="3" t="inlineStr">
        <is>
          <t>Heron Fields</t>
        </is>
      </c>
      <c r="E68" s="3" t="inlineStr">
        <is>
          <t>HFA306</t>
        </is>
      </c>
      <c r="F68" s="3" t="b">
        <v>1</v>
      </c>
      <c r="G68" s="3" t="b">
        <v>1</v>
      </c>
      <c r="H68" s="3" t="inlineStr">
        <is>
          <t>A</t>
        </is>
      </c>
      <c r="I68" s="4" t="n">
        <v>44467</v>
      </c>
      <c r="J68" s="4" t="n">
        <v>44550</v>
      </c>
      <c r="K68" s="4" t="n">
        <v>44901</v>
      </c>
      <c r="L68" s="3" t="n">
        <v>2</v>
      </c>
      <c r="M68" s="3" t="n">
        <v>200000</v>
      </c>
      <c r="N68" s="3" t="n">
        <v>14</v>
      </c>
      <c r="O68" s="3" t="b">
        <v>0</v>
      </c>
      <c r="P68" s="3" t="b">
        <v>0</v>
      </c>
      <c r="Q68" s="3" t="n">
        <v>2869.863013698635</v>
      </c>
      <c r="R68" s="3" t="n">
        <v>26926.02739726027</v>
      </c>
      <c r="S68" s="3" t="n">
        <v>29795.89041095891</v>
      </c>
      <c r="T68" s="5">
        <f>IF(J68&lt;&gt;"",M68*N68/365/100*('Cashflow Projection'!$B$2-Investors!J68),0)</f>
        <v/>
      </c>
    </row>
    <row r="69">
      <c r="A69" s="3" t="inlineStr">
        <is>
          <t>ZVOL01</t>
        </is>
      </c>
      <c r="B69" s="3" t="inlineStr">
        <is>
          <t>Gideon Cornelius</t>
        </is>
      </c>
      <c r="C69" s="3" t="inlineStr">
        <is>
          <t>Volschenk</t>
        </is>
      </c>
      <c r="D69" s="3" t="inlineStr">
        <is>
          <t>Heron Fields</t>
        </is>
      </c>
      <c r="E69" s="3" t="inlineStr">
        <is>
          <t>HFA306</t>
        </is>
      </c>
      <c r="F69" s="3" t="b">
        <v>1</v>
      </c>
      <c r="G69" s="3" t="b">
        <v>1</v>
      </c>
      <c r="H69" s="3" t="inlineStr">
        <is>
          <t>A</t>
        </is>
      </c>
      <c r="I69" s="4" t="n">
        <v>44468</v>
      </c>
      <c r="J69" s="4" t="n">
        <v>44590</v>
      </c>
      <c r="K69" s="4" t="n">
        <v>44901</v>
      </c>
      <c r="L69" s="3" t="n">
        <v>2</v>
      </c>
      <c r="M69" s="3" t="n">
        <v>100000</v>
      </c>
      <c r="N69" s="3" t="n">
        <v>14</v>
      </c>
      <c r="O69" s="3" t="b">
        <v>0</v>
      </c>
      <c r="P69" s="3" t="b">
        <v>0</v>
      </c>
      <c r="Q69" s="3" t="n">
        <v>2130.136986301375</v>
      </c>
      <c r="R69" s="3" t="n">
        <v>11928.76712328767</v>
      </c>
      <c r="S69" s="3" t="n">
        <v>14058.90410958905</v>
      </c>
      <c r="T69" s="5">
        <f>IF(J69&lt;&gt;"",M69*N69/365/100*('Cashflow Projection'!$B$2-Investors!J69),0)</f>
        <v/>
      </c>
    </row>
    <row r="70">
      <c r="A70" s="3" t="inlineStr">
        <is>
          <t>ZINT01</t>
        </is>
      </c>
      <c r="B70" s="3" t="inlineStr">
        <is>
          <t>Marc</t>
        </is>
      </c>
      <c r="C70" s="3" t="inlineStr">
        <is>
          <t>Lunau</t>
        </is>
      </c>
      <c r="D70" s="3" t="inlineStr">
        <is>
          <t>Heron Fields</t>
        </is>
      </c>
      <c r="E70" s="3" t="inlineStr">
        <is>
          <t>HFB101</t>
        </is>
      </c>
      <c r="F70" s="3" t="b">
        <v>1</v>
      </c>
      <c r="G70" s="3" t="b">
        <v>1</v>
      </c>
      <c r="H70" s="3" t="inlineStr">
        <is>
          <t>B</t>
        </is>
      </c>
      <c r="I70" s="4" t="n">
        <v>44312</v>
      </c>
      <c r="J70" s="4" t="n">
        <v>44352</v>
      </c>
      <c r="K70" s="4" t="n">
        <v>44909</v>
      </c>
      <c r="L70" s="3" t="n">
        <v>8</v>
      </c>
      <c r="M70" s="3" t="n">
        <v>100000</v>
      </c>
      <c r="N70" s="3" t="n">
        <v>18</v>
      </c>
      <c r="O70" s="3" t="b">
        <v>0</v>
      </c>
      <c r="P70" s="3" t="b">
        <v>0</v>
      </c>
      <c r="Q70" s="3" t="n">
        <v>684.9315068493156</v>
      </c>
      <c r="R70" s="3" t="n">
        <v>27468.49315068493</v>
      </c>
      <c r="S70" s="3" t="n">
        <v>28153.42465753425</v>
      </c>
      <c r="T70" s="5">
        <f>IF(J70&lt;&gt;"",M70*N70/365/100*('Cashflow Projection'!$B$2-Investors!J70),0)</f>
        <v/>
      </c>
    </row>
    <row r="71">
      <c r="A71" s="3" t="inlineStr">
        <is>
          <t>ZKFT01</t>
        </is>
      </c>
      <c r="B71" s="3" t="inlineStr">
        <is>
          <t>Koovarjee Family Trust</t>
        </is>
      </c>
      <c r="C71" s="3" t="inlineStr">
        <is>
          <t>Koovarjee</t>
        </is>
      </c>
      <c r="D71" s="3" t="inlineStr">
        <is>
          <t>Heron Fields</t>
        </is>
      </c>
      <c r="E71" s="3" t="inlineStr">
        <is>
          <t>HFB101</t>
        </is>
      </c>
      <c r="F71" s="3" t="b">
        <v>1</v>
      </c>
      <c r="G71" s="3" t="b">
        <v>1</v>
      </c>
      <c r="H71" s="3" t="inlineStr">
        <is>
          <t>B</t>
        </is>
      </c>
      <c r="I71" s="4" t="n">
        <v>44166</v>
      </c>
      <c r="J71" s="4" t="n">
        <v>44352</v>
      </c>
      <c r="K71" s="4" t="n">
        <v>44909</v>
      </c>
      <c r="L71" s="3" t="n">
        <v>1</v>
      </c>
      <c r="M71" s="3" t="n">
        <v>500000</v>
      </c>
      <c r="N71" s="3" t="n">
        <v>18</v>
      </c>
      <c r="O71" s="3" t="b">
        <v>0</v>
      </c>
      <c r="P71" s="3" t="b">
        <v>0</v>
      </c>
      <c r="Q71" s="3" t="n">
        <v>15924.65753424659</v>
      </c>
      <c r="R71" s="3" t="n">
        <v>137342.4657534247</v>
      </c>
      <c r="S71" s="3" t="n">
        <v>153267.1232876712</v>
      </c>
      <c r="T71" s="5">
        <f>IF(J71&lt;&gt;"",M71*N71/365/100*('Cashflow Projection'!$B$2-Investors!J71),0)</f>
        <v/>
      </c>
    </row>
    <row r="72">
      <c r="A72" s="3" t="inlineStr">
        <is>
          <t>ZLUN01</t>
        </is>
      </c>
      <c r="B72" s="3" t="inlineStr">
        <is>
          <t>Marc</t>
        </is>
      </c>
      <c r="C72" s="3" t="inlineStr">
        <is>
          <t>Lunau</t>
        </is>
      </c>
      <c r="D72" s="3" t="inlineStr">
        <is>
          <t>Heron Fields</t>
        </is>
      </c>
      <c r="E72" s="3" t="inlineStr">
        <is>
          <t>HFB101</t>
        </is>
      </c>
      <c r="F72" s="3" t="b">
        <v>1</v>
      </c>
      <c r="G72" s="3" t="b">
        <v>1</v>
      </c>
      <c r="H72" s="3" t="inlineStr">
        <is>
          <t>B</t>
        </is>
      </c>
      <c r="I72" s="4" t="n">
        <v>44187</v>
      </c>
      <c r="J72" s="4" t="n">
        <v>44316</v>
      </c>
      <c r="K72" s="4" t="n">
        <v>44909</v>
      </c>
      <c r="L72" s="3" t="n">
        <v>3</v>
      </c>
      <c r="M72" s="3" t="n">
        <v>120000</v>
      </c>
      <c r="N72" s="3" t="n">
        <v>18</v>
      </c>
      <c r="O72" s="3" t="b">
        <v>0</v>
      </c>
      <c r="P72" s="3" t="b">
        <v>0</v>
      </c>
      <c r="Q72" s="3" t="n">
        <v>2650.684931506854</v>
      </c>
      <c r="R72" s="3" t="n">
        <v>35092.60273972603</v>
      </c>
      <c r="S72" s="3" t="n">
        <v>37743.28767123288</v>
      </c>
      <c r="T72" s="5">
        <f>IF(J72&lt;&gt;"",M72*N72/365/100*('Cashflow Projection'!$B$2-Investors!J72),0)</f>
        <v/>
      </c>
    </row>
    <row r="73">
      <c r="A73" s="3" t="inlineStr">
        <is>
          <t>ZMEH01</t>
        </is>
      </c>
      <c r="B73" s="3" t="inlineStr">
        <is>
          <t>Ralph Graham</t>
        </is>
      </c>
      <c r="C73" s="3" t="inlineStr">
        <is>
          <t>Mehl</t>
        </is>
      </c>
      <c r="D73" s="3" t="inlineStr">
        <is>
          <t>Heron Fields</t>
        </is>
      </c>
      <c r="E73" s="3" t="inlineStr">
        <is>
          <t>HFB101</t>
        </is>
      </c>
      <c r="F73" s="3" t="b">
        <v>1</v>
      </c>
      <c r="G73" s="3" t="b">
        <v>1</v>
      </c>
      <c r="H73" s="3" t="inlineStr">
        <is>
          <t>B</t>
        </is>
      </c>
      <c r="I73" s="4" t="n">
        <v>44468</v>
      </c>
      <c r="J73" s="4" t="n">
        <v>44532</v>
      </c>
      <c r="K73" s="4" t="n">
        <v>44909</v>
      </c>
      <c r="L73" s="3" t="n">
        <v>1</v>
      </c>
      <c r="M73" s="3" t="n">
        <v>100000</v>
      </c>
      <c r="N73" s="3" t="n">
        <v>14</v>
      </c>
      <c r="O73" s="3" t="b">
        <v>0</v>
      </c>
      <c r="P73" s="3" t="b">
        <v>0</v>
      </c>
      <c r="Q73" s="3" t="n">
        <v>1097.260273972604</v>
      </c>
      <c r="R73" s="3" t="n">
        <v>14460.27397260274</v>
      </c>
      <c r="S73" s="3" t="n">
        <v>15557.53424657534</v>
      </c>
      <c r="T73" s="5">
        <f>IF(J73&lt;&gt;"",M73*N73/365/100*('Cashflow Projection'!$B$2-Investors!J73),0)</f>
        <v/>
      </c>
    </row>
    <row r="74">
      <c r="A74" s="3" t="inlineStr">
        <is>
          <t>ZTHO01</t>
        </is>
      </c>
      <c r="B74" s="3" t="inlineStr">
        <is>
          <t>Tamzin</t>
        </is>
      </c>
      <c r="C74" s="3" t="inlineStr">
        <is>
          <t>Hoets</t>
        </is>
      </c>
      <c r="D74" s="3" t="inlineStr">
        <is>
          <t>Heron Fields</t>
        </is>
      </c>
      <c r="E74" s="3" t="inlineStr">
        <is>
          <t>HFB101</t>
        </is>
      </c>
      <c r="F74" s="3" t="b">
        <v>1</v>
      </c>
      <c r="G74" s="3" t="b">
        <v>1</v>
      </c>
      <c r="H74" s="3" t="inlineStr">
        <is>
          <t>B</t>
        </is>
      </c>
      <c r="I74" s="4" t="n">
        <v>44244</v>
      </c>
      <c r="J74" s="4" t="n">
        <v>44352</v>
      </c>
      <c r="K74" s="4" t="n">
        <v>44909</v>
      </c>
      <c r="L74" s="3" t="n">
        <v>1</v>
      </c>
      <c r="M74" s="3" t="n">
        <v>100000</v>
      </c>
      <c r="N74" s="3" t="n">
        <v>15</v>
      </c>
      <c r="O74" s="3" t="b">
        <v>0</v>
      </c>
      <c r="P74" s="3" t="b">
        <v>0</v>
      </c>
      <c r="Q74" s="3" t="n">
        <v>1849.315068493153</v>
      </c>
      <c r="R74" s="3" t="n">
        <v>22890.41095890411</v>
      </c>
      <c r="S74" s="3" t="n">
        <v>24739.72602739726</v>
      </c>
      <c r="T74" s="5">
        <f>IF(J74&lt;&gt;"",M74*N74/365/100*('Cashflow Projection'!$B$2-Investors!J74),0)</f>
        <v/>
      </c>
    </row>
    <row r="75">
      <c r="A75" s="3" t="inlineStr">
        <is>
          <t>ZCRO01</t>
        </is>
      </c>
      <c r="B75" s="3" t="inlineStr">
        <is>
          <t>Marc</t>
        </is>
      </c>
      <c r="C75" s="3" t="inlineStr">
        <is>
          <t>Lunau</t>
        </is>
      </c>
      <c r="D75" s="3" t="inlineStr">
        <is>
          <t>Heron Fields</t>
        </is>
      </c>
      <c r="E75" s="3" t="inlineStr">
        <is>
          <t>HFB102</t>
        </is>
      </c>
      <c r="F75" s="3" t="b">
        <v>1</v>
      </c>
      <c r="G75" s="3" t="b">
        <v>1</v>
      </c>
      <c r="H75" s="3" t="inlineStr">
        <is>
          <t>B</t>
        </is>
      </c>
      <c r="I75" s="4" t="n">
        <v>44266</v>
      </c>
      <c r="J75" s="4" t="n">
        <v>44352</v>
      </c>
      <c r="K75" s="4" t="n">
        <v>44896</v>
      </c>
      <c r="L75" s="3" t="n">
        <v>2</v>
      </c>
      <c r="M75" s="3" t="n">
        <v>110000</v>
      </c>
      <c r="N75" s="3" t="n">
        <v>18</v>
      </c>
      <c r="O75" s="3" t="b">
        <v>0</v>
      </c>
      <c r="P75" s="3" t="b">
        <v>0</v>
      </c>
      <c r="Q75" s="3" t="n">
        <v>1619.863013698627</v>
      </c>
      <c r="R75" s="3" t="n">
        <v>29510.13698630137</v>
      </c>
      <c r="S75" s="3" t="n">
        <v>31130</v>
      </c>
      <c r="T75" s="5">
        <f>IF(J75&lt;&gt;"",M75*N75/365/100*('Cashflow Projection'!$B$2-Investors!J75),0)</f>
        <v/>
      </c>
    </row>
    <row r="76">
      <c r="A76" s="3" t="inlineStr">
        <is>
          <t>ZGOV01</t>
        </is>
      </c>
      <c r="B76" s="3" t="inlineStr">
        <is>
          <t>Preshnee</t>
        </is>
      </c>
      <c r="C76" s="3" t="inlineStr">
        <is>
          <t>Govender</t>
        </is>
      </c>
      <c r="D76" s="3" t="inlineStr">
        <is>
          <t>Heron Fields</t>
        </is>
      </c>
      <c r="E76" s="3" t="inlineStr">
        <is>
          <t>HFB102</t>
        </is>
      </c>
      <c r="F76" s="3" t="b">
        <v>1</v>
      </c>
      <c r="G76" s="3" t="b">
        <v>1</v>
      </c>
      <c r="H76" s="3" t="inlineStr">
        <is>
          <t>B</t>
        </is>
      </c>
      <c r="I76" s="4" t="n">
        <v>44319</v>
      </c>
      <c r="J76" s="4" t="n">
        <v>44352</v>
      </c>
      <c r="K76" s="4" t="n">
        <v>44896</v>
      </c>
      <c r="L76" s="3" t="n">
        <v>1</v>
      </c>
      <c r="M76" s="3" t="n">
        <v>100000</v>
      </c>
      <c r="N76" s="3" t="n">
        <v>15</v>
      </c>
      <c r="O76" s="3" t="b">
        <v>0</v>
      </c>
      <c r="P76" s="3" t="b">
        <v>0</v>
      </c>
      <c r="Q76" s="3" t="n">
        <v>565.0684931506853</v>
      </c>
      <c r="R76" s="3" t="n">
        <v>22356.16438356164</v>
      </c>
      <c r="S76" s="3" t="n">
        <v>22921.23287671233</v>
      </c>
      <c r="T76" s="5">
        <f>IF(J76&lt;&gt;"",M76*N76/365/100*('Cashflow Projection'!$B$2-Investors!J76),0)</f>
        <v/>
      </c>
    </row>
    <row r="77">
      <c r="A77" s="3" t="inlineStr">
        <is>
          <t>ZINT01</t>
        </is>
      </c>
      <c r="B77" s="3" t="inlineStr">
        <is>
          <t>Marc</t>
        </is>
      </c>
      <c r="C77" s="3" t="inlineStr">
        <is>
          <t>Lunau</t>
        </is>
      </c>
      <c r="D77" s="3" t="inlineStr">
        <is>
          <t>Heron Fields</t>
        </is>
      </c>
      <c r="E77" s="3" t="inlineStr">
        <is>
          <t>HFB102</t>
        </is>
      </c>
      <c r="F77" s="3" t="b">
        <v>1</v>
      </c>
      <c r="G77" s="3" t="b">
        <v>1</v>
      </c>
      <c r="H77" s="3" t="inlineStr">
        <is>
          <t>B</t>
        </is>
      </c>
      <c r="I77" s="4" t="n">
        <v>44266</v>
      </c>
      <c r="J77" s="4" t="n">
        <v>44352</v>
      </c>
      <c r="K77" s="4" t="n">
        <v>44896</v>
      </c>
      <c r="L77" s="3" t="n">
        <v>7</v>
      </c>
      <c r="M77" s="3" t="n">
        <v>100000</v>
      </c>
      <c r="N77" s="3" t="n">
        <v>18</v>
      </c>
      <c r="O77" s="3" t="b">
        <v>0</v>
      </c>
      <c r="P77" s="3" t="b">
        <v>0</v>
      </c>
      <c r="Q77" s="3" t="n">
        <v>1472.602739726029</v>
      </c>
      <c r="R77" s="3" t="n">
        <v>26827.39726027397</v>
      </c>
      <c r="S77" s="3" t="n">
        <v>28300</v>
      </c>
      <c r="T77" s="5">
        <f>IF(J77&lt;&gt;"",M77*N77/365/100*('Cashflow Projection'!$B$2-Investors!J77),0)</f>
        <v/>
      </c>
    </row>
    <row r="78">
      <c r="A78" s="3" t="inlineStr">
        <is>
          <t>ZJOH01</t>
        </is>
      </c>
      <c r="B78" s="3" t="inlineStr">
        <is>
          <t>Lisa-Marie Natalie</t>
        </is>
      </c>
      <c r="C78" s="3" t="inlineStr">
        <is>
          <t>Johns</t>
        </is>
      </c>
      <c r="D78" s="3" t="inlineStr">
        <is>
          <t>Heron Fields</t>
        </is>
      </c>
      <c r="E78" s="3" t="inlineStr">
        <is>
          <t>HFB102</t>
        </is>
      </c>
      <c r="F78" s="3" t="b">
        <v>1</v>
      </c>
      <c r="G78" s="3" t="b">
        <v>1</v>
      </c>
      <c r="H78" s="3" t="inlineStr">
        <is>
          <t>B</t>
        </is>
      </c>
      <c r="I78" s="4" t="n">
        <v>44113</v>
      </c>
      <c r="J78" s="4" t="n">
        <v>44316</v>
      </c>
      <c r="K78" s="4" t="n">
        <v>44896</v>
      </c>
      <c r="L78" s="3" t="n">
        <v>2</v>
      </c>
      <c r="M78" s="3" t="n">
        <v>110000</v>
      </c>
      <c r="N78" s="3" t="n">
        <v>18</v>
      </c>
      <c r="O78" s="3" t="b">
        <v>0</v>
      </c>
      <c r="P78" s="3" t="b">
        <v>0</v>
      </c>
      <c r="Q78" s="3" t="n">
        <v>3823.630136986307</v>
      </c>
      <c r="R78" s="3" t="n">
        <v>31463.01369863014</v>
      </c>
      <c r="S78" s="3" t="n">
        <v>35286.64383561644</v>
      </c>
      <c r="T78" s="5">
        <f>IF(J78&lt;&gt;"",M78*N78/365/100*('Cashflow Projection'!$B$2-Investors!J78),0)</f>
        <v/>
      </c>
    </row>
    <row r="79">
      <c r="A79" s="3" t="inlineStr">
        <is>
          <t>ZSCH02</t>
        </is>
      </c>
      <c r="B79" s="3" t="inlineStr">
        <is>
          <t>Zeldre</t>
        </is>
      </c>
      <c r="C79" s="3" t="inlineStr">
        <is>
          <t>van Schalkwyk</t>
        </is>
      </c>
      <c r="D79" s="3" t="inlineStr">
        <is>
          <t>Heron Fields</t>
        </is>
      </c>
      <c r="E79" s="3" t="inlineStr">
        <is>
          <t>HFB102</t>
        </is>
      </c>
      <c r="F79" s="3" t="b">
        <v>1</v>
      </c>
      <c r="G79" s="3" t="b">
        <v>1</v>
      </c>
      <c r="H79" s="3" t="inlineStr">
        <is>
          <t>B</t>
        </is>
      </c>
      <c r="I79" s="4" t="n">
        <v>44180</v>
      </c>
      <c r="J79" s="4" t="n">
        <v>44352</v>
      </c>
      <c r="K79" s="4" t="n">
        <v>44896</v>
      </c>
      <c r="L79" s="3" t="n">
        <v>1</v>
      </c>
      <c r="M79" s="3" t="n">
        <v>500000</v>
      </c>
      <c r="N79" s="3" t="n">
        <v>18</v>
      </c>
      <c r="O79" s="3" t="b">
        <v>0</v>
      </c>
      <c r="P79" s="3" t="b">
        <v>0</v>
      </c>
      <c r="Q79" s="3" t="n">
        <v>14726.02739726029</v>
      </c>
      <c r="R79" s="3" t="n">
        <v>134136.9863013699</v>
      </c>
      <c r="S79" s="3" t="n">
        <v>148863.0136986302</v>
      </c>
      <c r="T79" s="5">
        <f>IF(J79&lt;&gt;"",M79*N79/365/100*('Cashflow Projection'!$B$2-Investors!J79),0)</f>
        <v/>
      </c>
    </row>
    <row r="80">
      <c r="A80" s="3" t="inlineStr">
        <is>
          <t>ZBET02</t>
        </is>
      </c>
      <c r="B80" s="3" t="inlineStr">
        <is>
          <t>Dawie Izak</t>
        </is>
      </c>
      <c r="C80" s="3" t="inlineStr">
        <is>
          <t>Bester</t>
        </is>
      </c>
      <c r="D80" s="3" t="inlineStr">
        <is>
          <t>Heron Fields</t>
        </is>
      </c>
      <c r="E80" s="3" t="inlineStr">
        <is>
          <t>HFB103</t>
        </is>
      </c>
      <c r="F80" s="3" t="b">
        <v>1</v>
      </c>
      <c r="G80" s="3" t="b">
        <v>1</v>
      </c>
      <c r="H80" s="3" t="inlineStr">
        <is>
          <t>B</t>
        </is>
      </c>
      <c r="I80" s="4" t="n">
        <v>44267</v>
      </c>
      <c r="J80" s="4" t="n">
        <v>44352</v>
      </c>
      <c r="K80" s="4" t="n">
        <v>44887</v>
      </c>
      <c r="L80" s="3" t="n">
        <v>1</v>
      </c>
      <c r="M80" s="3" t="n">
        <v>100000</v>
      </c>
      <c r="N80" s="3" t="n">
        <v>15</v>
      </c>
      <c r="O80" s="3" t="b">
        <v>0</v>
      </c>
      <c r="P80" s="3" t="b">
        <v>0</v>
      </c>
      <c r="Q80" s="3" t="n">
        <v>1455.479452054796</v>
      </c>
      <c r="R80" s="3" t="n">
        <v>21986.30136986301</v>
      </c>
      <c r="S80" s="3" t="n">
        <v>23441.78082191781</v>
      </c>
      <c r="T80" s="5">
        <f>IF(J80&lt;&gt;"",M80*N80/365/100*('Cashflow Projection'!$B$2-Investors!J80),0)</f>
        <v/>
      </c>
    </row>
    <row r="81">
      <c r="A81" s="3" t="inlineStr">
        <is>
          <t>ZINT01</t>
        </is>
      </c>
      <c r="B81" s="3" t="inlineStr">
        <is>
          <t>Marc</t>
        </is>
      </c>
      <c r="C81" s="3" t="inlineStr">
        <is>
          <t>Lunau</t>
        </is>
      </c>
      <c r="D81" s="3" t="inlineStr">
        <is>
          <t>Heron Fields</t>
        </is>
      </c>
      <c r="E81" s="3" t="inlineStr">
        <is>
          <t>HFB103</t>
        </is>
      </c>
      <c r="F81" s="3" t="b">
        <v>1</v>
      </c>
      <c r="G81" s="3" t="b">
        <v>1</v>
      </c>
      <c r="H81" s="3" t="inlineStr">
        <is>
          <t>B</t>
        </is>
      </c>
      <c r="I81" s="4" t="n">
        <v>44117</v>
      </c>
      <c r="J81" s="4" t="n">
        <v>44316</v>
      </c>
      <c r="K81" s="4" t="n">
        <v>44887</v>
      </c>
      <c r="L81" s="3" t="n">
        <v>4</v>
      </c>
      <c r="M81" s="3" t="n">
        <v>100000</v>
      </c>
      <c r="N81" s="3" t="n">
        <v>18</v>
      </c>
      <c r="O81" s="3" t="b">
        <v>0</v>
      </c>
      <c r="P81" s="3" t="b">
        <v>0</v>
      </c>
      <c r="Q81" s="3" t="n">
        <v>3407.534246575347</v>
      </c>
      <c r="R81" s="3" t="n">
        <v>28158.90410958904</v>
      </c>
      <c r="S81" s="3" t="n">
        <v>31566.43835616438</v>
      </c>
      <c r="T81" s="5">
        <f>IF(J81&lt;&gt;"",M81*N81/365/100*('Cashflow Projection'!$B$2-Investors!J81),0)</f>
        <v/>
      </c>
    </row>
    <row r="82">
      <c r="A82" s="3" t="inlineStr">
        <is>
          <t>ZMCK01</t>
        </is>
      </c>
      <c r="B82" s="3" t="inlineStr">
        <is>
          <t>Caitlin</t>
        </is>
      </c>
      <c r="C82" s="3" t="inlineStr">
        <is>
          <t>MacKenzie-Jones</t>
        </is>
      </c>
      <c r="D82" s="3" t="inlineStr">
        <is>
          <t>Heron Fields</t>
        </is>
      </c>
      <c r="E82" s="3" t="inlineStr">
        <is>
          <t>HFB103</t>
        </is>
      </c>
      <c r="F82" s="3" t="b">
        <v>1</v>
      </c>
      <c r="G82" s="3" t="b">
        <v>1</v>
      </c>
      <c r="H82" s="3" t="inlineStr">
        <is>
          <t>B</t>
        </is>
      </c>
      <c r="I82" s="4" t="n">
        <v>44274</v>
      </c>
      <c r="J82" s="4" t="n">
        <v>44352</v>
      </c>
      <c r="K82" s="4" t="n">
        <v>44887</v>
      </c>
      <c r="L82" s="3" t="n">
        <v>3</v>
      </c>
      <c r="M82" s="3" t="n">
        <v>600000</v>
      </c>
      <c r="N82" s="3" t="n">
        <v>18</v>
      </c>
      <c r="O82" s="3" t="b">
        <v>0</v>
      </c>
      <c r="P82" s="3" t="b">
        <v>0</v>
      </c>
      <c r="Q82" s="3" t="n">
        <v>8013.698630136994</v>
      </c>
      <c r="R82" s="3" t="n">
        <v>158301.3698630137</v>
      </c>
      <c r="S82" s="3" t="n">
        <v>166315.0684931507</v>
      </c>
      <c r="T82" s="5">
        <f>IF(J82&lt;&gt;"",M82*N82/365/100*('Cashflow Projection'!$B$2-Investors!J82),0)</f>
        <v/>
      </c>
    </row>
    <row r="83">
      <c r="A83" s="3" t="inlineStr">
        <is>
          <t>ZZYL02</t>
        </is>
      </c>
      <c r="B83" s="3" t="inlineStr">
        <is>
          <t>Petronella Johanna</t>
        </is>
      </c>
      <c r="C83" s="3" t="inlineStr">
        <is>
          <t>Zylstra</t>
        </is>
      </c>
      <c r="D83" s="3" t="inlineStr">
        <is>
          <t>Heron Fields</t>
        </is>
      </c>
      <c r="E83" s="3" t="inlineStr">
        <is>
          <t>HFB103</t>
        </is>
      </c>
      <c r="F83" s="3" t="b">
        <v>1</v>
      </c>
      <c r="G83" s="3" t="b">
        <v>1</v>
      </c>
      <c r="H83" s="3" t="inlineStr">
        <is>
          <t>B</t>
        </is>
      </c>
      <c r="I83" s="4" t="n">
        <v>44257</v>
      </c>
      <c r="J83" s="4" t="n">
        <v>44352</v>
      </c>
      <c r="K83" s="4" t="n">
        <v>44887</v>
      </c>
      <c r="L83" s="3" t="n">
        <v>1</v>
      </c>
      <c r="M83" s="3" t="n">
        <v>100000</v>
      </c>
      <c r="N83" s="3" t="n">
        <v>15</v>
      </c>
      <c r="O83" s="3" t="b">
        <v>0</v>
      </c>
      <c r="P83" s="3" t="b">
        <v>0</v>
      </c>
      <c r="Q83" s="3" t="n">
        <v>1626.712328767125</v>
      </c>
      <c r="R83" s="3" t="n">
        <v>21986.30136986301</v>
      </c>
      <c r="S83" s="3" t="n">
        <v>23613.01369863014</v>
      </c>
      <c r="T83" s="5">
        <f>IF(J83&lt;&gt;"",M83*N83/365/100*('Cashflow Projection'!$B$2-Investors!J83),0)</f>
        <v/>
      </c>
    </row>
    <row r="84">
      <c r="A84" s="3" t="inlineStr">
        <is>
          <t>ZLUN01</t>
        </is>
      </c>
      <c r="B84" s="3" t="inlineStr">
        <is>
          <t>Marc</t>
        </is>
      </c>
      <c r="C84" s="3" t="inlineStr">
        <is>
          <t>Lunau</t>
        </is>
      </c>
      <c r="D84" s="3" t="inlineStr">
        <is>
          <t>Heron Fields</t>
        </is>
      </c>
      <c r="E84" s="3" t="inlineStr">
        <is>
          <t>HFB104</t>
        </is>
      </c>
      <c r="F84" s="3" t="b">
        <v>1</v>
      </c>
      <c r="G84" s="3" t="b">
        <v>1</v>
      </c>
      <c r="H84" s="3" t="inlineStr">
        <is>
          <t>B</t>
        </is>
      </c>
      <c r="I84" s="4" t="n">
        <v>44187</v>
      </c>
      <c r="J84" s="4" t="n">
        <v>44352</v>
      </c>
      <c r="K84" s="4" t="n">
        <v>44895</v>
      </c>
      <c r="L84" s="3" t="n">
        <v>4</v>
      </c>
      <c r="M84" s="3" t="n">
        <v>120000</v>
      </c>
      <c r="N84" s="3" t="n">
        <v>18</v>
      </c>
      <c r="O84" s="3" t="b">
        <v>1</v>
      </c>
      <c r="P84" s="3" t="b">
        <v>0</v>
      </c>
      <c r="Q84" s="3" t="n">
        <v>3390.410958904122</v>
      </c>
      <c r="R84" s="3" t="n">
        <v>32133.69863013699</v>
      </c>
      <c r="S84" s="3" t="n">
        <v>35524.10958904111</v>
      </c>
      <c r="T84" s="5">
        <f>IF(J84&lt;&gt;"",M84*N84/365/100*('Cashflow Projection'!$B$2-Investors!J84),0)</f>
        <v/>
      </c>
    </row>
    <row r="85">
      <c r="A85" s="3" t="inlineStr">
        <is>
          <t>ZMCD01</t>
        </is>
      </c>
      <c r="B85" s="3" t="inlineStr">
        <is>
          <t>Veronica Agnes</t>
        </is>
      </c>
      <c r="C85" s="3" t="inlineStr">
        <is>
          <t>McDonald</t>
        </is>
      </c>
      <c r="D85" s="3" t="inlineStr">
        <is>
          <t>Heron Fields</t>
        </is>
      </c>
      <c r="E85" s="3" t="inlineStr">
        <is>
          <t>HFB104</t>
        </is>
      </c>
      <c r="F85" s="3" t="b">
        <v>1</v>
      </c>
      <c r="G85" s="3" t="b">
        <v>1</v>
      </c>
      <c r="H85" s="3" t="inlineStr">
        <is>
          <t>B</t>
        </is>
      </c>
      <c r="I85" s="4" t="n">
        <v>44253</v>
      </c>
      <c r="J85" s="4" t="n">
        <v>44352</v>
      </c>
      <c r="K85" s="4" t="n">
        <v>44895</v>
      </c>
      <c r="L85" s="3" t="n">
        <v>6</v>
      </c>
      <c r="M85" s="3" t="n">
        <v>531887.67</v>
      </c>
      <c r="N85" s="3" t="n">
        <v>18</v>
      </c>
      <c r="O85" s="3" t="b">
        <v>1</v>
      </c>
      <c r="P85" s="3" t="b">
        <v>0</v>
      </c>
      <c r="Q85" s="3" t="n">
        <v>9016.588926369855</v>
      </c>
      <c r="R85" s="3" t="n">
        <v>142429.3174405479</v>
      </c>
      <c r="S85" s="3" t="n">
        <v>151445.9063669178</v>
      </c>
      <c r="T85" s="5">
        <f>IF(J85&lt;&gt;"",M85*N85/365/100*('Cashflow Projection'!$B$2-Investors!J85),0)</f>
        <v/>
      </c>
    </row>
    <row r="86">
      <c r="A86" s="3" t="inlineStr">
        <is>
          <t>ZRAN01</t>
        </is>
      </c>
      <c r="B86" s="3" t="inlineStr">
        <is>
          <t>Ross Partick Gemill</t>
        </is>
      </c>
      <c r="C86" s="3" t="inlineStr">
        <is>
          <t>Rankin</t>
        </is>
      </c>
      <c r="D86" s="3" t="inlineStr">
        <is>
          <t>Heron Fields</t>
        </is>
      </c>
      <c r="E86" s="3" t="inlineStr">
        <is>
          <t>HFB104</t>
        </is>
      </c>
      <c r="F86" s="3" t="b">
        <v>1</v>
      </c>
      <c r="G86" s="3" t="b">
        <v>1</v>
      </c>
      <c r="H86" s="3" t="inlineStr">
        <is>
          <t>B</t>
        </is>
      </c>
      <c r="I86" s="4" t="n">
        <v>44494</v>
      </c>
      <c r="J86" s="4" t="n">
        <v>44664</v>
      </c>
      <c r="K86" s="4" t="n">
        <v>44895</v>
      </c>
      <c r="L86" s="3" t="n">
        <v>21</v>
      </c>
      <c r="M86" s="3" t="n">
        <v>100000</v>
      </c>
      <c r="N86" s="3" t="n">
        <v>18</v>
      </c>
      <c r="O86" s="3" t="b">
        <v>1</v>
      </c>
      <c r="P86" s="3" t="b">
        <v>0</v>
      </c>
      <c r="Q86" s="3" t="n">
        <v>3060.958904109598</v>
      </c>
      <c r="R86" s="3" t="n">
        <v>11391.78082191781</v>
      </c>
      <c r="S86" s="3" t="n">
        <v>14452.73972602741</v>
      </c>
      <c r="T86" s="5">
        <f>IF(J86&lt;&gt;"",M86*N86/365/100*('Cashflow Projection'!$B$2-Investors!J86),0)</f>
        <v/>
      </c>
    </row>
    <row r="87">
      <c r="A87" s="3" t="inlineStr">
        <is>
          <t>ZRIB01</t>
        </is>
      </c>
      <c r="B87" s="3" t="inlineStr">
        <is>
          <t>Paulo Sergio Da Silva</t>
        </is>
      </c>
      <c r="C87" s="3" t="inlineStr">
        <is>
          <t>Ribeiro</t>
        </is>
      </c>
      <c r="D87" s="3" t="inlineStr">
        <is>
          <t>Heron Fields</t>
        </is>
      </c>
      <c r="E87" s="3" t="inlineStr">
        <is>
          <t>HFB104</t>
        </is>
      </c>
      <c r="F87" s="3" t="b">
        <v>1</v>
      </c>
      <c r="G87" s="3" t="b">
        <v>1</v>
      </c>
      <c r="H87" s="3" t="inlineStr">
        <is>
          <t>B</t>
        </is>
      </c>
      <c r="I87" s="4" t="n">
        <v>44253</v>
      </c>
      <c r="J87" s="4" t="n">
        <v>44352</v>
      </c>
      <c r="K87" s="4" t="n">
        <v>44908</v>
      </c>
      <c r="L87" s="3" t="n">
        <v>1</v>
      </c>
      <c r="M87" s="3" t="n">
        <v>150000</v>
      </c>
      <c r="N87" s="3" t="n">
        <v>15</v>
      </c>
      <c r="O87" s="3" t="b">
        <v>0</v>
      </c>
      <c r="P87" s="3" t="b">
        <v>0</v>
      </c>
      <c r="Q87" s="3" t="n">
        <v>2542.808219178085</v>
      </c>
      <c r="R87" s="3" t="n">
        <v>34273.97260273973</v>
      </c>
      <c r="S87" s="3" t="n">
        <v>36816.78082191781</v>
      </c>
      <c r="T87" s="5">
        <f>IF(J87&lt;&gt;"",M87*N87/365/100*('Cashflow Projection'!$B$2-Investors!J87),0)</f>
        <v/>
      </c>
    </row>
    <row r="88">
      <c r="A88" s="3" t="inlineStr">
        <is>
          <t>ZBUR01</t>
        </is>
      </c>
      <c r="B88" s="3" t="inlineStr">
        <is>
          <t>Barend Frederik</t>
        </is>
      </c>
      <c r="C88" s="3" t="inlineStr">
        <is>
          <t>Burger</t>
        </is>
      </c>
      <c r="D88" s="3" t="inlineStr">
        <is>
          <t>Heron Fields</t>
        </is>
      </c>
      <c r="E88" s="3" t="inlineStr">
        <is>
          <t>HFB105</t>
        </is>
      </c>
      <c r="F88" s="3" t="b">
        <v>1</v>
      </c>
      <c r="G88" s="3" t="b">
        <v>1</v>
      </c>
      <c r="H88" s="3" t="inlineStr">
        <is>
          <t>B</t>
        </is>
      </c>
      <c r="I88" s="4" t="n">
        <v>44273</v>
      </c>
      <c r="J88" s="4" t="n">
        <v>44352</v>
      </c>
      <c r="K88" s="4" t="n">
        <v>44992</v>
      </c>
      <c r="L88" s="3" t="n">
        <v>1</v>
      </c>
      <c r="M88" s="3" t="n">
        <v>150000</v>
      </c>
      <c r="N88" s="3" t="n">
        <v>15</v>
      </c>
      <c r="O88" s="3" t="b">
        <v>0</v>
      </c>
      <c r="P88" s="3" t="b">
        <v>0</v>
      </c>
      <c r="Q88" s="3" t="n">
        <v>2029.109589041098</v>
      </c>
      <c r="R88" s="3" t="n">
        <v>39452.05479452055</v>
      </c>
      <c r="S88" s="3" t="n">
        <v>41481.16438356164</v>
      </c>
      <c r="T88" s="5">
        <f>IF(J88&lt;&gt;"",M88*N88/365/100*('Cashflow Projection'!$B$2-Investors!J88),0)</f>
        <v/>
      </c>
    </row>
    <row r="89">
      <c r="A89" s="3" t="inlineStr">
        <is>
          <t>ZJOH01</t>
        </is>
      </c>
      <c r="B89" s="3" t="inlineStr">
        <is>
          <t>Lisa-Marie Natalie</t>
        </is>
      </c>
      <c r="C89" s="3" t="inlineStr">
        <is>
          <t>Johns</t>
        </is>
      </c>
      <c r="D89" s="3" t="inlineStr">
        <is>
          <t>Heron Fields</t>
        </is>
      </c>
      <c r="E89" s="3" t="inlineStr">
        <is>
          <t>HFB105</t>
        </is>
      </c>
      <c r="F89" s="3" t="b">
        <v>1</v>
      </c>
      <c r="G89" s="3" t="b">
        <v>1</v>
      </c>
      <c r="H89" s="3" t="inlineStr">
        <is>
          <t>B</t>
        </is>
      </c>
      <c r="I89" s="4" t="n">
        <v>44113</v>
      </c>
      <c r="J89" s="4" t="n">
        <v>44316</v>
      </c>
      <c r="K89" s="4" t="n">
        <v>44953</v>
      </c>
      <c r="L89" s="3" t="n">
        <v>3</v>
      </c>
      <c r="M89" s="3" t="n">
        <v>110000</v>
      </c>
      <c r="N89" s="3" t="n">
        <v>18</v>
      </c>
      <c r="O89" s="3" t="b">
        <v>1</v>
      </c>
      <c r="P89" s="3" t="b">
        <v>0</v>
      </c>
      <c r="Q89" s="3" t="n">
        <v>3823.630136986307</v>
      </c>
      <c r="R89" s="3" t="n">
        <v>34555.06849315068</v>
      </c>
      <c r="S89" s="3" t="n">
        <v>38378.69863013699</v>
      </c>
      <c r="T89" s="5">
        <f>IF(J89&lt;&gt;"",M89*N89/365/100*('Cashflow Projection'!$B$2-Investors!J89),0)</f>
        <v/>
      </c>
    </row>
    <row r="90">
      <c r="A90" s="3" t="inlineStr">
        <is>
          <t>ZKRU01</t>
        </is>
      </c>
      <c r="B90" s="3" t="inlineStr">
        <is>
          <t>Jurgen</t>
        </is>
      </c>
      <c r="C90" s="3" t="inlineStr">
        <is>
          <t>Kruger</t>
        </is>
      </c>
      <c r="D90" s="3" t="inlineStr">
        <is>
          <t>Heron Fields</t>
        </is>
      </c>
      <c r="E90" s="3" t="inlineStr">
        <is>
          <t>HFB105</t>
        </is>
      </c>
      <c r="F90" s="3" t="b">
        <v>1</v>
      </c>
      <c r="G90" s="3" t="b">
        <v>1</v>
      </c>
      <c r="H90" s="3" t="inlineStr">
        <is>
          <t>B</t>
        </is>
      </c>
      <c r="I90" s="4" t="n">
        <v>44253</v>
      </c>
      <c r="J90" s="4" t="n">
        <v>44378</v>
      </c>
      <c r="K90" s="4" t="n">
        <v>44952</v>
      </c>
      <c r="L90" s="3" t="n">
        <v>4</v>
      </c>
      <c r="M90" s="3" t="n">
        <v>628145.58</v>
      </c>
      <c r="N90" s="3" t="n">
        <v>18</v>
      </c>
      <c r="O90" s="3" t="b">
        <v>1</v>
      </c>
      <c r="P90" s="3" t="b">
        <v>0</v>
      </c>
      <c r="Q90" s="3" t="n">
        <v>13444.89683219177</v>
      </c>
      <c r="R90" s="3" t="n">
        <v>177808.222809863</v>
      </c>
      <c r="S90" s="3" t="n">
        <v>191253.1196420547</v>
      </c>
      <c r="T90" s="5">
        <f>IF(J90&lt;&gt;"",M90*N90/365/100*('Cashflow Projection'!$B$2-Investors!J90),0)</f>
        <v/>
      </c>
    </row>
    <row r="91">
      <c r="A91" s="3" t="inlineStr">
        <is>
          <t>ZBAR02</t>
        </is>
      </c>
      <c r="B91" s="3" t="inlineStr">
        <is>
          <t>Nicolaas Jacobus (Jaco)</t>
        </is>
      </c>
      <c r="C91" s="3" t="inlineStr">
        <is>
          <t>Barkhuysen</t>
        </is>
      </c>
      <c r="D91" s="3" t="inlineStr">
        <is>
          <t>Heron Fields</t>
        </is>
      </c>
      <c r="E91" s="3" t="inlineStr">
        <is>
          <t>HFB106</t>
        </is>
      </c>
      <c r="F91" s="3" t="b">
        <v>1</v>
      </c>
      <c r="G91" s="3" t="b">
        <v>1</v>
      </c>
      <c r="H91" s="3" t="inlineStr">
        <is>
          <t>B</t>
        </is>
      </c>
      <c r="I91" s="4" t="n">
        <v>44286</v>
      </c>
      <c r="J91" s="4" t="n">
        <v>44352</v>
      </c>
      <c r="K91" s="4" t="n">
        <v>44956</v>
      </c>
      <c r="L91" s="3" t="n">
        <v>1</v>
      </c>
      <c r="M91" s="3" t="n">
        <v>300000</v>
      </c>
      <c r="N91" s="3" t="n">
        <v>15</v>
      </c>
      <c r="O91" s="3" t="b">
        <v>0</v>
      </c>
      <c r="P91" s="3" t="b">
        <v>0</v>
      </c>
      <c r="Q91" s="3" t="n">
        <v>3390.410958904113</v>
      </c>
      <c r="R91" s="3" t="n">
        <v>74465.75342465754</v>
      </c>
      <c r="S91" s="3" t="n">
        <v>77856.16438356166</v>
      </c>
      <c r="T91" s="5">
        <f>IF(J91&lt;&gt;"",M91*N91/365/100*('Cashflow Projection'!$B$2-Investors!J91),0)</f>
        <v/>
      </c>
    </row>
    <row r="92">
      <c r="A92" s="3" t="inlineStr">
        <is>
          <t>ZINT01</t>
        </is>
      </c>
      <c r="B92" s="3" t="inlineStr">
        <is>
          <t>Marc</t>
        </is>
      </c>
      <c r="C92" s="3" t="inlineStr">
        <is>
          <t>Lunau</t>
        </is>
      </c>
      <c r="D92" s="3" t="inlineStr">
        <is>
          <t>Heron Fields</t>
        </is>
      </c>
      <c r="E92" s="3" t="inlineStr">
        <is>
          <t>HFB106</t>
        </is>
      </c>
      <c r="F92" s="3" t="b">
        <v>1</v>
      </c>
      <c r="G92" s="3" t="b">
        <v>1</v>
      </c>
      <c r="H92" s="3" t="inlineStr">
        <is>
          <t>B</t>
        </is>
      </c>
      <c r="I92" s="4" t="n">
        <v>44117</v>
      </c>
      <c r="J92" s="4" t="n">
        <v>44316</v>
      </c>
      <c r="K92" s="4" t="n">
        <v>44956</v>
      </c>
      <c r="L92" s="3" t="n">
        <v>5</v>
      </c>
      <c r="M92" s="3" t="n">
        <v>100000</v>
      </c>
      <c r="N92" s="3" t="n">
        <v>18</v>
      </c>
      <c r="O92" s="3" t="b">
        <v>0</v>
      </c>
      <c r="P92" s="3" t="b">
        <v>0</v>
      </c>
      <c r="Q92" s="3" t="n">
        <v>3407.534246575347</v>
      </c>
      <c r="R92" s="3" t="n">
        <v>31561.64383561644</v>
      </c>
      <c r="S92" s="3" t="n">
        <v>34969.17808219179</v>
      </c>
      <c r="T92" s="5">
        <f>IF(J92&lt;&gt;"",M92*N92/365/100*('Cashflow Projection'!$B$2-Investors!J92),0)</f>
        <v/>
      </c>
    </row>
    <row r="93">
      <c r="A93" s="3" t="inlineStr">
        <is>
          <t>ZTSO01</t>
        </is>
      </c>
      <c r="B93" s="3" t="inlineStr">
        <is>
          <t>Abram Matlotleng</t>
        </is>
      </c>
      <c r="C93" s="3" t="inlineStr">
        <is>
          <t>Tsoku</t>
        </is>
      </c>
      <c r="D93" s="3" t="inlineStr">
        <is>
          <t>Heron Fields</t>
        </is>
      </c>
      <c r="E93" s="3" t="inlineStr">
        <is>
          <t>HFB106</t>
        </is>
      </c>
      <c r="F93" s="3" t="b">
        <v>1</v>
      </c>
      <c r="G93" s="3" t="b">
        <v>1</v>
      </c>
      <c r="H93" s="3" t="inlineStr">
        <is>
          <t>B</t>
        </is>
      </c>
      <c r="I93" s="4" t="n">
        <v>44281</v>
      </c>
      <c r="J93" s="4" t="n">
        <v>44352</v>
      </c>
      <c r="K93" s="4" t="n">
        <v>44956</v>
      </c>
      <c r="L93" s="3" t="n">
        <v>1</v>
      </c>
      <c r="M93" s="3" t="n">
        <v>400000</v>
      </c>
      <c r="N93" s="3" t="n">
        <v>15</v>
      </c>
      <c r="O93" s="3" t="b">
        <v>0</v>
      </c>
      <c r="P93" s="3" t="b">
        <v>0</v>
      </c>
      <c r="Q93" s="3" t="n">
        <v>4863.013698630142</v>
      </c>
      <c r="R93" s="3" t="n">
        <v>99287.6712328767</v>
      </c>
      <c r="S93" s="3" t="n">
        <v>104150.6849315068</v>
      </c>
      <c r="T93" s="5">
        <f>IF(J93&lt;&gt;"",M93*N93/365/100*('Cashflow Projection'!$B$2-Investors!J93),0)</f>
        <v/>
      </c>
    </row>
    <row r="94">
      <c r="A94" s="3" t="inlineStr">
        <is>
          <t>ZWAY01</t>
        </is>
      </c>
      <c r="B94" s="3" t="inlineStr">
        <is>
          <t>Shirley Kathleen</t>
        </is>
      </c>
      <c r="C94" s="3" t="inlineStr">
        <is>
          <t>Way</t>
        </is>
      </c>
      <c r="D94" s="3" t="inlineStr">
        <is>
          <t>Heron Fields</t>
        </is>
      </c>
      <c r="E94" s="3" t="inlineStr">
        <is>
          <t>HFB106</t>
        </is>
      </c>
      <c r="F94" s="3" t="b">
        <v>1</v>
      </c>
      <c r="G94" s="3" t="b">
        <v>1</v>
      </c>
      <c r="H94" s="3" t="inlineStr">
        <is>
          <t>B</t>
        </is>
      </c>
      <c r="I94" s="4" t="n">
        <v>44279</v>
      </c>
      <c r="J94" s="4" t="n">
        <v>44352</v>
      </c>
      <c r="K94" s="4" t="n">
        <v>44956</v>
      </c>
      <c r="L94" s="3" t="n">
        <v>1</v>
      </c>
      <c r="M94" s="3" t="n">
        <v>100000</v>
      </c>
      <c r="N94" s="3" t="n">
        <v>15</v>
      </c>
      <c r="O94" s="3" t="b">
        <v>0</v>
      </c>
      <c r="P94" s="3" t="b">
        <v>0</v>
      </c>
      <c r="Q94" s="3" t="n">
        <v>1250.000000000001</v>
      </c>
      <c r="R94" s="3" t="n">
        <v>24821.91780821918</v>
      </c>
      <c r="S94" s="3" t="n">
        <v>26071.91780821918</v>
      </c>
      <c r="T94" s="5">
        <f>IF(J94&lt;&gt;"",M94*N94/365/100*('Cashflow Projection'!$B$2-Investors!J94),0)</f>
        <v/>
      </c>
    </row>
    <row r="95">
      <c r="A95" s="3" t="inlineStr">
        <is>
          <t>ZDIC01</t>
        </is>
      </c>
      <c r="B95" s="3" t="inlineStr">
        <is>
          <t>Grant Allan</t>
        </is>
      </c>
      <c r="C95" s="3" t="inlineStr">
        <is>
          <t>Dickinson</t>
        </is>
      </c>
      <c r="D95" s="3" t="inlineStr">
        <is>
          <t>Heron Fields</t>
        </is>
      </c>
      <c r="E95" s="3" t="inlineStr">
        <is>
          <t>HFB107</t>
        </is>
      </c>
      <c r="F95" s="3" t="b">
        <v>1</v>
      </c>
      <c r="G95" s="3" t="b">
        <v>1</v>
      </c>
      <c r="H95" s="3" t="inlineStr">
        <is>
          <t>B</t>
        </is>
      </c>
      <c r="I95" s="4" t="n">
        <v>44333</v>
      </c>
      <c r="J95" s="4" t="n">
        <v>44352</v>
      </c>
      <c r="K95" s="4" t="n">
        <v>45027</v>
      </c>
      <c r="L95" s="3" t="n">
        <v>6</v>
      </c>
      <c r="M95" s="3" t="n">
        <v>300000</v>
      </c>
      <c r="N95" s="3" t="n">
        <v>18</v>
      </c>
      <c r="O95" s="3" t="b">
        <v>0</v>
      </c>
      <c r="P95" s="3" t="b">
        <v>0</v>
      </c>
      <c r="Q95" s="3" t="n">
        <v>976.0273972602737</v>
      </c>
      <c r="R95" s="3" t="n">
        <v>99863.01369863014</v>
      </c>
      <c r="S95" s="3" t="n">
        <v>100839.0410958904</v>
      </c>
      <c r="T95" s="5">
        <f>IF(J95&lt;&gt;"",M95*N95/365/100*('Cashflow Projection'!$B$2-Investors!J95),0)</f>
        <v/>
      </c>
    </row>
    <row r="96">
      <c r="A96" s="3" t="inlineStr">
        <is>
          <t>ZJOR01</t>
        </is>
      </c>
      <c r="B96" s="3" t="inlineStr">
        <is>
          <t>Glen Rutherford</t>
        </is>
      </c>
      <c r="C96" s="3" t="inlineStr">
        <is>
          <t>Jordaan</t>
        </is>
      </c>
      <c r="D96" s="3" t="inlineStr">
        <is>
          <t>Heron Fields</t>
        </is>
      </c>
      <c r="E96" s="3" t="inlineStr">
        <is>
          <t>HFB107</t>
        </is>
      </c>
      <c r="F96" s="3" t="b">
        <v>1</v>
      </c>
      <c r="G96" s="3" t="b">
        <v>1</v>
      </c>
      <c r="H96" s="3" t="inlineStr">
        <is>
          <t>B</t>
        </is>
      </c>
      <c r="I96" s="4" t="n">
        <v>44305</v>
      </c>
      <c r="J96" s="4" t="n">
        <v>44352</v>
      </c>
      <c r="K96" s="4" t="n">
        <v>44981</v>
      </c>
      <c r="L96" s="3" t="n">
        <v>1</v>
      </c>
      <c r="M96" s="3" t="n">
        <v>500000</v>
      </c>
      <c r="N96" s="3" t="n">
        <v>18</v>
      </c>
      <c r="O96" s="3" t="b">
        <v>1</v>
      </c>
      <c r="P96" s="3" t="b">
        <v>0</v>
      </c>
      <c r="Q96" s="3" t="n">
        <v>4023.972602739728</v>
      </c>
      <c r="R96" s="3" t="n">
        <v>155095.8904109589</v>
      </c>
      <c r="S96" s="3" t="n">
        <v>159119.8630136986</v>
      </c>
      <c r="T96" s="5">
        <f>IF(J96&lt;&gt;"",M96*N96/365/100*('Cashflow Projection'!$B$2-Investors!J96),0)</f>
        <v/>
      </c>
    </row>
    <row r="97">
      <c r="A97" s="3" t="inlineStr">
        <is>
          <t>ZLUN01</t>
        </is>
      </c>
      <c r="B97" s="3" t="inlineStr">
        <is>
          <t>Marc</t>
        </is>
      </c>
      <c r="C97" s="3" t="inlineStr">
        <is>
          <t>Lunau</t>
        </is>
      </c>
      <c r="D97" s="3" t="inlineStr">
        <is>
          <t>Heron Fields</t>
        </is>
      </c>
      <c r="E97" s="3" t="inlineStr">
        <is>
          <t>HFB107</t>
        </is>
      </c>
      <c r="F97" s="3" t="b">
        <v>1</v>
      </c>
      <c r="G97" s="3" t="b">
        <v>1</v>
      </c>
      <c r="H97" s="3" t="inlineStr">
        <is>
          <t>B</t>
        </is>
      </c>
      <c r="I97" s="4" t="n">
        <v>44187</v>
      </c>
      <c r="J97" s="4" t="n">
        <v>44352</v>
      </c>
      <c r="K97" s="4" t="n">
        <v>45027</v>
      </c>
      <c r="L97" s="3" t="n">
        <v>5</v>
      </c>
      <c r="M97" s="3" t="n">
        <v>120000</v>
      </c>
      <c r="N97" s="3" t="n">
        <v>18</v>
      </c>
      <c r="O97" s="3" t="b">
        <v>0</v>
      </c>
      <c r="P97" s="3" t="b">
        <v>0</v>
      </c>
      <c r="Q97" s="3" t="n">
        <v>3390.410958904122</v>
      </c>
      <c r="R97" s="3" t="n">
        <v>39945.20547945206</v>
      </c>
      <c r="S97" s="3" t="n">
        <v>43335.61643835618</v>
      </c>
      <c r="T97" s="5">
        <f>IF(J97&lt;&gt;"",M97*N97/365/100*('Cashflow Projection'!$B$2-Investors!J97),0)</f>
        <v/>
      </c>
    </row>
    <row r="98">
      <c r="A98" s="3" t="inlineStr">
        <is>
          <t>ZCRO01</t>
        </is>
      </c>
      <c r="B98" s="3" t="inlineStr">
        <is>
          <t>Marc</t>
        </is>
      </c>
      <c r="C98" s="3" t="inlineStr">
        <is>
          <t>Lunau</t>
        </is>
      </c>
      <c r="D98" s="3" t="inlineStr">
        <is>
          <t>Heron Fields</t>
        </is>
      </c>
      <c r="E98" s="3" t="inlineStr">
        <is>
          <t>HFB108</t>
        </is>
      </c>
      <c r="F98" s="3" t="b">
        <v>1</v>
      </c>
      <c r="G98" s="3" t="b">
        <v>1</v>
      </c>
      <c r="H98" s="3" t="inlineStr">
        <is>
          <t>B</t>
        </is>
      </c>
      <c r="I98" s="4" t="n">
        <v>44266</v>
      </c>
      <c r="J98" s="4" t="n">
        <v>44352</v>
      </c>
      <c r="K98" s="4" t="n">
        <v>44953</v>
      </c>
      <c r="L98" s="3" t="n">
        <v>3</v>
      </c>
      <c r="M98" s="3" t="n">
        <v>110000</v>
      </c>
      <c r="N98" s="3" t="n">
        <v>18</v>
      </c>
      <c r="O98" s="3" t="b">
        <v>1</v>
      </c>
      <c r="P98" s="3" t="b">
        <v>0</v>
      </c>
      <c r="Q98" s="3" t="n">
        <v>1619.863013698627</v>
      </c>
      <c r="R98" s="3" t="n">
        <v>32602.19178082192</v>
      </c>
      <c r="S98" s="3" t="n">
        <v>34222.05479452055</v>
      </c>
      <c r="T98" s="5">
        <f>IF(J98&lt;&gt;"",M98*N98/365/100*('Cashflow Projection'!$B$2-Investors!J98),0)</f>
        <v/>
      </c>
    </row>
    <row r="99">
      <c r="A99" s="3" t="inlineStr">
        <is>
          <t>ZDEK01</t>
        </is>
      </c>
      <c r="B99" s="3" t="inlineStr">
        <is>
          <t>Dawn Margaret</t>
        </is>
      </c>
      <c r="C99" s="3" t="inlineStr">
        <is>
          <t>De Klerk (Way)</t>
        </is>
      </c>
      <c r="D99" s="3" t="inlineStr">
        <is>
          <t>Heron Fields</t>
        </is>
      </c>
      <c r="E99" s="3" t="inlineStr">
        <is>
          <t>HFB108</t>
        </is>
      </c>
      <c r="F99" s="3" t="b">
        <v>1</v>
      </c>
      <c r="G99" s="3" t="b">
        <v>1</v>
      </c>
      <c r="H99" s="3" t="inlineStr">
        <is>
          <t>B</t>
        </is>
      </c>
      <c r="I99" s="4" t="n">
        <v>44274</v>
      </c>
      <c r="J99" s="4" t="n">
        <v>44352</v>
      </c>
      <c r="K99" s="4" t="n">
        <v>44984</v>
      </c>
      <c r="L99" s="3" t="n">
        <v>1</v>
      </c>
      <c r="M99" s="3" t="n">
        <v>200000</v>
      </c>
      <c r="N99" s="3" t="n">
        <v>15</v>
      </c>
      <c r="O99" s="3" t="b">
        <v>0</v>
      </c>
      <c r="P99" s="3" t="b">
        <v>0</v>
      </c>
      <c r="Q99" s="3" t="n">
        <v>2671.232876712332</v>
      </c>
      <c r="R99" s="3" t="n">
        <v>51945.20547945205</v>
      </c>
      <c r="S99" s="3" t="n">
        <v>54616.43835616438</v>
      </c>
      <c r="T99" s="5">
        <f>IF(J99&lt;&gt;"",M99*N99/365/100*('Cashflow Projection'!$B$2-Investors!J99),0)</f>
        <v/>
      </c>
    </row>
    <row r="100">
      <c r="A100" s="3" t="inlineStr">
        <is>
          <t>ZJOH01</t>
        </is>
      </c>
      <c r="B100" s="3" t="inlineStr">
        <is>
          <t>Lisa-Marie Natalie</t>
        </is>
      </c>
      <c r="C100" s="3" t="inlineStr">
        <is>
          <t>Johns</t>
        </is>
      </c>
      <c r="D100" s="3" t="inlineStr">
        <is>
          <t>Heron Fields</t>
        </is>
      </c>
      <c r="E100" s="3" t="inlineStr">
        <is>
          <t>HFB108</t>
        </is>
      </c>
      <c r="F100" s="3" t="b">
        <v>1</v>
      </c>
      <c r="G100" s="3" t="b">
        <v>1</v>
      </c>
      <c r="H100" s="3" t="inlineStr">
        <is>
          <t>B</t>
        </is>
      </c>
      <c r="I100" s="4" t="n">
        <v>44113</v>
      </c>
      <c r="J100" s="4" t="n">
        <v>44316</v>
      </c>
      <c r="K100" s="4" t="n">
        <v>44953</v>
      </c>
      <c r="L100" s="3" t="n">
        <v>4</v>
      </c>
      <c r="M100" s="3" t="n">
        <v>110000</v>
      </c>
      <c r="N100" s="3" t="n">
        <v>18</v>
      </c>
      <c r="O100" s="3" t="b">
        <v>1</v>
      </c>
      <c r="P100" s="3" t="b">
        <v>0</v>
      </c>
      <c r="Q100" s="3" t="n">
        <v>3823.630136986307</v>
      </c>
      <c r="R100" s="3" t="n">
        <v>34555.06849315068</v>
      </c>
      <c r="S100" s="3" t="n">
        <v>38378.69863013699</v>
      </c>
      <c r="T100" s="5">
        <f>IF(J100&lt;&gt;"",M100*N100/365/100*('Cashflow Projection'!$B$2-Investors!J100),0)</f>
        <v/>
      </c>
    </row>
    <row r="101">
      <c r="A101" s="3" t="inlineStr">
        <is>
          <t>ZSCA01</t>
        </is>
      </c>
      <c r="B101" s="3" t="inlineStr">
        <is>
          <t>Kert</t>
        </is>
      </c>
      <c r="C101" s="3" t="inlineStr">
        <is>
          <t>Scalzini</t>
        </is>
      </c>
      <c r="D101" s="3" t="inlineStr">
        <is>
          <t>Heron Fields</t>
        </is>
      </c>
      <c r="E101" s="3" t="inlineStr">
        <is>
          <t>HFB108</t>
        </is>
      </c>
      <c r="F101" s="3" t="b">
        <v>1</v>
      </c>
      <c r="G101" s="3" t="b">
        <v>1</v>
      </c>
      <c r="H101" s="3" t="inlineStr">
        <is>
          <t>B</t>
        </is>
      </c>
      <c r="I101" s="4" t="n">
        <v>44435</v>
      </c>
      <c r="J101" s="4" t="n">
        <v>44532</v>
      </c>
      <c r="K101" s="4" t="n">
        <v>44984</v>
      </c>
      <c r="L101" s="3" t="n">
        <v>1</v>
      </c>
      <c r="M101" s="3" t="n">
        <v>500000</v>
      </c>
      <c r="N101" s="3" t="n">
        <v>18</v>
      </c>
      <c r="O101" s="3" t="b">
        <v>0</v>
      </c>
      <c r="P101" s="3" t="b">
        <v>0</v>
      </c>
      <c r="Q101" s="3" t="n">
        <v>8311.643835616445</v>
      </c>
      <c r="R101" s="3" t="n">
        <v>111452.0547945205</v>
      </c>
      <c r="S101" s="3" t="n">
        <v>119763.698630137</v>
      </c>
      <c r="T101" s="5">
        <f>IF(J101&lt;&gt;"",M101*N101/365/100*('Cashflow Projection'!$B$2-Investors!J101),0)</f>
        <v/>
      </c>
    </row>
    <row r="102">
      <c r="A102" s="3" t="inlineStr">
        <is>
          <t>ZCRO01</t>
        </is>
      </c>
      <c r="B102" s="3" t="inlineStr">
        <is>
          <t>Marc</t>
        </is>
      </c>
      <c r="C102" s="3" t="inlineStr">
        <is>
          <t>Lunau</t>
        </is>
      </c>
      <c r="D102" s="3" t="inlineStr">
        <is>
          <t>Heron Fields</t>
        </is>
      </c>
      <c r="E102" s="3" t="inlineStr">
        <is>
          <t>HFB109</t>
        </is>
      </c>
      <c r="F102" s="3" t="b">
        <v>1</v>
      </c>
      <c r="G102" s="3" t="b">
        <v>1</v>
      </c>
      <c r="H102" s="3" t="inlineStr">
        <is>
          <t>B</t>
        </is>
      </c>
      <c r="I102" s="4" t="n">
        <v>44266</v>
      </c>
      <c r="J102" s="4" t="n">
        <v>44352</v>
      </c>
      <c r="K102" s="4" t="n">
        <v>44999</v>
      </c>
      <c r="L102" s="3" t="n">
        <v>4</v>
      </c>
      <c r="M102" s="3" t="n">
        <v>110000</v>
      </c>
      <c r="N102" s="3" t="n">
        <v>18</v>
      </c>
      <c r="O102" s="3" t="b">
        <v>0</v>
      </c>
      <c r="P102" s="3" t="b">
        <v>0</v>
      </c>
      <c r="Q102" s="3" t="n">
        <v>1619.863013698627</v>
      </c>
      <c r="R102" s="3" t="n">
        <v>35097.53424657534</v>
      </c>
      <c r="S102" s="3" t="n">
        <v>36717.39726027397</v>
      </c>
      <c r="T102" s="5">
        <f>IF(J102&lt;&gt;"",M102*N102/365/100*('Cashflow Projection'!$B$2-Investors!J102),0)</f>
        <v/>
      </c>
    </row>
    <row r="103">
      <c r="A103" s="3" t="inlineStr">
        <is>
          <t>ZGIL01</t>
        </is>
      </c>
      <c r="B103" s="3" t="inlineStr">
        <is>
          <t>Estelle Maria</t>
        </is>
      </c>
      <c r="C103" s="3" t="inlineStr">
        <is>
          <t>Gildenhuys</t>
        </is>
      </c>
      <c r="D103" s="3" t="inlineStr">
        <is>
          <t>Heron Fields</t>
        </is>
      </c>
      <c r="E103" s="3" t="inlineStr">
        <is>
          <t>HFB109</t>
        </is>
      </c>
      <c r="F103" s="3" t="b">
        <v>1</v>
      </c>
      <c r="G103" s="3" t="b">
        <v>1</v>
      </c>
      <c r="H103" s="3" t="inlineStr">
        <is>
          <t>B</t>
        </is>
      </c>
      <c r="I103" s="4" t="n">
        <v>44298</v>
      </c>
      <c r="J103" s="4" t="n">
        <v>44352</v>
      </c>
      <c r="K103" s="4" t="n">
        <v>44999</v>
      </c>
      <c r="L103" s="3" t="n">
        <v>1</v>
      </c>
      <c r="M103" s="3" t="n">
        <v>600000</v>
      </c>
      <c r="N103" s="3" t="n">
        <v>18</v>
      </c>
      <c r="O103" s="3" t="b">
        <v>0</v>
      </c>
      <c r="P103" s="3" t="b">
        <v>0</v>
      </c>
      <c r="Q103" s="3" t="n">
        <v>5547.945205479456</v>
      </c>
      <c r="R103" s="3" t="n">
        <v>191441.095890411</v>
      </c>
      <c r="S103" s="3" t="n">
        <v>196989.0410958904</v>
      </c>
      <c r="T103" s="5">
        <f>IF(J103&lt;&gt;"",M103*N103/365/100*('Cashflow Projection'!$B$2-Investors!J103),0)</f>
        <v/>
      </c>
    </row>
    <row r="104">
      <c r="A104" s="3" t="inlineStr">
        <is>
          <t>ZHAM01</t>
        </is>
      </c>
      <c r="B104" s="3" t="inlineStr">
        <is>
          <t>Lynnette Gladys</t>
        </is>
      </c>
      <c r="C104" s="3" t="inlineStr">
        <is>
          <t>Hambidge</t>
        </is>
      </c>
      <c r="D104" s="3" t="inlineStr">
        <is>
          <t>Heron Fields</t>
        </is>
      </c>
      <c r="E104" s="3" t="inlineStr">
        <is>
          <t>HFB109</t>
        </is>
      </c>
      <c r="F104" s="3" t="b">
        <v>1</v>
      </c>
      <c r="G104" s="3" t="b">
        <v>1</v>
      </c>
      <c r="H104" s="3" t="inlineStr">
        <is>
          <t>B</t>
        </is>
      </c>
      <c r="I104" s="4" t="n">
        <v>44243</v>
      </c>
      <c r="J104" s="4" t="n">
        <v>44352</v>
      </c>
      <c r="K104" s="4" t="n">
        <v>44999</v>
      </c>
      <c r="L104" s="3" t="n">
        <v>1</v>
      </c>
      <c r="M104" s="3" t="n">
        <v>100000</v>
      </c>
      <c r="N104" s="3" t="n">
        <v>15</v>
      </c>
      <c r="O104" s="3" t="b">
        <v>0</v>
      </c>
      <c r="P104" s="3" t="b">
        <v>0</v>
      </c>
      <c r="Q104" s="3" t="n">
        <v>1866.438356164386</v>
      </c>
      <c r="R104" s="3" t="n">
        <v>26589.04109589041</v>
      </c>
      <c r="S104" s="3" t="n">
        <v>28455.47945205479</v>
      </c>
      <c r="T104" s="5">
        <f>IF(J104&lt;&gt;"",M104*N104/365/100*('Cashflow Projection'!$B$2-Investors!J104),0)</f>
        <v/>
      </c>
    </row>
    <row r="105">
      <c r="A105" s="3" t="inlineStr">
        <is>
          <t>ZINT01</t>
        </is>
      </c>
      <c r="B105" s="3" t="inlineStr">
        <is>
          <t>Marc</t>
        </is>
      </c>
      <c r="C105" s="3" t="inlineStr">
        <is>
          <t>Lunau</t>
        </is>
      </c>
      <c r="D105" s="3" t="inlineStr">
        <is>
          <t>Heron Fields</t>
        </is>
      </c>
      <c r="E105" s="3" t="inlineStr">
        <is>
          <t>HFB109</t>
        </is>
      </c>
      <c r="F105" s="3" t="b">
        <v>1</v>
      </c>
      <c r="G105" s="3" t="b">
        <v>1</v>
      </c>
      <c r="H105" s="3" t="inlineStr">
        <is>
          <t>B</t>
        </is>
      </c>
      <c r="I105" s="4" t="n">
        <v>44117</v>
      </c>
      <c r="J105" s="4" t="n">
        <v>44316</v>
      </c>
      <c r="K105" s="4" t="n">
        <v>44999</v>
      </c>
      <c r="L105" s="3" t="n">
        <v>6</v>
      </c>
      <c r="M105" s="3" t="n">
        <v>100000</v>
      </c>
      <c r="N105" s="3" t="n">
        <v>18</v>
      </c>
      <c r="O105" s="3" t="b">
        <v>0</v>
      </c>
      <c r="P105" s="3" t="b">
        <v>0</v>
      </c>
      <c r="Q105" s="3" t="n">
        <v>3407.534246575347</v>
      </c>
      <c r="R105" s="3" t="n">
        <v>33682.19178082192</v>
      </c>
      <c r="S105" s="3" t="n">
        <v>37089.72602739726</v>
      </c>
      <c r="T105" s="5">
        <f>IF(J105&lt;&gt;"",M105*N105/365/100*('Cashflow Projection'!$B$2-Investors!J105),0)</f>
        <v/>
      </c>
    </row>
    <row r="106">
      <c r="A106" s="3" t="inlineStr">
        <is>
          <t>ZPED01</t>
        </is>
      </c>
      <c r="B106" s="3" t="inlineStr">
        <is>
          <t>Wendy</t>
        </is>
      </c>
      <c r="C106" s="3" t="inlineStr">
        <is>
          <t>Pedersen</t>
        </is>
      </c>
      <c r="D106" s="3" t="inlineStr">
        <is>
          <t>Heron Fields</t>
        </is>
      </c>
      <c r="E106" s="3" t="inlineStr">
        <is>
          <t>HFB110</t>
        </is>
      </c>
      <c r="F106" s="3" t="b">
        <v>1</v>
      </c>
      <c r="G106" s="3" t="b">
        <v>1</v>
      </c>
      <c r="H106" s="3" t="inlineStr">
        <is>
          <t>B</t>
        </is>
      </c>
      <c r="I106" s="4" t="n">
        <v>44253</v>
      </c>
      <c r="J106" s="4" t="n">
        <v>44352</v>
      </c>
      <c r="K106" s="4" t="n">
        <v>45019</v>
      </c>
      <c r="L106" s="3" t="n">
        <v>2</v>
      </c>
      <c r="M106" s="3" t="n">
        <v>900000</v>
      </c>
      <c r="N106" s="3" t="n">
        <v>18</v>
      </c>
      <c r="O106" s="3" t="b">
        <v>0</v>
      </c>
      <c r="P106" s="3" t="b">
        <v>0</v>
      </c>
      <c r="Q106" s="3" t="n">
        <v>15256.84931506851</v>
      </c>
      <c r="R106" s="3" t="n">
        <v>296038.3561643836</v>
      </c>
      <c r="S106" s="3" t="n">
        <v>311295.2054794521</v>
      </c>
      <c r="T106" s="5">
        <f>IF(J106&lt;&gt;"",M106*N106/365/100*('Cashflow Projection'!$B$2-Investors!J106),0)</f>
        <v/>
      </c>
    </row>
    <row r="107">
      <c r="A107" s="3" t="inlineStr">
        <is>
          <t>ZCRO01</t>
        </is>
      </c>
      <c r="B107" s="3" t="inlineStr">
        <is>
          <t>Marc</t>
        </is>
      </c>
      <c r="C107" s="3" t="inlineStr">
        <is>
          <t>Lunau</t>
        </is>
      </c>
      <c r="D107" s="3" t="inlineStr">
        <is>
          <t>Heron Fields</t>
        </is>
      </c>
      <c r="E107" s="3" t="inlineStr">
        <is>
          <t>HFB111</t>
        </is>
      </c>
      <c r="F107" s="3" t="b">
        <v>1</v>
      </c>
      <c r="G107" s="3" t="b">
        <v>1</v>
      </c>
      <c r="H107" s="3" t="inlineStr">
        <is>
          <t>B</t>
        </is>
      </c>
      <c r="I107" s="4" t="n">
        <v>44266</v>
      </c>
      <c r="J107" s="4" t="n">
        <v>44352</v>
      </c>
      <c r="K107" s="4" t="n">
        <v>45027</v>
      </c>
      <c r="L107" s="3" t="n">
        <v>5</v>
      </c>
      <c r="M107" s="3" t="n">
        <v>110000</v>
      </c>
      <c r="N107" s="3" t="n">
        <v>18</v>
      </c>
      <c r="O107" s="3" t="b">
        <v>0</v>
      </c>
      <c r="P107" s="3" t="b">
        <v>0</v>
      </c>
      <c r="Q107" s="3" t="n">
        <v>1619.863013698627</v>
      </c>
      <c r="R107" s="3" t="n">
        <v>36616.43835616438</v>
      </c>
      <c r="S107" s="3" t="n">
        <v>38236.30136986301</v>
      </c>
      <c r="T107" s="5">
        <f>IF(J107&lt;&gt;"",M107*N107/365/100*('Cashflow Projection'!$B$2-Investors!J107),0)</f>
        <v/>
      </c>
    </row>
    <row r="108">
      <c r="A108" s="3" t="inlineStr">
        <is>
          <t>ZLUN01</t>
        </is>
      </c>
      <c r="B108" s="3" t="inlineStr">
        <is>
          <t>Marc</t>
        </is>
      </c>
      <c r="C108" s="3" t="inlineStr">
        <is>
          <t>Lunau</t>
        </is>
      </c>
      <c r="D108" s="3" t="inlineStr">
        <is>
          <t>Heron Fields</t>
        </is>
      </c>
      <c r="E108" s="3" t="inlineStr">
        <is>
          <t>HFB111</t>
        </is>
      </c>
      <c r="F108" s="3" t="b">
        <v>1</v>
      </c>
      <c r="G108" s="3" t="b">
        <v>1</v>
      </c>
      <c r="H108" s="3" t="inlineStr">
        <is>
          <t>B</t>
        </is>
      </c>
      <c r="I108" s="4" t="n">
        <v>44187</v>
      </c>
      <c r="J108" s="4" t="n">
        <v>44352</v>
      </c>
      <c r="K108" s="4" t="n">
        <v>45027</v>
      </c>
      <c r="L108" s="3" t="n">
        <v>6</v>
      </c>
      <c r="M108" s="3" t="n">
        <v>100000</v>
      </c>
      <c r="N108" s="3" t="n">
        <v>18</v>
      </c>
      <c r="O108" s="3" t="b">
        <v>0</v>
      </c>
      <c r="P108" s="3" t="b">
        <v>0</v>
      </c>
      <c r="Q108" s="3" t="n">
        <v>2825.342465753428</v>
      </c>
      <c r="R108" s="3" t="n">
        <v>33287.67123287671</v>
      </c>
      <c r="S108" s="3" t="n">
        <v>36113.01369863014</v>
      </c>
      <c r="T108" s="5">
        <f>IF(J108&lt;&gt;"",M108*N108/365/100*('Cashflow Projection'!$B$2-Investors!J108),0)</f>
        <v/>
      </c>
    </row>
    <row r="109">
      <c r="A109" s="3" t="inlineStr">
        <is>
          <t>ZSCA02</t>
        </is>
      </c>
      <c r="B109" s="3" t="inlineStr">
        <is>
          <t>Chad</t>
        </is>
      </c>
      <c r="C109" s="3" t="inlineStr">
        <is>
          <t>Scalzini</t>
        </is>
      </c>
      <c r="D109" s="3" t="inlineStr">
        <is>
          <t>Heron Fields</t>
        </is>
      </c>
      <c r="E109" s="3" t="inlineStr">
        <is>
          <t>HFB111</t>
        </is>
      </c>
      <c r="F109" s="3" t="b">
        <v>1</v>
      </c>
      <c r="G109" s="3" t="b">
        <v>1</v>
      </c>
      <c r="H109" s="3" t="inlineStr">
        <is>
          <t>B</t>
        </is>
      </c>
      <c r="I109" s="4" t="n">
        <v>44435</v>
      </c>
      <c r="J109" s="4" t="n">
        <v>44508</v>
      </c>
      <c r="K109" s="4" t="n">
        <v>45027</v>
      </c>
      <c r="L109" s="3" t="n">
        <v>1</v>
      </c>
      <c r="M109" s="3" t="n">
        <v>500000</v>
      </c>
      <c r="N109" s="3" t="n">
        <v>18</v>
      </c>
      <c r="O109" s="3" t="b">
        <v>0</v>
      </c>
      <c r="P109" s="3" t="b">
        <v>0</v>
      </c>
      <c r="Q109" s="3" t="n">
        <v>6250.000000000005</v>
      </c>
      <c r="R109" s="3" t="n">
        <v>127972.602739726</v>
      </c>
      <c r="S109" s="3" t="n">
        <v>134222.602739726</v>
      </c>
      <c r="T109" s="5">
        <f>IF(J109&lt;&gt;"",M109*N109/365/100*('Cashflow Projection'!$B$2-Investors!J109),0)</f>
        <v/>
      </c>
    </row>
    <row r="110">
      <c r="A110" s="3" t="inlineStr">
        <is>
          <t>ZSCH03</t>
        </is>
      </c>
      <c r="B110" s="3" t="inlineStr">
        <is>
          <t>Gary James</t>
        </is>
      </c>
      <c r="C110" s="3" t="inlineStr">
        <is>
          <t>Schmidt</t>
        </is>
      </c>
      <c r="D110" s="3" t="inlineStr">
        <is>
          <t>Heron Fields</t>
        </is>
      </c>
      <c r="E110" s="3" t="inlineStr">
        <is>
          <t>HFB111</t>
        </is>
      </c>
      <c r="F110" s="3" t="b">
        <v>1</v>
      </c>
      <c r="G110" s="3" t="b">
        <v>1</v>
      </c>
      <c r="H110" s="3" t="inlineStr">
        <is>
          <t>B</t>
        </is>
      </c>
      <c r="I110" s="4" t="n">
        <v>44323</v>
      </c>
      <c r="J110" s="4" t="n">
        <v>44352</v>
      </c>
      <c r="K110" s="4" t="n">
        <v>45027</v>
      </c>
      <c r="L110" s="3" t="n">
        <v>1</v>
      </c>
      <c r="M110" s="3" t="n">
        <v>200000</v>
      </c>
      <c r="N110" s="3" t="n">
        <v>15</v>
      </c>
      <c r="O110" s="3" t="b">
        <v>0</v>
      </c>
      <c r="P110" s="3" t="b">
        <v>0</v>
      </c>
      <c r="Q110" s="3" t="n">
        <v>993.1506849315075</v>
      </c>
      <c r="R110" s="3" t="n">
        <v>55479.45205479451</v>
      </c>
      <c r="S110" s="3" t="n">
        <v>56472.60273972602</v>
      </c>
      <c r="T110" s="5">
        <f>IF(J110&lt;&gt;"",M110*N110/365/100*('Cashflow Projection'!$B$2-Investors!J110),0)</f>
        <v/>
      </c>
    </row>
    <row r="111">
      <c r="A111" s="3" t="inlineStr">
        <is>
          <t>ZBEN01</t>
        </is>
      </c>
      <c r="B111" s="3" t="inlineStr">
        <is>
          <t>Heino</t>
        </is>
      </c>
      <c r="C111" s="3" t="inlineStr">
        <is>
          <t>Beneke</t>
        </is>
      </c>
      <c r="D111" s="3" t="inlineStr">
        <is>
          <t>Heron Fields</t>
        </is>
      </c>
      <c r="E111" s="3" t="inlineStr">
        <is>
          <t>HFB201</t>
        </is>
      </c>
      <c r="F111" s="3" t="b">
        <v>1</v>
      </c>
      <c r="G111" s="3" t="b">
        <v>1</v>
      </c>
      <c r="H111" s="3" t="inlineStr">
        <is>
          <t>B</t>
        </is>
      </c>
      <c r="I111" s="4" t="n">
        <v>44352</v>
      </c>
      <c r="J111" s="4" t="n">
        <v>44352</v>
      </c>
      <c r="K111" s="4" t="n">
        <v>44936</v>
      </c>
      <c r="L111" s="3" t="n">
        <v>1</v>
      </c>
      <c r="M111" s="3" t="n">
        <v>100000</v>
      </c>
      <c r="N111" s="3" t="n">
        <v>15</v>
      </c>
      <c r="O111" s="3" t="b">
        <v>0</v>
      </c>
      <c r="P111" s="3" t="b">
        <v>0</v>
      </c>
      <c r="Q111" s="3" t="n">
        <v>0</v>
      </c>
      <c r="R111" s="3" t="n">
        <v>24000</v>
      </c>
      <c r="S111" s="3" t="n">
        <v>24000</v>
      </c>
      <c r="T111" s="5">
        <f>IF(J111&lt;&gt;"",M111*N111/365/100*('Cashflow Projection'!$B$2-Investors!J111),0)</f>
        <v/>
      </c>
    </row>
    <row r="112">
      <c r="A112" s="3" t="inlineStr">
        <is>
          <t>ZGLO01</t>
        </is>
      </c>
      <c r="B112" s="3" t="inlineStr">
        <is>
          <t>Elizma</t>
        </is>
      </c>
      <c r="C112" s="3" t="inlineStr">
        <is>
          <t>Goltz</t>
        </is>
      </c>
      <c r="D112" s="3" t="inlineStr">
        <is>
          <t>Heron Fields</t>
        </is>
      </c>
      <c r="E112" s="3" t="inlineStr">
        <is>
          <t>HFB201</t>
        </is>
      </c>
      <c r="F112" s="3" t="b">
        <v>1</v>
      </c>
      <c r="G112" s="3" t="b">
        <v>1</v>
      </c>
      <c r="H112" s="3" t="inlineStr">
        <is>
          <t>B</t>
        </is>
      </c>
      <c r="I112" s="4" t="n">
        <v>44267</v>
      </c>
      <c r="J112" s="4" t="n">
        <v>44378</v>
      </c>
      <c r="K112" s="4" t="n">
        <v>44936</v>
      </c>
      <c r="L112" s="3" t="n">
        <v>1</v>
      </c>
      <c r="M112" s="3" t="n">
        <v>800000</v>
      </c>
      <c r="N112" s="3" t="n">
        <v>18</v>
      </c>
      <c r="O112" s="3" t="b">
        <v>0</v>
      </c>
      <c r="P112" s="3" t="b">
        <v>0</v>
      </c>
      <c r="Q112" s="3" t="n">
        <v>15205.47945205481</v>
      </c>
      <c r="R112" s="3" t="n">
        <v>220142.4657534247</v>
      </c>
      <c r="S112" s="3" t="n">
        <v>235347.9452054795</v>
      </c>
      <c r="T112" s="5">
        <f>IF(J112&lt;&gt;"",M112*N112/365/100*('Cashflow Projection'!$B$2-Investors!J112),0)</f>
        <v/>
      </c>
    </row>
    <row r="113">
      <c r="A113" s="3" t="inlineStr">
        <is>
          <t>ZMIN01</t>
        </is>
      </c>
      <c r="B113" s="3" t="inlineStr">
        <is>
          <t>Irene Petronella</t>
        </is>
      </c>
      <c r="C113" s="3" t="inlineStr">
        <is>
          <t>Minnaar</t>
        </is>
      </c>
      <c r="D113" s="3" t="inlineStr">
        <is>
          <t>Heron Fields</t>
        </is>
      </c>
      <c r="E113" s="3" t="inlineStr">
        <is>
          <t>HFB202</t>
        </is>
      </c>
      <c r="F113" s="3" t="b">
        <v>1</v>
      </c>
      <c r="G113" s="3" t="b">
        <v>1</v>
      </c>
      <c r="H113" s="3" t="inlineStr">
        <is>
          <t>B</t>
        </is>
      </c>
      <c r="I113" s="4" t="n">
        <v>44280</v>
      </c>
      <c r="J113" s="4" t="n">
        <v>44378</v>
      </c>
      <c r="K113" s="4" t="n">
        <v>44895</v>
      </c>
      <c r="L113" s="3" t="n">
        <v>1</v>
      </c>
      <c r="M113" s="3" t="n">
        <v>500000</v>
      </c>
      <c r="N113" s="3" t="n">
        <v>18</v>
      </c>
      <c r="O113" s="3" t="b">
        <v>1</v>
      </c>
      <c r="P113" s="3" t="b">
        <v>0</v>
      </c>
      <c r="Q113" s="3" t="n">
        <v>8390.410958904116</v>
      </c>
      <c r="R113" s="3" t="n">
        <v>127479.4520547945</v>
      </c>
      <c r="S113" s="3" t="n">
        <v>135869.8630136986</v>
      </c>
      <c r="T113" s="5">
        <f>IF(J113&lt;&gt;"",M113*N113/365/100*('Cashflow Projection'!$B$2-Investors!J113),0)</f>
        <v/>
      </c>
    </row>
    <row r="114">
      <c r="A114" s="3" t="inlineStr">
        <is>
          <t>ZRUS01</t>
        </is>
      </c>
      <c r="B114" s="3" t="inlineStr">
        <is>
          <t>Izak Cornelius</t>
        </is>
      </c>
      <c r="C114" s="3" t="inlineStr">
        <is>
          <t>Rust</t>
        </is>
      </c>
      <c r="D114" s="3" t="inlineStr">
        <is>
          <t>Heron Fields</t>
        </is>
      </c>
      <c r="E114" s="3" t="inlineStr">
        <is>
          <t>HFB202</t>
        </is>
      </c>
      <c r="F114" s="3" t="b">
        <v>1</v>
      </c>
      <c r="G114" s="3" t="b">
        <v>1</v>
      </c>
      <c r="H114" s="3" t="inlineStr">
        <is>
          <t>B</t>
        </is>
      </c>
      <c r="I114" s="4" t="n">
        <v>44287</v>
      </c>
      <c r="J114" s="4" t="n">
        <v>44352</v>
      </c>
      <c r="K114" s="4" t="n">
        <v>45007</v>
      </c>
      <c r="L114" s="3" t="n">
        <v>1</v>
      </c>
      <c r="M114" s="3" t="n">
        <v>250000</v>
      </c>
      <c r="N114" s="3" t="n">
        <v>15</v>
      </c>
      <c r="O114" s="3" t="b">
        <v>0</v>
      </c>
      <c r="P114" s="3" t="b">
        <v>0</v>
      </c>
      <c r="Q114" s="3" t="n">
        <v>2782.534246575344</v>
      </c>
      <c r="R114" s="3" t="n">
        <v>67294.5205479452</v>
      </c>
      <c r="S114" s="3" t="n">
        <v>70077.05479452055</v>
      </c>
      <c r="T114" s="5">
        <f>IF(J114&lt;&gt;"",M114*N114/365/100*('Cashflow Projection'!$B$2-Investors!J114),0)</f>
        <v/>
      </c>
    </row>
    <row r="115">
      <c r="A115" s="3" t="inlineStr">
        <is>
          <t>ZVAL01</t>
        </is>
      </c>
      <c r="B115" s="3" t="inlineStr">
        <is>
          <t>Manoj</t>
        </is>
      </c>
      <c r="C115" s="3" t="inlineStr">
        <is>
          <t>Vallabh</t>
        </is>
      </c>
      <c r="D115" s="3" t="inlineStr">
        <is>
          <t>Heron Fields</t>
        </is>
      </c>
      <c r="E115" s="3" t="inlineStr">
        <is>
          <t>HFB202</t>
        </is>
      </c>
      <c r="F115" s="3" t="b">
        <v>1</v>
      </c>
      <c r="G115" s="3" t="b">
        <v>1</v>
      </c>
      <c r="H115" s="3" t="inlineStr">
        <is>
          <t>B</t>
        </is>
      </c>
      <c r="I115" s="4" t="n">
        <v>44286</v>
      </c>
      <c r="J115" s="4" t="n">
        <v>44352</v>
      </c>
      <c r="K115" s="4" t="n">
        <v>45007</v>
      </c>
      <c r="L115" s="3" t="n">
        <v>1</v>
      </c>
      <c r="M115" s="3" t="n">
        <v>150000</v>
      </c>
      <c r="N115" s="3" t="n">
        <v>15</v>
      </c>
      <c r="O115" s="3" t="b">
        <v>0</v>
      </c>
      <c r="P115" s="3" t="b">
        <v>0</v>
      </c>
      <c r="Q115" s="3" t="n">
        <v>1695.205479452056</v>
      </c>
      <c r="R115" s="3" t="n">
        <v>40376.71232876713</v>
      </c>
      <c r="S115" s="3" t="n">
        <v>42071.91780821919</v>
      </c>
      <c r="T115" s="5">
        <f>IF(J115&lt;&gt;"",M115*N115/365/100*('Cashflow Projection'!$B$2-Investors!J115),0)</f>
        <v/>
      </c>
    </row>
    <row r="116">
      <c r="A116" s="3" t="inlineStr">
        <is>
          <t>ZDIC01</t>
        </is>
      </c>
      <c r="B116" s="3" t="inlineStr">
        <is>
          <t>Grant Allan</t>
        </is>
      </c>
      <c r="C116" s="3" t="inlineStr">
        <is>
          <t>Dickinson</t>
        </is>
      </c>
      <c r="D116" s="3" t="inlineStr">
        <is>
          <t>Heron Fields</t>
        </is>
      </c>
      <c r="E116" s="3" t="inlineStr">
        <is>
          <t>HFB203</t>
        </is>
      </c>
      <c r="F116" s="3" t="b">
        <v>1</v>
      </c>
      <c r="G116" s="3" t="b">
        <v>1</v>
      </c>
      <c r="H116" s="3" t="inlineStr">
        <is>
          <t>B</t>
        </is>
      </c>
      <c r="I116" s="4" t="n">
        <v>44286</v>
      </c>
      <c r="J116" s="4" t="n">
        <v>44352</v>
      </c>
      <c r="K116" s="4" t="n">
        <v>44895</v>
      </c>
      <c r="L116" s="3" t="n">
        <v>4</v>
      </c>
      <c r="M116" s="3" t="n">
        <v>600000</v>
      </c>
      <c r="N116" s="3" t="n">
        <v>18</v>
      </c>
      <c r="O116" s="3" t="b">
        <v>1</v>
      </c>
      <c r="P116" s="3" t="b">
        <v>0</v>
      </c>
      <c r="Q116" s="3" t="n">
        <v>6780.821917808225</v>
      </c>
      <c r="R116" s="3" t="n">
        <v>160668.4931506849</v>
      </c>
      <c r="S116" s="3" t="n">
        <v>167449.3150684932</v>
      </c>
      <c r="T116" s="5">
        <f>IF(J116&lt;&gt;"",M116*N116/365/100*('Cashflow Projection'!$B$2-Investors!J116),0)</f>
        <v/>
      </c>
    </row>
    <row r="117">
      <c r="A117" s="3" t="inlineStr">
        <is>
          <t>ZWAL01</t>
        </is>
      </c>
      <c r="B117" s="3" t="inlineStr">
        <is>
          <t>Benedict Joseph</t>
        </is>
      </c>
      <c r="C117" s="3" t="inlineStr">
        <is>
          <t>Walters</t>
        </is>
      </c>
      <c r="D117" s="3" t="inlineStr">
        <is>
          <t>Heron Fields</t>
        </is>
      </c>
      <c r="E117" s="3" t="inlineStr">
        <is>
          <t>HFB203</t>
        </is>
      </c>
      <c r="F117" s="3" t="b">
        <v>1</v>
      </c>
      <c r="G117" s="3" t="b">
        <v>1</v>
      </c>
      <c r="H117" s="3" t="inlineStr">
        <is>
          <t>B</t>
        </is>
      </c>
      <c r="I117" s="4" t="n">
        <v>44293</v>
      </c>
      <c r="J117" s="4" t="n">
        <v>44352</v>
      </c>
      <c r="K117" s="4" t="n">
        <v>44936</v>
      </c>
      <c r="L117" s="3" t="n">
        <v>1</v>
      </c>
      <c r="M117" s="3" t="n">
        <v>150000</v>
      </c>
      <c r="N117" s="3" t="n">
        <v>15</v>
      </c>
      <c r="O117" s="3" t="b">
        <v>0</v>
      </c>
      <c r="P117" s="3" t="b">
        <v>0</v>
      </c>
      <c r="Q117" s="3" t="n">
        <v>1515.410958904111</v>
      </c>
      <c r="R117" s="3" t="n">
        <v>36000</v>
      </c>
      <c r="S117" s="3" t="n">
        <v>37515.41095890411</v>
      </c>
      <c r="T117" s="5">
        <f>IF(J117&lt;&gt;"",M117*N117/365/100*('Cashflow Projection'!$B$2-Investors!J117),0)</f>
        <v/>
      </c>
    </row>
    <row r="118">
      <c r="A118" s="3" t="inlineStr">
        <is>
          <t>ZDEB01</t>
        </is>
      </c>
      <c r="B118" s="3" t="inlineStr">
        <is>
          <t>William Henry</t>
        </is>
      </c>
      <c r="C118" s="3" t="inlineStr">
        <is>
          <t>De Beer</t>
        </is>
      </c>
      <c r="D118" s="3" t="inlineStr">
        <is>
          <t>Heron Fields</t>
        </is>
      </c>
      <c r="E118" s="3" t="inlineStr">
        <is>
          <t>HFB204</t>
        </is>
      </c>
      <c r="F118" s="3" t="b">
        <v>1</v>
      </c>
      <c r="G118" s="3" t="b">
        <v>1</v>
      </c>
      <c r="H118" s="3" t="inlineStr">
        <is>
          <t>B</t>
        </is>
      </c>
      <c r="I118" s="4" t="n">
        <v>44278</v>
      </c>
      <c r="J118" s="4" t="n">
        <v>44352</v>
      </c>
      <c r="K118" s="4" t="n">
        <v>44998</v>
      </c>
      <c r="L118" s="3" t="n">
        <v>2</v>
      </c>
      <c r="M118" s="3" t="n">
        <v>900000</v>
      </c>
      <c r="N118" s="3" t="n">
        <v>18</v>
      </c>
      <c r="O118" s="3" t="b">
        <v>1</v>
      </c>
      <c r="P118" s="3" t="b">
        <v>0</v>
      </c>
      <c r="Q118" s="3" t="n">
        <v>11404.10958904111</v>
      </c>
      <c r="R118" s="3" t="n">
        <v>286717.8082191781</v>
      </c>
      <c r="S118" s="3" t="n">
        <v>298121.9178082192</v>
      </c>
      <c r="T118" s="5">
        <f>IF(J118&lt;&gt;"",M118*N118/365/100*('Cashflow Projection'!$B$2-Investors!J118),0)</f>
        <v/>
      </c>
    </row>
    <row r="119">
      <c r="A119" s="3" t="inlineStr">
        <is>
          <t>ZDEB01</t>
        </is>
      </c>
      <c r="B119" s="3" t="inlineStr">
        <is>
          <t>William Henry</t>
        </is>
      </c>
      <c r="C119" s="3" t="inlineStr">
        <is>
          <t>De Beer</t>
        </is>
      </c>
      <c r="D119" s="3" t="inlineStr">
        <is>
          <t>Heron Fields</t>
        </is>
      </c>
      <c r="E119" s="3" t="inlineStr">
        <is>
          <t>HFB205</t>
        </is>
      </c>
      <c r="F119" s="3" t="b">
        <v>1</v>
      </c>
      <c r="G119" s="3" t="b">
        <v>1</v>
      </c>
      <c r="H119" s="3" t="inlineStr">
        <is>
          <t>B</t>
        </is>
      </c>
      <c r="I119" s="4" t="n">
        <v>44278</v>
      </c>
      <c r="J119" s="4" t="n">
        <v>44352</v>
      </c>
      <c r="K119" s="4" t="n">
        <v>44974</v>
      </c>
      <c r="L119" s="3" t="n">
        <v>3</v>
      </c>
      <c r="M119" s="3" t="n">
        <v>900000</v>
      </c>
      <c r="N119" s="3" t="n">
        <v>18</v>
      </c>
      <c r="O119" s="3" t="b">
        <v>0</v>
      </c>
      <c r="P119" s="3" t="b">
        <v>0</v>
      </c>
      <c r="Q119" s="3" t="n">
        <v>11404.10958904111</v>
      </c>
      <c r="R119" s="3" t="n">
        <v>276065.7534246575</v>
      </c>
      <c r="S119" s="3" t="n">
        <v>287469.8630136986</v>
      </c>
      <c r="T119" s="5">
        <f>IF(J119&lt;&gt;"",M119*N119/365/100*('Cashflow Projection'!$B$2-Investors!J119),0)</f>
        <v/>
      </c>
    </row>
    <row r="120">
      <c r="A120" s="3" t="inlineStr">
        <is>
          <t>ZDEL01</t>
        </is>
      </c>
      <c r="B120" s="3" t="inlineStr">
        <is>
          <t>Pieter</t>
        </is>
      </c>
      <c r="C120" s="3" t="inlineStr">
        <is>
          <t>Jansen van Vuuren</t>
        </is>
      </c>
      <c r="D120" s="3" t="inlineStr">
        <is>
          <t>Heron Fields</t>
        </is>
      </c>
      <c r="E120" s="3" t="inlineStr">
        <is>
          <t>HFB206</t>
        </is>
      </c>
      <c r="F120" s="3" t="b">
        <v>1</v>
      </c>
      <c r="G120" s="3" t="b">
        <v>0</v>
      </c>
      <c r="H120" s="3" t="inlineStr">
        <is>
          <t>B</t>
        </is>
      </c>
      <c r="I120" s="4" t="n">
        <v>44473</v>
      </c>
      <c r="J120" s="4" t="n">
        <v>44618</v>
      </c>
      <c r="K120" s="4" t="n">
        <v>45343</v>
      </c>
      <c r="L120" s="3" t="n">
        <v>1</v>
      </c>
      <c r="M120" s="3" t="n">
        <v>1000000</v>
      </c>
      <c r="N120" s="3" t="n">
        <v>18</v>
      </c>
      <c r="O120" s="3" t="b">
        <v>1</v>
      </c>
      <c r="P120" s="3" t="b">
        <v>0</v>
      </c>
      <c r="Q120" s="3" t="n">
        <v>25609.58904109591</v>
      </c>
      <c r="R120" s="3" t="n">
        <v>357534.2465753425</v>
      </c>
      <c r="S120" s="3" t="n">
        <v>383143.8356164384</v>
      </c>
      <c r="T120" s="5">
        <f>IF(J120&lt;&gt;"",M120*N120/365/100*('Cashflow Projection'!$B$2-Investors!J120),0)</f>
        <v/>
      </c>
    </row>
    <row r="121">
      <c r="A121" s="3" t="inlineStr">
        <is>
          <t>ZDAD01</t>
        </is>
      </c>
      <c r="B121" s="3" t="inlineStr">
        <is>
          <t>Feroz</t>
        </is>
      </c>
      <c r="C121" s="3" t="inlineStr">
        <is>
          <t>Dadoo</t>
        </is>
      </c>
      <c r="D121" s="3" t="inlineStr">
        <is>
          <t>Heron Fields</t>
        </is>
      </c>
      <c r="E121" s="3" t="inlineStr">
        <is>
          <t>HFB207</t>
        </is>
      </c>
      <c r="F121" s="3" t="b">
        <v>0</v>
      </c>
      <c r="G121" s="3" t="b">
        <v>0</v>
      </c>
      <c r="H121" s="3" t="inlineStr">
        <is>
          <t>B</t>
        </is>
      </c>
      <c r="I121" s="4" t="n">
        <v>44287</v>
      </c>
      <c r="J121" s="4" t="n">
        <v>44352</v>
      </c>
      <c r="K121" s="4" t="n">
        <v>45035</v>
      </c>
      <c r="L121" s="3" t="n">
        <v>2</v>
      </c>
      <c r="M121" s="3" t="n">
        <v>500000</v>
      </c>
      <c r="N121" s="3" t="n">
        <v>18</v>
      </c>
      <c r="O121" s="3" t="b">
        <v>1</v>
      </c>
      <c r="P121" s="3" t="b">
        <v>0</v>
      </c>
      <c r="Q121" s="3" t="n">
        <v>5565.068493150688</v>
      </c>
      <c r="R121" s="3" t="n">
        <v>168410.9589041096</v>
      </c>
      <c r="S121" s="3" t="n">
        <v>173976.0273972603</v>
      </c>
      <c r="T121" s="5">
        <f>IF(J121&lt;&gt;"",M121*N121/365/100*('Cashflow Projection'!$B$2-Investors!J121),0)</f>
        <v/>
      </c>
    </row>
    <row r="122">
      <c r="A122" s="3" t="inlineStr">
        <is>
          <t>ZGIL01</t>
        </is>
      </c>
      <c r="B122" s="3" t="inlineStr">
        <is>
          <t>Estelle Maria</t>
        </is>
      </c>
      <c r="C122" s="3" t="inlineStr">
        <is>
          <t>Gildenhuys</t>
        </is>
      </c>
      <c r="D122" s="3" t="inlineStr">
        <is>
          <t>Heron Fields</t>
        </is>
      </c>
      <c r="E122" s="3" t="inlineStr">
        <is>
          <t>HFB207</t>
        </is>
      </c>
      <c r="F122" s="3" t="b">
        <v>0</v>
      </c>
      <c r="G122" s="3" t="b">
        <v>0</v>
      </c>
      <c r="H122" s="3" t="inlineStr">
        <is>
          <t>B</t>
        </is>
      </c>
      <c r="I122" s="4" t="n">
        <v>44298</v>
      </c>
      <c r="J122" s="4" t="n">
        <v>44352</v>
      </c>
      <c r="K122" s="4" t="n">
        <v>45106</v>
      </c>
      <c r="L122" s="3" t="n">
        <v>2</v>
      </c>
      <c r="M122" s="3" t="n">
        <v>400000</v>
      </c>
      <c r="N122" s="3" t="n">
        <v>18</v>
      </c>
      <c r="O122" s="3" t="b">
        <v>1</v>
      </c>
      <c r="P122" s="3" t="b">
        <v>0</v>
      </c>
      <c r="Q122" s="3" t="n">
        <v>3698.630136986305</v>
      </c>
      <c r="R122" s="3" t="n">
        <v>148734.2465753425</v>
      </c>
      <c r="S122" s="3" t="n">
        <v>152432.8767123288</v>
      </c>
      <c r="T122" s="5">
        <f>IF(J122&lt;&gt;"",M122*N122/365/100*('Cashflow Projection'!$B$2-Investors!J122),0)</f>
        <v/>
      </c>
    </row>
    <row r="123">
      <c r="A123" s="3" t="inlineStr">
        <is>
          <t>ZFLA01</t>
        </is>
      </c>
      <c r="B123" s="3" t="inlineStr">
        <is>
          <t>Jose Manuel Rezende</t>
        </is>
      </c>
      <c r="C123" s="3" t="inlineStr">
        <is>
          <t>Flamengo</t>
        </is>
      </c>
      <c r="D123" s="3" t="inlineStr">
        <is>
          <t>Heron Fields</t>
        </is>
      </c>
      <c r="E123" s="3" t="inlineStr">
        <is>
          <t>HFB208</t>
        </is>
      </c>
      <c r="F123" s="3" t="b">
        <v>1</v>
      </c>
      <c r="G123" s="3" t="b">
        <v>1</v>
      </c>
      <c r="H123" s="3" t="inlineStr">
        <is>
          <t>B</t>
        </is>
      </c>
      <c r="I123" s="4" t="n">
        <v>44763</v>
      </c>
      <c r="J123" s="4" t="n">
        <v>44840</v>
      </c>
      <c r="K123" s="4" t="n">
        <v>45002</v>
      </c>
      <c r="L123" s="3" t="n">
        <v>1</v>
      </c>
      <c r="M123" s="3" t="n">
        <v>400000</v>
      </c>
      <c r="N123" s="3" t="n">
        <v>15</v>
      </c>
      <c r="O123" s="3" t="b">
        <v>0</v>
      </c>
      <c r="P123" s="3" t="b">
        <v>0</v>
      </c>
      <c r="Q123" s="3" t="n">
        <v>6928.767123287678</v>
      </c>
      <c r="R123" s="3" t="n">
        <v>26630.13698630137</v>
      </c>
      <c r="S123" s="3" t="n">
        <v>33558.90410958904</v>
      </c>
      <c r="T123" s="5">
        <f>IF(J123&lt;&gt;"",M123*N123/365/100*('Cashflow Projection'!$B$2-Investors!J123),0)</f>
        <v/>
      </c>
    </row>
    <row r="124">
      <c r="A124" s="3" t="inlineStr">
        <is>
          <t>ZHAA01</t>
        </is>
      </c>
      <c r="B124" s="3" t="inlineStr">
        <is>
          <t>Maresia</t>
        </is>
      </c>
      <c r="C124" s="3" t="inlineStr">
        <is>
          <t>Haasbroek</t>
        </is>
      </c>
      <c r="D124" s="3" t="inlineStr">
        <is>
          <t>Heron Fields</t>
        </is>
      </c>
      <c r="E124" s="3" t="inlineStr">
        <is>
          <t>HFB208</t>
        </is>
      </c>
      <c r="F124" s="3" t="b">
        <v>1</v>
      </c>
      <c r="G124" s="3" t="b">
        <v>1</v>
      </c>
      <c r="H124" s="3" t="inlineStr">
        <is>
          <t>B</t>
        </is>
      </c>
      <c r="I124" s="4" t="n">
        <v>44286</v>
      </c>
      <c r="J124" s="4" t="n">
        <v>44352</v>
      </c>
      <c r="K124" s="4" t="n">
        <v>45002</v>
      </c>
      <c r="L124" s="3" t="n">
        <v>1</v>
      </c>
      <c r="M124" s="3" t="n">
        <v>500000</v>
      </c>
      <c r="N124" s="3" t="n">
        <v>18</v>
      </c>
      <c r="O124" s="3" t="b">
        <v>0</v>
      </c>
      <c r="P124" s="3" t="b">
        <v>0</v>
      </c>
      <c r="Q124" s="3" t="n">
        <v>5650.684931506853</v>
      </c>
      <c r="R124" s="3" t="n">
        <v>160273.9726027397</v>
      </c>
      <c r="S124" s="3" t="n">
        <v>165924.6575342466</v>
      </c>
      <c r="T124" s="5">
        <f>IF(J124&lt;&gt;"",M124*N124/365/100*('Cashflow Projection'!$B$2-Investors!J124),0)</f>
        <v/>
      </c>
    </row>
    <row r="125">
      <c r="A125" s="3" t="inlineStr">
        <is>
          <t>ZDEB01</t>
        </is>
      </c>
      <c r="B125" s="3" t="inlineStr">
        <is>
          <t>William Henry</t>
        </is>
      </c>
      <c r="C125" s="3" t="inlineStr">
        <is>
          <t>De Beer</t>
        </is>
      </c>
      <c r="D125" s="3" t="inlineStr">
        <is>
          <t>Heron Fields</t>
        </is>
      </c>
      <c r="E125" s="3" t="inlineStr">
        <is>
          <t>HFB209</t>
        </is>
      </c>
      <c r="F125" s="3" t="b">
        <v>1</v>
      </c>
      <c r="G125" s="3" t="b">
        <v>1</v>
      </c>
      <c r="H125" s="3" t="inlineStr">
        <is>
          <t>B</t>
        </is>
      </c>
      <c r="I125" s="4" t="n">
        <v>44286</v>
      </c>
      <c r="J125" s="4" t="n">
        <v>44352</v>
      </c>
      <c r="K125" s="4" t="n">
        <v>45036</v>
      </c>
      <c r="L125" s="3" t="n">
        <v>4</v>
      </c>
      <c r="M125" s="3" t="n">
        <v>900000</v>
      </c>
      <c r="N125" s="3" t="n">
        <v>18</v>
      </c>
      <c r="O125" s="3" t="b">
        <v>1</v>
      </c>
      <c r="P125" s="3" t="b">
        <v>0</v>
      </c>
      <c r="Q125" s="3" t="n">
        <v>10171.23287671234</v>
      </c>
      <c r="R125" s="3" t="n">
        <v>303583.5616438356</v>
      </c>
      <c r="S125" s="3" t="n">
        <v>313754.794520548</v>
      </c>
      <c r="T125" s="5">
        <f>IF(J125&lt;&gt;"",M125*N125/365/100*('Cashflow Projection'!$B$2-Investors!J125),0)</f>
        <v/>
      </c>
    </row>
    <row r="126">
      <c r="A126" s="3" t="inlineStr">
        <is>
          <t>ZEDE01</t>
        </is>
      </c>
      <c r="B126" s="3" t="inlineStr">
        <is>
          <t>JP</t>
        </is>
      </c>
      <c r="C126" s="3" t="inlineStr">
        <is>
          <t>van Eden</t>
        </is>
      </c>
      <c r="D126" s="3" t="inlineStr">
        <is>
          <t>Heron Fields</t>
        </is>
      </c>
      <c r="E126" s="3" t="inlineStr">
        <is>
          <t>HFB210</t>
        </is>
      </c>
      <c r="F126" s="3" t="b">
        <v>0</v>
      </c>
      <c r="G126" s="3" t="b">
        <v>0</v>
      </c>
      <c r="H126" s="3" t="inlineStr">
        <is>
          <t>B</t>
        </is>
      </c>
      <c r="I126" s="4" t="n">
        <v>44294</v>
      </c>
      <c r="J126" s="4" t="n">
        <v>44352</v>
      </c>
      <c r="K126" s="4" t="n">
        <v>45035</v>
      </c>
      <c r="L126" s="3" t="n">
        <v>1</v>
      </c>
      <c r="M126" s="3" t="n">
        <v>500000</v>
      </c>
      <c r="N126" s="3" t="n">
        <v>18</v>
      </c>
      <c r="O126" s="3" t="b">
        <v>1</v>
      </c>
      <c r="P126" s="3" t="b">
        <v>0</v>
      </c>
      <c r="Q126" s="3" t="n">
        <v>4965.753424657537</v>
      </c>
      <c r="R126" s="3" t="n">
        <v>168410.9589041096</v>
      </c>
      <c r="S126" s="3" t="n">
        <v>173376.7123287671</v>
      </c>
      <c r="T126" s="5">
        <f>IF(J126&lt;&gt;"",M126*N126/365/100*('Cashflow Projection'!$B$2-Investors!J126),0)</f>
        <v/>
      </c>
    </row>
    <row r="127">
      <c r="A127" s="3" t="inlineStr">
        <is>
          <t>ZJAN02</t>
        </is>
      </c>
      <c r="B127" s="3" t="inlineStr">
        <is>
          <t>Lynne</t>
        </is>
      </c>
      <c r="C127" s="3" t="inlineStr">
        <is>
          <t>Jansen van Vuuren</t>
        </is>
      </c>
      <c r="D127" s="3" t="inlineStr">
        <is>
          <t>Heron Fields</t>
        </is>
      </c>
      <c r="E127" s="3" t="inlineStr">
        <is>
          <t>HFB210</t>
        </is>
      </c>
      <c r="F127" s="3" t="b">
        <v>0</v>
      </c>
      <c r="G127" s="3" t="b">
        <v>0</v>
      </c>
      <c r="H127" s="3" t="inlineStr">
        <is>
          <t>B</t>
        </is>
      </c>
      <c r="I127" s="4" t="n">
        <v>44494</v>
      </c>
      <c r="J127" s="4" t="n">
        <v>44664</v>
      </c>
      <c r="K127" s="4" t="n">
        <v>45343</v>
      </c>
      <c r="L127" s="3" t="n">
        <v>1</v>
      </c>
      <c r="M127" s="3" t="n">
        <v>100000</v>
      </c>
      <c r="N127" s="3" t="n">
        <v>14</v>
      </c>
      <c r="O127" s="3" t="b">
        <v>1</v>
      </c>
      <c r="P127" s="3" t="b">
        <v>0</v>
      </c>
      <c r="Q127" s="3" t="n">
        <v>3060.958904109598</v>
      </c>
      <c r="R127" s="3" t="n">
        <v>26043.83561643835</v>
      </c>
      <c r="S127" s="3" t="n">
        <v>29104.79452054795</v>
      </c>
      <c r="T127" s="5">
        <f>IF(J127&lt;&gt;"",M127*N127/365/100*('Cashflow Projection'!$B$2-Investors!J127),0)</f>
        <v/>
      </c>
    </row>
    <row r="128">
      <c r="A128" s="3" t="inlineStr">
        <is>
          <t>ZMBA01</t>
        </is>
      </c>
      <c r="B128" s="3" t="inlineStr">
        <is>
          <t>Vincent Mogoane</t>
        </is>
      </c>
      <c r="C128" s="3" t="inlineStr">
        <is>
          <t>Mbatha</t>
        </is>
      </c>
      <c r="D128" s="3" t="inlineStr">
        <is>
          <t>Heron Fields</t>
        </is>
      </c>
      <c r="E128" s="3" t="inlineStr">
        <is>
          <t>HFB210</t>
        </is>
      </c>
      <c r="F128" s="3" t="b">
        <v>0</v>
      </c>
      <c r="G128" s="3" t="b">
        <v>0</v>
      </c>
      <c r="H128" s="3" t="inlineStr">
        <is>
          <t>B</t>
        </is>
      </c>
      <c r="I128" s="4" t="n">
        <v>44477</v>
      </c>
      <c r="J128" s="4" t="n">
        <v>44618</v>
      </c>
      <c r="K128" s="4" t="n">
        <v>45323</v>
      </c>
      <c r="L128" s="3" t="n">
        <v>1</v>
      </c>
      <c r="M128" s="3" t="n">
        <v>200000</v>
      </c>
      <c r="N128" s="3" t="n">
        <v>14</v>
      </c>
      <c r="O128" s="3" t="b">
        <v>1</v>
      </c>
      <c r="P128" s="3" t="b">
        <v>0</v>
      </c>
      <c r="Q128" s="3" t="n">
        <v>4984.931506849328</v>
      </c>
      <c r="R128" s="3" t="n">
        <v>54082.19178082192</v>
      </c>
      <c r="S128" s="3" t="n">
        <v>59067.12328767125</v>
      </c>
      <c r="T128" s="5">
        <f>IF(J128&lt;&gt;"",M128*N128/365/100*('Cashflow Projection'!$B$2-Investors!J128),0)</f>
        <v/>
      </c>
    </row>
    <row r="129">
      <c r="A129" s="3" t="inlineStr">
        <is>
          <t>ZAFR01</t>
        </is>
      </c>
      <c r="B129" s="3" t="inlineStr">
        <is>
          <t>John Robert</t>
        </is>
      </c>
      <c r="C129" s="3" t="inlineStr">
        <is>
          <t>Zylstra</t>
        </is>
      </c>
      <c r="D129" s="3" t="inlineStr">
        <is>
          <t>Heron Fields</t>
        </is>
      </c>
      <c r="E129" s="3" t="inlineStr">
        <is>
          <t>HFB211</t>
        </is>
      </c>
      <c r="F129" s="3" t="b">
        <v>0</v>
      </c>
      <c r="G129" s="3" t="b">
        <v>0</v>
      </c>
      <c r="H129" s="3" t="inlineStr">
        <is>
          <t>B</t>
        </is>
      </c>
      <c r="I129" s="4" t="n">
        <v>44287</v>
      </c>
      <c r="J129" s="4" t="n">
        <v>44352</v>
      </c>
      <c r="K129" s="4" t="n">
        <v>45035</v>
      </c>
      <c r="L129" s="3" t="n">
        <v>1</v>
      </c>
      <c r="M129" s="3" t="n">
        <v>700000</v>
      </c>
      <c r="N129" s="3" t="n">
        <v>18</v>
      </c>
      <c r="O129" s="3" t="b">
        <v>1</v>
      </c>
      <c r="P129" s="3" t="b">
        <v>0</v>
      </c>
      <c r="Q129" s="3" t="n">
        <v>7791.095890410967</v>
      </c>
      <c r="R129" s="3" t="n">
        <v>235775.3424657534</v>
      </c>
      <c r="S129" s="3" t="n">
        <v>243566.4383561644</v>
      </c>
      <c r="T129" s="5">
        <f>IF(J129&lt;&gt;"",M129*N129/365/100*('Cashflow Projection'!$B$2-Investors!J129),0)</f>
        <v/>
      </c>
    </row>
    <row r="130">
      <c r="A130" s="3" t="inlineStr">
        <is>
          <t>ZBEN02</t>
        </is>
      </c>
      <c r="B130" s="3" t="inlineStr">
        <is>
          <t>Veronica</t>
        </is>
      </c>
      <c r="C130" s="3" t="inlineStr">
        <is>
          <t>Beneke</t>
        </is>
      </c>
      <c r="D130" s="3" t="inlineStr">
        <is>
          <t>Heron Fields</t>
        </is>
      </c>
      <c r="E130" s="3" t="inlineStr">
        <is>
          <t>HFB211</t>
        </is>
      </c>
      <c r="F130" s="3" t="b">
        <v>0</v>
      </c>
      <c r="G130" s="3" t="b">
        <v>0</v>
      </c>
      <c r="H130" s="3" t="inlineStr">
        <is>
          <t>B</t>
        </is>
      </c>
      <c r="I130" s="4" t="n">
        <v>44315</v>
      </c>
      <c r="J130" s="4" t="n">
        <v>44352</v>
      </c>
      <c r="K130" s="4" t="n">
        <v>45106</v>
      </c>
      <c r="L130" s="3" t="n">
        <v>1</v>
      </c>
      <c r="M130" s="3" t="n">
        <v>200000</v>
      </c>
      <c r="N130" s="3" t="n">
        <v>15</v>
      </c>
      <c r="O130" s="3" t="b">
        <v>1</v>
      </c>
      <c r="P130" s="3" t="b">
        <v>0</v>
      </c>
      <c r="Q130" s="3" t="n">
        <v>1267.123287671234</v>
      </c>
      <c r="R130" s="3" t="n">
        <v>61972.60273972603</v>
      </c>
      <c r="S130" s="3" t="n">
        <v>63239.72602739726</v>
      </c>
      <c r="T130" s="5">
        <f>IF(J130&lt;&gt;"",M130*N130/365/100*('Cashflow Projection'!$B$2-Investors!J130),0)</f>
        <v/>
      </c>
    </row>
    <row r="131">
      <c r="A131" s="3" t="inlineStr">
        <is>
          <t>ZDIC01</t>
        </is>
      </c>
      <c r="B131" s="3" t="inlineStr">
        <is>
          <t>Grant Allan</t>
        </is>
      </c>
      <c r="C131" s="3" t="inlineStr">
        <is>
          <t>Dickinson</t>
        </is>
      </c>
      <c r="D131" s="3" t="inlineStr">
        <is>
          <t>Heron Fields</t>
        </is>
      </c>
      <c r="E131" s="3" t="inlineStr">
        <is>
          <t>HFB212</t>
        </is>
      </c>
      <c r="F131" s="3" t="b">
        <v>0</v>
      </c>
      <c r="G131" s="3" t="b">
        <v>0</v>
      </c>
      <c r="H131" s="3" t="inlineStr">
        <is>
          <t>B</t>
        </is>
      </c>
      <c r="I131" s="4" t="n">
        <v>44286</v>
      </c>
      <c r="J131" s="4" t="n">
        <v>44352</v>
      </c>
      <c r="K131" s="4" t="n">
        <v>45056</v>
      </c>
      <c r="L131" s="3" t="n">
        <v>5</v>
      </c>
      <c r="M131" s="3" t="n">
        <v>900000</v>
      </c>
      <c r="N131" s="3" t="n">
        <v>18</v>
      </c>
      <c r="O131" s="3" t="b">
        <v>1</v>
      </c>
      <c r="P131" s="3" t="b">
        <v>0</v>
      </c>
      <c r="Q131" s="3" t="n">
        <v>10171.23287671234</v>
      </c>
      <c r="R131" s="3" t="n">
        <v>312460.2739726027</v>
      </c>
      <c r="S131" s="3" t="n">
        <v>322631.5068493151</v>
      </c>
      <c r="T131" s="5">
        <f>IF(J131&lt;&gt;"",M131*N131/365/100*('Cashflow Projection'!$B$2-Investors!J131),0)</f>
        <v/>
      </c>
    </row>
    <row r="132">
      <c r="A132" s="3" t="inlineStr">
        <is>
          <t>ZREN01</t>
        </is>
      </c>
      <c r="B132" s="3" t="inlineStr">
        <is>
          <t>Marlene Ann</t>
        </is>
      </c>
      <c r="C132" s="3" t="inlineStr">
        <is>
          <t>van Rensburg</t>
        </is>
      </c>
      <c r="D132" s="3" t="inlineStr">
        <is>
          <t>Heron Fields</t>
        </is>
      </c>
      <c r="E132" s="3" t="inlineStr">
        <is>
          <t>HFB213</t>
        </is>
      </c>
      <c r="F132" s="3" t="b">
        <v>0</v>
      </c>
      <c r="G132" s="3" t="b">
        <v>0</v>
      </c>
      <c r="H132" s="3" t="inlineStr">
        <is>
          <t>B</t>
        </is>
      </c>
      <c r="I132" s="4" t="n">
        <v>44460</v>
      </c>
      <c r="J132" s="4" t="n">
        <v>44550</v>
      </c>
      <c r="K132" s="4" t="n">
        <v>45267</v>
      </c>
      <c r="L132" s="3" t="n">
        <v>1</v>
      </c>
      <c r="M132" s="3" t="n">
        <v>1000000</v>
      </c>
      <c r="N132" s="3" t="n">
        <v>18</v>
      </c>
      <c r="O132" s="3" t="b">
        <v>1</v>
      </c>
      <c r="P132" s="3" t="b">
        <v>0</v>
      </c>
      <c r="Q132" s="3" t="n">
        <v>15547.94520547947</v>
      </c>
      <c r="R132" s="3" t="n">
        <v>353589.0410958905</v>
      </c>
      <c r="S132" s="3" t="n">
        <v>369136.9863013699</v>
      </c>
      <c r="T132" s="5">
        <f>IF(J132&lt;&gt;"",M132*N132/365/100*('Cashflow Projection'!$B$2-Investors!J132),0)</f>
        <v/>
      </c>
    </row>
    <row r="133">
      <c r="A133" s="3" t="inlineStr">
        <is>
          <t>ZDEL01</t>
        </is>
      </c>
      <c r="B133" s="3" t="inlineStr">
        <is>
          <t>Pieter</t>
        </is>
      </c>
      <c r="C133" s="3" t="inlineStr">
        <is>
          <t>Jansen van Vuuren</t>
        </is>
      </c>
      <c r="D133" s="3" t="inlineStr">
        <is>
          <t>Heron Fields</t>
        </is>
      </c>
      <c r="E133" s="3" t="inlineStr">
        <is>
          <t>HFB214</t>
        </is>
      </c>
      <c r="F133" s="3" t="b">
        <v>1</v>
      </c>
      <c r="G133" s="3" t="b">
        <v>1</v>
      </c>
      <c r="H133" s="3" t="inlineStr">
        <is>
          <t>B</t>
        </is>
      </c>
      <c r="I133" s="4" t="n">
        <v>44473</v>
      </c>
      <c r="J133" s="4" t="n">
        <v>44618</v>
      </c>
      <c r="K133" s="4" t="n">
        <v>45128</v>
      </c>
      <c r="L133" s="3" t="n">
        <v>2</v>
      </c>
      <c r="M133" s="3" t="n">
        <v>1000000</v>
      </c>
      <c r="N133" s="3" t="n">
        <v>18</v>
      </c>
      <c r="O133" s="3" t="b">
        <v>0</v>
      </c>
      <c r="P133" s="3" t="b">
        <v>0</v>
      </c>
      <c r="Q133" s="3" t="n">
        <v>25609.58904109591</v>
      </c>
      <c r="R133" s="3" t="n">
        <v>251506.8493150685</v>
      </c>
      <c r="S133" s="3" t="n">
        <v>277116.4383561644</v>
      </c>
      <c r="T133" s="5">
        <f>IF(J133&lt;&gt;"",M133*N133/365/100*('Cashflow Projection'!$B$2-Investors!J133),0)</f>
        <v/>
      </c>
    </row>
    <row r="134">
      <c r="A134" s="3" t="inlineStr">
        <is>
          <t>ZKUS04</t>
        </is>
      </c>
      <c r="B134" s="3" t="inlineStr">
        <is>
          <t>Willie</t>
        </is>
      </c>
      <c r="C134" s="3" t="inlineStr">
        <is>
          <t>Kusel</t>
        </is>
      </c>
      <c r="D134" s="3" t="inlineStr">
        <is>
          <t>Heron Fields</t>
        </is>
      </c>
      <c r="E134" s="3" t="inlineStr">
        <is>
          <t>HFB301</t>
        </is>
      </c>
      <c r="F134" s="3" t="b">
        <v>1</v>
      </c>
      <c r="G134" s="3" t="b">
        <v>1</v>
      </c>
      <c r="H134" s="3" t="inlineStr">
        <is>
          <t>B</t>
        </is>
      </c>
      <c r="I134" s="4" t="n">
        <v>44490</v>
      </c>
      <c r="J134" s="4" t="n">
        <v>44664</v>
      </c>
      <c r="K134" s="4" t="n">
        <v>44956</v>
      </c>
      <c r="L134" s="3" t="n">
        <v>1</v>
      </c>
      <c r="M134" s="3" t="n">
        <v>500000</v>
      </c>
      <c r="N134" s="3" t="n">
        <v>16</v>
      </c>
      <c r="O134" s="3" t="b">
        <v>0</v>
      </c>
      <c r="P134" s="3" t="b">
        <v>0</v>
      </c>
      <c r="Q134" s="3" t="n">
        <v>15647.26027397264</v>
      </c>
      <c r="R134" s="3" t="n">
        <v>64000</v>
      </c>
      <c r="S134" s="3" t="n">
        <v>79647.26027397264</v>
      </c>
      <c r="T134" s="5">
        <f>IF(J134&lt;&gt;"",M134*N134/365/100*('Cashflow Projection'!$B$2-Investors!J134),0)</f>
        <v/>
      </c>
    </row>
    <row r="135">
      <c r="A135" s="3" t="inlineStr">
        <is>
          <t>ZLAB01</t>
        </is>
      </c>
      <c r="B135" s="3" t="inlineStr">
        <is>
          <t>Andre Jan</t>
        </is>
      </c>
      <c r="C135" s="3" t="inlineStr">
        <is>
          <t>Labuschagne</t>
        </is>
      </c>
      <c r="D135" s="3" t="inlineStr">
        <is>
          <t>Heron Fields</t>
        </is>
      </c>
      <c r="E135" s="3" t="inlineStr">
        <is>
          <t>HFB301</t>
        </is>
      </c>
      <c r="F135" s="3" t="b">
        <v>1</v>
      </c>
      <c r="G135" s="3" t="b">
        <v>1</v>
      </c>
      <c r="H135" s="3" t="inlineStr">
        <is>
          <t>B</t>
        </is>
      </c>
      <c r="I135" s="4" t="n">
        <v>44474</v>
      </c>
      <c r="J135" s="4" t="n">
        <v>44618</v>
      </c>
      <c r="K135" s="4" t="n">
        <v>44956</v>
      </c>
      <c r="L135" s="3" t="n">
        <v>1</v>
      </c>
      <c r="M135" s="3" t="n">
        <v>500000</v>
      </c>
      <c r="N135" s="3" t="n">
        <v>16</v>
      </c>
      <c r="O135" s="3" t="b">
        <v>0</v>
      </c>
      <c r="P135" s="3" t="b">
        <v>0</v>
      </c>
      <c r="Q135" s="3" t="n">
        <v>12719.17808219179</v>
      </c>
      <c r="R135" s="3" t="n">
        <v>74082.19178082192</v>
      </c>
      <c r="S135" s="3" t="n">
        <v>86801.36986301371</v>
      </c>
      <c r="T135" s="5">
        <f>IF(J135&lt;&gt;"",M135*N135/365/100*('Cashflow Projection'!$B$2-Investors!J135),0)</f>
        <v/>
      </c>
    </row>
    <row r="136">
      <c r="A136" s="3" t="inlineStr">
        <is>
          <t>ZPRO01</t>
        </is>
      </c>
      <c r="B136" s="3" t="inlineStr">
        <is>
          <t>Adrian</t>
        </is>
      </c>
      <c r="C136" s="3" t="inlineStr">
        <is>
          <t>du Toit</t>
        </is>
      </c>
      <c r="D136" s="3" t="inlineStr">
        <is>
          <t>Heron Fields</t>
        </is>
      </c>
      <c r="E136" s="3" t="inlineStr">
        <is>
          <t>HFB302</t>
        </is>
      </c>
      <c r="F136" s="3" t="b">
        <v>1</v>
      </c>
      <c r="G136" s="3" t="b">
        <v>1</v>
      </c>
      <c r="H136" s="3" t="inlineStr">
        <is>
          <t>B</t>
        </is>
      </c>
      <c r="I136" s="4" t="n">
        <v>44488</v>
      </c>
      <c r="J136" s="4" t="n">
        <v>44550</v>
      </c>
      <c r="K136" s="4" t="n">
        <v>44952</v>
      </c>
      <c r="L136" s="3" t="n">
        <v>3</v>
      </c>
      <c r="M136" s="3" t="n">
        <v>1000000</v>
      </c>
      <c r="N136" s="3" t="n">
        <v>18</v>
      </c>
      <c r="O136" s="3" t="b">
        <v>0</v>
      </c>
      <c r="P136" s="3" t="b">
        <v>0</v>
      </c>
      <c r="Q136" s="3" t="n">
        <v>10753.42465753426</v>
      </c>
      <c r="R136" s="3" t="n">
        <v>198246.5753424658</v>
      </c>
      <c r="S136" s="3" t="n">
        <v>209000</v>
      </c>
      <c r="T136" s="5">
        <f>IF(J136&lt;&gt;"",M136*N136/365/100*('Cashflow Projection'!$B$2-Investors!J136),0)</f>
        <v/>
      </c>
    </row>
    <row r="137">
      <c r="A137" s="3" t="inlineStr">
        <is>
          <t>ZLOU03</t>
        </is>
      </c>
      <c r="B137" s="3" t="inlineStr">
        <is>
          <t>Peter Arnold</t>
        </is>
      </c>
      <c r="C137" s="3" t="inlineStr">
        <is>
          <t>Louwrens</t>
        </is>
      </c>
      <c r="D137" s="3" t="inlineStr">
        <is>
          <t>Heron Fields</t>
        </is>
      </c>
      <c r="E137" s="3" t="inlineStr">
        <is>
          <t>HFB303</t>
        </is>
      </c>
      <c r="F137" s="3" t="b">
        <v>1</v>
      </c>
      <c r="G137" s="3" t="b">
        <v>1</v>
      </c>
      <c r="H137" s="3" t="inlineStr">
        <is>
          <t>B</t>
        </is>
      </c>
      <c r="I137" s="4" t="n">
        <v>44601</v>
      </c>
      <c r="J137" s="4" t="n">
        <v>44664</v>
      </c>
      <c r="K137" s="4" t="n">
        <v>44942</v>
      </c>
      <c r="L137" s="3" t="n">
        <v>1</v>
      </c>
      <c r="M137" s="3" t="n">
        <v>350000</v>
      </c>
      <c r="N137" s="3" t="n">
        <v>14</v>
      </c>
      <c r="O137" s="3" t="b">
        <v>0</v>
      </c>
      <c r="P137" s="3" t="b">
        <v>0</v>
      </c>
      <c r="Q137" s="3" t="n">
        <v>4108.904109589038</v>
      </c>
      <c r="R137" s="3" t="n">
        <v>37320.54794520548</v>
      </c>
      <c r="S137" s="3" t="n">
        <v>41429.45205479451</v>
      </c>
      <c r="T137" s="5">
        <f>IF(J137&lt;&gt;"",M137*N137/365/100*('Cashflow Projection'!$B$2-Investors!J137),0)</f>
        <v/>
      </c>
    </row>
    <row r="138">
      <c r="A138" s="3" t="inlineStr">
        <is>
          <t>ZRUD01</t>
        </is>
      </c>
      <c r="B138" s="3" t="inlineStr">
        <is>
          <t>Pieter</t>
        </is>
      </c>
      <c r="C138" s="3" t="inlineStr">
        <is>
          <t>Jansen van Vuuren</t>
        </is>
      </c>
      <c r="D138" s="3" t="inlineStr">
        <is>
          <t>Heron Fields</t>
        </is>
      </c>
      <c r="E138" s="3" t="inlineStr">
        <is>
          <t>HFB303</t>
        </is>
      </c>
      <c r="F138" s="3" t="b">
        <v>1</v>
      </c>
      <c r="G138" s="3" t="b">
        <v>1</v>
      </c>
      <c r="H138" s="3" t="inlineStr">
        <is>
          <t>B</t>
        </is>
      </c>
      <c r="I138" s="4" t="n">
        <v>44494</v>
      </c>
      <c r="J138" s="4" t="n">
        <v>44664</v>
      </c>
      <c r="K138" s="4" t="n">
        <v>44942</v>
      </c>
      <c r="L138" s="3" t="n">
        <v>1</v>
      </c>
      <c r="M138" s="3" t="n">
        <v>150000</v>
      </c>
      <c r="N138" s="3" t="n">
        <v>14</v>
      </c>
      <c r="O138" s="3" t="b">
        <v>0</v>
      </c>
      <c r="P138" s="3" t="b">
        <v>0</v>
      </c>
      <c r="Q138" s="3" t="n">
        <v>4591.438356164394</v>
      </c>
      <c r="R138" s="3" t="n">
        <v>15994.52054794521</v>
      </c>
      <c r="S138" s="3" t="n">
        <v>20585.9589041096</v>
      </c>
      <c r="T138" s="5">
        <f>IF(J138&lt;&gt;"",M138*N138/365/100*('Cashflow Projection'!$B$2-Investors!J138),0)</f>
        <v/>
      </c>
    </row>
    <row r="139">
      <c r="A139" s="3" t="inlineStr">
        <is>
          <t>ZDOT01</t>
        </is>
      </c>
      <c r="B139" s="3" t="inlineStr">
        <is>
          <t>Mark Charles</t>
        </is>
      </c>
      <c r="C139" s="3" t="inlineStr">
        <is>
          <t>Pope</t>
        </is>
      </c>
      <c r="D139" s="3" t="inlineStr">
        <is>
          <t>Heron Fields</t>
        </is>
      </c>
      <c r="E139" s="3" t="inlineStr">
        <is>
          <t>HFB304</t>
        </is>
      </c>
      <c r="F139" s="3" t="b">
        <v>1</v>
      </c>
      <c r="G139" s="3" t="b">
        <v>1</v>
      </c>
      <c r="H139" s="3" t="inlineStr">
        <is>
          <t>B</t>
        </is>
      </c>
      <c r="I139" s="4" t="n">
        <v>44517</v>
      </c>
      <c r="J139" s="4" t="n">
        <v>44690</v>
      </c>
      <c r="K139" s="4" t="n">
        <v>45027</v>
      </c>
      <c r="L139" s="3" t="n">
        <v>1</v>
      </c>
      <c r="M139" s="3" t="n">
        <v>1000000</v>
      </c>
      <c r="N139" s="3" t="n">
        <v>18</v>
      </c>
      <c r="O139" s="3" t="b">
        <v>0</v>
      </c>
      <c r="P139" s="3" t="b">
        <v>0</v>
      </c>
      <c r="Q139" s="3" t="n">
        <v>31657.53424657537</v>
      </c>
      <c r="R139" s="3" t="n">
        <v>166191.7808219178</v>
      </c>
      <c r="S139" s="3" t="n">
        <v>197849.3150684932</v>
      </c>
      <c r="T139" s="5">
        <f>IF(J139&lt;&gt;"",M139*N139/365/100*('Cashflow Projection'!$B$2-Investors!J139),0)</f>
        <v/>
      </c>
    </row>
    <row r="140">
      <c r="A140" s="3" t="inlineStr">
        <is>
          <t>ZSCH04</t>
        </is>
      </c>
      <c r="B140" s="3" t="inlineStr">
        <is>
          <t>Christiaan</t>
        </is>
      </c>
      <c r="C140" s="3" t="inlineStr">
        <is>
          <t>Schroder</t>
        </is>
      </c>
      <c r="D140" s="3" t="inlineStr">
        <is>
          <t>Heron Fields</t>
        </is>
      </c>
      <c r="E140" s="3" t="inlineStr">
        <is>
          <t>HFB306</t>
        </is>
      </c>
      <c r="F140" s="3" t="b">
        <v>1</v>
      </c>
      <c r="G140" s="3" t="b">
        <v>1</v>
      </c>
      <c r="H140" s="3" t="inlineStr">
        <is>
          <t>B</t>
        </is>
      </c>
      <c r="I140" s="4" t="n">
        <v>44491</v>
      </c>
      <c r="J140" s="4" t="n">
        <v>44644</v>
      </c>
      <c r="K140" s="4" t="n">
        <v>45020</v>
      </c>
      <c r="L140" s="3" t="n">
        <v>1</v>
      </c>
      <c r="M140" s="3" t="n">
        <v>1000000</v>
      </c>
      <c r="N140" s="3" t="n">
        <v>18</v>
      </c>
      <c r="O140" s="3" t="b">
        <v>1</v>
      </c>
      <c r="P140" s="3" t="b">
        <v>0</v>
      </c>
      <c r="Q140" s="3" t="n">
        <v>27335.61643835624</v>
      </c>
      <c r="R140" s="3" t="n">
        <v>185424.6575342466</v>
      </c>
      <c r="S140" s="3" t="n">
        <v>212760.2739726028</v>
      </c>
      <c r="T140" s="5">
        <f>IF(J140&lt;&gt;"",M140*N140/365/100*('Cashflow Projection'!$B$2-Investors!J140),0)</f>
        <v/>
      </c>
    </row>
    <row r="141">
      <c r="A141" s="3" t="inlineStr">
        <is>
          <t>ZROU01</t>
        </is>
      </c>
      <c r="B141" s="3" t="inlineStr">
        <is>
          <t>Laura</t>
        </is>
      </c>
      <c r="C141" s="3" t="inlineStr">
        <is>
          <t>Roux</t>
        </is>
      </c>
      <c r="D141" s="3" t="inlineStr">
        <is>
          <t>Heron Fields</t>
        </is>
      </c>
      <c r="E141" s="3" t="inlineStr">
        <is>
          <t>HFB307</t>
        </is>
      </c>
      <c r="F141" s="3" t="b">
        <v>1</v>
      </c>
      <c r="G141" s="3" t="b">
        <v>1</v>
      </c>
      <c r="H141" s="3" t="inlineStr">
        <is>
          <t>B</t>
        </is>
      </c>
      <c r="I141" s="4" t="n">
        <v>44488</v>
      </c>
      <c r="J141" s="4" t="n">
        <v>44643</v>
      </c>
      <c r="K141" s="4" t="n">
        <v>45020</v>
      </c>
      <c r="L141" s="3" t="n">
        <v>1</v>
      </c>
      <c r="M141" s="3" t="n">
        <v>200000</v>
      </c>
      <c r="N141" s="3" t="n">
        <v>14</v>
      </c>
      <c r="O141" s="3" t="b">
        <v>1</v>
      </c>
      <c r="P141" s="3" t="b">
        <v>0</v>
      </c>
      <c r="Q141" s="3" t="n">
        <v>5532.876712328782</v>
      </c>
      <c r="R141" s="3" t="n">
        <v>28920.54794520548</v>
      </c>
      <c r="S141" s="3" t="n">
        <v>34453.42465753426</v>
      </c>
      <c r="T141" s="5">
        <f>IF(J141&lt;&gt;"",M141*N141/365/100*('Cashflow Projection'!$B$2-Investors!J141),0)</f>
        <v/>
      </c>
    </row>
    <row r="142">
      <c r="A142" s="3" t="inlineStr">
        <is>
          <t>ZVOR01</t>
        </is>
      </c>
      <c r="B142" s="3" t="inlineStr">
        <is>
          <t xml:space="preserve">Sophia Maria Catharina </t>
        </is>
      </c>
      <c r="C142" s="3" t="inlineStr">
        <is>
          <t>Vorster</t>
        </is>
      </c>
      <c r="D142" s="3" t="inlineStr">
        <is>
          <t>Heron Fields</t>
        </is>
      </c>
      <c r="E142" s="3" t="inlineStr">
        <is>
          <t>HFB307</t>
        </is>
      </c>
      <c r="F142" s="3" t="b">
        <v>1</v>
      </c>
      <c r="G142" s="3" t="b">
        <v>1</v>
      </c>
      <c r="H142" s="3" t="inlineStr">
        <is>
          <t>B</t>
        </is>
      </c>
      <c r="I142" s="4" t="n">
        <v>44490</v>
      </c>
      <c r="J142" s="4" t="n">
        <v>44643</v>
      </c>
      <c r="K142" s="4" t="n">
        <v>45020</v>
      </c>
      <c r="L142" s="3" t="n">
        <v>3</v>
      </c>
      <c r="M142" s="3" t="n">
        <v>200000</v>
      </c>
      <c r="N142" s="3" t="n">
        <v>16</v>
      </c>
      <c r="O142" s="3" t="b">
        <v>1</v>
      </c>
      <c r="P142" s="3" t="b">
        <v>0</v>
      </c>
      <c r="Q142" s="3" t="n">
        <v>5464.38356164385</v>
      </c>
      <c r="R142" s="3" t="n">
        <v>33052.05479452055</v>
      </c>
      <c r="S142" s="3" t="n">
        <v>38516.4383561644</v>
      </c>
      <c r="T142" s="5">
        <f>IF(J142&lt;&gt;"",M142*N142/365/100*('Cashflow Projection'!$B$2-Investors!J142),0)</f>
        <v/>
      </c>
    </row>
    <row r="143">
      <c r="A143" s="3" t="inlineStr">
        <is>
          <t>ZGOF01</t>
        </is>
      </c>
      <c r="B143" s="3" t="inlineStr">
        <is>
          <t>Angela</t>
        </is>
      </c>
      <c r="C143" s="3" t="inlineStr">
        <is>
          <t>Goff</t>
        </is>
      </c>
      <c r="D143" s="3" t="inlineStr">
        <is>
          <t>Heron Fields</t>
        </is>
      </c>
      <c r="E143" s="3" t="inlineStr">
        <is>
          <t>HFB308</t>
        </is>
      </c>
      <c r="F143" s="3" t="b">
        <v>1</v>
      </c>
      <c r="G143" s="3" t="b">
        <v>1</v>
      </c>
      <c r="H143" s="3" t="inlineStr">
        <is>
          <t>B</t>
        </is>
      </c>
      <c r="I143" s="4" t="n">
        <v>44491</v>
      </c>
      <c r="J143" s="4" t="n">
        <v>44664</v>
      </c>
      <c r="K143" s="4" t="n">
        <v>45009</v>
      </c>
      <c r="L143" s="3" t="n">
        <v>1</v>
      </c>
      <c r="M143" s="3" t="n">
        <v>1000000</v>
      </c>
      <c r="N143" s="3" t="n">
        <v>18</v>
      </c>
      <c r="O143" s="3" t="b">
        <v>1</v>
      </c>
      <c r="P143" s="3" t="b">
        <v>0</v>
      </c>
      <c r="Q143" s="3" t="n">
        <v>31123.28767123295</v>
      </c>
      <c r="R143" s="3" t="n">
        <v>170136.9863013699</v>
      </c>
      <c r="S143" s="3" t="n">
        <v>201260.2739726028</v>
      </c>
      <c r="T143" s="5">
        <f>IF(J143&lt;&gt;"",M143*N143/365/100*('Cashflow Projection'!$B$2-Investors!J143),0)</f>
        <v/>
      </c>
    </row>
    <row r="144">
      <c r="A144" s="3" t="inlineStr">
        <is>
          <t>ZBLU01</t>
        </is>
      </c>
      <c r="B144" s="3" t="inlineStr">
        <is>
          <t>Samantha Jessica</t>
        </is>
      </c>
      <c r="C144" s="3" t="inlineStr">
        <is>
          <t>Blues</t>
        </is>
      </c>
      <c r="D144" s="3" t="inlineStr">
        <is>
          <t>Heron Fields</t>
        </is>
      </c>
      <c r="E144" s="3" t="inlineStr">
        <is>
          <t>HFB309</t>
        </is>
      </c>
      <c r="F144" s="3" t="b">
        <v>1</v>
      </c>
      <c r="G144" s="3" t="b">
        <v>1</v>
      </c>
      <c r="H144" s="3" t="inlineStr">
        <is>
          <t>B</t>
        </is>
      </c>
      <c r="I144" s="4" t="n">
        <v>44480</v>
      </c>
      <c r="J144" s="4" t="n">
        <v>44618</v>
      </c>
      <c r="K144" s="4" t="n">
        <v>45086</v>
      </c>
      <c r="L144" s="3" t="n">
        <v>1</v>
      </c>
      <c r="M144" s="3" t="n">
        <v>400000</v>
      </c>
      <c r="N144" s="3" t="n">
        <v>14</v>
      </c>
      <c r="O144" s="3" t="b">
        <v>0</v>
      </c>
      <c r="P144" s="3" t="b">
        <v>0</v>
      </c>
      <c r="Q144" s="3" t="n">
        <v>9764.383561643859</v>
      </c>
      <c r="R144" s="3" t="n">
        <v>71802.73972602739</v>
      </c>
      <c r="S144" s="3" t="n">
        <v>81567.12328767125</v>
      </c>
      <c r="T144" s="5">
        <f>IF(J144&lt;&gt;"",M144*N144/365/100*('Cashflow Projection'!$B$2-Investors!J144),0)</f>
        <v/>
      </c>
    </row>
    <row r="145">
      <c r="A145" s="3" t="inlineStr">
        <is>
          <t>ZJAN03</t>
        </is>
      </c>
      <c r="B145" s="3" t="inlineStr">
        <is>
          <t>Rudolph Johannes</t>
        </is>
      </c>
      <c r="C145" s="3" t="inlineStr">
        <is>
          <t>Jansen van Vuuren</t>
        </is>
      </c>
      <c r="D145" s="3" t="inlineStr">
        <is>
          <t>Heron Fields</t>
        </is>
      </c>
      <c r="E145" s="3" t="inlineStr">
        <is>
          <t>HFB309</t>
        </is>
      </c>
      <c r="F145" s="3" t="b">
        <v>1</v>
      </c>
      <c r="G145" s="3" t="b">
        <v>1</v>
      </c>
      <c r="H145" s="3" t="inlineStr">
        <is>
          <t>B</t>
        </is>
      </c>
      <c r="I145" s="4" t="n">
        <v>44494</v>
      </c>
      <c r="J145" s="4" t="n">
        <v>44664</v>
      </c>
      <c r="K145" s="4" t="n">
        <v>45086</v>
      </c>
      <c r="L145" s="3" t="n">
        <v>1</v>
      </c>
      <c r="M145" s="3" t="n">
        <v>100000</v>
      </c>
      <c r="N145" s="3" t="n">
        <v>14</v>
      </c>
      <c r="O145" s="3" t="b">
        <v>0</v>
      </c>
      <c r="P145" s="3" t="b">
        <v>0</v>
      </c>
      <c r="Q145" s="3" t="n">
        <v>3060.958904109598</v>
      </c>
      <c r="R145" s="3" t="n">
        <v>16186.30136986301</v>
      </c>
      <c r="S145" s="3" t="n">
        <v>19247.26027397261</v>
      </c>
      <c r="T145" s="5">
        <f>IF(J145&lt;&gt;"",M145*N145/365/100*('Cashflow Projection'!$B$2-Investors!J145),0)</f>
        <v/>
      </c>
    </row>
    <row r="146">
      <c r="A146" s="3" t="inlineStr">
        <is>
          <t>ZVED01</t>
        </is>
      </c>
      <c r="B146" s="3" t="inlineStr">
        <is>
          <t>Craig</t>
        </is>
      </c>
      <c r="C146" s="3" t="inlineStr">
        <is>
          <t>Vedders</t>
        </is>
      </c>
      <c r="D146" s="3" t="inlineStr">
        <is>
          <t>Heron Fields</t>
        </is>
      </c>
      <c r="E146" s="3" t="inlineStr">
        <is>
          <t>HFB309</t>
        </is>
      </c>
      <c r="F146" s="3" t="b">
        <v>1</v>
      </c>
      <c r="G146" s="3" t="b">
        <v>1</v>
      </c>
      <c r="H146" s="3" t="inlineStr">
        <is>
          <t>B</t>
        </is>
      </c>
      <c r="I146" s="4" t="n">
        <v>44705</v>
      </c>
      <c r="J146" s="4" t="n">
        <v>44719</v>
      </c>
      <c r="K146" s="4" t="n">
        <v>45086</v>
      </c>
      <c r="L146" s="3" t="n">
        <v>4</v>
      </c>
      <c r="M146" s="3" t="n">
        <v>299172.38</v>
      </c>
      <c r="N146" s="3" t="n">
        <v>14</v>
      </c>
      <c r="O146" s="3" t="b">
        <v>0</v>
      </c>
      <c r="P146" s="3" t="b">
        <v>0</v>
      </c>
      <c r="Q146" s="3" t="n">
        <v>831.9451115068495</v>
      </c>
      <c r="R146" s="3" t="n">
        <v>42113.63529972603</v>
      </c>
      <c r="S146" s="3" t="n">
        <v>42945.58041123288</v>
      </c>
      <c r="T146" s="5">
        <f>IF(J146&lt;&gt;"",M146*N146/365/100*('Cashflow Projection'!$B$2-Investors!J146),0)</f>
        <v/>
      </c>
    </row>
    <row r="147">
      <c r="A147" s="3" t="inlineStr">
        <is>
          <t>ZPRO01</t>
        </is>
      </c>
      <c r="B147" s="3" t="inlineStr">
        <is>
          <t>Adrian</t>
        </is>
      </c>
      <c r="C147" s="3" t="inlineStr">
        <is>
          <t>du Toit</t>
        </is>
      </c>
      <c r="D147" s="3" t="inlineStr">
        <is>
          <t>Heron Fields</t>
        </is>
      </c>
      <c r="E147" s="3" t="inlineStr">
        <is>
          <t>HFB310</t>
        </is>
      </c>
      <c r="F147" s="3" t="b">
        <v>1</v>
      </c>
      <c r="G147" s="3" t="b">
        <v>1</v>
      </c>
      <c r="H147" s="3" t="inlineStr">
        <is>
          <t>B</t>
        </is>
      </c>
      <c r="I147" s="4" t="n">
        <v>44488</v>
      </c>
      <c r="J147" s="4" t="n">
        <v>44550</v>
      </c>
      <c r="K147" s="4" t="n">
        <v>45014</v>
      </c>
      <c r="L147" s="3" t="n">
        <v>4</v>
      </c>
      <c r="M147" s="3" t="n">
        <v>1000000</v>
      </c>
      <c r="N147" s="3" t="n">
        <v>18</v>
      </c>
      <c r="O147" s="3" t="b">
        <v>0</v>
      </c>
      <c r="P147" s="3" t="b">
        <v>0</v>
      </c>
      <c r="Q147" s="3" t="n">
        <v>10753.42465753426</v>
      </c>
      <c r="R147" s="3" t="n">
        <v>228821.9178082192</v>
      </c>
      <c r="S147" s="3" t="n">
        <v>239575.3424657534</v>
      </c>
      <c r="T147" s="5">
        <f>IF(J147&lt;&gt;"",M147*N147/365/100*('Cashflow Projection'!$B$2-Investors!J147),0)</f>
        <v/>
      </c>
    </row>
    <row r="148">
      <c r="A148" s="3" t="inlineStr">
        <is>
          <t>ZREN01</t>
        </is>
      </c>
      <c r="B148" s="3" t="inlineStr">
        <is>
          <t>Marlene Ann</t>
        </is>
      </c>
      <c r="C148" s="3" t="inlineStr">
        <is>
          <t>van Rensburg</t>
        </is>
      </c>
      <c r="D148" s="3" t="inlineStr">
        <is>
          <t>Heron Fields</t>
        </is>
      </c>
      <c r="E148" s="3" t="inlineStr">
        <is>
          <t>HFB311</t>
        </is>
      </c>
      <c r="F148" s="3" t="b">
        <v>1</v>
      </c>
      <c r="G148" s="3" t="b">
        <v>1</v>
      </c>
      <c r="H148" s="3" t="inlineStr">
        <is>
          <t>B</t>
        </is>
      </c>
      <c r="I148" s="4" t="n">
        <v>44460</v>
      </c>
      <c r="J148" s="4" t="n">
        <v>44590</v>
      </c>
      <c r="K148" s="4" t="n">
        <v>45035</v>
      </c>
      <c r="L148" s="3" t="n">
        <v>2</v>
      </c>
      <c r="M148" s="3" t="n">
        <v>500000</v>
      </c>
      <c r="N148" s="3" t="n">
        <v>18</v>
      </c>
      <c r="O148" s="3" t="b">
        <v>0</v>
      </c>
      <c r="P148" s="3" t="b">
        <v>0</v>
      </c>
      <c r="Q148" s="3" t="n">
        <v>11335.61643835616</v>
      </c>
      <c r="R148" s="3" t="n">
        <v>109726.0273972603</v>
      </c>
      <c r="S148" s="3" t="n">
        <v>121061.6438356164</v>
      </c>
      <c r="T148" s="5">
        <f>IF(J148&lt;&gt;"",M148*N148/365/100*('Cashflow Projection'!$B$2-Investors!J148),0)</f>
        <v/>
      </c>
    </row>
    <row r="149">
      <c r="A149" s="3" t="inlineStr">
        <is>
          <t>ZVOR01</t>
        </is>
      </c>
      <c r="B149" s="3" t="inlineStr">
        <is>
          <t xml:space="preserve">Sophia Maria Catharina </t>
        </is>
      </c>
      <c r="C149" s="3" t="inlineStr">
        <is>
          <t>Vorster</t>
        </is>
      </c>
      <c r="D149" s="3" t="inlineStr">
        <is>
          <t>Heron Fields</t>
        </is>
      </c>
      <c r="E149" s="3" t="inlineStr">
        <is>
          <t>HFB311</t>
        </is>
      </c>
      <c r="F149" s="3" t="b">
        <v>1</v>
      </c>
      <c r="G149" s="3" t="b">
        <v>1</v>
      </c>
      <c r="H149" s="3" t="inlineStr">
        <is>
          <t>B</t>
        </is>
      </c>
      <c r="I149" s="4" t="n">
        <v>44544</v>
      </c>
      <c r="J149" s="4" t="n">
        <v>44706</v>
      </c>
      <c r="K149" s="4" t="n">
        <v>45035</v>
      </c>
      <c r="L149" s="3" t="n">
        <v>4</v>
      </c>
      <c r="M149" s="3" t="n">
        <v>100000</v>
      </c>
      <c r="N149" s="3" t="n">
        <v>16</v>
      </c>
      <c r="O149" s="3" t="b">
        <v>0</v>
      </c>
      <c r="P149" s="3" t="b">
        <v>0</v>
      </c>
      <c r="Q149" s="3" t="n">
        <v>3000.684931506859</v>
      </c>
      <c r="R149" s="3" t="n">
        <v>14421.91780821918</v>
      </c>
      <c r="S149" s="3" t="n">
        <v>17422.60273972604</v>
      </c>
      <c r="T149" s="5">
        <f>IF(J149&lt;&gt;"",M149*N149/365/100*('Cashflow Projection'!$B$2-Investors!J149),0)</f>
        <v/>
      </c>
    </row>
    <row r="150">
      <c r="A150" s="3" t="inlineStr">
        <is>
          <t>ZREN01</t>
        </is>
      </c>
      <c r="B150" s="3" t="inlineStr">
        <is>
          <t>Marlene Ann</t>
        </is>
      </c>
      <c r="C150" s="3" t="inlineStr">
        <is>
          <t>van Rensburg</t>
        </is>
      </c>
      <c r="D150" s="3" t="inlineStr">
        <is>
          <t>Heron Fields</t>
        </is>
      </c>
      <c r="E150" s="3" t="inlineStr">
        <is>
          <t>HFB312</t>
        </is>
      </c>
      <c r="F150" s="3" t="b">
        <v>1</v>
      </c>
      <c r="G150" s="3" t="b">
        <v>1</v>
      </c>
      <c r="H150" s="3" t="inlineStr">
        <is>
          <t>B</t>
        </is>
      </c>
      <c r="I150" s="4" t="n">
        <v>44460</v>
      </c>
      <c r="J150" s="4" t="n">
        <v>44581</v>
      </c>
      <c r="K150" s="4" t="n">
        <v>45027</v>
      </c>
      <c r="L150" s="3" t="n">
        <v>3</v>
      </c>
      <c r="M150" s="3" t="n">
        <v>1000000</v>
      </c>
      <c r="N150" s="3" t="n">
        <v>18</v>
      </c>
      <c r="O150" s="3" t="b">
        <v>0</v>
      </c>
      <c r="P150" s="3" t="b">
        <v>0</v>
      </c>
      <c r="Q150" s="3" t="n">
        <v>21068.49315068492</v>
      </c>
      <c r="R150" s="3" t="n">
        <v>219945.2054794521</v>
      </c>
      <c r="S150" s="3" t="n">
        <v>241013.698630137</v>
      </c>
      <c r="T150" s="5">
        <f>IF(J150&lt;&gt;"",M150*N150/365/100*('Cashflow Projection'!$B$2-Investors!J150),0)</f>
        <v/>
      </c>
    </row>
    <row r="151">
      <c r="A151" s="3" t="inlineStr">
        <is>
          <t>ZCON01</t>
        </is>
      </c>
      <c r="B151" s="3" t="inlineStr">
        <is>
          <t>Gerhard Lotter</t>
        </is>
      </c>
      <c r="C151" s="3" t="inlineStr">
        <is>
          <t>Conradie</t>
        </is>
      </c>
      <c r="D151" s="3" t="inlineStr">
        <is>
          <t>Heron Fields</t>
        </is>
      </c>
      <c r="E151" s="3" t="inlineStr">
        <is>
          <t>HFB313</t>
        </is>
      </c>
      <c r="F151" s="3" t="b">
        <v>1</v>
      </c>
      <c r="G151" s="3" t="b">
        <v>1</v>
      </c>
      <c r="H151" s="3" t="inlineStr">
        <is>
          <t>B</t>
        </is>
      </c>
      <c r="I151" s="4" t="n">
        <v>44650</v>
      </c>
      <c r="J151" s="4" t="n">
        <v>44650</v>
      </c>
      <c r="K151" s="4" t="n">
        <v>45051</v>
      </c>
      <c r="L151" s="3" t="n">
        <v>1</v>
      </c>
      <c r="M151" s="3" t="n">
        <v>1068455</v>
      </c>
      <c r="N151" s="3" t="n">
        <v>14</v>
      </c>
      <c r="O151" s="3" t="b">
        <v>0</v>
      </c>
      <c r="P151" s="3" t="b">
        <v>0</v>
      </c>
      <c r="Q151" s="3" t="n">
        <v>0</v>
      </c>
      <c r="R151" s="3" t="n">
        <v>164337.1608219178</v>
      </c>
      <c r="S151" s="3" t="n">
        <v>164337.1608219178</v>
      </c>
      <c r="T151" s="5">
        <f>IF(J151&lt;&gt;"",M151*N151/365/100*('Cashflow Projection'!$B$2-Investors!J151),0)</f>
        <v/>
      </c>
    </row>
    <row r="152">
      <c r="A152" s="3" t="inlineStr">
        <is>
          <t>ZCON01</t>
        </is>
      </c>
      <c r="B152" s="3" t="inlineStr">
        <is>
          <t>Gerhard Lotter</t>
        </is>
      </c>
      <c r="C152" s="3" t="inlineStr">
        <is>
          <t>Conradie</t>
        </is>
      </c>
      <c r="D152" s="3" t="inlineStr">
        <is>
          <t>Heron View</t>
        </is>
      </c>
      <c r="E152" s="3" t="inlineStr">
        <is>
          <t>HVC101</t>
        </is>
      </c>
      <c r="F152" s="3" t="b">
        <v>1</v>
      </c>
      <c r="G152" s="3" t="b">
        <v>1</v>
      </c>
      <c r="H152" s="3" t="inlineStr">
        <is>
          <t>C</t>
        </is>
      </c>
      <c r="I152" s="4" t="n">
        <v>44674</v>
      </c>
      <c r="J152" s="4" t="n">
        <v>44681</v>
      </c>
      <c r="K152" s="4" t="n">
        <v>45154</v>
      </c>
      <c r="L152" s="3" t="n">
        <v>2</v>
      </c>
      <c r="M152" s="3" t="n">
        <v>503089.15</v>
      </c>
      <c r="N152" s="3" t="n">
        <v>14</v>
      </c>
      <c r="O152" s="3" t="b">
        <v>0</v>
      </c>
      <c r="P152" s="3" t="b">
        <v>0</v>
      </c>
      <c r="Q152" s="3" t="n">
        <v>675.3799547945207</v>
      </c>
      <c r="R152" s="3" t="n">
        <v>91272.7767479452</v>
      </c>
      <c r="S152" s="3" t="n">
        <v>91948.15670273973</v>
      </c>
      <c r="T152" s="5">
        <f>IF(J152&lt;&gt;"",M152*N152/365/100*('Cashflow Projection'!$B$2-Investors!J152),0)</f>
        <v/>
      </c>
    </row>
    <row r="153">
      <c r="A153" s="3" t="inlineStr">
        <is>
          <t>ZDEH01</t>
        </is>
      </c>
      <c r="B153" s="3" t="inlineStr">
        <is>
          <t>Charl</t>
        </is>
      </c>
      <c r="C153" s="3" t="inlineStr">
        <is>
          <t>Oberholzer</t>
        </is>
      </c>
      <c r="D153" s="3" t="inlineStr">
        <is>
          <t>Heron View</t>
        </is>
      </c>
      <c r="E153" s="3" t="inlineStr">
        <is>
          <t>HVC101</t>
        </is>
      </c>
      <c r="F153" s="3" t="b">
        <v>1</v>
      </c>
      <c r="G153" s="3" t="b">
        <v>1</v>
      </c>
      <c r="H153" s="3" t="inlineStr">
        <is>
          <t>C</t>
        </is>
      </c>
      <c r="I153" s="4" t="n">
        <v>44854</v>
      </c>
      <c r="J153" s="4" t="n">
        <v>44889</v>
      </c>
      <c r="K153" s="4" t="n">
        <v>45154</v>
      </c>
      <c r="L153" s="3" t="n">
        <v>2</v>
      </c>
      <c r="M153" s="3" t="n">
        <v>229383.56</v>
      </c>
      <c r="N153" s="3" t="n">
        <v>14</v>
      </c>
      <c r="O153" s="3" t="b">
        <v>0</v>
      </c>
      <c r="P153" s="3" t="b">
        <v>0</v>
      </c>
      <c r="Q153" s="3" t="n">
        <v>1979.611545205481</v>
      </c>
      <c r="R153" s="3" t="n">
        <v>23315.42486575342</v>
      </c>
      <c r="S153" s="3" t="n">
        <v>25295.0364109589</v>
      </c>
      <c r="T153" s="5">
        <f>IF(J153&lt;&gt;"",M153*N153/365/100*('Cashflow Projection'!$B$2-Investors!J153),0)</f>
        <v/>
      </c>
    </row>
    <row r="154">
      <c r="A154" s="3" t="inlineStr">
        <is>
          <t>ZERA02</t>
        </is>
      </c>
      <c r="B154" s="3" t="inlineStr">
        <is>
          <t>Chantal Celeste Jafthaleen</t>
        </is>
      </c>
      <c r="C154" s="3" t="inlineStr">
        <is>
          <t>Erasmus</t>
        </is>
      </c>
      <c r="D154" s="3" t="inlineStr">
        <is>
          <t>Heron View</t>
        </is>
      </c>
      <c r="E154" s="3" t="inlineStr">
        <is>
          <t>HVC101</t>
        </is>
      </c>
      <c r="F154" s="3" t="b">
        <v>1</v>
      </c>
      <c r="G154" s="3" t="b">
        <v>1</v>
      </c>
      <c r="H154" s="3" t="inlineStr">
        <is>
          <t>C</t>
        </is>
      </c>
      <c r="I154" s="4" t="n">
        <v>44854</v>
      </c>
      <c r="J154" s="4" t="n">
        <v>44889</v>
      </c>
      <c r="K154" s="4" t="n">
        <v>45154</v>
      </c>
      <c r="L154" s="3" t="n">
        <v>2</v>
      </c>
      <c r="M154" s="3" t="n">
        <v>380000</v>
      </c>
      <c r="N154" s="3" t="n">
        <v>14</v>
      </c>
      <c r="O154" s="3" t="b">
        <v>0</v>
      </c>
      <c r="P154" s="3" t="b">
        <v>0</v>
      </c>
      <c r="Q154" s="3" t="n">
        <v>3279.452054794519</v>
      </c>
      <c r="R154" s="3" t="n">
        <v>38624.65753424658</v>
      </c>
      <c r="S154" s="3" t="n">
        <v>41904.1095890411</v>
      </c>
      <c r="T154" s="5">
        <f>IF(J154&lt;&gt;"",M154*N154/365/100*('Cashflow Projection'!$B$2-Investors!J154),0)</f>
        <v/>
      </c>
    </row>
    <row r="155">
      <c r="A155" s="3" t="inlineStr">
        <is>
          <t>ZKRI02</t>
        </is>
      </c>
      <c r="B155" s="3" t="inlineStr">
        <is>
          <t>Hermanus Johannes</t>
        </is>
      </c>
      <c r="C155" s="3" t="inlineStr">
        <is>
          <t>Kriel</t>
        </is>
      </c>
      <c r="D155" s="3" t="inlineStr">
        <is>
          <t>Heron View</t>
        </is>
      </c>
      <c r="E155" s="3" t="inlineStr">
        <is>
          <t>HVC102</t>
        </is>
      </c>
      <c r="F155" s="3" t="b">
        <v>1</v>
      </c>
      <c r="G155" s="3" t="b">
        <v>1</v>
      </c>
      <c r="H155" s="3" t="inlineStr">
        <is>
          <t>C</t>
        </is>
      </c>
      <c r="I155" s="4" t="n">
        <v>44846</v>
      </c>
      <c r="J155" s="4" t="n">
        <v>44861</v>
      </c>
      <c r="K155" s="4" t="n">
        <v>45154</v>
      </c>
      <c r="L155" s="3" t="n">
        <v>2</v>
      </c>
      <c r="M155" s="3" t="n">
        <v>1100000</v>
      </c>
      <c r="N155" s="3" t="n">
        <v>18</v>
      </c>
      <c r="O155" s="3" t="b">
        <v>0</v>
      </c>
      <c r="P155" s="3" t="b">
        <v>0</v>
      </c>
      <c r="Q155" s="3" t="n">
        <v>4068.493150684933</v>
      </c>
      <c r="R155" s="3" t="n">
        <v>158942.4657534247</v>
      </c>
      <c r="S155" s="3" t="n">
        <v>163010.9589041096</v>
      </c>
      <c r="T155" s="5">
        <f>IF(J155&lt;&gt;"",M155*N155/365/100*('Cashflow Projection'!$B$2-Investors!J155),0)</f>
        <v/>
      </c>
    </row>
    <row r="156">
      <c r="A156" s="3" t="inlineStr">
        <is>
          <t>ZDEV01</t>
        </is>
      </c>
      <c r="B156" s="3" t="inlineStr">
        <is>
          <t>Andre Deric</t>
        </is>
      </c>
      <c r="C156" s="3" t="inlineStr">
        <is>
          <t>de Villiers</t>
        </is>
      </c>
      <c r="D156" s="3" t="inlineStr">
        <is>
          <t>Heron View</t>
        </is>
      </c>
      <c r="E156" s="3" t="inlineStr">
        <is>
          <t>HVC103</t>
        </is>
      </c>
      <c r="F156" s="3" t="b">
        <v>1</v>
      </c>
      <c r="G156" s="3" t="b">
        <v>1</v>
      </c>
      <c r="H156" s="3" t="inlineStr">
        <is>
          <t>C</t>
        </is>
      </c>
      <c r="I156" s="4" t="n">
        <v>44833</v>
      </c>
      <c r="J156" s="4" t="n">
        <v>44861</v>
      </c>
      <c r="K156" s="4" t="n">
        <v>45174</v>
      </c>
      <c r="L156" s="3" t="n">
        <v>1</v>
      </c>
      <c r="M156" s="3" t="n">
        <v>1000000</v>
      </c>
      <c r="N156" s="3" t="n">
        <v>18</v>
      </c>
      <c r="O156" s="3" t="b">
        <v>0</v>
      </c>
      <c r="P156" s="3" t="b">
        <v>0</v>
      </c>
      <c r="Q156" s="3" t="n">
        <v>6883.561643835613</v>
      </c>
      <c r="R156" s="3" t="n">
        <v>154356.1643835616</v>
      </c>
      <c r="S156" s="3" t="n">
        <v>161239.7260273973</v>
      </c>
      <c r="T156" s="5">
        <f>IF(J156&lt;&gt;"",M156*N156/365/100*('Cashflow Projection'!$B$2-Investors!J156),0)</f>
        <v/>
      </c>
    </row>
    <row r="157">
      <c r="A157" s="3" t="inlineStr">
        <is>
          <t>ZTHA01</t>
        </is>
      </c>
      <c r="B157" s="3" t="inlineStr">
        <is>
          <t>Gerald Adriaan Odendal</t>
        </is>
      </c>
      <c r="C157" s="3" t="inlineStr">
        <is>
          <t>Matthee</t>
        </is>
      </c>
      <c r="D157" s="3" t="inlineStr">
        <is>
          <t>Heron View</t>
        </is>
      </c>
      <c r="E157" s="3" t="inlineStr">
        <is>
          <t>HVC103</t>
        </is>
      </c>
      <c r="F157" s="3" t="b">
        <v>1</v>
      </c>
      <c r="G157" s="3" t="b">
        <v>1</v>
      </c>
      <c r="H157" s="3" t="inlineStr">
        <is>
          <t>C</t>
        </is>
      </c>
      <c r="I157" s="4" t="n">
        <v>44851</v>
      </c>
      <c r="J157" s="4" t="n">
        <v>44868</v>
      </c>
      <c r="K157" s="4" t="n">
        <v>45174</v>
      </c>
      <c r="L157" s="3" t="n">
        <v>2</v>
      </c>
      <c r="M157" s="3" t="n">
        <v>118391.41</v>
      </c>
      <c r="N157" s="3" t="n">
        <v>14</v>
      </c>
      <c r="O157" s="3" t="b">
        <v>0</v>
      </c>
      <c r="P157" s="3" t="b">
        <v>0</v>
      </c>
      <c r="Q157" s="3" t="n">
        <v>496.2708419178084</v>
      </c>
      <c r="R157" s="3" t="n">
        <v>13895.58357369863</v>
      </c>
      <c r="S157" s="3" t="n">
        <v>14391.85441561644</v>
      </c>
      <c r="T157" s="5">
        <f>IF(J157&lt;&gt;"",M157*N157/365/100*('Cashflow Projection'!$B$2-Investors!J157),0)</f>
        <v/>
      </c>
    </row>
    <row r="158">
      <c r="A158" s="3" t="inlineStr">
        <is>
          <t>ZBEL01</t>
        </is>
      </c>
      <c r="B158" s="3" t="inlineStr">
        <is>
          <t>Helen Constance</t>
        </is>
      </c>
      <c r="C158" s="3" t="inlineStr">
        <is>
          <t>Belford</t>
        </is>
      </c>
      <c r="D158" s="3" t="inlineStr">
        <is>
          <t>Heron View</t>
        </is>
      </c>
      <c r="E158" s="3" t="inlineStr">
        <is>
          <t>HVC104</t>
        </is>
      </c>
      <c r="F158" s="3" t="b">
        <v>1</v>
      </c>
      <c r="G158" s="3" t="b">
        <v>1</v>
      </c>
      <c r="H158" s="3" t="inlineStr">
        <is>
          <t>C</t>
        </is>
      </c>
      <c r="I158" s="4" t="n">
        <v>44846</v>
      </c>
      <c r="J158" s="4" t="n">
        <v>44868</v>
      </c>
      <c r="K158" s="4" t="n">
        <v>45167</v>
      </c>
      <c r="L158" s="3" t="n">
        <v>4</v>
      </c>
      <c r="M158" s="3" t="n">
        <v>280000</v>
      </c>
      <c r="N158" s="3" t="n">
        <v>16</v>
      </c>
      <c r="O158" s="3" t="b">
        <v>0</v>
      </c>
      <c r="P158" s="3" t="b">
        <v>0</v>
      </c>
      <c r="Q158" s="3" t="n">
        <v>1518.904109589041</v>
      </c>
      <c r="R158" s="3" t="n">
        <v>36699.17808219178</v>
      </c>
      <c r="S158" s="3" t="n">
        <v>38218.08219178082</v>
      </c>
      <c r="T158" s="5">
        <f>IF(J158&lt;&gt;"",M158*N158/365/100*('Cashflow Projection'!$B$2-Investors!J158),0)</f>
        <v/>
      </c>
    </row>
    <row r="159">
      <c r="A159" s="3" t="inlineStr">
        <is>
          <t>ZLEW01</t>
        </is>
      </c>
      <c r="B159" s="3" t="inlineStr">
        <is>
          <t>Martina Christina</t>
        </is>
      </c>
      <c r="C159" s="3" t="inlineStr">
        <is>
          <t>Lewis</t>
        </is>
      </c>
      <c r="D159" s="3" t="inlineStr">
        <is>
          <t>Heron View</t>
        </is>
      </c>
      <c r="E159" s="3" t="inlineStr">
        <is>
          <t>HVC104</t>
        </is>
      </c>
      <c r="F159" s="3" t="b">
        <v>1</v>
      </c>
      <c r="G159" s="3" t="b">
        <v>1</v>
      </c>
      <c r="H159" s="3" t="inlineStr">
        <is>
          <t>C</t>
        </is>
      </c>
      <c r="I159" s="4" t="n">
        <v>44840</v>
      </c>
      <c r="J159" s="4" t="n">
        <v>44889</v>
      </c>
      <c r="K159" s="4" t="n">
        <v>45167</v>
      </c>
      <c r="L159" s="3" t="n">
        <v>8</v>
      </c>
      <c r="M159" s="3" t="n">
        <v>800000</v>
      </c>
      <c r="N159" s="3" t="n">
        <v>18</v>
      </c>
      <c r="O159" s="3" t="b">
        <v>0</v>
      </c>
      <c r="P159" s="3" t="b">
        <v>0</v>
      </c>
      <c r="Q159" s="3" t="n">
        <v>9665.753424657529</v>
      </c>
      <c r="R159" s="3" t="n">
        <v>109676.7123287671</v>
      </c>
      <c r="S159" s="3" t="n">
        <v>119342.4657534246</v>
      </c>
      <c r="T159" s="5">
        <f>IF(J159&lt;&gt;"",M159*N159/365/100*('Cashflow Projection'!$B$2-Investors!J159),0)</f>
        <v/>
      </c>
    </row>
    <row r="160">
      <c r="A160" s="3" t="inlineStr">
        <is>
          <t>ZDEM01</t>
        </is>
      </c>
      <c r="B160" s="3" t="inlineStr">
        <is>
          <t>Gillies Nikian Anton</t>
        </is>
      </c>
      <c r="C160" s="3" t="inlineStr">
        <is>
          <t>De Montille</t>
        </is>
      </c>
      <c r="D160" s="3" t="inlineStr">
        <is>
          <t>Heron View</t>
        </is>
      </c>
      <c r="E160" s="3" t="inlineStr">
        <is>
          <t>HVC105</t>
        </is>
      </c>
      <c r="F160" s="3" t="b">
        <v>1</v>
      </c>
      <c r="G160" s="3" t="b">
        <v>1</v>
      </c>
      <c r="H160" s="3" t="inlineStr">
        <is>
          <t>C</t>
        </is>
      </c>
      <c r="I160" s="4" t="n">
        <v>44858</v>
      </c>
      <c r="J160" s="4" t="n">
        <v>44889</v>
      </c>
      <c r="K160" s="4" t="n">
        <v>45175</v>
      </c>
      <c r="L160" s="3" t="n">
        <v>2</v>
      </c>
      <c r="M160" s="3" t="n">
        <v>118537.67</v>
      </c>
      <c r="N160" s="3" t="n">
        <v>14</v>
      </c>
      <c r="O160" s="3" t="b">
        <v>0</v>
      </c>
      <c r="P160" s="3" t="b">
        <v>0</v>
      </c>
      <c r="Q160" s="3" t="n">
        <v>906.0824638356169</v>
      </c>
      <c r="R160" s="3" t="n">
        <v>13003.42001863014</v>
      </c>
      <c r="S160" s="3" t="n">
        <v>13909.50248246575</v>
      </c>
      <c r="T160" s="5">
        <f>IF(J160&lt;&gt;"",M160*N160/365/100*('Cashflow Projection'!$B$2-Investors!J160),0)</f>
        <v/>
      </c>
    </row>
    <row r="161">
      <c r="A161" s="3" t="inlineStr">
        <is>
          <t>ZWED01</t>
        </is>
      </c>
      <c r="B161" s="3" t="inlineStr">
        <is>
          <t>Hans Jurgen Peter</t>
        </is>
      </c>
      <c r="C161" s="3" t="inlineStr">
        <is>
          <t>Wedermann</t>
        </is>
      </c>
      <c r="D161" s="3" t="inlineStr">
        <is>
          <t>Heron View</t>
        </is>
      </c>
      <c r="E161" s="3" t="inlineStr">
        <is>
          <t>HVC105</t>
        </is>
      </c>
      <c r="F161" s="3" t="b">
        <v>1</v>
      </c>
      <c r="G161" s="3" t="b">
        <v>1</v>
      </c>
      <c r="H161" s="3" t="inlineStr">
        <is>
          <t>C</t>
        </is>
      </c>
      <c r="I161" s="4" t="n">
        <v>44840</v>
      </c>
      <c r="J161" s="4" t="n">
        <v>44861</v>
      </c>
      <c r="K161" s="4" t="n">
        <v>45175</v>
      </c>
      <c r="L161" s="3" t="n">
        <v>6</v>
      </c>
      <c r="M161" s="3" t="n">
        <v>1000000</v>
      </c>
      <c r="N161" s="3" t="n">
        <v>18</v>
      </c>
      <c r="O161" s="3" t="b">
        <v>0</v>
      </c>
      <c r="P161" s="3" t="b">
        <v>0</v>
      </c>
      <c r="Q161" s="3" t="n">
        <v>5178.08219178082</v>
      </c>
      <c r="R161" s="3" t="n">
        <v>154849.3150684932</v>
      </c>
      <c r="S161" s="3" t="n">
        <v>160027.397260274</v>
      </c>
      <c r="T161" s="5">
        <f>IF(J161&lt;&gt;"",M161*N161/365/100*('Cashflow Projection'!$B$2-Investors!J161),0)</f>
        <v/>
      </c>
    </row>
    <row r="162">
      <c r="A162" s="3" t="inlineStr">
        <is>
          <t>ZNUN01</t>
        </is>
      </c>
      <c r="B162" s="3" t="inlineStr">
        <is>
          <t>Francisco Antonio</t>
        </is>
      </c>
      <c r="C162" s="3" t="inlineStr">
        <is>
          <t>Nunes</t>
        </is>
      </c>
      <c r="D162" s="3" t="inlineStr">
        <is>
          <t>Heron View</t>
        </is>
      </c>
      <c r="E162" s="3" t="inlineStr">
        <is>
          <t>HVC106</t>
        </is>
      </c>
      <c r="F162" s="3" t="b">
        <v>1</v>
      </c>
      <c r="G162" s="3" t="b">
        <v>1</v>
      </c>
      <c r="H162" s="3" t="inlineStr">
        <is>
          <t>C</t>
        </is>
      </c>
      <c r="I162" s="4" t="n">
        <v>44847</v>
      </c>
      <c r="J162" s="4" t="n">
        <v>44876</v>
      </c>
      <c r="K162" s="4" t="n">
        <v>45170</v>
      </c>
      <c r="L162" s="3" t="n">
        <v>7</v>
      </c>
      <c r="M162" s="3" t="n">
        <v>250000</v>
      </c>
      <c r="N162" s="3" t="n">
        <v>18</v>
      </c>
      <c r="O162" s="3" t="b">
        <v>0</v>
      </c>
      <c r="P162" s="3" t="b">
        <v>0</v>
      </c>
      <c r="Q162" s="3" t="n">
        <v>1787.671232876711</v>
      </c>
      <c r="R162" s="3" t="n">
        <v>36246.57534246575</v>
      </c>
      <c r="S162" s="3" t="n">
        <v>38034.24657534246</v>
      </c>
      <c r="T162" s="5">
        <f>IF(J162&lt;&gt;"",M162*N162/365/100*('Cashflow Projection'!$B$2-Investors!J162),0)</f>
        <v/>
      </c>
    </row>
    <row r="163">
      <c r="A163" s="3" t="inlineStr">
        <is>
          <t>ZOLI01</t>
        </is>
      </c>
      <c r="B163" s="3" t="inlineStr">
        <is>
          <t>Jan Lukas Cornelus</t>
        </is>
      </c>
      <c r="C163" s="3" t="inlineStr">
        <is>
          <t>Olivier</t>
        </is>
      </c>
      <c r="D163" s="3" t="inlineStr">
        <is>
          <t>Heron View</t>
        </is>
      </c>
      <c r="E163" s="3" t="inlineStr">
        <is>
          <t>HVC106</t>
        </is>
      </c>
      <c r="F163" s="3" t="b">
        <v>1</v>
      </c>
      <c r="G163" s="3" t="b">
        <v>1</v>
      </c>
      <c r="H163" s="3" t="inlineStr">
        <is>
          <t>C</t>
        </is>
      </c>
      <c r="I163" s="4" t="n">
        <v>44858</v>
      </c>
      <c r="J163" s="4" t="n">
        <v>44889</v>
      </c>
      <c r="K163" s="4" t="n">
        <v>45170</v>
      </c>
      <c r="L163" s="3" t="n">
        <v>3</v>
      </c>
      <c r="M163" s="3" t="n">
        <v>560000</v>
      </c>
      <c r="N163" s="3" t="n">
        <v>18</v>
      </c>
      <c r="O163" s="3" t="b">
        <v>0</v>
      </c>
      <c r="P163" s="3" t="b">
        <v>0</v>
      </c>
      <c r="Q163" s="3" t="n">
        <v>4280.547945205481</v>
      </c>
      <c r="R163" s="3" t="n">
        <v>77602.19178082192</v>
      </c>
      <c r="S163" s="3" t="n">
        <v>81882.7397260274</v>
      </c>
      <c r="T163" s="5">
        <f>IF(J163&lt;&gt;"",M163*N163/365/100*('Cashflow Projection'!$B$2-Investors!J163),0)</f>
        <v/>
      </c>
    </row>
    <row r="164">
      <c r="A164" s="3" t="inlineStr">
        <is>
          <t>ZRIT01</t>
        </is>
      </c>
      <c r="B164" s="3" t="inlineStr">
        <is>
          <t>Dennis</t>
        </is>
      </c>
      <c r="C164" s="3" t="inlineStr">
        <is>
          <t>Ritter</t>
        </is>
      </c>
      <c r="D164" s="3" t="inlineStr">
        <is>
          <t>Heron View</t>
        </is>
      </c>
      <c r="E164" s="3" t="inlineStr">
        <is>
          <t>HVC106</t>
        </is>
      </c>
      <c r="F164" s="3" t="b">
        <v>1</v>
      </c>
      <c r="G164" s="3" t="b">
        <v>1</v>
      </c>
      <c r="H164" s="3" t="inlineStr">
        <is>
          <t>C</t>
        </is>
      </c>
      <c r="I164" s="4" t="n">
        <v>44858</v>
      </c>
      <c r="J164" s="4" t="n">
        <v>44889</v>
      </c>
      <c r="K164" s="4" t="n">
        <v>45170</v>
      </c>
      <c r="L164" s="3" t="n">
        <v>5</v>
      </c>
      <c r="M164" s="3" t="n">
        <v>300000</v>
      </c>
      <c r="N164" s="3" t="n">
        <v>18</v>
      </c>
      <c r="O164" s="3" t="b">
        <v>0</v>
      </c>
      <c r="P164" s="3" t="b">
        <v>0</v>
      </c>
      <c r="Q164" s="3" t="n">
        <v>2293.150684931506</v>
      </c>
      <c r="R164" s="3" t="n">
        <v>41572.60273972603</v>
      </c>
      <c r="S164" s="3" t="n">
        <v>43865.75342465753</v>
      </c>
      <c r="T164" s="5">
        <f>IF(J164&lt;&gt;"",M164*N164/365/100*('Cashflow Projection'!$B$2-Investors!J164),0)</f>
        <v/>
      </c>
    </row>
    <row r="165">
      <c r="A165" s="3" t="inlineStr">
        <is>
          <t>ZCON01</t>
        </is>
      </c>
      <c r="B165" s="3" t="inlineStr">
        <is>
          <t>Gerhard Lotter</t>
        </is>
      </c>
      <c r="C165" s="3" t="inlineStr">
        <is>
          <t>Conradie</t>
        </is>
      </c>
      <c r="D165" s="3" t="inlineStr">
        <is>
          <t>Heron View</t>
        </is>
      </c>
      <c r="E165" s="3" t="inlineStr">
        <is>
          <t>HVC201</t>
        </is>
      </c>
      <c r="F165" s="3" t="b">
        <v>1</v>
      </c>
      <c r="G165" s="3" t="b">
        <v>1</v>
      </c>
      <c r="H165" s="3" t="inlineStr">
        <is>
          <t>C</t>
        </is>
      </c>
      <c r="I165" s="4" t="n">
        <v>44704</v>
      </c>
      <c r="J165" s="4" t="n">
        <v>44711</v>
      </c>
      <c r="K165" s="4" t="n">
        <v>45177</v>
      </c>
      <c r="L165" s="3" t="n">
        <v>3</v>
      </c>
      <c r="M165" s="3" t="n">
        <v>694542.34</v>
      </c>
      <c r="N165" s="3" t="n">
        <v>14</v>
      </c>
      <c r="O165" s="3" t="b">
        <v>0</v>
      </c>
      <c r="P165" s="3" t="b">
        <v>0</v>
      </c>
      <c r="Q165" s="3" t="n">
        <v>932.3993057534248</v>
      </c>
      <c r="R165" s="3" t="n">
        <v>124142.3075660274</v>
      </c>
      <c r="S165" s="3" t="n">
        <v>125074.7068717808</v>
      </c>
      <c r="T165" s="5">
        <f>IF(J165&lt;&gt;"",M165*N165/365/100*('Cashflow Projection'!$B$2-Investors!J165),0)</f>
        <v/>
      </c>
    </row>
    <row r="166">
      <c r="A166" s="3" t="inlineStr">
        <is>
          <t>ZDAV01</t>
        </is>
      </c>
      <c r="B166" s="3" t="inlineStr">
        <is>
          <t>Heather Mary Lyn</t>
        </is>
      </c>
      <c r="C166" s="3" t="inlineStr">
        <is>
          <t>Davies</t>
        </is>
      </c>
      <c r="D166" s="3" t="inlineStr">
        <is>
          <t>Heron View</t>
        </is>
      </c>
      <c r="E166" s="3" t="inlineStr">
        <is>
          <t>HVC201</t>
        </is>
      </c>
      <c r="F166" s="3" t="b">
        <v>1</v>
      </c>
      <c r="G166" s="3" t="b">
        <v>1</v>
      </c>
      <c r="H166" s="3" t="inlineStr">
        <is>
          <t>C</t>
        </is>
      </c>
      <c r="I166" s="4" t="n">
        <v>44851</v>
      </c>
      <c r="J166" s="4" t="n">
        <v>44889</v>
      </c>
      <c r="K166" s="4" t="n">
        <v>45177</v>
      </c>
      <c r="L166" s="3" t="n">
        <v>4</v>
      </c>
      <c r="M166" s="3" t="n">
        <v>250000</v>
      </c>
      <c r="N166" s="3" t="n">
        <v>16</v>
      </c>
      <c r="O166" s="3" t="b">
        <v>0</v>
      </c>
      <c r="P166" s="3" t="b">
        <v>0</v>
      </c>
      <c r="Q166" s="3" t="n">
        <v>2342.465753424657</v>
      </c>
      <c r="R166" s="3" t="n">
        <v>31561.64383561644</v>
      </c>
      <c r="S166" s="3" t="n">
        <v>33904.10958904109</v>
      </c>
      <c r="T166" s="5">
        <f>IF(J166&lt;&gt;"",M166*N166/365/100*('Cashflow Projection'!$B$2-Investors!J166),0)</f>
        <v/>
      </c>
    </row>
    <row r="167">
      <c r="A167" s="3" t="inlineStr">
        <is>
          <t>ZKUS03</t>
        </is>
      </c>
      <c r="B167" s="3" t="inlineStr">
        <is>
          <t>Joanne Tracy</t>
        </is>
      </c>
      <c r="C167" s="3" t="inlineStr">
        <is>
          <t>Kuster</t>
        </is>
      </c>
      <c r="D167" s="3" t="inlineStr">
        <is>
          <t>Heron View</t>
        </is>
      </c>
      <c r="E167" s="3" t="inlineStr">
        <is>
          <t>HVC201</t>
        </is>
      </c>
      <c r="F167" s="3" t="b">
        <v>1</v>
      </c>
      <c r="G167" s="3" t="b">
        <v>1</v>
      </c>
      <c r="H167" s="3" t="inlineStr">
        <is>
          <t>C</t>
        </is>
      </c>
      <c r="I167" s="4" t="n">
        <v>44862</v>
      </c>
      <c r="J167" s="4" t="n">
        <v>44903</v>
      </c>
      <c r="K167" s="4" t="n">
        <v>45177</v>
      </c>
      <c r="L167" s="3" t="n">
        <v>4</v>
      </c>
      <c r="M167" s="3" t="n">
        <v>112071.92</v>
      </c>
      <c r="N167" s="3" t="n">
        <v>14</v>
      </c>
      <c r="O167" s="3" t="b">
        <v>0</v>
      </c>
      <c r="P167" s="3" t="b">
        <v>0</v>
      </c>
      <c r="Q167" s="3" t="n">
        <v>1151.423835616438</v>
      </c>
      <c r="R167" s="3" t="n">
        <v>11778.29822246575</v>
      </c>
      <c r="S167" s="3" t="n">
        <v>12929.72205808219</v>
      </c>
      <c r="T167" s="5">
        <f>IF(J167&lt;&gt;"",M167*N167/365/100*('Cashflow Projection'!$B$2-Investors!J167),0)</f>
        <v/>
      </c>
    </row>
    <row r="168">
      <c r="A168" s="3" t="inlineStr">
        <is>
          <t>ZALM01</t>
        </is>
      </c>
      <c r="B168" s="3" t="inlineStr">
        <is>
          <t>Marc</t>
        </is>
      </c>
      <c r="C168" s="3" t="inlineStr">
        <is>
          <t>Lunau</t>
        </is>
      </c>
      <c r="D168" s="3" t="inlineStr">
        <is>
          <t>Heron View</t>
        </is>
      </c>
      <c r="E168" s="3" t="inlineStr">
        <is>
          <t>HVC202</t>
        </is>
      </c>
      <c r="F168" s="3" t="b">
        <v>0</v>
      </c>
      <c r="G168" s="3" t="b">
        <v>0</v>
      </c>
      <c r="H168" s="3" t="inlineStr">
        <is>
          <t>C</t>
        </is>
      </c>
      <c r="I168" s="4" t="n">
        <v>44854</v>
      </c>
      <c r="J168" s="4" t="n">
        <v>44889</v>
      </c>
      <c r="K168" s="4" t="n">
        <v>45533</v>
      </c>
      <c r="L168" s="3" t="n">
        <v>6</v>
      </c>
      <c r="M168" s="3" t="n">
        <v>100000</v>
      </c>
      <c r="N168" s="3" t="n">
        <v>18</v>
      </c>
      <c r="O168" s="3" t="b">
        <v>0</v>
      </c>
      <c r="P168" s="3" t="b">
        <v>0</v>
      </c>
      <c r="Q168" s="3" t="n">
        <v>863.0136986301366</v>
      </c>
      <c r="R168" s="3" t="n">
        <v>31758.90410958904</v>
      </c>
      <c r="S168" s="3" t="n">
        <v>32621.91780821918</v>
      </c>
      <c r="T168" s="5">
        <f>IF(J168&lt;&gt;"",M168*N168/365/100*('Cashflow Projection'!$B$2-Investors!J168),0)</f>
        <v/>
      </c>
    </row>
    <row r="169">
      <c r="A169" s="3" t="inlineStr">
        <is>
          <t>ZINT01</t>
        </is>
      </c>
      <c r="B169" s="3" t="inlineStr">
        <is>
          <t>Marc</t>
        </is>
      </c>
      <c r="C169" s="3" t="inlineStr">
        <is>
          <t>Lunau</t>
        </is>
      </c>
      <c r="D169" s="3" t="inlineStr">
        <is>
          <t>Heron View</t>
        </is>
      </c>
      <c r="E169" s="3" t="inlineStr">
        <is>
          <t>HVC202</t>
        </is>
      </c>
      <c r="F169" s="3" t="b">
        <v>0</v>
      </c>
      <c r="G169" s="3" t="b">
        <v>0</v>
      </c>
      <c r="H169" s="3" t="inlineStr">
        <is>
          <t>C</t>
        </is>
      </c>
      <c r="I169" s="4" t="n">
        <v>44967</v>
      </c>
      <c r="J169" s="4" t="n">
        <v>45072</v>
      </c>
      <c r="K169" s="4" t="n">
        <v>45533</v>
      </c>
      <c r="L169" s="3" t="n">
        <v>14</v>
      </c>
      <c r="M169" s="3" t="n">
        <v>100000</v>
      </c>
      <c r="N169" s="3" t="n">
        <v>18</v>
      </c>
      <c r="O169" s="3" t="b">
        <v>0</v>
      </c>
      <c r="P169" s="3" t="b">
        <v>0</v>
      </c>
      <c r="Q169" s="3" t="n">
        <v>2953.424657534252</v>
      </c>
      <c r="R169" s="3" t="n">
        <v>22734.24657534247</v>
      </c>
      <c r="S169" s="3" t="n">
        <v>25687.67123287672</v>
      </c>
      <c r="T169" s="5">
        <f>IF(J169&lt;&gt;"",M169*N169/365/100*('Cashflow Projection'!$B$2-Investors!J169),0)</f>
        <v/>
      </c>
    </row>
    <row r="170">
      <c r="A170" s="3" t="inlineStr">
        <is>
          <t>ZMON01</t>
        </is>
      </c>
      <c r="B170" s="3" t="inlineStr">
        <is>
          <t>Zolani</t>
        </is>
      </c>
      <c r="C170" s="3" t="inlineStr">
        <is>
          <t>Moni</t>
        </is>
      </c>
      <c r="D170" s="3" t="inlineStr">
        <is>
          <t>Heron View</t>
        </is>
      </c>
      <c r="E170" s="3" t="inlineStr">
        <is>
          <t>HVC202</t>
        </is>
      </c>
      <c r="F170" s="3" t="b">
        <v>0</v>
      </c>
      <c r="G170" s="3" t="b">
        <v>0</v>
      </c>
      <c r="H170" s="3" t="inlineStr">
        <is>
          <t>C</t>
        </is>
      </c>
      <c r="I170" s="4" t="n">
        <v>44942</v>
      </c>
      <c r="J170" s="4" t="n">
        <v>45016</v>
      </c>
      <c r="K170" s="4" t="n">
        <v>45533</v>
      </c>
      <c r="L170" s="3" t="n">
        <v>1</v>
      </c>
      <c r="M170" s="3" t="n">
        <v>100000</v>
      </c>
      <c r="N170" s="3" t="n">
        <v>14</v>
      </c>
      <c r="O170" s="3" t="b">
        <v>0</v>
      </c>
      <c r="P170" s="3" t="b">
        <v>0</v>
      </c>
      <c r="Q170" s="3" t="n">
        <v>2017.12328767123</v>
      </c>
      <c r="R170" s="3" t="n">
        <v>19830.13698630137</v>
      </c>
      <c r="S170" s="3" t="n">
        <v>21847.2602739726</v>
      </c>
      <c r="T170" s="5">
        <f>IF(J170&lt;&gt;"",M170*N170/365/100*('Cashflow Projection'!$B$2-Investors!J170),0)</f>
        <v/>
      </c>
    </row>
    <row r="171">
      <c r="A171" s="3" t="inlineStr">
        <is>
          <t>ZPER01</t>
        </is>
      </c>
      <c r="B171" s="3" t="inlineStr">
        <is>
          <t>Abraham Jacobus</t>
        </is>
      </c>
      <c r="C171" s="3" t="inlineStr">
        <is>
          <t>Olivier</t>
        </is>
      </c>
      <c r="D171" s="3" t="inlineStr">
        <is>
          <t>Heron View</t>
        </is>
      </c>
      <c r="E171" s="3" t="inlineStr">
        <is>
          <t>HVC202</t>
        </is>
      </c>
      <c r="F171" s="3" t="b">
        <v>0</v>
      </c>
      <c r="G171" s="3" t="b">
        <v>0</v>
      </c>
      <c r="H171" s="3" t="inlineStr">
        <is>
          <t>C</t>
        </is>
      </c>
      <c r="I171" s="4" t="n">
        <v>44886</v>
      </c>
      <c r="J171" s="4" t="n">
        <v>44903</v>
      </c>
      <c r="K171" s="4" t="n">
        <v>45533</v>
      </c>
      <c r="L171" s="3" t="n">
        <v>1</v>
      </c>
      <c r="M171" s="3" t="n">
        <v>100000</v>
      </c>
      <c r="N171" s="3" t="n">
        <v>14</v>
      </c>
      <c r="O171" s="3" t="b">
        <v>0</v>
      </c>
      <c r="P171" s="3" t="b">
        <v>0</v>
      </c>
      <c r="Q171" s="3" t="n">
        <v>435.6164383561643</v>
      </c>
      <c r="R171" s="3" t="n">
        <v>24164.38356164383</v>
      </c>
      <c r="S171" s="3" t="n">
        <v>24600</v>
      </c>
      <c r="T171" s="5">
        <f>IF(J171&lt;&gt;"",M171*N171/365/100*('Cashflow Projection'!$B$2-Investors!J171),0)</f>
        <v/>
      </c>
    </row>
    <row r="172">
      <c r="A172" s="3" t="inlineStr">
        <is>
          <t>ZRAB02</t>
        </is>
      </c>
      <c r="B172" s="3" t="inlineStr">
        <is>
          <t>Roisin Natalie</t>
        </is>
      </c>
      <c r="C172" s="3" t="inlineStr">
        <is>
          <t>Rabe (Mc Dowell)</t>
        </is>
      </c>
      <c r="D172" s="3" t="inlineStr">
        <is>
          <t>Heron View</t>
        </is>
      </c>
      <c r="E172" s="3" t="inlineStr">
        <is>
          <t>HVC202</t>
        </is>
      </c>
      <c r="F172" s="3" t="b">
        <v>0</v>
      </c>
      <c r="G172" s="3" t="b">
        <v>0</v>
      </c>
      <c r="H172" s="3" t="inlineStr">
        <is>
          <t>C</t>
        </is>
      </c>
      <c r="I172" s="4" t="n">
        <v>44872</v>
      </c>
      <c r="J172" s="4" t="n">
        <v>44903</v>
      </c>
      <c r="K172" s="4" t="n">
        <v>45533</v>
      </c>
      <c r="L172" s="3" t="n">
        <v>2</v>
      </c>
      <c r="M172" s="3" t="n">
        <v>300000</v>
      </c>
      <c r="N172" s="3" t="n">
        <v>14</v>
      </c>
      <c r="O172" s="3" t="b">
        <v>0</v>
      </c>
      <c r="P172" s="3" t="b">
        <v>0</v>
      </c>
      <c r="Q172" s="3" t="n">
        <v>2342.465753424656</v>
      </c>
      <c r="R172" s="3" t="n">
        <v>72493.1506849315</v>
      </c>
      <c r="S172" s="3" t="n">
        <v>74835.61643835616</v>
      </c>
      <c r="T172" s="5">
        <f>IF(J172&lt;&gt;"",M172*N172/365/100*('Cashflow Projection'!$B$2-Investors!J172),0)</f>
        <v/>
      </c>
    </row>
    <row r="173">
      <c r="A173" s="3" t="inlineStr">
        <is>
          <t>ZRIT01</t>
        </is>
      </c>
      <c r="B173" s="3" t="inlineStr">
        <is>
          <t>Dennis</t>
        </is>
      </c>
      <c r="C173" s="3" t="inlineStr">
        <is>
          <t>Ritter</t>
        </is>
      </c>
      <c r="D173" s="3" t="inlineStr">
        <is>
          <t>Heron View</t>
        </is>
      </c>
      <c r="E173" s="3" t="inlineStr">
        <is>
          <t>HVC202</t>
        </is>
      </c>
      <c r="F173" s="3" t="b">
        <v>0</v>
      </c>
      <c r="G173" s="3" t="b">
        <v>0</v>
      </c>
      <c r="H173" s="3" t="inlineStr">
        <is>
          <t>C</t>
        </is>
      </c>
      <c r="I173" s="4" t="n">
        <v>44858</v>
      </c>
      <c r="J173" s="4" t="n">
        <v>44889</v>
      </c>
      <c r="K173" s="4" t="n">
        <v>45533</v>
      </c>
      <c r="L173" s="3" t="n">
        <v>6</v>
      </c>
      <c r="M173" s="3" t="n">
        <v>300000</v>
      </c>
      <c r="N173" s="3" t="n">
        <v>18</v>
      </c>
      <c r="O173" s="3" t="b">
        <v>0</v>
      </c>
      <c r="P173" s="3" t="b">
        <v>0</v>
      </c>
      <c r="Q173" s="3" t="n">
        <v>2293.150684931506</v>
      </c>
      <c r="R173" s="3" t="n">
        <v>95276.71232876713</v>
      </c>
      <c r="S173" s="3" t="n">
        <v>97569.86301369863</v>
      </c>
      <c r="T173" s="5">
        <f>IF(J173&lt;&gt;"",M173*N173/365/100*('Cashflow Projection'!$B$2-Investors!J173),0)</f>
        <v/>
      </c>
    </row>
    <row r="174">
      <c r="A174" s="3" t="inlineStr">
        <is>
          <t>ZVAN11</t>
        </is>
      </c>
      <c r="B174" s="3" t="inlineStr">
        <is>
          <t>Wilma</t>
        </is>
      </c>
      <c r="C174" s="3" t="inlineStr">
        <is>
          <t>van Bosch</t>
        </is>
      </c>
      <c r="D174" s="3" t="inlineStr">
        <is>
          <t>Heron View</t>
        </is>
      </c>
      <c r="E174" s="3" t="inlineStr">
        <is>
          <t>HVC202</t>
        </is>
      </c>
      <c r="F174" s="3" t="b">
        <v>0</v>
      </c>
      <c r="G174" s="3" t="b">
        <v>0</v>
      </c>
      <c r="H174" s="3" t="inlineStr">
        <is>
          <t>C</t>
        </is>
      </c>
      <c r="I174" s="4" t="n">
        <v>44880</v>
      </c>
      <c r="J174" s="4" t="n">
        <v>44903</v>
      </c>
      <c r="K174" s="4" t="n">
        <v>45533</v>
      </c>
      <c r="L174" s="3" t="n">
        <v>1</v>
      </c>
      <c r="M174" s="3" t="n">
        <v>100000</v>
      </c>
      <c r="N174" s="3" t="n">
        <v>14</v>
      </c>
      <c r="O174" s="3" t="b">
        <v>0</v>
      </c>
      <c r="P174" s="3" t="b">
        <v>0</v>
      </c>
      <c r="Q174" s="3" t="n">
        <v>583.5616438356162</v>
      </c>
      <c r="R174" s="3" t="n">
        <v>24164.38356164383</v>
      </c>
      <c r="S174" s="3" t="n">
        <v>24747.94520547945</v>
      </c>
      <c r="T174" s="5">
        <f>IF(J174&lt;&gt;"",M174*N174/365/100*('Cashflow Projection'!$B$2-Investors!J174),0)</f>
        <v/>
      </c>
    </row>
    <row r="175">
      <c r="A175" s="3" t="inlineStr">
        <is>
          <t>ZDEC01</t>
        </is>
      </c>
      <c r="B175" s="3" t="inlineStr">
        <is>
          <t>Hendrik</t>
        </is>
      </c>
      <c r="C175" s="3" t="inlineStr">
        <is>
          <t>de Clerk</t>
        </is>
      </c>
      <c r="D175" s="3" t="inlineStr">
        <is>
          <t>Heron View</t>
        </is>
      </c>
      <c r="E175" s="3" t="inlineStr">
        <is>
          <t>HVC203</t>
        </is>
      </c>
      <c r="F175" s="3" t="b">
        <v>1</v>
      </c>
      <c r="G175" s="3" t="b">
        <v>1</v>
      </c>
      <c r="H175" s="3" t="inlineStr">
        <is>
          <t>C</t>
        </is>
      </c>
      <c r="I175" s="4" t="n">
        <v>44861</v>
      </c>
      <c r="J175" s="4" t="n">
        <v>44889</v>
      </c>
      <c r="K175" s="4" t="n">
        <v>45154</v>
      </c>
      <c r="L175" s="3" t="n">
        <v>2</v>
      </c>
      <c r="M175" s="3" t="n">
        <v>1000000</v>
      </c>
      <c r="N175" s="3" t="n">
        <v>18</v>
      </c>
      <c r="O175" s="3" t="b">
        <v>0</v>
      </c>
      <c r="P175" s="3" t="b">
        <v>0</v>
      </c>
      <c r="Q175" s="3" t="n">
        <v>6904.109589041092</v>
      </c>
      <c r="R175" s="3" t="n">
        <v>130684.9315068493</v>
      </c>
      <c r="S175" s="3" t="n">
        <v>137589.0410958904</v>
      </c>
      <c r="T175" s="5">
        <f>IF(J175&lt;&gt;"",M175*N175/365/100*('Cashflow Projection'!$B$2-Investors!J175),0)</f>
        <v/>
      </c>
    </row>
    <row r="176">
      <c r="A176" s="3" t="inlineStr">
        <is>
          <t>ZNIE02</t>
        </is>
      </c>
      <c r="B176" s="3" t="inlineStr">
        <is>
          <t>Linda Kathleen</t>
        </is>
      </c>
      <c r="C176" s="3" t="inlineStr">
        <is>
          <t>van Niekerk</t>
        </is>
      </c>
      <c r="D176" s="3" t="inlineStr">
        <is>
          <t>Heron View</t>
        </is>
      </c>
      <c r="E176" s="3" t="inlineStr">
        <is>
          <t>HVC203</t>
        </is>
      </c>
      <c r="F176" s="3" t="b">
        <v>1</v>
      </c>
      <c r="G176" s="3" t="b">
        <v>1</v>
      </c>
      <c r="H176" s="3" t="inlineStr">
        <is>
          <t>C</t>
        </is>
      </c>
      <c r="I176" s="4" t="n">
        <v>44858</v>
      </c>
      <c r="J176" s="4" t="n">
        <v>44889</v>
      </c>
      <c r="K176" s="4" t="n">
        <v>45154</v>
      </c>
      <c r="L176" s="3" t="n">
        <v>2</v>
      </c>
      <c r="M176" s="3" t="n">
        <v>100000</v>
      </c>
      <c r="N176" s="3" t="n">
        <v>14</v>
      </c>
      <c r="O176" s="3" t="b">
        <v>0</v>
      </c>
      <c r="P176" s="3" t="b">
        <v>0</v>
      </c>
      <c r="Q176" s="3" t="n">
        <v>764.3835616438353</v>
      </c>
      <c r="R176" s="3" t="n">
        <v>10164.38356164384</v>
      </c>
      <c r="S176" s="3" t="n">
        <v>10928.76712328767</v>
      </c>
      <c r="T176" s="5">
        <f>IF(J176&lt;&gt;"",M176*N176/365/100*('Cashflow Projection'!$B$2-Investors!J176),0)</f>
        <v/>
      </c>
    </row>
    <row r="177">
      <c r="A177" s="3" t="inlineStr">
        <is>
          <t>ZCRO01</t>
        </is>
      </c>
      <c r="B177" s="3" t="inlineStr">
        <is>
          <t>Marc</t>
        </is>
      </c>
      <c r="C177" s="3" t="inlineStr">
        <is>
          <t>Lunau</t>
        </is>
      </c>
      <c r="D177" s="3" t="inlineStr">
        <is>
          <t>Heron View</t>
        </is>
      </c>
      <c r="E177" s="3" t="inlineStr">
        <is>
          <t>HVC204</t>
        </is>
      </c>
      <c r="F177" s="3" t="b">
        <v>0</v>
      </c>
      <c r="G177" s="3" t="b">
        <v>0</v>
      </c>
      <c r="H177" s="3" t="inlineStr">
        <is>
          <t>C</t>
        </is>
      </c>
      <c r="I177" s="4" t="n">
        <v>44992</v>
      </c>
      <c r="J177" s="4" t="n">
        <v>45107</v>
      </c>
      <c r="K177" s="4" t="n">
        <v>45530</v>
      </c>
      <c r="L177" s="3" t="n">
        <v>13</v>
      </c>
      <c r="M177" s="3" t="n">
        <v>150000</v>
      </c>
      <c r="N177" s="3" t="n">
        <v>18</v>
      </c>
      <c r="O177" s="3" t="b">
        <v>0</v>
      </c>
      <c r="P177" s="3" t="b">
        <v>0</v>
      </c>
      <c r="Q177" s="3" t="n">
        <v>4974.657534246577</v>
      </c>
      <c r="R177" s="3" t="n">
        <v>31290.41095890411</v>
      </c>
      <c r="S177" s="3" t="n">
        <v>36265.06849315068</v>
      </c>
      <c r="T177" s="5">
        <f>IF(J177&lt;&gt;"",M177*N177/365/100*('Cashflow Projection'!$B$2-Investors!J177),0)</f>
        <v/>
      </c>
    </row>
    <row r="178">
      <c r="A178" s="3" t="inlineStr">
        <is>
          <t>ZFEM01</t>
        </is>
      </c>
      <c r="B178" s="3" t="inlineStr">
        <is>
          <t>Francina Elisabeth</t>
        </is>
      </c>
      <c r="C178" s="3" t="inlineStr">
        <is>
          <t>Morkel</t>
        </is>
      </c>
      <c r="D178" s="3" t="inlineStr">
        <is>
          <t>Heron View</t>
        </is>
      </c>
      <c r="E178" s="3" t="inlineStr">
        <is>
          <t>HVC204</t>
        </is>
      </c>
      <c r="F178" s="3" t="b">
        <v>0</v>
      </c>
      <c r="G178" s="3" t="b">
        <v>0</v>
      </c>
      <c r="H178" s="3" t="inlineStr">
        <is>
          <t>C</t>
        </is>
      </c>
      <c r="I178" s="4" t="n">
        <v>44887</v>
      </c>
      <c r="J178" s="4" t="n">
        <v>44916</v>
      </c>
      <c r="K178" s="4" t="n">
        <v>45530</v>
      </c>
      <c r="L178" s="3" t="n">
        <v>3</v>
      </c>
      <c r="M178" s="3" t="n">
        <v>113202.05</v>
      </c>
      <c r="N178" s="3" t="n">
        <v>14</v>
      </c>
      <c r="O178" s="3" t="b">
        <v>0</v>
      </c>
      <c r="P178" s="3" t="b">
        <v>0</v>
      </c>
      <c r="Q178" s="3" t="n">
        <v>858.3196530821914</v>
      </c>
      <c r="R178" s="3" t="n">
        <v>26659.85813150685</v>
      </c>
      <c r="S178" s="3" t="n">
        <v>27518.17778458904</v>
      </c>
      <c r="T178" s="5">
        <f>IF(J178&lt;&gt;"",M178*N178/365/100*('Cashflow Projection'!$B$2-Investors!J178),0)</f>
        <v/>
      </c>
    </row>
    <row r="179">
      <c r="A179" s="3" t="inlineStr">
        <is>
          <t>ZKUS02</t>
        </is>
      </c>
      <c r="B179" s="3" t="inlineStr">
        <is>
          <t>Kerry Lisa</t>
        </is>
      </c>
      <c r="C179" s="3" t="inlineStr">
        <is>
          <t>Kuster</t>
        </is>
      </c>
      <c r="D179" s="3" t="inlineStr">
        <is>
          <t>Heron View</t>
        </is>
      </c>
      <c r="E179" s="3" t="inlineStr">
        <is>
          <t>HVC204</t>
        </is>
      </c>
      <c r="F179" s="3" t="b">
        <v>0</v>
      </c>
      <c r="G179" s="3" t="b">
        <v>0</v>
      </c>
      <c r="H179" s="3" t="inlineStr">
        <is>
          <t>C</t>
        </is>
      </c>
      <c r="I179" s="4" t="n">
        <v>44854</v>
      </c>
      <c r="J179" s="4" t="n">
        <v>44889</v>
      </c>
      <c r="K179" s="4" t="n">
        <v>45530</v>
      </c>
      <c r="L179" s="3" t="n">
        <v>3</v>
      </c>
      <c r="M179" s="3" t="n">
        <v>275583.65</v>
      </c>
      <c r="N179" s="3" t="n">
        <v>14</v>
      </c>
      <c r="O179" s="3" t="b">
        <v>0</v>
      </c>
      <c r="P179" s="3" t="b">
        <v>0</v>
      </c>
      <c r="Q179" s="3" t="n">
        <v>2378.324650684931</v>
      </c>
      <c r="R179" s="3" t="n">
        <v>67755.8267150685</v>
      </c>
      <c r="S179" s="3" t="n">
        <v>70134.15136575342</v>
      </c>
      <c r="T179" s="5">
        <f>IF(J179&lt;&gt;"",M179*N179/365/100*('Cashflow Projection'!$B$2-Investors!J179),0)</f>
        <v/>
      </c>
    </row>
    <row r="180">
      <c r="A180" s="3" t="inlineStr">
        <is>
          <t>ZSTO01</t>
        </is>
      </c>
      <c r="B180" s="3" t="inlineStr">
        <is>
          <t>Nicolaas</t>
        </is>
      </c>
      <c r="C180" s="3" t="inlineStr">
        <is>
          <t>Stols</t>
        </is>
      </c>
      <c r="D180" s="3" t="inlineStr">
        <is>
          <t>Heron View</t>
        </is>
      </c>
      <c r="E180" s="3" t="inlineStr">
        <is>
          <t>HVC204</t>
        </is>
      </c>
      <c r="F180" s="3" t="b">
        <v>0</v>
      </c>
      <c r="G180" s="3" t="b">
        <v>0</v>
      </c>
      <c r="H180" s="3" t="inlineStr">
        <is>
          <t>C</t>
        </is>
      </c>
      <c r="I180" s="4" t="n">
        <v>44858</v>
      </c>
      <c r="J180" s="4" t="n">
        <v>44889</v>
      </c>
      <c r="K180" s="4" t="n">
        <v>45530</v>
      </c>
      <c r="L180" s="3" t="n">
        <v>3</v>
      </c>
      <c r="M180" s="3" t="n">
        <v>200000</v>
      </c>
      <c r="N180" s="3" t="n">
        <v>16</v>
      </c>
      <c r="O180" s="3" t="b">
        <v>0</v>
      </c>
      <c r="P180" s="3" t="b">
        <v>0</v>
      </c>
      <c r="Q180" s="3" t="n">
        <v>1528.767123287671</v>
      </c>
      <c r="R180" s="3" t="n">
        <v>56197.2602739726</v>
      </c>
      <c r="S180" s="3" t="n">
        <v>57726.02739726027</v>
      </c>
      <c r="T180" s="5">
        <f>IF(J180&lt;&gt;"",M180*N180/365/100*('Cashflow Projection'!$B$2-Investors!J180),0)</f>
        <v/>
      </c>
    </row>
    <row r="181">
      <c r="A181" s="3" t="inlineStr">
        <is>
          <t>ZVAN10</t>
        </is>
      </c>
      <c r="B181" s="3" t="inlineStr">
        <is>
          <t>Wilhelm Johannes</t>
        </is>
      </c>
      <c r="C181" s="3" t="inlineStr">
        <is>
          <t>van der Merwe</t>
        </is>
      </c>
      <c r="D181" s="3" t="inlineStr">
        <is>
          <t>Heron View</t>
        </is>
      </c>
      <c r="E181" s="3" t="inlineStr">
        <is>
          <t>HVC204</t>
        </is>
      </c>
      <c r="F181" s="3" t="b">
        <v>0</v>
      </c>
      <c r="G181" s="3" t="b">
        <v>0</v>
      </c>
      <c r="H181" s="3" t="inlineStr">
        <is>
          <t>C</t>
        </is>
      </c>
      <c r="I181" s="4" t="n">
        <v>44859</v>
      </c>
      <c r="J181" s="4" t="n">
        <v>44889</v>
      </c>
      <c r="K181" s="4" t="n">
        <v>45530</v>
      </c>
      <c r="L181" s="3" t="n">
        <v>1</v>
      </c>
      <c r="M181" s="3" t="n">
        <v>250000</v>
      </c>
      <c r="N181" s="3" t="n">
        <v>14</v>
      </c>
      <c r="O181" s="3" t="b">
        <v>0</v>
      </c>
      <c r="P181" s="3" t="b">
        <v>0</v>
      </c>
      <c r="Q181" s="3" t="n">
        <v>1849.31506849315</v>
      </c>
      <c r="R181" s="3" t="n">
        <v>61465.75342465754</v>
      </c>
      <c r="S181" s="3" t="n">
        <v>63315.06849315068</v>
      </c>
      <c r="T181" s="5">
        <f>IF(J181&lt;&gt;"",M181*N181/365/100*('Cashflow Projection'!$B$2-Investors!J181),0)</f>
        <v/>
      </c>
    </row>
    <row r="182">
      <c r="A182" s="3" t="inlineStr">
        <is>
          <t>ZWIL01</t>
        </is>
      </c>
      <c r="B182" s="3" t="inlineStr">
        <is>
          <t>Gail</t>
        </is>
      </c>
      <c r="C182" s="3" t="inlineStr">
        <is>
          <t>Wilson</t>
        </is>
      </c>
      <c r="D182" s="3" t="inlineStr">
        <is>
          <t>Heron View</t>
        </is>
      </c>
      <c r="E182" s="3" t="inlineStr">
        <is>
          <t>HVC204</t>
        </is>
      </c>
      <c r="F182" s="3" t="b">
        <v>0</v>
      </c>
      <c r="G182" s="3" t="b">
        <v>0</v>
      </c>
      <c r="H182" s="3" t="inlineStr">
        <is>
          <t>C</t>
        </is>
      </c>
      <c r="I182" s="4" t="n">
        <v>44872</v>
      </c>
      <c r="J182" s="4" t="n">
        <v>44903</v>
      </c>
      <c r="K182" s="4" t="n">
        <v>45530</v>
      </c>
      <c r="L182" s="3" t="n">
        <v>2</v>
      </c>
      <c r="M182" s="3" t="n">
        <v>118664.38</v>
      </c>
      <c r="N182" s="3" t="n">
        <v>14</v>
      </c>
      <c r="O182" s="3" t="b">
        <v>0</v>
      </c>
      <c r="P182" s="3" t="b">
        <v>0</v>
      </c>
      <c r="Q182" s="3" t="n">
        <v>926.5574876712327</v>
      </c>
      <c r="R182" s="3" t="n">
        <v>28537.97062027398</v>
      </c>
      <c r="S182" s="3" t="n">
        <v>29464.52810794521</v>
      </c>
      <c r="T182" s="5">
        <f>IF(J182&lt;&gt;"",M182*N182/365/100*('Cashflow Projection'!$B$2-Investors!J182),0)</f>
        <v/>
      </c>
    </row>
    <row r="183">
      <c r="A183" s="3" t="inlineStr">
        <is>
          <t>ZMIL01</t>
        </is>
      </c>
      <c r="B183" s="3" t="inlineStr">
        <is>
          <t xml:space="preserve">Arno </t>
        </is>
      </c>
      <c r="C183" s="3" t="inlineStr">
        <is>
          <t>Milne</t>
        </is>
      </c>
      <c r="D183" s="3" t="inlineStr">
        <is>
          <t>Heron View</t>
        </is>
      </c>
      <c r="E183" s="3" t="inlineStr">
        <is>
          <t>HVC205</t>
        </is>
      </c>
      <c r="F183" s="3" t="b">
        <v>1</v>
      </c>
      <c r="G183" s="3" t="b">
        <v>0</v>
      </c>
      <c r="H183" s="3" t="inlineStr">
        <is>
          <t>C</t>
        </is>
      </c>
      <c r="I183" s="4" t="n">
        <v>44876</v>
      </c>
      <c r="J183" s="4" t="n">
        <v>44903</v>
      </c>
      <c r="K183" s="4" t="n">
        <v>45491</v>
      </c>
      <c r="L183" s="3" t="n">
        <v>1</v>
      </c>
      <c r="M183" s="3" t="n">
        <v>500000</v>
      </c>
      <c r="N183" s="3" t="n">
        <v>16</v>
      </c>
      <c r="O183" s="3" t="b">
        <v>0</v>
      </c>
      <c r="P183" s="3" t="b">
        <v>0</v>
      </c>
      <c r="Q183" s="3" t="n">
        <v>3410.958904109588</v>
      </c>
      <c r="R183" s="3" t="n">
        <v>128876.7123287671</v>
      </c>
      <c r="S183" s="3" t="n">
        <v>132287.6712328767</v>
      </c>
      <c r="T183" s="5">
        <f>IF(J183&lt;&gt;"",M183*N183/365/100*('Cashflow Projection'!$B$2-Investors!J183),0)</f>
        <v/>
      </c>
    </row>
    <row r="184">
      <c r="A184" s="3" t="inlineStr">
        <is>
          <t>ZSCA03</t>
        </is>
      </c>
      <c r="B184" s="3" t="inlineStr">
        <is>
          <t>Gerda Margaret</t>
        </is>
      </c>
      <c r="C184" s="3" t="inlineStr">
        <is>
          <t>Scalzini</t>
        </is>
      </c>
      <c r="D184" s="3" t="inlineStr">
        <is>
          <t>Heron View</t>
        </is>
      </c>
      <c r="E184" s="3" t="inlineStr">
        <is>
          <t>HVC205</t>
        </is>
      </c>
      <c r="F184" s="3" t="b">
        <v>1</v>
      </c>
      <c r="G184" s="3" t="b">
        <v>0</v>
      </c>
      <c r="H184" s="3" t="inlineStr">
        <is>
          <t>C</t>
        </is>
      </c>
      <c r="I184" s="4" t="n">
        <v>44862</v>
      </c>
      <c r="J184" s="4" t="n">
        <v>44903</v>
      </c>
      <c r="K184" s="4" t="n">
        <v>45491</v>
      </c>
      <c r="L184" s="3" t="n">
        <v>2</v>
      </c>
      <c r="M184" s="3" t="n">
        <v>111894.52</v>
      </c>
      <c r="N184" s="3" t="n">
        <v>14</v>
      </c>
      <c r="O184" s="3" t="b">
        <v>0</v>
      </c>
      <c r="P184" s="3" t="b">
        <v>0</v>
      </c>
      <c r="Q184" s="3" t="n">
        <v>1149.601232876713</v>
      </c>
      <c r="R184" s="3" t="n">
        <v>25236.04626410959</v>
      </c>
      <c r="S184" s="3" t="n">
        <v>26385.6474969863</v>
      </c>
      <c r="T184" s="5">
        <f>IF(J184&lt;&gt;"",M184*N184/365/100*('Cashflow Projection'!$B$2-Investors!J184),0)</f>
        <v/>
      </c>
    </row>
    <row r="185">
      <c r="A185" s="3" t="inlineStr">
        <is>
          <t>ZVIV01</t>
        </is>
      </c>
      <c r="B185" s="3" t="inlineStr">
        <is>
          <t>Philip Gerhard</t>
        </is>
      </c>
      <c r="C185" s="3" t="inlineStr">
        <is>
          <t>Vivier</t>
        </is>
      </c>
      <c r="D185" s="3" t="inlineStr">
        <is>
          <t>Heron View</t>
        </is>
      </c>
      <c r="E185" s="3" t="inlineStr">
        <is>
          <t>HVC205</t>
        </is>
      </c>
      <c r="F185" s="3" t="b">
        <v>1</v>
      </c>
      <c r="G185" s="3" t="b">
        <v>0</v>
      </c>
      <c r="H185" s="3" t="inlineStr">
        <is>
          <t>C</t>
        </is>
      </c>
      <c r="I185" s="4" t="n">
        <v>44876</v>
      </c>
      <c r="J185" s="4" t="n">
        <v>44903</v>
      </c>
      <c r="K185" s="4" t="n">
        <v>45491</v>
      </c>
      <c r="L185" s="3" t="n">
        <v>1</v>
      </c>
      <c r="M185" s="3" t="n">
        <v>400000</v>
      </c>
      <c r="N185" s="3" t="n">
        <v>14</v>
      </c>
      <c r="O185" s="3" t="b">
        <v>0</v>
      </c>
      <c r="P185" s="3" t="b">
        <v>0</v>
      </c>
      <c r="Q185" s="3" t="n">
        <v>2728.76712328767</v>
      </c>
      <c r="R185" s="3" t="n">
        <v>90213.69863013698</v>
      </c>
      <c r="S185" s="3" t="n">
        <v>92942.46575342465</v>
      </c>
      <c r="T185" s="5">
        <f>IF(J185&lt;&gt;"",M185*N185/365/100*('Cashflow Projection'!$B$2-Investors!J185),0)</f>
        <v/>
      </c>
    </row>
    <row r="186">
      <c r="A186" s="3" t="inlineStr">
        <is>
          <t>ZWAL02</t>
        </is>
      </c>
      <c r="B186" s="3" t="inlineStr">
        <is>
          <t>Johann</t>
        </is>
      </c>
      <c r="C186" s="3" t="inlineStr">
        <is>
          <t>Wallander</t>
        </is>
      </c>
      <c r="D186" s="3" t="inlineStr">
        <is>
          <t>Heron View</t>
        </is>
      </c>
      <c r="E186" s="3" t="inlineStr">
        <is>
          <t>HVC205</t>
        </is>
      </c>
      <c r="F186" s="3" t="b">
        <v>1</v>
      </c>
      <c r="G186" s="3" t="b">
        <v>0</v>
      </c>
      <c r="H186" s="3" t="inlineStr">
        <is>
          <t>C</t>
        </is>
      </c>
      <c r="I186" s="4" t="n">
        <v>44887</v>
      </c>
      <c r="J186" s="4" t="n">
        <v>44903</v>
      </c>
      <c r="K186" s="4" t="n">
        <v>45491</v>
      </c>
      <c r="L186" s="3" t="n">
        <v>4</v>
      </c>
      <c r="M186" s="3" t="n">
        <v>100000</v>
      </c>
      <c r="N186" s="3" t="n">
        <v>14</v>
      </c>
      <c r="O186" s="3" t="b">
        <v>0</v>
      </c>
      <c r="P186" s="3" t="b">
        <v>0</v>
      </c>
      <c r="Q186" s="3" t="n">
        <v>410.958904109589</v>
      </c>
      <c r="R186" s="3" t="n">
        <v>22553.42465753424</v>
      </c>
      <c r="S186" s="3" t="n">
        <v>22964.38356164383</v>
      </c>
      <c r="T186" s="5">
        <f>IF(J186&lt;&gt;"",M186*N186/365/100*('Cashflow Projection'!$B$2-Investors!J186),0)</f>
        <v/>
      </c>
    </row>
    <row r="187">
      <c r="A187" s="3" t="inlineStr">
        <is>
          <t>ZKRI02</t>
        </is>
      </c>
      <c r="B187" s="3" t="inlineStr">
        <is>
          <t>Hermanus Johannes</t>
        </is>
      </c>
      <c r="C187" s="3" t="inlineStr">
        <is>
          <t>Kriel</t>
        </is>
      </c>
      <c r="D187" s="3" t="inlineStr">
        <is>
          <t>Heron View</t>
        </is>
      </c>
      <c r="E187" s="3" t="inlineStr">
        <is>
          <t>HVC206</t>
        </is>
      </c>
      <c r="F187" s="3" t="b">
        <v>1</v>
      </c>
      <c r="G187" s="3" t="b">
        <v>0</v>
      </c>
      <c r="H187" s="3" t="inlineStr">
        <is>
          <t>C</t>
        </is>
      </c>
      <c r="I187" s="4" t="n">
        <v>44846</v>
      </c>
      <c r="J187" s="4" t="n">
        <v>44861</v>
      </c>
      <c r="K187" s="4" t="n">
        <v>45491</v>
      </c>
      <c r="L187" s="3" t="n">
        <v>3</v>
      </c>
      <c r="M187" s="3" t="n">
        <v>1100000</v>
      </c>
      <c r="N187" s="3" t="n">
        <v>18</v>
      </c>
      <c r="O187" s="3" t="b">
        <v>0</v>
      </c>
      <c r="P187" s="3" t="b">
        <v>0</v>
      </c>
      <c r="Q187" s="3" t="n">
        <v>4068.493150684933</v>
      </c>
      <c r="R187" s="3" t="n">
        <v>341753.4246575343</v>
      </c>
      <c r="S187" s="3" t="n">
        <v>345821.9178082192</v>
      </c>
      <c r="T187" s="5">
        <f>IF(J187&lt;&gt;"",M187*N187/365/100*('Cashflow Projection'!$B$2-Investors!J187),0)</f>
        <v/>
      </c>
    </row>
    <row r="188">
      <c r="A188" s="3" t="inlineStr">
        <is>
          <t>ZCON01</t>
        </is>
      </c>
      <c r="B188" s="3" t="inlineStr">
        <is>
          <t>Gerhard Lotter</t>
        </is>
      </c>
      <c r="C188" s="3" t="inlineStr">
        <is>
          <t>Conradie</t>
        </is>
      </c>
      <c r="D188" s="3" t="inlineStr">
        <is>
          <t>Heron View</t>
        </is>
      </c>
      <c r="E188" s="3" t="inlineStr">
        <is>
          <t>HVC301</t>
        </is>
      </c>
      <c r="F188" s="3" t="b">
        <v>1</v>
      </c>
      <c r="G188" s="3" t="b">
        <v>1</v>
      </c>
      <c r="H188" s="3" t="inlineStr">
        <is>
          <t>C</t>
        </is>
      </c>
      <c r="I188" s="4" t="n">
        <v>44748</v>
      </c>
      <c r="J188" s="4" t="n">
        <v>44755</v>
      </c>
      <c r="K188" s="4" t="n">
        <v>45154</v>
      </c>
      <c r="L188" s="3" t="n">
        <v>4</v>
      </c>
      <c r="M188" s="3" t="n">
        <v>990694.47</v>
      </c>
      <c r="N188" s="3" t="n">
        <v>14</v>
      </c>
      <c r="O188" s="3" t="b">
        <v>0</v>
      </c>
      <c r="P188" s="3" t="b">
        <v>0</v>
      </c>
      <c r="Q188" s="3" t="n">
        <v>1424.971497945205</v>
      </c>
      <c r="R188" s="3" t="n">
        <v>151616.9673813699</v>
      </c>
      <c r="S188" s="3" t="n">
        <v>153041.9388793151</v>
      </c>
      <c r="T188" s="5">
        <f>IF(J188&lt;&gt;"",M188*N188/365/100*('Cashflow Projection'!$B$2-Investors!J188),0)</f>
        <v/>
      </c>
    </row>
    <row r="189">
      <c r="A189" s="3" t="inlineStr">
        <is>
          <t>ZINT01</t>
        </is>
      </c>
      <c r="B189" s="3" t="inlineStr">
        <is>
          <t>Marc</t>
        </is>
      </c>
      <c r="C189" s="3" t="inlineStr">
        <is>
          <t>Lunau</t>
        </is>
      </c>
      <c r="D189" s="3" t="inlineStr">
        <is>
          <t>Heron View</t>
        </is>
      </c>
      <c r="E189" s="3" t="inlineStr">
        <is>
          <t>HVC301</t>
        </is>
      </c>
      <c r="F189" s="3" t="b">
        <v>1</v>
      </c>
      <c r="G189" s="3" t="b">
        <v>1</v>
      </c>
      <c r="H189" s="3" t="inlineStr">
        <is>
          <t>C</t>
        </is>
      </c>
      <c r="I189" s="4" t="n">
        <v>44967</v>
      </c>
      <c r="J189" s="4" t="n">
        <v>45072</v>
      </c>
      <c r="K189" s="4" t="n">
        <v>45154</v>
      </c>
      <c r="L189" s="3" t="n">
        <v>15</v>
      </c>
      <c r="M189" s="3" t="n">
        <v>100000</v>
      </c>
      <c r="N189" s="3" t="n">
        <v>18</v>
      </c>
      <c r="O189" s="3" t="b">
        <v>0</v>
      </c>
      <c r="P189" s="3" t="b">
        <v>0</v>
      </c>
      <c r="Q189" s="3" t="n">
        <v>2953.424657534252</v>
      </c>
      <c r="R189" s="3" t="n">
        <v>4043.835616438356</v>
      </c>
      <c r="S189" s="3" t="n">
        <v>6997.260273972608</v>
      </c>
      <c r="T189" s="5">
        <f>IF(J189&lt;&gt;"",M189*N189/365/100*('Cashflow Projection'!$B$2-Investors!J189),0)</f>
        <v/>
      </c>
    </row>
    <row r="190">
      <c r="A190" s="3" t="inlineStr">
        <is>
          <t>ZCON01</t>
        </is>
      </c>
      <c r="B190" s="3" t="inlineStr">
        <is>
          <t>Gerhard Lotter</t>
        </is>
      </c>
      <c r="C190" s="3" t="inlineStr">
        <is>
          <t>Conradie</t>
        </is>
      </c>
      <c r="D190" s="3" t="inlineStr">
        <is>
          <t>Heron View</t>
        </is>
      </c>
      <c r="E190" s="3" t="inlineStr">
        <is>
          <t>HVC302</t>
        </is>
      </c>
      <c r="F190" s="3" t="b">
        <v>0</v>
      </c>
      <c r="G190" s="3" t="b">
        <v>0</v>
      </c>
      <c r="H190" s="3" t="inlineStr">
        <is>
          <t>C</t>
        </is>
      </c>
      <c r="I190" s="4" t="n">
        <v>44748</v>
      </c>
      <c r="J190" s="4" t="n">
        <v>44755</v>
      </c>
      <c r="K190" s="4" t="n">
        <v>45533</v>
      </c>
      <c r="L190" s="3" t="n">
        <v>5</v>
      </c>
      <c r="M190" s="3" t="n">
        <v>990694.47</v>
      </c>
      <c r="N190" s="3" t="n">
        <v>14</v>
      </c>
      <c r="O190" s="3" t="b">
        <v>0</v>
      </c>
      <c r="P190" s="3" t="b">
        <v>0</v>
      </c>
      <c r="Q190" s="3" t="n">
        <v>1424.971497945205</v>
      </c>
      <c r="R190" s="3" t="n">
        <v>295634.0867736987</v>
      </c>
      <c r="S190" s="3" t="n">
        <v>297059.0582716439</v>
      </c>
      <c r="T190" s="5">
        <f>IF(J190&lt;&gt;"",M190*N190/365/100*('Cashflow Projection'!$B$2-Investors!J190),0)</f>
        <v/>
      </c>
    </row>
    <row r="191">
      <c r="A191" s="3" t="inlineStr">
        <is>
          <t>ZKEW01</t>
        </is>
      </c>
      <c r="B191" s="3" t="inlineStr">
        <is>
          <t>Lisa Maree</t>
        </is>
      </c>
      <c r="C191" s="3" t="inlineStr">
        <is>
          <t>Kewley</t>
        </is>
      </c>
      <c r="D191" s="3" t="inlineStr">
        <is>
          <t>Heron View</t>
        </is>
      </c>
      <c r="E191" s="3" t="inlineStr">
        <is>
          <t>HVC302</t>
        </is>
      </c>
      <c r="F191" s="3" t="b">
        <v>0</v>
      </c>
      <c r="G191" s="3" t="b">
        <v>0</v>
      </c>
      <c r="H191" s="3" t="inlineStr">
        <is>
          <t>C</t>
        </is>
      </c>
      <c r="I191" s="4" t="n">
        <v>44862</v>
      </c>
      <c r="J191" s="4" t="n">
        <v>44903</v>
      </c>
      <c r="K191" s="4" t="n">
        <v>45533</v>
      </c>
      <c r="L191" s="3" t="n">
        <v>2</v>
      </c>
      <c r="M191" s="3" t="n">
        <v>117205.48</v>
      </c>
      <c r="N191" s="3" t="n">
        <v>14</v>
      </c>
      <c r="O191" s="3" t="b">
        <v>0</v>
      </c>
      <c r="P191" s="3" t="b">
        <v>0</v>
      </c>
      <c r="Q191" s="3" t="n">
        <v>1204.165890410958</v>
      </c>
      <c r="R191" s="3" t="n">
        <v>28321.98174246575</v>
      </c>
      <c r="S191" s="3" t="n">
        <v>29526.14763287671</v>
      </c>
      <c r="T191" s="5">
        <f>IF(J191&lt;&gt;"",M191*N191/365/100*('Cashflow Projection'!$B$2-Investors!J191),0)</f>
        <v/>
      </c>
    </row>
    <row r="192">
      <c r="A192" s="3" t="inlineStr">
        <is>
          <t>ZJEN01</t>
        </is>
      </c>
      <c r="B192" s="3" t="inlineStr">
        <is>
          <t>Daryl Anne</t>
        </is>
      </c>
      <c r="C192" s="3" t="inlineStr">
        <is>
          <t>Jennings</t>
        </is>
      </c>
      <c r="D192" s="3" t="inlineStr">
        <is>
          <t>Heron View</t>
        </is>
      </c>
      <c r="E192" s="3" t="inlineStr">
        <is>
          <t>HVC303</t>
        </is>
      </c>
      <c r="F192" s="3" t="b">
        <v>1</v>
      </c>
      <c r="G192" s="3" t="b">
        <v>1</v>
      </c>
      <c r="H192" s="3" t="inlineStr">
        <is>
          <t>C</t>
        </is>
      </c>
      <c r="I192" s="4" t="n">
        <v>44876</v>
      </c>
      <c r="J192" s="4" t="n">
        <v>44903</v>
      </c>
      <c r="K192" s="4" t="n">
        <v>45177</v>
      </c>
      <c r="L192" s="3" t="n">
        <v>2</v>
      </c>
      <c r="M192" s="3" t="n">
        <v>118969.18</v>
      </c>
      <c r="N192" s="3" t="n">
        <v>14</v>
      </c>
      <c r="O192" s="3" t="b">
        <v>0</v>
      </c>
      <c r="P192" s="3" t="b">
        <v>0</v>
      </c>
      <c r="Q192" s="3" t="n">
        <v>811.5979676712328</v>
      </c>
      <c r="R192" s="3" t="n">
        <v>12503.17190356164</v>
      </c>
      <c r="S192" s="3" t="n">
        <v>13314.76987123288</v>
      </c>
      <c r="T192" s="5">
        <f>IF(J192&lt;&gt;"",M192*N192/365/100*('Cashflow Projection'!$B$2-Investors!J192),0)</f>
        <v/>
      </c>
    </row>
    <row r="193">
      <c r="A193" s="3" t="inlineStr">
        <is>
          <t>ZMEY02</t>
        </is>
      </c>
      <c r="B193" s="3" t="inlineStr">
        <is>
          <t>Catharina Levina</t>
        </is>
      </c>
      <c r="C193" s="3" t="inlineStr">
        <is>
          <t>Meyer</t>
        </is>
      </c>
      <c r="D193" s="3" t="inlineStr">
        <is>
          <t>Heron View</t>
        </is>
      </c>
      <c r="E193" s="3" t="inlineStr">
        <is>
          <t>HVC303</t>
        </is>
      </c>
      <c r="F193" s="3" t="b">
        <v>1</v>
      </c>
      <c r="G193" s="3" t="b">
        <v>1</v>
      </c>
      <c r="H193" s="3" t="inlineStr">
        <is>
          <t>C</t>
        </is>
      </c>
      <c r="I193" s="4" t="n">
        <v>44862</v>
      </c>
      <c r="J193" s="4" t="n">
        <v>44903</v>
      </c>
      <c r="K193" s="4" t="n">
        <v>45177</v>
      </c>
      <c r="L193" s="3" t="n">
        <v>2</v>
      </c>
      <c r="M193" s="3" t="n">
        <v>223789.04</v>
      </c>
      <c r="N193" s="3" t="n">
        <v>14</v>
      </c>
      <c r="O193" s="3" t="b">
        <v>0</v>
      </c>
      <c r="P193" s="3" t="b">
        <v>0</v>
      </c>
      <c r="Q193" s="3" t="n">
        <v>2299.202465753426</v>
      </c>
      <c r="R193" s="3" t="n">
        <v>23519.3084230137</v>
      </c>
      <c r="S193" s="3" t="n">
        <v>25818.51088876712</v>
      </c>
      <c r="T193" s="5">
        <f>IF(J193&lt;&gt;"",M193*N193/365/100*('Cashflow Projection'!$B$2-Investors!J193),0)</f>
        <v/>
      </c>
    </row>
    <row r="194">
      <c r="A194" s="3" t="inlineStr">
        <is>
          <t>ZRIT01</t>
        </is>
      </c>
      <c r="B194" s="3" t="inlineStr">
        <is>
          <t>Dennis</t>
        </is>
      </c>
      <c r="C194" s="3" t="inlineStr">
        <is>
          <t>Ritter</t>
        </is>
      </c>
      <c r="D194" s="3" t="inlineStr">
        <is>
          <t>Heron View</t>
        </is>
      </c>
      <c r="E194" s="3" t="inlineStr">
        <is>
          <t>HVC303</t>
        </is>
      </c>
      <c r="F194" s="3" t="b">
        <v>1</v>
      </c>
      <c r="G194" s="3" t="b">
        <v>1</v>
      </c>
      <c r="H194" s="3" t="inlineStr">
        <is>
          <t>C</t>
        </is>
      </c>
      <c r="I194" s="4" t="n">
        <v>44862</v>
      </c>
      <c r="J194" s="4" t="n">
        <v>44903</v>
      </c>
      <c r="K194" s="4" t="n">
        <v>45177</v>
      </c>
      <c r="L194" s="3" t="n">
        <v>7</v>
      </c>
      <c r="M194" s="3" t="n">
        <v>232778.08</v>
      </c>
      <c r="N194" s="3" t="n">
        <v>18</v>
      </c>
      <c r="O194" s="3" t="b">
        <v>0</v>
      </c>
      <c r="P194" s="3" t="b">
        <v>0</v>
      </c>
      <c r="Q194" s="3" t="n">
        <v>2391.555616438357</v>
      </c>
      <c r="R194" s="3" t="n">
        <v>31453.73946739726</v>
      </c>
      <c r="S194" s="3" t="n">
        <v>33845.29508383562</v>
      </c>
      <c r="T194" s="5">
        <f>IF(J194&lt;&gt;"",M194*N194/365/100*('Cashflow Projection'!$B$2-Investors!J194),0)</f>
        <v/>
      </c>
    </row>
    <row r="195">
      <c r="A195" s="3" t="inlineStr">
        <is>
          <t>ZWES01</t>
        </is>
      </c>
      <c r="B195" s="3" t="inlineStr">
        <is>
          <t>Gerhardus Jacobus</t>
        </is>
      </c>
      <c r="C195" s="3" t="inlineStr">
        <is>
          <t>Wessels</t>
        </is>
      </c>
      <c r="D195" s="3" t="inlineStr">
        <is>
          <t>Heron View</t>
        </is>
      </c>
      <c r="E195" s="3" t="inlineStr">
        <is>
          <t>HVC303</t>
        </is>
      </c>
      <c r="F195" s="3" t="b">
        <v>1</v>
      </c>
      <c r="G195" s="3" t="b">
        <v>1</v>
      </c>
      <c r="H195" s="3" t="inlineStr">
        <is>
          <t>C</t>
        </is>
      </c>
      <c r="I195" s="4" t="n">
        <v>44862</v>
      </c>
      <c r="J195" s="4" t="n">
        <v>44903</v>
      </c>
      <c r="K195" s="4" t="n">
        <v>45177</v>
      </c>
      <c r="L195" s="3" t="n">
        <v>2</v>
      </c>
      <c r="M195" s="3" t="n">
        <v>500000</v>
      </c>
      <c r="N195" s="3" t="n">
        <v>16</v>
      </c>
      <c r="O195" s="3" t="b">
        <v>0</v>
      </c>
      <c r="P195" s="3" t="b">
        <v>0</v>
      </c>
      <c r="Q195" s="3" t="n">
        <v>5136.98630136986</v>
      </c>
      <c r="R195" s="3" t="n">
        <v>60054.79452054794</v>
      </c>
      <c r="S195" s="3" t="n">
        <v>65191.7808219178</v>
      </c>
      <c r="T195" s="5">
        <f>IF(J195&lt;&gt;"",M195*N195/365/100*('Cashflow Projection'!$B$2-Investors!J195),0)</f>
        <v/>
      </c>
    </row>
    <row r="196">
      <c r="A196" s="3" t="inlineStr">
        <is>
          <t>ZVAN05</t>
        </is>
      </c>
      <c r="B196" s="3" t="inlineStr">
        <is>
          <t>Hermanus</t>
        </is>
      </c>
      <c r="C196" s="3" t="inlineStr">
        <is>
          <t>van der Sandt</t>
        </is>
      </c>
      <c r="D196" s="3" t="inlineStr">
        <is>
          <t>Heron View</t>
        </is>
      </c>
      <c r="E196" s="3" t="inlineStr">
        <is>
          <t>HVC304</t>
        </is>
      </c>
      <c r="F196" s="3" t="b">
        <v>0</v>
      </c>
      <c r="G196" s="3" t="b">
        <v>0</v>
      </c>
      <c r="H196" s="3" t="inlineStr">
        <is>
          <t>C</t>
        </is>
      </c>
      <c r="I196" s="4" t="n">
        <v>44862</v>
      </c>
      <c r="J196" s="4" t="n">
        <v>44903</v>
      </c>
      <c r="K196" s="4" t="n">
        <v>45533</v>
      </c>
      <c r="L196" s="3" t="n">
        <v>3</v>
      </c>
      <c r="M196" s="3" t="n">
        <v>1028006.85</v>
      </c>
      <c r="N196" s="3" t="n">
        <v>18</v>
      </c>
      <c r="O196" s="3" t="b">
        <v>0</v>
      </c>
      <c r="P196" s="3" t="b">
        <v>0</v>
      </c>
      <c r="Q196" s="3" t="n">
        <v>10561.71421232877</v>
      </c>
      <c r="R196" s="3" t="n">
        <v>319386.2377808219</v>
      </c>
      <c r="S196" s="3" t="n">
        <v>329947.9519931507</v>
      </c>
      <c r="T196" s="5">
        <f>IF(J196&lt;&gt;"",M196*N196/365/100*('Cashflow Projection'!$B$2-Investors!J196),0)</f>
        <v/>
      </c>
    </row>
    <row r="197">
      <c r="A197" s="3" t="inlineStr">
        <is>
          <t>ZBER01</t>
        </is>
      </c>
      <c r="B197" s="3" t="inlineStr">
        <is>
          <t>Beverley</t>
        </is>
      </c>
      <c r="C197" s="3" t="inlineStr">
        <is>
          <t>Berk-Heinze</t>
        </is>
      </c>
      <c r="D197" s="3" t="inlineStr">
        <is>
          <t>Heron View</t>
        </is>
      </c>
      <c r="E197" s="3" t="inlineStr">
        <is>
          <t>HVC305</t>
        </is>
      </c>
      <c r="F197" s="3" t="b">
        <v>0</v>
      </c>
      <c r="G197" s="3" t="b">
        <v>0</v>
      </c>
      <c r="H197" s="3" t="inlineStr">
        <is>
          <t>C</t>
        </is>
      </c>
      <c r="I197" s="4" t="n">
        <v>44868</v>
      </c>
      <c r="J197" s="4" t="n">
        <v>44909</v>
      </c>
      <c r="K197" s="4" t="n">
        <v>45533</v>
      </c>
      <c r="L197" s="3" t="n">
        <v>1</v>
      </c>
      <c r="M197" s="3" t="n">
        <v>350000</v>
      </c>
      <c r="N197" s="3" t="n">
        <v>18</v>
      </c>
      <c r="O197" s="3" t="b">
        <v>0</v>
      </c>
      <c r="P197" s="3" t="b">
        <v>0</v>
      </c>
      <c r="Q197" s="3" t="n">
        <v>3639.041095890413</v>
      </c>
      <c r="R197" s="3" t="n">
        <v>107704.1095890411</v>
      </c>
      <c r="S197" s="3" t="n">
        <v>111343.1506849315</v>
      </c>
      <c r="T197" s="5">
        <f>IF(J197&lt;&gt;"",M197*N197/365/100*('Cashflow Projection'!$B$2-Investors!J197),0)</f>
        <v/>
      </c>
    </row>
    <row r="198">
      <c r="A198" s="3" t="inlineStr">
        <is>
          <t>ZDEK01</t>
        </is>
      </c>
      <c r="B198" s="3" t="inlineStr">
        <is>
          <t>Dawn Margaret</t>
        </is>
      </c>
      <c r="C198" s="3" t="inlineStr">
        <is>
          <t>De Klerk (Way)</t>
        </is>
      </c>
      <c r="D198" s="3" t="inlineStr">
        <is>
          <t>Heron View</t>
        </is>
      </c>
      <c r="E198" s="3" t="inlineStr">
        <is>
          <t>HVC305</t>
        </is>
      </c>
      <c r="F198" s="3" t="b">
        <v>0</v>
      </c>
      <c r="G198" s="3" t="b">
        <v>0</v>
      </c>
      <c r="H198" s="3" t="inlineStr">
        <is>
          <t>C</t>
        </is>
      </c>
      <c r="I198" s="4" t="n">
        <v>44988</v>
      </c>
      <c r="J198" s="4" t="n">
        <v>45107</v>
      </c>
      <c r="K198" s="4" t="n">
        <v>45533</v>
      </c>
      <c r="L198" s="3" t="n">
        <v>3</v>
      </c>
      <c r="M198" s="3" t="n">
        <v>254616.44</v>
      </c>
      <c r="N198" s="3" t="n">
        <v>16</v>
      </c>
      <c r="O198" s="3" t="b">
        <v>0</v>
      </c>
      <c r="P198" s="3" t="b">
        <v>0</v>
      </c>
      <c r="Q198" s="3" t="n">
        <v>8723.228992328759</v>
      </c>
      <c r="R198" s="3" t="n">
        <v>47547.00424767123</v>
      </c>
      <c r="S198" s="3" t="n">
        <v>56270.23323999999</v>
      </c>
      <c r="T198" s="5">
        <f>IF(J198&lt;&gt;"",M198*N198/365/100*('Cashflow Projection'!$B$2-Investors!J198),0)</f>
        <v/>
      </c>
    </row>
    <row r="199">
      <c r="A199" s="3" t="inlineStr">
        <is>
          <t>ZDUT01</t>
        </is>
      </c>
      <c r="B199" s="3" t="inlineStr">
        <is>
          <t>Willem Anton</t>
        </is>
      </c>
      <c r="C199" s="3" t="inlineStr">
        <is>
          <t>du Toit</t>
        </is>
      </c>
      <c r="D199" s="3" t="inlineStr">
        <is>
          <t>Heron View</t>
        </is>
      </c>
      <c r="E199" s="3" t="inlineStr">
        <is>
          <t>HVC305</t>
        </is>
      </c>
      <c r="F199" s="3" t="b">
        <v>0</v>
      </c>
      <c r="G199" s="3" t="b">
        <v>0</v>
      </c>
      <c r="H199" s="3" t="inlineStr">
        <is>
          <t>C</t>
        </is>
      </c>
      <c r="I199" s="4" t="n">
        <v>44876</v>
      </c>
      <c r="J199" s="4" t="n">
        <v>44903</v>
      </c>
      <c r="K199" s="4" t="n">
        <v>45533</v>
      </c>
      <c r="L199" s="3" t="n">
        <v>1</v>
      </c>
      <c r="M199" s="3" t="n">
        <v>100000</v>
      </c>
      <c r="N199" s="3" t="n">
        <v>14</v>
      </c>
      <c r="O199" s="3" t="b">
        <v>0</v>
      </c>
      <c r="P199" s="3" t="b">
        <v>0</v>
      </c>
      <c r="Q199" s="3" t="n">
        <v>682.1917808219175</v>
      </c>
      <c r="R199" s="3" t="n">
        <v>24164.38356164383</v>
      </c>
      <c r="S199" s="3" t="n">
        <v>24846.57534246575</v>
      </c>
      <c r="T199" s="5">
        <f>IF(J199&lt;&gt;"",M199*N199/365/100*('Cashflow Projection'!$B$2-Investors!J199),0)</f>
        <v/>
      </c>
    </row>
    <row r="200">
      <c r="A200" s="3" t="inlineStr">
        <is>
          <t>ZKRO01</t>
        </is>
      </c>
      <c r="B200" s="3" t="inlineStr">
        <is>
          <t>Frans</t>
        </is>
      </c>
      <c r="C200" s="3" t="inlineStr">
        <is>
          <t>van der Merwe</t>
        </is>
      </c>
      <c r="D200" s="3" t="inlineStr">
        <is>
          <t>Heron View</t>
        </is>
      </c>
      <c r="E200" s="3" t="inlineStr">
        <is>
          <t>HVC305</t>
        </is>
      </c>
      <c r="F200" s="3" t="b">
        <v>0</v>
      </c>
      <c r="G200" s="3" t="b">
        <v>0</v>
      </c>
      <c r="H200" s="3" t="inlineStr">
        <is>
          <t>C</t>
        </is>
      </c>
      <c r="I200" s="4" t="n">
        <v>44887</v>
      </c>
      <c r="J200" s="4" t="n">
        <v>44916</v>
      </c>
      <c r="K200" s="4" t="n">
        <v>45533</v>
      </c>
      <c r="L200" s="3" t="n">
        <v>3</v>
      </c>
      <c r="M200" s="3" t="n">
        <v>100000</v>
      </c>
      <c r="N200" s="3" t="n">
        <v>16</v>
      </c>
      <c r="O200" s="3" t="b">
        <v>0</v>
      </c>
      <c r="P200" s="3" t="b">
        <v>0</v>
      </c>
      <c r="Q200" s="3" t="n">
        <v>758.2191780821914</v>
      </c>
      <c r="R200" s="3" t="n">
        <v>27046.57534246575</v>
      </c>
      <c r="S200" s="3" t="n">
        <v>27804.79452054794</v>
      </c>
      <c r="T200" s="5">
        <f>IF(J200&lt;&gt;"",M200*N200/365/100*('Cashflow Projection'!$B$2-Investors!J200),0)</f>
        <v/>
      </c>
    </row>
    <row r="201">
      <c r="A201" s="3" t="inlineStr">
        <is>
          <t>ZVOL01</t>
        </is>
      </c>
      <c r="B201" s="3" t="inlineStr">
        <is>
          <t>Gideon Cornelius</t>
        </is>
      </c>
      <c r="C201" s="3" t="inlineStr">
        <is>
          <t>Volschenk</t>
        </is>
      </c>
      <c r="D201" s="3" t="inlineStr">
        <is>
          <t>Heron View</t>
        </is>
      </c>
      <c r="E201" s="3" t="inlineStr">
        <is>
          <t>HVC305</t>
        </is>
      </c>
      <c r="F201" s="3" t="b">
        <v>0</v>
      </c>
      <c r="G201" s="3" t="b">
        <v>0</v>
      </c>
      <c r="H201" s="3" t="inlineStr">
        <is>
          <t>C</t>
        </is>
      </c>
      <c r="I201" s="4" t="n">
        <v>44876</v>
      </c>
      <c r="J201" s="4" t="n">
        <v>44903</v>
      </c>
      <c r="K201" s="4" t="n">
        <v>45533</v>
      </c>
      <c r="L201" s="3" t="n">
        <v>4</v>
      </c>
      <c r="M201" s="3" t="n">
        <v>313690.76</v>
      </c>
      <c r="N201" s="3" t="n">
        <v>14</v>
      </c>
      <c r="O201" s="3" t="b">
        <v>0</v>
      </c>
      <c r="P201" s="3" t="b">
        <v>0</v>
      </c>
      <c r="Q201" s="3" t="n">
        <v>2139.972581917808</v>
      </c>
      <c r="R201" s="3" t="n">
        <v>75801.43844383562</v>
      </c>
      <c r="S201" s="3" t="n">
        <v>77941.41102575343</v>
      </c>
      <c r="T201" s="5">
        <f>IF(J201&lt;&gt;"",M201*N201/365/100*('Cashflow Projection'!$B$2-Investors!J201),0)</f>
        <v/>
      </c>
    </row>
    <row r="202">
      <c r="A202" s="3" t="inlineStr">
        <is>
          <t>ZVAN05</t>
        </is>
      </c>
      <c r="B202" s="3" t="inlineStr">
        <is>
          <t>Hermanus</t>
        </is>
      </c>
      <c r="C202" s="3" t="inlineStr">
        <is>
          <t>van der Sandt</t>
        </is>
      </c>
      <c r="D202" s="3" t="inlineStr">
        <is>
          <t>Heron View</t>
        </is>
      </c>
      <c r="E202" s="3" t="inlineStr">
        <is>
          <t>HVC306</t>
        </is>
      </c>
      <c r="F202" s="3" t="b">
        <v>1</v>
      </c>
      <c r="G202" s="3" t="b">
        <v>1</v>
      </c>
      <c r="H202" s="3" t="inlineStr">
        <is>
          <t>C</t>
        </is>
      </c>
      <c r="I202" s="4" t="n">
        <v>44866</v>
      </c>
      <c r="J202" s="4" t="n">
        <v>44903</v>
      </c>
      <c r="K202" s="4" t="n">
        <v>45394</v>
      </c>
      <c r="L202" s="3" t="n">
        <v>4</v>
      </c>
      <c r="M202" s="3" t="n">
        <v>1100000</v>
      </c>
      <c r="N202" s="3" t="n">
        <v>18</v>
      </c>
      <c r="O202" s="3" t="b">
        <v>0</v>
      </c>
      <c r="P202" s="3" t="b">
        <v>0</v>
      </c>
      <c r="Q202" s="3" t="n">
        <v>10216.43835616439</v>
      </c>
      <c r="R202" s="3" t="n">
        <v>266350.6849315069</v>
      </c>
      <c r="S202" s="3" t="n">
        <v>276567.1232876712</v>
      </c>
      <c r="T202" s="5">
        <f>IF(J202&lt;&gt;"",M202*N202/365/100*('Cashflow Projection'!$B$2-Investors!J202),0)</f>
        <v/>
      </c>
    </row>
    <row r="203">
      <c r="A203" s="3" t="inlineStr">
        <is>
          <t>ZINT01</t>
        </is>
      </c>
      <c r="B203" s="3" t="inlineStr">
        <is>
          <t>Marc</t>
        </is>
      </c>
      <c r="C203" s="3" t="inlineStr">
        <is>
          <t>Lunau</t>
        </is>
      </c>
      <c r="D203" s="3" t="inlineStr">
        <is>
          <t>Heron View</t>
        </is>
      </c>
      <c r="E203" s="3" t="inlineStr">
        <is>
          <t>HVD101</t>
        </is>
      </c>
      <c r="F203" s="3" t="b">
        <v>1</v>
      </c>
      <c r="G203" s="3" t="b">
        <v>1</v>
      </c>
      <c r="H203" s="3" t="inlineStr">
        <is>
          <t>D</t>
        </is>
      </c>
      <c r="I203" s="4" t="n">
        <v>44658</v>
      </c>
      <c r="J203" s="4" t="n">
        <v>44706</v>
      </c>
      <c r="K203" s="4" t="n">
        <v>45272</v>
      </c>
      <c r="L203" s="3" t="n">
        <v>9</v>
      </c>
      <c r="M203" s="3" t="n">
        <v>100000</v>
      </c>
      <c r="N203" s="3" t="n">
        <v>18</v>
      </c>
      <c r="O203" s="3" t="b">
        <v>1</v>
      </c>
      <c r="P203" s="3" t="b">
        <v>0</v>
      </c>
      <c r="Q203" s="3" t="n">
        <v>920.5479452054802</v>
      </c>
      <c r="R203" s="3" t="n">
        <v>27912.32876712329</v>
      </c>
      <c r="S203" s="3" t="n">
        <v>28832.87671232877</v>
      </c>
      <c r="T203" s="5">
        <f>IF(J203&lt;&gt;"",M203*N203/365/100*('Cashflow Projection'!$B$2-Investors!J203),0)</f>
        <v/>
      </c>
    </row>
    <row r="204">
      <c r="A204" s="3" t="inlineStr">
        <is>
          <t>ZMAT03</t>
        </is>
      </c>
      <c r="B204" s="3" t="inlineStr">
        <is>
          <t>Delia</t>
        </is>
      </c>
      <c r="C204" s="3" t="inlineStr">
        <is>
          <t>Matthee</t>
        </is>
      </c>
      <c r="D204" s="3" t="inlineStr">
        <is>
          <t>Heron View</t>
        </is>
      </c>
      <c r="E204" s="3" t="inlineStr">
        <is>
          <t>HVD101</t>
        </is>
      </c>
      <c r="F204" s="3" t="b">
        <v>1</v>
      </c>
      <c r="G204" s="3" t="b">
        <v>1</v>
      </c>
      <c r="H204" s="3" t="inlineStr">
        <is>
          <t>D</t>
        </is>
      </c>
      <c r="I204" s="4" t="n">
        <v>44697</v>
      </c>
      <c r="J204" s="4" t="n">
        <v>44706</v>
      </c>
      <c r="K204" s="4" t="n">
        <v>45308</v>
      </c>
      <c r="L204" s="3" t="n">
        <v>3</v>
      </c>
      <c r="M204" s="3" t="n">
        <v>200000</v>
      </c>
      <c r="N204" s="3" t="n">
        <v>16</v>
      </c>
      <c r="O204" s="3" t="b">
        <v>0</v>
      </c>
      <c r="P204" s="3" t="b">
        <v>0</v>
      </c>
      <c r="Q204" s="3" t="n">
        <v>345.2054794520548</v>
      </c>
      <c r="R204" s="3" t="n">
        <v>52778.08219178082</v>
      </c>
      <c r="S204" s="3" t="n">
        <v>53123.28767123287</v>
      </c>
      <c r="T204" s="5">
        <f>IF(J204&lt;&gt;"",M204*N204/365/100*('Cashflow Projection'!$B$2-Investors!J204),0)</f>
        <v/>
      </c>
    </row>
    <row r="205">
      <c r="A205" s="3" t="inlineStr">
        <is>
          <t>ZWAT01</t>
        </is>
      </c>
      <c r="B205" s="3" t="inlineStr">
        <is>
          <t>Peter Gregory</t>
        </is>
      </c>
      <c r="C205" s="3" t="inlineStr">
        <is>
          <t>Watts</t>
        </is>
      </c>
      <c r="D205" s="3" t="inlineStr">
        <is>
          <t>Heron View</t>
        </is>
      </c>
      <c r="E205" s="3" t="inlineStr">
        <is>
          <t>HVD101</t>
        </is>
      </c>
      <c r="F205" s="3" t="b">
        <v>1</v>
      </c>
      <c r="G205" s="3" t="b">
        <v>1</v>
      </c>
      <c r="H205" s="3" t="inlineStr">
        <is>
          <t>D</t>
        </is>
      </c>
      <c r="I205" s="4" t="n">
        <v>44657</v>
      </c>
      <c r="J205" s="4" t="n">
        <v>44713</v>
      </c>
      <c r="K205" s="4" t="n">
        <v>45272</v>
      </c>
      <c r="L205" s="3" t="n">
        <v>10</v>
      </c>
      <c r="M205" s="3" t="n">
        <v>715859.1899999999</v>
      </c>
      <c r="N205" s="3" t="n">
        <v>18</v>
      </c>
      <c r="O205" s="3" t="b">
        <v>1</v>
      </c>
      <c r="P205" s="3" t="b">
        <v>0</v>
      </c>
      <c r="Q205" s="3" t="n">
        <v>7697.937865068493</v>
      </c>
      <c r="R205" s="3" t="n">
        <v>197341.7854734246</v>
      </c>
      <c r="S205" s="3" t="n">
        <v>205039.7233384931</v>
      </c>
      <c r="T205" s="5">
        <f>IF(J205&lt;&gt;"",M205*N205/365/100*('Cashflow Projection'!$B$2-Investors!J205),0)</f>
        <v/>
      </c>
    </row>
    <row r="206">
      <c r="A206" s="3" t="inlineStr">
        <is>
          <t>ZHAL03</t>
        </is>
      </c>
      <c r="B206" s="3" t="inlineStr">
        <is>
          <t>Graeme Haffenden</t>
        </is>
      </c>
      <c r="C206" s="3" t="inlineStr">
        <is>
          <t>Hall</t>
        </is>
      </c>
      <c r="D206" s="3" t="inlineStr">
        <is>
          <t>Heron View</t>
        </is>
      </c>
      <c r="E206" s="3" t="inlineStr">
        <is>
          <t>HVD102</t>
        </is>
      </c>
      <c r="F206" s="3" t="b">
        <v>1</v>
      </c>
      <c r="G206" s="3" t="b">
        <v>1</v>
      </c>
      <c r="H206" s="3" t="inlineStr">
        <is>
          <t>D</t>
        </is>
      </c>
      <c r="I206" s="4" t="n">
        <v>44775</v>
      </c>
      <c r="J206" s="4" t="n">
        <v>44819</v>
      </c>
      <c r="K206" s="4" t="n">
        <v>45272</v>
      </c>
      <c r="L206" s="3" t="n">
        <v>1</v>
      </c>
      <c r="M206" s="3" t="n">
        <v>500000</v>
      </c>
      <c r="N206" s="3" t="n">
        <v>16</v>
      </c>
      <c r="O206" s="3" t="b">
        <v>1</v>
      </c>
      <c r="P206" s="3" t="b">
        <v>0</v>
      </c>
      <c r="Q206" s="3" t="n">
        <v>4972.602739726023</v>
      </c>
      <c r="R206" s="3" t="n">
        <v>99287.67123287672</v>
      </c>
      <c r="S206" s="3" t="n">
        <v>104260.2739726027</v>
      </c>
      <c r="T206" s="5">
        <f>IF(J206&lt;&gt;"",M206*N206/365/100*('Cashflow Projection'!$B$2-Investors!J206),0)</f>
        <v/>
      </c>
    </row>
    <row r="207">
      <c r="A207" s="3" t="inlineStr">
        <is>
          <t>ZLEB01</t>
        </is>
      </c>
      <c r="B207" s="3" t="inlineStr">
        <is>
          <t>Hopolang</t>
        </is>
      </c>
      <c r="C207" s="3" t="inlineStr">
        <is>
          <t>Lebusa</t>
        </is>
      </c>
      <c r="D207" s="3" t="inlineStr">
        <is>
          <t>Heron View</t>
        </is>
      </c>
      <c r="E207" s="3" t="inlineStr">
        <is>
          <t>HVD102</t>
        </is>
      </c>
      <c r="F207" s="3" t="b">
        <v>1</v>
      </c>
      <c r="G207" s="3" t="b">
        <v>1</v>
      </c>
      <c r="H207" s="3" t="inlineStr">
        <is>
          <t>D</t>
        </is>
      </c>
      <c r="I207" s="4" t="n">
        <v>44657</v>
      </c>
      <c r="J207" s="4" t="n">
        <v>44694</v>
      </c>
      <c r="K207" s="4" t="n">
        <v>45323</v>
      </c>
      <c r="L207" s="3" t="n">
        <v>10</v>
      </c>
      <c r="M207" s="3" t="n">
        <v>500000</v>
      </c>
      <c r="N207" s="3" t="n">
        <v>18</v>
      </c>
      <c r="O207" s="3" t="b">
        <v>1</v>
      </c>
      <c r="P207" s="3" t="b">
        <v>0</v>
      </c>
      <c r="Q207" s="3" t="n">
        <v>3547.945205479449</v>
      </c>
      <c r="R207" s="3" t="n">
        <v>155095.8904109589</v>
      </c>
      <c r="S207" s="3" t="n">
        <v>158643.8356164384</v>
      </c>
      <c r="T207" s="5">
        <f>IF(J207&lt;&gt;"",M207*N207/365/100*('Cashflow Projection'!$B$2-Investors!J207),0)</f>
        <v/>
      </c>
    </row>
    <row r="208">
      <c r="A208" s="3" t="inlineStr">
        <is>
          <t>ZCUP01</t>
        </is>
      </c>
      <c r="B208" s="3" t="inlineStr">
        <is>
          <t>Tyrone</t>
        </is>
      </c>
      <c r="C208" s="3" t="inlineStr">
        <is>
          <t>Cupido</t>
        </is>
      </c>
      <c r="D208" s="3" t="inlineStr">
        <is>
          <t>Heron View</t>
        </is>
      </c>
      <c r="E208" s="3" t="inlineStr">
        <is>
          <t>HVD103</t>
        </is>
      </c>
      <c r="F208" s="3" t="b">
        <v>1</v>
      </c>
      <c r="G208" s="3" t="b">
        <v>1</v>
      </c>
      <c r="H208" s="3" t="inlineStr">
        <is>
          <t>D</t>
        </is>
      </c>
      <c r="I208" s="4" t="n">
        <v>44914</v>
      </c>
      <c r="J208" s="4" t="n">
        <v>45008</v>
      </c>
      <c r="K208" s="4" t="n">
        <v>45323</v>
      </c>
      <c r="L208" s="3" t="n">
        <v>2</v>
      </c>
      <c r="M208" s="3" t="n">
        <v>100000</v>
      </c>
      <c r="N208" s="3" t="n">
        <v>14</v>
      </c>
      <c r="O208" s="3" t="b">
        <v>0</v>
      </c>
      <c r="P208" s="3" t="b">
        <v>0</v>
      </c>
      <c r="Q208" s="3" t="n">
        <v>2545.890410958903</v>
      </c>
      <c r="R208" s="3" t="n">
        <v>12082.19178082192</v>
      </c>
      <c r="S208" s="3" t="n">
        <v>14628.08219178082</v>
      </c>
      <c r="T208" s="5">
        <f>IF(J208&lt;&gt;"",M208*N208/365/100*('Cashflow Projection'!$B$2-Investors!J208),0)</f>
        <v/>
      </c>
    </row>
    <row r="209">
      <c r="A209" s="3" t="inlineStr">
        <is>
          <t>ZHEN01</t>
        </is>
      </c>
      <c r="B209" s="3" t="inlineStr">
        <is>
          <t>Theodore Shane</t>
        </is>
      </c>
      <c r="C209" s="3" t="inlineStr">
        <is>
          <t>Hendricks</t>
        </is>
      </c>
      <c r="D209" s="3" t="inlineStr">
        <is>
          <t>Heron View</t>
        </is>
      </c>
      <c r="E209" s="3" t="inlineStr">
        <is>
          <t>HVD103</t>
        </is>
      </c>
      <c r="F209" s="3" t="b">
        <v>1</v>
      </c>
      <c r="G209" s="3" t="b">
        <v>1</v>
      </c>
      <c r="H209" s="3" t="inlineStr">
        <is>
          <t>D</t>
        </is>
      </c>
      <c r="I209" s="4" t="n">
        <v>44705</v>
      </c>
      <c r="J209" s="4" t="n">
        <v>44719</v>
      </c>
      <c r="K209" s="4" t="n">
        <v>45272</v>
      </c>
      <c r="L209" s="3" t="n">
        <v>3</v>
      </c>
      <c r="M209" s="3" t="n">
        <v>100000</v>
      </c>
      <c r="N209" s="3" t="n">
        <v>14</v>
      </c>
      <c r="O209" s="3" t="b">
        <v>1</v>
      </c>
      <c r="P209" s="3" t="b">
        <v>0</v>
      </c>
      <c r="Q209" s="3" t="n">
        <v>278.0821917808218</v>
      </c>
      <c r="R209" s="3" t="n">
        <v>21210.95890410959</v>
      </c>
      <c r="S209" s="3" t="n">
        <v>21489.04109589041</v>
      </c>
      <c r="T209" s="5">
        <f>IF(J209&lt;&gt;"",M209*N209/365/100*('Cashflow Projection'!$B$2-Investors!J209),0)</f>
        <v/>
      </c>
    </row>
    <row r="210">
      <c r="A210" s="3" t="inlineStr">
        <is>
          <t>ZLEB01</t>
        </is>
      </c>
      <c r="B210" s="3" t="inlineStr">
        <is>
          <t>Hopolang</t>
        </is>
      </c>
      <c r="C210" s="3" t="inlineStr">
        <is>
          <t>Lebusa</t>
        </is>
      </c>
      <c r="D210" s="3" t="inlineStr">
        <is>
          <t>Heron View</t>
        </is>
      </c>
      <c r="E210" s="3" t="inlineStr">
        <is>
          <t>HVD103</t>
        </is>
      </c>
      <c r="F210" s="3" t="b">
        <v>1</v>
      </c>
      <c r="G210" s="3" t="b">
        <v>1</v>
      </c>
      <c r="H210" s="3" t="inlineStr">
        <is>
          <t>D</t>
        </is>
      </c>
      <c r="I210" s="4" t="n">
        <v>44657</v>
      </c>
      <c r="J210" s="4" t="n">
        <v>44694</v>
      </c>
      <c r="K210" s="4" t="n">
        <v>45323</v>
      </c>
      <c r="L210" s="3" t="n">
        <v>11</v>
      </c>
      <c r="M210" s="3" t="n">
        <v>551117.11</v>
      </c>
      <c r="N210" s="3" t="n">
        <v>18</v>
      </c>
      <c r="O210" s="3" t="b">
        <v>0</v>
      </c>
      <c r="P210" s="3" t="b">
        <v>0</v>
      </c>
      <c r="Q210" s="3" t="n">
        <v>3910.666616164384</v>
      </c>
      <c r="R210" s="3" t="n">
        <v>170951.9977923288</v>
      </c>
      <c r="S210" s="3" t="n">
        <v>174862.6644084932</v>
      </c>
      <c r="T210" s="5">
        <f>IF(J210&lt;&gt;"",M210*N210/365/100*('Cashflow Projection'!$B$2-Investors!J210),0)</f>
        <v/>
      </c>
    </row>
    <row r="211">
      <c r="A211" s="3" t="inlineStr">
        <is>
          <t>ZLES01</t>
        </is>
      </c>
      <c r="B211" s="3" t="inlineStr">
        <is>
          <t>Megan Frances</t>
        </is>
      </c>
      <c r="C211" s="3" t="inlineStr">
        <is>
          <t>Leslie</t>
        </is>
      </c>
      <c r="D211" s="3" t="inlineStr">
        <is>
          <t>Heron View</t>
        </is>
      </c>
      <c r="E211" s="3" t="inlineStr">
        <is>
          <t>HVD103</t>
        </is>
      </c>
      <c r="F211" s="3" t="b">
        <v>1</v>
      </c>
      <c r="G211" s="3" t="b">
        <v>1</v>
      </c>
      <c r="H211" s="3" t="inlineStr">
        <is>
          <t>D</t>
        </is>
      </c>
      <c r="I211" s="4" t="n">
        <v>44938</v>
      </c>
      <c r="J211" s="4" t="n">
        <v>45016</v>
      </c>
      <c r="K211" s="4" t="n">
        <v>45272</v>
      </c>
      <c r="L211" s="3" t="n">
        <v>1</v>
      </c>
      <c r="M211" s="3" t="n">
        <v>150000</v>
      </c>
      <c r="N211" s="3" t="n">
        <v>14</v>
      </c>
      <c r="O211" s="3" t="b">
        <v>1</v>
      </c>
      <c r="P211" s="3" t="b">
        <v>0</v>
      </c>
      <c r="Q211" s="3" t="n">
        <v>3185.958904109588</v>
      </c>
      <c r="R211" s="3" t="n">
        <v>14728.76712328767</v>
      </c>
      <c r="S211" s="3" t="n">
        <v>17914.72602739726</v>
      </c>
      <c r="T211" s="5">
        <f>IF(J211&lt;&gt;"",M211*N211/365/100*('Cashflow Projection'!$B$2-Investors!J211),0)</f>
        <v/>
      </c>
    </row>
    <row r="212">
      <c r="A212" s="3" t="inlineStr">
        <is>
          <t>ZZYL04</t>
        </is>
      </c>
      <c r="B212" s="3" t="inlineStr">
        <is>
          <t>Steven Michael</t>
        </is>
      </c>
      <c r="C212" s="3" t="inlineStr">
        <is>
          <t>Zylstra</t>
        </is>
      </c>
      <c r="D212" s="3" t="inlineStr">
        <is>
          <t>Heron View</t>
        </is>
      </c>
      <c r="E212" s="3" t="inlineStr">
        <is>
          <t>HVD103</t>
        </is>
      </c>
      <c r="F212" s="3" t="b">
        <v>1</v>
      </c>
      <c r="G212" s="3" t="b">
        <v>1</v>
      </c>
      <c r="H212" s="3" t="inlineStr">
        <is>
          <t>D</t>
        </is>
      </c>
      <c r="I212" s="4" t="n">
        <v>44697</v>
      </c>
      <c r="J212" s="4" t="n">
        <v>44706</v>
      </c>
      <c r="K212" s="4" t="n">
        <v>45299</v>
      </c>
      <c r="L212" s="3" t="n">
        <v>1</v>
      </c>
      <c r="M212" s="3" t="n">
        <v>100000</v>
      </c>
      <c r="N212" s="3" t="n">
        <v>14</v>
      </c>
      <c r="O212" s="3" t="b">
        <v>1</v>
      </c>
      <c r="P212" s="3" t="b">
        <v>0</v>
      </c>
      <c r="Q212" s="3" t="n">
        <v>172.6027397260274</v>
      </c>
      <c r="R212" s="3" t="n">
        <v>22745.20547945205</v>
      </c>
      <c r="S212" s="3" t="n">
        <v>22917.80821917808</v>
      </c>
      <c r="T212" s="5">
        <f>IF(J212&lt;&gt;"",M212*N212/365/100*('Cashflow Projection'!$B$2-Investors!J212),0)</f>
        <v/>
      </c>
    </row>
    <row r="213">
      <c r="A213" s="3" t="inlineStr">
        <is>
          <t>ZFON01</t>
        </is>
      </c>
      <c r="B213" s="3" t="inlineStr">
        <is>
          <t>Lorraine</t>
        </is>
      </c>
      <c r="C213" s="3" t="inlineStr">
        <is>
          <t>Aveling-Fountain</t>
        </is>
      </c>
      <c r="D213" s="3" t="inlineStr">
        <is>
          <t>Heron View</t>
        </is>
      </c>
      <c r="E213" s="3" t="inlineStr">
        <is>
          <t>HVD104</t>
        </is>
      </c>
      <c r="F213" s="3" t="b">
        <v>1</v>
      </c>
      <c r="G213" s="3" t="b">
        <v>1</v>
      </c>
      <c r="H213" s="3" t="inlineStr">
        <is>
          <t>D</t>
        </is>
      </c>
      <c r="I213" s="4" t="n">
        <v>44676</v>
      </c>
      <c r="J213" s="4" t="n">
        <v>44706</v>
      </c>
      <c r="K213" s="4" t="n">
        <v>45272</v>
      </c>
      <c r="L213" s="3" t="n">
        <v>4</v>
      </c>
      <c r="M213" s="3" t="n">
        <v>622783.5600000001</v>
      </c>
      <c r="N213" s="3" t="n">
        <v>16</v>
      </c>
      <c r="O213" s="3" t="b">
        <v>1</v>
      </c>
      <c r="P213" s="3" t="b">
        <v>0</v>
      </c>
      <c r="Q213" s="3" t="n">
        <v>3583.138290410961</v>
      </c>
      <c r="R213" s="3" t="n">
        <v>154518.5731331507</v>
      </c>
      <c r="S213" s="3" t="n">
        <v>158101.7114235616</v>
      </c>
      <c r="T213" s="5">
        <f>IF(J213&lt;&gt;"",M213*N213/365/100*('Cashflow Projection'!$B$2-Investors!J213),0)</f>
        <v/>
      </c>
    </row>
    <row r="214">
      <c r="A214" s="3" t="inlineStr">
        <is>
          <t>ZGMA01</t>
        </is>
      </c>
      <c r="B214" s="3" t="inlineStr">
        <is>
          <t>Gerald Adriaan Odendal</t>
        </is>
      </c>
      <c r="C214" s="3" t="inlineStr">
        <is>
          <t>Matthee</t>
        </is>
      </c>
      <c r="D214" s="3" t="inlineStr">
        <is>
          <t>Heron View</t>
        </is>
      </c>
      <c r="E214" s="3" t="inlineStr">
        <is>
          <t>HVD104</t>
        </is>
      </c>
      <c r="F214" s="3" t="b">
        <v>1</v>
      </c>
      <c r="G214" s="3" t="b">
        <v>1</v>
      </c>
      <c r="H214" s="3" t="inlineStr">
        <is>
          <t>D</t>
        </is>
      </c>
      <c r="I214" s="4" t="n">
        <v>44684</v>
      </c>
      <c r="J214" s="4" t="n">
        <v>44706</v>
      </c>
      <c r="K214" s="4" t="n">
        <v>45323</v>
      </c>
      <c r="L214" s="3" t="n">
        <v>2</v>
      </c>
      <c r="M214" s="3" t="n">
        <v>200000</v>
      </c>
      <c r="N214" s="3" t="n">
        <v>14</v>
      </c>
      <c r="O214" s="3" t="b">
        <v>1</v>
      </c>
      <c r="P214" s="3" t="b">
        <v>0</v>
      </c>
      <c r="Q214" s="3" t="n">
        <v>843.8356164383565</v>
      </c>
      <c r="R214" s="3" t="n">
        <v>47331.50684931507</v>
      </c>
      <c r="S214" s="3" t="n">
        <v>48175.34246575343</v>
      </c>
      <c r="T214" s="5">
        <f>IF(J214&lt;&gt;"",M214*N214/365/100*('Cashflow Projection'!$B$2-Investors!J214),0)</f>
        <v/>
      </c>
    </row>
    <row r="215">
      <c r="A215" s="3" t="inlineStr">
        <is>
          <t>ZVAL02</t>
        </is>
      </c>
      <c r="B215" s="3" t="inlineStr">
        <is>
          <t>Himal Dipak</t>
        </is>
      </c>
      <c r="C215" s="3" t="inlineStr">
        <is>
          <t>Vallabh</t>
        </is>
      </c>
      <c r="D215" s="3" t="inlineStr">
        <is>
          <t>Heron View</t>
        </is>
      </c>
      <c r="E215" s="3" t="inlineStr">
        <is>
          <t>HVD104</t>
        </is>
      </c>
      <c r="F215" s="3" t="b">
        <v>1</v>
      </c>
      <c r="G215" s="3" t="b">
        <v>1</v>
      </c>
      <c r="H215" s="3" t="inlineStr">
        <is>
          <t>D</t>
        </is>
      </c>
      <c r="I215" s="4" t="n">
        <v>44697</v>
      </c>
      <c r="J215" s="4" t="n">
        <v>44706</v>
      </c>
      <c r="K215" s="4" t="n">
        <v>45323</v>
      </c>
      <c r="L215" s="3" t="n">
        <v>1</v>
      </c>
      <c r="M215" s="3" t="n">
        <v>200000</v>
      </c>
      <c r="N215" s="3" t="n">
        <v>14</v>
      </c>
      <c r="O215" s="3" t="b">
        <v>1</v>
      </c>
      <c r="P215" s="3" t="b">
        <v>0</v>
      </c>
      <c r="Q215" s="3" t="n">
        <v>345.2054794520548</v>
      </c>
      <c r="R215" s="3" t="n">
        <v>47331.50684931507</v>
      </c>
      <c r="S215" s="3" t="n">
        <v>47676.71232876712</v>
      </c>
      <c r="T215" s="5">
        <f>IF(J215&lt;&gt;"",M215*N215/365/100*('Cashflow Projection'!$B$2-Investors!J215),0)</f>
        <v/>
      </c>
    </row>
    <row r="216">
      <c r="A216" s="3" t="inlineStr">
        <is>
          <t>ZHEI01</t>
        </is>
      </c>
      <c r="B216" s="3" t="inlineStr">
        <is>
          <t>Dieter Raimund</t>
        </is>
      </c>
      <c r="C216" s="3" t="inlineStr">
        <is>
          <t>Heinze</t>
        </is>
      </c>
      <c r="D216" s="3" t="inlineStr">
        <is>
          <t>Heron View</t>
        </is>
      </c>
      <c r="E216" s="3" t="inlineStr">
        <is>
          <t>HVD201</t>
        </is>
      </c>
      <c r="F216" s="3" t="b">
        <v>1</v>
      </c>
      <c r="G216" s="3" t="b">
        <v>1</v>
      </c>
      <c r="H216" s="3" t="inlineStr">
        <is>
          <t>D</t>
        </is>
      </c>
      <c r="I216" s="4" t="n">
        <v>44706</v>
      </c>
      <c r="J216" s="4" t="n">
        <v>44719</v>
      </c>
      <c r="K216" s="4" t="n">
        <v>45272</v>
      </c>
      <c r="L216" s="3" t="n">
        <v>9</v>
      </c>
      <c r="M216" s="3" t="n">
        <v>771986.9399999999</v>
      </c>
      <c r="N216" s="3" t="n">
        <v>18</v>
      </c>
      <c r="O216" s="3" t="b">
        <v>1</v>
      </c>
      <c r="P216" s="3" t="b">
        <v>0</v>
      </c>
      <c r="Q216" s="3" t="n">
        <v>1998.705913150684</v>
      </c>
      <c r="R216" s="3" t="n">
        <v>210530.3561852055</v>
      </c>
      <c r="S216" s="3" t="n">
        <v>212529.0620983561</v>
      </c>
      <c r="T216" s="5">
        <f>IF(J216&lt;&gt;"",M216*N216/365/100*('Cashflow Projection'!$B$2-Investors!J216),0)</f>
        <v/>
      </c>
    </row>
    <row r="217">
      <c r="A217" s="3" t="inlineStr">
        <is>
          <t>ZHUT01</t>
        </is>
      </c>
      <c r="B217" s="3" t="inlineStr">
        <is>
          <t>Tracy Jane</t>
        </is>
      </c>
      <c r="C217" s="3" t="inlineStr">
        <is>
          <t>Hutchings</t>
        </is>
      </c>
      <c r="D217" s="3" t="inlineStr">
        <is>
          <t>Heron View</t>
        </is>
      </c>
      <c r="E217" s="3" t="inlineStr">
        <is>
          <t>HVD201</t>
        </is>
      </c>
      <c r="F217" s="3" t="b">
        <v>1</v>
      </c>
      <c r="G217" s="3" t="b">
        <v>1</v>
      </c>
      <c r="H217" s="3" t="inlineStr">
        <is>
          <t>D</t>
        </is>
      </c>
      <c r="I217" s="4" t="n">
        <v>44705</v>
      </c>
      <c r="J217" s="4" t="n">
        <v>44721</v>
      </c>
      <c r="K217" s="4" t="n">
        <v>45272</v>
      </c>
      <c r="L217" s="3" t="n">
        <v>7</v>
      </c>
      <c r="M217" s="3" t="n">
        <v>250000</v>
      </c>
      <c r="N217" s="3" t="n">
        <v>16</v>
      </c>
      <c r="O217" s="3" t="b">
        <v>1</v>
      </c>
      <c r="P217" s="3" t="b">
        <v>0</v>
      </c>
      <c r="Q217" s="3" t="n">
        <v>797.9452054794519</v>
      </c>
      <c r="R217" s="3" t="n">
        <v>60383.56164383562</v>
      </c>
      <c r="S217" s="3" t="n">
        <v>61181.50684931507</v>
      </c>
      <c r="T217" s="5">
        <f>IF(J217&lt;&gt;"",M217*N217/365/100*('Cashflow Projection'!$B$2-Investors!J217),0)</f>
        <v/>
      </c>
    </row>
    <row r="218">
      <c r="A218" s="3" t="inlineStr">
        <is>
          <t>ZFER01</t>
        </is>
      </c>
      <c r="B218" s="3" t="inlineStr">
        <is>
          <t>Leon</t>
        </is>
      </c>
      <c r="C218" s="3" t="inlineStr">
        <is>
          <t>Ferreira</t>
        </is>
      </c>
      <c r="D218" s="3" t="inlineStr">
        <is>
          <t>Heron View</t>
        </is>
      </c>
      <c r="E218" s="3" t="inlineStr">
        <is>
          <t>HVD202</t>
        </is>
      </c>
      <c r="F218" s="3" t="b">
        <v>1</v>
      </c>
      <c r="G218" s="3" t="b">
        <v>1</v>
      </c>
      <c r="H218" s="3" t="inlineStr">
        <is>
          <t>D</t>
        </is>
      </c>
      <c r="I218" s="4" t="n">
        <v>44762</v>
      </c>
      <c r="J218" s="4" t="n">
        <v>44791</v>
      </c>
      <c r="K218" s="4" t="n">
        <v>45456</v>
      </c>
      <c r="L218" s="3" t="n">
        <v>2</v>
      </c>
      <c r="M218" s="3" t="n">
        <v>100000</v>
      </c>
      <c r="N218" s="3" t="n">
        <v>14</v>
      </c>
      <c r="O218" s="3" t="b">
        <v>0</v>
      </c>
      <c r="P218" s="3" t="b">
        <v>0</v>
      </c>
      <c r="Q218" s="3" t="n">
        <v>632.8767123287669</v>
      </c>
      <c r="R218" s="3" t="n">
        <v>25506.84931506849</v>
      </c>
      <c r="S218" s="3" t="n">
        <v>26139.72602739726</v>
      </c>
      <c r="T218" s="5">
        <f>IF(J218&lt;&gt;"",M218*N218/365/100*('Cashflow Projection'!$B$2-Investors!J218),0)</f>
        <v/>
      </c>
    </row>
    <row r="219">
      <c r="A219" s="3" t="inlineStr">
        <is>
          <t>ZHAR01</t>
        </is>
      </c>
      <c r="B219" s="3" t="inlineStr">
        <is>
          <t>Teresa-Ann</t>
        </is>
      </c>
      <c r="C219" s="3" t="inlineStr">
        <is>
          <t>Hart</t>
        </is>
      </c>
      <c r="D219" s="3" t="inlineStr">
        <is>
          <t>Heron View</t>
        </is>
      </c>
      <c r="E219" s="3" t="inlineStr">
        <is>
          <t>HVD202</t>
        </is>
      </c>
      <c r="F219" s="3" t="b">
        <v>1</v>
      </c>
      <c r="G219" s="3" t="b">
        <v>1</v>
      </c>
      <c r="H219" s="3" t="inlineStr">
        <is>
          <t>D</t>
        </is>
      </c>
      <c r="I219" s="4" t="n">
        <v>44708</v>
      </c>
      <c r="J219" s="4" t="n">
        <v>44735</v>
      </c>
      <c r="K219" s="4" t="n">
        <v>45450</v>
      </c>
      <c r="L219" s="3" t="n">
        <v>2</v>
      </c>
      <c r="M219" s="3" t="n">
        <v>126369.86</v>
      </c>
      <c r="N219" s="3" t="n">
        <v>14</v>
      </c>
      <c r="O219" s="3" t="b">
        <v>1</v>
      </c>
      <c r="P219" s="3" t="b">
        <v>0</v>
      </c>
      <c r="Q219" s="3" t="n">
        <v>694.1686830136986</v>
      </c>
      <c r="R219" s="3" t="n">
        <v>34656.50133150685</v>
      </c>
      <c r="S219" s="3" t="n">
        <v>35350.67001452055</v>
      </c>
      <c r="T219" s="5">
        <f>IF(J219&lt;&gt;"",M219*N219/365/100*('Cashflow Projection'!$B$2-Investors!J219),0)</f>
        <v/>
      </c>
    </row>
    <row r="220">
      <c r="A220" s="3" t="inlineStr">
        <is>
          <t>ZJAN01</t>
        </is>
      </c>
      <c r="B220" s="3" t="inlineStr">
        <is>
          <t>Petrus Johannes</t>
        </is>
      </c>
      <c r="C220" s="3" t="inlineStr">
        <is>
          <t>Jansen van Rensburg</t>
        </is>
      </c>
      <c r="D220" s="3" t="inlineStr">
        <is>
          <t>Heron View</t>
        </is>
      </c>
      <c r="E220" s="3" t="inlineStr">
        <is>
          <t>HVD202</t>
        </is>
      </c>
      <c r="F220" s="3" t="b">
        <v>1</v>
      </c>
      <c r="G220" s="3" t="b">
        <v>1</v>
      </c>
      <c r="H220" s="3" t="inlineStr">
        <is>
          <t>D</t>
        </is>
      </c>
      <c r="I220" s="4" t="n">
        <v>44705</v>
      </c>
      <c r="J220" s="4" t="n">
        <v>44721</v>
      </c>
      <c r="K220" s="4" t="n">
        <v>45456</v>
      </c>
      <c r="L220" s="3" t="n">
        <v>2</v>
      </c>
      <c r="M220" s="3" t="n">
        <v>350000</v>
      </c>
      <c r="N220" s="3" t="n">
        <v>14</v>
      </c>
      <c r="O220" s="3" t="b">
        <v>0</v>
      </c>
      <c r="P220" s="3" t="b">
        <v>0</v>
      </c>
      <c r="Q220" s="3" t="n">
        <v>1117.123287671233</v>
      </c>
      <c r="R220" s="3" t="n">
        <v>98671.23287671233</v>
      </c>
      <c r="S220" s="3" t="n">
        <v>99788.35616438356</v>
      </c>
      <c r="T220" s="5">
        <f>IF(J220&lt;&gt;"",M220*N220/365/100*('Cashflow Projection'!$B$2-Investors!J220),0)</f>
        <v/>
      </c>
    </row>
    <row r="221">
      <c r="A221" s="3" t="inlineStr">
        <is>
          <t>ZSON01</t>
        </is>
      </c>
      <c r="B221" s="3" t="inlineStr">
        <is>
          <t>Charles</t>
        </is>
      </c>
      <c r="C221" s="3" t="inlineStr">
        <is>
          <t>Maduna</t>
        </is>
      </c>
      <c r="D221" s="3" t="inlineStr">
        <is>
          <t>Heron View</t>
        </is>
      </c>
      <c r="E221" s="3" t="inlineStr">
        <is>
          <t>HVD202</t>
        </is>
      </c>
      <c r="F221" s="3" t="b">
        <v>1</v>
      </c>
      <c r="G221" s="3" t="b">
        <v>1</v>
      </c>
      <c r="H221" s="3" t="inlineStr">
        <is>
          <t>D</t>
        </is>
      </c>
      <c r="I221" s="4" t="n">
        <v>44791</v>
      </c>
      <c r="J221" s="4" t="n">
        <v>44819</v>
      </c>
      <c r="K221" s="4" t="n">
        <v>45456</v>
      </c>
      <c r="L221" s="3" t="n">
        <v>12</v>
      </c>
      <c r="M221" s="3" t="n">
        <v>288241.52</v>
      </c>
      <c r="N221" s="3" t="n">
        <v>18</v>
      </c>
      <c r="O221" s="3" t="b">
        <v>0</v>
      </c>
      <c r="P221" s="3" t="b">
        <v>0</v>
      </c>
      <c r="Q221" s="3" t="n">
        <v>1824.213455342468</v>
      </c>
      <c r="R221" s="3" t="n">
        <v>90547.32241972603</v>
      </c>
      <c r="S221" s="3" t="n">
        <v>92371.5358750685</v>
      </c>
      <c r="T221" s="5">
        <f>IF(J221&lt;&gt;"",M221*N221/365/100*('Cashflow Projection'!$B$2-Investors!J221),0)</f>
        <v/>
      </c>
    </row>
    <row r="222">
      <c r="A222" s="3" t="inlineStr">
        <is>
          <t>ZWEL01</t>
        </is>
      </c>
      <c r="B222" s="3" t="inlineStr">
        <is>
          <t>Christopher John</t>
        </is>
      </c>
      <c r="C222" s="3" t="inlineStr">
        <is>
          <t>Welham</t>
        </is>
      </c>
      <c r="D222" s="3" t="inlineStr">
        <is>
          <t>Heron View</t>
        </is>
      </c>
      <c r="E222" s="3" t="inlineStr">
        <is>
          <t>HVD202</t>
        </is>
      </c>
      <c r="F222" s="3" t="b">
        <v>1</v>
      </c>
      <c r="G222" s="3" t="b">
        <v>1</v>
      </c>
      <c r="H222" s="3" t="inlineStr">
        <is>
          <t>D</t>
        </is>
      </c>
      <c r="I222" s="4" t="n">
        <v>44707</v>
      </c>
      <c r="J222" s="4" t="n">
        <v>44721</v>
      </c>
      <c r="K222" s="4" t="n">
        <v>45456</v>
      </c>
      <c r="L222" s="3" t="n">
        <v>3</v>
      </c>
      <c r="M222" s="3" t="n">
        <v>146383.1</v>
      </c>
      <c r="N222" s="3" t="n">
        <v>16</v>
      </c>
      <c r="O222" s="3" t="b">
        <v>0</v>
      </c>
      <c r="P222" s="3" t="b">
        <v>0</v>
      </c>
      <c r="Q222" s="3" t="n">
        <v>411.0758287671232</v>
      </c>
      <c r="R222" s="3" t="n">
        <v>47163.43167123288</v>
      </c>
      <c r="S222" s="3" t="n">
        <v>47574.5075</v>
      </c>
      <c r="T222" s="5">
        <f>IF(J222&lt;&gt;"",M222*N222/365/100*('Cashflow Projection'!$B$2-Investors!J222),0)</f>
        <v/>
      </c>
    </row>
    <row r="223">
      <c r="A223" s="3" t="inlineStr">
        <is>
          <t>ZDIC01</t>
        </is>
      </c>
      <c r="B223" s="3" t="inlineStr">
        <is>
          <t>Grant Allan</t>
        </is>
      </c>
      <c r="C223" s="3" t="inlineStr">
        <is>
          <t>Dickinson</t>
        </is>
      </c>
      <c r="D223" s="3" t="inlineStr">
        <is>
          <t>Heron View</t>
        </is>
      </c>
      <c r="E223" s="3" t="inlineStr">
        <is>
          <t>HVD203</t>
        </is>
      </c>
      <c r="F223" s="3" t="b">
        <v>1</v>
      </c>
      <c r="G223" s="3" t="b">
        <v>1</v>
      </c>
      <c r="H223" s="3" t="inlineStr">
        <is>
          <t>D</t>
        </is>
      </c>
      <c r="I223" s="4" t="n">
        <v>44706</v>
      </c>
      <c r="J223" s="4" t="n">
        <v>44721</v>
      </c>
      <c r="K223" s="4" t="n">
        <v>45377</v>
      </c>
      <c r="L223" s="3" t="n">
        <v>8</v>
      </c>
      <c r="M223" s="3" t="n">
        <v>1000000</v>
      </c>
      <c r="N223" s="3" t="n">
        <v>18</v>
      </c>
      <c r="O223" s="3" t="b">
        <v>0</v>
      </c>
      <c r="P223" s="3" t="b">
        <v>0</v>
      </c>
      <c r="Q223" s="3" t="n">
        <v>3000</v>
      </c>
      <c r="R223" s="3" t="n">
        <v>323506.8493150685</v>
      </c>
      <c r="S223" s="3" t="n">
        <v>326506.8493150685</v>
      </c>
      <c r="T223" s="5">
        <f>IF(J223&lt;&gt;"",M223*N223/365/100*('Cashflow Projection'!$B$2-Investors!J223),0)</f>
        <v/>
      </c>
    </row>
    <row r="224">
      <c r="A224" s="3" t="inlineStr">
        <is>
          <t>ZBOT01</t>
        </is>
      </c>
      <c r="B224" s="3" t="inlineStr">
        <is>
          <t>Carina</t>
        </is>
      </c>
      <c r="C224" s="3" t="inlineStr">
        <is>
          <t>Botha</t>
        </is>
      </c>
      <c r="D224" s="3" t="inlineStr">
        <is>
          <t>Heron View</t>
        </is>
      </c>
      <c r="E224" s="3" t="inlineStr">
        <is>
          <t>HVD204</t>
        </is>
      </c>
      <c r="F224" s="3" t="b">
        <v>1</v>
      </c>
      <c r="G224" s="3" t="b">
        <v>1</v>
      </c>
      <c r="H224" s="3" t="inlineStr">
        <is>
          <t>D</t>
        </is>
      </c>
      <c r="I224" s="4" t="n">
        <v>44705</v>
      </c>
      <c r="J224" s="4" t="n">
        <v>44719</v>
      </c>
      <c r="K224" s="4" t="n">
        <v>45330</v>
      </c>
      <c r="L224" s="3" t="n">
        <v>4</v>
      </c>
      <c r="M224" s="3" t="n">
        <v>149779.92</v>
      </c>
      <c r="N224" s="3" t="n">
        <v>14</v>
      </c>
      <c r="O224" s="3" t="b">
        <v>0</v>
      </c>
      <c r="P224" s="3" t="b">
        <v>0</v>
      </c>
      <c r="Q224" s="3" t="n">
        <v>416.5112843835616</v>
      </c>
      <c r="R224" s="3" t="n">
        <v>35101.84755287671</v>
      </c>
      <c r="S224" s="3" t="n">
        <v>35518.35883726027</v>
      </c>
      <c r="T224" s="5">
        <f>IF(J224&lt;&gt;"",M224*N224/365/100*('Cashflow Projection'!$B$2-Investors!J224),0)</f>
        <v/>
      </c>
    </row>
    <row r="225">
      <c r="A225" s="3" t="inlineStr">
        <is>
          <t>ZNAT01</t>
        </is>
      </c>
      <c r="B225" s="3" t="inlineStr">
        <is>
          <t>Thandekile Evelyn</t>
        </is>
      </c>
      <c r="C225" s="3" t="inlineStr">
        <is>
          <t>Hlapolosa</t>
        </is>
      </c>
      <c r="D225" s="3" t="inlineStr">
        <is>
          <t>Heron View</t>
        </is>
      </c>
      <c r="E225" s="3" t="inlineStr">
        <is>
          <t>HVD204</t>
        </is>
      </c>
      <c r="F225" s="3" t="b">
        <v>1</v>
      </c>
      <c r="G225" s="3" t="b">
        <v>1</v>
      </c>
      <c r="H225" s="3" t="inlineStr">
        <is>
          <t>D</t>
        </is>
      </c>
      <c r="I225" s="4" t="n">
        <v>44713</v>
      </c>
      <c r="J225" s="4" t="n">
        <v>44735</v>
      </c>
      <c r="K225" s="4" t="n">
        <v>45233</v>
      </c>
      <c r="L225" s="3" t="n">
        <v>4</v>
      </c>
      <c r="M225" s="3" t="n">
        <v>324145.21</v>
      </c>
      <c r="N225" s="3" t="n">
        <v>14</v>
      </c>
      <c r="O225" s="3" t="b">
        <v>1</v>
      </c>
      <c r="P225" s="3" t="b">
        <v>0</v>
      </c>
      <c r="Q225" s="3" t="n">
        <v>1465.313963013699</v>
      </c>
      <c r="R225" s="3" t="n">
        <v>61916.17545534247</v>
      </c>
      <c r="S225" s="3" t="n">
        <v>63381.48941835617</v>
      </c>
      <c r="T225" s="5">
        <f>IF(J225&lt;&gt;"",M225*N225/365/100*('Cashflow Projection'!$B$2-Investors!J225),0)</f>
        <v/>
      </c>
    </row>
    <row r="226">
      <c r="A226" s="3" t="inlineStr">
        <is>
          <t>ZSCH01</t>
        </is>
      </c>
      <c r="B226" s="3" t="inlineStr">
        <is>
          <t>Inge</t>
        </is>
      </c>
      <c r="C226" s="3" t="inlineStr">
        <is>
          <t>Schubert</t>
        </is>
      </c>
      <c r="D226" s="3" t="inlineStr">
        <is>
          <t>Heron View</t>
        </is>
      </c>
      <c r="E226" s="3" t="inlineStr">
        <is>
          <t>HVD204</t>
        </is>
      </c>
      <c r="F226" s="3" t="b">
        <v>1</v>
      </c>
      <c r="G226" s="3" t="b">
        <v>1</v>
      </c>
      <c r="H226" s="3" t="inlineStr">
        <is>
          <t>D</t>
        </is>
      </c>
      <c r="I226" s="4" t="n">
        <v>44705</v>
      </c>
      <c r="J226" s="4" t="n">
        <v>44719</v>
      </c>
      <c r="K226" s="4" t="n">
        <v>45330</v>
      </c>
      <c r="L226" s="3" t="n">
        <v>13</v>
      </c>
      <c r="M226" s="3" t="n">
        <v>549828.71</v>
      </c>
      <c r="N226" s="3" t="n">
        <v>18</v>
      </c>
      <c r="O226" s="3" t="b">
        <v>0</v>
      </c>
      <c r="P226" s="3" t="b">
        <v>0</v>
      </c>
      <c r="Q226" s="3" t="n">
        <v>1528.975727808219</v>
      </c>
      <c r="R226" s="3" t="n">
        <v>165671.6754131507</v>
      </c>
      <c r="S226" s="3" t="n">
        <v>167200.6511409589</v>
      </c>
      <c r="T226" s="5">
        <f>IF(J226&lt;&gt;"",M226*N226/365/100*('Cashflow Projection'!$B$2-Investors!J226),0)</f>
        <v/>
      </c>
    </row>
    <row r="227">
      <c r="A227" s="3" t="inlineStr">
        <is>
          <t>ZSON01</t>
        </is>
      </c>
      <c r="B227" s="3" t="inlineStr">
        <is>
          <t>Charles</t>
        </is>
      </c>
      <c r="C227" s="3" t="inlineStr">
        <is>
          <t>Maduna</t>
        </is>
      </c>
      <c r="D227" s="3" t="inlineStr">
        <is>
          <t>Heron View</t>
        </is>
      </c>
      <c r="E227" s="3" t="inlineStr">
        <is>
          <t>HVD301</t>
        </is>
      </c>
      <c r="F227" s="3" t="b">
        <v>1</v>
      </c>
      <c r="G227" s="3" t="b">
        <v>1</v>
      </c>
      <c r="H227" s="3" t="inlineStr">
        <is>
          <t>D</t>
        </is>
      </c>
      <c r="I227" s="4" t="n">
        <v>44707</v>
      </c>
      <c r="J227" s="4" t="n">
        <v>44735</v>
      </c>
      <c r="K227" s="4" t="n">
        <v>45299</v>
      </c>
      <c r="L227" s="3" t="n">
        <v>11</v>
      </c>
      <c r="M227" s="3" t="n">
        <v>1000000</v>
      </c>
      <c r="N227" s="3" t="n">
        <v>18</v>
      </c>
      <c r="O227" s="3" t="b">
        <v>1</v>
      </c>
      <c r="P227" s="3" t="b">
        <v>0</v>
      </c>
      <c r="Q227" s="3" t="n">
        <v>5684.931506849316</v>
      </c>
      <c r="R227" s="3" t="n">
        <v>278136.9863013698</v>
      </c>
      <c r="S227" s="3" t="n">
        <v>283821.9178082192</v>
      </c>
      <c r="T227" s="5">
        <f>IF(J227&lt;&gt;"",M227*N227/365/100*('Cashflow Projection'!$B$2-Investors!J227),0)</f>
        <v/>
      </c>
    </row>
    <row r="228">
      <c r="A228" s="3" t="inlineStr">
        <is>
          <t>ZHAY01</t>
        </is>
      </c>
      <c r="B228" s="3" t="inlineStr">
        <is>
          <t>Johannes Wynand</t>
        </is>
      </c>
      <c r="C228" s="3" t="inlineStr">
        <is>
          <t>Haywood</t>
        </is>
      </c>
      <c r="D228" s="3" t="inlineStr">
        <is>
          <t>Heron View</t>
        </is>
      </c>
      <c r="E228" s="3" t="inlineStr">
        <is>
          <t>HVD302</t>
        </is>
      </c>
      <c r="F228" s="3" t="b">
        <v>0</v>
      </c>
      <c r="G228" s="3" t="b">
        <v>0</v>
      </c>
      <c r="H228" s="3" t="inlineStr">
        <is>
          <t>D</t>
        </is>
      </c>
      <c r="I228" s="4" t="n">
        <v>45443</v>
      </c>
      <c r="J228" s="4" t="n">
        <v>45443</v>
      </c>
      <c r="K228" s="4" t="n">
        <v>45547</v>
      </c>
      <c r="L228" s="3" t="n">
        <v>1</v>
      </c>
      <c r="M228" s="3" t="n">
        <v>1320414.3</v>
      </c>
      <c r="N228" s="3" t="n">
        <v>13</v>
      </c>
      <c r="O228" s="3" t="b">
        <v>0</v>
      </c>
      <c r="P228" s="3" t="b">
        <v>0</v>
      </c>
      <c r="Q228" s="3" t="n">
        <v>0</v>
      </c>
      <c r="R228" s="3" t="n">
        <v>48909.59270136987</v>
      </c>
      <c r="S228" s="3" t="n">
        <v>48909.59270136987</v>
      </c>
      <c r="T228" s="5">
        <f>IF(J228&lt;&gt;"",M228*N228/365/100*('Cashflow Projection'!$B$2-Investors!J228),0)</f>
        <v/>
      </c>
    </row>
    <row r="229">
      <c r="A229" s="3" t="inlineStr">
        <is>
          <t>ZKRU01</t>
        </is>
      </c>
      <c r="B229" s="3" t="inlineStr">
        <is>
          <t>Jurgen</t>
        </is>
      </c>
      <c r="C229" s="3" t="inlineStr">
        <is>
          <t>Kruger</t>
        </is>
      </c>
      <c r="D229" s="3" t="inlineStr">
        <is>
          <t>Heron View</t>
        </is>
      </c>
      <c r="E229" s="3" t="inlineStr">
        <is>
          <t>HVD302</t>
        </is>
      </c>
      <c r="F229" s="3" t="b">
        <v>0</v>
      </c>
      <c r="G229" s="3" t="b">
        <v>0</v>
      </c>
      <c r="H229" s="3" t="inlineStr">
        <is>
          <t>D</t>
        </is>
      </c>
      <c r="I229" s="4" t="n">
        <v>44700</v>
      </c>
      <c r="J229" s="4" t="n">
        <v>44713</v>
      </c>
      <c r="K229" s="4" t="n">
        <v>45435</v>
      </c>
      <c r="L229" s="3" t="n">
        <v>5</v>
      </c>
      <c r="M229" s="3" t="n">
        <v>630284.25</v>
      </c>
      <c r="N229" s="3" t="n">
        <v>18</v>
      </c>
      <c r="O229" s="3" t="b">
        <v>1</v>
      </c>
      <c r="P229" s="3" t="b">
        <v>0</v>
      </c>
      <c r="Q229" s="3" t="n">
        <v>1580.027640410959</v>
      </c>
      <c r="R229" s="3" t="n">
        <v>224415.7291232877</v>
      </c>
      <c r="S229" s="3" t="n">
        <v>225995.7567636986</v>
      </c>
      <c r="T229" s="5">
        <f>IF(J229&lt;&gt;"",M229*N229/365/100*('Cashflow Projection'!$B$2-Investors!J229),0)</f>
        <v/>
      </c>
    </row>
    <row r="230">
      <c r="A230" s="3" t="inlineStr">
        <is>
          <t>ZWEL01</t>
        </is>
      </c>
      <c r="B230" s="3" t="inlineStr">
        <is>
          <t>Christopher John</t>
        </is>
      </c>
      <c r="C230" s="3" t="inlineStr">
        <is>
          <t>Welham</t>
        </is>
      </c>
      <c r="D230" s="3" t="inlineStr">
        <is>
          <t>Heron View</t>
        </is>
      </c>
      <c r="E230" s="3" t="inlineStr">
        <is>
          <t>HVD302</t>
        </is>
      </c>
      <c r="F230" s="3" t="b">
        <v>0</v>
      </c>
      <c r="G230" s="3" t="b">
        <v>0</v>
      </c>
      <c r="H230" s="3" t="inlineStr">
        <is>
          <t>D</t>
        </is>
      </c>
      <c r="I230" s="4" t="n">
        <v>44707</v>
      </c>
      <c r="J230" s="4" t="n">
        <v>44735</v>
      </c>
      <c r="K230" s="4" t="n">
        <v>45435</v>
      </c>
      <c r="L230" s="3" t="n">
        <v>4</v>
      </c>
      <c r="M230" s="3" t="n">
        <v>353616.9</v>
      </c>
      <c r="N230" s="3" t="n">
        <v>16</v>
      </c>
      <c r="O230" s="3" t="b">
        <v>1</v>
      </c>
      <c r="P230" s="3" t="b">
        <v>0</v>
      </c>
      <c r="Q230" s="3" t="n">
        <v>2010.287856164384</v>
      </c>
      <c r="R230" s="3" t="n">
        <v>108507.1035616438</v>
      </c>
      <c r="S230" s="3" t="n">
        <v>110517.3914178082</v>
      </c>
      <c r="T230" s="5">
        <f>IF(J230&lt;&gt;"",M230*N230/365/100*('Cashflow Projection'!$B$2-Investors!J230),0)</f>
        <v/>
      </c>
    </row>
    <row r="231">
      <c r="A231" s="3" t="inlineStr">
        <is>
          <t>ZDIC01</t>
        </is>
      </c>
      <c r="B231" s="3" t="inlineStr">
        <is>
          <t>Grant Allan</t>
        </is>
      </c>
      <c r="C231" s="3" t="inlineStr">
        <is>
          <t>Dickinson</t>
        </is>
      </c>
      <c r="D231" s="3" t="inlineStr">
        <is>
          <t>Heron View</t>
        </is>
      </c>
      <c r="E231" s="3" t="inlineStr">
        <is>
          <t>HVD303</t>
        </is>
      </c>
      <c r="F231" s="3" t="b">
        <v>0</v>
      </c>
      <c r="G231" s="3" t="b">
        <v>0</v>
      </c>
      <c r="H231" s="3" t="inlineStr">
        <is>
          <t>D</t>
        </is>
      </c>
      <c r="I231" s="4" t="n">
        <v>44706</v>
      </c>
      <c r="J231" s="4" t="n">
        <v>44735</v>
      </c>
      <c r="K231" s="4" t="n">
        <v>45547</v>
      </c>
      <c r="L231" s="3" t="n">
        <v>9</v>
      </c>
      <c r="M231" s="3" t="n">
        <v>418733.56</v>
      </c>
      <c r="N231" s="3" t="n">
        <v>18</v>
      </c>
      <c r="O231" s="3" t="b">
        <v>0</v>
      </c>
      <c r="P231" s="3" t="b">
        <v>0</v>
      </c>
      <c r="Q231" s="3" t="n">
        <v>2460.776674520549</v>
      </c>
      <c r="R231" s="3" t="n">
        <v>167676.9784372603</v>
      </c>
      <c r="S231" s="3" t="n">
        <v>170137.7551117808</v>
      </c>
      <c r="T231" s="5">
        <f>IF(J231&lt;&gt;"",M231*N231/365/100*('Cashflow Projection'!$B$2-Investors!J231),0)</f>
        <v/>
      </c>
    </row>
    <row r="232">
      <c r="A232" s="3" t="inlineStr">
        <is>
          <t>ZHAY01</t>
        </is>
      </c>
      <c r="B232" s="3" t="inlineStr">
        <is>
          <t>Johannes Wynand</t>
        </is>
      </c>
      <c r="C232" s="3" t="inlineStr">
        <is>
          <t>Haywood</t>
        </is>
      </c>
      <c r="D232" s="3" t="inlineStr">
        <is>
          <t>Heron View</t>
        </is>
      </c>
      <c r="E232" s="3" t="inlineStr">
        <is>
          <t>HVD303</t>
        </is>
      </c>
      <c r="F232" s="3" t="b">
        <v>0</v>
      </c>
      <c r="G232" s="3" t="b">
        <v>0</v>
      </c>
      <c r="H232" s="3" t="inlineStr">
        <is>
          <t>D</t>
        </is>
      </c>
      <c r="I232" s="4" t="n">
        <v>45443</v>
      </c>
      <c r="J232" s="4" t="n">
        <v>45443</v>
      </c>
      <c r="K232" s="4" t="n">
        <v>45547</v>
      </c>
      <c r="L232" s="3" t="n">
        <v>2</v>
      </c>
      <c r="M232" s="3" t="n">
        <v>789706.85</v>
      </c>
      <c r="N232" s="3" t="n">
        <v>13</v>
      </c>
      <c r="O232" s="3" t="b">
        <v>0</v>
      </c>
      <c r="P232" s="3" t="b">
        <v>0</v>
      </c>
      <c r="Q232" s="3" t="n">
        <v>0</v>
      </c>
      <c r="R232" s="3" t="n">
        <v>29251.60715616438</v>
      </c>
      <c r="S232" s="3" t="n">
        <v>29251.60715616438</v>
      </c>
      <c r="T232" s="5">
        <f>IF(J232&lt;&gt;"",M232*N232/365/100*('Cashflow Projection'!$B$2-Investors!J232),0)</f>
        <v/>
      </c>
    </row>
    <row r="233">
      <c r="A233" s="3" t="inlineStr">
        <is>
          <t>ZPLA01</t>
        </is>
      </c>
      <c r="B233" s="3" t="inlineStr">
        <is>
          <t>Aneta</t>
        </is>
      </c>
      <c r="C233" s="3" t="inlineStr">
        <is>
          <t>Placzkowska</t>
        </is>
      </c>
      <c r="D233" s="3" t="inlineStr">
        <is>
          <t>Heron View</t>
        </is>
      </c>
      <c r="E233" s="3" t="inlineStr">
        <is>
          <t>HVD303</t>
        </is>
      </c>
      <c r="F233" s="3" t="b">
        <v>0</v>
      </c>
      <c r="G233" s="3" t="b">
        <v>0</v>
      </c>
      <c r="H233" s="3" t="inlineStr">
        <is>
          <t>D</t>
        </is>
      </c>
      <c r="I233" s="4" t="n">
        <v>44705</v>
      </c>
      <c r="J233" s="4" t="n">
        <v>44721</v>
      </c>
      <c r="K233" s="4" t="n">
        <v>45435</v>
      </c>
      <c r="L233" s="3" t="n">
        <v>2</v>
      </c>
      <c r="M233" s="3" t="n">
        <v>600000</v>
      </c>
      <c r="N233" s="3" t="n">
        <v>16</v>
      </c>
      <c r="O233" s="3" t="b">
        <v>1</v>
      </c>
      <c r="P233" s="3" t="b">
        <v>0</v>
      </c>
      <c r="Q233" s="3" t="n">
        <v>1915.068493150684</v>
      </c>
      <c r="R233" s="3" t="n">
        <v>187791.7808219178</v>
      </c>
      <c r="S233" s="3" t="n">
        <v>189706.8493150685</v>
      </c>
      <c r="T233" s="5">
        <f>IF(J233&lt;&gt;"",M233*N233/365/100*('Cashflow Projection'!$B$2-Investors!J233),0)</f>
        <v/>
      </c>
    </row>
    <row r="234">
      <c r="A234" s="3" t="inlineStr">
        <is>
          <t>ZOOS01</t>
        </is>
      </c>
      <c r="B234" s="3" t="inlineStr">
        <is>
          <t>Diana</t>
        </is>
      </c>
      <c r="C234" s="3" t="inlineStr">
        <is>
          <t>Oosthuizen</t>
        </is>
      </c>
      <c r="D234" s="3" t="inlineStr">
        <is>
          <t>Heron View</t>
        </is>
      </c>
      <c r="E234" s="3" t="inlineStr">
        <is>
          <t>HVD304</t>
        </is>
      </c>
      <c r="F234" s="3" t="b">
        <v>0</v>
      </c>
      <c r="G234" s="3" t="b">
        <v>0</v>
      </c>
      <c r="H234" s="3" t="inlineStr">
        <is>
          <t>D</t>
        </is>
      </c>
      <c r="I234" s="4" t="n">
        <v>44713</v>
      </c>
      <c r="J234" s="4" t="n">
        <v>44743</v>
      </c>
      <c r="K234" s="4" t="n">
        <v>45547</v>
      </c>
      <c r="L234" s="3" t="n">
        <v>1</v>
      </c>
      <c r="M234" s="3" t="n">
        <v>150000</v>
      </c>
      <c r="N234" s="3" t="n">
        <v>14</v>
      </c>
      <c r="O234" s="3" t="b">
        <v>0</v>
      </c>
      <c r="P234" s="3" t="b">
        <v>0</v>
      </c>
      <c r="Q234" s="3" t="n">
        <v>924.6575342465749</v>
      </c>
      <c r="R234" s="3" t="n">
        <v>46257.53424657534</v>
      </c>
      <c r="S234" s="3" t="n">
        <v>47182.19178082192</v>
      </c>
      <c r="T234" s="5">
        <f>IF(J234&lt;&gt;"",M234*N234/365/100*('Cashflow Projection'!$B$2-Investors!J234),0)</f>
        <v/>
      </c>
    </row>
    <row r="235">
      <c r="A235" s="3" t="inlineStr">
        <is>
          <t>ZRAN01</t>
        </is>
      </c>
      <c r="B235" s="3" t="inlineStr">
        <is>
          <t>Ross Partick Gemill</t>
        </is>
      </c>
      <c r="C235" s="3" t="inlineStr">
        <is>
          <t>Rankin</t>
        </is>
      </c>
      <c r="D235" s="3" t="inlineStr">
        <is>
          <t>Heron View</t>
        </is>
      </c>
      <c r="E235" s="3" t="inlineStr">
        <is>
          <t>HVD304</t>
        </is>
      </c>
      <c r="F235" s="3" t="b">
        <v>0</v>
      </c>
      <c r="G235" s="3" t="b">
        <v>0</v>
      </c>
      <c r="H235" s="3" t="inlineStr">
        <is>
          <t>D</t>
        </is>
      </c>
      <c r="I235" s="4" t="n">
        <v>44706</v>
      </c>
      <c r="J235" s="4" t="n">
        <v>44735</v>
      </c>
      <c r="K235" s="4" t="n">
        <v>45547</v>
      </c>
      <c r="L235" s="3" t="n">
        <v>22</v>
      </c>
      <c r="M235" s="3" t="n">
        <v>850000</v>
      </c>
      <c r="N235" s="3" t="n">
        <v>18</v>
      </c>
      <c r="O235" s="3" t="b">
        <v>0</v>
      </c>
      <c r="P235" s="3" t="b">
        <v>0</v>
      </c>
      <c r="Q235" s="3" t="n">
        <v>4995.205479452057</v>
      </c>
      <c r="R235" s="3" t="n">
        <v>340372.602739726</v>
      </c>
      <c r="S235" s="3" t="n">
        <v>345367.8082191781</v>
      </c>
      <c r="T235" s="5">
        <f>IF(J235&lt;&gt;"",M235*N235/365/100*('Cashflow Projection'!$B$2-Investors!J235),0)</f>
        <v/>
      </c>
    </row>
    <row r="236">
      <c r="A236" s="3" t="inlineStr">
        <is>
          <t>ZHAA02</t>
        </is>
      </c>
      <c r="B236" s="3" t="inlineStr">
        <is>
          <t>Wilhelmina Petronella (Willa)</t>
        </is>
      </c>
      <c r="C236" s="3" t="inlineStr">
        <is>
          <t>Haasbroek</t>
        </is>
      </c>
      <c r="D236" s="3" t="inlineStr">
        <is>
          <t>Heron View</t>
        </is>
      </c>
      <c r="E236" s="3" t="inlineStr">
        <is>
          <t>HVE101</t>
        </is>
      </c>
      <c r="F236" s="3" t="b">
        <v>0</v>
      </c>
      <c r="G236" s="3" t="b">
        <v>0</v>
      </c>
      <c r="H236" s="3" t="inlineStr">
        <is>
          <t>E</t>
        </is>
      </c>
      <c r="I236" s="4" t="n">
        <v>45447</v>
      </c>
      <c r="J236" s="3" t="inlineStr"/>
      <c r="K236" s="4" t="n">
        <v>45685</v>
      </c>
      <c r="L236" s="3" t="n">
        <v>1</v>
      </c>
      <c r="M236" s="3" t="n">
        <v>600000</v>
      </c>
      <c r="N236" s="3" t="n">
        <v>18</v>
      </c>
      <c r="O236" s="3" t="b">
        <v>0</v>
      </c>
      <c r="P236" s="3" t="b">
        <v>0</v>
      </c>
      <c r="Q236" s="3" t="n">
        <v>5424.657534246574</v>
      </c>
      <c r="R236" s="3" t="n">
        <v>61545.20547945205</v>
      </c>
      <c r="S236" s="3" t="n">
        <v>66969.86301369863</v>
      </c>
      <c r="T236" s="5">
        <f>IF(J236&lt;&gt;"",M236*N236/365/100*('Cashflow Projection'!$B$2-Investors!J236),0)</f>
        <v/>
      </c>
    </row>
    <row r="237">
      <c r="A237" s="3" t="inlineStr">
        <is>
          <t>ZMEY02</t>
        </is>
      </c>
      <c r="B237" s="3" t="inlineStr">
        <is>
          <t>Catharina Levina</t>
        </is>
      </c>
      <c r="C237" s="3" t="inlineStr">
        <is>
          <t>Meyer</t>
        </is>
      </c>
      <c r="D237" s="3" t="inlineStr">
        <is>
          <t>Heron View</t>
        </is>
      </c>
      <c r="E237" s="3" t="inlineStr">
        <is>
          <t>HVE101</t>
        </is>
      </c>
      <c r="F237" s="3" t="b">
        <v>0</v>
      </c>
      <c r="G237" s="3" t="b">
        <v>0</v>
      </c>
      <c r="H237" s="3" t="inlineStr">
        <is>
          <t>E</t>
        </is>
      </c>
      <c r="I237" s="4" t="n">
        <v>45187</v>
      </c>
      <c r="J237" s="4" t="n">
        <v>45321</v>
      </c>
      <c r="K237" s="4" t="n">
        <v>45685</v>
      </c>
      <c r="L237" s="3" t="n">
        <v>3</v>
      </c>
      <c r="M237" s="3" t="n">
        <v>249607.55</v>
      </c>
      <c r="N237" s="3" t="n">
        <v>14</v>
      </c>
      <c r="O237" s="3" t="b">
        <v>0</v>
      </c>
      <c r="P237" s="3" t="b">
        <v>0</v>
      </c>
      <c r="Q237" s="3" t="n">
        <v>10080.0418821918</v>
      </c>
      <c r="R237" s="3" t="n">
        <v>34849.31711780822</v>
      </c>
      <c r="S237" s="3" t="n">
        <v>44929.35900000001</v>
      </c>
      <c r="T237" s="5">
        <f>IF(J237&lt;&gt;"",M237*N237/365/100*('Cashflow Projection'!$B$2-Investors!J237),0)</f>
        <v/>
      </c>
    </row>
    <row r="238">
      <c r="A238" s="3" t="inlineStr">
        <is>
          <t>ZTHA01</t>
        </is>
      </c>
      <c r="B238" s="3" t="inlineStr">
        <is>
          <t>Gerald Adriaan Odendal</t>
        </is>
      </c>
      <c r="C238" s="3" t="inlineStr">
        <is>
          <t>Matthee</t>
        </is>
      </c>
      <c r="D238" s="3" t="inlineStr">
        <is>
          <t>Heron View</t>
        </is>
      </c>
      <c r="E238" s="3" t="inlineStr">
        <is>
          <t>HVE101</t>
        </is>
      </c>
      <c r="F238" s="3" t="b">
        <v>0</v>
      </c>
      <c r="G238" s="3" t="b">
        <v>0</v>
      </c>
      <c r="H238" s="3" t="inlineStr">
        <is>
          <t>E</t>
        </is>
      </c>
      <c r="I238" s="4" t="n">
        <v>45330</v>
      </c>
      <c r="J238" s="4" t="n">
        <v>45408</v>
      </c>
      <c r="K238" s="4" t="n">
        <v>45685</v>
      </c>
      <c r="L238" s="3" t="n">
        <v>11</v>
      </c>
      <c r="M238" s="3" t="n">
        <v>238175.34</v>
      </c>
      <c r="N238" s="3" t="n">
        <v>18</v>
      </c>
      <c r="O238" s="3" t="b">
        <v>0</v>
      </c>
      <c r="P238" s="3" t="b">
        <v>0</v>
      </c>
      <c r="Q238" s="3" t="n">
        <v>5598.751827945213</v>
      </c>
      <c r="R238" s="3" t="n">
        <v>32535.40397917809</v>
      </c>
      <c r="S238" s="3" t="n">
        <v>38134.1558071233</v>
      </c>
      <c r="T238" s="5">
        <f>IF(J238&lt;&gt;"",M238*N238/365/100*('Cashflow Projection'!$B$2-Investors!J238),0)</f>
        <v/>
      </c>
    </row>
    <row r="239">
      <c r="A239" s="3" t="inlineStr">
        <is>
          <t>ZVER02</t>
        </is>
      </c>
      <c r="B239" s="3" t="inlineStr">
        <is>
          <t>Jean-Jacques EP</t>
        </is>
      </c>
      <c r="C239" s="3" t="inlineStr">
        <is>
          <t>Verhaeghe</t>
        </is>
      </c>
      <c r="D239" s="3" t="inlineStr">
        <is>
          <t>Heron View</t>
        </is>
      </c>
      <c r="E239" s="3" t="inlineStr">
        <is>
          <t>HVE101</t>
        </is>
      </c>
      <c r="F239" s="3" t="b">
        <v>0</v>
      </c>
      <c r="G239" s="3" t="b">
        <v>0</v>
      </c>
      <c r="H239" s="3" t="inlineStr">
        <is>
          <t>E</t>
        </is>
      </c>
      <c r="I239" s="4" t="n">
        <v>45187</v>
      </c>
      <c r="J239" s="4" t="n">
        <v>45321</v>
      </c>
      <c r="K239" s="4" t="n">
        <v>45685</v>
      </c>
      <c r="L239" s="3" t="n">
        <v>7</v>
      </c>
      <c r="M239" s="3" t="n">
        <v>115294.52</v>
      </c>
      <c r="N239" s="3" t="n">
        <v>14</v>
      </c>
      <c r="O239" s="3" t="b">
        <v>0</v>
      </c>
      <c r="P239" s="3" t="b">
        <v>0</v>
      </c>
      <c r="Q239" s="3" t="n">
        <v>4656.003355616451</v>
      </c>
      <c r="R239" s="3" t="n">
        <v>16097.01024438356</v>
      </c>
      <c r="S239" s="3" t="n">
        <v>20753.01360000001</v>
      </c>
      <c r="T239" s="5">
        <f>IF(J239&lt;&gt;"",M239*N239/365/100*('Cashflow Projection'!$B$2-Investors!J239),0)</f>
        <v/>
      </c>
    </row>
    <row r="240">
      <c r="A240" s="3" t="inlineStr">
        <is>
          <t>ZFER02</t>
        </is>
      </c>
      <c r="B240" s="3" t="inlineStr">
        <is>
          <t>Olga Maria</t>
        </is>
      </c>
      <c r="C240" s="3" t="inlineStr">
        <is>
          <t>Fernandes</t>
        </is>
      </c>
      <c r="D240" s="3" t="inlineStr">
        <is>
          <t>Heron View</t>
        </is>
      </c>
      <c r="E240" s="3" t="inlineStr">
        <is>
          <t>HVE102</t>
        </is>
      </c>
      <c r="F240" s="3" t="b">
        <v>0</v>
      </c>
      <c r="G240" s="3" t="b">
        <v>0</v>
      </c>
      <c r="H240" s="3" t="inlineStr">
        <is>
          <t>E</t>
        </is>
      </c>
      <c r="I240" s="4" t="n">
        <v>45187</v>
      </c>
      <c r="J240" s="4" t="n">
        <v>45321</v>
      </c>
      <c r="K240" s="4" t="n">
        <v>45685</v>
      </c>
      <c r="L240" s="3" t="n">
        <v>2</v>
      </c>
      <c r="M240" s="3" t="n">
        <v>115099.32</v>
      </c>
      <c r="N240" s="3" t="n">
        <v>14</v>
      </c>
      <c r="O240" s="3" t="b">
        <v>0</v>
      </c>
      <c r="P240" s="3" t="b">
        <v>0</v>
      </c>
      <c r="Q240" s="3" t="n">
        <v>4648.120484383565</v>
      </c>
      <c r="R240" s="3" t="n">
        <v>16069.75711561644</v>
      </c>
      <c r="S240" s="3" t="n">
        <v>20717.8776</v>
      </c>
      <c r="T240" s="5">
        <f>IF(J240&lt;&gt;"",M240*N240/365/100*('Cashflow Projection'!$B$2-Investors!J240),0)</f>
        <v/>
      </c>
    </row>
    <row r="241">
      <c r="A241" s="3" t="inlineStr">
        <is>
          <t>ZRIT01</t>
        </is>
      </c>
      <c r="B241" s="3" t="inlineStr">
        <is>
          <t>Dennis</t>
        </is>
      </c>
      <c r="C241" s="3" t="inlineStr">
        <is>
          <t>Ritter</t>
        </is>
      </c>
      <c r="D241" s="3" t="inlineStr">
        <is>
          <t>Heron View</t>
        </is>
      </c>
      <c r="E241" s="3" t="inlineStr">
        <is>
          <t>HVE102</t>
        </is>
      </c>
      <c r="F241" s="3" t="b">
        <v>0</v>
      </c>
      <c r="G241" s="3" t="b">
        <v>0</v>
      </c>
      <c r="H241" s="3" t="inlineStr">
        <is>
          <t>E</t>
        </is>
      </c>
      <c r="I241" s="4" t="n">
        <v>45447</v>
      </c>
      <c r="J241" s="3" t="inlineStr"/>
      <c r="K241" s="4" t="n">
        <v>45685</v>
      </c>
      <c r="L241" s="3" t="n">
        <v>18</v>
      </c>
      <c r="M241" s="3" t="n">
        <v>900000</v>
      </c>
      <c r="N241" s="3" t="n">
        <v>18</v>
      </c>
      <c r="O241" s="3" t="b">
        <v>0</v>
      </c>
      <c r="P241" s="3" t="b">
        <v>0</v>
      </c>
      <c r="Q241" s="3" t="n">
        <v>8136.986301369869</v>
      </c>
      <c r="R241" s="3" t="n">
        <v>92317.80821917808</v>
      </c>
      <c r="S241" s="3" t="n">
        <v>100454.7945205479</v>
      </c>
      <c r="T241" s="5">
        <f>IF(J241&lt;&gt;"",M241*N241/365/100*('Cashflow Projection'!$B$2-Investors!J241),0)</f>
        <v/>
      </c>
    </row>
    <row r="242">
      <c r="A242" s="3" t="inlineStr">
        <is>
          <t>ZZYL01</t>
        </is>
      </c>
      <c r="B242" s="3" t="inlineStr">
        <is>
          <t>John Robert</t>
        </is>
      </c>
      <c r="C242" s="3" t="inlineStr">
        <is>
          <t>Zylstra</t>
        </is>
      </c>
      <c r="D242" s="3" t="inlineStr">
        <is>
          <t>Heron View</t>
        </is>
      </c>
      <c r="E242" s="3" t="inlineStr">
        <is>
          <t>HVE102</t>
        </is>
      </c>
      <c r="F242" s="3" t="b">
        <v>0</v>
      </c>
      <c r="G242" s="3" t="b">
        <v>0</v>
      </c>
      <c r="H242" s="3" t="inlineStr">
        <is>
          <t>E</t>
        </is>
      </c>
      <c r="I242" s="4" t="n">
        <v>45426</v>
      </c>
      <c r="J242" s="4" t="n">
        <v>45443</v>
      </c>
      <c r="K242" s="4" t="n">
        <v>45685</v>
      </c>
      <c r="L242" s="3" t="n">
        <v>6</v>
      </c>
      <c r="M242" s="3" t="n">
        <v>129589.04</v>
      </c>
      <c r="N242" s="3" t="n">
        <v>18</v>
      </c>
      <c r="O242" s="3" t="b">
        <v>0</v>
      </c>
      <c r="P242" s="3" t="b">
        <v>0</v>
      </c>
      <c r="Q242" s="3" t="n">
        <v>663.9219309589042</v>
      </c>
      <c r="R242" s="3" t="n">
        <v>15465.47556821918</v>
      </c>
      <c r="S242" s="3" t="n">
        <v>16129.39749917808</v>
      </c>
      <c r="T242" s="5">
        <f>IF(J242&lt;&gt;"",M242*N242/365/100*('Cashflow Projection'!$B$2-Investors!J242),0)</f>
        <v/>
      </c>
    </row>
    <row r="243">
      <c r="A243" s="3" t="inlineStr">
        <is>
          <t>ZZYL01</t>
        </is>
      </c>
      <c r="B243" s="3" t="inlineStr">
        <is>
          <t>John Robert</t>
        </is>
      </c>
      <c r="C243" s="3" t="inlineStr">
        <is>
          <t>Zylstra</t>
        </is>
      </c>
      <c r="D243" s="3" t="inlineStr">
        <is>
          <t>Heron View</t>
        </is>
      </c>
      <c r="E243" s="3" t="inlineStr">
        <is>
          <t>HVE103</t>
        </is>
      </c>
      <c r="F243" s="3" t="b">
        <v>0</v>
      </c>
      <c r="G243" s="3" t="b">
        <v>0</v>
      </c>
      <c r="H243" s="3" t="inlineStr">
        <is>
          <t>E</t>
        </is>
      </c>
      <c r="I243" s="4" t="n">
        <v>45426</v>
      </c>
      <c r="J243" s="4" t="n">
        <v>45443</v>
      </c>
      <c r="K243" s="4" t="n">
        <v>45685</v>
      </c>
      <c r="L243" s="3" t="n">
        <v>7</v>
      </c>
      <c r="M243" s="3" t="n">
        <v>1200000</v>
      </c>
      <c r="N243" s="3" t="n">
        <v>18</v>
      </c>
      <c r="O243" s="3" t="b">
        <v>0</v>
      </c>
      <c r="P243" s="3" t="b">
        <v>0</v>
      </c>
      <c r="Q243" s="3" t="n">
        <v>6147.945205479452</v>
      </c>
      <c r="R243" s="3" t="n">
        <v>143210.9589041096</v>
      </c>
      <c r="S243" s="3" t="n">
        <v>149358.9041095891</v>
      </c>
      <c r="T243" s="5">
        <f>IF(J243&lt;&gt;"",M243*N243/365/100*('Cashflow Projection'!$B$2-Investors!J243),0)</f>
        <v/>
      </c>
    </row>
    <row r="244">
      <c r="A244" s="3" t="inlineStr">
        <is>
          <t>ZMYB01</t>
        </is>
      </c>
      <c r="B244" s="3" t="inlineStr">
        <is>
          <t>Hermanus Carel</t>
        </is>
      </c>
      <c r="C244" s="3" t="inlineStr">
        <is>
          <t>Myburgh</t>
        </is>
      </c>
      <c r="D244" s="3" t="inlineStr">
        <is>
          <t>Heron View</t>
        </is>
      </c>
      <c r="E244" s="3" t="inlineStr">
        <is>
          <t>HVE104</t>
        </is>
      </c>
      <c r="F244" s="3" t="b">
        <v>0</v>
      </c>
      <c r="G244" s="3" t="b">
        <v>0</v>
      </c>
      <c r="H244" s="3" t="inlineStr">
        <is>
          <t>E</t>
        </is>
      </c>
      <c r="I244" s="4" t="n">
        <v>45188</v>
      </c>
      <c r="J244" s="4" t="n">
        <v>45371</v>
      </c>
      <c r="K244" s="4" t="n">
        <v>45685</v>
      </c>
      <c r="L244" s="3" t="n">
        <v>6</v>
      </c>
      <c r="M244" s="3" t="n">
        <v>1200000</v>
      </c>
      <c r="N244" s="3" t="n">
        <v>18</v>
      </c>
      <c r="O244" s="3" t="b">
        <v>0</v>
      </c>
      <c r="P244" s="3" t="b">
        <v>0</v>
      </c>
      <c r="Q244" s="3" t="n">
        <v>66180.82191780811</v>
      </c>
      <c r="R244" s="3" t="n">
        <v>185819.1780821918</v>
      </c>
      <c r="S244" s="3" t="n">
        <v>251999.9999999999</v>
      </c>
      <c r="T244" s="5">
        <f>IF(J244&lt;&gt;"",M244*N244/365/100*('Cashflow Projection'!$B$2-Investors!J244),0)</f>
        <v/>
      </c>
    </row>
    <row r="245">
      <c r="A245" s="3" t="inlineStr">
        <is>
          <t>ZLEB01</t>
        </is>
      </c>
      <c r="B245" s="3" t="inlineStr">
        <is>
          <t>Hopolang</t>
        </is>
      </c>
      <c r="C245" s="3" t="inlineStr">
        <is>
          <t>Lebusa</t>
        </is>
      </c>
      <c r="D245" s="3" t="inlineStr">
        <is>
          <t>Heron View</t>
        </is>
      </c>
      <c r="E245" s="3" t="inlineStr">
        <is>
          <t>HVE201</t>
        </is>
      </c>
      <c r="F245" s="3" t="b">
        <v>0</v>
      </c>
      <c r="G245" s="3" t="b">
        <v>0</v>
      </c>
      <c r="H245" s="3" t="inlineStr">
        <is>
          <t>E</t>
        </is>
      </c>
      <c r="I245" s="4" t="n">
        <v>45328</v>
      </c>
      <c r="J245" s="4" t="n">
        <v>45408</v>
      </c>
      <c r="K245" s="4" t="n">
        <v>45685</v>
      </c>
      <c r="L245" s="3" t="n">
        <v>13</v>
      </c>
      <c r="M245" s="3" t="n">
        <v>725979.77</v>
      </c>
      <c r="N245" s="3" t="n">
        <v>18</v>
      </c>
      <c r="O245" s="3" t="b">
        <v>0</v>
      </c>
      <c r="P245" s="3" t="b">
        <v>0</v>
      </c>
      <c r="Q245" s="3" t="n">
        <v>17503.07390684932</v>
      </c>
      <c r="R245" s="3" t="n">
        <v>99170.82556767121</v>
      </c>
      <c r="S245" s="3" t="n">
        <v>116673.8994745205</v>
      </c>
      <c r="T245" s="5">
        <f>IF(J245&lt;&gt;"",M245*N245/365/100*('Cashflow Projection'!$B$2-Investors!J245),0)</f>
        <v/>
      </c>
    </row>
    <row r="246">
      <c r="A246" s="3" t="inlineStr">
        <is>
          <t>ZSCO01</t>
        </is>
      </c>
      <c r="B246" s="3" t="inlineStr">
        <is>
          <t>Caryn</t>
        </is>
      </c>
      <c r="C246" s="3" t="inlineStr">
        <is>
          <t>Scott</t>
        </is>
      </c>
      <c r="D246" s="3" t="inlineStr">
        <is>
          <t>Heron View</t>
        </is>
      </c>
      <c r="E246" s="3" t="inlineStr">
        <is>
          <t>HVE201</t>
        </is>
      </c>
      <c r="F246" s="3" t="b">
        <v>0</v>
      </c>
      <c r="G246" s="3" t="b">
        <v>0</v>
      </c>
      <c r="H246" s="3" t="inlineStr">
        <is>
          <t>E</t>
        </is>
      </c>
      <c r="I246" s="4" t="n">
        <v>45195</v>
      </c>
      <c r="J246" s="4" t="n">
        <v>45350</v>
      </c>
      <c r="K246" s="4" t="n">
        <v>45685</v>
      </c>
      <c r="L246" s="3" t="n">
        <v>2</v>
      </c>
      <c r="M246" s="3" t="n">
        <v>500000</v>
      </c>
      <c r="N246" s="3" t="n">
        <v>16</v>
      </c>
      <c r="O246" s="3" t="b">
        <v>0</v>
      </c>
      <c r="P246" s="3" t="b">
        <v>0</v>
      </c>
      <c r="Q246" s="3" t="n">
        <v>23356.16438356164</v>
      </c>
      <c r="R246" s="3" t="n">
        <v>73424.65753424658</v>
      </c>
      <c r="S246" s="3" t="n">
        <v>96780.82191780822</v>
      </c>
      <c r="T246" s="5">
        <f>IF(J246&lt;&gt;"",M246*N246/365/100*('Cashflow Projection'!$B$2-Investors!J246),0)</f>
        <v/>
      </c>
    </row>
    <row r="247">
      <c r="A247" s="3" t="inlineStr">
        <is>
          <t>ZMYB01</t>
        </is>
      </c>
      <c r="B247" s="3" t="inlineStr">
        <is>
          <t>Hermanus Carel</t>
        </is>
      </c>
      <c r="C247" s="3" t="inlineStr">
        <is>
          <t>Myburgh</t>
        </is>
      </c>
      <c r="D247" s="3" t="inlineStr">
        <is>
          <t>Heron View</t>
        </is>
      </c>
      <c r="E247" s="3" t="inlineStr">
        <is>
          <t>HVE202</t>
        </is>
      </c>
      <c r="F247" s="3" t="b">
        <v>0</v>
      </c>
      <c r="G247" s="3" t="b">
        <v>0</v>
      </c>
      <c r="H247" s="3" t="inlineStr">
        <is>
          <t>E</t>
        </is>
      </c>
      <c r="I247" s="4" t="n">
        <v>45188</v>
      </c>
      <c r="J247" s="4" t="n">
        <v>45371</v>
      </c>
      <c r="K247" s="4" t="n">
        <v>45685</v>
      </c>
      <c r="L247" s="3" t="n">
        <v>7</v>
      </c>
      <c r="M247" s="3" t="n">
        <v>1200000</v>
      </c>
      <c r="N247" s="3" t="n">
        <v>18</v>
      </c>
      <c r="O247" s="3" t="b">
        <v>0</v>
      </c>
      <c r="P247" s="3" t="b">
        <v>0</v>
      </c>
      <c r="Q247" s="3" t="n">
        <v>66180.82191780811</v>
      </c>
      <c r="R247" s="3" t="n">
        <v>185819.1780821918</v>
      </c>
      <c r="S247" s="3" t="n">
        <v>251999.9999999999</v>
      </c>
      <c r="T247" s="5">
        <f>IF(J247&lt;&gt;"",M247*N247/365/100*('Cashflow Projection'!$B$2-Investors!J247),0)</f>
        <v/>
      </c>
    </row>
    <row r="248">
      <c r="A248" s="3" t="inlineStr">
        <is>
          <t>ZHOW01</t>
        </is>
      </c>
      <c r="B248" s="3" t="inlineStr">
        <is>
          <t>David Mark</t>
        </is>
      </c>
      <c r="C248" s="3" t="inlineStr">
        <is>
          <t>Howe</t>
        </is>
      </c>
      <c r="D248" s="3" t="inlineStr">
        <is>
          <t>Heron View</t>
        </is>
      </c>
      <c r="E248" s="3" t="inlineStr">
        <is>
          <t>HVE203</t>
        </is>
      </c>
      <c r="F248" s="3" t="b">
        <v>0</v>
      </c>
      <c r="G248" s="3" t="b">
        <v>0</v>
      </c>
      <c r="H248" s="3" t="inlineStr">
        <is>
          <t>E</t>
        </is>
      </c>
      <c r="I248" s="4" t="n">
        <v>45195</v>
      </c>
      <c r="J248" s="4" t="n">
        <v>45321</v>
      </c>
      <c r="K248" s="4" t="n">
        <v>45685</v>
      </c>
      <c r="L248" s="3" t="n">
        <v>1</v>
      </c>
      <c r="M248" s="3" t="n">
        <v>1200000</v>
      </c>
      <c r="N248" s="3" t="n">
        <v>18</v>
      </c>
      <c r="O248" s="3" t="b">
        <v>0</v>
      </c>
      <c r="P248" s="3" t="b">
        <v>0</v>
      </c>
      <c r="Q248" s="3" t="n">
        <v>45567.12328767122</v>
      </c>
      <c r="R248" s="3" t="n">
        <v>215408.2191780822</v>
      </c>
      <c r="S248" s="3" t="n">
        <v>260975.3424657534</v>
      </c>
      <c r="T248" s="5">
        <f>IF(J248&lt;&gt;"",M248*N248/365/100*('Cashflow Projection'!$B$2-Investors!J248),0)</f>
        <v/>
      </c>
    </row>
    <row r="249">
      <c r="A249" s="3" t="inlineStr">
        <is>
          <t>ZMYB01</t>
        </is>
      </c>
      <c r="B249" s="3" t="inlineStr">
        <is>
          <t>Hermanus Carel</t>
        </is>
      </c>
      <c r="C249" s="3" t="inlineStr">
        <is>
          <t>Myburgh</t>
        </is>
      </c>
      <c r="D249" s="3" t="inlineStr">
        <is>
          <t>Heron View</t>
        </is>
      </c>
      <c r="E249" s="3" t="inlineStr">
        <is>
          <t>HVE204</t>
        </is>
      </c>
      <c r="F249" s="3" t="b">
        <v>0</v>
      </c>
      <c r="G249" s="3" t="b">
        <v>0</v>
      </c>
      <c r="H249" s="3" t="inlineStr">
        <is>
          <t>E</t>
        </is>
      </c>
      <c r="I249" s="4" t="n">
        <v>45188</v>
      </c>
      <c r="J249" s="4" t="n">
        <v>45371</v>
      </c>
      <c r="K249" s="4" t="n">
        <v>45685</v>
      </c>
      <c r="L249" s="3" t="n">
        <v>8</v>
      </c>
      <c r="M249" s="3" t="n">
        <v>1200000</v>
      </c>
      <c r="N249" s="3" t="n">
        <v>18</v>
      </c>
      <c r="O249" s="3" t="b">
        <v>0</v>
      </c>
      <c r="P249" s="3" t="b">
        <v>0</v>
      </c>
      <c r="Q249" s="3" t="n">
        <v>66180.82191780811</v>
      </c>
      <c r="R249" s="3" t="n">
        <v>185819.1780821918</v>
      </c>
      <c r="S249" s="3" t="n">
        <v>251999.9999999999</v>
      </c>
      <c r="T249" s="5">
        <f>IF(J249&lt;&gt;"",M249*N249/365/100*('Cashflow Projection'!$B$2-Investors!J249),0)</f>
        <v/>
      </c>
    </row>
    <row r="250">
      <c r="A250" s="3" t="inlineStr">
        <is>
          <t>ZMYB01</t>
        </is>
      </c>
      <c r="B250" s="3" t="inlineStr">
        <is>
          <t>Hermanus Carel</t>
        </is>
      </c>
      <c r="C250" s="3" t="inlineStr">
        <is>
          <t>Myburgh</t>
        </is>
      </c>
      <c r="D250" s="3" t="inlineStr">
        <is>
          <t>Heron View</t>
        </is>
      </c>
      <c r="E250" s="3" t="inlineStr">
        <is>
          <t>HVE301</t>
        </is>
      </c>
      <c r="F250" s="3" t="b">
        <v>0</v>
      </c>
      <c r="G250" s="3" t="b">
        <v>0</v>
      </c>
      <c r="H250" s="3" t="inlineStr">
        <is>
          <t>E</t>
        </is>
      </c>
      <c r="I250" s="4" t="n">
        <v>45188</v>
      </c>
      <c r="J250" s="4" t="n">
        <v>45350</v>
      </c>
      <c r="K250" s="4" t="n">
        <v>45685</v>
      </c>
      <c r="L250" s="3" t="n">
        <v>9</v>
      </c>
      <c r="M250" s="3" t="n">
        <v>1200000</v>
      </c>
      <c r="N250" s="3" t="n">
        <v>18</v>
      </c>
      <c r="O250" s="3" t="b">
        <v>0</v>
      </c>
      <c r="P250" s="3" t="b">
        <v>0</v>
      </c>
      <c r="Q250" s="3" t="n">
        <v>58586.30136986293</v>
      </c>
      <c r="R250" s="3" t="n">
        <v>198246.5753424657</v>
      </c>
      <c r="S250" s="3" t="n">
        <v>256832.8767123287</v>
      </c>
      <c r="T250" s="5">
        <f>IF(J250&lt;&gt;"",M250*N250/365/100*('Cashflow Projection'!$B$2-Investors!J250),0)</f>
        <v/>
      </c>
    </row>
    <row r="251">
      <c r="A251" s="3" t="inlineStr">
        <is>
          <t>ZHOW01</t>
        </is>
      </c>
      <c r="B251" s="3" t="inlineStr">
        <is>
          <t>David Mark</t>
        </is>
      </c>
      <c r="C251" s="3" t="inlineStr">
        <is>
          <t>Howe</t>
        </is>
      </c>
      <c r="D251" s="3" t="inlineStr">
        <is>
          <t>Heron View</t>
        </is>
      </c>
      <c r="E251" s="3" t="inlineStr">
        <is>
          <t>HVE302</t>
        </is>
      </c>
      <c r="F251" s="3" t="b">
        <v>0</v>
      </c>
      <c r="G251" s="3" t="b">
        <v>0</v>
      </c>
      <c r="H251" s="3" t="inlineStr">
        <is>
          <t>E</t>
        </is>
      </c>
      <c r="I251" s="4" t="n">
        <v>45195</v>
      </c>
      <c r="J251" s="4" t="n">
        <v>45321</v>
      </c>
      <c r="K251" s="4" t="n">
        <v>45685</v>
      </c>
      <c r="L251" s="3" t="n">
        <v>2</v>
      </c>
      <c r="M251" s="3" t="n">
        <v>1200000</v>
      </c>
      <c r="N251" s="3" t="n">
        <v>18</v>
      </c>
      <c r="O251" s="3" t="b">
        <v>0</v>
      </c>
      <c r="P251" s="3" t="b">
        <v>0</v>
      </c>
      <c r="Q251" s="3" t="n">
        <v>45567.12328767122</v>
      </c>
      <c r="R251" s="3" t="n">
        <v>215408.2191780822</v>
      </c>
      <c r="S251" s="3" t="n">
        <v>260975.3424657534</v>
      </c>
      <c r="T251" s="5">
        <f>IF(J251&lt;&gt;"",M251*N251/365/100*('Cashflow Projection'!$B$2-Investors!J251),0)</f>
        <v/>
      </c>
    </row>
    <row r="252">
      <c r="A252" s="3" t="inlineStr">
        <is>
          <t>ZCRO01</t>
        </is>
      </c>
      <c r="B252" s="3" t="inlineStr">
        <is>
          <t>Marc</t>
        </is>
      </c>
      <c r="C252" s="3" t="inlineStr">
        <is>
          <t>Lunau</t>
        </is>
      </c>
      <c r="D252" s="3" t="inlineStr">
        <is>
          <t>Heron View</t>
        </is>
      </c>
      <c r="E252" s="3" t="inlineStr">
        <is>
          <t>HVE303</t>
        </is>
      </c>
      <c r="F252" s="3" t="b">
        <v>0</v>
      </c>
      <c r="G252" s="3" t="b">
        <v>0</v>
      </c>
      <c r="H252" s="3" t="inlineStr">
        <is>
          <t>E</t>
        </is>
      </c>
      <c r="I252" s="4" t="n">
        <v>45198</v>
      </c>
      <c r="J252" s="4" t="n">
        <v>45224</v>
      </c>
      <c r="K252" s="4" t="n">
        <v>45685</v>
      </c>
      <c r="L252" s="3" t="n">
        <v>17</v>
      </c>
      <c r="M252" s="3" t="n">
        <v>110000</v>
      </c>
      <c r="N252" s="3" t="n">
        <v>18</v>
      </c>
      <c r="O252" s="3" t="b">
        <v>0</v>
      </c>
      <c r="P252" s="3" t="b">
        <v>0</v>
      </c>
      <c r="Q252" s="3" t="n">
        <v>861.9178082191779</v>
      </c>
      <c r="R252" s="3" t="n">
        <v>25007.67123287671</v>
      </c>
      <c r="S252" s="3" t="n">
        <v>25869.58904109589</v>
      </c>
      <c r="T252" s="5">
        <f>IF(J252&lt;&gt;"",M252*N252/365/100*('Cashflow Projection'!$B$2-Investors!J252),0)</f>
        <v/>
      </c>
    </row>
    <row r="253">
      <c r="A253" s="3" t="inlineStr">
        <is>
          <t>ZHAA02</t>
        </is>
      </c>
      <c r="B253" s="3" t="inlineStr">
        <is>
          <t>Wilhelmina Petronella (Willa)</t>
        </is>
      </c>
      <c r="C253" s="3" t="inlineStr">
        <is>
          <t>Haasbroek</t>
        </is>
      </c>
      <c r="D253" s="3" t="inlineStr">
        <is>
          <t>Heron View</t>
        </is>
      </c>
      <c r="E253" s="3" t="inlineStr">
        <is>
          <t>HVE303</t>
        </is>
      </c>
      <c r="F253" s="3" t="b">
        <v>0</v>
      </c>
      <c r="G253" s="3" t="b">
        <v>0</v>
      </c>
      <c r="H253" s="3" t="inlineStr">
        <is>
          <t>E</t>
        </is>
      </c>
      <c r="I253" s="4" t="n">
        <v>45448</v>
      </c>
      <c r="J253" s="3" t="inlineStr"/>
      <c r="K253" s="4" t="n">
        <v>45685</v>
      </c>
      <c r="L253" s="3" t="n">
        <v>2</v>
      </c>
      <c r="M253" s="3" t="n">
        <v>400000</v>
      </c>
      <c r="N253" s="3" t="n">
        <v>18</v>
      </c>
      <c r="O253" s="3" t="b">
        <v>0</v>
      </c>
      <c r="P253" s="3" t="b">
        <v>0</v>
      </c>
      <c r="Q253" s="3" t="n">
        <v>3616.438356164386</v>
      </c>
      <c r="R253" s="3" t="n">
        <v>40832.87671232877</v>
      </c>
      <c r="S253" s="3" t="n">
        <v>44449.31506849315</v>
      </c>
      <c r="T253" s="5">
        <f>IF(J253&lt;&gt;"",M253*N253/365/100*('Cashflow Projection'!$B$2-Investors!J253),0)</f>
        <v/>
      </c>
    </row>
    <row r="254">
      <c r="A254" s="3" t="inlineStr">
        <is>
          <t>ZHOW01</t>
        </is>
      </c>
      <c r="B254" s="3" t="inlineStr">
        <is>
          <t>David Mark</t>
        </is>
      </c>
      <c r="C254" s="3" t="inlineStr">
        <is>
          <t>Howe</t>
        </is>
      </c>
      <c r="D254" s="3" t="inlineStr">
        <is>
          <t>Heron View</t>
        </is>
      </c>
      <c r="E254" s="3" t="inlineStr">
        <is>
          <t>HVE303</t>
        </is>
      </c>
      <c r="F254" s="3" t="b">
        <v>0</v>
      </c>
      <c r="G254" s="3" t="b">
        <v>0</v>
      </c>
      <c r="H254" s="3" t="inlineStr">
        <is>
          <t>E</t>
        </is>
      </c>
      <c r="I254" s="4" t="n">
        <v>45195</v>
      </c>
      <c r="J254" s="4" t="n">
        <v>45321</v>
      </c>
      <c r="K254" s="4" t="n">
        <v>45685</v>
      </c>
      <c r="L254" s="3" t="n">
        <v>3</v>
      </c>
      <c r="M254" s="3" t="n">
        <v>600000</v>
      </c>
      <c r="N254" s="3" t="n">
        <v>18</v>
      </c>
      <c r="O254" s="3" t="b">
        <v>0</v>
      </c>
      <c r="P254" s="3" t="b">
        <v>0</v>
      </c>
      <c r="Q254" s="3" t="n">
        <v>22783.56164383561</v>
      </c>
      <c r="R254" s="3" t="n">
        <v>107704.1095890411</v>
      </c>
      <c r="S254" s="3" t="n">
        <v>130487.6712328767</v>
      </c>
      <c r="T254" s="5">
        <f>IF(J254&lt;&gt;"",M254*N254/365/100*('Cashflow Projection'!$B$2-Investors!J254),0)</f>
        <v/>
      </c>
    </row>
    <row r="255">
      <c r="A255" s="3" t="inlineStr">
        <is>
          <t>ZLAL01</t>
        </is>
      </c>
      <c r="B255" s="3" t="inlineStr">
        <is>
          <t>Seema Nagin</t>
        </is>
      </c>
      <c r="C255" s="3" t="inlineStr">
        <is>
          <t>Lala</t>
        </is>
      </c>
      <c r="D255" s="3" t="inlineStr">
        <is>
          <t>Heron View</t>
        </is>
      </c>
      <c r="E255" s="3" t="inlineStr">
        <is>
          <t>HVE303</t>
        </is>
      </c>
      <c r="F255" s="3" t="b">
        <v>0</v>
      </c>
      <c r="G255" s="3" t="b">
        <v>0</v>
      </c>
      <c r="H255" s="3" t="inlineStr">
        <is>
          <t>E</t>
        </is>
      </c>
      <c r="I255" s="4" t="n">
        <v>45433</v>
      </c>
      <c r="J255" s="4" t="n">
        <v>45443</v>
      </c>
      <c r="K255" s="4" t="n">
        <v>45685</v>
      </c>
      <c r="L255" s="3" t="n">
        <v>1</v>
      </c>
      <c r="M255" s="3" t="n">
        <v>100000</v>
      </c>
      <c r="N255" s="3" t="n">
        <v>14</v>
      </c>
      <c r="O255" s="3" t="b">
        <v>0</v>
      </c>
      <c r="P255" s="3" t="b">
        <v>0</v>
      </c>
      <c r="Q255" s="3" t="n">
        <v>301.3698630136986</v>
      </c>
      <c r="R255" s="3" t="n">
        <v>9282.191780821917</v>
      </c>
      <c r="S255" s="3" t="n">
        <v>9583.561643835616</v>
      </c>
      <c r="T255" s="5">
        <f>IF(J255&lt;&gt;"",M255*N255/365/100*('Cashflow Projection'!$B$2-Investors!J255),0)</f>
        <v/>
      </c>
    </row>
    <row r="256">
      <c r="A256" s="3" t="inlineStr">
        <is>
          <t>ZMYB01</t>
        </is>
      </c>
      <c r="B256" s="3" t="inlineStr">
        <is>
          <t>Hermanus Carel</t>
        </is>
      </c>
      <c r="C256" s="3" t="inlineStr">
        <is>
          <t>Myburgh</t>
        </is>
      </c>
      <c r="D256" s="3" t="inlineStr">
        <is>
          <t>Heron View</t>
        </is>
      </c>
      <c r="E256" s="3" t="inlineStr">
        <is>
          <t>HVE304</t>
        </is>
      </c>
      <c r="F256" s="3" t="b">
        <v>0</v>
      </c>
      <c r="G256" s="3" t="b">
        <v>0</v>
      </c>
      <c r="H256" s="3" t="inlineStr">
        <is>
          <t>E</t>
        </is>
      </c>
      <c r="I256" s="4" t="n">
        <v>45188</v>
      </c>
      <c r="J256" s="4" t="n">
        <v>45350</v>
      </c>
      <c r="K256" s="4" t="n">
        <v>45685</v>
      </c>
      <c r="L256" s="3" t="n">
        <v>10</v>
      </c>
      <c r="M256" s="3" t="n">
        <v>1200000</v>
      </c>
      <c r="N256" s="3" t="n">
        <v>18</v>
      </c>
      <c r="O256" s="3" t="b">
        <v>0</v>
      </c>
      <c r="P256" s="3" t="b">
        <v>0</v>
      </c>
      <c r="Q256" s="3" t="n">
        <v>58586.30136986293</v>
      </c>
      <c r="R256" s="3" t="n">
        <v>198246.5753424657</v>
      </c>
      <c r="S256" s="3" t="n">
        <v>256832.8767123287</v>
      </c>
      <c r="T256" s="5">
        <f>IF(J256&lt;&gt;"",M256*N256/365/100*('Cashflow Projection'!$B$2-Investors!J256),0)</f>
        <v/>
      </c>
    </row>
    <row r="257">
      <c r="A257" s="3" t="inlineStr">
        <is>
          <t>ZLES01</t>
        </is>
      </c>
      <c r="B257" s="3" t="inlineStr">
        <is>
          <t>Megan Frances</t>
        </is>
      </c>
      <c r="C257" s="3" t="inlineStr">
        <is>
          <t>Leslie</t>
        </is>
      </c>
      <c r="D257" s="3" t="inlineStr">
        <is>
          <t>Heron View</t>
        </is>
      </c>
      <c r="E257" s="3" t="inlineStr">
        <is>
          <t>HVF101</t>
        </is>
      </c>
      <c r="F257" s="3" t="b">
        <v>0</v>
      </c>
      <c r="G257" s="3" t="b">
        <v>0</v>
      </c>
      <c r="H257" s="3" t="inlineStr">
        <is>
          <t>F</t>
        </is>
      </c>
      <c r="I257" s="4" t="n">
        <v>45279</v>
      </c>
      <c r="J257" s="4" t="n">
        <v>45371</v>
      </c>
      <c r="K257" s="4" t="n">
        <v>45588</v>
      </c>
      <c r="L257" s="3" t="n">
        <v>2</v>
      </c>
      <c r="M257" s="3" t="n">
        <v>167914.73</v>
      </c>
      <c r="N257" s="3" t="n">
        <v>14</v>
      </c>
      <c r="O257" s="3" t="b">
        <v>0</v>
      </c>
      <c r="P257" s="3" t="b">
        <v>0</v>
      </c>
      <c r="Q257" s="3" t="n">
        <v>4655.608404383556</v>
      </c>
      <c r="R257" s="3" t="n">
        <v>13976.02602027397</v>
      </c>
      <c r="S257" s="3" t="n">
        <v>18631.63442465753</v>
      </c>
      <c r="T257" s="5">
        <f>IF(J257&lt;&gt;"",M257*N257/365/100*('Cashflow Projection'!$B$2-Investors!J257),0)</f>
        <v/>
      </c>
    </row>
    <row r="258">
      <c r="A258" s="3" t="inlineStr">
        <is>
          <t>ZTHA01</t>
        </is>
      </c>
      <c r="B258" s="3" t="inlineStr">
        <is>
          <t>Gerald Adriaan Odendal</t>
        </is>
      </c>
      <c r="C258" s="3" t="inlineStr">
        <is>
          <t>Matthee</t>
        </is>
      </c>
      <c r="D258" s="3" t="inlineStr">
        <is>
          <t>Heron View</t>
        </is>
      </c>
      <c r="E258" s="3" t="inlineStr">
        <is>
          <t>HVF101</t>
        </is>
      </c>
      <c r="F258" s="3" t="b">
        <v>0</v>
      </c>
      <c r="G258" s="3" t="b">
        <v>0</v>
      </c>
      <c r="H258" s="3" t="inlineStr">
        <is>
          <t>F</t>
        </is>
      </c>
      <c r="I258" s="4" t="n">
        <v>45371</v>
      </c>
      <c r="J258" s="4" t="n">
        <v>45443</v>
      </c>
      <c r="K258" s="4" t="n">
        <v>45588</v>
      </c>
      <c r="L258" s="3" t="n">
        <v>12</v>
      </c>
      <c r="M258" s="3" t="n">
        <v>100000</v>
      </c>
      <c r="N258" s="3" t="n">
        <v>18</v>
      </c>
      <c r="O258" s="3" t="b">
        <v>0</v>
      </c>
      <c r="P258" s="3" t="b">
        <v>0</v>
      </c>
      <c r="Q258" s="3" t="n">
        <v>2169.863013698632</v>
      </c>
      <c r="R258" s="3" t="n">
        <v>7150.684931506849</v>
      </c>
      <c r="S258" s="3" t="n">
        <v>9320.547945205482</v>
      </c>
      <c r="T258" s="5">
        <f>IF(J258&lt;&gt;"",M258*N258/365/100*('Cashflow Projection'!$B$2-Investors!J258),0)</f>
        <v/>
      </c>
    </row>
    <row r="259">
      <c r="A259" s="3" t="inlineStr">
        <is>
          <t>ZWAT01</t>
        </is>
      </c>
      <c r="B259" s="3" t="inlineStr">
        <is>
          <t>Peter Gregory</t>
        </is>
      </c>
      <c r="C259" s="3" t="inlineStr">
        <is>
          <t>Watts</t>
        </is>
      </c>
      <c r="D259" s="3" t="inlineStr">
        <is>
          <t>Heron View</t>
        </is>
      </c>
      <c r="E259" s="3" t="inlineStr">
        <is>
          <t>HVF101</t>
        </is>
      </c>
      <c r="F259" s="3" t="b">
        <v>0</v>
      </c>
      <c r="G259" s="3" t="b">
        <v>0</v>
      </c>
      <c r="H259" s="3" t="inlineStr">
        <is>
          <t>F</t>
        </is>
      </c>
      <c r="I259" s="4" t="n">
        <v>45279</v>
      </c>
      <c r="J259" s="4" t="n">
        <v>45371</v>
      </c>
      <c r="K259" s="4" t="n">
        <v>45588</v>
      </c>
      <c r="L259" s="3" t="n">
        <v>14</v>
      </c>
      <c r="M259" s="3" t="n">
        <v>920898.91</v>
      </c>
      <c r="N259" s="3" t="n">
        <v>18</v>
      </c>
      <c r="O259" s="3" t="b">
        <v>0</v>
      </c>
      <c r="P259" s="3" t="b">
        <v>0</v>
      </c>
      <c r="Q259" s="3" t="n">
        <v>25532.86840876708</v>
      </c>
      <c r="R259" s="3" t="n">
        <v>98548.79842356163</v>
      </c>
      <c r="S259" s="3" t="n">
        <v>124081.6668323287</v>
      </c>
      <c r="T259" s="5">
        <f>IF(J259&lt;&gt;"",M259*N259/365/100*('Cashflow Projection'!$B$2-Investors!J259),0)</f>
        <v/>
      </c>
    </row>
    <row r="260">
      <c r="A260" s="3" t="inlineStr">
        <is>
          <t>ZFON01</t>
        </is>
      </c>
      <c r="B260" s="3" t="inlineStr">
        <is>
          <t>Lorraine</t>
        </is>
      </c>
      <c r="C260" s="3" t="inlineStr">
        <is>
          <t>Aveling-Fountain</t>
        </is>
      </c>
      <c r="D260" s="3" t="inlineStr">
        <is>
          <t>Heron View</t>
        </is>
      </c>
      <c r="E260" s="3" t="inlineStr">
        <is>
          <t>HVF102</t>
        </is>
      </c>
      <c r="F260" s="3" t="b">
        <v>0</v>
      </c>
      <c r="G260" s="3" t="b">
        <v>0</v>
      </c>
      <c r="H260" s="3" t="inlineStr">
        <is>
          <t>F</t>
        </is>
      </c>
      <c r="I260" s="4" t="n">
        <v>45279</v>
      </c>
      <c r="J260" s="4" t="n">
        <v>45371</v>
      </c>
      <c r="K260" s="4" t="n">
        <v>45588</v>
      </c>
      <c r="L260" s="3" t="n">
        <v>5</v>
      </c>
      <c r="M260" s="3" t="n">
        <v>780885.27</v>
      </c>
      <c r="N260" s="3" t="n">
        <v>16</v>
      </c>
      <c r="O260" s="3" t="b">
        <v>0</v>
      </c>
      <c r="P260" s="3" t="b">
        <v>0</v>
      </c>
      <c r="Q260" s="3" t="n">
        <v>21650.84639013701</v>
      </c>
      <c r="R260" s="3" t="n">
        <v>74280.37417643836</v>
      </c>
      <c r="S260" s="3" t="n">
        <v>95931.22056657537</v>
      </c>
      <c r="T260" s="5">
        <f>IF(J260&lt;&gt;"",M260*N260/365/100*('Cashflow Projection'!$B$2-Investors!J260),0)</f>
        <v/>
      </c>
    </row>
    <row r="261">
      <c r="A261" s="3" t="inlineStr">
        <is>
          <t>ZKAL01</t>
        </is>
      </c>
      <c r="B261" s="3" t="inlineStr">
        <is>
          <t>Sushil</t>
        </is>
      </c>
      <c r="C261" s="3" t="inlineStr">
        <is>
          <t>Kalianjee</t>
        </is>
      </c>
      <c r="D261" s="3" t="inlineStr">
        <is>
          <t>Heron View</t>
        </is>
      </c>
      <c r="E261" s="3" t="inlineStr">
        <is>
          <t>HVF102</t>
        </is>
      </c>
      <c r="F261" s="3" t="b">
        <v>0</v>
      </c>
      <c r="G261" s="3" t="b">
        <v>0</v>
      </c>
      <c r="H261" s="3" t="inlineStr">
        <is>
          <t>F</t>
        </is>
      </c>
      <c r="I261" s="4" t="n">
        <v>45421</v>
      </c>
      <c r="J261" s="4" t="n">
        <v>45443</v>
      </c>
      <c r="K261" s="4" t="n">
        <v>45588</v>
      </c>
      <c r="L261" s="3" t="n">
        <v>1</v>
      </c>
      <c r="M261" s="3" t="n">
        <v>200000</v>
      </c>
      <c r="N261" s="3" t="n">
        <v>14</v>
      </c>
      <c r="O261" s="3" t="b">
        <v>0</v>
      </c>
      <c r="P261" s="3" t="b">
        <v>0</v>
      </c>
      <c r="Q261" s="3" t="n">
        <v>1326.027397260274</v>
      </c>
      <c r="R261" s="3" t="n">
        <v>11123.28767123288</v>
      </c>
      <c r="S261" s="3" t="n">
        <v>12449.31506849315</v>
      </c>
      <c r="T261" s="5">
        <f>IF(J261&lt;&gt;"",M261*N261/365/100*('Cashflow Projection'!$B$2-Investors!J261),0)</f>
        <v/>
      </c>
    </row>
    <row r="262">
      <c r="A262" s="3" t="inlineStr">
        <is>
          <t>ZTHA01</t>
        </is>
      </c>
      <c r="B262" s="3" t="inlineStr">
        <is>
          <t>Gerald Adriaan Odendal</t>
        </is>
      </c>
      <c r="C262" s="3" t="inlineStr">
        <is>
          <t>Matthee</t>
        </is>
      </c>
      <c r="D262" s="3" t="inlineStr">
        <is>
          <t>Heron View</t>
        </is>
      </c>
      <c r="E262" s="3" t="inlineStr">
        <is>
          <t>HVF102</t>
        </is>
      </c>
      <c r="F262" s="3" t="b">
        <v>0</v>
      </c>
      <c r="G262" s="3" t="b">
        <v>0</v>
      </c>
      <c r="H262" s="3" t="inlineStr">
        <is>
          <t>F</t>
        </is>
      </c>
      <c r="I262" s="4" t="n">
        <v>45314</v>
      </c>
      <c r="J262" s="4" t="n">
        <v>45371</v>
      </c>
      <c r="K262" s="4" t="n">
        <v>45588</v>
      </c>
      <c r="L262" s="3" t="n">
        <v>10</v>
      </c>
      <c r="M262" s="3" t="n">
        <v>243123.29</v>
      </c>
      <c r="N262" s="3" t="n">
        <v>18</v>
      </c>
      <c r="O262" s="3" t="b">
        <v>0</v>
      </c>
      <c r="P262" s="3" t="b">
        <v>0</v>
      </c>
      <c r="Q262" s="3" t="n">
        <v>4176.391858356166</v>
      </c>
      <c r="R262" s="3" t="n">
        <v>26017.5224860274</v>
      </c>
      <c r="S262" s="3" t="n">
        <v>30193.91434438356</v>
      </c>
      <c r="T262" s="5">
        <f>IF(J262&lt;&gt;"",M262*N262/365/100*('Cashflow Projection'!$B$2-Investors!J262),0)</f>
        <v/>
      </c>
    </row>
    <row r="263">
      <c r="A263" s="3" t="inlineStr">
        <is>
          <t>ZPLA01</t>
        </is>
      </c>
      <c r="B263" s="3" t="inlineStr">
        <is>
          <t>Aneta</t>
        </is>
      </c>
      <c r="C263" s="3" t="inlineStr">
        <is>
          <t>Placzkowska</t>
        </is>
      </c>
      <c r="D263" s="3" t="inlineStr">
        <is>
          <t>Heron View</t>
        </is>
      </c>
      <c r="E263" s="3" t="inlineStr">
        <is>
          <t>HVF103</t>
        </is>
      </c>
      <c r="F263" s="3" t="b">
        <v>0</v>
      </c>
      <c r="G263" s="3" t="b">
        <v>0</v>
      </c>
      <c r="H263" s="3" t="inlineStr">
        <is>
          <t>F</t>
        </is>
      </c>
      <c r="I263" s="4" t="n">
        <v>45387</v>
      </c>
      <c r="J263" s="4" t="n">
        <v>45443</v>
      </c>
      <c r="K263" s="4" t="n">
        <v>45588</v>
      </c>
      <c r="L263" s="3" t="n">
        <v>3</v>
      </c>
      <c r="M263" s="3" t="n">
        <v>296340</v>
      </c>
      <c r="N263" s="3" t="n">
        <v>16</v>
      </c>
      <c r="O263" s="3" t="b">
        <v>0</v>
      </c>
      <c r="P263" s="3" t="b">
        <v>0</v>
      </c>
      <c r="Q263" s="3" t="n">
        <v>5001.244931506853</v>
      </c>
      <c r="R263" s="3" t="n">
        <v>18835.85753424657</v>
      </c>
      <c r="S263" s="3" t="n">
        <v>23837.10246575343</v>
      </c>
      <c r="T263" s="5">
        <f>IF(J263&lt;&gt;"",M263*N263/365/100*('Cashflow Projection'!$B$2-Investors!J263),0)</f>
        <v/>
      </c>
    </row>
    <row r="264">
      <c r="A264" s="3" t="inlineStr">
        <is>
          <t>ZWAT01</t>
        </is>
      </c>
      <c r="B264" s="3" t="inlineStr">
        <is>
          <t>Peter Gregory</t>
        </is>
      </c>
      <c r="C264" s="3" t="inlineStr">
        <is>
          <t>Watts</t>
        </is>
      </c>
      <c r="D264" s="3" t="inlineStr">
        <is>
          <t>Heron View</t>
        </is>
      </c>
      <c r="E264" s="3" t="inlineStr">
        <is>
          <t>HVF103</t>
        </is>
      </c>
      <c r="F264" s="3" t="b">
        <v>0</v>
      </c>
      <c r="G264" s="3" t="b">
        <v>0</v>
      </c>
      <c r="H264" s="3" t="inlineStr">
        <is>
          <t>F</t>
        </is>
      </c>
      <c r="I264" s="4" t="n">
        <v>45279</v>
      </c>
      <c r="J264" s="4" t="n">
        <v>45408</v>
      </c>
      <c r="K264" s="4" t="n">
        <v>45588</v>
      </c>
      <c r="L264" s="3" t="n">
        <v>15</v>
      </c>
      <c r="M264" s="3" t="n">
        <v>889121.53</v>
      </c>
      <c r="N264" s="3" t="n">
        <v>18</v>
      </c>
      <c r="O264" s="3" t="b">
        <v>0</v>
      </c>
      <c r="P264" s="3" t="b">
        <v>0</v>
      </c>
      <c r="Q264" s="3" t="n">
        <v>34566.12194712325</v>
      </c>
      <c r="R264" s="3" t="n">
        <v>78924.76047123288</v>
      </c>
      <c r="S264" s="3" t="n">
        <v>113490.8824183561</v>
      </c>
      <c r="T264" s="5">
        <f>IF(J264&lt;&gt;"",M264*N264/365/100*('Cashflow Projection'!$B$2-Investors!J264),0)</f>
        <v/>
      </c>
    </row>
    <row r="265">
      <c r="A265" s="3" t="inlineStr">
        <is>
          <t>ZOLI01</t>
        </is>
      </c>
      <c r="B265" s="3" t="inlineStr">
        <is>
          <t>Jan Lukas Cornelus</t>
        </is>
      </c>
      <c r="C265" s="3" t="inlineStr">
        <is>
          <t>Olivier</t>
        </is>
      </c>
      <c r="D265" s="3" t="inlineStr">
        <is>
          <t>Heron View</t>
        </is>
      </c>
      <c r="E265" s="3" t="inlineStr">
        <is>
          <t>HVF104</t>
        </is>
      </c>
      <c r="F265" s="3" t="b">
        <v>0</v>
      </c>
      <c r="G265" s="3" t="b">
        <v>0</v>
      </c>
      <c r="H265" s="3" t="inlineStr">
        <is>
          <t>F</t>
        </is>
      </c>
      <c r="I265" s="4" t="n">
        <v>45177</v>
      </c>
      <c r="J265" s="4" t="n">
        <v>45280</v>
      </c>
      <c r="K265" s="4" t="n">
        <v>45588</v>
      </c>
      <c r="L265" s="3" t="n">
        <v>4</v>
      </c>
      <c r="M265" s="3" t="n">
        <v>560000</v>
      </c>
      <c r="N265" s="3" t="n">
        <v>18</v>
      </c>
      <c r="O265" s="3" t="b">
        <v>0</v>
      </c>
      <c r="P265" s="3" t="b">
        <v>0</v>
      </c>
      <c r="Q265" s="3" t="n">
        <v>17383.01369863012</v>
      </c>
      <c r="R265" s="3" t="n">
        <v>85058.63013698631</v>
      </c>
      <c r="S265" s="3" t="n">
        <v>102441.6438356164</v>
      </c>
      <c r="T265" s="5">
        <f>IF(J265&lt;&gt;"",M265*N265/365/100*('Cashflow Projection'!$B$2-Investors!J265),0)</f>
        <v/>
      </c>
    </row>
    <row r="266">
      <c r="A266" s="3" t="inlineStr">
        <is>
          <t>ZRIT01</t>
        </is>
      </c>
      <c r="B266" s="3" t="inlineStr">
        <is>
          <t>Dennis</t>
        </is>
      </c>
      <c r="C266" s="3" t="inlineStr">
        <is>
          <t>Ritter</t>
        </is>
      </c>
      <c r="D266" s="3" t="inlineStr">
        <is>
          <t>Heron View</t>
        </is>
      </c>
      <c r="E266" s="3" t="inlineStr">
        <is>
          <t>HVF104</t>
        </is>
      </c>
      <c r="F266" s="3" t="b">
        <v>0</v>
      </c>
      <c r="G266" s="3" t="b">
        <v>0</v>
      </c>
      <c r="H266" s="3" t="inlineStr">
        <is>
          <t>F</t>
        </is>
      </c>
      <c r="I266" s="4" t="n">
        <v>45175</v>
      </c>
      <c r="J266" s="4" t="n">
        <v>45224</v>
      </c>
      <c r="K266" s="4" t="n">
        <v>45588</v>
      </c>
      <c r="L266" s="3" t="n">
        <v>16</v>
      </c>
      <c r="M266" s="3" t="n">
        <v>343865.75</v>
      </c>
      <c r="N266" s="3" t="n">
        <v>18</v>
      </c>
      <c r="O266" s="3" t="b">
        <v>0</v>
      </c>
      <c r="P266" s="3" t="b">
        <v>0</v>
      </c>
      <c r="Q266" s="3" t="n">
        <v>5077.90792465753</v>
      </c>
      <c r="R266" s="3" t="n">
        <v>61726.25736986301</v>
      </c>
      <c r="S266" s="3" t="n">
        <v>66804.16529452054</v>
      </c>
      <c r="T266" s="5">
        <f>IF(J266&lt;&gt;"",M266*N266/365/100*('Cashflow Projection'!$B$2-Investors!J266),0)</f>
        <v/>
      </c>
    </row>
    <row r="267">
      <c r="A267" s="3" t="inlineStr">
        <is>
          <t>ZSCH05</t>
        </is>
      </c>
      <c r="B267" s="3" t="inlineStr">
        <is>
          <t>Willem</t>
        </is>
      </c>
      <c r="C267" s="3" t="inlineStr">
        <is>
          <t>Schipper</t>
        </is>
      </c>
      <c r="D267" s="3" t="inlineStr">
        <is>
          <t>Heron View</t>
        </is>
      </c>
      <c r="E267" s="3" t="inlineStr">
        <is>
          <t>HVF104</t>
        </is>
      </c>
      <c r="F267" s="3" t="b">
        <v>0</v>
      </c>
      <c r="G267" s="3" t="b">
        <v>0</v>
      </c>
      <c r="H267" s="3" t="inlineStr">
        <is>
          <t>F</t>
        </is>
      </c>
      <c r="I267" s="4" t="n">
        <v>45432</v>
      </c>
      <c r="J267" s="4" t="n">
        <v>45443</v>
      </c>
      <c r="K267" s="4" t="n">
        <v>45588</v>
      </c>
      <c r="L267" s="3" t="n">
        <v>1</v>
      </c>
      <c r="M267" s="3" t="n">
        <v>200000</v>
      </c>
      <c r="N267" s="3" t="n">
        <v>14</v>
      </c>
      <c r="O267" s="3" t="b">
        <v>0</v>
      </c>
      <c r="P267" s="3" t="b">
        <v>0</v>
      </c>
      <c r="Q267" s="3" t="n">
        <v>663.013698630137</v>
      </c>
      <c r="R267" s="3" t="n">
        <v>11123.28767123288</v>
      </c>
      <c r="S267" s="3" t="n">
        <v>11786.30136986301</v>
      </c>
      <c r="T267" s="5">
        <f>IF(J267&lt;&gt;"",M267*N267/365/100*('Cashflow Projection'!$B$2-Investors!J267),0)</f>
        <v/>
      </c>
    </row>
    <row r="268">
      <c r="A268" s="3" t="inlineStr">
        <is>
          <t>ZVIS04</t>
        </is>
      </c>
      <c r="B268" s="3" t="inlineStr">
        <is>
          <t>Lukas Petrus Jacobus</t>
        </is>
      </c>
      <c r="C268" s="3" t="inlineStr">
        <is>
          <t>Visagie</t>
        </is>
      </c>
      <c r="D268" s="3" t="inlineStr">
        <is>
          <t>Heron View</t>
        </is>
      </c>
      <c r="E268" s="3" t="inlineStr">
        <is>
          <t>HVF104</t>
        </is>
      </c>
      <c r="F268" s="3" t="b">
        <v>0</v>
      </c>
      <c r="G268" s="3" t="b">
        <v>0</v>
      </c>
      <c r="H268" s="3" t="inlineStr">
        <is>
          <t>F</t>
        </is>
      </c>
      <c r="I268" s="4" t="n">
        <v>45418</v>
      </c>
      <c r="J268" s="4" t="n">
        <v>45443</v>
      </c>
      <c r="K268" s="4" t="n">
        <v>45588</v>
      </c>
      <c r="L268" s="3" t="n">
        <v>1</v>
      </c>
      <c r="M268" s="3" t="n">
        <v>100000</v>
      </c>
      <c r="N268" s="3" t="n">
        <v>14</v>
      </c>
      <c r="O268" s="3" t="b">
        <v>0</v>
      </c>
      <c r="P268" s="3" t="b">
        <v>0</v>
      </c>
      <c r="Q268" s="3" t="n">
        <v>753.424657534247</v>
      </c>
      <c r="R268" s="3" t="n">
        <v>5561.643835616438</v>
      </c>
      <c r="S268" s="3" t="n">
        <v>6315.068493150685</v>
      </c>
      <c r="T268" s="5">
        <f>IF(J268&lt;&gt;"",M268*N268/365/100*('Cashflow Projection'!$B$2-Investors!J268),0)</f>
        <v/>
      </c>
    </row>
    <row r="269">
      <c r="A269" s="3" t="inlineStr">
        <is>
          <t>ZMAN01</t>
        </is>
      </c>
      <c r="B269" s="3" t="inlineStr">
        <is>
          <t>Emma Irene</t>
        </is>
      </c>
      <c r="C269" s="3" t="inlineStr">
        <is>
          <t>Manuel</t>
        </is>
      </c>
      <c r="D269" s="3" t="inlineStr">
        <is>
          <t>Heron View</t>
        </is>
      </c>
      <c r="E269" s="3" t="inlineStr">
        <is>
          <t>HVF201</t>
        </is>
      </c>
      <c r="F269" s="3" t="b">
        <v>0</v>
      </c>
      <c r="G269" s="3" t="b">
        <v>0</v>
      </c>
      <c r="H269" s="3" t="inlineStr">
        <is>
          <t>F</t>
        </is>
      </c>
      <c r="I269" s="4" t="n">
        <v>45330</v>
      </c>
      <c r="J269" s="4" t="n">
        <v>45408</v>
      </c>
      <c r="K269" s="4" t="n">
        <v>45588</v>
      </c>
      <c r="L269" s="3" t="n">
        <v>2</v>
      </c>
      <c r="M269" s="3" t="n">
        <v>1000000</v>
      </c>
      <c r="N269" s="3" t="n">
        <v>18</v>
      </c>
      <c r="O269" s="3" t="b">
        <v>0</v>
      </c>
      <c r="P269" s="3" t="b">
        <v>0</v>
      </c>
      <c r="Q269" s="3" t="n">
        <v>23506.84931506846</v>
      </c>
      <c r="R269" s="3" t="n">
        <v>88767.12328767123</v>
      </c>
      <c r="S269" s="3" t="n">
        <v>112273.9726027397</v>
      </c>
      <c r="T269" s="5">
        <f>IF(J269&lt;&gt;"",M269*N269/365/100*('Cashflow Projection'!$B$2-Investors!J269),0)</f>
        <v/>
      </c>
    </row>
    <row r="270">
      <c r="A270" s="3" t="inlineStr">
        <is>
          <t>ZVAN05</t>
        </is>
      </c>
      <c r="B270" s="3" t="inlineStr">
        <is>
          <t>Hermanus</t>
        </is>
      </c>
      <c r="C270" s="3" t="inlineStr">
        <is>
          <t>van der Sandt</t>
        </is>
      </c>
      <c r="D270" s="3" t="inlineStr">
        <is>
          <t>Heron View</t>
        </is>
      </c>
      <c r="E270" s="3" t="inlineStr">
        <is>
          <t>HVF201</t>
        </is>
      </c>
      <c r="F270" s="3" t="b">
        <v>0</v>
      </c>
      <c r="G270" s="3" t="b">
        <v>0</v>
      </c>
      <c r="H270" s="3" t="inlineStr">
        <is>
          <t>F</t>
        </is>
      </c>
      <c r="I270" s="4" t="n">
        <v>45399</v>
      </c>
      <c r="J270" s="4" t="n">
        <v>45443</v>
      </c>
      <c r="K270" s="4" t="n">
        <v>45588</v>
      </c>
      <c r="L270" s="3" t="n">
        <v>11</v>
      </c>
      <c r="M270" s="3" t="n">
        <v>176567.12</v>
      </c>
      <c r="N270" s="3" t="n">
        <v>18</v>
      </c>
      <c r="O270" s="3" t="b">
        <v>0</v>
      </c>
      <c r="P270" s="3" t="b">
        <v>0</v>
      </c>
      <c r="Q270" s="3" t="n">
        <v>2341.328385753425</v>
      </c>
      <c r="R270" s="3" t="n">
        <v>12625.75844383562</v>
      </c>
      <c r="S270" s="3" t="n">
        <v>14967.08682958904</v>
      </c>
      <c r="T270" s="5">
        <f>IF(J270&lt;&gt;"",M270*N270/365/100*('Cashflow Projection'!$B$2-Investors!J270),0)</f>
        <v/>
      </c>
    </row>
    <row r="271">
      <c r="A271" s="3" t="inlineStr">
        <is>
          <t>ZDIK01</t>
        </is>
      </c>
      <c r="B271" s="3" t="inlineStr">
        <is>
          <t>Deliwe Mavis</t>
        </is>
      </c>
      <c r="C271" s="3" t="inlineStr">
        <is>
          <t>Dikana</t>
        </is>
      </c>
      <c r="D271" s="3" t="inlineStr">
        <is>
          <t>Heron View</t>
        </is>
      </c>
      <c r="E271" s="3" t="inlineStr">
        <is>
          <t>HVF202</t>
        </is>
      </c>
      <c r="F271" s="3" t="b">
        <v>0</v>
      </c>
      <c r="G271" s="3" t="b">
        <v>0</v>
      </c>
      <c r="H271" s="3" t="inlineStr">
        <is>
          <t>F</t>
        </is>
      </c>
      <c r="I271" s="4" t="n">
        <v>45401</v>
      </c>
      <c r="J271" s="4" t="n">
        <v>45443</v>
      </c>
      <c r="K271" s="4" t="n">
        <v>45588</v>
      </c>
      <c r="L271" s="3" t="n">
        <v>1</v>
      </c>
      <c r="M271" s="3" t="n">
        <v>100000</v>
      </c>
      <c r="N271" s="3" t="n">
        <v>14</v>
      </c>
      <c r="O271" s="3" t="b">
        <v>0</v>
      </c>
      <c r="P271" s="3" t="b">
        <v>0</v>
      </c>
      <c r="Q271" s="3" t="n">
        <v>1265.753424657536</v>
      </c>
      <c r="R271" s="3" t="n">
        <v>5561.643835616438</v>
      </c>
      <c r="S271" s="3" t="n">
        <v>6827.397260273974</v>
      </c>
      <c r="T271" s="5">
        <f>IF(J271&lt;&gt;"",M271*N271/365/100*('Cashflow Projection'!$B$2-Investors!J271),0)</f>
        <v/>
      </c>
    </row>
    <row r="272">
      <c r="A272" s="3" t="inlineStr">
        <is>
          <t>ZELO02</t>
        </is>
      </c>
      <c r="B272" s="3" t="inlineStr">
        <is>
          <t>Gertruida Maria Margaretha (Gerda)</t>
        </is>
      </c>
      <c r="C272" s="3" t="inlineStr">
        <is>
          <t>Eloff</t>
        </is>
      </c>
      <c r="D272" s="3" t="inlineStr">
        <is>
          <t>Heron View</t>
        </is>
      </c>
      <c r="E272" s="3" t="inlineStr">
        <is>
          <t>HVF202</t>
        </is>
      </c>
      <c r="F272" s="3" t="b">
        <v>0</v>
      </c>
      <c r="G272" s="3" t="b">
        <v>0</v>
      </c>
      <c r="H272" s="3" t="inlineStr">
        <is>
          <t>F</t>
        </is>
      </c>
      <c r="I272" s="4" t="n">
        <v>45190</v>
      </c>
      <c r="J272" s="4" t="n">
        <v>45321</v>
      </c>
      <c r="K272" s="4" t="n">
        <v>45588</v>
      </c>
      <c r="L272" s="3" t="n">
        <v>1</v>
      </c>
      <c r="M272" s="3" t="n">
        <v>681304.79</v>
      </c>
      <c r="N272" s="3" t="n">
        <v>16</v>
      </c>
      <c r="O272" s="3" t="b">
        <v>0</v>
      </c>
      <c r="P272" s="3" t="b">
        <v>0</v>
      </c>
      <c r="Q272" s="3" t="n">
        <v>26897.53979150695</v>
      </c>
      <c r="R272" s="3" t="n">
        <v>79740.65925698631</v>
      </c>
      <c r="S272" s="3" t="n">
        <v>106638.1990484933</v>
      </c>
      <c r="T272" s="5">
        <f>IF(J272&lt;&gt;"",M272*N272/365/100*('Cashflow Projection'!$B$2-Investors!J272),0)</f>
        <v/>
      </c>
    </row>
    <row r="273">
      <c r="A273" s="3" t="inlineStr">
        <is>
          <t>ZJEN01</t>
        </is>
      </c>
      <c r="B273" s="3" t="inlineStr">
        <is>
          <t>Daryl Anne</t>
        </is>
      </c>
      <c r="C273" s="3" t="inlineStr">
        <is>
          <t>Jennings</t>
        </is>
      </c>
      <c r="D273" s="3" t="inlineStr">
        <is>
          <t>Heron View</t>
        </is>
      </c>
      <c r="E273" s="3" t="inlineStr">
        <is>
          <t>HVF202</t>
        </is>
      </c>
      <c r="F273" s="3" t="b">
        <v>0</v>
      </c>
      <c r="G273" s="3" t="b">
        <v>0</v>
      </c>
      <c r="H273" s="3" t="inlineStr">
        <is>
          <t>F</t>
        </is>
      </c>
      <c r="I273" s="4" t="n">
        <v>45187</v>
      </c>
      <c r="J273" s="4" t="n">
        <v>45321</v>
      </c>
      <c r="K273" s="4" t="n">
        <v>45588</v>
      </c>
      <c r="L273" s="3" t="n">
        <v>3</v>
      </c>
      <c r="M273" s="3" t="n">
        <v>132283.95</v>
      </c>
      <c r="N273" s="3" t="n">
        <v>14</v>
      </c>
      <c r="O273" s="3" t="b">
        <v>0</v>
      </c>
      <c r="P273" s="3" t="b">
        <v>0</v>
      </c>
      <c r="Q273" s="3" t="n">
        <v>5342.097049315056</v>
      </c>
      <c r="R273" s="3" t="n">
        <v>13547.32616712329</v>
      </c>
      <c r="S273" s="3" t="n">
        <v>18889.42321643835</v>
      </c>
      <c r="T273" s="5">
        <f>IF(J273&lt;&gt;"",M273*N273/365/100*('Cashflow Projection'!$B$2-Investors!J273),0)</f>
        <v/>
      </c>
    </row>
    <row r="274">
      <c r="A274" s="3" t="inlineStr">
        <is>
          <t>ZRIT01</t>
        </is>
      </c>
      <c r="B274" s="3" t="inlineStr">
        <is>
          <t>Dennis</t>
        </is>
      </c>
      <c r="C274" s="3" t="inlineStr">
        <is>
          <t>Ritter</t>
        </is>
      </c>
      <c r="D274" s="3" t="inlineStr">
        <is>
          <t>Heron View</t>
        </is>
      </c>
      <c r="E274" s="3" t="inlineStr">
        <is>
          <t>HVF202</t>
        </is>
      </c>
      <c r="F274" s="3" t="b">
        <v>0</v>
      </c>
      <c r="G274" s="3" t="b">
        <v>0</v>
      </c>
      <c r="H274" s="3" t="inlineStr">
        <is>
          <t>F</t>
        </is>
      </c>
      <c r="I274" s="4" t="n">
        <v>45187</v>
      </c>
      <c r="J274" s="4" t="n">
        <v>45224</v>
      </c>
      <c r="K274" s="4" t="n">
        <v>45588</v>
      </c>
      <c r="L274" s="3" t="n">
        <v>17</v>
      </c>
      <c r="M274" s="3" t="n">
        <v>266623.38</v>
      </c>
      <c r="N274" s="3" t="n">
        <v>18</v>
      </c>
      <c r="O274" s="3" t="b">
        <v>0</v>
      </c>
      <c r="P274" s="3" t="b">
        <v>0</v>
      </c>
      <c r="Q274" s="3" t="n">
        <v>2973.033305753426</v>
      </c>
      <c r="R274" s="3" t="n">
        <v>47860.72289753424</v>
      </c>
      <c r="S274" s="3" t="n">
        <v>50833.75620328767</v>
      </c>
      <c r="T274" s="5">
        <f>IF(J274&lt;&gt;"",M274*N274/365/100*('Cashflow Projection'!$B$2-Investors!J274),0)</f>
        <v/>
      </c>
    </row>
    <row r="275">
      <c r="A275" s="3" t="inlineStr">
        <is>
          <t>ZHEI01</t>
        </is>
      </c>
      <c r="B275" s="3" t="inlineStr">
        <is>
          <t>Dieter Raimund</t>
        </is>
      </c>
      <c r="C275" s="3" t="inlineStr">
        <is>
          <t>Heinze</t>
        </is>
      </c>
      <c r="D275" s="3" t="inlineStr">
        <is>
          <t>Heron View</t>
        </is>
      </c>
      <c r="E275" s="3" t="inlineStr">
        <is>
          <t>HVF203</t>
        </is>
      </c>
      <c r="F275" s="3" t="b">
        <v>0</v>
      </c>
      <c r="G275" s="3" t="b">
        <v>0</v>
      </c>
      <c r="H275" s="3" t="inlineStr">
        <is>
          <t>F</t>
        </is>
      </c>
      <c r="I275" s="4" t="n">
        <v>45342</v>
      </c>
      <c r="J275" s="4" t="n">
        <v>45408</v>
      </c>
      <c r="K275" s="4" t="n">
        <v>45588</v>
      </c>
      <c r="L275" s="3" t="n">
        <v>15</v>
      </c>
      <c r="M275" s="3" t="n">
        <v>352090.41</v>
      </c>
      <c r="N275" s="3" t="n">
        <v>18</v>
      </c>
      <c r="O275" s="3" t="b">
        <v>0</v>
      </c>
      <c r="P275" s="3" t="b">
        <v>0</v>
      </c>
      <c r="Q275" s="3" t="n">
        <v>7003.222949589029</v>
      </c>
      <c r="R275" s="3" t="n">
        <v>31254.05283287671</v>
      </c>
      <c r="S275" s="3" t="n">
        <v>38257.27578246574</v>
      </c>
      <c r="T275" s="5">
        <f>IF(J275&lt;&gt;"",M275*N275/365/100*('Cashflow Projection'!$B$2-Investors!J275),0)</f>
        <v/>
      </c>
    </row>
    <row r="276">
      <c r="A276" s="3" t="inlineStr">
        <is>
          <t>ZHUM01</t>
        </is>
      </c>
      <c r="B276" s="3" t="inlineStr">
        <is>
          <t>Tralee Joan</t>
        </is>
      </c>
      <c r="C276" s="3" t="inlineStr">
        <is>
          <t>Human</t>
        </is>
      </c>
      <c r="D276" s="3" t="inlineStr">
        <is>
          <t>Heron View</t>
        </is>
      </c>
      <c r="E276" s="3" t="inlineStr">
        <is>
          <t>HVF203</t>
        </is>
      </c>
      <c r="F276" s="3" t="b">
        <v>0</v>
      </c>
      <c r="G276" s="3" t="b">
        <v>0</v>
      </c>
      <c r="H276" s="3" t="inlineStr">
        <is>
          <t>F</t>
        </is>
      </c>
      <c r="I276" s="4" t="n">
        <v>45187</v>
      </c>
      <c r="J276" s="4" t="n">
        <v>45273</v>
      </c>
      <c r="K276" s="4" t="n">
        <v>45588</v>
      </c>
      <c r="L276" s="3" t="n">
        <v>2</v>
      </c>
      <c r="M276" s="3" t="n">
        <v>100000</v>
      </c>
      <c r="N276" s="3" t="n">
        <v>14</v>
      </c>
      <c r="O276" s="3" t="b">
        <v>0</v>
      </c>
      <c r="P276" s="3" t="b">
        <v>0</v>
      </c>
      <c r="Q276" s="3" t="n">
        <v>2591.780821917808</v>
      </c>
      <c r="R276" s="3" t="n">
        <v>12082.19178082192</v>
      </c>
      <c r="S276" s="3" t="n">
        <v>14673.97260273972</v>
      </c>
      <c r="T276" s="5">
        <f>IF(J276&lt;&gt;"",M276*N276/365/100*('Cashflow Projection'!$B$2-Investors!J276),0)</f>
        <v/>
      </c>
    </row>
    <row r="277">
      <c r="A277" s="3" t="inlineStr">
        <is>
          <t>ZSCH01</t>
        </is>
      </c>
      <c r="B277" s="3" t="inlineStr">
        <is>
          <t>Inge</t>
        </is>
      </c>
      <c r="C277" s="3" t="inlineStr">
        <is>
          <t>Schubert</t>
        </is>
      </c>
      <c r="D277" s="3" t="inlineStr">
        <is>
          <t>Heron View</t>
        </is>
      </c>
      <c r="E277" s="3" t="inlineStr">
        <is>
          <t>HVF203</t>
        </is>
      </c>
      <c r="F277" s="3" t="b">
        <v>0</v>
      </c>
      <c r="G277" s="3" t="b">
        <v>0</v>
      </c>
      <c r="H277" s="3" t="inlineStr">
        <is>
          <t>F</t>
        </is>
      </c>
      <c r="I277" s="4" t="n">
        <v>45335</v>
      </c>
      <c r="J277" s="4" t="n">
        <v>45408</v>
      </c>
      <c r="K277" s="4" t="n">
        <v>45588</v>
      </c>
      <c r="L277" s="3" t="n">
        <v>17</v>
      </c>
      <c r="M277" s="3" t="n">
        <v>717029.36</v>
      </c>
      <c r="N277" s="3" t="n">
        <v>18</v>
      </c>
      <c r="O277" s="3" t="b">
        <v>0</v>
      </c>
      <c r="P277" s="3" t="b">
        <v>0</v>
      </c>
      <c r="Q277" s="3" t="n">
        <v>15774.64591999998</v>
      </c>
      <c r="R277" s="3" t="n">
        <v>63648.6336</v>
      </c>
      <c r="S277" s="3" t="n">
        <v>79423.27951999998</v>
      </c>
      <c r="T277" s="5">
        <f>IF(J277&lt;&gt;"",M277*N277/365/100*('Cashflow Projection'!$B$2-Investors!J277),0)</f>
        <v/>
      </c>
    </row>
    <row r="278">
      <c r="A278" s="3" t="inlineStr">
        <is>
          <t>ZVAN05</t>
        </is>
      </c>
      <c r="B278" s="3" t="inlineStr">
        <is>
          <t>Hermanus</t>
        </is>
      </c>
      <c r="C278" s="3" t="inlineStr">
        <is>
          <t>van der Sandt</t>
        </is>
      </c>
      <c r="D278" s="3" t="inlineStr">
        <is>
          <t>Heron View</t>
        </is>
      </c>
      <c r="E278" s="3" t="inlineStr">
        <is>
          <t>HVF204</t>
        </is>
      </c>
      <c r="F278" s="3" t="b">
        <v>0</v>
      </c>
      <c r="G278" s="3" t="b">
        <v>0</v>
      </c>
      <c r="H278" s="3" t="inlineStr">
        <is>
          <t>F</t>
        </is>
      </c>
      <c r="I278" s="4" t="n">
        <v>45399</v>
      </c>
      <c r="J278" s="4" t="n">
        <v>45408</v>
      </c>
      <c r="K278" s="4" t="n">
        <v>45588</v>
      </c>
      <c r="L278" s="3" t="n">
        <v>12</v>
      </c>
      <c r="M278" s="3" t="n">
        <v>1200000</v>
      </c>
      <c r="N278" s="3" t="n">
        <v>18</v>
      </c>
      <c r="O278" s="3" t="b">
        <v>0</v>
      </c>
      <c r="P278" s="3" t="b">
        <v>0</v>
      </c>
      <c r="Q278" s="3" t="n">
        <v>3254.794520547946</v>
      </c>
      <c r="R278" s="3" t="n">
        <v>106520.5479452055</v>
      </c>
      <c r="S278" s="3" t="n">
        <v>109775.3424657534</v>
      </c>
      <c r="T278" s="5">
        <f>IF(J278&lt;&gt;"",M278*N278/365/100*('Cashflow Projection'!$B$2-Investors!J278),0)</f>
        <v/>
      </c>
    </row>
    <row r="279">
      <c r="A279" s="3" t="inlineStr">
        <is>
          <t>ZCRO01</t>
        </is>
      </c>
      <c r="B279" s="3" t="inlineStr">
        <is>
          <t>Marc</t>
        </is>
      </c>
      <c r="C279" s="3" t="inlineStr">
        <is>
          <t>Lunau</t>
        </is>
      </c>
      <c r="D279" s="3" t="inlineStr">
        <is>
          <t>Heron View</t>
        </is>
      </c>
      <c r="E279" s="3" t="inlineStr">
        <is>
          <t>HVG101</t>
        </is>
      </c>
      <c r="F279" s="3" t="b">
        <v>0</v>
      </c>
      <c r="G279" s="3" t="b">
        <v>0</v>
      </c>
      <c r="H279" s="3" t="inlineStr">
        <is>
          <t>G</t>
        </is>
      </c>
      <c r="I279" s="4" t="n">
        <v>45033</v>
      </c>
      <c r="J279" s="4" t="n">
        <v>45129</v>
      </c>
      <c r="K279" s="4" t="n">
        <v>45532</v>
      </c>
      <c r="L279" s="3" t="n">
        <v>16</v>
      </c>
      <c r="M279" s="3" t="n">
        <v>110000</v>
      </c>
      <c r="N279" s="3" t="n">
        <v>18</v>
      </c>
      <c r="O279" s="3" t="b">
        <v>0</v>
      </c>
      <c r="P279" s="3" t="b">
        <v>0</v>
      </c>
      <c r="Q279" s="3" t="n">
        <v>3116.164383561647</v>
      </c>
      <c r="R279" s="3" t="n">
        <v>21861.3698630137</v>
      </c>
      <c r="S279" s="3" t="n">
        <v>24977.53424657534</v>
      </c>
      <c r="T279" s="5">
        <f>IF(J279&lt;&gt;"",M279*N279/365/100*('Cashflow Projection'!$B$2-Investors!J279),0)</f>
        <v/>
      </c>
    </row>
    <row r="280">
      <c r="A280" s="3" t="inlineStr">
        <is>
          <t>ZWIL02</t>
        </is>
      </c>
      <c r="B280" s="3" t="inlineStr">
        <is>
          <t>Pia Inga</t>
        </is>
      </c>
      <c r="C280" s="3" t="inlineStr">
        <is>
          <t>Williams</t>
        </is>
      </c>
      <c r="D280" s="3" t="inlineStr">
        <is>
          <t>Heron View</t>
        </is>
      </c>
      <c r="E280" s="3" t="inlineStr">
        <is>
          <t>HVG101</t>
        </is>
      </c>
      <c r="F280" s="3" t="b">
        <v>0</v>
      </c>
      <c r="G280" s="3" t="b">
        <v>0</v>
      </c>
      <c r="H280" s="3" t="inlineStr">
        <is>
          <t>G</t>
        </is>
      </c>
      <c r="I280" s="4" t="n">
        <v>45033</v>
      </c>
      <c r="J280" s="4" t="n">
        <v>45168</v>
      </c>
      <c r="K280" s="4" t="n">
        <v>45532</v>
      </c>
      <c r="L280" s="3" t="n">
        <v>3</v>
      </c>
      <c r="M280" s="3" t="n">
        <v>1000000</v>
      </c>
      <c r="N280" s="3" t="n">
        <v>18</v>
      </c>
      <c r="O280" s="3" t="b">
        <v>0</v>
      </c>
      <c r="P280" s="3" t="b">
        <v>0</v>
      </c>
      <c r="Q280" s="3" t="n">
        <v>40082.19178082186</v>
      </c>
      <c r="R280" s="3" t="n">
        <v>179506.8493150685</v>
      </c>
      <c r="S280" s="3" t="n">
        <v>219589.0410958904</v>
      </c>
      <c r="T280" s="5">
        <f>IF(J280&lt;&gt;"",M280*N280/365/100*('Cashflow Projection'!$B$2-Investors!J280),0)</f>
        <v/>
      </c>
    </row>
    <row r="281">
      <c r="A281" s="3" t="inlineStr">
        <is>
          <t>ZKRIE0</t>
        </is>
      </c>
      <c r="B281" s="3" t="inlineStr">
        <is>
          <t>Johan Christiaan Rudolph</t>
        </is>
      </c>
      <c r="C281" s="3" t="inlineStr">
        <is>
          <t>Kriek</t>
        </is>
      </c>
      <c r="D281" s="3" t="inlineStr">
        <is>
          <t>Heron View</t>
        </is>
      </c>
      <c r="E281" s="3" t="inlineStr">
        <is>
          <t>HVG102</t>
        </is>
      </c>
      <c r="F281" s="3" t="b">
        <v>0</v>
      </c>
      <c r="G281" s="3" t="b">
        <v>0</v>
      </c>
      <c r="H281" s="3" t="inlineStr">
        <is>
          <t>G</t>
        </is>
      </c>
      <c r="I281" s="4" t="n">
        <v>45033</v>
      </c>
      <c r="J281" s="4" t="n">
        <v>45189</v>
      </c>
      <c r="K281" s="4" t="n">
        <v>45532</v>
      </c>
      <c r="L281" s="3" t="n">
        <v>2</v>
      </c>
      <c r="M281" s="3" t="n">
        <v>1000000</v>
      </c>
      <c r="N281" s="3" t="n">
        <v>18</v>
      </c>
      <c r="O281" s="3" t="b">
        <v>0</v>
      </c>
      <c r="P281" s="3" t="b">
        <v>0</v>
      </c>
      <c r="Q281" s="3" t="n">
        <v>46410.95890410958</v>
      </c>
      <c r="R281" s="3" t="n">
        <v>169150.6849315069</v>
      </c>
      <c r="S281" s="3" t="n">
        <v>215561.6438356164</v>
      </c>
      <c r="T281" s="5">
        <f>IF(J281&lt;&gt;"",M281*N281/365/100*('Cashflow Projection'!$B$2-Investors!J281),0)</f>
        <v/>
      </c>
    </row>
    <row r="282">
      <c r="A282" s="3" t="inlineStr">
        <is>
          <t>ZSIV01</t>
        </is>
      </c>
      <c r="B282" s="3" t="inlineStr">
        <is>
          <t>Gareth William</t>
        </is>
      </c>
      <c r="C282" s="3" t="inlineStr">
        <is>
          <t>Bedell-Sivright</t>
        </is>
      </c>
      <c r="D282" s="3" t="inlineStr">
        <is>
          <t>Heron View</t>
        </is>
      </c>
      <c r="E282" s="3" t="inlineStr">
        <is>
          <t>HVG102</t>
        </is>
      </c>
      <c r="F282" s="3" t="b">
        <v>0</v>
      </c>
      <c r="G282" s="3" t="b">
        <v>0</v>
      </c>
      <c r="H282" s="3" t="inlineStr">
        <is>
          <t>G</t>
        </is>
      </c>
      <c r="I282" s="4" t="n">
        <v>45034</v>
      </c>
      <c r="J282" s="4" t="n">
        <v>45161</v>
      </c>
      <c r="K282" s="4" t="n">
        <v>45532</v>
      </c>
      <c r="L282" s="3" t="n">
        <v>2</v>
      </c>
      <c r="M282" s="3" t="n">
        <v>121786.3</v>
      </c>
      <c r="N282" s="3" t="n">
        <v>14</v>
      </c>
      <c r="O282" s="3" t="b">
        <v>0</v>
      </c>
      <c r="P282" s="3" t="b">
        <v>0</v>
      </c>
      <c r="Q282" s="3" t="n">
        <v>4589.508373972612</v>
      </c>
      <c r="R282" s="3" t="n">
        <v>17330.35732054794</v>
      </c>
      <c r="S282" s="3" t="n">
        <v>21919.86569452056</v>
      </c>
      <c r="T282" s="5">
        <f>IF(J282&lt;&gt;"",M282*N282/365/100*('Cashflow Projection'!$B$2-Investors!J282),0)</f>
        <v/>
      </c>
    </row>
    <row r="283">
      <c r="A283" s="3" t="inlineStr">
        <is>
          <t>ZDEJ01</t>
        </is>
      </c>
      <c r="B283" s="3" t="inlineStr">
        <is>
          <t>Anarene Beatrice</t>
        </is>
      </c>
      <c r="C283" s="3" t="inlineStr">
        <is>
          <t>de Jager</t>
        </is>
      </c>
      <c r="D283" s="3" t="inlineStr">
        <is>
          <t>Heron View</t>
        </is>
      </c>
      <c r="E283" s="3" t="inlineStr">
        <is>
          <t>HVG103</t>
        </is>
      </c>
      <c r="F283" s="3" t="b">
        <v>0</v>
      </c>
      <c r="G283" s="3" t="b">
        <v>0</v>
      </c>
      <c r="H283" s="3" t="inlineStr">
        <is>
          <t>G</t>
        </is>
      </c>
      <c r="I283" s="4" t="n">
        <v>45034</v>
      </c>
      <c r="J283" s="4" t="n">
        <v>45198</v>
      </c>
      <c r="K283" s="4" t="n">
        <v>45532</v>
      </c>
      <c r="L283" s="3" t="n">
        <v>1</v>
      </c>
      <c r="M283" s="3" t="n">
        <v>550000</v>
      </c>
      <c r="N283" s="3" t="n">
        <v>16</v>
      </c>
      <c r="O283" s="3" t="b">
        <v>0</v>
      </c>
      <c r="P283" s="3" t="b">
        <v>0</v>
      </c>
      <c r="Q283" s="3" t="n">
        <v>26859.58904109589</v>
      </c>
      <c r="R283" s="3" t="n">
        <v>80526.02739726027</v>
      </c>
      <c r="S283" s="3" t="n">
        <v>107385.6164383562</v>
      </c>
      <c r="T283" s="5">
        <f>IF(J283&lt;&gt;"",M283*N283/365/100*('Cashflow Projection'!$B$2-Investors!J283),0)</f>
        <v/>
      </c>
    </row>
    <row r="284">
      <c r="A284" s="3" t="inlineStr">
        <is>
          <t>ZSCA02</t>
        </is>
      </c>
      <c r="B284" s="3" t="inlineStr">
        <is>
          <t>Chad</t>
        </is>
      </c>
      <c r="C284" s="3" t="inlineStr">
        <is>
          <t>Scalzini</t>
        </is>
      </c>
      <c r="D284" s="3" t="inlineStr">
        <is>
          <t>Heron View</t>
        </is>
      </c>
      <c r="E284" s="3" t="inlineStr">
        <is>
          <t>HVG103</t>
        </is>
      </c>
      <c r="F284" s="3" t="b">
        <v>0</v>
      </c>
      <c r="G284" s="3" t="b">
        <v>0</v>
      </c>
      <c r="H284" s="3" t="inlineStr">
        <is>
          <t>G</t>
        </is>
      </c>
      <c r="I284" s="4" t="n">
        <v>45042</v>
      </c>
      <c r="J284" s="4" t="n">
        <v>45198</v>
      </c>
      <c r="K284" s="4" t="n">
        <v>45532</v>
      </c>
      <c r="L284" s="3" t="n">
        <v>3</v>
      </c>
      <c r="M284" s="3" t="n">
        <v>550000</v>
      </c>
      <c r="N284" s="3" t="n">
        <v>18</v>
      </c>
      <c r="O284" s="3" t="b">
        <v>0</v>
      </c>
      <c r="P284" s="3" t="b">
        <v>0</v>
      </c>
      <c r="Q284" s="3" t="n">
        <v>25593.83561643835</v>
      </c>
      <c r="R284" s="3" t="n">
        <v>90591.78082191781</v>
      </c>
      <c r="S284" s="3" t="n">
        <v>116185.6164383562</v>
      </c>
      <c r="T284" s="5">
        <f>IF(J284&lt;&gt;"",M284*N284/365/100*('Cashflow Projection'!$B$2-Investors!J284),0)</f>
        <v/>
      </c>
    </row>
    <row r="285">
      <c r="A285" s="3" t="inlineStr">
        <is>
          <t>ZDOT01</t>
        </is>
      </c>
      <c r="B285" s="3" t="inlineStr">
        <is>
          <t>Mark Charles</t>
        </is>
      </c>
      <c r="C285" s="3" t="inlineStr">
        <is>
          <t>Pope</t>
        </is>
      </c>
      <c r="D285" s="3" t="inlineStr">
        <is>
          <t>Heron View</t>
        </is>
      </c>
      <c r="E285" s="3" t="inlineStr">
        <is>
          <t>HVG104</t>
        </is>
      </c>
      <c r="F285" s="3" t="b">
        <v>0</v>
      </c>
      <c r="G285" s="3" t="b">
        <v>0</v>
      </c>
      <c r="H285" s="3" t="inlineStr">
        <is>
          <t>G</t>
        </is>
      </c>
      <c r="I285" s="4" t="n">
        <v>45036</v>
      </c>
      <c r="J285" s="4" t="n">
        <v>45198</v>
      </c>
      <c r="K285" s="4" t="n">
        <v>45532</v>
      </c>
      <c r="L285" s="3" t="n">
        <v>2</v>
      </c>
      <c r="M285" s="3" t="n">
        <v>1000000</v>
      </c>
      <c r="N285" s="3" t="n">
        <v>18</v>
      </c>
      <c r="O285" s="3" t="b">
        <v>0</v>
      </c>
      <c r="P285" s="3" t="b">
        <v>0</v>
      </c>
      <c r="Q285" s="3" t="n">
        <v>48260.27397260274</v>
      </c>
      <c r="R285" s="3" t="n">
        <v>164712.3287671233</v>
      </c>
      <c r="S285" s="3" t="n">
        <v>212972.602739726</v>
      </c>
      <c r="T285" s="5">
        <f>IF(J285&lt;&gt;"",M285*N285/365/100*('Cashflow Projection'!$B$2-Investors!J285),0)</f>
        <v/>
      </c>
    </row>
    <row r="286">
      <c r="A286" s="3" t="inlineStr">
        <is>
          <t>ZVOR01</t>
        </is>
      </c>
      <c r="B286" s="3" t="inlineStr">
        <is>
          <t xml:space="preserve">Sophia Maria Catharina </t>
        </is>
      </c>
      <c r="C286" s="3" t="inlineStr">
        <is>
          <t>Vorster</t>
        </is>
      </c>
      <c r="D286" s="3" t="inlineStr">
        <is>
          <t>Heron View</t>
        </is>
      </c>
      <c r="E286" s="3" t="inlineStr">
        <is>
          <t>HVG104</t>
        </is>
      </c>
      <c r="F286" s="3" t="b">
        <v>0</v>
      </c>
      <c r="G286" s="3" t="b">
        <v>0</v>
      </c>
      <c r="H286" s="3" t="inlineStr">
        <is>
          <t>G</t>
        </is>
      </c>
      <c r="I286" s="4" t="n">
        <v>45042</v>
      </c>
      <c r="J286" s="4" t="n">
        <v>45224</v>
      </c>
      <c r="K286" s="4" t="n">
        <v>45532</v>
      </c>
      <c r="L286" s="3" t="n">
        <v>6</v>
      </c>
      <c r="M286" s="3" t="n">
        <v>117422.6</v>
      </c>
      <c r="N286" s="3" t="n">
        <v>18</v>
      </c>
      <c r="O286" s="3" t="b">
        <v>0</v>
      </c>
      <c r="P286" s="3" t="b">
        <v>0</v>
      </c>
      <c r="Q286" s="3" t="n">
        <v>6384.250676712305</v>
      </c>
      <c r="R286" s="3" t="n">
        <v>17835.36696986301</v>
      </c>
      <c r="S286" s="3" t="n">
        <v>24219.61764657532</v>
      </c>
      <c r="T286" s="5">
        <f>IF(J286&lt;&gt;"",M286*N286/365/100*('Cashflow Projection'!$B$2-Investors!J286),0)</f>
        <v/>
      </c>
    </row>
    <row r="287">
      <c r="A287" s="3" t="inlineStr">
        <is>
          <t>ZREN01</t>
        </is>
      </c>
      <c r="B287" s="3" t="inlineStr">
        <is>
          <t>Marlene Ann</t>
        </is>
      </c>
      <c r="C287" s="3" t="inlineStr">
        <is>
          <t>van Rensburg</t>
        </is>
      </c>
      <c r="D287" s="3" t="inlineStr">
        <is>
          <t>Heron View</t>
        </is>
      </c>
      <c r="E287" s="3" t="inlineStr">
        <is>
          <t>HVG201</t>
        </is>
      </c>
      <c r="F287" s="3" t="b">
        <v>0</v>
      </c>
      <c r="G287" s="3" t="b">
        <v>0</v>
      </c>
      <c r="H287" s="3" t="inlineStr">
        <is>
          <t>G</t>
        </is>
      </c>
      <c r="I287" s="4" t="n">
        <v>45030</v>
      </c>
      <c r="J287" s="4" t="n">
        <v>45168</v>
      </c>
      <c r="K287" s="4" t="n">
        <v>45532</v>
      </c>
      <c r="L287" s="3" t="n">
        <v>4</v>
      </c>
      <c r="M287" s="3" t="n">
        <v>1000000</v>
      </c>
      <c r="N287" s="3" t="n">
        <v>18</v>
      </c>
      <c r="O287" s="3" t="b">
        <v>0</v>
      </c>
      <c r="P287" s="3" t="b">
        <v>0</v>
      </c>
      <c r="Q287" s="3" t="n">
        <v>40945.20547945201</v>
      </c>
      <c r="R287" s="3" t="n">
        <v>179506.8493150685</v>
      </c>
      <c r="S287" s="3" t="n">
        <v>220452.0547945205</v>
      </c>
      <c r="T287" s="5">
        <f>IF(J287&lt;&gt;"",M287*N287/365/100*('Cashflow Projection'!$B$2-Investors!J287),0)</f>
        <v/>
      </c>
    </row>
    <row r="288">
      <c r="A288" s="3" t="inlineStr">
        <is>
          <t>ZVAN05</t>
        </is>
      </c>
      <c r="B288" s="3" t="inlineStr">
        <is>
          <t>Hermanus</t>
        </is>
      </c>
      <c r="C288" s="3" t="inlineStr">
        <is>
          <t>van der Sandt</t>
        </is>
      </c>
      <c r="D288" s="3" t="inlineStr">
        <is>
          <t>Heron View</t>
        </is>
      </c>
      <c r="E288" s="3" t="inlineStr">
        <is>
          <t>HVG201</t>
        </is>
      </c>
      <c r="F288" s="3" t="b">
        <v>0</v>
      </c>
      <c r="G288" s="3" t="b">
        <v>0</v>
      </c>
      <c r="H288" s="3" t="inlineStr">
        <is>
          <t>G</t>
        </is>
      </c>
      <c r="I288" s="4" t="n">
        <v>45051</v>
      </c>
      <c r="J288" s="4" t="n">
        <v>45198</v>
      </c>
      <c r="K288" s="4" t="n">
        <v>45532</v>
      </c>
      <c r="L288" s="3" t="n">
        <v>9</v>
      </c>
      <c r="M288" s="3" t="n">
        <v>125000</v>
      </c>
      <c r="N288" s="3" t="n">
        <v>18</v>
      </c>
      <c r="O288" s="3" t="b">
        <v>0</v>
      </c>
      <c r="P288" s="3" t="b">
        <v>0</v>
      </c>
      <c r="Q288" s="3" t="n">
        <v>5493.150684931505</v>
      </c>
      <c r="R288" s="3" t="n">
        <v>20589.04109589041</v>
      </c>
      <c r="S288" s="3" t="n">
        <v>26082.19178082192</v>
      </c>
      <c r="T288" s="5">
        <f>IF(J288&lt;&gt;"",M288*N288/365/100*('Cashflow Projection'!$B$2-Investors!J288),0)</f>
        <v/>
      </c>
    </row>
    <row r="289">
      <c r="A289" s="3" t="inlineStr">
        <is>
          <t>ZLAB01</t>
        </is>
      </c>
      <c r="B289" s="3" t="inlineStr">
        <is>
          <t>Andre Jan</t>
        </is>
      </c>
      <c r="C289" s="3" t="inlineStr">
        <is>
          <t>Labuschagne</t>
        </is>
      </c>
      <c r="D289" s="3" t="inlineStr">
        <is>
          <t>Heron View</t>
        </is>
      </c>
      <c r="E289" s="3" t="inlineStr">
        <is>
          <t>HVG202</t>
        </is>
      </c>
      <c r="F289" s="3" t="b">
        <v>0</v>
      </c>
      <c r="G289" s="3" t="b">
        <v>0</v>
      </c>
      <c r="H289" s="3" t="inlineStr">
        <is>
          <t>G</t>
        </is>
      </c>
      <c r="I289" s="4" t="n">
        <v>45033</v>
      </c>
      <c r="J289" s="4" t="n">
        <v>45129</v>
      </c>
      <c r="K289" s="4" t="n">
        <v>45532</v>
      </c>
      <c r="L289" s="3" t="n">
        <v>5</v>
      </c>
      <c r="M289" s="3" t="n">
        <v>302195.21</v>
      </c>
      <c r="N289" s="3" t="n">
        <v>18</v>
      </c>
      <c r="O289" s="3" t="b">
        <v>0</v>
      </c>
      <c r="P289" s="3" t="b">
        <v>0</v>
      </c>
      <c r="Q289" s="3" t="n">
        <v>8560.817729862996</v>
      </c>
      <c r="R289" s="3" t="n">
        <v>60058.19324219178</v>
      </c>
      <c r="S289" s="3" t="n">
        <v>68619.01097205478</v>
      </c>
      <c r="T289" s="5">
        <f>IF(J289&lt;&gt;"",M289*N289/365/100*('Cashflow Projection'!$B$2-Investors!J289),0)</f>
        <v/>
      </c>
    </row>
    <row r="290">
      <c r="A290" s="3" t="inlineStr">
        <is>
          <t>ZRAN01</t>
        </is>
      </c>
      <c r="B290" s="3" t="inlineStr">
        <is>
          <t>Ross Partick Gemill</t>
        </is>
      </c>
      <c r="C290" s="3" t="inlineStr">
        <is>
          <t>Rankin</t>
        </is>
      </c>
      <c r="D290" s="3" t="inlineStr">
        <is>
          <t>Heron View</t>
        </is>
      </c>
      <c r="E290" s="3" t="inlineStr">
        <is>
          <t>HVG202</t>
        </is>
      </c>
      <c r="F290" s="3" t="b">
        <v>0</v>
      </c>
      <c r="G290" s="3" t="b">
        <v>0</v>
      </c>
      <c r="H290" s="3" t="inlineStr">
        <is>
          <t>G</t>
        </is>
      </c>
      <c r="I290" s="4" t="n">
        <v>45065</v>
      </c>
      <c r="J290" s="4" t="n">
        <v>45252</v>
      </c>
      <c r="K290" s="4" t="n">
        <v>45532</v>
      </c>
      <c r="L290" s="3" t="n">
        <v>27</v>
      </c>
      <c r="M290" s="3" t="n">
        <v>200000</v>
      </c>
      <c r="N290" s="3" t="n">
        <v>18</v>
      </c>
      <c r="O290" s="3" t="b">
        <v>0</v>
      </c>
      <c r="P290" s="3" t="b">
        <v>0</v>
      </c>
      <c r="Q290" s="3" t="n">
        <v>11238.35616438353</v>
      </c>
      <c r="R290" s="3" t="n">
        <v>27616.43835616438</v>
      </c>
      <c r="S290" s="3" t="n">
        <v>38854.7945205479</v>
      </c>
      <c r="T290" s="5">
        <f>IF(J290&lt;&gt;"",M290*N290/365/100*('Cashflow Projection'!$B$2-Investors!J290),0)</f>
        <v/>
      </c>
    </row>
    <row r="291">
      <c r="A291" s="3" t="inlineStr">
        <is>
          <t>ZSCA02</t>
        </is>
      </c>
      <c r="B291" s="3" t="inlineStr">
        <is>
          <t>Chad</t>
        </is>
      </c>
      <c r="C291" s="3" t="inlineStr">
        <is>
          <t>Scalzini</t>
        </is>
      </c>
      <c r="D291" s="3" t="inlineStr">
        <is>
          <t>Heron View</t>
        </is>
      </c>
      <c r="E291" s="3" t="inlineStr">
        <is>
          <t>HVG202</t>
        </is>
      </c>
      <c r="F291" s="3" t="b">
        <v>0</v>
      </c>
      <c r="G291" s="3" t="b">
        <v>0</v>
      </c>
      <c r="H291" s="3" t="inlineStr">
        <is>
          <t>G</t>
        </is>
      </c>
      <c r="I291" s="4" t="n">
        <v>45033</v>
      </c>
      <c r="J291" s="4" t="n">
        <v>45168</v>
      </c>
      <c r="K291" s="4" t="n">
        <v>45532</v>
      </c>
      <c r="L291" s="3" t="n">
        <v>2</v>
      </c>
      <c r="M291" s="3" t="n">
        <v>600000</v>
      </c>
      <c r="N291" s="3" t="n">
        <v>18</v>
      </c>
      <c r="O291" s="3" t="b">
        <v>0</v>
      </c>
      <c r="P291" s="3" t="b">
        <v>0</v>
      </c>
      <c r="Q291" s="3" t="n">
        <v>24049.31506849315</v>
      </c>
      <c r="R291" s="3" t="n">
        <v>107704.1095890411</v>
      </c>
      <c r="S291" s="3" t="n">
        <v>131753.4246575342</v>
      </c>
      <c r="T291" s="5">
        <f>IF(J291&lt;&gt;"",M291*N291/365/100*('Cashflow Projection'!$B$2-Investors!J291),0)</f>
        <v/>
      </c>
    </row>
    <row r="292">
      <c r="A292" s="3" t="inlineStr">
        <is>
          <t>ZGEL01</t>
        </is>
      </c>
      <c r="B292" s="3" t="inlineStr">
        <is>
          <t>Teresse</t>
        </is>
      </c>
      <c r="C292" s="3" t="inlineStr">
        <is>
          <t>Geldenhuys</t>
        </is>
      </c>
      <c r="D292" s="3" t="inlineStr">
        <is>
          <t>Heron View</t>
        </is>
      </c>
      <c r="E292" s="3" t="inlineStr">
        <is>
          <t>HVG203</t>
        </is>
      </c>
      <c r="F292" s="3" t="b">
        <v>0</v>
      </c>
      <c r="G292" s="3" t="b">
        <v>0</v>
      </c>
      <c r="H292" s="3" t="inlineStr">
        <is>
          <t>G</t>
        </is>
      </c>
      <c r="I292" s="4" t="n">
        <v>45065</v>
      </c>
      <c r="J292" s="4" t="n">
        <v>45252</v>
      </c>
      <c r="K292" s="4" t="n">
        <v>45532</v>
      </c>
      <c r="L292" s="3" t="n">
        <v>1</v>
      </c>
      <c r="M292" s="3" t="n">
        <v>100000</v>
      </c>
      <c r="N292" s="3" t="n">
        <v>14</v>
      </c>
      <c r="O292" s="3" t="b">
        <v>0</v>
      </c>
      <c r="P292" s="3" t="b">
        <v>0</v>
      </c>
      <c r="Q292" s="3" t="n">
        <v>5619.178082191763</v>
      </c>
      <c r="R292" s="3" t="n">
        <v>10739.72602739726</v>
      </c>
      <c r="S292" s="3" t="n">
        <v>16358.90410958902</v>
      </c>
      <c r="T292" s="5">
        <f>IF(J292&lt;&gt;"",M292*N292/365/100*('Cashflow Projection'!$B$2-Investors!J292),0)</f>
        <v/>
      </c>
    </row>
    <row r="293">
      <c r="A293" s="3" t="inlineStr">
        <is>
          <t>ZRAN01</t>
        </is>
      </c>
      <c r="B293" s="3" t="inlineStr">
        <is>
          <t>Ross Partick Gemill</t>
        </is>
      </c>
      <c r="C293" s="3" t="inlineStr">
        <is>
          <t>Rankin</t>
        </is>
      </c>
      <c r="D293" s="3" t="inlineStr">
        <is>
          <t>Heron View</t>
        </is>
      </c>
      <c r="E293" s="3" t="inlineStr">
        <is>
          <t>HVG203</t>
        </is>
      </c>
      <c r="F293" s="3" t="b">
        <v>0</v>
      </c>
      <c r="G293" s="3" t="b">
        <v>0</v>
      </c>
      <c r="H293" s="3" t="inlineStr">
        <is>
          <t>G</t>
        </is>
      </c>
      <c r="I293" s="4" t="n">
        <v>45033</v>
      </c>
      <c r="J293" s="4" t="n">
        <v>45129</v>
      </c>
      <c r="K293" s="4" t="n">
        <v>45532</v>
      </c>
      <c r="L293" s="3" t="n">
        <v>26</v>
      </c>
      <c r="M293" s="3" t="n">
        <v>252491.78</v>
      </c>
      <c r="N293" s="3" t="n">
        <v>18</v>
      </c>
      <c r="O293" s="3" t="b">
        <v>0</v>
      </c>
      <c r="P293" s="3" t="b">
        <v>0</v>
      </c>
      <c r="Q293" s="3" t="n">
        <v>7152.780836164374</v>
      </c>
      <c r="R293" s="3" t="n">
        <v>50180.14718136987</v>
      </c>
      <c r="S293" s="3" t="n">
        <v>57332.92801753424</v>
      </c>
      <c r="T293" s="5">
        <f>IF(J293&lt;&gt;"",M293*N293/365/100*('Cashflow Projection'!$B$2-Investors!J293),0)</f>
        <v/>
      </c>
    </row>
    <row r="294">
      <c r="A294" s="3" t="inlineStr">
        <is>
          <t>ZSMI02</t>
        </is>
      </c>
      <c r="B294" s="3" t="inlineStr">
        <is>
          <t>Sophia Catharina</t>
        </is>
      </c>
      <c r="C294" s="3" t="inlineStr">
        <is>
          <t>Smit</t>
        </is>
      </c>
      <c r="D294" s="3" t="inlineStr">
        <is>
          <t>Heron View</t>
        </is>
      </c>
      <c r="E294" s="3" t="inlineStr">
        <is>
          <t>HVG203</t>
        </is>
      </c>
      <c r="F294" s="3" t="b">
        <v>0</v>
      </c>
      <c r="G294" s="3" t="b">
        <v>0</v>
      </c>
      <c r="H294" s="3" t="inlineStr">
        <is>
          <t>G</t>
        </is>
      </c>
      <c r="I294" s="4" t="n">
        <v>45033</v>
      </c>
      <c r="J294" s="4" t="n">
        <v>45168</v>
      </c>
      <c r="K294" s="4" t="n">
        <v>45532</v>
      </c>
      <c r="L294" s="3" t="n">
        <v>2</v>
      </c>
      <c r="M294" s="3" t="n">
        <v>631732.88</v>
      </c>
      <c r="N294" s="3" t="n">
        <v>18</v>
      </c>
      <c r="O294" s="3" t="b">
        <v>0</v>
      </c>
      <c r="P294" s="3" t="b">
        <v>0</v>
      </c>
      <c r="Q294" s="3" t="n">
        <v>25321.23845041103</v>
      </c>
      <c r="R294" s="3" t="n">
        <v>113400.3788975342</v>
      </c>
      <c r="S294" s="3" t="n">
        <v>138721.6173479453</v>
      </c>
      <c r="T294" s="5">
        <f>IF(J294&lt;&gt;"",M294*N294/365/100*('Cashflow Projection'!$B$2-Investors!J294),0)</f>
        <v/>
      </c>
    </row>
    <row r="295">
      <c r="A295" s="3" t="inlineStr">
        <is>
          <t>ZTHA01</t>
        </is>
      </c>
      <c r="B295" s="3" t="inlineStr">
        <is>
          <t>Gerald Adriaan Odendal</t>
        </is>
      </c>
      <c r="C295" s="3" t="inlineStr">
        <is>
          <t>Matthee</t>
        </is>
      </c>
      <c r="D295" s="3" t="inlineStr">
        <is>
          <t>Heron View</t>
        </is>
      </c>
      <c r="E295" s="3" t="inlineStr">
        <is>
          <t>HVG203</t>
        </is>
      </c>
      <c r="F295" s="3" t="b">
        <v>0</v>
      </c>
      <c r="G295" s="3" t="b">
        <v>0</v>
      </c>
      <c r="H295" s="3" t="inlineStr">
        <is>
          <t>G</t>
        </is>
      </c>
      <c r="I295" s="4" t="n">
        <v>45070</v>
      </c>
      <c r="J295" s="4" t="n">
        <v>45252</v>
      </c>
      <c r="K295" s="4" t="n">
        <v>45532</v>
      </c>
      <c r="L295" s="3" t="n">
        <v>5</v>
      </c>
      <c r="M295" s="3" t="n">
        <v>100000</v>
      </c>
      <c r="N295" s="3" t="n">
        <v>18</v>
      </c>
      <c r="O295" s="3" t="b">
        <v>0</v>
      </c>
      <c r="P295" s="3" t="b">
        <v>0</v>
      </c>
      <c r="Q295" s="3" t="n">
        <v>5475.342465753408</v>
      </c>
      <c r="R295" s="3" t="n">
        <v>13808.21917808219</v>
      </c>
      <c r="S295" s="3" t="n">
        <v>19283.5616438356</v>
      </c>
      <c r="T295" s="5">
        <f>IF(J295&lt;&gt;"",M295*N295/365/100*('Cashflow Projection'!$B$2-Investors!J295),0)</f>
        <v/>
      </c>
    </row>
    <row r="296">
      <c r="A296" s="3" t="inlineStr">
        <is>
          <t>ZBAS01</t>
        </is>
      </c>
      <c r="B296" s="3" t="inlineStr">
        <is>
          <t>Nicolaas Johannes (Nico)</t>
        </is>
      </c>
      <c r="C296" s="3" t="inlineStr">
        <is>
          <t>Basson</t>
        </is>
      </c>
      <c r="D296" s="3" t="inlineStr">
        <is>
          <t>Heron View</t>
        </is>
      </c>
      <c r="E296" s="3" t="inlineStr">
        <is>
          <t>HVG204</t>
        </is>
      </c>
      <c r="F296" s="3" t="b">
        <v>0</v>
      </c>
      <c r="G296" s="3" t="b">
        <v>0</v>
      </c>
      <c r="H296" s="3" t="inlineStr">
        <is>
          <t>G</t>
        </is>
      </c>
      <c r="I296" s="4" t="n">
        <v>45041</v>
      </c>
      <c r="J296" s="4" t="n">
        <v>45198</v>
      </c>
      <c r="K296" s="4" t="n">
        <v>45532</v>
      </c>
      <c r="L296" s="3" t="n">
        <v>1</v>
      </c>
      <c r="M296" s="3" t="n">
        <v>500000</v>
      </c>
      <c r="N296" s="3" t="n">
        <v>16</v>
      </c>
      <c r="O296" s="3" t="b">
        <v>0</v>
      </c>
      <c r="P296" s="3" t="b">
        <v>0</v>
      </c>
      <c r="Q296" s="3" t="n">
        <v>23410.95890410959</v>
      </c>
      <c r="R296" s="3" t="n">
        <v>73205.47945205479</v>
      </c>
      <c r="S296" s="3" t="n">
        <v>96616.43835616438</v>
      </c>
      <c r="T296" s="5">
        <f>IF(J296&lt;&gt;"",M296*N296/365/100*('Cashflow Projection'!$B$2-Investors!J296),0)</f>
        <v/>
      </c>
    </row>
    <row r="297">
      <c r="A297" s="3" t="inlineStr">
        <is>
          <t>ZBEL01</t>
        </is>
      </c>
      <c r="B297" s="3" t="inlineStr">
        <is>
          <t>Helen Constance</t>
        </is>
      </c>
      <c r="C297" s="3" t="inlineStr">
        <is>
          <t>Belford</t>
        </is>
      </c>
      <c r="D297" s="3" t="inlineStr">
        <is>
          <t>Heron View</t>
        </is>
      </c>
      <c r="E297" s="3" t="inlineStr">
        <is>
          <t>HVG204</t>
        </is>
      </c>
      <c r="F297" s="3" t="b">
        <v>0</v>
      </c>
      <c r="G297" s="3" t="b">
        <v>0</v>
      </c>
      <c r="H297" s="3" t="inlineStr">
        <is>
          <t>G</t>
        </is>
      </c>
      <c r="I297" s="4" t="n">
        <v>45070</v>
      </c>
      <c r="J297" s="4" t="n">
        <v>45252</v>
      </c>
      <c r="K297" s="4" t="n">
        <v>45532</v>
      </c>
      <c r="L297" s="3" t="n">
        <v>7</v>
      </c>
      <c r="M297" s="3" t="n">
        <v>250000</v>
      </c>
      <c r="N297" s="3" t="n">
        <v>18</v>
      </c>
      <c r="O297" s="3" t="b">
        <v>0</v>
      </c>
      <c r="P297" s="3" t="b">
        <v>0</v>
      </c>
      <c r="Q297" s="3" t="n">
        <v>13688.35616438357</v>
      </c>
      <c r="R297" s="3" t="n">
        <v>34520.54794520548</v>
      </c>
      <c r="S297" s="3" t="n">
        <v>48208.90410958905</v>
      </c>
      <c r="T297" s="5">
        <f>IF(J297&lt;&gt;"",M297*N297/365/100*('Cashflow Projection'!$B$2-Investors!J297),0)</f>
        <v/>
      </c>
    </row>
    <row r="298">
      <c r="A298" s="3" t="inlineStr">
        <is>
          <t>ZMOS01</t>
        </is>
      </c>
      <c r="B298" s="3" t="inlineStr">
        <is>
          <t>Colin Giovanni</t>
        </is>
      </c>
      <c r="C298" s="3" t="inlineStr">
        <is>
          <t>Mosca</t>
        </is>
      </c>
      <c r="D298" s="3" t="inlineStr">
        <is>
          <t>Heron View</t>
        </is>
      </c>
      <c r="E298" s="3" t="inlineStr">
        <is>
          <t>HVG204</t>
        </is>
      </c>
      <c r="F298" s="3" t="b">
        <v>0</v>
      </c>
      <c r="G298" s="3" t="b">
        <v>0</v>
      </c>
      <c r="H298" s="3" t="inlineStr">
        <is>
          <t>G</t>
        </is>
      </c>
      <c r="I298" s="4" t="n">
        <v>45041</v>
      </c>
      <c r="J298" s="4" t="n">
        <v>45198</v>
      </c>
      <c r="K298" s="4" t="n">
        <v>45532</v>
      </c>
      <c r="L298" s="3" t="n">
        <v>1</v>
      </c>
      <c r="M298" s="3" t="n">
        <v>350000</v>
      </c>
      <c r="N298" s="3" t="n">
        <v>14</v>
      </c>
      <c r="O298" s="3" t="b">
        <v>0</v>
      </c>
      <c r="P298" s="3" t="b">
        <v>0</v>
      </c>
      <c r="Q298" s="3" t="n">
        <v>16387.67123287675</v>
      </c>
      <c r="R298" s="3" t="n">
        <v>44838.35616438356</v>
      </c>
      <c r="S298" s="3" t="n">
        <v>61226.0273972603</v>
      </c>
      <c r="T298" s="5">
        <f>IF(J298&lt;&gt;"",M298*N298/365/100*('Cashflow Projection'!$B$2-Investors!J298),0)</f>
        <v/>
      </c>
    </row>
    <row r="299">
      <c r="A299" s="3" t="inlineStr">
        <is>
          <t>ZHAR02</t>
        </is>
      </c>
      <c r="B299" s="3" t="inlineStr">
        <is>
          <t>Lionel Carl</t>
        </is>
      </c>
      <c r="C299" s="3" t="inlineStr">
        <is>
          <t>Harrington</t>
        </is>
      </c>
      <c r="D299" s="3" t="inlineStr">
        <is>
          <t>Heron View</t>
        </is>
      </c>
      <c r="E299" s="3" t="inlineStr">
        <is>
          <t>HVG301</t>
        </is>
      </c>
      <c r="F299" s="3" t="b">
        <v>0</v>
      </c>
      <c r="G299" s="3" t="b">
        <v>0</v>
      </c>
      <c r="H299" s="3" t="inlineStr">
        <is>
          <t>G</t>
        </is>
      </c>
      <c r="I299" s="4" t="n">
        <v>45034</v>
      </c>
      <c r="J299" s="4" t="n">
        <v>45198</v>
      </c>
      <c r="K299" s="4" t="n">
        <v>45532</v>
      </c>
      <c r="L299" s="3" t="n">
        <v>1</v>
      </c>
      <c r="M299" s="3" t="n">
        <v>400000</v>
      </c>
      <c r="N299" s="3" t="n">
        <v>14</v>
      </c>
      <c r="O299" s="3" t="b">
        <v>0</v>
      </c>
      <c r="P299" s="3" t="b">
        <v>0</v>
      </c>
      <c r="Q299" s="3" t="n">
        <v>19534.2465753424</v>
      </c>
      <c r="R299" s="3" t="n">
        <v>51243.83561643835</v>
      </c>
      <c r="S299" s="3" t="n">
        <v>70778.08219178076</v>
      </c>
      <c r="T299" s="5">
        <f>IF(J299&lt;&gt;"",M299*N299/365/100*('Cashflow Projection'!$B$2-Investors!J299),0)</f>
        <v/>
      </c>
    </row>
    <row r="300">
      <c r="A300" s="3" t="inlineStr">
        <is>
          <t>ZNIE01</t>
        </is>
      </c>
      <c r="B300" s="3" t="inlineStr">
        <is>
          <t>Grant Richard</t>
        </is>
      </c>
      <c r="C300" s="3" t="inlineStr">
        <is>
          <t>van Niekerk</t>
        </is>
      </c>
      <c r="D300" s="3" t="inlineStr">
        <is>
          <t>Heron View</t>
        </is>
      </c>
      <c r="E300" s="3" t="inlineStr">
        <is>
          <t>HVG301</t>
        </is>
      </c>
      <c r="F300" s="3" t="b">
        <v>0</v>
      </c>
      <c r="G300" s="3" t="b">
        <v>0</v>
      </c>
      <c r="H300" s="3" t="inlineStr">
        <is>
          <t>G</t>
        </is>
      </c>
      <c r="I300" s="4" t="n">
        <v>45042</v>
      </c>
      <c r="J300" s="4" t="n">
        <v>45198</v>
      </c>
      <c r="K300" s="4" t="n">
        <v>45532</v>
      </c>
      <c r="L300" s="3" t="n">
        <v>5</v>
      </c>
      <c r="M300" s="3" t="n">
        <v>500000</v>
      </c>
      <c r="N300" s="3" t="n">
        <v>18</v>
      </c>
      <c r="O300" s="3" t="b">
        <v>0</v>
      </c>
      <c r="P300" s="3" t="b">
        <v>0</v>
      </c>
      <c r="Q300" s="3" t="n">
        <v>23267.12328767123</v>
      </c>
      <c r="R300" s="3" t="n">
        <v>82356.16438356164</v>
      </c>
      <c r="S300" s="3" t="n">
        <v>105623.2876712329</v>
      </c>
      <c r="T300" s="5">
        <f>IF(J300&lt;&gt;"",M300*N300/365/100*('Cashflow Projection'!$B$2-Investors!J300),0)</f>
        <v/>
      </c>
    </row>
    <row r="301">
      <c r="A301" s="3" t="inlineStr">
        <is>
          <t>ZVAN05</t>
        </is>
      </c>
      <c r="B301" s="3" t="inlineStr">
        <is>
          <t>Hermanus</t>
        </is>
      </c>
      <c r="C301" s="3" t="inlineStr">
        <is>
          <t>van der Sandt</t>
        </is>
      </c>
      <c r="D301" s="3" t="inlineStr">
        <is>
          <t>Heron View</t>
        </is>
      </c>
      <c r="E301" s="3" t="inlineStr">
        <is>
          <t>HVG301</t>
        </is>
      </c>
      <c r="F301" s="3" t="b">
        <v>0</v>
      </c>
      <c r="G301" s="3" t="b">
        <v>0</v>
      </c>
      <c r="H301" s="3" t="inlineStr">
        <is>
          <t>G</t>
        </is>
      </c>
      <c r="I301" s="4" t="n">
        <v>45051</v>
      </c>
      <c r="J301" s="4" t="n">
        <v>45198</v>
      </c>
      <c r="K301" s="4" t="n">
        <v>45532</v>
      </c>
      <c r="L301" s="3" t="n">
        <v>10</v>
      </c>
      <c r="M301" s="3" t="n">
        <v>200000</v>
      </c>
      <c r="N301" s="3" t="n">
        <v>18</v>
      </c>
      <c r="O301" s="3" t="b">
        <v>0</v>
      </c>
      <c r="P301" s="3" t="b">
        <v>0</v>
      </c>
      <c r="Q301" s="3" t="n">
        <v>8789.041095890389</v>
      </c>
      <c r="R301" s="3" t="n">
        <v>32942.46575342466</v>
      </c>
      <c r="S301" s="3" t="n">
        <v>41731.50684931505</v>
      </c>
      <c r="T301" s="5">
        <f>IF(J301&lt;&gt;"",M301*N301/365/100*('Cashflow Projection'!$B$2-Investors!J301),0)</f>
        <v/>
      </c>
    </row>
    <row r="302">
      <c r="A302" s="3" t="inlineStr">
        <is>
          <t>ZDAD01</t>
        </is>
      </c>
      <c r="B302" s="3" t="inlineStr">
        <is>
          <t>Feroz</t>
        </is>
      </c>
      <c r="C302" s="3" t="inlineStr">
        <is>
          <t>Dadoo</t>
        </is>
      </c>
      <c r="D302" s="3" t="inlineStr">
        <is>
          <t>Heron View</t>
        </is>
      </c>
      <c r="E302" s="3" t="inlineStr">
        <is>
          <t>HVG302</t>
        </is>
      </c>
      <c r="F302" s="3" t="b">
        <v>0</v>
      </c>
      <c r="G302" s="3" t="b">
        <v>0</v>
      </c>
      <c r="H302" s="3" t="inlineStr">
        <is>
          <t>G</t>
        </is>
      </c>
      <c r="I302" s="4" t="n">
        <v>45042</v>
      </c>
      <c r="J302" s="4" t="n">
        <v>45198</v>
      </c>
      <c r="K302" s="4" t="n">
        <v>45532</v>
      </c>
      <c r="L302" s="3" t="n">
        <v>4</v>
      </c>
      <c r="M302" s="3" t="n">
        <v>473976.03</v>
      </c>
      <c r="N302" s="3" t="n">
        <v>18</v>
      </c>
      <c r="O302" s="3" t="b">
        <v>0</v>
      </c>
      <c r="P302" s="3" t="b">
        <v>0</v>
      </c>
      <c r="Q302" s="3" t="n">
        <v>22056.1174508219</v>
      </c>
      <c r="R302" s="3" t="n">
        <v>78069.69568109591</v>
      </c>
      <c r="S302" s="3" t="n">
        <v>100125.8131319178</v>
      </c>
      <c r="T302" s="5">
        <f>IF(J302&lt;&gt;"",M302*N302/365/100*('Cashflow Projection'!$B$2-Investors!J302),0)</f>
        <v/>
      </c>
    </row>
    <row r="303">
      <c r="A303" s="3" t="inlineStr">
        <is>
          <t>ZEDE01</t>
        </is>
      </c>
      <c r="B303" s="3" t="inlineStr">
        <is>
          <t>JP</t>
        </is>
      </c>
      <c r="C303" s="3" t="inlineStr">
        <is>
          <t>van Eden</t>
        </is>
      </c>
      <c r="D303" s="3" t="inlineStr">
        <is>
          <t>Heron View</t>
        </is>
      </c>
      <c r="E303" s="3" t="inlineStr">
        <is>
          <t>HVG302</t>
        </is>
      </c>
      <c r="F303" s="3" t="b">
        <v>0</v>
      </c>
      <c r="G303" s="3" t="b">
        <v>0</v>
      </c>
      <c r="H303" s="3" t="inlineStr">
        <is>
          <t>G</t>
        </is>
      </c>
      <c r="I303" s="4" t="n">
        <v>45042</v>
      </c>
      <c r="J303" s="4" t="n">
        <v>45224</v>
      </c>
      <c r="K303" s="4" t="n">
        <v>45532</v>
      </c>
      <c r="L303" s="3" t="n">
        <v>2</v>
      </c>
      <c r="M303" s="3" t="n">
        <v>600000</v>
      </c>
      <c r="N303" s="3" t="n">
        <v>16</v>
      </c>
      <c r="O303" s="3" t="b">
        <v>0</v>
      </c>
      <c r="P303" s="3" t="b">
        <v>0</v>
      </c>
      <c r="Q303" s="3" t="n">
        <v>32621.91780821912</v>
      </c>
      <c r="R303" s="3" t="n">
        <v>81008.2191780822</v>
      </c>
      <c r="S303" s="3" t="n">
        <v>113630.1369863013</v>
      </c>
      <c r="T303" s="5">
        <f>IF(J303&lt;&gt;"",M303*N303/365/100*('Cashflow Projection'!$B$2-Investors!J303),0)</f>
        <v/>
      </c>
    </row>
    <row r="304">
      <c r="A304" s="3" t="inlineStr">
        <is>
          <t>ZAFR01</t>
        </is>
      </c>
      <c r="B304" s="3" t="inlineStr">
        <is>
          <t>John Robert</t>
        </is>
      </c>
      <c r="C304" s="3" t="inlineStr">
        <is>
          <t>Zylstra</t>
        </is>
      </c>
      <c r="D304" s="3" t="inlineStr">
        <is>
          <t>Heron View</t>
        </is>
      </c>
      <c r="E304" s="3" t="inlineStr">
        <is>
          <t>HVG303</t>
        </is>
      </c>
      <c r="F304" s="3" t="b">
        <v>0</v>
      </c>
      <c r="G304" s="3" t="b">
        <v>0</v>
      </c>
      <c r="H304" s="3" t="inlineStr">
        <is>
          <t>G</t>
        </is>
      </c>
      <c r="I304" s="4" t="n">
        <v>45042</v>
      </c>
      <c r="J304" s="4" t="n">
        <v>45224</v>
      </c>
      <c r="K304" s="4" t="n">
        <v>45532</v>
      </c>
      <c r="L304" s="3" t="n">
        <v>6</v>
      </c>
      <c r="M304" s="3" t="n">
        <v>943566.4399999999</v>
      </c>
      <c r="N304" s="3" t="n">
        <v>18</v>
      </c>
      <c r="O304" s="3" t="b">
        <v>0</v>
      </c>
      <c r="P304" s="3" t="b">
        <v>0</v>
      </c>
      <c r="Q304" s="3" t="n">
        <v>51301.57808712347</v>
      </c>
      <c r="R304" s="3" t="n">
        <v>143318.6943386301</v>
      </c>
      <c r="S304" s="3" t="n">
        <v>194620.2724257536</v>
      </c>
      <c r="T304" s="5">
        <f>IF(J304&lt;&gt;"",M304*N304/365/100*('Cashflow Projection'!$B$2-Investors!J304),0)</f>
        <v/>
      </c>
    </row>
    <row r="305">
      <c r="A305" s="3" t="inlineStr">
        <is>
          <t>ZVER02</t>
        </is>
      </c>
      <c r="B305" s="3" t="inlineStr">
        <is>
          <t>Jean-Jacques EP</t>
        </is>
      </c>
      <c r="C305" s="3" t="inlineStr">
        <is>
          <t>Verhaeghe</t>
        </is>
      </c>
      <c r="D305" s="3" t="inlineStr">
        <is>
          <t>Heron View</t>
        </is>
      </c>
      <c r="E305" s="3" t="inlineStr">
        <is>
          <t>HVG303</t>
        </is>
      </c>
      <c r="F305" s="3" t="b">
        <v>0</v>
      </c>
      <c r="G305" s="3" t="b">
        <v>0</v>
      </c>
      <c r="H305" s="3" t="inlineStr">
        <is>
          <t>G</t>
        </is>
      </c>
      <c r="I305" s="4" t="n">
        <v>45097</v>
      </c>
      <c r="J305" s="4" t="n">
        <v>45259</v>
      </c>
      <c r="K305" s="4" t="n">
        <v>45532</v>
      </c>
      <c r="L305" s="3" t="n">
        <v>6</v>
      </c>
      <c r="M305" s="3" t="n">
        <v>139300.72</v>
      </c>
      <c r="N305" s="3" t="n">
        <v>14</v>
      </c>
      <c r="O305" s="3" t="b">
        <v>0</v>
      </c>
      <c r="P305" s="3" t="b">
        <v>0</v>
      </c>
      <c r="Q305" s="3" t="n">
        <v>6800.928302465739</v>
      </c>
      <c r="R305" s="3" t="n">
        <v>14586.50279013699</v>
      </c>
      <c r="S305" s="3" t="n">
        <v>21387.43109260272</v>
      </c>
      <c r="T305" s="5">
        <f>IF(J305&lt;&gt;"",M305*N305/365/100*('Cashflow Projection'!$B$2-Investors!J305),0)</f>
        <v/>
      </c>
    </row>
    <row r="306">
      <c r="A306" s="3" t="inlineStr">
        <is>
          <t>ZJOS01</t>
        </is>
      </c>
      <c r="B306" s="3" t="inlineStr">
        <is>
          <t>Justin</t>
        </is>
      </c>
      <c r="C306" s="3" t="inlineStr">
        <is>
          <t>Joseph</t>
        </is>
      </c>
      <c r="D306" s="3" t="inlineStr">
        <is>
          <t>Heron View</t>
        </is>
      </c>
      <c r="E306" s="3" t="inlineStr">
        <is>
          <t>HVG304</t>
        </is>
      </c>
      <c r="F306" s="3" t="b">
        <v>0</v>
      </c>
      <c r="G306" s="3" t="b">
        <v>0</v>
      </c>
      <c r="H306" s="3" t="inlineStr">
        <is>
          <t>G</t>
        </is>
      </c>
      <c r="I306" s="4" t="n">
        <v>45057</v>
      </c>
      <c r="J306" s="4" t="n">
        <v>45252</v>
      </c>
      <c r="K306" s="4" t="n">
        <v>45532</v>
      </c>
      <c r="L306" s="3" t="n">
        <v>1</v>
      </c>
      <c r="M306" s="3" t="n">
        <v>100000</v>
      </c>
      <c r="N306" s="3" t="n">
        <v>14</v>
      </c>
      <c r="O306" s="3" t="b">
        <v>0</v>
      </c>
      <c r="P306" s="3" t="b">
        <v>0</v>
      </c>
      <c r="Q306" s="3" t="n">
        <v>5849.315068493132</v>
      </c>
      <c r="R306" s="3" t="n">
        <v>10739.72602739726</v>
      </c>
      <c r="S306" s="3" t="n">
        <v>16589.04109589039</v>
      </c>
      <c r="T306" s="5">
        <f>IF(J306&lt;&gt;"",M306*N306/365/100*('Cashflow Projection'!$B$2-Investors!J306),0)</f>
        <v/>
      </c>
    </row>
    <row r="307">
      <c r="A307" s="3" t="inlineStr">
        <is>
          <t>ZREN01</t>
        </is>
      </c>
      <c r="B307" s="3" t="inlineStr">
        <is>
          <t>Marlene Ann</t>
        </is>
      </c>
      <c r="C307" s="3" t="inlineStr">
        <is>
          <t>van Rensburg</t>
        </is>
      </c>
      <c r="D307" s="3" t="inlineStr">
        <is>
          <t>Heron View</t>
        </is>
      </c>
      <c r="E307" s="3" t="inlineStr">
        <is>
          <t>HVG304</t>
        </is>
      </c>
      <c r="F307" s="3" t="b">
        <v>0</v>
      </c>
      <c r="G307" s="3" t="b">
        <v>0</v>
      </c>
      <c r="H307" s="3" t="inlineStr">
        <is>
          <t>G</t>
        </is>
      </c>
      <c r="I307" s="4" t="n">
        <v>45042</v>
      </c>
      <c r="J307" s="4" t="n">
        <v>45198</v>
      </c>
      <c r="K307" s="4" t="n">
        <v>45532</v>
      </c>
      <c r="L307" s="3" t="n">
        <v>5</v>
      </c>
      <c r="M307" s="3" t="n">
        <v>500000</v>
      </c>
      <c r="N307" s="3" t="n">
        <v>18</v>
      </c>
      <c r="O307" s="3" t="b">
        <v>0</v>
      </c>
      <c r="P307" s="3" t="b">
        <v>0</v>
      </c>
      <c r="Q307" s="3" t="n">
        <v>23267.12328767123</v>
      </c>
      <c r="R307" s="3" t="n">
        <v>82356.16438356164</v>
      </c>
      <c r="S307" s="3" t="n">
        <v>105623.2876712329</v>
      </c>
      <c r="T307" s="5">
        <f>IF(J307&lt;&gt;"",M307*N307/365/100*('Cashflow Projection'!$B$2-Investors!J307),0)</f>
        <v/>
      </c>
    </row>
    <row r="308">
      <c r="A308" s="3" t="inlineStr">
        <is>
          <t>ZSCA02</t>
        </is>
      </c>
      <c r="B308" s="3" t="inlineStr">
        <is>
          <t>Chad</t>
        </is>
      </c>
      <c r="C308" s="3" t="inlineStr">
        <is>
          <t>Scalzini</t>
        </is>
      </c>
      <c r="D308" s="3" t="inlineStr">
        <is>
          <t>Heron View</t>
        </is>
      </c>
      <c r="E308" s="3" t="inlineStr">
        <is>
          <t>HVG304</t>
        </is>
      </c>
      <c r="F308" s="3" t="b">
        <v>0</v>
      </c>
      <c r="G308" s="3" t="b">
        <v>0</v>
      </c>
      <c r="H308" s="3" t="inlineStr">
        <is>
          <t>G</t>
        </is>
      </c>
      <c r="I308" s="4" t="n">
        <v>45044</v>
      </c>
      <c r="J308" s="4" t="n">
        <v>45224</v>
      </c>
      <c r="K308" s="4" t="n">
        <v>45532</v>
      </c>
      <c r="L308" s="3" t="n">
        <v>4</v>
      </c>
      <c r="M308" s="3" t="n">
        <v>500000</v>
      </c>
      <c r="N308" s="3" t="n">
        <v>18</v>
      </c>
      <c r="O308" s="3" t="b">
        <v>0</v>
      </c>
      <c r="P308" s="3" t="b">
        <v>0</v>
      </c>
      <c r="Q308" s="3" t="n">
        <v>26897.26027397262</v>
      </c>
      <c r="R308" s="3" t="n">
        <v>75945.20547945205</v>
      </c>
      <c r="S308" s="3" t="n">
        <v>102842.4657534247</v>
      </c>
      <c r="T308" s="5">
        <f>IF(J308&lt;&gt;"",M308*N308/365/100*('Cashflow Projection'!$B$2-Investors!J308),0)</f>
        <v/>
      </c>
    </row>
    <row r="309">
      <c r="A309" s="3" t="inlineStr">
        <is>
          <t>ZHAN07</t>
        </is>
      </c>
      <c r="B309" s="3" t="inlineStr">
        <is>
          <t>Johannes Hendrik (Hans)</t>
        </is>
      </c>
      <c r="C309" s="3" t="inlineStr">
        <is>
          <t>Hanekom</t>
        </is>
      </c>
      <c r="D309" s="3" t="inlineStr">
        <is>
          <t>Heron View</t>
        </is>
      </c>
      <c r="E309" s="3" t="inlineStr">
        <is>
          <t>HVH101</t>
        </is>
      </c>
      <c r="F309" s="3" t="b">
        <v>1</v>
      </c>
      <c r="G309" s="3" t="b">
        <v>0</v>
      </c>
      <c r="H309" s="3" t="inlineStr">
        <is>
          <t>H</t>
        </is>
      </c>
      <c r="I309" s="4" t="n">
        <v>45210</v>
      </c>
      <c r="J309" s="4" t="n">
        <v>45224</v>
      </c>
      <c r="K309" s="4" t="n">
        <v>45490</v>
      </c>
      <c r="L309" s="3" t="n">
        <v>1</v>
      </c>
      <c r="M309" s="3" t="n">
        <v>1100000</v>
      </c>
      <c r="N309" s="3" t="n">
        <v>18</v>
      </c>
      <c r="O309" s="3" t="b">
        <v>0</v>
      </c>
      <c r="P309" s="3" t="b">
        <v>0</v>
      </c>
      <c r="Q309" s="3" t="n">
        <v>4641.095890410958</v>
      </c>
      <c r="R309" s="3" t="n">
        <v>144295.8904109589</v>
      </c>
      <c r="S309" s="3" t="n">
        <v>148936.9863013699</v>
      </c>
      <c r="T309" s="5">
        <f>IF(J309&lt;&gt;"",M309*N309/365/100*('Cashflow Projection'!$B$2-Investors!J309),0)</f>
        <v/>
      </c>
    </row>
    <row r="310">
      <c r="A310" s="3" t="inlineStr">
        <is>
          <t>ZHAN07</t>
        </is>
      </c>
      <c r="B310" s="3" t="inlineStr">
        <is>
          <t>Johannes Hendrik (Hans)</t>
        </is>
      </c>
      <c r="C310" s="3" t="inlineStr">
        <is>
          <t>Hanekom</t>
        </is>
      </c>
      <c r="D310" s="3" t="inlineStr">
        <is>
          <t>Heron View</t>
        </is>
      </c>
      <c r="E310" s="3" t="inlineStr">
        <is>
          <t>HVH102</t>
        </is>
      </c>
      <c r="F310" s="3" t="b">
        <v>1</v>
      </c>
      <c r="G310" s="3" t="b">
        <v>0</v>
      </c>
      <c r="H310" s="3" t="inlineStr">
        <is>
          <t>H</t>
        </is>
      </c>
      <c r="I310" s="4" t="n">
        <v>45210</v>
      </c>
      <c r="J310" s="4" t="n">
        <v>45224</v>
      </c>
      <c r="K310" s="4" t="n">
        <v>45490</v>
      </c>
      <c r="L310" s="3" t="n">
        <v>2</v>
      </c>
      <c r="M310" s="3" t="n">
        <v>1100000</v>
      </c>
      <c r="N310" s="3" t="n">
        <v>18</v>
      </c>
      <c r="O310" s="3" t="b">
        <v>0</v>
      </c>
      <c r="P310" s="3" t="b">
        <v>0</v>
      </c>
      <c r="Q310" s="3" t="n">
        <v>4641.095890410958</v>
      </c>
      <c r="R310" s="3" t="n">
        <v>144295.8904109589</v>
      </c>
      <c r="S310" s="3" t="n">
        <v>148936.9863013699</v>
      </c>
      <c r="T310" s="5">
        <f>IF(J310&lt;&gt;"",M310*N310/365/100*('Cashflow Projection'!$B$2-Investors!J310),0)</f>
        <v/>
      </c>
    </row>
    <row r="311">
      <c r="A311" s="3" t="inlineStr">
        <is>
          <t>ZHAN07</t>
        </is>
      </c>
      <c r="B311" s="3" t="inlineStr">
        <is>
          <t>Johannes Hendrik (Hans)</t>
        </is>
      </c>
      <c r="C311" s="3" t="inlineStr">
        <is>
          <t>Hanekom</t>
        </is>
      </c>
      <c r="D311" s="3" t="inlineStr">
        <is>
          <t>Heron View</t>
        </is>
      </c>
      <c r="E311" s="3" t="inlineStr">
        <is>
          <t>HVH103</t>
        </is>
      </c>
      <c r="F311" s="3" t="b">
        <v>1</v>
      </c>
      <c r="G311" s="3" t="b">
        <v>0</v>
      </c>
      <c r="H311" s="3" t="inlineStr">
        <is>
          <t>H</t>
        </is>
      </c>
      <c r="I311" s="4" t="n">
        <v>45210</v>
      </c>
      <c r="J311" s="4" t="n">
        <v>45224</v>
      </c>
      <c r="K311" s="4" t="n">
        <v>45490</v>
      </c>
      <c r="L311" s="3" t="n">
        <v>3</v>
      </c>
      <c r="M311" s="3" t="n">
        <v>1100000</v>
      </c>
      <c r="N311" s="3" t="n">
        <v>18</v>
      </c>
      <c r="O311" s="3" t="b">
        <v>0</v>
      </c>
      <c r="P311" s="3" t="b">
        <v>0</v>
      </c>
      <c r="Q311" s="3" t="n">
        <v>4641.095890410958</v>
      </c>
      <c r="R311" s="3" t="n">
        <v>144295.8904109589</v>
      </c>
      <c r="S311" s="3" t="n">
        <v>148936.9863013699</v>
      </c>
      <c r="T311" s="5">
        <f>IF(J311&lt;&gt;"",M311*N311/365/100*('Cashflow Projection'!$B$2-Investors!J311),0)</f>
        <v/>
      </c>
    </row>
    <row r="312">
      <c r="A312" s="3" t="inlineStr">
        <is>
          <t>ZHAN07</t>
        </is>
      </c>
      <c r="B312" s="3" t="inlineStr">
        <is>
          <t>Johannes Hendrik (Hans)</t>
        </is>
      </c>
      <c r="C312" s="3" t="inlineStr">
        <is>
          <t>Hanekom</t>
        </is>
      </c>
      <c r="D312" s="3" t="inlineStr">
        <is>
          <t>Heron View</t>
        </is>
      </c>
      <c r="E312" s="3" t="inlineStr">
        <is>
          <t>HVH104</t>
        </is>
      </c>
      <c r="F312" s="3" t="b">
        <v>1</v>
      </c>
      <c r="G312" s="3" t="b">
        <v>0</v>
      </c>
      <c r="H312" s="3" t="inlineStr">
        <is>
          <t>H</t>
        </is>
      </c>
      <c r="I312" s="4" t="n">
        <v>45210</v>
      </c>
      <c r="J312" s="4" t="n">
        <v>45224</v>
      </c>
      <c r="K312" s="4" t="n">
        <v>45490</v>
      </c>
      <c r="L312" s="3" t="n">
        <v>4</v>
      </c>
      <c r="M312" s="3" t="n">
        <v>1100000</v>
      </c>
      <c r="N312" s="3" t="n">
        <v>18</v>
      </c>
      <c r="O312" s="3" t="b">
        <v>0</v>
      </c>
      <c r="P312" s="3" t="b">
        <v>0</v>
      </c>
      <c r="Q312" s="3" t="n">
        <v>4641.095890410958</v>
      </c>
      <c r="R312" s="3" t="n">
        <v>144295.8904109589</v>
      </c>
      <c r="S312" s="3" t="n">
        <v>148936.9863013699</v>
      </c>
      <c r="T312" s="5">
        <f>IF(J312&lt;&gt;"",M312*N312/365/100*('Cashflow Projection'!$B$2-Investors!J312),0)</f>
        <v/>
      </c>
    </row>
    <row r="313">
      <c r="A313" s="3" t="inlineStr">
        <is>
          <t>ZHAN07</t>
        </is>
      </c>
      <c r="B313" s="3" t="inlineStr">
        <is>
          <t>Johannes Hendrik (Hans)</t>
        </is>
      </c>
      <c r="C313" s="3" t="inlineStr">
        <is>
          <t>Hanekom</t>
        </is>
      </c>
      <c r="D313" s="3" t="inlineStr">
        <is>
          <t>Heron View</t>
        </is>
      </c>
      <c r="E313" s="3" t="inlineStr">
        <is>
          <t>HVH201</t>
        </is>
      </c>
      <c r="F313" s="3" t="b">
        <v>1</v>
      </c>
      <c r="G313" s="3" t="b">
        <v>0</v>
      </c>
      <c r="H313" s="3" t="inlineStr">
        <is>
          <t>H</t>
        </is>
      </c>
      <c r="I313" s="4" t="n">
        <v>45254</v>
      </c>
      <c r="J313" s="4" t="n">
        <v>45259</v>
      </c>
      <c r="K313" s="4" t="n">
        <v>45490</v>
      </c>
      <c r="L313" s="3" t="n">
        <v>5</v>
      </c>
      <c r="M313" s="3" t="n">
        <v>1100000</v>
      </c>
      <c r="N313" s="3" t="n">
        <v>18</v>
      </c>
      <c r="O313" s="3" t="b">
        <v>0</v>
      </c>
      <c r="P313" s="3" t="b">
        <v>0</v>
      </c>
      <c r="Q313" s="3" t="n">
        <v>1657.534246575342</v>
      </c>
      <c r="R313" s="3" t="n">
        <v>125309.5890410959</v>
      </c>
      <c r="S313" s="3" t="n">
        <v>126967.1232876712</v>
      </c>
      <c r="T313" s="5">
        <f>IF(J313&lt;&gt;"",M313*N313/365/100*('Cashflow Projection'!$B$2-Investors!J313),0)</f>
        <v/>
      </c>
    </row>
    <row r="314">
      <c r="A314" s="3" t="inlineStr">
        <is>
          <t>ZHAN07</t>
        </is>
      </c>
      <c r="B314" s="3" t="inlineStr">
        <is>
          <t>Johannes Hendrik (Hans)</t>
        </is>
      </c>
      <c r="C314" s="3" t="inlineStr">
        <is>
          <t>Hanekom</t>
        </is>
      </c>
      <c r="D314" s="3" t="inlineStr">
        <is>
          <t>Heron View</t>
        </is>
      </c>
      <c r="E314" s="3" t="inlineStr">
        <is>
          <t>HVH202</t>
        </is>
      </c>
      <c r="F314" s="3" t="b">
        <v>1</v>
      </c>
      <c r="G314" s="3" t="b">
        <v>0</v>
      </c>
      <c r="H314" s="3" t="inlineStr">
        <is>
          <t>H</t>
        </is>
      </c>
      <c r="I314" s="4" t="n">
        <v>45254</v>
      </c>
      <c r="J314" s="4" t="n">
        <v>45273</v>
      </c>
      <c r="K314" s="4" t="n">
        <v>45490</v>
      </c>
      <c r="L314" s="3" t="n">
        <v>6</v>
      </c>
      <c r="M314" s="3" t="n">
        <v>1100000</v>
      </c>
      <c r="N314" s="3" t="n">
        <v>18</v>
      </c>
      <c r="O314" s="3" t="b">
        <v>0</v>
      </c>
      <c r="P314" s="3" t="b">
        <v>0</v>
      </c>
      <c r="Q314" s="3" t="n">
        <v>6298.6301369863</v>
      </c>
      <c r="R314" s="3" t="n">
        <v>117715.0684931507</v>
      </c>
      <c r="S314" s="3" t="n">
        <v>124013.698630137</v>
      </c>
      <c r="T314" s="5">
        <f>IF(J314&lt;&gt;"",M314*N314/365/100*('Cashflow Projection'!$B$2-Investors!J314),0)</f>
        <v/>
      </c>
    </row>
    <row r="315">
      <c r="A315" s="3" t="inlineStr">
        <is>
          <t>ZHAN07</t>
        </is>
      </c>
      <c r="B315" s="3" t="inlineStr">
        <is>
          <t>Johannes Hendrik (Hans)</t>
        </is>
      </c>
      <c r="C315" s="3" t="inlineStr">
        <is>
          <t>Hanekom</t>
        </is>
      </c>
      <c r="D315" s="3" t="inlineStr">
        <is>
          <t>Heron View</t>
        </is>
      </c>
      <c r="E315" s="3" t="inlineStr">
        <is>
          <t>HVH203</t>
        </is>
      </c>
      <c r="F315" s="3" t="b">
        <v>1</v>
      </c>
      <c r="G315" s="3" t="b">
        <v>0</v>
      </c>
      <c r="H315" s="3" t="inlineStr">
        <is>
          <t>H</t>
        </is>
      </c>
      <c r="I315" s="4" t="n">
        <v>45254</v>
      </c>
      <c r="J315" s="4" t="n">
        <v>45273</v>
      </c>
      <c r="K315" s="4" t="n">
        <v>45490</v>
      </c>
      <c r="L315" s="3" t="n">
        <v>7</v>
      </c>
      <c r="M315" s="3" t="n">
        <v>1100000</v>
      </c>
      <c r="N315" s="3" t="n">
        <v>18</v>
      </c>
      <c r="O315" s="3" t="b">
        <v>0</v>
      </c>
      <c r="P315" s="3" t="b">
        <v>0</v>
      </c>
      <c r="Q315" s="3" t="n">
        <v>6298.6301369863</v>
      </c>
      <c r="R315" s="3" t="n">
        <v>117715.0684931507</v>
      </c>
      <c r="S315" s="3" t="n">
        <v>124013.698630137</v>
      </c>
      <c r="T315" s="5">
        <f>IF(J315&lt;&gt;"",M315*N315/365/100*('Cashflow Projection'!$B$2-Investors!J315),0)</f>
        <v/>
      </c>
    </row>
    <row r="316">
      <c r="A316" s="3" t="inlineStr">
        <is>
          <t>ZHAN07</t>
        </is>
      </c>
      <c r="B316" s="3" t="inlineStr">
        <is>
          <t>Johannes Hendrik (Hans)</t>
        </is>
      </c>
      <c r="C316" s="3" t="inlineStr">
        <is>
          <t>Hanekom</t>
        </is>
      </c>
      <c r="D316" s="3" t="inlineStr">
        <is>
          <t>Heron View</t>
        </is>
      </c>
      <c r="E316" s="3" t="inlineStr">
        <is>
          <t>HVH204</t>
        </is>
      </c>
      <c r="F316" s="3" t="b">
        <v>1</v>
      </c>
      <c r="G316" s="3" t="b">
        <v>0</v>
      </c>
      <c r="H316" s="3" t="inlineStr">
        <is>
          <t>H</t>
        </is>
      </c>
      <c r="I316" s="4" t="n">
        <v>45254</v>
      </c>
      <c r="J316" s="4" t="n">
        <v>45273</v>
      </c>
      <c r="K316" s="4" t="n">
        <v>45490</v>
      </c>
      <c r="L316" s="3" t="n">
        <v>8</v>
      </c>
      <c r="M316" s="3" t="n">
        <v>1100000</v>
      </c>
      <c r="N316" s="3" t="n">
        <v>18</v>
      </c>
      <c r="O316" s="3" t="b">
        <v>0</v>
      </c>
      <c r="P316" s="3" t="b">
        <v>0</v>
      </c>
      <c r="Q316" s="3" t="n">
        <v>6298.6301369863</v>
      </c>
      <c r="R316" s="3" t="n">
        <v>117715.0684931507</v>
      </c>
      <c r="S316" s="3" t="n">
        <v>124013.698630137</v>
      </c>
      <c r="T316" s="5">
        <f>IF(J316&lt;&gt;"",M316*N316/365/100*('Cashflow Projection'!$B$2-Investors!J316),0)</f>
        <v/>
      </c>
    </row>
    <row r="317">
      <c r="A317" s="3" t="inlineStr">
        <is>
          <t>ZDEB01</t>
        </is>
      </c>
      <c r="B317" s="3" t="inlineStr">
        <is>
          <t>William Henry</t>
        </is>
      </c>
      <c r="C317" s="3" t="inlineStr">
        <is>
          <t>De Beer</t>
        </is>
      </c>
      <c r="D317" s="3" t="inlineStr">
        <is>
          <t>Heron View</t>
        </is>
      </c>
      <c r="E317" s="3" t="inlineStr">
        <is>
          <t>HVI101</t>
        </is>
      </c>
      <c r="F317" s="3" t="b">
        <v>0</v>
      </c>
      <c r="G317" s="3" t="b">
        <v>0</v>
      </c>
      <c r="H317" s="3" t="inlineStr">
        <is>
          <t>I</t>
        </is>
      </c>
      <c r="I317" s="4" t="n">
        <v>45044</v>
      </c>
      <c r="J317" s="4" t="n">
        <v>45224</v>
      </c>
      <c r="K317" s="4" t="n">
        <v>45516</v>
      </c>
      <c r="L317" s="3" t="n">
        <v>9</v>
      </c>
      <c r="M317" s="3" t="n">
        <v>1100000</v>
      </c>
      <c r="N317" s="3" t="n">
        <v>18</v>
      </c>
      <c r="O317" s="3" t="b">
        <v>0</v>
      </c>
      <c r="P317" s="3" t="b">
        <v>0</v>
      </c>
      <c r="Q317" s="3" t="n">
        <v>59173.97260273972</v>
      </c>
      <c r="R317" s="3" t="n">
        <v>158400</v>
      </c>
      <c r="S317" s="3" t="n">
        <v>217573.9726027397</v>
      </c>
      <c r="T317" s="5">
        <f>IF(J317&lt;&gt;"",M317*N317/365/100*('Cashflow Projection'!$B$2-Investors!J317),0)</f>
        <v/>
      </c>
    </row>
    <row r="318">
      <c r="A318" s="3" t="inlineStr">
        <is>
          <t>ZBEL01</t>
        </is>
      </c>
      <c r="B318" s="3" t="inlineStr">
        <is>
          <t>Helen Constance</t>
        </is>
      </c>
      <c r="C318" s="3" t="inlineStr">
        <is>
          <t>Belford</t>
        </is>
      </c>
      <c r="D318" s="3" t="inlineStr">
        <is>
          <t>Heron View</t>
        </is>
      </c>
      <c r="E318" s="3" t="inlineStr">
        <is>
          <t>HVI102</t>
        </is>
      </c>
      <c r="F318" s="3" t="b">
        <v>0</v>
      </c>
      <c r="G318" s="3" t="b">
        <v>0</v>
      </c>
      <c r="H318" s="3" t="inlineStr">
        <is>
          <t>I</t>
        </is>
      </c>
      <c r="I318" s="4" t="n">
        <v>45064</v>
      </c>
      <c r="J318" s="4" t="n">
        <v>45252</v>
      </c>
      <c r="K318" s="4" t="n">
        <v>45516</v>
      </c>
      <c r="L318" s="3" t="n">
        <v>6</v>
      </c>
      <c r="M318" s="3" t="n">
        <v>351000</v>
      </c>
      <c r="N318" s="3" t="n">
        <v>18</v>
      </c>
      <c r="O318" s="3" t="b">
        <v>0</v>
      </c>
      <c r="P318" s="3" t="b">
        <v>0</v>
      </c>
      <c r="Q318" s="3" t="n">
        <v>19824.28767123281</v>
      </c>
      <c r="R318" s="3" t="n">
        <v>45697.31506849315</v>
      </c>
      <c r="S318" s="3" t="n">
        <v>65521.60273972596</v>
      </c>
      <c r="T318" s="5">
        <f>IF(J318&lt;&gt;"",M318*N318/365/100*('Cashflow Projection'!$B$2-Investors!J318),0)</f>
        <v/>
      </c>
    </row>
    <row r="319">
      <c r="A319" s="3" t="inlineStr">
        <is>
          <t>ZCAR01</t>
        </is>
      </c>
      <c r="B319" s="3" t="inlineStr">
        <is>
          <t>Martin Michael</t>
        </is>
      </c>
      <c r="C319" s="3" t="inlineStr">
        <is>
          <t>Carolus</t>
        </is>
      </c>
      <c r="D319" s="3" t="inlineStr">
        <is>
          <t>Heron View</t>
        </is>
      </c>
      <c r="E319" s="3" t="inlineStr">
        <is>
          <t>HVI102</t>
        </is>
      </c>
      <c r="F319" s="3" t="b">
        <v>0</v>
      </c>
      <c r="G319" s="3" t="b">
        <v>0</v>
      </c>
      <c r="H319" s="3" t="inlineStr">
        <is>
          <t>I</t>
        </is>
      </c>
      <c r="I319" s="4" t="n">
        <v>45099</v>
      </c>
      <c r="J319" s="4" t="n">
        <v>45259</v>
      </c>
      <c r="K319" s="4" t="n">
        <v>45516</v>
      </c>
      <c r="L319" s="3" t="n">
        <v>1</v>
      </c>
      <c r="M319" s="3" t="n">
        <v>150000</v>
      </c>
      <c r="N319" s="3" t="n">
        <v>14</v>
      </c>
      <c r="O319" s="3" t="b">
        <v>0</v>
      </c>
      <c r="P319" s="3" t="b">
        <v>0</v>
      </c>
      <c r="Q319" s="3" t="n">
        <v>7232.876712328757</v>
      </c>
      <c r="R319" s="3" t="n">
        <v>14786.30136986301</v>
      </c>
      <c r="S319" s="3" t="n">
        <v>22019.17808219177</v>
      </c>
      <c r="T319" s="5">
        <f>IF(J319&lt;&gt;"",M319*N319/365/100*('Cashflow Projection'!$B$2-Investors!J319),0)</f>
        <v/>
      </c>
    </row>
    <row r="320">
      <c r="A320" s="3" t="inlineStr">
        <is>
          <t>ZCOE02</t>
        </is>
      </c>
      <c r="B320" s="3" t="inlineStr">
        <is>
          <t>Hugo Amos</t>
        </is>
      </c>
      <c r="C320" s="3" t="inlineStr">
        <is>
          <t>Coetzee</t>
        </is>
      </c>
      <c r="D320" s="3" t="inlineStr">
        <is>
          <t>Heron View</t>
        </is>
      </c>
      <c r="E320" s="3" t="inlineStr">
        <is>
          <t>HVI102</t>
        </is>
      </c>
      <c r="F320" s="3" t="b">
        <v>0</v>
      </c>
      <c r="G320" s="3" t="b">
        <v>0</v>
      </c>
      <c r="H320" s="3" t="inlineStr">
        <is>
          <t>I</t>
        </is>
      </c>
      <c r="I320" s="4" t="n">
        <v>45044</v>
      </c>
      <c r="J320" s="4" t="n">
        <v>45224</v>
      </c>
      <c r="K320" s="4" t="n">
        <v>45516</v>
      </c>
      <c r="L320" s="3" t="n">
        <v>1</v>
      </c>
      <c r="M320" s="3" t="n">
        <v>400000</v>
      </c>
      <c r="N320" s="3" t="n">
        <v>14</v>
      </c>
      <c r="O320" s="3" t="b">
        <v>0</v>
      </c>
      <c r="P320" s="3" t="b">
        <v>0</v>
      </c>
      <c r="Q320" s="3" t="n">
        <v>21517.80821917801</v>
      </c>
      <c r="R320" s="3" t="n">
        <v>44800</v>
      </c>
      <c r="S320" s="3" t="n">
        <v>66317.80821917801</v>
      </c>
      <c r="T320" s="5">
        <f>IF(J320&lt;&gt;"",M320*N320/365/100*('Cashflow Projection'!$B$2-Investors!J320),0)</f>
        <v/>
      </c>
    </row>
    <row r="321">
      <c r="A321" s="3" t="inlineStr">
        <is>
          <t>ZNEL01</t>
        </is>
      </c>
      <c r="B321" s="3" t="inlineStr">
        <is>
          <t>Lambertus Renier (Bertie)</t>
        </is>
      </c>
      <c r="C321" s="3" t="inlineStr">
        <is>
          <t>Nel</t>
        </is>
      </c>
      <c r="D321" s="3" t="inlineStr">
        <is>
          <t>Heron View</t>
        </is>
      </c>
      <c r="E321" s="3" t="inlineStr">
        <is>
          <t>HVI102</t>
        </is>
      </c>
      <c r="F321" s="3" t="b">
        <v>0</v>
      </c>
      <c r="G321" s="3" t="b">
        <v>0</v>
      </c>
      <c r="H321" s="3" t="inlineStr">
        <is>
          <t>I</t>
        </is>
      </c>
      <c r="I321" s="4" t="n">
        <v>45113</v>
      </c>
      <c r="J321" s="4" t="n">
        <v>45259</v>
      </c>
      <c r="K321" s="4" t="n">
        <v>45516</v>
      </c>
      <c r="L321" s="3" t="n">
        <v>1</v>
      </c>
      <c r="M321" s="3" t="n">
        <v>200000</v>
      </c>
      <c r="N321" s="3" t="n">
        <v>14</v>
      </c>
      <c r="O321" s="3" t="b">
        <v>0</v>
      </c>
      <c r="P321" s="3" t="b">
        <v>0</v>
      </c>
      <c r="Q321" s="3" t="n">
        <v>8799.999999999978</v>
      </c>
      <c r="R321" s="3" t="n">
        <v>19715.06849315068</v>
      </c>
      <c r="S321" s="3" t="n">
        <v>28515.06849315066</v>
      </c>
      <c r="T321" s="5">
        <f>IF(J321&lt;&gt;"",M321*N321/365/100*('Cashflow Projection'!$B$2-Investors!J321),0)</f>
        <v/>
      </c>
    </row>
    <row r="322">
      <c r="A322" s="3" t="inlineStr">
        <is>
          <t>ZSWA02</t>
        </is>
      </c>
      <c r="B322" s="3" t="inlineStr">
        <is>
          <t>Daniel Christiaan De Wet</t>
        </is>
      </c>
      <c r="C322" s="3" t="inlineStr">
        <is>
          <t>Swanepoel</t>
        </is>
      </c>
      <c r="D322" s="3" t="inlineStr">
        <is>
          <t>Heron View</t>
        </is>
      </c>
      <c r="E322" s="3" t="inlineStr">
        <is>
          <t>HVI103</t>
        </is>
      </c>
      <c r="F322" s="3" t="b">
        <v>0</v>
      </c>
      <c r="G322" s="3" t="b">
        <v>0</v>
      </c>
      <c r="H322" s="3" t="inlineStr">
        <is>
          <t>I</t>
        </is>
      </c>
      <c r="I322" s="4" t="n">
        <v>45064</v>
      </c>
      <c r="J322" s="4" t="n">
        <v>45259</v>
      </c>
      <c r="K322" s="4" t="n">
        <v>45516</v>
      </c>
      <c r="L322" s="3" t="n">
        <v>1</v>
      </c>
      <c r="M322" s="3" t="n">
        <v>1000000</v>
      </c>
      <c r="N322" s="3" t="n">
        <v>18</v>
      </c>
      <c r="O322" s="3" t="b">
        <v>0</v>
      </c>
      <c r="P322" s="3" t="b">
        <v>0</v>
      </c>
      <c r="Q322" s="3" t="n">
        <v>58589.04109589048</v>
      </c>
      <c r="R322" s="3" t="n">
        <v>126739.7260273973</v>
      </c>
      <c r="S322" s="3" t="n">
        <v>185328.7671232877</v>
      </c>
      <c r="T322" s="5">
        <f>IF(J322&lt;&gt;"",M322*N322/365/100*('Cashflow Projection'!$B$2-Investors!J322),0)</f>
        <v/>
      </c>
    </row>
    <row r="323">
      <c r="A323" s="3" t="inlineStr">
        <is>
          <t>ZVDM01</t>
        </is>
      </c>
      <c r="B323" s="3" t="inlineStr">
        <is>
          <t>Paula</t>
        </is>
      </c>
      <c r="C323" s="3" t="inlineStr">
        <is>
          <t>van der Mescht</t>
        </is>
      </c>
      <c r="D323" s="3" t="inlineStr">
        <is>
          <t>Heron View</t>
        </is>
      </c>
      <c r="E323" s="3" t="inlineStr">
        <is>
          <t>HVI103</t>
        </is>
      </c>
      <c r="F323" s="3" t="b">
        <v>0</v>
      </c>
      <c r="G323" s="3" t="b">
        <v>0</v>
      </c>
      <c r="H323" s="3" t="inlineStr">
        <is>
          <t>I</t>
        </is>
      </c>
      <c r="I323" s="4" t="n">
        <v>45328</v>
      </c>
      <c r="J323" s="4" t="n">
        <v>45371</v>
      </c>
      <c r="K323" s="4" t="n">
        <v>45516</v>
      </c>
      <c r="L323" s="3" t="n">
        <v>6</v>
      </c>
      <c r="M323" s="3" t="n">
        <v>100000</v>
      </c>
      <c r="N323" s="3" t="n">
        <v>14</v>
      </c>
      <c r="O323" s="3" t="b">
        <v>0</v>
      </c>
      <c r="P323" s="3" t="b">
        <v>0</v>
      </c>
      <c r="Q323" s="3" t="n">
        <v>1295.890410958905</v>
      </c>
      <c r="R323" s="3" t="n">
        <v>5561.643835616438</v>
      </c>
      <c r="S323" s="3" t="n">
        <v>6857.534246575344</v>
      </c>
      <c r="T323" s="5">
        <f>IF(J323&lt;&gt;"",M323*N323/365/100*('Cashflow Projection'!$B$2-Investors!J323),0)</f>
        <v/>
      </c>
    </row>
    <row r="324">
      <c r="A324" s="3" t="inlineStr">
        <is>
          <t>ZDUP01</t>
        </is>
      </c>
      <c r="B324" s="3" t="inlineStr">
        <is>
          <t>Georgina</t>
        </is>
      </c>
      <c r="C324" s="3" t="inlineStr">
        <is>
          <t>Du Plooy</t>
        </is>
      </c>
      <c r="D324" s="3" t="inlineStr">
        <is>
          <t>Heron View</t>
        </is>
      </c>
      <c r="E324" s="3" t="inlineStr">
        <is>
          <t>HVI104</t>
        </is>
      </c>
      <c r="F324" s="3" t="b">
        <v>0</v>
      </c>
      <c r="G324" s="3" t="b">
        <v>0</v>
      </c>
      <c r="H324" s="3" t="inlineStr">
        <is>
          <t>I</t>
        </is>
      </c>
      <c r="I324" s="4" t="n">
        <v>45097</v>
      </c>
      <c r="J324" s="4" t="n">
        <v>45259</v>
      </c>
      <c r="K324" s="4" t="n">
        <v>45516</v>
      </c>
      <c r="L324" s="3" t="n">
        <v>2</v>
      </c>
      <c r="M324" s="3" t="n">
        <v>100000</v>
      </c>
      <c r="N324" s="3" t="n">
        <v>14</v>
      </c>
      <c r="O324" s="3" t="b">
        <v>0</v>
      </c>
      <c r="P324" s="3" t="b">
        <v>0</v>
      </c>
      <c r="Q324" s="3" t="n">
        <v>4882.191780821904</v>
      </c>
      <c r="R324" s="3" t="n">
        <v>9857.534246575342</v>
      </c>
      <c r="S324" s="3" t="n">
        <v>14739.72602739725</v>
      </c>
      <c r="T324" s="5">
        <f>IF(J324&lt;&gt;"",M324*N324/365/100*('Cashflow Projection'!$B$2-Investors!J324),0)</f>
        <v/>
      </c>
    </row>
    <row r="325">
      <c r="A325" s="3" t="inlineStr">
        <is>
          <t>ZRUS01</t>
        </is>
      </c>
      <c r="B325" s="3" t="inlineStr">
        <is>
          <t>Izak Cornelius</t>
        </is>
      </c>
      <c r="C325" s="3" t="inlineStr">
        <is>
          <t>Rust</t>
        </is>
      </c>
      <c r="D325" s="3" t="inlineStr">
        <is>
          <t>Heron View</t>
        </is>
      </c>
      <c r="E325" s="3" t="inlineStr">
        <is>
          <t>HVI104</t>
        </is>
      </c>
      <c r="F325" s="3" t="b">
        <v>0</v>
      </c>
      <c r="G325" s="3" t="b">
        <v>0</v>
      </c>
      <c r="H325" s="3" t="inlineStr">
        <is>
          <t>I</t>
        </is>
      </c>
      <c r="I325" s="4" t="n">
        <v>45086</v>
      </c>
      <c r="J325" s="4" t="n">
        <v>45259</v>
      </c>
      <c r="K325" s="4" t="n">
        <v>45516</v>
      </c>
      <c r="L325" s="3" t="n">
        <v>2</v>
      </c>
      <c r="M325" s="3" t="n">
        <v>1000000</v>
      </c>
      <c r="N325" s="3" t="n">
        <v>18</v>
      </c>
      <c r="O325" s="3" t="b">
        <v>0</v>
      </c>
      <c r="P325" s="3" t="b">
        <v>0</v>
      </c>
      <c r="Q325" s="3" t="n">
        <v>52136.98630136989</v>
      </c>
      <c r="R325" s="3" t="n">
        <v>126739.7260273973</v>
      </c>
      <c r="S325" s="3" t="n">
        <v>178876.7123287672</v>
      </c>
      <c r="T325" s="5">
        <f>IF(J325&lt;&gt;"",M325*N325/365/100*('Cashflow Projection'!$B$2-Investors!J325),0)</f>
        <v/>
      </c>
    </row>
    <row r="326">
      <c r="A326" s="3" t="inlineStr">
        <is>
          <t>ZDEL01</t>
        </is>
      </c>
      <c r="B326" s="3" t="inlineStr">
        <is>
          <t>Pieter</t>
        </is>
      </c>
      <c r="C326" s="3" t="inlineStr">
        <is>
          <t>Jansen van Vuuren</t>
        </is>
      </c>
      <c r="D326" s="3" t="inlineStr">
        <is>
          <t>Heron View</t>
        </is>
      </c>
      <c r="E326" s="3" t="inlineStr">
        <is>
          <t>HVI201</t>
        </is>
      </c>
      <c r="F326" s="3" t="b">
        <v>0</v>
      </c>
      <c r="G326" s="3" t="b">
        <v>0</v>
      </c>
      <c r="H326" s="3" t="inlineStr">
        <is>
          <t>I</t>
        </is>
      </c>
      <c r="I326" s="4" t="n">
        <v>45141</v>
      </c>
      <c r="J326" s="4" t="n">
        <v>45259</v>
      </c>
      <c r="K326" s="4" t="n">
        <v>45516</v>
      </c>
      <c r="L326" s="3" t="n">
        <v>11</v>
      </c>
      <c r="M326" s="3" t="n">
        <v>100000</v>
      </c>
      <c r="N326" s="3" t="n">
        <v>18</v>
      </c>
      <c r="O326" s="3" t="b">
        <v>0</v>
      </c>
      <c r="P326" s="3" t="b">
        <v>0</v>
      </c>
      <c r="Q326" s="3" t="n">
        <v>3556.164383561638</v>
      </c>
      <c r="R326" s="3" t="n">
        <v>12673.97260273973</v>
      </c>
      <c r="S326" s="3" t="n">
        <v>16230.13698630136</v>
      </c>
      <c r="T326" s="5">
        <f>IF(J326&lt;&gt;"",M326*N326/365/100*('Cashflow Projection'!$B$2-Investors!J326),0)</f>
        <v/>
      </c>
    </row>
    <row r="327">
      <c r="A327" s="3" t="inlineStr">
        <is>
          <t>ZESP01</t>
        </is>
      </c>
      <c r="B327" s="3" t="inlineStr">
        <is>
          <t>Etienne</t>
        </is>
      </c>
      <c r="C327" s="3" t="inlineStr">
        <is>
          <t>Espag</t>
        </is>
      </c>
      <c r="D327" s="3" t="inlineStr">
        <is>
          <t>Heron View</t>
        </is>
      </c>
      <c r="E327" s="3" t="inlineStr">
        <is>
          <t>HVI201</t>
        </is>
      </c>
      <c r="F327" s="3" t="b">
        <v>0</v>
      </c>
      <c r="G327" s="3" t="b">
        <v>0</v>
      </c>
      <c r="H327" s="3" t="inlineStr">
        <is>
          <t>I</t>
        </is>
      </c>
      <c r="I327" s="4" t="n">
        <v>45086</v>
      </c>
      <c r="J327" s="4" t="n">
        <v>45252</v>
      </c>
      <c r="K327" s="4" t="n">
        <v>45516</v>
      </c>
      <c r="L327" s="3" t="n">
        <v>2</v>
      </c>
      <c r="M327" s="3" t="n">
        <v>700000</v>
      </c>
      <c r="N327" s="3" t="n">
        <v>16</v>
      </c>
      <c r="O327" s="3" t="b">
        <v>0</v>
      </c>
      <c r="P327" s="3" t="b">
        <v>0</v>
      </c>
      <c r="Q327" s="3" t="n">
        <v>35019.17808219185</v>
      </c>
      <c r="R327" s="3" t="n">
        <v>81008.21917808219</v>
      </c>
      <c r="S327" s="3" t="n">
        <v>116027.397260274</v>
      </c>
      <c r="T327" s="5">
        <f>IF(J327&lt;&gt;"",M327*N327/365/100*('Cashflow Projection'!$B$2-Investors!J327),0)</f>
        <v/>
      </c>
    </row>
    <row r="328">
      <c r="A328" s="3" t="inlineStr">
        <is>
          <t>ZKRO01</t>
        </is>
      </c>
      <c r="B328" s="3" t="inlineStr">
        <is>
          <t>Frans</t>
        </is>
      </c>
      <c r="C328" s="3" t="inlineStr">
        <is>
          <t>van der Merwe</t>
        </is>
      </c>
      <c r="D328" s="3" t="inlineStr">
        <is>
          <t>Heron View</t>
        </is>
      </c>
      <c r="E328" s="3" t="inlineStr">
        <is>
          <t>HVI201</t>
        </is>
      </c>
      <c r="F328" s="3" t="b">
        <v>0</v>
      </c>
      <c r="G328" s="3" t="b">
        <v>0</v>
      </c>
      <c r="H328" s="3" t="inlineStr">
        <is>
          <t>I</t>
        </is>
      </c>
      <c r="I328" s="4" t="n">
        <v>45141</v>
      </c>
      <c r="J328" s="4" t="n">
        <v>45273</v>
      </c>
      <c r="K328" s="4" t="n">
        <v>45516</v>
      </c>
      <c r="L328" s="3" t="n">
        <v>5</v>
      </c>
      <c r="M328" s="3" t="n">
        <v>300000</v>
      </c>
      <c r="N328" s="3" t="n">
        <v>18</v>
      </c>
      <c r="O328" s="3" t="b">
        <v>0</v>
      </c>
      <c r="P328" s="3" t="b">
        <v>0</v>
      </c>
      <c r="Q328" s="3" t="n">
        <v>11934.24657534246</v>
      </c>
      <c r="R328" s="3" t="n">
        <v>35950.68493150685</v>
      </c>
      <c r="S328" s="3" t="n">
        <v>47884.93150684931</v>
      </c>
      <c r="T328" s="5">
        <f>IF(J328&lt;&gt;"",M328*N328/365/100*('Cashflow Projection'!$B$2-Investors!J328),0)</f>
        <v/>
      </c>
    </row>
    <row r="329">
      <c r="A329" s="3" t="inlineStr">
        <is>
          <t>ZKRI02</t>
        </is>
      </c>
      <c r="B329" s="3" t="inlineStr">
        <is>
          <t>Hermanus Johannes</t>
        </is>
      </c>
      <c r="C329" s="3" t="inlineStr">
        <is>
          <t>Kriel</t>
        </is>
      </c>
      <c r="D329" s="3" t="inlineStr">
        <is>
          <t>Heron View</t>
        </is>
      </c>
      <c r="E329" s="3" t="inlineStr">
        <is>
          <t>HVI202</t>
        </is>
      </c>
      <c r="F329" s="3" t="b">
        <v>0</v>
      </c>
      <c r="G329" s="3" t="b">
        <v>0</v>
      </c>
      <c r="H329" s="3" t="inlineStr">
        <is>
          <t>I</t>
        </is>
      </c>
      <c r="I329" s="4" t="n">
        <v>45097</v>
      </c>
      <c r="J329" s="4" t="n">
        <v>45259</v>
      </c>
      <c r="K329" s="4" t="n">
        <v>45516</v>
      </c>
      <c r="L329" s="3" t="n">
        <v>5</v>
      </c>
      <c r="M329" s="3" t="n">
        <v>1100000</v>
      </c>
      <c r="N329" s="3" t="n">
        <v>18</v>
      </c>
      <c r="O329" s="3" t="b">
        <v>0</v>
      </c>
      <c r="P329" s="3" t="b">
        <v>0</v>
      </c>
      <c r="Q329" s="3" t="n">
        <v>53704.10958904109</v>
      </c>
      <c r="R329" s="3" t="n">
        <v>139413.698630137</v>
      </c>
      <c r="S329" s="3" t="n">
        <v>193117.8082191781</v>
      </c>
      <c r="T329" s="5">
        <f>IF(J329&lt;&gt;"",M329*N329/365/100*('Cashflow Projection'!$B$2-Investors!J329),0)</f>
        <v/>
      </c>
    </row>
    <row r="330">
      <c r="A330" s="3" t="inlineStr">
        <is>
          <t>ZKRI02</t>
        </is>
      </c>
      <c r="B330" s="3" t="inlineStr">
        <is>
          <t>Hermanus Johannes</t>
        </is>
      </c>
      <c r="C330" s="3" t="inlineStr">
        <is>
          <t>Kriel</t>
        </is>
      </c>
      <c r="D330" s="3" t="inlineStr">
        <is>
          <t>Heron View</t>
        </is>
      </c>
      <c r="E330" s="3" t="inlineStr">
        <is>
          <t>HVI203</t>
        </is>
      </c>
      <c r="F330" s="3" t="b">
        <v>0</v>
      </c>
      <c r="G330" s="3" t="b">
        <v>0</v>
      </c>
      <c r="H330" s="3" t="inlineStr">
        <is>
          <t>I</t>
        </is>
      </c>
      <c r="I330" s="4" t="n">
        <v>45097</v>
      </c>
      <c r="J330" s="4" t="n">
        <v>45259</v>
      </c>
      <c r="K330" s="4" t="n">
        <v>45516</v>
      </c>
      <c r="L330" s="3" t="n">
        <v>6</v>
      </c>
      <c r="M330" s="3" t="n">
        <v>1100000</v>
      </c>
      <c r="N330" s="3" t="n">
        <v>18</v>
      </c>
      <c r="O330" s="3" t="b">
        <v>0</v>
      </c>
      <c r="P330" s="3" t="b">
        <v>0</v>
      </c>
      <c r="Q330" s="3" t="n">
        <v>53704.10958904109</v>
      </c>
      <c r="R330" s="3" t="n">
        <v>139413.698630137</v>
      </c>
      <c r="S330" s="3" t="n">
        <v>193117.8082191781</v>
      </c>
      <c r="T330" s="5">
        <f>IF(J330&lt;&gt;"",M330*N330/365/100*('Cashflow Projection'!$B$2-Investors!J330),0)</f>
        <v/>
      </c>
    </row>
    <row r="331">
      <c r="A331" s="3" t="inlineStr">
        <is>
          <t>ZMYB01</t>
        </is>
      </c>
      <c r="B331" s="3" t="inlineStr">
        <is>
          <t>Hermanus Carel</t>
        </is>
      </c>
      <c r="C331" s="3" t="inlineStr">
        <is>
          <t>Myburgh</t>
        </is>
      </c>
      <c r="D331" s="3" t="inlineStr">
        <is>
          <t>Heron View</t>
        </is>
      </c>
      <c r="E331" s="3" t="inlineStr">
        <is>
          <t>HVI204</t>
        </is>
      </c>
      <c r="F331" s="3" t="b">
        <v>0</v>
      </c>
      <c r="G331" s="3" t="b">
        <v>0</v>
      </c>
      <c r="H331" s="3" t="inlineStr">
        <is>
          <t>I</t>
        </is>
      </c>
      <c r="I331" s="4" t="n">
        <v>45099</v>
      </c>
      <c r="J331" s="4" t="n">
        <v>45280</v>
      </c>
      <c r="K331" s="4" t="n">
        <v>45516</v>
      </c>
      <c r="L331" s="3" t="n">
        <v>2</v>
      </c>
      <c r="M331" s="3" t="n">
        <v>1100000</v>
      </c>
      <c r="N331" s="3" t="n">
        <v>18</v>
      </c>
      <c r="O331" s="3" t="b">
        <v>0</v>
      </c>
      <c r="P331" s="3" t="b">
        <v>0</v>
      </c>
      <c r="Q331" s="3" t="n">
        <v>60002.73972602739</v>
      </c>
      <c r="R331" s="3" t="n">
        <v>128021.9178082192</v>
      </c>
      <c r="S331" s="3" t="n">
        <v>188024.6575342466</v>
      </c>
      <c r="T331" s="5">
        <f>IF(J331&lt;&gt;"",M331*N331/365/100*('Cashflow Projection'!$B$2-Investors!J331),0)</f>
        <v/>
      </c>
    </row>
    <row r="332">
      <c r="A332" s="3" t="inlineStr">
        <is>
          <t>ZOLI01</t>
        </is>
      </c>
      <c r="B332" s="3" t="inlineStr">
        <is>
          <t>Jan Lukas Cornelus</t>
        </is>
      </c>
      <c r="C332" s="3" t="inlineStr">
        <is>
          <t>Olivier</t>
        </is>
      </c>
      <c r="D332" s="3" t="inlineStr">
        <is>
          <t>Heron View</t>
        </is>
      </c>
      <c r="E332" s="3" t="inlineStr">
        <is>
          <t>HVJ101</t>
        </is>
      </c>
      <c r="F332" s="3" t="b">
        <v>1</v>
      </c>
      <c r="G332" s="3" t="b">
        <v>0</v>
      </c>
      <c r="H332" s="3" t="inlineStr">
        <is>
          <t>J</t>
        </is>
      </c>
      <c r="I332" s="4" t="n">
        <v>44732</v>
      </c>
      <c r="J332" s="4" t="n">
        <v>44779</v>
      </c>
      <c r="K332" s="4" t="n">
        <v>45552</v>
      </c>
      <c r="L332" s="3" t="n">
        <v>2</v>
      </c>
      <c r="M332" s="3" t="n">
        <v>500000</v>
      </c>
      <c r="N332" s="3" t="n">
        <v>18</v>
      </c>
      <c r="O332" s="3" t="b">
        <v>0</v>
      </c>
      <c r="P332" s="3" t="b">
        <v>0</v>
      </c>
      <c r="Q332" s="3" t="n">
        <v>4890.410958904111</v>
      </c>
      <c r="R332" s="3" t="n">
        <v>190602.7397260274</v>
      </c>
      <c r="S332" s="3" t="n">
        <v>195493.1506849315</v>
      </c>
      <c r="T332" s="5">
        <f>IF(J332&lt;&gt;"",M332*N332/365/100*('Cashflow Projection'!$B$2-Investors!J332),0)</f>
        <v/>
      </c>
    </row>
    <row r="333">
      <c r="A333" s="3" t="inlineStr">
        <is>
          <t>ZVAN05</t>
        </is>
      </c>
      <c r="B333" s="3" t="inlineStr">
        <is>
          <t>Hermanus</t>
        </is>
      </c>
      <c r="C333" s="3" t="inlineStr">
        <is>
          <t>van der Sandt</t>
        </is>
      </c>
      <c r="D333" s="3" t="inlineStr">
        <is>
          <t>Heron View</t>
        </is>
      </c>
      <c r="E333" s="3" t="inlineStr">
        <is>
          <t>HVJ101</t>
        </is>
      </c>
      <c r="F333" s="3" t="b">
        <v>1</v>
      </c>
      <c r="G333" s="3" t="b">
        <v>0</v>
      </c>
      <c r="H333" s="3" t="inlineStr">
        <is>
          <t>J</t>
        </is>
      </c>
      <c r="I333" s="4" t="n">
        <v>44719</v>
      </c>
      <c r="J333" s="4" t="n">
        <v>44777</v>
      </c>
      <c r="K333" s="4" t="n">
        <v>45552</v>
      </c>
      <c r="L333" s="3" t="n">
        <v>2</v>
      </c>
      <c r="M333" s="3" t="n">
        <v>525000</v>
      </c>
      <c r="N333" s="3" t="n">
        <v>18</v>
      </c>
      <c r="O333" s="3" t="b">
        <v>0</v>
      </c>
      <c r="P333" s="3" t="b">
        <v>0</v>
      </c>
      <c r="Q333" s="3" t="n">
        <v>6300.000000000001</v>
      </c>
      <c r="R333" s="3" t="n">
        <v>200650.6849315068</v>
      </c>
      <c r="S333" s="3" t="n">
        <v>206950.6849315068</v>
      </c>
      <c r="T333" s="5">
        <f>IF(J333&lt;&gt;"",M333*N333/365/100*('Cashflow Projection'!$B$2-Investors!J333),0)</f>
        <v/>
      </c>
    </row>
    <row r="334">
      <c r="A334" s="3" t="inlineStr">
        <is>
          <t>ZKUS03</t>
        </is>
      </c>
      <c r="B334" s="3" t="inlineStr">
        <is>
          <t>Joanne Tracy</t>
        </is>
      </c>
      <c r="C334" s="3" t="inlineStr">
        <is>
          <t>Kuster</t>
        </is>
      </c>
      <c r="D334" s="3" t="inlineStr">
        <is>
          <t>Heron View</t>
        </is>
      </c>
      <c r="E334" s="3" t="inlineStr">
        <is>
          <t>HVJ102</t>
        </is>
      </c>
      <c r="F334" s="3" t="b">
        <v>1</v>
      </c>
      <c r="G334" s="3" t="b">
        <v>0</v>
      </c>
      <c r="H334" s="3" t="inlineStr">
        <is>
          <t>J</t>
        </is>
      </c>
      <c r="I334" s="4" t="n">
        <v>44719</v>
      </c>
      <c r="J334" s="4" t="n">
        <v>44743</v>
      </c>
      <c r="K334" s="4" t="n">
        <v>45552</v>
      </c>
      <c r="L334" s="3" t="n">
        <v>3</v>
      </c>
      <c r="M334" s="3" t="n">
        <v>164674.38</v>
      </c>
      <c r="N334" s="3" t="n">
        <v>14</v>
      </c>
      <c r="O334" s="3" t="b">
        <v>0</v>
      </c>
      <c r="P334" s="3" t="b">
        <v>0</v>
      </c>
      <c r="Q334" s="3" t="n">
        <v>812.0928328767122</v>
      </c>
      <c r="R334" s="3" t="n">
        <v>51098.68569534247</v>
      </c>
      <c r="S334" s="3" t="n">
        <v>51910.77852821918</v>
      </c>
      <c r="T334" s="5">
        <f>IF(J334&lt;&gt;"",M334*N334/365/100*('Cashflow Projection'!$B$2-Investors!J334),0)</f>
        <v/>
      </c>
    </row>
    <row r="335">
      <c r="A335" s="3" t="inlineStr">
        <is>
          <t>ZMCD02</t>
        </is>
      </c>
      <c r="B335" s="3" t="inlineStr">
        <is>
          <t>Andre (Josias Andreas)</t>
        </is>
      </c>
      <c r="C335" s="3" t="inlineStr">
        <is>
          <t>McDonald</t>
        </is>
      </c>
      <c r="D335" s="3" t="inlineStr">
        <is>
          <t>Heron View</t>
        </is>
      </c>
      <c r="E335" s="3" t="inlineStr">
        <is>
          <t>HVJ102</t>
        </is>
      </c>
      <c r="F335" s="3" t="b">
        <v>1</v>
      </c>
      <c r="G335" s="3" t="b">
        <v>0</v>
      </c>
      <c r="H335" s="3" t="inlineStr">
        <is>
          <t>J</t>
        </is>
      </c>
      <c r="I335" s="4" t="n">
        <v>44719</v>
      </c>
      <c r="J335" s="4" t="n">
        <v>44743</v>
      </c>
      <c r="K335" s="4" t="n">
        <v>45552</v>
      </c>
      <c r="L335" s="3" t="n">
        <v>3</v>
      </c>
      <c r="M335" s="3" t="n">
        <v>100000</v>
      </c>
      <c r="N335" s="3" t="n">
        <v>14</v>
      </c>
      <c r="O335" s="3" t="b">
        <v>0</v>
      </c>
      <c r="P335" s="3" t="b">
        <v>0</v>
      </c>
      <c r="Q335" s="3" t="n">
        <v>493.1506849315066</v>
      </c>
      <c r="R335" s="3" t="n">
        <v>31030.13698630137</v>
      </c>
      <c r="S335" s="3" t="n">
        <v>31523.28767123288</v>
      </c>
      <c r="T335" s="5">
        <f>IF(J335&lt;&gt;"",M335*N335/365/100*('Cashflow Projection'!$B$2-Investors!J335),0)</f>
        <v/>
      </c>
    </row>
    <row r="336">
      <c r="A336" s="3" t="inlineStr">
        <is>
          <t>ZSCH01</t>
        </is>
      </c>
      <c r="B336" s="3" t="inlineStr">
        <is>
          <t>Inge</t>
        </is>
      </c>
      <c r="C336" s="3" t="inlineStr">
        <is>
          <t>Schubert</t>
        </is>
      </c>
      <c r="D336" s="3" t="inlineStr">
        <is>
          <t>Heron View</t>
        </is>
      </c>
      <c r="E336" s="3" t="inlineStr">
        <is>
          <t>HVJ102</t>
        </is>
      </c>
      <c r="F336" s="3" t="b">
        <v>1</v>
      </c>
      <c r="G336" s="3" t="b">
        <v>0</v>
      </c>
      <c r="H336" s="3" t="inlineStr">
        <is>
          <t>J</t>
        </is>
      </c>
      <c r="I336" s="4" t="n">
        <v>44719</v>
      </c>
      <c r="J336" s="4" t="n">
        <v>44757</v>
      </c>
      <c r="K336" s="4" t="n">
        <v>45552</v>
      </c>
      <c r="L336" s="3" t="n">
        <v>14</v>
      </c>
      <c r="M336" s="3" t="n">
        <v>642671.4</v>
      </c>
      <c r="N336" s="3" t="n">
        <v>18</v>
      </c>
      <c r="O336" s="3" t="b">
        <v>0</v>
      </c>
      <c r="P336" s="3" t="b">
        <v>0</v>
      </c>
      <c r="Q336" s="3" t="n">
        <v>5018.119150684931</v>
      </c>
      <c r="R336" s="3" t="n">
        <v>251962.4036712329</v>
      </c>
      <c r="S336" s="3" t="n">
        <v>256980.5228219178</v>
      </c>
      <c r="T336" s="5">
        <f>IF(J336&lt;&gt;"",M336*N336/365/100*('Cashflow Projection'!$B$2-Investors!J336),0)</f>
        <v/>
      </c>
    </row>
    <row r="337">
      <c r="A337" s="3" t="inlineStr">
        <is>
          <t>ZWAL02</t>
        </is>
      </c>
      <c r="B337" s="3" t="inlineStr">
        <is>
          <t>Johann</t>
        </is>
      </c>
      <c r="C337" s="3" t="inlineStr">
        <is>
          <t>Wallander</t>
        </is>
      </c>
      <c r="D337" s="3" t="inlineStr">
        <is>
          <t>Heron View</t>
        </is>
      </c>
      <c r="E337" s="3" t="inlineStr">
        <is>
          <t>HVJ102</t>
        </is>
      </c>
      <c r="F337" s="3" t="b">
        <v>1</v>
      </c>
      <c r="G337" s="3" t="b">
        <v>0</v>
      </c>
      <c r="H337" s="3" t="inlineStr">
        <is>
          <t>J</t>
        </is>
      </c>
      <c r="I337" s="4" t="n">
        <v>44876</v>
      </c>
      <c r="J337" s="4" t="n">
        <v>44903</v>
      </c>
      <c r="K337" s="4" t="n">
        <v>45552</v>
      </c>
      <c r="L337" s="3" t="n">
        <v>3</v>
      </c>
      <c r="M337" s="3" t="n">
        <v>100000</v>
      </c>
      <c r="N337" s="3" t="n">
        <v>14</v>
      </c>
      <c r="O337" s="3" t="b">
        <v>0</v>
      </c>
      <c r="P337" s="3" t="b">
        <v>0</v>
      </c>
      <c r="Q337" s="3" t="n">
        <v>682.1917808219175</v>
      </c>
      <c r="R337" s="3" t="n">
        <v>24893.1506849315</v>
      </c>
      <c r="S337" s="3" t="n">
        <v>25575.34246575342</v>
      </c>
      <c r="T337" s="5">
        <f>IF(J337&lt;&gt;"",M337*N337/365/100*('Cashflow Projection'!$B$2-Investors!J337),0)</f>
        <v/>
      </c>
    </row>
    <row r="338">
      <c r="A338" s="3" t="inlineStr">
        <is>
          <t>ZDIC01</t>
        </is>
      </c>
      <c r="B338" s="3" t="inlineStr">
        <is>
          <t>Grant Allan</t>
        </is>
      </c>
      <c r="C338" s="3" t="inlineStr">
        <is>
          <t>Dickinson</t>
        </is>
      </c>
      <c r="D338" s="3" t="inlineStr">
        <is>
          <t>Heron View</t>
        </is>
      </c>
      <c r="E338" s="3" t="inlineStr">
        <is>
          <t>HVJ103</t>
        </is>
      </c>
      <c r="F338" s="3" t="b">
        <v>0</v>
      </c>
      <c r="G338" s="3" t="b">
        <v>0</v>
      </c>
      <c r="H338" s="3" t="inlineStr">
        <is>
          <t>J</t>
        </is>
      </c>
      <c r="I338" s="4" t="n">
        <v>44732</v>
      </c>
      <c r="J338" s="4" t="n">
        <v>44783</v>
      </c>
      <c r="K338" s="4" t="n">
        <v>45457</v>
      </c>
      <c r="L338" s="3" t="n">
        <v>10</v>
      </c>
      <c r="M338" s="3" t="n">
        <v>500000</v>
      </c>
      <c r="N338" s="3" t="n">
        <v>18</v>
      </c>
      <c r="O338" s="3" t="b">
        <v>0</v>
      </c>
      <c r="P338" s="3" t="b">
        <v>0</v>
      </c>
      <c r="Q338" s="3" t="n">
        <v>5342.465753424658</v>
      </c>
      <c r="R338" s="3" t="n">
        <v>166191.7808219178</v>
      </c>
      <c r="S338" s="3" t="n">
        <v>171534.2465753425</v>
      </c>
      <c r="T338" s="5">
        <f>IF(J338&lt;&gt;"",M338*N338/365/100*('Cashflow Projection'!$B$2-Investors!J338),0)</f>
        <v/>
      </c>
    </row>
    <row r="339">
      <c r="A339" s="3" t="inlineStr">
        <is>
          <t>ZHAY01</t>
        </is>
      </c>
      <c r="B339" s="3" t="inlineStr">
        <is>
          <t>Johannes Wynand</t>
        </is>
      </c>
      <c r="C339" s="3" t="inlineStr">
        <is>
          <t>Haywood</t>
        </is>
      </c>
      <c r="D339" s="3" t="inlineStr">
        <is>
          <t>Heron View</t>
        </is>
      </c>
      <c r="E339" s="3" t="inlineStr">
        <is>
          <t>HVJ103</t>
        </is>
      </c>
      <c r="F339" s="3" t="b">
        <v>0</v>
      </c>
      <c r="G339" s="3" t="b">
        <v>0</v>
      </c>
      <c r="H339" s="3" t="inlineStr">
        <is>
          <t>J</t>
        </is>
      </c>
      <c r="I339" s="4" t="n">
        <v>45462.64495165044</v>
      </c>
      <c r="J339" s="3" t="inlineStr"/>
      <c r="K339" s="4" t="n">
        <v>45546</v>
      </c>
      <c r="L339" s="3" t="n">
        <v>0</v>
      </c>
      <c r="M339" s="3" t="n">
        <v>150268.16</v>
      </c>
      <c r="N339" s="3" t="n">
        <v>13</v>
      </c>
      <c r="O339" s="3" t="b">
        <v>0</v>
      </c>
      <c r="P339" s="3" t="b">
        <v>1</v>
      </c>
      <c r="Q339" s="3" t="n">
        <v>1358.588843835616</v>
      </c>
      <c r="R339" s="3" t="n">
        <v>2836.568828493151</v>
      </c>
      <c r="S339" s="3" t="n">
        <v>4195.157672328767</v>
      </c>
      <c r="T339" s="5">
        <f>IF(J339&lt;&gt;"",M339*N339/365/100*('Cashflow Projection'!$B$2-Investors!J339),0)</f>
        <v/>
      </c>
    </row>
    <row r="340">
      <c r="A340" s="3" t="inlineStr">
        <is>
          <t>ZJER01</t>
        </is>
      </c>
      <c r="B340" s="3" t="inlineStr">
        <is>
          <t>Towela Patricia Rosemarie</t>
        </is>
      </c>
      <c r="C340" s="3" t="inlineStr">
        <is>
          <t>Jere</t>
        </is>
      </c>
      <c r="D340" s="3" t="inlineStr">
        <is>
          <t>Heron View</t>
        </is>
      </c>
      <c r="E340" s="3" t="inlineStr">
        <is>
          <t>HVJ103</t>
        </is>
      </c>
      <c r="F340" s="3" t="b">
        <v>0</v>
      </c>
      <c r="G340" s="3" t="b">
        <v>0</v>
      </c>
      <c r="H340" s="3" t="inlineStr">
        <is>
          <t>J</t>
        </is>
      </c>
      <c r="I340" s="4" t="n">
        <v>44761</v>
      </c>
      <c r="J340" s="4" t="n">
        <v>44798</v>
      </c>
      <c r="K340" s="4" t="n">
        <v>45457</v>
      </c>
      <c r="L340" s="3" t="n">
        <v>3</v>
      </c>
      <c r="M340" s="3" t="n">
        <v>100000</v>
      </c>
      <c r="N340" s="3" t="n">
        <v>14</v>
      </c>
      <c r="O340" s="3" t="b">
        <v>0</v>
      </c>
      <c r="P340" s="3" t="b">
        <v>0</v>
      </c>
      <c r="Q340" s="3" t="n">
        <v>811.6438356164379</v>
      </c>
      <c r="R340" s="3" t="n">
        <v>25276.71232876712</v>
      </c>
      <c r="S340" s="3" t="n">
        <v>26088.35616438356</v>
      </c>
      <c r="T340" s="5">
        <f>IF(J340&lt;&gt;"",M340*N340/365/100*('Cashflow Projection'!$B$2-Investors!J340),0)</f>
        <v/>
      </c>
    </row>
    <row r="341">
      <c r="A341" s="3" t="inlineStr">
        <is>
          <t>ZSON01</t>
        </is>
      </c>
      <c r="B341" s="3" t="inlineStr">
        <is>
          <t>Charles</t>
        </is>
      </c>
      <c r="C341" s="3" t="inlineStr">
        <is>
          <t>Maduna</t>
        </is>
      </c>
      <c r="D341" s="3" t="inlineStr">
        <is>
          <t>Heron View</t>
        </is>
      </c>
      <c r="E341" s="3" t="inlineStr">
        <is>
          <t>HVJ103</t>
        </is>
      </c>
      <c r="F341" s="3" t="b">
        <v>0</v>
      </c>
      <c r="G341" s="3" t="b">
        <v>0</v>
      </c>
      <c r="H341" s="3" t="inlineStr">
        <is>
          <t>J</t>
        </is>
      </c>
      <c r="I341" s="4" t="n">
        <v>45462.64495069042</v>
      </c>
      <c r="J341" s="3" t="inlineStr"/>
      <c r="K341" s="4" t="n">
        <v>45546</v>
      </c>
      <c r="L341" s="3" t="n">
        <v>0</v>
      </c>
      <c r="M341" s="3" t="n">
        <v>100000</v>
      </c>
      <c r="N341" s="3" t="n">
        <v>18</v>
      </c>
      <c r="O341" s="3" t="b">
        <v>0</v>
      </c>
      <c r="P341" s="3" t="b">
        <v>1</v>
      </c>
      <c r="Q341" s="3" t="n">
        <v>904.1095890410966</v>
      </c>
      <c r="R341" s="3" t="n">
        <v>2613.698630136986</v>
      </c>
      <c r="S341" s="3" t="n">
        <v>3517.808219178083</v>
      </c>
      <c r="T341" s="5">
        <f>IF(J341&lt;&gt;"",M341*N341/365/100*('Cashflow Projection'!$B$2-Investors!J341),0)</f>
        <v/>
      </c>
    </row>
    <row r="342">
      <c r="A342" s="3" t="inlineStr">
        <is>
          <t>ZZYL03</t>
        </is>
      </c>
      <c r="B342" s="3" t="inlineStr">
        <is>
          <t>Sandra Robyn</t>
        </is>
      </c>
      <c r="C342" s="3" t="inlineStr">
        <is>
          <t>Zylstra</t>
        </is>
      </c>
      <c r="D342" s="3" t="inlineStr">
        <is>
          <t>Heron View</t>
        </is>
      </c>
      <c r="E342" s="3" t="inlineStr">
        <is>
          <t>HVJ103</t>
        </is>
      </c>
      <c r="F342" s="3" t="b">
        <v>0</v>
      </c>
      <c r="G342" s="3" t="b">
        <v>0</v>
      </c>
      <c r="H342" s="3" t="inlineStr">
        <is>
          <t>J</t>
        </is>
      </c>
      <c r="I342" s="4" t="n">
        <v>45462.64495088339</v>
      </c>
      <c r="J342" s="3" t="inlineStr"/>
      <c r="K342" s="4" t="n">
        <v>45546</v>
      </c>
      <c r="L342" s="3" t="n">
        <v>0</v>
      </c>
      <c r="M342" s="3" t="n">
        <v>404386.12</v>
      </c>
      <c r="N342" s="3" t="n">
        <v>18</v>
      </c>
      <c r="O342" s="3" t="b">
        <v>0</v>
      </c>
      <c r="P342" s="3" t="b">
        <v>1</v>
      </c>
      <c r="Q342" s="3" t="n">
        <v>3656.093687671231</v>
      </c>
      <c r="R342" s="3" t="n">
        <v>10569.43447890411</v>
      </c>
      <c r="S342" s="3" t="n">
        <v>14225.52816657534</v>
      </c>
      <c r="T342" s="5">
        <f>IF(J342&lt;&gt;"",M342*N342/365/100*('Cashflow Projection'!$B$2-Investors!J342),0)</f>
        <v/>
      </c>
    </row>
    <row r="343">
      <c r="A343" s="3" t="inlineStr">
        <is>
          <t>ZZYL05</t>
        </is>
      </c>
      <c r="B343" s="3" t="inlineStr">
        <is>
          <t>Diana Wendy</t>
        </is>
      </c>
      <c r="C343" s="3" t="inlineStr">
        <is>
          <t>Zylstra</t>
        </is>
      </c>
      <c r="D343" s="3" t="inlineStr">
        <is>
          <t>Heron View</t>
        </is>
      </c>
      <c r="E343" s="3" t="inlineStr">
        <is>
          <t>HVJ103</t>
        </is>
      </c>
      <c r="F343" s="3" t="b">
        <v>0</v>
      </c>
      <c r="G343" s="3" t="b">
        <v>0</v>
      </c>
      <c r="H343" s="3" t="inlineStr">
        <is>
          <t>J</t>
        </is>
      </c>
      <c r="I343" s="4" t="n">
        <v>44741</v>
      </c>
      <c r="J343" s="4" t="n">
        <v>44777</v>
      </c>
      <c r="K343" s="4" t="n">
        <v>45457</v>
      </c>
      <c r="L343" s="3" t="n">
        <v>1</v>
      </c>
      <c r="M343" s="3" t="n">
        <v>400000</v>
      </c>
      <c r="N343" s="3" t="n">
        <v>14</v>
      </c>
      <c r="O343" s="3" t="b">
        <v>0</v>
      </c>
      <c r="P343" s="3" t="b">
        <v>0</v>
      </c>
      <c r="Q343" s="3" t="n">
        <v>2991.780821917806</v>
      </c>
      <c r="R343" s="3" t="n">
        <v>104328.7671232877</v>
      </c>
      <c r="S343" s="3" t="n">
        <v>107320.5479452055</v>
      </c>
      <c r="T343" s="5">
        <f>IF(J343&lt;&gt;"",M343*N343/365/100*('Cashflow Projection'!$B$2-Investors!J343),0)</f>
        <v/>
      </c>
    </row>
    <row r="344">
      <c r="A344" s="3" t="inlineStr">
        <is>
          <t>ZBUM01</t>
        </is>
      </c>
      <c r="B344" s="3" t="inlineStr">
        <is>
          <t>Andre Gottfried</t>
        </is>
      </c>
      <c r="C344" s="3" t="inlineStr">
        <is>
          <t>Brummer</t>
        </is>
      </c>
      <c r="D344" s="3" t="inlineStr">
        <is>
          <t>Heron View</t>
        </is>
      </c>
      <c r="E344" s="3" t="inlineStr">
        <is>
          <t>HVJ201</t>
        </is>
      </c>
      <c r="F344" s="3" t="b">
        <v>1</v>
      </c>
      <c r="G344" s="3" t="b">
        <v>0</v>
      </c>
      <c r="H344" s="3" t="inlineStr">
        <is>
          <t>J</t>
        </is>
      </c>
      <c r="I344" s="4" t="n">
        <v>44742</v>
      </c>
      <c r="J344" s="4" t="n">
        <v>44783</v>
      </c>
      <c r="K344" s="4" t="n">
        <v>45546</v>
      </c>
      <c r="L344" s="3" t="n">
        <v>2</v>
      </c>
      <c r="M344" s="3" t="n">
        <v>500000</v>
      </c>
      <c r="N344" s="3" t="n">
        <v>18</v>
      </c>
      <c r="O344" s="3" t="b">
        <v>0</v>
      </c>
      <c r="P344" s="3" t="b">
        <v>0</v>
      </c>
      <c r="Q344" s="3" t="n">
        <v>4315.068493150684</v>
      </c>
      <c r="R344" s="3" t="n">
        <v>188136.9863013699</v>
      </c>
      <c r="S344" s="3" t="n">
        <v>192452.0547945205</v>
      </c>
      <c r="T344" s="5">
        <f>IF(J344&lt;&gt;"",M344*N344/365/100*('Cashflow Projection'!$B$2-Investors!J344),0)</f>
        <v/>
      </c>
    </row>
    <row r="345">
      <c r="A345" s="3" t="inlineStr">
        <is>
          <t>ZSMI03</t>
        </is>
      </c>
      <c r="B345" s="3" t="inlineStr">
        <is>
          <t>Eugene Patrick</t>
        </is>
      </c>
      <c r="C345" s="3" t="inlineStr">
        <is>
          <t>Smit</t>
        </is>
      </c>
      <c r="D345" s="3" t="inlineStr">
        <is>
          <t>Heron View</t>
        </is>
      </c>
      <c r="E345" s="3" t="inlineStr">
        <is>
          <t>HVJ201</t>
        </is>
      </c>
      <c r="F345" s="3" t="b">
        <v>1</v>
      </c>
      <c r="G345" s="3" t="b">
        <v>0</v>
      </c>
      <c r="H345" s="3" t="inlineStr">
        <is>
          <t>J</t>
        </is>
      </c>
      <c r="I345" s="4" t="n">
        <v>44763</v>
      </c>
      <c r="J345" s="4" t="n">
        <v>44811</v>
      </c>
      <c r="K345" s="4" t="n">
        <v>45546</v>
      </c>
      <c r="L345" s="3" t="n">
        <v>1</v>
      </c>
      <c r="M345" s="3" t="n">
        <v>300000</v>
      </c>
      <c r="N345" s="3" t="n">
        <v>16</v>
      </c>
      <c r="O345" s="3" t="b">
        <v>0</v>
      </c>
      <c r="P345" s="3" t="b">
        <v>0</v>
      </c>
      <c r="Q345" s="3" t="n">
        <v>3193.150684931509</v>
      </c>
      <c r="R345" s="3" t="n">
        <v>96657.53424657535</v>
      </c>
      <c r="S345" s="3" t="n">
        <v>99850.68493150685</v>
      </c>
      <c r="T345" s="5">
        <f>IF(J345&lt;&gt;"",M345*N345/365/100*('Cashflow Projection'!$B$2-Investors!J345),0)</f>
        <v/>
      </c>
    </row>
    <row r="346">
      <c r="A346" s="3" t="inlineStr">
        <is>
          <t>ZZYL02</t>
        </is>
      </c>
      <c r="B346" s="3" t="inlineStr">
        <is>
          <t>Petronella Johanna</t>
        </is>
      </c>
      <c r="C346" s="3" t="inlineStr">
        <is>
          <t>Zylstra</t>
        </is>
      </c>
      <c r="D346" s="3" t="inlineStr">
        <is>
          <t>Heron View</t>
        </is>
      </c>
      <c r="E346" s="3" t="inlineStr">
        <is>
          <t>HVJ201</t>
        </is>
      </c>
      <c r="F346" s="3" t="b">
        <v>1</v>
      </c>
      <c r="G346" s="3" t="b">
        <v>0</v>
      </c>
      <c r="H346" s="3" t="inlineStr">
        <is>
          <t>J</t>
        </is>
      </c>
      <c r="I346" s="4" t="n">
        <v>44732</v>
      </c>
      <c r="J346" s="4" t="n">
        <v>44916</v>
      </c>
      <c r="K346" s="4" t="n">
        <v>45546</v>
      </c>
      <c r="L346" s="3" t="n">
        <v>2</v>
      </c>
      <c r="M346" s="3" t="n">
        <v>200000</v>
      </c>
      <c r="N346" s="3" t="n">
        <v>14</v>
      </c>
      <c r="O346" s="3" t="b">
        <v>0</v>
      </c>
      <c r="P346" s="3" t="b">
        <v>0</v>
      </c>
      <c r="Q346" s="3" t="n">
        <v>8572.602739726028</v>
      </c>
      <c r="R346" s="3" t="n">
        <v>48328.76712328767</v>
      </c>
      <c r="S346" s="3" t="n">
        <v>56901.36986301369</v>
      </c>
      <c r="T346" s="5">
        <f>IF(J346&lt;&gt;"",M346*N346/365/100*('Cashflow Projection'!$B$2-Investors!J346),0)</f>
        <v/>
      </c>
    </row>
    <row r="347">
      <c r="A347" s="3" t="inlineStr">
        <is>
          <t>ZLAB01</t>
        </is>
      </c>
      <c r="B347" s="3" t="inlineStr">
        <is>
          <t>Andre Jan</t>
        </is>
      </c>
      <c r="C347" s="3" t="inlineStr">
        <is>
          <t>Labuschagne</t>
        </is>
      </c>
      <c r="D347" s="3" t="inlineStr">
        <is>
          <t>Heron View</t>
        </is>
      </c>
      <c r="E347" s="3" t="inlineStr">
        <is>
          <t>HVJ202</t>
        </is>
      </c>
      <c r="F347" s="3" t="b">
        <v>1</v>
      </c>
      <c r="G347" s="3" t="b">
        <v>0</v>
      </c>
      <c r="H347" s="3" t="inlineStr">
        <is>
          <t>J</t>
        </is>
      </c>
      <c r="I347" s="4" t="n">
        <v>44763</v>
      </c>
      <c r="J347" s="4" t="n">
        <v>44811</v>
      </c>
      <c r="K347" s="4" t="n">
        <v>45552</v>
      </c>
      <c r="L347" s="3" t="n">
        <v>3</v>
      </c>
      <c r="M347" s="3" t="n">
        <v>1000000</v>
      </c>
      <c r="N347" s="3" t="n">
        <v>18</v>
      </c>
      <c r="O347" s="3" t="b">
        <v>0</v>
      </c>
      <c r="P347" s="3" t="b">
        <v>0</v>
      </c>
      <c r="Q347" s="3" t="n">
        <v>10643.83561643835</v>
      </c>
      <c r="R347" s="3" t="n">
        <v>365424.6575342466</v>
      </c>
      <c r="S347" s="3" t="n">
        <v>376068.4931506849</v>
      </c>
      <c r="T347" s="5">
        <f>IF(J347&lt;&gt;"",M347*N347/365/100*('Cashflow Projection'!$B$2-Investors!J347),0)</f>
        <v/>
      </c>
    </row>
    <row r="348">
      <c r="A348" s="3" t="inlineStr">
        <is>
          <t>ZBUM01</t>
        </is>
      </c>
      <c r="B348" s="3" t="inlineStr">
        <is>
          <t>Andre Gottfried</t>
        </is>
      </c>
      <c r="C348" s="3" t="inlineStr">
        <is>
          <t>Brummer</t>
        </is>
      </c>
      <c r="D348" s="3" t="inlineStr">
        <is>
          <t>Heron View</t>
        </is>
      </c>
      <c r="E348" s="3" t="inlineStr">
        <is>
          <t>HVJ203</t>
        </is>
      </c>
      <c r="F348" s="3" t="b">
        <v>0</v>
      </c>
      <c r="G348" s="3" t="b">
        <v>0</v>
      </c>
      <c r="H348" s="3" t="inlineStr">
        <is>
          <t>J</t>
        </is>
      </c>
      <c r="I348" s="4" t="n">
        <v>44741</v>
      </c>
      <c r="J348" s="4" t="n">
        <v>44791</v>
      </c>
      <c r="K348" s="4" t="n">
        <v>45546</v>
      </c>
      <c r="L348" s="3" t="n">
        <v>1</v>
      </c>
      <c r="M348" s="3" t="n">
        <v>1000000</v>
      </c>
      <c r="N348" s="3" t="n">
        <v>18</v>
      </c>
      <c r="O348" s="3" t="b">
        <v>0</v>
      </c>
      <c r="P348" s="3" t="b">
        <v>0</v>
      </c>
      <c r="Q348" s="3" t="n">
        <v>10643.83561643835</v>
      </c>
      <c r="R348" s="3" t="n">
        <v>372328.7671232877</v>
      </c>
      <c r="S348" s="3" t="n">
        <v>382972.6027397261</v>
      </c>
      <c r="T348" s="5">
        <f>IF(J348&lt;&gt;"",M348*N348/365/100*('Cashflow Projection'!$B$2-Investors!J348),0)</f>
        <v/>
      </c>
    </row>
    <row r="349">
      <c r="A349" s="3" t="inlineStr">
        <is>
          <t>ZBRO01</t>
        </is>
      </c>
      <c r="B349" s="3" t="inlineStr">
        <is>
          <t>Craig Anthony Richard</t>
        </is>
      </c>
      <c r="C349" s="3" t="inlineStr">
        <is>
          <t>Brown</t>
        </is>
      </c>
      <c r="D349" s="3" t="inlineStr">
        <is>
          <t>Heron View</t>
        </is>
      </c>
      <c r="E349" s="3" t="inlineStr">
        <is>
          <t>HVJ301</t>
        </is>
      </c>
      <c r="F349" s="3" t="b">
        <v>0</v>
      </c>
      <c r="G349" s="3" t="b">
        <v>0</v>
      </c>
      <c r="H349" s="3" t="inlineStr">
        <is>
          <t>J</t>
        </is>
      </c>
      <c r="I349" s="4" t="n">
        <v>44845</v>
      </c>
      <c r="J349" s="4" t="n">
        <v>44868</v>
      </c>
      <c r="K349" s="4" t="n">
        <v>45546</v>
      </c>
      <c r="L349" s="3" t="n">
        <v>3</v>
      </c>
      <c r="M349" s="3" t="n">
        <v>127553.41</v>
      </c>
      <c r="N349" s="3" t="n">
        <v>14</v>
      </c>
      <c r="O349" s="3" t="b">
        <v>0</v>
      </c>
      <c r="P349" s="3" t="b">
        <v>0</v>
      </c>
      <c r="Q349" s="3" t="n">
        <v>723.3850923287673</v>
      </c>
      <c r="R349" s="3" t="n">
        <v>33170.8758279452</v>
      </c>
      <c r="S349" s="3" t="n">
        <v>33894.26092027397</v>
      </c>
      <c r="T349" s="5">
        <f>IF(J349&lt;&gt;"",M349*N349/365/100*('Cashflow Projection'!$B$2-Investors!J349),0)</f>
        <v/>
      </c>
    </row>
    <row r="350">
      <c r="A350" s="3" t="inlineStr">
        <is>
          <t>ZMAN02</t>
        </is>
      </c>
      <c r="B350" s="3" t="inlineStr">
        <is>
          <t>Ilse</t>
        </is>
      </c>
      <c r="C350" s="3" t="inlineStr">
        <is>
          <t>Mans (Witberg)</t>
        </is>
      </c>
      <c r="D350" s="3" t="inlineStr">
        <is>
          <t>Heron View</t>
        </is>
      </c>
      <c r="E350" s="3" t="inlineStr">
        <is>
          <t>HVJ301</t>
        </is>
      </c>
      <c r="F350" s="3" t="b">
        <v>0</v>
      </c>
      <c r="G350" s="3" t="b">
        <v>0</v>
      </c>
      <c r="H350" s="3" t="inlineStr">
        <is>
          <t>J</t>
        </is>
      </c>
      <c r="I350" s="4" t="n">
        <v>44763</v>
      </c>
      <c r="J350" s="4" t="n">
        <v>44811</v>
      </c>
      <c r="K350" s="4" t="n">
        <v>45546</v>
      </c>
      <c r="L350" s="3" t="n">
        <v>1</v>
      </c>
      <c r="M350" s="3" t="n">
        <v>550000</v>
      </c>
      <c r="N350" s="3" t="n">
        <v>18</v>
      </c>
      <c r="O350" s="3" t="b">
        <v>0</v>
      </c>
      <c r="P350" s="3" t="b">
        <v>0</v>
      </c>
      <c r="Q350" s="3" t="n">
        <v>5854.109589041095</v>
      </c>
      <c r="R350" s="3" t="n">
        <v>199356.1643835617</v>
      </c>
      <c r="S350" s="3" t="n">
        <v>205210.2739726028</v>
      </c>
      <c r="T350" s="5">
        <f>IF(J350&lt;&gt;"",M350*N350/365/100*('Cashflow Projection'!$B$2-Investors!J350),0)</f>
        <v/>
      </c>
    </row>
    <row r="351">
      <c r="A351" s="3" t="inlineStr">
        <is>
          <t>ZSMI03</t>
        </is>
      </c>
      <c r="B351" s="3" t="inlineStr">
        <is>
          <t>Eugene Patrick</t>
        </is>
      </c>
      <c r="C351" s="3" t="inlineStr">
        <is>
          <t>Smit</t>
        </is>
      </c>
      <c r="D351" s="3" t="inlineStr">
        <is>
          <t>Heron View</t>
        </is>
      </c>
      <c r="E351" s="3" t="inlineStr">
        <is>
          <t>HVJ301</t>
        </is>
      </c>
      <c r="F351" s="3" t="b">
        <v>0</v>
      </c>
      <c r="G351" s="3" t="b">
        <v>0</v>
      </c>
      <c r="H351" s="3" t="inlineStr">
        <is>
          <t>J</t>
        </is>
      </c>
      <c r="I351" s="4" t="n">
        <v>44763</v>
      </c>
      <c r="J351" s="4" t="n">
        <v>44811</v>
      </c>
      <c r="K351" s="4" t="n">
        <v>45546</v>
      </c>
      <c r="L351" s="3" t="n">
        <v>2</v>
      </c>
      <c r="M351" s="3" t="n">
        <v>300000</v>
      </c>
      <c r="N351" s="3" t="n">
        <v>16</v>
      </c>
      <c r="O351" s="3" t="b">
        <v>0</v>
      </c>
      <c r="P351" s="3" t="b">
        <v>0</v>
      </c>
      <c r="Q351" s="3" t="n">
        <v>3193.150684931509</v>
      </c>
      <c r="R351" s="3" t="n">
        <v>96657.53424657535</v>
      </c>
      <c r="S351" s="3" t="n">
        <v>99850.68493150685</v>
      </c>
      <c r="T351" s="5">
        <f>IF(J351&lt;&gt;"",M351*N351/365/100*('Cashflow Projection'!$B$2-Investors!J351),0)</f>
        <v/>
      </c>
    </row>
    <row r="352">
      <c r="A352" s="3" t="inlineStr">
        <is>
          <t>ZMAN02</t>
        </is>
      </c>
      <c r="B352" s="3" t="inlineStr">
        <is>
          <t>Ilse</t>
        </is>
      </c>
      <c r="C352" s="3" t="inlineStr">
        <is>
          <t>Mans (Witberg)</t>
        </is>
      </c>
      <c r="D352" s="3" t="inlineStr">
        <is>
          <t>Heron View</t>
        </is>
      </c>
      <c r="E352" s="3" t="inlineStr">
        <is>
          <t>HVJ302</t>
        </is>
      </c>
      <c r="F352" s="3" t="b">
        <v>0</v>
      </c>
      <c r="G352" s="3" t="b">
        <v>0</v>
      </c>
      <c r="H352" s="3" t="inlineStr">
        <is>
          <t>J</t>
        </is>
      </c>
      <c r="I352" s="4" t="n">
        <v>44763</v>
      </c>
      <c r="J352" s="4" t="n">
        <v>44811</v>
      </c>
      <c r="K352" s="4" t="n">
        <v>45561</v>
      </c>
      <c r="L352" s="3" t="n">
        <v>2</v>
      </c>
      <c r="M352" s="3" t="n">
        <v>500000</v>
      </c>
      <c r="N352" s="3" t="n">
        <v>18</v>
      </c>
      <c r="O352" s="3" t="b">
        <v>0</v>
      </c>
      <c r="P352" s="3" t="b">
        <v>0</v>
      </c>
      <c r="Q352" s="3" t="n">
        <v>5321.917808219173</v>
      </c>
      <c r="R352" s="3" t="n">
        <v>184931.5068493151</v>
      </c>
      <c r="S352" s="3" t="n">
        <v>190253.4246575343</v>
      </c>
      <c r="T352" s="5">
        <f>IF(J352&lt;&gt;"",M352*N352/365/100*('Cashflow Projection'!$B$2-Investors!J352),0)</f>
        <v/>
      </c>
    </row>
    <row r="353">
      <c r="A353" s="3" t="inlineStr">
        <is>
          <t>ZVER04</t>
        </is>
      </c>
      <c r="B353" s="3" t="inlineStr">
        <is>
          <t>Floris Nicolaas</t>
        </is>
      </c>
      <c r="C353" s="3" t="inlineStr">
        <is>
          <t>Vermeulen</t>
        </is>
      </c>
      <c r="D353" s="3" t="inlineStr">
        <is>
          <t>Heron View</t>
        </is>
      </c>
      <c r="E353" s="3" t="inlineStr">
        <is>
          <t>HVJ302</t>
        </is>
      </c>
      <c r="F353" s="3" t="b">
        <v>0</v>
      </c>
      <c r="G353" s="3" t="b">
        <v>0</v>
      </c>
      <c r="H353" s="3" t="inlineStr">
        <is>
          <t>J</t>
        </is>
      </c>
      <c r="I353" s="4" t="n">
        <v>44755</v>
      </c>
      <c r="J353" s="4" t="n">
        <v>44798</v>
      </c>
      <c r="K353" s="4" t="n">
        <v>45561</v>
      </c>
      <c r="L353" s="3" t="n">
        <v>1</v>
      </c>
      <c r="M353" s="3" t="n">
        <v>500000</v>
      </c>
      <c r="N353" s="3" t="n">
        <v>18</v>
      </c>
      <c r="O353" s="3" t="b">
        <v>0</v>
      </c>
      <c r="P353" s="3" t="b">
        <v>0</v>
      </c>
      <c r="Q353" s="3" t="n">
        <v>4674.65753424657</v>
      </c>
      <c r="R353" s="3" t="n">
        <v>188136.9863013699</v>
      </c>
      <c r="S353" s="3" t="n">
        <v>192811.6438356164</v>
      </c>
      <c r="T353" s="5">
        <f>IF(J353&lt;&gt;"",M353*N353/365/100*('Cashflow Projection'!$B$2-Investors!J353),0)</f>
        <v/>
      </c>
    </row>
    <row r="354">
      <c r="A354" s="3" t="inlineStr">
        <is>
          <t>ZHAY01</t>
        </is>
      </c>
      <c r="B354" s="3" t="inlineStr">
        <is>
          <t>Johannes Wynand</t>
        </is>
      </c>
      <c r="C354" s="3" t="inlineStr">
        <is>
          <t>Haywood</t>
        </is>
      </c>
      <c r="D354" s="3" t="inlineStr">
        <is>
          <t>Heron View</t>
        </is>
      </c>
      <c r="E354" s="3" t="inlineStr">
        <is>
          <t>HVJ303</t>
        </is>
      </c>
      <c r="F354" s="3" t="b">
        <v>0</v>
      </c>
      <c r="G354" s="3" t="b">
        <v>0</v>
      </c>
      <c r="H354" s="3" t="inlineStr">
        <is>
          <t>J</t>
        </is>
      </c>
      <c r="I354" s="4" t="n">
        <v>45450</v>
      </c>
      <c r="J354" s="4" t="n">
        <v>45450</v>
      </c>
      <c r="K354" s="4" t="n">
        <v>45568</v>
      </c>
      <c r="L354" s="3" t="n">
        <v>3</v>
      </c>
      <c r="M354" s="3" t="n">
        <v>296151.5</v>
      </c>
      <c r="N354" s="3" t="n">
        <v>13</v>
      </c>
      <c r="O354" s="3" t="b">
        <v>0</v>
      </c>
      <c r="P354" s="3" t="b">
        <v>0</v>
      </c>
      <c r="Q354" s="3" t="n">
        <v>0</v>
      </c>
      <c r="R354" s="3" t="n">
        <v>12446.47673972603</v>
      </c>
      <c r="S354" s="3" t="n">
        <v>12446.47673972603</v>
      </c>
      <c r="T354" s="5">
        <f>IF(J354&lt;&gt;"",M354*N354/365/100*('Cashflow Projection'!$B$2-Investors!J354),0)</f>
        <v/>
      </c>
    </row>
    <row r="355">
      <c r="A355" s="3" t="inlineStr">
        <is>
          <t>ZKRU01</t>
        </is>
      </c>
      <c r="B355" s="3" t="inlineStr">
        <is>
          <t>Jurgen</t>
        </is>
      </c>
      <c r="C355" s="3" t="inlineStr">
        <is>
          <t>Kruger</t>
        </is>
      </c>
      <c r="D355" s="3" t="inlineStr">
        <is>
          <t>Heron View</t>
        </is>
      </c>
      <c r="E355" s="3" t="inlineStr">
        <is>
          <t>HVJ303</t>
        </is>
      </c>
      <c r="F355" s="3" t="b">
        <v>0</v>
      </c>
      <c r="G355" s="3" t="b">
        <v>0</v>
      </c>
      <c r="H355" s="3" t="inlineStr">
        <is>
          <t>J</t>
        </is>
      </c>
      <c r="I355" s="4" t="n">
        <v>45447</v>
      </c>
      <c r="J355" s="4" t="n">
        <v>45450</v>
      </c>
      <c r="K355" s="4" t="n">
        <v>45568</v>
      </c>
      <c r="L355" s="3" t="n">
        <v>10</v>
      </c>
      <c r="M355" s="3" t="n">
        <v>856280.01</v>
      </c>
      <c r="N355" s="3" t="n">
        <v>18</v>
      </c>
      <c r="O355" s="3" t="b">
        <v>0</v>
      </c>
      <c r="P355" s="3" t="b">
        <v>0</v>
      </c>
      <c r="Q355" s="3" t="n">
        <v>774.1709679452056</v>
      </c>
      <c r="R355" s="3" t="n">
        <v>49828.45866410959</v>
      </c>
      <c r="S355" s="3" t="n">
        <v>50602.62963205479</v>
      </c>
      <c r="T355" s="5">
        <f>IF(J355&lt;&gt;"",M355*N355/365/100*('Cashflow Projection'!$B$2-Investors!J355),0)</f>
        <v/>
      </c>
    </row>
    <row r="356">
      <c r="A356" s="3" t="inlineStr">
        <is>
          <t>ZPLA01</t>
        </is>
      </c>
      <c r="B356" s="3" t="inlineStr">
        <is>
          <t>Aneta</t>
        </is>
      </c>
      <c r="C356" s="3" t="inlineStr">
        <is>
          <t>Placzkowska</t>
        </is>
      </c>
      <c r="D356" s="3" t="inlineStr">
        <is>
          <t>Heron View</t>
        </is>
      </c>
      <c r="E356" s="3" t="inlineStr">
        <is>
          <t>HVJ303</t>
        </is>
      </c>
      <c r="F356" s="3" t="b">
        <v>0</v>
      </c>
      <c r="G356" s="3" t="b">
        <v>0</v>
      </c>
      <c r="H356" s="3" t="inlineStr">
        <is>
          <t>J</t>
        </is>
      </c>
      <c r="I356" s="4" t="n">
        <v>45447</v>
      </c>
      <c r="J356" s="4" t="n">
        <v>45450</v>
      </c>
      <c r="K356" s="4" t="n">
        <v>45568</v>
      </c>
      <c r="L356" s="3" t="n">
        <v>4</v>
      </c>
      <c r="M356" s="3" t="n">
        <v>175000</v>
      </c>
      <c r="N356" s="3" t="n">
        <v>18</v>
      </c>
      <c r="O356" s="3" t="b">
        <v>0</v>
      </c>
      <c r="P356" s="3" t="b">
        <v>0</v>
      </c>
      <c r="Q356" s="3" t="n">
        <v>158.2191780821918</v>
      </c>
      <c r="R356" s="3" t="n">
        <v>10183.56164383562</v>
      </c>
      <c r="S356" s="3" t="n">
        <v>10341.78082191781</v>
      </c>
      <c r="T356" s="5">
        <f>IF(J356&lt;&gt;"",M356*N356/365/100*('Cashflow Projection'!$B$2-Investors!J356),0)</f>
        <v/>
      </c>
    </row>
    <row r="357">
      <c r="A357" s="3" t="inlineStr">
        <is>
          <t>ZVER04</t>
        </is>
      </c>
      <c r="B357" s="3" t="inlineStr">
        <is>
          <t>Floris Nicolaas</t>
        </is>
      </c>
      <c r="C357" s="3" t="inlineStr">
        <is>
          <t>Vermeulen</t>
        </is>
      </c>
      <c r="D357" s="3" t="inlineStr">
        <is>
          <t>Heron View</t>
        </is>
      </c>
      <c r="E357" s="3" t="inlineStr">
        <is>
          <t>HVJ303</t>
        </is>
      </c>
      <c r="F357" s="3" t="b">
        <v>0</v>
      </c>
      <c r="G357" s="3" t="b">
        <v>0</v>
      </c>
      <c r="H357" s="3" t="inlineStr">
        <is>
          <t>J</t>
        </is>
      </c>
      <c r="I357" s="4" t="n">
        <v>44755</v>
      </c>
      <c r="J357" s="4" t="n">
        <v>44798</v>
      </c>
      <c r="K357" s="4" t="n">
        <v>45443</v>
      </c>
      <c r="L357" s="3" t="n">
        <v>2</v>
      </c>
      <c r="M357" s="3" t="n">
        <v>1000000</v>
      </c>
      <c r="N357" s="3" t="n">
        <v>18</v>
      </c>
      <c r="O357" s="3" t="b">
        <v>1</v>
      </c>
      <c r="P357" s="3" t="b">
        <v>0</v>
      </c>
      <c r="Q357" s="3" t="n">
        <v>9349.315068493141</v>
      </c>
      <c r="R357" s="3" t="n">
        <v>318082.1917808219</v>
      </c>
      <c r="S357" s="3" t="n">
        <v>327431.5068493151</v>
      </c>
      <c r="T357" s="5">
        <f>IF(J357&lt;&gt;"",M357*N357/365/100*('Cashflow Projection'!$B$2-Investors!J357),0)</f>
        <v/>
      </c>
    </row>
    <row r="358">
      <c r="A358" s="3" t="inlineStr">
        <is>
          <t>ZFOU02</t>
        </is>
      </c>
      <c r="B358" s="3" t="inlineStr">
        <is>
          <t>Clyde Michael</t>
        </is>
      </c>
      <c r="C358" s="3" t="inlineStr">
        <is>
          <t>Fountain</t>
        </is>
      </c>
      <c r="D358" s="3" t="inlineStr">
        <is>
          <t>Heron View</t>
        </is>
      </c>
      <c r="E358" s="3" t="inlineStr">
        <is>
          <t>HVJ401</t>
        </is>
      </c>
      <c r="F358" s="3" t="b">
        <v>0</v>
      </c>
      <c r="G358" s="3" t="b">
        <v>0</v>
      </c>
      <c r="H358" s="3" t="inlineStr">
        <is>
          <t>J</t>
        </is>
      </c>
      <c r="I358" s="4" t="n">
        <v>44764</v>
      </c>
      <c r="J358" s="4" t="n">
        <v>44811</v>
      </c>
      <c r="K358" s="4" t="n">
        <v>45457</v>
      </c>
      <c r="L358" s="3" t="n">
        <v>1</v>
      </c>
      <c r="M358" s="3" t="n">
        <v>1000000</v>
      </c>
      <c r="N358" s="3" t="n">
        <v>18</v>
      </c>
      <c r="O358" s="3" t="b">
        <v>0</v>
      </c>
      <c r="P358" s="3" t="b">
        <v>0</v>
      </c>
      <c r="Q358" s="3" t="n">
        <v>10438.35616438355</v>
      </c>
      <c r="R358" s="3" t="n">
        <v>318575.3424657534</v>
      </c>
      <c r="S358" s="3" t="n">
        <v>329013.698630137</v>
      </c>
      <c r="T358" s="5">
        <f>IF(J358&lt;&gt;"",M358*N358/365/100*('Cashflow Projection'!$B$2-Investors!J358),0)</f>
        <v/>
      </c>
    </row>
    <row r="359">
      <c r="A359" s="3" t="inlineStr">
        <is>
          <t>ZHAY01</t>
        </is>
      </c>
      <c r="B359" s="3" t="inlineStr">
        <is>
          <t>Johannes Wynand</t>
        </is>
      </c>
      <c r="C359" s="3" t="inlineStr">
        <is>
          <t>Haywood</t>
        </is>
      </c>
      <c r="D359" s="3" t="inlineStr">
        <is>
          <t>Heron View</t>
        </is>
      </c>
      <c r="E359" s="3" t="inlineStr">
        <is>
          <t>HVJ401</t>
        </is>
      </c>
      <c r="F359" s="3" t="b">
        <v>0</v>
      </c>
      <c r="G359" s="3" t="b">
        <v>0</v>
      </c>
      <c r="H359" s="3" t="inlineStr">
        <is>
          <t>J</t>
        </is>
      </c>
      <c r="I359" s="4" t="n">
        <v>45462.64495164959</v>
      </c>
      <c r="J359" s="3" t="inlineStr"/>
      <c r="K359" s="4" t="n">
        <v>45588</v>
      </c>
      <c r="L359" s="3" t="n">
        <v>0</v>
      </c>
      <c r="M359" s="3" t="n">
        <v>129013.7</v>
      </c>
      <c r="N359" s="3" t="n">
        <v>13</v>
      </c>
      <c r="O359" s="3" t="b">
        <v>0</v>
      </c>
      <c r="P359" s="3" t="b">
        <v>1</v>
      </c>
      <c r="Q359" s="3" t="n">
        <v>1166.425232876713</v>
      </c>
      <c r="R359" s="3" t="n">
        <v>4365.25806849315</v>
      </c>
      <c r="S359" s="3" t="n">
        <v>5531.683301369862</v>
      </c>
      <c r="T359" s="5">
        <f>IF(J359&lt;&gt;"",M359*N359/365/100*('Cashflow Projection'!$B$2-Investors!J359),0)</f>
        <v/>
      </c>
    </row>
    <row r="360">
      <c r="A360" s="3" t="inlineStr">
        <is>
          <t>ZJAN01</t>
        </is>
      </c>
      <c r="B360" s="3" t="inlineStr">
        <is>
          <t>Petrus Johannes</t>
        </is>
      </c>
      <c r="C360" s="3" t="inlineStr">
        <is>
          <t>Jansen van Rensburg</t>
        </is>
      </c>
      <c r="D360" s="3" t="inlineStr">
        <is>
          <t>Heron View</t>
        </is>
      </c>
      <c r="E360" s="3" t="inlineStr">
        <is>
          <t>HVJ401</t>
        </is>
      </c>
      <c r="F360" s="3" t="b">
        <v>0</v>
      </c>
      <c r="G360" s="3" t="b">
        <v>0</v>
      </c>
      <c r="H360" s="3" t="inlineStr">
        <is>
          <t>J</t>
        </is>
      </c>
      <c r="I360" s="4" t="n">
        <v>45462.64495077965</v>
      </c>
      <c r="J360" s="3" t="inlineStr"/>
      <c r="K360" s="4" t="n">
        <v>45588</v>
      </c>
      <c r="L360" s="3" t="n">
        <v>0</v>
      </c>
      <c r="M360" s="3" t="n">
        <v>200000</v>
      </c>
      <c r="N360" s="3" t="n">
        <v>14</v>
      </c>
      <c r="O360" s="3" t="b">
        <v>0</v>
      </c>
      <c r="P360" s="3" t="b">
        <v>1</v>
      </c>
      <c r="Q360" s="3" t="n">
        <v>1808.219178082193</v>
      </c>
      <c r="R360" s="3" t="n">
        <v>7287.671232876712</v>
      </c>
      <c r="S360" s="3" t="n">
        <v>9095.890410958906</v>
      </c>
      <c r="T360" s="5">
        <f>IF(J360&lt;&gt;"",M360*N360/365/100*('Cashflow Projection'!$B$2-Investors!J360),0)</f>
        <v/>
      </c>
    </row>
    <row r="361">
      <c r="A361" s="3" t="inlineStr">
        <is>
          <t>ZZYL03</t>
        </is>
      </c>
      <c r="B361" s="3" t="inlineStr">
        <is>
          <t>Sandra Robyn</t>
        </is>
      </c>
      <c r="C361" s="3" t="inlineStr">
        <is>
          <t>Zylstra</t>
        </is>
      </c>
      <c r="D361" s="3" t="inlineStr">
        <is>
          <t>Heron View</t>
        </is>
      </c>
      <c r="E361" s="3" t="inlineStr">
        <is>
          <t>HVJ401</t>
        </is>
      </c>
      <c r="F361" s="3" t="b">
        <v>0</v>
      </c>
      <c r="G361" s="3" t="b">
        <v>0</v>
      </c>
      <c r="H361" s="3" t="inlineStr">
        <is>
          <t>J</t>
        </is>
      </c>
      <c r="I361" s="4" t="n">
        <v>45462.64495088213</v>
      </c>
      <c r="J361" s="3" t="inlineStr"/>
      <c r="K361" s="4" t="n">
        <v>45588</v>
      </c>
      <c r="L361" s="3" t="n">
        <v>0</v>
      </c>
      <c r="M361" s="3" t="n">
        <v>1000000</v>
      </c>
      <c r="N361" s="3" t="n">
        <v>18</v>
      </c>
      <c r="O361" s="3" t="b">
        <v>0</v>
      </c>
      <c r="P361" s="3" t="b">
        <v>1</v>
      </c>
      <c r="Q361" s="3" t="n">
        <v>9041.095890410959</v>
      </c>
      <c r="R361" s="3" t="n">
        <v>46849.31506849315</v>
      </c>
      <c r="S361" s="3" t="n">
        <v>55890.41095890411</v>
      </c>
      <c r="T361" s="5">
        <f>IF(J361&lt;&gt;"",M361*N361/365/100*('Cashflow Projection'!$B$2-Investors!J361),0)</f>
        <v/>
      </c>
    </row>
    <row r="362">
      <c r="A362" s="3" t="inlineStr">
        <is>
          <t>ZHAY01</t>
        </is>
      </c>
      <c r="B362" s="3" t="inlineStr">
        <is>
          <t>Johannes Wynand</t>
        </is>
      </c>
      <c r="C362" s="3" t="inlineStr">
        <is>
          <t>Haywood</t>
        </is>
      </c>
      <c r="D362" s="3" t="inlineStr">
        <is>
          <t>Heron View</t>
        </is>
      </c>
      <c r="E362" s="3" t="inlineStr">
        <is>
          <t>HVJ402</t>
        </is>
      </c>
      <c r="F362" s="3" t="b">
        <v>0</v>
      </c>
      <c r="G362" s="3" t="b">
        <v>0</v>
      </c>
      <c r="H362" s="3" t="inlineStr">
        <is>
          <t>J</t>
        </is>
      </c>
      <c r="I362" s="4" t="n">
        <v>45450</v>
      </c>
      <c r="J362" s="4" t="n">
        <v>45450</v>
      </c>
      <c r="K362" s="4" t="n">
        <v>45574</v>
      </c>
      <c r="L362" s="3" t="n">
        <v>4</v>
      </c>
      <c r="M362" s="3" t="n">
        <v>333591.74</v>
      </c>
      <c r="N362" s="3" t="n">
        <v>13</v>
      </c>
      <c r="O362" s="3" t="b">
        <v>0</v>
      </c>
      <c r="P362" s="3" t="b">
        <v>0</v>
      </c>
      <c r="Q362" s="3" t="n">
        <v>0</v>
      </c>
      <c r="R362" s="3" t="n">
        <v>14732.87355835616</v>
      </c>
      <c r="S362" s="3" t="n">
        <v>14732.87355835616</v>
      </c>
      <c r="T362" s="5">
        <f>IF(J362&lt;&gt;"",M362*N362/365/100*('Cashflow Projection'!$B$2-Investors!J362),0)</f>
        <v/>
      </c>
    </row>
    <row r="363">
      <c r="A363" s="3" t="inlineStr">
        <is>
          <t>ZPLA01</t>
        </is>
      </c>
      <c r="B363" s="3" t="inlineStr">
        <is>
          <t>Aneta</t>
        </is>
      </c>
      <c r="C363" s="3" t="inlineStr">
        <is>
          <t>Placzkowska</t>
        </is>
      </c>
      <c r="D363" s="3" t="inlineStr">
        <is>
          <t>Heron View</t>
        </is>
      </c>
      <c r="E363" s="3" t="inlineStr">
        <is>
          <t>HVJ402</t>
        </is>
      </c>
      <c r="F363" s="3" t="b">
        <v>0</v>
      </c>
      <c r="G363" s="3" t="b">
        <v>0</v>
      </c>
      <c r="H363" s="3" t="inlineStr">
        <is>
          <t>J</t>
        </is>
      </c>
      <c r="I363" s="4" t="n">
        <v>45447</v>
      </c>
      <c r="J363" s="4" t="n">
        <v>45450</v>
      </c>
      <c r="K363" s="4" t="n">
        <v>45574</v>
      </c>
      <c r="L363" s="3" t="n">
        <v>5</v>
      </c>
      <c r="M363" s="3" t="n">
        <v>525000</v>
      </c>
      <c r="N363" s="3" t="n">
        <v>18</v>
      </c>
      <c r="O363" s="3" t="b">
        <v>0</v>
      </c>
      <c r="P363" s="3" t="b">
        <v>0</v>
      </c>
      <c r="Q363" s="3" t="n">
        <v>474.6575342465753</v>
      </c>
      <c r="R363" s="3" t="n">
        <v>32104.10958904109</v>
      </c>
      <c r="S363" s="3" t="n">
        <v>32578.76712328767</v>
      </c>
      <c r="T363" s="5">
        <f>IF(J363&lt;&gt;"",M363*N363/365/100*('Cashflow Projection'!$B$2-Investors!J363),0)</f>
        <v/>
      </c>
    </row>
    <row r="364">
      <c r="A364" s="3" t="inlineStr">
        <is>
          <t>ZVIS02</t>
        </is>
      </c>
      <c r="B364" s="3" t="inlineStr">
        <is>
          <t>Jimke</t>
        </is>
      </c>
      <c r="C364" s="3" t="inlineStr">
        <is>
          <t>Visser</t>
        </is>
      </c>
      <c r="D364" s="3" t="inlineStr">
        <is>
          <t>Heron View</t>
        </is>
      </c>
      <c r="E364" s="3" t="inlineStr">
        <is>
          <t>HVJ402</t>
        </is>
      </c>
      <c r="F364" s="3" t="b">
        <v>0</v>
      </c>
      <c r="G364" s="3" t="b">
        <v>0</v>
      </c>
      <c r="H364" s="3" t="inlineStr">
        <is>
          <t>J</t>
        </is>
      </c>
      <c r="I364" s="4" t="n">
        <v>44761</v>
      </c>
      <c r="J364" s="4" t="n">
        <v>44811</v>
      </c>
      <c r="K364" s="4" t="n">
        <v>45443</v>
      </c>
      <c r="L364" s="3" t="n">
        <v>2</v>
      </c>
      <c r="M364" s="3" t="n">
        <v>1000000</v>
      </c>
      <c r="N364" s="3" t="n">
        <v>18</v>
      </c>
      <c r="O364" s="3" t="b">
        <v>1</v>
      </c>
      <c r="P364" s="3" t="b">
        <v>0</v>
      </c>
      <c r="Q364" s="3" t="n">
        <v>11054.79452054793</v>
      </c>
      <c r="R364" s="3" t="n">
        <v>311671.2328767123</v>
      </c>
      <c r="S364" s="3" t="n">
        <v>322726.0273972603</v>
      </c>
      <c r="T364" s="5">
        <f>IF(J364&lt;&gt;"",M364*N364/365/100*('Cashflow Projection'!$B$2-Investors!J364),0)</f>
        <v/>
      </c>
    </row>
    <row r="365">
      <c r="A365" s="3" t="inlineStr">
        <is>
          <t>ZWEL01</t>
        </is>
      </c>
      <c r="B365" s="3" t="inlineStr">
        <is>
          <t>Christopher John</t>
        </is>
      </c>
      <c r="C365" s="3" t="inlineStr">
        <is>
          <t>Welham</t>
        </is>
      </c>
      <c r="D365" s="3" t="inlineStr">
        <is>
          <t>Heron View</t>
        </is>
      </c>
      <c r="E365" s="3" t="inlineStr">
        <is>
          <t>HVJ402</t>
        </is>
      </c>
      <c r="F365" s="3" t="b">
        <v>0</v>
      </c>
      <c r="G365" s="3" t="b">
        <v>0</v>
      </c>
      <c r="H365" s="3" t="inlineStr">
        <is>
          <t>J</t>
        </is>
      </c>
      <c r="I365" s="4" t="n">
        <v>45447</v>
      </c>
      <c r="J365" s="4" t="n">
        <v>45450</v>
      </c>
      <c r="K365" s="4" t="n">
        <v>45574</v>
      </c>
      <c r="L365" s="3" t="n">
        <v>5</v>
      </c>
      <c r="M365" s="3" t="n">
        <v>464134.29</v>
      </c>
      <c r="N365" s="3" t="n">
        <v>16</v>
      </c>
      <c r="O365" s="3" t="b">
        <v>0</v>
      </c>
      <c r="P365" s="3" t="b">
        <v>0</v>
      </c>
      <c r="Q365" s="3" t="n">
        <v>419.6282621917808</v>
      </c>
      <c r="R365" s="3" t="n">
        <v>25228.55976328767</v>
      </c>
      <c r="S365" s="3" t="n">
        <v>25648.18802547945</v>
      </c>
      <c r="T365" s="5">
        <f>IF(J365&lt;&gt;"",M365*N365/365/100*('Cashflow Projection'!$B$2-Investors!J365),0)</f>
        <v/>
      </c>
    </row>
    <row r="366">
      <c r="A366" s="3" t="inlineStr">
        <is>
          <t>ZFOU02</t>
        </is>
      </c>
      <c r="B366" s="3" t="inlineStr">
        <is>
          <t>Clyde Michael</t>
        </is>
      </c>
      <c r="C366" s="3" t="inlineStr">
        <is>
          <t>Fountain</t>
        </is>
      </c>
      <c r="D366" s="3" t="inlineStr">
        <is>
          <t>Heron View</t>
        </is>
      </c>
      <c r="E366" s="3" t="inlineStr">
        <is>
          <t>HVJ403</t>
        </is>
      </c>
      <c r="F366" s="3" t="b">
        <v>0</v>
      </c>
      <c r="G366" s="3" t="b">
        <v>0</v>
      </c>
      <c r="H366" s="3" t="inlineStr">
        <is>
          <t>J</t>
        </is>
      </c>
      <c r="I366" s="4" t="n">
        <v>44764</v>
      </c>
      <c r="J366" s="4" t="n">
        <v>44811</v>
      </c>
      <c r="K366" s="4" t="n">
        <v>45602</v>
      </c>
      <c r="L366" s="3" t="n">
        <v>2</v>
      </c>
      <c r="M366" s="3" t="n">
        <v>500000</v>
      </c>
      <c r="N366" s="3" t="n">
        <v>18</v>
      </c>
      <c r="O366" s="3" t="b">
        <v>0</v>
      </c>
      <c r="P366" s="3" t="b">
        <v>0</v>
      </c>
      <c r="Q366" s="3" t="n">
        <v>5219.178082191776</v>
      </c>
      <c r="R366" s="3" t="n">
        <v>195041.095890411</v>
      </c>
      <c r="S366" s="3" t="n">
        <v>200260.2739726027</v>
      </c>
      <c r="T366" s="5">
        <f>IF(J366&lt;&gt;"",M366*N366/365/100*('Cashflow Projection'!$B$2-Investors!J366),0)</f>
        <v/>
      </c>
    </row>
    <row r="367">
      <c r="A367" s="3" t="inlineStr">
        <is>
          <t>ZVER04</t>
        </is>
      </c>
      <c r="B367" s="3" t="inlineStr">
        <is>
          <t>Floris Nicolaas</t>
        </is>
      </c>
      <c r="C367" s="3" t="inlineStr">
        <is>
          <t>Vermeulen</t>
        </is>
      </c>
      <c r="D367" s="3" t="inlineStr">
        <is>
          <t>Heron View</t>
        </is>
      </c>
      <c r="E367" s="3" t="inlineStr">
        <is>
          <t>HVJ403</t>
        </is>
      </c>
      <c r="F367" s="3" t="b">
        <v>0</v>
      </c>
      <c r="G367" s="3" t="b">
        <v>0</v>
      </c>
      <c r="H367" s="3" t="inlineStr">
        <is>
          <t>J</t>
        </is>
      </c>
      <c r="I367" s="4" t="n">
        <v>44755</v>
      </c>
      <c r="J367" s="4" t="n">
        <v>44798</v>
      </c>
      <c r="K367" s="4" t="n">
        <v>45602</v>
      </c>
      <c r="L367" s="3" t="n">
        <v>3</v>
      </c>
      <c r="M367" s="3" t="n">
        <v>500000</v>
      </c>
      <c r="N367" s="3" t="n">
        <v>18</v>
      </c>
      <c r="O367" s="3" t="b">
        <v>0</v>
      </c>
      <c r="P367" s="3" t="b">
        <v>0</v>
      </c>
      <c r="Q367" s="3" t="n">
        <v>4674.65753424657</v>
      </c>
      <c r="R367" s="3" t="n">
        <v>198246.5753424658</v>
      </c>
      <c r="S367" s="3" t="n">
        <v>202921.2328767123</v>
      </c>
      <c r="T367" s="5">
        <f>IF(J367&lt;&gt;"",M367*N367/365/100*('Cashflow Projection'!$B$2-Investors!J367),0)</f>
        <v/>
      </c>
    </row>
    <row r="368">
      <c r="A368" s="3" t="inlineStr">
        <is>
          <t>ZCRO01</t>
        </is>
      </c>
      <c r="B368" s="3" t="inlineStr">
        <is>
          <t>Marc</t>
        </is>
      </c>
      <c r="C368" s="3" t="inlineStr">
        <is>
          <t>Lunau</t>
        </is>
      </c>
      <c r="D368" s="3" t="inlineStr">
        <is>
          <t>Heron View</t>
        </is>
      </c>
      <c r="E368" s="3" t="inlineStr">
        <is>
          <t>HVK101</t>
        </is>
      </c>
      <c r="F368" s="3" t="b">
        <v>0</v>
      </c>
      <c r="G368" s="3" t="b">
        <v>0</v>
      </c>
      <c r="H368" s="3" t="inlineStr">
        <is>
          <t>K</t>
        </is>
      </c>
      <c r="I368" s="4" t="n">
        <v>44992</v>
      </c>
      <c r="J368" s="4" t="n">
        <v>45107</v>
      </c>
      <c r="K368" s="4" t="n">
        <v>45546</v>
      </c>
      <c r="L368" s="3" t="n">
        <v>14</v>
      </c>
      <c r="M368" s="3" t="n">
        <v>150000</v>
      </c>
      <c r="N368" s="3" t="n">
        <v>18</v>
      </c>
      <c r="O368" s="3" t="b">
        <v>0</v>
      </c>
      <c r="P368" s="3" t="b">
        <v>0</v>
      </c>
      <c r="Q368" s="3" t="n">
        <v>4974.657534246577</v>
      </c>
      <c r="R368" s="3" t="n">
        <v>32473.97260273973</v>
      </c>
      <c r="S368" s="3" t="n">
        <v>37448.63013698631</v>
      </c>
      <c r="T368" s="5">
        <f>IF(J368&lt;&gt;"",M368*N368/365/100*('Cashflow Projection'!$B$2-Investors!J368),0)</f>
        <v/>
      </c>
    </row>
    <row r="369">
      <c r="A369" s="3" t="inlineStr">
        <is>
          <t>ZINT01</t>
        </is>
      </c>
      <c r="B369" s="3" t="inlineStr">
        <is>
          <t>Marc</t>
        </is>
      </c>
      <c r="C369" s="3" t="inlineStr">
        <is>
          <t>Lunau</t>
        </is>
      </c>
      <c r="D369" s="3" t="inlineStr">
        <is>
          <t>Heron View</t>
        </is>
      </c>
      <c r="E369" s="3" t="inlineStr">
        <is>
          <t>HVK101</t>
        </is>
      </c>
      <c r="F369" s="3" t="b">
        <v>0</v>
      </c>
      <c r="G369" s="3" t="b">
        <v>0</v>
      </c>
      <c r="H369" s="3" t="inlineStr">
        <is>
          <t>K</t>
        </is>
      </c>
      <c r="I369" s="4" t="n">
        <v>45002</v>
      </c>
      <c r="J369" s="4" t="n">
        <v>45107</v>
      </c>
      <c r="K369" s="4" t="n">
        <v>45546</v>
      </c>
      <c r="L369" s="3" t="n">
        <v>16</v>
      </c>
      <c r="M369" s="3" t="n">
        <v>100000</v>
      </c>
      <c r="N369" s="3" t="n">
        <v>18</v>
      </c>
      <c r="O369" s="3" t="b">
        <v>0</v>
      </c>
      <c r="P369" s="3" t="b">
        <v>0</v>
      </c>
      <c r="Q369" s="3" t="n">
        <v>3042.465753424652</v>
      </c>
      <c r="R369" s="3" t="n">
        <v>21649.31506849315</v>
      </c>
      <c r="S369" s="3" t="n">
        <v>24691.7808219178</v>
      </c>
      <c r="T369" s="5">
        <f>IF(J369&lt;&gt;"",M369*N369/365/100*('Cashflow Projection'!$B$2-Investors!J369),0)</f>
        <v/>
      </c>
    </row>
    <row r="370">
      <c r="A370" s="3" t="inlineStr">
        <is>
          <t>ZMIN01</t>
        </is>
      </c>
      <c r="B370" s="3" t="inlineStr">
        <is>
          <t>Irene Petronella</t>
        </is>
      </c>
      <c r="C370" s="3" t="inlineStr">
        <is>
          <t>Minnaar</t>
        </is>
      </c>
      <c r="D370" s="3" t="inlineStr">
        <is>
          <t>Heron View</t>
        </is>
      </c>
      <c r="E370" s="3" t="inlineStr">
        <is>
          <t>HVK101</t>
        </is>
      </c>
      <c r="F370" s="3" t="b">
        <v>0</v>
      </c>
      <c r="G370" s="3" t="b">
        <v>0</v>
      </c>
      <c r="H370" s="3" t="inlineStr">
        <is>
          <t>K</t>
        </is>
      </c>
      <c r="I370" s="4" t="n">
        <v>44938</v>
      </c>
      <c r="J370" s="4" t="n">
        <v>45016</v>
      </c>
      <c r="K370" s="4" t="n">
        <v>45546</v>
      </c>
      <c r="L370" s="3" t="n">
        <v>2</v>
      </c>
      <c r="M370" s="3" t="n">
        <v>500000</v>
      </c>
      <c r="N370" s="3" t="n">
        <v>16</v>
      </c>
      <c r="O370" s="3" t="b">
        <v>0</v>
      </c>
      <c r="P370" s="3" t="b">
        <v>0</v>
      </c>
      <c r="Q370" s="3" t="n">
        <v>10619.86301369864</v>
      </c>
      <c r="R370" s="3" t="n">
        <v>116164.3835616438</v>
      </c>
      <c r="S370" s="3" t="n">
        <v>126784.2465753425</v>
      </c>
      <c r="T370" s="5">
        <f>IF(J370&lt;&gt;"",M370*N370/365/100*('Cashflow Projection'!$B$2-Investors!J370),0)</f>
        <v/>
      </c>
    </row>
    <row r="371">
      <c r="A371" s="3" t="inlineStr">
        <is>
          <t>ZRIT01</t>
        </is>
      </c>
      <c r="B371" s="3" t="inlineStr">
        <is>
          <t>Dennis</t>
        </is>
      </c>
      <c r="C371" s="3" t="inlineStr">
        <is>
          <t>Ritter</t>
        </is>
      </c>
      <c r="D371" s="3" t="inlineStr">
        <is>
          <t>Heron View</t>
        </is>
      </c>
      <c r="E371" s="3" t="inlineStr">
        <is>
          <t>HVK101</t>
        </is>
      </c>
      <c r="F371" s="3" t="b">
        <v>0</v>
      </c>
      <c r="G371" s="3" t="b">
        <v>0</v>
      </c>
      <c r="H371" s="3" t="inlineStr">
        <is>
          <t>K</t>
        </is>
      </c>
      <c r="I371" s="4" t="n">
        <v>44873</v>
      </c>
      <c r="J371" s="4" t="n">
        <v>44909</v>
      </c>
      <c r="K371" s="4" t="n">
        <v>45546</v>
      </c>
      <c r="L371" s="3" t="n">
        <v>8</v>
      </c>
      <c r="M371" s="3" t="n">
        <v>288000</v>
      </c>
      <c r="N371" s="3" t="n">
        <v>18</v>
      </c>
      <c r="O371" s="3" t="b">
        <v>0</v>
      </c>
      <c r="P371" s="3" t="b">
        <v>0</v>
      </c>
      <c r="Q371" s="3" t="n">
        <v>2639.342465753426</v>
      </c>
      <c r="R371" s="3" t="n">
        <v>90471.45205479451</v>
      </c>
      <c r="S371" s="3" t="n">
        <v>93110.79452054793</v>
      </c>
      <c r="T371" s="5">
        <f>IF(J371&lt;&gt;"",M371*N371/365/100*('Cashflow Projection'!$B$2-Investors!J371),0)</f>
        <v/>
      </c>
    </row>
    <row r="372">
      <c r="A372" s="3" t="inlineStr">
        <is>
          <t>ZVAN05</t>
        </is>
      </c>
      <c r="B372" s="3" t="inlineStr">
        <is>
          <t>Hermanus</t>
        </is>
      </c>
      <c r="C372" s="3" t="inlineStr">
        <is>
          <t>van der Sandt</t>
        </is>
      </c>
      <c r="D372" s="3" t="inlineStr">
        <is>
          <t>Heron View</t>
        </is>
      </c>
      <c r="E372" s="3" t="inlineStr">
        <is>
          <t>HVK102</t>
        </is>
      </c>
      <c r="F372" s="3" t="b">
        <v>0</v>
      </c>
      <c r="G372" s="3" t="b">
        <v>0</v>
      </c>
      <c r="H372" s="3" t="inlineStr">
        <is>
          <t>K</t>
        </is>
      </c>
      <c r="I372" s="4" t="n">
        <v>44866</v>
      </c>
      <c r="J372" s="4" t="n">
        <v>44909</v>
      </c>
      <c r="K372" s="4" t="n">
        <v>45546</v>
      </c>
      <c r="L372" s="3" t="n">
        <v>5</v>
      </c>
      <c r="M372" s="3" t="n">
        <v>1100000</v>
      </c>
      <c r="N372" s="3" t="n">
        <v>18</v>
      </c>
      <c r="O372" s="3" t="b">
        <v>0</v>
      </c>
      <c r="P372" s="3" t="b">
        <v>0</v>
      </c>
      <c r="Q372" s="3" t="n">
        <v>11979.45205479453</v>
      </c>
      <c r="R372" s="3" t="n">
        <v>345550.6849315069</v>
      </c>
      <c r="S372" s="3" t="n">
        <v>357530.1369863014</v>
      </c>
      <c r="T372" s="5">
        <f>IF(J372&lt;&gt;"",M372*N372/365/100*('Cashflow Projection'!$B$2-Investors!J372),0)</f>
        <v/>
      </c>
    </row>
    <row r="373">
      <c r="A373" s="3" t="inlineStr">
        <is>
          <t>ZCRO01</t>
        </is>
      </c>
      <c r="B373" s="3" t="inlineStr">
        <is>
          <t>Marc</t>
        </is>
      </c>
      <c r="C373" s="3" t="inlineStr">
        <is>
          <t>Lunau</t>
        </is>
      </c>
      <c r="D373" s="3" t="inlineStr">
        <is>
          <t>Heron View</t>
        </is>
      </c>
      <c r="E373" s="3" t="inlineStr">
        <is>
          <t>HVK103</t>
        </is>
      </c>
      <c r="F373" s="3" t="b">
        <v>0</v>
      </c>
      <c r="G373" s="3" t="b">
        <v>0</v>
      </c>
      <c r="H373" s="3" t="inlineStr">
        <is>
          <t>K</t>
        </is>
      </c>
      <c r="I373" s="4" t="n">
        <v>44902</v>
      </c>
      <c r="J373" s="4" t="n">
        <v>44967</v>
      </c>
      <c r="K373" s="4" t="n">
        <v>45561</v>
      </c>
      <c r="L373" s="3" t="n">
        <v>7</v>
      </c>
      <c r="M373" s="3" t="n">
        <v>110000</v>
      </c>
      <c r="N373" s="3" t="n">
        <v>18</v>
      </c>
      <c r="O373" s="3" t="b">
        <v>0</v>
      </c>
      <c r="P373" s="3" t="b">
        <v>0</v>
      </c>
      <c r="Q373" s="3" t="n">
        <v>1917.46575342466</v>
      </c>
      <c r="R373" s="3" t="n">
        <v>32222.46575342466</v>
      </c>
      <c r="S373" s="3" t="n">
        <v>34139.93150684932</v>
      </c>
      <c r="T373" s="5">
        <f>IF(J373&lt;&gt;"",M373*N373/365/100*('Cashflow Projection'!$B$2-Investors!J373),0)</f>
        <v/>
      </c>
    </row>
    <row r="374">
      <c r="A374" s="3" t="inlineStr">
        <is>
          <t>ZDAM01</t>
        </is>
      </c>
      <c r="B374" s="3" t="inlineStr">
        <is>
          <t>Lisbeth</t>
        </is>
      </c>
      <c r="C374" s="3" t="inlineStr">
        <is>
          <t>Damane</t>
        </is>
      </c>
      <c r="D374" s="3" t="inlineStr">
        <is>
          <t>Heron View</t>
        </is>
      </c>
      <c r="E374" s="3" t="inlineStr">
        <is>
          <t>HVK103</t>
        </is>
      </c>
      <c r="F374" s="3" t="b">
        <v>0</v>
      </c>
      <c r="G374" s="3" t="b">
        <v>0</v>
      </c>
      <c r="H374" s="3" t="inlineStr">
        <is>
          <t>K</t>
        </is>
      </c>
      <c r="I374" s="4" t="n">
        <v>44901</v>
      </c>
      <c r="J374" s="4" t="n">
        <v>44916</v>
      </c>
      <c r="K374" s="4" t="n">
        <v>45561</v>
      </c>
      <c r="L374" s="3" t="n">
        <v>3</v>
      </c>
      <c r="M374" s="3" t="n">
        <v>423120.71</v>
      </c>
      <c r="N374" s="3" t="n">
        <v>14</v>
      </c>
      <c r="O374" s="3" t="b">
        <v>0</v>
      </c>
      <c r="P374" s="3" t="b">
        <v>0</v>
      </c>
      <c r="Q374" s="3" t="n">
        <v>1695.380927054795</v>
      </c>
      <c r="R374" s="3" t="n">
        <v>104678.9044191781</v>
      </c>
      <c r="S374" s="3" t="n">
        <v>106374.2853462329</v>
      </c>
      <c r="T374" s="5">
        <f>IF(J374&lt;&gt;"",M374*N374/365/100*('Cashflow Projection'!$B$2-Investors!J374),0)</f>
        <v/>
      </c>
    </row>
    <row r="375">
      <c r="A375" s="3" t="inlineStr">
        <is>
          <t>ZELE01</t>
        </is>
      </c>
      <c r="B375" s="3" t="inlineStr">
        <is>
          <t>Emile Kenneth</t>
        </is>
      </c>
      <c r="C375" s="3" t="inlineStr">
        <is>
          <t>Lew</t>
        </is>
      </c>
      <c r="D375" s="3" t="inlineStr">
        <is>
          <t>Heron View</t>
        </is>
      </c>
      <c r="E375" s="3" t="inlineStr">
        <is>
          <t>HVK103</t>
        </is>
      </c>
      <c r="F375" s="3" t="b">
        <v>0</v>
      </c>
      <c r="G375" s="3" t="b">
        <v>0</v>
      </c>
      <c r="H375" s="3" t="inlineStr">
        <is>
          <t>K</t>
        </is>
      </c>
      <c r="I375" s="4" t="n">
        <v>44901</v>
      </c>
      <c r="J375" s="4" t="n">
        <v>44916</v>
      </c>
      <c r="K375" s="4" t="n">
        <v>45561</v>
      </c>
      <c r="L375" s="3" t="n">
        <v>2</v>
      </c>
      <c r="M375" s="3" t="n">
        <v>200000</v>
      </c>
      <c r="N375" s="3" t="n">
        <v>14</v>
      </c>
      <c r="O375" s="3" t="b">
        <v>0</v>
      </c>
      <c r="P375" s="3" t="b">
        <v>0</v>
      </c>
      <c r="Q375" s="3" t="n">
        <v>801.3698630136985</v>
      </c>
      <c r="R375" s="3" t="n">
        <v>49479.45205479451</v>
      </c>
      <c r="S375" s="3" t="n">
        <v>50280.82191780821</v>
      </c>
      <c r="T375" s="5">
        <f>IF(J375&lt;&gt;"",M375*N375/365/100*('Cashflow Projection'!$B$2-Investors!J375),0)</f>
        <v/>
      </c>
    </row>
    <row r="376">
      <c r="A376" s="3" t="inlineStr">
        <is>
          <t>ZJOH01</t>
        </is>
      </c>
      <c r="B376" s="3" t="inlineStr">
        <is>
          <t>Lisa-Marie Natalie</t>
        </is>
      </c>
      <c r="C376" s="3" t="inlineStr">
        <is>
          <t>Johns</t>
        </is>
      </c>
      <c r="D376" s="3" t="inlineStr">
        <is>
          <t>Heron View</t>
        </is>
      </c>
      <c r="E376" s="3" t="inlineStr">
        <is>
          <t>HVK103</t>
        </is>
      </c>
      <c r="F376" s="3" t="b">
        <v>0</v>
      </c>
      <c r="G376" s="3" t="b">
        <v>0</v>
      </c>
      <c r="H376" s="3" t="inlineStr">
        <is>
          <t>K</t>
        </is>
      </c>
      <c r="I376" s="4" t="n">
        <v>44902</v>
      </c>
      <c r="J376" s="4" t="n">
        <v>44967</v>
      </c>
      <c r="K376" s="4" t="n">
        <v>45561</v>
      </c>
      <c r="L376" s="3" t="n">
        <v>5</v>
      </c>
      <c r="M376" s="3" t="n">
        <v>110000</v>
      </c>
      <c r="N376" s="3" t="n">
        <v>18</v>
      </c>
      <c r="O376" s="3" t="b">
        <v>0</v>
      </c>
      <c r="P376" s="3" t="b">
        <v>0</v>
      </c>
      <c r="Q376" s="3" t="n">
        <v>1917.46575342466</v>
      </c>
      <c r="R376" s="3" t="n">
        <v>32222.46575342466</v>
      </c>
      <c r="S376" s="3" t="n">
        <v>34139.93150684932</v>
      </c>
      <c r="T376" s="5">
        <f>IF(J376&lt;&gt;"",M376*N376/365/100*('Cashflow Projection'!$B$2-Investors!J376),0)</f>
        <v/>
      </c>
    </row>
    <row r="377">
      <c r="A377" s="3" t="inlineStr">
        <is>
          <t>ZRIT01</t>
        </is>
      </c>
      <c r="B377" s="3" t="inlineStr">
        <is>
          <t>Dennis</t>
        </is>
      </c>
      <c r="C377" s="3" t="inlineStr">
        <is>
          <t>Ritter</t>
        </is>
      </c>
      <c r="D377" s="3" t="inlineStr">
        <is>
          <t>Heron View</t>
        </is>
      </c>
      <c r="E377" s="3" t="inlineStr">
        <is>
          <t>HVK103</t>
        </is>
      </c>
      <c r="F377" s="3" t="b">
        <v>0</v>
      </c>
      <c r="G377" s="3" t="b">
        <v>0</v>
      </c>
      <c r="H377" s="3" t="inlineStr">
        <is>
          <t>K</t>
        </is>
      </c>
      <c r="I377" s="4" t="n">
        <v>45028</v>
      </c>
      <c r="J377" s="4" t="n">
        <v>45129</v>
      </c>
      <c r="K377" s="4" t="n">
        <v>45561</v>
      </c>
      <c r="L377" s="3" t="n">
        <v>15</v>
      </c>
      <c r="M377" s="3" t="n">
        <v>248756.16</v>
      </c>
      <c r="N377" s="3" t="n">
        <v>18</v>
      </c>
      <c r="O377" s="3" t="b">
        <v>0</v>
      </c>
      <c r="P377" s="3" t="b">
        <v>0</v>
      </c>
      <c r="Q377" s="3" t="n">
        <v>7404.755283287658</v>
      </c>
      <c r="R377" s="3" t="n">
        <v>52995.28493589041</v>
      </c>
      <c r="S377" s="3" t="n">
        <v>60400.04021917807</v>
      </c>
      <c r="T377" s="5">
        <f>IF(J377&lt;&gt;"",M377*N377/365/100*('Cashflow Projection'!$B$2-Investors!J377),0)</f>
        <v/>
      </c>
    </row>
    <row r="378">
      <c r="A378" s="3" t="inlineStr">
        <is>
          <t>ZINT01</t>
        </is>
      </c>
      <c r="B378" s="3" t="inlineStr">
        <is>
          <t>Marc</t>
        </is>
      </c>
      <c r="C378" s="3" t="inlineStr">
        <is>
          <t>Lunau</t>
        </is>
      </c>
      <c r="D378" s="3" t="inlineStr">
        <is>
          <t>Heron View</t>
        </is>
      </c>
      <c r="E378" s="3" t="inlineStr">
        <is>
          <t>HVK104</t>
        </is>
      </c>
      <c r="F378" s="3" t="b">
        <v>0</v>
      </c>
      <c r="G378" s="3" t="b">
        <v>0</v>
      </c>
      <c r="H378" s="3" t="inlineStr">
        <is>
          <t>K</t>
        </is>
      </c>
      <c r="I378" s="4" t="n">
        <v>44908</v>
      </c>
      <c r="J378" s="4" t="n">
        <v>44980</v>
      </c>
      <c r="K378" s="4" t="n">
        <v>45561</v>
      </c>
      <c r="L378" s="3" t="n">
        <v>10</v>
      </c>
      <c r="M378" s="3" t="n">
        <v>100000</v>
      </c>
      <c r="N378" s="3" t="n">
        <v>18</v>
      </c>
      <c r="O378" s="3" t="b">
        <v>0</v>
      </c>
      <c r="P378" s="3" t="b">
        <v>0</v>
      </c>
      <c r="Q378" s="3" t="n">
        <v>1939.041095890409</v>
      </c>
      <c r="R378" s="3" t="n">
        <v>28652.05479452055</v>
      </c>
      <c r="S378" s="3" t="n">
        <v>30591.09589041096</v>
      </c>
      <c r="T378" s="5">
        <f>IF(J378&lt;&gt;"",M378*N378/365/100*('Cashflow Projection'!$B$2-Investors!J378),0)</f>
        <v/>
      </c>
    </row>
    <row r="379">
      <c r="A379" s="3" t="inlineStr">
        <is>
          <t>ZNIE01</t>
        </is>
      </c>
      <c r="B379" s="3" t="inlineStr">
        <is>
          <t>Grant Richard</t>
        </is>
      </c>
      <c r="C379" s="3" t="inlineStr">
        <is>
          <t>van Niekerk</t>
        </is>
      </c>
      <c r="D379" s="3" t="inlineStr">
        <is>
          <t>Heron View</t>
        </is>
      </c>
      <c r="E379" s="3" t="inlineStr">
        <is>
          <t>HVK104</t>
        </is>
      </c>
      <c r="F379" s="3" t="b">
        <v>0</v>
      </c>
      <c r="G379" s="3" t="b">
        <v>0</v>
      </c>
      <c r="H379" s="3" t="inlineStr">
        <is>
          <t>K</t>
        </is>
      </c>
      <c r="I379" s="4" t="n">
        <v>44959</v>
      </c>
      <c r="J379" s="4" t="n">
        <v>45044</v>
      </c>
      <c r="K379" s="4" t="n">
        <v>45561</v>
      </c>
      <c r="L379" s="3" t="n">
        <v>4</v>
      </c>
      <c r="M379" s="3" t="n">
        <v>1000000</v>
      </c>
      <c r="N379" s="3" t="n">
        <v>18</v>
      </c>
      <c r="O379" s="3" t="b">
        <v>0</v>
      </c>
      <c r="P379" s="3" t="b">
        <v>0</v>
      </c>
      <c r="Q379" s="3" t="n">
        <v>23671.23287671237</v>
      </c>
      <c r="R379" s="3" t="n">
        <v>254958.9041095891</v>
      </c>
      <c r="S379" s="3" t="n">
        <v>278630.1369863015</v>
      </c>
      <c r="T379" s="5">
        <f>IF(J379&lt;&gt;"",M379*N379/365/100*('Cashflow Projection'!$B$2-Investors!J379),0)</f>
        <v/>
      </c>
    </row>
    <row r="380">
      <c r="A380" s="3" t="inlineStr">
        <is>
          <t>ZBOH01</t>
        </is>
      </c>
      <c r="B380" s="3" t="inlineStr">
        <is>
          <t>Werner Hugo Bohme &amp;</t>
        </is>
      </c>
      <c r="C380" s="3" t="inlineStr">
        <is>
          <t>Brenda Bohme</t>
        </is>
      </c>
      <c r="D380" s="3" t="inlineStr">
        <is>
          <t>Heron View</t>
        </is>
      </c>
      <c r="E380" s="3" t="inlineStr">
        <is>
          <t>HVK105</t>
        </is>
      </c>
      <c r="F380" s="3" t="b">
        <v>0</v>
      </c>
      <c r="G380" s="3" t="b">
        <v>0</v>
      </c>
      <c r="H380" s="3" t="inlineStr">
        <is>
          <t>K</t>
        </is>
      </c>
      <c r="I380" s="4" t="n">
        <v>44901</v>
      </c>
      <c r="J380" s="4" t="n">
        <v>44960</v>
      </c>
      <c r="K380" s="4" t="n">
        <v>45546</v>
      </c>
      <c r="L380" s="3" t="n">
        <v>2</v>
      </c>
      <c r="M380" s="3" t="n">
        <v>1000000</v>
      </c>
      <c r="N380" s="3" t="n">
        <v>18</v>
      </c>
      <c r="O380" s="3" t="b">
        <v>0</v>
      </c>
      <c r="P380" s="3" t="b">
        <v>0</v>
      </c>
      <c r="Q380" s="3" t="n">
        <v>15780.82191780822</v>
      </c>
      <c r="R380" s="3" t="n">
        <v>288986.301369863</v>
      </c>
      <c r="S380" s="3" t="n">
        <v>304767.1232876712</v>
      </c>
      <c r="T380" s="5">
        <f>IF(J380&lt;&gt;"",M380*N380/365/100*('Cashflow Projection'!$B$2-Investors!J380),0)</f>
        <v/>
      </c>
    </row>
    <row r="381">
      <c r="A381" s="3" t="inlineStr">
        <is>
          <t>ZCRO01</t>
        </is>
      </c>
      <c r="B381" s="3" t="inlineStr">
        <is>
          <t>Marc</t>
        </is>
      </c>
      <c r="C381" s="3" t="inlineStr">
        <is>
          <t>Lunau</t>
        </is>
      </c>
      <c r="D381" s="3" t="inlineStr">
        <is>
          <t>Heron View</t>
        </is>
      </c>
      <c r="E381" s="3" t="inlineStr">
        <is>
          <t>HVK105</t>
        </is>
      </c>
      <c r="F381" s="3" t="b">
        <v>0</v>
      </c>
      <c r="G381" s="3" t="b">
        <v>0</v>
      </c>
      <c r="H381" s="3" t="inlineStr">
        <is>
          <t>K</t>
        </is>
      </c>
      <c r="I381" s="4" t="n">
        <v>44900</v>
      </c>
      <c r="J381" s="4" t="n">
        <v>44916</v>
      </c>
      <c r="K381" s="4" t="n">
        <v>45546</v>
      </c>
      <c r="L381" s="3" t="n">
        <v>6</v>
      </c>
      <c r="M381" s="3" t="n">
        <v>120000</v>
      </c>
      <c r="N381" s="3" t="n">
        <v>18</v>
      </c>
      <c r="O381" s="3" t="b">
        <v>0</v>
      </c>
      <c r="P381" s="3" t="b">
        <v>0</v>
      </c>
      <c r="Q381" s="3" t="n">
        <v>512.8767123287671</v>
      </c>
      <c r="R381" s="3" t="n">
        <v>37282.19178082192</v>
      </c>
      <c r="S381" s="3" t="n">
        <v>37795.06849315069</v>
      </c>
      <c r="T381" s="5">
        <f>IF(J381&lt;&gt;"",M381*N381/365/100*('Cashflow Projection'!$B$2-Investors!J381),0)</f>
        <v/>
      </c>
    </row>
    <row r="382">
      <c r="A382" s="3" t="inlineStr">
        <is>
          <t>ZHAR01</t>
        </is>
      </c>
      <c r="B382" s="3" t="inlineStr">
        <is>
          <t>Teresa-Ann</t>
        </is>
      </c>
      <c r="C382" s="3" t="inlineStr">
        <is>
          <t>Hart</t>
        </is>
      </c>
      <c r="D382" s="3" t="inlineStr">
        <is>
          <t>Heron View</t>
        </is>
      </c>
      <c r="E382" s="3" t="inlineStr">
        <is>
          <t>HVK106</t>
        </is>
      </c>
      <c r="F382" s="3" t="b">
        <v>0</v>
      </c>
      <c r="G382" s="3" t="b">
        <v>0</v>
      </c>
      <c r="H382" s="3" t="inlineStr">
        <is>
          <t>K</t>
        </is>
      </c>
      <c r="I382" s="4" t="n">
        <v>45454</v>
      </c>
      <c r="J382" s="3" t="inlineStr"/>
      <c r="K382" s="4" t="n">
        <v>45546</v>
      </c>
      <c r="L382" s="3" t="n">
        <v>3</v>
      </c>
      <c r="M382" s="3" t="n">
        <v>161720.53</v>
      </c>
      <c r="N382" s="3" t="n">
        <v>14</v>
      </c>
      <c r="O382" s="3" t="b">
        <v>0</v>
      </c>
      <c r="P382" s="3" t="b">
        <v>0</v>
      </c>
      <c r="Q382" s="3" t="n">
        <v>1462.130819178082</v>
      </c>
      <c r="R382" s="3" t="n">
        <v>3845.847124383561</v>
      </c>
      <c r="S382" s="3" t="n">
        <v>5307.977943561644</v>
      </c>
      <c r="T382" s="5">
        <f>IF(J382&lt;&gt;"",M382*N382/365/100*('Cashflow Projection'!$B$2-Investors!J382),0)</f>
        <v/>
      </c>
    </row>
    <row r="383">
      <c r="A383" s="3" t="inlineStr">
        <is>
          <t>ZHAY01</t>
        </is>
      </c>
      <c r="B383" s="3" t="inlineStr">
        <is>
          <t>Johannes Wynand</t>
        </is>
      </c>
      <c r="C383" s="3" t="inlineStr">
        <is>
          <t>Haywood</t>
        </is>
      </c>
      <c r="D383" s="3" t="inlineStr">
        <is>
          <t>Heron View</t>
        </is>
      </c>
      <c r="E383" s="3" t="inlineStr">
        <is>
          <t>HVK106</t>
        </is>
      </c>
      <c r="F383" s="3" t="b">
        <v>0</v>
      </c>
      <c r="G383" s="3" t="b">
        <v>0</v>
      </c>
      <c r="H383" s="3" t="inlineStr">
        <is>
          <t>K</t>
        </is>
      </c>
      <c r="I383" s="4" t="n">
        <v>45457</v>
      </c>
      <c r="J383" s="4" t="n">
        <v>45457</v>
      </c>
      <c r="K383" s="4" t="n">
        <v>45546</v>
      </c>
      <c r="L383" s="3" t="n">
        <v>5</v>
      </c>
      <c r="M383" s="3" t="n">
        <v>242665.59</v>
      </c>
      <c r="N383" s="3" t="n">
        <v>13</v>
      </c>
      <c r="O383" s="3" t="b">
        <v>0</v>
      </c>
      <c r="P383" s="3" t="b">
        <v>0</v>
      </c>
      <c r="Q383" s="3" t="n">
        <v>0</v>
      </c>
      <c r="R383" s="3" t="n">
        <v>7692.166784383561</v>
      </c>
      <c r="S383" s="3" t="n">
        <v>7692.166784383561</v>
      </c>
      <c r="T383" s="5">
        <f>IF(J383&lt;&gt;"",M383*N383/365/100*('Cashflow Projection'!$B$2-Investors!J383),0)</f>
        <v/>
      </c>
    </row>
    <row r="384">
      <c r="A384" s="3" t="inlineStr">
        <is>
          <t>ZVER05</t>
        </is>
      </c>
      <c r="B384" s="3" t="inlineStr">
        <is>
          <t>Anita Hester</t>
        </is>
      </c>
      <c r="C384" s="3" t="inlineStr">
        <is>
          <t>Vermeulen</t>
        </is>
      </c>
      <c r="D384" s="3" t="inlineStr">
        <is>
          <t>Heron View</t>
        </is>
      </c>
      <c r="E384" s="3" t="inlineStr">
        <is>
          <t>HVK106</t>
        </is>
      </c>
      <c r="F384" s="3" t="b">
        <v>0</v>
      </c>
      <c r="G384" s="3" t="b">
        <v>0</v>
      </c>
      <c r="H384" s="3" t="inlineStr">
        <is>
          <t>K</t>
        </is>
      </c>
      <c r="I384" s="4" t="n">
        <v>45454</v>
      </c>
      <c r="J384" s="3" t="inlineStr"/>
      <c r="K384" s="4" t="n">
        <v>45546</v>
      </c>
      <c r="L384" s="3" t="n">
        <v>1</v>
      </c>
      <c r="M384" s="3" t="n">
        <v>1000000</v>
      </c>
      <c r="N384" s="3" t="n">
        <v>18</v>
      </c>
      <c r="O384" s="3" t="b">
        <v>0</v>
      </c>
      <c r="P384" s="3" t="b">
        <v>0</v>
      </c>
      <c r="Q384" s="3" t="n">
        <v>9041.095890410959</v>
      </c>
      <c r="R384" s="3" t="n">
        <v>30575.34246575343</v>
      </c>
      <c r="S384" s="3" t="n">
        <v>39616.43835616438</v>
      </c>
      <c r="T384" s="5">
        <f>IF(J384&lt;&gt;"",M384*N384/365/100*('Cashflow Projection'!$B$2-Investors!J384),0)</f>
        <v/>
      </c>
    </row>
    <row r="385">
      <c r="A385" s="3" t="inlineStr">
        <is>
          <t>ZZYL03</t>
        </is>
      </c>
      <c r="B385" s="3" t="inlineStr">
        <is>
          <t>Sandra Robyn</t>
        </is>
      </c>
      <c r="C385" s="3" t="inlineStr">
        <is>
          <t>Zylstra</t>
        </is>
      </c>
      <c r="D385" s="3" t="inlineStr">
        <is>
          <t>Heron View</t>
        </is>
      </c>
      <c r="E385" s="3" t="inlineStr">
        <is>
          <t>HVK106</t>
        </is>
      </c>
      <c r="F385" s="3" t="b">
        <v>0</v>
      </c>
      <c r="G385" s="3" t="b">
        <v>0</v>
      </c>
      <c r="H385" s="3" t="inlineStr">
        <is>
          <t>K</t>
        </is>
      </c>
      <c r="I385" s="4" t="n">
        <v>44897</v>
      </c>
      <c r="J385" s="4" t="n">
        <v>44916</v>
      </c>
      <c r="K385" s="4" t="n">
        <v>45450</v>
      </c>
      <c r="L385" s="3" t="n">
        <v>3</v>
      </c>
      <c r="M385" s="3" t="n">
        <v>1107195.21</v>
      </c>
      <c r="N385" s="3" t="n">
        <v>18</v>
      </c>
      <c r="O385" s="3" t="b">
        <v>1</v>
      </c>
      <c r="P385" s="3" t="b">
        <v>0</v>
      </c>
      <c r="Q385" s="3" t="n">
        <v>5619.394867191781</v>
      </c>
      <c r="R385" s="3" t="n">
        <v>291571.5166717808</v>
      </c>
      <c r="S385" s="3" t="n">
        <v>297190.9115389726</v>
      </c>
      <c r="T385" s="5">
        <f>IF(J385&lt;&gt;"",M385*N385/365/100*('Cashflow Projection'!$B$2-Investors!J385),0)</f>
        <v/>
      </c>
    </row>
    <row r="386">
      <c r="A386" s="3" t="inlineStr">
        <is>
          <t>ZVAN05</t>
        </is>
      </c>
      <c r="B386" s="3" t="inlineStr">
        <is>
          <t>Hermanus</t>
        </is>
      </c>
      <c r="C386" s="3" t="inlineStr">
        <is>
          <t>van der Sandt</t>
        </is>
      </c>
      <c r="D386" s="3" t="inlineStr">
        <is>
          <t>Heron View</t>
        </is>
      </c>
      <c r="E386" s="3" t="inlineStr">
        <is>
          <t>HVK201</t>
        </is>
      </c>
      <c r="F386" s="3" t="b">
        <v>0</v>
      </c>
      <c r="G386" s="3" t="b">
        <v>0</v>
      </c>
      <c r="H386" s="3" t="inlineStr">
        <is>
          <t>K</t>
        </is>
      </c>
      <c r="I386" s="4" t="n">
        <v>44866</v>
      </c>
      <c r="J386" s="4" t="n">
        <v>44916</v>
      </c>
      <c r="K386" s="4" t="n">
        <v>45568</v>
      </c>
      <c r="L386" s="3" t="n">
        <v>6</v>
      </c>
      <c r="M386" s="3" t="n">
        <v>1100000</v>
      </c>
      <c r="N386" s="3" t="n">
        <v>18</v>
      </c>
      <c r="O386" s="3" t="b">
        <v>0</v>
      </c>
      <c r="P386" s="3" t="b">
        <v>0</v>
      </c>
      <c r="Q386" s="3" t="n">
        <v>14036.30136986303</v>
      </c>
      <c r="R386" s="3" t="n">
        <v>353687.6712328767</v>
      </c>
      <c r="S386" s="3" t="n">
        <v>367723.9726027398</v>
      </c>
      <c r="T386" s="5">
        <f>IF(J386&lt;&gt;"",M386*N386/365/100*('Cashflow Projection'!$B$2-Investors!J386),0)</f>
        <v/>
      </c>
    </row>
    <row r="387">
      <c r="A387" s="3" t="inlineStr">
        <is>
          <t>ZBLO01</t>
        </is>
      </c>
      <c r="B387" s="3" t="inlineStr">
        <is>
          <t>Robert Errol</t>
        </is>
      </c>
      <c r="C387" s="3" t="inlineStr">
        <is>
          <t>Blows</t>
        </is>
      </c>
      <c r="D387" s="3" t="inlineStr">
        <is>
          <t>Heron View</t>
        </is>
      </c>
      <c r="E387" s="3" t="inlineStr">
        <is>
          <t>HVK202</t>
        </is>
      </c>
      <c r="F387" s="3" t="b">
        <v>0</v>
      </c>
      <c r="G387" s="3" t="b">
        <v>0</v>
      </c>
      <c r="H387" s="3" t="inlineStr">
        <is>
          <t>K</t>
        </is>
      </c>
      <c r="I387" s="4" t="n">
        <v>44895</v>
      </c>
      <c r="J387" s="4" t="n">
        <v>44916</v>
      </c>
      <c r="K387" s="4" t="n">
        <v>45568</v>
      </c>
      <c r="L387" s="3" t="n">
        <v>3</v>
      </c>
      <c r="M387" s="3" t="n">
        <v>100000</v>
      </c>
      <c r="N387" s="3" t="n">
        <v>14</v>
      </c>
      <c r="O387" s="3" t="b">
        <v>0</v>
      </c>
      <c r="P387" s="3" t="b">
        <v>0</v>
      </c>
      <c r="Q387" s="3" t="n">
        <v>560.9589041095888</v>
      </c>
      <c r="R387" s="3" t="n">
        <v>25008.21917808219</v>
      </c>
      <c r="S387" s="3" t="n">
        <v>25569.17808219178</v>
      </c>
      <c r="T387" s="5">
        <f>IF(J387&lt;&gt;"",M387*N387/365/100*('Cashflow Projection'!$B$2-Investors!J387),0)</f>
        <v/>
      </c>
    </row>
    <row r="388">
      <c r="A388" s="3" t="inlineStr">
        <is>
          <t>ZLAB02</t>
        </is>
      </c>
      <c r="B388" s="3" t="inlineStr">
        <is>
          <t>Jandre</t>
        </is>
      </c>
      <c r="C388" s="3" t="inlineStr">
        <is>
          <t>Labuschagne</t>
        </is>
      </c>
      <c r="D388" s="3" t="inlineStr">
        <is>
          <t>Heron View</t>
        </is>
      </c>
      <c r="E388" s="3" t="inlineStr">
        <is>
          <t>HVK202</t>
        </is>
      </c>
      <c r="F388" s="3" t="b">
        <v>0</v>
      </c>
      <c r="G388" s="3" t="b">
        <v>0</v>
      </c>
      <c r="H388" s="3" t="inlineStr">
        <is>
          <t>K</t>
        </is>
      </c>
      <c r="I388" s="4" t="n">
        <v>44895</v>
      </c>
      <c r="J388" s="4" t="n">
        <v>44916</v>
      </c>
      <c r="K388" s="4" t="n">
        <v>45568</v>
      </c>
      <c r="L388" s="3" t="n">
        <v>2</v>
      </c>
      <c r="M388" s="3" t="n">
        <v>112707.53</v>
      </c>
      <c r="N388" s="3" t="n">
        <v>14</v>
      </c>
      <c r="O388" s="3" t="b">
        <v>0</v>
      </c>
      <c r="P388" s="3" t="b">
        <v>0</v>
      </c>
      <c r="Q388" s="3" t="n">
        <v>632.2429251369863</v>
      </c>
      <c r="R388" s="3" t="n">
        <v>28186.14613260273</v>
      </c>
      <c r="S388" s="3" t="n">
        <v>28818.38905773972</v>
      </c>
      <c r="T388" s="5">
        <f>IF(J388&lt;&gt;"",M388*N388/365/100*('Cashflow Projection'!$B$2-Investors!J388),0)</f>
        <v/>
      </c>
    </row>
    <row r="389">
      <c r="A389" s="3" t="inlineStr">
        <is>
          <t>ZRAN01</t>
        </is>
      </c>
      <c r="B389" s="3" t="inlineStr">
        <is>
          <t>Ross Partick Gemill</t>
        </is>
      </c>
      <c r="C389" s="3" t="inlineStr">
        <is>
          <t>Rankin</t>
        </is>
      </c>
      <c r="D389" s="3" t="inlineStr">
        <is>
          <t>Heron View</t>
        </is>
      </c>
      <c r="E389" s="3" t="inlineStr">
        <is>
          <t>HVK202</t>
        </is>
      </c>
      <c r="F389" s="3" t="b">
        <v>0</v>
      </c>
      <c r="G389" s="3" t="b">
        <v>0</v>
      </c>
      <c r="H389" s="3" t="inlineStr">
        <is>
          <t>K</t>
        </is>
      </c>
      <c r="I389" s="4" t="n">
        <v>44902</v>
      </c>
      <c r="J389" s="4" t="n">
        <v>44967</v>
      </c>
      <c r="K389" s="4" t="n">
        <v>45568</v>
      </c>
      <c r="L389" s="3" t="n">
        <v>23</v>
      </c>
      <c r="M389" s="3" t="n">
        <v>126300</v>
      </c>
      <c r="N389" s="3" t="n">
        <v>18</v>
      </c>
      <c r="O389" s="3" t="b">
        <v>0</v>
      </c>
      <c r="P389" s="3" t="b">
        <v>0</v>
      </c>
      <c r="Q389" s="3" t="n">
        <v>2201.599315068491</v>
      </c>
      <c r="R389" s="3" t="n">
        <v>37433.24383561644</v>
      </c>
      <c r="S389" s="3" t="n">
        <v>39634.84315068493</v>
      </c>
      <c r="T389" s="5">
        <f>IF(J389&lt;&gt;"",M389*N389/365/100*('Cashflow Projection'!$B$2-Investors!J389),0)</f>
        <v/>
      </c>
    </row>
    <row r="390">
      <c r="A390" s="3" t="inlineStr">
        <is>
          <t>ZVDM01</t>
        </is>
      </c>
      <c r="B390" s="3" t="inlineStr">
        <is>
          <t>Paula</t>
        </is>
      </c>
      <c r="C390" s="3" t="inlineStr">
        <is>
          <t>van der Mescht</t>
        </is>
      </c>
      <c r="D390" s="3" t="inlineStr">
        <is>
          <t>Heron View</t>
        </is>
      </c>
      <c r="E390" s="3" t="inlineStr">
        <is>
          <t>HVK202</t>
        </is>
      </c>
      <c r="F390" s="3" t="b">
        <v>0</v>
      </c>
      <c r="G390" s="3" t="b">
        <v>0</v>
      </c>
      <c r="H390" s="3" t="inlineStr">
        <is>
          <t>K</t>
        </is>
      </c>
      <c r="I390" s="4" t="n">
        <v>44903</v>
      </c>
      <c r="J390" s="4" t="n">
        <v>44986</v>
      </c>
      <c r="K390" s="4" t="n">
        <v>45568</v>
      </c>
      <c r="L390" s="3" t="n">
        <v>5</v>
      </c>
      <c r="M390" s="3" t="n">
        <v>65218.15</v>
      </c>
      <c r="N390" s="3" t="n">
        <v>14</v>
      </c>
      <c r="O390" s="3" t="b">
        <v>0</v>
      </c>
      <c r="P390" s="3" t="b">
        <v>0</v>
      </c>
      <c r="Q390" s="3" t="n">
        <v>1458.921081506851</v>
      </c>
      <c r="R390" s="3" t="n">
        <v>14558.83523835616</v>
      </c>
      <c r="S390" s="3" t="n">
        <v>16017.75631986301</v>
      </c>
      <c r="T390" s="5">
        <f>IF(J390&lt;&gt;"",M390*N390/365/100*('Cashflow Projection'!$B$2-Investors!J390),0)</f>
        <v/>
      </c>
    </row>
    <row r="391">
      <c r="A391" s="3" t="inlineStr">
        <is>
          <t>ZZYL03</t>
        </is>
      </c>
      <c r="B391" s="3" t="inlineStr">
        <is>
          <t>Sandra Robyn</t>
        </is>
      </c>
      <c r="C391" s="3" t="inlineStr">
        <is>
          <t>Zylstra</t>
        </is>
      </c>
      <c r="D391" s="3" t="inlineStr">
        <is>
          <t>Heron View</t>
        </is>
      </c>
      <c r="E391" s="3" t="inlineStr">
        <is>
          <t>HVK202</t>
        </is>
      </c>
      <c r="F391" s="3" t="b">
        <v>0</v>
      </c>
      <c r="G391" s="3" t="b">
        <v>0</v>
      </c>
      <c r="H391" s="3" t="inlineStr">
        <is>
          <t>K</t>
        </is>
      </c>
      <c r="I391" s="4" t="n">
        <v>44915</v>
      </c>
      <c r="J391" s="4" t="n">
        <v>45016</v>
      </c>
      <c r="K391" s="4" t="n">
        <v>45568</v>
      </c>
      <c r="L391" s="3" t="n">
        <v>4</v>
      </c>
      <c r="M391" s="3" t="n">
        <v>608441.78</v>
      </c>
      <c r="N391" s="3" t="n">
        <v>18</v>
      </c>
      <c r="O391" s="3" t="b">
        <v>0</v>
      </c>
      <c r="P391" s="3" t="b">
        <v>0</v>
      </c>
      <c r="Q391" s="3" t="n">
        <v>16661.30298931506</v>
      </c>
      <c r="R391" s="3" t="n">
        <v>165629.5212624658</v>
      </c>
      <c r="S391" s="3" t="n">
        <v>182290.8242517808</v>
      </c>
      <c r="T391" s="5">
        <f>IF(J391&lt;&gt;"",M391*N391/365/100*('Cashflow Projection'!$B$2-Investors!J391),0)</f>
        <v/>
      </c>
    </row>
    <row r="392">
      <c r="A392" s="3" t="inlineStr">
        <is>
          <t>ZASD01</t>
        </is>
      </c>
      <c r="B392" s="3" t="inlineStr">
        <is>
          <t>Stuart Charles</t>
        </is>
      </c>
      <c r="C392" s="3" t="inlineStr">
        <is>
          <t>Bendall</t>
        </is>
      </c>
      <c r="D392" s="3" t="inlineStr">
        <is>
          <t>Heron View</t>
        </is>
      </c>
      <c r="E392" s="3" t="inlineStr">
        <is>
          <t>HVK203</t>
        </is>
      </c>
      <c r="F392" s="3" t="b">
        <v>0</v>
      </c>
      <c r="G392" s="3" t="b">
        <v>0</v>
      </c>
      <c r="H392" s="3" t="inlineStr">
        <is>
          <t>K</t>
        </is>
      </c>
      <c r="I392" s="4" t="n">
        <v>44897</v>
      </c>
      <c r="J392" s="4" t="n">
        <v>44916</v>
      </c>
      <c r="K392" s="4" t="n">
        <v>45588</v>
      </c>
      <c r="L392" s="3" t="n">
        <v>2</v>
      </c>
      <c r="M392" s="3" t="n">
        <v>510000</v>
      </c>
      <c r="N392" s="3" t="n">
        <v>16</v>
      </c>
      <c r="O392" s="3" t="b">
        <v>0</v>
      </c>
      <c r="P392" s="3" t="b">
        <v>0</v>
      </c>
      <c r="Q392" s="3" t="n">
        <v>2588.424657534246</v>
      </c>
      <c r="R392" s="3" t="n">
        <v>150233.4246575343</v>
      </c>
      <c r="S392" s="3" t="n">
        <v>152821.8493150685</v>
      </c>
      <c r="T392" s="5">
        <f>IF(J392&lt;&gt;"",M392*N392/365/100*('Cashflow Projection'!$B$2-Investors!J392),0)</f>
        <v/>
      </c>
    </row>
    <row r="393">
      <c r="A393" s="3" t="inlineStr">
        <is>
          <t>ZLOU01</t>
        </is>
      </c>
      <c r="B393" s="3" t="inlineStr">
        <is>
          <t>Ricardo Brandon</t>
        </is>
      </c>
      <c r="C393" s="3" t="inlineStr">
        <is>
          <t>Louw</t>
        </is>
      </c>
      <c r="D393" s="3" t="inlineStr">
        <is>
          <t>Heron View</t>
        </is>
      </c>
      <c r="E393" s="3" t="inlineStr">
        <is>
          <t>HVK203</t>
        </is>
      </c>
      <c r="F393" s="3" t="b">
        <v>0</v>
      </c>
      <c r="G393" s="3" t="b">
        <v>0</v>
      </c>
      <c r="H393" s="3" t="inlineStr">
        <is>
          <t>K</t>
        </is>
      </c>
      <c r="I393" s="4" t="n">
        <v>44952</v>
      </c>
      <c r="J393" s="4" t="n">
        <v>45044</v>
      </c>
      <c r="K393" s="4" t="n">
        <v>45588</v>
      </c>
      <c r="L393" s="3" t="n">
        <v>2</v>
      </c>
      <c r="M393" s="3" t="n">
        <v>500000</v>
      </c>
      <c r="N393" s="3" t="n">
        <v>16</v>
      </c>
      <c r="O393" s="3" t="b">
        <v>0</v>
      </c>
      <c r="P393" s="3" t="b">
        <v>0</v>
      </c>
      <c r="Q393" s="3" t="n">
        <v>12777.397260274</v>
      </c>
      <c r="R393" s="3" t="n">
        <v>119232.8767123288</v>
      </c>
      <c r="S393" s="3" t="n">
        <v>132010.2739726028</v>
      </c>
      <c r="T393" s="5">
        <f>IF(J393&lt;&gt;"",M393*N393/365/100*('Cashflow Projection'!$B$2-Investors!J393),0)</f>
        <v/>
      </c>
    </row>
    <row r="394">
      <c r="A394" s="3" t="inlineStr">
        <is>
          <t>ZSPE01</t>
        </is>
      </c>
      <c r="B394" s="3" t="inlineStr">
        <is>
          <t>Mosiuoa Samuel</t>
        </is>
      </c>
      <c r="C394" s="3" t="inlineStr">
        <is>
          <t>Speelman</t>
        </is>
      </c>
      <c r="D394" s="3" t="inlineStr">
        <is>
          <t>Heron View</t>
        </is>
      </c>
      <c r="E394" s="3" t="inlineStr">
        <is>
          <t>HVK203</t>
        </is>
      </c>
      <c r="F394" s="3" t="b">
        <v>0</v>
      </c>
      <c r="G394" s="3" t="b">
        <v>0</v>
      </c>
      <c r="H394" s="3" t="inlineStr">
        <is>
          <t>K</t>
        </is>
      </c>
      <c r="I394" s="4" t="n">
        <v>44952</v>
      </c>
      <c r="J394" s="4" t="n">
        <v>45016</v>
      </c>
      <c r="K394" s="4" t="n">
        <v>45588</v>
      </c>
      <c r="L394" s="3" t="n">
        <v>4</v>
      </c>
      <c r="M394" s="3" t="n">
        <v>90419.06</v>
      </c>
      <c r="N394" s="3" t="n">
        <v>14</v>
      </c>
      <c r="O394" s="3" t="b">
        <v>0</v>
      </c>
      <c r="P394" s="3" t="b">
        <v>0</v>
      </c>
      <c r="Q394" s="3" t="n">
        <v>1582.333550000002</v>
      </c>
      <c r="R394" s="3" t="n">
        <v>19837.69404054794</v>
      </c>
      <c r="S394" s="3" t="n">
        <v>21420.02759054795</v>
      </c>
      <c r="T394" s="5">
        <f>IF(J394&lt;&gt;"",M394*N394/365/100*('Cashflow Projection'!$B$2-Investors!J394),0)</f>
        <v/>
      </c>
    </row>
    <row r="395">
      <c r="A395" s="3" t="inlineStr">
        <is>
          <t>ZCAM01</t>
        </is>
      </c>
      <c r="B395" s="3" t="inlineStr">
        <is>
          <t>Jeremy &amp; Rosaline</t>
        </is>
      </c>
      <c r="C395" s="3" t="inlineStr">
        <is>
          <t>Campbell</t>
        </is>
      </c>
      <c r="D395" s="3" t="inlineStr">
        <is>
          <t>Heron View</t>
        </is>
      </c>
      <c r="E395" s="3" t="inlineStr">
        <is>
          <t>HVK204</t>
        </is>
      </c>
      <c r="F395" s="3" t="b">
        <v>0</v>
      </c>
      <c r="G395" s="3" t="b">
        <v>0</v>
      </c>
      <c r="H395" s="3" t="inlineStr">
        <is>
          <t>K</t>
        </is>
      </c>
      <c r="I395" s="4" t="n">
        <v>44950</v>
      </c>
      <c r="J395" s="4" t="n">
        <v>45016</v>
      </c>
      <c r="K395" s="4" t="n">
        <v>45588</v>
      </c>
      <c r="L395" s="3" t="n">
        <v>3</v>
      </c>
      <c r="M395" s="3" t="n">
        <v>400000</v>
      </c>
      <c r="N395" s="3" t="n">
        <v>14</v>
      </c>
      <c r="O395" s="3" t="b">
        <v>0</v>
      </c>
      <c r="P395" s="3" t="b">
        <v>0</v>
      </c>
      <c r="Q395" s="3" t="n">
        <v>7213.698630136977</v>
      </c>
      <c r="R395" s="3" t="n">
        <v>87758.90410958903</v>
      </c>
      <c r="S395" s="3" t="n">
        <v>94972.602739726</v>
      </c>
      <c r="T395" s="5">
        <f>IF(J395&lt;&gt;"",M395*N395/365/100*('Cashflow Projection'!$B$2-Investors!J395),0)</f>
        <v/>
      </c>
    </row>
    <row r="396">
      <c r="A396" s="3" t="inlineStr">
        <is>
          <t>ZFEM01</t>
        </is>
      </c>
      <c r="B396" s="3" t="inlineStr">
        <is>
          <t>Francina Elisabeth</t>
        </is>
      </c>
      <c r="C396" s="3" t="inlineStr">
        <is>
          <t>Morkel</t>
        </is>
      </c>
      <c r="D396" s="3" t="inlineStr">
        <is>
          <t>Heron View</t>
        </is>
      </c>
      <c r="E396" s="3" t="inlineStr">
        <is>
          <t>HVK204</t>
        </is>
      </c>
      <c r="F396" s="3" t="b">
        <v>0</v>
      </c>
      <c r="G396" s="3" t="b">
        <v>0</v>
      </c>
      <c r="H396" s="3" t="inlineStr">
        <is>
          <t>K</t>
        </is>
      </c>
      <c r="I396" s="4" t="n">
        <v>44901</v>
      </c>
      <c r="J396" s="4" t="n">
        <v>44916</v>
      </c>
      <c r="K396" s="4" t="n">
        <v>45588</v>
      </c>
      <c r="L396" s="3" t="n">
        <v>4</v>
      </c>
      <c r="M396" s="3" t="n">
        <v>124948.63</v>
      </c>
      <c r="N396" s="3" t="n">
        <v>14</v>
      </c>
      <c r="O396" s="3" t="b">
        <v>0</v>
      </c>
      <c r="P396" s="3" t="b">
        <v>0</v>
      </c>
      <c r="Q396" s="3" t="n">
        <v>500.6503325342467</v>
      </c>
      <c r="R396" s="3" t="n">
        <v>32205.93728876712</v>
      </c>
      <c r="S396" s="3" t="n">
        <v>32706.58762130137</v>
      </c>
      <c r="T396" s="5">
        <f>IF(J396&lt;&gt;"",M396*N396/365/100*('Cashflow Projection'!$B$2-Investors!J396),0)</f>
        <v/>
      </c>
    </row>
    <row r="397">
      <c r="A397" s="3" t="inlineStr">
        <is>
          <t>ZKRO03</t>
        </is>
      </c>
      <c r="B397" s="3" t="inlineStr">
        <is>
          <t>Jacqueline</t>
        </is>
      </c>
      <c r="C397" s="3" t="inlineStr">
        <is>
          <t>Krohn</t>
        </is>
      </c>
      <c r="D397" s="3" t="inlineStr">
        <is>
          <t>Heron View</t>
        </is>
      </c>
      <c r="E397" s="3" t="inlineStr">
        <is>
          <t>HVK204</t>
        </is>
      </c>
      <c r="F397" s="3" t="b">
        <v>0</v>
      </c>
      <c r="G397" s="3" t="b">
        <v>0</v>
      </c>
      <c r="H397" s="3" t="inlineStr">
        <is>
          <t>K</t>
        </is>
      </c>
      <c r="I397" s="4" t="n">
        <v>44903</v>
      </c>
      <c r="J397" s="4" t="n">
        <v>44980</v>
      </c>
      <c r="K397" s="4" t="n">
        <v>45588</v>
      </c>
      <c r="L397" s="3" t="n">
        <v>2</v>
      </c>
      <c r="M397" s="3" t="n">
        <v>600000</v>
      </c>
      <c r="N397" s="3" t="n">
        <v>16</v>
      </c>
      <c r="O397" s="3" t="b">
        <v>0</v>
      </c>
      <c r="P397" s="3" t="b">
        <v>0</v>
      </c>
      <c r="Q397" s="3" t="n">
        <v>12435.61643835615</v>
      </c>
      <c r="R397" s="3" t="n">
        <v>159912.3287671233</v>
      </c>
      <c r="S397" s="3" t="n">
        <v>172347.9452054795</v>
      </c>
      <c r="T397" s="5">
        <f>IF(J397&lt;&gt;"",M397*N397/365/100*('Cashflow Projection'!$B$2-Investors!J397),0)</f>
        <v/>
      </c>
    </row>
    <row r="398">
      <c r="A398" s="3" t="inlineStr">
        <is>
          <t>ZVDW01</t>
        </is>
      </c>
      <c r="B398" s="3" t="inlineStr">
        <is>
          <t>Philip</t>
        </is>
      </c>
      <c r="C398" s="3" t="inlineStr">
        <is>
          <t xml:space="preserve">van der Walt </t>
        </is>
      </c>
      <c r="D398" s="3" t="inlineStr">
        <is>
          <t>Heron View</t>
        </is>
      </c>
      <c r="E398" s="3" t="inlineStr">
        <is>
          <t>HVK205</t>
        </is>
      </c>
      <c r="F398" s="3" t="b">
        <v>0</v>
      </c>
      <c r="G398" s="3" t="b">
        <v>0</v>
      </c>
      <c r="H398" s="3" t="inlineStr">
        <is>
          <t>K</t>
        </is>
      </c>
      <c r="I398" s="4" t="n">
        <v>44937</v>
      </c>
      <c r="J398" s="4" t="n">
        <v>45016</v>
      </c>
      <c r="K398" s="4" t="n">
        <v>45603</v>
      </c>
      <c r="L398" s="3" t="n">
        <v>2</v>
      </c>
      <c r="M398" s="3" t="n">
        <v>1000500</v>
      </c>
      <c r="N398" s="3" t="n">
        <v>18</v>
      </c>
      <c r="O398" s="3" t="b">
        <v>0</v>
      </c>
      <c r="P398" s="3" t="b">
        <v>0</v>
      </c>
      <c r="Q398" s="3" t="n">
        <v>21517.602739726</v>
      </c>
      <c r="R398" s="3" t="n">
        <v>289624.1917808219</v>
      </c>
      <c r="S398" s="3" t="n">
        <v>311141.794520548</v>
      </c>
      <c r="T398" s="5">
        <f>IF(J398&lt;&gt;"",M398*N398/365/100*('Cashflow Projection'!$B$2-Investors!J398),0)</f>
        <v/>
      </c>
    </row>
    <row r="399">
      <c r="A399" s="3" t="inlineStr">
        <is>
          <t>ZZYL02</t>
        </is>
      </c>
      <c r="B399" s="3" t="inlineStr">
        <is>
          <t>Petronella Johanna</t>
        </is>
      </c>
      <c r="C399" s="3" t="inlineStr">
        <is>
          <t>Zylstra</t>
        </is>
      </c>
      <c r="D399" s="3" t="inlineStr">
        <is>
          <t>Heron View</t>
        </is>
      </c>
      <c r="E399" s="3" t="inlineStr">
        <is>
          <t>HVK205</t>
        </is>
      </c>
      <c r="F399" s="3" t="b">
        <v>0</v>
      </c>
      <c r="G399" s="3" t="b">
        <v>0</v>
      </c>
      <c r="H399" s="3" t="inlineStr">
        <is>
          <t>K</t>
        </is>
      </c>
      <c r="I399" s="4" t="n">
        <v>44895</v>
      </c>
      <c r="J399" s="4" t="n">
        <v>44916</v>
      </c>
      <c r="K399" s="4" t="n">
        <v>45603</v>
      </c>
      <c r="L399" s="3" t="n">
        <v>3</v>
      </c>
      <c r="M399" s="3" t="n">
        <v>123613.01</v>
      </c>
      <c r="N399" s="3" t="n">
        <v>14</v>
      </c>
      <c r="O399" s="3" t="b">
        <v>0</v>
      </c>
      <c r="P399" s="3" t="b">
        <v>0</v>
      </c>
      <c r="Q399" s="3" t="n">
        <v>693.418186232877</v>
      </c>
      <c r="R399" s="3" t="n">
        <v>32572.87479945205</v>
      </c>
      <c r="S399" s="3" t="n">
        <v>33266.29298568493</v>
      </c>
      <c r="T399" s="5">
        <f>IF(J399&lt;&gt;"",M399*N399/365/100*('Cashflow Projection'!$B$2-Investors!J399),0)</f>
        <v/>
      </c>
    </row>
    <row r="400">
      <c r="A400" s="3" t="inlineStr">
        <is>
          <t>ZCOL01</t>
        </is>
      </c>
      <c r="B400" s="3" t="inlineStr">
        <is>
          <t>Christine</t>
        </is>
      </c>
      <c r="C400" s="3" t="inlineStr">
        <is>
          <t>Collins</t>
        </is>
      </c>
      <c r="D400" s="3" t="inlineStr">
        <is>
          <t>Heron View</t>
        </is>
      </c>
      <c r="E400" s="3" t="inlineStr">
        <is>
          <t>HVK206</t>
        </is>
      </c>
      <c r="F400" s="3" t="b">
        <v>0</v>
      </c>
      <c r="G400" s="3" t="b">
        <v>0</v>
      </c>
      <c r="H400" s="3" t="inlineStr">
        <is>
          <t>K</t>
        </is>
      </c>
      <c r="I400" s="4" t="n">
        <v>44914</v>
      </c>
      <c r="J400" s="4" t="n">
        <v>45008</v>
      </c>
      <c r="K400" s="4" t="n">
        <v>45604</v>
      </c>
      <c r="L400" s="3" t="n">
        <v>4</v>
      </c>
      <c r="M400" s="3" t="n">
        <v>130133.7</v>
      </c>
      <c r="N400" s="3" t="n">
        <v>14</v>
      </c>
      <c r="O400" s="3" t="b">
        <v>0</v>
      </c>
      <c r="P400" s="3" t="b">
        <v>0</v>
      </c>
      <c r="Q400" s="3" t="n">
        <v>3313.061389726032</v>
      </c>
      <c r="R400" s="3" t="n">
        <v>29748.92035068493</v>
      </c>
      <c r="S400" s="3" t="n">
        <v>33061.98174041096</v>
      </c>
      <c r="T400" s="5">
        <f>IF(J400&lt;&gt;"",M400*N400/365/100*('Cashflow Projection'!$B$2-Investors!J400),0)</f>
        <v/>
      </c>
    </row>
    <row r="401">
      <c r="A401" s="3" t="inlineStr">
        <is>
          <t>ZDIC01</t>
        </is>
      </c>
      <c r="B401" s="3" t="inlineStr">
        <is>
          <t>Grant Allan</t>
        </is>
      </c>
      <c r="C401" s="3" t="inlineStr">
        <is>
          <t>Dickinson</t>
        </is>
      </c>
      <c r="D401" s="3" t="inlineStr">
        <is>
          <t>Heron View</t>
        </is>
      </c>
      <c r="E401" s="3" t="inlineStr">
        <is>
          <t>HVK206</t>
        </is>
      </c>
      <c r="F401" s="3" t="b">
        <v>0</v>
      </c>
      <c r="G401" s="3" t="b">
        <v>0</v>
      </c>
      <c r="H401" s="3" t="inlineStr">
        <is>
          <t>K</t>
        </is>
      </c>
      <c r="I401" s="4" t="n">
        <v>44952</v>
      </c>
      <c r="J401" s="4" t="n">
        <v>45044</v>
      </c>
      <c r="K401" s="4" t="n">
        <v>45604</v>
      </c>
      <c r="L401" s="3" t="n">
        <v>11</v>
      </c>
      <c r="M401" s="3" t="n">
        <v>767449.3199999999</v>
      </c>
      <c r="N401" s="3" t="n">
        <v>18</v>
      </c>
      <c r="O401" s="3" t="b">
        <v>0</v>
      </c>
      <c r="P401" s="3" t="b">
        <v>0</v>
      </c>
      <c r="Q401" s="3" t="n">
        <v>19612.00967753426</v>
      </c>
      <c r="R401" s="3" t="n">
        <v>211942.1683726028</v>
      </c>
      <c r="S401" s="3" t="n">
        <v>231554.178050137</v>
      </c>
      <c r="T401" s="5">
        <f>IF(J401&lt;&gt;"",M401*N401/365/100*('Cashflow Projection'!$B$2-Investors!J401),0)</f>
        <v/>
      </c>
    </row>
    <row r="402">
      <c r="A402" s="3" t="inlineStr">
        <is>
          <t>ZFOU01</t>
        </is>
      </c>
      <c r="B402" s="3" t="inlineStr">
        <is>
          <t>Hester Magrietha</t>
        </is>
      </c>
      <c r="C402" s="3" t="inlineStr">
        <is>
          <t>Fourie</t>
        </is>
      </c>
      <c r="D402" s="3" t="inlineStr">
        <is>
          <t>Heron View</t>
        </is>
      </c>
      <c r="E402" s="3" t="inlineStr">
        <is>
          <t>HVK206</t>
        </is>
      </c>
      <c r="F402" s="3" t="b">
        <v>0</v>
      </c>
      <c r="G402" s="3" t="b">
        <v>0</v>
      </c>
      <c r="H402" s="3" t="inlineStr">
        <is>
          <t>K</t>
        </is>
      </c>
      <c r="I402" s="4" t="n">
        <v>44944</v>
      </c>
      <c r="J402" s="4" t="n">
        <v>45016</v>
      </c>
      <c r="K402" s="4" t="n">
        <v>45604</v>
      </c>
      <c r="L402" s="3" t="n">
        <v>2</v>
      </c>
      <c r="M402" s="3" t="n">
        <v>100000</v>
      </c>
      <c r="N402" s="3" t="n">
        <v>14</v>
      </c>
      <c r="O402" s="3" t="b">
        <v>0</v>
      </c>
      <c r="P402" s="3" t="b">
        <v>0</v>
      </c>
      <c r="Q402" s="3" t="n">
        <v>1963.698630136983</v>
      </c>
      <c r="R402" s="3" t="n">
        <v>22553.42465753424</v>
      </c>
      <c r="S402" s="3" t="n">
        <v>24517.12328767123</v>
      </c>
      <c r="T402" s="5">
        <f>IF(J402&lt;&gt;"",M402*N402/365/100*('Cashflow Projection'!$B$2-Investors!J402),0)</f>
        <v/>
      </c>
    </row>
    <row r="403">
      <c r="A403" s="3" t="inlineStr">
        <is>
          <t>ZGOV01</t>
        </is>
      </c>
      <c r="B403" s="3" t="inlineStr">
        <is>
          <t>Preshnee</t>
        </is>
      </c>
      <c r="C403" s="3" t="inlineStr">
        <is>
          <t>Govender</t>
        </is>
      </c>
      <c r="D403" s="3" t="inlineStr">
        <is>
          <t>Heron View</t>
        </is>
      </c>
      <c r="E403" s="3" t="inlineStr">
        <is>
          <t>HVK206</t>
        </is>
      </c>
      <c r="F403" s="3" t="b">
        <v>0</v>
      </c>
      <c r="G403" s="3" t="b">
        <v>0</v>
      </c>
      <c r="H403" s="3" t="inlineStr">
        <is>
          <t>K</t>
        </is>
      </c>
      <c r="I403" s="4" t="n">
        <v>44903</v>
      </c>
      <c r="J403" s="4" t="n">
        <v>44967</v>
      </c>
      <c r="K403" s="4" t="n">
        <v>45604</v>
      </c>
      <c r="L403" s="3" t="n">
        <v>2</v>
      </c>
      <c r="M403" s="3" t="n">
        <v>122921.23</v>
      </c>
      <c r="N403" s="3" t="n">
        <v>14</v>
      </c>
      <c r="O403" s="3" t="b">
        <v>0</v>
      </c>
      <c r="P403" s="3" t="b">
        <v>0</v>
      </c>
      <c r="Q403" s="3" t="n">
        <v>2109.867139589041</v>
      </c>
      <c r="R403" s="3" t="n">
        <v>30033.19257917808</v>
      </c>
      <c r="S403" s="3" t="n">
        <v>32143.05971876712</v>
      </c>
      <c r="T403" s="5">
        <f>IF(J403&lt;&gt;"",M403*N403/365/100*('Cashflow Projection'!$B$2-Investors!J403),0)</f>
        <v/>
      </c>
    </row>
    <row r="404">
      <c r="A404" s="3" t="inlineStr">
        <is>
          <t>ZBAR01</t>
        </is>
      </c>
      <c r="B404" s="3" t="inlineStr">
        <is>
          <t>Stuart Christopher</t>
        </is>
      </c>
      <c r="C404" s="3" t="inlineStr">
        <is>
          <t>Barr</t>
        </is>
      </c>
      <c r="D404" s="3" t="inlineStr">
        <is>
          <t>Heron View</t>
        </is>
      </c>
      <c r="E404" s="3" t="inlineStr">
        <is>
          <t>HVK301</t>
        </is>
      </c>
      <c r="F404" s="3" t="b">
        <v>0</v>
      </c>
      <c r="G404" s="3" t="b">
        <v>0</v>
      </c>
      <c r="H404" s="3" t="inlineStr">
        <is>
          <t>K</t>
        </is>
      </c>
      <c r="I404" s="4" t="n">
        <v>44908</v>
      </c>
      <c r="J404" s="4" t="n">
        <v>44986</v>
      </c>
      <c r="K404" s="4" t="n">
        <v>45600</v>
      </c>
      <c r="L404" s="3" t="n">
        <v>2</v>
      </c>
      <c r="M404" s="3" t="n">
        <v>251198.63</v>
      </c>
      <c r="N404" s="3" t="n">
        <v>14</v>
      </c>
      <c r="O404" s="3" t="b">
        <v>0</v>
      </c>
      <c r="P404" s="3" t="b">
        <v>0</v>
      </c>
      <c r="Q404" s="3" t="n">
        <v>5283.773922808226</v>
      </c>
      <c r="R404" s="3" t="n">
        <v>59158.99790356165</v>
      </c>
      <c r="S404" s="3" t="n">
        <v>64442.77182636988</v>
      </c>
      <c r="T404" s="5">
        <f>IF(J404&lt;&gt;"",M404*N404/365/100*('Cashflow Projection'!$B$2-Investors!J404),0)</f>
        <v/>
      </c>
    </row>
    <row r="405">
      <c r="A405" s="3" t="inlineStr">
        <is>
          <t>ZDAV01</t>
        </is>
      </c>
      <c r="B405" s="3" t="inlineStr">
        <is>
          <t>Heather Mary Lyn</t>
        </is>
      </c>
      <c r="C405" s="3" t="inlineStr">
        <is>
          <t>Davies</t>
        </is>
      </c>
      <c r="D405" s="3" t="inlineStr">
        <is>
          <t>Heron View</t>
        </is>
      </c>
      <c r="E405" s="3" t="inlineStr">
        <is>
          <t>HVK301</t>
        </is>
      </c>
      <c r="F405" s="3" t="b">
        <v>0</v>
      </c>
      <c r="G405" s="3" t="b">
        <v>0</v>
      </c>
      <c r="H405" s="3" t="inlineStr">
        <is>
          <t>K</t>
        </is>
      </c>
      <c r="I405" s="4" t="n">
        <v>44903</v>
      </c>
      <c r="J405" s="4" t="n">
        <v>44967</v>
      </c>
      <c r="K405" s="4" t="n">
        <v>45600</v>
      </c>
      <c r="L405" s="3" t="n">
        <v>5</v>
      </c>
      <c r="M405" s="3" t="n">
        <v>250000</v>
      </c>
      <c r="N405" s="3" t="n">
        <v>16</v>
      </c>
      <c r="O405" s="3" t="b">
        <v>0</v>
      </c>
      <c r="P405" s="3" t="b">
        <v>0</v>
      </c>
      <c r="Q405" s="3" t="n">
        <v>4291.09589041096</v>
      </c>
      <c r="R405" s="3" t="n">
        <v>69369.86301369863</v>
      </c>
      <c r="S405" s="3" t="n">
        <v>73660.95890410959</v>
      </c>
      <c r="T405" s="5">
        <f>IF(J405&lt;&gt;"",M405*N405/365/100*('Cashflow Projection'!$B$2-Investors!J405),0)</f>
        <v/>
      </c>
    </row>
    <row r="406">
      <c r="A406" s="3" t="inlineStr">
        <is>
          <t>ZHIL01</t>
        </is>
      </c>
      <c r="B406" s="3" t="inlineStr">
        <is>
          <t>Trevor David</t>
        </is>
      </c>
      <c r="C406" s="3" t="inlineStr">
        <is>
          <t>Hill</t>
        </is>
      </c>
      <c r="D406" s="3" t="inlineStr">
        <is>
          <t>Heron View</t>
        </is>
      </c>
      <c r="E406" s="3" t="inlineStr">
        <is>
          <t>HVK301</t>
        </is>
      </c>
      <c r="F406" s="3" t="b">
        <v>0</v>
      </c>
      <c r="G406" s="3" t="b">
        <v>0</v>
      </c>
      <c r="H406" s="3" t="inlineStr">
        <is>
          <t>K</t>
        </is>
      </c>
      <c r="I406" s="4" t="n">
        <v>44895</v>
      </c>
      <c r="J406" s="4" t="n">
        <v>44916</v>
      </c>
      <c r="K406" s="4" t="n">
        <v>45600</v>
      </c>
      <c r="L406" s="3" t="n">
        <v>2</v>
      </c>
      <c r="M406" s="3" t="n">
        <v>123390.41</v>
      </c>
      <c r="N406" s="3" t="n">
        <v>14</v>
      </c>
      <c r="O406" s="3" t="b">
        <v>0</v>
      </c>
      <c r="P406" s="3" t="b">
        <v>0</v>
      </c>
      <c r="Q406" s="3" t="n">
        <v>692.1694917123287</v>
      </c>
      <c r="R406" s="3" t="n">
        <v>32372.23468931507</v>
      </c>
      <c r="S406" s="3" t="n">
        <v>33064.4041810274</v>
      </c>
      <c r="T406" s="5">
        <f>IF(J406&lt;&gt;"",M406*N406/365/100*('Cashflow Projection'!$B$2-Investors!J406),0)</f>
        <v/>
      </c>
    </row>
    <row r="407">
      <c r="A407" s="3" t="inlineStr">
        <is>
          <t>ZJBM01</t>
        </is>
      </c>
      <c r="B407" s="3" t="inlineStr">
        <is>
          <t>Jacobus Bruwer</t>
        </is>
      </c>
      <c r="C407" s="3" t="inlineStr">
        <is>
          <t>Morkel</t>
        </is>
      </c>
      <c r="D407" s="3" t="inlineStr">
        <is>
          <t>Heron View</t>
        </is>
      </c>
      <c r="E407" s="3" t="inlineStr">
        <is>
          <t>HVK301</t>
        </is>
      </c>
      <c r="F407" s="3" t="b">
        <v>0</v>
      </c>
      <c r="G407" s="3" t="b">
        <v>0</v>
      </c>
      <c r="H407" s="3" t="inlineStr">
        <is>
          <t>K</t>
        </is>
      </c>
      <c r="I407" s="4" t="n">
        <v>44901</v>
      </c>
      <c r="J407" s="4" t="n">
        <v>44916</v>
      </c>
      <c r="K407" s="4" t="n">
        <v>45600</v>
      </c>
      <c r="L407" s="3" t="n">
        <v>2</v>
      </c>
      <c r="M407" s="3" t="n">
        <v>124948.63</v>
      </c>
      <c r="N407" s="3" t="n">
        <v>14</v>
      </c>
      <c r="O407" s="3" t="b">
        <v>0</v>
      </c>
      <c r="P407" s="3" t="b">
        <v>0</v>
      </c>
      <c r="Q407" s="3" t="n">
        <v>500.6503325342467</v>
      </c>
      <c r="R407" s="3" t="n">
        <v>32781.04331178082</v>
      </c>
      <c r="S407" s="3" t="n">
        <v>33281.69364431507</v>
      </c>
      <c r="T407" s="5">
        <f>IF(J407&lt;&gt;"",M407*N407/365/100*('Cashflow Projection'!$B$2-Investors!J407),0)</f>
        <v/>
      </c>
    </row>
    <row r="408">
      <c r="A408" s="3" t="inlineStr">
        <is>
          <t>ZVAN05</t>
        </is>
      </c>
      <c r="B408" s="3" t="inlineStr">
        <is>
          <t>Hermanus</t>
        </is>
      </c>
      <c r="C408" s="3" t="inlineStr">
        <is>
          <t>van der Sandt</t>
        </is>
      </c>
      <c r="D408" s="3" t="inlineStr">
        <is>
          <t>Heron View</t>
        </is>
      </c>
      <c r="E408" s="3" t="inlineStr">
        <is>
          <t>HVK301</t>
        </is>
      </c>
      <c r="F408" s="3" t="b">
        <v>0</v>
      </c>
      <c r="G408" s="3" t="b">
        <v>0</v>
      </c>
      <c r="H408" s="3" t="inlineStr">
        <is>
          <t>K</t>
        </is>
      </c>
      <c r="I408" s="4" t="n">
        <v>44866</v>
      </c>
      <c r="J408" s="4" t="n">
        <v>44909</v>
      </c>
      <c r="K408" s="4" t="n">
        <v>45600</v>
      </c>
      <c r="L408" s="3" t="n">
        <v>7</v>
      </c>
      <c r="M408" s="3" t="n">
        <v>350000</v>
      </c>
      <c r="N408" s="3" t="n">
        <v>18</v>
      </c>
      <c r="O408" s="3" t="b">
        <v>0</v>
      </c>
      <c r="P408" s="3" t="b">
        <v>0</v>
      </c>
      <c r="Q408" s="3" t="n">
        <v>3811.64383561644</v>
      </c>
      <c r="R408" s="3" t="n">
        <v>119268.4931506849</v>
      </c>
      <c r="S408" s="3" t="n">
        <v>123080.1369863014</v>
      </c>
      <c r="T408" s="5">
        <f>IF(J408&lt;&gt;"",M408*N408/365/100*('Cashflow Projection'!$B$2-Investors!J408),0)</f>
        <v/>
      </c>
    </row>
    <row r="409">
      <c r="A409" s="3" t="inlineStr">
        <is>
          <t>ZBEL01</t>
        </is>
      </c>
      <c r="B409" s="3" t="inlineStr">
        <is>
          <t>Helen Constance</t>
        </is>
      </c>
      <c r="C409" s="3" t="inlineStr">
        <is>
          <t>Belford</t>
        </is>
      </c>
      <c r="D409" s="3" t="inlineStr">
        <is>
          <t>Heron View</t>
        </is>
      </c>
      <c r="E409" s="3" t="inlineStr">
        <is>
          <t>HVK302</t>
        </is>
      </c>
      <c r="F409" s="3" t="b">
        <v>0</v>
      </c>
      <c r="G409" s="3" t="b">
        <v>0</v>
      </c>
      <c r="H409" s="3" t="inlineStr">
        <is>
          <t>K</t>
        </is>
      </c>
      <c r="I409" s="4" t="n">
        <v>44903</v>
      </c>
      <c r="J409" s="4" t="n">
        <v>44986</v>
      </c>
      <c r="K409" s="4" t="n">
        <v>45617</v>
      </c>
      <c r="L409" s="3" t="n">
        <v>5</v>
      </c>
      <c r="M409" s="3" t="n">
        <v>369059.18</v>
      </c>
      <c r="N409" s="3" t="n">
        <v>16</v>
      </c>
      <c r="O409" s="3" t="b">
        <v>0</v>
      </c>
      <c r="P409" s="3" t="b">
        <v>0</v>
      </c>
      <c r="Q409" s="3" t="n">
        <v>8255.803300547957</v>
      </c>
      <c r="R409" s="3" t="n">
        <v>102082.7803090411</v>
      </c>
      <c r="S409" s="3" t="n">
        <v>110338.583609589</v>
      </c>
      <c r="T409" s="5">
        <f>IF(J409&lt;&gt;"",M409*N409/365/100*('Cashflow Projection'!$B$2-Investors!J409),0)</f>
        <v/>
      </c>
    </row>
    <row r="410">
      <c r="A410" s="3" t="inlineStr">
        <is>
          <t>ZCRO01</t>
        </is>
      </c>
      <c r="B410" s="3" t="inlineStr">
        <is>
          <t>Marc</t>
        </is>
      </c>
      <c r="C410" s="3" t="inlineStr">
        <is>
          <t>Lunau</t>
        </is>
      </c>
      <c r="D410" s="3" t="inlineStr">
        <is>
          <t>Heron View</t>
        </is>
      </c>
      <c r="E410" s="3" t="inlineStr">
        <is>
          <t>HVK302</t>
        </is>
      </c>
      <c r="F410" s="3" t="b">
        <v>0</v>
      </c>
      <c r="G410" s="3" t="b">
        <v>0</v>
      </c>
      <c r="H410" s="3" t="inlineStr">
        <is>
          <t>K</t>
        </is>
      </c>
      <c r="I410" s="4" t="n">
        <v>44909</v>
      </c>
      <c r="J410" s="4" t="n">
        <v>44995</v>
      </c>
      <c r="K410" s="4" t="n">
        <v>45617</v>
      </c>
      <c r="L410" s="3" t="n">
        <v>8</v>
      </c>
      <c r="M410" s="3" t="n">
        <v>110000</v>
      </c>
      <c r="N410" s="3" t="n">
        <v>18</v>
      </c>
      <c r="O410" s="3" t="b">
        <v>0</v>
      </c>
      <c r="P410" s="3" t="b">
        <v>0</v>
      </c>
      <c r="Q410" s="3" t="n">
        <v>2555.616438356164</v>
      </c>
      <c r="R410" s="3" t="n">
        <v>33741.3698630137</v>
      </c>
      <c r="S410" s="3" t="n">
        <v>36296.98630136986</v>
      </c>
      <c r="T410" s="5">
        <f>IF(J410&lt;&gt;"",M410*N410/365/100*('Cashflow Projection'!$B$2-Investors!J410),0)</f>
        <v/>
      </c>
    </row>
    <row r="411">
      <c r="A411" s="3" t="inlineStr">
        <is>
          <t>ZJOH01</t>
        </is>
      </c>
      <c r="B411" s="3" t="inlineStr">
        <is>
          <t>Lisa-Marie Natalie</t>
        </is>
      </c>
      <c r="C411" s="3" t="inlineStr">
        <is>
          <t>Johns</t>
        </is>
      </c>
      <c r="D411" s="3" t="inlineStr">
        <is>
          <t>Heron View</t>
        </is>
      </c>
      <c r="E411" s="3" t="inlineStr">
        <is>
          <t>HVK302</t>
        </is>
      </c>
      <c r="F411" s="3" t="b">
        <v>0</v>
      </c>
      <c r="G411" s="3" t="b">
        <v>0</v>
      </c>
      <c r="H411" s="3" t="inlineStr">
        <is>
          <t>K</t>
        </is>
      </c>
      <c r="I411" s="4" t="n">
        <v>44909</v>
      </c>
      <c r="J411" s="4" t="n">
        <v>44995</v>
      </c>
      <c r="K411" s="4" t="n">
        <v>45617</v>
      </c>
      <c r="L411" s="3" t="n">
        <v>6</v>
      </c>
      <c r="M411" s="3" t="n">
        <v>110000</v>
      </c>
      <c r="N411" s="3" t="n">
        <v>18</v>
      </c>
      <c r="O411" s="3" t="b">
        <v>0</v>
      </c>
      <c r="P411" s="3" t="b">
        <v>0</v>
      </c>
      <c r="Q411" s="3" t="n">
        <v>2555.616438356164</v>
      </c>
      <c r="R411" s="3" t="n">
        <v>33741.3698630137</v>
      </c>
      <c r="S411" s="3" t="n">
        <v>36296.98630136986</v>
      </c>
      <c r="T411" s="5">
        <f>IF(J411&lt;&gt;"",M411*N411/365/100*('Cashflow Projection'!$B$2-Investors!J411),0)</f>
        <v/>
      </c>
    </row>
    <row r="412">
      <c r="A412" s="3" t="inlineStr">
        <is>
          <t>ZLEW01</t>
        </is>
      </c>
      <c r="B412" s="3" t="inlineStr">
        <is>
          <t>Martina Christina</t>
        </is>
      </c>
      <c r="C412" s="3" t="inlineStr">
        <is>
          <t>Lewis</t>
        </is>
      </c>
      <c r="D412" s="3" t="inlineStr">
        <is>
          <t>Heron View</t>
        </is>
      </c>
      <c r="E412" s="3" t="inlineStr">
        <is>
          <t>HVK302</t>
        </is>
      </c>
      <c r="F412" s="3" t="b">
        <v>0</v>
      </c>
      <c r="G412" s="3" t="b">
        <v>0</v>
      </c>
      <c r="H412" s="3" t="inlineStr">
        <is>
          <t>K</t>
        </is>
      </c>
      <c r="I412" s="4" t="n">
        <v>44909</v>
      </c>
      <c r="J412" s="4" t="n">
        <v>44980</v>
      </c>
      <c r="K412" s="4" t="n">
        <v>45617</v>
      </c>
      <c r="L412" s="3" t="n">
        <v>9</v>
      </c>
      <c r="M412" s="3" t="n">
        <v>400000</v>
      </c>
      <c r="N412" s="3" t="n">
        <v>18</v>
      </c>
      <c r="O412" s="3" t="b">
        <v>0</v>
      </c>
      <c r="P412" s="3" t="b">
        <v>0</v>
      </c>
      <c r="Q412" s="3" t="n">
        <v>7649.315068493143</v>
      </c>
      <c r="R412" s="3" t="n">
        <v>125654.7945205479</v>
      </c>
      <c r="S412" s="3" t="n">
        <v>133304.1095890411</v>
      </c>
      <c r="T412" s="5">
        <f>IF(J412&lt;&gt;"",M412*N412/365/100*('Cashflow Projection'!$B$2-Investors!J412),0)</f>
        <v/>
      </c>
    </row>
    <row r="413">
      <c r="A413" s="3" t="inlineStr">
        <is>
          <t>ZMAR01</t>
        </is>
      </c>
      <c r="B413" s="3" t="inlineStr">
        <is>
          <t>Beverley-Ann Kinsla</t>
        </is>
      </c>
      <c r="C413" s="3" t="inlineStr">
        <is>
          <t>Martin</t>
        </is>
      </c>
      <c r="D413" s="3" t="inlineStr">
        <is>
          <t>Heron View</t>
        </is>
      </c>
      <c r="E413" s="3" t="inlineStr">
        <is>
          <t>HVK302</t>
        </is>
      </c>
      <c r="F413" s="3" t="b">
        <v>0</v>
      </c>
      <c r="G413" s="3" t="b">
        <v>0</v>
      </c>
      <c r="H413" s="3" t="inlineStr">
        <is>
          <t>K</t>
        </is>
      </c>
      <c r="I413" s="4" t="n">
        <v>44903</v>
      </c>
      <c r="J413" s="4" t="n">
        <v>44980</v>
      </c>
      <c r="K413" s="4" t="n">
        <v>45617</v>
      </c>
      <c r="L413" s="3" t="n">
        <v>3</v>
      </c>
      <c r="M413" s="3" t="n">
        <v>100000</v>
      </c>
      <c r="N413" s="3" t="n">
        <v>14</v>
      </c>
      <c r="O413" s="3" t="b">
        <v>0</v>
      </c>
      <c r="P413" s="3" t="b">
        <v>0</v>
      </c>
      <c r="Q413" s="3" t="n">
        <v>2072.602739726026</v>
      </c>
      <c r="R413" s="3" t="n">
        <v>24432.87671232877</v>
      </c>
      <c r="S413" s="3" t="n">
        <v>26505.47945205479</v>
      </c>
      <c r="T413" s="5">
        <f>IF(J413&lt;&gt;"",M413*N413/365/100*('Cashflow Projection'!$B$2-Investors!J413),0)</f>
        <v/>
      </c>
    </row>
    <row r="414">
      <c r="A414" s="3" t="inlineStr">
        <is>
          <t>ZCRO01</t>
        </is>
      </c>
      <c r="B414" s="3" t="inlineStr">
        <is>
          <t>Marc</t>
        </is>
      </c>
      <c r="C414" s="3" t="inlineStr">
        <is>
          <t>Lunau</t>
        </is>
      </c>
      <c r="D414" s="3" t="inlineStr">
        <is>
          <t>Heron View</t>
        </is>
      </c>
      <c r="E414" s="3" t="inlineStr">
        <is>
          <t>HVK303</t>
        </is>
      </c>
      <c r="F414" s="3" t="b">
        <v>0</v>
      </c>
      <c r="G414" s="3" t="b">
        <v>0</v>
      </c>
      <c r="H414" s="3" t="inlineStr">
        <is>
          <t>K</t>
        </is>
      </c>
      <c r="I414" s="4" t="n">
        <v>44909</v>
      </c>
      <c r="J414" s="4" t="n">
        <v>44995</v>
      </c>
      <c r="K414" s="4" t="n">
        <v>45623</v>
      </c>
      <c r="L414" s="3" t="n">
        <v>9</v>
      </c>
      <c r="M414" s="3" t="n">
        <v>120000</v>
      </c>
      <c r="N414" s="3" t="n">
        <v>18</v>
      </c>
      <c r="O414" s="3" t="b">
        <v>0</v>
      </c>
      <c r="P414" s="3" t="b">
        <v>0</v>
      </c>
      <c r="Q414" s="3" t="n">
        <v>2787.945205479453</v>
      </c>
      <c r="R414" s="3" t="n">
        <v>37163.83561643836</v>
      </c>
      <c r="S414" s="3" t="n">
        <v>39951.78082191781</v>
      </c>
      <c r="T414" s="5">
        <f>IF(J414&lt;&gt;"",M414*N414/365/100*('Cashflow Projection'!$B$2-Investors!J414),0)</f>
        <v/>
      </c>
    </row>
    <row r="415">
      <c r="A415" s="3" t="inlineStr">
        <is>
          <t>ZDAD01</t>
        </is>
      </c>
      <c r="B415" s="3" t="inlineStr">
        <is>
          <t>Feroz</t>
        </is>
      </c>
      <c r="C415" s="3" t="inlineStr">
        <is>
          <t>Dadoo</t>
        </is>
      </c>
      <c r="D415" s="3" t="inlineStr">
        <is>
          <t>Heron View</t>
        </is>
      </c>
      <c r="E415" s="3" t="inlineStr">
        <is>
          <t>HVK303</t>
        </is>
      </c>
      <c r="F415" s="3" t="b">
        <v>0</v>
      </c>
      <c r="G415" s="3" t="b">
        <v>0</v>
      </c>
      <c r="H415" s="3" t="inlineStr">
        <is>
          <t>K</t>
        </is>
      </c>
      <c r="I415" s="4" t="n">
        <v>44944</v>
      </c>
      <c r="J415" s="4" t="n">
        <v>45016</v>
      </c>
      <c r="K415" s="4" t="n">
        <v>45623</v>
      </c>
      <c r="L415" s="3" t="n">
        <v>3</v>
      </c>
      <c r="M415" s="3" t="n">
        <v>637482.88</v>
      </c>
      <c r="N415" s="3" t="n">
        <v>18</v>
      </c>
      <c r="O415" s="3" t="b">
        <v>0</v>
      </c>
      <c r="P415" s="3" t="b">
        <v>0</v>
      </c>
      <c r="Q415" s="3" t="n">
        <v>12518.2425819178</v>
      </c>
      <c r="R415" s="3" t="n">
        <v>190825.6971747945</v>
      </c>
      <c r="S415" s="3" t="n">
        <v>203343.9397567123</v>
      </c>
      <c r="T415" s="5">
        <f>IF(J415&lt;&gt;"",M415*N415/365/100*('Cashflow Projection'!$B$2-Investors!J415),0)</f>
        <v/>
      </c>
    </row>
    <row r="416">
      <c r="A416" s="3" t="inlineStr">
        <is>
          <t>ZHUN01</t>
        </is>
      </c>
      <c r="B416" s="3" t="inlineStr">
        <is>
          <t>Lance</t>
        </is>
      </c>
      <c r="C416" s="3" t="inlineStr">
        <is>
          <t>Hunter</t>
        </is>
      </c>
      <c r="D416" s="3" t="inlineStr">
        <is>
          <t>Heron View</t>
        </is>
      </c>
      <c r="E416" s="3" t="inlineStr">
        <is>
          <t>HVK303</t>
        </is>
      </c>
      <c r="F416" s="3" t="b">
        <v>0</v>
      </c>
      <c r="G416" s="3" t="b">
        <v>0</v>
      </c>
      <c r="H416" s="3" t="inlineStr">
        <is>
          <t>K</t>
        </is>
      </c>
      <c r="I416" s="4" t="n">
        <v>44908</v>
      </c>
      <c r="J416" s="4" t="n">
        <v>44980</v>
      </c>
      <c r="K416" s="4" t="n">
        <v>45623</v>
      </c>
      <c r="L416" s="3" t="n">
        <v>4</v>
      </c>
      <c r="M416" s="3" t="n">
        <v>150000</v>
      </c>
      <c r="N416" s="3" t="n">
        <v>14</v>
      </c>
      <c r="O416" s="3" t="b">
        <v>0</v>
      </c>
      <c r="P416" s="3" t="b">
        <v>0</v>
      </c>
      <c r="Q416" s="3" t="n">
        <v>2908.561643835614</v>
      </c>
      <c r="R416" s="3" t="n">
        <v>36994.52054794521</v>
      </c>
      <c r="S416" s="3" t="n">
        <v>39903.08219178082</v>
      </c>
      <c r="T416" s="5">
        <f>IF(J416&lt;&gt;"",M416*N416/365/100*('Cashflow Projection'!$B$2-Investors!J416),0)</f>
        <v/>
      </c>
    </row>
    <row r="417">
      <c r="A417" s="3" t="inlineStr">
        <is>
          <t>ZINT01</t>
        </is>
      </c>
      <c r="B417" s="3" t="inlineStr">
        <is>
          <t>Marc</t>
        </is>
      </c>
      <c r="C417" s="3" t="inlineStr">
        <is>
          <t>Lunau</t>
        </is>
      </c>
      <c r="D417" s="3" t="inlineStr">
        <is>
          <t>Heron View</t>
        </is>
      </c>
      <c r="E417" s="3" t="inlineStr">
        <is>
          <t>HVK303</t>
        </is>
      </c>
      <c r="F417" s="3" t="b">
        <v>0</v>
      </c>
      <c r="G417" s="3" t="b">
        <v>0</v>
      </c>
      <c r="H417" s="3" t="inlineStr">
        <is>
          <t>K</t>
        </is>
      </c>
      <c r="I417" s="4" t="n">
        <v>44909</v>
      </c>
      <c r="J417" s="4" t="n">
        <v>45008</v>
      </c>
      <c r="K417" s="4" t="n">
        <v>45623</v>
      </c>
      <c r="L417" s="3" t="n">
        <v>11</v>
      </c>
      <c r="M417" s="3" t="n">
        <v>100000</v>
      </c>
      <c r="N417" s="3" t="n">
        <v>18</v>
      </c>
      <c r="O417" s="3" t="b">
        <v>0</v>
      </c>
      <c r="P417" s="3" t="b">
        <v>0</v>
      </c>
      <c r="Q417" s="3" t="n">
        <v>2679.452054794521</v>
      </c>
      <c r="R417" s="3" t="n">
        <v>30328.76712328767</v>
      </c>
      <c r="S417" s="3" t="n">
        <v>33008.21917808219</v>
      </c>
      <c r="T417" s="5">
        <f>IF(J417&lt;&gt;"",M417*N417/365/100*('Cashflow Projection'!$B$2-Investors!J417),0)</f>
        <v/>
      </c>
    </row>
    <row r="418">
      <c r="A418" s="3" t="inlineStr">
        <is>
          <t>ZMEH01</t>
        </is>
      </c>
      <c r="B418" s="3" t="inlineStr">
        <is>
          <t>Ralph Graham</t>
        </is>
      </c>
      <c r="C418" s="3" t="inlineStr">
        <is>
          <t>Mehl</t>
        </is>
      </c>
      <c r="D418" s="3" t="inlineStr">
        <is>
          <t>Heron View</t>
        </is>
      </c>
      <c r="E418" s="3" t="inlineStr">
        <is>
          <t>HVK303</t>
        </is>
      </c>
      <c r="F418" s="3" t="b">
        <v>0</v>
      </c>
      <c r="G418" s="3" t="b">
        <v>0</v>
      </c>
      <c r="H418" s="3" t="inlineStr">
        <is>
          <t>K</t>
        </is>
      </c>
      <c r="I418" s="4" t="n">
        <v>44943</v>
      </c>
      <c r="J418" s="4" t="n">
        <v>45016</v>
      </c>
      <c r="K418" s="4" t="n">
        <v>45623</v>
      </c>
      <c r="L418" s="3" t="n">
        <v>2</v>
      </c>
      <c r="M418" s="3" t="n">
        <v>115557.53</v>
      </c>
      <c r="N418" s="3" t="n">
        <v>14</v>
      </c>
      <c r="O418" s="3" t="b">
        <v>0</v>
      </c>
      <c r="P418" s="3" t="b">
        <v>0</v>
      </c>
      <c r="Q418" s="3" t="n">
        <v>2300.069740958906</v>
      </c>
      <c r="R418" s="3" t="n">
        <v>26904.32575178082</v>
      </c>
      <c r="S418" s="3" t="n">
        <v>29204.39549273972</v>
      </c>
      <c r="T418" s="5">
        <f>IF(J418&lt;&gt;"",M418*N418/365/100*('Cashflow Projection'!$B$2-Investors!J418),0)</f>
        <v/>
      </c>
    </row>
    <row r="419">
      <c r="A419" s="3" t="inlineStr">
        <is>
          <t>ZMCD01</t>
        </is>
      </c>
      <c r="B419" s="3" t="inlineStr">
        <is>
          <t>Veronica Agnes</t>
        </is>
      </c>
      <c r="C419" s="3" t="inlineStr">
        <is>
          <t>McDonald</t>
        </is>
      </c>
      <c r="D419" s="3" t="inlineStr">
        <is>
          <t>Heron View</t>
        </is>
      </c>
      <c r="E419" s="3" t="inlineStr">
        <is>
          <t>HVK304</t>
        </is>
      </c>
      <c r="F419" s="3" t="b">
        <v>0</v>
      </c>
      <c r="G419" s="3" t="b">
        <v>0</v>
      </c>
      <c r="H419" s="3" t="inlineStr">
        <is>
          <t>K</t>
        </is>
      </c>
      <c r="I419" s="4" t="n">
        <v>44908</v>
      </c>
      <c r="J419" s="4" t="n">
        <v>44980</v>
      </c>
      <c r="K419" s="4" t="n">
        <v>45630</v>
      </c>
      <c r="L419" s="3" t="n">
        <v>7</v>
      </c>
      <c r="M419" s="3" t="n">
        <v>450000</v>
      </c>
      <c r="N419" s="3" t="n">
        <v>14</v>
      </c>
      <c r="O419" s="3" t="b">
        <v>0</v>
      </c>
      <c r="P419" s="3" t="b">
        <v>0</v>
      </c>
      <c r="Q419" s="3" t="n">
        <v>8725.684931506852</v>
      </c>
      <c r="R419" s="3" t="n">
        <v>112191.7808219178</v>
      </c>
      <c r="S419" s="3" t="n">
        <v>120917.4657534247</v>
      </c>
      <c r="T419" s="5">
        <f>IF(J419&lt;&gt;"",M419*N419/365/100*('Cashflow Projection'!$B$2-Investors!J419),0)</f>
        <v/>
      </c>
    </row>
    <row r="420">
      <c r="A420" s="3" t="inlineStr">
        <is>
          <t>ZSCH02</t>
        </is>
      </c>
      <c r="B420" s="3" t="inlineStr">
        <is>
          <t>Zeldre</t>
        </is>
      </c>
      <c r="C420" s="3" t="inlineStr">
        <is>
          <t>van Schalkwyk</t>
        </is>
      </c>
      <c r="D420" s="3" t="inlineStr">
        <is>
          <t>Heron View</t>
        </is>
      </c>
      <c r="E420" s="3" t="inlineStr">
        <is>
          <t>HVK304</t>
        </is>
      </c>
      <c r="F420" s="3" t="b">
        <v>0</v>
      </c>
      <c r="G420" s="3" t="b">
        <v>0</v>
      </c>
      <c r="H420" s="3" t="inlineStr">
        <is>
          <t>K</t>
        </is>
      </c>
      <c r="I420" s="4" t="n">
        <v>44903</v>
      </c>
      <c r="J420" s="4" t="n">
        <v>44995</v>
      </c>
      <c r="K420" s="4" t="n">
        <v>45630</v>
      </c>
      <c r="L420" s="3" t="n">
        <v>2</v>
      </c>
      <c r="M420" s="3" t="n">
        <v>648863.01</v>
      </c>
      <c r="N420" s="3" t="n">
        <v>16</v>
      </c>
      <c r="O420" s="3" t="b">
        <v>0</v>
      </c>
      <c r="P420" s="3" t="b">
        <v>0</v>
      </c>
      <c r="Q420" s="3" t="n">
        <v>16114.91283739726</v>
      </c>
      <c r="R420" s="3" t="n">
        <v>180615.0186739726</v>
      </c>
      <c r="S420" s="3" t="n">
        <v>196729.9315113699</v>
      </c>
      <c r="T420" s="5">
        <f>IF(J420&lt;&gt;"",M420*N420/365/100*('Cashflow Projection'!$B$2-Investors!J420),0)</f>
        <v/>
      </c>
    </row>
    <row r="421">
      <c r="A421" s="3" t="inlineStr">
        <is>
          <t>ZRAN01</t>
        </is>
      </c>
      <c r="B421" s="3" t="inlineStr">
        <is>
          <t>Ross Partick Gemill</t>
        </is>
      </c>
      <c r="C421" s="3" t="inlineStr">
        <is>
          <t>Rankin</t>
        </is>
      </c>
      <c r="D421" s="3" t="inlineStr">
        <is>
          <t>Heron View</t>
        </is>
      </c>
      <c r="E421" s="3" t="inlineStr">
        <is>
          <t>HVK305</t>
        </is>
      </c>
      <c r="F421" s="3" t="b">
        <v>0</v>
      </c>
      <c r="G421" s="3" t="b">
        <v>0</v>
      </c>
      <c r="H421" s="3" t="inlineStr">
        <is>
          <t>K</t>
        </is>
      </c>
      <c r="I421" s="4" t="n">
        <v>44950</v>
      </c>
      <c r="J421" s="4" t="n">
        <v>45044</v>
      </c>
      <c r="K421" s="4" t="n">
        <v>45638</v>
      </c>
      <c r="L421" s="3" t="n">
        <v>25</v>
      </c>
      <c r="M421" s="3" t="n">
        <v>178013.84</v>
      </c>
      <c r="N421" s="3" t="n">
        <v>18</v>
      </c>
      <c r="O421" s="3" t="b">
        <v>0</v>
      </c>
      <c r="P421" s="3" t="b">
        <v>0</v>
      </c>
      <c r="Q421" s="3" t="n">
        <v>4644.210387397259</v>
      </c>
      <c r="R421" s="3" t="n">
        <v>52145.86239123288</v>
      </c>
      <c r="S421" s="3" t="n">
        <v>56790.07277863014</v>
      </c>
      <c r="T421" s="5">
        <f>IF(J421&lt;&gt;"",M421*N421/365/100*('Cashflow Projection'!$B$2-Investors!J421),0)</f>
        <v/>
      </c>
    </row>
    <row r="422">
      <c r="A422" s="3" t="inlineStr">
        <is>
          <t>ZSCH01</t>
        </is>
      </c>
      <c r="B422" s="3" t="inlineStr">
        <is>
          <t>Inge</t>
        </is>
      </c>
      <c r="C422" s="3" t="inlineStr">
        <is>
          <t>Schubert</t>
        </is>
      </c>
      <c r="D422" s="3" t="inlineStr">
        <is>
          <t>Heron View</t>
        </is>
      </c>
      <c r="E422" s="3" t="inlineStr">
        <is>
          <t>HVK305</t>
        </is>
      </c>
      <c r="F422" s="3" t="b">
        <v>0</v>
      </c>
      <c r="G422" s="3" t="b">
        <v>0</v>
      </c>
      <c r="H422" s="3" t="inlineStr">
        <is>
          <t>K</t>
        </is>
      </c>
      <c r="I422" s="4" t="n">
        <v>44918</v>
      </c>
      <c r="J422" s="4" t="n">
        <v>45016</v>
      </c>
      <c r="K422" s="4" t="n">
        <v>45638</v>
      </c>
      <c r="L422" s="3" t="n">
        <v>16</v>
      </c>
      <c r="M422" s="3" t="n">
        <v>806083.85</v>
      </c>
      <c r="N422" s="3" t="n">
        <v>18</v>
      </c>
      <c r="O422" s="3" t="b">
        <v>0</v>
      </c>
      <c r="P422" s="3" t="b">
        <v>0</v>
      </c>
      <c r="Q422" s="3" t="n">
        <v>21427.47549212326</v>
      </c>
      <c r="R422" s="3" t="n">
        <v>247257.9393041096</v>
      </c>
      <c r="S422" s="3" t="n">
        <v>268685.4147962329</v>
      </c>
      <c r="T422" s="5">
        <f>IF(J422&lt;&gt;"",M422*N422/365/100*('Cashflow Projection'!$B$2-Investors!J422),0)</f>
        <v/>
      </c>
    </row>
    <row r="423">
      <c r="A423" s="3" t="inlineStr">
        <is>
          <t>ZTSH01</t>
        </is>
      </c>
      <c r="B423" s="3" t="inlineStr">
        <is>
          <t>Thandeka Patience</t>
        </is>
      </c>
      <c r="C423" s="3" t="inlineStr">
        <is>
          <t>Tshabalala</t>
        </is>
      </c>
      <c r="D423" s="3" t="inlineStr">
        <is>
          <t>Heron View</t>
        </is>
      </c>
      <c r="E423" s="3" t="inlineStr">
        <is>
          <t>HVK305</t>
        </is>
      </c>
      <c r="F423" s="3" t="b">
        <v>0</v>
      </c>
      <c r="G423" s="3" t="b">
        <v>0</v>
      </c>
      <c r="H423" s="3" t="inlineStr">
        <is>
          <t>K</t>
        </is>
      </c>
      <c r="I423" s="4" t="n">
        <v>44944</v>
      </c>
      <c r="J423" s="4" t="n">
        <v>45016</v>
      </c>
      <c r="K423" s="4" t="n">
        <v>45638</v>
      </c>
      <c r="L423" s="3" t="n">
        <v>2</v>
      </c>
      <c r="M423" s="3" t="n">
        <v>123565.07</v>
      </c>
      <c r="N423" s="3" t="n">
        <v>14</v>
      </c>
      <c r="O423" s="3" t="b">
        <v>0</v>
      </c>
      <c r="P423" s="3" t="b">
        <v>0</v>
      </c>
      <c r="Q423" s="3" t="n">
        <v>2426.445586917807</v>
      </c>
      <c r="R423" s="3" t="n">
        <v>29479.57889205479</v>
      </c>
      <c r="S423" s="3" t="n">
        <v>31906.0244789726</v>
      </c>
      <c r="T423" s="5">
        <f>IF(J423&lt;&gt;"",M423*N423/365/100*('Cashflow Projection'!$B$2-Investors!J423),0)</f>
        <v/>
      </c>
    </row>
    <row r="424">
      <c r="A424" s="3" t="inlineStr">
        <is>
          <t>ZBUF01</t>
        </is>
      </c>
      <c r="B424" s="3" t="inlineStr">
        <is>
          <t>Tabitha Dorcas</t>
        </is>
      </c>
      <c r="C424" s="3" t="inlineStr">
        <is>
          <t>Buffet</t>
        </is>
      </c>
      <c r="D424" s="3" t="inlineStr">
        <is>
          <t>Heron View</t>
        </is>
      </c>
      <c r="E424" s="3" t="inlineStr">
        <is>
          <t>HVK306</t>
        </is>
      </c>
      <c r="F424" s="3" t="b">
        <v>0</v>
      </c>
      <c r="G424" s="3" t="b">
        <v>0</v>
      </c>
      <c r="H424" s="3" t="inlineStr">
        <is>
          <t>K</t>
        </is>
      </c>
      <c r="I424" s="4" t="n">
        <v>44901</v>
      </c>
      <c r="J424" s="4" t="n">
        <v>44980</v>
      </c>
      <c r="K424" s="4" t="n">
        <v>45665</v>
      </c>
      <c r="L424" s="3" t="n">
        <v>1</v>
      </c>
      <c r="M424" s="3" t="n">
        <v>1000000</v>
      </c>
      <c r="N424" s="3" t="n">
        <v>18</v>
      </c>
      <c r="O424" s="3" t="b">
        <v>0</v>
      </c>
      <c r="P424" s="3" t="b">
        <v>0</v>
      </c>
      <c r="Q424" s="3" t="n">
        <v>21260.27397260275</v>
      </c>
      <c r="R424" s="3" t="n">
        <v>337808.2191780822</v>
      </c>
      <c r="S424" s="3" t="n">
        <v>359068.4931506849</v>
      </c>
      <c r="T424" s="5">
        <f>IF(J424&lt;&gt;"",M424*N424/365/100*('Cashflow Projection'!$B$2-Investors!J424),0)</f>
        <v/>
      </c>
    </row>
    <row r="425">
      <c r="A425" s="3" t="inlineStr">
        <is>
          <t>ZRIT01</t>
        </is>
      </c>
      <c r="B425" s="3" t="inlineStr">
        <is>
          <t>Dennis</t>
        </is>
      </c>
      <c r="C425" s="3" t="inlineStr">
        <is>
          <t>Ritter</t>
        </is>
      </c>
      <c r="D425" s="3" t="inlineStr">
        <is>
          <t>Heron View</t>
        </is>
      </c>
      <c r="E425" s="3" t="inlineStr">
        <is>
          <t>HVK306</t>
        </is>
      </c>
      <c r="F425" s="3" t="b">
        <v>0</v>
      </c>
      <c r="G425" s="3" t="b">
        <v>0</v>
      </c>
      <c r="H425" s="3" t="inlineStr">
        <is>
          <t>K</t>
        </is>
      </c>
      <c r="I425" s="4" t="n">
        <v>44963</v>
      </c>
      <c r="J425" s="4" t="n">
        <v>45072</v>
      </c>
      <c r="K425" s="4" t="n">
        <v>45665</v>
      </c>
      <c r="L425" s="3" t="n">
        <v>11</v>
      </c>
      <c r="M425" s="3" t="n">
        <v>100000</v>
      </c>
      <c r="N425" s="3" t="n">
        <v>18</v>
      </c>
      <c r="O425" s="3" t="b">
        <v>0</v>
      </c>
      <c r="P425" s="3" t="b">
        <v>0</v>
      </c>
      <c r="Q425" s="3" t="n">
        <v>3063.013698630143</v>
      </c>
      <c r="R425" s="3" t="n">
        <v>29243.83561643835</v>
      </c>
      <c r="S425" s="3" t="n">
        <v>32306.8493150685</v>
      </c>
      <c r="T425" s="5">
        <f>IF(J425&lt;&gt;"",M425*N425/365/100*('Cashflow Projection'!$B$2-Investors!J425),0)</f>
        <v/>
      </c>
    </row>
    <row r="426">
      <c r="A426" s="3" t="inlineStr">
        <is>
          <t>ZRAN01</t>
        </is>
      </c>
      <c r="B426" s="3" t="inlineStr">
        <is>
          <t>Ross Partick Gemill</t>
        </is>
      </c>
      <c r="C426" s="3" t="inlineStr">
        <is>
          <t>Rankin</t>
        </is>
      </c>
      <c r="D426" s="3" t="inlineStr">
        <is>
          <t>Heron View</t>
        </is>
      </c>
      <c r="E426" s="3" t="inlineStr">
        <is>
          <t>HVK401</t>
        </is>
      </c>
      <c r="F426" s="3" t="b">
        <v>0</v>
      </c>
      <c r="G426" s="3" t="b">
        <v>0</v>
      </c>
      <c r="H426" s="3" t="inlineStr">
        <is>
          <t>K</t>
        </is>
      </c>
      <c r="I426" s="4" t="n">
        <v>44943</v>
      </c>
      <c r="J426" s="4" t="n">
        <v>45016</v>
      </c>
      <c r="K426" s="4" t="n">
        <v>45672</v>
      </c>
      <c r="L426" s="3" t="n">
        <v>24</v>
      </c>
      <c r="M426" s="3" t="n">
        <v>114452.74</v>
      </c>
      <c r="N426" s="3" t="n">
        <v>18</v>
      </c>
      <c r="O426" s="3" t="b">
        <v>0</v>
      </c>
      <c r="P426" s="3" t="b">
        <v>0</v>
      </c>
      <c r="Q426" s="3" t="n">
        <v>2278.079879726029</v>
      </c>
      <c r="R426" s="3" t="n">
        <v>37026.24531287672</v>
      </c>
      <c r="S426" s="3" t="n">
        <v>39304.32519260274</v>
      </c>
      <c r="T426" s="5">
        <f>IF(J426&lt;&gt;"",M426*N426/365/100*('Cashflow Projection'!$B$2-Investors!J426),0)</f>
        <v/>
      </c>
    </row>
    <row r="427">
      <c r="A427" s="3" t="inlineStr">
        <is>
          <t>ZVAN13</t>
        </is>
      </c>
      <c r="B427" s="3" t="inlineStr">
        <is>
          <t>Gian</t>
        </is>
      </c>
      <c r="C427" s="3" t="inlineStr">
        <is>
          <t>van der Spuy</t>
        </is>
      </c>
      <c r="D427" s="3" t="inlineStr">
        <is>
          <t>Heron View</t>
        </is>
      </c>
      <c r="E427" s="3" t="inlineStr">
        <is>
          <t>HVK401</t>
        </is>
      </c>
      <c r="F427" s="3" t="b">
        <v>0</v>
      </c>
      <c r="G427" s="3" t="b">
        <v>0</v>
      </c>
      <c r="H427" s="3" t="inlineStr">
        <is>
          <t>K</t>
        </is>
      </c>
      <c r="I427" s="4" t="n">
        <v>44938</v>
      </c>
      <c r="J427" s="4" t="n">
        <v>44980</v>
      </c>
      <c r="K427" s="4" t="n">
        <v>45672</v>
      </c>
      <c r="L427" s="3" t="n">
        <v>1</v>
      </c>
      <c r="M427" s="3" t="n">
        <v>1000000</v>
      </c>
      <c r="N427" s="3" t="n">
        <v>18</v>
      </c>
      <c r="O427" s="3" t="b">
        <v>0</v>
      </c>
      <c r="P427" s="3" t="b">
        <v>0</v>
      </c>
      <c r="Q427" s="3" t="n">
        <v>11376.71232876713</v>
      </c>
      <c r="R427" s="3" t="n">
        <v>341260.2739726027</v>
      </c>
      <c r="S427" s="3" t="n">
        <v>352636.9863013698</v>
      </c>
      <c r="T427" s="5">
        <f>IF(J427&lt;&gt;"",M427*N427/365/100*('Cashflow Projection'!$B$2-Investors!J427),0)</f>
        <v/>
      </c>
    </row>
    <row r="428">
      <c r="A428" s="3" t="inlineStr">
        <is>
          <t>ZVAN02</t>
        </is>
      </c>
      <c r="B428" s="3" t="inlineStr">
        <is>
          <t>Agatha Dorothea</t>
        </is>
      </c>
      <c r="C428" s="3" t="inlineStr">
        <is>
          <t>van Schalkwyk</t>
        </is>
      </c>
      <c r="D428" s="3" t="inlineStr">
        <is>
          <t>Heron View</t>
        </is>
      </c>
      <c r="E428" s="3" t="inlineStr">
        <is>
          <t>HVK402</t>
        </is>
      </c>
      <c r="F428" s="3" t="b">
        <v>0</v>
      </c>
      <c r="G428" s="3" t="b">
        <v>0</v>
      </c>
      <c r="H428" s="3" t="inlineStr">
        <is>
          <t>K</t>
        </is>
      </c>
      <c r="I428" s="4" t="n">
        <v>44903</v>
      </c>
      <c r="J428" s="4" t="n">
        <v>44995</v>
      </c>
      <c r="K428" s="4" t="n">
        <v>45672</v>
      </c>
      <c r="L428" s="3" t="n">
        <v>2</v>
      </c>
      <c r="M428" s="3" t="n">
        <v>123099.32</v>
      </c>
      <c r="N428" s="3" t="n">
        <v>14</v>
      </c>
      <c r="O428" s="3" t="b">
        <v>0</v>
      </c>
      <c r="P428" s="3" t="b">
        <v>0</v>
      </c>
      <c r="Q428" s="3" t="n">
        <v>3057.247495342462</v>
      </c>
      <c r="R428" s="3" t="n">
        <v>31965.35219068493</v>
      </c>
      <c r="S428" s="3" t="n">
        <v>35022.5996860274</v>
      </c>
      <c r="T428" s="5">
        <f>IF(J428&lt;&gt;"",M428*N428/365/100*('Cashflow Projection'!$B$2-Investors!J428),0)</f>
        <v/>
      </c>
    </row>
    <row r="429">
      <c r="A429" s="3" t="inlineStr">
        <is>
          <t>ZVAN14</t>
        </is>
      </c>
      <c r="B429" s="3" t="inlineStr">
        <is>
          <t>Dorothy Anne</t>
        </is>
      </c>
      <c r="C429" s="3" t="inlineStr">
        <is>
          <t>van der Spuy</t>
        </is>
      </c>
      <c r="D429" s="3" t="inlineStr">
        <is>
          <t>Heron View</t>
        </is>
      </c>
      <c r="E429" s="3" t="inlineStr">
        <is>
          <t>HVK402</t>
        </is>
      </c>
      <c r="F429" s="3" t="b">
        <v>0</v>
      </c>
      <c r="G429" s="3" t="b">
        <v>0</v>
      </c>
      <c r="H429" s="3" t="inlineStr">
        <is>
          <t>K</t>
        </is>
      </c>
      <c r="I429" s="4" t="n">
        <v>44942</v>
      </c>
      <c r="J429" s="4" t="n">
        <v>45016</v>
      </c>
      <c r="K429" s="4" t="n">
        <v>45672</v>
      </c>
      <c r="L429" s="3" t="n">
        <v>1</v>
      </c>
      <c r="M429" s="3" t="n">
        <v>1000000</v>
      </c>
      <c r="N429" s="3" t="n">
        <v>18</v>
      </c>
      <c r="O429" s="3" t="b">
        <v>0</v>
      </c>
      <c r="P429" s="3" t="b">
        <v>0</v>
      </c>
      <c r="Q429" s="3" t="n">
        <v>20171.23287671235</v>
      </c>
      <c r="R429" s="3" t="n">
        <v>323506.8493150685</v>
      </c>
      <c r="S429" s="3" t="n">
        <v>343678.0821917808</v>
      </c>
      <c r="T429" s="5">
        <f>IF(J429&lt;&gt;"",M429*N429/365/100*('Cashflow Projection'!$B$2-Investors!J429),0)</f>
        <v/>
      </c>
    </row>
    <row r="430">
      <c r="A430" s="3" t="inlineStr">
        <is>
          <t>ZALM01</t>
        </is>
      </c>
      <c r="B430" s="3" t="inlineStr">
        <is>
          <t>Marc</t>
        </is>
      </c>
      <c r="C430" s="3" t="inlineStr">
        <is>
          <t>Lunau</t>
        </is>
      </c>
      <c r="D430" s="3" t="inlineStr">
        <is>
          <t>Heron View</t>
        </is>
      </c>
      <c r="E430" s="3" t="inlineStr">
        <is>
          <t>HVK403</t>
        </is>
      </c>
      <c r="F430" s="3" t="b">
        <v>0</v>
      </c>
      <c r="G430" s="3" t="b">
        <v>0</v>
      </c>
      <c r="H430" s="3" t="inlineStr">
        <is>
          <t>K</t>
        </is>
      </c>
      <c r="I430" s="4" t="n">
        <v>45002</v>
      </c>
      <c r="J430" s="4" t="n">
        <v>45107</v>
      </c>
      <c r="K430" s="4" t="n">
        <v>45663</v>
      </c>
      <c r="L430" s="3" t="n">
        <v>9</v>
      </c>
      <c r="M430" s="3" t="n">
        <v>150000</v>
      </c>
      <c r="N430" s="3" t="n">
        <v>18</v>
      </c>
      <c r="O430" s="3" t="b">
        <v>0</v>
      </c>
      <c r="P430" s="3" t="b">
        <v>0</v>
      </c>
      <c r="Q430" s="3" t="n">
        <v>4563.698630136991</v>
      </c>
      <c r="R430" s="3" t="n">
        <v>41128.76712328767</v>
      </c>
      <c r="S430" s="3" t="n">
        <v>45692.46575342467</v>
      </c>
      <c r="T430" s="5">
        <f>IF(J430&lt;&gt;"",M430*N430/365/100*('Cashflow Projection'!$B$2-Investors!J430),0)</f>
        <v/>
      </c>
    </row>
    <row r="431">
      <c r="A431" s="3" t="inlineStr">
        <is>
          <t>ZGRA01</t>
        </is>
      </c>
      <c r="B431" s="3" t="inlineStr">
        <is>
          <t>Pieter</t>
        </is>
      </c>
      <c r="C431" s="3" t="inlineStr">
        <is>
          <t>Grabe</t>
        </is>
      </c>
      <c r="D431" s="3" t="inlineStr">
        <is>
          <t>Heron View</t>
        </is>
      </c>
      <c r="E431" s="3" t="inlineStr">
        <is>
          <t>HVK403</t>
        </is>
      </c>
      <c r="F431" s="3" t="b">
        <v>0</v>
      </c>
      <c r="G431" s="3" t="b">
        <v>0</v>
      </c>
      <c r="H431" s="3" t="inlineStr">
        <is>
          <t>K</t>
        </is>
      </c>
      <c r="I431" s="4" t="n">
        <v>44942</v>
      </c>
      <c r="J431" s="4" t="n">
        <v>45016</v>
      </c>
      <c r="K431" s="4" t="n">
        <v>45663</v>
      </c>
      <c r="L431" s="3" t="n">
        <v>1</v>
      </c>
      <c r="M431" s="3" t="n">
        <v>100000</v>
      </c>
      <c r="N431" s="3" t="n">
        <v>14</v>
      </c>
      <c r="O431" s="3" t="b">
        <v>0</v>
      </c>
      <c r="P431" s="3" t="b">
        <v>0</v>
      </c>
      <c r="Q431" s="3" t="n">
        <v>2017.12328767123</v>
      </c>
      <c r="R431" s="3" t="n">
        <v>24816.43835616438</v>
      </c>
      <c r="S431" s="3" t="n">
        <v>26833.56164383561</v>
      </c>
      <c r="T431" s="5">
        <f>IF(J431&lt;&gt;"",M431*N431/365/100*('Cashflow Projection'!$B$2-Investors!J431),0)</f>
        <v/>
      </c>
    </row>
    <row r="432">
      <c r="A432" s="3" t="inlineStr">
        <is>
          <t>ZHAN06</t>
        </is>
      </c>
      <c r="B432" s="3" t="inlineStr">
        <is>
          <t>Derick</t>
        </is>
      </c>
      <c r="C432" s="3" t="inlineStr">
        <is>
          <t>Hanekom</t>
        </is>
      </c>
      <c r="D432" s="3" t="inlineStr">
        <is>
          <t>Heron View</t>
        </is>
      </c>
      <c r="E432" s="3" t="inlineStr">
        <is>
          <t>HVK403</t>
        </is>
      </c>
      <c r="F432" s="3" t="b">
        <v>0</v>
      </c>
      <c r="G432" s="3" t="b">
        <v>0</v>
      </c>
      <c r="H432" s="3" t="inlineStr">
        <is>
          <t>K</t>
        </is>
      </c>
      <c r="I432" s="4" t="n">
        <v>44937</v>
      </c>
      <c r="J432" s="4" t="n">
        <v>45016</v>
      </c>
      <c r="K432" s="4" t="n">
        <v>45663</v>
      </c>
      <c r="L432" s="3" t="n">
        <v>1</v>
      </c>
      <c r="M432" s="3" t="n">
        <v>200000</v>
      </c>
      <c r="N432" s="3" t="n">
        <v>14</v>
      </c>
      <c r="O432" s="3" t="b">
        <v>0</v>
      </c>
      <c r="P432" s="3" t="b">
        <v>0</v>
      </c>
      <c r="Q432" s="3" t="n">
        <v>4301.369863013692</v>
      </c>
      <c r="R432" s="3" t="n">
        <v>49632.87671232876</v>
      </c>
      <c r="S432" s="3" t="n">
        <v>53934.24657534245</v>
      </c>
      <c r="T432" s="5">
        <f>IF(J432&lt;&gt;"",M432*N432/365/100*('Cashflow Projection'!$B$2-Investors!J432),0)</f>
        <v/>
      </c>
    </row>
    <row r="433">
      <c r="A433" s="3" t="inlineStr">
        <is>
          <t>ZINT01</t>
        </is>
      </c>
      <c r="B433" s="3" t="inlineStr">
        <is>
          <t>Marc</t>
        </is>
      </c>
      <c r="C433" s="3" t="inlineStr">
        <is>
          <t>Lunau</t>
        </is>
      </c>
      <c r="D433" s="3" t="inlineStr">
        <is>
          <t>Heron View</t>
        </is>
      </c>
      <c r="E433" s="3" t="inlineStr">
        <is>
          <t>HVK403</t>
        </is>
      </c>
      <c r="F433" s="3" t="b">
        <v>0</v>
      </c>
      <c r="G433" s="3" t="b">
        <v>0</v>
      </c>
      <c r="H433" s="3" t="inlineStr">
        <is>
          <t>K</t>
        </is>
      </c>
      <c r="I433" s="4" t="n">
        <v>44914</v>
      </c>
      <c r="J433" s="4" t="n">
        <v>45008</v>
      </c>
      <c r="K433" s="4" t="n">
        <v>45663</v>
      </c>
      <c r="L433" s="3" t="n">
        <v>12</v>
      </c>
      <c r="M433" s="3" t="n">
        <v>100000</v>
      </c>
      <c r="N433" s="3" t="n">
        <v>18</v>
      </c>
      <c r="O433" s="3" t="b">
        <v>0</v>
      </c>
      <c r="P433" s="3" t="b">
        <v>0</v>
      </c>
      <c r="Q433" s="3" t="n">
        <v>2545.890410958903</v>
      </c>
      <c r="R433" s="3" t="n">
        <v>32301.3698630137</v>
      </c>
      <c r="S433" s="3" t="n">
        <v>34847.2602739726</v>
      </c>
      <c r="T433" s="5">
        <f>IF(J433&lt;&gt;"",M433*N433/365/100*('Cashflow Projection'!$B$2-Investors!J433),0)</f>
        <v/>
      </c>
    </row>
    <row r="434">
      <c r="A434" s="3" t="inlineStr">
        <is>
          <t>ZKRO01</t>
        </is>
      </c>
      <c r="B434" s="3" t="inlineStr">
        <is>
          <t>Frans</t>
        </is>
      </c>
      <c r="C434" s="3" t="inlineStr">
        <is>
          <t>van der Merwe</t>
        </is>
      </c>
      <c r="D434" s="3" t="inlineStr">
        <is>
          <t>Heron View</t>
        </is>
      </c>
      <c r="E434" s="3" t="inlineStr">
        <is>
          <t>HVK403</t>
        </is>
      </c>
      <c r="F434" s="3" t="b">
        <v>0</v>
      </c>
      <c r="G434" s="3" t="b">
        <v>0</v>
      </c>
      <c r="H434" s="3" t="inlineStr">
        <is>
          <t>K</t>
        </is>
      </c>
      <c r="I434" s="4" t="n">
        <v>44964</v>
      </c>
      <c r="J434" s="4" t="n">
        <v>45072</v>
      </c>
      <c r="K434" s="4" t="n">
        <v>45663</v>
      </c>
      <c r="L434" s="3" t="n">
        <v>4</v>
      </c>
      <c r="M434" s="3" t="n">
        <v>189647.26</v>
      </c>
      <c r="N434" s="3" t="n">
        <v>16</v>
      </c>
      <c r="O434" s="3" t="b">
        <v>0</v>
      </c>
      <c r="P434" s="3" t="b">
        <v>0</v>
      </c>
      <c r="Q434" s="3" t="n">
        <v>5756.963399452047</v>
      </c>
      <c r="R434" s="3" t="n">
        <v>49131.62987835617</v>
      </c>
      <c r="S434" s="3" t="n">
        <v>54888.59327780821</v>
      </c>
      <c r="T434" s="5">
        <f>IF(J434&lt;&gt;"",M434*N434/365/100*('Cashflow Projection'!$B$2-Investors!J434),0)</f>
        <v/>
      </c>
    </row>
    <row r="435">
      <c r="A435" s="3" t="inlineStr">
        <is>
          <t>ZLUN01</t>
        </is>
      </c>
      <c r="B435" s="3" t="inlineStr">
        <is>
          <t>Marc</t>
        </is>
      </c>
      <c r="C435" s="3" t="inlineStr">
        <is>
          <t>Lunau</t>
        </is>
      </c>
      <c r="D435" s="3" t="inlineStr">
        <is>
          <t>Heron View</t>
        </is>
      </c>
      <c r="E435" s="3" t="inlineStr">
        <is>
          <t>HVK403</t>
        </is>
      </c>
      <c r="F435" s="3" t="b">
        <v>0</v>
      </c>
      <c r="G435" s="3" t="b">
        <v>0</v>
      </c>
      <c r="H435" s="3" t="inlineStr">
        <is>
          <t>K</t>
        </is>
      </c>
      <c r="I435" s="4" t="n">
        <v>45000</v>
      </c>
      <c r="J435" s="4" t="n">
        <v>45107</v>
      </c>
      <c r="K435" s="4" t="n">
        <v>45663</v>
      </c>
      <c r="L435" s="3" t="n">
        <v>7</v>
      </c>
      <c r="M435" s="3" t="n">
        <v>150000</v>
      </c>
      <c r="N435" s="3" t="n">
        <v>18</v>
      </c>
      <c r="O435" s="3" t="b">
        <v>0</v>
      </c>
      <c r="P435" s="3" t="b">
        <v>0</v>
      </c>
      <c r="Q435" s="3" t="n">
        <v>4645.890410958908</v>
      </c>
      <c r="R435" s="3" t="n">
        <v>41128.76712328767</v>
      </c>
      <c r="S435" s="3" t="n">
        <v>45774.65753424658</v>
      </c>
      <c r="T435" s="5">
        <f>IF(J435&lt;&gt;"",M435*N435/365/100*('Cashflow Projection'!$B$2-Investors!J435),0)</f>
        <v/>
      </c>
    </row>
    <row r="436">
      <c r="A436" s="3" t="inlineStr">
        <is>
          <t>ZMCK01</t>
        </is>
      </c>
      <c r="B436" s="3" t="inlineStr">
        <is>
          <t>Caitlin</t>
        </is>
      </c>
      <c r="C436" s="3" t="inlineStr">
        <is>
          <t>MacKenzie-Jones</t>
        </is>
      </c>
      <c r="D436" s="3" t="inlineStr">
        <is>
          <t>Heron View</t>
        </is>
      </c>
      <c r="E436" s="3" t="inlineStr">
        <is>
          <t>HVK403</t>
        </is>
      </c>
      <c r="F436" s="3" t="b">
        <v>0</v>
      </c>
      <c r="G436" s="3" t="b">
        <v>0</v>
      </c>
      <c r="H436" s="3" t="inlineStr">
        <is>
          <t>K</t>
        </is>
      </c>
      <c r="I436" s="4" t="n">
        <v>44959</v>
      </c>
      <c r="J436" s="4" t="n">
        <v>45072</v>
      </c>
      <c r="K436" s="4" t="n">
        <v>45663</v>
      </c>
      <c r="L436" s="3" t="n">
        <v>4</v>
      </c>
      <c r="M436" s="3" t="n">
        <v>100000</v>
      </c>
      <c r="N436" s="3" t="n">
        <v>18</v>
      </c>
      <c r="O436" s="3" t="b">
        <v>0</v>
      </c>
      <c r="P436" s="3" t="b">
        <v>0</v>
      </c>
      <c r="Q436" s="3" t="n">
        <v>3172.602739726034</v>
      </c>
      <c r="R436" s="3" t="n">
        <v>29145.20547945206</v>
      </c>
      <c r="S436" s="3" t="n">
        <v>32317.80821917809</v>
      </c>
      <c r="T436" s="5">
        <f>IF(J436&lt;&gt;"",M436*N436/365/100*('Cashflow Projection'!$B$2-Investors!J436),0)</f>
        <v/>
      </c>
    </row>
    <row r="437">
      <c r="A437" s="3" t="inlineStr">
        <is>
          <t>ZTHA01</t>
        </is>
      </c>
      <c r="B437" s="3" t="inlineStr">
        <is>
          <t>Gerald Adriaan Odendal</t>
        </is>
      </c>
      <c r="C437" s="3" t="inlineStr">
        <is>
          <t>Matthee</t>
        </is>
      </c>
      <c r="D437" s="3" t="inlineStr">
        <is>
          <t>Heron View</t>
        </is>
      </c>
      <c r="E437" s="3" t="inlineStr">
        <is>
          <t>HVK403</t>
        </is>
      </c>
      <c r="F437" s="3" t="b">
        <v>0</v>
      </c>
      <c r="G437" s="3" t="b">
        <v>0</v>
      </c>
      <c r="H437" s="3" t="inlineStr">
        <is>
          <t>K</t>
        </is>
      </c>
      <c r="I437" s="4" t="n">
        <v>44917</v>
      </c>
      <c r="J437" s="4" t="n">
        <v>45008</v>
      </c>
      <c r="K437" s="4" t="n">
        <v>45663</v>
      </c>
      <c r="L437" s="3" t="n">
        <v>3</v>
      </c>
      <c r="M437" s="3" t="n">
        <v>124599.32</v>
      </c>
      <c r="N437" s="3" t="n">
        <v>16</v>
      </c>
      <c r="O437" s="3" t="b">
        <v>0</v>
      </c>
      <c r="P437" s="3" t="b">
        <v>0</v>
      </c>
      <c r="Q437" s="3" t="n">
        <v>3072.312000000007</v>
      </c>
      <c r="R437" s="3" t="n">
        <v>35775.36640000001</v>
      </c>
      <c r="S437" s="3" t="n">
        <v>38847.67840000001</v>
      </c>
      <c r="T437" s="5">
        <f>IF(J437&lt;&gt;"",M437*N437/365/100*('Cashflow Projection'!$B$2-Investors!J437),0)</f>
        <v/>
      </c>
    </row>
    <row r="438">
      <c r="A438" s="3" t="inlineStr">
        <is>
          <t>ZMCK01</t>
        </is>
      </c>
      <c r="B438" s="3" t="inlineStr">
        <is>
          <t>Caitlin</t>
        </is>
      </c>
      <c r="C438" s="3" t="inlineStr">
        <is>
          <t>MacKenzie-Jones</t>
        </is>
      </c>
      <c r="D438" s="3" t="inlineStr">
        <is>
          <t>Heron View</t>
        </is>
      </c>
      <c r="E438" s="3" t="inlineStr">
        <is>
          <t>HVK404</t>
        </is>
      </c>
      <c r="F438" s="3" t="b">
        <v>0</v>
      </c>
      <c r="G438" s="3" t="b">
        <v>0</v>
      </c>
      <c r="H438" s="3" t="inlineStr">
        <is>
          <t>K</t>
        </is>
      </c>
      <c r="I438" s="4" t="n">
        <v>44959</v>
      </c>
      <c r="J438" s="4" t="n">
        <v>45072</v>
      </c>
      <c r="K438" s="4" t="n">
        <v>45622</v>
      </c>
      <c r="L438" s="3" t="n">
        <v>5</v>
      </c>
      <c r="M438" s="3" t="n">
        <v>1100000</v>
      </c>
      <c r="N438" s="3" t="n">
        <v>18</v>
      </c>
      <c r="O438" s="3" t="b">
        <v>0</v>
      </c>
      <c r="P438" s="3" t="b">
        <v>0</v>
      </c>
      <c r="Q438" s="3" t="n">
        <v>34898.63013698635</v>
      </c>
      <c r="R438" s="3" t="n">
        <v>298356.1643835616</v>
      </c>
      <c r="S438" s="3" t="n">
        <v>333254.794520548</v>
      </c>
      <c r="T438" s="5">
        <f>IF(J438&lt;&gt;"",M438*N438/365/100*('Cashflow Projection'!$B$2-Investors!J438),0)</f>
        <v/>
      </c>
    </row>
    <row r="439">
      <c r="A439" s="3" t="inlineStr">
        <is>
          <t>ZVAN15</t>
        </is>
      </c>
      <c r="B439" s="3" t="inlineStr">
        <is>
          <t>Clifford Roy</t>
        </is>
      </c>
      <c r="C439" s="3" t="inlineStr">
        <is>
          <t>van Vuren</t>
        </is>
      </c>
      <c r="D439" s="3" t="inlineStr">
        <is>
          <t>Heron View</t>
        </is>
      </c>
      <c r="E439" s="3" t="inlineStr">
        <is>
          <t>HVK405</t>
        </is>
      </c>
      <c r="F439" s="3" t="b">
        <v>0</v>
      </c>
      <c r="G439" s="3" t="b">
        <v>0</v>
      </c>
      <c r="H439" s="3" t="inlineStr">
        <is>
          <t>K</t>
        </is>
      </c>
      <c r="I439" s="4" t="n">
        <v>44967</v>
      </c>
      <c r="J439" s="4" t="n">
        <v>45072</v>
      </c>
      <c r="K439" s="4" t="n">
        <v>45623</v>
      </c>
      <c r="L439" s="3" t="n">
        <v>1</v>
      </c>
      <c r="M439" s="3" t="n">
        <v>1000000</v>
      </c>
      <c r="N439" s="3" t="n">
        <v>18</v>
      </c>
      <c r="O439" s="3" t="b">
        <v>0</v>
      </c>
      <c r="P439" s="3" t="b">
        <v>0</v>
      </c>
      <c r="Q439" s="3" t="n">
        <v>29534.24657534252</v>
      </c>
      <c r="R439" s="3" t="n">
        <v>271726.0273972603</v>
      </c>
      <c r="S439" s="3" t="n">
        <v>301260.2739726029</v>
      </c>
      <c r="T439" s="5">
        <f>IF(J439&lt;&gt;"",M439*N439/365/100*('Cashflow Projection'!$B$2-Investors!J439),0)</f>
        <v/>
      </c>
    </row>
    <row r="440">
      <c r="A440" s="3" t="inlineStr">
        <is>
          <t>ZVER02</t>
        </is>
      </c>
      <c r="B440" s="3" t="inlineStr">
        <is>
          <t>Jean-Jacques EP</t>
        </is>
      </c>
      <c r="C440" s="3" t="inlineStr">
        <is>
          <t>Verhaeghe</t>
        </is>
      </c>
      <c r="D440" s="3" t="inlineStr">
        <is>
          <t>Heron View</t>
        </is>
      </c>
      <c r="E440" s="3" t="inlineStr">
        <is>
          <t>HVK405</t>
        </is>
      </c>
      <c r="F440" s="3" t="b">
        <v>0</v>
      </c>
      <c r="G440" s="3" t="b">
        <v>0</v>
      </c>
      <c r="H440" s="3" t="inlineStr">
        <is>
          <t>K</t>
        </is>
      </c>
      <c r="I440" s="4" t="n">
        <v>44964</v>
      </c>
      <c r="J440" s="4" t="n">
        <v>45072</v>
      </c>
      <c r="K440" s="4" t="n">
        <v>45623</v>
      </c>
      <c r="L440" s="3" t="n">
        <v>5</v>
      </c>
      <c r="M440" s="3" t="n">
        <v>117916.44</v>
      </c>
      <c r="N440" s="3" t="n">
        <v>14</v>
      </c>
      <c r="O440" s="3" t="b">
        <v>0</v>
      </c>
      <c r="P440" s="3" t="b">
        <v>0</v>
      </c>
      <c r="Q440" s="3" t="n">
        <v>3579.490836164389</v>
      </c>
      <c r="R440" s="3" t="n">
        <v>24920.75118246576</v>
      </c>
      <c r="S440" s="3" t="n">
        <v>28500.24201863015</v>
      </c>
      <c r="T440" s="5">
        <f>IF(J440&lt;&gt;"",M440*N440/365/100*('Cashflow Projection'!$B$2-Investors!J440),0)</f>
        <v/>
      </c>
    </row>
    <row r="441">
      <c r="A441" s="3" t="inlineStr">
        <is>
          <t>ZVAN13</t>
        </is>
      </c>
      <c r="B441" s="3" t="inlineStr">
        <is>
          <t>Gian</t>
        </is>
      </c>
      <c r="C441" s="3" t="inlineStr">
        <is>
          <t>van der Spuy</t>
        </is>
      </c>
      <c r="D441" s="3" t="inlineStr">
        <is>
          <t>Heron View</t>
        </is>
      </c>
      <c r="E441" s="3" t="inlineStr">
        <is>
          <t>HVK406</t>
        </is>
      </c>
      <c r="F441" s="3" t="b">
        <v>0</v>
      </c>
      <c r="G441" s="3" t="b">
        <v>0</v>
      </c>
      <c r="H441" s="3" t="inlineStr">
        <is>
          <t>K</t>
        </is>
      </c>
      <c r="I441" s="4" t="n">
        <v>44938</v>
      </c>
      <c r="J441" s="4" t="n">
        <v>45016</v>
      </c>
      <c r="K441" s="4" t="n">
        <v>45504</v>
      </c>
      <c r="L441" s="3" t="n">
        <v>2</v>
      </c>
      <c r="M441" s="3" t="n">
        <v>500000</v>
      </c>
      <c r="N441" s="3" t="n">
        <v>18</v>
      </c>
      <c r="O441" s="3" t="b">
        <v>0</v>
      </c>
      <c r="P441" s="3" t="b">
        <v>0</v>
      </c>
      <c r="Q441" s="3" t="n">
        <v>10619.86301369864</v>
      </c>
      <c r="R441" s="3" t="n">
        <v>120328.7671232877</v>
      </c>
      <c r="S441" s="3" t="n">
        <v>130948.6301369863</v>
      </c>
      <c r="T441" s="5">
        <f>IF(J441&lt;&gt;"",M441*N441/365/100*('Cashflow Projection'!$B$2-Investors!J441),0)</f>
        <v/>
      </c>
    </row>
    <row r="442">
      <c r="A442" s="3" t="inlineStr">
        <is>
          <t>ZVAN14</t>
        </is>
      </c>
      <c r="B442" s="3" t="inlineStr">
        <is>
          <t>Dorothy Anne</t>
        </is>
      </c>
      <c r="C442" s="3" t="inlineStr">
        <is>
          <t>van der Spuy</t>
        </is>
      </c>
      <c r="D442" s="3" t="inlineStr">
        <is>
          <t>Heron View</t>
        </is>
      </c>
      <c r="E442" s="3" t="inlineStr">
        <is>
          <t>HVK406</t>
        </is>
      </c>
      <c r="F442" s="3" t="b">
        <v>0</v>
      </c>
      <c r="G442" s="3" t="b">
        <v>0</v>
      </c>
      <c r="H442" s="3" t="inlineStr">
        <is>
          <t>K</t>
        </is>
      </c>
      <c r="I442" s="4" t="n">
        <v>44942</v>
      </c>
      <c r="J442" s="4" t="n">
        <v>45016</v>
      </c>
      <c r="K442" s="4" t="n">
        <v>45504</v>
      </c>
      <c r="L442" s="3" t="n">
        <v>2</v>
      </c>
      <c r="M442" s="3" t="n">
        <v>500000</v>
      </c>
      <c r="N442" s="3" t="n">
        <v>18</v>
      </c>
      <c r="O442" s="3" t="b">
        <v>0</v>
      </c>
      <c r="P442" s="3" t="b">
        <v>0</v>
      </c>
      <c r="Q442" s="3" t="n">
        <v>10085.61643835618</v>
      </c>
      <c r="R442" s="3" t="n">
        <v>120328.7671232877</v>
      </c>
      <c r="S442" s="3" t="n">
        <v>130414.3835616438</v>
      </c>
      <c r="T442" s="5">
        <f>IF(J442&lt;&gt;"",M442*N442/365/100*('Cashflow Projection'!$B$2-Investors!J442),0)</f>
        <v/>
      </c>
    </row>
    <row r="443">
      <c r="A443" s="3" t="inlineStr">
        <is>
          <t>ZVOL01</t>
        </is>
      </c>
      <c r="B443" s="3" t="inlineStr">
        <is>
          <t>Gideon Cornelius</t>
        </is>
      </c>
      <c r="C443" s="3" t="inlineStr">
        <is>
          <t>Volschenk</t>
        </is>
      </c>
      <c r="D443" s="3" t="inlineStr">
        <is>
          <t>Heron View</t>
        </is>
      </c>
      <c r="E443" s="3" t="inlineStr">
        <is>
          <t>HVK406</t>
        </is>
      </c>
      <c r="F443" s="3" t="b">
        <v>0</v>
      </c>
      <c r="G443" s="3" t="b">
        <v>0</v>
      </c>
      <c r="H443" s="3" t="inlineStr">
        <is>
          <t>K</t>
        </is>
      </c>
      <c r="I443" s="4" t="n">
        <v>44942</v>
      </c>
      <c r="J443" s="4" t="n">
        <v>45016</v>
      </c>
      <c r="K443" s="4" t="n">
        <v>45504</v>
      </c>
      <c r="L443" s="3" t="n">
        <v>5</v>
      </c>
      <c r="M443" s="3" t="n">
        <v>114058.91</v>
      </c>
      <c r="N443" s="3" t="n">
        <v>14</v>
      </c>
      <c r="O443" s="3" t="b">
        <v>0</v>
      </c>
      <c r="P443" s="3" t="b">
        <v>0</v>
      </c>
      <c r="Q443" s="3" t="n">
        <v>2300.708835273974</v>
      </c>
      <c r="R443" s="3" t="n">
        <v>21349.32803068493</v>
      </c>
      <c r="S443" s="3" t="n">
        <v>23650.03686595891</v>
      </c>
      <c r="T443" s="5">
        <f>IF(J443&lt;&gt;"",M443*N443/365/100*('Cashflow Projection'!$B$2-Investors!J443),0)</f>
        <v/>
      </c>
    </row>
    <row r="444">
      <c r="A444" s="3" t="inlineStr">
        <is>
          <t>ZMYB01</t>
        </is>
      </c>
      <c r="B444" s="3" t="inlineStr">
        <is>
          <t>Hermanus Carel</t>
        </is>
      </c>
      <c r="C444" s="3" t="inlineStr">
        <is>
          <t>Myburgh</t>
        </is>
      </c>
      <c r="D444" s="3" t="inlineStr">
        <is>
          <t>Heron View</t>
        </is>
      </c>
      <c r="E444" s="3" t="inlineStr">
        <is>
          <t>HVL101</t>
        </is>
      </c>
      <c r="F444" s="3" t="b">
        <v>0</v>
      </c>
      <c r="G444" s="3" t="b">
        <v>0</v>
      </c>
      <c r="H444" s="3" t="inlineStr">
        <is>
          <t>L</t>
        </is>
      </c>
      <c r="I444" s="4" t="n">
        <v>45099</v>
      </c>
      <c r="J444" s="4" t="n">
        <v>45280</v>
      </c>
      <c r="K444" s="4" t="n">
        <v>45524</v>
      </c>
      <c r="L444" s="3" t="n">
        <v>3</v>
      </c>
      <c r="M444" s="3" t="n">
        <v>1100000</v>
      </c>
      <c r="N444" s="3" t="n">
        <v>18</v>
      </c>
      <c r="O444" s="3" t="b">
        <v>0</v>
      </c>
      <c r="P444" s="3" t="b">
        <v>0</v>
      </c>
      <c r="Q444" s="3" t="n">
        <v>60002.73972602739</v>
      </c>
      <c r="R444" s="3" t="n">
        <v>132361.6438356164</v>
      </c>
      <c r="S444" s="3" t="n">
        <v>192364.3835616438</v>
      </c>
      <c r="T444" s="5">
        <f>IF(J444&lt;&gt;"",M444*N444/365/100*('Cashflow Projection'!$B$2-Investors!J444),0)</f>
        <v/>
      </c>
    </row>
    <row r="445">
      <c r="A445" s="3" t="inlineStr">
        <is>
          <t>ZMYB01</t>
        </is>
      </c>
      <c r="B445" s="3" t="inlineStr">
        <is>
          <t>Hermanus Carel</t>
        </is>
      </c>
      <c r="C445" s="3" t="inlineStr">
        <is>
          <t>Myburgh</t>
        </is>
      </c>
      <c r="D445" s="3" t="inlineStr">
        <is>
          <t>Heron View</t>
        </is>
      </c>
      <c r="E445" s="3" t="inlineStr">
        <is>
          <t>HVL102</t>
        </is>
      </c>
      <c r="F445" s="3" t="b">
        <v>0</v>
      </c>
      <c r="G445" s="3" t="b">
        <v>0</v>
      </c>
      <c r="H445" s="3" t="inlineStr">
        <is>
          <t>L</t>
        </is>
      </c>
      <c r="I445" s="4" t="n">
        <v>45099</v>
      </c>
      <c r="J445" s="4" t="n">
        <v>45280</v>
      </c>
      <c r="K445" s="4" t="n">
        <v>45524</v>
      </c>
      <c r="L445" s="3" t="n">
        <v>4</v>
      </c>
      <c r="M445" s="3" t="n">
        <v>700000</v>
      </c>
      <c r="N445" s="3" t="n">
        <v>18</v>
      </c>
      <c r="O445" s="3" t="b">
        <v>0</v>
      </c>
      <c r="P445" s="3" t="b">
        <v>0</v>
      </c>
      <c r="Q445" s="3" t="n">
        <v>38183.5616438357</v>
      </c>
      <c r="R445" s="3" t="n">
        <v>84230.13698630138</v>
      </c>
      <c r="S445" s="3" t="n">
        <v>122413.6986301371</v>
      </c>
      <c r="T445" s="5">
        <f>IF(J445&lt;&gt;"",M445*N445/365/100*('Cashflow Projection'!$B$2-Investors!J445),0)</f>
        <v/>
      </c>
    </row>
    <row r="446">
      <c r="A446" s="3" t="inlineStr">
        <is>
          <t>ZTUR01</t>
        </is>
      </c>
      <c r="B446" s="3" t="inlineStr">
        <is>
          <t>Janne Petteri</t>
        </is>
      </c>
      <c r="C446" s="3" t="inlineStr">
        <is>
          <t>Turunen</t>
        </is>
      </c>
      <c r="D446" s="3" t="inlineStr">
        <is>
          <t>Heron View</t>
        </is>
      </c>
      <c r="E446" s="3" t="inlineStr">
        <is>
          <t>HVL102</t>
        </is>
      </c>
      <c r="F446" s="3" t="b">
        <v>0</v>
      </c>
      <c r="G446" s="3" t="b">
        <v>0</v>
      </c>
      <c r="H446" s="3" t="inlineStr">
        <is>
          <t>L</t>
        </is>
      </c>
      <c r="I446" s="4" t="n">
        <v>45125</v>
      </c>
      <c r="J446" s="4" t="n">
        <v>45259</v>
      </c>
      <c r="K446" s="4" t="n">
        <v>45524</v>
      </c>
      <c r="L446" s="3" t="n">
        <v>1</v>
      </c>
      <c r="M446" s="3" t="n">
        <v>100000</v>
      </c>
      <c r="N446" s="3" t="n">
        <v>14</v>
      </c>
      <c r="O446" s="3" t="b">
        <v>0</v>
      </c>
      <c r="P446" s="3" t="b">
        <v>0</v>
      </c>
      <c r="Q446" s="3" t="n">
        <v>4038.356164383553</v>
      </c>
      <c r="R446" s="3" t="n">
        <v>10164.38356164384</v>
      </c>
      <c r="S446" s="3" t="n">
        <v>14202.73972602739</v>
      </c>
      <c r="T446" s="5">
        <f>IF(J446&lt;&gt;"",M446*N446/365/100*('Cashflow Projection'!$B$2-Investors!J446),0)</f>
        <v/>
      </c>
    </row>
    <row r="447">
      <c r="A447" s="3" t="inlineStr">
        <is>
          <t>ZVOL01</t>
        </is>
      </c>
      <c r="B447" s="3" t="inlineStr">
        <is>
          <t>Gideon Cornelius</t>
        </is>
      </c>
      <c r="C447" s="3" t="inlineStr">
        <is>
          <t>Volschenk</t>
        </is>
      </c>
      <c r="D447" s="3" t="inlineStr">
        <is>
          <t>Heron View</t>
        </is>
      </c>
      <c r="E447" s="3" t="inlineStr">
        <is>
          <t>HVL102</t>
        </is>
      </c>
      <c r="F447" s="3" t="b">
        <v>0</v>
      </c>
      <c r="G447" s="3" t="b">
        <v>0</v>
      </c>
      <c r="H447" s="3" t="inlineStr">
        <is>
          <t>L</t>
        </is>
      </c>
      <c r="I447" s="4" t="n">
        <v>45112</v>
      </c>
      <c r="J447" s="4" t="n">
        <v>45259</v>
      </c>
      <c r="K447" s="4" t="n">
        <v>45524</v>
      </c>
      <c r="L447" s="3" t="n">
        <v>6</v>
      </c>
      <c r="M447" s="3" t="n">
        <v>250000</v>
      </c>
      <c r="N447" s="3" t="n">
        <v>16</v>
      </c>
      <c r="O447" s="3" t="b">
        <v>0</v>
      </c>
      <c r="P447" s="3" t="b">
        <v>0</v>
      </c>
      <c r="Q447" s="3" t="n">
        <v>11075.34246575342</v>
      </c>
      <c r="R447" s="3" t="n">
        <v>29041.09589041096</v>
      </c>
      <c r="S447" s="3" t="n">
        <v>40116.43835616438</v>
      </c>
      <c r="T447" s="5">
        <f>IF(J447&lt;&gt;"",M447*N447/365/100*('Cashflow Projection'!$B$2-Investors!J447),0)</f>
        <v/>
      </c>
    </row>
    <row r="448">
      <c r="A448" s="3" t="inlineStr">
        <is>
          <t>ZCRO02</t>
        </is>
      </c>
      <c r="B448" s="3" t="inlineStr">
        <is>
          <t>Gregory Murray</t>
        </is>
      </c>
      <c r="C448" s="3" t="inlineStr">
        <is>
          <t>Crouse</t>
        </is>
      </c>
      <c r="D448" s="3" t="inlineStr">
        <is>
          <t>Heron View</t>
        </is>
      </c>
      <c r="E448" s="3" t="inlineStr">
        <is>
          <t>HVL103</t>
        </is>
      </c>
      <c r="F448" s="3" t="b">
        <v>0</v>
      </c>
      <c r="G448" s="3" t="b">
        <v>0</v>
      </c>
      <c r="H448" s="3" t="inlineStr">
        <is>
          <t>L</t>
        </is>
      </c>
      <c r="I448" s="4" t="n">
        <v>45099</v>
      </c>
      <c r="J448" s="4" t="n">
        <v>45273</v>
      </c>
      <c r="K448" s="4" t="n">
        <v>45524</v>
      </c>
      <c r="L448" s="3" t="n">
        <v>2</v>
      </c>
      <c r="M448" s="3" t="n">
        <v>1000004.32</v>
      </c>
      <c r="N448" s="3" t="n">
        <v>18</v>
      </c>
      <c r="O448" s="3" t="b">
        <v>0</v>
      </c>
      <c r="P448" s="3" t="b">
        <v>0</v>
      </c>
      <c r="Q448" s="3" t="n">
        <v>52438.58269808234</v>
      </c>
      <c r="R448" s="3" t="n">
        <v>123781.3566509589</v>
      </c>
      <c r="S448" s="3" t="n">
        <v>176219.9393490412</v>
      </c>
      <c r="T448" s="5">
        <f>IF(J448&lt;&gt;"",M448*N448/365/100*('Cashflow Projection'!$B$2-Investors!J448),0)</f>
        <v/>
      </c>
    </row>
    <row r="449">
      <c r="A449" s="3" t="inlineStr">
        <is>
          <t>ZSIP01</t>
        </is>
      </c>
      <c r="B449" s="3" t="inlineStr">
        <is>
          <t>Elaine Christilene</t>
        </is>
      </c>
      <c r="C449" s="3" t="inlineStr">
        <is>
          <t>Sipongo</t>
        </is>
      </c>
      <c r="D449" s="3" t="inlineStr">
        <is>
          <t>Heron View</t>
        </is>
      </c>
      <c r="E449" s="3" t="inlineStr">
        <is>
          <t>HVL103</t>
        </is>
      </c>
      <c r="F449" s="3" t="b">
        <v>0</v>
      </c>
      <c r="G449" s="3" t="b">
        <v>0</v>
      </c>
      <c r="H449" s="3" t="inlineStr">
        <is>
          <t>L</t>
        </is>
      </c>
      <c r="I449" s="4" t="n">
        <v>45125</v>
      </c>
      <c r="J449" s="4" t="n">
        <v>45259</v>
      </c>
      <c r="K449" s="4" t="n">
        <v>45524</v>
      </c>
      <c r="L449" s="3" t="n">
        <v>1</v>
      </c>
      <c r="M449" s="3" t="n">
        <v>100000</v>
      </c>
      <c r="N449" s="3" t="n">
        <v>14</v>
      </c>
      <c r="O449" s="3" t="b">
        <v>0</v>
      </c>
      <c r="P449" s="3" t="b">
        <v>0</v>
      </c>
      <c r="Q449" s="3" t="n">
        <v>4038.356164383553</v>
      </c>
      <c r="R449" s="3" t="n">
        <v>10164.38356164384</v>
      </c>
      <c r="S449" s="3" t="n">
        <v>14202.73972602739</v>
      </c>
      <c r="T449" s="5">
        <f>IF(J449&lt;&gt;"",M449*N449/365/100*('Cashflow Projection'!$B$2-Investors!J449),0)</f>
        <v/>
      </c>
    </row>
    <row r="450">
      <c r="A450" s="3" t="inlineStr">
        <is>
          <t>ZMYB01</t>
        </is>
      </c>
      <c r="B450" s="3" t="inlineStr">
        <is>
          <t>Hermanus Carel</t>
        </is>
      </c>
      <c r="C450" s="3" t="inlineStr">
        <is>
          <t>Myburgh</t>
        </is>
      </c>
      <c r="D450" s="3" t="inlineStr">
        <is>
          <t>Heron View</t>
        </is>
      </c>
      <c r="E450" s="3" t="inlineStr">
        <is>
          <t>HVL104</t>
        </is>
      </c>
      <c r="F450" s="3" t="b">
        <v>0</v>
      </c>
      <c r="G450" s="3" t="b">
        <v>0</v>
      </c>
      <c r="H450" s="3" t="inlineStr">
        <is>
          <t>L</t>
        </is>
      </c>
      <c r="I450" s="4" t="n">
        <v>45099</v>
      </c>
      <c r="J450" s="4" t="n">
        <v>45280</v>
      </c>
      <c r="K450" s="4" t="n">
        <v>45524</v>
      </c>
      <c r="L450" s="3" t="n">
        <v>5</v>
      </c>
      <c r="M450" s="3" t="n">
        <v>1100000</v>
      </c>
      <c r="N450" s="3" t="n">
        <v>18</v>
      </c>
      <c r="O450" s="3" t="b">
        <v>0</v>
      </c>
      <c r="P450" s="3" t="b">
        <v>0</v>
      </c>
      <c r="Q450" s="3" t="n">
        <v>60002.73972602739</v>
      </c>
      <c r="R450" s="3" t="n">
        <v>132361.6438356164</v>
      </c>
      <c r="S450" s="3" t="n">
        <v>192364.3835616438</v>
      </c>
      <c r="T450" s="5">
        <f>IF(J450&lt;&gt;"",M450*N450/365/100*('Cashflow Projection'!$B$2-Investors!J450),0)</f>
        <v/>
      </c>
    </row>
    <row r="451">
      <c r="A451" s="3" t="inlineStr">
        <is>
          <t>ZHAL03</t>
        </is>
      </c>
      <c r="B451" s="3" t="inlineStr">
        <is>
          <t>Graeme Haffenden</t>
        </is>
      </c>
      <c r="C451" s="3" t="inlineStr">
        <is>
          <t>Hall</t>
        </is>
      </c>
      <c r="D451" s="3" t="inlineStr">
        <is>
          <t>Heron View</t>
        </is>
      </c>
      <c r="E451" s="3" t="inlineStr">
        <is>
          <t>HVL201</t>
        </is>
      </c>
      <c r="F451" s="3" t="b">
        <v>0</v>
      </c>
      <c r="G451" s="3" t="b">
        <v>0</v>
      </c>
      <c r="H451" s="3" t="inlineStr">
        <is>
          <t>L</t>
        </is>
      </c>
      <c r="I451" s="4" t="n">
        <v>45279</v>
      </c>
      <c r="J451" s="4" t="n">
        <v>45363</v>
      </c>
      <c r="K451" s="4" t="n">
        <v>45524</v>
      </c>
      <c r="L451" s="3" t="n">
        <v>2</v>
      </c>
      <c r="M451" s="3" t="n">
        <v>604260.27</v>
      </c>
      <c r="N451" s="3" t="n">
        <v>16</v>
      </c>
      <c r="O451" s="3" t="b">
        <v>0</v>
      </c>
      <c r="P451" s="3" t="b">
        <v>0</v>
      </c>
      <c r="Q451" s="3" t="n">
        <v>15296.89012273971</v>
      </c>
      <c r="R451" s="3" t="n">
        <v>42645.87549369864</v>
      </c>
      <c r="S451" s="3" t="n">
        <v>57942.76561643835</v>
      </c>
      <c r="T451" s="5">
        <f>IF(J451&lt;&gt;"",M451*N451/365/100*('Cashflow Projection'!$B$2-Investors!J451),0)</f>
        <v/>
      </c>
    </row>
    <row r="452">
      <c r="A452" s="3" t="inlineStr">
        <is>
          <t>ZHEN01</t>
        </is>
      </c>
      <c r="B452" s="3" t="inlineStr">
        <is>
          <t>Theodore Shane</t>
        </is>
      </c>
      <c r="C452" s="3" t="inlineStr">
        <is>
          <t>Hendricks</t>
        </is>
      </c>
      <c r="D452" s="3" t="inlineStr">
        <is>
          <t>Heron View</t>
        </is>
      </c>
      <c r="E452" s="3" t="inlineStr">
        <is>
          <t>HVL201</t>
        </is>
      </c>
      <c r="F452" s="3" t="b">
        <v>0</v>
      </c>
      <c r="G452" s="3" t="b">
        <v>0</v>
      </c>
      <c r="H452" s="3" t="inlineStr">
        <is>
          <t>L</t>
        </is>
      </c>
      <c r="I452" s="4" t="n">
        <v>45097</v>
      </c>
      <c r="J452" s="4" t="n">
        <v>45259</v>
      </c>
      <c r="K452" s="4" t="n">
        <v>45524</v>
      </c>
      <c r="L452" s="3" t="n">
        <v>4</v>
      </c>
      <c r="M452" s="3" t="n">
        <v>400000</v>
      </c>
      <c r="N452" s="3" t="n">
        <v>16</v>
      </c>
      <c r="O452" s="3" t="b">
        <v>0</v>
      </c>
      <c r="P452" s="3" t="b">
        <v>0</v>
      </c>
      <c r="Q452" s="3" t="n">
        <v>19528.76712328762</v>
      </c>
      <c r="R452" s="3" t="n">
        <v>46465.75342465753</v>
      </c>
      <c r="S452" s="3" t="n">
        <v>65994.52054794514</v>
      </c>
      <c r="T452" s="5">
        <f>IF(J452&lt;&gt;"",M452*N452/365/100*('Cashflow Projection'!$B$2-Investors!J452),0)</f>
        <v/>
      </c>
    </row>
    <row r="453">
      <c r="A453" s="3" t="inlineStr">
        <is>
          <t>ZINT01</t>
        </is>
      </c>
      <c r="B453" s="3" t="inlineStr">
        <is>
          <t>Marc</t>
        </is>
      </c>
      <c r="C453" s="3" t="inlineStr">
        <is>
          <t>Lunau</t>
        </is>
      </c>
      <c r="D453" s="3" t="inlineStr">
        <is>
          <t>Heron View</t>
        </is>
      </c>
      <c r="E453" s="3" t="inlineStr">
        <is>
          <t>HVL201</t>
        </is>
      </c>
      <c r="F453" s="3" t="b">
        <v>0</v>
      </c>
      <c r="G453" s="3" t="b">
        <v>0</v>
      </c>
      <c r="H453" s="3" t="inlineStr">
        <is>
          <t>L</t>
        </is>
      </c>
      <c r="I453" s="4" t="n">
        <v>45279</v>
      </c>
      <c r="J453" s="4" t="n">
        <v>45371</v>
      </c>
      <c r="K453" s="4" t="n">
        <v>45524</v>
      </c>
      <c r="L453" s="3" t="n">
        <v>18</v>
      </c>
      <c r="M453" s="3" t="n">
        <v>100000</v>
      </c>
      <c r="N453" s="3" t="n">
        <v>18</v>
      </c>
      <c r="O453" s="3" t="b">
        <v>0</v>
      </c>
      <c r="P453" s="3" t="b">
        <v>0</v>
      </c>
      <c r="Q453" s="3" t="n">
        <v>2772.602739726026</v>
      </c>
      <c r="R453" s="3" t="n">
        <v>7545.205479452055</v>
      </c>
      <c r="S453" s="3" t="n">
        <v>10317.80821917808</v>
      </c>
      <c r="T453" s="5">
        <f>IF(J453&lt;&gt;"",M453*N453/365/100*('Cashflow Projection'!$B$2-Investors!J453),0)</f>
        <v/>
      </c>
    </row>
    <row r="454">
      <c r="A454" s="3" t="inlineStr">
        <is>
          <t>ZKUS03</t>
        </is>
      </c>
      <c r="B454" s="3" t="inlineStr">
        <is>
          <t>Joanne Tracy</t>
        </is>
      </c>
      <c r="C454" s="3" t="inlineStr">
        <is>
          <t>Kuster</t>
        </is>
      </c>
      <c r="D454" s="3" t="inlineStr">
        <is>
          <t>Heron View</t>
        </is>
      </c>
      <c r="E454" s="3" t="inlineStr">
        <is>
          <t>HVL201</t>
        </is>
      </c>
      <c r="F454" s="3" t="b">
        <v>0</v>
      </c>
      <c r="G454" s="3" t="b">
        <v>0</v>
      </c>
      <c r="H454" s="3" t="inlineStr">
        <is>
          <t>L</t>
        </is>
      </c>
      <c r="I454" s="4" t="n">
        <v>45183</v>
      </c>
      <c r="J454" s="4" t="n">
        <v>45273</v>
      </c>
      <c r="K454" s="4" t="n">
        <v>45524</v>
      </c>
      <c r="L454" s="3" t="n">
        <v>5</v>
      </c>
      <c r="M454" s="3" t="n">
        <v>100000</v>
      </c>
      <c r="N454" s="3" t="n">
        <v>14</v>
      </c>
      <c r="O454" s="3" t="b">
        <v>0</v>
      </c>
      <c r="P454" s="3" t="b">
        <v>0</v>
      </c>
      <c r="Q454" s="3" t="n">
        <v>2712.328767123287</v>
      </c>
      <c r="R454" s="3" t="n">
        <v>9627.397260273972</v>
      </c>
      <c r="S454" s="3" t="n">
        <v>12339.72602739726</v>
      </c>
      <c r="T454" s="5">
        <f>IF(J454&lt;&gt;"",M454*N454/365/100*('Cashflow Projection'!$B$2-Investors!J454),0)</f>
        <v/>
      </c>
    </row>
    <row r="455">
      <c r="A455" s="3" t="inlineStr">
        <is>
          <t>ZDEL01</t>
        </is>
      </c>
      <c r="B455" s="3" t="inlineStr">
        <is>
          <t>Pieter</t>
        </is>
      </c>
      <c r="C455" s="3" t="inlineStr">
        <is>
          <t>Jansen van Vuuren</t>
        </is>
      </c>
      <c r="D455" s="3" t="inlineStr">
        <is>
          <t>Heron View</t>
        </is>
      </c>
      <c r="E455" s="3" t="inlineStr">
        <is>
          <t>HVL202</t>
        </is>
      </c>
      <c r="F455" s="3" t="b">
        <v>0</v>
      </c>
      <c r="G455" s="3" t="b">
        <v>0</v>
      </c>
      <c r="H455" s="3" t="inlineStr">
        <is>
          <t>L</t>
        </is>
      </c>
      <c r="I455" s="4" t="n">
        <v>45145</v>
      </c>
      <c r="J455" s="4" t="n">
        <v>45321</v>
      </c>
      <c r="K455" s="4" t="n">
        <v>45524</v>
      </c>
      <c r="L455" s="3" t="n">
        <v>12</v>
      </c>
      <c r="M455" s="3" t="n">
        <v>1200000</v>
      </c>
      <c r="N455" s="3" t="n">
        <v>18</v>
      </c>
      <c r="O455" s="3" t="b">
        <v>0</v>
      </c>
      <c r="P455" s="3" t="b">
        <v>0</v>
      </c>
      <c r="Q455" s="3" t="n">
        <v>63649.31506849304</v>
      </c>
      <c r="R455" s="3" t="n">
        <v>120131.5068493151</v>
      </c>
      <c r="S455" s="3" t="n">
        <v>183780.8219178081</v>
      </c>
      <c r="T455" s="5">
        <f>IF(J455&lt;&gt;"",M455*N455/365/100*('Cashflow Projection'!$B$2-Investors!J455),0)</f>
        <v/>
      </c>
    </row>
    <row r="456">
      <c r="A456" s="3" t="inlineStr">
        <is>
          <t>ZBUM01</t>
        </is>
      </c>
      <c r="B456" s="3" t="inlineStr">
        <is>
          <t>Andre Gottfried</t>
        </is>
      </c>
      <c r="C456" s="3" t="inlineStr">
        <is>
          <t>Brummer</t>
        </is>
      </c>
      <c r="D456" s="3" t="inlineStr">
        <is>
          <t>Heron View</t>
        </is>
      </c>
      <c r="E456" s="3" t="inlineStr">
        <is>
          <t>HVL203</t>
        </is>
      </c>
      <c r="F456" s="3" t="b">
        <v>0</v>
      </c>
      <c r="G456" s="3" t="b">
        <v>0</v>
      </c>
      <c r="H456" s="3" t="inlineStr">
        <is>
          <t>L</t>
        </is>
      </c>
      <c r="I456" s="4" t="n">
        <v>45149</v>
      </c>
      <c r="J456" s="4" t="n">
        <v>45273</v>
      </c>
      <c r="K456" s="4" t="n">
        <v>45524</v>
      </c>
      <c r="L456" s="3" t="n">
        <v>3</v>
      </c>
      <c r="M456" s="3" t="n">
        <v>150000</v>
      </c>
      <c r="N456" s="3" t="n">
        <v>18</v>
      </c>
      <c r="O456" s="3" t="b">
        <v>0</v>
      </c>
      <c r="P456" s="3" t="b">
        <v>0</v>
      </c>
      <c r="Q456" s="3" t="n">
        <v>5605.479452054794</v>
      </c>
      <c r="R456" s="3" t="n">
        <v>18567.12328767123</v>
      </c>
      <c r="S456" s="3" t="n">
        <v>24172.60273972603</v>
      </c>
      <c r="T456" s="5">
        <f>IF(J456&lt;&gt;"",M456*N456/365/100*('Cashflow Projection'!$B$2-Investors!J456),0)</f>
        <v/>
      </c>
    </row>
    <row r="457">
      <c r="A457" s="3" t="inlineStr">
        <is>
          <t>ZDEL01</t>
        </is>
      </c>
      <c r="B457" s="3" t="inlineStr">
        <is>
          <t>Pieter</t>
        </is>
      </c>
      <c r="C457" s="3" t="inlineStr">
        <is>
          <t>Jansen van Vuuren</t>
        </is>
      </c>
      <c r="D457" s="3" t="inlineStr">
        <is>
          <t>Heron View</t>
        </is>
      </c>
      <c r="E457" s="3" t="inlineStr">
        <is>
          <t>HVL203</t>
        </is>
      </c>
      <c r="F457" s="3" t="b">
        <v>0</v>
      </c>
      <c r="G457" s="3" t="b">
        <v>0</v>
      </c>
      <c r="H457" s="3" t="inlineStr">
        <is>
          <t>L</t>
        </is>
      </c>
      <c r="I457" s="4" t="n">
        <v>45173</v>
      </c>
      <c r="J457" s="4" t="n">
        <v>45273</v>
      </c>
      <c r="K457" s="4" t="n">
        <v>45524</v>
      </c>
      <c r="L457" s="3" t="n">
        <v>13</v>
      </c>
      <c r="M457" s="3" t="n">
        <v>180000</v>
      </c>
      <c r="N457" s="3" t="n">
        <v>18</v>
      </c>
      <c r="O457" s="3" t="b">
        <v>0</v>
      </c>
      <c r="P457" s="3" t="b">
        <v>0</v>
      </c>
      <c r="Q457" s="3" t="n">
        <v>5424.657534246579</v>
      </c>
      <c r="R457" s="3" t="n">
        <v>22280.54794520548</v>
      </c>
      <c r="S457" s="3" t="n">
        <v>27705.20547945206</v>
      </c>
      <c r="T457" s="5">
        <f>IF(J457&lt;&gt;"",M457*N457/365/100*('Cashflow Projection'!$B$2-Investors!J457),0)</f>
        <v/>
      </c>
    </row>
    <row r="458">
      <c r="A458" s="3" t="inlineStr">
        <is>
          <t>ZERA02</t>
        </is>
      </c>
      <c r="B458" s="3" t="inlineStr">
        <is>
          <t>Chantal Celeste Jafthaleen</t>
        </is>
      </c>
      <c r="C458" s="3" t="inlineStr">
        <is>
          <t>Erasmus</t>
        </is>
      </c>
      <c r="D458" s="3" t="inlineStr">
        <is>
          <t>Heron View</t>
        </is>
      </c>
      <c r="E458" s="3" t="inlineStr">
        <is>
          <t>HVL203</t>
        </is>
      </c>
      <c r="F458" s="3" t="b">
        <v>0</v>
      </c>
      <c r="G458" s="3" t="b">
        <v>0</v>
      </c>
      <c r="H458" s="3" t="inlineStr">
        <is>
          <t>L</t>
        </is>
      </c>
      <c r="I458" s="4" t="n">
        <v>45160</v>
      </c>
      <c r="J458" s="4" t="n">
        <v>45273</v>
      </c>
      <c r="K458" s="4" t="n">
        <v>45524</v>
      </c>
      <c r="L458" s="3" t="n">
        <v>3</v>
      </c>
      <c r="M458" s="3" t="n">
        <v>300000</v>
      </c>
      <c r="N458" s="3" t="n">
        <v>14</v>
      </c>
      <c r="O458" s="3" t="b">
        <v>0</v>
      </c>
      <c r="P458" s="3" t="b">
        <v>0</v>
      </c>
      <c r="Q458" s="3" t="n">
        <v>10216.43835616439</v>
      </c>
      <c r="R458" s="3" t="n">
        <v>28882.19178082192</v>
      </c>
      <c r="S458" s="3" t="n">
        <v>39098.63013698631</v>
      </c>
      <c r="T458" s="5">
        <f>IF(J458&lt;&gt;"",M458*N458/365/100*('Cashflow Projection'!$B$2-Investors!J458),0)</f>
        <v/>
      </c>
    </row>
    <row r="459">
      <c r="A459" s="3" t="inlineStr">
        <is>
          <t>ZHEN01</t>
        </is>
      </c>
      <c r="B459" s="3" t="inlineStr">
        <is>
          <t>Theodore Shane</t>
        </is>
      </c>
      <c r="C459" s="3" t="inlineStr">
        <is>
          <t>Hendricks</t>
        </is>
      </c>
      <c r="D459" s="3" t="inlineStr">
        <is>
          <t>Heron View</t>
        </is>
      </c>
      <c r="E459" s="3" t="inlineStr">
        <is>
          <t>HVL203</t>
        </is>
      </c>
      <c r="F459" s="3" t="b">
        <v>0</v>
      </c>
      <c r="G459" s="3" t="b">
        <v>0</v>
      </c>
      <c r="H459" s="3" t="inlineStr">
        <is>
          <t>L</t>
        </is>
      </c>
      <c r="I459" s="4" t="n">
        <v>45279</v>
      </c>
      <c r="J459" s="4" t="n">
        <v>45363</v>
      </c>
      <c r="K459" s="4" t="n">
        <v>45524</v>
      </c>
      <c r="L459" s="3" t="n">
        <v>5</v>
      </c>
      <c r="M459" s="3" t="n">
        <v>121489.04</v>
      </c>
      <c r="N459" s="3" t="n">
        <v>16</v>
      </c>
      <c r="O459" s="3" t="b">
        <v>0</v>
      </c>
      <c r="P459" s="3" t="b">
        <v>0</v>
      </c>
      <c r="Q459" s="3" t="n">
        <v>3075.503368767123</v>
      </c>
      <c r="R459" s="3" t="n">
        <v>8574.130603835616</v>
      </c>
      <c r="S459" s="3" t="n">
        <v>11649.63397260274</v>
      </c>
      <c r="T459" s="5">
        <f>IF(J459&lt;&gt;"",M459*N459/365/100*('Cashflow Projection'!$B$2-Investors!J459),0)</f>
        <v/>
      </c>
    </row>
    <row r="460">
      <c r="A460" s="3" t="inlineStr">
        <is>
          <t>ZHUT01</t>
        </is>
      </c>
      <c r="B460" s="3" t="inlineStr">
        <is>
          <t>Tracy Jane</t>
        </is>
      </c>
      <c r="C460" s="3" t="inlineStr">
        <is>
          <t>Hutchings</t>
        </is>
      </c>
      <c r="D460" s="3" t="inlineStr">
        <is>
          <t>Heron View</t>
        </is>
      </c>
      <c r="E460" s="3" t="inlineStr">
        <is>
          <t>HVL203</t>
        </is>
      </c>
      <c r="F460" s="3" t="b">
        <v>0</v>
      </c>
      <c r="G460" s="3" t="b">
        <v>0</v>
      </c>
      <c r="H460" s="3" t="inlineStr">
        <is>
          <t>L</t>
        </is>
      </c>
      <c r="I460" s="4" t="n">
        <v>45279</v>
      </c>
      <c r="J460" s="4" t="n">
        <v>45371</v>
      </c>
      <c r="K460" s="4" t="n">
        <v>45524</v>
      </c>
      <c r="L460" s="3" t="n">
        <v>9</v>
      </c>
      <c r="M460" s="3" t="n">
        <v>311181.51</v>
      </c>
      <c r="N460" s="3" t="n">
        <v>16</v>
      </c>
      <c r="O460" s="3" t="b">
        <v>0</v>
      </c>
      <c r="P460" s="3" t="b">
        <v>0</v>
      </c>
      <c r="Q460" s="3" t="n">
        <v>8627.827071780814</v>
      </c>
      <c r="R460" s="3" t="n">
        <v>20870.4749720548</v>
      </c>
      <c r="S460" s="3" t="n">
        <v>29498.30204383561</v>
      </c>
      <c r="T460" s="5">
        <f>IF(J460&lt;&gt;"",M460*N460/365/100*('Cashflow Projection'!$B$2-Investors!J460),0)</f>
        <v/>
      </c>
    </row>
    <row r="461">
      <c r="A461" s="3" t="inlineStr">
        <is>
          <t>ZROD01</t>
        </is>
      </c>
      <c r="B461" s="3" t="inlineStr">
        <is>
          <t>Vuyisile Eustace</t>
        </is>
      </c>
      <c r="C461" s="3" t="inlineStr">
        <is>
          <t>Rodolo</t>
        </is>
      </c>
      <c r="D461" s="3" t="inlineStr">
        <is>
          <t>Heron View</t>
        </is>
      </c>
      <c r="E461" s="3" t="inlineStr">
        <is>
          <t>HVL203</t>
        </is>
      </c>
      <c r="F461" s="3" t="b">
        <v>0</v>
      </c>
      <c r="G461" s="3" t="b">
        <v>0</v>
      </c>
      <c r="H461" s="3" t="inlineStr">
        <is>
          <t>L</t>
        </is>
      </c>
      <c r="I461" s="4" t="n">
        <v>45279</v>
      </c>
      <c r="J461" s="4" t="n">
        <v>45363</v>
      </c>
      <c r="K461" s="4" t="n">
        <v>45524</v>
      </c>
      <c r="L461" s="3" t="n">
        <v>3</v>
      </c>
      <c r="M461" s="3" t="n">
        <v>139986.32</v>
      </c>
      <c r="N461" s="3" t="n">
        <v>14</v>
      </c>
      <c r="O461" s="3" t="b">
        <v>0</v>
      </c>
      <c r="P461" s="3" t="b">
        <v>0</v>
      </c>
      <c r="Q461" s="3" t="n">
        <v>3543.763278904109</v>
      </c>
      <c r="R461" s="3" t="n">
        <v>8644.63466520548</v>
      </c>
      <c r="S461" s="3" t="n">
        <v>12188.39794410959</v>
      </c>
      <c r="T461" s="5">
        <f>IF(J461&lt;&gt;"",M461*N461/365/100*('Cashflow Projection'!$B$2-Investors!J461),0)</f>
        <v/>
      </c>
    </row>
    <row r="462">
      <c r="A462" s="3" t="inlineStr">
        <is>
          <t>ZHEI01</t>
        </is>
      </c>
      <c r="B462" s="3" t="inlineStr">
        <is>
          <t>Dieter Raimund</t>
        </is>
      </c>
      <c r="C462" s="3" t="inlineStr">
        <is>
          <t>Heinze</t>
        </is>
      </c>
      <c r="D462" s="3" t="inlineStr">
        <is>
          <t>Heron View</t>
        </is>
      </c>
      <c r="E462" s="3" t="inlineStr">
        <is>
          <t>HVL204</t>
        </is>
      </c>
      <c r="F462" s="3" t="b">
        <v>0</v>
      </c>
      <c r="G462" s="3" t="b">
        <v>0</v>
      </c>
      <c r="H462" s="3" t="inlineStr">
        <is>
          <t>L</t>
        </is>
      </c>
      <c r="I462" s="4" t="n">
        <v>45279</v>
      </c>
      <c r="J462" s="4" t="n">
        <v>45371</v>
      </c>
      <c r="K462" s="4" t="n">
        <v>45524</v>
      </c>
      <c r="L462" s="3" t="n">
        <v>12</v>
      </c>
      <c r="M462" s="3" t="n">
        <v>984516</v>
      </c>
      <c r="N462" s="3" t="n">
        <v>18</v>
      </c>
      <c r="O462" s="3" t="b">
        <v>0</v>
      </c>
      <c r="P462" s="3" t="b">
        <v>0</v>
      </c>
      <c r="Q462" s="3" t="n">
        <v>27296.71758904107</v>
      </c>
      <c r="R462" s="3" t="n">
        <v>74283.7551780822</v>
      </c>
      <c r="S462" s="3" t="n">
        <v>101580.4727671233</v>
      </c>
      <c r="T462" s="5">
        <f>IF(J462&lt;&gt;"",M462*N462/365/100*('Cashflow Projection'!$B$2-Investors!J462),0)</f>
        <v/>
      </c>
    </row>
    <row r="463">
      <c r="A463" s="3" t="inlineStr">
        <is>
          <t>ZINT01</t>
        </is>
      </c>
      <c r="B463" s="3" t="inlineStr">
        <is>
          <t>Marc</t>
        </is>
      </c>
      <c r="C463" s="3" t="inlineStr">
        <is>
          <t>Lunau</t>
        </is>
      </c>
      <c r="D463" s="3" t="inlineStr">
        <is>
          <t>Heron View</t>
        </is>
      </c>
      <c r="E463" s="3" t="inlineStr">
        <is>
          <t>HVL204</t>
        </is>
      </c>
      <c r="F463" s="3" t="b">
        <v>0</v>
      </c>
      <c r="G463" s="3" t="b">
        <v>0</v>
      </c>
      <c r="H463" s="3" t="inlineStr">
        <is>
          <t>L</t>
        </is>
      </c>
      <c r="I463" s="4" t="n">
        <v>45159</v>
      </c>
      <c r="J463" s="4" t="n">
        <v>45161</v>
      </c>
      <c r="K463" s="4" t="n">
        <v>45524</v>
      </c>
      <c r="L463" s="3" t="n">
        <v>17</v>
      </c>
      <c r="M463" s="3" t="n">
        <v>106997.26</v>
      </c>
      <c r="N463" s="3" t="n">
        <v>18</v>
      </c>
      <c r="O463" s="3" t="b">
        <v>0</v>
      </c>
      <c r="P463" s="3" t="b">
        <v>0</v>
      </c>
      <c r="Q463" s="3" t="n">
        <v>64.49149917808219</v>
      </c>
      <c r="R463" s="3" t="n">
        <v>19153.97525589041</v>
      </c>
      <c r="S463" s="3" t="n">
        <v>19218.46675506849</v>
      </c>
      <c r="T463" s="5">
        <f>IF(J463&lt;&gt;"",M463*N463/365/100*('Cashflow Projection'!$B$2-Investors!J463),0)</f>
        <v/>
      </c>
    </row>
    <row r="464">
      <c r="A464" s="3" t="inlineStr">
        <is>
          <t>ZNIE02</t>
        </is>
      </c>
      <c r="B464" s="3" t="inlineStr">
        <is>
          <t>Linda Kathleen</t>
        </is>
      </c>
      <c r="C464" s="3" t="inlineStr">
        <is>
          <t>van Niekerk</t>
        </is>
      </c>
      <c r="D464" s="3" t="inlineStr">
        <is>
          <t>Heron View</t>
        </is>
      </c>
      <c r="E464" s="3" t="inlineStr">
        <is>
          <t>HVL204</t>
        </is>
      </c>
      <c r="F464" s="3" t="b">
        <v>0</v>
      </c>
      <c r="G464" s="3" t="b">
        <v>0</v>
      </c>
      <c r="H464" s="3" t="inlineStr">
        <is>
          <t>L</t>
        </is>
      </c>
      <c r="I464" s="4" t="n">
        <v>45160</v>
      </c>
      <c r="J464" s="4" t="n">
        <v>45273</v>
      </c>
      <c r="K464" s="4" t="n">
        <v>45524</v>
      </c>
      <c r="L464" s="3" t="n">
        <v>3</v>
      </c>
      <c r="M464" s="3" t="n">
        <v>100000</v>
      </c>
      <c r="N464" s="3" t="n">
        <v>14</v>
      </c>
      <c r="O464" s="3" t="b">
        <v>0</v>
      </c>
      <c r="P464" s="3" t="b">
        <v>0</v>
      </c>
      <c r="Q464" s="3" t="n">
        <v>3405.479452054789</v>
      </c>
      <c r="R464" s="3" t="n">
        <v>9627.397260273972</v>
      </c>
      <c r="S464" s="3" t="n">
        <v>13032.87671232876</v>
      </c>
      <c r="T464" s="5">
        <f>IF(J464&lt;&gt;"",M464*N464/365/100*('Cashflow Projection'!$B$2-Investors!J464),0)</f>
        <v/>
      </c>
    </row>
    <row r="465">
      <c r="A465" s="3" t="inlineStr">
        <is>
          <t>ZAFR01</t>
        </is>
      </c>
      <c r="B465" s="3" t="inlineStr">
        <is>
          <t>John Robert</t>
        </is>
      </c>
      <c r="C465" s="3" t="inlineStr">
        <is>
          <t>Zylstra</t>
        </is>
      </c>
      <c r="D465" s="3" t="inlineStr">
        <is>
          <t>Heron View</t>
        </is>
      </c>
      <c r="E465" s="3" t="inlineStr">
        <is>
          <t>HVM101</t>
        </is>
      </c>
      <c r="F465" s="3" t="b">
        <v>0</v>
      </c>
      <c r="G465" s="3" t="b">
        <v>0</v>
      </c>
      <c r="H465" s="3" t="inlineStr">
        <is>
          <t>M</t>
        </is>
      </c>
      <c r="I465" s="4" t="n">
        <v>45020</v>
      </c>
      <c r="J465" s="4" t="n">
        <v>45129</v>
      </c>
      <c r="K465" s="4" t="n">
        <v>45561</v>
      </c>
      <c r="L465" s="3" t="n">
        <v>4</v>
      </c>
      <c r="M465" s="3" t="n">
        <v>300931.51</v>
      </c>
      <c r="N465" s="3" t="n">
        <v>18</v>
      </c>
      <c r="O465" s="3" t="b">
        <v>0</v>
      </c>
      <c r="P465" s="3" t="b">
        <v>0</v>
      </c>
      <c r="Q465" s="3" t="n">
        <v>9650.420067260278</v>
      </c>
      <c r="R465" s="3" t="n">
        <v>64110.77867835615</v>
      </c>
      <c r="S465" s="3" t="n">
        <v>73761.19874561644</v>
      </c>
      <c r="T465" s="5">
        <f>IF(J465&lt;&gt;"",M465*N465/365/100*('Cashflow Projection'!$B$2-Investors!J465),0)</f>
        <v/>
      </c>
    </row>
    <row r="466">
      <c r="A466" s="3" t="inlineStr">
        <is>
          <t>ZKOO01</t>
        </is>
      </c>
      <c r="B466" s="3" t="inlineStr">
        <is>
          <t>Jayprakash Brijbukhandas</t>
        </is>
      </c>
      <c r="C466" s="3" t="inlineStr">
        <is>
          <t>Koovarjee</t>
        </is>
      </c>
      <c r="D466" s="3" t="inlineStr">
        <is>
          <t>Heron View</t>
        </is>
      </c>
      <c r="E466" s="3" t="inlineStr">
        <is>
          <t>HVM101</t>
        </is>
      </c>
      <c r="F466" s="3" t="b">
        <v>0</v>
      </c>
      <c r="G466" s="3" t="b">
        <v>0</v>
      </c>
      <c r="H466" s="3" t="inlineStr">
        <is>
          <t>M</t>
        </is>
      </c>
      <c r="I466" s="4" t="n">
        <v>45019</v>
      </c>
      <c r="J466" s="4" t="n">
        <v>45161</v>
      </c>
      <c r="K466" s="4" t="n">
        <v>45561</v>
      </c>
      <c r="L466" s="3" t="n">
        <v>3</v>
      </c>
      <c r="M466" s="3" t="n">
        <v>500000</v>
      </c>
      <c r="N466" s="3" t="n">
        <v>16</v>
      </c>
      <c r="O466" s="3" t="b">
        <v>0</v>
      </c>
      <c r="P466" s="3" t="b">
        <v>0</v>
      </c>
      <c r="Q466" s="3" t="n">
        <v>20999.99999999997</v>
      </c>
      <c r="R466" s="3" t="n">
        <v>87671.23287671233</v>
      </c>
      <c r="S466" s="3" t="n">
        <v>108671.2328767123</v>
      </c>
      <c r="T466" s="5">
        <f>IF(J466&lt;&gt;"",M466*N466/365/100*('Cashflow Projection'!$B$2-Investors!J466),0)</f>
        <v/>
      </c>
    </row>
    <row r="467">
      <c r="A467" s="3" t="inlineStr">
        <is>
          <t>ZRIT01</t>
        </is>
      </c>
      <c r="B467" s="3" t="inlineStr">
        <is>
          <t>Dennis</t>
        </is>
      </c>
      <c r="C467" s="3" t="inlineStr">
        <is>
          <t>Ritter</t>
        </is>
      </c>
      <c r="D467" s="3" t="inlineStr">
        <is>
          <t>Heron View</t>
        </is>
      </c>
      <c r="E467" s="3" t="inlineStr">
        <is>
          <t>HVM101</t>
        </is>
      </c>
      <c r="F467" s="3" t="b">
        <v>0</v>
      </c>
      <c r="G467" s="3" t="b">
        <v>0</v>
      </c>
      <c r="H467" s="3" t="inlineStr">
        <is>
          <t>M</t>
        </is>
      </c>
      <c r="I467" s="4" t="n">
        <v>45013</v>
      </c>
      <c r="J467" s="4" t="n">
        <v>45161</v>
      </c>
      <c r="K467" s="4" t="n">
        <v>45561</v>
      </c>
      <c r="L467" s="3" t="n">
        <v>12</v>
      </c>
      <c r="M467" s="3" t="n">
        <v>300000</v>
      </c>
      <c r="N467" s="3" t="n">
        <v>18</v>
      </c>
      <c r="O467" s="3" t="b">
        <v>0</v>
      </c>
      <c r="P467" s="3" t="b">
        <v>0</v>
      </c>
      <c r="Q467" s="3" t="n">
        <v>13105.47945205478</v>
      </c>
      <c r="R467" s="3" t="n">
        <v>59178.08219178082</v>
      </c>
      <c r="S467" s="3" t="n">
        <v>72283.56164383561</v>
      </c>
      <c r="T467" s="5">
        <f>IF(J467&lt;&gt;"",M467*N467/365/100*('Cashflow Projection'!$B$2-Investors!J467),0)</f>
        <v/>
      </c>
    </row>
    <row r="468">
      <c r="A468" s="3" t="inlineStr">
        <is>
          <t>ZNUN01</t>
        </is>
      </c>
      <c r="B468" s="3" t="inlineStr">
        <is>
          <t>Francisco Antonio</t>
        </is>
      </c>
      <c r="C468" s="3" t="inlineStr">
        <is>
          <t>Nunes</t>
        </is>
      </c>
      <c r="D468" s="3" t="inlineStr">
        <is>
          <t>Heron View</t>
        </is>
      </c>
      <c r="E468" s="3" t="inlineStr">
        <is>
          <t>HVM102</t>
        </is>
      </c>
      <c r="F468" s="3" t="b">
        <v>0</v>
      </c>
      <c r="G468" s="3" t="b">
        <v>0</v>
      </c>
      <c r="H468" s="3" t="inlineStr">
        <is>
          <t>M</t>
        </is>
      </c>
      <c r="I468" s="4" t="n">
        <v>45030</v>
      </c>
      <c r="J468" s="4" t="n">
        <v>45129</v>
      </c>
      <c r="K468" s="4" t="n">
        <v>45561</v>
      </c>
      <c r="L468" s="3" t="n">
        <v>9</v>
      </c>
      <c r="M468" s="3" t="n">
        <v>304366.44</v>
      </c>
      <c r="N468" s="3" t="n">
        <v>18</v>
      </c>
      <c r="O468" s="3" t="b">
        <v>0</v>
      </c>
      <c r="P468" s="3" t="b">
        <v>0</v>
      </c>
      <c r="Q468" s="3" t="n">
        <v>8884.998406027393</v>
      </c>
      <c r="R468" s="3" t="n">
        <v>64842.55992986302</v>
      </c>
      <c r="S468" s="3" t="n">
        <v>73727.55833589041</v>
      </c>
      <c r="T468" s="5">
        <f>IF(J468&lt;&gt;"",M468*N468/365/100*('Cashflow Projection'!$B$2-Investors!J468),0)</f>
        <v/>
      </c>
    </row>
    <row r="469">
      <c r="A469" s="3" t="inlineStr">
        <is>
          <t>ZRIT01</t>
        </is>
      </c>
      <c r="B469" s="3" t="inlineStr">
        <is>
          <t>Dennis</t>
        </is>
      </c>
      <c r="C469" s="3" t="inlineStr">
        <is>
          <t>Ritter</t>
        </is>
      </c>
      <c r="D469" s="3" t="inlineStr">
        <is>
          <t>Heron View</t>
        </is>
      </c>
      <c r="E469" s="3" t="inlineStr">
        <is>
          <t>HVM102</t>
        </is>
      </c>
      <c r="F469" s="3" t="b">
        <v>0</v>
      </c>
      <c r="G469" s="3" t="b">
        <v>0</v>
      </c>
      <c r="H469" s="3" t="inlineStr">
        <is>
          <t>M</t>
        </is>
      </c>
      <c r="I469" s="4" t="n">
        <v>45013</v>
      </c>
      <c r="J469" s="4" t="n">
        <v>45161</v>
      </c>
      <c r="K469" s="4" t="n">
        <v>45561</v>
      </c>
      <c r="L469" s="3" t="n">
        <v>13</v>
      </c>
      <c r="M469" s="3" t="n">
        <v>300000</v>
      </c>
      <c r="N469" s="3" t="n">
        <v>18</v>
      </c>
      <c r="O469" s="3" t="b">
        <v>0</v>
      </c>
      <c r="P469" s="3" t="b">
        <v>0</v>
      </c>
      <c r="Q469" s="3" t="n">
        <v>13105.47945205478</v>
      </c>
      <c r="R469" s="3" t="n">
        <v>59178.08219178082</v>
      </c>
      <c r="S469" s="3" t="n">
        <v>72283.56164383561</v>
      </c>
      <c r="T469" s="5">
        <f>IF(J469&lt;&gt;"",M469*N469/365/100*('Cashflow Projection'!$B$2-Investors!J469),0)</f>
        <v/>
      </c>
    </row>
    <row r="470">
      <c r="A470" s="3" t="inlineStr">
        <is>
          <t>ZSCH04</t>
        </is>
      </c>
      <c r="B470" s="3" t="inlineStr">
        <is>
          <t>Christiaan</t>
        </is>
      </c>
      <c r="C470" s="3" t="inlineStr">
        <is>
          <t>Schroder</t>
        </is>
      </c>
      <c r="D470" s="3" t="inlineStr">
        <is>
          <t>Heron View</t>
        </is>
      </c>
      <c r="E470" s="3" t="inlineStr">
        <is>
          <t>HVM102</t>
        </is>
      </c>
      <c r="F470" s="3" t="b">
        <v>0</v>
      </c>
      <c r="G470" s="3" t="b">
        <v>0</v>
      </c>
      <c r="H470" s="3" t="inlineStr">
        <is>
          <t>M</t>
        </is>
      </c>
      <c r="I470" s="4" t="n">
        <v>45030</v>
      </c>
      <c r="J470" s="4" t="n">
        <v>45129</v>
      </c>
      <c r="K470" s="4" t="n">
        <v>45561</v>
      </c>
      <c r="L470" s="3" t="n">
        <v>2</v>
      </c>
      <c r="M470" s="3" t="n">
        <v>500000</v>
      </c>
      <c r="N470" s="3" t="n">
        <v>18</v>
      </c>
      <c r="O470" s="3" t="b">
        <v>0</v>
      </c>
      <c r="P470" s="3" t="b">
        <v>0</v>
      </c>
      <c r="Q470" s="3" t="n">
        <v>14595.89041095886</v>
      </c>
      <c r="R470" s="3" t="n">
        <v>106520.5479452055</v>
      </c>
      <c r="S470" s="3" t="n">
        <v>121116.4383561643</v>
      </c>
      <c r="T470" s="5">
        <f>IF(J470&lt;&gt;"",M470*N470/365/100*('Cashflow Projection'!$B$2-Investors!J470),0)</f>
        <v/>
      </c>
    </row>
    <row r="471">
      <c r="A471" s="3" t="inlineStr">
        <is>
          <t>ZRIT01</t>
        </is>
      </c>
      <c r="B471" s="3" t="inlineStr">
        <is>
          <t>Dennis</t>
        </is>
      </c>
      <c r="C471" s="3" t="inlineStr">
        <is>
          <t>Ritter</t>
        </is>
      </c>
      <c r="D471" s="3" t="inlineStr">
        <is>
          <t>Heron View</t>
        </is>
      </c>
      <c r="E471" s="3" t="inlineStr">
        <is>
          <t>HVM103</t>
        </is>
      </c>
      <c r="F471" s="3" t="b">
        <v>0</v>
      </c>
      <c r="G471" s="3" t="b">
        <v>0</v>
      </c>
      <c r="H471" s="3" t="inlineStr">
        <is>
          <t>M</t>
        </is>
      </c>
      <c r="I471" s="4" t="n">
        <v>45013</v>
      </c>
      <c r="J471" s="4" t="n">
        <v>45161</v>
      </c>
      <c r="K471" s="4" t="n">
        <v>45561</v>
      </c>
      <c r="L471" s="3" t="n">
        <v>14</v>
      </c>
      <c r="M471" s="3" t="n">
        <v>300000</v>
      </c>
      <c r="N471" s="3" t="n">
        <v>18</v>
      </c>
      <c r="O471" s="3" t="b">
        <v>0</v>
      </c>
      <c r="P471" s="3" t="b">
        <v>0</v>
      </c>
      <c r="Q471" s="3" t="n">
        <v>13105.47945205478</v>
      </c>
      <c r="R471" s="3" t="n">
        <v>59178.08219178082</v>
      </c>
      <c r="S471" s="3" t="n">
        <v>72283.56164383561</v>
      </c>
      <c r="T471" s="5">
        <f>IF(J471&lt;&gt;"",M471*N471/365/100*('Cashflow Projection'!$B$2-Investors!J471),0)</f>
        <v/>
      </c>
    </row>
    <row r="472">
      <c r="A472" s="3" t="inlineStr">
        <is>
          <t>ZROU01</t>
        </is>
      </c>
      <c r="B472" s="3" t="inlineStr">
        <is>
          <t>Laura</t>
        </is>
      </c>
      <c r="C472" s="3" t="inlineStr">
        <is>
          <t>Roux</t>
        </is>
      </c>
      <c r="D472" s="3" t="inlineStr">
        <is>
          <t>Heron View</t>
        </is>
      </c>
      <c r="E472" s="3" t="inlineStr">
        <is>
          <t>HVM103</t>
        </is>
      </c>
      <c r="F472" s="3" t="b">
        <v>0</v>
      </c>
      <c r="G472" s="3" t="b">
        <v>0</v>
      </c>
      <c r="H472" s="3" t="inlineStr">
        <is>
          <t>M</t>
        </is>
      </c>
      <c r="I472" s="4" t="n">
        <v>45030</v>
      </c>
      <c r="J472" s="4" t="n">
        <v>45129</v>
      </c>
      <c r="K472" s="4" t="n">
        <v>45561</v>
      </c>
      <c r="L472" s="3" t="n">
        <v>2</v>
      </c>
      <c r="M472" s="3" t="n">
        <v>234453.42</v>
      </c>
      <c r="N472" s="3" t="n">
        <v>14</v>
      </c>
      <c r="O472" s="3" t="b">
        <v>0</v>
      </c>
      <c r="P472" s="3" t="b">
        <v>0</v>
      </c>
      <c r="Q472" s="3" t="n">
        <v>6844.112849589033</v>
      </c>
      <c r="R472" s="3" t="n">
        <v>38848.61052493152</v>
      </c>
      <c r="S472" s="3" t="n">
        <v>45692.72337452054</v>
      </c>
      <c r="T472" s="5">
        <f>IF(J472&lt;&gt;"",M472*N472/365/100*('Cashflow Projection'!$B$2-Investors!J472),0)</f>
        <v/>
      </c>
    </row>
    <row r="473">
      <c r="A473" s="3" t="inlineStr">
        <is>
          <t>ZSCH04</t>
        </is>
      </c>
      <c r="B473" s="3" t="inlineStr">
        <is>
          <t>Christiaan</t>
        </is>
      </c>
      <c r="C473" s="3" t="inlineStr">
        <is>
          <t>Schroder</t>
        </is>
      </c>
      <c r="D473" s="3" t="inlineStr">
        <is>
          <t>Heron View</t>
        </is>
      </c>
      <c r="E473" s="3" t="inlineStr">
        <is>
          <t>HVM103</t>
        </is>
      </c>
      <c r="F473" s="3" t="b">
        <v>0</v>
      </c>
      <c r="G473" s="3" t="b">
        <v>0</v>
      </c>
      <c r="H473" s="3" t="inlineStr">
        <is>
          <t>M</t>
        </is>
      </c>
      <c r="I473" s="4" t="n">
        <v>45030</v>
      </c>
      <c r="J473" s="4" t="n">
        <v>45161</v>
      </c>
      <c r="K473" s="4" t="n">
        <v>45561</v>
      </c>
      <c r="L473" s="3" t="n">
        <v>3</v>
      </c>
      <c r="M473" s="3" t="n">
        <v>500000</v>
      </c>
      <c r="N473" s="3" t="n">
        <v>18</v>
      </c>
      <c r="O473" s="3" t="b">
        <v>0</v>
      </c>
      <c r="P473" s="3" t="b">
        <v>0</v>
      </c>
      <c r="Q473" s="3" t="n">
        <v>19417.80821917805</v>
      </c>
      <c r="R473" s="3" t="n">
        <v>98630.13698630137</v>
      </c>
      <c r="S473" s="3" t="n">
        <v>118047.9452054794</v>
      </c>
      <c r="T473" s="5">
        <f>IF(J473&lt;&gt;"",M473*N473/365/100*('Cashflow Projection'!$B$2-Investors!J473),0)</f>
        <v/>
      </c>
    </row>
    <row r="474">
      <c r="A474" s="3" t="inlineStr">
        <is>
          <t>ZDEB01</t>
        </is>
      </c>
      <c r="B474" s="3" t="inlineStr">
        <is>
          <t>William Henry</t>
        </is>
      </c>
      <c r="C474" s="3" t="inlineStr">
        <is>
          <t>De Beer</t>
        </is>
      </c>
      <c r="D474" s="3" t="inlineStr">
        <is>
          <t>Heron View</t>
        </is>
      </c>
      <c r="E474" s="3" t="inlineStr">
        <is>
          <t>HVM104</t>
        </is>
      </c>
      <c r="F474" s="3" t="b">
        <v>0</v>
      </c>
      <c r="G474" s="3" t="b">
        <v>0</v>
      </c>
      <c r="H474" s="3" t="inlineStr">
        <is>
          <t>M</t>
        </is>
      </c>
      <c r="I474" s="4" t="n">
        <v>45001</v>
      </c>
      <c r="J474" s="4" t="n">
        <v>45107</v>
      </c>
      <c r="K474" s="4" t="n">
        <v>45561</v>
      </c>
      <c r="L474" s="3" t="n">
        <v>8</v>
      </c>
      <c r="M474" s="3" t="n">
        <v>1100000</v>
      </c>
      <c r="N474" s="3" t="n">
        <v>18</v>
      </c>
      <c r="O474" s="3" t="b">
        <v>0</v>
      </c>
      <c r="P474" s="3" t="b">
        <v>0</v>
      </c>
      <c r="Q474" s="3" t="n">
        <v>33768.49315068498</v>
      </c>
      <c r="R474" s="3" t="n">
        <v>246279.4520547945</v>
      </c>
      <c r="S474" s="3" t="n">
        <v>280047.9452054795</v>
      </c>
      <c r="T474" s="5">
        <f>IF(J474&lt;&gt;"",M474*N474/365/100*('Cashflow Projection'!$B$2-Investors!J474),0)</f>
        <v/>
      </c>
    </row>
    <row r="475">
      <c r="A475" s="3" t="inlineStr">
        <is>
          <t>ZGOF01</t>
        </is>
      </c>
      <c r="B475" s="3" t="inlineStr">
        <is>
          <t>Angela</t>
        </is>
      </c>
      <c r="C475" s="3" t="inlineStr">
        <is>
          <t>Goff</t>
        </is>
      </c>
      <c r="D475" s="3" t="inlineStr">
        <is>
          <t>Heron View</t>
        </is>
      </c>
      <c r="E475" s="3" t="inlineStr">
        <is>
          <t>HVM201</t>
        </is>
      </c>
      <c r="F475" s="3" t="b">
        <v>0</v>
      </c>
      <c r="G475" s="3" t="b">
        <v>0</v>
      </c>
      <c r="H475" s="3" t="inlineStr">
        <is>
          <t>M</t>
        </is>
      </c>
      <c r="I475" s="4" t="n">
        <v>45019</v>
      </c>
      <c r="J475" s="4" t="n">
        <v>45129</v>
      </c>
      <c r="K475" s="4" t="n">
        <v>45561</v>
      </c>
      <c r="L475" s="3" t="n">
        <v>2</v>
      </c>
      <c r="M475" s="3" t="n">
        <v>1100000</v>
      </c>
      <c r="N475" s="3" t="n">
        <v>18</v>
      </c>
      <c r="O475" s="3" t="b">
        <v>0</v>
      </c>
      <c r="P475" s="3" t="b">
        <v>0</v>
      </c>
      <c r="Q475" s="3" t="n">
        <v>35591.78082191783</v>
      </c>
      <c r="R475" s="3" t="n">
        <v>234345.2054794521</v>
      </c>
      <c r="S475" s="3" t="n">
        <v>269936.9863013699</v>
      </c>
      <c r="T475" s="5">
        <f>IF(J475&lt;&gt;"",M475*N475/365/100*('Cashflow Projection'!$B$2-Investors!J475),0)</f>
        <v/>
      </c>
    </row>
    <row r="476">
      <c r="A476" s="3" t="inlineStr">
        <is>
          <t>ZAFR01</t>
        </is>
      </c>
      <c r="B476" s="3" t="inlineStr">
        <is>
          <t>John Robert</t>
        </is>
      </c>
      <c r="C476" s="3" t="inlineStr">
        <is>
          <t>Zylstra</t>
        </is>
      </c>
      <c r="D476" s="3" t="inlineStr">
        <is>
          <t>Heron View</t>
        </is>
      </c>
      <c r="E476" s="3" t="inlineStr">
        <is>
          <t>HVM202</t>
        </is>
      </c>
      <c r="F476" s="3" t="b">
        <v>0</v>
      </c>
      <c r="G476" s="3" t="b">
        <v>0</v>
      </c>
      <c r="H476" s="3" t="inlineStr">
        <is>
          <t>M</t>
        </is>
      </c>
      <c r="I476" s="4" t="n">
        <v>45020</v>
      </c>
      <c r="J476" s="4" t="n">
        <v>45129</v>
      </c>
      <c r="K476" s="4" t="n">
        <v>45561</v>
      </c>
      <c r="L476" s="3" t="n">
        <v>5</v>
      </c>
      <c r="M476" s="3" t="n">
        <v>1100000</v>
      </c>
      <c r="N476" s="3" t="n">
        <v>18</v>
      </c>
      <c r="O476" s="3" t="b">
        <v>0</v>
      </c>
      <c r="P476" s="3" t="b">
        <v>0</v>
      </c>
      <c r="Q476" s="3" t="n">
        <v>35275.34246575345</v>
      </c>
      <c r="R476" s="3" t="n">
        <v>234345.2054794521</v>
      </c>
      <c r="S476" s="3" t="n">
        <v>269620.5479452055</v>
      </c>
      <c r="T476" s="5">
        <f>IF(J476&lt;&gt;"",M476*N476/365/100*('Cashflow Projection'!$B$2-Investors!J476),0)</f>
        <v/>
      </c>
    </row>
    <row r="477">
      <c r="A477" s="3" t="inlineStr">
        <is>
          <t>ZPED01</t>
        </is>
      </c>
      <c r="B477" s="3" t="inlineStr">
        <is>
          <t>Wendy</t>
        </is>
      </c>
      <c r="C477" s="3" t="inlineStr">
        <is>
          <t>Pedersen</t>
        </is>
      </c>
      <c r="D477" s="3" t="inlineStr">
        <is>
          <t>Heron View</t>
        </is>
      </c>
      <c r="E477" s="3" t="inlineStr">
        <is>
          <t>HVM203</t>
        </is>
      </c>
      <c r="F477" s="3" t="b">
        <v>0</v>
      </c>
      <c r="G477" s="3" t="b">
        <v>0</v>
      </c>
      <c r="H477" s="3" t="inlineStr">
        <is>
          <t>M</t>
        </is>
      </c>
      <c r="I477" s="4" t="n">
        <v>45027</v>
      </c>
      <c r="J477" s="4" t="n">
        <v>45129</v>
      </c>
      <c r="K477" s="4" t="n">
        <v>45561</v>
      </c>
      <c r="L477" s="3" t="n">
        <v>4</v>
      </c>
      <c r="M477" s="3" t="n">
        <v>1100000</v>
      </c>
      <c r="N477" s="3" t="n">
        <v>18</v>
      </c>
      <c r="O477" s="3" t="b">
        <v>0</v>
      </c>
      <c r="P477" s="3" t="b">
        <v>0</v>
      </c>
      <c r="Q477" s="3" t="n">
        <v>33060.27397260276</v>
      </c>
      <c r="R477" s="3" t="n">
        <v>234345.2054794521</v>
      </c>
      <c r="S477" s="3" t="n">
        <v>267405.4794520548</v>
      </c>
      <c r="T477" s="5">
        <f>IF(J477&lt;&gt;"",M477*N477/365/100*('Cashflow Projection'!$B$2-Investors!J477),0)</f>
        <v/>
      </c>
    </row>
    <row r="478">
      <c r="A478" s="3" t="inlineStr">
        <is>
          <t>ZDAD01</t>
        </is>
      </c>
      <c r="B478" s="3" t="inlineStr">
        <is>
          <t>Feroz</t>
        </is>
      </c>
      <c r="C478" s="3" t="inlineStr">
        <is>
          <t>Dadoo</t>
        </is>
      </c>
      <c r="D478" s="3" t="inlineStr">
        <is>
          <t>Heron View</t>
        </is>
      </c>
      <c r="E478" s="3" t="inlineStr">
        <is>
          <t>HVM204</t>
        </is>
      </c>
      <c r="F478" s="3" t="b">
        <v>0</v>
      </c>
      <c r="G478" s="3" t="b">
        <v>0</v>
      </c>
      <c r="H478" s="3" t="inlineStr">
        <is>
          <t>M</t>
        </is>
      </c>
      <c r="I478" s="4" t="n">
        <v>45042</v>
      </c>
      <c r="J478" s="4" t="n">
        <v>45129</v>
      </c>
      <c r="K478" s="4" t="n">
        <v>45561</v>
      </c>
      <c r="L478" s="3" t="n">
        <v>5</v>
      </c>
      <c r="M478" s="3" t="n">
        <v>200000</v>
      </c>
      <c r="N478" s="3" t="n">
        <v>18</v>
      </c>
      <c r="O478" s="3" t="b">
        <v>0</v>
      </c>
      <c r="P478" s="3" t="b">
        <v>0</v>
      </c>
      <c r="Q478" s="3" t="n">
        <v>5147.945205479448</v>
      </c>
      <c r="R478" s="3" t="n">
        <v>42608.21917808219</v>
      </c>
      <c r="S478" s="3" t="n">
        <v>47756.16438356163</v>
      </c>
      <c r="T478" s="5">
        <f>IF(J478&lt;&gt;"",M478*N478/365/100*('Cashflow Projection'!$B$2-Investors!J478),0)</f>
        <v/>
      </c>
    </row>
    <row r="479">
      <c r="A479" s="3" t="inlineStr">
        <is>
          <t>ZKRI03</t>
        </is>
      </c>
      <c r="B479" s="3" t="inlineStr">
        <is>
          <t>Helena Jacoba</t>
        </is>
      </c>
      <c r="C479" s="3" t="inlineStr">
        <is>
          <t>Kriel</t>
        </is>
      </c>
      <c r="D479" s="3" t="inlineStr">
        <is>
          <t>Heron View</t>
        </is>
      </c>
      <c r="E479" s="3" t="inlineStr">
        <is>
          <t>HVM204</t>
        </is>
      </c>
      <c r="F479" s="3" t="b">
        <v>0</v>
      </c>
      <c r="G479" s="3" t="b">
        <v>0</v>
      </c>
      <c r="H479" s="3" t="inlineStr">
        <is>
          <t>M</t>
        </is>
      </c>
      <c r="I479" s="4" t="n">
        <v>45033</v>
      </c>
      <c r="J479" s="4" t="n">
        <v>45168</v>
      </c>
      <c r="K479" s="4" t="n">
        <v>45561</v>
      </c>
      <c r="L479" s="3" t="n">
        <v>2</v>
      </c>
      <c r="M479" s="3" t="n">
        <v>900000</v>
      </c>
      <c r="N479" s="3" t="n">
        <v>16</v>
      </c>
      <c r="O479" s="3" t="b">
        <v>0</v>
      </c>
      <c r="P479" s="3" t="b">
        <v>0</v>
      </c>
      <c r="Q479" s="3" t="n">
        <v>36073.97260273969</v>
      </c>
      <c r="R479" s="3" t="n">
        <v>155046.5753424657</v>
      </c>
      <c r="S479" s="3" t="n">
        <v>191120.5479452054</v>
      </c>
      <c r="T479" s="5">
        <f>IF(J479&lt;&gt;"",M479*N479/365/100*('Cashflow Projection'!$B$2-Investors!J479),0)</f>
        <v/>
      </c>
    </row>
    <row r="480">
      <c r="A480" s="3" t="inlineStr">
        <is>
          <t>ZFER01</t>
        </is>
      </c>
      <c r="B480" s="3" t="inlineStr">
        <is>
          <t>Leon</t>
        </is>
      </c>
      <c r="C480" s="3" t="inlineStr">
        <is>
          <t>Ferreira</t>
        </is>
      </c>
      <c r="D480" s="3" t="inlineStr">
        <is>
          <t>Heron View</t>
        </is>
      </c>
      <c r="E480" s="3" t="inlineStr">
        <is>
          <t>HVN101</t>
        </is>
      </c>
      <c r="F480" s="3" t="b">
        <v>1</v>
      </c>
      <c r="G480" s="3" t="b">
        <v>1</v>
      </c>
      <c r="H480" s="3" t="inlineStr">
        <is>
          <t>N</t>
        </is>
      </c>
      <c r="I480" s="4" t="n">
        <v>44739</v>
      </c>
      <c r="J480" s="4" t="n">
        <v>44783</v>
      </c>
      <c r="K480" s="4" t="n">
        <v>45310</v>
      </c>
      <c r="L480" s="3" t="n">
        <v>1</v>
      </c>
      <c r="M480" s="3" t="n">
        <v>100000</v>
      </c>
      <c r="N480" s="3" t="n">
        <v>14</v>
      </c>
      <c r="O480" s="3" t="b">
        <v>0</v>
      </c>
      <c r="P480" s="3" t="b">
        <v>0</v>
      </c>
      <c r="Q480" s="3" t="n">
        <v>924.6575342465748</v>
      </c>
      <c r="R480" s="3" t="n">
        <v>20213.69863013698</v>
      </c>
      <c r="S480" s="3" t="n">
        <v>21138.35616438356</v>
      </c>
      <c r="T480" s="5">
        <f>IF(J480&lt;&gt;"",M480*N480/365/100*('Cashflow Projection'!$B$2-Investors!J480),0)</f>
        <v/>
      </c>
    </row>
    <row r="481">
      <c r="A481" s="3" t="inlineStr">
        <is>
          <t>ZMAQ01</t>
        </is>
      </c>
      <c r="B481" s="3" t="inlineStr">
        <is>
          <t>Stanley Tamsanqa</t>
        </is>
      </c>
      <c r="C481" s="3" t="inlineStr">
        <is>
          <t>Maqubela</t>
        </is>
      </c>
      <c r="D481" s="3" t="inlineStr">
        <is>
          <t>Heron View</t>
        </is>
      </c>
      <c r="E481" s="3" t="inlineStr">
        <is>
          <t>HVN101</t>
        </is>
      </c>
      <c r="F481" s="3" t="b">
        <v>1</v>
      </c>
      <c r="G481" s="3" t="b">
        <v>1</v>
      </c>
      <c r="H481" s="3" t="inlineStr">
        <is>
          <t>N</t>
        </is>
      </c>
      <c r="I481" s="4" t="n">
        <v>44757</v>
      </c>
      <c r="J481" s="4" t="n">
        <v>44783</v>
      </c>
      <c r="K481" s="4" t="n">
        <v>45310</v>
      </c>
      <c r="L481" s="3" t="n">
        <v>1</v>
      </c>
      <c r="M481" s="3" t="n">
        <v>100000</v>
      </c>
      <c r="N481" s="3" t="n">
        <v>14</v>
      </c>
      <c r="O481" s="3" t="b">
        <v>0</v>
      </c>
      <c r="P481" s="3" t="b">
        <v>0</v>
      </c>
      <c r="Q481" s="3" t="n">
        <v>554.7945205479449</v>
      </c>
      <c r="R481" s="3" t="n">
        <v>20213.69863013698</v>
      </c>
      <c r="S481" s="3" t="n">
        <v>20768.49315068493</v>
      </c>
      <c r="T481" s="5">
        <f>IF(J481&lt;&gt;"",M481*N481/365/100*('Cashflow Projection'!$B$2-Investors!J481),0)</f>
        <v/>
      </c>
    </row>
    <row r="482">
      <c r="A482" s="3" t="inlineStr">
        <is>
          <t>ZMAT01</t>
        </is>
      </c>
      <c r="B482" s="3" t="inlineStr">
        <is>
          <t>Natalie</t>
        </is>
      </c>
      <c r="C482" s="3" t="inlineStr">
        <is>
          <t>Matthews</t>
        </is>
      </c>
      <c r="D482" s="3" t="inlineStr">
        <is>
          <t>Heron View</t>
        </is>
      </c>
      <c r="E482" s="3" t="inlineStr">
        <is>
          <t>HVN101</t>
        </is>
      </c>
      <c r="F482" s="3" t="b">
        <v>1</v>
      </c>
      <c r="G482" s="3" t="b">
        <v>1</v>
      </c>
      <c r="H482" s="3" t="inlineStr">
        <is>
          <t>N</t>
        </is>
      </c>
      <c r="I482" s="4" t="n">
        <v>44699</v>
      </c>
      <c r="J482" s="4" t="n">
        <v>44777</v>
      </c>
      <c r="K482" s="4" t="n">
        <v>45310</v>
      </c>
      <c r="L482" s="3" t="n">
        <v>5</v>
      </c>
      <c r="M482" s="3" t="n">
        <v>187141.65</v>
      </c>
      <c r="N482" s="3" t="n">
        <v>14</v>
      </c>
      <c r="O482" s="3" t="b">
        <v>0</v>
      </c>
      <c r="P482" s="3" t="b">
        <v>0</v>
      </c>
      <c r="Q482" s="3" t="n">
        <v>2981.448478767124</v>
      </c>
      <c r="R482" s="3" t="n">
        <v>38258.93129589041</v>
      </c>
      <c r="S482" s="3" t="n">
        <v>41240.37977465754</v>
      </c>
      <c r="T482" s="5">
        <f>IF(J482&lt;&gt;"",M482*N482/365/100*('Cashflow Projection'!$B$2-Investors!J482),0)</f>
        <v/>
      </c>
    </row>
    <row r="483">
      <c r="A483" s="3" t="inlineStr">
        <is>
          <t>ZVAN03</t>
        </is>
      </c>
      <c r="B483" s="3" t="inlineStr">
        <is>
          <t>Johan George</t>
        </is>
      </c>
      <c r="C483" s="3" t="inlineStr">
        <is>
          <t>van der Westhuizen</t>
        </is>
      </c>
      <c r="D483" s="3" t="inlineStr">
        <is>
          <t>Heron View</t>
        </is>
      </c>
      <c r="E483" s="3" t="inlineStr">
        <is>
          <t>HVN101</t>
        </is>
      </c>
      <c r="F483" s="3" t="b">
        <v>1</v>
      </c>
      <c r="G483" s="3" t="b">
        <v>1</v>
      </c>
      <c r="H483" s="3" t="inlineStr">
        <is>
          <t>N</t>
        </is>
      </c>
      <c r="I483" s="4" t="n">
        <v>44708</v>
      </c>
      <c r="J483" s="4" t="n">
        <v>44743</v>
      </c>
      <c r="K483" s="4" t="n">
        <v>45310</v>
      </c>
      <c r="L483" s="3" t="n">
        <v>2</v>
      </c>
      <c r="M483" s="3" t="n">
        <v>300000</v>
      </c>
      <c r="N483" s="3" t="n">
        <v>18</v>
      </c>
      <c r="O483" s="3" t="b">
        <v>0</v>
      </c>
      <c r="P483" s="3" t="b">
        <v>0</v>
      </c>
      <c r="Q483" s="3" t="n">
        <v>2141.095890410958</v>
      </c>
      <c r="R483" s="3" t="n">
        <v>83884.93150684932</v>
      </c>
      <c r="S483" s="3" t="n">
        <v>86026.02739726027</v>
      </c>
      <c r="T483" s="5">
        <f>IF(J483&lt;&gt;"",M483*N483/365/100*('Cashflow Projection'!$B$2-Investors!J483),0)</f>
        <v/>
      </c>
    </row>
    <row r="484">
      <c r="A484" s="3" t="inlineStr">
        <is>
          <t>ZZYL01</t>
        </is>
      </c>
      <c r="B484" s="3" t="inlineStr">
        <is>
          <t>John Robert</t>
        </is>
      </c>
      <c r="C484" s="3" t="inlineStr">
        <is>
          <t>Zylstra</t>
        </is>
      </c>
      <c r="D484" s="3" t="inlineStr">
        <is>
          <t>Heron View</t>
        </is>
      </c>
      <c r="E484" s="3" t="inlineStr">
        <is>
          <t>HVN101</t>
        </is>
      </c>
      <c r="F484" s="3" t="b">
        <v>1</v>
      </c>
      <c r="G484" s="3" t="b">
        <v>1</v>
      </c>
      <c r="H484" s="3" t="inlineStr">
        <is>
          <t>N</t>
        </is>
      </c>
      <c r="I484" s="4" t="n">
        <v>44726</v>
      </c>
      <c r="J484" s="4" t="n">
        <v>44763</v>
      </c>
      <c r="K484" s="4" t="n">
        <v>45310</v>
      </c>
      <c r="L484" s="3" t="n">
        <v>4</v>
      </c>
      <c r="M484" s="3" t="n">
        <v>281440.66</v>
      </c>
      <c r="N484" s="3" t="n">
        <v>18</v>
      </c>
      <c r="O484" s="3" t="b">
        <v>0</v>
      </c>
      <c r="P484" s="3" t="b">
        <v>0</v>
      </c>
      <c r="Q484" s="3" t="n">
        <v>2139.72008630137</v>
      </c>
      <c r="R484" s="3" t="n">
        <v>75919.58187287672</v>
      </c>
      <c r="S484" s="3" t="n">
        <v>78059.30195917809</v>
      </c>
      <c r="T484" s="5">
        <f>IF(J484&lt;&gt;"",M484*N484/365/100*('Cashflow Projection'!$B$2-Investors!J484),0)</f>
        <v/>
      </c>
    </row>
    <row r="485">
      <c r="A485" s="3" t="inlineStr">
        <is>
          <t>ZZYL01</t>
        </is>
      </c>
      <c r="B485" s="3" t="inlineStr">
        <is>
          <t>John Robert</t>
        </is>
      </c>
      <c r="C485" s="3" t="inlineStr">
        <is>
          <t>Zylstra</t>
        </is>
      </c>
      <c r="D485" s="3" t="inlineStr">
        <is>
          <t>Heron View</t>
        </is>
      </c>
      <c r="E485" s="3" t="inlineStr">
        <is>
          <t>HVN102</t>
        </is>
      </c>
      <c r="F485" s="3" t="b">
        <v>1</v>
      </c>
      <c r="G485" s="3" t="b">
        <v>1</v>
      </c>
      <c r="H485" s="3" t="inlineStr">
        <is>
          <t>N</t>
        </is>
      </c>
      <c r="I485" s="4" t="n">
        <v>44726</v>
      </c>
      <c r="J485" s="4" t="n">
        <v>44770</v>
      </c>
      <c r="K485" s="4" t="n">
        <v>45420</v>
      </c>
      <c r="L485" s="3" t="n">
        <v>5</v>
      </c>
      <c r="M485" s="3" t="n">
        <v>1000000</v>
      </c>
      <c r="N485" s="3" t="n">
        <v>18</v>
      </c>
      <c r="O485" s="3" t="b">
        <v>0</v>
      </c>
      <c r="P485" s="3" t="b">
        <v>0</v>
      </c>
      <c r="Q485" s="3" t="n">
        <v>9041.095890410965</v>
      </c>
      <c r="R485" s="3" t="n">
        <v>320547.9452054795</v>
      </c>
      <c r="S485" s="3" t="n">
        <v>329589.0410958904</v>
      </c>
      <c r="T485" s="5">
        <f>IF(J485&lt;&gt;"",M485*N485/365/100*('Cashflow Projection'!$B$2-Investors!J485),0)</f>
        <v/>
      </c>
    </row>
    <row r="486">
      <c r="A486" s="3" t="inlineStr">
        <is>
          <t>ZLER01</t>
        </is>
      </c>
      <c r="B486" s="3" t="inlineStr">
        <is>
          <t>Lydia</t>
        </is>
      </c>
      <c r="C486" s="3" t="inlineStr">
        <is>
          <t>Kloppers</t>
        </is>
      </c>
      <c r="D486" s="3" t="inlineStr">
        <is>
          <t>Heron View</t>
        </is>
      </c>
      <c r="E486" s="3" t="inlineStr">
        <is>
          <t>HVN103</t>
        </is>
      </c>
      <c r="F486" s="3" t="b">
        <v>1</v>
      </c>
      <c r="G486" s="3" t="b">
        <v>1</v>
      </c>
      <c r="H486" s="3" t="inlineStr">
        <is>
          <t>N</t>
        </is>
      </c>
      <c r="I486" s="4" t="n">
        <v>44719</v>
      </c>
      <c r="J486" s="4" t="n">
        <v>44763</v>
      </c>
      <c r="K486" s="4" t="n">
        <v>45308</v>
      </c>
      <c r="L486" s="3" t="n">
        <v>1</v>
      </c>
      <c r="M486" s="3" t="n">
        <v>250000</v>
      </c>
      <c r="N486" s="3" t="n">
        <v>18</v>
      </c>
      <c r="O486" s="3" t="b">
        <v>0</v>
      </c>
      <c r="P486" s="3" t="b">
        <v>0</v>
      </c>
      <c r="Q486" s="3" t="n">
        <v>2260.273972602741</v>
      </c>
      <c r="R486" s="3" t="n">
        <v>67191.78082191781</v>
      </c>
      <c r="S486" s="3" t="n">
        <v>69452.05479452055</v>
      </c>
      <c r="T486" s="5">
        <f>IF(J486&lt;&gt;"",M486*N486/365/100*('Cashflow Projection'!$B$2-Investors!J486),0)</f>
        <v/>
      </c>
    </row>
    <row r="487">
      <c r="A487" s="3" t="inlineStr">
        <is>
          <t>ZWAT01</t>
        </is>
      </c>
      <c r="B487" s="3" t="inlineStr">
        <is>
          <t>Peter Gregory</t>
        </is>
      </c>
      <c r="C487" s="3" t="inlineStr">
        <is>
          <t>Watts</t>
        </is>
      </c>
      <c r="D487" s="3" t="inlineStr">
        <is>
          <t>Heron View</t>
        </is>
      </c>
      <c r="E487" s="3" t="inlineStr">
        <is>
          <t>HVN103</t>
        </is>
      </c>
      <c r="F487" s="3" t="b">
        <v>1</v>
      </c>
      <c r="G487" s="3" t="b">
        <v>1</v>
      </c>
      <c r="H487" s="3" t="inlineStr">
        <is>
          <t>N</t>
        </is>
      </c>
      <c r="I487" s="4" t="n">
        <v>44706</v>
      </c>
      <c r="J487" s="4" t="n">
        <v>44743</v>
      </c>
      <c r="K487" s="4" t="n">
        <v>45272</v>
      </c>
      <c r="L487" s="3" t="n">
        <v>12</v>
      </c>
      <c r="M487" s="3" t="n">
        <v>700980.33</v>
      </c>
      <c r="N487" s="3" t="n">
        <v>18</v>
      </c>
      <c r="O487" s="3" t="b">
        <v>1</v>
      </c>
      <c r="P487" s="3" t="b">
        <v>0</v>
      </c>
      <c r="Q487" s="3" t="n">
        <v>5271.756180410958</v>
      </c>
      <c r="R487" s="3" t="n">
        <v>182869.4438975342</v>
      </c>
      <c r="S487" s="3" t="n">
        <v>188141.2000779452</v>
      </c>
      <c r="T487" s="5">
        <f>IF(J487&lt;&gt;"",M487*N487/365/100*('Cashflow Projection'!$B$2-Investors!J487),0)</f>
        <v/>
      </c>
    </row>
    <row r="488">
      <c r="A488" s="3" t="inlineStr">
        <is>
          <t>ZDEL01</t>
        </is>
      </c>
      <c r="B488" s="3" t="inlineStr">
        <is>
          <t>Pieter</t>
        </is>
      </c>
      <c r="C488" s="3" t="inlineStr">
        <is>
          <t>Jansen van Vuuren</t>
        </is>
      </c>
      <c r="D488" s="3" t="inlineStr">
        <is>
          <t>Heron View</t>
        </is>
      </c>
      <c r="E488" s="3" t="inlineStr">
        <is>
          <t>HVN104</t>
        </is>
      </c>
      <c r="F488" s="3" t="b">
        <v>1</v>
      </c>
      <c r="G488" s="3" t="b">
        <v>1</v>
      </c>
      <c r="H488" s="3" t="inlineStr">
        <is>
          <t>N</t>
        </is>
      </c>
      <c r="I488" s="4" t="n">
        <v>44713</v>
      </c>
      <c r="J488" s="4" t="n">
        <v>44743</v>
      </c>
      <c r="K488" s="4" t="n">
        <v>45369</v>
      </c>
      <c r="L488" s="3" t="n">
        <v>4</v>
      </c>
      <c r="M488" s="3" t="n">
        <v>500000</v>
      </c>
      <c r="N488" s="3" t="n">
        <v>18</v>
      </c>
      <c r="O488" s="3" t="b">
        <v>0</v>
      </c>
      <c r="P488" s="3" t="b">
        <v>0</v>
      </c>
      <c r="Q488" s="3" t="n">
        <v>3082.191780821919</v>
      </c>
      <c r="R488" s="3" t="n">
        <v>154356.1643835616</v>
      </c>
      <c r="S488" s="3" t="n">
        <v>157438.3561643836</v>
      </c>
      <c r="T488" s="5">
        <f>IF(J488&lt;&gt;"",M488*N488/365/100*('Cashflow Projection'!$B$2-Investors!J488),0)</f>
        <v/>
      </c>
    </row>
    <row r="489">
      <c r="A489" s="3" t="inlineStr">
        <is>
          <t>ZLEB01</t>
        </is>
      </c>
      <c r="B489" s="3" t="inlineStr">
        <is>
          <t>Hopolang</t>
        </is>
      </c>
      <c r="C489" s="3" t="inlineStr">
        <is>
          <t>Lebusa</t>
        </is>
      </c>
      <c r="D489" s="3" t="inlineStr">
        <is>
          <t>Heron View</t>
        </is>
      </c>
      <c r="E489" s="3" t="inlineStr">
        <is>
          <t>HVN104</t>
        </is>
      </c>
      <c r="F489" s="3" t="b">
        <v>1</v>
      </c>
      <c r="G489" s="3" t="b">
        <v>1</v>
      </c>
      <c r="H489" s="3" t="inlineStr">
        <is>
          <t>N</t>
        </is>
      </c>
      <c r="I489" s="4" t="n">
        <v>44706</v>
      </c>
      <c r="J489" s="4" t="n">
        <v>44743</v>
      </c>
      <c r="K489" s="4" t="n">
        <v>45369</v>
      </c>
      <c r="L489" s="3" t="n">
        <v>12</v>
      </c>
      <c r="M489" s="3" t="n">
        <v>500000</v>
      </c>
      <c r="N489" s="3" t="n">
        <v>18</v>
      </c>
      <c r="O489" s="3" t="b">
        <v>0</v>
      </c>
      <c r="P489" s="3" t="b">
        <v>0</v>
      </c>
      <c r="Q489" s="3" t="n">
        <v>3760.273972602742</v>
      </c>
      <c r="R489" s="3" t="n">
        <v>154356.1643835616</v>
      </c>
      <c r="S489" s="3" t="n">
        <v>158116.4383561644</v>
      </c>
      <c r="T489" s="5">
        <f>IF(J489&lt;&gt;"",M489*N489/365/100*('Cashflow Projection'!$B$2-Investors!J489),0)</f>
        <v/>
      </c>
    </row>
    <row r="490">
      <c r="A490" s="3" t="inlineStr">
        <is>
          <t>ZDEL01</t>
        </is>
      </c>
      <c r="B490" s="3" t="inlineStr">
        <is>
          <t>Pieter</t>
        </is>
      </c>
      <c r="C490" s="3" t="inlineStr">
        <is>
          <t>Jansen van Vuuren</t>
        </is>
      </c>
      <c r="D490" s="3" t="inlineStr">
        <is>
          <t>Heron View</t>
        </is>
      </c>
      <c r="E490" s="3" t="inlineStr">
        <is>
          <t>HVN201</t>
        </is>
      </c>
      <c r="F490" s="3" t="b">
        <v>1</v>
      </c>
      <c r="G490" s="3" t="b">
        <v>1</v>
      </c>
      <c r="H490" s="3" t="inlineStr">
        <is>
          <t>N</t>
        </is>
      </c>
      <c r="I490" s="4" t="n">
        <v>44713</v>
      </c>
      <c r="J490" s="4" t="n">
        <v>44743</v>
      </c>
      <c r="K490" s="4" t="n">
        <v>45308</v>
      </c>
      <c r="L490" s="3" t="n">
        <v>5</v>
      </c>
      <c r="M490" s="3" t="n">
        <v>1000000</v>
      </c>
      <c r="N490" s="3" t="n">
        <v>18</v>
      </c>
      <c r="O490" s="3" t="b">
        <v>0</v>
      </c>
      <c r="P490" s="3" t="b">
        <v>0</v>
      </c>
      <c r="Q490" s="3" t="n">
        <v>6164.383561643837</v>
      </c>
      <c r="R490" s="3" t="n">
        <v>278630.1369863014</v>
      </c>
      <c r="S490" s="3" t="n">
        <v>284794.5205479452</v>
      </c>
      <c r="T490" s="5">
        <f>IF(J490&lt;&gt;"",M490*N490/365/100*('Cashflow Projection'!$B$2-Investors!J490),0)</f>
        <v/>
      </c>
    </row>
    <row r="491">
      <c r="A491" s="3" t="inlineStr">
        <is>
          <t>ZERF01</t>
        </is>
      </c>
      <c r="B491" s="3" t="inlineStr">
        <is>
          <t>Hermanus Gerhardus (Gerhard)</t>
        </is>
      </c>
      <c r="C491" s="3" t="inlineStr">
        <is>
          <t>Jansen van Vuuren</t>
        </is>
      </c>
      <c r="D491" s="3" t="inlineStr">
        <is>
          <t>Heron View</t>
        </is>
      </c>
      <c r="E491" s="3" t="inlineStr">
        <is>
          <t>HVN202</t>
        </is>
      </c>
      <c r="F491" s="3" t="b">
        <v>1</v>
      </c>
      <c r="G491" s="3" t="b">
        <v>1</v>
      </c>
      <c r="H491" s="3" t="inlineStr">
        <is>
          <t>N</t>
        </is>
      </c>
      <c r="I491" s="4" t="n">
        <v>44727</v>
      </c>
      <c r="J491" s="4" t="n">
        <v>44770</v>
      </c>
      <c r="K491" s="4" t="n">
        <v>45327</v>
      </c>
      <c r="L491" s="3" t="n">
        <v>1</v>
      </c>
      <c r="M491" s="3" t="n">
        <v>1000000</v>
      </c>
      <c r="N491" s="3" t="n">
        <v>18</v>
      </c>
      <c r="O491" s="3" t="b">
        <v>0</v>
      </c>
      <c r="P491" s="3" t="b">
        <v>0</v>
      </c>
      <c r="Q491" s="3" t="n">
        <v>8835.61643835617</v>
      </c>
      <c r="R491" s="3" t="n">
        <v>274684.9315068493</v>
      </c>
      <c r="S491" s="3" t="n">
        <v>283520.5479452055</v>
      </c>
      <c r="T491" s="5">
        <f>IF(J491&lt;&gt;"",M491*N491/365/100*('Cashflow Projection'!$B$2-Investors!J491),0)</f>
        <v/>
      </c>
    </row>
    <row r="492">
      <c r="A492" s="3" t="inlineStr">
        <is>
          <t>ZDEL01</t>
        </is>
      </c>
      <c r="B492" s="3" t="inlineStr">
        <is>
          <t>Pieter</t>
        </is>
      </c>
      <c r="C492" s="3" t="inlineStr">
        <is>
          <t>Jansen van Vuuren</t>
        </is>
      </c>
      <c r="D492" s="3" t="inlineStr">
        <is>
          <t>Heron View</t>
        </is>
      </c>
      <c r="E492" s="3" t="inlineStr">
        <is>
          <t>HVN203</t>
        </is>
      </c>
      <c r="F492" s="3" t="b">
        <v>1</v>
      </c>
      <c r="G492" s="3" t="b">
        <v>1</v>
      </c>
      <c r="H492" s="3" t="inlineStr">
        <is>
          <t>N</t>
        </is>
      </c>
      <c r="I492" s="4" t="n">
        <v>44713</v>
      </c>
      <c r="J492" s="4" t="n">
        <v>44743</v>
      </c>
      <c r="K492" s="4" t="n">
        <v>45323</v>
      </c>
      <c r="L492" s="3" t="n">
        <v>6</v>
      </c>
      <c r="M492" s="3" t="n">
        <v>250000</v>
      </c>
      <c r="N492" s="3" t="n">
        <v>18</v>
      </c>
      <c r="O492" s="3" t="b">
        <v>1</v>
      </c>
      <c r="P492" s="3" t="b">
        <v>0</v>
      </c>
      <c r="Q492" s="3" t="n">
        <v>1541.095890410959</v>
      </c>
      <c r="R492" s="3" t="n">
        <v>71506.8493150685</v>
      </c>
      <c r="S492" s="3" t="n">
        <v>73047.94520547945</v>
      </c>
      <c r="T492" s="5">
        <f>IF(J492&lt;&gt;"",M492*N492/365/100*('Cashflow Projection'!$B$2-Investors!J492),0)</f>
        <v/>
      </c>
    </row>
    <row r="493">
      <c r="A493" s="3" t="inlineStr">
        <is>
          <t>ZLER01</t>
        </is>
      </c>
      <c r="B493" s="3" t="inlineStr">
        <is>
          <t>Lydia</t>
        </is>
      </c>
      <c r="C493" s="3" t="inlineStr">
        <is>
          <t>Kloppers</t>
        </is>
      </c>
      <c r="D493" s="3" t="inlineStr">
        <is>
          <t>Heron View</t>
        </is>
      </c>
      <c r="E493" s="3" t="inlineStr">
        <is>
          <t>HVN203</t>
        </is>
      </c>
      <c r="F493" s="3" t="b">
        <v>1</v>
      </c>
      <c r="G493" s="3" t="b">
        <v>1</v>
      </c>
      <c r="H493" s="3" t="inlineStr">
        <is>
          <t>N</t>
        </is>
      </c>
      <c r="I493" s="4" t="n">
        <v>44719</v>
      </c>
      <c r="J493" s="4" t="n">
        <v>44757</v>
      </c>
      <c r="K493" s="4" t="n">
        <v>45336</v>
      </c>
      <c r="L493" s="3" t="n">
        <v>2</v>
      </c>
      <c r="M493" s="3" t="n">
        <v>750000</v>
      </c>
      <c r="N493" s="3" t="n">
        <v>18</v>
      </c>
      <c r="O493" s="3" t="b">
        <v>0</v>
      </c>
      <c r="P493" s="3" t="b">
        <v>0</v>
      </c>
      <c r="Q493" s="3" t="n">
        <v>5856.164383561649</v>
      </c>
      <c r="R493" s="3" t="n">
        <v>214150.6849315068</v>
      </c>
      <c r="S493" s="3" t="n">
        <v>220006.8493150685</v>
      </c>
      <c r="T493" s="5">
        <f>IF(J493&lt;&gt;"",M493*N493/365/100*('Cashflow Projection'!$B$2-Investors!J493),0)</f>
        <v/>
      </c>
    </row>
    <row r="494">
      <c r="A494" s="3" t="inlineStr">
        <is>
          <t>ZVAL03</t>
        </is>
      </c>
      <c r="B494" s="3" t="inlineStr">
        <is>
          <t>Marinda</t>
        </is>
      </c>
      <c r="C494" s="3" t="inlineStr">
        <is>
          <t>Valentin</t>
        </is>
      </c>
      <c r="D494" s="3" t="inlineStr">
        <is>
          <t>Heron View</t>
        </is>
      </c>
      <c r="E494" s="3" t="inlineStr">
        <is>
          <t>HVN204</t>
        </is>
      </c>
      <c r="F494" s="3" t="b">
        <v>1</v>
      </c>
      <c r="G494" s="3" t="b">
        <v>1</v>
      </c>
      <c r="H494" s="3" t="inlineStr">
        <is>
          <t>N</t>
        </is>
      </c>
      <c r="I494" s="4" t="n">
        <v>44719</v>
      </c>
      <c r="J494" s="4" t="n">
        <v>44763</v>
      </c>
      <c r="K494" s="4" t="n">
        <v>45314</v>
      </c>
      <c r="L494" s="3" t="n">
        <v>1</v>
      </c>
      <c r="M494" s="3" t="n">
        <v>1000000</v>
      </c>
      <c r="N494" s="3" t="n">
        <v>18</v>
      </c>
      <c r="O494" s="3" t="b">
        <v>0</v>
      </c>
      <c r="P494" s="3" t="b">
        <v>0</v>
      </c>
      <c r="Q494" s="3" t="n">
        <v>9041.095890410965</v>
      </c>
      <c r="R494" s="3" t="n">
        <v>271726.0273972603</v>
      </c>
      <c r="S494" s="3" t="n">
        <v>280767.1232876712</v>
      </c>
      <c r="T494" s="5">
        <f>IF(J494&lt;&gt;"",M494*N494/365/100*('Cashflow Projection'!$B$2-Investors!J494),0)</f>
        <v/>
      </c>
    </row>
    <row r="495">
      <c r="A495" s="3" t="inlineStr">
        <is>
          <t>ZDEL01</t>
        </is>
      </c>
      <c r="B495" s="3" t="inlineStr">
        <is>
          <t>Pieter</t>
        </is>
      </c>
      <c r="C495" s="3" t="inlineStr">
        <is>
          <t>Jansen van Vuuren</t>
        </is>
      </c>
      <c r="D495" s="3" t="inlineStr">
        <is>
          <t>Heron View</t>
        </is>
      </c>
      <c r="E495" s="3" t="inlineStr">
        <is>
          <t>HVN301</t>
        </is>
      </c>
      <c r="F495" s="3" t="b">
        <v>1</v>
      </c>
      <c r="G495" s="3" t="b">
        <v>0</v>
      </c>
      <c r="H495" s="3" t="inlineStr">
        <is>
          <t>N</t>
        </is>
      </c>
      <c r="I495" s="4" t="n">
        <v>44713</v>
      </c>
      <c r="J495" s="4" t="n">
        <v>44743</v>
      </c>
      <c r="K495" s="4" t="n">
        <v>45484</v>
      </c>
      <c r="L495" s="3" t="n">
        <v>7</v>
      </c>
      <c r="M495" s="3" t="n">
        <v>1000000</v>
      </c>
      <c r="N495" s="3" t="n">
        <v>18</v>
      </c>
      <c r="O495" s="3" t="b">
        <v>0</v>
      </c>
      <c r="P495" s="3" t="b">
        <v>0</v>
      </c>
      <c r="Q495" s="3" t="n">
        <v>6164.383561643837</v>
      </c>
      <c r="R495" s="3" t="n">
        <v>365424.6575342466</v>
      </c>
      <c r="S495" s="3" t="n">
        <v>371589.0410958904</v>
      </c>
      <c r="T495" s="5">
        <f>IF(J495&lt;&gt;"",M495*N495/365/100*('Cashflow Projection'!$B$2-Investors!J495),0)</f>
        <v/>
      </c>
    </row>
    <row r="496">
      <c r="A496" s="3" t="inlineStr">
        <is>
          <t>ZAMP01</t>
        </is>
      </c>
      <c r="B496" s="3" t="inlineStr">
        <is>
          <t>Andre</t>
        </is>
      </c>
      <c r="C496" s="3" t="inlineStr">
        <is>
          <t>De Villiers</t>
        </is>
      </c>
      <c r="D496" s="3" t="inlineStr">
        <is>
          <t>Heron View</t>
        </is>
      </c>
      <c r="E496" s="3" t="inlineStr">
        <is>
          <t>HVN302</t>
        </is>
      </c>
      <c r="F496" s="3" t="b">
        <v>0</v>
      </c>
      <c r="G496" s="3" t="b">
        <v>0</v>
      </c>
      <c r="H496" s="3" t="inlineStr">
        <is>
          <t>N</t>
        </is>
      </c>
      <c r="I496" s="4" t="n">
        <v>44719</v>
      </c>
      <c r="J496" s="4" t="n">
        <v>44763</v>
      </c>
      <c r="K496" s="4" t="n">
        <v>45547</v>
      </c>
      <c r="L496" s="3" t="n">
        <v>1</v>
      </c>
      <c r="M496" s="3" t="n">
        <v>1000000</v>
      </c>
      <c r="N496" s="3" t="n">
        <v>18</v>
      </c>
      <c r="O496" s="3" t="b">
        <v>0</v>
      </c>
      <c r="P496" s="3" t="b">
        <v>0</v>
      </c>
      <c r="Q496" s="3" t="n">
        <v>9041.095890410965</v>
      </c>
      <c r="R496" s="3" t="n">
        <v>386630.1369863014</v>
      </c>
      <c r="S496" s="3" t="n">
        <v>395671.2328767123</v>
      </c>
      <c r="T496" s="5">
        <f>IF(J496&lt;&gt;"",M496*N496/365/100*('Cashflow Projection'!$B$2-Investors!J496),0)</f>
        <v/>
      </c>
    </row>
    <row r="497">
      <c r="A497" s="3" t="inlineStr">
        <is>
          <t>ZERF01</t>
        </is>
      </c>
      <c r="B497" s="3" t="inlineStr">
        <is>
          <t>Hermanus Gerhardus (Gerhard)</t>
        </is>
      </c>
      <c r="C497" s="3" t="inlineStr">
        <is>
          <t>Jansen van Vuuren</t>
        </is>
      </c>
      <c r="D497" s="3" t="inlineStr">
        <is>
          <t>Heron View</t>
        </is>
      </c>
      <c r="E497" s="3" t="inlineStr">
        <is>
          <t>HVN303</t>
        </is>
      </c>
      <c r="F497" s="3" t="b">
        <v>0</v>
      </c>
      <c r="G497" s="3" t="b">
        <v>0</v>
      </c>
      <c r="H497" s="3" t="inlineStr">
        <is>
          <t>N</t>
        </is>
      </c>
      <c r="I497" s="4" t="n">
        <v>44727</v>
      </c>
      <c r="J497" s="4" t="n">
        <v>44777</v>
      </c>
      <c r="K497" s="4" t="n">
        <v>45547</v>
      </c>
      <c r="L497" s="3" t="n">
        <v>2</v>
      </c>
      <c r="M497" s="3" t="n">
        <v>1000000</v>
      </c>
      <c r="N497" s="3" t="n">
        <v>18</v>
      </c>
      <c r="O497" s="3" t="b">
        <v>0</v>
      </c>
      <c r="P497" s="3" t="b">
        <v>0</v>
      </c>
      <c r="Q497" s="3" t="n">
        <v>10356.16438356165</v>
      </c>
      <c r="R497" s="3" t="n">
        <v>379726.0273972603</v>
      </c>
      <c r="S497" s="3" t="n">
        <v>390082.1917808219</v>
      </c>
      <c r="T497" s="5">
        <f>IF(J497&lt;&gt;"",M497*N497/365/100*('Cashflow Projection'!$B$2-Investors!J497),0)</f>
        <v/>
      </c>
    </row>
    <row r="498">
      <c r="A498" s="3" t="inlineStr">
        <is>
          <t>ZBLO01</t>
        </is>
      </c>
      <c r="B498" s="3" t="inlineStr">
        <is>
          <t>Robert Errol</t>
        </is>
      </c>
      <c r="C498" s="3" t="inlineStr">
        <is>
          <t>Blows</t>
        </is>
      </c>
      <c r="D498" s="3" t="inlineStr">
        <is>
          <t>Heron View</t>
        </is>
      </c>
      <c r="E498" s="3" t="inlineStr">
        <is>
          <t>HVN304</t>
        </is>
      </c>
      <c r="F498" s="3" t="b">
        <v>1</v>
      </c>
      <c r="G498" s="3" t="b">
        <v>0</v>
      </c>
      <c r="H498" s="3" t="inlineStr">
        <is>
          <t>N</t>
        </is>
      </c>
      <c r="I498" s="4" t="n">
        <v>44946</v>
      </c>
      <c r="J498" s="4" t="n">
        <v>45016</v>
      </c>
      <c r="K498" s="4" t="n">
        <v>45547</v>
      </c>
      <c r="L498" s="3" t="n">
        <v>4</v>
      </c>
      <c r="M498" s="3" t="n">
        <v>100000</v>
      </c>
      <c r="N498" s="3" t="n">
        <v>14</v>
      </c>
      <c r="O498" s="3" t="b">
        <v>0</v>
      </c>
      <c r="P498" s="3" t="b">
        <v>0</v>
      </c>
      <c r="Q498" s="3" t="n">
        <v>1910.273972602737</v>
      </c>
      <c r="R498" s="3" t="n">
        <v>20367.12328767123</v>
      </c>
      <c r="S498" s="3" t="n">
        <v>22277.39726027397</v>
      </c>
      <c r="T498" s="5">
        <f>IF(J498&lt;&gt;"",M498*N498/365/100*('Cashflow Projection'!$B$2-Investors!J498),0)</f>
        <v/>
      </c>
    </row>
    <row r="499">
      <c r="A499" s="3" t="inlineStr">
        <is>
          <t>ZDEL01</t>
        </is>
      </c>
      <c r="B499" s="3" t="inlineStr">
        <is>
          <t>Pieter</t>
        </is>
      </c>
      <c r="C499" s="3" t="inlineStr">
        <is>
          <t>Jansen van Vuuren</t>
        </is>
      </c>
      <c r="D499" s="3" t="inlineStr">
        <is>
          <t>Heron View</t>
        </is>
      </c>
      <c r="E499" s="3" t="inlineStr">
        <is>
          <t>HVN304</t>
        </is>
      </c>
      <c r="F499" s="3" t="b">
        <v>1</v>
      </c>
      <c r="G499" s="3" t="b">
        <v>0</v>
      </c>
      <c r="H499" s="3" t="inlineStr">
        <is>
          <t>N</t>
        </is>
      </c>
      <c r="I499" s="4" t="n">
        <v>44713</v>
      </c>
      <c r="J499" s="4" t="n">
        <v>44743</v>
      </c>
      <c r="K499" s="4" t="n">
        <v>45547</v>
      </c>
      <c r="L499" s="3" t="n">
        <v>8</v>
      </c>
      <c r="M499" s="3" t="n">
        <v>265000</v>
      </c>
      <c r="N499" s="3" t="n">
        <v>18</v>
      </c>
      <c r="O499" s="3" t="b">
        <v>0</v>
      </c>
      <c r="P499" s="3" t="b">
        <v>0</v>
      </c>
      <c r="Q499" s="3" t="n">
        <v>1633.561643835617</v>
      </c>
      <c r="R499" s="3" t="n">
        <v>105070.6849315069</v>
      </c>
      <c r="S499" s="3" t="n">
        <v>106704.2465753425</v>
      </c>
      <c r="T499" s="5">
        <f>IF(J499&lt;&gt;"",M499*N499/365/100*('Cashflow Projection'!$B$2-Investors!J499),0)</f>
        <v/>
      </c>
    </row>
    <row r="500">
      <c r="A500" s="3" t="inlineStr">
        <is>
          <t>ZMAD01</t>
        </is>
      </c>
      <c r="B500" s="3" t="inlineStr">
        <is>
          <t>Esther</t>
        </is>
      </c>
      <c r="C500" s="3" t="inlineStr">
        <is>
          <t>Maduna</t>
        </is>
      </c>
      <c r="D500" s="3" t="inlineStr">
        <is>
          <t>Heron View</t>
        </is>
      </c>
      <c r="E500" s="3" t="inlineStr">
        <is>
          <t>HVN304</t>
        </is>
      </c>
      <c r="F500" s="3" t="b">
        <v>1</v>
      </c>
      <c r="G500" s="3" t="b">
        <v>0</v>
      </c>
      <c r="H500" s="3" t="inlineStr">
        <is>
          <t>N</t>
        </is>
      </c>
      <c r="I500" s="4" t="n">
        <v>44713</v>
      </c>
      <c r="J500" s="4" t="n">
        <v>44743</v>
      </c>
      <c r="K500" s="4" t="n">
        <v>45547</v>
      </c>
      <c r="L500" s="3" t="n">
        <v>2</v>
      </c>
      <c r="M500" s="3" t="n">
        <v>147910.96</v>
      </c>
      <c r="N500" s="3" t="n">
        <v>14</v>
      </c>
      <c r="O500" s="3" t="b">
        <v>0</v>
      </c>
      <c r="P500" s="3" t="b">
        <v>0</v>
      </c>
      <c r="Q500" s="3" t="n">
        <v>911.7798904109592</v>
      </c>
      <c r="R500" s="3" t="n">
        <v>45613.3086509589</v>
      </c>
      <c r="S500" s="3" t="n">
        <v>46525.08854136986</v>
      </c>
      <c r="T500" s="5">
        <f>IF(J500&lt;&gt;"",M500*N500/365/100*('Cashflow Projection'!$B$2-Investors!J500),0)</f>
        <v/>
      </c>
    </row>
    <row r="501">
      <c r="A501" s="3" t="inlineStr">
        <is>
          <t>ZSCH01</t>
        </is>
      </c>
      <c r="B501" s="3" t="inlineStr">
        <is>
          <t>Inge</t>
        </is>
      </c>
      <c r="C501" s="3" t="inlineStr">
        <is>
          <t>Schubert</t>
        </is>
      </c>
      <c r="D501" s="3" t="inlineStr">
        <is>
          <t>Heron View</t>
        </is>
      </c>
      <c r="E501" s="3" t="inlineStr">
        <is>
          <t>HVN304</t>
        </is>
      </c>
      <c r="F501" s="3" t="b">
        <v>1</v>
      </c>
      <c r="G501" s="3" t="b">
        <v>0</v>
      </c>
      <c r="H501" s="3" t="inlineStr">
        <is>
          <t>N</t>
        </is>
      </c>
      <c r="I501" s="4" t="n">
        <v>44719</v>
      </c>
      <c r="J501" s="4" t="n">
        <v>44763</v>
      </c>
      <c r="K501" s="4" t="n">
        <v>45547</v>
      </c>
      <c r="L501" s="3" t="n">
        <v>15</v>
      </c>
      <c r="M501" s="3" t="n">
        <v>400000</v>
      </c>
      <c r="N501" s="3" t="n">
        <v>18</v>
      </c>
      <c r="O501" s="3" t="b">
        <v>0</v>
      </c>
      <c r="P501" s="3" t="b">
        <v>0</v>
      </c>
      <c r="Q501" s="3" t="n">
        <v>3616.438356164381</v>
      </c>
      <c r="R501" s="3" t="n">
        <v>154652.0547945205</v>
      </c>
      <c r="S501" s="3" t="n">
        <v>158268.4931506849</v>
      </c>
      <c r="T501" s="5">
        <f>IF(J501&lt;&gt;"",M501*N501/365/100*('Cashflow Projection'!$B$2-Investors!J501),0)</f>
        <v/>
      </c>
    </row>
    <row r="502">
      <c r="A502" s="3" t="inlineStr">
        <is>
          <t>ZVDM01</t>
        </is>
      </c>
      <c r="B502" s="3" t="inlineStr">
        <is>
          <t>Paula</t>
        </is>
      </c>
      <c r="C502" s="3" t="inlineStr">
        <is>
          <t>van der Mescht</t>
        </is>
      </c>
      <c r="D502" s="3" t="inlineStr">
        <is>
          <t>Heron View</t>
        </is>
      </c>
      <c r="E502" s="3" t="inlineStr">
        <is>
          <t>HVN304</t>
        </is>
      </c>
      <c r="F502" s="3" t="b">
        <v>1</v>
      </c>
      <c r="G502" s="3" t="b">
        <v>0</v>
      </c>
      <c r="H502" s="3" t="inlineStr">
        <is>
          <t>N</t>
        </is>
      </c>
      <c r="I502" s="4" t="n">
        <v>44719</v>
      </c>
      <c r="J502" s="4" t="n">
        <v>44743</v>
      </c>
      <c r="K502" s="4" t="n">
        <v>45547</v>
      </c>
      <c r="L502" s="3" t="n">
        <v>4</v>
      </c>
      <c r="M502" s="3" t="n">
        <v>100000</v>
      </c>
      <c r="N502" s="3" t="n">
        <v>14</v>
      </c>
      <c r="O502" s="3" t="b">
        <v>0</v>
      </c>
      <c r="P502" s="3" t="b">
        <v>0</v>
      </c>
      <c r="Q502" s="3" t="n">
        <v>493.1506849315066</v>
      </c>
      <c r="R502" s="3" t="n">
        <v>30838.35616438356</v>
      </c>
      <c r="S502" s="3" t="n">
        <v>31331.50684931507</v>
      </c>
      <c r="T502" s="5">
        <f>IF(J502&lt;&gt;"",M502*N502/365/100*('Cashflow Projection'!$B$2-Investors!J502),0)</f>
        <v/>
      </c>
    </row>
    <row r="503">
      <c r="A503" s="3" t="inlineStr">
        <is>
          <t>ZALM01</t>
        </is>
      </c>
      <c r="B503" s="3" t="inlineStr">
        <is>
          <t>Marc</t>
        </is>
      </c>
      <c r="C503" s="3" t="inlineStr">
        <is>
          <t>Lunau</t>
        </is>
      </c>
      <c r="D503" s="3" t="inlineStr">
        <is>
          <t>Heron View</t>
        </is>
      </c>
      <c r="E503" s="3" t="inlineStr">
        <is>
          <t>HVO101</t>
        </is>
      </c>
      <c r="F503" s="3" t="b">
        <v>1</v>
      </c>
      <c r="G503" s="3" t="b">
        <v>0</v>
      </c>
      <c r="H503" s="3" t="inlineStr">
        <is>
          <t>O</t>
        </is>
      </c>
      <c r="I503" s="4" t="n">
        <v>44908</v>
      </c>
      <c r="J503" s="4" t="n">
        <v>44980</v>
      </c>
      <c r="K503" s="4" t="n">
        <v>45518</v>
      </c>
      <c r="L503" s="3" t="n">
        <v>7</v>
      </c>
      <c r="M503" s="3" t="n">
        <v>100000</v>
      </c>
      <c r="N503" s="3" t="n">
        <v>18</v>
      </c>
      <c r="O503" s="3" t="b">
        <v>0</v>
      </c>
      <c r="P503" s="3" t="b">
        <v>0</v>
      </c>
      <c r="Q503" s="3" t="n">
        <v>1939.041095890409</v>
      </c>
      <c r="R503" s="3" t="n">
        <v>26531.50684931507</v>
      </c>
      <c r="S503" s="3" t="n">
        <v>28470.54794520548</v>
      </c>
      <c r="T503" s="5">
        <f>IF(J503&lt;&gt;"",M503*N503/365/100*('Cashflow Projection'!$B$2-Investors!J503),0)</f>
        <v/>
      </c>
    </row>
    <row r="504">
      <c r="A504" s="3" t="inlineStr">
        <is>
          <t>ZCRO01</t>
        </is>
      </c>
      <c r="B504" s="3" t="inlineStr">
        <is>
          <t>Marc</t>
        </is>
      </c>
      <c r="C504" s="3" t="inlineStr">
        <is>
          <t>Lunau</t>
        </is>
      </c>
      <c r="D504" s="3" t="inlineStr">
        <is>
          <t>Heron View</t>
        </is>
      </c>
      <c r="E504" s="3" t="inlineStr">
        <is>
          <t>HVO101</t>
        </is>
      </c>
      <c r="F504" s="3" t="b">
        <v>1</v>
      </c>
      <c r="G504" s="3" t="b">
        <v>0</v>
      </c>
      <c r="H504" s="3" t="inlineStr">
        <is>
          <t>O</t>
        </is>
      </c>
      <c r="I504" s="4" t="n">
        <v>44978</v>
      </c>
      <c r="J504" s="4" t="n">
        <v>45072</v>
      </c>
      <c r="K504" s="4" t="n">
        <v>45518</v>
      </c>
      <c r="L504" s="3" t="n">
        <v>12</v>
      </c>
      <c r="M504" s="3" t="n">
        <v>120000</v>
      </c>
      <c r="N504" s="3" t="n">
        <v>18</v>
      </c>
      <c r="O504" s="3" t="b">
        <v>0</v>
      </c>
      <c r="P504" s="3" t="b">
        <v>0</v>
      </c>
      <c r="Q504" s="3" t="n">
        <v>3182.46575342466</v>
      </c>
      <c r="R504" s="3" t="n">
        <v>26393.42465753425</v>
      </c>
      <c r="S504" s="3" t="n">
        <v>29575.89041095891</v>
      </c>
      <c r="T504" s="5">
        <f>IF(J504&lt;&gt;"",M504*N504/365/100*('Cashflow Projection'!$B$2-Investors!J504),0)</f>
        <v/>
      </c>
    </row>
    <row r="505">
      <c r="A505" s="3" t="inlineStr">
        <is>
          <t>ZINT01</t>
        </is>
      </c>
      <c r="B505" s="3" t="inlineStr">
        <is>
          <t>Marc</t>
        </is>
      </c>
      <c r="C505" s="3" t="inlineStr">
        <is>
          <t>Lunau</t>
        </is>
      </c>
      <c r="D505" s="3" t="inlineStr">
        <is>
          <t>Heron View</t>
        </is>
      </c>
      <c r="E505" s="3" t="inlineStr">
        <is>
          <t>HVO101</t>
        </is>
      </c>
      <c r="F505" s="3" t="b">
        <v>1</v>
      </c>
      <c r="G505" s="3" t="b">
        <v>0</v>
      </c>
      <c r="H505" s="3" t="inlineStr">
        <is>
          <t>O</t>
        </is>
      </c>
      <c r="I505" s="4" t="n">
        <v>44964</v>
      </c>
      <c r="J505" s="4" t="n">
        <v>45072</v>
      </c>
      <c r="K505" s="4" t="n">
        <v>45518</v>
      </c>
      <c r="L505" s="3" t="n">
        <v>13</v>
      </c>
      <c r="M505" s="3" t="n">
        <v>100000</v>
      </c>
      <c r="N505" s="3" t="n">
        <v>18</v>
      </c>
      <c r="O505" s="3" t="b">
        <v>0</v>
      </c>
      <c r="P505" s="3" t="b">
        <v>0</v>
      </c>
      <c r="Q505" s="3" t="n">
        <v>3035.61643835617</v>
      </c>
      <c r="R505" s="3" t="n">
        <v>21994.52054794521</v>
      </c>
      <c r="S505" s="3" t="n">
        <v>25030.13698630138</v>
      </c>
      <c r="T505" s="5">
        <f>IF(J505&lt;&gt;"",M505*N505/365/100*('Cashflow Projection'!$B$2-Investors!J505),0)</f>
        <v/>
      </c>
    </row>
    <row r="506">
      <c r="A506" s="3" t="inlineStr">
        <is>
          <t>ZJOH01</t>
        </is>
      </c>
      <c r="B506" s="3" t="inlineStr">
        <is>
          <t>Lisa-Marie Natalie</t>
        </is>
      </c>
      <c r="C506" s="3" t="inlineStr">
        <is>
          <t>Johns</t>
        </is>
      </c>
      <c r="D506" s="3" t="inlineStr">
        <is>
          <t>Heron View</t>
        </is>
      </c>
      <c r="E506" s="3" t="inlineStr">
        <is>
          <t>HVO101</t>
        </is>
      </c>
      <c r="F506" s="3" t="b">
        <v>1</v>
      </c>
      <c r="G506" s="3" t="b">
        <v>0</v>
      </c>
      <c r="H506" s="3" t="inlineStr">
        <is>
          <t>O</t>
        </is>
      </c>
      <c r="I506" s="4" t="n">
        <v>44960</v>
      </c>
      <c r="J506" s="4" t="n">
        <v>45072</v>
      </c>
      <c r="K506" s="4" t="n">
        <v>45518</v>
      </c>
      <c r="L506" s="3" t="n">
        <v>7</v>
      </c>
      <c r="M506" s="3" t="n">
        <v>110000</v>
      </c>
      <c r="N506" s="3" t="n">
        <v>18</v>
      </c>
      <c r="O506" s="3" t="b">
        <v>0</v>
      </c>
      <c r="P506" s="3" t="b">
        <v>0</v>
      </c>
      <c r="Q506" s="3" t="n">
        <v>3459.72602739727</v>
      </c>
      <c r="R506" s="3" t="n">
        <v>24193.97260273973</v>
      </c>
      <c r="S506" s="3" t="n">
        <v>27653.698630137</v>
      </c>
      <c r="T506" s="5">
        <f>IF(J506&lt;&gt;"",M506*N506/365/100*('Cashflow Projection'!$B$2-Investors!J506),0)</f>
        <v/>
      </c>
    </row>
    <row r="507">
      <c r="A507" s="3" t="inlineStr">
        <is>
          <t>ZVOR01</t>
        </is>
      </c>
      <c r="B507" s="3" t="inlineStr">
        <is>
          <t xml:space="preserve">Sophia Maria Catharina </t>
        </is>
      </c>
      <c r="C507" s="3" t="inlineStr">
        <is>
          <t>Vorster</t>
        </is>
      </c>
      <c r="D507" s="3" t="inlineStr">
        <is>
          <t>Heron View</t>
        </is>
      </c>
      <c r="E507" s="3" t="inlineStr">
        <is>
          <t>HVO101</t>
        </is>
      </c>
      <c r="F507" s="3" t="b">
        <v>1</v>
      </c>
      <c r="G507" s="3" t="b">
        <v>0</v>
      </c>
      <c r="H507" s="3" t="inlineStr">
        <is>
          <t>O</t>
        </is>
      </c>
      <c r="I507" s="4" t="n">
        <v>45030</v>
      </c>
      <c r="J507" s="4" t="n">
        <v>45129</v>
      </c>
      <c r="K507" s="4" t="n">
        <v>45518</v>
      </c>
      <c r="L507" s="3" t="n">
        <v>5</v>
      </c>
      <c r="M507" s="3" t="n">
        <v>238516.44</v>
      </c>
      <c r="N507" s="3" t="n">
        <v>14</v>
      </c>
      <c r="O507" s="3" t="b">
        <v>0</v>
      </c>
      <c r="P507" s="3" t="b">
        <v>0</v>
      </c>
      <c r="Q507" s="3" t="n">
        <v>6962.719638904126</v>
      </c>
      <c r="R507" s="3" t="n">
        <v>35587.95978739726</v>
      </c>
      <c r="S507" s="3" t="n">
        <v>42550.67942630139</v>
      </c>
      <c r="T507" s="5">
        <f>IF(J507&lt;&gt;"",M507*N507/365/100*('Cashflow Projection'!$B$2-Investors!J507),0)</f>
        <v/>
      </c>
    </row>
    <row r="508">
      <c r="A508" s="3" t="inlineStr">
        <is>
          <t>ZWAT01</t>
        </is>
      </c>
      <c r="B508" s="3" t="inlineStr">
        <is>
          <t>Peter Gregory</t>
        </is>
      </c>
      <c r="C508" s="3" t="inlineStr">
        <is>
          <t>Watts</t>
        </is>
      </c>
      <c r="D508" s="3" t="inlineStr">
        <is>
          <t>Heron View</t>
        </is>
      </c>
      <c r="E508" s="3" t="inlineStr">
        <is>
          <t>HVO101</t>
        </is>
      </c>
      <c r="F508" s="3" t="b">
        <v>1</v>
      </c>
      <c r="G508" s="3" t="b">
        <v>0</v>
      </c>
      <c r="H508" s="3" t="inlineStr">
        <is>
          <t>O</t>
        </is>
      </c>
      <c r="I508" s="4" t="n">
        <v>44943</v>
      </c>
      <c r="J508" s="4" t="n">
        <v>45044</v>
      </c>
      <c r="K508" s="4" t="n">
        <v>45518</v>
      </c>
      <c r="L508" s="3" t="n">
        <v>13</v>
      </c>
      <c r="M508" s="3" t="n">
        <v>435021.99</v>
      </c>
      <c r="N508" s="3" t="n">
        <v>18</v>
      </c>
      <c r="O508" s="3" t="b">
        <v>0</v>
      </c>
      <c r="P508" s="3" t="b">
        <v>0</v>
      </c>
      <c r="Q508" s="3" t="n">
        <v>12162.73810397262</v>
      </c>
      <c r="R508" s="3" t="n">
        <v>101687.8799638356</v>
      </c>
      <c r="S508" s="3" t="n">
        <v>113850.6180678082</v>
      </c>
      <c r="T508" s="5">
        <f>IF(J508&lt;&gt;"",M508*N508/365/100*('Cashflow Projection'!$B$2-Investors!J508),0)</f>
        <v/>
      </c>
    </row>
    <row r="509">
      <c r="A509" s="3" t="inlineStr">
        <is>
          <t>ZALM01</t>
        </is>
      </c>
      <c r="B509" s="3" t="inlineStr">
        <is>
          <t>Marc</t>
        </is>
      </c>
      <c r="C509" s="3" t="inlineStr">
        <is>
          <t>Lunau</t>
        </is>
      </c>
      <c r="D509" s="3" t="inlineStr">
        <is>
          <t>Heron View</t>
        </is>
      </c>
      <c r="E509" s="3" t="inlineStr">
        <is>
          <t>HVO102</t>
        </is>
      </c>
      <c r="F509" s="3" t="b">
        <v>1</v>
      </c>
      <c r="G509" s="3" t="b">
        <v>0</v>
      </c>
      <c r="H509" s="3" t="inlineStr">
        <is>
          <t>O</t>
        </is>
      </c>
      <c r="I509" s="4" t="n">
        <v>44908</v>
      </c>
      <c r="J509" s="4" t="n">
        <v>44980</v>
      </c>
      <c r="K509" s="4" t="n">
        <v>45518</v>
      </c>
      <c r="L509" s="3" t="n">
        <v>8</v>
      </c>
      <c r="M509" s="3" t="n">
        <v>100000</v>
      </c>
      <c r="N509" s="3" t="n">
        <v>18</v>
      </c>
      <c r="O509" s="3" t="b">
        <v>0</v>
      </c>
      <c r="P509" s="3" t="b">
        <v>0</v>
      </c>
      <c r="Q509" s="3" t="n">
        <v>1939.041095890409</v>
      </c>
      <c r="R509" s="3" t="n">
        <v>26531.50684931507</v>
      </c>
      <c r="S509" s="3" t="n">
        <v>28470.54794520548</v>
      </c>
      <c r="T509" s="5">
        <f>IF(J509&lt;&gt;"",M509*N509/365/100*('Cashflow Projection'!$B$2-Investors!J509),0)</f>
        <v/>
      </c>
    </row>
    <row r="510">
      <c r="A510" s="3" t="inlineStr">
        <is>
          <t>ZKFT01</t>
        </is>
      </c>
      <c r="B510" s="3" t="inlineStr">
        <is>
          <t>Koovarjee Family Trust</t>
        </is>
      </c>
      <c r="C510" s="3" t="inlineStr">
        <is>
          <t>Koovarjee</t>
        </is>
      </c>
      <c r="D510" s="3" t="inlineStr">
        <is>
          <t>Heron View</t>
        </is>
      </c>
      <c r="E510" s="3" t="inlineStr">
        <is>
          <t>HVO102</t>
        </is>
      </c>
      <c r="F510" s="3" t="b">
        <v>1</v>
      </c>
      <c r="G510" s="3" t="b">
        <v>0</v>
      </c>
      <c r="H510" s="3" t="inlineStr">
        <is>
          <t>O</t>
        </is>
      </c>
      <c r="I510" s="4" t="n">
        <v>44943</v>
      </c>
      <c r="J510" s="4" t="n">
        <v>45016</v>
      </c>
      <c r="K510" s="4" t="n">
        <v>45518</v>
      </c>
      <c r="L510" s="3" t="n">
        <v>2</v>
      </c>
      <c r="M510" s="3" t="n">
        <v>250000</v>
      </c>
      <c r="N510" s="3" t="n">
        <v>14</v>
      </c>
      <c r="O510" s="3" t="b">
        <v>0</v>
      </c>
      <c r="P510" s="3" t="b">
        <v>0</v>
      </c>
      <c r="Q510" s="3" t="n">
        <v>4976.027397260279</v>
      </c>
      <c r="R510" s="3" t="n">
        <v>48136.98630136986</v>
      </c>
      <c r="S510" s="3" t="n">
        <v>53113.01369863014</v>
      </c>
      <c r="T510" s="5">
        <f>IF(J510&lt;&gt;"",M510*N510/365/100*('Cashflow Projection'!$B$2-Investors!J510),0)</f>
        <v/>
      </c>
    </row>
    <row r="511">
      <c r="A511" s="3" t="inlineStr">
        <is>
          <t>ZPED01</t>
        </is>
      </c>
      <c r="B511" s="3" t="inlineStr">
        <is>
          <t>Wendy</t>
        </is>
      </c>
      <c r="C511" s="3" t="inlineStr">
        <is>
          <t>Pedersen</t>
        </is>
      </c>
      <c r="D511" s="3" t="inlineStr">
        <is>
          <t>Heron View</t>
        </is>
      </c>
      <c r="E511" s="3" t="inlineStr">
        <is>
          <t>HVO102</t>
        </is>
      </c>
      <c r="F511" s="3" t="b">
        <v>1</v>
      </c>
      <c r="G511" s="3" t="b">
        <v>0</v>
      </c>
      <c r="H511" s="3" t="inlineStr">
        <is>
          <t>O</t>
        </is>
      </c>
      <c r="I511" s="4" t="n">
        <v>44964</v>
      </c>
      <c r="J511" s="4" t="n">
        <v>45072</v>
      </c>
      <c r="K511" s="4" t="n">
        <v>45518</v>
      </c>
      <c r="L511" s="3" t="n">
        <v>3</v>
      </c>
      <c r="M511" s="3" t="n">
        <v>131234.94</v>
      </c>
      <c r="N511" s="3" t="n">
        <v>18</v>
      </c>
      <c r="O511" s="3" t="b">
        <v>0</v>
      </c>
      <c r="P511" s="3" t="b">
        <v>0</v>
      </c>
      <c r="Q511" s="3" t="n">
        <v>3983.789411506857</v>
      </c>
      <c r="R511" s="3" t="n">
        <v>28864.49584438356</v>
      </c>
      <c r="S511" s="3" t="n">
        <v>32848.28525589042</v>
      </c>
      <c r="T511" s="5">
        <f>IF(J511&lt;&gt;"",M511*N511/365/100*('Cashflow Projection'!$B$2-Investors!J511),0)</f>
        <v/>
      </c>
    </row>
    <row r="512">
      <c r="A512" s="3" t="inlineStr">
        <is>
          <t>ZRIB01</t>
        </is>
      </c>
      <c r="B512" s="3" t="inlineStr">
        <is>
          <t>Paulo Sergio Da Silva</t>
        </is>
      </c>
      <c r="C512" s="3" t="inlineStr">
        <is>
          <t>Ribeiro</t>
        </is>
      </c>
      <c r="D512" s="3" t="inlineStr">
        <is>
          <t>Heron View</t>
        </is>
      </c>
      <c r="E512" s="3" t="inlineStr">
        <is>
          <t>HVO102</t>
        </is>
      </c>
      <c r="F512" s="3" t="b">
        <v>1</v>
      </c>
      <c r="G512" s="3" t="b">
        <v>0</v>
      </c>
      <c r="H512" s="3" t="inlineStr">
        <is>
          <t>O</t>
        </is>
      </c>
      <c r="I512" s="4" t="n">
        <v>44916</v>
      </c>
      <c r="J512" s="4" t="n">
        <v>45008</v>
      </c>
      <c r="K512" s="4" t="n">
        <v>45518</v>
      </c>
      <c r="L512" s="3" t="n">
        <v>2</v>
      </c>
      <c r="M512" s="3" t="n">
        <v>186816.78</v>
      </c>
      <c r="N512" s="3" t="n">
        <v>14</v>
      </c>
      <c r="O512" s="3" t="b">
        <v>0</v>
      </c>
      <c r="P512" s="3" t="b">
        <v>0</v>
      </c>
      <c r="Q512" s="3" t="n">
        <v>4656.344263150683</v>
      </c>
      <c r="R512" s="3" t="n">
        <v>36544.43312876712</v>
      </c>
      <c r="S512" s="3" t="n">
        <v>41200.77739191781</v>
      </c>
      <c r="T512" s="5">
        <f>IF(J512&lt;&gt;"",M512*N512/365/100*('Cashflow Projection'!$B$2-Investors!J512),0)</f>
        <v/>
      </c>
    </row>
    <row r="513">
      <c r="A513" s="3" t="inlineStr">
        <is>
          <t>ZRIT01</t>
        </is>
      </c>
      <c r="B513" s="3" t="inlineStr">
        <is>
          <t>Dennis</t>
        </is>
      </c>
      <c r="C513" s="3" t="inlineStr">
        <is>
          <t>Ritter</t>
        </is>
      </c>
      <c r="D513" s="3" t="inlineStr">
        <is>
          <t>Heron View</t>
        </is>
      </c>
      <c r="E513" s="3" t="inlineStr">
        <is>
          <t>HVO102</t>
        </is>
      </c>
      <c r="F513" s="3" t="b">
        <v>1</v>
      </c>
      <c r="G513" s="3" t="b">
        <v>0</v>
      </c>
      <c r="H513" s="3" t="inlineStr">
        <is>
          <t>O</t>
        </is>
      </c>
      <c r="I513" s="4" t="n">
        <v>44944</v>
      </c>
      <c r="J513" s="4" t="n">
        <v>45016</v>
      </c>
      <c r="K513" s="4" t="n">
        <v>45518</v>
      </c>
      <c r="L513" s="3" t="n">
        <v>9</v>
      </c>
      <c r="M513" s="3" t="n">
        <v>429243.84</v>
      </c>
      <c r="N513" s="3" t="n">
        <v>18</v>
      </c>
      <c r="O513" s="3" t="b">
        <v>0</v>
      </c>
      <c r="P513" s="3" t="b">
        <v>0</v>
      </c>
      <c r="Q513" s="3" t="n">
        <v>8429.055406027388</v>
      </c>
      <c r="R513" s="3" t="n">
        <v>106264.3106367123</v>
      </c>
      <c r="S513" s="3" t="n">
        <v>114693.3660427397</v>
      </c>
      <c r="T513" s="5">
        <f>IF(J513&lt;&gt;"",M513*N513/365/100*('Cashflow Projection'!$B$2-Investors!J513),0)</f>
        <v/>
      </c>
    </row>
    <row r="514">
      <c r="A514" s="3" t="inlineStr">
        <is>
          <t>ZMOO02</t>
        </is>
      </c>
      <c r="B514" s="3" t="inlineStr">
        <is>
          <t>Chreeson Loganathan</t>
        </is>
      </c>
      <c r="C514" s="3" t="inlineStr">
        <is>
          <t>Moodley</t>
        </is>
      </c>
      <c r="D514" s="3" t="inlineStr">
        <is>
          <t>Heron View</t>
        </is>
      </c>
      <c r="E514" s="3" t="inlineStr">
        <is>
          <t>HVO103</t>
        </is>
      </c>
      <c r="F514" s="3" t="b">
        <v>1</v>
      </c>
      <c r="G514" s="3" t="b">
        <v>0</v>
      </c>
      <c r="H514" s="3" t="inlineStr">
        <is>
          <t>O</t>
        </is>
      </c>
      <c r="I514" s="4" t="n">
        <v>44950</v>
      </c>
      <c r="J514" s="4" t="n">
        <v>45016</v>
      </c>
      <c r="K514" s="4" t="n">
        <v>45518</v>
      </c>
      <c r="L514" s="3" t="n">
        <v>3</v>
      </c>
      <c r="M514" s="3" t="n">
        <v>602626.71</v>
      </c>
      <c r="N514" s="3" t="n">
        <v>18</v>
      </c>
      <c r="O514" s="3" t="b">
        <v>0</v>
      </c>
      <c r="P514" s="3" t="b">
        <v>0</v>
      </c>
      <c r="Q514" s="3" t="n">
        <v>10867.91868102739</v>
      </c>
      <c r="R514" s="3" t="n">
        <v>149187.2589468493</v>
      </c>
      <c r="S514" s="3" t="n">
        <v>160055.1776278767</v>
      </c>
      <c r="T514" s="5">
        <f>IF(J514&lt;&gt;"",M514*N514/365/100*('Cashflow Projection'!$B$2-Investors!J514),0)</f>
        <v/>
      </c>
    </row>
    <row r="515">
      <c r="A515" s="3" t="inlineStr">
        <is>
          <t>ZNUN01</t>
        </is>
      </c>
      <c r="B515" s="3" t="inlineStr">
        <is>
          <t>Francisco Antonio</t>
        </is>
      </c>
      <c r="C515" s="3" t="inlineStr">
        <is>
          <t>Nunes</t>
        </is>
      </c>
      <c r="D515" s="3" t="inlineStr">
        <is>
          <t>Heron View</t>
        </is>
      </c>
      <c r="E515" s="3" t="inlineStr">
        <is>
          <t>HVO103</t>
        </is>
      </c>
      <c r="F515" s="3" t="b">
        <v>1</v>
      </c>
      <c r="G515" s="3" t="b">
        <v>0</v>
      </c>
      <c r="H515" s="3" t="inlineStr">
        <is>
          <t>O</t>
        </is>
      </c>
      <c r="I515" s="4" t="n">
        <v>44950</v>
      </c>
      <c r="J515" s="4" t="n">
        <v>45044</v>
      </c>
      <c r="K515" s="4" t="n">
        <v>45518</v>
      </c>
      <c r="L515" s="3" t="n">
        <v>8</v>
      </c>
      <c r="M515" s="3" t="n">
        <v>278815.07</v>
      </c>
      <c r="N515" s="3" t="n">
        <v>18</v>
      </c>
      <c r="O515" s="3" t="b">
        <v>0</v>
      </c>
      <c r="P515" s="3" t="b">
        <v>0</v>
      </c>
      <c r="Q515" s="3" t="n">
        <v>7274.017819383572</v>
      </c>
      <c r="R515" s="3" t="n">
        <v>65173.97745863014</v>
      </c>
      <c r="S515" s="3" t="n">
        <v>72447.99527801371</v>
      </c>
      <c r="T515" s="5">
        <f>IF(J515&lt;&gt;"",M515*N515/365/100*('Cashflow Projection'!$B$2-Investors!J515),0)</f>
        <v/>
      </c>
    </row>
    <row r="516">
      <c r="A516" s="3" t="inlineStr">
        <is>
          <t>ZRIT01</t>
        </is>
      </c>
      <c r="B516" s="3" t="inlineStr">
        <is>
          <t>Dennis</t>
        </is>
      </c>
      <c r="C516" s="3" t="inlineStr">
        <is>
          <t>Ritter</t>
        </is>
      </c>
      <c r="D516" s="3" t="inlineStr">
        <is>
          <t>Heron View</t>
        </is>
      </c>
      <c r="E516" s="3" t="inlineStr">
        <is>
          <t>HVO103</t>
        </is>
      </c>
      <c r="F516" s="3" t="b">
        <v>1</v>
      </c>
      <c r="G516" s="3" t="b">
        <v>0</v>
      </c>
      <c r="H516" s="3" t="inlineStr">
        <is>
          <t>O</t>
        </is>
      </c>
      <c r="I516" s="4" t="n">
        <v>44946</v>
      </c>
      <c r="J516" s="4" t="n">
        <v>45016</v>
      </c>
      <c r="K516" s="4" t="n">
        <v>45518</v>
      </c>
      <c r="L516" s="3" t="n">
        <v>10</v>
      </c>
      <c r="M516" s="3" t="n">
        <v>237315.07</v>
      </c>
      <c r="N516" s="3" t="n">
        <v>18</v>
      </c>
      <c r="O516" s="3" t="b">
        <v>0</v>
      </c>
      <c r="P516" s="3" t="b">
        <v>0</v>
      </c>
      <c r="Q516" s="3" t="n">
        <v>4533.368015273972</v>
      </c>
      <c r="R516" s="3" t="n">
        <v>58750.10883616439</v>
      </c>
      <c r="S516" s="3" t="n">
        <v>63283.47685143835</v>
      </c>
      <c r="T516" s="5">
        <f>IF(J516&lt;&gt;"",M516*N516/365/100*('Cashflow Projection'!$B$2-Investors!J516),0)</f>
        <v/>
      </c>
    </row>
    <row r="517">
      <c r="A517" s="3" t="inlineStr">
        <is>
          <t>ZLEW01</t>
        </is>
      </c>
      <c r="B517" s="3" t="inlineStr">
        <is>
          <t>Martina Christina</t>
        </is>
      </c>
      <c r="C517" s="3" t="inlineStr">
        <is>
          <t>Lewis</t>
        </is>
      </c>
      <c r="D517" s="3" t="inlineStr">
        <is>
          <t>Heron View</t>
        </is>
      </c>
      <c r="E517" s="3" t="inlineStr">
        <is>
          <t>HVO104</t>
        </is>
      </c>
      <c r="F517" s="3" t="b">
        <v>1</v>
      </c>
      <c r="G517" s="3" t="b">
        <v>0</v>
      </c>
      <c r="H517" s="3" t="inlineStr">
        <is>
          <t>O</t>
        </is>
      </c>
      <c r="I517" s="4" t="n">
        <v>44916</v>
      </c>
      <c r="J517" s="4" t="n">
        <v>45016</v>
      </c>
      <c r="K517" s="4" t="n">
        <v>45518</v>
      </c>
      <c r="L517" s="3" t="n">
        <v>10</v>
      </c>
      <c r="M517" s="3" t="n">
        <v>1108630.14</v>
      </c>
      <c r="N517" s="3" t="n">
        <v>18</v>
      </c>
      <c r="O517" s="3" t="b">
        <v>0</v>
      </c>
      <c r="P517" s="3" t="b">
        <v>0</v>
      </c>
      <c r="Q517" s="3" t="n">
        <v>30062.10085109586</v>
      </c>
      <c r="R517" s="3" t="n">
        <v>274454.2998641096</v>
      </c>
      <c r="S517" s="3" t="n">
        <v>304516.4007152055</v>
      </c>
      <c r="T517" s="5">
        <f>IF(J517&lt;&gt;"",M517*N517/365/100*('Cashflow Projection'!$B$2-Investors!J517),0)</f>
        <v/>
      </c>
    </row>
    <row r="518">
      <c r="A518" s="3" t="inlineStr">
        <is>
          <t>ZDEL01</t>
        </is>
      </c>
      <c r="B518" s="3" t="inlineStr">
        <is>
          <t>Pieter</t>
        </is>
      </c>
      <c r="C518" s="3" t="inlineStr">
        <is>
          <t>Jansen van Vuuren</t>
        </is>
      </c>
      <c r="D518" s="3" t="inlineStr">
        <is>
          <t>Heron View</t>
        </is>
      </c>
      <c r="E518" s="3" t="inlineStr">
        <is>
          <t>HVO105</t>
        </is>
      </c>
      <c r="F518" s="3" t="b">
        <v>1</v>
      </c>
      <c r="G518" s="3" t="b">
        <v>0</v>
      </c>
      <c r="H518" s="3" t="inlineStr">
        <is>
          <t>O</t>
        </is>
      </c>
      <c r="I518" s="4" t="n">
        <v>44950</v>
      </c>
      <c r="J518" s="4" t="n">
        <v>45016</v>
      </c>
      <c r="K518" s="4" t="n">
        <v>45518</v>
      </c>
      <c r="L518" s="3" t="n">
        <v>9</v>
      </c>
      <c r="M518" s="3" t="n">
        <v>291044.52</v>
      </c>
      <c r="N518" s="3" t="n">
        <v>18</v>
      </c>
      <c r="O518" s="3" t="b">
        <v>0</v>
      </c>
      <c r="P518" s="3" t="b">
        <v>0</v>
      </c>
      <c r="Q518" s="3" t="n">
        <v>5248.768638082198</v>
      </c>
      <c r="R518" s="3" t="n">
        <v>72051.45980054795</v>
      </c>
      <c r="S518" s="3" t="n">
        <v>77300.22843863015</v>
      </c>
      <c r="T518" s="5">
        <f>IF(J518&lt;&gt;"",M518*N518/365/100*('Cashflow Projection'!$B$2-Investors!J518),0)</f>
        <v/>
      </c>
    </row>
    <row r="519">
      <c r="A519" s="3" t="inlineStr">
        <is>
          <t>ZDIC01</t>
        </is>
      </c>
      <c r="B519" s="3" t="inlineStr">
        <is>
          <t>Grant Allan</t>
        </is>
      </c>
      <c r="C519" s="3" t="inlineStr">
        <is>
          <t>Dickinson</t>
        </is>
      </c>
      <c r="D519" s="3" t="inlineStr">
        <is>
          <t>Heron View</t>
        </is>
      </c>
      <c r="E519" s="3" t="inlineStr">
        <is>
          <t>HVO105</t>
        </is>
      </c>
      <c r="F519" s="3" t="b">
        <v>1</v>
      </c>
      <c r="G519" s="3" t="b">
        <v>0</v>
      </c>
      <c r="H519" s="3" t="inlineStr">
        <is>
          <t>O</t>
        </is>
      </c>
      <c r="I519" s="4" t="n">
        <v>44952</v>
      </c>
      <c r="J519" s="4" t="n">
        <v>45044</v>
      </c>
      <c r="K519" s="4" t="n">
        <v>45518</v>
      </c>
      <c r="L519" s="3" t="n">
        <v>12</v>
      </c>
      <c r="M519" s="3" t="n">
        <v>566390.41</v>
      </c>
      <c r="N519" s="3" t="n">
        <v>18</v>
      </c>
      <c r="O519" s="3" t="b">
        <v>0</v>
      </c>
      <c r="P519" s="3" t="b">
        <v>0</v>
      </c>
      <c r="Q519" s="3" t="n">
        <v>14473.99054595888</v>
      </c>
      <c r="R519" s="3" t="n">
        <v>132395.698030685</v>
      </c>
      <c r="S519" s="3" t="n">
        <v>146869.6885766438</v>
      </c>
      <c r="T519" s="5">
        <f>IF(J519&lt;&gt;"",M519*N519/365/100*('Cashflow Projection'!$B$2-Investors!J519),0)</f>
        <v/>
      </c>
    </row>
    <row r="520">
      <c r="A520" s="3" t="inlineStr">
        <is>
          <t>ZHUT01</t>
        </is>
      </c>
      <c r="B520" s="3" t="inlineStr">
        <is>
          <t>Tracy Jane</t>
        </is>
      </c>
      <c r="C520" s="3" t="inlineStr">
        <is>
          <t>Hutchings</t>
        </is>
      </c>
      <c r="D520" s="3" t="inlineStr">
        <is>
          <t>Heron View</t>
        </is>
      </c>
      <c r="E520" s="3" t="inlineStr">
        <is>
          <t>HVO105</t>
        </is>
      </c>
      <c r="F520" s="3" t="b">
        <v>1</v>
      </c>
      <c r="G520" s="3" t="b">
        <v>0</v>
      </c>
      <c r="H520" s="3" t="inlineStr">
        <is>
          <t>O</t>
        </is>
      </c>
      <c r="I520" s="4" t="n">
        <v>44914</v>
      </c>
      <c r="J520" s="4" t="n">
        <v>45008</v>
      </c>
      <c r="K520" s="4" t="n">
        <v>45518</v>
      </c>
      <c r="L520" s="3" t="n">
        <v>8</v>
      </c>
      <c r="M520" s="3" t="n">
        <v>250000</v>
      </c>
      <c r="N520" s="3" t="n">
        <v>16</v>
      </c>
      <c r="O520" s="3" t="b">
        <v>0</v>
      </c>
      <c r="P520" s="3" t="b">
        <v>0</v>
      </c>
      <c r="Q520" s="3" t="n">
        <v>6364.726027397265</v>
      </c>
      <c r="R520" s="3" t="n">
        <v>55890.41095890411</v>
      </c>
      <c r="S520" s="3" t="n">
        <v>62255.13698630138</v>
      </c>
      <c r="T520" s="5">
        <f>IF(J520&lt;&gt;"",M520*N520/365/100*('Cashflow Projection'!$B$2-Investors!J520),0)</f>
        <v/>
      </c>
    </row>
    <row r="521">
      <c r="A521" s="3" t="inlineStr">
        <is>
          <t>ZCRO01</t>
        </is>
      </c>
      <c r="B521" s="3" t="inlineStr">
        <is>
          <t>Marc</t>
        </is>
      </c>
      <c r="C521" s="3" t="inlineStr">
        <is>
          <t>Lunau</t>
        </is>
      </c>
      <c r="D521" s="3" t="inlineStr">
        <is>
          <t>Heron View</t>
        </is>
      </c>
      <c r="E521" s="3" t="inlineStr">
        <is>
          <t>HVO201</t>
        </is>
      </c>
      <c r="F521" s="3" t="b">
        <v>1</v>
      </c>
      <c r="G521" s="3" t="b">
        <v>0</v>
      </c>
      <c r="H521" s="3" t="inlineStr">
        <is>
          <t>O</t>
        </is>
      </c>
      <c r="I521" s="4" t="n">
        <v>44938</v>
      </c>
      <c r="J521" s="4" t="n">
        <v>45044</v>
      </c>
      <c r="K521" s="4" t="n">
        <v>45518</v>
      </c>
      <c r="L521" s="3" t="n">
        <v>10</v>
      </c>
      <c r="M521" s="3" t="n">
        <v>100000</v>
      </c>
      <c r="N521" s="3" t="n">
        <v>18</v>
      </c>
      <c r="O521" s="3" t="b">
        <v>0</v>
      </c>
      <c r="P521" s="3" t="b">
        <v>0</v>
      </c>
      <c r="Q521" s="3" t="n">
        <v>2929.452054794523</v>
      </c>
      <c r="R521" s="3" t="n">
        <v>23375.34246575342</v>
      </c>
      <c r="S521" s="3" t="n">
        <v>26304.79452054795</v>
      </c>
      <c r="T521" s="5">
        <f>IF(J521&lt;&gt;"",M521*N521/365/100*('Cashflow Projection'!$B$2-Investors!J521),0)</f>
        <v/>
      </c>
    </row>
    <row r="522">
      <c r="A522" s="3" t="inlineStr">
        <is>
          <t>ZJOH01</t>
        </is>
      </c>
      <c r="B522" s="3" t="inlineStr">
        <is>
          <t>Lisa-Marie Natalie</t>
        </is>
      </c>
      <c r="C522" s="3" t="inlineStr">
        <is>
          <t>Johns</t>
        </is>
      </c>
      <c r="D522" s="3" t="inlineStr">
        <is>
          <t>Heron View</t>
        </is>
      </c>
      <c r="E522" s="3" t="inlineStr">
        <is>
          <t>HVO201</t>
        </is>
      </c>
      <c r="F522" s="3" t="b">
        <v>1</v>
      </c>
      <c r="G522" s="3" t="b">
        <v>0</v>
      </c>
      <c r="H522" s="3" t="inlineStr">
        <is>
          <t>O</t>
        </is>
      </c>
      <c r="I522" s="4" t="n">
        <v>44960</v>
      </c>
      <c r="J522" s="4" t="n">
        <v>45072</v>
      </c>
      <c r="K522" s="4" t="n">
        <v>45518</v>
      </c>
      <c r="L522" s="3" t="n">
        <v>8</v>
      </c>
      <c r="M522" s="3" t="n">
        <v>110000</v>
      </c>
      <c r="N522" s="3" t="n">
        <v>18</v>
      </c>
      <c r="O522" s="3" t="b">
        <v>0</v>
      </c>
      <c r="P522" s="3" t="b">
        <v>0</v>
      </c>
      <c r="Q522" s="3" t="n">
        <v>3459.72602739727</v>
      </c>
      <c r="R522" s="3" t="n">
        <v>24193.97260273973</v>
      </c>
      <c r="S522" s="3" t="n">
        <v>27653.698630137</v>
      </c>
      <c r="T522" s="5">
        <f>IF(J522&lt;&gt;"",M522*N522/365/100*('Cashflow Projection'!$B$2-Investors!J522),0)</f>
        <v/>
      </c>
    </row>
    <row r="523">
      <c r="A523" s="3" t="inlineStr">
        <is>
          <t>ZMAT01</t>
        </is>
      </c>
      <c r="B523" s="3" t="inlineStr">
        <is>
          <t>Natalie</t>
        </is>
      </c>
      <c r="C523" s="3" t="inlineStr">
        <is>
          <t>Matthews</t>
        </is>
      </c>
      <c r="D523" s="3" t="inlineStr">
        <is>
          <t>Heron View</t>
        </is>
      </c>
      <c r="E523" s="3" t="inlineStr">
        <is>
          <t>HVO201</t>
        </is>
      </c>
      <c r="F523" s="3" t="b">
        <v>1</v>
      </c>
      <c r="G523" s="3" t="b">
        <v>0</v>
      </c>
      <c r="H523" s="3" t="inlineStr">
        <is>
          <t>O</t>
        </is>
      </c>
      <c r="I523" s="4" t="n">
        <v>44958</v>
      </c>
      <c r="J523" s="4" t="n">
        <v>45072</v>
      </c>
      <c r="K523" s="4" t="n">
        <v>45518</v>
      </c>
      <c r="L523" s="3" t="n">
        <v>6</v>
      </c>
      <c r="M523" s="3" t="n">
        <v>256652.05</v>
      </c>
      <c r="N523" s="3" t="n">
        <v>14</v>
      </c>
      <c r="O523" s="3" t="b">
        <v>0</v>
      </c>
      <c r="P523" s="3" t="b">
        <v>0</v>
      </c>
      <c r="Q523" s="3" t="n">
        <v>8212.865600000019</v>
      </c>
      <c r="R523" s="3" t="n">
        <v>43905.07945753424</v>
      </c>
      <c r="S523" s="3" t="n">
        <v>52117.94505753426</v>
      </c>
      <c r="T523" s="5">
        <f>IF(J523&lt;&gt;"",M523*N523/365/100*('Cashflow Projection'!$B$2-Investors!J523),0)</f>
        <v/>
      </c>
    </row>
    <row r="524">
      <c r="A524" s="3" t="inlineStr">
        <is>
          <t>ZTHA01</t>
        </is>
      </c>
      <c r="B524" s="3" t="inlineStr">
        <is>
          <t>Gerald Adriaan Odendal</t>
        </is>
      </c>
      <c r="C524" s="3" t="inlineStr">
        <is>
          <t>Matthee</t>
        </is>
      </c>
      <c r="D524" s="3" t="inlineStr">
        <is>
          <t>Heron View</t>
        </is>
      </c>
      <c r="E524" s="3" t="inlineStr">
        <is>
          <t>HVO201</t>
        </is>
      </c>
      <c r="F524" s="3" t="b">
        <v>1</v>
      </c>
      <c r="G524" s="3" t="b">
        <v>0</v>
      </c>
      <c r="H524" s="3" t="inlineStr">
        <is>
          <t>O</t>
        </is>
      </c>
      <c r="I524" s="4" t="n">
        <v>44942</v>
      </c>
      <c r="J524" s="4" t="n">
        <v>45016</v>
      </c>
      <c r="K524" s="4" t="n">
        <v>45518</v>
      </c>
      <c r="L524" s="3" t="n">
        <v>4</v>
      </c>
      <c r="M524" s="3" t="n">
        <v>229795.89</v>
      </c>
      <c r="N524" s="3" t="n">
        <v>16</v>
      </c>
      <c r="O524" s="3" t="b">
        <v>0</v>
      </c>
      <c r="P524" s="3" t="b">
        <v>0</v>
      </c>
      <c r="Q524" s="3" t="n">
        <v>4635.266411301377</v>
      </c>
      <c r="R524" s="3" t="n">
        <v>50567.68735561644</v>
      </c>
      <c r="S524" s="3" t="n">
        <v>55202.95376691781</v>
      </c>
      <c r="T524" s="5">
        <f>IF(J524&lt;&gt;"",M524*N524/365/100*('Cashflow Projection'!$B$2-Investors!J524),0)</f>
        <v/>
      </c>
    </row>
    <row r="525">
      <c r="A525" s="3" t="inlineStr">
        <is>
          <t>ZVAN05</t>
        </is>
      </c>
      <c r="B525" s="3" t="inlineStr">
        <is>
          <t>Hermanus</t>
        </is>
      </c>
      <c r="C525" s="3" t="inlineStr">
        <is>
          <t>van der Sandt</t>
        </is>
      </c>
      <c r="D525" s="3" t="inlineStr">
        <is>
          <t>Heron View</t>
        </is>
      </c>
      <c r="E525" s="3" t="inlineStr">
        <is>
          <t>HVO201</t>
        </is>
      </c>
      <c r="F525" s="3" t="b">
        <v>1</v>
      </c>
      <c r="G525" s="3" t="b">
        <v>0</v>
      </c>
      <c r="H525" s="3" t="inlineStr">
        <is>
          <t>O</t>
        </is>
      </c>
      <c r="I525" s="4" t="n">
        <v>44992</v>
      </c>
      <c r="J525" s="4" t="n">
        <v>45107</v>
      </c>
      <c r="K525" s="4" t="n">
        <v>45518</v>
      </c>
      <c r="L525" s="3" t="n">
        <v>8</v>
      </c>
      <c r="M525" s="3" t="n">
        <v>350000</v>
      </c>
      <c r="N525" s="3" t="n">
        <v>18</v>
      </c>
      <c r="O525" s="3" t="b">
        <v>0</v>
      </c>
      <c r="P525" s="3" t="b">
        <v>0</v>
      </c>
      <c r="Q525" s="3" t="n">
        <v>11607.53424657535</v>
      </c>
      <c r="R525" s="3" t="n">
        <v>70939.72602739726</v>
      </c>
      <c r="S525" s="3" t="n">
        <v>82547.26027397261</v>
      </c>
      <c r="T525" s="5">
        <f>IF(J525&lt;&gt;"",M525*N525/365/100*('Cashflow Projection'!$B$2-Investors!J525),0)</f>
        <v/>
      </c>
    </row>
    <row r="526">
      <c r="A526" s="3" t="inlineStr">
        <is>
          <t>ZDEL01</t>
        </is>
      </c>
      <c r="B526" s="3" t="inlineStr">
        <is>
          <t>Pieter</t>
        </is>
      </c>
      <c r="C526" s="3" t="inlineStr">
        <is>
          <t>Jansen van Vuuren</t>
        </is>
      </c>
      <c r="D526" s="3" t="inlineStr">
        <is>
          <t>Heron View</t>
        </is>
      </c>
      <c r="E526" s="3" t="inlineStr">
        <is>
          <t>HVO202</t>
        </is>
      </c>
      <c r="F526" s="3" t="b">
        <v>1</v>
      </c>
      <c r="G526" s="3" t="b">
        <v>0</v>
      </c>
      <c r="H526" s="3" t="inlineStr">
        <is>
          <t>O</t>
        </is>
      </c>
      <c r="I526" s="4" t="n">
        <v>44952</v>
      </c>
      <c r="J526" s="4" t="n">
        <v>45044</v>
      </c>
      <c r="K526" s="4" t="n">
        <v>45518</v>
      </c>
      <c r="L526" s="3" t="n">
        <v>10</v>
      </c>
      <c r="M526" s="3" t="n">
        <v>170585.96</v>
      </c>
      <c r="N526" s="3" t="n">
        <v>18</v>
      </c>
      <c r="O526" s="3" t="b">
        <v>0</v>
      </c>
      <c r="P526" s="3" t="b">
        <v>0</v>
      </c>
      <c r="Q526" s="3" t="n">
        <v>4359.289155890412</v>
      </c>
      <c r="R526" s="3" t="n">
        <v>39875.05234849315</v>
      </c>
      <c r="S526" s="3" t="n">
        <v>44234.34150438356</v>
      </c>
      <c r="T526" s="5">
        <f>IF(J526&lt;&gt;"",M526*N526/365/100*('Cashflow Projection'!$B$2-Investors!J526),0)</f>
        <v/>
      </c>
    </row>
    <row r="527">
      <c r="A527" s="3" t="inlineStr">
        <is>
          <t>ZHEI01</t>
        </is>
      </c>
      <c r="B527" s="3" t="inlineStr">
        <is>
          <t>Dieter Raimund</t>
        </is>
      </c>
      <c r="C527" s="3" t="inlineStr">
        <is>
          <t>Heinze</t>
        </is>
      </c>
      <c r="D527" s="3" t="inlineStr">
        <is>
          <t>Heron View</t>
        </is>
      </c>
      <c r="E527" s="3" t="inlineStr">
        <is>
          <t>HVO202</t>
        </is>
      </c>
      <c r="F527" s="3" t="b">
        <v>1</v>
      </c>
      <c r="G527" s="3" t="b">
        <v>0</v>
      </c>
      <c r="H527" s="3" t="inlineStr">
        <is>
          <t>O</t>
        </is>
      </c>
      <c r="I527" s="4" t="n">
        <v>44960</v>
      </c>
      <c r="J527" s="4" t="n">
        <v>45072</v>
      </c>
      <c r="K527" s="4" t="n">
        <v>45518</v>
      </c>
      <c r="L527" s="3" t="n">
        <v>11</v>
      </c>
      <c r="M527" s="3" t="n">
        <v>258587.14</v>
      </c>
      <c r="N527" s="3" t="n">
        <v>18</v>
      </c>
      <c r="O527" s="3" t="b">
        <v>0</v>
      </c>
      <c r="P527" s="3" t="b">
        <v>0</v>
      </c>
      <c r="Q527" s="3" t="n">
        <v>8133.096896438373</v>
      </c>
      <c r="R527" s="3" t="n">
        <v>56875.00164164384</v>
      </c>
      <c r="S527" s="3" t="n">
        <v>65008.09853808222</v>
      </c>
      <c r="T527" s="5">
        <f>IF(J527&lt;&gt;"",M527*N527/365/100*('Cashflow Projection'!$B$2-Investors!J527),0)</f>
        <v/>
      </c>
    </row>
    <row r="528">
      <c r="A528" s="3" t="inlineStr">
        <is>
          <t>ZLOU03</t>
        </is>
      </c>
      <c r="B528" s="3" t="inlineStr">
        <is>
          <t>Peter Arnold</t>
        </is>
      </c>
      <c r="C528" s="3" t="inlineStr">
        <is>
          <t>Louwrens</t>
        </is>
      </c>
      <c r="D528" s="3" t="inlineStr">
        <is>
          <t>Heron View</t>
        </is>
      </c>
      <c r="E528" s="3" t="inlineStr">
        <is>
          <t>HVO202</t>
        </is>
      </c>
      <c r="F528" s="3" t="b">
        <v>1</v>
      </c>
      <c r="G528" s="3" t="b">
        <v>0</v>
      </c>
      <c r="H528" s="3" t="inlineStr">
        <is>
          <t>O</t>
        </is>
      </c>
      <c r="I528" s="4" t="n">
        <v>44952</v>
      </c>
      <c r="J528" s="4" t="n">
        <v>45044</v>
      </c>
      <c r="K528" s="4" t="n">
        <v>45518</v>
      </c>
      <c r="L528" s="3" t="n">
        <v>2</v>
      </c>
      <c r="M528" s="3" t="n">
        <v>500000</v>
      </c>
      <c r="N528" s="3" t="n">
        <v>16</v>
      </c>
      <c r="O528" s="3" t="b">
        <v>0</v>
      </c>
      <c r="P528" s="3" t="b">
        <v>0</v>
      </c>
      <c r="Q528" s="3" t="n">
        <v>12777.397260274</v>
      </c>
      <c r="R528" s="3" t="n">
        <v>103890.4109589041</v>
      </c>
      <c r="S528" s="3" t="n">
        <v>116667.8082191781</v>
      </c>
      <c r="T528" s="5">
        <f>IF(J528&lt;&gt;"",M528*N528/365/100*('Cashflow Projection'!$B$2-Investors!J528),0)</f>
        <v/>
      </c>
    </row>
    <row r="529">
      <c r="A529" s="3" t="inlineStr">
        <is>
          <t>ZWAL01</t>
        </is>
      </c>
      <c r="B529" s="3" t="inlineStr">
        <is>
          <t>Benedict Joseph</t>
        </is>
      </c>
      <c r="C529" s="3" t="inlineStr">
        <is>
          <t>Walters</t>
        </is>
      </c>
      <c r="D529" s="3" t="inlineStr">
        <is>
          <t>Heron View</t>
        </is>
      </c>
      <c r="E529" s="3" t="inlineStr">
        <is>
          <t>HVO202</t>
        </is>
      </c>
      <c r="F529" s="3" t="b">
        <v>1</v>
      </c>
      <c r="G529" s="3" t="b">
        <v>0</v>
      </c>
      <c r="H529" s="3" t="inlineStr">
        <is>
          <t>O</t>
        </is>
      </c>
      <c r="I529" s="4" t="n">
        <v>44946</v>
      </c>
      <c r="J529" s="4" t="n">
        <v>45016</v>
      </c>
      <c r="K529" s="4" t="n">
        <v>45518</v>
      </c>
      <c r="L529" s="3" t="n">
        <v>2</v>
      </c>
      <c r="M529" s="3" t="n">
        <v>187515.41</v>
      </c>
      <c r="N529" s="3" t="n">
        <v>14</v>
      </c>
      <c r="O529" s="3" t="b">
        <v>0</v>
      </c>
      <c r="P529" s="3" t="b">
        <v>0</v>
      </c>
      <c r="Q529" s="3" t="n">
        <v>3582.058071849312</v>
      </c>
      <c r="R529" s="3" t="n">
        <v>36105.70688986302</v>
      </c>
      <c r="S529" s="3" t="n">
        <v>39687.76496171234</v>
      </c>
      <c r="T529" s="5">
        <f>IF(J529&lt;&gt;"",M529*N529/365/100*('Cashflow Projection'!$B$2-Investors!J529),0)</f>
        <v/>
      </c>
    </row>
    <row r="530">
      <c r="A530" s="3" t="inlineStr">
        <is>
          <t>ZCRO01</t>
        </is>
      </c>
      <c r="B530" s="3" t="inlineStr">
        <is>
          <t>Marc</t>
        </is>
      </c>
      <c r="C530" s="3" t="inlineStr">
        <is>
          <t>Lunau</t>
        </is>
      </c>
      <c r="D530" s="3" t="inlineStr">
        <is>
          <t>Heron View</t>
        </is>
      </c>
      <c r="E530" s="3" t="inlineStr">
        <is>
          <t>HVO203</t>
        </is>
      </c>
      <c r="F530" s="3" t="b">
        <v>1</v>
      </c>
      <c r="G530" s="3" t="b">
        <v>0</v>
      </c>
      <c r="H530" s="3" t="inlineStr">
        <is>
          <t>O</t>
        </is>
      </c>
      <c r="I530" s="4" t="n">
        <v>44965</v>
      </c>
      <c r="J530" s="4" t="n">
        <v>45072</v>
      </c>
      <c r="K530" s="4" t="n">
        <v>45518</v>
      </c>
      <c r="L530" s="3" t="n">
        <v>11</v>
      </c>
      <c r="M530" s="3" t="n">
        <v>110000</v>
      </c>
      <c r="N530" s="3" t="n">
        <v>18</v>
      </c>
      <c r="O530" s="3" t="b">
        <v>0</v>
      </c>
      <c r="P530" s="3" t="b">
        <v>0</v>
      </c>
      <c r="Q530" s="3" t="n">
        <v>3309.041095890419</v>
      </c>
      <c r="R530" s="3" t="n">
        <v>24193.97260273973</v>
      </c>
      <c r="S530" s="3" t="n">
        <v>27503.01369863014</v>
      </c>
      <c r="T530" s="5">
        <f>IF(J530&lt;&gt;"",M530*N530/365/100*('Cashflow Projection'!$B$2-Investors!J530),0)</f>
        <v/>
      </c>
    </row>
    <row r="531">
      <c r="A531" s="3" t="inlineStr">
        <is>
          <t>ZKRU01</t>
        </is>
      </c>
      <c r="B531" s="3" t="inlineStr">
        <is>
          <t>Jurgen</t>
        </is>
      </c>
      <c r="C531" s="3" t="inlineStr">
        <is>
          <t>Kruger</t>
        </is>
      </c>
      <c r="D531" s="3" t="inlineStr">
        <is>
          <t>Heron View</t>
        </is>
      </c>
      <c r="E531" s="3" t="inlineStr">
        <is>
          <t>HVO203</t>
        </is>
      </c>
      <c r="F531" s="3" t="b">
        <v>1</v>
      </c>
      <c r="G531" s="3" t="b">
        <v>0</v>
      </c>
      <c r="H531" s="3" t="inlineStr">
        <is>
          <t>O</t>
        </is>
      </c>
      <c r="I531" s="4" t="n">
        <v>44964</v>
      </c>
      <c r="J531" s="4" t="n">
        <v>45072</v>
      </c>
      <c r="K531" s="4" t="n">
        <v>45518</v>
      </c>
      <c r="L531" s="3" t="n">
        <v>7</v>
      </c>
      <c r="M531" s="3" t="n">
        <v>819398.7</v>
      </c>
      <c r="N531" s="3" t="n">
        <v>18</v>
      </c>
      <c r="O531" s="3" t="b">
        <v>0</v>
      </c>
      <c r="P531" s="3" t="b">
        <v>0</v>
      </c>
      <c r="Q531" s="3" t="n">
        <v>24873.80163287676</v>
      </c>
      <c r="R531" s="3" t="n">
        <v>180222.8154410959</v>
      </c>
      <c r="S531" s="3" t="n">
        <v>205096.6170739727</v>
      </c>
      <c r="T531" s="5">
        <f>IF(J531&lt;&gt;"",M531*N531/365/100*('Cashflow Projection'!$B$2-Investors!J531),0)</f>
        <v/>
      </c>
    </row>
    <row r="532">
      <c r="A532" s="3" t="inlineStr">
        <is>
          <t>ZVAL01</t>
        </is>
      </c>
      <c r="B532" s="3" t="inlineStr">
        <is>
          <t>Manoj</t>
        </is>
      </c>
      <c r="C532" s="3" t="inlineStr">
        <is>
          <t>Vallabh</t>
        </is>
      </c>
      <c r="D532" s="3" t="inlineStr">
        <is>
          <t>Heron View</t>
        </is>
      </c>
      <c r="E532" s="3" t="inlineStr">
        <is>
          <t>HVO203</t>
        </is>
      </c>
      <c r="F532" s="3" t="b">
        <v>1</v>
      </c>
      <c r="G532" s="3" t="b">
        <v>0</v>
      </c>
      <c r="H532" s="3" t="inlineStr">
        <is>
          <t>O</t>
        </is>
      </c>
      <c r="I532" s="4" t="n">
        <v>45012</v>
      </c>
      <c r="J532" s="4" t="n">
        <v>45129</v>
      </c>
      <c r="K532" s="4" t="n">
        <v>45518</v>
      </c>
      <c r="L532" s="3" t="n">
        <v>2</v>
      </c>
      <c r="M532" s="3" t="n">
        <v>192071.92</v>
      </c>
      <c r="N532" s="3" t="n">
        <v>14</v>
      </c>
      <c r="O532" s="3" t="b">
        <v>0</v>
      </c>
      <c r="P532" s="3" t="b">
        <v>0</v>
      </c>
      <c r="Q532" s="3" t="n">
        <v>6590.961090410965</v>
      </c>
      <c r="R532" s="3" t="n">
        <v>28658.18291287672</v>
      </c>
      <c r="S532" s="3" t="n">
        <v>35249.14400328769</v>
      </c>
      <c r="T532" s="5">
        <f>IF(J532&lt;&gt;"",M532*N532/365/100*('Cashflow Projection'!$B$2-Investors!J532),0)</f>
        <v/>
      </c>
    </row>
    <row r="533">
      <c r="A533" s="3" t="inlineStr">
        <is>
          <t>ZLAB01</t>
        </is>
      </c>
      <c r="B533" s="3" t="inlineStr">
        <is>
          <t>Andre Jan</t>
        </is>
      </c>
      <c r="C533" s="3" t="inlineStr">
        <is>
          <t>Labuschagne</t>
        </is>
      </c>
      <c r="D533" s="3" t="inlineStr">
        <is>
          <t>Heron View</t>
        </is>
      </c>
      <c r="E533" s="3" t="inlineStr">
        <is>
          <t>HVO204</t>
        </is>
      </c>
      <c r="F533" s="3" t="b">
        <v>1</v>
      </c>
      <c r="G533" s="3" t="b">
        <v>0</v>
      </c>
      <c r="H533" s="3" t="inlineStr">
        <is>
          <t>O</t>
        </is>
      </c>
      <c r="I533" s="4" t="n">
        <v>44964</v>
      </c>
      <c r="J533" s="4" t="n">
        <v>45072</v>
      </c>
      <c r="K533" s="4" t="n">
        <v>45518</v>
      </c>
      <c r="L533" s="3" t="n">
        <v>4</v>
      </c>
      <c r="M533" s="3" t="n">
        <v>586801.37</v>
      </c>
      <c r="N533" s="3" t="n">
        <v>18</v>
      </c>
      <c r="O533" s="3" t="b">
        <v>0</v>
      </c>
      <c r="P533" s="3" t="b">
        <v>0</v>
      </c>
      <c r="Q533" s="3" t="n">
        <v>17813.03884821915</v>
      </c>
      <c r="R533" s="3" t="n">
        <v>129064.147900274</v>
      </c>
      <c r="S533" s="3" t="n">
        <v>146877.1867484931</v>
      </c>
      <c r="T533" s="5">
        <f>IF(J533&lt;&gt;"",M533*N533/365/100*('Cashflow Projection'!$B$2-Investors!J533),0)</f>
        <v/>
      </c>
    </row>
    <row r="534">
      <c r="A534" s="3" t="inlineStr">
        <is>
          <t>ZTSO01</t>
        </is>
      </c>
      <c r="B534" s="3" t="inlineStr">
        <is>
          <t>Abram Matlotleng</t>
        </is>
      </c>
      <c r="C534" s="3" t="inlineStr">
        <is>
          <t>Tsoku</t>
        </is>
      </c>
      <c r="D534" s="3" t="inlineStr">
        <is>
          <t>Heron View</t>
        </is>
      </c>
      <c r="E534" s="3" t="inlineStr">
        <is>
          <t>HVO204</t>
        </is>
      </c>
      <c r="F534" s="3" t="b">
        <v>1</v>
      </c>
      <c r="G534" s="3" t="b">
        <v>0</v>
      </c>
      <c r="H534" s="3" t="inlineStr">
        <is>
          <t>O</t>
        </is>
      </c>
      <c r="I534" s="4" t="n">
        <v>44964</v>
      </c>
      <c r="J534" s="4" t="n">
        <v>45072</v>
      </c>
      <c r="K534" s="4" t="n">
        <v>45518</v>
      </c>
      <c r="L534" s="3" t="n">
        <v>2</v>
      </c>
      <c r="M534" s="3" t="n">
        <v>504150.68</v>
      </c>
      <c r="N534" s="3" t="n">
        <v>16</v>
      </c>
      <c r="O534" s="3" t="b">
        <v>0</v>
      </c>
      <c r="P534" s="3" t="b">
        <v>0</v>
      </c>
      <c r="Q534" s="3" t="n">
        <v>15304.08091616442</v>
      </c>
      <c r="R534" s="3" t="n">
        <v>98564.91102684931</v>
      </c>
      <c r="S534" s="3" t="n">
        <v>113868.9919430137</v>
      </c>
      <c r="T534" s="5">
        <f>IF(J534&lt;&gt;"",M534*N534/365/100*('Cashflow Projection'!$B$2-Investors!J534),0)</f>
        <v/>
      </c>
    </row>
    <row r="535">
      <c r="A535" s="3" t="inlineStr">
        <is>
          <t>ZKUS04</t>
        </is>
      </c>
      <c r="B535" s="3" t="inlineStr">
        <is>
          <t>Willie</t>
        </is>
      </c>
      <c r="C535" s="3" t="inlineStr">
        <is>
          <t>Kusel</t>
        </is>
      </c>
      <c r="D535" s="3" t="inlineStr">
        <is>
          <t>Heron View</t>
        </is>
      </c>
      <c r="E535" s="3" t="inlineStr">
        <is>
          <t>HVO205</t>
        </is>
      </c>
      <c r="F535" s="3" t="b">
        <v>1</v>
      </c>
      <c r="G535" s="3" t="b">
        <v>0</v>
      </c>
      <c r="H535" s="3" t="inlineStr">
        <is>
          <t>O</t>
        </is>
      </c>
      <c r="I535" s="4" t="n">
        <v>44960</v>
      </c>
      <c r="J535" s="4" t="n">
        <v>45072</v>
      </c>
      <c r="K535" s="4" t="n">
        <v>45545</v>
      </c>
      <c r="L535" s="3" t="n">
        <v>2</v>
      </c>
      <c r="M535" s="3" t="n">
        <v>1000000</v>
      </c>
      <c r="N535" s="3" t="n">
        <v>18</v>
      </c>
      <c r="O535" s="3" t="b">
        <v>0</v>
      </c>
      <c r="P535" s="3" t="b">
        <v>0</v>
      </c>
      <c r="Q535" s="3" t="n">
        <v>31452.05479452062</v>
      </c>
      <c r="R535" s="3" t="n">
        <v>233260.2739726028</v>
      </c>
      <c r="S535" s="3" t="n">
        <v>264712.3287671234</v>
      </c>
      <c r="T535" s="5">
        <f>IF(J535&lt;&gt;"",M535*N535/365/100*('Cashflow Projection'!$B$2-Investors!J535),0)</f>
        <v/>
      </c>
    </row>
    <row r="536">
      <c r="A536" s="3" t="inlineStr">
        <is>
          <t>ZVAN10</t>
        </is>
      </c>
      <c r="B536" s="3" t="inlineStr">
        <is>
          <t>Wilhelm Johannes</t>
        </is>
      </c>
      <c r="C536" s="3" t="inlineStr">
        <is>
          <t>van der Merwe</t>
        </is>
      </c>
      <c r="D536" s="3" t="inlineStr">
        <is>
          <t>Heron View</t>
        </is>
      </c>
      <c r="E536" s="3" t="inlineStr">
        <is>
          <t>HVO205</t>
        </is>
      </c>
      <c r="F536" s="3" t="b">
        <v>1</v>
      </c>
      <c r="G536" s="3" t="b">
        <v>0</v>
      </c>
      <c r="H536" s="3" t="inlineStr">
        <is>
          <t>O</t>
        </is>
      </c>
      <c r="I536" s="4" t="n">
        <v>44973</v>
      </c>
      <c r="J536" s="4" t="n">
        <v>45072</v>
      </c>
      <c r="K536" s="4" t="n">
        <v>45545</v>
      </c>
      <c r="L536" s="3" t="n">
        <v>2</v>
      </c>
      <c r="M536" s="3" t="n">
        <v>100000</v>
      </c>
      <c r="N536" s="3" t="n">
        <v>18</v>
      </c>
      <c r="O536" s="3" t="b">
        <v>0</v>
      </c>
      <c r="P536" s="3" t="b">
        <v>0</v>
      </c>
      <c r="Q536" s="3" t="n">
        <v>2789.041095890415</v>
      </c>
      <c r="R536" s="3" t="n">
        <v>23326.02739726027</v>
      </c>
      <c r="S536" s="3" t="n">
        <v>26115.06849315069</v>
      </c>
      <c r="T536" s="5">
        <f>IF(J536&lt;&gt;"",M536*N536/365/100*('Cashflow Projection'!$B$2-Investors!J536),0)</f>
        <v/>
      </c>
    </row>
    <row r="537">
      <c r="A537" s="3" t="inlineStr">
        <is>
          <t>ZDEV02</t>
        </is>
      </c>
      <c r="B537" s="3" t="inlineStr">
        <is>
          <t>André Deric</t>
        </is>
      </c>
      <c r="C537" s="3" t="inlineStr">
        <is>
          <t>de Villiers</t>
        </is>
      </c>
      <c r="D537" s="3" t="inlineStr">
        <is>
          <t>Heron View</t>
        </is>
      </c>
      <c r="E537" s="3" t="inlineStr">
        <is>
          <t>HVO301</t>
        </is>
      </c>
      <c r="F537" s="3" t="b">
        <v>1</v>
      </c>
      <c r="G537" s="3" t="b">
        <v>0</v>
      </c>
      <c r="H537" s="3" t="inlineStr">
        <is>
          <t>O</t>
        </is>
      </c>
      <c r="I537" s="4" t="n">
        <v>44973</v>
      </c>
      <c r="J537" s="4" t="n">
        <v>45107</v>
      </c>
      <c r="K537" s="4" t="n">
        <v>45532</v>
      </c>
      <c r="L537" s="3" t="n">
        <v>1</v>
      </c>
      <c r="M537" s="3" t="n">
        <v>600000</v>
      </c>
      <c r="N537" s="3" t="n">
        <v>18</v>
      </c>
      <c r="O537" s="3" t="b">
        <v>0</v>
      </c>
      <c r="P537" s="3" t="b">
        <v>0</v>
      </c>
      <c r="Q537" s="3" t="n">
        <v>23021.91780821915</v>
      </c>
      <c r="R537" s="3" t="n">
        <v>125753.4246575343</v>
      </c>
      <c r="S537" s="3" t="n">
        <v>148775.3424657534</v>
      </c>
      <c r="T537" s="5">
        <f>IF(J537&lt;&gt;"",M537*N537/365/100*('Cashflow Projection'!$B$2-Investors!J537),0)</f>
        <v/>
      </c>
    </row>
    <row r="538">
      <c r="A538" s="3" t="inlineStr">
        <is>
          <t>ZGOF01</t>
        </is>
      </c>
      <c r="B538" s="3" t="inlineStr">
        <is>
          <t>Angela</t>
        </is>
      </c>
      <c r="C538" s="3" t="inlineStr">
        <is>
          <t>Goff</t>
        </is>
      </c>
      <c r="D538" s="3" t="inlineStr">
        <is>
          <t>Heron View</t>
        </is>
      </c>
      <c r="E538" s="3" t="inlineStr">
        <is>
          <t>HVO301</t>
        </is>
      </c>
      <c r="F538" s="3" t="b">
        <v>1</v>
      </c>
      <c r="G538" s="3" t="b">
        <v>0</v>
      </c>
      <c r="H538" s="3" t="inlineStr">
        <is>
          <t>O</t>
        </is>
      </c>
      <c r="I538" s="4" t="n">
        <v>45019</v>
      </c>
      <c r="J538" s="4" t="n">
        <v>45129</v>
      </c>
      <c r="K538" s="4" t="n">
        <v>45532</v>
      </c>
      <c r="L538" s="3" t="n">
        <v>3</v>
      </c>
      <c r="M538" s="3" t="n">
        <v>101260.27</v>
      </c>
      <c r="N538" s="3" t="n">
        <v>18</v>
      </c>
      <c r="O538" s="3" t="b">
        <v>0</v>
      </c>
      <c r="P538" s="3" t="b">
        <v>0</v>
      </c>
      <c r="Q538" s="3" t="n">
        <v>3276.39394164383</v>
      </c>
      <c r="R538" s="3" t="n">
        <v>20124.43831726028</v>
      </c>
      <c r="S538" s="3" t="n">
        <v>23400.83225890411</v>
      </c>
      <c r="T538" s="5">
        <f>IF(J538&lt;&gt;"",M538*N538/365/100*('Cashflow Projection'!$B$2-Investors!J538),0)</f>
        <v/>
      </c>
    </row>
    <row r="539">
      <c r="A539" s="3" t="inlineStr">
        <is>
          <t>ZLAM01</t>
        </is>
      </c>
      <c r="B539" s="3" t="inlineStr">
        <is>
          <t>Oswald Robert (Ossie)</t>
        </is>
      </c>
      <c r="C539" s="3" t="inlineStr">
        <is>
          <t>Lamb</t>
        </is>
      </c>
      <c r="D539" s="3" t="inlineStr">
        <is>
          <t>Heron View</t>
        </is>
      </c>
      <c r="E539" s="3" t="inlineStr">
        <is>
          <t>HVO301</t>
        </is>
      </c>
      <c r="F539" s="3" t="b">
        <v>1</v>
      </c>
      <c r="G539" s="3" t="b">
        <v>0</v>
      </c>
      <c r="H539" s="3" t="inlineStr">
        <is>
          <t>O</t>
        </is>
      </c>
      <c r="I539" s="4" t="n">
        <v>45077</v>
      </c>
      <c r="J539" s="4" t="n">
        <v>45252</v>
      </c>
      <c r="K539" s="4" t="n">
        <v>45532</v>
      </c>
      <c r="L539" s="3" t="n">
        <v>1</v>
      </c>
      <c r="M539" s="3" t="n">
        <v>200000</v>
      </c>
      <c r="N539" s="3" t="n">
        <v>14</v>
      </c>
      <c r="O539" s="3" t="b">
        <v>0</v>
      </c>
      <c r="P539" s="3" t="b">
        <v>0</v>
      </c>
      <c r="Q539" s="3" t="n">
        <v>10547.94520547942</v>
      </c>
      <c r="R539" s="3" t="n">
        <v>21479.45205479452</v>
      </c>
      <c r="S539" s="3" t="n">
        <v>32027.39726027394</v>
      </c>
      <c r="T539" s="5">
        <f>IF(J539&lt;&gt;"",M539*N539/365/100*('Cashflow Projection'!$B$2-Investors!J539),0)</f>
        <v/>
      </c>
    </row>
    <row r="540">
      <c r="A540" s="3" t="inlineStr">
        <is>
          <t>ZMAT04</t>
        </is>
      </c>
      <c r="B540" s="3" t="inlineStr">
        <is>
          <t>Mosweu Abraham Stephen</t>
        </is>
      </c>
      <c r="C540" s="3" t="inlineStr">
        <is>
          <t>Matang</t>
        </is>
      </c>
      <c r="D540" s="3" t="inlineStr">
        <is>
          <t>Heron View</t>
        </is>
      </c>
      <c r="E540" s="3" t="inlineStr">
        <is>
          <t>HVO301</t>
        </is>
      </c>
      <c r="F540" s="3" t="b">
        <v>1</v>
      </c>
      <c r="G540" s="3" t="b">
        <v>0</v>
      </c>
      <c r="H540" s="3" t="inlineStr">
        <is>
          <t>O</t>
        </is>
      </c>
      <c r="I540" s="4" t="n">
        <v>45146</v>
      </c>
      <c r="J540" s="4" t="n">
        <v>45273</v>
      </c>
      <c r="K540" s="4" t="n">
        <v>45532</v>
      </c>
      <c r="L540" s="3" t="n">
        <v>1</v>
      </c>
      <c r="M540" s="3" t="n">
        <v>100000</v>
      </c>
      <c r="N540" s="3" t="n">
        <v>14</v>
      </c>
      <c r="O540" s="3" t="b">
        <v>0</v>
      </c>
      <c r="P540" s="3" t="b">
        <v>0</v>
      </c>
      <c r="Q540" s="3" t="n">
        <v>3827.397260273965</v>
      </c>
      <c r="R540" s="3" t="n">
        <v>9934.246575342466</v>
      </c>
      <c r="S540" s="3" t="n">
        <v>13761.64383561643</v>
      </c>
      <c r="T540" s="5">
        <f>IF(J540&lt;&gt;"",M540*N540/365/100*('Cashflow Projection'!$B$2-Investors!J540),0)</f>
        <v/>
      </c>
    </row>
    <row r="541">
      <c r="A541" s="3" t="inlineStr">
        <is>
          <t>ZVAN08</t>
        </is>
      </c>
      <c r="B541" s="3" t="inlineStr">
        <is>
          <t>Andree-Lauren</t>
        </is>
      </c>
      <c r="C541" s="3" t="inlineStr">
        <is>
          <t>van der Mescht</t>
        </is>
      </c>
      <c r="D541" s="3" t="inlineStr">
        <is>
          <t>Heron View</t>
        </is>
      </c>
      <c r="E541" s="3" t="inlineStr">
        <is>
          <t>HVO301</t>
        </is>
      </c>
      <c r="F541" s="3" t="b">
        <v>1</v>
      </c>
      <c r="G541" s="3" t="b">
        <v>0</v>
      </c>
      <c r="H541" s="3" t="inlineStr">
        <is>
          <t>O</t>
        </is>
      </c>
      <c r="I541" s="4" t="n">
        <v>45097</v>
      </c>
      <c r="J541" s="4" t="n">
        <v>45259</v>
      </c>
      <c r="K541" s="4" t="n">
        <v>45532</v>
      </c>
      <c r="L541" s="3" t="n">
        <v>2</v>
      </c>
      <c r="M541" s="3" t="n">
        <v>115687.67</v>
      </c>
      <c r="N541" s="3" t="n">
        <v>14</v>
      </c>
      <c r="O541" s="3" t="b">
        <v>0</v>
      </c>
      <c r="P541" s="3" t="b">
        <v>0</v>
      </c>
      <c r="Q541" s="3" t="n">
        <v>5648.093916164404</v>
      </c>
      <c r="R541" s="3" t="n">
        <v>12113.92533534246</v>
      </c>
      <c r="S541" s="3" t="n">
        <v>17762.01925150687</v>
      </c>
      <c r="T541" s="5">
        <f>IF(J541&lt;&gt;"",M541*N541/365/100*('Cashflow Projection'!$B$2-Investors!J541),0)</f>
        <v/>
      </c>
    </row>
    <row r="542">
      <c r="A542" s="3" t="inlineStr">
        <is>
          <t>ZLER02</t>
        </is>
      </c>
      <c r="B542" s="3" t="inlineStr">
        <is>
          <t>Jacques</t>
        </is>
      </c>
      <c r="C542" s="3" t="inlineStr">
        <is>
          <t>le Roux</t>
        </is>
      </c>
      <c r="D542" s="3" t="inlineStr">
        <is>
          <t>Heron View</t>
        </is>
      </c>
      <c r="E542" s="3" t="inlineStr">
        <is>
          <t>HVO302</t>
        </is>
      </c>
      <c r="F542" s="3" t="b">
        <v>0</v>
      </c>
      <c r="G542" s="3" t="b">
        <v>0</v>
      </c>
      <c r="H542" s="3" t="inlineStr">
        <is>
          <t>O</t>
        </is>
      </c>
      <c r="I542" s="4" t="n">
        <v>45033</v>
      </c>
      <c r="J542" s="4" t="n">
        <v>45129</v>
      </c>
      <c r="K542" s="4" t="n">
        <v>45518</v>
      </c>
      <c r="L542" s="3" t="n">
        <v>1</v>
      </c>
      <c r="M542" s="3" t="n">
        <v>100000</v>
      </c>
      <c r="N542" s="3" t="n">
        <v>14</v>
      </c>
      <c r="O542" s="3" t="b">
        <v>0</v>
      </c>
      <c r="P542" s="3" t="b">
        <v>0</v>
      </c>
      <c r="Q542" s="3" t="n">
        <v>2832.876712328763</v>
      </c>
      <c r="R542" s="3" t="n">
        <v>14920.54794520548</v>
      </c>
      <c r="S542" s="3" t="n">
        <v>17753.42465753424</v>
      </c>
      <c r="T542" s="5">
        <f>IF(J542&lt;&gt;"",M542*N542/365/100*('Cashflow Projection'!$B$2-Investors!J542),0)</f>
        <v/>
      </c>
    </row>
    <row r="543">
      <c r="A543" s="3" t="inlineStr">
        <is>
          <t>ZPED01</t>
        </is>
      </c>
      <c r="B543" s="3" t="inlineStr">
        <is>
          <t>Wendy</t>
        </is>
      </c>
      <c r="C543" s="3" t="inlineStr">
        <is>
          <t>Pedersen</t>
        </is>
      </c>
      <c r="D543" s="3" t="inlineStr">
        <is>
          <t>Heron View</t>
        </is>
      </c>
      <c r="E543" s="3" t="inlineStr">
        <is>
          <t>HVO302</t>
        </is>
      </c>
      <c r="F543" s="3" t="b">
        <v>0</v>
      </c>
      <c r="G543" s="3" t="b">
        <v>0</v>
      </c>
      <c r="H543" s="3" t="inlineStr">
        <is>
          <t>O</t>
        </is>
      </c>
      <c r="I543" s="4" t="n">
        <v>45027</v>
      </c>
      <c r="J543" s="4" t="n">
        <v>45129</v>
      </c>
      <c r="K543" s="4" t="n">
        <v>45518</v>
      </c>
      <c r="L543" s="3" t="n">
        <v>5</v>
      </c>
      <c r="M543" s="3" t="n">
        <v>111295.21</v>
      </c>
      <c r="N543" s="3" t="n">
        <v>18</v>
      </c>
      <c r="O543" s="3" t="b">
        <v>0</v>
      </c>
      <c r="P543" s="3" t="b">
        <v>0</v>
      </c>
      <c r="Q543" s="3" t="n">
        <v>3344.95466767124</v>
      </c>
      <c r="R543" s="3" t="n">
        <v>21350.3852169863</v>
      </c>
      <c r="S543" s="3" t="n">
        <v>24695.33988465754</v>
      </c>
      <c r="T543" s="5">
        <f>IF(J543&lt;&gt;"",M543*N543/365/100*('Cashflow Projection'!$B$2-Investors!J543),0)</f>
        <v/>
      </c>
    </row>
    <row r="544">
      <c r="A544" s="3" t="inlineStr">
        <is>
          <t>ZVIS03</t>
        </is>
      </c>
      <c r="B544" s="3" t="inlineStr">
        <is>
          <t>Anton Patrick</t>
        </is>
      </c>
      <c r="C544" s="3" t="inlineStr">
        <is>
          <t>Visser</t>
        </is>
      </c>
      <c r="D544" s="3" t="inlineStr">
        <is>
          <t>Heron View</t>
        </is>
      </c>
      <c r="E544" s="3" t="inlineStr">
        <is>
          <t>HVO302</t>
        </is>
      </c>
      <c r="F544" s="3" t="b">
        <v>0</v>
      </c>
      <c r="G544" s="3" t="b">
        <v>0</v>
      </c>
      <c r="H544" s="3" t="inlineStr">
        <is>
          <t>O</t>
        </is>
      </c>
      <c r="I544" s="4" t="n">
        <v>44992</v>
      </c>
      <c r="J544" s="4" t="n">
        <v>45107</v>
      </c>
      <c r="K544" s="4" t="n">
        <v>45518</v>
      </c>
      <c r="L544" s="3" t="n">
        <v>1</v>
      </c>
      <c r="M544" s="3" t="n">
        <v>900000</v>
      </c>
      <c r="N544" s="3" t="n">
        <v>16</v>
      </c>
      <c r="O544" s="3" t="b">
        <v>0</v>
      </c>
      <c r="P544" s="3" t="b">
        <v>0</v>
      </c>
      <c r="Q544" s="3" t="n">
        <v>29847.94520547947</v>
      </c>
      <c r="R544" s="3" t="n">
        <v>162147.9452054795</v>
      </c>
      <c r="S544" s="3" t="n">
        <v>191995.8904109589</v>
      </c>
      <c r="T544" s="5">
        <f>IF(J544&lt;&gt;"",M544*N544/365/100*('Cashflow Projection'!$B$2-Investors!J544),0)</f>
        <v/>
      </c>
    </row>
    <row r="545">
      <c r="A545" s="3" t="inlineStr">
        <is>
          <t>ZDEB01</t>
        </is>
      </c>
      <c r="B545" s="3" t="inlineStr">
        <is>
          <t>William Henry</t>
        </is>
      </c>
      <c r="C545" s="3" t="inlineStr">
        <is>
          <t>De Beer</t>
        </is>
      </c>
      <c r="D545" s="3" t="inlineStr">
        <is>
          <t>Heron View</t>
        </is>
      </c>
      <c r="E545" s="3" t="inlineStr">
        <is>
          <t>HVO303</t>
        </is>
      </c>
      <c r="F545" s="3" t="b">
        <v>1</v>
      </c>
      <c r="G545" s="3" t="b">
        <v>0</v>
      </c>
      <c r="H545" s="3" t="inlineStr">
        <is>
          <t>O</t>
        </is>
      </c>
      <c r="I545" s="4" t="n">
        <v>44979</v>
      </c>
      <c r="J545" s="4" t="n">
        <v>45107</v>
      </c>
      <c r="K545" s="4" t="n">
        <v>45518</v>
      </c>
      <c r="L545" s="3" t="n">
        <v>7</v>
      </c>
      <c r="M545" s="3" t="n">
        <v>1100000</v>
      </c>
      <c r="N545" s="3" t="n">
        <v>18</v>
      </c>
      <c r="O545" s="3" t="b">
        <v>0</v>
      </c>
      <c r="P545" s="3" t="b">
        <v>0</v>
      </c>
      <c r="Q545" s="3" t="n">
        <v>40398.63013698636</v>
      </c>
      <c r="R545" s="3" t="n">
        <v>222953.4246575343</v>
      </c>
      <c r="S545" s="3" t="n">
        <v>263352.0547945206</v>
      </c>
      <c r="T545" s="5">
        <f>IF(J545&lt;&gt;"",M545*N545/365/100*('Cashflow Projection'!$B$2-Investors!J545),0)</f>
        <v/>
      </c>
    </row>
    <row r="546">
      <c r="A546" s="3" t="inlineStr">
        <is>
          <t>ZJAN03</t>
        </is>
      </c>
      <c r="B546" s="3" t="inlineStr">
        <is>
          <t>Rudolph Johannes</t>
        </is>
      </c>
      <c r="C546" s="3" t="inlineStr">
        <is>
          <t>Jansen van Vuuren</t>
        </is>
      </c>
      <c r="D546" s="3" t="inlineStr">
        <is>
          <t>Heron View</t>
        </is>
      </c>
      <c r="E546" s="3" t="inlineStr">
        <is>
          <t>HVO304</t>
        </is>
      </c>
      <c r="F546" s="3" t="b">
        <v>0</v>
      </c>
      <c r="G546" s="3" t="b">
        <v>0</v>
      </c>
      <c r="H546" s="3" t="inlineStr">
        <is>
          <t>O</t>
        </is>
      </c>
      <c r="I546" s="4" t="n">
        <v>45097</v>
      </c>
      <c r="J546" s="4" t="n">
        <v>45259</v>
      </c>
      <c r="K546" s="4" t="n">
        <v>45546</v>
      </c>
      <c r="L546" s="3" t="n">
        <v>2</v>
      </c>
      <c r="M546" s="3" t="n">
        <v>119247.26</v>
      </c>
      <c r="N546" s="3" t="n">
        <v>14</v>
      </c>
      <c r="O546" s="3" t="b">
        <v>0</v>
      </c>
      <c r="P546" s="3" t="b">
        <v>0</v>
      </c>
      <c r="Q546" s="3" t="n">
        <v>5821.879926575351</v>
      </c>
      <c r="R546" s="3" t="n">
        <v>13126.99974465753</v>
      </c>
      <c r="S546" s="3" t="n">
        <v>18948.87967123288</v>
      </c>
      <c r="T546" s="5">
        <f>IF(J546&lt;&gt;"",M546*N546/365/100*('Cashflow Projection'!$B$2-Investors!J546),0)</f>
        <v/>
      </c>
    </row>
    <row r="547">
      <c r="A547" s="3" t="inlineStr">
        <is>
          <t>ZVIS02</t>
        </is>
      </c>
      <c r="B547" s="3" t="inlineStr">
        <is>
          <t>Jimke</t>
        </is>
      </c>
      <c r="C547" s="3" t="inlineStr">
        <is>
          <t>Visser</t>
        </is>
      </c>
      <c r="D547" s="3" t="inlineStr">
        <is>
          <t>Heron View</t>
        </is>
      </c>
      <c r="E547" s="3" t="inlineStr">
        <is>
          <t>HVO304</t>
        </is>
      </c>
      <c r="F547" s="3" t="b">
        <v>0</v>
      </c>
      <c r="G547" s="3" t="b">
        <v>0</v>
      </c>
      <c r="H547" s="3" t="inlineStr">
        <is>
          <t>O</t>
        </is>
      </c>
      <c r="I547" s="4" t="n">
        <v>45075</v>
      </c>
      <c r="J547" s="4" t="n">
        <v>45259</v>
      </c>
      <c r="K547" s="4" t="n">
        <v>45546</v>
      </c>
      <c r="L547" s="3" t="n">
        <v>3</v>
      </c>
      <c r="M547" s="3" t="n">
        <v>1000000</v>
      </c>
      <c r="N547" s="3" t="n">
        <v>18</v>
      </c>
      <c r="O547" s="3" t="b">
        <v>0</v>
      </c>
      <c r="P547" s="3" t="b">
        <v>0</v>
      </c>
      <c r="Q547" s="3" t="n">
        <v>55424.65753424662</v>
      </c>
      <c r="R547" s="3" t="n">
        <v>141534.2465753425</v>
      </c>
      <c r="S547" s="3" t="n">
        <v>196958.9041095891</v>
      </c>
      <c r="T547" s="5">
        <f>IF(J547&lt;&gt;"",M547*N547/365/100*('Cashflow Projection'!$B$2-Investors!J547),0)</f>
        <v/>
      </c>
    </row>
    <row r="548">
      <c r="A548" s="3" t="inlineStr">
        <is>
          <t>ZDEV01</t>
        </is>
      </c>
      <c r="B548" s="3" t="inlineStr">
        <is>
          <t>Andre Deric</t>
        </is>
      </c>
      <c r="C548" s="3" t="inlineStr">
        <is>
          <t>de Villiers</t>
        </is>
      </c>
      <c r="D548" s="3" t="inlineStr">
        <is>
          <t>Heron View</t>
        </is>
      </c>
      <c r="E548" s="3" t="inlineStr">
        <is>
          <t>HVO305</t>
        </is>
      </c>
      <c r="F548" s="3" t="b">
        <v>1</v>
      </c>
      <c r="G548" s="3" t="b">
        <v>0</v>
      </c>
      <c r="H548" s="3" t="inlineStr">
        <is>
          <t>O</t>
        </is>
      </c>
      <c r="I548" s="4" t="n">
        <v>44973</v>
      </c>
      <c r="J548" s="4" t="n">
        <v>45107</v>
      </c>
      <c r="K548" s="4" t="n">
        <v>45532</v>
      </c>
      <c r="L548" s="3" t="n">
        <v>2</v>
      </c>
      <c r="M548" s="3" t="n">
        <v>500000</v>
      </c>
      <c r="N548" s="3" t="n">
        <v>18</v>
      </c>
      <c r="O548" s="3" t="b">
        <v>0</v>
      </c>
      <c r="P548" s="3" t="b">
        <v>0</v>
      </c>
      <c r="Q548" s="3" t="n">
        <v>19184.93150684935</v>
      </c>
      <c r="R548" s="3" t="n">
        <v>104794.5205479452</v>
      </c>
      <c r="S548" s="3" t="n">
        <v>123979.4520547946</v>
      </c>
      <c r="T548" s="5">
        <f>IF(J548&lt;&gt;"",M548*N548/365/100*('Cashflow Projection'!$B$2-Investors!J548),0)</f>
        <v/>
      </c>
    </row>
    <row r="549">
      <c r="A549" s="3" t="inlineStr">
        <is>
          <t>ZFLA01</t>
        </is>
      </c>
      <c r="B549" s="3" t="inlineStr">
        <is>
          <t>Jose Manuel Rezende</t>
        </is>
      </c>
      <c r="C549" s="3" t="inlineStr">
        <is>
          <t>Flamengo</t>
        </is>
      </c>
      <c r="D549" s="3" t="inlineStr">
        <is>
          <t>Heron View</t>
        </is>
      </c>
      <c r="E549" s="3" t="inlineStr">
        <is>
          <t>HVO305</t>
        </is>
      </c>
      <c r="F549" s="3" t="b">
        <v>1</v>
      </c>
      <c r="G549" s="3" t="b">
        <v>0</v>
      </c>
      <c r="H549" s="3" t="inlineStr">
        <is>
          <t>O</t>
        </is>
      </c>
      <c r="I549" s="4" t="n">
        <v>45012</v>
      </c>
      <c r="J549" s="4" t="n">
        <v>45161</v>
      </c>
      <c r="K549" s="4" t="n">
        <v>45532</v>
      </c>
      <c r="L549" s="3" t="n">
        <v>2</v>
      </c>
      <c r="M549" s="3" t="n">
        <v>400000</v>
      </c>
      <c r="N549" s="3" t="n">
        <v>14</v>
      </c>
      <c r="O549" s="3" t="b">
        <v>0</v>
      </c>
      <c r="P549" s="3" t="b">
        <v>0</v>
      </c>
      <c r="Q549" s="3" t="n">
        <v>17583.56164383556</v>
      </c>
      <c r="R549" s="3" t="n">
        <v>56920.54794520547</v>
      </c>
      <c r="S549" s="3" t="n">
        <v>74504.10958904104</v>
      </c>
      <c r="T549" s="5">
        <f>IF(J549&lt;&gt;"",M549*N549/365/100*('Cashflow Projection'!$B$2-Investors!J549),0)</f>
        <v/>
      </c>
    </row>
    <row r="550">
      <c r="A550" s="3" t="inlineStr">
        <is>
          <t>ZLIN01</t>
        </is>
      </c>
      <c r="B550" s="3" t="inlineStr">
        <is>
          <t>Charmain</t>
        </is>
      </c>
      <c r="C550" s="3" t="inlineStr">
        <is>
          <t>Lines</t>
        </is>
      </c>
      <c r="D550" s="3" t="inlineStr">
        <is>
          <t>Heron View</t>
        </is>
      </c>
      <c r="E550" s="3" t="inlineStr">
        <is>
          <t>HVO305</t>
        </is>
      </c>
      <c r="F550" s="3" t="b">
        <v>1</v>
      </c>
      <c r="G550" s="3" t="b">
        <v>0</v>
      </c>
      <c r="H550" s="3" t="inlineStr">
        <is>
          <t>O</t>
        </is>
      </c>
      <c r="I550" s="4" t="n">
        <v>45030</v>
      </c>
      <c r="J550" s="4" t="n">
        <v>45129</v>
      </c>
      <c r="K550" s="4" t="n">
        <v>45532</v>
      </c>
      <c r="L550" s="3" t="n">
        <v>2</v>
      </c>
      <c r="M550" s="3" t="n">
        <v>118439.04</v>
      </c>
      <c r="N550" s="3" t="n">
        <v>14</v>
      </c>
      <c r="O550" s="3" t="b">
        <v>0</v>
      </c>
      <c r="P550" s="3" t="b">
        <v>0</v>
      </c>
      <c r="Q550" s="3" t="n">
        <v>3457.446496438361</v>
      </c>
      <c r="R550" s="3" t="n">
        <v>18307.75516931507</v>
      </c>
      <c r="S550" s="3" t="n">
        <v>21765.20166575343</v>
      </c>
      <c r="T550" s="5">
        <f>IF(J550&lt;&gt;"",M550*N550/365/100*('Cashflow Projection'!$B$2-Investors!J550),0)</f>
        <v/>
      </c>
    </row>
    <row r="551">
      <c r="A551" s="3" t="inlineStr">
        <is>
          <t>ZSOU02</t>
        </is>
      </c>
      <c r="B551" s="3" t="inlineStr">
        <is>
          <t>Frances Leathem</t>
        </is>
      </c>
      <c r="C551" s="3" t="inlineStr">
        <is>
          <t>Sourgen</t>
        </is>
      </c>
      <c r="D551" s="3" t="inlineStr">
        <is>
          <t>Heron View</t>
        </is>
      </c>
      <c r="E551" s="3" t="inlineStr">
        <is>
          <t>HVO305</t>
        </is>
      </c>
      <c r="F551" s="3" t="b">
        <v>1</v>
      </c>
      <c r="G551" s="3" t="b">
        <v>0</v>
      </c>
      <c r="H551" s="3" t="inlineStr">
        <is>
          <t>O</t>
        </is>
      </c>
      <c r="I551" s="4" t="n">
        <v>45033</v>
      </c>
      <c r="J551" s="4" t="n">
        <v>45161</v>
      </c>
      <c r="K551" s="4" t="n">
        <v>45532</v>
      </c>
      <c r="L551" s="3" t="n">
        <v>2</v>
      </c>
      <c r="M551" s="3" t="n">
        <v>100000</v>
      </c>
      <c r="N551" s="3" t="n">
        <v>14</v>
      </c>
      <c r="O551" s="3" t="b">
        <v>0</v>
      </c>
      <c r="P551" s="3" t="b">
        <v>0</v>
      </c>
      <c r="Q551" s="3" t="n">
        <v>3797.260273972593</v>
      </c>
      <c r="R551" s="3" t="n">
        <v>14230.13698630137</v>
      </c>
      <c r="S551" s="3" t="n">
        <v>18027.39726027396</v>
      </c>
      <c r="T551" s="5">
        <f>IF(J551&lt;&gt;"",M551*N551/365/100*('Cashflow Projection'!$B$2-Investors!J551),0)</f>
        <v/>
      </c>
    </row>
    <row r="552">
      <c r="A552" s="3" t="inlineStr">
        <is>
          <t>ZFER02</t>
        </is>
      </c>
      <c r="B552" s="3" t="inlineStr">
        <is>
          <t>Olga Maria</t>
        </is>
      </c>
      <c r="C552" s="3" t="inlineStr">
        <is>
          <t>Fernandes</t>
        </is>
      </c>
      <c r="D552" s="3" t="inlineStr">
        <is>
          <t>Heron View</t>
        </is>
      </c>
      <c r="E552" s="3" t="inlineStr">
        <is>
          <t>HVP101</t>
        </is>
      </c>
      <c r="F552" s="3" t="b">
        <v>1</v>
      </c>
      <c r="G552" s="3" t="b">
        <v>1</v>
      </c>
      <c r="H552" s="3" t="inlineStr">
        <is>
          <t>P</t>
        </is>
      </c>
      <c r="I552" s="4" t="n">
        <v>44778</v>
      </c>
      <c r="J552" s="4" t="n">
        <v>44791</v>
      </c>
      <c r="K552" s="4" t="n">
        <v>45177</v>
      </c>
      <c r="L552" s="3" t="n">
        <v>1</v>
      </c>
      <c r="M552" s="3" t="n">
        <v>100000</v>
      </c>
      <c r="N552" s="3" t="n">
        <v>14</v>
      </c>
      <c r="O552" s="3" t="b">
        <v>0</v>
      </c>
      <c r="P552" s="3" t="b">
        <v>0</v>
      </c>
      <c r="Q552" s="3" t="n">
        <v>293.8356164383562</v>
      </c>
      <c r="R552" s="3" t="n">
        <v>14805.47945205479</v>
      </c>
      <c r="S552" s="3" t="n">
        <v>15099.31506849315</v>
      </c>
      <c r="T552" s="5">
        <f>IF(J552&lt;&gt;"",M552*N552/365/100*('Cashflow Projection'!$B$2-Investors!J552),0)</f>
        <v/>
      </c>
    </row>
    <row r="553">
      <c r="A553" s="3" t="inlineStr">
        <is>
          <t>ZJOR01</t>
        </is>
      </c>
      <c r="B553" s="3" t="inlineStr">
        <is>
          <t>Glen Rutherford</t>
        </is>
      </c>
      <c r="C553" s="3" t="inlineStr">
        <is>
          <t>Jordaan</t>
        </is>
      </c>
      <c r="D553" s="3" t="inlineStr">
        <is>
          <t>Heron View</t>
        </is>
      </c>
      <c r="E553" s="3" t="inlineStr">
        <is>
          <t>HVP101</t>
        </is>
      </c>
      <c r="F553" s="3" t="b">
        <v>1</v>
      </c>
      <c r="G553" s="3" t="b">
        <v>1</v>
      </c>
      <c r="H553" s="3" t="inlineStr">
        <is>
          <t>P</t>
        </is>
      </c>
      <c r="I553" s="4" t="n">
        <v>44803</v>
      </c>
      <c r="J553" s="4" t="n">
        <v>44833</v>
      </c>
      <c r="K553" s="4" t="n">
        <v>45177</v>
      </c>
      <c r="L553" s="3" t="n">
        <v>3</v>
      </c>
      <c r="M553" s="3" t="n">
        <v>300000</v>
      </c>
      <c r="N553" s="3" t="n">
        <v>18</v>
      </c>
      <c r="O553" s="3" t="b">
        <v>0</v>
      </c>
      <c r="P553" s="3" t="b">
        <v>0</v>
      </c>
      <c r="Q553" s="3" t="n">
        <v>2034.246575342467</v>
      </c>
      <c r="R553" s="3" t="n">
        <v>50893.1506849315</v>
      </c>
      <c r="S553" s="3" t="n">
        <v>52927.39726027397</v>
      </c>
      <c r="T553" s="5">
        <f>IF(J553&lt;&gt;"",M553*N553/365/100*('Cashflow Projection'!$B$2-Investors!J553),0)</f>
        <v/>
      </c>
    </row>
    <row r="554">
      <c r="A554" s="3" t="inlineStr">
        <is>
          <t>ZKRU01</t>
        </is>
      </c>
      <c r="B554" s="3" t="inlineStr">
        <is>
          <t>Jurgen</t>
        </is>
      </c>
      <c r="C554" s="3" t="inlineStr">
        <is>
          <t>Kruger</t>
        </is>
      </c>
      <c r="D554" s="3" t="inlineStr">
        <is>
          <t>Heron View</t>
        </is>
      </c>
      <c r="E554" s="3" t="inlineStr">
        <is>
          <t>HVP101</t>
        </is>
      </c>
      <c r="F554" s="3" t="b">
        <v>1</v>
      </c>
      <c r="G554" s="3" t="b">
        <v>1</v>
      </c>
      <c r="H554" s="3" t="inlineStr">
        <is>
          <t>P</t>
        </is>
      </c>
      <c r="I554" s="4" t="n">
        <v>44803</v>
      </c>
      <c r="J554" s="4" t="n">
        <v>44819</v>
      </c>
      <c r="K554" s="4" t="n">
        <v>45177</v>
      </c>
      <c r="L554" s="3" t="n">
        <v>6</v>
      </c>
      <c r="M554" s="3" t="n">
        <v>500000</v>
      </c>
      <c r="N554" s="3" t="n">
        <v>18</v>
      </c>
      <c r="O554" s="3" t="b">
        <v>0</v>
      </c>
      <c r="P554" s="3" t="b">
        <v>0</v>
      </c>
      <c r="Q554" s="3" t="n">
        <v>1808.219178082192</v>
      </c>
      <c r="R554" s="3" t="n">
        <v>88273.97260273973</v>
      </c>
      <c r="S554" s="3" t="n">
        <v>90082.19178082192</v>
      </c>
      <c r="T554" s="5">
        <f>IF(J554&lt;&gt;"",M554*N554/365/100*('Cashflow Projection'!$B$2-Investors!J554),0)</f>
        <v/>
      </c>
    </row>
    <row r="555">
      <c r="A555" s="3" t="inlineStr">
        <is>
          <t>ZTHA01</t>
        </is>
      </c>
      <c r="B555" s="3" t="inlineStr">
        <is>
          <t>Gerald Adriaan Odendal</t>
        </is>
      </c>
      <c r="C555" s="3" t="inlineStr">
        <is>
          <t>Matthee</t>
        </is>
      </c>
      <c r="D555" s="3" t="inlineStr">
        <is>
          <t>Heron View</t>
        </is>
      </c>
      <c r="E555" s="3" t="inlineStr">
        <is>
          <t>HVP101</t>
        </is>
      </c>
      <c r="F555" s="3" t="b">
        <v>1</v>
      </c>
      <c r="G555" s="3" t="b">
        <v>1</v>
      </c>
      <c r="H555" s="3" t="inlineStr">
        <is>
          <t>P</t>
        </is>
      </c>
      <c r="I555" s="4" t="n">
        <v>44784</v>
      </c>
      <c r="J555" s="4" t="n">
        <v>44798</v>
      </c>
      <c r="K555" s="4" t="n">
        <v>45177</v>
      </c>
      <c r="L555" s="3" t="n">
        <v>1</v>
      </c>
      <c r="M555" s="3" t="n">
        <v>100000</v>
      </c>
      <c r="N555" s="3" t="n">
        <v>14</v>
      </c>
      <c r="O555" s="3" t="b">
        <v>0</v>
      </c>
      <c r="P555" s="3" t="b">
        <v>0</v>
      </c>
      <c r="Q555" s="3" t="n">
        <v>316.4383561643836</v>
      </c>
      <c r="R555" s="3" t="n">
        <v>14536.98630136986</v>
      </c>
      <c r="S555" s="3" t="n">
        <v>14853.42465753425</v>
      </c>
      <c r="T555" s="5">
        <f>IF(J555&lt;&gt;"",M555*N555/365/100*('Cashflow Projection'!$B$2-Investors!J555),0)</f>
        <v/>
      </c>
    </row>
    <row r="556">
      <c r="A556" s="3" t="inlineStr">
        <is>
          <t>ZVER02</t>
        </is>
      </c>
      <c r="B556" s="3" t="inlineStr">
        <is>
          <t>Jean-Jacques EP</t>
        </is>
      </c>
      <c r="C556" s="3" t="inlineStr">
        <is>
          <t>Verhaeghe</t>
        </is>
      </c>
      <c r="D556" s="3" t="inlineStr">
        <is>
          <t>Heron View</t>
        </is>
      </c>
      <c r="E556" s="3" t="inlineStr">
        <is>
          <t>HVP101</t>
        </is>
      </c>
      <c r="F556" s="3" t="b">
        <v>1</v>
      </c>
      <c r="G556" s="3" t="b">
        <v>1</v>
      </c>
      <c r="H556" s="3" t="inlineStr">
        <is>
          <t>P</t>
        </is>
      </c>
      <c r="I556" s="4" t="n">
        <v>44769</v>
      </c>
      <c r="J556" s="4" t="n">
        <v>44791</v>
      </c>
      <c r="K556" s="4" t="n">
        <v>45177</v>
      </c>
      <c r="L556" s="3" t="n">
        <v>4</v>
      </c>
      <c r="M556" s="3" t="n">
        <v>100000</v>
      </c>
      <c r="N556" s="3" t="n">
        <v>14</v>
      </c>
      <c r="O556" s="3" t="b">
        <v>0</v>
      </c>
      <c r="P556" s="3" t="b">
        <v>0</v>
      </c>
      <c r="Q556" s="3" t="n">
        <v>489.0410958904108</v>
      </c>
      <c r="R556" s="3" t="n">
        <v>14805.47945205479</v>
      </c>
      <c r="S556" s="3" t="n">
        <v>15294.5205479452</v>
      </c>
      <c r="T556" s="5">
        <f>IF(J556&lt;&gt;"",M556*N556/365/100*('Cashflow Projection'!$B$2-Investors!J556),0)</f>
        <v/>
      </c>
    </row>
    <row r="557">
      <c r="A557" s="3" t="inlineStr">
        <is>
          <t>ZHUM01</t>
        </is>
      </c>
      <c r="B557" s="3" t="inlineStr">
        <is>
          <t>Tralee Joan</t>
        </is>
      </c>
      <c r="C557" s="3" t="inlineStr">
        <is>
          <t>Human</t>
        </is>
      </c>
      <c r="D557" s="3" t="inlineStr">
        <is>
          <t>Heron View</t>
        </is>
      </c>
      <c r="E557" s="3" t="inlineStr">
        <is>
          <t>HVP102</t>
        </is>
      </c>
      <c r="F557" s="3" t="b">
        <v>1</v>
      </c>
      <c r="G557" s="3" t="b">
        <v>1</v>
      </c>
      <c r="H557" s="3" t="inlineStr">
        <is>
          <t>P</t>
        </is>
      </c>
      <c r="I557" s="4" t="n">
        <v>44791</v>
      </c>
      <c r="J557" s="4" t="n">
        <v>44840</v>
      </c>
      <c r="K557" s="4" t="n">
        <v>45177</v>
      </c>
      <c r="L557" s="3" t="n">
        <v>1</v>
      </c>
      <c r="M557" s="3" t="n">
        <v>100000</v>
      </c>
      <c r="N557" s="3" t="n">
        <v>14</v>
      </c>
      <c r="O557" s="3" t="b">
        <v>0</v>
      </c>
      <c r="P557" s="3" t="b">
        <v>0</v>
      </c>
      <c r="Q557" s="3" t="n">
        <v>1119.86301369863</v>
      </c>
      <c r="R557" s="3" t="n">
        <v>12926.02739726027</v>
      </c>
      <c r="S557" s="3" t="n">
        <v>14045.8904109589</v>
      </c>
      <c r="T557" s="5">
        <f>IF(J557&lt;&gt;"",M557*N557/365/100*('Cashflow Projection'!$B$2-Investors!J557),0)</f>
        <v/>
      </c>
    </row>
    <row r="558">
      <c r="A558" s="3" t="inlineStr">
        <is>
          <t>ZJEN02</t>
        </is>
      </c>
      <c r="B558" s="3" t="inlineStr">
        <is>
          <t>Andrew Bowden</t>
        </is>
      </c>
      <c r="C558" s="3" t="inlineStr">
        <is>
          <t>Jennings</t>
        </is>
      </c>
      <c r="D558" s="3" t="inlineStr">
        <is>
          <t>Heron View</t>
        </is>
      </c>
      <c r="E558" s="3" t="inlineStr">
        <is>
          <t>HVP102</t>
        </is>
      </c>
      <c r="F558" s="3" t="b">
        <v>1</v>
      </c>
      <c r="G558" s="3" t="b">
        <v>1</v>
      </c>
      <c r="H558" s="3" t="inlineStr">
        <is>
          <t>P</t>
        </is>
      </c>
      <c r="I558" s="4" t="n">
        <v>44785</v>
      </c>
      <c r="J558" s="4" t="n">
        <v>44833</v>
      </c>
      <c r="K558" s="4" t="n">
        <v>45177</v>
      </c>
      <c r="L558" s="3" t="n">
        <v>1</v>
      </c>
      <c r="M558" s="3" t="n">
        <v>1000000</v>
      </c>
      <c r="N558" s="3" t="n">
        <v>18</v>
      </c>
      <c r="O558" s="3" t="b">
        <v>0</v>
      </c>
      <c r="P558" s="3" t="b">
        <v>0</v>
      </c>
      <c r="Q558" s="3" t="n">
        <v>10849.31506849314</v>
      </c>
      <c r="R558" s="3" t="n">
        <v>169643.8356164384</v>
      </c>
      <c r="S558" s="3" t="n">
        <v>180493.1506849315</v>
      </c>
      <c r="T558" s="5">
        <f>IF(J558&lt;&gt;"",M558*N558/365/100*('Cashflow Projection'!$B$2-Investors!J558),0)</f>
        <v/>
      </c>
    </row>
    <row r="559">
      <c r="A559" s="3" t="inlineStr">
        <is>
          <t>ZZEE01</t>
        </is>
      </c>
      <c r="B559" s="3" t="inlineStr">
        <is>
          <t>Michael Christiaan</t>
        </is>
      </c>
      <c r="C559" s="3" t="inlineStr">
        <is>
          <t>Zeeman</t>
        </is>
      </c>
      <c r="D559" s="3" t="inlineStr">
        <is>
          <t>Heron View</t>
        </is>
      </c>
      <c r="E559" s="3" t="inlineStr">
        <is>
          <t>HVP103</t>
        </is>
      </c>
      <c r="F559" s="3" t="b">
        <v>1</v>
      </c>
      <c r="G559" s="3" t="b">
        <v>1</v>
      </c>
      <c r="H559" s="3" t="inlineStr">
        <is>
          <t>P</t>
        </is>
      </c>
      <c r="I559" s="4" t="n">
        <v>44796</v>
      </c>
      <c r="J559" s="4" t="n">
        <v>44833</v>
      </c>
      <c r="K559" s="4" t="n">
        <v>45177</v>
      </c>
      <c r="L559" s="3" t="n">
        <v>1</v>
      </c>
      <c r="M559" s="3" t="n">
        <v>1100000</v>
      </c>
      <c r="N559" s="3" t="n">
        <v>18</v>
      </c>
      <c r="O559" s="3" t="b">
        <v>0</v>
      </c>
      <c r="P559" s="3" t="b">
        <v>0</v>
      </c>
      <c r="Q559" s="3" t="n">
        <v>9199.31506849315</v>
      </c>
      <c r="R559" s="3" t="n">
        <v>186608.2191780822</v>
      </c>
      <c r="S559" s="3" t="n">
        <v>195807.5342465754</v>
      </c>
      <c r="T559" s="5">
        <f>IF(J559&lt;&gt;"",M559*N559/365/100*('Cashflow Projection'!$B$2-Investors!J559),0)</f>
        <v/>
      </c>
    </row>
    <row r="560">
      <c r="A560" s="3" t="inlineStr">
        <is>
          <t>ZBAL02</t>
        </is>
      </c>
      <c r="B560" s="3" t="inlineStr">
        <is>
          <t>Shaheda</t>
        </is>
      </c>
      <c r="C560" s="3" t="inlineStr">
        <is>
          <t>Ballim</t>
        </is>
      </c>
      <c r="D560" s="3" t="inlineStr">
        <is>
          <t>Heron View</t>
        </is>
      </c>
      <c r="E560" s="3" t="inlineStr">
        <is>
          <t>HVP201</t>
        </is>
      </c>
      <c r="F560" s="3" t="b">
        <v>1</v>
      </c>
      <c r="G560" s="3" t="b">
        <v>1</v>
      </c>
      <c r="H560" s="3" t="inlineStr">
        <is>
          <t>P</t>
        </is>
      </c>
      <c r="I560" s="4" t="n">
        <v>44839</v>
      </c>
      <c r="J560" s="4" t="n">
        <v>44861</v>
      </c>
      <c r="K560" s="4" t="n">
        <v>45462</v>
      </c>
      <c r="L560" s="3" t="n">
        <v>1</v>
      </c>
      <c r="M560" s="3" t="n">
        <v>100000</v>
      </c>
      <c r="N560" s="3" t="n">
        <v>14</v>
      </c>
      <c r="O560" s="3" t="b">
        <v>0</v>
      </c>
      <c r="P560" s="3" t="b">
        <v>0</v>
      </c>
      <c r="Q560" s="3" t="n">
        <v>542.4657534246574</v>
      </c>
      <c r="R560" s="3" t="n">
        <v>23052.05479452055</v>
      </c>
      <c r="S560" s="3" t="n">
        <v>23594.52054794521</v>
      </c>
      <c r="T560" s="5">
        <f>IF(J560&lt;&gt;"",M560*N560/365/100*('Cashflow Projection'!$B$2-Investors!J560),0)</f>
        <v/>
      </c>
    </row>
    <row r="561">
      <c r="A561" s="3" t="inlineStr">
        <is>
          <t>ZDEF01</t>
        </is>
      </c>
      <c r="B561" s="3" t="inlineStr">
        <is>
          <t>Allan</t>
        </is>
      </c>
      <c r="C561" s="3" t="inlineStr">
        <is>
          <t>de Freitas</t>
        </is>
      </c>
      <c r="D561" s="3" t="inlineStr">
        <is>
          <t>Heron View</t>
        </is>
      </c>
      <c r="E561" s="3" t="inlineStr">
        <is>
          <t>HVP201</t>
        </is>
      </c>
      <c r="F561" s="3" t="b">
        <v>1</v>
      </c>
      <c r="G561" s="3" t="b">
        <v>1</v>
      </c>
      <c r="H561" s="3" t="inlineStr">
        <is>
          <t>P</t>
        </is>
      </c>
      <c r="I561" s="4" t="n">
        <v>44823</v>
      </c>
      <c r="J561" s="4" t="n">
        <v>44848</v>
      </c>
      <c r="K561" s="4" t="n">
        <v>45462</v>
      </c>
      <c r="L561" s="3" t="n">
        <v>1</v>
      </c>
      <c r="M561" s="3" t="n">
        <v>200000</v>
      </c>
      <c r="N561" s="3" t="n">
        <v>14</v>
      </c>
      <c r="O561" s="3" t="b">
        <v>0</v>
      </c>
      <c r="P561" s="3" t="b">
        <v>0</v>
      </c>
      <c r="Q561" s="3" t="n">
        <v>1187.671232876712</v>
      </c>
      <c r="R561" s="3" t="n">
        <v>47101.36986301369</v>
      </c>
      <c r="S561" s="3" t="n">
        <v>48289.0410958904</v>
      </c>
      <c r="T561" s="5">
        <f>IF(J561&lt;&gt;"",M561*N561/365/100*('Cashflow Projection'!$B$2-Investors!J561),0)</f>
        <v/>
      </c>
    </row>
    <row r="562">
      <c r="A562" s="3" t="inlineStr">
        <is>
          <t>ZJAN05</t>
        </is>
      </c>
      <c r="B562" s="3" t="inlineStr">
        <is>
          <t>Gerda</t>
        </is>
      </c>
      <c r="C562" s="3" t="inlineStr">
        <is>
          <t>Janse van Rensburg</t>
        </is>
      </c>
      <c r="D562" s="3" t="inlineStr">
        <is>
          <t>Heron View</t>
        </is>
      </c>
      <c r="E562" s="3" t="inlineStr">
        <is>
          <t>HVP201</t>
        </is>
      </c>
      <c r="F562" s="3" t="b">
        <v>1</v>
      </c>
      <c r="G562" s="3" t="b">
        <v>1</v>
      </c>
      <c r="H562" s="3" t="inlineStr">
        <is>
          <t>P</t>
        </is>
      </c>
      <c r="I562" s="4" t="n">
        <v>44833</v>
      </c>
      <c r="J562" s="4" t="n">
        <v>44861</v>
      </c>
      <c r="K562" s="4" t="n">
        <v>45462</v>
      </c>
      <c r="L562" s="3" t="n">
        <v>1</v>
      </c>
      <c r="M562" s="3" t="n">
        <v>100000</v>
      </c>
      <c r="N562" s="3" t="n">
        <v>14</v>
      </c>
      <c r="O562" s="3" t="b">
        <v>0</v>
      </c>
      <c r="P562" s="3" t="b">
        <v>0</v>
      </c>
      <c r="Q562" s="3" t="n">
        <v>688.3561643835613</v>
      </c>
      <c r="R562" s="3" t="n">
        <v>23052.05479452055</v>
      </c>
      <c r="S562" s="3" t="n">
        <v>23740.41095890411</v>
      </c>
      <c r="T562" s="5">
        <f>IF(J562&lt;&gt;"",M562*N562/365/100*('Cashflow Projection'!$B$2-Investors!J562),0)</f>
        <v/>
      </c>
    </row>
    <row r="563">
      <c r="A563" s="3" t="inlineStr">
        <is>
          <t>ZNUN01</t>
        </is>
      </c>
      <c r="B563" s="3" t="inlineStr">
        <is>
          <t>Francisco Antonio</t>
        </is>
      </c>
      <c r="C563" s="3" t="inlineStr">
        <is>
          <t>Nunes</t>
        </is>
      </c>
      <c r="D563" s="3" t="inlineStr">
        <is>
          <t>Heron View</t>
        </is>
      </c>
      <c r="E563" s="3" t="inlineStr">
        <is>
          <t>HVP201</t>
        </is>
      </c>
      <c r="F563" s="3" t="b">
        <v>1</v>
      </c>
      <c r="G563" s="3" t="b">
        <v>1</v>
      </c>
      <c r="H563" s="3" t="inlineStr">
        <is>
          <t>P</t>
        </is>
      </c>
      <c r="I563" s="4" t="n">
        <v>44806</v>
      </c>
      <c r="J563" s="4" t="n">
        <v>44826</v>
      </c>
      <c r="K563" s="4" t="n">
        <v>45462</v>
      </c>
      <c r="L563" s="3" t="n">
        <v>5</v>
      </c>
      <c r="M563" s="3" t="n">
        <v>200000</v>
      </c>
      <c r="N563" s="3" t="n">
        <v>18</v>
      </c>
      <c r="O563" s="3" t="b">
        <v>0</v>
      </c>
      <c r="P563" s="3" t="b">
        <v>0</v>
      </c>
      <c r="Q563" s="3" t="n">
        <v>904.1095890410958</v>
      </c>
      <c r="R563" s="3" t="n">
        <v>62728.76712328767</v>
      </c>
      <c r="S563" s="3" t="n">
        <v>63632.87671232876</v>
      </c>
      <c r="T563" s="5">
        <f>IF(J563&lt;&gt;"",M563*N563/365/100*('Cashflow Projection'!$B$2-Investors!J563),0)</f>
        <v/>
      </c>
    </row>
    <row r="564">
      <c r="A564" s="3" t="inlineStr">
        <is>
          <t>ZZEE01</t>
        </is>
      </c>
      <c r="B564" s="3" t="inlineStr">
        <is>
          <t>Michael Christiaan</t>
        </is>
      </c>
      <c r="C564" s="3" t="inlineStr">
        <is>
          <t>Zeeman</t>
        </is>
      </c>
      <c r="D564" s="3" t="inlineStr">
        <is>
          <t>Heron View</t>
        </is>
      </c>
      <c r="E564" s="3" t="inlineStr">
        <is>
          <t>HVP201</t>
        </is>
      </c>
      <c r="F564" s="3" t="b">
        <v>1</v>
      </c>
      <c r="G564" s="3" t="b">
        <v>1</v>
      </c>
      <c r="H564" s="3" t="inlineStr">
        <is>
          <t>P</t>
        </is>
      </c>
      <c r="I564" s="4" t="n">
        <v>44796</v>
      </c>
      <c r="J564" s="4" t="n">
        <v>44826</v>
      </c>
      <c r="K564" s="4" t="n">
        <v>45462</v>
      </c>
      <c r="L564" s="3" t="n">
        <v>2</v>
      </c>
      <c r="M564" s="3" t="n">
        <v>500000</v>
      </c>
      <c r="N564" s="3" t="n">
        <v>18</v>
      </c>
      <c r="O564" s="3" t="b">
        <v>0</v>
      </c>
      <c r="P564" s="3" t="b">
        <v>0</v>
      </c>
      <c r="Q564" s="3" t="n">
        <v>3390.410958904108</v>
      </c>
      <c r="R564" s="3" t="n">
        <v>156821.9178082192</v>
      </c>
      <c r="S564" s="3" t="n">
        <v>160212.3287671233</v>
      </c>
      <c r="T564" s="5">
        <f>IF(J564&lt;&gt;"",M564*N564/365/100*('Cashflow Projection'!$B$2-Investors!J564),0)</f>
        <v/>
      </c>
    </row>
    <row r="565">
      <c r="A565" s="3" t="inlineStr">
        <is>
          <t>ZBUR01</t>
        </is>
      </c>
      <c r="B565" s="3" t="inlineStr">
        <is>
          <t>Barend Frederik</t>
        </is>
      </c>
      <c r="C565" s="3" t="inlineStr">
        <is>
          <t>Burger</t>
        </is>
      </c>
      <c r="D565" s="3" t="inlineStr">
        <is>
          <t>Heron View</t>
        </is>
      </c>
      <c r="E565" s="3" t="inlineStr">
        <is>
          <t>HVP202</t>
        </is>
      </c>
      <c r="F565" s="3" t="b">
        <v>1</v>
      </c>
      <c r="G565" s="3" t="b">
        <v>1</v>
      </c>
      <c r="H565" s="3" t="inlineStr">
        <is>
          <t>P</t>
        </is>
      </c>
      <c r="I565" s="4" t="n">
        <v>45000</v>
      </c>
      <c r="J565" s="4" t="n">
        <v>45107</v>
      </c>
      <c r="K565" s="4" t="n">
        <v>45191</v>
      </c>
      <c r="L565" s="3" t="n">
        <v>2</v>
      </c>
      <c r="M565" s="3" t="n">
        <v>200000</v>
      </c>
      <c r="N565" s="3" t="n">
        <v>14</v>
      </c>
      <c r="O565" s="3" t="b">
        <v>0</v>
      </c>
      <c r="P565" s="3" t="b">
        <v>0</v>
      </c>
      <c r="Q565" s="3" t="n">
        <v>6194.520547945195</v>
      </c>
      <c r="R565" s="3" t="n">
        <v>6443.835616438356</v>
      </c>
      <c r="S565" s="3" t="n">
        <v>12638.35616438355</v>
      </c>
      <c r="T565" s="5">
        <f>IF(J565&lt;&gt;"",M565*N565/365/100*('Cashflow Projection'!$B$2-Investors!J565),0)</f>
        <v/>
      </c>
    </row>
    <row r="566">
      <c r="A566" s="3" t="inlineStr">
        <is>
          <t>ZCRO01</t>
        </is>
      </c>
      <c r="B566" s="3" t="inlineStr">
        <is>
          <t>Marc</t>
        </is>
      </c>
      <c r="C566" s="3" t="inlineStr">
        <is>
          <t>Lunau</t>
        </is>
      </c>
      <c r="D566" s="3" t="inlineStr">
        <is>
          <t>Heron View</t>
        </is>
      </c>
      <c r="E566" s="3" t="inlineStr">
        <is>
          <t>HVP202</t>
        </is>
      </c>
      <c r="F566" s="3" t="b">
        <v>1</v>
      </c>
      <c r="G566" s="3" t="b">
        <v>1</v>
      </c>
      <c r="H566" s="3" t="inlineStr">
        <is>
          <t>P</t>
        </is>
      </c>
      <c r="I566" s="4" t="n">
        <v>45002</v>
      </c>
      <c r="J566" s="4" t="n">
        <v>45107</v>
      </c>
      <c r="K566" s="4" t="n">
        <v>45191</v>
      </c>
      <c r="L566" s="3" t="n">
        <v>15</v>
      </c>
      <c r="M566" s="3" t="n">
        <v>110000</v>
      </c>
      <c r="N566" s="3" t="n">
        <v>18</v>
      </c>
      <c r="O566" s="3" t="b">
        <v>0</v>
      </c>
      <c r="P566" s="3" t="b">
        <v>0</v>
      </c>
      <c r="Q566" s="3" t="n">
        <v>3346.712328767125</v>
      </c>
      <c r="R566" s="3" t="n">
        <v>4556.712328767123</v>
      </c>
      <c r="S566" s="3" t="n">
        <v>7903.424657534248</v>
      </c>
      <c r="T566" s="5">
        <f>IF(J566&lt;&gt;"",M566*N566/365/100*('Cashflow Projection'!$B$2-Investors!J566),0)</f>
        <v/>
      </c>
    </row>
    <row r="567">
      <c r="A567" s="3" t="inlineStr">
        <is>
          <t>ZDUP04</t>
        </is>
      </c>
      <c r="B567" s="3" t="inlineStr">
        <is>
          <t>Emile</t>
        </is>
      </c>
      <c r="C567" s="3" t="inlineStr">
        <is>
          <t>du Plessis</t>
        </is>
      </c>
      <c r="D567" s="3" t="inlineStr">
        <is>
          <t>Heron View</t>
        </is>
      </c>
      <c r="E567" s="3" t="inlineStr">
        <is>
          <t>HVP202</t>
        </is>
      </c>
      <c r="F567" s="3" t="b">
        <v>1</v>
      </c>
      <c r="G567" s="3" t="b">
        <v>1</v>
      </c>
      <c r="H567" s="3" t="inlineStr">
        <is>
          <t>P</t>
        </is>
      </c>
      <c r="I567" s="4" t="n">
        <v>44839</v>
      </c>
      <c r="J567" s="4" t="n">
        <v>44868</v>
      </c>
      <c r="K567" s="4" t="n">
        <v>45191</v>
      </c>
      <c r="L567" s="3" t="n">
        <v>1</v>
      </c>
      <c r="M567" s="3" t="n">
        <v>100000</v>
      </c>
      <c r="N567" s="3" t="n">
        <v>14</v>
      </c>
      <c r="O567" s="3" t="b">
        <v>0</v>
      </c>
      <c r="P567" s="3" t="b">
        <v>0</v>
      </c>
      <c r="Q567" s="3" t="n">
        <v>715.0684931506846</v>
      </c>
      <c r="R567" s="3" t="n">
        <v>12389.04109589041</v>
      </c>
      <c r="S567" s="3" t="n">
        <v>13104.10958904109</v>
      </c>
      <c r="T567" s="5">
        <f>IF(J567&lt;&gt;"",M567*N567/365/100*('Cashflow Projection'!$B$2-Investors!J567),0)</f>
        <v/>
      </c>
    </row>
    <row r="568">
      <c r="A568" s="3" t="inlineStr">
        <is>
          <t>ZVAN10</t>
        </is>
      </c>
      <c r="B568" s="3" t="inlineStr">
        <is>
          <t>Wilhelm Johannes</t>
        </is>
      </c>
      <c r="C568" s="3" t="inlineStr">
        <is>
          <t>van der Merwe</t>
        </is>
      </c>
      <c r="D568" s="3" t="inlineStr">
        <is>
          <t>Heron View</t>
        </is>
      </c>
      <c r="E568" s="3" t="inlineStr">
        <is>
          <t>HVP202</t>
        </is>
      </c>
      <c r="F568" s="3" t="b">
        <v>1</v>
      </c>
      <c r="G568" s="3" t="b">
        <v>1</v>
      </c>
      <c r="H568" s="3" t="inlineStr">
        <is>
          <t>P</t>
        </is>
      </c>
      <c r="I568" s="4" t="n">
        <v>45000</v>
      </c>
      <c r="J568" s="4" t="n">
        <v>45107</v>
      </c>
      <c r="K568" s="4" t="n">
        <v>45191</v>
      </c>
      <c r="L568" s="3" t="n">
        <v>3</v>
      </c>
      <c r="M568" s="3" t="n">
        <v>700000</v>
      </c>
      <c r="N568" s="3" t="n">
        <v>18</v>
      </c>
      <c r="O568" s="3" t="b">
        <v>0</v>
      </c>
      <c r="P568" s="3" t="b">
        <v>0</v>
      </c>
      <c r="Q568" s="3" t="n">
        <v>21680.82191780824</v>
      </c>
      <c r="R568" s="3" t="n">
        <v>28997.26027397261</v>
      </c>
      <c r="S568" s="3" t="n">
        <v>50678.08219178085</v>
      </c>
      <c r="T568" s="5">
        <f>IF(J568&lt;&gt;"",M568*N568/365/100*('Cashflow Projection'!$B$2-Investors!J568),0)</f>
        <v/>
      </c>
    </row>
    <row r="569">
      <c r="A569" s="3" t="inlineStr">
        <is>
          <t>ZSON01</t>
        </is>
      </c>
      <c r="B569" s="3" t="inlineStr">
        <is>
          <t>Charles</t>
        </is>
      </c>
      <c r="C569" s="3" t="inlineStr">
        <is>
          <t>Maduna</t>
        </is>
      </c>
      <c r="D569" s="3" t="inlineStr">
        <is>
          <t>Heron View</t>
        </is>
      </c>
      <c r="E569" s="3" t="inlineStr">
        <is>
          <t>HVP203</t>
        </is>
      </c>
      <c r="F569" s="3" t="b">
        <v>0</v>
      </c>
      <c r="G569" s="3" t="b">
        <v>0</v>
      </c>
      <c r="H569" s="3" t="inlineStr">
        <is>
          <t>P</t>
        </is>
      </c>
      <c r="I569" s="4" t="n">
        <v>44791</v>
      </c>
      <c r="J569" s="4" t="n">
        <v>44833</v>
      </c>
      <c r="K569" s="4" t="n">
        <v>45533</v>
      </c>
      <c r="L569" s="3" t="n">
        <v>13</v>
      </c>
      <c r="M569" s="3" t="n">
        <v>1100000</v>
      </c>
      <c r="N569" s="3" t="n">
        <v>18</v>
      </c>
      <c r="O569" s="3" t="b">
        <v>0</v>
      </c>
      <c r="P569" s="3" t="b">
        <v>0</v>
      </c>
      <c r="Q569" s="3" t="n">
        <v>10442.46575342466</v>
      </c>
      <c r="R569" s="3" t="n">
        <v>379726.0273972603</v>
      </c>
      <c r="S569" s="3" t="n">
        <v>390168.493150685</v>
      </c>
      <c r="T569" s="5">
        <f>IF(J569&lt;&gt;"",M569*N569/365/100*('Cashflow Projection'!$B$2-Investors!J569),0)</f>
        <v/>
      </c>
    </row>
    <row r="570">
      <c r="A570" s="3" t="inlineStr">
        <is>
          <t>ZTRU01</t>
        </is>
      </c>
      <c r="B570" s="3" t="inlineStr">
        <is>
          <t>Cecil Ronald</t>
        </is>
      </c>
      <c r="C570" s="3" t="inlineStr">
        <is>
          <t>Truter</t>
        </is>
      </c>
      <c r="D570" s="3" t="inlineStr">
        <is>
          <t>Heron View</t>
        </is>
      </c>
      <c r="E570" s="3" t="inlineStr">
        <is>
          <t>HVP301</t>
        </is>
      </c>
      <c r="F570" s="3" t="b">
        <v>1</v>
      </c>
      <c r="G570" s="3" t="b">
        <v>1</v>
      </c>
      <c r="H570" s="3" t="inlineStr">
        <is>
          <t>P</t>
        </is>
      </c>
      <c r="I570" s="4" t="n">
        <v>44846</v>
      </c>
      <c r="J570" s="4" t="n">
        <v>44868</v>
      </c>
      <c r="K570" s="4" t="n">
        <v>45247</v>
      </c>
      <c r="L570" s="3" t="n">
        <v>2</v>
      </c>
      <c r="M570" s="3" t="n">
        <v>106405.48</v>
      </c>
      <c r="N570" s="3" t="n">
        <v>14</v>
      </c>
      <c r="O570" s="3" t="b">
        <v>0</v>
      </c>
      <c r="P570" s="3" t="b">
        <v>0</v>
      </c>
      <c r="Q570" s="3" t="n">
        <v>577.2132887671233</v>
      </c>
      <c r="R570" s="3" t="n">
        <v>15468.15005150685</v>
      </c>
      <c r="S570" s="3" t="n">
        <v>16045.36334027397</v>
      </c>
      <c r="T570" s="5">
        <f>IF(J570&lt;&gt;"",M570*N570/365/100*('Cashflow Projection'!$B$2-Investors!J570),0)</f>
        <v/>
      </c>
    </row>
    <row r="571">
      <c r="A571" s="3" t="inlineStr">
        <is>
          <t>ZVAN09</t>
        </is>
      </c>
      <c r="B571" s="3" t="inlineStr">
        <is>
          <t>Eugene Brandt</t>
        </is>
      </c>
      <c r="C571" s="3" t="inlineStr">
        <is>
          <t>van Zyl</t>
        </is>
      </c>
      <c r="D571" s="3" t="inlineStr">
        <is>
          <t>Heron View</t>
        </is>
      </c>
      <c r="E571" s="3" t="inlineStr">
        <is>
          <t>HVP301</t>
        </is>
      </c>
      <c r="F571" s="3" t="b">
        <v>1</v>
      </c>
      <c r="G571" s="3" t="b">
        <v>1</v>
      </c>
      <c r="H571" s="3" t="inlineStr">
        <is>
          <t>P</t>
        </is>
      </c>
      <c r="I571" s="4" t="n">
        <v>44811</v>
      </c>
      <c r="J571" s="4" t="n">
        <v>44833</v>
      </c>
      <c r="K571" s="4" t="n">
        <v>45247</v>
      </c>
      <c r="L571" s="3" t="n">
        <v>1</v>
      </c>
      <c r="M571" s="3" t="n">
        <v>1000000</v>
      </c>
      <c r="N571" s="3" t="n">
        <v>18</v>
      </c>
      <c r="O571" s="3" t="b">
        <v>0</v>
      </c>
      <c r="P571" s="3" t="b">
        <v>0</v>
      </c>
      <c r="Q571" s="3" t="n">
        <v>4972.602739726027</v>
      </c>
      <c r="R571" s="3" t="n">
        <v>204164.3835616439</v>
      </c>
      <c r="S571" s="3" t="n">
        <v>209136.9863013699</v>
      </c>
      <c r="T571" s="5">
        <f>IF(J571&lt;&gt;"",M571*N571/365/100*('Cashflow Projection'!$B$2-Investors!J571),0)</f>
        <v/>
      </c>
    </row>
    <row r="572">
      <c r="A572" s="3" t="inlineStr">
        <is>
          <t>ZAFR01</t>
        </is>
      </c>
      <c r="B572" s="3" t="inlineStr">
        <is>
          <t>John Robert</t>
        </is>
      </c>
      <c r="C572" s="3" t="inlineStr">
        <is>
          <t>Zylstra</t>
        </is>
      </c>
      <c r="D572" s="3" t="inlineStr">
        <is>
          <t>Heron View</t>
        </is>
      </c>
      <c r="E572" s="3" t="inlineStr">
        <is>
          <t>HVP302</t>
        </is>
      </c>
      <c r="F572" s="3" t="b">
        <v>1</v>
      </c>
      <c r="G572" s="3" t="b">
        <v>1</v>
      </c>
      <c r="H572" s="3" t="inlineStr">
        <is>
          <t>P</t>
        </is>
      </c>
      <c r="I572" s="4" t="n">
        <v>44851</v>
      </c>
      <c r="J572" s="4" t="n">
        <v>44889</v>
      </c>
      <c r="K572" s="4" t="n">
        <v>45271</v>
      </c>
      <c r="L572" s="3" t="n">
        <v>3</v>
      </c>
      <c r="M572" s="3" t="n">
        <v>264742.12</v>
      </c>
      <c r="N572" s="3" t="n">
        <v>18</v>
      </c>
      <c r="O572" s="3" t="b">
        <v>0</v>
      </c>
      <c r="P572" s="3" t="b">
        <v>0</v>
      </c>
      <c r="Q572" s="3" t="n">
        <v>2480.597398356166</v>
      </c>
      <c r="R572" s="3" t="n">
        <v>49873.06348273973</v>
      </c>
      <c r="S572" s="3" t="n">
        <v>52353.66088109589</v>
      </c>
      <c r="T572" s="5">
        <f>IF(J572&lt;&gt;"",M572*N572/365/100*('Cashflow Projection'!$B$2-Investors!J572),0)</f>
        <v/>
      </c>
    </row>
    <row r="573">
      <c r="A573" s="3" t="inlineStr">
        <is>
          <t>ZKRO01</t>
        </is>
      </c>
      <c r="B573" s="3" t="inlineStr">
        <is>
          <t>Frans</t>
        </is>
      </c>
      <c r="C573" s="3" t="inlineStr">
        <is>
          <t>van der Merwe</t>
        </is>
      </c>
      <c r="D573" s="3" t="inlineStr">
        <is>
          <t>Heron View</t>
        </is>
      </c>
      <c r="E573" s="3" t="inlineStr">
        <is>
          <t>HVP302</t>
        </is>
      </c>
      <c r="F573" s="3" t="b">
        <v>1</v>
      </c>
      <c r="G573" s="3" t="b">
        <v>1</v>
      </c>
      <c r="H573" s="3" t="inlineStr">
        <is>
          <t>P</t>
        </is>
      </c>
      <c r="I573" s="4" t="n">
        <v>44816</v>
      </c>
      <c r="J573" s="4" t="n">
        <v>44848</v>
      </c>
      <c r="K573" s="4" t="n">
        <v>45271</v>
      </c>
      <c r="L573" s="3" t="n">
        <v>2</v>
      </c>
      <c r="M573" s="3" t="n">
        <v>500000</v>
      </c>
      <c r="N573" s="3" t="n">
        <v>16</v>
      </c>
      <c r="O573" s="3" t="b">
        <v>0</v>
      </c>
      <c r="P573" s="3" t="b">
        <v>0</v>
      </c>
      <c r="Q573" s="3" t="n">
        <v>3760.273972602739</v>
      </c>
      <c r="R573" s="3" t="n">
        <v>92712.32876712328</v>
      </c>
      <c r="S573" s="3" t="n">
        <v>96472.60273972602</v>
      </c>
      <c r="T573" s="5">
        <f>IF(J573&lt;&gt;"",M573*N573/365/100*('Cashflow Projection'!$B$2-Investors!J573),0)</f>
        <v/>
      </c>
    </row>
    <row r="574">
      <c r="A574" s="3" t="inlineStr">
        <is>
          <t>ZNUN01</t>
        </is>
      </c>
      <c r="B574" s="3" t="inlineStr">
        <is>
          <t>Francisco Antonio</t>
        </is>
      </c>
      <c r="C574" s="3" t="inlineStr">
        <is>
          <t>Nunes</t>
        </is>
      </c>
      <c r="D574" s="3" t="inlineStr">
        <is>
          <t>Heron View</t>
        </is>
      </c>
      <c r="E574" s="3" t="inlineStr">
        <is>
          <t>HVP302</t>
        </is>
      </c>
      <c r="F574" s="3" t="b">
        <v>1</v>
      </c>
      <c r="G574" s="3" t="b">
        <v>1</v>
      </c>
      <c r="H574" s="3" t="inlineStr">
        <is>
          <t>P</t>
        </is>
      </c>
      <c r="I574" s="4" t="n">
        <v>44846</v>
      </c>
      <c r="J574" s="4" t="n">
        <v>44876</v>
      </c>
      <c r="K574" s="4" t="n">
        <v>45271</v>
      </c>
      <c r="L574" s="3" t="n">
        <v>6</v>
      </c>
      <c r="M574" s="3" t="n">
        <v>285996.58</v>
      </c>
      <c r="N574" s="3" t="n">
        <v>18</v>
      </c>
      <c r="O574" s="3" t="b">
        <v>0</v>
      </c>
      <c r="P574" s="3" t="b">
        <v>0</v>
      </c>
      <c r="Q574" s="3" t="n">
        <v>2115.591139726027</v>
      </c>
      <c r="R574" s="3" t="n">
        <v>55710.56667945206</v>
      </c>
      <c r="S574" s="3" t="n">
        <v>57826.15781917809</v>
      </c>
      <c r="T574" s="5">
        <f>IF(J574&lt;&gt;"",M574*N574/365/100*('Cashflow Projection'!$B$2-Investors!J574),0)</f>
        <v/>
      </c>
    </row>
    <row r="575">
      <c r="A575" s="3" t="inlineStr">
        <is>
          <t>ZKRI02</t>
        </is>
      </c>
      <c r="B575" s="3" t="inlineStr">
        <is>
          <t>Hermanus Johannes</t>
        </is>
      </c>
      <c r="C575" s="3" t="inlineStr">
        <is>
          <t>Kriel</t>
        </is>
      </c>
      <c r="D575" s="3" t="inlineStr">
        <is>
          <t>Heron View</t>
        </is>
      </c>
      <c r="E575" s="3" t="inlineStr">
        <is>
          <t>HVP303</t>
        </is>
      </c>
      <c r="F575" s="3" t="b">
        <v>0</v>
      </c>
      <c r="G575" s="3" t="b">
        <v>0</v>
      </c>
      <c r="H575" s="3" t="inlineStr">
        <is>
          <t>P</t>
        </is>
      </c>
      <c r="I575" s="4" t="n">
        <v>44846</v>
      </c>
      <c r="J575" s="4" t="n">
        <v>44861</v>
      </c>
      <c r="K575" s="4" t="n">
        <v>45533</v>
      </c>
      <c r="L575" s="3" t="n">
        <v>4</v>
      </c>
      <c r="M575" s="3" t="n">
        <v>1100000</v>
      </c>
      <c r="N575" s="3" t="n">
        <v>18</v>
      </c>
      <c r="O575" s="3" t="b">
        <v>0</v>
      </c>
      <c r="P575" s="3" t="b">
        <v>0</v>
      </c>
      <c r="Q575" s="3" t="n">
        <v>4068.493150684933</v>
      </c>
      <c r="R575" s="3" t="n">
        <v>364536.9863013699</v>
      </c>
      <c r="S575" s="3" t="n">
        <v>368605.4794520548</v>
      </c>
      <c r="T575" s="5">
        <f>IF(J575&lt;&gt;"",M575*N575/365/100*('Cashflow Projection'!$B$2-Investors!J575),0)</f>
        <v/>
      </c>
    </row>
  </sheetData>
  <autoFilter ref="A4:S575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204E"/>
    <outlinePr summaryBelow="1" summaryRight="1"/>
    <pageSetUpPr/>
  </sheetPr>
  <dimension ref="A1:H230"/>
  <sheetViews>
    <sheetView workbookViewId="0">
      <pane ySplit="5" topLeftCell="A6" activePane="bottomLeft" state="frozen"/>
      <selection pane="bottomLeft" activeCell="A1" sqref="A1"/>
    </sheetView>
  </sheetViews>
  <sheetFormatPr baseColWidth="8" defaultRowHeight="15"/>
  <sheetData>
    <row r="1">
      <c r="A1" t="inlineStr">
        <is>
          <t>Opportunities</t>
        </is>
      </c>
    </row>
    <row r="3">
      <c r="E3" s="1">
        <f>SUBTOTAL(9,E5:E230)</f>
        <v/>
      </c>
      <c r="H3" s="1">
        <f>SUBTOTAL(9,H5:H230)</f>
        <v/>
      </c>
    </row>
    <row r="5">
      <c r="A5" t="inlineStr">
        <is>
          <t>Category</t>
        </is>
      </c>
      <c r="B5" t="inlineStr">
        <is>
          <t>Opportunity Code</t>
        </is>
      </c>
      <c r="C5" t="inlineStr">
        <is>
          <t>Sold</t>
        </is>
      </c>
      <c r="D5" t="inlineStr">
        <is>
          <t>Transferred</t>
        </is>
      </c>
      <c r="E5" t="inlineStr">
        <is>
          <t>Opportunity Amount Required</t>
        </is>
      </c>
      <c r="F5" t="inlineStr">
        <is>
          <t>Opportunity End Date</t>
        </is>
      </c>
      <c r="G5" t="inlineStr">
        <is>
          <t>Opportunity Final Transfer Date</t>
        </is>
      </c>
      <c r="H5" t="inlineStr">
        <is>
          <t>Investment Amount</t>
        </is>
      </c>
    </row>
    <row r="6">
      <c r="A6" t="inlineStr">
        <is>
          <t>Heron Fields</t>
        </is>
      </c>
      <c r="B6" t="inlineStr">
        <is>
          <t>HFA101</t>
        </is>
      </c>
      <c r="C6" t="b">
        <v>1</v>
      </c>
      <c r="D6" t="b">
        <v>1</v>
      </c>
      <c r="E6" t="n">
        <v>900000</v>
      </c>
      <c r="F6" s="7" t="n">
        <v>44887</v>
      </c>
      <c r="G6" s="7" t="n">
        <v>44887</v>
      </c>
      <c r="H6" t="n">
        <v>932332.54</v>
      </c>
    </row>
    <row r="7">
      <c r="A7" t="inlineStr">
        <is>
          <t>Heron Fields</t>
        </is>
      </c>
      <c r="B7" t="inlineStr">
        <is>
          <t>HFA102</t>
        </is>
      </c>
      <c r="C7" t="b">
        <v>1</v>
      </c>
      <c r="D7" t="b">
        <v>1</v>
      </c>
      <c r="E7" t="n">
        <v>900000</v>
      </c>
      <c r="F7" s="7" t="n">
        <v>44887</v>
      </c>
      <c r="G7" s="7" t="n">
        <v>44887</v>
      </c>
      <c r="H7" t="n">
        <v>900000</v>
      </c>
    </row>
    <row r="8">
      <c r="A8" t="inlineStr">
        <is>
          <t>Heron Fields</t>
        </is>
      </c>
      <c r="B8" t="inlineStr">
        <is>
          <t>HFA103</t>
        </is>
      </c>
      <c r="C8" t="b">
        <v>1</v>
      </c>
      <c r="D8" t="b">
        <v>1</v>
      </c>
      <c r="E8" t="n">
        <v>900000</v>
      </c>
      <c r="F8" s="7" t="n">
        <v>44887</v>
      </c>
      <c r="G8" s="7" t="n">
        <v>44887</v>
      </c>
      <c r="H8" t="n">
        <v>900000</v>
      </c>
    </row>
    <row r="9">
      <c r="A9" t="inlineStr">
        <is>
          <t>Heron Fields</t>
        </is>
      </c>
      <c r="B9" t="inlineStr">
        <is>
          <t>HFA104</t>
        </is>
      </c>
      <c r="C9" t="b">
        <v>1</v>
      </c>
      <c r="D9" t="b">
        <v>1</v>
      </c>
      <c r="E9" t="n">
        <v>900000</v>
      </c>
      <c r="F9" s="7" t="n">
        <v>44887</v>
      </c>
      <c r="G9" s="7" t="n">
        <v>44887</v>
      </c>
      <c r="H9" t="n">
        <v>900000</v>
      </c>
    </row>
    <row r="10">
      <c r="A10" t="inlineStr">
        <is>
          <t>Heron Fields</t>
        </is>
      </c>
      <c r="B10" t="inlineStr">
        <is>
          <t>HFA105</t>
        </is>
      </c>
      <c r="C10" t="b">
        <v>1</v>
      </c>
      <c r="D10" t="b">
        <v>1</v>
      </c>
      <c r="E10" t="n">
        <v>900000</v>
      </c>
      <c r="F10" s="7" t="n">
        <v>44887</v>
      </c>
      <c r="G10" s="7" t="n">
        <v>44887</v>
      </c>
      <c r="H10" t="n">
        <v>749774.4299999999</v>
      </c>
    </row>
    <row r="11">
      <c r="A11" t="inlineStr">
        <is>
          <t>Heron Fields</t>
        </is>
      </c>
      <c r="B11" t="inlineStr">
        <is>
          <t>HFA106</t>
        </is>
      </c>
      <c r="C11" t="b">
        <v>1</v>
      </c>
      <c r="D11" t="b">
        <v>1</v>
      </c>
      <c r="E11" t="n">
        <v>900000</v>
      </c>
      <c r="F11" s="7" t="n">
        <v>44887</v>
      </c>
      <c r="G11" s="7" t="n">
        <v>44887</v>
      </c>
      <c r="H11" t="n">
        <v>910000</v>
      </c>
    </row>
    <row r="12">
      <c r="A12" t="inlineStr">
        <is>
          <t>Heron Fields</t>
        </is>
      </c>
      <c r="B12" t="inlineStr">
        <is>
          <t>HFA201</t>
        </is>
      </c>
      <c r="C12" t="b">
        <v>1</v>
      </c>
      <c r="D12" t="b">
        <v>1</v>
      </c>
      <c r="E12" t="n">
        <v>900000</v>
      </c>
      <c r="F12" s="7" t="n">
        <v>44887</v>
      </c>
      <c r="G12" s="7" t="n">
        <v>44887</v>
      </c>
      <c r="H12" t="n">
        <v>905157.53</v>
      </c>
    </row>
    <row r="13">
      <c r="A13" t="inlineStr">
        <is>
          <t>Heron Fields</t>
        </is>
      </c>
      <c r="B13" t="inlineStr">
        <is>
          <t>HFA202</t>
        </is>
      </c>
      <c r="C13" t="b">
        <v>1</v>
      </c>
      <c r="D13" t="b">
        <v>1</v>
      </c>
      <c r="E13" t="n">
        <v>900000</v>
      </c>
      <c r="F13" s="7" t="n">
        <v>44943</v>
      </c>
      <c r="G13" s="7" t="n">
        <v>44943</v>
      </c>
      <c r="H13" t="n">
        <v>921424.6599999999</v>
      </c>
    </row>
    <row r="14">
      <c r="A14" t="inlineStr">
        <is>
          <t>Heron Fields</t>
        </is>
      </c>
      <c r="B14" t="inlineStr">
        <is>
          <t>HFA203</t>
        </is>
      </c>
      <c r="C14" t="b">
        <v>1</v>
      </c>
      <c r="D14" t="b">
        <v>1</v>
      </c>
      <c r="E14" t="n">
        <v>900000</v>
      </c>
      <c r="F14" s="7" t="n">
        <v>44897</v>
      </c>
      <c r="G14" s="7" t="n">
        <v>44897</v>
      </c>
      <c r="H14" t="n">
        <v>890000</v>
      </c>
    </row>
    <row r="15">
      <c r="A15" t="inlineStr">
        <is>
          <t>Heron Fields</t>
        </is>
      </c>
      <c r="B15" t="inlineStr">
        <is>
          <t>HFA204</t>
        </is>
      </c>
      <c r="C15" t="b">
        <v>1</v>
      </c>
      <c r="D15" t="b">
        <v>1</v>
      </c>
      <c r="E15" t="n">
        <v>900000</v>
      </c>
      <c r="F15" s="7" t="n">
        <v>44887</v>
      </c>
      <c r="G15" s="7" t="n">
        <v>44887</v>
      </c>
      <c r="H15" t="n">
        <v>900000</v>
      </c>
    </row>
    <row r="16">
      <c r="A16" t="inlineStr">
        <is>
          <t>Heron Fields</t>
        </is>
      </c>
      <c r="B16" t="inlineStr">
        <is>
          <t>HFA205</t>
        </is>
      </c>
      <c r="C16" t="b">
        <v>1</v>
      </c>
      <c r="D16" t="b">
        <v>1</v>
      </c>
      <c r="E16" t="n">
        <v>900000</v>
      </c>
      <c r="F16" s="7" t="n">
        <v>44943</v>
      </c>
      <c r="G16" s="7" t="n">
        <v>44943</v>
      </c>
      <c r="H16" t="n">
        <v>938431.51</v>
      </c>
    </row>
    <row r="17">
      <c r="A17" t="inlineStr">
        <is>
          <t>Heron Fields</t>
        </is>
      </c>
      <c r="B17" t="inlineStr">
        <is>
          <t>HFA206</t>
        </is>
      </c>
      <c r="C17" t="b">
        <v>1</v>
      </c>
      <c r="D17" t="b">
        <v>1</v>
      </c>
      <c r="E17" t="n">
        <v>900000</v>
      </c>
      <c r="F17" s="7" t="n">
        <v>44887</v>
      </c>
      <c r="G17" s="7" t="n">
        <v>44887</v>
      </c>
      <c r="H17" t="n">
        <v>768641.1</v>
      </c>
    </row>
    <row r="18">
      <c r="A18" t="inlineStr">
        <is>
          <t>Heron Fields</t>
        </is>
      </c>
      <c r="B18" t="inlineStr">
        <is>
          <t>HFA301</t>
        </is>
      </c>
      <c r="C18" t="b">
        <v>1</v>
      </c>
      <c r="D18" t="b">
        <v>1</v>
      </c>
      <c r="E18" t="n">
        <v>900000</v>
      </c>
      <c r="F18" s="7" t="n">
        <v>44901</v>
      </c>
      <c r="G18" s="7" t="n">
        <v>44901</v>
      </c>
      <c r="H18" t="n">
        <v>918344.34</v>
      </c>
    </row>
    <row r="19">
      <c r="A19" t="inlineStr">
        <is>
          <t>Heron Fields</t>
        </is>
      </c>
      <c r="B19" t="inlineStr">
        <is>
          <t>HFA302</t>
        </is>
      </c>
      <c r="C19" t="b">
        <v>1</v>
      </c>
      <c r="D19" t="b">
        <v>1</v>
      </c>
      <c r="E19" t="n">
        <v>900000</v>
      </c>
      <c r="F19" s="7" t="n">
        <v>44887</v>
      </c>
      <c r="G19" s="7" t="n">
        <v>44887</v>
      </c>
      <c r="H19" t="n">
        <v>892342.47</v>
      </c>
    </row>
    <row r="20">
      <c r="A20" t="inlineStr">
        <is>
          <t>Heron Fields</t>
        </is>
      </c>
      <c r="B20" t="inlineStr">
        <is>
          <t>HFA303</t>
        </is>
      </c>
      <c r="C20" t="b">
        <v>1</v>
      </c>
      <c r="D20" t="b">
        <v>1</v>
      </c>
      <c r="E20" t="n">
        <v>900000</v>
      </c>
      <c r="F20" s="7" t="n">
        <v>44896</v>
      </c>
      <c r="G20" s="7" t="n">
        <v>44896</v>
      </c>
      <c r="H20" t="n">
        <v>900500</v>
      </c>
    </row>
    <row r="21">
      <c r="A21" t="inlineStr">
        <is>
          <t>Heron Fields</t>
        </is>
      </c>
      <c r="B21" t="inlineStr">
        <is>
          <t>HFA304</t>
        </is>
      </c>
      <c r="C21" t="b">
        <v>1</v>
      </c>
      <c r="D21" t="b">
        <v>1</v>
      </c>
      <c r="E21" t="n">
        <v>900000</v>
      </c>
      <c r="F21" s="7" t="n">
        <v>45056</v>
      </c>
      <c r="G21" s="7" t="n">
        <v>45056</v>
      </c>
      <c r="H21" t="n">
        <v>800000</v>
      </c>
    </row>
    <row r="22">
      <c r="A22" t="inlineStr">
        <is>
          <t>Heron Fields</t>
        </is>
      </c>
      <c r="B22" t="inlineStr">
        <is>
          <t>HFA305</t>
        </is>
      </c>
      <c r="C22" t="b">
        <v>1</v>
      </c>
      <c r="D22" t="b">
        <v>1</v>
      </c>
      <c r="E22" t="n">
        <v>900000</v>
      </c>
      <c r="F22" s="7" t="n">
        <v>44942</v>
      </c>
      <c r="G22" s="7" t="n">
        <v>44942</v>
      </c>
      <c r="H22" t="n">
        <v>700100</v>
      </c>
    </row>
    <row r="23">
      <c r="A23" t="inlineStr">
        <is>
          <t>Heron Fields</t>
        </is>
      </c>
      <c r="B23" t="inlineStr">
        <is>
          <t>HFA306</t>
        </is>
      </c>
      <c r="C23" t="b">
        <v>1</v>
      </c>
      <c r="D23" t="b">
        <v>1</v>
      </c>
      <c r="E23" t="n">
        <v>900000</v>
      </c>
      <c r="F23" s="7" t="n">
        <v>44901</v>
      </c>
      <c r="G23" s="7" t="n">
        <v>44901</v>
      </c>
      <c r="H23" t="n">
        <v>900100</v>
      </c>
    </row>
    <row r="24">
      <c r="A24" t="inlineStr">
        <is>
          <t>Heron Fields</t>
        </is>
      </c>
      <c r="B24" t="inlineStr">
        <is>
          <t>HFB101</t>
        </is>
      </c>
      <c r="C24" t="b">
        <v>1</v>
      </c>
      <c r="D24" t="b">
        <v>1</v>
      </c>
      <c r="E24" t="n">
        <v>900000</v>
      </c>
      <c r="F24" s="7" t="n">
        <v>44909</v>
      </c>
      <c r="G24" s="7" t="n">
        <v>44909</v>
      </c>
      <c r="H24" t="n">
        <v>920000</v>
      </c>
    </row>
    <row r="25">
      <c r="A25" t="inlineStr">
        <is>
          <t>Heron Fields</t>
        </is>
      </c>
      <c r="B25" t="inlineStr">
        <is>
          <t>HFB102</t>
        </is>
      </c>
      <c r="C25" t="b">
        <v>1</v>
      </c>
      <c r="D25" t="b">
        <v>1</v>
      </c>
      <c r="E25" t="n">
        <v>900000</v>
      </c>
      <c r="F25" s="7" t="n">
        <v>44896</v>
      </c>
      <c r="G25" s="7" t="n">
        <v>44896</v>
      </c>
      <c r="H25" t="n">
        <v>920000</v>
      </c>
    </row>
    <row r="26">
      <c r="A26" t="inlineStr">
        <is>
          <t>Heron Fields</t>
        </is>
      </c>
      <c r="B26" t="inlineStr">
        <is>
          <t>HFB103</t>
        </is>
      </c>
      <c r="C26" t="b">
        <v>1</v>
      </c>
      <c r="D26" t="b">
        <v>1</v>
      </c>
      <c r="E26" t="n">
        <v>900000</v>
      </c>
      <c r="F26" s="7" t="n">
        <v>44887</v>
      </c>
      <c r="G26" s="7" t="n">
        <v>44887</v>
      </c>
      <c r="H26" t="n">
        <v>900000</v>
      </c>
    </row>
    <row r="27">
      <c r="A27" t="inlineStr">
        <is>
          <t>Heron Fields</t>
        </is>
      </c>
      <c r="B27" t="inlineStr">
        <is>
          <t>HFB104</t>
        </is>
      </c>
      <c r="C27" t="b">
        <v>1</v>
      </c>
      <c r="D27" t="b">
        <v>1</v>
      </c>
      <c r="E27" t="n">
        <v>900000</v>
      </c>
      <c r="F27" s="7" t="n">
        <v>44908</v>
      </c>
      <c r="G27" s="7" t="n">
        <v>44908</v>
      </c>
      <c r="H27" t="n">
        <v>901887.67</v>
      </c>
    </row>
    <row r="28">
      <c r="A28" t="inlineStr">
        <is>
          <t>Heron Fields</t>
        </is>
      </c>
      <c r="B28" t="inlineStr">
        <is>
          <t>HFB105</t>
        </is>
      </c>
      <c r="C28" t="b">
        <v>1</v>
      </c>
      <c r="D28" t="b">
        <v>1</v>
      </c>
      <c r="E28" t="n">
        <v>900000</v>
      </c>
      <c r="F28" s="7" t="n">
        <v>44992</v>
      </c>
      <c r="G28" s="7" t="n">
        <v>44992</v>
      </c>
      <c r="H28" t="n">
        <v>888145.58</v>
      </c>
    </row>
    <row r="29">
      <c r="A29" t="inlineStr">
        <is>
          <t>Heron Fields</t>
        </is>
      </c>
      <c r="B29" t="inlineStr">
        <is>
          <t>HFB106</t>
        </is>
      </c>
      <c r="C29" t="b">
        <v>1</v>
      </c>
      <c r="D29" t="b">
        <v>1</v>
      </c>
      <c r="E29" t="n">
        <v>900000</v>
      </c>
      <c r="F29" s="7" t="n">
        <v>44956</v>
      </c>
      <c r="G29" s="7" t="n">
        <v>44956</v>
      </c>
      <c r="H29" t="n">
        <v>900000</v>
      </c>
    </row>
    <row r="30">
      <c r="A30" t="inlineStr">
        <is>
          <t>Heron Fields</t>
        </is>
      </c>
      <c r="B30" t="inlineStr">
        <is>
          <t>HFB107</t>
        </is>
      </c>
      <c r="C30" t="b">
        <v>1</v>
      </c>
      <c r="D30" t="b">
        <v>1</v>
      </c>
      <c r="E30" t="n">
        <v>900000</v>
      </c>
      <c r="F30" s="7" t="n">
        <v>45027</v>
      </c>
      <c r="G30" s="7" t="n">
        <v>45027</v>
      </c>
      <c r="H30" t="n">
        <v>1220000</v>
      </c>
    </row>
    <row r="31">
      <c r="A31" t="inlineStr">
        <is>
          <t>Heron Fields</t>
        </is>
      </c>
      <c r="B31" t="inlineStr">
        <is>
          <t>HFB108</t>
        </is>
      </c>
      <c r="C31" t="b">
        <v>1</v>
      </c>
      <c r="D31" t="b">
        <v>1</v>
      </c>
      <c r="E31" t="n">
        <v>900000</v>
      </c>
      <c r="F31" s="7" t="n">
        <v>44984</v>
      </c>
      <c r="G31" s="7" t="n">
        <v>44984</v>
      </c>
      <c r="H31" t="n">
        <v>920000</v>
      </c>
    </row>
    <row r="32">
      <c r="A32" t="inlineStr">
        <is>
          <t>Heron Fields</t>
        </is>
      </c>
      <c r="B32" t="inlineStr">
        <is>
          <t>HFB109</t>
        </is>
      </c>
      <c r="C32" t="b">
        <v>1</v>
      </c>
      <c r="D32" t="b">
        <v>1</v>
      </c>
      <c r="E32" t="n">
        <v>900000</v>
      </c>
      <c r="F32" s="7" t="n">
        <v>44999</v>
      </c>
      <c r="G32" s="7" t="n">
        <v>44999</v>
      </c>
      <c r="H32" t="n">
        <v>910000</v>
      </c>
    </row>
    <row r="33">
      <c r="A33" t="inlineStr">
        <is>
          <t>Heron Fields</t>
        </is>
      </c>
      <c r="B33" t="inlineStr">
        <is>
          <t>HFB110</t>
        </is>
      </c>
      <c r="C33" t="b">
        <v>1</v>
      </c>
      <c r="D33" t="b">
        <v>1</v>
      </c>
      <c r="E33" t="n">
        <v>900000</v>
      </c>
      <c r="F33" s="7" t="n">
        <v>45019</v>
      </c>
      <c r="G33" s="7" t="n">
        <v>45019</v>
      </c>
      <c r="H33" t="n">
        <v>900000</v>
      </c>
    </row>
    <row r="34">
      <c r="A34" t="inlineStr">
        <is>
          <t>Heron Fields</t>
        </is>
      </c>
      <c r="B34" t="inlineStr">
        <is>
          <t>HFB111</t>
        </is>
      </c>
      <c r="C34" t="b">
        <v>1</v>
      </c>
      <c r="D34" t="b">
        <v>1</v>
      </c>
      <c r="E34" t="n">
        <v>900000</v>
      </c>
      <c r="F34" s="7" t="n">
        <v>45027</v>
      </c>
      <c r="G34" s="7" t="n">
        <v>45027</v>
      </c>
      <c r="H34" t="n">
        <v>910000</v>
      </c>
    </row>
    <row r="35">
      <c r="A35" t="inlineStr">
        <is>
          <t>Heron Fields</t>
        </is>
      </c>
      <c r="B35" t="inlineStr">
        <is>
          <t>HFB201</t>
        </is>
      </c>
      <c r="C35" t="b">
        <v>1</v>
      </c>
      <c r="D35" t="b">
        <v>1</v>
      </c>
      <c r="E35" t="n">
        <v>900000</v>
      </c>
      <c r="F35" s="7" t="n">
        <v>44936</v>
      </c>
      <c r="G35" s="7" t="n">
        <v>44936</v>
      </c>
      <c r="H35" t="n">
        <v>900000</v>
      </c>
    </row>
    <row r="36">
      <c r="A36" t="inlineStr">
        <is>
          <t>Heron Fields</t>
        </is>
      </c>
      <c r="B36" t="inlineStr">
        <is>
          <t>HFB202</t>
        </is>
      </c>
      <c r="C36" t="b">
        <v>1</v>
      </c>
      <c r="D36" t="b">
        <v>1</v>
      </c>
      <c r="E36" t="n">
        <v>900000</v>
      </c>
      <c r="F36" s="7" t="n">
        <v>45007</v>
      </c>
      <c r="G36" s="7" t="n">
        <v>45007</v>
      </c>
      <c r="H36" t="n">
        <v>900000</v>
      </c>
    </row>
    <row r="37">
      <c r="A37" t="inlineStr">
        <is>
          <t>Heron Fields</t>
        </is>
      </c>
      <c r="B37" t="inlineStr">
        <is>
          <t>HFB203</t>
        </is>
      </c>
      <c r="C37" t="b">
        <v>1</v>
      </c>
      <c r="D37" t="b">
        <v>1</v>
      </c>
      <c r="E37" t="n">
        <v>900000</v>
      </c>
      <c r="F37" s="7" t="n">
        <v>44936</v>
      </c>
      <c r="G37" s="7" t="n">
        <v>44936</v>
      </c>
      <c r="H37" t="n">
        <v>1350000</v>
      </c>
    </row>
    <row r="38">
      <c r="A38" t="inlineStr">
        <is>
          <t>Heron Fields</t>
        </is>
      </c>
      <c r="B38" t="inlineStr">
        <is>
          <t>HFB204</t>
        </is>
      </c>
      <c r="C38" t="b">
        <v>1</v>
      </c>
      <c r="D38" t="b">
        <v>1</v>
      </c>
      <c r="E38" t="n">
        <v>900000</v>
      </c>
      <c r="F38" s="7" t="n">
        <v>45007</v>
      </c>
      <c r="G38" s="7" t="n">
        <v>45007</v>
      </c>
      <c r="H38" t="n">
        <v>900000</v>
      </c>
    </row>
    <row r="39">
      <c r="A39" t="inlineStr">
        <is>
          <t>Heron Fields</t>
        </is>
      </c>
      <c r="B39" t="inlineStr">
        <is>
          <t>HFB205</t>
        </is>
      </c>
      <c r="C39" t="b">
        <v>1</v>
      </c>
      <c r="D39" t="b">
        <v>1</v>
      </c>
      <c r="E39" t="n">
        <v>900000</v>
      </c>
      <c r="F39" s="7" t="n">
        <v>44974</v>
      </c>
      <c r="G39" s="7" t="n">
        <v>44974</v>
      </c>
      <c r="H39" t="n">
        <v>900000</v>
      </c>
    </row>
    <row r="40">
      <c r="A40" t="inlineStr">
        <is>
          <t>Heron Fields</t>
        </is>
      </c>
      <c r="B40" t="inlineStr">
        <is>
          <t>HFB206</t>
        </is>
      </c>
      <c r="C40" t="b">
        <v>1</v>
      </c>
      <c r="D40" t="b">
        <v>0</v>
      </c>
      <c r="E40" t="n">
        <v>1000000</v>
      </c>
      <c r="F40" s="7" t="n">
        <v>45491</v>
      </c>
      <c r="G40" t="inlineStr"/>
      <c r="H40" t="n">
        <v>1000000</v>
      </c>
    </row>
    <row r="41">
      <c r="A41" t="inlineStr">
        <is>
          <t>Heron Fields</t>
        </is>
      </c>
      <c r="B41" t="inlineStr">
        <is>
          <t>HFB207</t>
        </is>
      </c>
      <c r="C41" t="b">
        <v>0</v>
      </c>
      <c r="D41" t="b">
        <v>0</v>
      </c>
      <c r="E41" t="n">
        <v>900000</v>
      </c>
      <c r="F41" s="7" t="n">
        <v>45520</v>
      </c>
      <c r="G41" t="inlineStr"/>
      <c r="H41" t="n">
        <v>900000</v>
      </c>
    </row>
    <row r="42">
      <c r="A42" t="inlineStr">
        <is>
          <t>Heron Fields</t>
        </is>
      </c>
      <c r="B42" t="inlineStr">
        <is>
          <t>HFB208</t>
        </is>
      </c>
      <c r="C42" t="b">
        <v>1</v>
      </c>
      <c r="D42" t="b">
        <v>1</v>
      </c>
      <c r="E42" t="n">
        <v>900000</v>
      </c>
      <c r="F42" s="7" t="n">
        <v>45002</v>
      </c>
      <c r="G42" s="7" t="n">
        <v>45002</v>
      </c>
      <c r="H42" t="n">
        <v>900000</v>
      </c>
    </row>
    <row r="43">
      <c r="A43" t="inlineStr">
        <is>
          <t>Heron Fields</t>
        </is>
      </c>
      <c r="B43" t="inlineStr">
        <is>
          <t>HFB209</t>
        </is>
      </c>
      <c r="C43" t="b">
        <v>1</v>
      </c>
      <c r="D43" t="b">
        <v>1</v>
      </c>
      <c r="E43" t="n">
        <v>900000</v>
      </c>
      <c r="F43" s="7" t="n">
        <v>45390</v>
      </c>
      <c r="G43" s="7" t="n">
        <v>45390</v>
      </c>
      <c r="H43" t="n">
        <v>900000</v>
      </c>
    </row>
    <row r="44">
      <c r="A44" t="inlineStr">
        <is>
          <t>Heron Fields</t>
        </is>
      </c>
      <c r="B44" t="inlineStr">
        <is>
          <t>HFB210</t>
        </is>
      </c>
      <c r="C44" t="b">
        <v>0</v>
      </c>
      <c r="D44" t="b">
        <v>0</v>
      </c>
      <c r="E44" t="n">
        <v>900000</v>
      </c>
      <c r="F44" s="7" t="n">
        <v>45520</v>
      </c>
      <c r="G44" t="inlineStr"/>
      <c r="H44" t="n">
        <v>800000</v>
      </c>
    </row>
    <row r="45">
      <c r="A45" t="inlineStr">
        <is>
          <t>Heron Fields</t>
        </is>
      </c>
      <c r="B45" t="inlineStr">
        <is>
          <t>HFB211</t>
        </is>
      </c>
      <c r="C45" t="b">
        <v>0</v>
      </c>
      <c r="D45" t="b">
        <v>0</v>
      </c>
      <c r="E45" t="n">
        <v>900000</v>
      </c>
      <c r="F45" s="7" t="n">
        <v>45533</v>
      </c>
      <c r="G45" t="inlineStr"/>
      <c r="H45" t="n">
        <v>900000</v>
      </c>
    </row>
    <row r="46">
      <c r="A46" t="inlineStr">
        <is>
          <t>Heron Fields</t>
        </is>
      </c>
      <c r="B46" t="inlineStr">
        <is>
          <t>HFB212</t>
        </is>
      </c>
      <c r="C46" t="b">
        <v>0</v>
      </c>
      <c r="D46" t="b">
        <v>0</v>
      </c>
      <c r="E46" t="n">
        <v>900000</v>
      </c>
      <c r="F46" s="7" t="n">
        <v>45533</v>
      </c>
      <c r="G46" t="inlineStr"/>
      <c r="H46" t="n">
        <v>1800000</v>
      </c>
    </row>
    <row r="47">
      <c r="A47" t="inlineStr">
        <is>
          <t>Heron Fields</t>
        </is>
      </c>
      <c r="B47" t="inlineStr">
        <is>
          <t>HFB213</t>
        </is>
      </c>
      <c r="C47" t="b">
        <v>0</v>
      </c>
      <c r="D47" t="b">
        <v>0</v>
      </c>
      <c r="E47" t="n">
        <v>1000000</v>
      </c>
      <c r="F47" s="7" t="n">
        <v>45540</v>
      </c>
      <c r="G47" t="inlineStr"/>
      <c r="H47" t="n">
        <v>1000000</v>
      </c>
    </row>
    <row r="48">
      <c r="A48" t="inlineStr">
        <is>
          <t>Heron Fields</t>
        </is>
      </c>
      <c r="B48" t="inlineStr">
        <is>
          <t>HFB214</t>
        </is>
      </c>
      <c r="C48" t="b">
        <v>1</v>
      </c>
      <c r="D48" t="b">
        <v>1</v>
      </c>
      <c r="E48" t="n">
        <v>1000000</v>
      </c>
      <c r="F48" s="7" t="n">
        <v>45128</v>
      </c>
      <c r="G48" s="7" t="n">
        <v>45128</v>
      </c>
      <c r="H48" t="n">
        <v>1000000</v>
      </c>
    </row>
    <row r="49">
      <c r="A49" t="inlineStr">
        <is>
          <t>Heron Fields</t>
        </is>
      </c>
      <c r="B49" t="inlineStr">
        <is>
          <t>HFB215</t>
        </is>
      </c>
      <c r="C49" t="b">
        <v>0</v>
      </c>
      <c r="D49" t="b">
        <v>0</v>
      </c>
      <c r="E49" t="n">
        <v>1000000</v>
      </c>
      <c r="F49" s="7" t="n">
        <v>45554</v>
      </c>
      <c r="G49" t="inlineStr"/>
      <c r="H49" t="n">
        <v>0</v>
      </c>
    </row>
    <row r="50">
      <c r="A50" t="inlineStr">
        <is>
          <t>Heron Fields</t>
        </is>
      </c>
      <c r="B50" t="inlineStr">
        <is>
          <t>HFB301</t>
        </is>
      </c>
      <c r="C50" t="b">
        <v>1</v>
      </c>
      <c r="D50" t="b">
        <v>1</v>
      </c>
      <c r="E50" t="n">
        <v>1000000</v>
      </c>
      <c r="F50" s="7" t="n">
        <v>44956</v>
      </c>
      <c r="G50" s="7" t="n">
        <v>44956</v>
      </c>
      <c r="H50" t="n">
        <v>1000000</v>
      </c>
    </row>
    <row r="51">
      <c r="A51" t="inlineStr">
        <is>
          <t>Heron Fields</t>
        </is>
      </c>
      <c r="B51" t="inlineStr">
        <is>
          <t>HFB302</t>
        </is>
      </c>
      <c r="C51" t="b">
        <v>1</v>
      </c>
      <c r="D51" t="b">
        <v>1</v>
      </c>
      <c r="E51" t="n">
        <v>1000000</v>
      </c>
      <c r="F51" s="7" t="n">
        <v>44952</v>
      </c>
      <c r="G51" s="7" t="n">
        <v>44952</v>
      </c>
      <c r="H51" t="n">
        <v>1000000</v>
      </c>
    </row>
    <row r="52">
      <c r="A52" t="inlineStr">
        <is>
          <t>Heron Fields</t>
        </is>
      </c>
      <c r="B52" t="inlineStr">
        <is>
          <t>HFB303</t>
        </is>
      </c>
      <c r="C52" t="b">
        <v>1</v>
      </c>
      <c r="D52" t="b">
        <v>1</v>
      </c>
      <c r="E52" t="n">
        <v>1000000</v>
      </c>
      <c r="F52" s="7" t="n">
        <v>44942</v>
      </c>
      <c r="G52" s="7" t="n">
        <v>44942</v>
      </c>
      <c r="H52" t="n">
        <v>500000</v>
      </c>
    </row>
    <row r="53">
      <c r="A53" t="inlineStr">
        <is>
          <t>Heron Fields</t>
        </is>
      </c>
      <c r="B53" t="inlineStr">
        <is>
          <t>HFB304</t>
        </is>
      </c>
      <c r="C53" t="b">
        <v>1</v>
      </c>
      <c r="D53" t="b">
        <v>1</v>
      </c>
      <c r="E53" t="n">
        <v>1000000</v>
      </c>
      <c r="F53" s="7" t="n">
        <v>45027</v>
      </c>
      <c r="G53" s="7" t="n">
        <v>45027</v>
      </c>
      <c r="H53" t="n">
        <v>1000000</v>
      </c>
    </row>
    <row r="54">
      <c r="A54" t="inlineStr">
        <is>
          <t>Heron Fields</t>
        </is>
      </c>
      <c r="B54" t="inlineStr">
        <is>
          <t>HFB305</t>
        </is>
      </c>
      <c r="C54" t="b">
        <v>1</v>
      </c>
      <c r="D54" t="b">
        <v>1</v>
      </c>
      <c r="E54" t="n">
        <v>1000000</v>
      </c>
      <c r="F54" s="7" t="n">
        <v>45007</v>
      </c>
      <c r="G54" s="7" t="n">
        <v>45007</v>
      </c>
      <c r="H54" t="n">
        <v>0</v>
      </c>
    </row>
    <row r="55">
      <c r="A55" t="inlineStr">
        <is>
          <t>Heron Fields</t>
        </is>
      </c>
      <c r="B55" t="inlineStr">
        <is>
          <t>HFB306</t>
        </is>
      </c>
      <c r="C55" t="b">
        <v>1</v>
      </c>
      <c r="D55" t="b">
        <v>1</v>
      </c>
      <c r="E55" t="n">
        <v>1000000</v>
      </c>
      <c r="F55" s="7" t="n">
        <v>45061</v>
      </c>
      <c r="G55" s="7" t="n">
        <v>45061</v>
      </c>
      <c r="H55" t="n">
        <v>1000000</v>
      </c>
    </row>
    <row r="56">
      <c r="A56" t="inlineStr">
        <is>
          <t>Heron Fields</t>
        </is>
      </c>
      <c r="B56" t="inlineStr">
        <is>
          <t>HFB307</t>
        </is>
      </c>
      <c r="C56" t="b">
        <v>1</v>
      </c>
      <c r="D56" t="b">
        <v>1</v>
      </c>
      <c r="E56" t="n">
        <v>1000000</v>
      </c>
      <c r="F56" s="7" t="n">
        <v>45054</v>
      </c>
      <c r="G56" s="7" t="n">
        <v>45054</v>
      </c>
      <c r="H56" t="n">
        <v>400000</v>
      </c>
    </row>
    <row r="57">
      <c r="A57" t="inlineStr">
        <is>
          <t>Heron Fields</t>
        </is>
      </c>
      <c r="B57" t="inlineStr">
        <is>
          <t>HFB308</t>
        </is>
      </c>
      <c r="C57" t="b">
        <v>1</v>
      </c>
      <c r="D57" t="b">
        <v>1</v>
      </c>
      <c r="E57" t="n">
        <v>1000000</v>
      </c>
      <c r="F57" s="7" t="n">
        <v>45027</v>
      </c>
      <c r="G57" s="7" t="n">
        <v>45027</v>
      </c>
      <c r="H57" t="n">
        <v>1000000</v>
      </c>
    </row>
    <row r="58">
      <c r="A58" t="inlineStr">
        <is>
          <t>Heron Fields</t>
        </is>
      </c>
      <c r="B58" t="inlineStr">
        <is>
          <t>HFB309</t>
        </is>
      </c>
      <c r="C58" t="b">
        <v>1</v>
      </c>
      <c r="D58" t="b">
        <v>1</v>
      </c>
      <c r="E58" t="n">
        <v>1000000</v>
      </c>
      <c r="F58" s="7" t="n">
        <v>45086</v>
      </c>
      <c r="G58" s="7" t="n">
        <v>45086</v>
      </c>
      <c r="H58" t="n">
        <v>799172.38</v>
      </c>
    </row>
    <row r="59">
      <c r="A59" t="inlineStr">
        <is>
          <t>Heron Fields</t>
        </is>
      </c>
      <c r="B59" t="inlineStr">
        <is>
          <t>HFB310</t>
        </is>
      </c>
      <c r="C59" t="b">
        <v>1</v>
      </c>
      <c r="D59" t="b">
        <v>1</v>
      </c>
      <c r="E59" t="n">
        <v>1000000</v>
      </c>
      <c r="F59" s="7" t="n">
        <v>45014</v>
      </c>
      <c r="G59" s="7" t="n">
        <v>45014</v>
      </c>
      <c r="H59" t="n">
        <v>1000000</v>
      </c>
    </row>
    <row r="60">
      <c r="A60" t="inlineStr">
        <is>
          <t>Heron Fields</t>
        </is>
      </c>
      <c r="B60" t="inlineStr">
        <is>
          <t>HFB311</t>
        </is>
      </c>
      <c r="C60" t="b">
        <v>1</v>
      </c>
      <c r="D60" t="b">
        <v>1</v>
      </c>
      <c r="E60" t="n">
        <v>1000000</v>
      </c>
      <c r="F60" s="7" t="n">
        <v>45035</v>
      </c>
      <c r="G60" s="7" t="n">
        <v>45035</v>
      </c>
      <c r="H60" t="n">
        <v>600000</v>
      </c>
    </row>
    <row r="61">
      <c r="A61" t="inlineStr">
        <is>
          <t>Heron Fields</t>
        </is>
      </c>
      <c r="B61" t="inlineStr">
        <is>
          <t>HFB312</t>
        </is>
      </c>
      <c r="C61" t="b">
        <v>1</v>
      </c>
      <c r="D61" t="b">
        <v>1</v>
      </c>
      <c r="E61" t="n">
        <v>1000000</v>
      </c>
      <c r="F61" s="7" t="n">
        <v>45027</v>
      </c>
      <c r="G61" s="7" t="n">
        <v>45027</v>
      </c>
      <c r="H61" t="n">
        <v>1000000</v>
      </c>
    </row>
    <row r="62">
      <c r="A62" t="inlineStr">
        <is>
          <t>Heron Fields</t>
        </is>
      </c>
      <c r="B62" t="inlineStr">
        <is>
          <t>HFB313</t>
        </is>
      </c>
      <c r="C62" t="b">
        <v>1</v>
      </c>
      <c r="D62" t="b">
        <v>1</v>
      </c>
      <c r="E62" t="n">
        <v>1000000</v>
      </c>
      <c r="F62" s="7" t="n">
        <v>45051</v>
      </c>
      <c r="G62" s="7" t="n">
        <v>45051</v>
      </c>
      <c r="H62" t="n">
        <v>1068455</v>
      </c>
    </row>
    <row r="63">
      <c r="A63" t="inlineStr">
        <is>
          <t>Heron Fields</t>
        </is>
      </c>
      <c r="B63" t="inlineStr">
        <is>
          <t>HFB314</t>
        </is>
      </c>
      <c r="C63" t="b">
        <v>1</v>
      </c>
      <c r="D63" t="b">
        <v>1</v>
      </c>
      <c r="E63" t="n">
        <v>1000000</v>
      </c>
      <c r="F63" s="7" t="n">
        <v>45027</v>
      </c>
      <c r="G63" s="7" t="n">
        <v>45027</v>
      </c>
      <c r="H63" t="n">
        <v>0</v>
      </c>
    </row>
    <row r="64">
      <c r="A64" t="inlineStr">
        <is>
          <t>Heron Fields</t>
        </is>
      </c>
      <c r="B64" t="inlineStr">
        <is>
          <t>HFB315</t>
        </is>
      </c>
      <c r="C64" t="b">
        <v>1</v>
      </c>
      <c r="D64" t="b">
        <v>1</v>
      </c>
      <c r="E64" t="n">
        <v>1000000</v>
      </c>
      <c r="F64" s="7" t="n">
        <v>45204</v>
      </c>
      <c r="G64" s="7" t="n">
        <v>45204</v>
      </c>
      <c r="H64" t="n">
        <v>0</v>
      </c>
    </row>
    <row r="65">
      <c r="A65" t="inlineStr">
        <is>
          <t>Heron View</t>
        </is>
      </c>
      <c r="B65" t="inlineStr">
        <is>
          <t>HVC101</t>
        </is>
      </c>
      <c r="C65" t="b">
        <v>1</v>
      </c>
      <c r="D65" t="b">
        <v>1</v>
      </c>
      <c r="E65" t="n">
        <v>1100000</v>
      </c>
      <c r="F65" s="7" t="n">
        <v>45154</v>
      </c>
      <c r="G65" s="7" t="n">
        <v>45154</v>
      </c>
      <c r="H65" t="n">
        <v>1112472.71</v>
      </c>
    </row>
    <row r="66">
      <c r="A66" t="inlineStr">
        <is>
          <t>Heron View</t>
        </is>
      </c>
      <c r="B66" t="inlineStr">
        <is>
          <t>HVC102</t>
        </is>
      </c>
      <c r="C66" t="b">
        <v>1</v>
      </c>
      <c r="D66" t="b">
        <v>1</v>
      </c>
      <c r="E66" t="n">
        <v>1100000</v>
      </c>
      <c r="F66" s="7" t="n">
        <v>45154</v>
      </c>
      <c r="G66" s="7" t="n">
        <v>45154</v>
      </c>
      <c r="H66" t="n">
        <v>1100000</v>
      </c>
    </row>
    <row r="67">
      <c r="A67" t="inlineStr">
        <is>
          <t>Heron View</t>
        </is>
      </c>
      <c r="B67" t="inlineStr">
        <is>
          <t>HVC103</t>
        </is>
      </c>
      <c r="C67" t="b">
        <v>1</v>
      </c>
      <c r="D67" t="b">
        <v>1</v>
      </c>
      <c r="E67" t="n">
        <v>1100000</v>
      </c>
      <c r="F67" s="7" t="n">
        <v>45174</v>
      </c>
      <c r="G67" s="7" t="n">
        <v>45174</v>
      </c>
      <c r="H67" t="n">
        <v>1118391.41</v>
      </c>
    </row>
    <row r="68">
      <c r="A68" t="inlineStr">
        <is>
          <t>Heron View</t>
        </is>
      </c>
      <c r="B68" t="inlineStr">
        <is>
          <t>HVC104</t>
        </is>
      </c>
      <c r="C68" t="b">
        <v>1</v>
      </c>
      <c r="D68" t="b">
        <v>1</v>
      </c>
      <c r="E68" t="n">
        <v>1100000</v>
      </c>
      <c r="F68" s="7" t="n">
        <v>45167</v>
      </c>
      <c r="G68" s="7" t="n">
        <v>45167</v>
      </c>
      <c r="H68" t="n">
        <v>1080000</v>
      </c>
    </row>
    <row r="69">
      <c r="A69" t="inlineStr">
        <is>
          <t>Heron View</t>
        </is>
      </c>
      <c r="B69" t="inlineStr">
        <is>
          <t>HVC105</t>
        </is>
      </c>
      <c r="C69" t="b">
        <v>1</v>
      </c>
      <c r="D69" t="b">
        <v>1</v>
      </c>
      <c r="E69" t="n">
        <v>1100000</v>
      </c>
      <c r="F69" s="7" t="n">
        <v>45175</v>
      </c>
      <c r="G69" s="7" t="n">
        <v>45175</v>
      </c>
      <c r="H69" t="n">
        <v>1118537.67</v>
      </c>
    </row>
    <row r="70">
      <c r="A70" t="inlineStr">
        <is>
          <t>Heron View</t>
        </is>
      </c>
      <c r="B70" t="inlineStr">
        <is>
          <t>HVC106</t>
        </is>
      </c>
      <c r="C70" t="b">
        <v>1</v>
      </c>
      <c r="D70" t="b">
        <v>1</v>
      </c>
      <c r="E70" t="n">
        <v>1100000</v>
      </c>
      <c r="F70" s="7" t="n">
        <v>45170</v>
      </c>
      <c r="G70" s="7" t="n">
        <v>45170</v>
      </c>
      <c r="H70" t="n">
        <v>1110000</v>
      </c>
    </row>
    <row r="71">
      <c r="A71" t="inlineStr">
        <is>
          <t>Heron View</t>
        </is>
      </c>
      <c r="B71" t="inlineStr">
        <is>
          <t>HVC201</t>
        </is>
      </c>
      <c r="C71" t="b">
        <v>1</v>
      </c>
      <c r="D71" t="b">
        <v>1</v>
      </c>
      <c r="E71" t="n">
        <v>1100000</v>
      </c>
      <c r="F71" s="7" t="n">
        <v>45177</v>
      </c>
      <c r="G71" s="7" t="n">
        <v>45177</v>
      </c>
      <c r="H71" t="n">
        <v>1056614.26</v>
      </c>
    </row>
    <row r="72">
      <c r="A72" t="inlineStr">
        <is>
          <t>Heron View</t>
        </is>
      </c>
      <c r="B72" t="inlineStr">
        <is>
          <t>HVC202</t>
        </is>
      </c>
      <c r="C72" t="b">
        <v>0</v>
      </c>
      <c r="D72" t="b">
        <v>0</v>
      </c>
      <c r="E72" t="n">
        <v>1100000</v>
      </c>
      <c r="F72" s="7" t="n">
        <v>45533</v>
      </c>
      <c r="G72" t="inlineStr"/>
      <c r="H72" t="n">
        <v>1100000</v>
      </c>
    </row>
    <row r="73">
      <c r="A73" t="inlineStr">
        <is>
          <t>Heron View</t>
        </is>
      </c>
      <c r="B73" t="inlineStr">
        <is>
          <t>HVC203</t>
        </is>
      </c>
      <c r="C73" t="b">
        <v>1</v>
      </c>
      <c r="D73" t="b">
        <v>1</v>
      </c>
      <c r="E73" t="n">
        <v>1100000</v>
      </c>
      <c r="F73" s="7" t="n">
        <v>45154</v>
      </c>
      <c r="G73" s="7" t="n">
        <v>45154</v>
      </c>
      <c r="H73" t="n">
        <v>1100000</v>
      </c>
    </row>
    <row r="74">
      <c r="A74" t="inlineStr">
        <is>
          <t>Heron View</t>
        </is>
      </c>
      <c r="B74" t="inlineStr">
        <is>
          <t>HVC204</t>
        </is>
      </c>
      <c r="C74" t="b">
        <v>0</v>
      </c>
      <c r="D74" t="b">
        <v>0</v>
      </c>
      <c r="E74" t="n">
        <v>1100000</v>
      </c>
      <c r="F74" s="7" t="n">
        <v>45530</v>
      </c>
      <c r="G74" t="inlineStr"/>
      <c r="H74" t="n">
        <v>1107450.08</v>
      </c>
    </row>
    <row r="75">
      <c r="A75" t="inlineStr">
        <is>
          <t>Heron View</t>
        </is>
      </c>
      <c r="B75" t="inlineStr">
        <is>
          <t>HVC205</t>
        </is>
      </c>
      <c r="C75" t="b">
        <v>1</v>
      </c>
      <c r="D75" t="b">
        <v>0</v>
      </c>
      <c r="E75" t="n">
        <v>1100000</v>
      </c>
      <c r="F75" s="7" t="n">
        <v>45491</v>
      </c>
      <c r="G75" t="inlineStr"/>
      <c r="H75" t="n">
        <v>1111894.52</v>
      </c>
    </row>
    <row r="76">
      <c r="A76" t="inlineStr">
        <is>
          <t>Heron View</t>
        </is>
      </c>
      <c r="B76" t="inlineStr">
        <is>
          <t>HVC206</t>
        </is>
      </c>
      <c r="C76" t="b">
        <v>1</v>
      </c>
      <c r="D76" t="b">
        <v>0</v>
      </c>
      <c r="E76" t="n">
        <v>1100000</v>
      </c>
      <c r="F76" s="7" t="n">
        <v>45491</v>
      </c>
      <c r="G76" t="inlineStr"/>
      <c r="H76" t="n">
        <v>1100000</v>
      </c>
    </row>
    <row r="77">
      <c r="A77" t="inlineStr">
        <is>
          <t>Heron View</t>
        </is>
      </c>
      <c r="B77" t="inlineStr">
        <is>
          <t>HVC301</t>
        </is>
      </c>
      <c r="C77" t="b">
        <v>1</v>
      </c>
      <c r="D77" t="b">
        <v>1</v>
      </c>
      <c r="E77" t="n">
        <v>1100000</v>
      </c>
      <c r="F77" s="7" t="n">
        <v>45154</v>
      </c>
      <c r="G77" s="7" t="n">
        <v>45154</v>
      </c>
      <c r="H77" t="n">
        <v>1090694.47</v>
      </c>
    </row>
    <row r="78">
      <c r="A78" t="inlineStr">
        <is>
          <t>Heron View</t>
        </is>
      </c>
      <c r="B78" t="inlineStr">
        <is>
          <t>HVC302</t>
        </is>
      </c>
      <c r="C78" t="b">
        <v>0</v>
      </c>
      <c r="D78" t="b">
        <v>0</v>
      </c>
      <c r="E78" t="n">
        <v>1100000</v>
      </c>
      <c r="F78" s="7" t="n">
        <v>45533</v>
      </c>
      <c r="G78" t="inlineStr"/>
      <c r="H78" t="n">
        <v>1107899.95</v>
      </c>
    </row>
    <row r="79">
      <c r="A79" t="inlineStr">
        <is>
          <t>Heron View</t>
        </is>
      </c>
      <c r="B79" t="inlineStr">
        <is>
          <t>HVC303</t>
        </is>
      </c>
      <c r="C79" t="b">
        <v>1</v>
      </c>
      <c r="D79" t="b">
        <v>1</v>
      </c>
      <c r="E79" t="n">
        <v>1100000</v>
      </c>
      <c r="F79" s="7" t="n">
        <v>45177</v>
      </c>
      <c r="G79" s="7" t="n">
        <v>45177</v>
      </c>
      <c r="H79" t="n">
        <v>1075536.3</v>
      </c>
    </row>
    <row r="80">
      <c r="A80" t="inlineStr">
        <is>
          <t>Heron View</t>
        </is>
      </c>
      <c r="B80" t="inlineStr">
        <is>
          <t>HVC304</t>
        </is>
      </c>
      <c r="C80" t="b">
        <v>0</v>
      </c>
      <c r="D80" t="b">
        <v>0</v>
      </c>
      <c r="E80" t="n">
        <v>1100000</v>
      </c>
      <c r="F80" s="7" t="n">
        <v>45533</v>
      </c>
      <c r="G80" t="inlineStr"/>
      <c r="H80" t="n">
        <v>1028006.85</v>
      </c>
    </row>
    <row r="81">
      <c r="A81" t="inlineStr">
        <is>
          <t>Heron View</t>
        </is>
      </c>
      <c r="B81" t="inlineStr">
        <is>
          <t>HVC305</t>
        </is>
      </c>
      <c r="C81" t="b">
        <v>0</v>
      </c>
      <c r="D81" t="b">
        <v>0</v>
      </c>
      <c r="E81" t="n">
        <v>1100000</v>
      </c>
      <c r="F81" s="7" t="n">
        <v>45533</v>
      </c>
      <c r="G81" t="inlineStr"/>
      <c r="H81" t="n">
        <v>1118307.2</v>
      </c>
    </row>
    <row r="82">
      <c r="A82" t="inlineStr">
        <is>
          <t>Heron View</t>
        </is>
      </c>
      <c r="B82" t="inlineStr">
        <is>
          <t>HVC306</t>
        </is>
      </c>
      <c r="C82" t="b">
        <v>1</v>
      </c>
      <c r="D82" t="b">
        <v>1</v>
      </c>
      <c r="E82" t="n">
        <v>1100000</v>
      </c>
      <c r="F82" s="7" t="n">
        <v>45394</v>
      </c>
      <c r="G82" s="7" t="n">
        <v>45394</v>
      </c>
      <c r="H82" t="n">
        <v>1100000</v>
      </c>
    </row>
    <row r="83">
      <c r="A83" t="inlineStr">
        <is>
          <t>Heron View</t>
        </is>
      </c>
      <c r="B83" t="inlineStr">
        <is>
          <t>HVD101</t>
        </is>
      </c>
      <c r="C83" t="b">
        <v>1</v>
      </c>
      <c r="D83" t="b">
        <v>1</v>
      </c>
      <c r="E83" t="n">
        <v>1000000</v>
      </c>
      <c r="F83" s="7" t="n">
        <v>45308</v>
      </c>
      <c r="G83" s="7" t="n">
        <v>45308</v>
      </c>
      <c r="H83" t="n">
        <v>1015859.19</v>
      </c>
    </row>
    <row r="84">
      <c r="A84" t="inlineStr">
        <is>
          <t>Heron View</t>
        </is>
      </c>
      <c r="B84" t="inlineStr">
        <is>
          <t>HVD102</t>
        </is>
      </c>
      <c r="C84" t="b">
        <v>1</v>
      </c>
      <c r="D84" t="b">
        <v>1</v>
      </c>
      <c r="E84" t="n">
        <v>1000000</v>
      </c>
      <c r="F84" s="7" t="n">
        <v>45341</v>
      </c>
      <c r="G84" s="7" t="n">
        <v>45341</v>
      </c>
      <c r="H84" t="n">
        <v>1000000</v>
      </c>
    </row>
    <row r="85">
      <c r="A85" t="inlineStr">
        <is>
          <t>Heron View</t>
        </is>
      </c>
      <c r="B85" t="inlineStr">
        <is>
          <t>HVD103</t>
        </is>
      </c>
      <c r="C85" t="b">
        <v>1</v>
      </c>
      <c r="D85" t="b">
        <v>1</v>
      </c>
      <c r="E85" t="n">
        <v>1000000</v>
      </c>
      <c r="F85" s="7" t="n">
        <v>45323</v>
      </c>
      <c r="G85" s="7" t="n">
        <v>45323</v>
      </c>
      <c r="H85" t="n">
        <v>1001117.11</v>
      </c>
    </row>
    <row r="86">
      <c r="A86" t="inlineStr">
        <is>
          <t>Heron View</t>
        </is>
      </c>
      <c r="B86" t="inlineStr">
        <is>
          <t>HVD104</t>
        </is>
      </c>
      <c r="C86" t="b">
        <v>1</v>
      </c>
      <c r="D86" t="b">
        <v>1</v>
      </c>
      <c r="E86" t="n">
        <v>1000000</v>
      </c>
      <c r="F86" s="7" t="n">
        <v>45336</v>
      </c>
      <c r="G86" s="7" t="n">
        <v>45336</v>
      </c>
      <c r="H86" t="n">
        <v>1022783.56</v>
      </c>
    </row>
    <row r="87">
      <c r="A87" t="inlineStr">
        <is>
          <t>Heron View</t>
        </is>
      </c>
      <c r="B87" t="inlineStr">
        <is>
          <t>HVD201</t>
        </is>
      </c>
      <c r="C87" t="b">
        <v>1</v>
      </c>
      <c r="D87" t="b">
        <v>1</v>
      </c>
      <c r="E87" t="n">
        <v>1000000</v>
      </c>
      <c r="F87" s="7" t="n">
        <v>45327</v>
      </c>
      <c r="G87" s="7" t="n">
        <v>45327</v>
      </c>
      <c r="H87" t="n">
        <v>1021986.94</v>
      </c>
    </row>
    <row r="88">
      <c r="A88" t="inlineStr">
        <is>
          <t>Heron View</t>
        </is>
      </c>
      <c r="B88" t="inlineStr">
        <is>
          <t>HVD202</t>
        </is>
      </c>
      <c r="C88" t="b">
        <v>1</v>
      </c>
      <c r="D88" t="b">
        <v>1</v>
      </c>
      <c r="E88" t="n">
        <v>1000000</v>
      </c>
      <c r="F88" s="7" t="n">
        <v>45462</v>
      </c>
      <c r="G88" s="7" t="n">
        <v>45456</v>
      </c>
      <c r="H88" t="n">
        <v>1010994.48</v>
      </c>
    </row>
    <row r="89">
      <c r="A89" t="inlineStr">
        <is>
          <t>Heron View</t>
        </is>
      </c>
      <c r="B89" t="inlineStr">
        <is>
          <t>HVD203</t>
        </is>
      </c>
      <c r="C89" t="b">
        <v>1</v>
      </c>
      <c r="D89" t="b">
        <v>1</v>
      </c>
      <c r="E89" t="n">
        <v>1000000</v>
      </c>
      <c r="F89" s="7" t="n">
        <v>45377</v>
      </c>
      <c r="G89" s="7" t="n">
        <v>45377</v>
      </c>
      <c r="H89" t="n">
        <v>2000000</v>
      </c>
    </row>
    <row r="90">
      <c r="A90" t="inlineStr">
        <is>
          <t>Heron View</t>
        </is>
      </c>
      <c r="B90" t="inlineStr">
        <is>
          <t>HVD204</t>
        </is>
      </c>
      <c r="C90" t="b">
        <v>1</v>
      </c>
      <c r="D90" t="b">
        <v>1</v>
      </c>
      <c r="E90" t="n">
        <v>1000000</v>
      </c>
      <c r="F90" s="7" t="n">
        <v>45330</v>
      </c>
      <c r="G90" s="7" t="n">
        <v>45330</v>
      </c>
      <c r="H90" t="n">
        <v>1023753.84</v>
      </c>
    </row>
    <row r="91">
      <c r="A91" t="inlineStr">
        <is>
          <t>Heron View</t>
        </is>
      </c>
      <c r="B91" t="inlineStr">
        <is>
          <t>HVD301</t>
        </is>
      </c>
      <c r="C91" t="b">
        <v>1</v>
      </c>
      <c r="D91" t="b">
        <v>1</v>
      </c>
      <c r="E91" t="n">
        <v>1000000</v>
      </c>
      <c r="F91" s="7" t="n">
        <v>45341</v>
      </c>
      <c r="G91" s="7" t="n">
        <v>45341</v>
      </c>
      <c r="H91" t="n">
        <v>1000000</v>
      </c>
    </row>
    <row r="92">
      <c r="A92" t="inlineStr">
        <is>
          <t>Heron View</t>
        </is>
      </c>
      <c r="B92" t="inlineStr">
        <is>
          <t>HVD302</t>
        </is>
      </c>
      <c r="C92" t="b">
        <v>0</v>
      </c>
      <c r="D92" t="b">
        <v>0</v>
      </c>
      <c r="E92" t="n">
        <v>1000000</v>
      </c>
      <c r="F92" s="7" t="n">
        <v>45547</v>
      </c>
      <c r="G92" t="inlineStr"/>
      <c r="H92" t="n">
        <v>2304315.45</v>
      </c>
    </row>
    <row r="93">
      <c r="A93" t="inlineStr">
        <is>
          <t>Heron View</t>
        </is>
      </c>
      <c r="B93" t="inlineStr">
        <is>
          <t>HVD303</t>
        </is>
      </c>
      <c r="C93" t="b">
        <v>0</v>
      </c>
      <c r="D93" t="b">
        <v>0</v>
      </c>
      <c r="E93" t="n">
        <v>1000000</v>
      </c>
      <c r="F93" s="7" t="n">
        <v>45547</v>
      </c>
      <c r="G93" t="inlineStr"/>
      <c r="H93" t="n">
        <v>2227173.97</v>
      </c>
    </row>
    <row r="94">
      <c r="A94" t="inlineStr">
        <is>
          <t>Heron View</t>
        </is>
      </c>
      <c r="B94" t="inlineStr">
        <is>
          <t>HVD304</t>
        </is>
      </c>
      <c r="C94" t="b">
        <v>0</v>
      </c>
      <c r="D94" t="b">
        <v>0</v>
      </c>
      <c r="E94" t="n">
        <v>1000000</v>
      </c>
      <c r="F94" s="7" t="n">
        <v>45547</v>
      </c>
      <c r="G94" t="inlineStr"/>
      <c r="H94" t="n">
        <v>1000000</v>
      </c>
    </row>
    <row r="95">
      <c r="A95" t="inlineStr">
        <is>
          <t>Heron View</t>
        </is>
      </c>
      <c r="B95" t="inlineStr">
        <is>
          <t>HVE101</t>
        </is>
      </c>
      <c r="C95" t="b">
        <v>0</v>
      </c>
      <c r="D95" t="b">
        <v>0</v>
      </c>
      <c r="E95" t="n">
        <v>1200000</v>
      </c>
      <c r="F95" s="7" t="n">
        <v>45685</v>
      </c>
      <c r="G95" t="inlineStr"/>
      <c r="H95" t="n">
        <v>1203077.41</v>
      </c>
    </row>
    <row r="96">
      <c r="A96" t="inlineStr">
        <is>
          <t>Heron View</t>
        </is>
      </c>
      <c r="B96" t="inlineStr">
        <is>
          <t>HVE102</t>
        </is>
      </c>
      <c r="C96" t="b">
        <v>0</v>
      </c>
      <c r="D96" t="b">
        <v>0</v>
      </c>
      <c r="E96" t="n">
        <v>1200000</v>
      </c>
      <c r="F96" s="7" t="n">
        <v>45685</v>
      </c>
      <c r="G96" t="inlineStr"/>
      <c r="H96" t="n">
        <v>1144688.36</v>
      </c>
    </row>
    <row r="97">
      <c r="A97" t="inlineStr">
        <is>
          <t>Heron View</t>
        </is>
      </c>
      <c r="B97" t="inlineStr">
        <is>
          <t>HVE103</t>
        </is>
      </c>
      <c r="C97" t="b">
        <v>0</v>
      </c>
      <c r="D97" t="b">
        <v>0</v>
      </c>
      <c r="E97" t="n">
        <v>1200000</v>
      </c>
      <c r="F97" s="7" t="n">
        <v>45685</v>
      </c>
      <c r="G97" t="inlineStr"/>
      <c r="H97" t="n">
        <v>1200000</v>
      </c>
    </row>
    <row r="98">
      <c r="A98" t="inlineStr">
        <is>
          <t>Heron View</t>
        </is>
      </c>
      <c r="B98" t="inlineStr">
        <is>
          <t>HVE104</t>
        </is>
      </c>
      <c r="C98" t="b">
        <v>0</v>
      </c>
      <c r="D98" t="b">
        <v>0</v>
      </c>
      <c r="E98" t="n">
        <v>1200000</v>
      </c>
      <c r="F98" s="7" t="n">
        <v>45685</v>
      </c>
      <c r="G98" t="inlineStr"/>
      <c r="H98" t="n">
        <v>1200000</v>
      </c>
    </row>
    <row r="99">
      <c r="A99" t="inlineStr">
        <is>
          <t>Heron View</t>
        </is>
      </c>
      <c r="B99" t="inlineStr">
        <is>
          <t>HVE201</t>
        </is>
      </c>
      <c r="C99" t="b">
        <v>0</v>
      </c>
      <c r="D99" t="b">
        <v>0</v>
      </c>
      <c r="E99" t="n">
        <v>1200000</v>
      </c>
      <c r="F99" s="7" t="n">
        <v>45685</v>
      </c>
      <c r="G99" t="inlineStr"/>
      <c r="H99" t="n">
        <v>1225979.77</v>
      </c>
    </row>
    <row r="100">
      <c r="A100" t="inlineStr">
        <is>
          <t>Heron View</t>
        </is>
      </c>
      <c r="B100" t="inlineStr">
        <is>
          <t>HVE202</t>
        </is>
      </c>
      <c r="C100" t="b">
        <v>0</v>
      </c>
      <c r="D100" t="b">
        <v>0</v>
      </c>
      <c r="E100" t="n">
        <v>1200000</v>
      </c>
      <c r="F100" s="7" t="n">
        <v>45685</v>
      </c>
      <c r="G100" t="inlineStr"/>
      <c r="H100" t="n">
        <v>1200000</v>
      </c>
    </row>
    <row r="101">
      <c r="A101" t="inlineStr">
        <is>
          <t>Heron View</t>
        </is>
      </c>
      <c r="B101" t="inlineStr">
        <is>
          <t>HVE203</t>
        </is>
      </c>
      <c r="C101" t="b">
        <v>0</v>
      </c>
      <c r="D101" t="b">
        <v>0</v>
      </c>
      <c r="E101" t="n">
        <v>1200000</v>
      </c>
      <c r="F101" s="7" t="n">
        <v>45685</v>
      </c>
      <c r="G101" t="inlineStr"/>
      <c r="H101" t="n">
        <v>1200000</v>
      </c>
    </row>
    <row r="102">
      <c r="A102" t="inlineStr">
        <is>
          <t>Heron View</t>
        </is>
      </c>
      <c r="B102" t="inlineStr">
        <is>
          <t>HVE204</t>
        </is>
      </c>
      <c r="C102" t="b">
        <v>0</v>
      </c>
      <c r="D102" t="b">
        <v>0</v>
      </c>
      <c r="E102" t="n">
        <v>1200000</v>
      </c>
      <c r="F102" s="7" t="n">
        <v>45685</v>
      </c>
      <c r="G102" t="inlineStr"/>
      <c r="H102" t="n">
        <v>1200000</v>
      </c>
    </row>
    <row r="103">
      <c r="A103" t="inlineStr">
        <is>
          <t>Heron View</t>
        </is>
      </c>
      <c r="B103" t="inlineStr">
        <is>
          <t>HVE301</t>
        </is>
      </c>
      <c r="C103" t="b">
        <v>0</v>
      </c>
      <c r="D103" t="b">
        <v>0</v>
      </c>
      <c r="E103" t="n">
        <v>1200000</v>
      </c>
      <c r="F103" s="7" t="n">
        <v>45685</v>
      </c>
      <c r="G103" t="inlineStr"/>
      <c r="H103" t="n">
        <v>1200000</v>
      </c>
    </row>
    <row r="104">
      <c r="A104" t="inlineStr">
        <is>
          <t>Heron View</t>
        </is>
      </c>
      <c r="B104" t="inlineStr">
        <is>
          <t>HVE302</t>
        </is>
      </c>
      <c r="C104" t="b">
        <v>0</v>
      </c>
      <c r="D104" t="b">
        <v>0</v>
      </c>
      <c r="E104" t="n">
        <v>1200000</v>
      </c>
      <c r="F104" s="7" t="n">
        <v>45685</v>
      </c>
      <c r="G104" t="inlineStr"/>
      <c r="H104" t="n">
        <v>1200000</v>
      </c>
    </row>
    <row r="105">
      <c r="A105" t="inlineStr">
        <is>
          <t>Heron View</t>
        </is>
      </c>
      <c r="B105" t="inlineStr">
        <is>
          <t>HVE303</t>
        </is>
      </c>
      <c r="C105" t="b">
        <v>0</v>
      </c>
      <c r="D105" t="b">
        <v>0</v>
      </c>
      <c r="E105" t="n">
        <v>1200000</v>
      </c>
      <c r="F105" s="7" t="n">
        <v>45685</v>
      </c>
      <c r="G105" t="inlineStr"/>
      <c r="H105" t="n">
        <v>1210000</v>
      </c>
    </row>
    <row r="106">
      <c r="A106" t="inlineStr">
        <is>
          <t>Heron View</t>
        </is>
      </c>
      <c r="B106" t="inlineStr">
        <is>
          <t>HVE304</t>
        </is>
      </c>
      <c r="C106" t="b">
        <v>0</v>
      </c>
      <c r="D106" t="b">
        <v>0</v>
      </c>
      <c r="E106" t="n">
        <v>1200000</v>
      </c>
      <c r="F106" s="7" t="n">
        <v>45685</v>
      </c>
      <c r="G106" t="inlineStr"/>
      <c r="H106" t="n">
        <v>1200000</v>
      </c>
    </row>
    <row r="107">
      <c r="A107" t="inlineStr">
        <is>
          <t>Heron View</t>
        </is>
      </c>
      <c r="B107" t="inlineStr">
        <is>
          <t>HVF101</t>
        </is>
      </c>
      <c r="C107" t="b">
        <v>0</v>
      </c>
      <c r="D107" t="b">
        <v>0</v>
      </c>
      <c r="E107" t="n">
        <v>1200000</v>
      </c>
      <c r="F107" s="7" t="n">
        <v>45588</v>
      </c>
      <c r="G107" t="inlineStr"/>
      <c r="H107" t="n">
        <v>1188813.64</v>
      </c>
    </row>
    <row r="108">
      <c r="A108" t="inlineStr">
        <is>
          <t>Heron View</t>
        </is>
      </c>
      <c r="B108" t="inlineStr">
        <is>
          <t>HVF102</t>
        </is>
      </c>
      <c r="C108" t="b">
        <v>0</v>
      </c>
      <c r="D108" t="b">
        <v>0</v>
      </c>
      <c r="E108" t="n">
        <v>1200000</v>
      </c>
      <c r="F108" s="7" t="n">
        <v>45588</v>
      </c>
      <c r="G108" t="inlineStr"/>
      <c r="H108" t="n">
        <v>1224008.56</v>
      </c>
    </row>
    <row r="109">
      <c r="A109" t="inlineStr">
        <is>
          <t>Heron View</t>
        </is>
      </c>
      <c r="B109" t="inlineStr">
        <is>
          <t>HVF103</t>
        </is>
      </c>
      <c r="C109" t="b">
        <v>0</v>
      </c>
      <c r="D109" t="b">
        <v>0</v>
      </c>
      <c r="E109" t="n">
        <v>1200000</v>
      </c>
      <c r="F109" s="7" t="n">
        <v>45588</v>
      </c>
      <c r="G109" t="inlineStr"/>
      <c r="H109" t="n">
        <v>1185461.53</v>
      </c>
    </row>
    <row r="110">
      <c r="A110" t="inlineStr">
        <is>
          <t>Heron View</t>
        </is>
      </c>
      <c r="B110" t="inlineStr">
        <is>
          <t>HVF104</t>
        </is>
      </c>
      <c r="C110" t="b">
        <v>0</v>
      </c>
      <c r="D110" t="b">
        <v>0</v>
      </c>
      <c r="E110" t="n">
        <v>1200000</v>
      </c>
      <c r="F110" s="7" t="n">
        <v>45588</v>
      </c>
      <c r="G110" t="inlineStr"/>
      <c r="H110" t="n">
        <v>1203865.75</v>
      </c>
    </row>
    <row r="111">
      <c r="A111" t="inlineStr">
        <is>
          <t>Heron View</t>
        </is>
      </c>
      <c r="B111" t="inlineStr">
        <is>
          <t>HVF201</t>
        </is>
      </c>
      <c r="C111" t="b">
        <v>0</v>
      </c>
      <c r="D111" t="b">
        <v>0</v>
      </c>
      <c r="E111" t="n">
        <v>1200000</v>
      </c>
      <c r="F111" s="7" t="n">
        <v>45588</v>
      </c>
      <c r="G111" t="inlineStr"/>
      <c r="H111" t="n">
        <v>1176567.12</v>
      </c>
    </row>
    <row r="112">
      <c r="A112" t="inlineStr">
        <is>
          <t>Heron View</t>
        </is>
      </c>
      <c r="B112" t="inlineStr">
        <is>
          <t>HVF202</t>
        </is>
      </c>
      <c r="C112" t="b">
        <v>0</v>
      </c>
      <c r="D112" t="b">
        <v>0</v>
      </c>
      <c r="E112" t="n">
        <v>1200000</v>
      </c>
      <c r="F112" s="7" t="n">
        <v>45588</v>
      </c>
      <c r="G112" t="inlineStr"/>
      <c r="H112" t="n">
        <v>1180212.12</v>
      </c>
    </row>
    <row r="113">
      <c r="A113" t="inlineStr">
        <is>
          <t>Heron View</t>
        </is>
      </c>
      <c r="B113" t="inlineStr">
        <is>
          <t>HVF203</t>
        </is>
      </c>
      <c r="C113" t="b">
        <v>0</v>
      </c>
      <c r="D113" t="b">
        <v>0</v>
      </c>
      <c r="E113" t="n">
        <v>1200000</v>
      </c>
      <c r="F113" s="7" t="n">
        <v>45588</v>
      </c>
      <c r="G113" t="inlineStr"/>
      <c r="H113" t="n">
        <v>1169119.77</v>
      </c>
    </row>
    <row r="114">
      <c r="A114" t="inlineStr">
        <is>
          <t>Heron View</t>
        </is>
      </c>
      <c r="B114" t="inlineStr">
        <is>
          <t>HVF204</t>
        </is>
      </c>
      <c r="C114" t="b">
        <v>0</v>
      </c>
      <c r="D114" t="b">
        <v>0</v>
      </c>
      <c r="E114" t="n">
        <v>1200000</v>
      </c>
      <c r="F114" s="7" t="n">
        <v>45588</v>
      </c>
      <c r="G114" t="inlineStr"/>
      <c r="H114" t="n">
        <v>1200000</v>
      </c>
    </row>
    <row r="115">
      <c r="A115" t="inlineStr">
        <is>
          <t>Heron View</t>
        </is>
      </c>
      <c r="B115" t="inlineStr">
        <is>
          <t>HVG101</t>
        </is>
      </c>
      <c r="C115" t="b">
        <v>0</v>
      </c>
      <c r="D115" t="b">
        <v>0</v>
      </c>
      <c r="E115" t="n">
        <v>1100000</v>
      </c>
      <c r="F115" s="7" t="n">
        <v>45532</v>
      </c>
      <c r="G115" t="inlineStr"/>
      <c r="H115" t="n">
        <v>1110000</v>
      </c>
    </row>
    <row r="116">
      <c r="A116" t="inlineStr">
        <is>
          <t>Heron View</t>
        </is>
      </c>
      <c r="B116" t="inlineStr">
        <is>
          <t>HVG102</t>
        </is>
      </c>
      <c r="C116" t="b">
        <v>0</v>
      </c>
      <c r="D116" t="b">
        <v>0</v>
      </c>
      <c r="E116" t="n">
        <v>1100000</v>
      </c>
      <c r="F116" s="7" t="n">
        <v>45532</v>
      </c>
      <c r="G116" t="inlineStr"/>
      <c r="H116" t="n">
        <v>1121786.3</v>
      </c>
    </row>
    <row r="117">
      <c r="A117" t="inlineStr">
        <is>
          <t>Heron View</t>
        </is>
      </c>
      <c r="B117" t="inlineStr">
        <is>
          <t>HVG103</t>
        </is>
      </c>
      <c r="C117" t="b">
        <v>0</v>
      </c>
      <c r="D117" t="b">
        <v>0</v>
      </c>
      <c r="E117" t="n">
        <v>1100000</v>
      </c>
      <c r="F117" s="7" t="n">
        <v>45532</v>
      </c>
      <c r="G117" t="inlineStr"/>
      <c r="H117" t="n">
        <v>1100000</v>
      </c>
    </row>
    <row r="118">
      <c r="A118" t="inlineStr">
        <is>
          <t>Heron View</t>
        </is>
      </c>
      <c r="B118" t="inlineStr">
        <is>
          <t>HVG104</t>
        </is>
      </c>
      <c r="C118" t="b">
        <v>0</v>
      </c>
      <c r="D118" t="b">
        <v>0</v>
      </c>
      <c r="E118" t="n">
        <v>1100000</v>
      </c>
      <c r="F118" s="7" t="n">
        <v>45532</v>
      </c>
      <c r="G118" t="inlineStr"/>
      <c r="H118" t="n">
        <v>1117422.6</v>
      </c>
    </row>
    <row r="119">
      <c r="A119" t="inlineStr">
        <is>
          <t>Heron View</t>
        </is>
      </c>
      <c r="B119" t="inlineStr">
        <is>
          <t>HVG201</t>
        </is>
      </c>
      <c r="C119" t="b">
        <v>0</v>
      </c>
      <c r="D119" t="b">
        <v>0</v>
      </c>
      <c r="E119" t="n">
        <v>1100000</v>
      </c>
      <c r="F119" s="7" t="n">
        <v>45532</v>
      </c>
      <c r="G119" t="inlineStr"/>
      <c r="H119" t="n">
        <v>1125000</v>
      </c>
    </row>
    <row r="120">
      <c r="A120" t="inlineStr">
        <is>
          <t>Heron View</t>
        </is>
      </c>
      <c r="B120" t="inlineStr">
        <is>
          <t>HVG202</t>
        </is>
      </c>
      <c r="C120" t="b">
        <v>0</v>
      </c>
      <c r="D120" t="b">
        <v>0</v>
      </c>
      <c r="E120" t="n">
        <v>1100000</v>
      </c>
      <c r="F120" s="7" t="n">
        <v>45532</v>
      </c>
      <c r="G120" t="inlineStr"/>
      <c r="H120" t="n">
        <v>1102195.21</v>
      </c>
    </row>
    <row r="121">
      <c r="A121" t="inlineStr">
        <is>
          <t>Heron View</t>
        </is>
      </c>
      <c r="B121" t="inlineStr">
        <is>
          <t>HVG203</t>
        </is>
      </c>
      <c r="C121" t="b">
        <v>0</v>
      </c>
      <c r="D121" t="b">
        <v>0</v>
      </c>
      <c r="E121" t="n">
        <v>1100000</v>
      </c>
      <c r="F121" s="7" t="n">
        <v>45532</v>
      </c>
      <c r="G121" t="inlineStr"/>
      <c r="H121" t="n">
        <v>1084224.66</v>
      </c>
    </row>
    <row r="122">
      <c r="A122" t="inlineStr">
        <is>
          <t>Heron View</t>
        </is>
      </c>
      <c r="B122" t="inlineStr">
        <is>
          <t>HVG204</t>
        </is>
      </c>
      <c r="C122" t="b">
        <v>0</v>
      </c>
      <c r="D122" t="b">
        <v>0</v>
      </c>
      <c r="E122" t="n">
        <v>1100000</v>
      </c>
      <c r="F122" s="7" t="n">
        <v>45532</v>
      </c>
      <c r="G122" t="inlineStr"/>
      <c r="H122" t="n">
        <v>1100000</v>
      </c>
    </row>
    <row r="123">
      <c r="A123" t="inlineStr">
        <is>
          <t>Heron View</t>
        </is>
      </c>
      <c r="B123" t="inlineStr">
        <is>
          <t>HVG301</t>
        </is>
      </c>
      <c r="C123" t="b">
        <v>0</v>
      </c>
      <c r="D123" t="b">
        <v>0</v>
      </c>
      <c r="E123" t="n">
        <v>1100000</v>
      </c>
      <c r="F123" s="7" t="n">
        <v>45532</v>
      </c>
      <c r="G123" t="inlineStr"/>
      <c r="H123" t="n">
        <v>1100000</v>
      </c>
    </row>
    <row r="124">
      <c r="A124" t="inlineStr">
        <is>
          <t>Heron View</t>
        </is>
      </c>
      <c r="B124" t="inlineStr">
        <is>
          <t>HVG302</t>
        </is>
      </c>
      <c r="C124" t="b">
        <v>0</v>
      </c>
      <c r="D124" t="b">
        <v>0</v>
      </c>
      <c r="E124" t="n">
        <v>1100000</v>
      </c>
      <c r="F124" s="7" t="n">
        <v>45532</v>
      </c>
      <c r="G124" t="inlineStr"/>
      <c r="H124" t="n">
        <v>1073976.03</v>
      </c>
    </row>
    <row r="125">
      <c r="A125" t="inlineStr">
        <is>
          <t>Heron View</t>
        </is>
      </c>
      <c r="B125" t="inlineStr">
        <is>
          <t>HVG303</t>
        </is>
      </c>
      <c r="C125" t="b">
        <v>0</v>
      </c>
      <c r="D125" t="b">
        <v>0</v>
      </c>
      <c r="E125" t="n">
        <v>1100000</v>
      </c>
      <c r="F125" s="7" t="n">
        <v>45532</v>
      </c>
      <c r="G125" t="inlineStr"/>
      <c r="H125" t="n">
        <v>1082867.16</v>
      </c>
    </row>
    <row r="126">
      <c r="A126" t="inlineStr">
        <is>
          <t>Heron View</t>
        </is>
      </c>
      <c r="B126" t="inlineStr">
        <is>
          <t>HVG304</t>
        </is>
      </c>
      <c r="C126" t="b">
        <v>0</v>
      </c>
      <c r="D126" t="b">
        <v>0</v>
      </c>
      <c r="E126" t="n">
        <v>1100000</v>
      </c>
      <c r="F126" s="7" t="n">
        <v>45532</v>
      </c>
      <c r="G126" t="inlineStr"/>
      <c r="H126" t="n">
        <v>1100000</v>
      </c>
    </row>
    <row r="127">
      <c r="A127" t="inlineStr">
        <is>
          <t>Heron View</t>
        </is>
      </c>
      <c r="B127" t="inlineStr">
        <is>
          <t>HVH101</t>
        </is>
      </c>
      <c r="C127" t="b">
        <v>1</v>
      </c>
      <c r="D127" t="b">
        <v>0</v>
      </c>
      <c r="E127" t="n">
        <v>1100000</v>
      </c>
      <c r="F127" s="7" t="n">
        <v>45490</v>
      </c>
      <c r="G127" t="inlineStr"/>
      <c r="H127" t="n">
        <v>1100000</v>
      </c>
    </row>
    <row r="128">
      <c r="A128" t="inlineStr">
        <is>
          <t>Heron View</t>
        </is>
      </c>
      <c r="B128" t="inlineStr">
        <is>
          <t>HVH102</t>
        </is>
      </c>
      <c r="C128" t="b">
        <v>1</v>
      </c>
      <c r="D128" t="b">
        <v>0</v>
      </c>
      <c r="E128" t="n">
        <v>1100000</v>
      </c>
      <c r="F128" s="7" t="n">
        <v>45490</v>
      </c>
      <c r="G128" t="inlineStr"/>
      <c r="H128" t="n">
        <v>1100000</v>
      </c>
    </row>
    <row r="129">
      <c r="A129" t="inlineStr">
        <is>
          <t>Heron View</t>
        </is>
      </c>
      <c r="B129" t="inlineStr">
        <is>
          <t>HVH103</t>
        </is>
      </c>
      <c r="C129" t="b">
        <v>1</v>
      </c>
      <c r="D129" t="b">
        <v>0</v>
      </c>
      <c r="E129" t="n">
        <v>1100000</v>
      </c>
      <c r="F129" s="7" t="n">
        <v>45490</v>
      </c>
      <c r="G129" t="inlineStr"/>
      <c r="H129" t="n">
        <v>1100000</v>
      </c>
    </row>
    <row r="130">
      <c r="A130" t="inlineStr">
        <is>
          <t>Heron View</t>
        </is>
      </c>
      <c r="B130" t="inlineStr">
        <is>
          <t>HVH104</t>
        </is>
      </c>
      <c r="C130" t="b">
        <v>1</v>
      </c>
      <c r="D130" t="b">
        <v>0</v>
      </c>
      <c r="E130" t="n">
        <v>1100000</v>
      </c>
      <c r="F130" s="7" t="n">
        <v>45490</v>
      </c>
      <c r="G130" t="inlineStr"/>
      <c r="H130" t="n">
        <v>1100000</v>
      </c>
    </row>
    <row r="131">
      <c r="A131" t="inlineStr">
        <is>
          <t>Heron View</t>
        </is>
      </c>
      <c r="B131" t="inlineStr">
        <is>
          <t>HVH201</t>
        </is>
      </c>
      <c r="C131" t="b">
        <v>1</v>
      </c>
      <c r="D131" t="b">
        <v>0</v>
      </c>
      <c r="E131" t="n">
        <v>1100000</v>
      </c>
      <c r="F131" s="7" t="n">
        <v>45490</v>
      </c>
      <c r="G131" t="inlineStr"/>
      <c r="H131" t="n">
        <v>1100000</v>
      </c>
    </row>
    <row r="132">
      <c r="A132" t="inlineStr">
        <is>
          <t>Heron View</t>
        </is>
      </c>
      <c r="B132" t="inlineStr">
        <is>
          <t>HVH202</t>
        </is>
      </c>
      <c r="C132" t="b">
        <v>1</v>
      </c>
      <c r="D132" t="b">
        <v>0</v>
      </c>
      <c r="E132" t="n">
        <v>1100000</v>
      </c>
      <c r="F132" s="7" t="n">
        <v>45490</v>
      </c>
      <c r="G132" t="inlineStr"/>
      <c r="H132" t="n">
        <v>1100000</v>
      </c>
    </row>
    <row r="133">
      <c r="A133" t="inlineStr">
        <is>
          <t>Heron View</t>
        </is>
      </c>
      <c r="B133" t="inlineStr">
        <is>
          <t>HVH203</t>
        </is>
      </c>
      <c r="C133" t="b">
        <v>1</v>
      </c>
      <c r="D133" t="b">
        <v>0</v>
      </c>
      <c r="E133" t="n">
        <v>1100000</v>
      </c>
      <c r="F133" s="7" t="n">
        <v>45490</v>
      </c>
      <c r="G133" t="inlineStr"/>
      <c r="H133" t="n">
        <v>1100000</v>
      </c>
    </row>
    <row r="134">
      <c r="A134" t="inlineStr">
        <is>
          <t>Heron View</t>
        </is>
      </c>
      <c r="B134" t="inlineStr">
        <is>
          <t>HVH204</t>
        </is>
      </c>
      <c r="C134" t="b">
        <v>1</v>
      </c>
      <c r="D134" t="b">
        <v>0</v>
      </c>
      <c r="E134" t="n">
        <v>1100000</v>
      </c>
      <c r="F134" s="7" t="n">
        <v>45490</v>
      </c>
      <c r="G134" t="inlineStr"/>
      <c r="H134" t="n">
        <v>1100000</v>
      </c>
    </row>
    <row r="135">
      <c r="A135" t="inlineStr">
        <is>
          <t>Heron View</t>
        </is>
      </c>
      <c r="B135" t="inlineStr">
        <is>
          <t>HVI101</t>
        </is>
      </c>
      <c r="C135" t="b">
        <v>0</v>
      </c>
      <c r="D135" t="b">
        <v>0</v>
      </c>
      <c r="E135" t="n">
        <v>1100000</v>
      </c>
      <c r="F135" s="7" t="n">
        <v>45516</v>
      </c>
      <c r="G135" t="inlineStr"/>
      <c r="H135" t="n">
        <v>1100000</v>
      </c>
    </row>
    <row r="136">
      <c r="A136" t="inlineStr">
        <is>
          <t>Heron View</t>
        </is>
      </c>
      <c r="B136" t="inlineStr">
        <is>
          <t>HVI102</t>
        </is>
      </c>
      <c r="C136" t="b">
        <v>0</v>
      </c>
      <c r="D136" t="b">
        <v>0</v>
      </c>
      <c r="E136" t="n">
        <v>1100000</v>
      </c>
      <c r="F136" s="7" t="n">
        <v>45516</v>
      </c>
      <c r="G136" t="inlineStr"/>
      <c r="H136" t="n">
        <v>1101000</v>
      </c>
    </row>
    <row r="137">
      <c r="A137" t="inlineStr">
        <is>
          <t>Heron View</t>
        </is>
      </c>
      <c r="B137" t="inlineStr">
        <is>
          <t>HVI103</t>
        </is>
      </c>
      <c r="C137" t="b">
        <v>0</v>
      </c>
      <c r="D137" t="b">
        <v>0</v>
      </c>
      <c r="E137" t="n">
        <v>1100000</v>
      </c>
      <c r="F137" s="7" t="n">
        <v>45516</v>
      </c>
      <c r="G137" t="inlineStr"/>
      <c r="H137" t="n">
        <v>1100000</v>
      </c>
    </row>
    <row r="138">
      <c r="A138" t="inlineStr">
        <is>
          <t>Heron View</t>
        </is>
      </c>
      <c r="B138" t="inlineStr">
        <is>
          <t>HVI104</t>
        </is>
      </c>
      <c r="C138" t="b">
        <v>0</v>
      </c>
      <c r="D138" t="b">
        <v>0</v>
      </c>
      <c r="E138" t="n">
        <v>1100000</v>
      </c>
      <c r="F138" s="7" t="n">
        <v>45516</v>
      </c>
      <c r="G138" t="inlineStr"/>
      <c r="H138" t="n">
        <v>1100000</v>
      </c>
    </row>
    <row r="139">
      <c r="A139" t="inlineStr">
        <is>
          <t>Heron View</t>
        </is>
      </c>
      <c r="B139" t="inlineStr">
        <is>
          <t>HVI201</t>
        </is>
      </c>
      <c r="C139" t="b">
        <v>0</v>
      </c>
      <c r="D139" t="b">
        <v>0</v>
      </c>
      <c r="E139" t="n">
        <v>1100000</v>
      </c>
      <c r="F139" s="7" t="n">
        <v>45516</v>
      </c>
      <c r="G139" t="inlineStr"/>
      <c r="H139" t="n">
        <v>1100000</v>
      </c>
    </row>
    <row r="140">
      <c r="A140" t="inlineStr">
        <is>
          <t>Heron View</t>
        </is>
      </c>
      <c r="B140" t="inlineStr">
        <is>
          <t>HVI202</t>
        </is>
      </c>
      <c r="C140" t="b">
        <v>0</v>
      </c>
      <c r="D140" t="b">
        <v>0</v>
      </c>
      <c r="E140" t="n">
        <v>1100000</v>
      </c>
      <c r="F140" s="7" t="n">
        <v>45516</v>
      </c>
      <c r="G140" t="inlineStr"/>
      <c r="H140" t="n">
        <v>1100000</v>
      </c>
    </row>
    <row r="141">
      <c r="A141" t="inlineStr">
        <is>
          <t>Heron View</t>
        </is>
      </c>
      <c r="B141" t="inlineStr">
        <is>
          <t>HVI203</t>
        </is>
      </c>
      <c r="C141" t="b">
        <v>0</v>
      </c>
      <c r="D141" t="b">
        <v>0</v>
      </c>
      <c r="E141" t="n">
        <v>1100000</v>
      </c>
      <c r="F141" s="7" t="n">
        <v>45516</v>
      </c>
      <c r="G141" t="inlineStr"/>
      <c r="H141" t="n">
        <v>1100000</v>
      </c>
    </row>
    <row r="142">
      <c r="A142" t="inlineStr">
        <is>
          <t>Heron View</t>
        </is>
      </c>
      <c r="B142" t="inlineStr">
        <is>
          <t>HVI204</t>
        </is>
      </c>
      <c r="C142" t="b">
        <v>0</v>
      </c>
      <c r="D142" t="b">
        <v>0</v>
      </c>
      <c r="E142" t="n">
        <v>1100000</v>
      </c>
      <c r="F142" s="7" t="n">
        <v>45516</v>
      </c>
      <c r="G142" t="inlineStr"/>
      <c r="H142" t="n">
        <v>1100000</v>
      </c>
    </row>
    <row r="143">
      <c r="A143" t="inlineStr">
        <is>
          <t>Heron View</t>
        </is>
      </c>
      <c r="B143" t="inlineStr">
        <is>
          <t>HVJ101</t>
        </is>
      </c>
      <c r="C143" t="b">
        <v>1</v>
      </c>
      <c r="D143" t="b">
        <v>0</v>
      </c>
      <c r="E143" t="n">
        <v>1000000</v>
      </c>
      <c r="F143" s="7" t="n">
        <v>45552</v>
      </c>
      <c r="G143" t="inlineStr"/>
      <c r="H143" t="n">
        <v>1025000</v>
      </c>
    </row>
    <row r="144">
      <c r="A144" t="inlineStr">
        <is>
          <t>Heron View</t>
        </is>
      </c>
      <c r="B144" t="inlineStr">
        <is>
          <t>HVJ102</t>
        </is>
      </c>
      <c r="C144" t="b">
        <v>1</v>
      </c>
      <c r="D144" t="b">
        <v>0</v>
      </c>
      <c r="E144" t="n">
        <v>1000000</v>
      </c>
      <c r="F144" s="7" t="n">
        <v>45552</v>
      </c>
      <c r="G144" t="inlineStr"/>
      <c r="H144" t="n">
        <v>1007345.78</v>
      </c>
    </row>
    <row r="145">
      <c r="A145" t="inlineStr">
        <is>
          <t>Heron View</t>
        </is>
      </c>
      <c r="B145" t="inlineStr">
        <is>
          <t>HVJ103</t>
        </is>
      </c>
      <c r="C145" t="b">
        <v>0</v>
      </c>
      <c r="D145" t="b">
        <v>0</v>
      </c>
      <c r="E145" t="n">
        <v>1000000</v>
      </c>
      <c r="F145" s="7" t="n">
        <v>45546</v>
      </c>
      <c r="G145" t="inlineStr"/>
      <c r="H145" t="n">
        <v>1500000</v>
      </c>
    </row>
    <row r="146">
      <c r="A146" t="inlineStr">
        <is>
          <t>Heron View</t>
        </is>
      </c>
      <c r="B146" t="inlineStr">
        <is>
          <t>HVJ201</t>
        </is>
      </c>
      <c r="C146" t="b">
        <v>1</v>
      </c>
      <c r="D146" t="b">
        <v>0</v>
      </c>
      <c r="E146" t="n">
        <v>1000000</v>
      </c>
      <c r="F146" s="7" t="n">
        <v>45546</v>
      </c>
      <c r="G146" t="inlineStr"/>
      <c r="H146" t="n">
        <v>1000000</v>
      </c>
    </row>
    <row r="147">
      <c r="A147" t="inlineStr">
        <is>
          <t>Heron View</t>
        </is>
      </c>
      <c r="B147" t="inlineStr">
        <is>
          <t>HVJ202</t>
        </is>
      </c>
      <c r="C147" t="b">
        <v>1</v>
      </c>
      <c r="D147" t="b">
        <v>0</v>
      </c>
      <c r="E147" t="n">
        <v>1000000</v>
      </c>
      <c r="F147" s="7" t="n">
        <v>45552</v>
      </c>
      <c r="G147" t="inlineStr"/>
      <c r="H147" t="n">
        <v>1000000</v>
      </c>
    </row>
    <row r="148">
      <c r="A148" t="inlineStr">
        <is>
          <t>Heron View</t>
        </is>
      </c>
      <c r="B148" t="inlineStr">
        <is>
          <t>HVJ203</t>
        </is>
      </c>
      <c r="C148" t="b">
        <v>0</v>
      </c>
      <c r="D148" t="b">
        <v>0</v>
      </c>
      <c r="E148" t="n">
        <v>1000000</v>
      </c>
      <c r="F148" s="7" t="n">
        <v>45546</v>
      </c>
      <c r="G148" t="inlineStr"/>
      <c r="H148" t="n">
        <v>1000000</v>
      </c>
    </row>
    <row r="149">
      <c r="A149" t="inlineStr">
        <is>
          <t>Heron View</t>
        </is>
      </c>
      <c r="B149" t="inlineStr">
        <is>
          <t>HVJ301</t>
        </is>
      </c>
      <c r="C149" t="b">
        <v>0</v>
      </c>
      <c r="D149" t="b">
        <v>0</v>
      </c>
      <c r="E149" t="n">
        <v>1000000</v>
      </c>
      <c r="F149" s="7" t="n">
        <v>45546</v>
      </c>
      <c r="G149" t="inlineStr"/>
      <c r="H149" t="n">
        <v>977553.41</v>
      </c>
    </row>
    <row r="150">
      <c r="A150" t="inlineStr">
        <is>
          <t>Heron View</t>
        </is>
      </c>
      <c r="B150" t="inlineStr">
        <is>
          <t>HVJ302</t>
        </is>
      </c>
      <c r="C150" t="b">
        <v>0</v>
      </c>
      <c r="D150" t="b">
        <v>0</v>
      </c>
      <c r="E150" t="n">
        <v>1000000</v>
      </c>
      <c r="F150" s="7" t="n">
        <v>45561</v>
      </c>
      <c r="G150" t="inlineStr"/>
      <c r="H150" t="n">
        <v>1000000</v>
      </c>
    </row>
    <row r="151">
      <c r="A151" t="inlineStr">
        <is>
          <t>Heron View</t>
        </is>
      </c>
      <c r="B151" t="inlineStr">
        <is>
          <t>HVJ303</t>
        </is>
      </c>
      <c r="C151" t="b">
        <v>0</v>
      </c>
      <c r="D151" t="b">
        <v>0</v>
      </c>
      <c r="E151" t="n">
        <v>1000000</v>
      </c>
      <c r="F151" s="7" t="n">
        <v>45568</v>
      </c>
      <c r="G151" t="inlineStr"/>
      <c r="H151" t="n">
        <v>2327431.51</v>
      </c>
    </row>
    <row r="152">
      <c r="A152" t="inlineStr">
        <is>
          <t>Heron View</t>
        </is>
      </c>
      <c r="B152" t="inlineStr">
        <is>
          <t>HVJ401</t>
        </is>
      </c>
      <c r="C152" t="b">
        <v>0</v>
      </c>
      <c r="D152" t="b">
        <v>0</v>
      </c>
      <c r="E152" t="n">
        <v>1000000</v>
      </c>
      <c r="F152" s="7" t="n">
        <v>45588</v>
      </c>
      <c r="G152" t="inlineStr"/>
      <c r="H152" t="n">
        <v>1000000</v>
      </c>
    </row>
    <row r="153">
      <c r="A153" t="inlineStr">
        <is>
          <t>Heron View</t>
        </is>
      </c>
      <c r="B153" t="inlineStr">
        <is>
          <t>HVJ402</t>
        </is>
      </c>
      <c r="C153" t="b">
        <v>0</v>
      </c>
      <c r="D153" t="b">
        <v>0</v>
      </c>
      <c r="E153" t="n">
        <v>1000000</v>
      </c>
      <c r="F153" s="7" t="n">
        <v>45574</v>
      </c>
      <c r="G153" t="inlineStr"/>
      <c r="H153" t="n">
        <v>2322726.03</v>
      </c>
    </row>
    <row r="154">
      <c r="A154" t="inlineStr">
        <is>
          <t>Heron View</t>
        </is>
      </c>
      <c r="B154" t="inlineStr">
        <is>
          <t>HVJ403</t>
        </is>
      </c>
      <c r="C154" t="b">
        <v>0</v>
      </c>
      <c r="D154" t="b">
        <v>0</v>
      </c>
      <c r="E154" t="n">
        <v>1000000</v>
      </c>
      <c r="F154" s="7" t="n">
        <v>45602</v>
      </c>
      <c r="G154" t="inlineStr"/>
      <c r="H154" t="n">
        <v>1000000</v>
      </c>
    </row>
    <row r="155">
      <c r="A155" t="inlineStr">
        <is>
          <t>Heron View</t>
        </is>
      </c>
      <c r="B155" t="inlineStr">
        <is>
          <t>HVK101</t>
        </is>
      </c>
      <c r="C155" t="b">
        <v>0</v>
      </c>
      <c r="D155" t="b">
        <v>0</v>
      </c>
      <c r="E155" t="n">
        <v>1100000</v>
      </c>
      <c r="F155" s="7" t="n">
        <v>45546</v>
      </c>
      <c r="G155" t="inlineStr"/>
      <c r="H155" t="n">
        <v>1038000</v>
      </c>
    </row>
    <row r="156">
      <c r="A156" t="inlineStr">
        <is>
          <t>Heron View</t>
        </is>
      </c>
      <c r="B156" t="inlineStr">
        <is>
          <t>HVK102</t>
        </is>
      </c>
      <c r="C156" t="b">
        <v>0</v>
      </c>
      <c r="D156" t="b">
        <v>0</v>
      </c>
      <c r="E156" t="n">
        <v>1100000</v>
      </c>
      <c r="F156" s="7" t="n">
        <v>45546</v>
      </c>
      <c r="G156" t="inlineStr"/>
      <c r="H156" t="n">
        <v>1100000</v>
      </c>
    </row>
    <row r="157">
      <c r="A157" t="inlineStr">
        <is>
          <t>Heron View</t>
        </is>
      </c>
      <c r="B157" t="inlineStr">
        <is>
          <t>HVK103</t>
        </is>
      </c>
      <c r="C157" t="b">
        <v>0</v>
      </c>
      <c r="D157" t="b">
        <v>0</v>
      </c>
      <c r="E157" t="n">
        <v>1100000</v>
      </c>
      <c r="F157" s="7" t="n">
        <v>45561</v>
      </c>
      <c r="G157" t="inlineStr"/>
      <c r="H157" t="n">
        <v>1091876.87</v>
      </c>
    </row>
    <row r="158">
      <c r="A158" t="inlineStr">
        <is>
          <t>Heron View</t>
        </is>
      </c>
      <c r="B158" t="inlineStr">
        <is>
          <t>HVK104</t>
        </is>
      </c>
      <c r="C158" t="b">
        <v>0</v>
      </c>
      <c r="D158" t="b">
        <v>0</v>
      </c>
      <c r="E158" t="n">
        <v>1100000</v>
      </c>
      <c r="F158" s="7" t="n">
        <v>45561</v>
      </c>
      <c r="G158" t="inlineStr"/>
      <c r="H158" t="n">
        <v>1100000</v>
      </c>
    </row>
    <row r="159">
      <c r="A159" t="inlineStr">
        <is>
          <t>Heron View</t>
        </is>
      </c>
      <c r="B159" t="inlineStr">
        <is>
          <t>HVK105</t>
        </is>
      </c>
      <c r="C159" t="b">
        <v>0</v>
      </c>
      <c r="D159" t="b">
        <v>0</v>
      </c>
      <c r="E159" t="n">
        <v>1017976.39</v>
      </c>
      <c r="F159" s="7" t="n">
        <v>45546</v>
      </c>
      <c r="G159" t="inlineStr"/>
      <c r="H159" t="n">
        <v>1120000</v>
      </c>
    </row>
    <row r="160">
      <c r="A160" t="inlineStr">
        <is>
          <t>Heron View</t>
        </is>
      </c>
      <c r="B160" t="inlineStr">
        <is>
          <t>HVK106</t>
        </is>
      </c>
      <c r="C160" t="b">
        <v>0</v>
      </c>
      <c r="D160" t="b">
        <v>0</v>
      </c>
      <c r="E160" t="n">
        <v>1100000</v>
      </c>
      <c r="F160" s="7" t="n">
        <v>45546</v>
      </c>
      <c r="G160" t="inlineStr"/>
      <c r="H160" t="n">
        <v>2511581.33</v>
      </c>
    </row>
    <row r="161">
      <c r="A161" t="inlineStr">
        <is>
          <t>Heron View</t>
        </is>
      </c>
      <c r="B161" t="inlineStr">
        <is>
          <t>HVK201</t>
        </is>
      </c>
      <c r="C161" t="b">
        <v>0</v>
      </c>
      <c r="D161" t="b">
        <v>0</v>
      </c>
      <c r="E161" t="n">
        <v>1100000</v>
      </c>
      <c r="F161" s="7" t="n">
        <v>45568</v>
      </c>
      <c r="G161" t="inlineStr"/>
      <c r="H161" t="n">
        <v>1100000</v>
      </c>
    </row>
    <row r="162">
      <c r="A162" t="inlineStr">
        <is>
          <t>Heron View</t>
        </is>
      </c>
      <c r="B162" t="inlineStr">
        <is>
          <t>HVK202</t>
        </is>
      </c>
      <c r="C162" t="b">
        <v>0</v>
      </c>
      <c r="D162" t="b">
        <v>0</v>
      </c>
      <c r="E162" t="n">
        <v>1100000</v>
      </c>
      <c r="F162" s="7" t="n">
        <v>45568</v>
      </c>
      <c r="G162" t="inlineStr"/>
      <c r="H162" t="n">
        <v>1012667.46</v>
      </c>
    </row>
    <row r="163">
      <c r="A163" t="inlineStr">
        <is>
          <t>Heron View</t>
        </is>
      </c>
      <c r="B163" t="inlineStr">
        <is>
          <t>HVK203</t>
        </is>
      </c>
      <c r="C163" t="b">
        <v>0</v>
      </c>
      <c r="D163" t="b">
        <v>0</v>
      </c>
      <c r="E163" t="n">
        <v>1100000</v>
      </c>
      <c r="F163" s="7" t="n">
        <v>45588</v>
      </c>
      <c r="G163" t="inlineStr"/>
      <c r="H163" t="n">
        <v>1100419.06</v>
      </c>
    </row>
    <row r="164">
      <c r="A164" t="inlineStr">
        <is>
          <t>Heron View</t>
        </is>
      </c>
      <c r="B164" t="inlineStr">
        <is>
          <t>HVK204</t>
        </is>
      </c>
      <c r="C164" t="b">
        <v>0</v>
      </c>
      <c r="D164" t="b">
        <v>0</v>
      </c>
      <c r="E164" t="n">
        <v>1100000</v>
      </c>
      <c r="F164" s="7" t="n">
        <v>45588</v>
      </c>
      <c r="G164" t="inlineStr"/>
      <c r="H164" t="n">
        <v>1124948.63</v>
      </c>
    </row>
    <row r="165">
      <c r="A165" t="inlineStr">
        <is>
          <t>Heron View</t>
        </is>
      </c>
      <c r="B165" t="inlineStr">
        <is>
          <t>HVK205</t>
        </is>
      </c>
      <c r="C165" t="b">
        <v>0</v>
      </c>
      <c r="D165" t="b">
        <v>0</v>
      </c>
      <c r="E165" t="n">
        <v>1100000</v>
      </c>
      <c r="F165" s="7" t="n">
        <v>45603</v>
      </c>
      <c r="G165" t="inlineStr"/>
      <c r="H165" t="n">
        <v>1124113.01</v>
      </c>
    </row>
    <row r="166">
      <c r="A166" t="inlineStr">
        <is>
          <t>Heron View</t>
        </is>
      </c>
      <c r="B166" t="inlineStr">
        <is>
          <t>HVK206</t>
        </is>
      </c>
      <c r="C166" t="b">
        <v>0</v>
      </c>
      <c r="D166" t="b">
        <v>0</v>
      </c>
      <c r="E166" t="n">
        <v>1100000</v>
      </c>
      <c r="F166" s="7" t="n">
        <v>45604</v>
      </c>
      <c r="G166" t="inlineStr"/>
      <c r="H166" t="n">
        <v>1887953.57</v>
      </c>
    </row>
    <row r="167">
      <c r="A167" t="inlineStr">
        <is>
          <t>Heron View</t>
        </is>
      </c>
      <c r="B167" t="inlineStr">
        <is>
          <t>HVK301</t>
        </is>
      </c>
      <c r="C167" t="b">
        <v>0</v>
      </c>
      <c r="D167" t="b">
        <v>0</v>
      </c>
      <c r="E167" t="n">
        <v>1100000</v>
      </c>
      <c r="F167" s="7" t="n">
        <v>45600</v>
      </c>
      <c r="G167" t="inlineStr"/>
      <c r="H167" t="n">
        <v>1099537.67</v>
      </c>
    </row>
    <row r="168">
      <c r="A168" t="inlineStr">
        <is>
          <t>Heron View</t>
        </is>
      </c>
      <c r="B168" t="inlineStr">
        <is>
          <t>HVK302</t>
        </is>
      </c>
      <c r="C168" t="b">
        <v>0</v>
      </c>
      <c r="D168" t="b">
        <v>0</v>
      </c>
      <c r="E168" t="n">
        <v>1100000</v>
      </c>
      <c r="F168" s="7" t="n">
        <v>45617</v>
      </c>
      <c r="G168" t="inlineStr"/>
      <c r="H168" t="n">
        <v>1089059.18</v>
      </c>
    </row>
    <row r="169">
      <c r="A169" t="inlineStr">
        <is>
          <t>Heron View</t>
        </is>
      </c>
      <c r="B169" t="inlineStr">
        <is>
          <t>HVK303</t>
        </is>
      </c>
      <c r="C169" t="b">
        <v>0</v>
      </c>
      <c r="D169" t="b">
        <v>0</v>
      </c>
      <c r="E169" t="n">
        <v>1100000</v>
      </c>
      <c r="F169" s="7" t="n">
        <v>45623</v>
      </c>
      <c r="G169" t="inlineStr"/>
      <c r="H169" t="n">
        <v>1123040.41</v>
      </c>
    </row>
    <row r="170">
      <c r="A170" t="inlineStr">
        <is>
          <t>Heron View</t>
        </is>
      </c>
      <c r="B170" t="inlineStr">
        <is>
          <t>HVK304</t>
        </is>
      </c>
      <c r="C170" t="b">
        <v>0</v>
      </c>
      <c r="D170" t="b">
        <v>0</v>
      </c>
      <c r="E170" t="n">
        <v>1100000</v>
      </c>
      <c r="F170" s="7" t="n">
        <v>45630</v>
      </c>
      <c r="G170" t="inlineStr"/>
      <c r="H170" t="n">
        <v>1098863.01</v>
      </c>
    </row>
    <row r="171">
      <c r="A171" t="inlineStr">
        <is>
          <t>Heron View</t>
        </is>
      </c>
      <c r="B171" t="inlineStr">
        <is>
          <t>HVK305</t>
        </is>
      </c>
      <c r="C171" t="b">
        <v>0</v>
      </c>
      <c r="D171" t="b">
        <v>0</v>
      </c>
      <c r="E171" t="n">
        <v>1100000</v>
      </c>
      <c r="F171" s="7" t="n">
        <v>45638</v>
      </c>
      <c r="G171" t="inlineStr"/>
      <c r="H171" t="n">
        <v>1107662.76</v>
      </c>
    </row>
    <row r="172">
      <c r="A172" t="inlineStr">
        <is>
          <t>Heron View</t>
        </is>
      </c>
      <c r="B172" t="inlineStr">
        <is>
          <t>HVK306</t>
        </is>
      </c>
      <c r="C172" t="b">
        <v>0</v>
      </c>
      <c r="D172" t="b">
        <v>0</v>
      </c>
      <c r="E172" t="n">
        <v>1100000</v>
      </c>
      <c r="F172" s="7" t="n">
        <v>45665</v>
      </c>
      <c r="G172" t="inlineStr"/>
      <c r="H172" t="n">
        <v>1100000</v>
      </c>
    </row>
    <row r="173">
      <c r="A173" t="inlineStr">
        <is>
          <t>Heron View</t>
        </is>
      </c>
      <c r="B173" t="inlineStr">
        <is>
          <t>HVK401</t>
        </is>
      </c>
      <c r="C173" t="b">
        <v>0</v>
      </c>
      <c r="D173" t="b">
        <v>0</v>
      </c>
      <c r="E173" t="n">
        <v>1100000</v>
      </c>
      <c r="F173" s="7" t="n">
        <v>45672</v>
      </c>
      <c r="G173" t="inlineStr"/>
      <c r="H173" t="n">
        <v>1114452.74</v>
      </c>
    </row>
    <row r="174">
      <c r="A174" t="inlineStr">
        <is>
          <t>Heron View</t>
        </is>
      </c>
      <c r="B174" t="inlineStr">
        <is>
          <t>HVK402</t>
        </is>
      </c>
      <c r="C174" t="b">
        <v>0</v>
      </c>
      <c r="D174" t="b">
        <v>0</v>
      </c>
      <c r="E174" t="n">
        <v>1100000</v>
      </c>
      <c r="F174" s="7" t="n">
        <v>45672</v>
      </c>
      <c r="G174" t="inlineStr"/>
      <c r="H174" t="n">
        <v>1123099.32</v>
      </c>
    </row>
    <row r="175">
      <c r="A175" t="inlineStr">
        <is>
          <t>Heron View</t>
        </is>
      </c>
      <c r="B175" t="inlineStr">
        <is>
          <t>HVK403</t>
        </is>
      </c>
      <c r="C175" t="b">
        <v>0</v>
      </c>
      <c r="D175" t="b">
        <v>0</v>
      </c>
      <c r="E175" t="n">
        <v>1100000</v>
      </c>
      <c r="F175" s="7" t="n">
        <v>45663</v>
      </c>
      <c r="G175" t="inlineStr"/>
      <c r="H175" t="n">
        <v>1114246.58</v>
      </c>
    </row>
    <row r="176">
      <c r="A176" t="inlineStr">
        <is>
          <t>Heron View</t>
        </is>
      </c>
      <c r="B176" t="inlineStr">
        <is>
          <t>HVK404</t>
        </is>
      </c>
      <c r="C176" t="b">
        <v>0</v>
      </c>
      <c r="D176" t="b">
        <v>0</v>
      </c>
      <c r="E176" t="n">
        <v>1100000</v>
      </c>
      <c r="F176" s="7" t="n">
        <v>45622</v>
      </c>
      <c r="G176" t="inlineStr"/>
      <c r="H176" t="n">
        <v>1100000</v>
      </c>
    </row>
    <row r="177">
      <c r="A177" t="inlineStr">
        <is>
          <t>Heron View</t>
        </is>
      </c>
      <c r="B177" t="inlineStr">
        <is>
          <t>HVK405</t>
        </is>
      </c>
      <c r="C177" t="b">
        <v>0</v>
      </c>
      <c r="D177" t="b">
        <v>0</v>
      </c>
      <c r="E177" t="n">
        <v>1100000</v>
      </c>
      <c r="F177" s="7" t="n">
        <v>45623</v>
      </c>
      <c r="G177" t="inlineStr"/>
      <c r="H177" t="n">
        <v>1117916.44</v>
      </c>
    </row>
    <row r="178">
      <c r="A178" t="inlineStr">
        <is>
          <t>Heron View</t>
        </is>
      </c>
      <c r="B178" t="inlineStr">
        <is>
          <t>HVK406</t>
        </is>
      </c>
      <c r="C178" t="b">
        <v>0</v>
      </c>
      <c r="D178" t="b">
        <v>0</v>
      </c>
      <c r="E178" t="n">
        <v>1100000</v>
      </c>
      <c r="F178" s="7" t="n">
        <v>45504</v>
      </c>
      <c r="G178" t="inlineStr"/>
      <c r="H178" t="n">
        <v>1114058.91</v>
      </c>
    </row>
    <row r="179">
      <c r="A179" t="inlineStr">
        <is>
          <t>Heron View</t>
        </is>
      </c>
      <c r="B179" t="inlineStr">
        <is>
          <t>HVL101</t>
        </is>
      </c>
      <c r="C179" t="b">
        <v>0</v>
      </c>
      <c r="D179" t="b">
        <v>0</v>
      </c>
      <c r="E179" t="n">
        <v>1100000</v>
      </c>
      <c r="F179" s="7" t="n">
        <v>45524</v>
      </c>
      <c r="G179" t="inlineStr"/>
      <c r="H179" t="n">
        <v>1100000</v>
      </c>
    </row>
    <row r="180">
      <c r="A180" t="inlineStr">
        <is>
          <t>Heron View</t>
        </is>
      </c>
      <c r="B180" t="inlineStr">
        <is>
          <t>HVL102</t>
        </is>
      </c>
      <c r="C180" t="b">
        <v>0</v>
      </c>
      <c r="D180" t="b">
        <v>0</v>
      </c>
      <c r="E180" t="n">
        <v>1100000</v>
      </c>
      <c r="F180" s="7" t="n">
        <v>45524</v>
      </c>
      <c r="G180" t="inlineStr"/>
      <c r="H180" t="n">
        <v>1050000</v>
      </c>
    </row>
    <row r="181">
      <c r="A181" t="inlineStr">
        <is>
          <t>Heron View</t>
        </is>
      </c>
      <c r="B181" t="inlineStr">
        <is>
          <t>HVL103</t>
        </is>
      </c>
      <c r="C181" t="b">
        <v>0</v>
      </c>
      <c r="D181" t="b">
        <v>0</v>
      </c>
      <c r="E181" t="n">
        <v>1100000</v>
      </c>
      <c r="F181" s="7" t="n">
        <v>45524</v>
      </c>
      <c r="G181" t="inlineStr"/>
      <c r="H181" t="n">
        <v>1100004.32</v>
      </c>
    </row>
    <row r="182">
      <c r="A182" t="inlineStr">
        <is>
          <t>Heron View</t>
        </is>
      </c>
      <c r="B182" t="inlineStr">
        <is>
          <t>HVL104</t>
        </is>
      </c>
      <c r="C182" t="b">
        <v>0</v>
      </c>
      <c r="D182" t="b">
        <v>0</v>
      </c>
      <c r="E182" t="n">
        <v>1100000</v>
      </c>
      <c r="F182" s="7" t="n">
        <v>45524</v>
      </c>
      <c r="G182" t="inlineStr"/>
      <c r="H182" t="n">
        <v>1100000</v>
      </c>
    </row>
    <row r="183">
      <c r="A183" t="inlineStr">
        <is>
          <t>Heron View</t>
        </is>
      </c>
      <c r="B183" t="inlineStr">
        <is>
          <t>HVL201</t>
        </is>
      </c>
      <c r="C183" t="b">
        <v>0</v>
      </c>
      <c r="D183" t="b">
        <v>0</v>
      </c>
      <c r="E183" t="n">
        <v>1100000</v>
      </c>
      <c r="F183" s="7" t="n">
        <v>45524</v>
      </c>
      <c r="G183" t="inlineStr"/>
      <c r="H183" t="n">
        <v>1204260.27</v>
      </c>
    </row>
    <row r="184">
      <c r="A184" t="inlineStr">
        <is>
          <t>Heron View</t>
        </is>
      </c>
      <c r="B184" t="inlineStr">
        <is>
          <t>HVL202</t>
        </is>
      </c>
      <c r="C184" t="b">
        <v>0</v>
      </c>
      <c r="D184" t="b">
        <v>0</v>
      </c>
      <c r="E184" t="n">
        <v>1200000</v>
      </c>
      <c r="F184" s="7" t="n">
        <v>45524</v>
      </c>
      <c r="G184" t="inlineStr"/>
      <c r="H184" t="n">
        <v>1200000</v>
      </c>
    </row>
    <row r="185">
      <c r="A185" t="inlineStr">
        <is>
          <t>Heron View</t>
        </is>
      </c>
      <c r="B185" t="inlineStr">
        <is>
          <t>HVL203</t>
        </is>
      </c>
      <c r="C185" t="b">
        <v>0</v>
      </c>
      <c r="D185" t="b">
        <v>0</v>
      </c>
      <c r="E185" t="n">
        <v>1200000</v>
      </c>
      <c r="F185" s="7" t="n">
        <v>45524</v>
      </c>
      <c r="G185" t="inlineStr"/>
      <c r="H185" t="n">
        <v>1202656.87</v>
      </c>
    </row>
    <row r="186">
      <c r="A186" t="inlineStr">
        <is>
          <t>Heron View</t>
        </is>
      </c>
      <c r="B186" t="inlineStr">
        <is>
          <t>HVL204</t>
        </is>
      </c>
      <c r="C186" t="b">
        <v>0</v>
      </c>
      <c r="D186" t="b">
        <v>0</v>
      </c>
      <c r="E186" t="n">
        <v>1200000</v>
      </c>
      <c r="F186" s="7" t="n">
        <v>45524</v>
      </c>
      <c r="G186" t="inlineStr"/>
      <c r="H186" t="n">
        <v>1191513.26</v>
      </c>
    </row>
    <row r="187">
      <c r="A187" t="inlineStr">
        <is>
          <t>Heron View</t>
        </is>
      </c>
      <c r="B187" t="inlineStr">
        <is>
          <t>HVM101</t>
        </is>
      </c>
      <c r="C187" t="b">
        <v>0</v>
      </c>
      <c r="D187" t="b">
        <v>0</v>
      </c>
      <c r="E187" t="n">
        <v>1100000</v>
      </c>
      <c r="F187" s="7" t="n">
        <v>45561</v>
      </c>
      <c r="G187" t="inlineStr"/>
      <c r="H187" t="n">
        <v>1100931.51</v>
      </c>
    </row>
    <row r="188">
      <c r="A188" t="inlineStr">
        <is>
          <t>Heron View</t>
        </is>
      </c>
      <c r="B188" t="inlineStr">
        <is>
          <t>HVM102</t>
        </is>
      </c>
      <c r="C188" t="b">
        <v>0</v>
      </c>
      <c r="D188" t="b">
        <v>0</v>
      </c>
      <c r="E188" t="n">
        <v>1100000</v>
      </c>
      <c r="F188" s="7" t="n">
        <v>45561</v>
      </c>
      <c r="G188" t="inlineStr"/>
      <c r="H188" t="n">
        <v>1104366.44</v>
      </c>
    </row>
    <row r="189">
      <c r="A189" t="inlineStr">
        <is>
          <t>Heron View</t>
        </is>
      </c>
      <c r="B189" t="inlineStr">
        <is>
          <t>HVM103</t>
        </is>
      </c>
      <c r="C189" t="b">
        <v>0</v>
      </c>
      <c r="D189" t="b">
        <v>0</v>
      </c>
      <c r="E189" t="n">
        <v>1100000</v>
      </c>
      <c r="F189" s="7" t="n">
        <v>45561</v>
      </c>
      <c r="G189" t="inlineStr"/>
      <c r="H189" t="n">
        <v>1034453.42</v>
      </c>
    </row>
    <row r="190">
      <c r="A190" t="inlineStr">
        <is>
          <t>Heron View</t>
        </is>
      </c>
      <c r="B190" t="inlineStr">
        <is>
          <t>HVM104</t>
        </is>
      </c>
      <c r="C190" t="b">
        <v>0</v>
      </c>
      <c r="D190" t="b">
        <v>0</v>
      </c>
      <c r="E190" t="n">
        <v>1100000</v>
      </c>
      <c r="F190" s="7" t="n">
        <v>45561</v>
      </c>
      <c r="G190" t="inlineStr"/>
      <c r="H190" t="n">
        <v>1100000</v>
      </c>
    </row>
    <row r="191">
      <c r="A191" t="inlineStr">
        <is>
          <t>Heron View</t>
        </is>
      </c>
      <c r="B191" t="inlineStr">
        <is>
          <t>HVM201</t>
        </is>
      </c>
      <c r="C191" t="b">
        <v>0</v>
      </c>
      <c r="D191" t="b">
        <v>0</v>
      </c>
      <c r="E191" t="n">
        <v>1100000</v>
      </c>
      <c r="F191" s="7" t="n">
        <v>45561</v>
      </c>
      <c r="G191" t="inlineStr"/>
      <c r="H191" t="n">
        <v>1100000</v>
      </c>
    </row>
    <row r="192">
      <c r="A192" t="inlineStr">
        <is>
          <t>Heron View</t>
        </is>
      </c>
      <c r="B192" t="inlineStr">
        <is>
          <t>HVM202</t>
        </is>
      </c>
      <c r="C192" t="b">
        <v>0</v>
      </c>
      <c r="D192" t="b">
        <v>0</v>
      </c>
      <c r="E192" t="n">
        <v>1100000</v>
      </c>
      <c r="F192" s="7" t="n">
        <v>45561</v>
      </c>
      <c r="G192" t="inlineStr"/>
      <c r="H192" t="n">
        <v>1100000</v>
      </c>
    </row>
    <row r="193">
      <c r="A193" t="inlineStr">
        <is>
          <t>Heron View</t>
        </is>
      </c>
      <c r="B193" t="inlineStr">
        <is>
          <t>HVM203</t>
        </is>
      </c>
      <c r="C193" t="b">
        <v>0</v>
      </c>
      <c r="D193" t="b">
        <v>0</v>
      </c>
      <c r="E193" t="n">
        <v>1100000</v>
      </c>
      <c r="F193" s="7" t="n">
        <v>45561</v>
      </c>
      <c r="G193" t="inlineStr"/>
      <c r="H193" t="n">
        <v>1100000</v>
      </c>
    </row>
    <row r="194">
      <c r="A194" t="inlineStr">
        <is>
          <t>Heron View</t>
        </is>
      </c>
      <c r="B194" t="inlineStr">
        <is>
          <t>HVM204</t>
        </is>
      </c>
      <c r="C194" t="b">
        <v>0</v>
      </c>
      <c r="D194" t="b">
        <v>0</v>
      </c>
      <c r="E194" t="n">
        <v>1100000</v>
      </c>
      <c r="F194" s="7" t="n">
        <v>45561</v>
      </c>
      <c r="G194" t="inlineStr"/>
      <c r="H194" t="n">
        <v>1100000</v>
      </c>
    </row>
    <row r="195">
      <c r="A195" t="inlineStr">
        <is>
          <t>Heron View</t>
        </is>
      </c>
      <c r="B195" t="inlineStr">
        <is>
          <t>HVN101</t>
        </is>
      </c>
      <c r="C195" t="b">
        <v>1</v>
      </c>
      <c r="D195" t="b">
        <v>1</v>
      </c>
      <c r="E195" t="n">
        <v>1000000</v>
      </c>
      <c r="F195" s="7" t="n">
        <v>45310</v>
      </c>
      <c r="G195" s="7" t="n">
        <v>45310</v>
      </c>
      <c r="H195" t="n">
        <v>968582.3099999999</v>
      </c>
    </row>
    <row r="196">
      <c r="A196" t="inlineStr">
        <is>
          <t>Heron View</t>
        </is>
      </c>
      <c r="B196" t="inlineStr">
        <is>
          <t>HVN102</t>
        </is>
      </c>
      <c r="C196" t="b">
        <v>1</v>
      </c>
      <c r="D196" t="b">
        <v>1</v>
      </c>
      <c r="E196" t="n">
        <v>1000000</v>
      </c>
      <c r="F196" s="7" t="n">
        <v>45420</v>
      </c>
      <c r="G196" s="7" t="n">
        <v>45420</v>
      </c>
      <c r="H196" t="n">
        <v>1000000</v>
      </c>
    </row>
    <row r="197">
      <c r="A197" t="inlineStr">
        <is>
          <t>Heron View</t>
        </is>
      </c>
      <c r="B197" t="inlineStr">
        <is>
          <t>HVN103</t>
        </is>
      </c>
      <c r="C197" t="b">
        <v>1</v>
      </c>
      <c r="D197" t="b">
        <v>1</v>
      </c>
      <c r="E197" t="n">
        <v>1000000</v>
      </c>
      <c r="F197" s="7" t="n">
        <v>45308</v>
      </c>
      <c r="G197" s="7" t="n">
        <v>45308</v>
      </c>
      <c r="H197" t="n">
        <v>950980.33</v>
      </c>
    </row>
    <row r="198">
      <c r="A198" t="inlineStr">
        <is>
          <t>Heron View</t>
        </is>
      </c>
      <c r="B198" t="inlineStr">
        <is>
          <t>HVN104</t>
        </is>
      </c>
      <c r="C198" t="b">
        <v>1</v>
      </c>
      <c r="D198" t="b">
        <v>1</v>
      </c>
      <c r="E198" t="n">
        <v>1000000</v>
      </c>
      <c r="F198" s="7" t="n">
        <v>45369</v>
      </c>
      <c r="G198" s="7" t="n">
        <v>45369</v>
      </c>
      <c r="H198" t="n">
        <v>1000000</v>
      </c>
    </row>
    <row r="199">
      <c r="A199" t="inlineStr">
        <is>
          <t>Heron View</t>
        </is>
      </c>
      <c r="B199" t="inlineStr">
        <is>
          <t>HVN201</t>
        </is>
      </c>
      <c r="C199" t="b">
        <v>1</v>
      </c>
      <c r="D199" t="b">
        <v>1</v>
      </c>
      <c r="E199" t="n">
        <v>1000000</v>
      </c>
      <c r="F199" s="7" t="n">
        <v>45308</v>
      </c>
      <c r="G199" s="7" t="n">
        <v>45308</v>
      </c>
      <c r="H199" t="n">
        <v>1000000</v>
      </c>
    </row>
    <row r="200">
      <c r="A200" t="inlineStr">
        <is>
          <t>Heron View</t>
        </is>
      </c>
      <c r="B200" t="inlineStr">
        <is>
          <t>HVN202</t>
        </is>
      </c>
      <c r="C200" t="b">
        <v>1</v>
      </c>
      <c r="D200" t="b">
        <v>1</v>
      </c>
      <c r="E200" t="n">
        <v>1000000</v>
      </c>
      <c r="F200" s="7" t="n">
        <v>45327</v>
      </c>
      <c r="G200" s="7" t="n">
        <v>45327</v>
      </c>
      <c r="H200" t="n">
        <v>1000000</v>
      </c>
    </row>
    <row r="201">
      <c r="A201" t="inlineStr">
        <is>
          <t>Heron View</t>
        </is>
      </c>
      <c r="B201" t="inlineStr">
        <is>
          <t>HVN203</t>
        </is>
      </c>
      <c r="C201" t="b">
        <v>1</v>
      </c>
      <c r="D201" t="b">
        <v>1</v>
      </c>
      <c r="E201" t="n">
        <v>1000000</v>
      </c>
      <c r="F201" s="7" t="n">
        <v>45336</v>
      </c>
      <c r="G201" s="7" t="n">
        <v>45336</v>
      </c>
      <c r="H201" t="n">
        <v>1000000</v>
      </c>
    </row>
    <row r="202">
      <c r="A202" t="inlineStr">
        <is>
          <t>Heron View</t>
        </is>
      </c>
      <c r="B202" t="inlineStr">
        <is>
          <t>HVN204</t>
        </is>
      </c>
      <c r="C202" t="b">
        <v>1</v>
      </c>
      <c r="D202" t="b">
        <v>1</v>
      </c>
      <c r="E202" t="n">
        <v>1000000</v>
      </c>
      <c r="F202" s="7" t="n">
        <v>45314</v>
      </c>
      <c r="G202" s="7" t="n">
        <v>45314</v>
      </c>
      <c r="H202" t="n">
        <v>1000000</v>
      </c>
    </row>
    <row r="203">
      <c r="A203" t="inlineStr">
        <is>
          <t>Heron View</t>
        </is>
      </c>
      <c r="B203" t="inlineStr">
        <is>
          <t>HVN301</t>
        </is>
      </c>
      <c r="C203" t="b">
        <v>1</v>
      </c>
      <c r="D203" t="b">
        <v>0</v>
      </c>
      <c r="E203" t="n">
        <v>1000000</v>
      </c>
      <c r="F203" s="7" t="n">
        <v>45484</v>
      </c>
      <c r="G203" t="inlineStr"/>
      <c r="H203" t="n">
        <v>1000000</v>
      </c>
    </row>
    <row r="204">
      <c r="A204" t="inlineStr">
        <is>
          <t>Heron View</t>
        </is>
      </c>
      <c r="B204" t="inlineStr">
        <is>
          <t>HVN302</t>
        </is>
      </c>
      <c r="C204" t="b">
        <v>0</v>
      </c>
      <c r="D204" t="b">
        <v>0</v>
      </c>
      <c r="E204" t="n">
        <v>1000000</v>
      </c>
      <c r="F204" s="7" t="n">
        <v>45547</v>
      </c>
      <c r="G204" t="inlineStr"/>
      <c r="H204" t="n">
        <v>1000000</v>
      </c>
    </row>
    <row r="205">
      <c r="A205" t="inlineStr">
        <is>
          <t>Heron View</t>
        </is>
      </c>
      <c r="B205" t="inlineStr">
        <is>
          <t>HVN303</t>
        </is>
      </c>
      <c r="C205" t="b">
        <v>0</v>
      </c>
      <c r="D205" t="b">
        <v>0</v>
      </c>
      <c r="E205" t="n">
        <v>1000000</v>
      </c>
      <c r="F205" s="7" t="n">
        <v>45547</v>
      </c>
      <c r="G205" t="inlineStr"/>
      <c r="H205" t="n">
        <v>1000000</v>
      </c>
    </row>
    <row r="206">
      <c r="A206" t="inlineStr">
        <is>
          <t>Heron View</t>
        </is>
      </c>
      <c r="B206" t="inlineStr">
        <is>
          <t>HVN304</t>
        </is>
      </c>
      <c r="C206" t="b">
        <v>1</v>
      </c>
      <c r="D206" t="b">
        <v>0</v>
      </c>
      <c r="E206" t="n">
        <v>1000000</v>
      </c>
      <c r="F206" s="7" t="n">
        <v>45547</v>
      </c>
      <c r="G206" t="inlineStr"/>
      <c r="H206" t="n">
        <v>1012910.96</v>
      </c>
    </row>
    <row r="207">
      <c r="A207" t="inlineStr">
        <is>
          <t>Heron View</t>
        </is>
      </c>
      <c r="B207" t="inlineStr">
        <is>
          <t>HVO101</t>
        </is>
      </c>
      <c r="C207" t="b">
        <v>1</v>
      </c>
      <c r="D207" t="b">
        <v>0</v>
      </c>
      <c r="E207" t="n">
        <v>1100000</v>
      </c>
      <c r="F207" s="7" t="n">
        <v>45518</v>
      </c>
      <c r="G207" t="inlineStr"/>
      <c r="H207" t="n">
        <v>1103538.43</v>
      </c>
    </row>
    <row r="208">
      <c r="A208" t="inlineStr">
        <is>
          <t>Heron View</t>
        </is>
      </c>
      <c r="B208" t="inlineStr">
        <is>
          <t>HVO102</t>
        </is>
      </c>
      <c r="C208" t="b">
        <v>1</v>
      </c>
      <c r="D208" t="b">
        <v>0</v>
      </c>
      <c r="E208" t="n">
        <v>1100000</v>
      </c>
      <c r="F208" s="7" t="n">
        <v>45518</v>
      </c>
      <c r="G208" t="inlineStr"/>
      <c r="H208" t="n">
        <v>1097295.56</v>
      </c>
    </row>
    <row r="209">
      <c r="A209" t="inlineStr">
        <is>
          <t>Heron View</t>
        </is>
      </c>
      <c r="B209" t="inlineStr">
        <is>
          <t>HVO103</t>
        </is>
      </c>
      <c r="C209" t="b">
        <v>1</v>
      </c>
      <c r="D209" t="b">
        <v>0</v>
      </c>
      <c r="E209" t="n">
        <v>1100000</v>
      </c>
      <c r="F209" s="7" t="n">
        <v>45518</v>
      </c>
      <c r="G209" t="inlineStr"/>
      <c r="H209" t="n">
        <v>1118756.85</v>
      </c>
    </row>
    <row r="210">
      <c r="A210" t="inlineStr">
        <is>
          <t>Heron View</t>
        </is>
      </c>
      <c r="B210" t="inlineStr">
        <is>
          <t>HVO104</t>
        </is>
      </c>
      <c r="C210" t="b">
        <v>1</v>
      </c>
      <c r="D210" t="b">
        <v>0</v>
      </c>
      <c r="E210" t="n">
        <v>1100000</v>
      </c>
      <c r="F210" s="7" t="n">
        <v>45518</v>
      </c>
      <c r="G210" t="inlineStr"/>
      <c r="H210" t="n">
        <v>1108630.14</v>
      </c>
    </row>
    <row r="211">
      <c r="A211" t="inlineStr">
        <is>
          <t>Heron View</t>
        </is>
      </c>
      <c r="B211" t="inlineStr">
        <is>
          <t>HVO105</t>
        </is>
      </c>
      <c r="C211" t="b">
        <v>1</v>
      </c>
      <c r="D211" t="b">
        <v>0</v>
      </c>
      <c r="E211" t="n">
        <v>1100000</v>
      </c>
      <c r="F211" s="7" t="n">
        <v>45518</v>
      </c>
      <c r="G211" t="inlineStr"/>
      <c r="H211" t="n">
        <v>1673825.34</v>
      </c>
    </row>
    <row r="212">
      <c r="A212" t="inlineStr">
        <is>
          <t>Heron View</t>
        </is>
      </c>
      <c r="B212" t="inlineStr">
        <is>
          <t>HVO201</t>
        </is>
      </c>
      <c r="C212" t="b">
        <v>1</v>
      </c>
      <c r="D212" t="b">
        <v>0</v>
      </c>
      <c r="E212" t="n">
        <v>1100000</v>
      </c>
      <c r="F212" s="7" t="n">
        <v>45518</v>
      </c>
      <c r="G212" t="inlineStr"/>
      <c r="H212" t="n">
        <v>1046447.94</v>
      </c>
    </row>
    <row r="213">
      <c r="A213" t="inlineStr">
        <is>
          <t>Heron View</t>
        </is>
      </c>
      <c r="B213" t="inlineStr">
        <is>
          <t>HVO202</t>
        </is>
      </c>
      <c r="C213" t="b">
        <v>1</v>
      </c>
      <c r="D213" t="b">
        <v>0</v>
      </c>
      <c r="E213" t="n">
        <v>1100000</v>
      </c>
      <c r="F213" s="7" t="n">
        <v>45518</v>
      </c>
      <c r="G213" t="inlineStr"/>
      <c r="H213" t="n">
        <v>1116688.51</v>
      </c>
    </row>
    <row r="214">
      <c r="A214" t="inlineStr">
        <is>
          <t>Heron View</t>
        </is>
      </c>
      <c r="B214" t="inlineStr">
        <is>
          <t>HVO203</t>
        </is>
      </c>
      <c r="C214" t="b">
        <v>1</v>
      </c>
      <c r="D214" t="b">
        <v>0</v>
      </c>
      <c r="E214" t="n">
        <v>1100000</v>
      </c>
      <c r="F214" s="7" t="n">
        <v>45518</v>
      </c>
      <c r="G214" t="inlineStr"/>
      <c r="H214" t="n">
        <v>1121470.62</v>
      </c>
    </row>
    <row r="215">
      <c r="A215" t="inlineStr">
        <is>
          <t>Heron View</t>
        </is>
      </c>
      <c r="B215" t="inlineStr">
        <is>
          <t>HVO204</t>
        </is>
      </c>
      <c r="C215" t="b">
        <v>1</v>
      </c>
      <c r="D215" t="b">
        <v>0</v>
      </c>
      <c r="E215" t="n">
        <v>1100000</v>
      </c>
      <c r="F215" s="7" t="n">
        <v>45518</v>
      </c>
      <c r="G215" t="inlineStr"/>
      <c r="H215" t="n">
        <v>1090952.05</v>
      </c>
    </row>
    <row r="216">
      <c r="A216" t="inlineStr">
        <is>
          <t>Heron View</t>
        </is>
      </c>
      <c r="B216" t="inlineStr">
        <is>
          <t>HVO205</t>
        </is>
      </c>
      <c r="C216" t="b">
        <v>1</v>
      </c>
      <c r="D216" t="b">
        <v>0</v>
      </c>
      <c r="E216" t="n">
        <v>1100000</v>
      </c>
      <c r="F216" s="7" t="n">
        <v>45545</v>
      </c>
      <c r="G216" t="inlineStr"/>
      <c r="H216" t="n">
        <v>1100000</v>
      </c>
    </row>
    <row r="217">
      <c r="A217" t="inlineStr">
        <is>
          <t>Heron View</t>
        </is>
      </c>
      <c r="B217" t="inlineStr">
        <is>
          <t>HVO301</t>
        </is>
      </c>
      <c r="C217" t="b">
        <v>1</v>
      </c>
      <c r="D217" t="b">
        <v>0</v>
      </c>
      <c r="E217" t="n">
        <v>1100000</v>
      </c>
      <c r="F217" s="7" t="n">
        <v>45532</v>
      </c>
      <c r="G217" t="inlineStr"/>
      <c r="H217" t="n">
        <v>1116947.94</v>
      </c>
    </row>
    <row r="218">
      <c r="A218" t="inlineStr">
        <is>
          <t>Heron View</t>
        </is>
      </c>
      <c r="B218" t="inlineStr">
        <is>
          <t>HVO302</t>
        </is>
      </c>
      <c r="C218" t="b">
        <v>0</v>
      </c>
      <c r="D218" t="b">
        <v>0</v>
      </c>
      <c r="E218" t="n">
        <v>1100000</v>
      </c>
      <c r="F218" s="7" t="n">
        <v>45518</v>
      </c>
      <c r="G218" t="inlineStr"/>
      <c r="H218" t="n">
        <v>1111295.21</v>
      </c>
    </row>
    <row r="219">
      <c r="A219" t="inlineStr">
        <is>
          <t>Heron View</t>
        </is>
      </c>
      <c r="B219" t="inlineStr">
        <is>
          <t>HVO303</t>
        </is>
      </c>
      <c r="C219" t="b">
        <v>1</v>
      </c>
      <c r="D219" t="b">
        <v>0</v>
      </c>
      <c r="E219" t="n">
        <v>1100000</v>
      </c>
      <c r="F219" s="7" t="n">
        <v>45518</v>
      </c>
      <c r="G219" t="inlineStr"/>
      <c r="H219" t="n">
        <v>1100000</v>
      </c>
    </row>
    <row r="220">
      <c r="A220" t="inlineStr">
        <is>
          <t>Heron View</t>
        </is>
      </c>
      <c r="B220" t="inlineStr">
        <is>
          <t>HVO304</t>
        </is>
      </c>
      <c r="C220" t="b">
        <v>0</v>
      </c>
      <c r="D220" t="b">
        <v>0</v>
      </c>
      <c r="E220" t="n">
        <v>1100000</v>
      </c>
      <c r="F220" s="7" t="n">
        <v>45546</v>
      </c>
      <c r="G220" t="inlineStr"/>
      <c r="H220" t="n">
        <v>1119247.26</v>
      </c>
    </row>
    <row r="221">
      <c r="A221" t="inlineStr">
        <is>
          <t>Heron View</t>
        </is>
      </c>
      <c r="B221" t="inlineStr">
        <is>
          <t>HVO305</t>
        </is>
      </c>
      <c r="C221" t="b">
        <v>1</v>
      </c>
      <c r="D221" t="b">
        <v>0</v>
      </c>
      <c r="E221" t="n">
        <v>1100000</v>
      </c>
      <c r="F221" s="7" t="n">
        <v>45532</v>
      </c>
      <c r="G221" t="inlineStr"/>
      <c r="H221" t="n">
        <v>1118439.04</v>
      </c>
    </row>
    <row r="222">
      <c r="A222" t="inlineStr">
        <is>
          <t>Heron View</t>
        </is>
      </c>
      <c r="B222" t="inlineStr">
        <is>
          <t>HVP101</t>
        </is>
      </c>
      <c r="C222" t="b">
        <v>1</v>
      </c>
      <c r="D222" t="b">
        <v>1</v>
      </c>
      <c r="E222" t="n">
        <v>1100000</v>
      </c>
      <c r="F222" s="7" t="n">
        <v>45177</v>
      </c>
      <c r="G222" s="7" t="n">
        <v>45177</v>
      </c>
      <c r="H222" t="n">
        <v>1100000</v>
      </c>
    </row>
    <row r="223">
      <c r="A223" t="inlineStr">
        <is>
          <t>Heron View</t>
        </is>
      </c>
      <c r="B223" t="inlineStr">
        <is>
          <t>HVP102</t>
        </is>
      </c>
      <c r="C223" t="b">
        <v>1</v>
      </c>
      <c r="D223" t="b">
        <v>1</v>
      </c>
      <c r="E223" t="n">
        <v>1100000</v>
      </c>
      <c r="F223" s="7" t="n">
        <v>45177</v>
      </c>
      <c r="G223" s="7" t="n">
        <v>45177</v>
      </c>
      <c r="H223" t="n">
        <v>1100000</v>
      </c>
    </row>
    <row r="224">
      <c r="A224" t="inlineStr">
        <is>
          <t>Heron View</t>
        </is>
      </c>
      <c r="B224" t="inlineStr">
        <is>
          <t>HVP103</t>
        </is>
      </c>
      <c r="C224" t="b">
        <v>1</v>
      </c>
      <c r="D224" t="b">
        <v>1</v>
      </c>
      <c r="E224" t="n">
        <v>1100000</v>
      </c>
      <c r="F224" s="7" t="n">
        <v>45177</v>
      </c>
      <c r="G224" s="7" t="n">
        <v>45177</v>
      </c>
      <c r="H224" t="n">
        <v>1100000</v>
      </c>
    </row>
    <row r="225">
      <c r="A225" t="inlineStr">
        <is>
          <t>Heron View</t>
        </is>
      </c>
      <c r="B225" t="inlineStr">
        <is>
          <t>HVP201</t>
        </is>
      </c>
      <c r="C225" t="b">
        <v>1</v>
      </c>
      <c r="D225" t="b">
        <v>1</v>
      </c>
      <c r="E225" t="n">
        <v>1100000</v>
      </c>
      <c r="F225" s="7" t="n">
        <v>45471</v>
      </c>
      <c r="G225" s="7" t="n">
        <v>45462</v>
      </c>
      <c r="H225" t="n">
        <v>1100000</v>
      </c>
    </row>
    <row r="226">
      <c r="A226" t="inlineStr">
        <is>
          <t>Heron View</t>
        </is>
      </c>
      <c r="B226" t="inlineStr">
        <is>
          <t>HVP202</t>
        </is>
      </c>
      <c r="C226" t="b">
        <v>1</v>
      </c>
      <c r="D226" t="b">
        <v>1</v>
      </c>
      <c r="E226" t="n">
        <v>1100000</v>
      </c>
      <c r="F226" s="7" t="n">
        <v>45201</v>
      </c>
      <c r="G226" s="7" t="n">
        <v>45191</v>
      </c>
      <c r="H226" t="n">
        <v>1110000</v>
      </c>
    </row>
    <row r="227">
      <c r="A227" t="inlineStr">
        <is>
          <t>Heron View</t>
        </is>
      </c>
      <c r="B227" t="inlineStr">
        <is>
          <t>HVP203</t>
        </is>
      </c>
      <c r="C227" t="b">
        <v>0</v>
      </c>
      <c r="D227" t="b">
        <v>0</v>
      </c>
      <c r="E227" t="n">
        <v>1100000</v>
      </c>
      <c r="F227" s="7" t="n">
        <v>45533</v>
      </c>
      <c r="G227" t="inlineStr"/>
      <c r="H227" t="n">
        <v>1100000</v>
      </c>
    </row>
    <row r="228">
      <c r="A228" t="inlineStr">
        <is>
          <t>Heron View</t>
        </is>
      </c>
      <c r="B228" t="inlineStr">
        <is>
          <t>HVP301</t>
        </is>
      </c>
      <c r="C228" t="b">
        <v>1</v>
      </c>
      <c r="D228" t="b">
        <v>1</v>
      </c>
      <c r="E228" t="n">
        <v>1100000</v>
      </c>
      <c r="F228" s="7" t="n">
        <v>45247</v>
      </c>
      <c r="G228" s="7" t="n">
        <v>45247</v>
      </c>
      <c r="H228" t="n">
        <v>1106405.48</v>
      </c>
    </row>
    <row r="229">
      <c r="A229" t="inlineStr">
        <is>
          <t>Heron View</t>
        </is>
      </c>
      <c r="B229" t="inlineStr">
        <is>
          <t>HVP302</t>
        </is>
      </c>
      <c r="C229" t="b">
        <v>1</v>
      </c>
      <c r="D229" t="b">
        <v>1</v>
      </c>
      <c r="E229" t="n">
        <v>1100000</v>
      </c>
      <c r="F229" s="7" t="n">
        <v>45271</v>
      </c>
      <c r="G229" s="7" t="n">
        <v>45271</v>
      </c>
      <c r="H229" t="n">
        <v>1050738.7</v>
      </c>
    </row>
    <row r="230">
      <c r="A230" t="inlineStr">
        <is>
          <t>Heron View</t>
        </is>
      </c>
      <c r="B230" t="inlineStr">
        <is>
          <t>HVP303</t>
        </is>
      </c>
      <c r="C230" t="b">
        <v>0</v>
      </c>
      <c r="D230" t="b">
        <v>0</v>
      </c>
      <c r="E230" t="n">
        <v>1100000</v>
      </c>
      <c r="F230" s="7" t="n">
        <v>45533</v>
      </c>
      <c r="G230" t="inlineStr"/>
      <c r="H230" t="n">
        <v>1100000</v>
      </c>
    </row>
  </sheetData>
  <autoFilter ref="A5:H230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001072BA"/>
    <outlinePr summaryBelow="1" summaryRight="1"/>
    <pageSetUpPr/>
  </sheetPr>
  <dimension ref="A1:T26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15" customWidth="1" min="1" max="1"/>
    <col width="21" customWidth="1" min="2" max="2"/>
    <col width="16" customWidth="1" min="3" max="3"/>
    <col width="8" customWidth="1" min="4" max="4"/>
    <col width="26" customWidth="1" min="5" max="5"/>
    <col width="35" customWidth="1" min="6" max="6"/>
    <col width="26" customWidth="1" min="7" max="7"/>
    <col width="19" customWidth="1" min="8" max="8"/>
    <col width="21" customWidth="1" min="9" max="9"/>
    <col width="21" customWidth="1" min="10" max="10"/>
    <col width="21" customWidth="1" min="11" max="11"/>
    <col width="21" customWidth="1" min="12" max="12"/>
    <col width="21" customWidth="1" min="13" max="13"/>
    <col width="21" customWidth="1" min="14" max="14"/>
    <col width="21" customWidth="1" min="15" max="15"/>
    <col width="21" customWidth="1" min="16" max="16"/>
    <col width="21" customWidth="1" min="17" max="17"/>
    <col width="21" customWidth="1" min="18" max="18"/>
    <col width="21" customWidth="1" min="19" max="19"/>
    <col width="21" customWidth="1" min="20" max="20"/>
  </cols>
  <sheetData>
    <row r="1">
      <c r="A1" t="inlineStr">
        <is>
          <t>Construction</t>
        </is>
      </c>
    </row>
    <row r="2">
      <c r="A2" t="inlineStr"/>
      <c r="I2" s="1">
        <f>SUBTOTAL(9,I5:I26)</f>
        <v/>
      </c>
      <c r="J2" s="1">
        <f>SUBTOTAL(9,J5:J26)</f>
        <v/>
      </c>
      <c r="K2" s="1">
        <f>SUBTOTAL(9,K5:K26)</f>
        <v/>
      </c>
      <c r="L2" s="1">
        <f>SUBTOTAL(9,L5:L26)</f>
        <v/>
      </c>
      <c r="M2" s="1">
        <f>SUBTOTAL(9,M5:M26)</f>
        <v/>
      </c>
      <c r="N2" s="1">
        <f>SUBTOTAL(9,N5:N26)</f>
        <v/>
      </c>
      <c r="O2" s="1">
        <f>SUBTOTAL(9,O5:O26)</f>
        <v/>
      </c>
      <c r="P2" s="1">
        <f>SUBTOTAL(9,P5:P26)</f>
        <v/>
      </c>
      <c r="Q2" s="1">
        <f>SUBTOTAL(9,Q5:Q26)</f>
        <v/>
      </c>
      <c r="R2" s="1">
        <f>SUBTOTAL(9,R5:R26)</f>
        <v/>
      </c>
      <c r="S2" s="1">
        <f>SUBTOTAL(9,S5:S26)</f>
        <v/>
      </c>
      <c r="T2" s="1">
        <f>SUBTOTAL(9,T5:T26)</f>
        <v/>
      </c>
    </row>
    <row r="3">
      <c r="A3" t="inlineStr"/>
    </row>
    <row r="4">
      <c r="A4" t="inlineStr">
        <is>
          <t>Whitebox-Able</t>
        </is>
      </c>
      <c r="B4" t="inlineStr">
        <is>
          <t>Blocks</t>
        </is>
      </c>
      <c r="C4" t="inlineStr">
        <is>
          <t>Complete Build</t>
        </is>
      </c>
      <c r="D4" t="inlineStr">
        <is>
          <t>Option</t>
        </is>
      </c>
      <c r="E4" t="inlineStr">
        <is>
          <t>Remaining As Per Options</t>
        </is>
      </c>
      <c r="F4" t="inlineStr">
        <is>
          <t>To Complete After Option Achieved</t>
        </is>
      </c>
      <c r="G4" t="inlineStr">
        <is>
          <t xml:space="preserve"> Total Cost To Complete </t>
        </is>
      </c>
      <c r="H4" t="inlineStr">
        <is>
          <t>2024/03/31 Actual</t>
        </is>
      </c>
      <c r="I4" t="inlineStr">
        <is>
          <t>30-Apr-24</t>
        </is>
      </c>
      <c r="J4" t="inlineStr">
        <is>
          <t>30-May-24</t>
        </is>
      </c>
      <c r="K4" t="inlineStr">
        <is>
          <t>29-Jun-24</t>
        </is>
      </c>
      <c r="L4" t="inlineStr">
        <is>
          <t>29-Jul-24</t>
        </is>
      </c>
      <c r="M4" t="inlineStr">
        <is>
          <t>28-Aug-24</t>
        </is>
      </c>
      <c r="N4" t="inlineStr">
        <is>
          <t>27-Sep-24</t>
        </is>
      </c>
      <c r="O4" t="inlineStr">
        <is>
          <t>31-Oct-24</t>
        </is>
      </c>
      <c r="P4" t="inlineStr">
        <is>
          <t>30-Nov-24</t>
        </is>
      </c>
      <c r="Q4" t="inlineStr">
        <is>
          <t>31-Dec-24</t>
        </is>
      </c>
      <c r="R4" t="inlineStr">
        <is>
          <t>31-Jan-25</t>
        </is>
      </c>
      <c r="S4" t="inlineStr">
        <is>
          <t xml:space="preserve">2025/02/28
</t>
        </is>
      </c>
      <c r="T4" t="inlineStr">
        <is>
          <t>Renamed Block</t>
        </is>
      </c>
    </row>
    <row r="5">
      <c r="A5" t="b">
        <v>0</v>
      </c>
      <c r="B5" t="inlineStr">
        <is>
          <t>Block D</t>
        </is>
      </c>
      <c r="C5" t="n">
        <v>1</v>
      </c>
      <c r="D5" t="n">
        <v>4</v>
      </c>
      <c r="E5" t="n">
        <v>736049.8</v>
      </c>
      <c r="F5" t="n">
        <v>0</v>
      </c>
      <c r="G5" t="n">
        <v>736049.8</v>
      </c>
      <c r="H5" t="n">
        <v>49331.3</v>
      </c>
      <c r="I5" s="1" t="n">
        <v>190915.5</v>
      </c>
      <c r="J5" s="1" t="n">
        <v>48247.07</v>
      </c>
      <c r="K5" s="1" t="n">
        <v>143138.37</v>
      </c>
      <c r="L5" s="1" t="n">
        <v>157696.45</v>
      </c>
      <c r="M5" s="1" t="n">
        <v>91046.99000000001</v>
      </c>
      <c r="N5" s="1" t="n">
        <v>91046.99000000001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inlineStr">
        <is>
          <t>D</t>
        </is>
      </c>
    </row>
    <row r="6">
      <c r="A6" t="b">
        <v>0</v>
      </c>
      <c r="B6" t="inlineStr">
        <is>
          <t>Block E - No option</t>
        </is>
      </c>
      <c r="C6" t="n">
        <v>1</v>
      </c>
      <c r="D6" t="n">
        <v>3</v>
      </c>
      <c r="E6" t="n">
        <v>0</v>
      </c>
      <c r="F6" t="n">
        <v>7812115.78</v>
      </c>
      <c r="G6" t="n">
        <v>7812115.78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>
        <is>
          <t>E</t>
        </is>
      </c>
    </row>
    <row r="7">
      <c r="A7" t="b">
        <v>0</v>
      </c>
      <c r="B7" t="inlineStr">
        <is>
          <t>Block F - No option</t>
        </is>
      </c>
      <c r="C7" t="n">
        <v>1</v>
      </c>
      <c r="D7" t="n">
        <v>3</v>
      </c>
      <c r="E7" t="n">
        <v>64214.68</v>
      </c>
      <c r="F7" t="n">
        <v>5162146.1</v>
      </c>
      <c r="G7" t="n">
        <v>5226360.78</v>
      </c>
      <c r="H7" t="n">
        <v>2209.08</v>
      </c>
      <c r="I7" t="n">
        <v>73846.8</v>
      </c>
      <c r="J7" t="n">
        <v>16408.7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inlineStr">
        <is>
          <t>F</t>
        </is>
      </c>
    </row>
    <row r="8">
      <c r="A8" t="b">
        <v>0</v>
      </c>
      <c r="B8" t="inlineStr">
        <is>
          <t>Block G</t>
        </is>
      </c>
      <c r="C8" t="n">
        <v>1</v>
      </c>
      <c r="D8" t="n">
        <v>3</v>
      </c>
      <c r="E8" t="n">
        <v>2945108.08</v>
      </c>
      <c r="F8" t="n">
        <v>3648454.4</v>
      </c>
      <c r="G8" t="n">
        <v>6593562.48</v>
      </c>
      <c r="H8" t="n">
        <v>594000.4</v>
      </c>
      <c r="I8" t="n">
        <v>455163.93</v>
      </c>
      <c r="J8" t="n">
        <v>159168.12</v>
      </c>
      <c r="K8" t="n">
        <v>230029.14</v>
      </c>
      <c r="L8" t="n">
        <v>346437.1</v>
      </c>
      <c r="M8" t="n">
        <v>274959.9</v>
      </c>
      <c r="N8" t="n">
        <v>144600.68</v>
      </c>
      <c r="O8" t="n">
        <v>0</v>
      </c>
      <c r="P8" t="n">
        <v>0</v>
      </c>
      <c r="Q8" t="n">
        <v>109446.76</v>
      </c>
      <c r="R8" t="n">
        <v>0</v>
      </c>
      <c r="S8" t="n">
        <v>0</v>
      </c>
      <c r="T8" t="inlineStr">
        <is>
          <t>G</t>
        </is>
      </c>
    </row>
    <row r="9">
      <c r="A9" t="b">
        <v>0</v>
      </c>
      <c r="B9" t="inlineStr">
        <is>
          <t>Block H</t>
        </is>
      </c>
      <c r="C9" t="n">
        <v>1</v>
      </c>
      <c r="D9" t="n">
        <v>5</v>
      </c>
      <c r="E9" t="n">
        <v>4943940.7</v>
      </c>
      <c r="F9" t="n">
        <v>0</v>
      </c>
      <c r="G9" t="n">
        <v>4943940.7</v>
      </c>
      <c r="H9" t="n">
        <v>459533.98</v>
      </c>
      <c r="I9" t="n">
        <v>863067.8100000001</v>
      </c>
      <c r="J9" t="n">
        <v>1158540.47</v>
      </c>
      <c r="K9" t="n">
        <v>891811.83</v>
      </c>
      <c r="L9" t="n">
        <v>192368.19</v>
      </c>
      <c r="M9" t="n">
        <v>0</v>
      </c>
      <c r="N9" t="n">
        <v>309955.98</v>
      </c>
      <c r="O9" t="n">
        <v>39795.95</v>
      </c>
      <c r="P9" t="n">
        <v>0</v>
      </c>
      <c r="Q9" t="n">
        <v>0</v>
      </c>
      <c r="R9" t="n">
        <v>0</v>
      </c>
      <c r="S9" t="n">
        <v>0</v>
      </c>
      <c r="T9" t="inlineStr">
        <is>
          <t>H</t>
        </is>
      </c>
    </row>
    <row r="10">
      <c r="A10" t="b">
        <v>0</v>
      </c>
      <c r="B10" t="inlineStr">
        <is>
          <t>Block I</t>
        </is>
      </c>
      <c r="C10" t="n">
        <v>1</v>
      </c>
      <c r="D10" t="n">
        <v>3</v>
      </c>
      <c r="E10" t="n">
        <v>1781222.58</v>
      </c>
      <c r="F10" t="n">
        <v>3185338.74</v>
      </c>
      <c r="G10" t="n">
        <v>4966561.32</v>
      </c>
      <c r="H10" t="n">
        <v>461398.07</v>
      </c>
      <c r="I10" t="n">
        <v>426849.97</v>
      </c>
      <c r="J10" t="n">
        <v>112241.15</v>
      </c>
      <c r="K10" t="n">
        <v>326735.77</v>
      </c>
      <c r="L10" t="n">
        <v>113353.39</v>
      </c>
      <c r="M10" t="n">
        <v>77540.85000000001</v>
      </c>
      <c r="N10" t="n">
        <v>0</v>
      </c>
      <c r="O10" t="n">
        <v>41624.66</v>
      </c>
      <c r="P10" t="n">
        <v>0</v>
      </c>
      <c r="Q10" t="n">
        <v>0</v>
      </c>
      <c r="R10" t="n">
        <v>0</v>
      </c>
      <c r="S10" t="n">
        <v>0</v>
      </c>
      <c r="T10" t="inlineStr">
        <is>
          <t>I</t>
        </is>
      </c>
    </row>
    <row r="11">
      <c r="A11" t="b">
        <v>0</v>
      </c>
      <c r="B11" t="inlineStr">
        <is>
          <t>Block J</t>
        </is>
      </c>
      <c r="C11" t="n">
        <v>1</v>
      </c>
      <c r="D11" t="n">
        <v>4</v>
      </c>
      <c r="E11" t="n">
        <v>2940452.38</v>
      </c>
      <c r="F11" t="n">
        <v>4426302.4</v>
      </c>
      <c r="G11" t="n">
        <v>7366754.78</v>
      </c>
      <c r="H11" t="n">
        <v>619987.55</v>
      </c>
      <c r="I11" t="n">
        <v>863969.1899999999</v>
      </c>
      <c r="J11" t="n">
        <v>367171.9</v>
      </c>
      <c r="K11" t="n">
        <v>391161.6</v>
      </c>
      <c r="L11" t="n">
        <v>89422.28</v>
      </c>
      <c r="M11" t="n">
        <v>0</v>
      </c>
      <c r="N11" t="n">
        <v>0</v>
      </c>
      <c r="O11" t="n">
        <v>99279.46000000001</v>
      </c>
      <c r="P11" t="n">
        <v>0</v>
      </c>
      <c r="Q11" t="n">
        <v>0</v>
      </c>
      <c r="R11" t="n">
        <v>0</v>
      </c>
      <c r="S11" t="n">
        <v>0</v>
      </c>
      <c r="T11" t="inlineStr">
        <is>
          <t>J</t>
        </is>
      </c>
    </row>
    <row r="12">
      <c r="A12" t="b">
        <v>0</v>
      </c>
      <c r="B12" t="inlineStr">
        <is>
          <t>Block K</t>
        </is>
      </c>
      <c r="C12" t="n">
        <v>1</v>
      </c>
      <c r="D12" t="n">
        <v>4</v>
      </c>
      <c r="E12" t="n">
        <v>4416107.82</v>
      </c>
      <c r="F12" t="n">
        <v>7516438.02</v>
      </c>
      <c r="G12" t="n">
        <v>11932545.84</v>
      </c>
      <c r="H12" t="n">
        <v>878526.95</v>
      </c>
      <c r="I12" t="n">
        <v>557104.61</v>
      </c>
      <c r="J12" t="n">
        <v>747309.22</v>
      </c>
      <c r="K12" t="n">
        <v>487412.09</v>
      </c>
      <c r="L12" t="n">
        <v>347552.06</v>
      </c>
      <c r="M12" t="n">
        <v>101493.05</v>
      </c>
      <c r="N12" t="n">
        <v>0</v>
      </c>
      <c r="O12" t="n">
        <v>193443.31</v>
      </c>
      <c r="P12" t="n">
        <v>0</v>
      </c>
      <c r="Q12" t="n">
        <v>0</v>
      </c>
      <c r="R12" t="n">
        <v>0</v>
      </c>
      <c r="S12" t="n">
        <v>0</v>
      </c>
      <c r="T12" t="inlineStr">
        <is>
          <t>K</t>
        </is>
      </c>
    </row>
    <row r="13">
      <c r="A13" t="b">
        <v>0</v>
      </c>
      <c r="B13" t="inlineStr">
        <is>
          <t>Block L</t>
        </is>
      </c>
      <c r="C13" t="n">
        <v>1</v>
      </c>
      <c r="D13" t="n">
        <v>4</v>
      </c>
      <c r="E13" t="n">
        <v>1086972.32</v>
      </c>
      <c r="F13" t="n">
        <v>3892358.64</v>
      </c>
      <c r="G13" t="n">
        <v>4979330.96</v>
      </c>
      <c r="H13" t="n">
        <v>433899.53</v>
      </c>
      <c r="I13" t="n">
        <v>164572.83</v>
      </c>
      <c r="J13" t="n">
        <v>58525.6</v>
      </c>
      <c r="K13" t="n">
        <v>175198.91</v>
      </c>
      <c r="L13" t="n">
        <v>16355.29</v>
      </c>
      <c r="M13" t="n">
        <v>0</v>
      </c>
      <c r="N13" t="n">
        <v>0</v>
      </c>
      <c r="O13" t="n">
        <v>92132.81</v>
      </c>
      <c r="P13" t="n">
        <v>0</v>
      </c>
      <c r="Q13" t="n">
        <v>0</v>
      </c>
      <c r="R13" t="n">
        <v>0</v>
      </c>
      <c r="S13" t="n">
        <v>0</v>
      </c>
      <c r="T13" t="inlineStr">
        <is>
          <t>L</t>
        </is>
      </c>
    </row>
    <row r="14">
      <c r="A14" t="b">
        <v>0</v>
      </c>
      <c r="B14" t="inlineStr">
        <is>
          <t>Block M</t>
        </is>
      </c>
      <c r="C14" t="n">
        <v>1</v>
      </c>
      <c r="D14" t="n">
        <v>4</v>
      </c>
      <c r="E14" t="n">
        <v>2377677.08</v>
      </c>
      <c r="F14" t="n">
        <v>1796546.32</v>
      </c>
      <c r="G14" t="n">
        <v>4174223.4</v>
      </c>
      <c r="H14" t="n">
        <v>308159.53</v>
      </c>
      <c r="I14" t="n">
        <v>630567.3199999999</v>
      </c>
      <c r="J14" t="n">
        <v>237274.74</v>
      </c>
      <c r="K14" t="n">
        <v>199131.93</v>
      </c>
      <c r="L14" t="n">
        <v>171796.67</v>
      </c>
      <c r="M14" t="n">
        <v>98844.28999999999</v>
      </c>
      <c r="N14" t="n">
        <v>38888.68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inlineStr">
        <is>
          <t>M</t>
        </is>
      </c>
    </row>
    <row r="15">
      <c r="A15" t="b">
        <v>0</v>
      </c>
      <c r="B15" t="inlineStr">
        <is>
          <t>Block N</t>
        </is>
      </c>
      <c r="C15" t="n">
        <v>1</v>
      </c>
      <c r="D15" t="n">
        <v>4</v>
      </c>
      <c r="E15" t="n">
        <v>698570.11</v>
      </c>
      <c r="F15" t="n">
        <v>0</v>
      </c>
      <c r="G15" t="n">
        <v>698570.11</v>
      </c>
      <c r="H15" t="n">
        <v>219532.99</v>
      </c>
      <c r="I15" t="n">
        <v>159073.66</v>
      </c>
      <c r="J15" t="n">
        <v>9936.18</v>
      </c>
      <c r="K15" t="n">
        <v>131331.51</v>
      </c>
      <c r="L15" t="n">
        <v>0</v>
      </c>
      <c r="M15" t="n">
        <v>10125.6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>
        <is>
          <t>N</t>
        </is>
      </c>
    </row>
    <row r="16">
      <c r="A16" t="b">
        <v>0</v>
      </c>
      <c r="B16" t="inlineStr">
        <is>
          <t>Block O</t>
        </is>
      </c>
      <c r="C16" t="n">
        <v>1</v>
      </c>
      <c r="D16" t="n">
        <v>4</v>
      </c>
      <c r="E16" t="n">
        <v>4666778.35</v>
      </c>
      <c r="F16" t="n">
        <v>2019943.35</v>
      </c>
      <c r="G16" t="n">
        <v>6686721.7</v>
      </c>
      <c r="H16" t="n">
        <v>991275.5600000001</v>
      </c>
      <c r="I16" t="n">
        <v>1082014.06</v>
      </c>
      <c r="J16" t="n">
        <v>941289.3100000001</v>
      </c>
      <c r="K16" t="n">
        <v>1035309.18</v>
      </c>
      <c r="L16" t="n">
        <v>272168.98</v>
      </c>
      <c r="M16" t="n">
        <v>0</v>
      </c>
      <c r="N16" t="n">
        <v>0</v>
      </c>
      <c r="O16" t="n">
        <v>577218.7</v>
      </c>
      <c r="P16" t="n">
        <v>56651.9</v>
      </c>
      <c r="Q16" t="n">
        <v>0</v>
      </c>
      <c r="R16" t="n">
        <v>0</v>
      </c>
      <c r="S16" t="n">
        <v>0</v>
      </c>
      <c r="T16" t="inlineStr">
        <is>
          <t>O</t>
        </is>
      </c>
    </row>
    <row r="17">
      <c r="A17" t="b">
        <v>0</v>
      </c>
      <c r="B17" t="inlineStr">
        <is>
          <t>Clubhouse</t>
        </is>
      </c>
      <c r="C17" t="n">
        <v>1</v>
      </c>
      <c r="D17" t="n">
        <v>5</v>
      </c>
      <c r="E17" t="n">
        <v>1832593.48</v>
      </c>
      <c r="F17" t="n">
        <v>1598855</v>
      </c>
      <c r="G17" t="n">
        <v>3431448.48</v>
      </c>
      <c r="H17" t="n">
        <v>297254.31</v>
      </c>
      <c r="I17" t="n">
        <v>265423.55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>
        <is>
          <t>Clubhouse</t>
        </is>
      </c>
    </row>
    <row r="18">
      <c r="A18" s="8" t="b">
        <v>1</v>
      </c>
      <c r="B18" s="8" t="inlineStr">
        <is>
          <t>Block E - No option</t>
        </is>
      </c>
      <c r="C18" s="8" t="n">
        <v>0</v>
      </c>
      <c r="D18" s="8" t="n">
        <v>0</v>
      </c>
      <c r="E18" s="8" t="n">
        <v>0</v>
      </c>
      <c r="F18" s="8" t="n">
        <v>0</v>
      </c>
      <c r="G18" s="8" t="n">
        <v>7343388.83</v>
      </c>
      <c r="H18" s="8" t="n">
        <v>0</v>
      </c>
      <c r="I18" s="8" t="n">
        <v>0</v>
      </c>
      <c r="J18" s="8" t="n">
        <v>0</v>
      </c>
      <c r="K18" s="8" t="n">
        <v>391026.55</v>
      </c>
      <c r="L18" s="8" t="n">
        <v>3128212.41</v>
      </c>
      <c r="M18" s="8" t="n">
        <v>3519238.96</v>
      </c>
      <c r="N18" s="8" t="n">
        <v>391026.55</v>
      </c>
      <c r="O18" s="8" t="n">
        <v>0</v>
      </c>
      <c r="P18" s="8" t="n">
        <v>391026.55</v>
      </c>
      <c r="Q18" s="8" t="n">
        <v>0</v>
      </c>
      <c r="R18" s="8" t="n">
        <v>0</v>
      </c>
      <c r="S18" s="8" t="n">
        <v>0</v>
      </c>
      <c r="T18" s="8" t="inlineStr">
        <is>
          <t>E</t>
        </is>
      </c>
    </row>
    <row r="19">
      <c r="A19" s="8" t="b">
        <v>1</v>
      </c>
      <c r="B19" s="8" t="inlineStr">
        <is>
          <t>Block F - No option</t>
        </is>
      </c>
      <c r="C19" s="8" t="n">
        <v>0</v>
      </c>
      <c r="D19" s="8" t="n">
        <v>0</v>
      </c>
      <c r="E19" s="8" t="n">
        <v>0</v>
      </c>
      <c r="F19" s="8" t="n">
        <v>0</v>
      </c>
      <c r="G19" s="8" t="n">
        <v>4656955.03</v>
      </c>
      <c r="H19" s="8" t="n">
        <v>0</v>
      </c>
      <c r="I19" s="8" t="n">
        <v>0</v>
      </c>
      <c r="J19" s="8" t="n">
        <v>0</v>
      </c>
      <c r="K19" s="8" t="n">
        <v>240810.53</v>
      </c>
      <c r="L19" s="8" t="n">
        <v>1926484.25</v>
      </c>
      <c r="M19" s="8" t="n">
        <v>2167294.78</v>
      </c>
      <c r="N19" s="8" t="n">
        <v>240810.53</v>
      </c>
      <c r="O19" s="8" t="n">
        <v>0</v>
      </c>
      <c r="P19" s="8" t="n">
        <v>240810.53</v>
      </c>
      <c r="Q19" s="8" t="n">
        <v>0</v>
      </c>
      <c r="R19" s="8" t="n">
        <v>0</v>
      </c>
      <c r="S19" s="8" t="n">
        <v>0</v>
      </c>
      <c r="T19" s="8" t="inlineStr">
        <is>
          <t>F</t>
        </is>
      </c>
    </row>
    <row r="20">
      <c r="A20" s="8" t="b">
        <v>1</v>
      </c>
      <c r="B20" s="8" t="inlineStr">
        <is>
          <t>Block G</t>
        </is>
      </c>
      <c r="C20" s="8" t="n">
        <v>0</v>
      </c>
      <c r="D20" s="8" t="n">
        <v>0</v>
      </c>
      <c r="E20" s="8" t="n">
        <v>0</v>
      </c>
      <c r="F20" s="8" t="n">
        <v>0</v>
      </c>
      <c r="G20" s="8" t="n">
        <v>3600054.67</v>
      </c>
      <c r="H20" s="8" t="n">
        <v>0</v>
      </c>
      <c r="I20" s="8" t="n">
        <v>0</v>
      </c>
      <c r="J20" s="8" t="n">
        <v>0</v>
      </c>
      <c r="K20" s="8" t="n">
        <v>214863.43</v>
      </c>
      <c r="L20" s="8" t="n">
        <v>1718907.45</v>
      </c>
      <c r="M20" s="8" t="n">
        <v>1933770.88</v>
      </c>
      <c r="N20" s="8" t="n">
        <v>214863.43</v>
      </c>
      <c r="O20" s="8" t="n">
        <v>0</v>
      </c>
      <c r="P20" s="8" t="n">
        <v>214863.43</v>
      </c>
      <c r="Q20" s="8" t="n">
        <v>0</v>
      </c>
      <c r="R20" s="8" t="n">
        <v>0</v>
      </c>
      <c r="S20" s="8" t="n">
        <v>0</v>
      </c>
      <c r="T20" s="8" t="inlineStr">
        <is>
          <t>G</t>
        </is>
      </c>
    </row>
    <row r="21">
      <c r="A21" s="8" t="b">
        <v>1</v>
      </c>
      <c r="B21" s="8" t="inlineStr">
        <is>
          <t>Block I</t>
        </is>
      </c>
      <c r="C21" s="8" t="n">
        <v>0</v>
      </c>
      <c r="D21" s="8" t="n">
        <v>0</v>
      </c>
      <c r="E21" s="8" t="n">
        <v>0</v>
      </c>
      <c r="F21" s="8" t="n">
        <v>0</v>
      </c>
      <c r="G21" s="8" t="n">
        <v>3185338.75</v>
      </c>
      <c r="H21" s="8" t="n">
        <v>0</v>
      </c>
      <c r="I21" s="8" t="n">
        <v>0</v>
      </c>
      <c r="J21" s="8" t="n">
        <v>0</v>
      </c>
      <c r="K21" s="8" t="n">
        <v>177084.45</v>
      </c>
      <c r="L21" s="8" t="n">
        <v>1416675.6</v>
      </c>
      <c r="M21" s="8" t="n">
        <v>1593760.05</v>
      </c>
      <c r="N21" s="8" t="n">
        <v>177084.45</v>
      </c>
      <c r="O21" s="8" t="n">
        <v>0</v>
      </c>
      <c r="P21" s="8" t="n">
        <v>177084.45</v>
      </c>
      <c r="Q21" s="8" t="n">
        <v>0</v>
      </c>
      <c r="R21" s="8" t="n">
        <v>0</v>
      </c>
      <c r="S21" s="8" t="n">
        <v>0</v>
      </c>
      <c r="T21" s="8" t="inlineStr">
        <is>
          <t>I</t>
        </is>
      </c>
    </row>
    <row r="22">
      <c r="A22" s="8" t="b">
        <v>1</v>
      </c>
      <c r="B22" s="8" t="inlineStr">
        <is>
          <t>Block J</t>
        </is>
      </c>
      <c r="C22" s="8" t="n">
        <v>0</v>
      </c>
      <c r="D22" s="8" t="n">
        <v>0</v>
      </c>
      <c r="E22" s="8" t="n">
        <v>0</v>
      </c>
      <c r="F22" s="8" t="n">
        <v>0</v>
      </c>
      <c r="G22" s="8" t="n">
        <v>4403141.12</v>
      </c>
      <c r="H22" s="8" t="n">
        <v>0</v>
      </c>
      <c r="I22" s="8" t="n">
        <v>0</v>
      </c>
      <c r="J22" s="8" t="n">
        <v>0</v>
      </c>
      <c r="K22" s="8" t="n">
        <v>225151.18</v>
      </c>
      <c r="L22" s="8" t="n">
        <v>1801209.47</v>
      </c>
      <c r="M22" s="8" t="n">
        <v>2026360.66</v>
      </c>
      <c r="N22" s="8" t="n">
        <v>225151.18</v>
      </c>
      <c r="O22" s="8" t="n">
        <v>0</v>
      </c>
      <c r="P22" s="8" t="n">
        <v>225151.18</v>
      </c>
      <c r="Q22" s="8" t="n">
        <v>0</v>
      </c>
      <c r="R22" s="8" t="n">
        <v>0</v>
      </c>
      <c r="S22" s="8" t="n">
        <v>0</v>
      </c>
      <c r="T22" s="8" t="inlineStr">
        <is>
          <t>J</t>
        </is>
      </c>
    </row>
    <row r="23">
      <c r="A23" s="8" t="b">
        <v>1</v>
      </c>
      <c r="B23" s="8" t="inlineStr">
        <is>
          <t>Block K</t>
        </is>
      </c>
      <c r="C23" s="8" t="n">
        <v>0</v>
      </c>
      <c r="D23" s="8" t="n">
        <v>0</v>
      </c>
      <c r="E23" s="8" t="n">
        <v>0</v>
      </c>
      <c r="F23" s="8" t="n">
        <v>0</v>
      </c>
      <c r="G23" s="8" t="n">
        <v>7516438.03</v>
      </c>
      <c r="H23" s="8" t="n">
        <v>0</v>
      </c>
      <c r="I23" s="8" t="n">
        <v>54356.5</v>
      </c>
      <c r="J23" s="8" t="n">
        <v>0</v>
      </c>
      <c r="K23" s="8" t="n">
        <v>368033.83</v>
      </c>
      <c r="L23" s="8" t="n">
        <v>2944270.66</v>
      </c>
      <c r="M23" s="8" t="n">
        <v>3312304.49</v>
      </c>
      <c r="N23" s="8" t="n">
        <v>368033.83</v>
      </c>
      <c r="O23" s="8" t="n">
        <v>0</v>
      </c>
      <c r="P23" s="8" t="n">
        <v>368033.83</v>
      </c>
      <c r="Q23" s="8" t="n">
        <v>0</v>
      </c>
      <c r="R23" s="8" t="n">
        <v>0</v>
      </c>
      <c r="S23" s="8" t="n">
        <v>0</v>
      </c>
      <c r="T23" s="8" t="inlineStr">
        <is>
          <t>K</t>
        </is>
      </c>
    </row>
    <row r="24">
      <c r="A24" s="8" t="b">
        <v>1</v>
      </c>
      <c r="B24" s="8" t="inlineStr">
        <is>
          <t>Block L</t>
        </is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3807906.47</v>
      </c>
      <c r="H24" s="8" t="n">
        <v>0</v>
      </c>
      <c r="I24" s="8" t="n">
        <v>0</v>
      </c>
      <c r="J24" s="8" t="n">
        <v>0</v>
      </c>
      <c r="K24" s="8" t="n">
        <v>194530.9</v>
      </c>
      <c r="L24" s="8" t="n">
        <v>1556247.17</v>
      </c>
      <c r="M24" s="8" t="n">
        <v>1750778.07</v>
      </c>
      <c r="N24" s="8" t="n">
        <v>194530.9</v>
      </c>
      <c r="O24" s="8" t="n">
        <v>0</v>
      </c>
      <c r="P24" s="8" t="n">
        <v>194530.9</v>
      </c>
      <c r="Q24" s="8" t="n">
        <v>0</v>
      </c>
      <c r="R24" s="8" t="n">
        <v>0</v>
      </c>
      <c r="S24" s="8" t="n">
        <v>0</v>
      </c>
      <c r="T24" s="8" t="inlineStr">
        <is>
          <t>L</t>
        </is>
      </c>
    </row>
    <row r="25">
      <c r="A25" s="8" t="b">
        <v>1</v>
      </c>
      <c r="B25" s="8" t="inlineStr">
        <is>
          <t>Block M</t>
        </is>
      </c>
      <c r="C25" s="8" t="n">
        <v>0</v>
      </c>
      <c r="D25" s="8" t="n">
        <v>0</v>
      </c>
      <c r="E25" s="8" t="n">
        <v>0</v>
      </c>
      <c r="F25" s="8" t="n">
        <v>0</v>
      </c>
      <c r="G25" s="8" t="n">
        <v>1796546.32</v>
      </c>
      <c r="H25" s="8" t="n">
        <v>0</v>
      </c>
      <c r="I25" s="8" t="n">
        <v>636753.83</v>
      </c>
      <c r="J25" s="8" t="n">
        <v>0</v>
      </c>
      <c r="K25" s="8" t="n">
        <v>34036.47</v>
      </c>
      <c r="L25" s="8" t="n">
        <v>457251.12</v>
      </c>
      <c r="M25" s="8" t="n">
        <v>665688.84</v>
      </c>
      <c r="N25" s="8" t="n">
        <v>106518.5</v>
      </c>
      <c r="O25" s="8" t="n">
        <v>0</v>
      </c>
      <c r="P25" s="8" t="n">
        <v>216580.53</v>
      </c>
      <c r="Q25" s="8" t="n">
        <v>0</v>
      </c>
      <c r="R25" s="8" t="n">
        <v>0</v>
      </c>
      <c r="S25" s="8" t="n">
        <v>0</v>
      </c>
      <c r="T25" s="8" t="inlineStr">
        <is>
          <t>M</t>
        </is>
      </c>
    </row>
    <row r="26">
      <c r="A26" s="8" t="b">
        <v>1</v>
      </c>
      <c r="B26" s="8" t="inlineStr">
        <is>
          <t>Block O</t>
        </is>
      </c>
      <c r="C26" s="8" t="n">
        <v>0</v>
      </c>
      <c r="D26" s="8" t="n">
        <v>0</v>
      </c>
      <c r="E26" s="8" t="n">
        <v>0</v>
      </c>
      <c r="F26" s="8" t="n">
        <v>0</v>
      </c>
      <c r="G26" s="8" t="n">
        <v>2019943.35</v>
      </c>
      <c r="H26" s="8" t="n">
        <v>0</v>
      </c>
      <c r="I26" s="8" t="n">
        <v>0</v>
      </c>
      <c r="J26" s="8" t="n">
        <v>0</v>
      </c>
      <c r="K26" s="8" t="n">
        <v>0</v>
      </c>
      <c r="L26" s="8" t="n">
        <v>0</v>
      </c>
      <c r="M26" s="8" t="n">
        <v>0</v>
      </c>
      <c r="N26" s="8" t="n">
        <v>0</v>
      </c>
      <c r="O26" s="8" t="n">
        <v>0</v>
      </c>
      <c r="P26" s="8" t="n">
        <v>0</v>
      </c>
      <c r="Q26" s="8" t="n">
        <v>0</v>
      </c>
      <c r="R26" s="8" t="n">
        <v>0</v>
      </c>
      <c r="S26" s="8" t="n">
        <v>0</v>
      </c>
      <c r="T26" s="8" t="inlineStr">
        <is>
          <t>O</t>
        </is>
      </c>
    </row>
  </sheetData>
  <autoFilter ref="A4:T26"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tabColor rgb="00FF204E"/>
    <outlinePr summaryBelow="1" summaryRight="1"/>
    <pageSetUpPr/>
  </sheetPr>
  <dimension ref="A1:H2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Updated Construction</t>
        </is>
      </c>
    </row>
    <row r="2">
      <c r="A2" t="inlineStr">
        <is>
          <t>Whitebox-Able</t>
        </is>
      </c>
      <c r="B2" t="inlineStr">
        <is>
          <t>Blocks</t>
        </is>
      </c>
      <c r="C2" t="inlineStr">
        <is>
          <t>Complete Build</t>
        </is>
      </c>
      <c r="D2" t="inlineStr">
        <is>
          <t>Actual</t>
        </is>
      </c>
      <c r="E2" t="inlineStr">
        <is>
          <t>Date</t>
        </is>
      </c>
      <c r="F2" t="inlineStr">
        <is>
          <t>Amount</t>
        </is>
      </c>
      <c r="G2" t="inlineStr">
        <is>
          <t>Renamed_block</t>
        </is>
      </c>
      <c r="H2" t="inlineStr">
        <is>
          <t>Vat Due</t>
        </is>
      </c>
    </row>
    <row r="3">
      <c r="A3" t="b">
        <v>0</v>
      </c>
      <c r="B3" t="inlineStr">
        <is>
          <t>Block D</t>
        </is>
      </c>
      <c r="C3" t="n">
        <v>1</v>
      </c>
      <c r="D3" t="b">
        <v>1</v>
      </c>
      <c r="E3" s="7" t="n">
        <v>45382</v>
      </c>
      <c r="F3" t="n">
        <v>49331.3</v>
      </c>
      <c r="G3" t="inlineStr">
        <is>
          <t>D</t>
        </is>
      </c>
      <c r="H3" s="7" t="n">
        <v>45443</v>
      </c>
    </row>
    <row r="4">
      <c r="A4" t="b">
        <v>0</v>
      </c>
      <c r="B4" t="inlineStr">
        <is>
          <t>Block D</t>
        </is>
      </c>
      <c r="C4" t="n">
        <v>1</v>
      </c>
      <c r="D4" t="b">
        <v>0</v>
      </c>
      <c r="E4" s="7" t="n">
        <v>45412</v>
      </c>
      <c r="F4" t="n">
        <v>190915.5</v>
      </c>
      <c r="G4" t="inlineStr">
        <is>
          <t>D</t>
        </is>
      </c>
      <c r="H4" s="7" t="n">
        <v>45443</v>
      </c>
    </row>
    <row r="5">
      <c r="A5" t="b">
        <v>0</v>
      </c>
      <c r="B5" t="inlineStr">
        <is>
          <t>Block D</t>
        </is>
      </c>
      <c r="C5">
        <f>IF(A5=FALSE, 1,SUMIFS('Cashflow Projection'!$C$50:$C$62, 'Cashflow Projection'!$B$33:$B$45, 'Updated Construction'!G5))</f>
        <v/>
      </c>
      <c r="D5" t="b">
        <v>0</v>
      </c>
      <c r="E5" s="7" t="n">
        <v>45442</v>
      </c>
      <c r="F5" t="n">
        <v>48247.07</v>
      </c>
      <c r="G5" t="inlineStr">
        <is>
          <t>D</t>
        </is>
      </c>
      <c r="H5" s="7" t="n">
        <v>45504</v>
      </c>
    </row>
    <row r="6">
      <c r="A6" t="b">
        <v>0</v>
      </c>
      <c r="B6" t="inlineStr">
        <is>
          <t>Block D</t>
        </is>
      </c>
      <c r="C6">
        <f>IF(A6=FALSE, 1,SUMIFS('Cashflow Projection'!$C$50:$C$62, 'Cashflow Projection'!$B$33:$B$45, 'Updated Construction'!G6))</f>
        <v/>
      </c>
      <c r="D6" t="b">
        <v>0</v>
      </c>
      <c r="E6" s="7" t="n">
        <v>45472</v>
      </c>
      <c r="F6" t="n">
        <v>143138.37</v>
      </c>
      <c r="G6" t="inlineStr">
        <is>
          <t>D</t>
        </is>
      </c>
      <c r="H6" s="7" t="n">
        <v>45504</v>
      </c>
    </row>
    <row r="7">
      <c r="A7" t="b">
        <v>0</v>
      </c>
      <c r="B7" t="inlineStr">
        <is>
          <t>Block D</t>
        </is>
      </c>
      <c r="C7">
        <f>IF(A7=FALSE, 1,SUMIFS('Cashflow Projection'!$C$50:$C$62, 'Cashflow Projection'!$B$33:$B$45, 'Updated Construction'!G7))</f>
        <v/>
      </c>
      <c r="D7" t="b">
        <v>0</v>
      </c>
      <c r="E7" s="7" t="n">
        <v>45502</v>
      </c>
      <c r="F7" t="n">
        <v>157696.45</v>
      </c>
      <c r="G7" t="inlineStr">
        <is>
          <t>D</t>
        </is>
      </c>
      <c r="H7" s="7" t="n">
        <v>45565</v>
      </c>
    </row>
    <row r="8">
      <c r="A8" t="b">
        <v>0</v>
      </c>
      <c r="B8" t="inlineStr">
        <is>
          <t>Block D</t>
        </is>
      </c>
      <c r="C8">
        <f>IF(A8=FALSE, 1,SUMIFS('Cashflow Projection'!$C$50:$C$62, 'Cashflow Projection'!$B$33:$B$45, 'Updated Construction'!G8))</f>
        <v/>
      </c>
      <c r="D8" t="b">
        <v>0</v>
      </c>
      <c r="E8" s="7" t="n">
        <v>45532</v>
      </c>
      <c r="F8" t="n">
        <v>91046.99000000001</v>
      </c>
      <c r="G8" t="inlineStr">
        <is>
          <t>D</t>
        </is>
      </c>
      <c r="H8" s="7" t="n">
        <v>45565</v>
      </c>
    </row>
    <row r="9">
      <c r="A9" t="b">
        <v>0</v>
      </c>
      <c r="B9" t="inlineStr">
        <is>
          <t>Block D</t>
        </is>
      </c>
      <c r="C9">
        <f>IF(A9=FALSE, 1,SUMIFS('Cashflow Projection'!$C$50:$C$62, 'Cashflow Projection'!$B$33:$B$45, 'Updated Construction'!G9))</f>
        <v/>
      </c>
      <c r="D9" t="b">
        <v>0</v>
      </c>
      <c r="E9" s="7" t="n">
        <v>45562</v>
      </c>
      <c r="F9" t="n">
        <v>91046.99000000001</v>
      </c>
      <c r="G9" t="inlineStr">
        <is>
          <t>D</t>
        </is>
      </c>
      <c r="H9" s="7" t="n">
        <v>45626</v>
      </c>
    </row>
    <row r="10">
      <c r="A10" t="b">
        <v>0</v>
      </c>
      <c r="B10" t="inlineStr">
        <is>
          <t>Block D</t>
        </is>
      </c>
      <c r="C10">
        <f>IF(A10=FALSE, 1,SUMIFS('Cashflow Projection'!$C$50:$C$62, 'Cashflow Projection'!$B$33:$B$45, 'Updated Construction'!G10))</f>
        <v/>
      </c>
      <c r="D10" t="b">
        <v>0</v>
      </c>
      <c r="E10" s="7" t="n">
        <v>45596</v>
      </c>
      <c r="F10" t="n">
        <v>0</v>
      </c>
      <c r="G10" t="inlineStr">
        <is>
          <t>D</t>
        </is>
      </c>
      <c r="H10" s="7" t="n">
        <v>45626</v>
      </c>
    </row>
    <row r="11">
      <c r="A11" t="b">
        <v>0</v>
      </c>
      <c r="B11" t="inlineStr">
        <is>
          <t>Block D</t>
        </is>
      </c>
      <c r="C11">
        <f>IF(A11=FALSE, 1,SUMIFS('Cashflow Projection'!$C$50:$C$62, 'Cashflow Projection'!$B$33:$B$45, 'Updated Construction'!G11))</f>
        <v/>
      </c>
      <c r="D11" t="b">
        <v>0</v>
      </c>
      <c r="E11" s="7" t="n">
        <v>45626</v>
      </c>
      <c r="F11" t="n">
        <v>0</v>
      </c>
      <c r="G11" t="inlineStr">
        <is>
          <t>D</t>
        </is>
      </c>
      <c r="H11" s="7" t="n">
        <v>45688</v>
      </c>
    </row>
    <row r="12">
      <c r="A12" t="b">
        <v>0</v>
      </c>
      <c r="B12" t="inlineStr">
        <is>
          <t>Block D</t>
        </is>
      </c>
      <c r="C12">
        <f>IF(A12=FALSE, 1,SUMIFS('Cashflow Projection'!$C$50:$C$62, 'Cashflow Projection'!$B$33:$B$45, 'Updated Construction'!G12))</f>
        <v/>
      </c>
      <c r="D12" t="b">
        <v>0</v>
      </c>
      <c r="E12" s="7" t="n">
        <v>45657</v>
      </c>
      <c r="F12" t="n">
        <v>0</v>
      </c>
      <c r="G12" t="inlineStr">
        <is>
          <t>D</t>
        </is>
      </c>
      <c r="H12" s="7" t="n">
        <v>45688</v>
      </c>
    </row>
    <row r="13">
      <c r="A13" t="b">
        <v>0</v>
      </c>
      <c r="B13" t="inlineStr">
        <is>
          <t>Block D</t>
        </is>
      </c>
      <c r="C13">
        <f>IF(A13=FALSE, 1,SUMIFS('Cashflow Projection'!$C$50:$C$62, 'Cashflow Projection'!$B$33:$B$45, 'Updated Construction'!G13))</f>
        <v/>
      </c>
      <c r="D13" t="b">
        <v>0</v>
      </c>
      <c r="E13" s="7" t="n">
        <v>45688</v>
      </c>
      <c r="F13" t="n">
        <v>0</v>
      </c>
      <c r="G13" t="inlineStr">
        <is>
          <t>D</t>
        </is>
      </c>
      <c r="H13" s="7" t="n">
        <v>45747</v>
      </c>
    </row>
    <row r="14">
      <c r="A14" t="b">
        <v>0</v>
      </c>
      <c r="B14" t="inlineStr">
        <is>
          <t>Block E - No option</t>
        </is>
      </c>
      <c r="C14">
        <f>IF(A14=FALSE, 1,SUMIFS('Cashflow Projection'!$C$50:$C$62, 'Cashflow Projection'!$B$33:$B$45, 'Updated Construction'!G14))</f>
        <v/>
      </c>
      <c r="D14" t="b">
        <v>1</v>
      </c>
      <c r="E14" s="7" t="n">
        <v>45382</v>
      </c>
      <c r="F14" t="n">
        <v>0</v>
      </c>
      <c r="G14" t="inlineStr">
        <is>
          <t>E</t>
        </is>
      </c>
      <c r="H14" s="7" t="n">
        <v>45443</v>
      </c>
    </row>
    <row r="15">
      <c r="A15" t="b">
        <v>0</v>
      </c>
      <c r="B15" t="inlineStr">
        <is>
          <t>Block E - No option</t>
        </is>
      </c>
      <c r="C15">
        <f>IF(A15=FALSE, 1,SUMIFS('Cashflow Projection'!$C$50:$C$62, 'Cashflow Projection'!$B$33:$B$45, 'Updated Construction'!G15))</f>
        <v/>
      </c>
      <c r="D15" t="b">
        <v>0</v>
      </c>
      <c r="E15" s="7" t="n">
        <v>45412</v>
      </c>
      <c r="F15" t="n">
        <v>0</v>
      </c>
      <c r="G15" t="inlineStr">
        <is>
          <t>E</t>
        </is>
      </c>
      <c r="H15" s="7" t="n">
        <v>45443</v>
      </c>
    </row>
    <row r="16">
      <c r="A16" t="b">
        <v>0</v>
      </c>
      <c r="B16" t="inlineStr">
        <is>
          <t>Block E - No option</t>
        </is>
      </c>
      <c r="C16">
        <f>IF(A16=FALSE, 1,SUMIFS('Cashflow Projection'!$C$50:$C$62, 'Cashflow Projection'!$B$33:$B$45, 'Updated Construction'!G16))</f>
        <v/>
      </c>
      <c r="D16" t="b">
        <v>0</v>
      </c>
      <c r="E16" s="7" t="n">
        <v>45442</v>
      </c>
      <c r="F16" t="n">
        <v>0</v>
      </c>
      <c r="G16" t="inlineStr">
        <is>
          <t>E</t>
        </is>
      </c>
      <c r="H16" s="7" t="n">
        <v>45504</v>
      </c>
    </row>
    <row r="17">
      <c r="A17" t="b">
        <v>0</v>
      </c>
      <c r="B17" t="inlineStr">
        <is>
          <t>Block E - No option</t>
        </is>
      </c>
      <c r="C17">
        <f>IF(A17=FALSE, 1,SUMIFS('Cashflow Projection'!$C$50:$C$62, 'Cashflow Projection'!$B$33:$B$45, 'Updated Construction'!G17))</f>
        <v/>
      </c>
      <c r="D17" t="b">
        <v>0</v>
      </c>
      <c r="E17" s="7" t="n">
        <v>45472</v>
      </c>
      <c r="F17" t="n">
        <v>0</v>
      </c>
      <c r="G17" t="inlineStr">
        <is>
          <t>E</t>
        </is>
      </c>
      <c r="H17" s="7" t="n">
        <v>45504</v>
      </c>
    </row>
    <row r="18">
      <c r="A18" t="b">
        <v>0</v>
      </c>
      <c r="B18" t="inlineStr">
        <is>
          <t>Block E - No option</t>
        </is>
      </c>
      <c r="C18">
        <f>IF(A18=FALSE, 1,SUMIFS('Cashflow Projection'!$C$50:$C$62, 'Cashflow Projection'!$B$33:$B$45, 'Updated Construction'!G18))</f>
        <v/>
      </c>
      <c r="D18" t="b">
        <v>0</v>
      </c>
      <c r="E18" s="7" t="n">
        <v>45502</v>
      </c>
      <c r="F18" t="n">
        <v>0</v>
      </c>
      <c r="G18" t="inlineStr">
        <is>
          <t>E</t>
        </is>
      </c>
      <c r="H18" s="7" t="n">
        <v>45565</v>
      </c>
    </row>
    <row r="19">
      <c r="A19" t="b">
        <v>0</v>
      </c>
      <c r="B19" t="inlineStr">
        <is>
          <t>Block E - No option</t>
        </is>
      </c>
      <c r="C19">
        <f>IF(A19=FALSE, 1,SUMIFS('Cashflow Projection'!$C$50:$C$62, 'Cashflow Projection'!$B$33:$B$45, 'Updated Construction'!G19))</f>
        <v/>
      </c>
      <c r="D19" t="b">
        <v>0</v>
      </c>
      <c r="E19" s="7" t="n">
        <v>45532</v>
      </c>
      <c r="F19" t="n">
        <v>0</v>
      </c>
      <c r="G19" t="inlineStr">
        <is>
          <t>E</t>
        </is>
      </c>
      <c r="H19" s="7" t="n">
        <v>45565</v>
      </c>
    </row>
    <row r="20">
      <c r="A20" t="b">
        <v>0</v>
      </c>
      <c r="B20" t="inlineStr">
        <is>
          <t>Block E - No option</t>
        </is>
      </c>
      <c r="C20">
        <f>IF(A20=FALSE, 1,SUMIFS('Cashflow Projection'!$C$50:$C$62, 'Cashflow Projection'!$B$33:$B$45, 'Updated Construction'!G20))</f>
        <v/>
      </c>
      <c r="D20" t="b">
        <v>0</v>
      </c>
      <c r="E20" s="7" t="n">
        <v>45562</v>
      </c>
      <c r="F20" t="n">
        <v>0</v>
      </c>
      <c r="G20" t="inlineStr">
        <is>
          <t>E</t>
        </is>
      </c>
      <c r="H20" s="7" t="n">
        <v>45626</v>
      </c>
    </row>
    <row r="21">
      <c r="A21" t="b">
        <v>0</v>
      </c>
      <c r="B21" t="inlineStr">
        <is>
          <t>Block E - No option</t>
        </is>
      </c>
      <c r="C21">
        <f>IF(A21=FALSE, 1,SUMIFS('Cashflow Projection'!$C$50:$C$62, 'Cashflow Projection'!$B$33:$B$45, 'Updated Construction'!G21))</f>
        <v/>
      </c>
      <c r="D21" t="b">
        <v>0</v>
      </c>
      <c r="E21" s="7" t="n">
        <v>45596</v>
      </c>
      <c r="F21" t="n">
        <v>0</v>
      </c>
      <c r="G21" t="inlineStr">
        <is>
          <t>E</t>
        </is>
      </c>
      <c r="H21" s="7" t="n">
        <v>45626</v>
      </c>
    </row>
    <row r="22">
      <c r="A22" t="b">
        <v>0</v>
      </c>
      <c r="B22" t="inlineStr">
        <is>
          <t>Block E - No option</t>
        </is>
      </c>
      <c r="C22">
        <f>IF(A22=FALSE, 1,SUMIFS('Cashflow Projection'!$C$50:$C$62, 'Cashflow Projection'!$B$33:$B$45, 'Updated Construction'!G22))</f>
        <v/>
      </c>
      <c r="D22" t="b">
        <v>0</v>
      </c>
      <c r="E22" s="7" t="n">
        <v>45626</v>
      </c>
      <c r="F22" t="n">
        <v>0</v>
      </c>
      <c r="G22" t="inlineStr">
        <is>
          <t>E</t>
        </is>
      </c>
      <c r="H22" s="7" t="n">
        <v>45688</v>
      </c>
    </row>
    <row r="23">
      <c r="A23" t="b">
        <v>0</v>
      </c>
      <c r="B23" t="inlineStr">
        <is>
          <t>Block E - No option</t>
        </is>
      </c>
      <c r="C23">
        <f>IF(A23=FALSE, 1,SUMIFS('Cashflow Projection'!$C$50:$C$62, 'Cashflow Projection'!$B$33:$B$45, 'Updated Construction'!G23))</f>
        <v/>
      </c>
      <c r="D23" t="b">
        <v>0</v>
      </c>
      <c r="E23" s="7" t="n">
        <v>45657</v>
      </c>
      <c r="F23" t="n">
        <v>0</v>
      </c>
      <c r="G23" t="inlineStr">
        <is>
          <t>E</t>
        </is>
      </c>
      <c r="H23" s="7" t="n">
        <v>45688</v>
      </c>
    </row>
    <row r="24">
      <c r="A24" t="b">
        <v>0</v>
      </c>
      <c r="B24" t="inlineStr">
        <is>
          <t>Block E - No option</t>
        </is>
      </c>
      <c r="C24">
        <f>IF(A24=FALSE, 1,SUMIFS('Cashflow Projection'!$C$50:$C$62, 'Cashflow Projection'!$B$33:$B$45, 'Updated Construction'!G24))</f>
        <v/>
      </c>
      <c r="D24" t="b">
        <v>0</v>
      </c>
      <c r="E24" s="7" t="n">
        <v>45688</v>
      </c>
      <c r="F24" t="n">
        <v>0</v>
      </c>
      <c r="G24" t="inlineStr">
        <is>
          <t>E</t>
        </is>
      </c>
      <c r="H24" s="7" t="n">
        <v>45747</v>
      </c>
    </row>
    <row r="25">
      <c r="A25" t="b">
        <v>0</v>
      </c>
      <c r="B25" t="inlineStr">
        <is>
          <t>Block F - No option</t>
        </is>
      </c>
      <c r="C25">
        <f>IF(A25=FALSE, 1,SUMIFS('Cashflow Projection'!$C$50:$C$62, 'Cashflow Projection'!$B$33:$B$45, 'Updated Construction'!G25))</f>
        <v/>
      </c>
      <c r="D25" t="b">
        <v>1</v>
      </c>
      <c r="E25" s="7" t="n">
        <v>45382</v>
      </c>
      <c r="F25" t="n">
        <v>2209.08</v>
      </c>
      <c r="G25" t="inlineStr">
        <is>
          <t>F</t>
        </is>
      </c>
      <c r="H25" s="7" t="n">
        <v>45443</v>
      </c>
    </row>
    <row r="26">
      <c r="A26" t="b">
        <v>0</v>
      </c>
      <c r="B26" t="inlineStr">
        <is>
          <t>Block F - No option</t>
        </is>
      </c>
      <c r="C26">
        <f>IF(A26=FALSE, 1,SUMIFS('Cashflow Projection'!$C$50:$C$62, 'Cashflow Projection'!$B$33:$B$45, 'Updated Construction'!G26))</f>
        <v/>
      </c>
      <c r="D26" t="b">
        <v>0</v>
      </c>
      <c r="E26" s="7" t="n">
        <v>45412</v>
      </c>
      <c r="F26" t="n">
        <v>73846.8</v>
      </c>
      <c r="G26" t="inlineStr">
        <is>
          <t>F</t>
        </is>
      </c>
      <c r="H26" s="7" t="n">
        <v>45443</v>
      </c>
    </row>
    <row r="27">
      <c r="A27" t="b">
        <v>0</v>
      </c>
      <c r="B27" t="inlineStr">
        <is>
          <t>Block F - No option</t>
        </is>
      </c>
      <c r="C27">
        <f>IF(A27=FALSE, 1,SUMIFS('Cashflow Projection'!$C$50:$C$62, 'Cashflow Projection'!$B$33:$B$45, 'Updated Construction'!G27))</f>
        <v/>
      </c>
      <c r="D27" t="b">
        <v>0</v>
      </c>
      <c r="E27" s="7" t="n">
        <v>45442</v>
      </c>
      <c r="F27" t="n">
        <v>16408.7</v>
      </c>
      <c r="G27" t="inlineStr">
        <is>
          <t>F</t>
        </is>
      </c>
      <c r="H27" s="7" t="n">
        <v>45504</v>
      </c>
    </row>
    <row r="28">
      <c r="A28" t="b">
        <v>0</v>
      </c>
      <c r="B28" t="inlineStr">
        <is>
          <t>Block F - No option</t>
        </is>
      </c>
      <c r="C28">
        <f>IF(A28=FALSE, 1,SUMIFS('Cashflow Projection'!$C$50:$C$62, 'Cashflow Projection'!$B$33:$B$45, 'Updated Construction'!G28))</f>
        <v/>
      </c>
      <c r="D28" t="b">
        <v>0</v>
      </c>
      <c r="E28" s="7" t="n">
        <v>45472</v>
      </c>
      <c r="F28" t="n">
        <v>0</v>
      </c>
      <c r="G28" t="inlineStr">
        <is>
          <t>F</t>
        </is>
      </c>
      <c r="H28" s="7" t="n">
        <v>45504</v>
      </c>
    </row>
    <row r="29">
      <c r="A29" t="b">
        <v>0</v>
      </c>
      <c r="B29" t="inlineStr">
        <is>
          <t>Block F - No option</t>
        </is>
      </c>
      <c r="C29">
        <f>IF(A29=FALSE, 1,SUMIFS('Cashflow Projection'!$C$50:$C$62, 'Cashflow Projection'!$B$33:$B$45, 'Updated Construction'!G29))</f>
        <v/>
      </c>
      <c r="D29" t="b">
        <v>0</v>
      </c>
      <c r="E29" s="7" t="n">
        <v>45502</v>
      </c>
      <c r="F29" t="n">
        <v>0</v>
      </c>
      <c r="G29" t="inlineStr">
        <is>
          <t>F</t>
        </is>
      </c>
      <c r="H29" s="7" t="n">
        <v>45565</v>
      </c>
    </row>
    <row r="30">
      <c r="A30" t="b">
        <v>0</v>
      </c>
      <c r="B30" t="inlineStr">
        <is>
          <t>Block F - No option</t>
        </is>
      </c>
      <c r="C30">
        <f>IF(A30=FALSE, 1,SUMIFS('Cashflow Projection'!$C$50:$C$62, 'Cashflow Projection'!$B$33:$B$45, 'Updated Construction'!G30))</f>
        <v/>
      </c>
      <c r="D30" t="b">
        <v>0</v>
      </c>
      <c r="E30" s="7" t="n">
        <v>45532</v>
      </c>
      <c r="F30" t="n">
        <v>0</v>
      </c>
      <c r="G30" t="inlineStr">
        <is>
          <t>F</t>
        </is>
      </c>
      <c r="H30" s="7" t="n">
        <v>45565</v>
      </c>
    </row>
    <row r="31">
      <c r="A31" t="b">
        <v>0</v>
      </c>
      <c r="B31" t="inlineStr">
        <is>
          <t>Block F - No option</t>
        </is>
      </c>
      <c r="C31">
        <f>IF(A31=FALSE, 1,SUMIFS('Cashflow Projection'!$C$50:$C$62, 'Cashflow Projection'!$B$33:$B$45, 'Updated Construction'!G31))</f>
        <v/>
      </c>
      <c r="D31" t="b">
        <v>0</v>
      </c>
      <c r="E31" s="7" t="n">
        <v>45562</v>
      </c>
      <c r="F31" t="n">
        <v>0</v>
      </c>
      <c r="G31" t="inlineStr">
        <is>
          <t>F</t>
        </is>
      </c>
      <c r="H31" s="7" t="n">
        <v>45626</v>
      </c>
    </row>
    <row r="32">
      <c r="A32" t="b">
        <v>0</v>
      </c>
      <c r="B32" t="inlineStr">
        <is>
          <t>Block F - No option</t>
        </is>
      </c>
      <c r="C32">
        <f>IF(A32=FALSE, 1,SUMIFS('Cashflow Projection'!$C$50:$C$62, 'Cashflow Projection'!$B$33:$B$45, 'Updated Construction'!G32))</f>
        <v/>
      </c>
      <c r="D32" t="b">
        <v>0</v>
      </c>
      <c r="E32" s="7" t="n">
        <v>45596</v>
      </c>
      <c r="F32" t="n">
        <v>0</v>
      </c>
      <c r="G32" t="inlineStr">
        <is>
          <t>F</t>
        </is>
      </c>
      <c r="H32" s="7" t="n">
        <v>45626</v>
      </c>
    </row>
    <row r="33">
      <c r="A33" t="b">
        <v>0</v>
      </c>
      <c r="B33" t="inlineStr">
        <is>
          <t>Block F - No option</t>
        </is>
      </c>
      <c r="C33">
        <f>IF(A33=FALSE, 1,SUMIFS('Cashflow Projection'!$C$50:$C$62, 'Cashflow Projection'!$B$33:$B$45, 'Updated Construction'!G33))</f>
        <v/>
      </c>
      <c r="D33" t="b">
        <v>0</v>
      </c>
      <c r="E33" s="7" t="n">
        <v>45626</v>
      </c>
      <c r="F33" t="n">
        <v>0</v>
      </c>
      <c r="G33" t="inlineStr">
        <is>
          <t>F</t>
        </is>
      </c>
      <c r="H33" s="7" t="n">
        <v>45688</v>
      </c>
    </row>
    <row r="34">
      <c r="A34" t="b">
        <v>0</v>
      </c>
      <c r="B34" t="inlineStr">
        <is>
          <t>Block F - No option</t>
        </is>
      </c>
      <c r="C34">
        <f>IF(A34=FALSE, 1,SUMIFS('Cashflow Projection'!$C$50:$C$62, 'Cashflow Projection'!$B$33:$B$45, 'Updated Construction'!G34))</f>
        <v/>
      </c>
      <c r="D34" t="b">
        <v>0</v>
      </c>
      <c r="E34" s="7" t="n">
        <v>45657</v>
      </c>
      <c r="F34" t="n">
        <v>0</v>
      </c>
      <c r="G34" t="inlineStr">
        <is>
          <t>F</t>
        </is>
      </c>
      <c r="H34" s="7" t="n">
        <v>45688</v>
      </c>
    </row>
    <row r="35">
      <c r="A35" t="b">
        <v>0</v>
      </c>
      <c r="B35" t="inlineStr">
        <is>
          <t>Block F - No option</t>
        </is>
      </c>
      <c r="C35">
        <f>IF(A35=FALSE, 1,SUMIFS('Cashflow Projection'!$C$50:$C$62, 'Cashflow Projection'!$B$33:$B$45, 'Updated Construction'!G35))</f>
        <v/>
      </c>
      <c r="D35" t="b">
        <v>0</v>
      </c>
      <c r="E35" s="7" t="n">
        <v>45688</v>
      </c>
      <c r="F35" t="n">
        <v>0</v>
      </c>
      <c r="G35" t="inlineStr">
        <is>
          <t>F</t>
        </is>
      </c>
      <c r="H35" s="7" t="n">
        <v>45747</v>
      </c>
    </row>
    <row r="36">
      <c r="A36" t="b">
        <v>0</v>
      </c>
      <c r="B36" t="inlineStr">
        <is>
          <t>Block G</t>
        </is>
      </c>
      <c r="C36">
        <f>IF(A36=FALSE, 1,SUMIFS('Cashflow Projection'!$C$50:$C$62, 'Cashflow Projection'!$B$33:$B$45, 'Updated Construction'!G36))</f>
        <v/>
      </c>
      <c r="D36" t="b">
        <v>1</v>
      </c>
      <c r="E36" s="7" t="n">
        <v>45382</v>
      </c>
      <c r="F36" t="n">
        <v>594000.4</v>
      </c>
      <c r="G36" t="inlineStr">
        <is>
          <t>G</t>
        </is>
      </c>
      <c r="H36" s="7" t="n">
        <v>45443</v>
      </c>
    </row>
    <row r="37">
      <c r="A37" t="b">
        <v>0</v>
      </c>
      <c r="B37" t="inlineStr">
        <is>
          <t>Block G</t>
        </is>
      </c>
      <c r="C37">
        <f>IF(A37=FALSE, 1,SUMIFS('Cashflow Projection'!$C$50:$C$62, 'Cashflow Projection'!$B$33:$B$45, 'Updated Construction'!G37))</f>
        <v/>
      </c>
      <c r="D37" t="b">
        <v>0</v>
      </c>
      <c r="E37" s="7" t="n">
        <v>45412</v>
      </c>
      <c r="F37" t="n">
        <v>455163.93</v>
      </c>
      <c r="G37" t="inlineStr">
        <is>
          <t>G</t>
        </is>
      </c>
      <c r="H37" s="7" t="n">
        <v>45443</v>
      </c>
    </row>
    <row r="38">
      <c r="A38" t="b">
        <v>0</v>
      </c>
      <c r="B38" t="inlineStr">
        <is>
          <t>Block G</t>
        </is>
      </c>
      <c r="C38">
        <f>IF(A38=FALSE, 1,SUMIFS('Cashflow Projection'!$C$50:$C$62, 'Cashflow Projection'!$B$33:$B$45, 'Updated Construction'!G38))</f>
        <v/>
      </c>
      <c r="D38" t="b">
        <v>0</v>
      </c>
      <c r="E38" s="7" t="n">
        <v>45442</v>
      </c>
      <c r="F38" t="n">
        <v>159168.12</v>
      </c>
      <c r="G38" t="inlineStr">
        <is>
          <t>G</t>
        </is>
      </c>
      <c r="H38" s="7" t="n">
        <v>45504</v>
      </c>
    </row>
    <row r="39">
      <c r="A39" t="b">
        <v>0</v>
      </c>
      <c r="B39" t="inlineStr">
        <is>
          <t>Block G</t>
        </is>
      </c>
      <c r="C39">
        <f>IF(A39=FALSE, 1,SUMIFS('Cashflow Projection'!$C$50:$C$62, 'Cashflow Projection'!$B$33:$B$45, 'Updated Construction'!G39))</f>
        <v/>
      </c>
      <c r="D39" t="b">
        <v>0</v>
      </c>
      <c r="E39" s="7" t="n">
        <v>45472</v>
      </c>
      <c r="F39" t="n">
        <v>230029.14</v>
      </c>
      <c r="G39" t="inlineStr">
        <is>
          <t>G</t>
        </is>
      </c>
      <c r="H39" s="7" t="n">
        <v>45504</v>
      </c>
    </row>
    <row r="40">
      <c r="A40" t="b">
        <v>0</v>
      </c>
      <c r="B40" t="inlineStr">
        <is>
          <t>Block G</t>
        </is>
      </c>
      <c r="C40">
        <f>IF(A40=FALSE, 1,SUMIFS('Cashflow Projection'!$C$50:$C$62, 'Cashflow Projection'!$B$33:$B$45, 'Updated Construction'!G40))</f>
        <v/>
      </c>
      <c r="D40" t="b">
        <v>0</v>
      </c>
      <c r="E40" s="7" t="n">
        <v>45502</v>
      </c>
      <c r="F40" t="n">
        <v>346437.1</v>
      </c>
      <c r="G40" t="inlineStr">
        <is>
          <t>G</t>
        </is>
      </c>
      <c r="H40" s="7" t="n">
        <v>45565</v>
      </c>
    </row>
    <row r="41">
      <c r="A41" t="b">
        <v>0</v>
      </c>
      <c r="B41" t="inlineStr">
        <is>
          <t>Block G</t>
        </is>
      </c>
      <c r="C41">
        <f>IF(A41=FALSE, 1,SUMIFS('Cashflow Projection'!$C$50:$C$62, 'Cashflow Projection'!$B$33:$B$45, 'Updated Construction'!G41))</f>
        <v/>
      </c>
      <c r="D41" t="b">
        <v>0</v>
      </c>
      <c r="E41" s="7" t="n">
        <v>45532</v>
      </c>
      <c r="F41" t="n">
        <v>274959.9</v>
      </c>
      <c r="G41" t="inlineStr">
        <is>
          <t>G</t>
        </is>
      </c>
      <c r="H41" s="7" t="n">
        <v>45565</v>
      </c>
    </row>
    <row r="42">
      <c r="A42" t="b">
        <v>0</v>
      </c>
      <c r="B42" t="inlineStr">
        <is>
          <t>Block G</t>
        </is>
      </c>
      <c r="C42">
        <f>IF(A42=FALSE, 1,SUMIFS('Cashflow Projection'!$C$50:$C$62, 'Cashflow Projection'!$B$33:$B$45, 'Updated Construction'!G42))</f>
        <v/>
      </c>
      <c r="D42" t="b">
        <v>0</v>
      </c>
      <c r="E42" s="7" t="n">
        <v>45562</v>
      </c>
      <c r="F42" t="n">
        <v>144600.68</v>
      </c>
      <c r="G42" t="inlineStr">
        <is>
          <t>G</t>
        </is>
      </c>
      <c r="H42" s="7" t="n">
        <v>45626</v>
      </c>
    </row>
    <row r="43">
      <c r="A43" t="b">
        <v>0</v>
      </c>
      <c r="B43" t="inlineStr">
        <is>
          <t>Block G</t>
        </is>
      </c>
      <c r="C43">
        <f>IF(A43=FALSE, 1,SUMIFS('Cashflow Projection'!$C$50:$C$62, 'Cashflow Projection'!$B$33:$B$45, 'Updated Construction'!G43))</f>
        <v/>
      </c>
      <c r="D43" t="b">
        <v>0</v>
      </c>
      <c r="E43" s="7" t="n">
        <v>45596</v>
      </c>
      <c r="F43" t="n">
        <v>0</v>
      </c>
      <c r="G43" t="inlineStr">
        <is>
          <t>G</t>
        </is>
      </c>
      <c r="H43" s="7" t="n">
        <v>45626</v>
      </c>
    </row>
    <row r="44">
      <c r="A44" t="b">
        <v>0</v>
      </c>
      <c r="B44" t="inlineStr">
        <is>
          <t>Block G</t>
        </is>
      </c>
      <c r="C44">
        <f>IF(A44=FALSE, 1,SUMIFS('Cashflow Projection'!$C$50:$C$62, 'Cashflow Projection'!$B$33:$B$45, 'Updated Construction'!G44))</f>
        <v/>
      </c>
      <c r="D44" t="b">
        <v>0</v>
      </c>
      <c r="E44" s="7" t="n">
        <v>45626</v>
      </c>
      <c r="F44" t="n">
        <v>0</v>
      </c>
      <c r="G44" t="inlineStr">
        <is>
          <t>G</t>
        </is>
      </c>
      <c r="H44" s="7" t="n">
        <v>45688</v>
      </c>
    </row>
    <row r="45">
      <c r="A45" t="b">
        <v>0</v>
      </c>
      <c r="B45" t="inlineStr">
        <is>
          <t>Block G</t>
        </is>
      </c>
      <c r="C45">
        <f>IF(A45=FALSE, 1,SUMIFS('Cashflow Projection'!$C$50:$C$62, 'Cashflow Projection'!$B$33:$B$45, 'Updated Construction'!G45))</f>
        <v/>
      </c>
      <c r="D45" t="b">
        <v>0</v>
      </c>
      <c r="E45" s="7" t="n">
        <v>45657</v>
      </c>
      <c r="F45" t="n">
        <v>109446.76</v>
      </c>
      <c r="G45" t="inlineStr">
        <is>
          <t>G</t>
        </is>
      </c>
      <c r="H45" s="7" t="n">
        <v>45688</v>
      </c>
    </row>
    <row r="46">
      <c r="A46" t="b">
        <v>0</v>
      </c>
      <c r="B46" t="inlineStr">
        <is>
          <t>Block G</t>
        </is>
      </c>
      <c r="C46">
        <f>IF(A46=FALSE, 1,SUMIFS('Cashflow Projection'!$C$50:$C$62, 'Cashflow Projection'!$B$33:$B$45, 'Updated Construction'!G46))</f>
        <v/>
      </c>
      <c r="D46" t="b">
        <v>0</v>
      </c>
      <c r="E46" s="7" t="n">
        <v>45688</v>
      </c>
      <c r="F46" t="n">
        <v>0</v>
      </c>
      <c r="G46" t="inlineStr">
        <is>
          <t>G</t>
        </is>
      </c>
      <c r="H46" s="7" t="n">
        <v>45747</v>
      </c>
    </row>
    <row r="47">
      <c r="A47" t="b">
        <v>0</v>
      </c>
      <c r="B47" t="inlineStr">
        <is>
          <t>Block H</t>
        </is>
      </c>
      <c r="C47">
        <f>IF(A47=FALSE, 1,SUMIFS('Cashflow Projection'!$C$50:$C$62, 'Cashflow Projection'!$B$33:$B$45, 'Updated Construction'!G47))</f>
        <v/>
      </c>
      <c r="D47" t="b">
        <v>1</v>
      </c>
      <c r="E47" s="7" t="n">
        <v>45382</v>
      </c>
      <c r="F47" t="n">
        <v>459533.98</v>
      </c>
      <c r="G47" t="inlineStr">
        <is>
          <t>H</t>
        </is>
      </c>
      <c r="H47" s="7" t="n">
        <v>45443</v>
      </c>
    </row>
    <row r="48">
      <c r="A48" t="b">
        <v>0</v>
      </c>
      <c r="B48" t="inlineStr">
        <is>
          <t>Block H</t>
        </is>
      </c>
      <c r="C48">
        <f>IF(A48=FALSE, 1,SUMIFS('Cashflow Projection'!$C$50:$C$62, 'Cashflow Projection'!$B$33:$B$45, 'Updated Construction'!G48))</f>
        <v/>
      </c>
      <c r="D48" t="b">
        <v>0</v>
      </c>
      <c r="E48" s="7" t="n">
        <v>45412</v>
      </c>
      <c r="F48" t="n">
        <v>863067.8100000001</v>
      </c>
      <c r="G48" t="inlineStr">
        <is>
          <t>H</t>
        </is>
      </c>
      <c r="H48" s="7" t="n">
        <v>45443</v>
      </c>
    </row>
    <row r="49">
      <c r="A49" t="b">
        <v>0</v>
      </c>
      <c r="B49" t="inlineStr">
        <is>
          <t>Block H</t>
        </is>
      </c>
      <c r="C49">
        <f>IF(A49=FALSE, 1,SUMIFS('Cashflow Projection'!$C$50:$C$62, 'Cashflow Projection'!$B$33:$B$45, 'Updated Construction'!G49))</f>
        <v/>
      </c>
      <c r="D49" t="b">
        <v>0</v>
      </c>
      <c r="E49" s="7" t="n">
        <v>45442</v>
      </c>
      <c r="F49" t="n">
        <v>1158540.47</v>
      </c>
      <c r="G49" t="inlineStr">
        <is>
          <t>H</t>
        </is>
      </c>
      <c r="H49" s="7" t="n">
        <v>45504</v>
      </c>
    </row>
    <row r="50">
      <c r="A50" t="b">
        <v>0</v>
      </c>
      <c r="B50" t="inlineStr">
        <is>
          <t>Block H</t>
        </is>
      </c>
      <c r="C50">
        <f>IF(A50=FALSE, 1,SUMIFS('Cashflow Projection'!$C$50:$C$62, 'Cashflow Projection'!$B$33:$B$45, 'Updated Construction'!G50))</f>
        <v/>
      </c>
      <c r="D50" t="b">
        <v>0</v>
      </c>
      <c r="E50" s="7" t="n">
        <v>45472</v>
      </c>
      <c r="F50" t="n">
        <v>891811.83</v>
      </c>
      <c r="G50" t="inlineStr">
        <is>
          <t>H</t>
        </is>
      </c>
      <c r="H50" s="7" t="n">
        <v>45504</v>
      </c>
    </row>
    <row r="51">
      <c r="A51" t="b">
        <v>0</v>
      </c>
      <c r="B51" t="inlineStr">
        <is>
          <t>Block H</t>
        </is>
      </c>
      <c r="C51">
        <f>IF(A51=FALSE, 1,SUMIFS('Cashflow Projection'!$C$50:$C$62, 'Cashflow Projection'!$B$33:$B$45, 'Updated Construction'!G51))</f>
        <v/>
      </c>
      <c r="D51" t="b">
        <v>0</v>
      </c>
      <c r="E51" s="7" t="n">
        <v>45502</v>
      </c>
      <c r="F51" t="n">
        <v>192368.19</v>
      </c>
      <c r="G51" t="inlineStr">
        <is>
          <t>H</t>
        </is>
      </c>
      <c r="H51" s="7" t="n">
        <v>45565</v>
      </c>
    </row>
    <row r="52">
      <c r="A52" t="b">
        <v>0</v>
      </c>
      <c r="B52" t="inlineStr">
        <is>
          <t>Block H</t>
        </is>
      </c>
      <c r="C52">
        <f>IF(A52=FALSE, 1,SUMIFS('Cashflow Projection'!$C$50:$C$62, 'Cashflow Projection'!$B$33:$B$45, 'Updated Construction'!G52))</f>
        <v/>
      </c>
      <c r="D52" t="b">
        <v>0</v>
      </c>
      <c r="E52" s="7" t="n">
        <v>45532</v>
      </c>
      <c r="F52" t="n">
        <v>0</v>
      </c>
      <c r="G52" t="inlineStr">
        <is>
          <t>H</t>
        </is>
      </c>
      <c r="H52" s="7" t="n">
        <v>45565</v>
      </c>
    </row>
    <row r="53">
      <c r="A53" t="b">
        <v>0</v>
      </c>
      <c r="B53" t="inlineStr">
        <is>
          <t>Block H</t>
        </is>
      </c>
      <c r="C53">
        <f>IF(A53=FALSE, 1,SUMIFS('Cashflow Projection'!$C$50:$C$62, 'Cashflow Projection'!$B$33:$B$45, 'Updated Construction'!G53))</f>
        <v/>
      </c>
      <c r="D53" t="b">
        <v>0</v>
      </c>
      <c r="E53" s="7" t="n">
        <v>45562</v>
      </c>
      <c r="F53" t="n">
        <v>309955.98</v>
      </c>
      <c r="G53" t="inlineStr">
        <is>
          <t>H</t>
        </is>
      </c>
      <c r="H53" s="7" t="n">
        <v>45626</v>
      </c>
    </row>
    <row r="54">
      <c r="A54" t="b">
        <v>0</v>
      </c>
      <c r="B54" t="inlineStr">
        <is>
          <t>Block H</t>
        </is>
      </c>
      <c r="C54">
        <f>IF(A54=FALSE, 1,SUMIFS('Cashflow Projection'!$C$50:$C$62, 'Cashflow Projection'!$B$33:$B$45, 'Updated Construction'!G54))</f>
        <v/>
      </c>
      <c r="D54" t="b">
        <v>0</v>
      </c>
      <c r="E54" s="7" t="n">
        <v>45596</v>
      </c>
      <c r="F54" t="n">
        <v>39795.95</v>
      </c>
      <c r="G54" t="inlineStr">
        <is>
          <t>H</t>
        </is>
      </c>
      <c r="H54" s="7" t="n">
        <v>45626</v>
      </c>
    </row>
    <row r="55">
      <c r="A55" t="b">
        <v>0</v>
      </c>
      <c r="B55" t="inlineStr">
        <is>
          <t>Block H</t>
        </is>
      </c>
      <c r="C55">
        <f>IF(A55=FALSE, 1,SUMIFS('Cashflow Projection'!$C$50:$C$62, 'Cashflow Projection'!$B$33:$B$45, 'Updated Construction'!G55))</f>
        <v/>
      </c>
      <c r="D55" t="b">
        <v>0</v>
      </c>
      <c r="E55" s="7" t="n">
        <v>45626</v>
      </c>
      <c r="F55" t="n">
        <v>0</v>
      </c>
      <c r="G55" t="inlineStr">
        <is>
          <t>H</t>
        </is>
      </c>
      <c r="H55" s="7" t="n">
        <v>45688</v>
      </c>
    </row>
    <row r="56">
      <c r="A56" t="b">
        <v>0</v>
      </c>
      <c r="B56" t="inlineStr">
        <is>
          <t>Block H</t>
        </is>
      </c>
      <c r="C56">
        <f>IF(A56=FALSE, 1,SUMIFS('Cashflow Projection'!$C$50:$C$62, 'Cashflow Projection'!$B$33:$B$45, 'Updated Construction'!G56))</f>
        <v/>
      </c>
      <c r="D56" t="b">
        <v>0</v>
      </c>
      <c r="E56" s="7" t="n">
        <v>45657</v>
      </c>
      <c r="F56" t="n">
        <v>0</v>
      </c>
      <c r="G56" t="inlineStr">
        <is>
          <t>H</t>
        </is>
      </c>
      <c r="H56" s="7" t="n">
        <v>45688</v>
      </c>
    </row>
    <row r="57">
      <c r="A57" t="b">
        <v>0</v>
      </c>
      <c r="B57" t="inlineStr">
        <is>
          <t>Block H</t>
        </is>
      </c>
      <c r="C57">
        <f>IF(A57=FALSE, 1,SUMIFS('Cashflow Projection'!$C$50:$C$62, 'Cashflow Projection'!$B$33:$B$45, 'Updated Construction'!G57))</f>
        <v/>
      </c>
      <c r="D57" t="b">
        <v>0</v>
      </c>
      <c r="E57" s="7" t="n">
        <v>45688</v>
      </c>
      <c r="F57" t="n">
        <v>0</v>
      </c>
      <c r="G57" t="inlineStr">
        <is>
          <t>H</t>
        </is>
      </c>
      <c r="H57" s="7" t="n">
        <v>45747</v>
      </c>
    </row>
    <row r="58">
      <c r="A58" t="b">
        <v>0</v>
      </c>
      <c r="B58" t="inlineStr">
        <is>
          <t>Block I</t>
        </is>
      </c>
      <c r="C58">
        <f>IF(A58=FALSE, 1,SUMIFS('Cashflow Projection'!$C$50:$C$62, 'Cashflow Projection'!$B$33:$B$45, 'Updated Construction'!G58))</f>
        <v/>
      </c>
      <c r="D58" t="b">
        <v>1</v>
      </c>
      <c r="E58" s="7" t="n">
        <v>45382</v>
      </c>
      <c r="F58" t="n">
        <v>461398.07</v>
      </c>
      <c r="G58" t="inlineStr">
        <is>
          <t>I</t>
        </is>
      </c>
      <c r="H58" s="7" t="n">
        <v>45443</v>
      </c>
    </row>
    <row r="59">
      <c r="A59" t="b">
        <v>0</v>
      </c>
      <c r="B59" t="inlineStr">
        <is>
          <t>Block I</t>
        </is>
      </c>
      <c r="C59">
        <f>IF(A59=FALSE, 1,SUMIFS('Cashflow Projection'!$C$50:$C$62, 'Cashflow Projection'!$B$33:$B$45, 'Updated Construction'!G59))</f>
        <v/>
      </c>
      <c r="D59" t="b">
        <v>0</v>
      </c>
      <c r="E59" s="7" t="n">
        <v>45412</v>
      </c>
      <c r="F59" t="n">
        <v>426849.97</v>
      </c>
      <c r="G59" t="inlineStr">
        <is>
          <t>I</t>
        </is>
      </c>
      <c r="H59" s="7" t="n">
        <v>45443</v>
      </c>
    </row>
    <row r="60">
      <c r="A60" t="b">
        <v>0</v>
      </c>
      <c r="B60" t="inlineStr">
        <is>
          <t>Block I</t>
        </is>
      </c>
      <c r="C60">
        <f>IF(A60=FALSE, 1,SUMIFS('Cashflow Projection'!$C$50:$C$62, 'Cashflow Projection'!$B$33:$B$45, 'Updated Construction'!G60))</f>
        <v/>
      </c>
      <c r="D60" t="b">
        <v>0</v>
      </c>
      <c r="E60" s="7" t="n">
        <v>45442</v>
      </c>
      <c r="F60" t="n">
        <v>112241.15</v>
      </c>
      <c r="G60" t="inlineStr">
        <is>
          <t>I</t>
        </is>
      </c>
      <c r="H60" s="7" t="n">
        <v>45504</v>
      </c>
    </row>
    <row r="61">
      <c r="A61" t="b">
        <v>0</v>
      </c>
      <c r="B61" t="inlineStr">
        <is>
          <t>Block I</t>
        </is>
      </c>
      <c r="C61">
        <f>IF(A61=FALSE, 1,SUMIFS('Cashflow Projection'!$C$50:$C$62, 'Cashflow Projection'!$B$33:$B$45, 'Updated Construction'!G61))</f>
        <v/>
      </c>
      <c r="D61" t="b">
        <v>0</v>
      </c>
      <c r="E61" s="7" t="n">
        <v>45472</v>
      </c>
      <c r="F61" t="n">
        <v>326735.77</v>
      </c>
      <c r="G61" t="inlineStr">
        <is>
          <t>I</t>
        </is>
      </c>
      <c r="H61" s="7" t="n">
        <v>45504</v>
      </c>
    </row>
    <row r="62">
      <c r="A62" t="b">
        <v>0</v>
      </c>
      <c r="B62" t="inlineStr">
        <is>
          <t>Block I</t>
        </is>
      </c>
      <c r="C62">
        <f>IF(A62=FALSE, 1,SUMIFS('Cashflow Projection'!$C$50:$C$62, 'Cashflow Projection'!$B$33:$B$45, 'Updated Construction'!G62))</f>
        <v/>
      </c>
      <c r="D62" t="b">
        <v>0</v>
      </c>
      <c r="E62" s="7" t="n">
        <v>45502</v>
      </c>
      <c r="F62" t="n">
        <v>113353.39</v>
      </c>
      <c r="G62" t="inlineStr">
        <is>
          <t>I</t>
        </is>
      </c>
      <c r="H62" s="7" t="n">
        <v>45565</v>
      </c>
    </row>
    <row r="63">
      <c r="A63" t="b">
        <v>0</v>
      </c>
      <c r="B63" t="inlineStr">
        <is>
          <t>Block I</t>
        </is>
      </c>
      <c r="C63">
        <f>IF(A63=FALSE, 1,SUMIFS('Cashflow Projection'!$C$50:$C$62, 'Cashflow Projection'!$B$33:$B$45, 'Updated Construction'!G63))</f>
        <v/>
      </c>
      <c r="D63" t="b">
        <v>0</v>
      </c>
      <c r="E63" s="7" t="n">
        <v>45532</v>
      </c>
      <c r="F63" t="n">
        <v>77540.85000000001</v>
      </c>
      <c r="G63" t="inlineStr">
        <is>
          <t>I</t>
        </is>
      </c>
      <c r="H63" s="7" t="n">
        <v>45565</v>
      </c>
    </row>
    <row r="64">
      <c r="A64" t="b">
        <v>0</v>
      </c>
      <c r="B64" t="inlineStr">
        <is>
          <t>Block I</t>
        </is>
      </c>
      <c r="C64">
        <f>IF(A64=FALSE, 1,SUMIFS('Cashflow Projection'!$C$50:$C$62, 'Cashflow Projection'!$B$33:$B$45, 'Updated Construction'!G64))</f>
        <v/>
      </c>
      <c r="D64" t="b">
        <v>0</v>
      </c>
      <c r="E64" s="7" t="n">
        <v>45562</v>
      </c>
      <c r="F64" t="n">
        <v>0</v>
      </c>
      <c r="G64" t="inlineStr">
        <is>
          <t>I</t>
        </is>
      </c>
      <c r="H64" s="7" t="n">
        <v>45626</v>
      </c>
    </row>
    <row r="65">
      <c r="A65" t="b">
        <v>0</v>
      </c>
      <c r="B65" t="inlineStr">
        <is>
          <t>Block I</t>
        </is>
      </c>
      <c r="C65">
        <f>IF(A65=FALSE, 1,SUMIFS('Cashflow Projection'!$C$50:$C$62, 'Cashflow Projection'!$B$33:$B$45, 'Updated Construction'!G65))</f>
        <v/>
      </c>
      <c r="D65" t="b">
        <v>0</v>
      </c>
      <c r="E65" s="7" t="n">
        <v>45596</v>
      </c>
      <c r="F65" t="n">
        <v>41624.66</v>
      </c>
      <c r="G65" t="inlineStr">
        <is>
          <t>I</t>
        </is>
      </c>
      <c r="H65" s="7" t="n">
        <v>45626</v>
      </c>
    </row>
    <row r="66">
      <c r="A66" t="b">
        <v>0</v>
      </c>
      <c r="B66" t="inlineStr">
        <is>
          <t>Block I</t>
        </is>
      </c>
      <c r="C66">
        <f>IF(A66=FALSE, 1,SUMIFS('Cashflow Projection'!$C$50:$C$62, 'Cashflow Projection'!$B$33:$B$45, 'Updated Construction'!G66))</f>
        <v/>
      </c>
      <c r="D66" t="b">
        <v>0</v>
      </c>
      <c r="E66" s="7" t="n">
        <v>45626</v>
      </c>
      <c r="F66" t="n">
        <v>0</v>
      </c>
      <c r="G66" t="inlineStr">
        <is>
          <t>I</t>
        </is>
      </c>
      <c r="H66" s="7" t="n">
        <v>45688</v>
      </c>
    </row>
    <row r="67">
      <c r="A67" t="b">
        <v>0</v>
      </c>
      <c r="B67" t="inlineStr">
        <is>
          <t>Block I</t>
        </is>
      </c>
      <c r="C67">
        <f>IF(A67=FALSE, 1,SUMIFS('Cashflow Projection'!$C$50:$C$62, 'Cashflow Projection'!$B$33:$B$45, 'Updated Construction'!G67))</f>
        <v/>
      </c>
      <c r="D67" t="b">
        <v>0</v>
      </c>
      <c r="E67" s="7" t="n">
        <v>45657</v>
      </c>
      <c r="F67" t="n">
        <v>0</v>
      </c>
      <c r="G67" t="inlineStr">
        <is>
          <t>I</t>
        </is>
      </c>
      <c r="H67" s="7" t="n">
        <v>45688</v>
      </c>
    </row>
    <row r="68">
      <c r="A68" t="b">
        <v>0</v>
      </c>
      <c r="B68" t="inlineStr">
        <is>
          <t>Block I</t>
        </is>
      </c>
      <c r="C68">
        <f>IF(A68=FALSE, 1,SUMIFS('Cashflow Projection'!$C$50:$C$62, 'Cashflow Projection'!$B$33:$B$45, 'Updated Construction'!G68))</f>
        <v/>
      </c>
      <c r="D68" t="b">
        <v>0</v>
      </c>
      <c r="E68" s="7" t="n">
        <v>45688</v>
      </c>
      <c r="F68" t="n">
        <v>0</v>
      </c>
      <c r="G68" t="inlineStr">
        <is>
          <t>I</t>
        </is>
      </c>
      <c r="H68" s="7" t="n">
        <v>45747</v>
      </c>
    </row>
    <row r="69">
      <c r="A69" t="b">
        <v>0</v>
      </c>
      <c r="B69" t="inlineStr">
        <is>
          <t>Block J</t>
        </is>
      </c>
      <c r="C69">
        <f>IF(A69=FALSE, 1,SUMIFS('Cashflow Projection'!$C$50:$C$62, 'Cashflow Projection'!$B$33:$B$45, 'Updated Construction'!G69))</f>
        <v/>
      </c>
      <c r="D69" t="b">
        <v>1</v>
      </c>
      <c r="E69" s="7" t="n">
        <v>45382</v>
      </c>
      <c r="F69" t="n">
        <v>619987.55</v>
      </c>
      <c r="G69" t="inlineStr">
        <is>
          <t>J</t>
        </is>
      </c>
      <c r="H69" s="7" t="n">
        <v>45443</v>
      </c>
    </row>
    <row r="70">
      <c r="A70" t="b">
        <v>0</v>
      </c>
      <c r="B70" t="inlineStr">
        <is>
          <t>Block J</t>
        </is>
      </c>
      <c r="C70">
        <f>IF(A70=FALSE, 1,SUMIFS('Cashflow Projection'!$C$50:$C$62, 'Cashflow Projection'!$B$33:$B$45, 'Updated Construction'!G70))</f>
        <v/>
      </c>
      <c r="D70" t="b">
        <v>0</v>
      </c>
      <c r="E70" s="7" t="n">
        <v>45412</v>
      </c>
      <c r="F70" t="n">
        <v>863969.1899999999</v>
      </c>
      <c r="G70" t="inlineStr">
        <is>
          <t>J</t>
        </is>
      </c>
      <c r="H70" s="7" t="n">
        <v>45443</v>
      </c>
    </row>
    <row r="71">
      <c r="A71" t="b">
        <v>0</v>
      </c>
      <c r="B71" t="inlineStr">
        <is>
          <t>Block J</t>
        </is>
      </c>
      <c r="C71">
        <f>IF(A71=FALSE, 1,SUMIFS('Cashflow Projection'!$C$50:$C$62, 'Cashflow Projection'!$B$33:$B$45, 'Updated Construction'!G71))</f>
        <v/>
      </c>
      <c r="D71" t="b">
        <v>0</v>
      </c>
      <c r="E71" s="7" t="n">
        <v>45442</v>
      </c>
      <c r="F71" t="n">
        <v>367171.9</v>
      </c>
      <c r="G71" t="inlineStr">
        <is>
          <t>J</t>
        </is>
      </c>
      <c r="H71" s="7" t="n">
        <v>45504</v>
      </c>
    </row>
    <row r="72">
      <c r="A72" t="b">
        <v>0</v>
      </c>
      <c r="B72" t="inlineStr">
        <is>
          <t>Block J</t>
        </is>
      </c>
      <c r="C72">
        <f>IF(A72=FALSE, 1,SUMIFS('Cashflow Projection'!$C$50:$C$62, 'Cashflow Projection'!$B$33:$B$45, 'Updated Construction'!G72))</f>
        <v/>
      </c>
      <c r="D72" t="b">
        <v>0</v>
      </c>
      <c r="E72" s="7" t="n">
        <v>45472</v>
      </c>
      <c r="F72" t="n">
        <v>391161.6</v>
      </c>
      <c r="G72" t="inlineStr">
        <is>
          <t>J</t>
        </is>
      </c>
      <c r="H72" s="7" t="n">
        <v>45504</v>
      </c>
    </row>
    <row r="73">
      <c r="A73" t="b">
        <v>0</v>
      </c>
      <c r="B73" t="inlineStr">
        <is>
          <t>Block J</t>
        </is>
      </c>
      <c r="C73">
        <f>IF(A73=FALSE, 1,SUMIFS('Cashflow Projection'!$C$50:$C$62, 'Cashflow Projection'!$B$33:$B$45, 'Updated Construction'!G73))</f>
        <v/>
      </c>
      <c r="D73" t="b">
        <v>0</v>
      </c>
      <c r="E73" s="7" t="n">
        <v>45502</v>
      </c>
      <c r="F73" t="n">
        <v>89422.28</v>
      </c>
      <c r="G73" t="inlineStr">
        <is>
          <t>J</t>
        </is>
      </c>
      <c r="H73" s="7" t="n">
        <v>45565</v>
      </c>
    </row>
    <row r="74">
      <c r="A74" t="b">
        <v>0</v>
      </c>
      <c r="B74" t="inlineStr">
        <is>
          <t>Block J</t>
        </is>
      </c>
      <c r="C74">
        <f>IF(A74=FALSE, 1,SUMIFS('Cashflow Projection'!$C$50:$C$62, 'Cashflow Projection'!$B$33:$B$45, 'Updated Construction'!G74))</f>
        <v/>
      </c>
      <c r="D74" t="b">
        <v>0</v>
      </c>
      <c r="E74" s="7" t="n">
        <v>45532</v>
      </c>
      <c r="F74" t="n">
        <v>0</v>
      </c>
      <c r="G74" t="inlineStr">
        <is>
          <t>J</t>
        </is>
      </c>
      <c r="H74" s="7" t="n">
        <v>45565</v>
      </c>
    </row>
    <row r="75">
      <c r="A75" t="b">
        <v>0</v>
      </c>
      <c r="B75" t="inlineStr">
        <is>
          <t>Block J</t>
        </is>
      </c>
      <c r="C75">
        <f>IF(A75=FALSE, 1,SUMIFS('Cashflow Projection'!$C$50:$C$62, 'Cashflow Projection'!$B$33:$B$45, 'Updated Construction'!G75))</f>
        <v/>
      </c>
      <c r="D75" t="b">
        <v>0</v>
      </c>
      <c r="E75" s="7" t="n">
        <v>45562</v>
      </c>
      <c r="F75" t="n">
        <v>0</v>
      </c>
      <c r="G75" t="inlineStr">
        <is>
          <t>J</t>
        </is>
      </c>
      <c r="H75" s="7" t="n">
        <v>45626</v>
      </c>
    </row>
    <row r="76">
      <c r="A76" t="b">
        <v>0</v>
      </c>
      <c r="B76" t="inlineStr">
        <is>
          <t>Block J</t>
        </is>
      </c>
      <c r="C76">
        <f>IF(A76=FALSE, 1,SUMIFS('Cashflow Projection'!$C$50:$C$62, 'Cashflow Projection'!$B$33:$B$45, 'Updated Construction'!G76))</f>
        <v/>
      </c>
      <c r="D76" t="b">
        <v>0</v>
      </c>
      <c r="E76" s="7" t="n">
        <v>45596</v>
      </c>
      <c r="F76" t="n">
        <v>99279.46000000001</v>
      </c>
      <c r="G76" t="inlineStr">
        <is>
          <t>J</t>
        </is>
      </c>
      <c r="H76" s="7" t="n">
        <v>45626</v>
      </c>
    </row>
    <row r="77">
      <c r="A77" t="b">
        <v>0</v>
      </c>
      <c r="B77" t="inlineStr">
        <is>
          <t>Block J</t>
        </is>
      </c>
      <c r="C77">
        <f>IF(A77=FALSE, 1,SUMIFS('Cashflow Projection'!$C$50:$C$62, 'Cashflow Projection'!$B$33:$B$45, 'Updated Construction'!G77))</f>
        <v/>
      </c>
      <c r="D77" t="b">
        <v>0</v>
      </c>
      <c r="E77" s="7" t="n">
        <v>45626</v>
      </c>
      <c r="F77" t="n">
        <v>0</v>
      </c>
      <c r="G77" t="inlineStr">
        <is>
          <t>J</t>
        </is>
      </c>
      <c r="H77" s="7" t="n">
        <v>45688</v>
      </c>
    </row>
    <row r="78">
      <c r="A78" t="b">
        <v>0</v>
      </c>
      <c r="B78" t="inlineStr">
        <is>
          <t>Block J</t>
        </is>
      </c>
      <c r="C78">
        <f>IF(A78=FALSE, 1,SUMIFS('Cashflow Projection'!$C$50:$C$62, 'Cashflow Projection'!$B$33:$B$45, 'Updated Construction'!G78))</f>
        <v/>
      </c>
      <c r="D78" t="b">
        <v>0</v>
      </c>
      <c r="E78" s="7" t="n">
        <v>45657</v>
      </c>
      <c r="F78" t="n">
        <v>0</v>
      </c>
      <c r="G78" t="inlineStr">
        <is>
          <t>J</t>
        </is>
      </c>
      <c r="H78" s="7" t="n">
        <v>45688</v>
      </c>
    </row>
    <row r="79">
      <c r="A79" t="b">
        <v>0</v>
      </c>
      <c r="B79" t="inlineStr">
        <is>
          <t>Block J</t>
        </is>
      </c>
      <c r="C79">
        <f>IF(A79=FALSE, 1,SUMIFS('Cashflow Projection'!$C$50:$C$62, 'Cashflow Projection'!$B$33:$B$45, 'Updated Construction'!G79))</f>
        <v/>
      </c>
      <c r="D79" t="b">
        <v>0</v>
      </c>
      <c r="E79" s="7" t="n">
        <v>45688</v>
      </c>
      <c r="F79" t="n">
        <v>0</v>
      </c>
      <c r="G79" t="inlineStr">
        <is>
          <t>J</t>
        </is>
      </c>
      <c r="H79" s="7" t="n">
        <v>45747</v>
      </c>
    </row>
    <row r="80">
      <c r="A80" t="b">
        <v>0</v>
      </c>
      <c r="B80" t="inlineStr">
        <is>
          <t>Block K</t>
        </is>
      </c>
      <c r="C80">
        <f>IF(A80=FALSE, 1,SUMIFS('Cashflow Projection'!$C$50:$C$62, 'Cashflow Projection'!$B$33:$B$45, 'Updated Construction'!G80))</f>
        <v/>
      </c>
      <c r="D80" t="b">
        <v>1</v>
      </c>
      <c r="E80" s="7" t="n">
        <v>45382</v>
      </c>
      <c r="F80" t="n">
        <v>878526.95</v>
      </c>
      <c r="G80" t="inlineStr">
        <is>
          <t>K</t>
        </is>
      </c>
      <c r="H80" s="7" t="n">
        <v>45443</v>
      </c>
    </row>
    <row r="81">
      <c r="A81" t="b">
        <v>0</v>
      </c>
      <c r="B81" t="inlineStr">
        <is>
          <t>Block K</t>
        </is>
      </c>
      <c r="C81">
        <f>IF(A81=FALSE, 1,SUMIFS('Cashflow Projection'!$C$50:$C$62, 'Cashflow Projection'!$B$33:$B$45, 'Updated Construction'!G81))</f>
        <v/>
      </c>
      <c r="D81" t="b">
        <v>0</v>
      </c>
      <c r="E81" s="7" t="n">
        <v>45412</v>
      </c>
      <c r="F81" t="n">
        <v>557104.61</v>
      </c>
      <c r="G81" t="inlineStr">
        <is>
          <t>K</t>
        </is>
      </c>
      <c r="H81" s="7" t="n">
        <v>45443</v>
      </c>
    </row>
    <row r="82">
      <c r="A82" t="b">
        <v>0</v>
      </c>
      <c r="B82" t="inlineStr">
        <is>
          <t>Block K</t>
        </is>
      </c>
      <c r="C82">
        <f>IF(A82=FALSE, 1,SUMIFS('Cashflow Projection'!$C$50:$C$62, 'Cashflow Projection'!$B$33:$B$45, 'Updated Construction'!G82))</f>
        <v/>
      </c>
      <c r="D82" t="b">
        <v>0</v>
      </c>
      <c r="E82" s="7" t="n">
        <v>45442</v>
      </c>
      <c r="F82" t="n">
        <v>747309.22</v>
      </c>
      <c r="G82" t="inlineStr">
        <is>
          <t>K</t>
        </is>
      </c>
      <c r="H82" s="7" t="n">
        <v>45504</v>
      </c>
    </row>
    <row r="83">
      <c r="A83" t="b">
        <v>0</v>
      </c>
      <c r="B83" t="inlineStr">
        <is>
          <t>Block K</t>
        </is>
      </c>
      <c r="C83">
        <f>IF(A83=FALSE, 1,SUMIFS('Cashflow Projection'!$C$50:$C$62, 'Cashflow Projection'!$B$33:$B$45, 'Updated Construction'!G83))</f>
        <v/>
      </c>
      <c r="D83" t="b">
        <v>0</v>
      </c>
      <c r="E83" s="7" t="n">
        <v>45472</v>
      </c>
      <c r="F83" t="n">
        <v>487412.09</v>
      </c>
      <c r="G83" t="inlineStr">
        <is>
          <t>K</t>
        </is>
      </c>
      <c r="H83" s="7" t="n">
        <v>45504</v>
      </c>
    </row>
    <row r="84">
      <c r="A84" t="b">
        <v>0</v>
      </c>
      <c r="B84" t="inlineStr">
        <is>
          <t>Block K</t>
        </is>
      </c>
      <c r="C84">
        <f>IF(A84=FALSE, 1,SUMIFS('Cashflow Projection'!$C$50:$C$62, 'Cashflow Projection'!$B$33:$B$45, 'Updated Construction'!G84))</f>
        <v/>
      </c>
      <c r="D84" t="b">
        <v>0</v>
      </c>
      <c r="E84" s="7" t="n">
        <v>45502</v>
      </c>
      <c r="F84" t="n">
        <v>347552.06</v>
      </c>
      <c r="G84" t="inlineStr">
        <is>
          <t>K</t>
        </is>
      </c>
      <c r="H84" s="7" t="n">
        <v>45565</v>
      </c>
    </row>
    <row r="85">
      <c r="A85" t="b">
        <v>0</v>
      </c>
      <c r="B85" t="inlineStr">
        <is>
          <t>Block K</t>
        </is>
      </c>
      <c r="C85">
        <f>IF(A85=FALSE, 1,SUMIFS('Cashflow Projection'!$C$50:$C$62, 'Cashflow Projection'!$B$33:$B$45, 'Updated Construction'!G85))</f>
        <v/>
      </c>
      <c r="D85" t="b">
        <v>0</v>
      </c>
      <c r="E85" s="7" t="n">
        <v>45532</v>
      </c>
      <c r="F85" t="n">
        <v>101493.05</v>
      </c>
      <c r="G85" t="inlineStr">
        <is>
          <t>K</t>
        </is>
      </c>
      <c r="H85" s="7" t="n">
        <v>45565</v>
      </c>
    </row>
    <row r="86">
      <c r="A86" t="b">
        <v>0</v>
      </c>
      <c r="B86" t="inlineStr">
        <is>
          <t>Block K</t>
        </is>
      </c>
      <c r="C86">
        <f>IF(A86=FALSE, 1,SUMIFS('Cashflow Projection'!$C$50:$C$62, 'Cashflow Projection'!$B$33:$B$45, 'Updated Construction'!G86))</f>
        <v/>
      </c>
      <c r="D86" t="b">
        <v>0</v>
      </c>
      <c r="E86" s="7" t="n">
        <v>45562</v>
      </c>
      <c r="F86" t="n">
        <v>0</v>
      </c>
      <c r="G86" t="inlineStr">
        <is>
          <t>K</t>
        </is>
      </c>
      <c r="H86" s="7" t="n">
        <v>45626</v>
      </c>
    </row>
    <row r="87">
      <c r="A87" t="b">
        <v>0</v>
      </c>
      <c r="B87" t="inlineStr">
        <is>
          <t>Block K</t>
        </is>
      </c>
      <c r="C87">
        <f>IF(A87=FALSE, 1,SUMIFS('Cashflow Projection'!$C$50:$C$62, 'Cashflow Projection'!$B$33:$B$45, 'Updated Construction'!G87))</f>
        <v/>
      </c>
      <c r="D87" t="b">
        <v>0</v>
      </c>
      <c r="E87" s="7" t="n">
        <v>45596</v>
      </c>
      <c r="F87" t="n">
        <v>193443.31</v>
      </c>
      <c r="G87" t="inlineStr">
        <is>
          <t>K</t>
        </is>
      </c>
      <c r="H87" s="7" t="n">
        <v>45626</v>
      </c>
    </row>
    <row r="88">
      <c r="A88" t="b">
        <v>0</v>
      </c>
      <c r="B88" t="inlineStr">
        <is>
          <t>Block K</t>
        </is>
      </c>
      <c r="C88">
        <f>IF(A88=FALSE, 1,SUMIFS('Cashflow Projection'!$C$50:$C$62, 'Cashflow Projection'!$B$33:$B$45, 'Updated Construction'!G88))</f>
        <v/>
      </c>
      <c r="D88" t="b">
        <v>0</v>
      </c>
      <c r="E88" s="7" t="n">
        <v>45626</v>
      </c>
      <c r="F88" t="n">
        <v>0</v>
      </c>
      <c r="G88" t="inlineStr">
        <is>
          <t>K</t>
        </is>
      </c>
      <c r="H88" s="7" t="n">
        <v>45688</v>
      </c>
    </row>
    <row r="89">
      <c r="A89" t="b">
        <v>0</v>
      </c>
      <c r="B89" t="inlineStr">
        <is>
          <t>Block K</t>
        </is>
      </c>
      <c r="C89">
        <f>IF(A89=FALSE, 1,SUMIFS('Cashflow Projection'!$C$50:$C$62, 'Cashflow Projection'!$B$33:$B$45, 'Updated Construction'!G89))</f>
        <v/>
      </c>
      <c r="D89" t="b">
        <v>0</v>
      </c>
      <c r="E89" s="7" t="n">
        <v>45657</v>
      </c>
      <c r="F89" t="n">
        <v>0</v>
      </c>
      <c r="G89" t="inlineStr">
        <is>
          <t>K</t>
        </is>
      </c>
      <c r="H89" s="7" t="n">
        <v>45688</v>
      </c>
    </row>
    <row r="90">
      <c r="A90" t="b">
        <v>0</v>
      </c>
      <c r="B90" t="inlineStr">
        <is>
          <t>Block K</t>
        </is>
      </c>
      <c r="C90">
        <f>IF(A90=FALSE, 1,SUMIFS('Cashflow Projection'!$C$50:$C$62, 'Cashflow Projection'!$B$33:$B$45, 'Updated Construction'!G90))</f>
        <v/>
      </c>
      <c r="D90" t="b">
        <v>0</v>
      </c>
      <c r="E90" s="7" t="n">
        <v>45688</v>
      </c>
      <c r="F90" t="n">
        <v>0</v>
      </c>
      <c r="G90" t="inlineStr">
        <is>
          <t>K</t>
        </is>
      </c>
      <c r="H90" s="7" t="n">
        <v>45747</v>
      </c>
    </row>
    <row r="91">
      <c r="A91" t="b">
        <v>0</v>
      </c>
      <c r="B91" t="inlineStr">
        <is>
          <t>Block L</t>
        </is>
      </c>
      <c r="C91">
        <f>IF(A91=FALSE, 1,SUMIFS('Cashflow Projection'!$C$50:$C$62, 'Cashflow Projection'!$B$33:$B$45, 'Updated Construction'!G91))</f>
        <v/>
      </c>
      <c r="D91" t="b">
        <v>1</v>
      </c>
      <c r="E91" s="7" t="n">
        <v>45382</v>
      </c>
      <c r="F91" t="n">
        <v>433899.53</v>
      </c>
      <c r="G91" t="inlineStr">
        <is>
          <t>L</t>
        </is>
      </c>
      <c r="H91" s="7" t="n">
        <v>45443</v>
      </c>
    </row>
    <row r="92">
      <c r="A92" t="b">
        <v>0</v>
      </c>
      <c r="B92" t="inlineStr">
        <is>
          <t>Block L</t>
        </is>
      </c>
      <c r="C92">
        <f>IF(A92=FALSE, 1,SUMIFS('Cashflow Projection'!$C$50:$C$62, 'Cashflow Projection'!$B$33:$B$45, 'Updated Construction'!G92))</f>
        <v/>
      </c>
      <c r="D92" t="b">
        <v>0</v>
      </c>
      <c r="E92" s="7" t="n">
        <v>45412</v>
      </c>
      <c r="F92" t="n">
        <v>164572.83</v>
      </c>
      <c r="G92" t="inlineStr">
        <is>
          <t>L</t>
        </is>
      </c>
      <c r="H92" s="7" t="n">
        <v>45443</v>
      </c>
    </row>
    <row r="93">
      <c r="A93" t="b">
        <v>0</v>
      </c>
      <c r="B93" t="inlineStr">
        <is>
          <t>Block L</t>
        </is>
      </c>
      <c r="C93">
        <f>IF(A93=FALSE, 1,SUMIFS('Cashflow Projection'!$C$50:$C$62, 'Cashflow Projection'!$B$33:$B$45, 'Updated Construction'!G93))</f>
        <v/>
      </c>
      <c r="D93" t="b">
        <v>0</v>
      </c>
      <c r="E93" s="7" t="n">
        <v>45442</v>
      </c>
      <c r="F93" t="n">
        <v>58525.6</v>
      </c>
      <c r="G93" t="inlineStr">
        <is>
          <t>L</t>
        </is>
      </c>
      <c r="H93" s="7" t="n">
        <v>45504</v>
      </c>
    </row>
    <row r="94">
      <c r="A94" t="b">
        <v>0</v>
      </c>
      <c r="B94" t="inlineStr">
        <is>
          <t>Block L</t>
        </is>
      </c>
      <c r="C94">
        <f>IF(A94=FALSE, 1,SUMIFS('Cashflow Projection'!$C$50:$C$62, 'Cashflow Projection'!$B$33:$B$45, 'Updated Construction'!G94))</f>
        <v/>
      </c>
      <c r="D94" t="b">
        <v>0</v>
      </c>
      <c r="E94" s="7" t="n">
        <v>45472</v>
      </c>
      <c r="F94" t="n">
        <v>175198.91</v>
      </c>
      <c r="G94" t="inlineStr">
        <is>
          <t>L</t>
        </is>
      </c>
      <c r="H94" s="7" t="n">
        <v>45504</v>
      </c>
    </row>
    <row r="95">
      <c r="A95" t="b">
        <v>0</v>
      </c>
      <c r="B95" t="inlineStr">
        <is>
          <t>Block L</t>
        </is>
      </c>
      <c r="C95">
        <f>IF(A95=FALSE, 1,SUMIFS('Cashflow Projection'!$C$50:$C$62, 'Cashflow Projection'!$B$33:$B$45, 'Updated Construction'!G95))</f>
        <v/>
      </c>
      <c r="D95" t="b">
        <v>0</v>
      </c>
      <c r="E95" s="7" t="n">
        <v>45502</v>
      </c>
      <c r="F95" t="n">
        <v>16355.29</v>
      </c>
      <c r="G95" t="inlineStr">
        <is>
          <t>L</t>
        </is>
      </c>
      <c r="H95" s="7" t="n">
        <v>45565</v>
      </c>
    </row>
    <row r="96">
      <c r="A96" t="b">
        <v>0</v>
      </c>
      <c r="B96" t="inlineStr">
        <is>
          <t>Block L</t>
        </is>
      </c>
      <c r="C96">
        <f>IF(A96=FALSE, 1,SUMIFS('Cashflow Projection'!$C$50:$C$62, 'Cashflow Projection'!$B$33:$B$45, 'Updated Construction'!G96))</f>
        <v/>
      </c>
      <c r="D96" t="b">
        <v>0</v>
      </c>
      <c r="E96" s="7" t="n">
        <v>45532</v>
      </c>
      <c r="F96" t="n">
        <v>0</v>
      </c>
      <c r="G96" t="inlineStr">
        <is>
          <t>L</t>
        </is>
      </c>
      <c r="H96" s="7" t="n">
        <v>45565</v>
      </c>
    </row>
    <row r="97">
      <c r="A97" t="b">
        <v>0</v>
      </c>
      <c r="B97" t="inlineStr">
        <is>
          <t>Block L</t>
        </is>
      </c>
      <c r="C97">
        <f>IF(A97=FALSE, 1,SUMIFS('Cashflow Projection'!$C$50:$C$62, 'Cashflow Projection'!$B$33:$B$45, 'Updated Construction'!G97))</f>
        <v/>
      </c>
      <c r="D97" t="b">
        <v>0</v>
      </c>
      <c r="E97" s="7" t="n">
        <v>45562</v>
      </c>
      <c r="F97" t="n">
        <v>0</v>
      </c>
      <c r="G97" t="inlineStr">
        <is>
          <t>L</t>
        </is>
      </c>
      <c r="H97" s="7" t="n">
        <v>45626</v>
      </c>
    </row>
    <row r="98">
      <c r="A98" t="b">
        <v>0</v>
      </c>
      <c r="B98" t="inlineStr">
        <is>
          <t>Block L</t>
        </is>
      </c>
      <c r="C98">
        <f>IF(A98=FALSE, 1,SUMIFS('Cashflow Projection'!$C$50:$C$62, 'Cashflow Projection'!$B$33:$B$45, 'Updated Construction'!G98))</f>
        <v/>
      </c>
      <c r="D98" t="b">
        <v>0</v>
      </c>
      <c r="E98" s="7" t="n">
        <v>45596</v>
      </c>
      <c r="F98" t="n">
        <v>92132.81</v>
      </c>
      <c r="G98" t="inlineStr">
        <is>
          <t>L</t>
        </is>
      </c>
      <c r="H98" s="7" t="n">
        <v>45626</v>
      </c>
    </row>
    <row r="99">
      <c r="A99" t="b">
        <v>0</v>
      </c>
      <c r="B99" t="inlineStr">
        <is>
          <t>Block L</t>
        </is>
      </c>
      <c r="C99">
        <f>IF(A99=FALSE, 1,SUMIFS('Cashflow Projection'!$C$50:$C$62, 'Cashflow Projection'!$B$33:$B$45, 'Updated Construction'!G99))</f>
        <v/>
      </c>
      <c r="D99" t="b">
        <v>0</v>
      </c>
      <c r="E99" s="7" t="n">
        <v>45626</v>
      </c>
      <c r="F99" t="n">
        <v>0</v>
      </c>
      <c r="G99" t="inlineStr">
        <is>
          <t>L</t>
        </is>
      </c>
      <c r="H99" s="7" t="n">
        <v>45688</v>
      </c>
    </row>
    <row r="100">
      <c r="A100" t="b">
        <v>0</v>
      </c>
      <c r="B100" t="inlineStr">
        <is>
          <t>Block L</t>
        </is>
      </c>
      <c r="C100">
        <f>IF(A100=FALSE, 1,SUMIFS('Cashflow Projection'!$C$50:$C$62, 'Cashflow Projection'!$B$33:$B$45, 'Updated Construction'!G100))</f>
        <v/>
      </c>
      <c r="D100" t="b">
        <v>0</v>
      </c>
      <c r="E100" s="7" t="n">
        <v>45657</v>
      </c>
      <c r="F100" t="n">
        <v>0</v>
      </c>
      <c r="G100" t="inlineStr">
        <is>
          <t>L</t>
        </is>
      </c>
      <c r="H100" s="7" t="n">
        <v>45688</v>
      </c>
    </row>
    <row r="101">
      <c r="A101" t="b">
        <v>0</v>
      </c>
      <c r="B101" t="inlineStr">
        <is>
          <t>Block L</t>
        </is>
      </c>
      <c r="C101">
        <f>IF(A101=FALSE, 1,SUMIFS('Cashflow Projection'!$C$50:$C$62, 'Cashflow Projection'!$B$33:$B$45, 'Updated Construction'!G101))</f>
        <v/>
      </c>
      <c r="D101" t="b">
        <v>0</v>
      </c>
      <c r="E101" s="7" t="n">
        <v>45688</v>
      </c>
      <c r="F101" t="n">
        <v>0</v>
      </c>
      <c r="G101" t="inlineStr">
        <is>
          <t>L</t>
        </is>
      </c>
      <c r="H101" s="7" t="n">
        <v>45747</v>
      </c>
    </row>
    <row r="102">
      <c r="A102" t="b">
        <v>0</v>
      </c>
      <c r="B102" t="inlineStr">
        <is>
          <t>Block M</t>
        </is>
      </c>
      <c r="C102">
        <f>IF(A102=FALSE, 1,SUMIFS('Cashflow Projection'!$C$50:$C$62, 'Cashflow Projection'!$B$33:$B$45, 'Updated Construction'!G102))</f>
        <v/>
      </c>
      <c r="D102" t="b">
        <v>1</v>
      </c>
      <c r="E102" s="7" t="n">
        <v>45382</v>
      </c>
      <c r="F102" t="n">
        <v>308159.53</v>
      </c>
      <c r="G102" t="inlineStr">
        <is>
          <t>M</t>
        </is>
      </c>
      <c r="H102" s="7" t="n">
        <v>45443</v>
      </c>
    </row>
    <row r="103">
      <c r="A103" t="b">
        <v>0</v>
      </c>
      <c r="B103" t="inlineStr">
        <is>
          <t>Block M</t>
        </is>
      </c>
      <c r="C103">
        <f>IF(A103=FALSE, 1,SUMIFS('Cashflow Projection'!$C$50:$C$62, 'Cashflow Projection'!$B$33:$B$45, 'Updated Construction'!G103))</f>
        <v/>
      </c>
      <c r="D103" t="b">
        <v>0</v>
      </c>
      <c r="E103" s="7" t="n">
        <v>45412</v>
      </c>
      <c r="F103" t="n">
        <v>630567.3199999999</v>
      </c>
      <c r="G103" t="inlineStr">
        <is>
          <t>M</t>
        </is>
      </c>
      <c r="H103" s="7" t="n">
        <v>45443</v>
      </c>
    </row>
    <row r="104">
      <c r="A104" t="b">
        <v>0</v>
      </c>
      <c r="B104" t="inlineStr">
        <is>
          <t>Block M</t>
        </is>
      </c>
      <c r="C104">
        <f>IF(A104=FALSE, 1,SUMIFS('Cashflow Projection'!$C$50:$C$62, 'Cashflow Projection'!$B$33:$B$45, 'Updated Construction'!G104))</f>
        <v/>
      </c>
      <c r="D104" t="b">
        <v>0</v>
      </c>
      <c r="E104" s="7" t="n">
        <v>45442</v>
      </c>
      <c r="F104" t="n">
        <v>237274.74</v>
      </c>
      <c r="G104" t="inlineStr">
        <is>
          <t>M</t>
        </is>
      </c>
      <c r="H104" s="7" t="n">
        <v>45504</v>
      </c>
    </row>
    <row r="105">
      <c r="A105" t="b">
        <v>0</v>
      </c>
      <c r="B105" t="inlineStr">
        <is>
          <t>Block M</t>
        </is>
      </c>
      <c r="C105">
        <f>IF(A105=FALSE, 1,SUMIFS('Cashflow Projection'!$C$50:$C$62, 'Cashflow Projection'!$B$33:$B$45, 'Updated Construction'!G105))</f>
        <v/>
      </c>
      <c r="D105" t="b">
        <v>0</v>
      </c>
      <c r="E105" s="7" t="n">
        <v>45472</v>
      </c>
      <c r="F105" t="n">
        <v>199131.93</v>
      </c>
      <c r="G105" t="inlineStr">
        <is>
          <t>M</t>
        </is>
      </c>
      <c r="H105" s="7" t="n">
        <v>45504</v>
      </c>
    </row>
    <row r="106">
      <c r="A106" t="b">
        <v>0</v>
      </c>
      <c r="B106" t="inlineStr">
        <is>
          <t>Block M</t>
        </is>
      </c>
      <c r="C106">
        <f>IF(A106=FALSE, 1,SUMIFS('Cashflow Projection'!$C$50:$C$62, 'Cashflow Projection'!$B$33:$B$45, 'Updated Construction'!G106))</f>
        <v/>
      </c>
      <c r="D106" t="b">
        <v>0</v>
      </c>
      <c r="E106" s="7" t="n">
        <v>45502</v>
      </c>
      <c r="F106" t="n">
        <v>171796.67</v>
      </c>
      <c r="G106" t="inlineStr">
        <is>
          <t>M</t>
        </is>
      </c>
      <c r="H106" s="7" t="n">
        <v>45565</v>
      </c>
    </row>
    <row r="107">
      <c r="A107" t="b">
        <v>0</v>
      </c>
      <c r="B107" t="inlineStr">
        <is>
          <t>Block M</t>
        </is>
      </c>
      <c r="C107">
        <f>IF(A107=FALSE, 1,SUMIFS('Cashflow Projection'!$C$50:$C$62, 'Cashflow Projection'!$B$33:$B$45, 'Updated Construction'!G107))</f>
        <v/>
      </c>
      <c r="D107" t="b">
        <v>0</v>
      </c>
      <c r="E107" s="7" t="n">
        <v>45532</v>
      </c>
      <c r="F107" t="n">
        <v>98844.28999999999</v>
      </c>
      <c r="G107" t="inlineStr">
        <is>
          <t>M</t>
        </is>
      </c>
      <c r="H107" s="7" t="n">
        <v>45565</v>
      </c>
    </row>
    <row r="108">
      <c r="A108" t="b">
        <v>0</v>
      </c>
      <c r="B108" t="inlineStr">
        <is>
          <t>Block M</t>
        </is>
      </c>
      <c r="C108">
        <f>IF(A108=FALSE, 1,SUMIFS('Cashflow Projection'!$C$50:$C$62, 'Cashflow Projection'!$B$33:$B$45, 'Updated Construction'!G108))</f>
        <v/>
      </c>
      <c r="D108" t="b">
        <v>0</v>
      </c>
      <c r="E108" s="7" t="n">
        <v>45562</v>
      </c>
      <c r="F108" t="n">
        <v>38888.68</v>
      </c>
      <c r="G108" t="inlineStr">
        <is>
          <t>M</t>
        </is>
      </c>
      <c r="H108" s="7" t="n">
        <v>45626</v>
      </c>
    </row>
    <row r="109">
      <c r="A109" t="b">
        <v>0</v>
      </c>
      <c r="B109" t="inlineStr">
        <is>
          <t>Block M</t>
        </is>
      </c>
      <c r="C109">
        <f>IF(A109=FALSE, 1,SUMIFS('Cashflow Projection'!$C$50:$C$62, 'Cashflow Projection'!$B$33:$B$45, 'Updated Construction'!G109))</f>
        <v/>
      </c>
      <c r="D109" t="b">
        <v>0</v>
      </c>
      <c r="E109" s="7" t="n">
        <v>45596</v>
      </c>
      <c r="F109" t="n">
        <v>0</v>
      </c>
      <c r="G109" t="inlineStr">
        <is>
          <t>M</t>
        </is>
      </c>
      <c r="H109" s="7" t="n">
        <v>45626</v>
      </c>
    </row>
    <row r="110">
      <c r="A110" t="b">
        <v>0</v>
      </c>
      <c r="B110" t="inlineStr">
        <is>
          <t>Block M</t>
        </is>
      </c>
      <c r="C110">
        <f>IF(A110=FALSE, 1,SUMIFS('Cashflow Projection'!$C$50:$C$62, 'Cashflow Projection'!$B$33:$B$45, 'Updated Construction'!G110))</f>
        <v/>
      </c>
      <c r="D110" t="b">
        <v>0</v>
      </c>
      <c r="E110" s="7" t="n">
        <v>45626</v>
      </c>
      <c r="F110" t="n">
        <v>0</v>
      </c>
      <c r="G110" t="inlineStr">
        <is>
          <t>M</t>
        </is>
      </c>
      <c r="H110" s="7" t="n">
        <v>45688</v>
      </c>
    </row>
    <row r="111">
      <c r="A111" t="b">
        <v>0</v>
      </c>
      <c r="B111" t="inlineStr">
        <is>
          <t>Block M</t>
        </is>
      </c>
      <c r="C111">
        <f>IF(A111=FALSE, 1,SUMIFS('Cashflow Projection'!$C$50:$C$62, 'Cashflow Projection'!$B$33:$B$45, 'Updated Construction'!G111))</f>
        <v/>
      </c>
      <c r="D111" t="b">
        <v>0</v>
      </c>
      <c r="E111" s="7" t="n">
        <v>45657</v>
      </c>
      <c r="F111" t="n">
        <v>0</v>
      </c>
      <c r="G111" t="inlineStr">
        <is>
          <t>M</t>
        </is>
      </c>
      <c r="H111" s="7" t="n">
        <v>45688</v>
      </c>
    </row>
    <row r="112">
      <c r="A112" t="b">
        <v>0</v>
      </c>
      <c r="B112" t="inlineStr">
        <is>
          <t>Block M</t>
        </is>
      </c>
      <c r="C112">
        <f>IF(A112=FALSE, 1,SUMIFS('Cashflow Projection'!$C$50:$C$62, 'Cashflow Projection'!$B$33:$B$45, 'Updated Construction'!G112))</f>
        <v/>
      </c>
      <c r="D112" t="b">
        <v>0</v>
      </c>
      <c r="E112" s="7" t="n">
        <v>45688</v>
      </c>
      <c r="F112" t="n">
        <v>0</v>
      </c>
      <c r="G112" t="inlineStr">
        <is>
          <t>M</t>
        </is>
      </c>
      <c r="H112" s="7" t="n">
        <v>45747</v>
      </c>
    </row>
    <row r="113">
      <c r="A113" t="b">
        <v>0</v>
      </c>
      <c r="B113" t="inlineStr">
        <is>
          <t>Block N</t>
        </is>
      </c>
      <c r="C113">
        <f>IF(A113=FALSE, 1,SUMIFS('Cashflow Projection'!$C$50:$C$62, 'Cashflow Projection'!$B$33:$B$45, 'Updated Construction'!G113))</f>
        <v/>
      </c>
      <c r="D113" t="b">
        <v>1</v>
      </c>
      <c r="E113" s="7" t="n">
        <v>45382</v>
      </c>
      <c r="F113" t="n">
        <v>219532.99</v>
      </c>
      <c r="G113" t="inlineStr">
        <is>
          <t>N</t>
        </is>
      </c>
      <c r="H113" s="7" t="n">
        <v>45443</v>
      </c>
    </row>
    <row r="114">
      <c r="A114" t="b">
        <v>0</v>
      </c>
      <c r="B114" t="inlineStr">
        <is>
          <t>Block N</t>
        </is>
      </c>
      <c r="C114">
        <f>IF(A114=FALSE, 1,SUMIFS('Cashflow Projection'!$C$50:$C$62, 'Cashflow Projection'!$B$33:$B$45, 'Updated Construction'!G114))</f>
        <v/>
      </c>
      <c r="D114" t="b">
        <v>0</v>
      </c>
      <c r="E114" s="7" t="n">
        <v>45412</v>
      </c>
      <c r="F114" t="n">
        <v>159073.66</v>
      </c>
      <c r="G114" t="inlineStr">
        <is>
          <t>N</t>
        </is>
      </c>
      <c r="H114" s="7" t="n">
        <v>45443</v>
      </c>
    </row>
    <row r="115">
      <c r="A115" t="b">
        <v>0</v>
      </c>
      <c r="B115" t="inlineStr">
        <is>
          <t>Block N</t>
        </is>
      </c>
      <c r="C115">
        <f>IF(A115=FALSE, 1,SUMIFS('Cashflow Projection'!$C$50:$C$62, 'Cashflow Projection'!$B$33:$B$45, 'Updated Construction'!G115))</f>
        <v/>
      </c>
      <c r="D115" t="b">
        <v>0</v>
      </c>
      <c r="E115" s="7" t="n">
        <v>45442</v>
      </c>
      <c r="F115" t="n">
        <v>9936.18</v>
      </c>
      <c r="G115" t="inlineStr">
        <is>
          <t>N</t>
        </is>
      </c>
      <c r="H115" s="7" t="n">
        <v>45504</v>
      </c>
    </row>
    <row r="116">
      <c r="A116" t="b">
        <v>0</v>
      </c>
      <c r="B116" t="inlineStr">
        <is>
          <t>Block N</t>
        </is>
      </c>
      <c r="C116">
        <f>IF(A116=FALSE, 1,SUMIFS('Cashflow Projection'!$C$50:$C$62, 'Cashflow Projection'!$B$33:$B$45, 'Updated Construction'!G116))</f>
        <v/>
      </c>
      <c r="D116" t="b">
        <v>0</v>
      </c>
      <c r="E116" s="7" t="n">
        <v>45472</v>
      </c>
      <c r="F116" t="n">
        <v>131331.51</v>
      </c>
      <c r="G116" t="inlineStr">
        <is>
          <t>N</t>
        </is>
      </c>
      <c r="H116" s="7" t="n">
        <v>45504</v>
      </c>
    </row>
    <row r="117">
      <c r="A117" t="b">
        <v>0</v>
      </c>
      <c r="B117" t="inlineStr">
        <is>
          <t>Block N</t>
        </is>
      </c>
      <c r="C117">
        <f>IF(A117=FALSE, 1,SUMIFS('Cashflow Projection'!$C$50:$C$62, 'Cashflow Projection'!$B$33:$B$45, 'Updated Construction'!G117))</f>
        <v/>
      </c>
      <c r="D117" t="b">
        <v>0</v>
      </c>
      <c r="E117" s="7" t="n">
        <v>45502</v>
      </c>
      <c r="F117" t="n">
        <v>0</v>
      </c>
      <c r="G117" t="inlineStr">
        <is>
          <t>N</t>
        </is>
      </c>
      <c r="H117" s="7" t="n">
        <v>45565</v>
      </c>
    </row>
    <row r="118">
      <c r="A118" t="b">
        <v>0</v>
      </c>
      <c r="B118" t="inlineStr">
        <is>
          <t>Block N</t>
        </is>
      </c>
      <c r="C118">
        <f>IF(A118=FALSE, 1,SUMIFS('Cashflow Projection'!$C$50:$C$62, 'Cashflow Projection'!$B$33:$B$45, 'Updated Construction'!G118))</f>
        <v/>
      </c>
      <c r="D118" t="b">
        <v>0</v>
      </c>
      <c r="E118" s="7" t="n">
        <v>45532</v>
      </c>
      <c r="F118" t="n">
        <v>10125.6</v>
      </c>
      <c r="G118" t="inlineStr">
        <is>
          <t>N</t>
        </is>
      </c>
      <c r="H118" s="7" t="n">
        <v>45565</v>
      </c>
    </row>
    <row r="119">
      <c r="A119" t="b">
        <v>0</v>
      </c>
      <c r="B119" t="inlineStr">
        <is>
          <t>Block N</t>
        </is>
      </c>
      <c r="C119">
        <f>IF(A119=FALSE, 1,SUMIFS('Cashflow Projection'!$C$50:$C$62, 'Cashflow Projection'!$B$33:$B$45, 'Updated Construction'!G119))</f>
        <v/>
      </c>
      <c r="D119" t="b">
        <v>0</v>
      </c>
      <c r="E119" s="7" t="n">
        <v>45562</v>
      </c>
      <c r="F119" t="n">
        <v>0</v>
      </c>
      <c r="G119" t="inlineStr">
        <is>
          <t>N</t>
        </is>
      </c>
      <c r="H119" s="7" t="n">
        <v>45626</v>
      </c>
    </row>
    <row r="120">
      <c r="A120" t="b">
        <v>0</v>
      </c>
      <c r="B120" t="inlineStr">
        <is>
          <t>Block N</t>
        </is>
      </c>
      <c r="C120">
        <f>IF(A120=FALSE, 1,SUMIFS('Cashflow Projection'!$C$50:$C$62, 'Cashflow Projection'!$B$33:$B$45, 'Updated Construction'!G120))</f>
        <v/>
      </c>
      <c r="D120" t="b">
        <v>0</v>
      </c>
      <c r="E120" s="7" t="n">
        <v>45596</v>
      </c>
      <c r="F120" t="n">
        <v>0</v>
      </c>
      <c r="G120" t="inlineStr">
        <is>
          <t>N</t>
        </is>
      </c>
      <c r="H120" s="7" t="n">
        <v>45626</v>
      </c>
    </row>
    <row r="121">
      <c r="A121" t="b">
        <v>0</v>
      </c>
      <c r="B121" t="inlineStr">
        <is>
          <t>Block N</t>
        </is>
      </c>
      <c r="C121">
        <f>IF(A121=FALSE, 1,SUMIFS('Cashflow Projection'!$C$50:$C$62, 'Cashflow Projection'!$B$33:$B$45, 'Updated Construction'!G121))</f>
        <v/>
      </c>
      <c r="D121" t="b">
        <v>0</v>
      </c>
      <c r="E121" s="7" t="n">
        <v>45626</v>
      </c>
      <c r="F121" t="n">
        <v>0</v>
      </c>
      <c r="G121" t="inlineStr">
        <is>
          <t>N</t>
        </is>
      </c>
      <c r="H121" s="7" t="n">
        <v>45688</v>
      </c>
    </row>
    <row r="122">
      <c r="A122" t="b">
        <v>0</v>
      </c>
      <c r="B122" t="inlineStr">
        <is>
          <t>Block N</t>
        </is>
      </c>
      <c r="C122">
        <f>IF(A122=FALSE, 1,SUMIFS('Cashflow Projection'!$C$50:$C$62, 'Cashflow Projection'!$B$33:$B$45, 'Updated Construction'!G122))</f>
        <v/>
      </c>
      <c r="D122" t="b">
        <v>0</v>
      </c>
      <c r="E122" s="7" t="n">
        <v>45657</v>
      </c>
      <c r="F122" t="n">
        <v>0</v>
      </c>
      <c r="G122" t="inlineStr">
        <is>
          <t>N</t>
        </is>
      </c>
      <c r="H122" s="7" t="n">
        <v>45688</v>
      </c>
    </row>
    <row r="123">
      <c r="A123" t="b">
        <v>0</v>
      </c>
      <c r="B123" t="inlineStr">
        <is>
          <t>Block N</t>
        </is>
      </c>
      <c r="C123">
        <f>IF(A123=FALSE, 1,SUMIFS('Cashflow Projection'!$C$50:$C$62, 'Cashflow Projection'!$B$33:$B$45, 'Updated Construction'!G123))</f>
        <v/>
      </c>
      <c r="D123" t="b">
        <v>0</v>
      </c>
      <c r="E123" s="7" t="n">
        <v>45688</v>
      </c>
      <c r="F123" t="n">
        <v>0</v>
      </c>
      <c r="G123" t="inlineStr">
        <is>
          <t>N</t>
        </is>
      </c>
      <c r="H123" s="7" t="n">
        <v>45747</v>
      </c>
    </row>
    <row r="124">
      <c r="A124" t="b">
        <v>0</v>
      </c>
      <c r="B124" t="inlineStr">
        <is>
          <t>Block O</t>
        </is>
      </c>
      <c r="C124">
        <f>IF(A124=FALSE, 1,SUMIFS('Cashflow Projection'!$C$50:$C$62, 'Cashflow Projection'!$B$33:$B$45, 'Updated Construction'!G124))</f>
        <v/>
      </c>
      <c r="D124" t="b">
        <v>1</v>
      </c>
      <c r="E124" s="7" t="n">
        <v>45382</v>
      </c>
      <c r="F124" t="n">
        <v>991275.5600000001</v>
      </c>
      <c r="G124" t="inlineStr">
        <is>
          <t>O</t>
        </is>
      </c>
      <c r="H124" s="7" t="n">
        <v>45443</v>
      </c>
    </row>
    <row r="125">
      <c r="A125" t="b">
        <v>0</v>
      </c>
      <c r="B125" t="inlineStr">
        <is>
          <t>Block O</t>
        </is>
      </c>
      <c r="C125">
        <f>IF(A125=FALSE, 1,SUMIFS('Cashflow Projection'!$C$50:$C$62, 'Cashflow Projection'!$B$33:$B$45, 'Updated Construction'!G125))</f>
        <v/>
      </c>
      <c r="D125" t="b">
        <v>0</v>
      </c>
      <c r="E125" s="7" t="n">
        <v>45412</v>
      </c>
      <c r="F125" t="n">
        <v>1082014.06</v>
      </c>
      <c r="G125" t="inlineStr">
        <is>
          <t>O</t>
        </is>
      </c>
      <c r="H125" s="7" t="n">
        <v>45443</v>
      </c>
    </row>
    <row r="126">
      <c r="A126" t="b">
        <v>0</v>
      </c>
      <c r="B126" t="inlineStr">
        <is>
          <t>Block O</t>
        </is>
      </c>
      <c r="C126">
        <f>IF(A126=FALSE, 1,SUMIFS('Cashflow Projection'!$C$50:$C$62, 'Cashflow Projection'!$B$33:$B$45, 'Updated Construction'!G126))</f>
        <v/>
      </c>
      <c r="D126" t="b">
        <v>0</v>
      </c>
      <c r="E126" s="7" t="n">
        <v>45442</v>
      </c>
      <c r="F126" t="n">
        <v>941289.3100000001</v>
      </c>
      <c r="G126" t="inlineStr">
        <is>
          <t>O</t>
        </is>
      </c>
      <c r="H126" s="7" t="n">
        <v>45504</v>
      </c>
    </row>
    <row r="127">
      <c r="A127" t="b">
        <v>0</v>
      </c>
      <c r="B127" t="inlineStr">
        <is>
          <t>Block O</t>
        </is>
      </c>
      <c r="C127">
        <f>IF(A127=FALSE, 1,SUMIFS('Cashflow Projection'!$C$50:$C$62, 'Cashflow Projection'!$B$33:$B$45, 'Updated Construction'!G127))</f>
        <v/>
      </c>
      <c r="D127" t="b">
        <v>0</v>
      </c>
      <c r="E127" s="7" t="n">
        <v>45472</v>
      </c>
      <c r="F127" t="n">
        <v>1035309.18</v>
      </c>
      <c r="G127" t="inlineStr">
        <is>
          <t>O</t>
        </is>
      </c>
      <c r="H127" s="7" t="n">
        <v>45504</v>
      </c>
    </row>
    <row r="128">
      <c r="A128" t="b">
        <v>0</v>
      </c>
      <c r="B128" t="inlineStr">
        <is>
          <t>Block O</t>
        </is>
      </c>
      <c r="C128">
        <f>IF(A128=FALSE, 1,SUMIFS('Cashflow Projection'!$C$50:$C$62, 'Cashflow Projection'!$B$33:$B$45, 'Updated Construction'!G128))</f>
        <v/>
      </c>
      <c r="D128" t="b">
        <v>0</v>
      </c>
      <c r="E128" s="7" t="n">
        <v>45502</v>
      </c>
      <c r="F128" t="n">
        <v>272168.98</v>
      </c>
      <c r="G128" t="inlineStr">
        <is>
          <t>O</t>
        </is>
      </c>
      <c r="H128" s="7" t="n">
        <v>45565</v>
      </c>
    </row>
    <row r="129">
      <c r="A129" t="b">
        <v>0</v>
      </c>
      <c r="B129" t="inlineStr">
        <is>
          <t>Block O</t>
        </is>
      </c>
      <c r="C129">
        <f>IF(A129=FALSE, 1,SUMIFS('Cashflow Projection'!$C$50:$C$62, 'Cashflow Projection'!$B$33:$B$45, 'Updated Construction'!G129))</f>
        <v/>
      </c>
      <c r="D129" t="b">
        <v>0</v>
      </c>
      <c r="E129" s="7" t="n">
        <v>45532</v>
      </c>
      <c r="F129" t="n">
        <v>0</v>
      </c>
      <c r="G129" t="inlineStr">
        <is>
          <t>O</t>
        </is>
      </c>
      <c r="H129" s="7" t="n">
        <v>45565</v>
      </c>
    </row>
    <row r="130">
      <c r="A130" t="b">
        <v>0</v>
      </c>
      <c r="B130" t="inlineStr">
        <is>
          <t>Block O</t>
        </is>
      </c>
      <c r="C130">
        <f>IF(A130=FALSE, 1,SUMIFS('Cashflow Projection'!$C$50:$C$62, 'Cashflow Projection'!$B$33:$B$45, 'Updated Construction'!G130))</f>
        <v/>
      </c>
      <c r="D130" t="b">
        <v>0</v>
      </c>
      <c r="E130" s="7" t="n">
        <v>45562</v>
      </c>
      <c r="F130" t="n">
        <v>0</v>
      </c>
      <c r="G130" t="inlineStr">
        <is>
          <t>O</t>
        </is>
      </c>
      <c r="H130" s="7" t="n">
        <v>45626</v>
      </c>
    </row>
    <row r="131">
      <c r="A131" t="b">
        <v>0</v>
      </c>
      <c r="B131" t="inlineStr">
        <is>
          <t>Block O</t>
        </is>
      </c>
      <c r="C131">
        <f>IF(A131=FALSE, 1,SUMIFS('Cashflow Projection'!$C$50:$C$62, 'Cashflow Projection'!$B$33:$B$45, 'Updated Construction'!G131))</f>
        <v/>
      </c>
      <c r="D131" t="b">
        <v>0</v>
      </c>
      <c r="E131" s="7" t="n">
        <v>45596</v>
      </c>
      <c r="F131" t="n">
        <v>577218.7</v>
      </c>
      <c r="G131" t="inlineStr">
        <is>
          <t>O</t>
        </is>
      </c>
      <c r="H131" s="7" t="n">
        <v>45626</v>
      </c>
    </row>
    <row r="132">
      <c r="A132" t="b">
        <v>0</v>
      </c>
      <c r="B132" t="inlineStr">
        <is>
          <t>Block O</t>
        </is>
      </c>
      <c r="C132">
        <f>IF(A132=FALSE, 1,SUMIFS('Cashflow Projection'!$C$50:$C$62, 'Cashflow Projection'!$B$33:$B$45, 'Updated Construction'!G132))</f>
        <v/>
      </c>
      <c r="D132" t="b">
        <v>0</v>
      </c>
      <c r="E132" s="7" t="n">
        <v>45626</v>
      </c>
      <c r="F132" t="n">
        <v>56651.9</v>
      </c>
      <c r="G132" t="inlineStr">
        <is>
          <t>O</t>
        </is>
      </c>
      <c r="H132" s="7" t="n">
        <v>45688</v>
      </c>
    </row>
    <row r="133">
      <c r="A133" t="b">
        <v>0</v>
      </c>
      <c r="B133" t="inlineStr">
        <is>
          <t>Block O</t>
        </is>
      </c>
      <c r="C133">
        <f>IF(A133=FALSE, 1,SUMIFS('Cashflow Projection'!$C$50:$C$62, 'Cashflow Projection'!$B$33:$B$45, 'Updated Construction'!G133))</f>
        <v/>
      </c>
      <c r="D133" t="b">
        <v>0</v>
      </c>
      <c r="E133" s="7" t="n">
        <v>45657</v>
      </c>
      <c r="F133" t="n">
        <v>0</v>
      </c>
      <c r="G133" t="inlineStr">
        <is>
          <t>O</t>
        </is>
      </c>
      <c r="H133" s="7" t="n">
        <v>45688</v>
      </c>
    </row>
    <row r="134">
      <c r="A134" t="b">
        <v>0</v>
      </c>
      <c r="B134" t="inlineStr">
        <is>
          <t>Block O</t>
        </is>
      </c>
      <c r="C134">
        <f>IF(A134=FALSE, 1,SUMIFS('Cashflow Projection'!$C$50:$C$62, 'Cashflow Projection'!$B$33:$B$45, 'Updated Construction'!G134))</f>
        <v/>
      </c>
      <c r="D134" t="b">
        <v>0</v>
      </c>
      <c r="E134" s="7" t="n">
        <v>45688</v>
      </c>
      <c r="F134" t="n">
        <v>0</v>
      </c>
      <c r="G134" t="inlineStr">
        <is>
          <t>O</t>
        </is>
      </c>
      <c r="H134" s="7" t="n">
        <v>45747</v>
      </c>
    </row>
    <row r="135">
      <c r="A135" t="b">
        <v>0</v>
      </c>
      <c r="B135" t="inlineStr">
        <is>
          <t>Clubhouse</t>
        </is>
      </c>
      <c r="C135">
        <f>IF(A135=FALSE, 1,SUMIFS('Cashflow Projection'!$C$50:$C$62, 'Cashflow Projection'!$B$33:$B$45, 'Updated Construction'!G135))</f>
        <v/>
      </c>
      <c r="D135" t="b">
        <v>1</v>
      </c>
      <c r="E135" s="7" t="n">
        <v>45382</v>
      </c>
      <c r="F135" t="n">
        <v>297254.31</v>
      </c>
      <c r="G135" t="inlineStr">
        <is>
          <t>Clubhouse</t>
        </is>
      </c>
      <c r="H135" s="7" t="n">
        <v>45443</v>
      </c>
    </row>
    <row r="136">
      <c r="A136" t="b">
        <v>0</v>
      </c>
      <c r="B136" t="inlineStr">
        <is>
          <t>Clubhouse</t>
        </is>
      </c>
      <c r="C136">
        <f>IF(A136=FALSE, 1,SUMIFS('Cashflow Projection'!$C$50:$C$62, 'Cashflow Projection'!$B$33:$B$45, 'Updated Construction'!G136))</f>
        <v/>
      </c>
      <c r="D136" t="b">
        <v>0</v>
      </c>
      <c r="E136" s="7" t="n">
        <v>45412</v>
      </c>
      <c r="F136" t="n">
        <v>265423.55</v>
      </c>
      <c r="G136" t="inlineStr">
        <is>
          <t>Clubhouse</t>
        </is>
      </c>
      <c r="H136" s="7" t="n">
        <v>45443</v>
      </c>
    </row>
    <row r="137">
      <c r="A137" t="b">
        <v>0</v>
      </c>
      <c r="B137" t="inlineStr">
        <is>
          <t>Clubhouse</t>
        </is>
      </c>
      <c r="C137">
        <f>IF(A137=FALSE, 1,SUMIFS('Cashflow Projection'!$C$50:$C$62, 'Cashflow Projection'!$B$33:$B$45, 'Updated Construction'!G137))</f>
        <v/>
      </c>
      <c r="D137" t="b">
        <v>0</v>
      </c>
      <c r="E137" s="7" t="n">
        <v>45442</v>
      </c>
      <c r="F137" t="n">
        <v>0</v>
      </c>
      <c r="G137" t="inlineStr">
        <is>
          <t>Clubhouse</t>
        </is>
      </c>
      <c r="H137" s="7" t="n">
        <v>45504</v>
      </c>
    </row>
    <row r="138">
      <c r="A138" t="b">
        <v>0</v>
      </c>
      <c r="B138" t="inlineStr">
        <is>
          <t>Clubhouse</t>
        </is>
      </c>
      <c r="C138">
        <f>IF(A138=FALSE, 1,SUMIFS('Cashflow Projection'!$C$50:$C$62, 'Cashflow Projection'!$B$33:$B$45, 'Updated Construction'!G138))</f>
        <v/>
      </c>
      <c r="D138" t="b">
        <v>0</v>
      </c>
      <c r="E138" s="7" t="n">
        <v>45472</v>
      </c>
      <c r="F138" t="n">
        <v>0</v>
      </c>
      <c r="G138" t="inlineStr">
        <is>
          <t>Clubhouse</t>
        </is>
      </c>
      <c r="H138" s="7" t="n">
        <v>45504</v>
      </c>
    </row>
    <row r="139">
      <c r="A139" t="b">
        <v>0</v>
      </c>
      <c r="B139" t="inlineStr">
        <is>
          <t>Clubhouse</t>
        </is>
      </c>
      <c r="C139">
        <f>IF(A139=FALSE, 1,SUMIFS('Cashflow Projection'!$C$50:$C$62, 'Cashflow Projection'!$B$33:$B$45, 'Updated Construction'!G139))</f>
        <v/>
      </c>
      <c r="D139" t="b">
        <v>0</v>
      </c>
      <c r="E139" s="7" t="n">
        <v>45502</v>
      </c>
      <c r="F139" t="n">
        <v>0</v>
      </c>
      <c r="G139" t="inlineStr">
        <is>
          <t>Clubhouse</t>
        </is>
      </c>
      <c r="H139" s="7" t="n">
        <v>45565</v>
      </c>
    </row>
    <row r="140">
      <c r="A140" t="b">
        <v>0</v>
      </c>
      <c r="B140" t="inlineStr">
        <is>
          <t>Clubhouse</t>
        </is>
      </c>
      <c r="C140">
        <f>IF(A140=FALSE, 1,SUMIFS('Cashflow Projection'!$C$50:$C$62, 'Cashflow Projection'!$B$33:$B$45, 'Updated Construction'!G140))</f>
        <v/>
      </c>
      <c r="D140" t="b">
        <v>0</v>
      </c>
      <c r="E140" s="7" t="n">
        <v>45532</v>
      </c>
      <c r="F140" t="n">
        <v>0</v>
      </c>
      <c r="G140" t="inlineStr">
        <is>
          <t>Clubhouse</t>
        </is>
      </c>
      <c r="H140" s="7" t="n">
        <v>45565</v>
      </c>
    </row>
    <row r="141">
      <c r="A141" t="b">
        <v>0</v>
      </c>
      <c r="B141" t="inlineStr">
        <is>
          <t>Clubhouse</t>
        </is>
      </c>
      <c r="C141">
        <f>IF(A141=FALSE, 1,SUMIFS('Cashflow Projection'!$C$50:$C$62, 'Cashflow Projection'!$B$33:$B$45, 'Updated Construction'!G141))</f>
        <v/>
      </c>
      <c r="D141" t="b">
        <v>0</v>
      </c>
      <c r="E141" s="7" t="n">
        <v>45562</v>
      </c>
      <c r="F141" t="n">
        <v>0</v>
      </c>
      <c r="G141" t="inlineStr">
        <is>
          <t>Clubhouse</t>
        </is>
      </c>
      <c r="H141" s="7" t="n">
        <v>45626</v>
      </c>
    </row>
    <row r="142">
      <c r="A142" t="b">
        <v>0</v>
      </c>
      <c r="B142" t="inlineStr">
        <is>
          <t>Clubhouse</t>
        </is>
      </c>
      <c r="C142">
        <f>IF(A142=FALSE, 1,SUMIFS('Cashflow Projection'!$C$50:$C$62, 'Cashflow Projection'!$B$33:$B$45, 'Updated Construction'!G142))</f>
        <v/>
      </c>
      <c r="D142" t="b">
        <v>0</v>
      </c>
      <c r="E142" s="7" t="n">
        <v>45596</v>
      </c>
      <c r="F142" t="n">
        <v>0</v>
      </c>
      <c r="G142" t="inlineStr">
        <is>
          <t>Clubhouse</t>
        </is>
      </c>
      <c r="H142" s="7" t="n">
        <v>45626</v>
      </c>
    </row>
    <row r="143">
      <c r="A143" t="b">
        <v>0</v>
      </c>
      <c r="B143" t="inlineStr">
        <is>
          <t>Clubhouse</t>
        </is>
      </c>
      <c r="C143">
        <f>IF(A143=FALSE, 1,SUMIFS('Cashflow Projection'!$C$50:$C$62, 'Cashflow Projection'!$B$33:$B$45, 'Updated Construction'!G143))</f>
        <v/>
      </c>
      <c r="D143" t="b">
        <v>0</v>
      </c>
      <c r="E143" s="7" t="n">
        <v>45626</v>
      </c>
      <c r="F143" t="n">
        <v>0</v>
      </c>
      <c r="G143" t="inlineStr">
        <is>
          <t>Clubhouse</t>
        </is>
      </c>
      <c r="H143" s="7" t="n">
        <v>45688</v>
      </c>
    </row>
    <row r="144">
      <c r="A144" t="b">
        <v>0</v>
      </c>
      <c r="B144" t="inlineStr">
        <is>
          <t>Clubhouse</t>
        </is>
      </c>
      <c r="C144">
        <f>IF(A144=FALSE, 1,SUMIFS('Cashflow Projection'!$C$50:$C$62, 'Cashflow Projection'!$B$33:$B$45, 'Updated Construction'!G144))</f>
        <v/>
      </c>
      <c r="D144" t="b">
        <v>0</v>
      </c>
      <c r="E144" s="7" t="n">
        <v>45657</v>
      </c>
      <c r="F144" t="n">
        <v>0</v>
      </c>
      <c r="G144" t="inlineStr">
        <is>
          <t>Clubhouse</t>
        </is>
      </c>
      <c r="H144" s="7" t="n">
        <v>45688</v>
      </c>
    </row>
    <row r="145">
      <c r="A145" t="b">
        <v>0</v>
      </c>
      <c r="B145" t="inlineStr">
        <is>
          <t>Clubhouse</t>
        </is>
      </c>
      <c r="C145">
        <f>IF(A145=FALSE, 1,SUMIFS('Cashflow Projection'!$C$50:$C$62, 'Cashflow Projection'!$B$33:$B$45, 'Updated Construction'!G145))</f>
        <v/>
      </c>
      <c r="D145" t="b">
        <v>0</v>
      </c>
      <c r="E145" s="7" t="n">
        <v>45688</v>
      </c>
      <c r="F145" t="n">
        <v>0</v>
      </c>
      <c r="G145" t="inlineStr">
        <is>
          <t>Clubhouse</t>
        </is>
      </c>
      <c r="H145" s="7" t="n">
        <v>45747</v>
      </c>
    </row>
    <row r="146">
      <c r="A146" t="b">
        <v>1</v>
      </c>
      <c r="B146" t="inlineStr">
        <is>
          <t>Block E - No option</t>
        </is>
      </c>
      <c r="C146">
        <f>IF(A146=FALSE, 1,SUMIFS('Cashflow Projection'!$C$50:$C$62, 'Cashflow Projection'!$B$33:$B$45, 'Updated Construction'!G146))</f>
        <v/>
      </c>
      <c r="D146" t="b">
        <v>1</v>
      </c>
      <c r="E146" s="7" t="n">
        <v>45382</v>
      </c>
      <c r="F146" t="n">
        <v>0</v>
      </c>
      <c r="G146" t="inlineStr">
        <is>
          <t>E</t>
        </is>
      </c>
      <c r="H146" s="7" t="n">
        <v>45443</v>
      </c>
    </row>
    <row r="147">
      <c r="A147" t="b">
        <v>1</v>
      </c>
      <c r="B147" t="inlineStr">
        <is>
          <t>Block E - No option</t>
        </is>
      </c>
      <c r="C147">
        <f>IF(A147=FALSE, 1,SUMIFS('Cashflow Projection'!$C$50:$C$62, 'Cashflow Projection'!$B$33:$B$45, 'Updated Construction'!G147))</f>
        <v/>
      </c>
      <c r="D147" t="b">
        <v>0</v>
      </c>
      <c r="E147" s="7" t="n">
        <v>45412</v>
      </c>
      <c r="F147" t="n">
        <v>0</v>
      </c>
      <c r="G147" t="inlineStr">
        <is>
          <t>E</t>
        </is>
      </c>
      <c r="H147" s="7" t="n">
        <v>45443</v>
      </c>
    </row>
    <row r="148">
      <c r="A148" t="b">
        <v>1</v>
      </c>
      <c r="B148" t="inlineStr">
        <is>
          <t>Block E - No option</t>
        </is>
      </c>
      <c r="C148">
        <f>IF(A148=FALSE, 1,SUMIFS('Cashflow Projection'!$C$50:$C$62, 'Cashflow Projection'!$B$33:$B$45, 'Updated Construction'!G148))</f>
        <v/>
      </c>
      <c r="D148" t="b">
        <v>0</v>
      </c>
      <c r="E148" s="7" t="n">
        <v>45442</v>
      </c>
      <c r="F148" t="n">
        <v>0</v>
      </c>
      <c r="G148" t="inlineStr">
        <is>
          <t>E</t>
        </is>
      </c>
      <c r="H148" s="7" t="n">
        <v>45504</v>
      </c>
    </row>
    <row r="149">
      <c r="A149" t="b">
        <v>1</v>
      </c>
      <c r="B149" t="inlineStr">
        <is>
          <t>Block E - No option</t>
        </is>
      </c>
      <c r="C149">
        <f>IF(A149=FALSE, 1,SUMIFS('Cashflow Projection'!$C$50:$C$62, 'Cashflow Projection'!$B$33:$B$45, 'Updated Construction'!G149))</f>
        <v/>
      </c>
      <c r="D149" t="b">
        <v>0</v>
      </c>
      <c r="E149" s="7" t="n">
        <v>45472</v>
      </c>
      <c r="F149" t="n">
        <v>391026.55</v>
      </c>
      <c r="G149" t="inlineStr">
        <is>
          <t>E</t>
        </is>
      </c>
      <c r="H149" s="7" t="n">
        <v>45504</v>
      </c>
    </row>
    <row r="150">
      <c r="A150" t="b">
        <v>1</v>
      </c>
      <c r="B150" t="inlineStr">
        <is>
          <t>Block E - No option</t>
        </is>
      </c>
      <c r="C150">
        <f>IF(A150=FALSE, 1,SUMIFS('Cashflow Projection'!$C$50:$C$62, 'Cashflow Projection'!$B$33:$B$45, 'Updated Construction'!G150))</f>
        <v/>
      </c>
      <c r="D150" t="b">
        <v>0</v>
      </c>
      <c r="E150" s="7" t="n">
        <v>45502</v>
      </c>
      <c r="F150" t="n">
        <v>3128212.41</v>
      </c>
      <c r="G150" t="inlineStr">
        <is>
          <t>E</t>
        </is>
      </c>
      <c r="H150" s="7" t="n">
        <v>45565</v>
      </c>
    </row>
    <row r="151">
      <c r="A151" t="b">
        <v>1</v>
      </c>
      <c r="B151" t="inlineStr">
        <is>
          <t>Block E - No option</t>
        </is>
      </c>
      <c r="C151">
        <f>IF(A151=FALSE, 1,SUMIFS('Cashflow Projection'!$C$50:$C$62, 'Cashflow Projection'!$B$33:$B$45, 'Updated Construction'!G151))</f>
        <v/>
      </c>
      <c r="D151" t="b">
        <v>0</v>
      </c>
      <c r="E151" s="7" t="n">
        <v>45532</v>
      </c>
      <c r="F151" t="n">
        <v>3519238.96</v>
      </c>
      <c r="G151" t="inlineStr">
        <is>
          <t>E</t>
        </is>
      </c>
      <c r="H151" s="7" t="n">
        <v>45565</v>
      </c>
    </row>
    <row r="152">
      <c r="A152" t="b">
        <v>1</v>
      </c>
      <c r="B152" t="inlineStr">
        <is>
          <t>Block E - No option</t>
        </is>
      </c>
      <c r="C152">
        <f>IF(A152=FALSE, 1,SUMIFS('Cashflow Projection'!$C$50:$C$62, 'Cashflow Projection'!$B$33:$B$45, 'Updated Construction'!G152))</f>
        <v/>
      </c>
      <c r="D152" t="b">
        <v>0</v>
      </c>
      <c r="E152" s="7" t="n">
        <v>45562</v>
      </c>
      <c r="F152" t="n">
        <v>391026.55</v>
      </c>
      <c r="G152" t="inlineStr">
        <is>
          <t>E</t>
        </is>
      </c>
      <c r="H152" s="7" t="n">
        <v>45626</v>
      </c>
    </row>
    <row r="153">
      <c r="A153" t="b">
        <v>1</v>
      </c>
      <c r="B153" t="inlineStr">
        <is>
          <t>Block E - No option</t>
        </is>
      </c>
      <c r="C153">
        <f>IF(A153=FALSE, 1,SUMIFS('Cashflow Projection'!$C$50:$C$62, 'Cashflow Projection'!$B$33:$B$45, 'Updated Construction'!G153))</f>
        <v/>
      </c>
      <c r="D153" t="b">
        <v>0</v>
      </c>
      <c r="E153" s="7" t="n">
        <v>45596</v>
      </c>
      <c r="F153" t="n">
        <v>0</v>
      </c>
      <c r="G153" t="inlineStr">
        <is>
          <t>E</t>
        </is>
      </c>
      <c r="H153" s="7" t="n">
        <v>45626</v>
      </c>
    </row>
    <row r="154">
      <c r="A154" t="b">
        <v>1</v>
      </c>
      <c r="B154" t="inlineStr">
        <is>
          <t>Block E - No option</t>
        </is>
      </c>
      <c r="C154">
        <f>IF(A154=FALSE, 1,SUMIFS('Cashflow Projection'!$C$50:$C$62, 'Cashflow Projection'!$B$33:$B$45, 'Updated Construction'!G154))</f>
        <v/>
      </c>
      <c r="D154" t="b">
        <v>0</v>
      </c>
      <c r="E154" s="7" t="n">
        <v>45626</v>
      </c>
      <c r="F154" t="n">
        <v>391026.55</v>
      </c>
      <c r="G154" t="inlineStr">
        <is>
          <t>E</t>
        </is>
      </c>
      <c r="H154" s="7" t="n">
        <v>45688</v>
      </c>
    </row>
    <row r="155">
      <c r="A155" t="b">
        <v>1</v>
      </c>
      <c r="B155" t="inlineStr">
        <is>
          <t>Block E - No option</t>
        </is>
      </c>
      <c r="C155">
        <f>IF(A155=FALSE, 1,SUMIFS('Cashflow Projection'!$C$50:$C$62, 'Cashflow Projection'!$B$33:$B$45, 'Updated Construction'!G155))</f>
        <v/>
      </c>
      <c r="D155" t="b">
        <v>0</v>
      </c>
      <c r="E155" s="7" t="n">
        <v>45657</v>
      </c>
      <c r="F155" t="n">
        <v>0</v>
      </c>
      <c r="G155" t="inlineStr">
        <is>
          <t>E</t>
        </is>
      </c>
      <c r="H155" s="7" t="n">
        <v>45688</v>
      </c>
    </row>
    <row r="156">
      <c r="A156" t="b">
        <v>1</v>
      </c>
      <c r="B156" t="inlineStr">
        <is>
          <t>Block E - No option</t>
        </is>
      </c>
      <c r="C156">
        <f>IF(A156=FALSE, 1,SUMIFS('Cashflow Projection'!$C$50:$C$62, 'Cashflow Projection'!$B$33:$B$45, 'Updated Construction'!G156))</f>
        <v/>
      </c>
      <c r="D156" t="b">
        <v>0</v>
      </c>
      <c r="E156" s="7" t="n">
        <v>45688</v>
      </c>
      <c r="F156" t="n">
        <v>0</v>
      </c>
      <c r="G156" t="inlineStr">
        <is>
          <t>E</t>
        </is>
      </c>
      <c r="H156" s="7" t="n">
        <v>45747</v>
      </c>
    </row>
    <row r="157">
      <c r="A157" t="b">
        <v>1</v>
      </c>
      <c r="B157" t="inlineStr">
        <is>
          <t>Block F - No option</t>
        </is>
      </c>
      <c r="C157">
        <f>IF(A157=FALSE, 1,SUMIFS('Cashflow Projection'!$C$50:$C$62, 'Cashflow Projection'!$B$33:$B$45, 'Updated Construction'!G157))</f>
        <v/>
      </c>
      <c r="D157" t="b">
        <v>1</v>
      </c>
      <c r="E157" s="7" t="n">
        <v>45382</v>
      </c>
      <c r="F157" t="n">
        <v>0</v>
      </c>
      <c r="G157" t="inlineStr">
        <is>
          <t>F</t>
        </is>
      </c>
      <c r="H157" s="7" t="n">
        <v>45443</v>
      </c>
    </row>
    <row r="158">
      <c r="A158" t="b">
        <v>1</v>
      </c>
      <c r="B158" t="inlineStr">
        <is>
          <t>Block F - No option</t>
        </is>
      </c>
      <c r="C158">
        <f>IF(A158=FALSE, 1,SUMIFS('Cashflow Projection'!$C$50:$C$62, 'Cashflow Projection'!$B$33:$B$45, 'Updated Construction'!G158))</f>
        <v/>
      </c>
      <c r="D158" t="b">
        <v>0</v>
      </c>
      <c r="E158" s="7" t="n">
        <v>45412</v>
      </c>
      <c r="F158" t="n">
        <v>0</v>
      </c>
      <c r="G158" t="inlineStr">
        <is>
          <t>F</t>
        </is>
      </c>
      <c r="H158" s="7" t="n">
        <v>45443</v>
      </c>
    </row>
    <row r="159">
      <c r="A159" t="b">
        <v>1</v>
      </c>
      <c r="B159" t="inlineStr">
        <is>
          <t>Block F - No option</t>
        </is>
      </c>
      <c r="C159">
        <f>IF(A159=FALSE, 1,SUMIFS('Cashflow Projection'!$C$50:$C$62, 'Cashflow Projection'!$B$33:$B$45, 'Updated Construction'!G159))</f>
        <v/>
      </c>
      <c r="D159" t="b">
        <v>0</v>
      </c>
      <c r="E159" s="7" t="n">
        <v>45442</v>
      </c>
      <c r="F159" t="n">
        <v>0</v>
      </c>
      <c r="G159" t="inlineStr">
        <is>
          <t>F</t>
        </is>
      </c>
      <c r="H159" s="7" t="n">
        <v>45504</v>
      </c>
    </row>
    <row r="160">
      <c r="A160" t="b">
        <v>1</v>
      </c>
      <c r="B160" t="inlineStr">
        <is>
          <t>Block F - No option</t>
        </is>
      </c>
      <c r="C160">
        <f>IF(A160=FALSE, 1,SUMIFS('Cashflow Projection'!$C$50:$C$62, 'Cashflow Projection'!$B$33:$B$45, 'Updated Construction'!G160))</f>
        <v/>
      </c>
      <c r="D160" t="b">
        <v>0</v>
      </c>
      <c r="E160" s="7" t="n">
        <v>45472</v>
      </c>
      <c r="F160" t="n">
        <v>240810.53</v>
      </c>
      <c r="G160" t="inlineStr">
        <is>
          <t>F</t>
        </is>
      </c>
      <c r="H160" s="7" t="n">
        <v>45504</v>
      </c>
    </row>
    <row r="161">
      <c r="A161" t="b">
        <v>1</v>
      </c>
      <c r="B161" t="inlineStr">
        <is>
          <t>Block F - No option</t>
        </is>
      </c>
      <c r="C161">
        <f>IF(A161=FALSE, 1,SUMIFS('Cashflow Projection'!$C$50:$C$62, 'Cashflow Projection'!$B$33:$B$45, 'Updated Construction'!G161))</f>
        <v/>
      </c>
      <c r="D161" t="b">
        <v>0</v>
      </c>
      <c r="E161" s="7" t="n">
        <v>45502</v>
      </c>
      <c r="F161" t="n">
        <v>1926484.25</v>
      </c>
      <c r="G161" t="inlineStr">
        <is>
          <t>F</t>
        </is>
      </c>
      <c r="H161" s="7" t="n">
        <v>45565</v>
      </c>
    </row>
    <row r="162">
      <c r="A162" t="b">
        <v>1</v>
      </c>
      <c r="B162" t="inlineStr">
        <is>
          <t>Block F - No option</t>
        </is>
      </c>
      <c r="C162">
        <f>IF(A162=FALSE, 1,SUMIFS('Cashflow Projection'!$C$50:$C$62, 'Cashflow Projection'!$B$33:$B$45, 'Updated Construction'!G162))</f>
        <v/>
      </c>
      <c r="D162" t="b">
        <v>0</v>
      </c>
      <c r="E162" s="7" t="n">
        <v>45532</v>
      </c>
      <c r="F162" t="n">
        <v>2167294.78</v>
      </c>
      <c r="G162" t="inlineStr">
        <is>
          <t>F</t>
        </is>
      </c>
      <c r="H162" s="7" t="n">
        <v>45565</v>
      </c>
    </row>
    <row r="163">
      <c r="A163" t="b">
        <v>1</v>
      </c>
      <c r="B163" t="inlineStr">
        <is>
          <t>Block F - No option</t>
        </is>
      </c>
      <c r="C163">
        <f>IF(A163=FALSE, 1,SUMIFS('Cashflow Projection'!$C$50:$C$62, 'Cashflow Projection'!$B$33:$B$45, 'Updated Construction'!G163))</f>
        <v/>
      </c>
      <c r="D163" t="b">
        <v>0</v>
      </c>
      <c r="E163" s="7" t="n">
        <v>45562</v>
      </c>
      <c r="F163" t="n">
        <v>240810.53</v>
      </c>
      <c r="G163" t="inlineStr">
        <is>
          <t>F</t>
        </is>
      </c>
      <c r="H163" s="7" t="n">
        <v>45626</v>
      </c>
    </row>
    <row r="164">
      <c r="A164" t="b">
        <v>1</v>
      </c>
      <c r="B164" t="inlineStr">
        <is>
          <t>Block F - No option</t>
        </is>
      </c>
      <c r="C164">
        <f>IF(A164=FALSE, 1,SUMIFS('Cashflow Projection'!$C$50:$C$62, 'Cashflow Projection'!$B$33:$B$45, 'Updated Construction'!G164))</f>
        <v/>
      </c>
      <c r="D164" t="b">
        <v>0</v>
      </c>
      <c r="E164" s="7" t="n">
        <v>45596</v>
      </c>
      <c r="F164" t="n">
        <v>0</v>
      </c>
      <c r="G164" t="inlineStr">
        <is>
          <t>F</t>
        </is>
      </c>
      <c r="H164" s="7" t="n">
        <v>45626</v>
      </c>
    </row>
    <row r="165">
      <c r="A165" t="b">
        <v>1</v>
      </c>
      <c r="B165" t="inlineStr">
        <is>
          <t>Block F - No option</t>
        </is>
      </c>
      <c r="C165">
        <f>IF(A165=FALSE, 1,SUMIFS('Cashflow Projection'!$C$50:$C$62, 'Cashflow Projection'!$B$33:$B$45, 'Updated Construction'!G165))</f>
        <v/>
      </c>
      <c r="D165" t="b">
        <v>0</v>
      </c>
      <c r="E165" s="7" t="n">
        <v>45626</v>
      </c>
      <c r="F165" t="n">
        <v>240810.53</v>
      </c>
      <c r="G165" t="inlineStr">
        <is>
          <t>F</t>
        </is>
      </c>
      <c r="H165" s="7" t="n">
        <v>45688</v>
      </c>
    </row>
    <row r="166">
      <c r="A166" t="b">
        <v>1</v>
      </c>
      <c r="B166" t="inlineStr">
        <is>
          <t>Block F - No option</t>
        </is>
      </c>
      <c r="C166">
        <f>IF(A166=FALSE, 1,SUMIFS('Cashflow Projection'!$C$50:$C$62, 'Cashflow Projection'!$B$33:$B$45, 'Updated Construction'!G166))</f>
        <v/>
      </c>
      <c r="D166" t="b">
        <v>0</v>
      </c>
      <c r="E166" s="7" t="n">
        <v>45657</v>
      </c>
      <c r="F166" t="n">
        <v>0</v>
      </c>
      <c r="G166" t="inlineStr">
        <is>
          <t>F</t>
        </is>
      </c>
      <c r="H166" s="7" t="n">
        <v>45688</v>
      </c>
    </row>
    <row r="167">
      <c r="A167" t="b">
        <v>1</v>
      </c>
      <c r="B167" t="inlineStr">
        <is>
          <t>Block F - No option</t>
        </is>
      </c>
      <c r="C167">
        <f>IF(A167=FALSE, 1,SUMIFS('Cashflow Projection'!$C$50:$C$62, 'Cashflow Projection'!$B$33:$B$45, 'Updated Construction'!G167))</f>
        <v/>
      </c>
      <c r="D167" t="b">
        <v>0</v>
      </c>
      <c r="E167" s="7" t="n">
        <v>45688</v>
      </c>
      <c r="F167" t="n">
        <v>0</v>
      </c>
      <c r="G167" t="inlineStr">
        <is>
          <t>F</t>
        </is>
      </c>
      <c r="H167" s="7" t="n">
        <v>45747</v>
      </c>
    </row>
    <row r="168">
      <c r="A168" t="b">
        <v>1</v>
      </c>
      <c r="B168" t="inlineStr">
        <is>
          <t>Block G</t>
        </is>
      </c>
      <c r="C168">
        <f>IF(A168=FALSE, 1,SUMIFS('Cashflow Projection'!$C$50:$C$62, 'Cashflow Projection'!$B$33:$B$45, 'Updated Construction'!G168))</f>
        <v/>
      </c>
      <c r="D168" t="b">
        <v>1</v>
      </c>
      <c r="E168" s="7" t="n">
        <v>45382</v>
      </c>
      <c r="F168" t="n">
        <v>0</v>
      </c>
      <c r="G168" t="inlineStr">
        <is>
          <t>G</t>
        </is>
      </c>
      <c r="H168" s="7" t="n">
        <v>45443</v>
      </c>
    </row>
    <row r="169">
      <c r="A169" t="b">
        <v>1</v>
      </c>
      <c r="B169" t="inlineStr">
        <is>
          <t>Block G</t>
        </is>
      </c>
      <c r="C169">
        <f>IF(A169=FALSE, 1,SUMIFS('Cashflow Projection'!$C$50:$C$62, 'Cashflow Projection'!$B$33:$B$45, 'Updated Construction'!G169))</f>
        <v/>
      </c>
      <c r="D169" t="b">
        <v>0</v>
      </c>
      <c r="E169" s="7" t="n">
        <v>45412</v>
      </c>
      <c r="F169" t="n">
        <v>0</v>
      </c>
      <c r="G169" t="inlineStr">
        <is>
          <t>G</t>
        </is>
      </c>
      <c r="H169" s="7" t="n">
        <v>45443</v>
      </c>
    </row>
    <row r="170">
      <c r="A170" t="b">
        <v>1</v>
      </c>
      <c r="B170" t="inlineStr">
        <is>
          <t>Block G</t>
        </is>
      </c>
      <c r="C170">
        <f>IF(A170=FALSE, 1,SUMIFS('Cashflow Projection'!$C$50:$C$62, 'Cashflow Projection'!$B$33:$B$45, 'Updated Construction'!G170))</f>
        <v/>
      </c>
      <c r="D170" t="b">
        <v>0</v>
      </c>
      <c r="E170" s="7" t="n">
        <v>45442</v>
      </c>
      <c r="F170" t="n">
        <v>0</v>
      </c>
      <c r="G170" t="inlineStr">
        <is>
          <t>G</t>
        </is>
      </c>
      <c r="H170" s="7" t="n">
        <v>45504</v>
      </c>
    </row>
    <row r="171">
      <c r="A171" t="b">
        <v>1</v>
      </c>
      <c r="B171" t="inlineStr">
        <is>
          <t>Block G</t>
        </is>
      </c>
      <c r="C171">
        <f>IF(A171=FALSE, 1,SUMIFS('Cashflow Projection'!$C$50:$C$62, 'Cashflow Projection'!$B$33:$B$45, 'Updated Construction'!G171))</f>
        <v/>
      </c>
      <c r="D171" t="b">
        <v>0</v>
      </c>
      <c r="E171" s="7" t="n">
        <v>45472</v>
      </c>
      <c r="F171" t="n">
        <v>214863.43</v>
      </c>
      <c r="G171" t="inlineStr">
        <is>
          <t>G</t>
        </is>
      </c>
      <c r="H171" s="7" t="n">
        <v>45504</v>
      </c>
    </row>
    <row r="172">
      <c r="A172" t="b">
        <v>1</v>
      </c>
      <c r="B172" t="inlineStr">
        <is>
          <t>Block G</t>
        </is>
      </c>
      <c r="C172">
        <f>IF(A172=FALSE, 1,SUMIFS('Cashflow Projection'!$C$50:$C$62, 'Cashflow Projection'!$B$33:$B$45, 'Updated Construction'!G172))</f>
        <v/>
      </c>
      <c r="D172" t="b">
        <v>0</v>
      </c>
      <c r="E172" s="7" t="n">
        <v>45502</v>
      </c>
      <c r="F172" t="n">
        <v>1718907.45</v>
      </c>
      <c r="G172" t="inlineStr">
        <is>
          <t>G</t>
        </is>
      </c>
      <c r="H172" s="7" t="n">
        <v>45565</v>
      </c>
    </row>
    <row r="173">
      <c r="A173" t="b">
        <v>1</v>
      </c>
      <c r="B173" t="inlineStr">
        <is>
          <t>Block G</t>
        </is>
      </c>
      <c r="C173">
        <f>IF(A173=FALSE, 1,SUMIFS('Cashflow Projection'!$C$50:$C$62, 'Cashflow Projection'!$B$33:$B$45, 'Updated Construction'!G173))</f>
        <v/>
      </c>
      <c r="D173" t="b">
        <v>0</v>
      </c>
      <c r="E173" s="7" t="n">
        <v>45532</v>
      </c>
      <c r="F173" t="n">
        <v>1933770.88</v>
      </c>
      <c r="G173" t="inlineStr">
        <is>
          <t>G</t>
        </is>
      </c>
      <c r="H173" s="7" t="n">
        <v>45565</v>
      </c>
    </row>
    <row r="174">
      <c r="A174" t="b">
        <v>1</v>
      </c>
      <c r="B174" t="inlineStr">
        <is>
          <t>Block G</t>
        </is>
      </c>
      <c r="C174">
        <f>IF(A174=FALSE, 1,SUMIFS('Cashflow Projection'!$C$50:$C$62, 'Cashflow Projection'!$B$33:$B$45, 'Updated Construction'!G174))</f>
        <v/>
      </c>
      <c r="D174" t="b">
        <v>0</v>
      </c>
      <c r="E174" s="7" t="n">
        <v>45562</v>
      </c>
      <c r="F174" t="n">
        <v>214863.43</v>
      </c>
      <c r="G174" t="inlineStr">
        <is>
          <t>G</t>
        </is>
      </c>
      <c r="H174" s="7" t="n">
        <v>45626</v>
      </c>
    </row>
    <row r="175">
      <c r="A175" t="b">
        <v>1</v>
      </c>
      <c r="B175" t="inlineStr">
        <is>
          <t>Block G</t>
        </is>
      </c>
      <c r="C175">
        <f>IF(A175=FALSE, 1,SUMIFS('Cashflow Projection'!$C$50:$C$62, 'Cashflow Projection'!$B$33:$B$45, 'Updated Construction'!G175))</f>
        <v/>
      </c>
      <c r="D175" t="b">
        <v>0</v>
      </c>
      <c r="E175" s="7" t="n">
        <v>45596</v>
      </c>
      <c r="F175" t="n">
        <v>0</v>
      </c>
      <c r="G175" t="inlineStr">
        <is>
          <t>G</t>
        </is>
      </c>
      <c r="H175" s="7" t="n">
        <v>45626</v>
      </c>
    </row>
    <row r="176">
      <c r="A176" t="b">
        <v>1</v>
      </c>
      <c r="B176" t="inlineStr">
        <is>
          <t>Block G</t>
        </is>
      </c>
      <c r="C176">
        <f>IF(A176=FALSE, 1,SUMIFS('Cashflow Projection'!$C$50:$C$62, 'Cashflow Projection'!$B$33:$B$45, 'Updated Construction'!G176))</f>
        <v/>
      </c>
      <c r="D176" t="b">
        <v>0</v>
      </c>
      <c r="E176" s="7" t="n">
        <v>45626</v>
      </c>
      <c r="F176" t="n">
        <v>214863.43</v>
      </c>
      <c r="G176" t="inlineStr">
        <is>
          <t>G</t>
        </is>
      </c>
      <c r="H176" s="7" t="n">
        <v>45688</v>
      </c>
    </row>
    <row r="177">
      <c r="A177" t="b">
        <v>1</v>
      </c>
      <c r="B177" t="inlineStr">
        <is>
          <t>Block G</t>
        </is>
      </c>
      <c r="C177">
        <f>IF(A177=FALSE, 1,SUMIFS('Cashflow Projection'!$C$50:$C$62, 'Cashflow Projection'!$B$33:$B$45, 'Updated Construction'!G177))</f>
        <v/>
      </c>
      <c r="D177" t="b">
        <v>0</v>
      </c>
      <c r="E177" s="7" t="n">
        <v>45657</v>
      </c>
      <c r="F177" t="n">
        <v>0</v>
      </c>
      <c r="G177" t="inlineStr">
        <is>
          <t>G</t>
        </is>
      </c>
      <c r="H177" s="7" t="n">
        <v>45688</v>
      </c>
    </row>
    <row r="178">
      <c r="A178" t="b">
        <v>1</v>
      </c>
      <c r="B178" t="inlineStr">
        <is>
          <t>Block G</t>
        </is>
      </c>
      <c r="C178">
        <f>IF(A178=FALSE, 1,SUMIFS('Cashflow Projection'!$C$50:$C$62, 'Cashflow Projection'!$B$33:$B$45, 'Updated Construction'!G178))</f>
        <v/>
      </c>
      <c r="D178" t="b">
        <v>0</v>
      </c>
      <c r="E178" s="7" t="n">
        <v>45688</v>
      </c>
      <c r="F178" t="n">
        <v>0</v>
      </c>
      <c r="G178" t="inlineStr">
        <is>
          <t>G</t>
        </is>
      </c>
      <c r="H178" s="7" t="n">
        <v>45747</v>
      </c>
    </row>
    <row r="179">
      <c r="A179" t="b">
        <v>1</v>
      </c>
      <c r="B179" t="inlineStr">
        <is>
          <t>Block I</t>
        </is>
      </c>
      <c r="C179">
        <f>IF(A179=FALSE, 1,SUMIFS('Cashflow Projection'!$C$50:$C$62, 'Cashflow Projection'!$B$33:$B$45, 'Updated Construction'!G179))</f>
        <v/>
      </c>
      <c r="D179" t="b">
        <v>1</v>
      </c>
      <c r="E179" s="7" t="n">
        <v>45382</v>
      </c>
      <c r="F179" t="n">
        <v>0</v>
      </c>
      <c r="G179" t="inlineStr">
        <is>
          <t>I</t>
        </is>
      </c>
      <c r="H179" s="7" t="n">
        <v>45443</v>
      </c>
    </row>
    <row r="180">
      <c r="A180" t="b">
        <v>1</v>
      </c>
      <c r="B180" t="inlineStr">
        <is>
          <t>Block I</t>
        </is>
      </c>
      <c r="C180">
        <f>IF(A180=FALSE, 1,SUMIFS('Cashflow Projection'!$C$50:$C$62, 'Cashflow Projection'!$B$33:$B$45, 'Updated Construction'!G180))</f>
        <v/>
      </c>
      <c r="D180" t="b">
        <v>0</v>
      </c>
      <c r="E180" s="7" t="n">
        <v>45412</v>
      </c>
      <c r="F180" t="n">
        <v>0</v>
      </c>
      <c r="G180" t="inlineStr">
        <is>
          <t>I</t>
        </is>
      </c>
      <c r="H180" s="7" t="n">
        <v>45443</v>
      </c>
    </row>
    <row r="181">
      <c r="A181" t="b">
        <v>1</v>
      </c>
      <c r="B181" t="inlineStr">
        <is>
          <t>Block I</t>
        </is>
      </c>
      <c r="C181">
        <f>IF(A181=FALSE, 1,SUMIFS('Cashflow Projection'!$C$50:$C$62, 'Cashflow Projection'!$B$33:$B$45, 'Updated Construction'!G181))</f>
        <v/>
      </c>
      <c r="D181" t="b">
        <v>0</v>
      </c>
      <c r="E181" s="7" t="n">
        <v>45442</v>
      </c>
      <c r="F181" t="n">
        <v>0</v>
      </c>
      <c r="G181" t="inlineStr">
        <is>
          <t>I</t>
        </is>
      </c>
      <c r="H181" s="7" t="n">
        <v>45504</v>
      </c>
    </row>
    <row r="182">
      <c r="A182" t="b">
        <v>1</v>
      </c>
      <c r="B182" t="inlineStr">
        <is>
          <t>Block I</t>
        </is>
      </c>
      <c r="C182">
        <f>IF(A182=FALSE, 1,SUMIFS('Cashflow Projection'!$C$50:$C$62, 'Cashflow Projection'!$B$33:$B$45, 'Updated Construction'!G182))</f>
        <v/>
      </c>
      <c r="D182" t="b">
        <v>0</v>
      </c>
      <c r="E182" s="7" t="n">
        <v>45472</v>
      </c>
      <c r="F182" t="n">
        <v>177084.45</v>
      </c>
      <c r="G182" t="inlineStr">
        <is>
          <t>I</t>
        </is>
      </c>
      <c r="H182" s="7" t="n">
        <v>45504</v>
      </c>
    </row>
    <row r="183">
      <c r="A183" t="b">
        <v>1</v>
      </c>
      <c r="B183" t="inlineStr">
        <is>
          <t>Block I</t>
        </is>
      </c>
      <c r="C183">
        <f>IF(A183=FALSE, 1,SUMIFS('Cashflow Projection'!$C$50:$C$62, 'Cashflow Projection'!$B$33:$B$45, 'Updated Construction'!G183))</f>
        <v/>
      </c>
      <c r="D183" t="b">
        <v>0</v>
      </c>
      <c r="E183" s="7" t="n">
        <v>45502</v>
      </c>
      <c r="F183" t="n">
        <v>1416675.6</v>
      </c>
      <c r="G183" t="inlineStr">
        <is>
          <t>I</t>
        </is>
      </c>
      <c r="H183" s="7" t="n">
        <v>45565</v>
      </c>
    </row>
    <row r="184">
      <c r="A184" t="b">
        <v>1</v>
      </c>
      <c r="B184" t="inlineStr">
        <is>
          <t>Block I</t>
        </is>
      </c>
      <c r="C184">
        <f>IF(A184=FALSE, 1,SUMIFS('Cashflow Projection'!$C$50:$C$62, 'Cashflow Projection'!$B$33:$B$45, 'Updated Construction'!G184))</f>
        <v/>
      </c>
      <c r="D184" t="b">
        <v>0</v>
      </c>
      <c r="E184" s="7" t="n">
        <v>45532</v>
      </c>
      <c r="F184" t="n">
        <v>1593760.05</v>
      </c>
      <c r="G184" t="inlineStr">
        <is>
          <t>I</t>
        </is>
      </c>
      <c r="H184" s="7" t="n">
        <v>45565</v>
      </c>
    </row>
    <row r="185">
      <c r="A185" t="b">
        <v>1</v>
      </c>
      <c r="B185" t="inlineStr">
        <is>
          <t>Block I</t>
        </is>
      </c>
      <c r="C185">
        <f>IF(A185=FALSE, 1,SUMIFS('Cashflow Projection'!$C$50:$C$62, 'Cashflow Projection'!$B$33:$B$45, 'Updated Construction'!G185))</f>
        <v/>
      </c>
      <c r="D185" t="b">
        <v>0</v>
      </c>
      <c r="E185" s="7" t="n">
        <v>45562</v>
      </c>
      <c r="F185" t="n">
        <v>177084.45</v>
      </c>
      <c r="G185" t="inlineStr">
        <is>
          <t>I</t>
        </is>
      </c>
      <c r="H185" s="7" t="n">
        <v>45626</v>
      </c>
    </row>
    <row r="186">
      <c r="A186" t="b">
        <v>1</v>
      </c>
      <c r="B186" t="inlineStr">
        <is>
          <t>Block I</t>
        </is>
      </c>
      <c r="C186">
        <f>IF(A186=FALSE, 1,SUMIFS('Cashflow Projection'!$C$50:$C$62, 'Cashflow Projection'!$B$33:$B$45, 'Updated Construction'!G186))</f>
        <v/>
      </c>
      <c r="D186" t="b">
        <v>0</v>
      </c>
      <c r="E186" s="7" t="n">
        <v>45596</v>
      </c>
      <c r="F186" t="n">
        <v>0</v>
      </c>
      <c r="G186" t="inlineStr">
        <is>
          <t>I</t>
        </is>
      </c>
      <c r="H186" s="7" t="n">
        <v>45626</v>
      </c>
    </row>
    <row r="187">
      <c r="A187" t="b">
        <v>1</v>
      </c>
      <c r="B187" t="inlineStr">
        <is>
          <t>Block I</t>
        </is>
      </c>
      <c r="C187">
        <f>IF(A187=FALSE, 1,SUMIFS('Cashflow Projection'!$C$50:$C$62, 'Cashflow Projection'!$B$33:$B$45, 'Updated Construction'!G187))</f>
        <v/>
      </c>
      <c r="D187" t="b">
        <v>0</v>
      </c>
      <c r="E187" s="7" t="n">
        <v>45626</v>
      </c>
      <c r="F187" t="n">
        <v>177084.45</v>
      </c>
      <c r="G187" t="inlineStr">
        <is>
          <t>I</t>
        </is>
      </c>
      <c r="H187" s="7" t="n">
        <v>45688</v>
      </c>
    </row>
    <row r="188">
      <c r="A188" t="b">
        <v>1</v>
      </c>
      <c r="B188" t="inlineStr">
        <is>
          <t>Block I</t>
        </is>
      </c>
      <c r="C188">
        <f>IF(A188=FALSE, 1,SUMIFS('Cashflow Projection'!$C$50:$C$62, 'Cashflow Projection'!$B$33:$B$45, 'Updated Construction'!G188))</f>
        <v/>
      </c>
      <c r="D188" t="b">
        <v>0</v>
      </c>
      <c r="E188" s="7" t="n">
        <v>45657</v>
      </c>
      <c r="F188" t="n">
        <v>0</v>
      </c>
      <c r="G188" t="inlineStr">
        <is>
          <t>I</t>
        </is>
      </c>
      <c r="H188" s="7" t="n">
        <v>45688</v>
      </c>
    </row>
    <row r="189">
      <c r="A189" t="b">
        <v>1</v>
      </c>
      <c r="B189" t="inlineStr">
        <is>
          <t>Block I</t>
        </is>
      </c>
      <c r="C189">
        <f>IF(A189=FALSE, 1,SUMIFS('Cashflow Projection'!$C$50:$C$62, 'Cashflow Projection'!$B$33:$B$45, 'Updated Construction'!G189))</f>
        <v/>
      </c>
      <c r="D189" t="b">
        <v>0</v>
      </c>
      <c r="E189" s="7" t="n">
        <v>45688</v>
      </c>
      <c r="F189" t="n">
        <v>0</v>
      </c>
      <c r="G189" t="inlineStr">
        <is>
          <t>I</t>
        </is>
      </c>
      <c r="H189" s="7" t="n">
        <v>45747</v>
      </c>
    </row>
    <row r="190">
      <c r="A190" t="b">
        <v>1</v>
      </c>
      <c r="B190" t="inlineStr">
        <is>
          <t>Block J</t>
        </is>
      </c>
      <c r="C190">
        <f>IF(A190=FALSE, 1,SUMIFS('Cashflow Projection'!$C$50:$C$62, 'Cashflow Projection'!$B$33:$B$45, 'Updated Construction'!G190))</f>
        <v/>
      </c>
      <c r="D190" t="b">
        <v>1</v>
      </c>
      <c r="E190" s="7" t="n">
        <v>45382</v>
      </c>
      <c r="F190" t="n">
        <v>0</v>
      </c>
      <c r="G190" t="inlineStr">
        <is>
          <t>J</t>
        </is>
      </c>
      <c r="H190" s="7" t="n">
        <v>45443</v>
      </c>
    </row>
    <row r="191">
      <c r="A191" t="b">
        <v>1</v>
      </c>
      <c r="B191" t="inlineStr">
        <is>
          <t>Block J</t>
        </is>
      </c>
      <c r="C191">
        <f>IF(A191=FALSE, 1,SUMIFS('Cashflow Projection'!$C$50:$C$62, 'Cashflow Projection'!$B$33:$B$45, 'Updated Construction'!G191))</f>
        <v/>
      </c>
      <c r="D191" t="b">
        <v>0</v>
      </c>
      <c r="E191" s="7" t="n">
        <v>45412</v>
      </c>
      <c r="F191" t="n">
        <v>0</v>
      </c>
      <c r="G191" t="inlineStr">
        <is>
          <t>J</t>
        </is>
      </c>
      <c r="H191" s="7" t="n">
        <v>45443</v>
      </c>
    </row>
    <row r="192">
      <c r="A192" t="b">
        <v>1</v>
      </c>
      <c r="B192" t="inlineStr">
        <is>
          <t>Block J</t>
        </is>
      </c>
      <c r="C192">
        <f>IF(A192=FALSE, 1,SUMIFS('Cashflow Projection'!$C$50:$C$62, 'Cashflow Projection'!$B$33:$B$45, 'Updated Construction'!G192))</f>
        <v/>
      </c>
      <c r="D192" t="b">
        <v>0</v>
      </c>
      <c r="E192" s="7" t="n">
        <v>45442</v>
      </c>
      <c r="F192" t="n">
        <v>0</v>
      </c>
      <c r="G192" t="inlineStr">
        <is>
          <t>J</t>
        </is>
      </c>
      <c r="H192" s="7" t="n">
        <v>45504</v>
      </c>
    </row>
    <row r="193">
      <c r="A193" t="b">
        <v>1</v>
      </c>
      <c r="B193" t="inlineStr">
        <is>
          <t>Block J</t>
        </is>
      </c>
      <c r="C193">
        <f>IF(A193=FALSE, 1,SUMIFS('Cashflow Projection'!$C$50:$C$62, 'Cashflow Projection'!$B$33:$B$45, 'Updated Construction'!G193))</f>
        <v/>
      </c>
      <c r="D193" t="b">
        <v>0</v>
      </c>
      <c r="E193" s="7" t="n">
        <v>45472</v>
      </c>
      <c r="F193" t="n">
        <v>225151.18</v>
      </c>
      <c r="G193" t="inlineStr">
        <is>
          <t>J</t>
        </is>
      </c>
      <c r="H193" s="7" t="n">
        <v>45504</v>
      </c>
    </row>
    <row r="194">
      <c r="A194" t="b">
        <v>1</v>
      </c>
      <c r="B194" t="inlineStr">
        <is>
          <t>Block J</t>
        </is>
      </c>
      <c r="C194">
        <f>IF(A194=FALSE, 1,SUMIFS('Cashflow Projection'!$C$50:$C$62, 'Cashflow Projection'!$B$33:$B$45, 'Updated Construction'!G194))</f>
        <v/>
      </c>
      <c r="D194" t="b">
        <v>0</v>
      </c>
      <c r="E194" s="7" t="n">
        <v>45502</v>
      </c>
      <c r="F194" t="n">
        <v>1801209.47</v>
      </c>
      <c r="G194" t="inlineStr">
        <is>
          <t>J</t>
        </is>
      </c>
      <c r="H194" s="7" t="n">
        <v>45565</v>
      </c>
    </row>
    <row r="195">
      <c r="A195" t="b">
        <v>1</v>
      </c>
      <c r="B195" t="inlineStr">
        <is>
          <t>Block J</t>
        </is>
      </c>
      <c r="C195">
        <f>IF(A195=FALSE, 1,SUMIFS('Cashflow Projection'!$C$50:$C$62, 'Cashflow Projection'!$B$33:$B$45, 'Updated Construction'!G195))</f>
        <v/>
      </c>
      <c r="D195" t="b">
        <v>0</v>
      </c>
      <c r="E195" s="7" t="n">
        <v>45532</v>
      </c>
      <c r="F195" t="n">
        <v>2026360.66</v>
      </c>
      <c r="G195" t="inlineStr">
        <is>
          <t>J</t>
        </is>
      </c>
      <c r="H195" s="7" t="n">
        <v>45565</v>
      </c>
    </row>
    <row r="196">
      <c r="A196" t="b">
        <v>1</v>
      </c>
      <c r="B196" t="inlineStr">
        <is>
          <t>Block J</t>
        </is>
      </c>
      <c r="C196">
        <f>IF(A196=FALSE, 1,SUMIFS('Cashflow Projection'!$C$50:$C$62, 'Cashflow Projection'!$B$33:$B$45, 'Updated Construction'!G196))</f>
        <v/>
      </c>
      <c r="D196" t="b">
        <v>0</v>
      </c>
      <c r="E196" s="7" t="n">
        <v>45562</v>
      </c>
      <c r="F196" t="n">
        <v>225151.18</v>
      </c>
      <c r="G196" t="inlineStr">
        <is>
          <t>J</t>
        </is>
      </c>
      <c r="H196" s="7" t="n">
        <v>45626</v>
      </c>
    </row>
    <row r="197">
      <c r="A197" t="b">
        <v>1</v>
      </c>
      <c r="B197" t="inlineStr">
        <is>
          <t>Block J</t>
        </is>
      </c>
      <c r="C197">
        <f>IF(A197=FALSE, 1,SUMIFS('Cashflow Projection'!$C$50:$C$62, 'Cashflow Projection'!$B$33:$B$45, 'Updated Construction'!G197))</f>
        <v/>
      </c>
      <c r="D197" t="b">
        <v>0</v>
      </c>
      <c r="E197" s="7" t="n">
        <v>45596</v>
      </c>
      <c r="F197" t="n">
        <v>0</v>
      </c>
      <c r="G197" t="inlineStr">
        <is>
          <t>J</t>
        </is>
      </c>
      <c r="H197" s="7" t="n">
        <v>45626</v>
      </c>
    </row>
    <row r="198">
      <c r="A198" t="b">
        <v>1</v>
      </c>
      <c r="B198" t="inlineStr">
        <is>
          <t>Block J</t>
        </is>
      </c>
      <c r="C198">
        <f>IF(A198=FALSE, 1,SUMIFS('Cashflow Projection'!$C$50:$C$62, 'Cashflow Projection'!$B$33:$B$45, 'Updated Construction'!G198))</f>
        <v/>
      </c>
      <c r="D198" t="b">
        <v>0</v>
      </c>
      <c r="E198" s="7" t="n">
        <v>45626</v>
      </c>
      <c r="F198" t="n">
        <v>225151.18</v>
      </c>
      <c r="G198" t="inlineStr">
        <is>
          <t>J</t>
        </is>
      </c>
      <c r="H198" s="7" t="n">
        <v>45688</v>
      </c>
    </row>
    <row r="199">
      <c r="A199" t="b">
        <v>1</v>
      </c>
      <c r="B199" t="inlineStr">
        <is>
          <t>Block J</t>
        </is>
      </c>
      <c r="C199">
        <f>IF(A199=FALSE, 1,SUMIFS('Cashflow Projection'!$C$50:$C$62, 'Cashflow Projection'!$B$33:$B$45, 'Updated Construction'!G199))</f>
        <v/>
      </c>
      <c r="D199" t="b">
        <v>0</v>
      </c>
      <c r="E199" s="7" t="n">
        <v>45657</v>
      </c>
      <c r="F199" t="n">
        <v>0</v>
      </c>
      <c r="G199" t="inlineStr">
        <is>
          <t>J</t>
        </is>
      </c>
      <c r="H199" s="7" t="n">
        <v>45688</v>
      </c>
    </row>
    <row r="200">
      <c r="A200" t="b">
        <v>1</v>
      </c>
      <c r="B200" t="inlineStr">
        <is>
          <t>Block J</t>
        </is>
      </c>
      <c r="C200">
        <f>IF(A200=FALSE, 1,SUMIFS('Cashflow Projection'!$C$50:$C$62, 'Cashflow Projection'!$B$33:$B$45, 'Updated Construction'!G200))</f>
        <v/>
      </c>
      <c r="D200" t="b">
        <v>0</v>
      </c>
      <c r="E200" s="7" t="n">
        <v>45688</v>
      </c>
      <c r="F200" t="n">
        <v>0</v>
      </c>
      <c r="G200" t="inlineStr">
        <is>
          <t>J</t>
        </is>
      </c>
      <c r="H200" s="7" t="n">
        <v>45747</v>
      </c>
    </row>
    <row r="201">
      <c r="A201" t="b">
        <v>1</v>
      </c>
      <c r="B201" t="inlineStr">
        <is>
          <t>Block K</t>
        </is>
      </c>
      <c r="C201">
        <f>IF(A201=FALSE, 1,SUMIFS('Cashflow Projection'!$C$50:$C$62, 'Cashflow Projection'!$B$33:$B$45, 'Updated Construction'!G201))</f>
        <v/>
      </c>
      <c r="D201" t="b">
        <v>1</v>
      </c>
      <c r="E201" s="7" t="n">
        <v>45382</v>
      </c>
      <c r="F201" t="n">
        <v>0</v>
      </c>
      <c r="G201" t="inlineStr">
        <is>
          <t>K</t>
        </is>
      </c>
      <c r="H201" s="7" t="n">
        <v>45443</v>
      </c>
    </row>
    <row r="202">
      <c r="A202" t="b">
        <v>1</v>
      </c>
      <c r="B202" t="inlineStr">
        <is>
          <t>Block K</t>
        </is>
      </c>
      <c r="C202">
        <f>IF(A202=FALSE, 1,SUMIFS('Cashflow Projection'!$C$50:$C$62, 'Cashflow Projection'!$B$33:$B$45, 'Updated Construction'!G202))</f>
        <v/>
      </c>
      <c r="D202" t="b">
        <v>0</v>
      </c>
      <c r="E202" s="7" t="n">
        <v>45412</v>
      </c>
      <c r="F202" t="n">
        <v>54356.5</v>
      </c>
      <c r="G202" t="inlineStr">
        <is>
          <t>K</t>
        </is>
      </c>
      <c r="H202" s="7" t="n">
        <v>45443</v>
      </c>
    </row>
    <row r="203">
      <c r="A203" t="b">
        <v>1</v>
      </c>
      <c r="B203" t="inlineStr">
        <is>
          <t>Block K</t>
        </is>
      </c>
      <c r="C203">
        <f>IF(A203=FALSE, 1,SUMIFS('Cashflow Projection'!$C$50:$C$62, 'Cashflow Projection'!$B$33:$B$45, 'Updated Construction'!G203))</f>
        <v/>
      </c>
      <c r="D203" t="b">
        <v>0</v>
      </c>
      <c r="E203" s="7" t="n">
        <v>45442</v>
      </c>
      <c r="F203" t="n">
        <v>0</v>
      </c>
      <c r="G203" t="inlineStr">
        <is>
          <t>K</t>
        </is>
      </c>
      <c r="H203" s="7" t="n">
        <v>45504</v>
      </c>
    </row>
    <row r="204">
      <c r="A204" t="b">
        <v>1</v>
      </c>
      <c r="B204" t="inlineStr">
        <is>
          <t>Block K</t>
        </is>
      </c>
      <c r="C204">
        <f>IF(A204=FALSE, 1,SUMIFS('Cashflow Projection'!$C$50:$C$62, 'Cashflow Projection'!$B$33:$B$45, 'Updated Construction'!G204))</f>
        <v/>
      </c>
      <c r="D204" t="b">
        <v>0</v>
      </c>
      <c r="E204" s="7" t="n">
        <v>45472</v>
      </c>
      <c r="F204" t="n">
        <v>368033.83</v>
      </c>
      <c r="G204" t="inlineStr">
        <is>
          <t>K</t>
        </is>
      </c>
      <c r="H204" s="7" t="n">
        <v>45504</v>
      </c>
    </row>
    <row r="205">
      <c r="A205" t="b">
        <v>1</v>
      </c>
      <c r="B205" t="inlineStr">
        <is>
          <t>Block K</t>
        </is>
      </c>
      <c r="C205">
        <f>IF(A205=FALSE, 1,SUMIFS('Cashflow Projection'!$C$50:$C$62, 'Cashflow Projection'!$B$33:$B$45, 'Updated Construction'!G205))</f>
        <v/>
      </c>
      <c r="D205" t="b">
        <v>0</v>
      </c>
      <c r="E205" s="7" t="n">
        <v>45502</v>
      </c>
      <c r="F205" t="n">
        <v>2944270.66</v>
      </c>
      <c r="G205" t="inlineStr">
        <is>
          <t>K</t>
        </is>
      </c>
      <c r="H205" s="7" t="n">
        <v>45565</v>
      </c>
    </row>
    <row r="206">
      <c r="A206" t="b">
        <v>1</v>
      </c>
      <c r="B206" t="inlineStr">
        <is>
          <t>Block K</t>
        </is>
      </c>
      <c r="C206">
        <f>IF(A206=FALSE, 1,SUMIFS('Cashflow Projection'!$C$50:$C$62, 'Cashflow Projection'!$B$33:$B$45, 'Updated Construction'!G206))</f>
        <v/>
      </c>
      <c r="D206" t="b">
        <v>0</v>
      </c>
      <c r="E206" s="7" t="n">
        <v>45532</v>
      </c>
      <c r="F206" t="n">
        <v>3312304.49</v>
      </c>
      <c r="G206" t="inlineStr">
        <is>
          <t>K</t>
        </is>
      </c>
      <c r="H206" s="7" t="n">
        <v>45565</v>
      </c>
    </row>
    <row r="207">
      <c r="A207" t="b">
        <v>1</v>
      </c>
      <c r="B207" t="inlineStr">
        <is>
          <t>Block K</t>
        </is>
      </c>
      <c r="C207">
        <f>IF(A207=FALSE, 1,SUMIFS('Cashflow Projection'!$C$50:$C$62, 'Cashflow Projection'!$B$33:$B$45, 'Updated Construction'!G207))</f>
        <v/>
      </c>
      <c r="D207" t="b">
        <v>0</v>
      </c>
      <c r="E207" s="7" t="n">
        <v>45562</v>
      </c>
      <c r="F207" t="n">
        <v>368033.83</v>
      </c>
      <c r="G207" t="inlineStr">
        <is>
          <t>K</t>
        </is>
      </c>
      <c r="H207" s="7" t="n">
        <v>45626</v>
      </c>
    </row>
    <row r="208">
      <c r="A208" t="b">
        <v>1</v>
      </c>
      <c r="B208" t="inlineStr">
        <is>
          <t>Block K</t>
        </is>
      </c>
      <c r="C208">
        <f>IF(A208=FALSE, 1,SUMIFS('Cashflow Projection'!$C$50:$C$62, 'Cashflow Projection'!$B$33:$B$45, 'Updated Construction'!G208))</f>
        <v/>
      </c>
      <c r="D208" t="b">
        <v>0</v>
      </c>
      <c r="E208" s="7" t="n">
        <v>45596</v>
      </c>
      <c r="F208" t="n">
        <v>0</v>
      </c>
      <c r="G208" t="inlineStr">
        <is>
          <t>K</t>
        </is>
      </c>
      <c r="H208" s="7" t="n">
        <v>45626</v>
      </c>
    </row>
    <row r="209">
      <c r="A209" t="b">
        <v>1</v>
      </c>
      <c r="B209" t="inlineStr">
        <is>
          <t>Block K</t>
        </is>
      </c>
      <c r="C209">
        <f>IF(A209=FALSE, 1,SUMIFS('Cashflow Projection'!$C$50:$C$62, 'Cashflow Projection'!$B$33:$B$45, 'Updated Construction'!G209))</f>
        <v/>
      </c>
      <c r="D209" t="b">
        <v>0</v>
      </c>
      <c r="E209" s="7" t="n">
        <v>45626</v>
      </c>
      <c r="F209" t="n">
        <v>368033.83</v>
      </c>
      <c r="G209" t="inlineStr">
        <is>
          <t>K</t>
        </is>
      </c>
      <c r="H209" s="7" t="n">
        <v>45688</v>
      </c>
    </row>
    <row r="210">
      <c r="A210" t="b">
        <v>1</v>
      </c>
      <c r="B210" t="inlineStr">
        <is>
          <t>Block K</t>
        </is>
      </c>
      <c r="C210">
        <f>IF(A210=FALSE, 1,SUMIFS('Cashflow Projection'!$C$50:$C$62, 'Cashflow Projection'!$B$33:$B$45, 'Updated Construction'!G210))</f>
        <v/>
      </c>
      <c r="D210" t="b">
        <v>0</v>
      </c>
      <c r="E210" s="7" t="n">
        <v>45657</v>
      </c>
      <c r="F210" t="n">
        <v>0</v>
      </c>
      <c r="G210" t="inlineStr">
        <is>
          <t>K</t>
        </is>
      </c>
      <c r="H210" s="7" t="n">
        <v>45688</v>
      </c>
    </row>
    <row r="211">
      <c r="A211" t="b">
        <v>1</v>
      </c>
      <c r="B211" t="inlineStr">
        <is>
          <t>Block K</t>
        </is>
      </c>
      <c r="C211">
        <f>IF(A211=FALSE, 1,SUMIFS('Cashflow Projection'!$C$50:$C$62, 'Cashflow Projection'!$B$33:$B$45, 'Updated Construction'!G211))</f>
        <v/>
      </c>
      <c r="D211" t="b">
        <v>0</v>
      </c>
      <c r="E211" s="7" t="n">
        <v>45688</v>
      </c>
      <c r="F211" t="n">
        <v>0</v>
      </c>
      <c r="G211" t="inlineStr">
        <is>
          <t>K</t>
        </is>
      </c>
      <c r="H211" s="7" t="n">
        <v>45747</v>
      </c>
    </row>
    <row r="212">
      <c r="A212" t="b">
        <v>1</v>
      </c>
      <c r="B212" t="inlineStr">
        <is>
          <t>Block L</t>
        </is>
      </c>
      <c r="C212">
        <f>IF(A212=FALSE, 1,SUMIFS('Cashflow Projection'!$C$50:$C$62, 'Cashflow Projection'!$B$33:$B$45, 'Updated Construction'!G212))</f>
        <v/>
      </c>
      <c r="D212" t="b">
        <v>1</v>
      </c>
      <c r="E212" s="7" t="n">
        <v>45382</v>
      </c>
      <c r="F212" t="n">
        <v>0</v>
      </c>
      <c r="G212" t="inlineStr">
        <is>
          <t>L</t>
        </is>
      </c>
      <c r="H212" s="7" t="n">
        <v>45443</v>
      </c>
    </row>
    <row r="213">
      <c r="A213" t="b">
        <v>1</v>
      </c>
      <c r="B213" t="inlineStr">
        <is>
          <t>Block L</t>
        </is>
      </c>
      <c r="C213">
        <f>IF(A213=FALSE, 1,SUMIFS('Cashflow Projection'!$C$50:$C$62, 'Cashflow Projection'!$B$33:$B$45, 'Updated Construction'!G213))</f>
        <v/>
      </c>
      <c r="D213" t="b">
        <v>0</v>
      </c>
      <c r="E213" s="7" t="n">
        <v>45412</v>
      </c>
      <c r="F213" t="n">
        <v>0</v>
      </c>
      <c r="G213" t="inlineStr">
        <is>
          <t>L</t>
        </is>
      </c>
      <c r="H213" s="7" t="n">
        <v>45443</v>
      </c>
    </row>
    <row r="214">
      <c r="A214" t="b">
        <v>1</v>
      </c>
      <c r="B214" t="inlineStr">
        <is>
          <t>Block L</t>
        </is>
      </c>
      <c r="C214">
        <f>IF(A214=FALSE, 1,SUMIFS('Cashflow Projection'!$C$50:$C$62, 'Cashflow Projection'!$B$33:$B$45, 'Updated Construction'!G214))</f>
        <v/>
      </c>
      <c r="D214" t="b">
        <v>0</v>
      </c>
      <c r="E214" s="7" t="n">
        <v>45442</v>
      </c>
      <c r="F214" t="n">
        <v>0</v>
      </c>
      <c r="G214" t="inlineStr">
        <is>
          <t>L</t>
        </is>
      </c>
      <c r="H214" s="7" t="n">
        <v>45504</v>
      </c>
    </row>
    <row r="215">
      <c r="A215" t="b">
        <v>1</v>
      </c>
      <c r="B215" t="inlineStr">
        <is>
          <t>Block L</t>
        </is>
      </c>
      <c r="C215">
        <f>IF(A215=FALSE, 1,SUMIFS('Cashflow Projection'!$C$50:$C$62, 'Cashflow Projection'!$B$33:$B$45, 'Updated Construction'!G215))</f>
        <v/>
      </c>
      <c r="D215" t="b">
        <v>0</v>
      </c>
      <c r="E215" s="7" t="n">
        <v>45472</v>
      </c>
      <c r="F215" t="n">
        <v>194530.9</v>
      </c>
      <c r="G215" t="inlineStr">
        <is>
          <t>L</t>
        </is>
      </c>
      <c r="H215" s="7" t="n">
        <v>45504</v>
      </c>
    </row>
    <row r="216">
      <c r="A216" t="b">
        <v>1</v>
      </c>
      <c r="B216" t="inlineStr">
        <is>
          <t>Block L</t>
        </is>
      </c>
      <c r="C216">
        <f>IF(A216=FALSE, 1,SUMIFS('Cashflow Projection'!$C$50:$C$62, 'Cashflow Projection'!$B$33:$B$45, 'Updated Construction'!G216))</f>
        <v/>
      </c>
      <c r="D216" t="b">
        <v>0</v>
      </c>
      <c r="E216" s="7" t="n">
        <v>45502</v>
      </c>
      <c r="F216" t="n">
        <v>1556247.17</v>
      </c>
      <c r="G216" t="inlineStr">
        <is>
          <t>L</t>
        </is>
      </c>
      <c r="H216" s="7" t="n">
        <v>45565</v>
      </c>
    </row>
    <row r="217">
      <c r="A217" t="b">
        <v>1</v>
      </c>
      <c r="B217" t="inlineStr">
        <is>
          <t>Block L</t>
        </is>
      </c>
      <c r="C217">
        <f>IF(A217=FALSE, 1,SUMIFS('Cashflow Projection'!$C$50:$C$62, 'Cashflow Projection'!$B$33:$B$45, 'Updated Construction'!G217))</f>
        <v/>
      </c>
      <c r="D217" t="b">
        <v>0</v>
      </c>
      <c r="E217" s="7" t="n">
        <v>45532</v>
      </c>
      <c r="F217" t="n">
        <v>1750778.07</v>
      </c>
      <c r="G217" t="inlineStr">
        <is>
          <t>L</t>
        </is>
      </c>
      <c r="H217" s="7" t="n">
        <v>45565</v>
      </c>
    </row>
    <row r="218">
      <c r="A218" t="b">
        <v>1</v>
      </c>
      <c r="B218" t="inlineStr">
        <is>
          <t>Block L</t>
        </is>
      </c>
      <c r="C218">
        <f>IF(A218=FALSE, 1,SUMIFS('Cashflow Projection'!$C$50:$C$62, 'Cashflow Projection'!$B$33:$B$45, 'Updated Construction'!G218))</f>
        <v/>
      </c>
      <c r="D218" t="b">
        <v>0</v>
      </c>
      <c r="E218" s="7" t="n">
        <v>45562</v>
      </c>
      <c r="F218" t="n">
        <v>194530.9</v>
      </c>
      <c r="G218" t="inlineStr">
        <is>
          <t>L</t>
        </is>
      </c>
      <c r="H218" s="7" t="n">
        <v>45626</v>
      </c>
    </row>
    <row r="219">
      <c r="A219" t="b">
        <v>1</v>
      </c>
      <c r="B219" t="inlineStr">
        <is>
          <t>Block L</t>
        </is>
      </c>
      <c r="C219">
        <f>IF(A219=FALSE, 1,SUMIFS('Cashflow Projection'!$C$50:$C$62, 'Cashflow Projection'!$B$33:$B$45, 'Updated Construction'!G219))</f>
        <v/>
      </c>
      <c r="D219" t="b">
        <v>0</v>
      </c>
      <c r="E219" s="7" t="n">
        <v>45596</v>
      </c>
      <c r="F219" t="n">
        <v>0</v>
      </c>
      <c r="G219" t="inlineStr">
        <is>
          <t>L</t>
        </is>
      </c>
      <c r="H219" s="7" t="n">
        <v>45626</v>
      </c>
    </row>
    <row r="220">
      <c r="A220" t="b">
        <v>1</v>
      </c>
      <c r="B220" t="inlineStr">
        <is>
          <t>Block L</t>
        </is>
      </c>
      <c r="C220">
        <f>IF(A220=FALSE, 1,SUMIFS('Cashflow Projection'!$C$50:$C$62, 'Cashflow Projection'!$B$33:$B$45, 'Updated Construction'!G220))</f>
        <v/>
      </c>
      <c r="D220" t="b">
        <v>0</v>
      </c>
      <c r="E220" s="7" t="n">
        <v>45626</v>
      </c>
      <c r="F220" t="n">
        <v>194530.9</v>
      </c>
      <c r="G220" t="inlineStr">
        <is>
          <t>L</t>
        </is>
      </c>
      <c r="H220" s="7" t="n">
        <v>45688</v>
      </c>
    </row>
    <row r="221">
      <c r="A221" t="b">
        <v>1</v>
      </c>
      <c r="B221" t="inlineStr">
        <is>
          <t>Block L</t>
        </is>
      </c>
      <c r="C221">
        <f>IF(A221=FALSE, 1,SUMIFS('Cashflow Projection'!$C$50:$C$62, 'Cashflow Projection'!$B$33:$B$45, 'Updated Construction'!G221))</f>
        <v/>
      </c>
      <c r="D221" t="b">
        <v>0</v>
      </c>
      <c r="E221" s="7" t="n">
        <v>45657</v>
      </c>
      <c r="F221" t="n">
        <v>0</v>
      </c>
      <c r="G221" t="inlineStr">
        <is>
          <t>L</t>
        </is>
      </c>
      <c r="H221" s="7" t="n">
        <v>45688</v>
      </c>
    </row>
    <row r="222">
      <c r="A222" t="b">
        <v>1</v>
      </c>
      <c r="B222" t="inlineStr">
        <is>
          <t>Block L</t>
        </is>
      </c>
      <c r="C222">
        <f>IF(A222=FALSE, 1,SUMIFS('Cashflow Projection'!$C$50:$C$62, 'Cashflow Projection'!$B$33:$B$45, 'Updated Construction'!G222))</f>
        <v/>
      </c>
      <c r="D222" t="b">
        <v>0</v>
      </c>
      <c r="E222" s="7" t="n">
        <v>45688</v>
      </c>
      <c r="F222" t="n">
        <v>0</v>
      </c>
      <c r="G222" t="inlineStr">
        <is>
          <t>L</t>
        </is>
      </c>
      <c r="H222" s="7" t="n">
        <v>45747</v>
      </c>
    </row>
    <row r="223">
      <c r="A223" t="b">
        <v>1</v>
      </c>
      <c r="B223" t="inlineStr">
        <is>
          <t>Block M</t>
        </is>
      </c>
      <c r="C223">
        <f>IF(A223=FALSE, 1,SUMIFS('Cashflow Projection'!$C$50:$C$62, 'Cashflow Projection'!$B$33:$B$45, 'Updated Construction'!G223))</f>
        <v/>
      </c>
      <c r="D223" t="b">
        <v>1</v>
      </c>
      <c r="E223" s="7" t="n">
        <v>45382</v>
      </c>
      <c r="F223" t="n">
        <v>0</v>
      </c>
      <c r="G223" t="inlineStr">
        <is>
          <t>M</t>
        </is>
      </c>
      <c r="H223" s="7" t="n">
        <v>45443</v>
      </c>
    </row>
    <row r="224">
      <c r="A224" t="b">
        <v>1</v>
      </c>
      <c r="B224" t="inlineStr">
        <is>
          <t>Block M</t>
        </is>
      </c>
      <c r="C224">
        <f>IF(A224=FALSE, 1,SUMIFS('Cashflow Projection'!$C$50:$C$62, 'Cashflow Projection'!$B$33:$B$45, 'Updated Construction'!G224))</f>
        <v/>
      </c>
      <c r="D224" t="b">
        <v>0</v>
      </c>
      <c r="E224" s="7" t="n">
        <v>45412</v>
      </c>
      <c r="F224" t="n">
        <v>636753.83</v>
      </c>
      <c r="G224" t="inlineStr">
        <is>
          <t>M</t>
        </is>
      </c>
      <c r="H224" s="7" t="n">
        <v>45443</v>
      </c>
    </row>
    <row r="225">
      <c r="A225" t="b">
        <v>1</v>
      </c>
      <c r="B225" t="inlineStr">
        <is>
          <t>Block M</t>
        </is>
      </c>
      <c r="C225">
        <f>IF(A225=FALSE, 1,SUMIFS('Cashflow Projection'!$C$50:$C$62, 'Cashflow Projection'!$B$33:$B$45, 'Updated Construction'!G225))</f>
        <v/>
      </c>
      <c r="D225" t="b">
        <v>0</v>
      </c>
      <c r="E225" s="7" t="n">
        <v>45442</v>
      </c>
      <c r="F225" t="n">
        <v>0</v>
      </c>
      <c r="G225" t="inlineStr">
        <is>
          <t>M</t>
        </is>
      </c>
      <c r="H225" s="7" t="n">
        <v>45504</v>
      </c>
    </row>
    <row r="226">
      <c r="A226" t="b">
        <v>1</v>
      </c>
      <c r="B226" t="inlineStr">
        <is>
          <t>Block M</t>
        </is>
      </c>
      <c r="C226">
        <f>IF(A226=FALSE, 1,SUMIFS('Cashflow Projection'!$C$50:$C$62, 'Cashflow Projection'!$B$33:$B$45, 'Updated Construction'!G226))</f>
        <v/>
      </c>
      <c r="D226" t="b">
        <v>0</v>
      </c>
      <c r="E226" s="7" t="n">
        <v>45472</v>
      </c>
      <c r="F226" t="n">
        <v>34036.47</v>
      </c>
      <c r="G226" t="inlineStr">
        <is>
          <t>M</t>
        </is>
      </c>
      <c r="H226" s="7" t="n">
        <v>45504</v>
      </c>
    </row>
    <row r="227">
      <c r="A227" t="b">
        <v>1</v>
      </c>
      <c r="B227" t="inlineStr">
        <is>
          <t>Block M</t>
        </is>
      </c>
      <c r="C227">
        <f>IF(A227=FALSE, 1,SUMIFS('Cashflow Projection'!$C$50:$C$62, 'Cashflow Projection'!$B$33:$B$45, 'Updated Construction'!G227))</f>
        <v/>
      </c>
      <c r="D227" t="b">
        <v>0</v>
      </c>
      <c r="E227" s="7" t="n">
        <v>45502</v>
      </c>
      <c r="F227" t="n">
        <v>457251.12</v>
      </c>
      <c r="G227" t="inlineStr">
        <is>
          <t>M</t>
        </is>
      </c>
      <c r="H227" s="7" t="n">
        <v>45565</v>
      </c>
    </row>
    <row r="228">
      <c r="A228" t="b">
        <v>1</v>
      </c>
      <c r="B228" t="inlineStr">
        <is>
          <t>Block M</t>
        </is>
      </c>
      <c r="C228">
        <f>IF(A228=FALSE, 1,SUMIFS('Cashflow Projection'!$C$50:$C$62, 'Cashflow Projection'!$B$33:$B$45, 'Updated Construction'!G228))</f>
        <v/>
      </c>
      <c r="D228" t="b">
        <v>0</v>
      </c>
      <c r="E228" s="7" t="n">
        <v>45532</v>
      </c>
      <c r="F228" t="n">
        <v>665688.84</v>
      </c>
      <c r="G228" t="inlineStr">
        <is>
          <t>M</t>
        </is>
      </c>
      <c r="H228" s="7" t="n">
        <v>45565</v>
      </c>
    </row>
    <row r="229">
      <c r="A229" t="b">
        <v>1</v>
      </c>
      <c r="B229" t="inlineStr">
        <is>
          <t>Block M</t>
        </is>
      </c>
      <c r="C229">
        <f>IF(A229=FALSE, 1,SUMIFS('Cashflow Projection'!$C$50:$C$62, 'Cashflow Projection'!$B$33:$B$45, 'Updated Construction'!G229))</f>
        <v/>
      </c>
      <c r="D229" t="b">
        <v>0</v>
      </c>
      <c r="E229" s="7" t="n">
        <v>45562</v>
      </c>
      <c r="F229" t="n">
        <v>106518.5</v>
      </c>
      <c r="G229" t="inlineStr">
        <is>
          <t>M</t>
        </is>
      </c>
      <c r="H229" s="7" t="n">
        <v>45626</v>
      </c>
    </row>
    <row r="230">
      <c r="A230" t="b">
        <v>1</v>
      </c>
      <c r="B230" t="inlineStr">
        <is>
          <t>Block M</t>
        </is>
      </c>
      <c r="C230">
        <f>IF(A230=FALSE, 1,SUMIFS('Cashflow Projection'!$C$50:$C$62, 'Cashflow Projection'!$B$33:$B$45, 'Updated Construction'!G230))</f>
        <v/>
      </c>
      <c r="D230" t="b">
        <v>0</v>
      </c>
      <c r="E230" s="7" t="n">
        <v>45596</v>
      </c>
      <c r="F230" t="n">
        <v>0</v>
      </c>
      <c r="G230" t="inlineStr">
        <is>
          <t>M</t>
        </is>
      </c>
      <c r="H230" s="7" t="n">
        <v>45626</v>
      </c>
    </row>
    <row r="231">
      <c r="A231" t="b">
        <v>1</v>
      </c>
      <c r="B231" t="inlineStr">
        <is>
          <t>Block M</t>
        </is>
      </c>
      <c r="C231">
        <f>IF(A231=FALSE, 1,SUMIFS('Cashflow Projection'!$C$50:$C$62, 'Cashflow Projection'!$B$33:$B$45, 'Updated Construction'!G231))</f>
        <v/>
      </c>
      <c r="D231" t="b">
        <v>0</v>
      </c>
      <c r="E231" s="7" t="n">
        <v>45626</v>
      </c>
      <c r="F231" t="n">
        <v>216580.53</v>
      </c>
      <c r="G231" t="inlineStr">
        <is>
          <t>M</t>
        </is>
      </c>
      <c r="H231" s="7" t="n">
        <v>45688</v>
      </c>
    </row>
    <row r="232">
      <c r="A232" t="b">
        <v>1</v>
      </c>
      <c r="B232" t="inlineStr">
        <is>
          <t>Block M</t>
        </is>
      </c>
      <c r="C232">
        <f>IF(A232=FALSE, 1,SUMIFS('Cashflow Projection'!$C$50:$C$62, 'Cashflow Projection'!$B$33:$B$45, 'Updated Construction'!G232))</f>
        <v/>
      </c>
      <c r="D232" t="b">
        <v>0</v>
      </c>
      <c r="E232" s="7" t="n">
        <v>45657</v>
      </c>
      <c r="F232" t="n">
        <v>0</v>
      </c>
      <c r="G232" t="inlineStr">
        <is>
          <t>M</t>
        </is>
      </c>
      <c r="H232" s="7" t="n">
        <v>45688</v>
      </c>
    </row>
    <row r="233">
      <c r="A233" t="b">
        <v>1</v>
      </c>
      <c r="B233" t="inlineStr">
        <is>
          <t>Block M</t>
        </is>
      </c>
      <c r="C233">
        <f>IF(A233=FALSE, 1,SUMIFS('Cashflow Projection'!$C$50:$C$62, 'Cashflow Projection'!$B$33:$B$45, 'Updated Construction'!G233))</f>
        <v/>
      </c>
      <c r="D233" t="b">
        <v>0</v>
      </c>
      <c r="E233" s="7" t="n">
        <v>45688</v>
      </c>
      <c r="F233" t="n">
        <v>0</v>
      </c>
      <c r="G233" t="inlineStr">
        <is>
          <t>M</t>
        </is>
      </c>
      <c r="H233" s="7" t="n">
        <v>45747</v>
      </c>
    </row>
    <row r="234">
      <c r="A234" t="b">
        <v>1</v>
      </c>
      <c r="B234" t="inlineStr">
        <is>
          <t>Block O</t>
        </is>
      </c>
      <c r="C234">
        <f>IF(A234=FALSE, 1,SUMIFS('Cashflow Projection'!$C$50:$C$62, 'Cashflow Projection'!$B$33:$B$45, 'Updated Construction'!G234))</f>
        <v/>
      </c>
      <c r="D234" t="b">
        <v>1</v>
      </c>
      <c r="E234" s="7" t="n">
        <v>45382</v>
      </c>
      <c r="F234" t="n">
        <v>0</v>
      </c>
      <c r="G234" t="inlineStr">
        <is>
          <t>O</t>
        </is>
      </c>
      <c r="H234" s="7" t="n">
        <v>45443</v>
      </c>
    </row>
    <row r="235">
      <c r="A235" t="b">
        <v>1</v>
      </c>
      <c r="B235" t="inlineStr">
        <is>
          <t>Block O</t>
        </is>
      </c>
      <c r="C235">
        <f>IF(A235=FALSE, 1,SUMIFS('Cashflow Projection'!$C$50:$C$62, 'Cashflow Projection'!$B$33:$B$45, 'Updated Construction'!G235))</f>
        <v/>
      </c>
      <c r="D235" t="b">
        <v>0</v>
      </c>
      <c r="E235" s="7" t="n">
        <v>45412</v>
      </c>
      <c r="F235" t="n">
        <v>0</v>
      </c>
      <c r="G235" t="inlineStr">
        <is>
          <t>O</t>
        </is>
      </c>
      <c r="H235" s="7" t="n">
        <v>45443</v>
      </c>
    </row>
    <row r="236">
      <c r="A236" t="b">
        <v>1</v>
      </c>
      <c r="B236" t="inlineStr">
        <is>
          <t>Block O</t>
        </is>
      </c>
      <c r="C236">
        <f>IF(A236=FALSE, 1,SUMIFS('Cashflow Projection'!$C$50:$C$62, 'Cashflow Projection'!$B$33:$B$45, 'Updated Construction'!G236))</f>
        <v/>
      </c>
      <c r="D236" t="b">
        <v>0</v>
      </c>
      <c r="E236" s="7" t="n">
        <v>45442</v>
      </c>
      <c r="F236" t="n">
        <v>0</v>
      </c>
      <c r="G236" t="inlineStr">
        <is>
          <t>O</t>
        </is>
      </c>
      <c r="H236" s="7" t="n">
        <v>45504</v>
      </c>
    </row>
    <row r="237">
      <c r="A237" t="b">
        <v>1</v>
      </c>
      <c r="B237" t="inlineStr">
        <is>
          <t>Block O</t>
        </is>
      </c>
      <c r="C237">
        <f>IF(A237=FALSE, 1,SUMIFS('Cashflow Projection'!$C$50:$C$62, 'Cashflow Projection'!$B$33:$B$45, 'Updated Construction'!G237))</f>
        <v/>
      </c>
      <c r="D237" t="b">
        <v>0</v>
      </c>
      <c r="E237" s="7" t="n">
        <v>45472</v>
      </c>
      <c r="F237" t="n">
        <v>0</v>
      </c>
      <c r="G237" t="inlineStr">
        <is>
          <t>O</t>
        </is>
      </c>
      <c r="H237" s="7" t="n">
        <v>45504</v>
      </c>
    </row>
    <row r="238">
      <c r="A238" t="b">
        <v>1</v>
      </c>
      <c r="B238" t="inlineStr">
        <is>
          <t>Block O</t>
        </is>
      </c>
      <c r="C238">
        <f>IF(A238=FALSE, 1,SUMIFS('Cashflow Projection'!$C$50:$C$62, 'Cashflow Projection'!$B$33:$B$45, 'Updated Construction'!G238))</f>
        <v/>
      </c>
      <c r="D238" t="b">
        <v>0</v>
      </c>
      <c r="E238" s="7" t="n">
        <v>45502</v>
      </c>
      <c r="F238" t="n">
        <v>0</v>
      </c>
      <c r="G238" t="inlineStr">
        <is>
          <t>O</t>
        </is>
      </c>
      <c r="H238" s="7" t="n">
        <v>45565</v>
      </c>
    </row>
    <row r="239">
      <c r="A239" t="b">
        <v>1</v>
      </c>
      <c r="B239" t="inlineStr">
        <is>
          <t>Block O</t>
        </is>
      </c>
      <c r="C239">
        <f>IF(A239=FALSE, 1,SUMIFS('Cashflow Projection'!$C$50:$C$62, 'Cashflow Projection'!$B$33:$B$45, 'Updated Construction'!G239))</f>
        <v/>
      </c>
      <c r="D239" t="b">
        <v>0</v>
      </c>
      <c r="E239" s="7" t="n">
        <v>45532</v>
      </c>
      <c r="F239" t="n">
        <v>0</v>
      </c>
      <c r="G239" t="inlineStr">
        <is>
          <t>O</t>
        </is>
      </c>
      <c r="H239" s="7" t="n">
        <v>45565</v>
      </c>
    </row>
    <row r="240">
      <c r="A240" t="b">
        <v>1</v>
      </c>
      <c r="B240" t="inlineStr">
        <is>
          <t>Block O</t>
        </is>
      </c>
      <c r="C240">
        <f>IF(A240=FALSE, 1,SUMIFS('Cashflow Projection'!$C$50:$C$62, 'Cashflow Projection'!$B$33:$B$45, 'Updated Construction'!G240))</f>
        <v/>
      </c>
      <c r="D240" t="b">
        <v>0</v>
      </c>
      <c r="E240" s="7" t="n">
        <v>45562</v>
      </c>
      <c r="F240" t="n">
        <v>0</v>
      </c>
      <c r="G240" t="inlineStr">
        <is>
          <t>O</t>
        </is>
      </c>
      <c r="H240" s="7" t="n">
        <v>45626</v>
      </c>
    </row>
    <row r="241">
      <c r="A241" t="b">
        <v>1</v>
      </c>
      <c r="B241" t="inlineStr">
        <is>
          <t>Block O</t>
        </is>
      </c>
      <c r="C241">
        <f>IF(A241=FALSE, 1,SUMIFS('Cashflow Projection'!$C$50:$C$62, 'Cashflow Projection'!$B$33:$B$45, 'Updated Construction'!G241))</f>
        <v/>
      </c>
      <c r="D241" t="b">
        <v>0</v>
      </c>
      <c r="E241" s="7" t="n">
        <v>45596</v>
      </c>
      <c r="F241" t="n">
        <v>0</v>
      </c>
      <c r="G241" t="inlineStr">
        <is>
          <t>O</t>
        </is>
      </c>
      <c r="H241" s="7" t="n">
        <v>45626</v>
      </c>
    </row>
    <row r="242">
      <c r="A242" t="b">
        <v>1</v>
      </c>
      <c r="B242" t="inlineStr">
        <is>
          <t>Block O</t>
        </is>
      </c>
      <c r="C242">
        <f>IF(A242=FALSE, 1,SUMIFS('Cashflow Projection'!$C$50:$C$62, 'Cashflow Projection'!$B$33:$B$45, 'Updated Construction'!G242))</f>
        <v/>
      </c>
      <c r="D242" t="b">
        <v>0</v>
      </c>
      <c r="E242" s="7" t="n">
        <v>45626</v>
      </c>
      <c r="F242" t="n">
        <v>0</v>
      </c>
      <c r="G242" t="inlineStr">
        <is>
          <t>O</t>
        </is>
      </c>
      <c r="H242" s="7" t="n">
        <v>45688</v>
      </c>
    </row>
    <row r="243">
      <c r="A243" t="b">
        <v>1</v>
      </c>
      <c r="B243" t="inlineStr">
        <is>
          <t>Block O</t>
        </is>
      </c>
      <c r="C243">
        <f>IF(A243=FALSE, 1,SUMIFS('Cashflow Projection'!$C$50:$C$62, 'Cashflow Projection'!$B$33:$B$45, 'Updated Construction'!G243))</f>
        <v/>
      </c>
      <c r="D243" t="b">
        <v>0</v>
      </c>
      <c r="E243" s="7" t="n">
        <v>45657</v>
      </c>
      <c r="F243" t="n">
        <v>0</v>
      </c>
      <c r="G243" t="inlineStr">
        <is>
          <t>O</t>
        </is>
      </c>
      <c r="H243" s="7" t="n">
        <v>45688</v>
      </c>
    </row>
    <row r="244">
      <c r="A244" t="b">
        <v>1</v>
      </c>
      <c r="B244" t="inlineStr">
        <is>
          <t>Block O</t>
        </is>
      </c>
      <c r="C244">
        <f>IF(A244=FALSE, 1,SUMIFS('Cashflow Projection'!$C$50:$C$62, 'Cashflow Projection'!$B$33:$B$45, 'Updated Construction'!G244))</f>
        <v/>
      </c>
      <c r="D244" t="b">
        <v>0</v>
      </c>
      <c r="E244" s="7" t="n">
        <v>45688</v>
      </c>
      <c r="F244" t="n">
        <v>0</v>
      </c>
      <c r="G244" t="inlineStr">
        <is>
          <t>O</t>
        </is>
      </c>
      <c r="H244" s="7" t="n">
        <v>45747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1072BA"/>
    <outlinePr summaryBelow="1" summaryRight="1"/>
    <pageSetUpPr/>
  </sheetPr>
  <dimension ref="A1:Z290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Sales</t>
        </is>
      </c>
    </row>
    <row r="2">
      <c r="I2" s="1">
        <f>SUBTOTAL(9,I5:I290)</f>
        <v/>
      </c>
      <c r="J2" s="1">
        <f>SUBTOTAL(9,J5:J290)</f>
        <v/>
      </c>
      <c r="K2" s="1">
        <f>SUBTOTAL(9,K5:K290)</f>
        <v/>
      </c>
      <c r="L2" s="1">
        <f>SUBTOTAL(9,L5:L290)</f>
        <v/>
      </c>
      <c r="M2" s="1">
        <f>SUBTOTAL(9,M5:M290)</f>
        <v/>
      </c>
      <c r="N2" s="1">
        <f>SUBTOTAL(9,N5:N290)</f>
        <v/>
      </c>
      <c r="O2" s="1">
        <f>SUBTOTAL(9,O5:O290)</f>
        <v/>
      </c>
      <c r="P2" s="1">
        <f>SUBTOTAL(9,P5:P290)</f>
        <v/>
      </c>
      <c r="Q2" s="1">
        <f>SUBTOTAL(9,Q5:Q290)</f>
        <v/>
      </c>
      <c r="R2" s="1">
        <f>SUBTOTAL(9,R5:R290)</f>
        <v/>
      </c>
      <c r="S2" s="1">
        <f>SUBTOTAL(9,S5:S290)</f>
        <v/>
      </c>
    </row>
    <row r="4">
      <c r="A4" s="2" t="inlineStr">
        <is>
          <t>Category</t>
        </is>
      </c>
      <c r="B4" s="2" t="inlineStr">
        <is>
          <t>Block</t>
        </is>
      </c>
      <c r="C4" s="2" t="inlineStr">
        <is>
          <t>Opportunity Code</t>
        </is>
      </c>
      <c r="D4" s="2" t="inlineStr">
        <is>
          <t>Sold</t>
        </is>
      </c>
      <c r="E4" s="2" t="inlineStr">
        <is>
          <t>Transferred</t>
        </is>
      </c>
      <c r="F4" s="2" t="inlineStr">
        <is>
          <t>Complete Build</t>
        </is>
      </c>
      <c r="G4" s="2" t="inlineStr">
        <is>
          <t>Original Planned Transfer Date</t>
        </is>
      </c>
      <c r="H4" s="2" t="inlineStr">
        <is>
          <t>Forecast Transfer Date</t>
        </is>
      </c>
      <c r="I4" s="2" t="inlineStr">
        <is>
          <t>Sale Price</t>
        </is>
      </c>
      <c r="J4" s="2" t="inlineStr">
        <is>
          <t>Vat</t>
        </is>
      </c>
      <c r="K4" s="2" t="inlineStr">
        <is>
          <t>Nett</t>
        </is>
      </c>
      <c r="L4" s="2" t="inlineStr">
        <is>
          <t>Opportunity Transfer Fees</t>
        </is>
      </c>
      <c r="M4" s="2" t="inlineStr">
        <is>
          <t>Opportunity Trust Release Fee</t>
        </is>
      </c>
      <c r="N4" s="2" t="inlineStr">
        <is>
          <t>Opportunity Unforseen</t>
        </is>
      </c>
      <c r="O4" s="2" t="inlineStr">
        <is>
          <t>Opportunity Commission</t>
        </is>
      </c>
      <c r="P4" s="2" t="inlineStr">
        <is>
          <t>Opportunity Bond Registration</t>
        </is>
      </c>
      <c r="Q4" s="2" t="inlineStr">
        <is>
          <t>Transfer Income</t>
        </is>
      </c>
      <c r="R4" s="2" t="inlineStr">
        <is>
          <t>Due To Investors</t>
        </is>
      </c>
      <c r="S4" s="2" t="inlineStr">
        <is>
          <t>Profit Loss</t>
        </is>
      </c>
      <c r="T4" s="2" t="inlineStr">
        <is>
          <t>Refinanced</t>
        </is>
      </c>
      <c r="U4" s="2" t="inlineStr">
        <is>
          <t>Vat Date</t>
        </is>
      </c>
      <c r="V4" s="2" t="inlineStr">
        <is>
          <t>Refanced Value</t>
        </is>
      </c>
      <c r="W4" t="inlineStr">
        <is>
          <t>New Forecast Date</t>
        </is>
      </c>
      <c r="X4" t="inlineStr">
        <is>
          <t>New VAT Date</t>
        </is>
      </c>
      <c r="Y4" t="inlineStr">
        <is>
          <t>VAT Recovery Date</t>
        </is>
      </c>
      <c r="Z4" t="inlineStr">
        <is>
          <t>Sales Toggle</t>
        </is>
      </c>
    </row>
    <row r="5">
      <c r="A5" s="3" t="inlineStr">
        <is>
          <t>Endulini</t>
        </is>
      </c>
      <c r="B5" s="3" t="inlineStr">
        <is>
          <t>A</t>
        </is>
      </c>
      <c r="C5" s="3" t="inlineStr">
        <is>
          <t>EA209</t>
        </is>
      </c>
      <c r="D5" s="3" t="b">
        <v>1</v>
      </c>
      <c r="E5" s="3" t="b">
        <v>1</v>
      </c>
      <c r="F5" s="3">
        <f>IF(OR(Z5=TRUE,SUMIFS('Cashflow Projection'!$E$119:$E$151,'Cashflow Projection'!$D$119:$D$151,Sales!C5)=1),0,SUMIFS('Cashflow Projection'!$C$7:$C$23,'Cashflow Projection'!$B$7:$B$23,Sales!B5,'Cashflow Projection'!$A$7:$A$23,Sales!A5))</f>
        <v/>
      </c>
      <c r="G5" s="4" t="n">
        <v>45259</v>
      </c>
      <c r="H5" s="4" t="n">
        <v>45688</v>
      </c>
      <c r="I5" s="3" t="n">
        <v>1549900</v>
      </c>
      <c r="J5" s="3" t="n">
        <v>202160.8695652174</v>
      </c>
      <c r="K5" s="3" t="n">
        <v>1347739.130434783</v>
      </c>
      <c r="L5" s="3" t="n">
        <v>18502.08</v>
      </c>
      <c r="M5" s="3" t="n">
        <v>1789</v>
      </c>
      <c r="N5" s="3" t="n">
        <v>7749.5</v>
      </c>
      <c r="O5" s="3" t="n">
        <v>77495</v>
      </c>
      <c r="P5" s="3" t="n">
        <v>19224.37</v>
      </c>
      <c r="Q5" s="9">
        <f>K5-SUM(L5:P5)</f>
        <v/>
      </c>
      <c r="R5" s="10">
        <f>IF($F5=1,((SUMIFS(Investors!$M:$M,Investors!$E:$E,Sales!$C5,Investors!$O:$O,FALSE)+SUMIFS(Investors!$S:$S,Investors!$E:$E,Sales!$C5,Investors!$O:$O,FALSE))*$F5)-SUMIFS('Investor Exit List'!$Q:$Q,'Investor Exit List'!$Y:$Y,1,'Investor Exit List'!$Z:$Z,"Release",'Investor Exit List'!$C:$C,Sales!$C5),(SUMIFS(Investors!$M:$M,Investors!$E:$E,Sales!$C5,Investors!$O:$O,FALSE)+SUMIFS(Investors!$S:$S,Investors!$E:$E,Sales!$C5,Investors!$O:$O,FALSE))*$F5)</f>
        <v/>
      </c>
      <c r="S5" s="10">
        <f>IF(T5=FALSE,Q5-R5,+V5)</f>
        <v/>
      </c>
      <c r="T5" s="3">
        <f>IF(SUMIFS('Cashflow Projection'!$E$119:$E$151,'Cashflow Projection'!$D$119:$D$151,Sales!C5)&lt;&gt;0,TRUE,FALSE)</f>
        <v/>
      </c>
      <c r="U5" s="4" t="n">
        <v>45747</v>
      </c>
      <c r="V5" s="10" t="n">
        <v>285658.2006849311</v>
      </c>
      <c r="W5" s="11">
        <f>IF(SUMIFS('Cashflow Projection'!$E$119:$E$151,'Cashflow Projection'!$D$119:$D$151,Sales!C5)=1,SUMIFS('Cashflow Projection'!$C$119:$C$151,'Cashflow Projection'!$D$119:$D$151,Sales!C5),+Sales!H5)</f>
        <v/>
      </c>
      <c r="X5" s="11">
        <f>IF(MOD(MONTH(W5), 2) &lt;&gt; 0, EOMONTH(W5, 2), EOMONTH(W5, 1))</f>
        <v/>
      </c>
      <c r="Y5" s="11">
        <f>EOMONTH(X5,1)</f>
        <v/>
      </c>
      <c r="Z5" t="b">
        <v>0</v>
      </c>
    </row>
    <row r="6">
      <c r="A6" s="3" t="inlineStr">
        <is>
          <t>Endulini</t>
        </is>
      </c>
      <c r="B6" s="3" t="inlineStr">
        <is>
          <t>A</t>
        </is>
      </c>
      <c r="C6" s="3" t="inlineStr">
        <is>
          <t>EA201</t>
        </is>
      </c>
      <c r="D6" s="3" t="b">
        <v>0</v>
      </c>
      <c r="E6" s="3" t="b">
        <v>0</v>
      </c>
      <c r="F6" s="3">
        <f>IF(OR(Z6=TRUE,SUMIFS('Cashflow Projection'!$E$119:$E$151,'Cashflow Projection'!$D$119:$D$151,Sales!C6)=1),0,SUMIFS('Cashflow Projection'!$C$7:$C$23,'Cashflow Projection'!$B$7:$B$23,Sales!B6,'Cashflow Projection'!$A$7:$A$23,Sales!A6))</f>
        <v/>
      </c>
      <c r="G6" s="4" t="n">
        <v>45442</v>
      </c>
      <c r="H6" s="4" t="n">
        <v>45427</v>
      </c>
      <c r="I6" s="3" t="n">
        <v>1499900</v>
      </c>
      <c r="J6" s="3" t="n">
        <v>0</v>
      </c>
      <c r="K6" s="3" t="n">
        <v>1304260.869565218</v>
      </c>
      <c r="L6" s="3" t="n">
        <v>18502.08</v>
      </c>
      <c r="M6" s="3" t="n">
        <v>1789</v>
      </c>
      <c r="N6" s="3" t="n">
        <v>7499.5</v>
      </c>
      <c r="O6" s="3" t="n">
        <v>74995</v>
      </c>
      <c r="P6" s="3" t="n">
        <v>19224.37</v>
      </c>
      <c r="Q6" s="9">
        <f>K6-SUM(L6:P6)</f>
        <v/>
      </c>
      <c r="R6" s="10">
        <f>IF($F6=1,((SUMIFS(Investors!$M:$M,Investors!$E:$E,Sales!$C6,Investors!$O:$O,FALSE)+SUMIFS(Investors!$S:$S,Investors!$E:$E,Sales!$C6,Investors!$O:$O,FALSE))*$F6)-SUMIFS('Investor Exit List'!$Q:$Q,'Investor Exit List'!$Y:$Y,1,'Investor Exit List'!$Z:$Z,"Release",'Investor Exit List'!$C:$C,Sales!$C6),(SUMIFS(Investors!$M:$M,Investors!$E:$E,Sales!$C6,Investors!$O:$O,FALSE)+SUMIFS(Investors!$S:$S,Investors!$E:$E,Sales!$C6,Investors!$O:$O,FALSE))*$F6)</f>
        <v/>
      </c>
      <c r="S6" s="10">
        <f>IF(T6=FALSE,Q6-R6,+V6)</f>
        <v/>
      </c>
      <c r="T6" s="3">
        <f>IF(SUMIFS('Cashflow Projection'!$E$119:$E$151,'Cashflow Projection'!$D$119:$D$151,Sales!C6)&lt;&gt;0,TRUE,FALSE)</f>
        <v/>
      </c>
      <c r="U6" s="4" t="n">
        <v>45504</v>
      </c>
      <c r="V6" s="10" t="n">
        <v>824500</v>
      </c>
      <c r="W6" s="11">
        <f>IF(SUMIFS('Cashflow Projection'!$E$119:$E$151,'Cashflow Projection'!$D$119:$D$151,Sales!C6)=1,SUMIFS('Cashflow Projection'!$C$119:$C$151,'Cashflow Projection'!$D$119:$D$151,Sales!C6),+Sales!H6)</f>
        <v/>
      </c>
      <c r="X6" s="11">
        <f>IF(MOD(MONTH(W6), 2) &lt;&gt; 0, EOMONTH(W6, 2), EOMONTH(W6, 1))</f>
        <v/>
      </c>
      <c r="Y6" s="11">
        <f>EOMONTH(X6,1)</f>
        <v/>
      </c>
      <c r="Z6" t="b">
        <v>0</v>
      </c>
    </row>
    <row r="7">
      <c r="A7" s="3" t="inlineStr">
        <is>
          <t>Endulini</t>
        </is>
      </c>
      <c r="B7" s="3" t="inlineStr">
        <is>
          <t>A</t>
        </is>
      </c>
      <c r="C7" s="3" t="inlineStr">
        <is>
          <t>EA202</t>
        </is>
      </c>
      <c r="D7" s="3" t="b">
        <v>1</v>
      </c>
      <c r="E7" s="3" t="b">
        <v>1</v>
      </c>
      <c r="F7" s="3">
        <f>IF(OR(Z7=TRUE,SUMIFS('Cashflow Projection'!$E$119:$E$151,'Cashflow Projection'!$D$119:$D$151,Sales!C7)=1),0,SUMIFS('Cashflow Projection'!$C$7:$C$23,'Cashflow Projection'!$B$7:$B$23,Sales!B7,'Cashflow Projection'!$A$7:$A$23,Sales!A7))</f>
        <v/>
      </c>
      <c r="G7" s="4" t="n">
        <v>45272</v>
      </c>
      <c r="H7" s="4" t="n">
        <v>45688</v>
      </c>
      <c r="I7" s="3" t="n">
        <v>1579900</v>
      </c>
      <c r="J7" s="3" t="n">
        <v>206073.9130434782</v>
      </c>
      <c r="K7" s="3" t="n">
        <v>1373826.086956522</v>
      </c>
      <c r="L7" s="3" t="n">
        <v>18502.08</v>
      </c>
      <c r="M7" s="3" t="n">
        <v>1789</v>
      </c>
      <c r="N7" s="3" t="n">
        <v>7899.5</v>
      </c>
      <c r="O7" s="3" t="n">
        <v>78995</v>
      </c>
      <c r="P7" s="3" t="n">
        <v>19224.37</v>
      </c>
      <c r="Q7" s="9">
        <f>K7-SUM(L7:P7)</f>
        <v/>
      </c>
      <c r="R7" s="10">
        <f>IF($F7=1,((SUMIFS(Investors!$M:$M,Investors!$E:$E,Sales!$C7,Investors!$O:$O,FALSE)+SUMIFS(Investors!$S:$S,Investors!$E:$E,Sales!$C7,Investors!$O:$O,FALSE))*$F7)-SUMIFS('Investor Exit List'!$Q:$Q,'Investor Exit List'!$Y:$Y,1,'Investor Exit List'!$Z:$Z,"Release",'Investor Exit List'!$C:$C,Sales!$C7),(SUMIFS(Investors!$M:$M,Investors!$E:$E,Sales!$C7,Investors!$O:$O,FALSE)+SUMIFS(Investors!$S:$S,Investors!$E:$E,Sales!$C7,Investors!$O:$O,FALSE))*$F7)</f>
        <v/>
      </c>
      <c r="S7" s="10">
        <f>IF(T7=FALSE,Q7-R7,+V7)</f>
        <v/>
      </c>
      <c r="T7" s="3">
        <f>IF(SUMIFS('Cashflow Projection'!$E$119:$E$151,'Cashflow Projection'!$D$119:$D$151,Sales!C7)&lt;&gt;0,TRUE,FALSE)</f>
        <v/>
      </c>
      <c r="U7" s="4" t="n">
        <v>45747</v>
      </c>
      <c r="V7" s="10" t="n">
        <v>190757.1732876711</v>
      </c>
      <c r="W7" s="11">
        <f>IF(SUMIFS('Cashflow Projection'!$E$119:$E$151,'Cashflow Projection'!$D$119:$D$151,Sales!C7)=1,SUMIFS('Cashflow Projection'!$C$119:$C$151,'Cashflow Projection'!$D$119:$D$151,Sales!C7),+Sales!H7)</f>
        <v/>
      </c>
      <c r="X7" s="11">
        <f>IF(MOD(MONTH(W7), 2) &lt;&gt; 0, EOMONTH(W7, 2), EOMONTH(W7, 1))</f>
        <v/>
      </c>
      <c r="Y7" s="11">
        <f>EOMONTH(X7,1)</f>
        <v/>
      </c>
      <c r="Z7" t="b">
        <v>0</v>
      </c>
    </row>
    <row r="8">
      <c r="A8" s="3" t="inlineStr">
        <is>
          <t>Endulini</t>
        </is>
      </c>
      <c r="B8" s="3" t="inlineStr">
        <is>
          <t>E</t>
        </is>
      </c>
      <c r="C8" s="3" t="inlineStr">
        <is>
          <t>EE202</t>
        </is>
      </c>
      <c r="D8" s="3" t="b">
        <v>1</v>
      </c>
      <c r="E8" s="3" t="b">
        <v>1</v>
      </c>
      <c r="F8" s="3">
        <f>IF(OR(Z8=TRUE,SUMIFS('Cashflow Projection'!$E$119:$E$151,'Cashflow Projection'!$D$119:$D$151,Sales!C8)=1),0,SUMIFS('Cashflow Projection'!$C$7:$C$23,'Cashflow Projection'!$B$7:$B$23,Sales!B8,'Cashflow Projection'!$A$7:$A$23,Sales!A8))</f>
        <v/>
      </c>
      <c r="G8" s="4" t="n">
        <v>44690</v>
      </c>
      <c r="H8" s="4" t="n">
        <v>45688</v>
      </c>
      <c r="I8" s="3" t="n">
        <v>1479900</v>
      </c>
      <c r="J8" s="3" t="n">
        <v>193030.4347826087</v>
      </c>
      <c r="K8" s="3" t="n">
        <v>1286869.565217391</v>
      </c>
      <c r="L8" s="3" t="n">
        <v>18502.08</v>
      </c>
      <c r="M8" s="3" t="n">
        <v>1789</v>
      </c>
      <c r="N8" s="3" t="n">
        <v>7399.5</v>
      </c>
      <c r="O8" s="3" t="n">
        <v>73995</v>
      </c>
      <c r="P8" s="3" t="n">
        <v>19224.37</v>
      </c>
      <c r="Q8" s="9">
        <f>K8-SUM(L8:P8)</f>
        <v/>
      </c>
      <c r="R8" s="10">
        <f>IF($F8=1,((SUMIFS(Investors!$M:$M,Investors!$E:$E,Sales!$C8,Investors!$O:$O,FALSE)+SUMIFS(Investors!$S:$S,Investors!$E:$E,Sales!$C8,Investors!$O:$O,FALSE))*$F8)-SUMIFS('Investor Exit List'!$Q:$Q,'Investor Exit List'!$Y:$Y,1,'Investor Exit List'!$Z:$Z,"Release",'Investor Exit List'!$C:$C,Sales!$C8),(SUMIFS(Investors!$M:$M,Investors!$E:$E,Sales!$C8,Investors!$O:$O,FALSE)+SUMIFS(Investors!$S:$S,Investors!$E:$E,Sales!$C8,Investors!$O:$O,FALSE))*$F8)</f>
        <v/>
      </c>
      <c r="S8" s="10">
        <f>IF(T8=FALSE,Q8-R8,+V8)</f>
        <v/>
      </c>
      <c r="T8" s="3">
        <f>IF(SUMIFS('Cashflow Projection'!$E$119:$E$151,'Cashflow Projection'!$D$119:$D$151,Sales!C8)&lt;&gt;0,TRUE,FALSE)</f>
        <v/>
      </c>
      <c r="U8" s="4" t="n">
        <v>45747</v>
      </c>
      <c r="V8" s="10" t="n">
        <v>150393.9589598631</v>
      </c>
      <c r="W8" s="11">
        <f>IF(SUMIFS('Cashflow Projection'!$E$119:$E$151,'Cashflow Projection'!$D$119:$D$151,Sales!C8)=1,SUMIFS('Cashflow Projection'!$C$119:$C$151,'Cashflow Projection'!$D$119:$D$151,Sales!C8),+Sales!H8)</f>
        <v/>
      </c>
      <c r="X8" s="11">
        <f>IF(MOD(MONTH(W8), 2) &lt;&gt; 0, EOMONTH(W8, 2), EOMONTH(W8, 1))</f>
        <v/>
      </c>
      <c r="Y8" s="11">
        <f>EOMONTH(X8,1)</f>
        <v/>
      </c>
      <c r="Z8" t="b">
        <v>0</v>
      </c>
    </row>
    <row r="9">
      <c r="A9" s="3" t="inlineStr">
        <is>
          <t>Endulini</t>
        </is>
      </c>
      <c r="B9" s="3" t="inlineStr">
        <is>
          <t>E</t>
        </is>
      </c>
      <c r="C9" s="3" t="inlineStr">
        <is>
          <t>EE102</t>
        </is>
      </c>
      <c r="D9" s="3" t="b">
        <v>1</v>
      </c>
      <c r="E9" s="3" t="b">
        <v>1</v>
      </c>
      <c r="F9" s="3">
        <f>IF(OR(Z9=TRUE,SUMIFS('Cashflow Projection'!$E$119:$E$151,'Cashflow Projection'!$D$119:$D$151,Sales!C9)=1),0,SUMIFS('Cashflow Projection'!$C$7:$C$23,'Cashflow Projection'!$B$7:$B$23,Sales!B9,'Cashflow Projection'!$A$7:$A$23,Sales!A9))</f>
        <v/>
      </c>
      <c r="G9" s="4" t="n">
        <v>44657</v>
      </c>
      <c r="H9" s="4" t="n">
        <v>45688</v>
      </c>
      <c r="I9" s="3" t="n">
        <v>1449900</v>
      </c>
      <c r="J9" s="3" t="n">
        <v>189117.3913043478</v>
      </c>
      <c r="K9" s="3" t="n">
        <v>1260782.608695652</v>
      </c>
      <c r="L9" s="3" t="n">
        <v>18502.08</v>
      </c>
      <c r="M9" s="3" t="n">
        <v>1789</v>
      </c>
      <c r="N9" s="3" t="n">
        <v>7249.5</v>
      </c>
      <c r="O9" s="3" t="n">
        <v>72495</v>
      </c>
      <c r="P9" s="3" t="n">
        <v>19224.37</v>
      </c>
      <c r="Q9" s="9">
        <f>K9-SUM(L9:P9)</f>
        <v/>
      </c>
      <c r="R9" s="10">
        <f>IF($F9=1,((SUMIFS(Investors!$M:$M,Investors!$E:$E,Sales!$C9,Investors!$O:$O,FALSE)+SUMIFS(Investors!$S:$S,Investors!$E:$E,Sales!$C9,Investors!$O:$O,FALSE))*$F9)-SUMIFS('Investor Exit List'!$Q:$Q,'Investor Exit List'!$Y:$Y,1,'Investor Exit List'!$Z:$Z,"Release",'Investor Exit List'!$C:$C,Sales!$C9),(SUMIFS(Investors!$M:$M,Investors!$E:$E,Sales!$C9,Investors!$O:$O,FALSE)+SUMIFS(Investors!$S:$S,Investors!$E:$E,Sales!$C9,Investors!$O:$O,FALSE))*$F9)</f>
        <v/>
      </c>
      <c r="S9" s="10">
        <f>IF(T9=FALSE,Q9-R9,+V9)</f>
        <v/>
      </c>
      <c r="T9" s="3">
        <f>IF(SUMIFS('Cashflow Projection'!$E$119:$E$151,'Cashflow Projection'!$D$119:$D$151,Sales!C9)&lt;&gt;0,TRUE,FALSE)</f>
        <v/>
      </c>
      <c r="U9" s="4" t="n">
        <v>45747</v>
      </c>
      <c r="V9" s="10" t="n">
        <v>166567.6572410958</v>
      </c>
      <c r="W9" s="11">
        <f>IF(SUMIFS('Cashflow Projection'!$E$119:$E$151,'Cashflow Projection'!$D$119:$D$151,Sales!C9)=1,SUMIFS('Cashflow Projection'!$C$119:$C$151,'Cashflow Projection'!$D$119:$D$151,Sales!C9),+Sales!H9)</f>
        <v/>
      </c>
      <c r="X9" s="11">
        <f>IF(MOD(MONTH(W9), 2) &lt;&gt; 0, EOMONTH(W9, 2), EOMONTH(W9, 1))</f>
        <v/>
      </c>
      <c r="Y9" s="11">
        <f>EOMONTH(X9,1)</f>
        <v/>
      </c>
      <c r="Z9" t="b">
        <v>0</v>
      </c>
    </row>
    <row r="10">
      <c r="A10" s="3" t="inlineStr">
        <is>
          <t>Endulini</t>
        </is>
      </c>
      <c r="B10" s="3" t="inlineStr">
        <is>
          <t>A</t>
        </is>
      </c>
      <c r="C10" s="3" t="inlineStr">
        <is>
          <t>EA205</t>
        </is>
      </c>
      <c r="D10" s="3" t="b">
        <v>0</v>
      </c>
      <c r="E10" s="3" t="b">
        <v>0</v>
      </c>
      <c r="F10" s="3">
        <f>IF(OR(Z10=TRUE,SUMIFS('Cashflow Projection'!$E$119:$E$151,'Cashflow Projection'!$D$119:$D$151,Sales!C10)=1),0,SUMIFS('Cashflow Projection'!$C$7:$C$23,'Cashflow Projection'!$B$7:$B$23,Sales!B10,'Cashflow Projection'!$A$7:$A$23,Sales!A10))</f>
        <v/>
      </c>
      <c r="G10" s="4" t="n">
        <v>45442</v>
      </c>
      <c r="H10" s="4" t="n">
        <v>45427</v>
      </c>
      <c r="I10" s="3" t="n">
        <v>1499900</v>
      </c>
      <c r="J10" s="3" t="n">
        <v>0</v>
      </c>
      <c r="K10" s="3" t="n">
        <v>1304260.869565218</v>
      </c>
      <c r="L10" s="3" t="n">
        <v>18502.08</v>
      </c>
      <c r="M10" s="3" t="n">
        <v>1789</v>
      </c>
      <c r="N10" s="3" t="n">
        <v>7499.5</v>
      </c>
      <c r="O10" s="3" t="n">
        <v>74995</v>
      </c>
      <c r="P10" s="3" t="n">
        <v>19224.37</v>
      </c>
      <c r="Q10" s="9">
        <f>K10-SUM(L10:P10)</f>
        <v/>
      </c>
      <c r="R10" s="10">
        <f>IF($F10=1,((SUMIFS(Investors!$M:$M,Investors!$E:$E,Sales!$C10,Investors!$O:$O,FALSE)+SUMIFS(Investors!$S:$S,Investors!$E:$E,Sales!$C10,Investors!$O:$O,FALSE))*$F10)-SUMIFS('Investor Exit List'!$Q:$Q,'Investor Exit List'!$Y:$Y,1,'Investor Exit List'!$Z:$Z,"Release",'Investor Exit List'!$C:$C,Sales!$C10),(SUMIFS(Investors!$M:$M,Investors!$E:$E,Sales!$C10,Investors!$O:$O,FALSE)+SUMIFS(Investors!$S:$S,Investors!$E:$E,Sales!$C10,Investors!$O:$O,FALSE))*$F10)</f>
        <v/>
      </c>
      <c r="S10" s="10">
        <f>IF(T10=FALSE,Q10-R10,+V10)</f>
        <v/>
      </c>
      <c r="T10" s="3">
        <f>IF(SUMIFS('Cashflow Projection'!$E$119:$E$151,'Cashflow Projection'!$D$119:$D$151,Sales!C10)&lt;&gt;0,TRUE,FALSE)</f>
        <v/>
      </c>
      <c r="U10" s="4" t="n">
        <v>45504</v>
      </c>
      <c r="V10" s="10" t="n">
        <v>902100</v>
      </c>
      <c r="W10" s="11">
        <f>IF(SUMIFS('Cashflow Projection'!$E$119:$E$151,'Cashflow Projection'!$D$119:$D$151,Sales!C10)=1,SUMIFS('Cashflow Projection'!$C$119:$C$151,'Cashflow Projection'!$D$119:$D$151,Sales!C10),+Sales!H10)</f>
        <v/>
      </c>
      <c r="X10" s="11">
        <f>IF(MOD(MONTH(W10), 2) &lt;&gt; 0, EOMONTH(W10, 2), EOMONTH(W10, 1))</f>
        <v/>
      </c>
      <c r="Y10" s="11">
        <f>EOMONTH(X10,1)</f>
        <v/>
      </c>
      <c r="Z10" t="b">
        <v>0</v>
      </c>
    </row>
    <row r="11">
      <c r="A11" s="3" t="inlineStr">
        <is>
          <t>Endulini</t>
        </is>
      </c>
      <c r="B11" s="3" t="inlineStr">
        <is>
          <t>A</t>
        </is>
      </c>
      <c r="C11" s="3" t="inlineStr">
        <is>
          <t>EA206</t>
        </is>
      </c>
      <c r="D11" s="3" t="b">
        <v>0</v>
      </c>
      <c r="E11" s="3" t="b">
        <v>0</v>
      </c>
      <c r="F11" s="3">
        <f>IF(OR(Z11=TRUE,SUMIFS('Cashflow Projection'!$E$119:$E$151,'Cashflow Projection'!$D$119:$D$151,Sales!C11)=1),0,SUMIFS('Cashflow Projection'!$C$7:$C$23,'Cashflow Projection'!$B$7:$B$23,Sales!B11,'Cashflow Projection'!$A$7:$A$23,Sales!A11))</f>
        <v/>
      </c>
      <c r="G11" s="4" t="n">
        <v>45442</v>
      </c>
      <c r="H11" s="4" t="n">
        <v>45427</v>
      </c>
      <c r="I11" s="3" t="n">
        <v>1529900</v>
      </c>
      <c r="J11" s="3" t="n">
        <v>0</v>
      </c>
      <c r="K11" s="3" t="n">
        <v>1330347.826086957</v>
      </c>
      <c r="L11" s="3" t="n">
        <v>18502.08</v>
      </c>
      <c r="M11" s="3" t="n">
        <v>1789</v>
      </c>
      <c r="N11" s="3" t="n">
        <v>7649.5</v>
      </c>
      <c r="O11" s="3" t="n">
        <v>76495</v>
      </c>
      <c r="P11" s="3" t="n">
        <v>19224.37</v>
      </c>
      <c r="Q11" s="9">
        <f>K11-SUM(L11:P11)</f>
        <v/>
      </c>
      <c r="R11" s="10">
        <f>IF($F11=1,((SUMIFS(Investors!$M:$M,Investors!$E:$E,Sales!$C11,Investors!$O:$O,FALSE)+SUMIFS(Investors!$S:$S,Investors!$E:$E,Sales!$C11,Investors!$O:$O,FALSE))*$F11)-SUMIFS('Investor Exit List'!$Q:$Q,'Investor Exit List'!$Y:$Y,1,'Investor Exit List'!$Z:$Z,"Release",'Investor Exit List'!$C:$C,Sales!$C11),(SUMIFS(Investors!$M:$M,Investors!$E:$E,Sales!$C11,Investors!$O:$O,FALSE)+SUMIFS(Investors!$S:$S,Investors!$E:$E,Sales!$C11,Investors!$O:$O,FALSE))*$F11)</f>
        <v/>
      </c>
      <c r="S11" s="10">
        <f>IF(T11=FALSE,Q11-R11,+V11)</f>
        <v/>
      </c>
      <c r="T11" s="3">
        <f>IF(SUMIFS('Cashflow Projection'!$E$119:$E$151,'Cashflow Projection'!$D$119:$D$151,Sales!C11)&lt;&gt;0,TRUE,FALSE)</f>
        <v/>
      </c>
      <c r="U11" s="4" t="n">
        <v>45504</v>
      </c>
      <c r="V11" s="10" t="n">
        <v>911800</v>
      </c>
      <c r="W11" s="11">
        <f>IF(SUMIFS('Cashflow Projection'!$E$119:$E$151,'Cashflow Projection'!$D$119:$D$151,Sales!C11)=1,SUMIFS('Cashflow Projection'!$C$119:$C$151,'Cashflow Projection'!$D$119:$D$151,Sales!C11),+Sales!H11)</f>
        <v/>
      </c>
      <c r="X11" s="11">
        <f>IF(MOD(MONTH(W11), 2) &lt;&gt; 0, EOMONTH(W11, 2), EOMONTH(W11, 1))</f>
        <v/>
      </c>
      <c r="Y11" s="11">
        <f>EOMONTH(X11,1)</f>
        <v/>
      </c>
      <c r="Z11" t="b">
        <v>0</v>
      </c>
    </row>
    <row r="12">
      <c r="A12" s="3" t="inlineStr">
        <is>
          <t>Endulini</t>
        </is>
      </c>
      <c r="B12" s="3" t="inlineStr">
        <is>
          <t>A</t>
        </is>
      </c>
      <c r="C12" s="3" t="inlineStr">
        <is>
          <t>EA105</t>
        </is>
      </c>
      <c r="D12" s="3" t="b">
        <v>1</v>
      </c>
      <c r="E12" s="3" t="b">
        <v>1</v>
      </c>
      <c r="F12" s="3">
        <f>IF(OR(Z12=TRUE,SUMIFS('Cashflow Projection'!$E$119:$E$151,'Cashflow Projection'!$D$119:$D$151,Sales!C12)=1),0,SUMIFS('Cashflow Projection'!$C$7:$C$23,'Cashflow Projection'!$B$7:$B$23,Sales!B12,'Cashflow Projection'!$A$7:$A$23,Sales!A12))</f>
        <v/>
      </c>
      <c r="G12" s="4" t="n">
        <v>44831</v>
      </c>
      <c r="H12" s="4" t="n">
        <v>45688</v>
      </c>
      <c r="I12" s="3" t="n">
        <v>1559900</v>
      </c>
      <c r="J12" s="3" t="n">
        <v>203465.2173913044</v>
      </c>
      <c r="K12" s="3" t="n">
        <v>1356434.782608696</v>
      </c>
      <c r="L12" s="3" t="n">
        <v>18502.08</v>
      </c>
      <c r="M12" s="3" t="n">
        <v>1789</v>
      </c>
      <c r="N12" s="3" t="n">
        <v>7799.5</v>
      </c>
      <c r="O12" s="3" t="n">
        <v>77995</v>
      </c>
      <c r="P12" s="3" t="n">
        <v>19224.37</v>
      </c>
      <c r="Q12" s="9">
        <f>K12-SUM(L12:P12)</f>
        <v/>
      </c>
      <c r="R12" s="10">
        <f>IF($F12=1,((SUMIFS(Investors!$M:$M,Investors!$E:$E,Sales!$C12,Investors!$O:$O,FALSE)+SUMIFS(Investors!$S:$S,Investors!$E:$E,Sales!$C12,Investors!$O:$O,FALSE))*$F12)-SUMIFS('Investor Exit List'!$Q:$Q,'Investor Exit List'!$Y:$Y,1,'Investor Exit List'!$Z:$Z,"Release",'Investor Exit List'!$C:$C,Sales!$C12),(SUMIFS(Investors!$M:$M,Investors!$E:$E,Sales!$C12,Investors!$O:$O,FALSE)+SUMIFS(Investors!$S:$S,Investors!$E:$E,Sales!$C12,Investors!$O:$O,FALSE))*$F12)</f>
        <v/>
      </c>
      <c r="S12" s="10">
        <f>IF(T12=FALSE,Q12-R12,+V12)</f>
        <v/>
      </c>
      <c r="T12" s="3">
        <f>IF(SUMIFS('Cashflow Projection'!$E$119:$E$151,'Cashflow Projection'!$D$119:$D$151,Sales!C12)&lt;&gt;0,TRUE,FALSE)</f>
        <v/>
      </c>
      <c r="U12" s="4" t="n">
        <v>45747</v>
      </c>
      <c r="V12" s="10" t="n">
        <v>220103.7486301367</v>
      </c>
      <c r="W12" s="11">
        <f>IF(SUMIFS('Cashflow Projection'!$E$119:$E$151,'Cashflow Projection'!$D$119:$D$151,Sales!C12)=1,SUMIFS('Cashflow Projection'!$C$119:$C$151,'Cashflow Projection'!$D$119:$D$151,Sales!C12),+Sales!H12)</f>
        <v/>
      </c>
      <c r="X12" s="11">
        <f>IF(MOD(MONTH(W12), 2) &lt;&gt; 0, EOMONTH(W12, 2), EOMONTH(W12, 1))</f>
        <v/>
      </c>
      <c r="Y12" s="11">
        <f>EOMONTH(X12,1)</f>
        <v/>
      </c>
      <c r="Z12" t="b">
        <v>0</v>
      </c>
    </row>
    <row r="13">
      <c r="A13" s="3" t="inlineStr">
        <is>
          <t>Endulini</t>
        </is>
      </c>
      <c r="B13" s="3" t="inlineStr">
        <is>
          <t>A</t>
        </is>
      </c>
      <c r="C13" s="3" t="inlineStr">
        <is>
          <t>EA305</t>
        </is>
      </c>
      <c r="D13" s="3" t="b">
        <v>1</v>
      </c>
      <c r="E13" s="3" t="b">
        <v>1</v>
      </c>
      <c r="F13" s="3">
        <f>IF(OR(Z13=TRUE,SUMIFS('Cashflow Projection'!$E$119:$E$151,'Cashflow Projection'!$D$119:$D$151,Sales!C13)=1),0,SUMIFS('Cashflow Projection'!$C$7:$C$23,'Cashflow Projection'!$B$7:$B$23,Sales!B13,'Cashflow Projection'!$A$7:$A$23,Sales!A13))</f>
        <v/>
      </c>
      <c r="G13" s="4" t="n">
        <v>45478</v>
      </c>
      <c r="H13" s="4" t="n">
        <v>45426</v>
      </c>
      <c r="I13" s="3" t="n">
        <v>1559900</v>
      </c>
      <c r="J13" s="3" t="n">
        <v>203465.2173913044</v>
      </c>
      <c r="K13" s="3" t="n">
        <v>1356434.782608696</v>
      </c>
      <c r="L13" s="3" t="n">
        <v>18502.08</v>
      </c>
      <c r="M13" s="3" t="n">
        <v>1789</v>
      </c>
      <c r="N13" s="3" t="n">
        <v>7799.5</v>
      </c>
      <c r="O13" s="3" t="n">
        <v>77995</v>
      </c>
      <c r="P13" s="3" t="n">
        <v>19224.37</v>
      </c>
      <c r="Q13" s="9">
        <f>K13-SUM(L13:P13)</f>
        <v/>
      </c>
      <c r="R13" s="10">
        <f>IF($F13=1,((SUMIFS(Investors!$M:$M,Investors!$E:$E,Sales!$C13,Investors!$O:$O,FALSE)+SUMIFS(Investors!$S:$S,Investors!$E:$E,Sales!$C13,Investors!$O:$O,FALSE))*$F13)-SUMIFS('Investor Exit List'!$Q:$Q,'Investor Exit List'!$Y:$Y,1,'Investor Exit List'!$Z:$Z,"Release",'Investor Exit List'!$C:$C,Sales!$C13),(SUMIFS(Investors!$M:$M,Investors!$E:$E,Sales!$C13,Investors!$O:$O,FALSE)+SUMIFS(Investors!$S:$S,Investors!$E:$E,Sales!$C13,Investors!$O:$O,FALSE))*$F13)</f>
        <v/>
      </c>
      <c r="S13" s="10">
        <f>IF(T13=FALSE,Q13-R13,+V13)</f>
        <v/>
      </c>
      <c r="T13" s="3">
        <f>IF(SUMIFS('Cashflow Projection'!$E$119:$E$151,'Cashflow Projection'!$D$119:$D$151,Sales!C13)&lt;&gt;0,TRUE,FALSE)</f>
        <v/>
      </c>
      <c r="U13" s="4" t="n">
        <v>45504</v>
      </c>
      <c r="V13" s="10" t="n">
        <v>130005.1184931505</v>
      </c>
      <c r="W13" s="11">
        <f>IF(SUMIFS('Cashflow Projection'!$E$119:$E$151,'Cashflow Projection'!$D$119:$D$151,Sales!C13)=1,SUMIFS('Cashflow Projection'!$C$119:$C$151,'Cashflow Projection'!$D$119:$D$151,Sales!C13),+Sales!H13)</f>
        <v/>
      </c>
      <c r="X13" s="11">
        <f>IF(MOD(MONTH(W13), 2) &lt;&gt; 0, EOMONTH(W13, 2), EOMONTH(W13, 1))</f>
        <v/>
      </c>
      <c r="Y13" s="11">
        <f>EOMONTH(X13,1)</f>
        <v/>
      </c>
      <c r="Z13" t="b">
        <v>0</v>
      </c>
    </row>
    <row r="14">
      <c r="A14" s="3" t="inlineStr">
        <is>
          <t>Endulini</t>
        </is>
      </c>
      <c r="B14" s="3" t="inlineStr">
        <is>
          <t>A</t>
        </is>
      </c>
      <c r="C14" s="3" t="inlineStr">
        <is>
          <t>EA101</t>
        </is>
      </c>
      <c r="D14" s="3" t="b">
        <v>1</v>
      </c>
      <c r="E14" s="3" t="b">
        <v>1</v>
      </c>
      <c r="F14" s="3">
        <f>IF(OR(Z14=TRUE,SUMIFS('Cashflow Projection'!$E$119:$E$151,'Cashflow Projection'!$D$119:$D$151,Sales!C14)=1),0,SUMIFS('Cashflow Projection'!$C$7:$C$23,'Cashflow Projection'!$B$7:$B$23,Sales!B14,'Cashflow Projection'!$A$7:$A$23,Sales!A14))</f>
        <v/>
      </c>
      <c r="G14" s="4" t="n">
        <v>44858</v>
      </c>
      <c r="H14" s="4" t="n">
        <v>45688</v>
      </c>
      <c r="I14" s="3" t="n">
        <v>1549900</v>
      </c>
      <c r="J14" s="3" t="n">
        <v>202160.8695652174</v>
      </c>
      <c r="K14" s="3" t="n">
        <v>1347739.130434783</v>
      </c>
      <c r="L14" s="3" t="n">
        <v>18502.08</v>
      </c>
      <c r="M14" s="3" t="n">
        <v>1789</v>
      </c>
      <c r="N14" s="3" t="n">
        <v>7749.5</v>
      </c>
      <c r="O14" s="3" t="n">
        <v>77495</v>
      </c>
      <c r="P14" s="3" t="n">
        <v>19224.37</v>
      </c>
      <c r="Q14" s="9">
        <f>K14-SUM(L14:P14)</f>
        <v/>
      </c>
      <c r="R14" s="10">
        <f>IF($F14=1,((SUMIFS(Investors!$M:$M,Investors!$E:$E,Sales!$C14,Investors!$O:$O,FALSE)+SUMIFS(Investors!$S:$S,Investors!$E:$E,Sales!$C14,Investors!$O:$O,FALSE))*$F14)-SUMIFS('Investor Exit List'!$Q:$Q,'Investor Exit List'!$Y:$Y,1,'Investor Exit List'!$Z:$Z,"Release",'Investor Exit List'!$C:$C,Sales!$C14),(SUMIFS(Investors!$M:$M,Investors!$E:$E,Sales!$C14,Investors!$O:$O,FALSE)+SUMIFS(Investors!$S:$S,Investors!$E:$E,Sales!$C14,Investors!$O:$O,FALSE))*$F14)</f>
        <v/>
      </c>
      <c r="S14" s="10">
        <f>IF(T14=FALSE,Q14-R14,+V14)</f>
        <v/>
      </c>
      <c r="T14" s="3">
        <f>IF(SUMIFS('Cashflow Projection'!$E$119:$E$151,'Cashflow Projection'!$D$119:$D$151,Sales!C14)&lt;&gt;0,TRUE,FALSE)</f>
        <v/>
      </c>
      <c r="U14" s="4" t="n">
        <v>45747</v>
      </c>
      <c r="V14" s="10" t="n">
        <v>224923.6116438354</v>
      </c>
      <c r="W14" s="11">
        <f>IF(SUMIFS('Cashflow Projection'!$E$119:$E$151,'Cashflow Projection'!$D$119:$D$151,Sales!C14)=1,SUMIFS('Cashflow Projection'!$C$119:$C$151,'Cashflow Projection'!$D$119:$D$151,Sales!C14),+Sales!H14)</f>
        <v/>
      </c>
      <c r="X14" s="11">
        <f>IF(MOD(MONTH(W14), 2) &lt;&gt; 0, EOMONTH(W14, 2), EOMONTH(W14, 1))</f>
        <v/>
      </c>
      <c r="Y14" s="11">
        <f>EOMONTH(X14,1)</f>
        <v/>
      </c>
      <c r="Z14" t="b">
        <v>0</v>
      </c>
    </row>
    <row r="15">
      <c r="A15" s="3" t="inlineStr">
        <is>
          <t>Endulini</t>
        </is>
      </c>
      <c r="B15" s="3" t="inlineStr">
        <is>
          <t>B</t>
        </is>
      </c>
      <c r="C15" s="3" t="inlineStr">
        <is>
          <t>EB102</t>
        </is>
      </c>
      <c r="D15" s="3" t="b">
        <v>0</v>
      </c>
      <c r="E15" s="3" t="b">
        <v>0</v>
      </c>
      <c r="F15" s="3">
        <f>IF(OR(Z15=TRUE,SUMIFS('Cashflow Projection'!$E$119:$E$151,'Cashflow Projection'!$D$119:$D$151,Sales!C15)=1),0,SUMIFS('Cashflow Projection'!$C$7:$C$23,'Cashflow Projection'!$B$7:$B$23,Sales!B15,'Cashflow Projection'!$A$7:$A$23,Sales!A15))</f>
        <v/>
      </c>
      <c r="G15" s="4" t="n">
        <v>45505</v>
      </c>
      <c r="H15" s="4" t="n">
        <v>45427</v>
      </c>
      <c r="I15" s="3" t="n">
        <v>1519900</v>
      </c>
      <c r="J15" s="3" t="n">
        <v>0</v>
      </c>
      <c r="K15" s="3" t="n">
        <v>1321652.173913044</v>
      </c>
      <c r="L15" s="3" t="n">
        <v>18502.08</v>
      </c>
      <c r="M15" s="3" t="n">
        <v>1789</v>
      </c>
      <c r="N15" s="3" t="n">
        <v>7599.5</v>
      </c>
      <c r="O15" s="3" t="n">
        <v>75995</v>
      </c>
      <c r="P15" s="3" t="n">
        <v>19224.37</v>
      </c>
      <c r="Q15" s="9">
        <f>K15-SUM(L15:P15)</f>
        <v/>
      </c>
      <c r="R15" s="10">
        <f>IF($F15=1,((SUMIFS(Investors!$M:$M,Investors!$E:$E,Sales!$C15,Investors!$O:$O,FALSE)+SUMIFS(Investors!$S:$S,Investors!$E:$E,Sales!$C15,Investors!$O:$O,FALSE))*$F15)-SUMIFS('Investor Exit List'!$Q:$Q,'Investor Exit List'!$Y:$Y,1,'Investor Exit List'!$Z:$Z,"Release",'Investor Exit List'!$C:$C,Sales!$C15),(SUMIFS(Investors!$M:$M,Investors!$E:$E,Sales!$C15,Investors!$O:$O,FALSE)+SUMIFS(Investors!$S:$S,Investors!$E:$E,Sales!$C15,Investors!$O:$O,FALSE))*$F15)</f>
        <v/>
      </c>
      <c r="S15" s="10">
        <f>IF(T15=FALSE,Q15-R15,+V15)</f>
        <v/>
      </c>
      <c r="T15" s="3">
        <f>IF(SUMIFS('Cashflow Projection'!$E$119:$E$151,'Cashflow Projection'!$D$119:$D$151,Sales!C15)&lt;&gt;0,TRUE,FALSE)</f>
        <v/>
      </c>
      <c r="U15" s="4" t="n">
        <v>45504</v>
      </c>
      <c r="V15" s="10" t="n">
        <v>911800</v>
      </c>
      <c r="W15" s="11">
        <f>IF(SUMIFS('Cashflow Projection'!$E$119:$E$151,'Cashflow Projection'!$D$119:$D$151,Sales!C15)=1,SUMIFS('Cashflow Projection'!$C$119:$C$151,'Cashflow Projection'!$D$119:$D$151,Sales!C15),+Sales!H15)</f>
        <v/>
      </c>
      <c r="X15" s="11">
        <f>IF(MOD(MONTH(W15), 2) &lt;&gt; 0, EOMONTH(W15, 2), EOMONTH(W15, 1))</f>
        <v/>
      </c>
      <c r="Y15" s="11">
        <f>EOMONTH(X15,1)</f>
        <v/>
      </c>
      <c r="Z15" t="b">
        <v>0</v>
      </c>
    </row>
    <row r="16">
      <c r="A16" s="3" t="inlineStr">
        <is>
          <t>Endulini</t>
        </is>
      </c>
      <c r="B16" s="3" t="inlineStr">
        <is>
          <t>D</t>
        </is>
      </c>
      <c r="C16" s="3" t="inlineStr">
        <is>
          <t>ED302</t>
        </is>
      </c>
      <c r="D16" s="3" t="b">
        <v>1</v>
      </c>
      <c r="E16" s="3" t="b">
        <v>1</v>
      </c>
      <c r="F16" s="3">
        <f>IF(OR(Z16=TRUE,SUMIFS('Cashflow Projection'!$E$119:$E$151,'Cashflow Projection'!$D$119:$D$151,Sales!C16)=1),0,SUMIFS('Cashflow Projection'!$C$7:$C$23,'Cashflow Projection'!$B$7:$B$23,Sales!B16,'Cashflow Projection'!$A$7:$A$23,Sales!A16))</f>
        <v/>
      </c>
      <c r="G16" s="4" t="n">
        <v>44732</v>
      </c>
      <c r="H16" s="4" t="n">
        <v>45688</v>
      </c>
      <c r="I16" s="3" t="n">
        <v>1424900</v>
      </c>
      <c r="J16" s="3" t="n">
        <v>185856.5217391304</v>
      </c>
      <c r="K16" s="3" t="n">
        <v>1239043.47826087</v>
      </c>
      <c r="L16" s="3" t="n">
        <v>18502.08</v>
      </c>
      <c r="M16" s="3" t="n">
        <v>1789</v>
      </c>
      <c r="N16" s="3" t="n">
        <v>7124.5</v>
      </c>
      <c r="O16" s="3" t="n">
        <v>71245</v>
      </c>
      <c r="P16" s="3" t="n">
        <v>19224.37</v>
      </c>
      <c r="Q16" s="9">
        <f>K16-SUM(L16:P16)</f>
        <v/>
      </c>
      <c r="R16" s="10">
        <f>IF($F16=1,((SUMIFS(Investors!$M:$M,Investors!$E:$E,Sales!$C16,Investors!$O:$O,FALSE)+SUMIFS(Investors!$S:$S,Investors!$E:$E,Sales!$C16,Investors!$O:$O,FALSE))*$F16)-SUMIFS('Investor Exit List'!$Q:$Q,'Investor Exit List'!$Y:$Y,1,'Investor Exit List'!$Z:$Z,"Release",'Investor Exit List'!$C:$C,Sales!$C16),(SUMIFS(Investors!$M:$M,Investors!$E:$E,Sales!$C16,Investors!$O:$O,FALSE)+SUMIFS(Investors!$S:$S,Investors!$E:$E,Sales!$C16,Investors!$O:$O,FALSE))*$F16)</f>
        <v/>
      </c>
      <c r="S16" s="10">
        <f>IF(T16=FALSE,Q16-R16,+V16)</f>
        <v/>
      </c>
      <c r="T16" s="3">
        <f>IF(SUMIFS('Cashflow Projection'!$E$119:$E$151,'Cashflow Projection'!$D$119:$D$151,Sales!C16)&lt;&gt;0,TRUE,FALSE)</f>
        <v/>
      </c>
      <c r="U16" s="4" t="n">
        <v>45747</v>
      </c>
      <c r="V16" s="10" t="n">
        <v>63234.22808219166</v>
      </c>
      <c r="W16" s="11">
        <f>IF(SUMIFS('Cashflow Projection'!$E$119:$E$151,'Cashflow Projection'!$D$119:$D$151,Sales!C16)=1,SUMIFS('Cashflow Projection'!$C$119:$C$151,'Cashflow Projection'!$D$119:$D$151,Sales!C16),+Sales!H16)</f>
        <v/>
      </c>
      <c r="X16" s="11">
        <f>IF(MOD(MONTH(W16), 2) &lt;&gt; 0, EOMONTH(W16, 2), EOMONTH(W16, 1))</f>
        <v/>
      </c>
      <c r="Y16" s="11">
        <f>EOMONTH(X16,1)</f>
        <v/>
      </c>
      <c r="Z16" t="b">
        <v>0</v>
      </c>
    </row>
    <row r="17">
      <c r="A17" s="3" t="inlineStr">
        <is>
          <t>Endulini</t>
        </is>
      </c>
      <c r="B17" s="3" t="inlineStr">
        <is>
          <t>D</t>
        </is>
      </c>
      <c r="C17" s="3" t="inlineStr">
        <is>
          <t>ED303</t>
        </is>
      </c>
      <c r="D17" s="3" t="b">
        <v>1</v>
      </c>
      <c r="E17" s="3" t="b">
        <v>1</v>
      </c>
      <c r="F17" s="3">
        <f>IF(OR(Z17=TRUE,SUMIFS('Cashflow Projection'!$E$119:$E$151,'Cashflow Projection'!$D$119:$D$151,Sales!C17)=1),0,SUMIFS('Cashflow Projection'!$C$7:$C$23,'Cashflow Projection'!$B$7:$B$23,Sales!B17,'Cashflow Projection'!$A$7:$A$23,Sales!A17))</f>
        <v/>
      </c>
      <c r="G17" s="4" t="n">
        <v>44704</v>
      </c>
      <c r="H17" s="4" t="n">
        <v>45688</v>
      </c>
      <c r="I17" s="3" t="n">
        <v>1299900</v>
      </c>
      <c r="J17" s="3" t="n">
        <v>169552.1739130435</v>
      </c>
      <c r="K17" s="3" t="n">
        <v>1130347.826086957</v>
      </c>
      <c r="L17" s="3" t="n">
        <v>18502.08</v>
      </c>
      <c r="M17" s="3" t="n">
        <v>1789</v>
      </c>
      <c r="N17" s="3" t="n">
        <v>6499.5</v>
      </c>
      <c r="O17" s="3" t="n">
        <v>64995</v>
      </c>
      <c r="P17" s="3" t="n">
        <v>19224.37</v>
      </c>
      <c r="Q17" s="9">
        <f>K17-SUM(L17:P17)</f>
        <v/>
      </c>
      <c r="R17" s="10">
        <f>IF($F17=1,((SUMIFS(Investors!$M:$M,Investors!$E:$E,Sales!$C17,Investors!$O:$O,FALSE)+SUMIFS(Investors!$S:$S,Investors!$E:$E,Sales!$C17,Investors!$O:$O,FALSE))*$F17)-SUMIFS('Investor Exit List'!$Q:$Q,'Investor Exit List'!$Y:$Y,1,'Investor Exit List'!$Z:$Z,"Release",'Investor Exit List'!$C:$C,Sales!$C17),(SUMIFS(Investors!$M:$M,Investors!$E:$E,Sales!$C17,Investors!$O:$O,FALSE)+SUMIFS(Investors!$S:$S,Investors!$E:$E,Sales!$C17,Investors!$O:$O,FALSE))*$F17)</f>
        <v/>
      </c>
      <c r="S17" s="10">
        <f>IF(T17=FALSE,Q17-R17,+V17)</f>
        <v/>
      </c>
      <c r="T17" s="3">
        <f>IF(SUMIFS('Cashflow Projection'!$E$119:$E$151,'Cashflow Projection'!$D$119:$D$151,Sales!C17)&lt;&gt;0,TRUE,FALSE)</f>
        <v/>
      </c>
      <c r="U17" s="4" t="n">
        <v>45747</v>
      </c>
      <c r="V17" s="10" t="n">
        <v>-41082.55273972615</v>
      </c>
      <c r="W17" s="11">
        <f>IF(SUMIFS('Cashflow Projection'!$E$119:$E$151,'Cashflow Projection'!$D$119:$D$151,Sales!C17)=1,SUMIFS('Cashflow Projection'!$C$119:$C$151,'Cashflow Projection'!$D$119:$D$151,Sales!C17),+Sales!H17)</f>
        <v/>
      </c>
      <c r="X17" s="11">
        <f>IF(MOD(MONTH(W17), 2) &lt;&gt; 0, EOMONTH(W17, 2), EOMONTH(W17, 1))</f>
        <v/>
      </c>
      <c r="Y17" s="11">
        <f>EOMONTH(X17,1)</f>
        <v/>
      </c>
      <c r="Z17" t="b">
        <v>0</v>
      </c>
    </row>
    <row r="18">
      <c r="A18" s="3" t="inlineStr">
        <is>
          <t>Endulini</t>
        </is>
      </c>
      <c r="B18" s="3" t="inlineStr">
        <is>
          <t>F</t>
        </is>
      </c>
      <c r="C18" s="3" t="inlineStr">
        <is>
          <t>EF103</t>
        </is>
      </c>
      <c r="D18" s="3" t="b">
        <v>1</v>
      </c>
      <c r="E18" s="3" t="b">
        <v>1</v>
      </c>
      <c r="F18" s="3">
        <f>IF(OR(Z18=TRUE,SUMIFS('Cashflow Projection'!$E$119:$E$151,'Cashflow Projection'!$D$119:$D$151,Sales!C18)=1),0,SUMIFS('Cashflow Projection'!$C$7:$C$23,'Cashflow Projection'!$B$7:$B$23,Sales!B18,'Cashflow Projection'!$A$7:$A$23,Sales!A18))</f>
        <v/>
      </c>
      <c r="G18" s="4" t="n">
        <v>44711</v>
      </c>
      <c r="H18" s="4" t="n">
        <v>45688</v>
      </c>
      <c r="I18" s="3" t="n">
        <v>1479000</v>
      </c>
      <c r="J18" s="3" t="n">
        <v>192913.0434782609</v>
      </c>
      <c r="K18" s="3" t="n">
        <v>1286086.956521739</v>
      </c>
      <c r="L18" s="3" t="n">
        <v>18502.08</v>
      </c>
      <c r="M18" s="3" t="n">
        <v>1789</v>
      </c>
      <c r="N18" s="3" t="n">
        <v>7395</v>
      </c>
      <c r="O18" s="3" t="n">
        <v>73950</v>
      </c>
      <c r="P18" s="3" t="n">
        <v>19224.37</v>
      </c>
      <c r="Q18" s="9">
        <f>K18-SUM(L18:P18)</f>
        <v/>
      </c>
      <c r="R18" s="10">
        <f>IF($F18=1,((SUMIFS(Investors!$M:$M,Investors!$E:$E,Sales!$C18,Investors!$O:$O,FALSE)+SUMIFS(Investors!$S:$S,Investors!$E:$E,Sales!$C18,Investors!$O:$O,FALSE))*$F18)-SUMIFS('Investor Exit List'!$Q:$Q,'Investor Exit List'!$Y:$Y,1,'Investor Exit List'!$Z:$Z,"Release",'Investor Exit List'!$C:$C,Sales!$C18),(SUMIFS(Investors!$M:$M,Investors!$E:$E,Sales!$C18,Investors!$O:$O,FALSE)+SUMIFS(Investors!$S:$S,Investors!$E:$E,Sales!$C18,Investors!$O:$O,FALSE))*$F18)</f>
        <v/>
      </c>
      <c r="S18" s="10">
        <f>IF(T18=FALSE,Q18-R18,+V18)</f>
        <v/>
      </c>
      <c r="T18" s="3">
        <f>IF(SUMIFS('Cashflow Projection'!$E$119:$E$151,'Cashflow Projection'!$D$119:$D$151,Sales!C18)&lt;&gt;0,TRUE,FALSE)</f>
        <v/>
      </c>
      <c r="U18" s="4" t="n">
        <v>45747</v>
      </c>
      <c r="V18" s="10" t="n">
        <v>147455.6225892464</v>
      </c>
      <c r="W18" s="11">
        <f>IF(SUMIFS('Cashflow Projection'!$E$119:$E$151,'Cashflow Projection'!$D$119:$D$151,Sales!C18)=1,SUMIFS('Cashflow Projection'!$C$119:$C$151,'Cashflow Projection'!$D$119:$D$151,Sales!C18),+Sales!H18)</f>
        <v/>
      </c>
      <c r="X18" s="11">
        <f>IF(MOD(MONTH(W18), 2) &lt;&gt; 0, EOMONTH(W18, 2), EOMONTH(W18, 1))</f>
        <v/>
      </c>
      <c r="Y18" s="11">
        <f>EOMONTH(X18,1)</f>
        <v/>
      </c>
      <c r="Z18" t="b">
        <v>0</v>
      </c>
    </row>
    <row r="19">
      <c r="A19" s="3" t="inlineStr">
        <is>
          <t>Heron Fields</t>
        </is>
      </c>
      <c r="B19" s="3" t="inlineStr">
        <is>
          <t>A</t>
        </is>
      </c>
      <c r="C19" s="3" t="inlineStr">
        <is>
          <t>HFA201</t>
        </is>
      </c>
      <c r="D19" s="3" t="b">
        <v>1</v>
      </c>
      <c r="E19" s="3" t="b">
        <v>1</v>
      </c>
      <c r="F19" s="3">
        <f>IF(OR(Z19=TRUE,SUMIFS('Cashflow Projection'!$E$119:$E$151,'Cashflow Projection'!$D$119:$D$151,Sales!C19)=1),0,SUMIFS('Cashflow Projection'!$C$7:$C$23,'Cashflow Projection'!$B$7:$B$23,Sales!B19,'Cashflow Projection'!$A$7:$A$23,Sales!A19))</f>
        <v/>
      </c>
      <c r="G19" s="4" t="n">
        <v>44887</v>
      </c>
      <c r="H19" s="4" t="n">
        <v>45688</v>
      </c>
      <c r="I19" s="3" t="n">
        <v>1279900</v>
      </c>
      <c r="J19" s="3" t="n">
        <v>166943.4782608696</v>
      </c>
      <c r="K19" s="3" t="n">
        <v>1112956.521739131</v>
      </c>
      <c r="L19" s="3" t="n">
        <v>18502.08</v>
      </c>
      <c r="M19" s="3" t="n">
        <v>1789</v>
      </c>
      <c r="N19" s="3" t="n">
        <v>6399.5</v>
      </c>
      <c r="O19" s="3" t="n">
        <v>63995</v>
      </c>
      <c r="P19" s="3" t="n">
        <v>19224.37</v>
      </c>
      <c r="Q19" s="9">
        <f>K19-SUM(L19:P19)</f>
        <v/>
      </c>
      <c r="R19" s="10">
        <f>IF($F19=1,((SUMIFS(Investors!$M:$M,Investors!$E:$E,Sales!$C19,Investors!$O:$O,FALSE)+SUMIFS(Investors!$S:$S,Investors!$E:$E,Sales!$C19,Investors!$O:$O,FALSE))*$F19)-SUMIFS('Investor Exit List'!$Q:$Q,'Investor Exit List'!$Y:$Y,1,'Investor Exit List'!$Z:$Z,"Release",'Investor Exit List'!$C:$C,Sales!$C19),(SUMIFS(Investors!$M:$M,Investors!$E:$E,Sales!$C19,Investors!$O:$O,FALSE)+SUMIFS(Investors!$S:$S,Investors!$E:$E,Sales!$C19,Investors!$O:$O,FALSE))*$F19)</f>
        <v/>
      </c>
      <c r="S19" s="10">
        <f>IF(T19=FALSE,Q19-R19,+V19)</f>
        <v/>
      </c>
      <c r="T19" s="3">
        <f>IF(SUMIFS('Cashflow Projection'!$E$119:$E$151,'Cashflow Projection'!$D$119:$D$151,Sales!C19)&lt;&gt;0,TRUE,FALSE)</f>
        <v/>
      </c>
      <c r="U19" s="4" t="n">
        <v>45747</v>
      </c>
      <c r="V19" s="10" t="n">
        <v>-613.5349545208737</v>
      </c>
      <c r="W19" s="11">
        <f>IF(SUMIFS('Cashflow Projection'!$E$119:$E$151,'Cashflow Projection'!$D$119:$D$151,Sales!C19)=1,SUMIFS('Cashflow Projection'!$C$119:$C$151,'Cashflow Projection'!$D$119:$D$151,Sales!C19),+Sales!H19)</f>
        <v/>
      </c>
      <c r="X19" s="11">
        <f>IF(MOD(MONTH(W19), 2) &lt;&gt; 0, EOMONTH(W19, 2), EOMONTH(W19, 1))</f>
        <v/>
      </c>
      <c r="Y19" s="11">
        <f>EOMONTH(X19,1)</f>
        <v/>
      </c>
      <c r="Z19" t="b">
        <v>0</v>
      </c>
    </row>
    <row r="20">
      <c r="A20" s="3" t="inlineStr">
        <is>
          <t>Heron Fields</t>
        </is>
      </c>
      <c r="B20" s="3" t="inlineStr">
        <is>
          <t>B</t>
        </is>
      </c>
      <c r="C20" s="3" t="inlineStr">
        <is>
          <t>HFB111</t>
        </is>
      </c>
      <c r="D20" s="3" t="b">
        <v>1</v>
      </c>
      <c r="E20" s="3" t="b">
        <v>1</v>
      </c>
      <c r="F20" s="3">
        <f>IF(OR(Z20=TRUE,SUMIFS('Cashflow Projection'!$E$119:$E$151,'Cashflow Projection'!$D$119:$D$151,Sales!C20)=1),0,SUMIFS('Cashflow Projection'!$C$7:$C$23,'Cashflow Projection'!$B$7:$B$23,Sales!B20,'Cashflow Projection'!$A$7:$A$23,Sales!A20))</f>
        <v/>
      </c>
      <c r="G20" s="4" t="n">
        <v>45027</v>
      </c>
      <c r="H20" s="4" t="n">
        <v>45688</v>
      </c>
      <c r="I20" s="3" t="n">
        <v>1574900</v>
      </c>
      <c r="J20" s="3" t="n">
        <v>205421.7391304348</v>
      </c>
      <c r="K20" s="3" t="n">
        <v>1369478.260869565</v>
      </c>
      <c r="L20" s="3" t="n">
        <v>18502.08</v>
      </c>
      <c r="M20" s="3" t="n">
        <v>1789</v>
      </c>
      <c r="N20" s="3" t="n">
        <v>7874.5</v>
      </c>
      <c r="O20" s="3" t="n">
        <v>78745</v>
      </c>
      <c r="P20" s="3" t="n">
        <v>19224.37</v>
      </c>
      <c r="Q20" s="9">
        <f>K20-SUM(L20:P20)</f>
        <v/>
      </c>
      <c r="R20" s="10">
        <f>IF($F20=1,((SUMIFS(Investors!$M:$M,Investors!$E:$E,Sales!$C20,Investors!$O:$O,FALSE)+SUMIFS(Investors!$S:$S,Investors!$E:$E,Sales!$C20,Investors!$O:$O,FALSE))*$F20)-SUMIFS('Investor Exit List'!$Q:$Q,'Investor Exit List'!$Y:$Y,1,'Investor Exit List'!$Z:$Z,"Release",'Investor Exit List'!$C:$C,Sales!$C20),(SUMIFS(Investors!$M:$M,Investors!$E:$E,Sales!$C20,Investors!$O:$O,FALSE)+SUMIFS(Investors!$S:$S,Investors!$E:$E,Sales!$C20,Investors!$O:$O,FALSE))*$F20)</f>
        <v/>
      </c>
      <c r="S20" s="10">
        <f>IF(T20=FALSE,Q20-R20,+V20)</f>
        <v/>
      </c>
      <c r="T20" s="3">
        <f>IF(SUMIFS('Cashflow Projection'!$E$119:$E$151,'Cashflow Projection'!$D$119:$D$151,Sales!C20)&lt;&gt;0,TRUE,FALSE)</f>
        <v/>
      </c>
      <c r="U20" s="4" t="n">
        <v>45747</v>
      </c>
      <c r="V20" s="10" t="n">
        <v>273720.5294520545</v>
      </c>
      <c r="W20" s="11">
        <f>IF(SUMIFS('Cashflow Projection'!$E$119:$E$151,'Cashflow Projection'!$D$119:$D$151,Sales!C20)=1,SUMIFS('Cashflow Projection'!$C$119:$C$151,'Cashflow Projection'!$D$119:$D$151,Sales!C20),+Sales!H20)</f>
        <v/>
      </c>
      <c r="X20" s="11">
        <f>IF(MOD(MONTH(W20), 2) &lt;&gt; 0, EOMONTH(W20, 2), EOMONTH(W20, 1))</f>
        <v/>
      </c>
      <c r="Y20" s="11">
        <f>EOMONTH(X20,1)</f>
        <v/>
      </c>
      <c r="Z20" t="b">
        <v>0</v>
      </c>
    </row>
    <row r="21">
      <c r="A21" s="3" t="inlineStr">
        <is>
          <t>Heron Fields</t>
        </is>
      </c>
      <c r="B21" s="3" t="inlineStr">
        <is>
          <t>B</t>
        </is>
      </c>
      <c r="C21" s="3" t="inlineStr">
        <is>
          <t>HFB201</t>
        </is>
      </c>
      <c r="D21" s="3" t="b">
        <v>1</v>
      </c>
      <c r="E21" s="3" t="b">
        <v>1</v>
      </c>
      <c r="F21" s="3">
        <f>IF(OR(Z21=TRUE,SUMIFS('Cashflow Projection'!$E$119:$E$151,'Cashflow Projection'!$D$119:$D$151,Sales!C21)=1),0,SUMIFS('Cashflow Projection'!$C$7:$C$23,'Cashflow Projection'!$B$7:$B$23,Sales!B21,'Cashflow Projection'!$A$7:$A$23,Sales!A21))</f>
        <v/>
      </c>
      <c r="G21" s="4" t="n">
        <v>44936</v>
      </c>
      <c r="H21" s="4" t="n">
        <v>45688</v>
      </c>
      <c r="I21" s="3" t="n">
        <v>1449900</v>
      </c>
      <c r="J21" s="3" t="n">
        <v>189117.3913043478</v>
      </c>
      <c r="K21" s="3" t="n">
        <v>1260782.608695652</v>
      </c>
      <c r="L21" s="3" t="n">
        <v>18502.08</v>
      </c>
      <c r="M21" s="3" t="n">
        <v>1789</v>
      </c>
      <c r="N21" s="3" t="n">
        <v>7249.5</v>
      </c>
      <c r="O21" s="3" t="n">
        <v>72495</v>
      </c>
      <c r="P21" s="3" t="n">
        <v>19224.37</v>
      </c>
      <c r="Q21" s="9">
        <f>K21-SUM(L21:P21)</f>
        <v/>
      </c>
      <c r="R21" s="10">
        <f>IF($F21=1,((SUMIFS(Investors!$M:$M,Investors!$E:$E,Sales!$C21,Investors!$O:$O,FALSE)+SUMIFS(Investors!$S:$S,Investors!$E:$E,Sales!$C21,Investors!$O:$O,FALSE))*$F21)-SUMIFS('Investor Exit List'!$Q:$Q,'Investor Exit List'!$Y:$Y,1,'Investor Exit List'!$Z:$Z,"Release",'Investor Exit List'!$C:$C,Sales!$C21),(SUMIFS(Investors!$M:$M,Investors!$E:$E,Sales!$C21,Investors!$O:$O,FALSE)+SUMIFS(Investors!$S:$S,Investors!$E:$E,Sales!$C21,Investors!$O:$O,FALSE))*$F21)</f>
        <v/>
      </c>
      <c r="S21" s="10">
        <f>IF(T21=FALSE,Q21-R21,+V21)</f>
        <v/>
      </c>
      <c r="T21" s="3">
        <f>IF(SUMIFS('Cashflow Projection'!$E$119:$E$151,'Cashflow Projection'!$D$119:$D$151,Sales!C21)&lt;&gt;0,TRUE,FALSE)</f>
        <v/>
      </c>
      <c r="U21" s="4" t="n">
        <v>45747</v>
      </c>
      <c r="V21" s="10" t="n">
        <v>171292.1047945204</v>
      </c>
      <c r="W21" s="11">
        <f>IF(SUMIFS('Cashflow Projection'!$E$119:$E$151,'Cashflow Projection'!$D$119:$D$151,Sales!C21)=1,SUMIFS('Cashflow Projection'!$C$119:$C$151,'Cashflow Projection'!$D$119:$D$151,Sales!C21),+Sales!H21)</f>
        <v/>
      </c>
      <c r="X21" s="11">
        <f>IF(MOD(MONTH(W21), 2) &lt;&gt; 0, EOMONTH(W21, 2), EOMONTH(W21, 1))</f>
        <v/>
      </c>
      <c r="Y21" s="11">
        <f>EOMONTH(X21,1)</f>
        <v/>
      </c>
      <c r="Z21" t="b">
        <v>0</v>
      </c>
    </row>
    <row r="22">
      <c r="A22" s="3" t="inlineStr">
        <is>
          <t>Heron View</t>
        </is>
      </c>
      <c r="B22" s="3" t="inlineStr">
        <is>
          <t>D</t>
        </is>
      </c>
      <c r="C22" s="3" t="inlineStr">
        <is>
          <t>HVD301</t>
        </is>
      </c>
      <c r="D22" s="3" t="b">
        <v>1</v>
      </c>
      <c r="E22" s="3" t="b">
        <v>1</v>
      </c>
      <c r="F22" s="3">
        <f>IF(OR(Z22=TRUE,SUMIFS('Cashflow Projection'!$E$119:$E$151,'Cashflow Projection'!$D$119:$D$151,Sales!C22)=1),0,SUMIFS('Cashflow Projection'!$C$7:$C$23,'Cashflow Projection'!$B$7:$B$23,Sales!B22,'Cashflow Projection'!$A$7:$A$23,Sales!A22))</f>
        <v/>
      </c>
      <c r="G22" s="4" t="n">
        <v>45341</v>
      </c>
      <c r="H22" s="4" t="n">
        <v>45341</v>
      </c>
      <c r="I22" s="3" t="n">
        <v>1599900</v>
      </c>
      <c r="J22" s="3" t="n">
        <v>208682.6086956522</v>
      </c>
      <c r="K22" s="3" t="n">
        <v>1391217.391304348</v>
      </c>
      <c r="L22" s="3" t="n">
        <v>18502.08</v>
      </c>
      <c r="M22" s="3" t="n">
        <v>1789</v>
      </c>
      <c r="N22" s="3" t="n">
        <v>7999.5</v>
      </c>
      <c r="O22" s="3" t="n">
        <v>79995</v>
      </c>
      <c r="P22" s="3" t="n">
        <v>19224.37</v>
      </c>
      <c r="Q22" s="9">
        <f>K22-SUM(L22:P22)</f>
        <v/>
      </c>
      <c r="R22" s="10">
        <f>IF($F22=1,((SUMIFS(Investors!$M:$M,Investors!$E:$E,Sales!$C22,Investors!$O:$O,FALSE)+SUMIFS(Investors!$S:$S,Investors!$E:$E,Sales!$C22,Investors!$O:$O,FALSE))*$F22)-SUMIFS('Investor Exit List'!$Q:$Q,'Investor Exit List'!$Y:$Y,1,'Investor Exit List'!$Z:$Z,"Release",'Investor Exit List'!$C:$C,Sales!$C22),(SUMIFS(Investors!$M:$M,Investors!$E:$E,Sales!$C22,Investors!$O:$O,FALSE)+SUMIFS(Investors!$S:$S,Investors!$E:$E,Sales!$C22,Investors!$O:$O,FALSE))*$F22)</f>
        <v/>
      </c>
      <c r="S22" s="10">
        <f>IF(T22=FALSE,Q22-R22,+V22)</f>
        <v/>
      </c>
      <c r="T22" s="3">
        <f>IF(SUMIFS('Cashflow Projection'!$E$119:$E$151,'Cashflow Projection'!$D$119:$D$151,Sales!C22)&lt;&gt;0,TRUE,FALSE)</f>
        <v/>
      </c>
      <c r="U22" s="4" t="n">
        <v>45382</v>
      </c>
      <c r="V22" s="10" t="n">
        <v>188568.1321917807</v>
      </c>
      <c r="W22" s="11">
        <f>IF(SUMIFS('Cashflow Projection'!$E$119:$E$151,'Cashflow Projection'!$D$119:$D$151,Sales!C22)=1,SUMIFS('Cashflow Projection'!$C$119:$C$151,'Cashflow Projection'!$D$119:$D$151,Sales!C22),+Sales!H22)</f>
        <v/>
      </c>
      <c r="X22" s="11">
        <f>IF(MOD(MONTH(W22), 2) &lt;&gt; 0, EOMONTH(W22, 2), EOMONTH(W22, 1))</f>
        <v/>
      </c>
      <c r="Y22" s="11">
        <f>EOMONTH(X22,1)</f>
        <v/>
      </c>
      <c r="Z22" t="b">
        <v>0</v>
      </c>
    </row>
    <row r="23">
      <c r="A23" s="3" t="inlineStr">
        <is>
          <t>Heron View</t>
        </is>
      </c>
      <c r="B23" s="3" t="inlineStr">
        <is>
          <t>N</t>
        </is>
      </c>
      <c r="C23" s="3" t="inlineStr">
        <is>
          <t>HVN304</t>
        </is>
      </c>
      <c r="D23" s="3" t="b">
        <v>1</v>
      </c>
      <c r="E23" s="3" t="b">
        <v>0</v>
      </c>
      <c r="F23" s="3">
        <f>IF(OR(Z23=TRUE,SUMIFS('Cashflow Projection'!$E$119:$E$151,'Cashflow Projection'!$D$119:$D$151,Sales!C23)=1),0,SUMIFS('Cashflow Projection'!$C$7:$C$23,'Cashflow Projection'!$B$7:$B$23,Sales!B23,'Cashflow Projection'!$A$7:$A$23,Sales!A23))</f>
        <v/>
      </c>
      <c r="G23" s="4" t="n">
        <v>45464</v>
      </c>
      <c r="H23" s="4" t="n">
        <v>45498</v>
      </c>
      <c r="I23" s="3" t="n">
        <v>1499900</v>
      </c>
      <c r="J23" s="3" t="n">
        <v>195639.1304347826</v>
      </c>
      <c r="K23" s="3" t="n">
        <v>1304260.869565218</v>
      </c>
      <c r="L23" s="3" t="n">
        <v>18502.08</v>
      </c>
      <c r="M23" s="3" t="n">
        <v>1789</v>
      </c>
      <c r="N23" s="3" t="n">
        <v>7499.5</v>
      </c>
      <c r="O23" s="3" t="n">
        <v>74995</v>
      </c>
      <c r="P23" s="3" t="n">
        <v>19224.37</v>
      </c>
      <c r="Q23" s="9">
        <f>K23-SUM(L23:P23)</f>
        <v/>
      </c>
      <c r="R23" s="10">
        <f>IF($F23=1,((SUMIFS(Investors!$M:$M,Investors!$E:$E,Sales!$C23,Investors!$O:$O,FALSE)+SUMIFS(Investors!$S:$S,Investors!$E:$E,Sales!$C23,Investors!$O:$O,FALSE))*$F23)-SUMIFS('Investor Exit List'!$Q:$Q,'Investor Exit List'!$Y:$Y,1,'Investor Exit List'!$Z:$Z,"Release",'Investor Exit List'!$C:$C,Sales!$C23),(SUMIFS(Investors!$M:$M,Investors!$E:$E,Sales!$C23,Investors!$O:$O,FALSE)+SUMIFS(Investors!$S:$S,Investors!$E:$E,Sales!$C23,Investors!$O:$O,FALSE))*$F23)</f>
        <v/>
      </c>
      <c r="S23" s="10">
        <f>IF(T23=FALSE,Q23-R23,+V23)</f>
        <v/>
      </c>
      <c r="T23" s="3">
        <f>IF(SUMIFS('Cashflow Projection'!$E$119:$E$151,'Cashflow Projection'!$D$119:$D$151,Sales!C23)&lt;&gt;0,TRUE,FALSE)</f>
        <v/>
      </c>
      <c r="U23" s="4" t="n">
        <v>45565</v>
      </c>
      <c r="V23" s="10" t="n">
        <v>38167.76955506834</v>
      </c>
      <c r="W23" s="11">
        <f>IF(SUMIFS('Cashflow Projection'!$E$119:$E$151,'Cashflow Projection'!$D$119:$D$151,Sales!C23)=1,SUMIFS('Cashflow Projection'!$C$119:$C$151,'Cashflow Projection'!$D$119:$D$151,Sales!C23),+Sales!H23)</f>
        <v/>
      </c>
      <c r="X23" s="11">
        <f>IF(MOD(MONTH(W23), 2) &lt;&gt; 0, EOMONTH(W23, 2), EOMONTH(W23, 1))</f>
        <v/>
      </c>
      <c r="Y23" s="11">
        <f>EOMONTH(X23,1)</f>
        <v/>
      </c>
      <c r="Z23" t="b">
        <v>0</v>
      </c>
    </row>
    <row r="24">
      <c r="A24" s="3" t="inlineStr">
        <is>
          <t>Heron View</t>
        </is>
      </c>
      <c r="B24" s="3" t="inlineStr">
        <is>
          <t>J</t>
        </is>
      </c>
      <c r="C24" s="3" t="inlineStr">
        <is>
          <t>HVJ302</t>
        </is>
      </c>
      <c r="D24" s="3" t="b">
        <v>0</v>
      </c>
      <c r="E24" s="3" t="b">
        <v>0</v>
      </c>
      <c r="F24" s="3">
        <f>IF(OR(Z24=TRUE,SUMIFS('Cashflow Projection'!$E$119:$E$151,'Cashflow Projection'!$D$119:$D$151,Sales!C24)=1),0,SUMIFS('Cashflow Projection'!$C$7:$C$23,'Cashflow Projection'!$B$7:$B$23,Sales!B24,'Cashflow Projection'!$A$7:$A$23,Sales!A24))</f>
        <v/>
      </c>
      <c r="G24" s="4" t="n">
        <v>45552</v>
      </c>
      <c r="H24" s="4" t="n">
        <v>45552</v>
      </c>
      <c r="I24" s="3" t="n">
        <v>1649900</v>
      </c>
      <c r="J24" s="3" t="n">
        <v>215204.3478260869</v>
      </c>
      <c r="K24" s="3" t="n">
        <v>1434695.652173913</v>
      </c>
      <c r="L24" s="3" t="n">
        <v>18502.08</v>
      </c>
      <c r="M24" s="3" t="n">
        <v>1789</v>
      </c>
      <c r="N24" s="3" t="n">
        <v>8249.5</v>
      </c>
      <c r="O24" s="3" t="n">
        <v>82495</v>
      </c>
      <c r="P24" s="3" t="n">
        <v>19224.37</v>
      </c>
      <c r="Q24" s="9">
        <f>K24-SUM(L24:P24)</f>
        <v/>
      </c>
      <c r="R24" s="10">
        <f>IF($F24=1,((SUMIFS(Investors!$M:$M,Investors!$E:$E,Sales!$C24,Investors!$O:$O,FALSE)+SUMIFS(Investors!$S:$S,Investors!$E:$E,Sales!$C24,Investors!$O:$O,FALSE))*$F24)-SUMIFS('Investor Exit List'!$Q:$Q,'Investor Exit List'!$Y:$Y,1,'Investor Exit List'!$Z:$Z,"Release",'Investor Exit List'!$C:$C,Sales!$C24),(SUMIFS(Investors!$M:$M,Investors!$E:$E,Sales!$C24,Investors!$O:$O,FALSE)+SUMIFS(Investors!$S:$S,Investors!$E:$E,Sales!$C24,Investors!$O:$O,FALSE))*$F24)</f>
        <v/>
      </c>
      <c r="S24" s="10">
        <f>IF(T24=FALSE,Q24-R24,+V24)</f>
        <v/>
      </c>
      <c r="T24" s="3">
        <f>IF(SUMIFS('Cashflow Projection'!$E$119:$E$151,'Cashflow Projection'!$D$119:$D$151,Sales!C24)&lt;&gt;0,TRUE,FALSE)</f>
        <v/>
      </c>
      <c r="U24" s="4" t="n">
        <v>45626</v>
      </c>
      <c r="V24" s="10" t="n">
        <v>141013.3376712326</v>
      </c>
      <c r="W24" s="11">
        <f>IF(SUMIFS('Cashflow Projection'!$E$119:$E$151,'Cashflow Projection'!$D$119:$D$151,Sales!C24)=1,SUMIFS('Cashflow Projection'!$C$119:$C$151,'Cashflow Projection'!$D$119:$D$151,Sales!C24),+Sales!H24)</f>
        <v/>
      </c>
      <c r="X24" s="11">
        <f>IF(MOD(MONTH(W24), 2) &lt;&gt; 0, EOMONTH(W24, 2), EOMONTH(W24, 1))</f>
        <v/>
      </c>
      <c r="Y24" s="11">
        <f>EOMONTH(X24,1)</f>
        <v/>
      </c>
      <c r="Z24" t="b">
        <v>0</v>
      </c>
    </row>
    <row r="25">
      <c r="A25" s="3" t="inlineStr">
        <is>
          <t>Heron View</t>
        </is>
      </c>
      <c r="B25" s="3" t="inlineStr">
        <is>
          <t>J</t>
        </is>
      </c>
      <c r="C25" s="3" t="inlineStr">
        <is>
          <t>HVJ303</t>
        </is>
      </c>
      <c r="D25" s="3" t="b">
        <v>0</v>
      </c>
      <c r="E25" s="3" t="b">
        <v>0</v>
      </c>
      <c r="F25" s="3">
        <f>IF(OR(Z25=TRUE,SUMIFS('Cashflow Projection'!$E$119:$E$151,'Cashflow Projection'!$D$119:$D$151,Sales!C25)=1),0,SUMIFS('Cashflow Projection'!$C$7:$C$23,'Cashflow Projection'!$B$7:$B$23,Sales!B25,'Cashflow Projection'!$A$7:$A$23,Sales!A25))</f>
        <v/>
      </c>
      <c r="G25" s="4" t="n">
        <v>45552</v>
      </c>
      <c r="H25" s="4" t="n">
        <v>45552</v>
      </c>
      <c r="I25" s="3" t="n">
        <v>1649900</v>
      </c>
      <c r="J25" s="3" t="n">
        <v>215204.3478260869</v>
      </c>
      <c r="K25" s="3" t="n">
        <v>1434695.652173913</v>
      </c>
      <c r="L25" s="3" t="n">
        <v>18502.08</v>
      </c>
      <c r="M25" s="3" t="n">
        <v>1789</v>
      </c>
      <c r="N25" s="3" t="n">
        <v>8249.5</v>
      </c>
      <c r="O25" s="3" t="n">
        <v>82495</v>
      </c>
      <c r="P25" s="3" t="n">
        <v>19224.37</v>
      </c>
      <c r="Q25" s="9">
        <f>K25-SUM(L25:P25)</f>
        <v/>
      </c>
      <c r="R25" s="10">
        <f>IF($F25=1,((SUMIFS(Investors!$M:$M,Investors!$E:$E,Sales!$C25,Investors!$O:$O,FALSE)+SUMIFS(Investors!$S:$S,Investors!$E:$E,Sales!$C25,Investors!$O:$O,FALSE))*$F25)-SUMIFS('Investor Exit List'!$Q:$Q,'Investor Exit List'!$Y:$Y,1,'Investor Exit List'!$Z:$Z,"Release",'Investor Exit List'!$C:$C,Sales!$C25),(SUMIFS(Investors!$M:$M,Investors!$E:$E,Sales!$C25,Investors!$O:$O,FALSE)+SUMIFS(Investors!$S:$S,Investors!$E:$E,Sales!$C25,Investors!$O:$O,FALSE))*$F25)</f>
        <v/>
      </c>
      <c r="S25" s="10">
        <f>IF(T25=FALSE,Q25-R25,+V25)</f>
        <v/>
      </c>
      <c r="T25" s="3">
        <f>IF(SUMIFS('Cashflow Projection'!$E$119:$E$151,'Cashflow Projection'!$D$119:$D$151,Sales!C25)&lt;&gt;0,TRUE,FALSE)</f>
        <v/>
      </c>
      <c r="U25" s="4" t="n">
        <v>45626</v>
      </c>
      <c r="V25" s="10" t="n">
        <v>138455.1184931505</v>
      </c>
      <c r="W25" s="11">
        <f>IF(SUMIFS('Cashflow Projection'!$E$119:$E$151,'Cashflow Projection'!$D$119:$D$151,Sales!C25)=1,SUMIFS('Cashflow Projection'!$C$119:$C$151,'Cashflow Projection'!$D$119:$D$151,Sales!C25),+Sales!H25)</f>
        <v/>
      </c>
      <c r="X25" s="11">
        <f>IF(MOD(MONTH(W25), 2) &lt;&gt; 0, EOMONTH(W25, 2), EOMONTH(W25, 1))</f>
        <v/>
      </c>
      <c r="Y25" s="11">
        <f>EOMONTH(X25,1)</f>
        <v/>
      </c>
      <c r="Z25" t="b">
        <v>0</v>
      </c>
    </row>
    <row r="26">
      <c r="A26" s="3" t="inlineStr">
        <is>
          <t>Heron View</t>
        </is>
      </c>
      <c r="B26" s="3" t="inlineStr">
        <is>
          <t>J</t>
        </is>
      </c>
      <c r="C26" s="3" t="inlineStr">
        <is>
          <t>HVJ402</t>
        </is>
      </c>
      <c r="D26" s="3" t="b">
        <v>0</v>
      </c>
      <c r="E26" s="3" t="b">
        <v>0</v>
      </c>
      <c r="F26" s="3">
        <f>IF(OR(Z26=TRUE,SUMIFS('Cashflow Projection'!$E$119:$E$151,'Cashflow Projection'!$D$119:$D$151,Sales!C26)=1),0,SUMIFS('Cashflow Projection'!$C$7:$C$23,'Cashflow Projection'!$B$7:$B$23,Sales!B26,'Cashflow Projection'!$A$7:$A$23,Sales!A26))</f>
        <v/>
      </c>
      <c r="G26" s="4" t="n">
        <v>45552</v>
      </c>
      <c r="H26" s="4" t="n">
        <v>45552</v>
      </c>
      <c r="I26" s="3" t="n">
        <v>1699900</v>
      </c>
      <c r="J26" s="3" t="n">
        <v>221726.0869565217</v>
      </c>
      <c r="K26" s="3" t="n">
        <v>1478173.913043478</v>
      </c>
      <c r="L26" s="3" t="n">
        <v>18502.08</v>
      </c>
      <c r="M26" s="3" t="n">
        <v>1789</v>
      </c>
      <c r="N26" s="3" t="n">
        <v>8499.5</v>
      </c>
      <c r="O26" s="3" t="n">
        <v>84995</v>
      </c>
      <c r="P26" s="3" t="n">
        <v>19224.37</v>
      </c>
      <c r="Q26" s="9">
        <f>K26-SUM(L26:P26)</f>
        <v/>
      </c>
      <c r="R26" s="10">
        <f>IF($F26=1,((SUMIFS(Investors!$M:$M,Investors!$E:$E,Sales!$C26,Investors!$O:$O,FALSE)+SUMIFS(Investors!$S:$S,Investors!$E:$E,Sales!$C26,Investors!$O:$O,FALSE))*$F26)-SUMIFS('Investor Exit List'!$Q:$Q,'Investor Exit List'!$Y:$Y,1,'Investor Exit List'!$Z:$Z,"Release",'Investor Exit List'!$C:$C,Sales!$C26),(SUMIFS(Investors!$M:$M,Investors!$E:$E,Sales!$C26,Investors!$O:$O,FALSE)+SUMIFS(Investors!$S:$S,Investors!$E:$E,Sales!$C26,Investors!$O:$O,FALSE))*$F26)</f>
        <v/>
      </c>
      <c r="S26" s="10">
        <f>IF(T26=FALSE,Q26-R26,+V26)</f>
        <v/>
      </c>
      <c r="T26" s="3">
        <f>IF(SUMIFS('Cashflow Projection'!$E$119:$E$151,'Cashflow Projection'!$D$119:$D$151,Sales!C26)&lt;&gt;0,TRUE,FALSE)</f>
        <v/>
      </c>
      <c r="U26" s="4" t="n">
        <v>45626</v>
      </c>
      <c r="V26" s="10" t="n">
        <v>190410.5979452054</v>
      </c>
      <c r="W26" s="11">
        <f>IF(SUMIFS('Cashflow Projection'!$E$119:$E$151,'Cashflow Projection'!$D$119:$D$151,Sales!C26)=1,SUMIFS('Cashflow Projection'!$C$119:$C$151,'Cashflow Projection'!$D$119:$D$151,Sales!C26),+Sales!H26)</f>
        <v/>
      </c>
      <c r="X26" s="11">
        <f>IF(MOD(MONTH(W26), 2) &lt;&gt; 0, EOMONTH(W26, 2), EOMONTH(W26, 1))</f>
        <v/>
      </c>
      <c r="Y26" s="11">
        <f>EOMONTH(X26,1)</f>
        <v/>
      </c>
      <c r="Z26" t="b">
        <v>0</v>
      </c>
    </row>
    <row r="27">
      <c r="A27" s="3" t="inlineStr">
        <is>
          <t>Heron View</t>
        </is>
      </c>
      <c r="B27" s="3" t="inlineStr">
        <is>
          <t>P</t>
        </is>
      </c>
      <c r="C27" s="3" t="inlineStr">
        <is>
          <t>HVP101</t>
        </is>
      </c>
      <c r="D27" s="3" t="b">
        <v>1</v>
      </c>
      <c r="E27" s="3" t="b">
        <v>1</v>
      </c>
      <c r="F27" s="3">
        <f>IF(OR(Z27=TRUE,SUMIFS('Cashflow Projection'!$E$119:$E$151,'Cashflow Projection'!$D$119:$D$151,Sales!C27)=1),0,SUMIFS('Cashflow Projection'!$C$7:$C$23,'Cashflow Projection'!$B$7:$B$23,Sales!B27,'Cashflow Projection'!$A$7:$A$23,Sales!A27))</f>
        <v/>
      </c>
      <c r="G27" s="4" t="n">
        <v>45177</v>
      </c>
      <c r="H27" s="4" t="n">
        <v>45688</v>
      </c>
      <c r="I27" s="3" t="n">
        <v>1749900</v>
      </c>
      <c r="J27" s="3" t="n">
        <v>228247.8260869565</v>
      </c>
      <c r="K27" s="3" t="n">
        <v>1521652.173913044</v>
      </c>
      <c r="L27" s="3" t="n">
        <v>18502.08</v>
      </c>
      <c r="M27" s="3" t="n">
        <v>1789</v>
      </c>
      <c r="N27" s="3" t="n">
        <v>8749.5</v>
      </c>
      <c r="O27" s="3" t="n">
        <v>87495</v>
      </c>
      <c r="P27" s="3" t="n">
        <v>19224.37</v>
      </c>
      <c r="Q27" s="9">
        <f>K27-SUM(L27:P27)</f>
        <v/>
      </c>
      <c r="R27" s="10">
        <f>IF($F27=1,((SUMIFS(Investors!$M:$M,Investors!$E:$E,Sales!$C27,Investors!$O:$O,FALSE)+SUMIFS(Investors!$S:$S,Investors!$E:$E,Sales!$C27,Investors!$O:$O,FALSE))*$F27)-SUMIFS('Investor Exit List'!$Q:$Q,'Investor Exit List'!$Y:$Y,1,'Investor Exit List'!$Z:$Z,"Release",'Investor Exit List'!$C:$C,Sales!$C27),(SUMIFS(Investors!$M:$M,Investors!$E:$E,Sales!$C27,Investors!$O:$O,FALSE)+SUMIFS(Investors!$S:$S,Investors!$E:$E,Sales!$C27,Investors!$O:$O,FALSE))*$F27)</f>
        <v/>
      </c>
      <c r="S27" s="10">
        <f>IF(T27=FALSE,Q27-R27,+V27)</f>
        <v/>
      </c>
      <c r="T27" s="3">
        <f>IF(SUMIFS('Cashflow Projection'!$E$119:$E$151,'Cashflow Projection'!$D$119:$D$151,Sales!C27)&lt;&gt;0,TRUE,FALSE)</f>
        <v/>
      </c>
      <c r="U27" s="4" t="n">
        <v>45747</v>
      </c>
      <c r="V27" s="10" t="n">
        <v>325883.2006849311</v>
      </c>
      <c r="W27" s="11">
        <f>IF(SUMIFS('Cashflow Projection'!$E$119:$E$151,'Cashflow Projection'!$D$119:$D$151,Sales!C27)=1,SUMIFS('Cashflow Projection'!$C$119:$C$151,'Cashflow Projection'!$D$119:$D$151,Sales!C27),+Sales!H27)</f>
        <v/>
      </c>
      <c r="X27" s="11">
        <f>IF(MOD(MONTH(W27), 2) &lt;&gt; 0, EOMONTH(W27, 2), EOMONTH(W27, 1))</f>
        <v/>
      </c>
      <c r="Y27" s="11">
        <f>EOMONTH(X27,1)</f>
        <v/>
      </c>
      <c r="Z27" t="b">
        <v>0</v>
      </c>
    </row>
    <row r="28">
      <c r="A28" s="3" t="inlineStr">
        <is>
          <t>Heron View</t>
        </is>
      </c>
      <c r="B28" s="3" t="inlineStr">
        <is>
          <t>G</t>
        </is>
      </c>
      <c r="C28" s="3" t="inlineStr">
        <is>
          <t>HVG103</t>
        </is>
      </c>
      <c r="D28" s="3" t="b">
        <v>0</v>
      </c>
      <c r="E28" s="3" t="b">
        <v>0</v>
      </c>
      <c r="F28" s="3">
        <f>IF(OR(Z28=TRUE,SUMIFS('Cashflow Projection'!$E$119:$E$151,'Cashflow Projection'!$D$119:$D$151,Sales!C28)=1),0,SUMIFS('Cashflow Projection'!$C$7:$C$23,'Cashflow Projection'!$B$7:$B$23,Sales!B28,'Cashflow Projection'!$A$7:$A$23,Sales!A28))</f>
        <v/>
      </c>
      <c r="G28" s="4" t="n">
        <v>45523</v>
      </c>
      <c r="H28" s="4" t="n">
        <v>45532</v>
      </c>
      <c r="I28" s="3" t="n">
        <v>1649900</v>
      </c>
      <c r="J28" s="3" t="n">
        <v>215204.3478260869</v>
      </c>
      <c r="K28" s="3" t="n">
        <v>1434695.652173913</v>
      </c>
      <c r="L28" s="3" t="n">
        <v>18502.08</v>
      </c>
      <c r="M28" s="3" t="n">
        <v>1789</v>
      </c>
      <c r="N28" s="3" t="n">
        <v>8249.5</v>
      </c>
      <c r="O28" s="3" t="n">
        <v>82495</v>
      </c>
      <c r="P28" s="3" t="n">
        <v>19224.37</v>
      </c>
      <c r="Q28" s="9">
        <f>K28-SUM(L28:P28)</f>
        <v/>
      </c>
      <c r="R28" s="10">
        <f>IF($F28=1,((SUMIFS(Investors!$M:$M,Investors!$E:$E,Sales!$C28,Investors!$O:$O,FALSE)+SUMIFS(Investors!$S:$S,Investors!$E:$E,Sales!$C28,Investors!$O:$O,FALSE))*$F28)-SUMIFS('Investor Exit List'!$Q:$Q,'Investor Exit List'!$Y:$Y,1,'Investor Exit List'!$Z:$Z,"Release",'Investor Exit List'!$C:$C,Sales!$C28),(SUMIFS(Investors!$M:$M,Investors!$E:$E,Sales!$C28,Investors!$O:$O,FALSE)+SUMIFS(Investors!$S:$S,Investors!$E:$E,Sales!$C28,Investors!$O:$O,FALSE))*$F28)</f>
        <v/>
      </c>
      <c r="S28" s="10">
        <f>IF(T28=FALSE,Q28-R28,+V28)</f>
        <v/>
      </c>
      <c r="T28" s="3">
        <f>IF(SUMIFS('Cashflow Projection'!$E$119:$E$151,'Cashflow Projection'!$D$119:$D$151,Sales!C28)&lt;&gt;0,TRUE,FALSE)</f>
        <v/>
      </c>
      <c r="U28" s="4" t="n">
        <v>45565</v>
      </c>
      <c r="V28" s="10" t="n">
        <v>200679.7760273973</v>
      </c>
      <c r="W28" s="11">
        <f>IF(SUMIFS('Cashflow Projection'!$E$119:$E$151,'Cashflow Projection'!$D$119:$D$151,Sales!C28)=1,SUMIFS('Cashflow Projection'!$C$119:$C$151,'Cashflow Projection'!$D$119:$D$151,Sales!C28),+Sales!H28)</f>
        <v/>
      </c>
      <c r="X28" s="11">
        <f>IF(MOD(MONTH(W28), 2) &lt;&gt; 0, EOMONTH(W28, 2), EOMONTH(W28, 1))</f>
        <v/>
      </c>
      <c r="Y28" s="11">
        <f>EOMONTH(X28,1)</f>
        <v/>
      </c>
      <c r="Z28" t="b">
        <v>0</v>
      </c>
    </row>
    <row r="29">
      <c r="A29" s="3" t="inlineStr">
        <is>
          <t>Heron View</t>
        </is>
      </c>
      <c r="B29" s="3" t="inlineStr">
        <is>
          <t>C</t>
        </is>
      </c>
      <c r="C29" s="3" t="inlineStr">
        <is>
          <t>HVC204</t>
        </is>
      </c>
      <c r="D29" s="3" t="b">
        <v>0</v>
      </c>
      <c r="E29" s="3" t="b">
        <v>0</v>
      </c>
      <c r="F29" s="3">
        <f>IF(OR(Z29=TRUE,SUMIFS('Cashflow Projection'!$E$119:$E$151,'Cashflow Projection'!$D$119:$D$151,Sales!C29)=1),0,SUMIFS('Cashflow Projection'!$C$7:$C$23,'Cashflow Projection'!$B$7:$B$23,Sales!B29,'Cashflow Projection'!$A$7:$A$23,Sales!A29))</f>
        <v/>
      </c>
      <c r="G29" s="4" t="n">
        <v>45485</v>
      </c>
      <c r="H29" s="4" t="n">
        <v>45646</v>
      </c>
      <c r="I29" s="3" t="n">
        <v>1429900</v>
      </c>
      <c r="J29" s="3" t="n">
        <v>186508.6956521739</v>
      </c>
      <c r="K29" s="3" t="n">
        <v>1243391.304347826</v>
      </c>
      <c r="L29" s="3" t="n">
        <v>18502.08</v>
      </c>
      <c r="M29" s="3" t="n">
        <v>1789</v>
      </c>
      <c r="N29" s="3" t="n">
        <v>7149.5</v>
      </c>
      <c r="O29" s="3" t="n">
        <v>71495</v>
      </c>
      <c r="P29" s="3" t="n">
        <v>19224.37</v>
      </c>
      <c r="Q29" s="9">
        <f>K29-SUM(L29:P29)</f>
        <v/>
      </c>
      <c r="R29" s="10">
        <f>IF($F29=1,((SUMIFS(Investors!$M:$M,Investors!$E:$E,Sales!$C29,Investors!$O:$O,FALSE)+SUMIFS(Investors!$S:$S,Investors!$E:$E,Sales!$C29,Investors!$O:$O,FALSE))*$F29)-SUMIFS('Investor Exit List'!$Q:$Q,'Investor Exit List'!$Y:$Y,1,'Investor Exit List'!$Z:$Z,"Release",'Investor Exit List'!$C:$C,Sales!$C29),(SUMIFS(Investors!$M:$M,Investors!$E:$E,Sales!$C29,Investors!$O:$O,FALSE)+SUMIFS(Investors!$S:$S,Investors!$E:$E,Sales!$C29,Investors!$O:$O,FALSE))*$F29)</f>
        <v/>
      </c>
      <c r="S29" s="10">
        <f>IF(T29=FALSE,Q29-R29,+V29)</f>
        <v/>
      </c>
      <c r="T29" s="3">
        <f>IF(SUMIFS('Cashflow Projection'!$E$119:$E$151,'Cashflow Projection'!$D$119:$D$151,Sales!C29)&lt;&gt;0,TRUE,FALSE)</f>
        <v/>
      </c>
      <c r="U29" s="4" t="n">
        <v>45688</v>
      </c>
      <c r="V29" s="10" t="n">
        <v>-59785.28313773987</v>
      </c>
      <c r="W29" s="11">
        <f>IF(SUMIFS('Cashflow Projection'!$E$119:$E$151,'Cashflow Projection'!$D$119:$D$151,Sales!C29)=1,SUMIFS('Cashflow Projection'!$C$119:$C$151,'Cashflow Projection'!$D$119:$D$151,Sales!C29),+Sales!H29)</f>
        <v/>
      </c>
      <c r="X29" s="11">
        <f>IF(MOD(MONTH(W29), 2) &lt;&gt; 0, EOMONTH(W29, 2), EOMONTH(W29, 1))</f>
        <v/>
      </c>
      <c r="Y29" s="11">
        <f>EOMONTH(X29,1)</f>
        <v/>
      </c>
      <c r="Z29" t="b">
        <v>0</v>
      </c>
    </row>
    <row r="30">
      <c r="A30" s="3" t="inlineStr">
        <is>
          <t>Heron View</t>
        </is>
      </c>
      <c r="B30" s="3" t="inlineStr">
        <is>
          <t>O</t>
        </is>
      </c>
      <c r="C30" s="3" t="inlineStr">
        <is>
          <t>HVO105</t>
        </is>
      </c>
      <c r="D30" s="3" t="b">
        <v>1</v>
      </c>
      <c r="E30" s="3" t="b">
        <v>0</v>
      </c>
      <c r="F30" s="3">
        <f>IF(OR(Z30=TRUE,SUMIFS('Cashflow Projection'!$E$119:$E$151,'Cashflow Projection'!$D$119:$D$151,Sales!C30)=1),0,SUMIFS('Cashflow Projection'!$C$7:$C$23,'Cashflow Projection'!$B$7:$B$23,Sales!B30,'Cashflow Projection'!$A$7:$A$23,Sales!A30))</f>
        <v/>
      </c>
      <c r="G30" s="4" t="n">
        <v>45518</v>
      </c>
      <c r="H30" s="4" t="n">
        <v>45518</v>
      </c>
      <c r="I30" s="3" t="n">
        <v>1739900</v>
      </c>
      <c r="J30" s="3" t="n">
        <v>226943.4782608696</v>
      </c>
      <c r="K30" s="3" t="n">
        <v>1512956.521739131</v>
      </c>
      <c r="L30" s="3" t="n">
        <v>18502.08</v>
      </c>
      <c r="M30" s="3" t="n">
        <v>1789</v>
      </c>
      <c r="N30" s="3" t="n">
        <v>8699.5</v>
      </c>
      <c r="O30" s="3" t="n">
        <v>86995</v>
      </c>
      <c r="P30" s="3" t="n">
        <v>19224.37</v>
      </c>
      <c r="Q30" s="9">
        <f>K30-SUM(L30:P30)</f>
        <v/>
      </c>
      <c r="R30" s="10">
        <f>IF($F30=1,((SUMIFS(Investors!$M:$M,Investors!$E:$E,Sales!$C30,Investors!$O:$O,FALSE)+SUMIFS(Investors!$S:$S,Investors!$E:$E,Sales!$C30,Investors!$O:$O,FALSE))*$F30)-SUMIFS('Investor Exit List'!$Q:$Q,'Investor Exit List'!$Y:$Y,1,'Investor Exit List'!$Z:$Z,"Release",'Investor Exit List'!$C:$C,Sales!$C30),(SUMIFS(Investors!$M:$M,Investors!$E:$E,Sales!$C30,Investors!$O:$O,FALSE)+SUMIFS(Investors!$S:$S,Investors!$E:$E,Sales!$C30,Investors!$O:$O,FALSE))*$F30)</f>
        <v/>
      </c>
      <c r="S30" s="10">
        <f>IF(T30=FALSE,Q30-R30,+V30)</f>
        <v/>
      </c>
      <c r="T30" s="3">
        <f>IF(SUMIFS('Cashflow Projection'!$E$119:$E$151,'Cashflow Projection'!$D$119:$D$151,Sales!C30)&lt;&gt;0,TRUE,FALSE)</f>
        <v/>
      </c>
      <c r="U30" s="4" t="n">
        <v>45565</v>
      </c>
      <c r="V30" s="10" t="n">
        <v>210830.0659984243</v>
      </c>
      <c r="W30" s="11">
        <f>IF(SUMIFS('Cashflow Projection'!$E$119:$E$151,'Cashflow Projection'!$D$119:$D$151,Sales!C30)=1,SUMIFS('Cashflow Projection'!$C$119:$C$151,'Cashflow Projection'!$D$119:$D$151,Sales!C30),+Sales!H30)</f>
        <v/>
      </c>
      <c r="X30" s="11">
        <f>IF(MOD(MONTH(W30), 2) &lt;&gt; 0, EOMONTH(W30, 2), EOMONTH(W30, 1))</f>
        <v/>
      </c>
      <c r="Y30" s="11">
        <f>EOMONTH(X30,1)</f>
        <v/>
      </c>
      <c r="Z30" t="b">
        <v>0</v>
      </c>
    </row>
    <row r="31">
      <c r="A31" s="3" t="inlineStr">
        <is>
          <t>Heron View</t>
        </is>
      </c>
      <c r="B31" s="3" t="inlineStr">
        <is>
          <t>C</t>
        </is>
      </c>
      <c r="C31" s="3" t="inlineStr">
        <is>
          <t>HVC201</t>
        </is>
      </c>
      <c r="D31" s="3" t="b">
        <v>1</v>
      </c>
      <c r="E31" s="3" t="b">
        <v>1</v>
      </c>
      <c r="F31" s="3">
        <f>IF(OR(Z31=TRUE,SUMIFS('Cashflow Projection'!$E$119:$E$151,'Cashflow Projection'!$D$119:$D$151,Sales!C31)=1),0,SUMIFS('Cashflow Projection'!$C$7:$C$23,'Cashflow Projection'!$B$7:$B$23,Sales!B31,'Cashflow Projection'!$A$7:$A$23,Sales!A31))</f>
        <v/>
      </c>
      <c r="G31" s="4" t="n">
        <v>45177</v>
      </c>
      <c r="H31" s="4" t="n">
        <v>45688</v>
      </c>
      <c r="I31" s="3" t="n">
        <v>1529900</v>
      </c>
      <c r="J31" s="3" t="n">
        <v>199552.1739130435</v>
      </c>
      <c r="K31" s="3" t="n">
        <v>1330347.826086957</v>
      </c>
      <c r="L31" s="3" t="n">
        <v>18502.08</v>
      </c>
      <c r="M31" s="3" t="n">
        <v>1789</v>
      </c>
      <c r="N31" s="3" t="n">
        <v>7649.5</v>
      </c>
      <c r="O31" s="3" t="n">
        <v>76495</v>
      </c>
      <c r="P31" s="3" t="n">
        <v>19224.37</v>
      </c>
      <c r="Q31" s="9">
        <f>K31-SUM(L31:P31)</f>
        <v/>
      </c>
      <c r="R31" s="10">
        <f>IF($F31=1,((SUMIFS(Investors!$M:$M,Investors!$E:$E,Sales!$C31,Investors!$O:$O,FALSE)+SUMIFS(Investors!$S:$S,Investors!$E:$E,Sales!$C31,Investors!$O:$O,FALSE))*$F31)-SUMIFS('Investor Exit List'!$Q:$Q,'Investor Exit List'!$Y:$Y,1,'Investor Exit List'!$Z:$Z,"Release",'Investor Exit List'!$C:$C,Sales!$C31),(SUMIFS(Investors!$M:$M,Investors!$E:$E,Sales!$C31,Investors!$O:$O,FALSE)+SUMIFS(Investors!$S:$S,Investors!$E:$E,Sales!$C31,Investors!$O:$O,FALSE))*$F31)</f>
        <v/>
      </c>
      <c r="S31" s="10">
        <f>IF(T31=FALSE,Q31-R31,+V31)</f>
        <v/>
      </c>
      <c r="T31" s="3">
        <f>IF(SUMIFS('Cashflow Projection'!$E$119:$E$151,'Cashflow Projection'!$D$119:$D$151,Sales!C31)&lt;&gt;0,TRUE,FALSE)</f>
        <v/>
      </c>
      <c r="U31" s="4" t="n">
        <v>45747</v>
      </c>
      <c r="V31" s="10" t="n">
        <v>177717.2514810958</v>
      </c>
      <c r="W31" s="11">
        <f>IF(SUMIFS('Cashflow Projection'!$E$119:$E$151,'Cashflow Projection'!$D$119:$D$151,Sales!C31)=1,SUMIFS('Cashflow Projection'!$C$119:$C$151,'Cashflow Projection'!$D$119:$D$151,Sales!C31),+Sales!H31)</f>
        <v/>
      </c>
      <c r="X31" s="11">
        <f>IF(MOD(MONTH(W31), 2) &lt;&gt; 0, EOMONTH(W31, 2), EOMONTH(W31, 1))</f>
        <v/>
      </c>
      <c r="Y31" s="11">
        <f>EOMONTH(X31,1)</f>
        <v/>
      </c>
      <c r="Z31" t="b">
        <v>0</v>
      </c>
    </row>
    <row r="32">
      <c r="A32" s="3" t="inlineStr">
        <is>
          <t>Heron View</t>
        </is>
      </c>
      <c r="B32" s="3" t="inlineStr">
        <is>
          <t>E</t>
        </is>
      </c>
      <c r="C32" s="3" t="inlineStr">
        <is>
          <t>HVE304</t>
        </is>
      </c>
      <c r="D32" s="3" t="b">
        <v>0</v>
      </c>
      <c r="E32" s="3" t="b">
        <v>0</v>
      </c>
      <c r="F32" s="3">
        <f>IF(OR(Z32=TRUE,SUMIFS('Cashflow Projection'!$E$119:$E$151,'Cashflow Projection'!$D$119:$D$151,Sales!C32)=1),0,SUMIFS('Cashflow Projection'!$C$7:$C$23,'Cashflow Projection'!$B$7:$B$23,Sales!B32,'Cashflow Projection'!$A$7:$A$23,Sales!A32))</f>
        <v/>
      </c>
      <c r="G32" s="4" t="n">
        <v>45685</v>
      </c>
      <c r="H32" s="4" t="n">
        <v>45685</v>
      </c>
      <c r="I32" s="3" t="n">
        <v>1499900</v>
      </c>
      <c r="J32" s="3" t="n">
        <v>195639.1304347826</v>
      </c>
      <c r="K32" s="3" t="n">
        <v>1304260.869565218</v>
      </c>
      <c r="L32" s="3" t="n">
        <v>18502.08</v>
      </c>
      <c r="M32" s="3" t="n">
        <v>1789</v>
      </c>
      <c r="N32" s="3" t="n">
        <v>7499.5</v>
      </c>
      <c r="O32" s="3" t="n">
        <v>74995</v>
      </c>
      <c r="P32" s="3" t="n">
        <v>19224.37</v>
      </c>
      <c r="Q32" s="9">
        <f>K32-SUM(L32:P32)</f>
        <v/>
      </c>
      <c r="R32" s="10">
        <f>IF($F32=1,((SUMIFS(Investors!$M:$M,Investors!$E:$E,Sales!$C32,Investors!$O:$O,FALSE)+SUMIFS(Investors!$S:$S,Investors!$E:$E,Sales!$C32,Investors!$O:$O,FALSE))*$F32)-SUMIFS('Investor Exit List'!$Q:$Q,'Investor Exit List'!$Y:$Y,1,'Investor Exit List'!$Z:$Z,"Release",'Investor Exit List'!$C:$C,Sales!$C32),(SUMIFS(Investors!$M:$M,Investors!$E:$E,Sales!$C32,Investors!$O:$O,FALSE)+SUMIFS(Investors!$S:$S,Investors!$E:$E,Sales!$C32,Investors!$O:$O,FALSE))*$F32)</f>
        <v/>
      </c>
      <c r="S32" s="10">
        <f>IF(T32=FALSE,Q32-R32,+V32)</f>
        <v/>
      </c>
      <c r="T32" s="3">
        <f>IF(SUMIFS('Cashflow Projection'!$E$119:$E$151,'Cashflow Projection'!$D$119:$D$151,Sales!C32)&lt;&gt;0,TRUE,FALSE)</f>
        <v/>
      </c>
      <c r="U32" s="4" t="n">
        <v>45747</v>
      </c>
      <c r="V32" s="10" t="n">
        <v>-78942.82671232894</v>
      </c>
      <c r="W32" s="11">
        <f>IF(SUMIFS('Cashflow Projection'!$E$119:$E$151,'Cashflow Projection'!$D$119:$D$151,Sales!C32)=1,SUMIFS('Cashflow Projection'!$C$119:$C$151,'Cashflow Projection'!$D$119:$D$151,Sales!C32),+Sales!H32)</f>
        <v/>
      </c>
      <c r="X32" s="11">
        <f>IF(MOD(MONTH(W32), 2) &lt;&gt; 0, EOMONTH(W32, 2), EOMONTH(W32, 1))</f>
        <v/>
      </c>
      <c r="Y32" s="11">
        <f>EOMONTH(X32,1)</f>
        <v/>
      </c>
      <c r="Z32" t="b">
        <v>0</v>
      </c>
    </row>
    <row r="33">
      <c r="A33" s="3" t="inlineStr">
        <is>
          <t>Heron View</t>
        </is>
      </c>
      <c r="B33" s="3" t="inlineStr">
        <is>
          <t>K</t>
        </is>
      </c>
      <c r="C33" s="3" t="inlineStr">
        <is>
          <t>HVK204</t>
        </is>
      </c>
      <c r="D33" s="3" t="b">
        <v>0</v>
      </c>
      <c r="E33" s="3" t="b">
        <v>0</v>
      </c>
      <c r="F33" s="3">
        <f>IF(OR(Z33=TRUE,SUMIFS('Cashflow Projection'!$E$119:$E$151,'Cashflow Projection'!$D$119:$D$151,Sales!C33)=1),0,SUMIFS('Cashflow Projection'!$C$7:$C$23,'Cashflow Projection'!$B$7:$B$23,Sales!B33,'Cashflow Projection'!$A$7:$A$23,Sales!A33))</f>
        <v/>
      </c>
      <c r="G33" s="4" t="n">
        <v>45510</v>
      </c>
      <c r="H33" s="4" t="n">
        <v>45625</v>
      </c>
      <c r="I33" s="3" t="n">
        <v>1499900</v>
      </c>
      <c r="J33" s="3" t="n">
        <v>195639.1304347826</v>
      </c>
      <c r="K33" s="3" t="n">
        <v>1304260.869565218</v>
      </c>
      <c r="L33" s="3" t="n">
        <v>18502.08</v>
      </c>
      <c r="M33" s="3" t="n">
        <v>1789</v>
      </c>
      <c r="N33" s="3" t="n">
        <v>7499.5</v>
      </c>
      <c r="O33" s="3" t="n">
        <v>74995</v>
      </c>
      <c r="P33" s="3" t="n">
        <v>19224.37</v>
      </c>
      <c r="Q33" s="9">
        <f>K33-SUM(L33:P33)</f>
        <v/>
      </c>
      <c r="R33" s="10">
        <f>IF($F33=1,((SUMIFS(Investors!$M:$M,Investors!$E:$E,Sales!$C33,Investors!$O:$O,FALSE)+SUMIFS(Investors!$S:$S,Investors!$E:$E,Sales!$C33,Investors!$O:$O,FALSE))*$F33)-SUMIFS('Investor Exit List'!$Q:$Q,'Investor Exit List'!$Y:$Y,1,'Investor Exit List'!$Z:$Z,"Release",'Investor Exit List'!$C:$C,Sales!$C33),(SUMIFS(Investors!$M:$M,Investors!$E:$E,Sales!$C33,Investors!$O:$O,FALSE)+SUMIFS(Investors!$S:$S,Investors!$E:$E,Sales!$C33,Investors!$O:$O,FALSE))*$F33)</f>
        <v/>
      </c>
      <c r="S33" s="10">
        <f>IF(T33=FALSE,Q33-R33,+V33)</f>
        <v/>
      </c>
      <c r="T33" s="3">
        <f>IF(SUMIFS('Cashflow Projection'!$E$119:$E$151,'Cashflow Projection'!$D$119:$D$151,Sales!C33)&lt;&gt;0,TRUE,FALSE)</f>
        <v/>
      </c>
      <c r="U33" s="4" t="n">
        <v>45688</v>
      </c>
      <c r="V33" s="10" t="n">
        <v>-10865.33463609591</v>
      </c>
      <c r="W33" s="11">
        <f>IF(SUMIFS('Cashflow Projection'!$E$119:$E$151,'Cashflow Projection'!$D$119:$D$151,Sales!C33)=1,SUMIFS('Cashflow Projection'!$C$119:$C$151,'Cashflow Projection'!$D$119:$D$151,Sales!C33),+Sales!H33)</f>
        <v/>
      </c>
      <c r="X33" s="11">
        <f>IF(MOD(MONTH(W33), 2) &lt;&gt; 0, EOMONTH(W33, 2), EOMONTH(W33, 1))</f>
        <v/>
      </c>
      <c r="Y33" s="11">
        <f>EOMONTH(X33,1)</f>
        <v/>
      </c>
      <c r="Z33" t="b">
        <v>0</v>
      </c>
    </row>
    <row r="34">
      <c r="A34" s="3" t="inlineStr">
        <is>
          <t>Heron View</t>
        </is>
      </c>
      <c r="B34" s="3" t="inlineStr">
        <is>
          <t>K</t>
        </is>
      </c>
      <c r="C34" s="3" t="inlineStr">
        <is>
          <t>HVK403</t>
        </is>
      </c>
      <c r="D34" s="3" t="b">
        <v>0</v>
      </c>
      <c r="E34" s="3" t="b">
        <v>0</v>
      </c>
      <c r="F34" s="3">
        <f>IF(OR(Z34=TRUE,SUMIFS('Cashflow Projection'!$E$119:$E$151,'Cashflow Projection'!$D$119:$D$151,Sales!C34)=1),0,SUMIFS('Cashflow Projection'!$C$7:$C$23,'Cashflow Projection'!$B$7:$B$23,Sales!B34,'Cashflow Projection'!$A$7:$A$23,Sales!A34))</f>
        <v/>
      </c>
      <c r="G34" s="4" t="n">
        <v>45510</v>
      </c>
      <c r="H34" s="4" t="n">
        <v>45625</v>
      </c>
      <c r="I34" s="3" t="n">
        <v>1749900</v>
      </c>
      <c r="J34" s="3" t="n">
        <v>228247.8260869565</v>
      </c>
      <c r="K34" s="3" t="n">
        <v>1521652.173913044</v>
      </c>
      <c r="L34" s="3" t="n">
        <v>18502.08</v>
      </c>
      <c r="M34" s="3" t="n">
        <v>1789</v>
      </c>
      <c r="N34" s="3" t="n">
        <v>8749.5</v>
      </c>
      <c r="O34" s="3" t="n">
        <v>87495</v>
      </c>
      <c r="P34" s="3" t="n">
        <v>19224.37</v>
      </c>
      <c r="Q34" s="9">
        <f>K34-SUM(L34:P34)</f>
        <v/>
      </c>
      <c r="R34" s="10">
        <f>IF($F34=1,((SUMIFS(Investors!$M:$M,Investors!$E:$E,Sales!$C34,Investors!$O:$O,FALSE)+SUMIFS(Investors!$S:$S,Investors!$E:$E,Sales!$C34,Investors!$O:$O,FALSE))*$F34)-SUMIFS('Investor Exit List'!$Q:$Q,'Investor Exit List'!$Y:$Y,1,'Investor Exit List'!$Z:$Z,"Release",'Investor Exit List'!$C:$C,Sales!$C34),(SUMIFS(Investors!$M:$M,Investors!$E:$E,Sales!$C34,Investors!$O:$O,FALSE)+SUMIFS(Investors!$S:$S,Investors!$E:$E,Sales!$C34,Investors!$O:$O,FALSE))*$F34)</f>
        <v/>
      </c>
      <c r="S34" s="10">
        <f>IF(T34=FALSE,Q34-R34,+V34)</f>
        <v/>
      </c>
      <c r="T34" s="3">
        <f>IF(SUMIFS('Cashflow Projection'!$E$119:$E$151,'Cashflow Projection'!$D$119:$D$151,Sales!C34)&lt;&gt;0,TRUE,FALSE)</f>
        <v/>
      </c>
      <c r="U34" s="4" t="n">
        <v>45688</v>
      </c>
      <c r="V34" s="10" t="n">
        <v>243164.749769863</v>
      </c>
      <c r="W34" s="11">
        <f>IF(SUMIFS('Cashflow Projection'!$E$119:$E$151,'Cashflow Projection'!$D$119:$D$151,Sales!C34)=1,SUMIFS('Cashflow Projection'!$C$119:$C$151,'Cashflow Projection'!$D$119:$D$151,Sales!C34),+Sales!H34)</f>
        <v/>
      </c>
      <c r="X34" s="11">
        <f>IF(MOD(MONTH(W34), 2) &lt;&gt; 0, EOMONTH(W34, 2), EOMONTH(W34, 1))</f>
        <v/>
      </c>
      <c r="Y34" s="11">
        <f>EOMONTH(X34,1)</f>
        <v/>
      </c>
      <c r="Z34" t="b">
        <v>0</v>
      </c>
    </row>
    <row r="35">
      <c r="A35" s="3" t="inlineStr">
        <is>
          <t>Endulini</t>
        </is>
      </c>
      <c r="B35" s="3" t="inlineStr">
        <is>
          <t>A</t>
        </is>
      </c>
      <c r="C35" s="3" t="inlineStr">
        <is>
          <t>EA303</t>
        </is>
      </c>
      <c r="D35" s="3" t="b">
        <v>1</v>
      </c>
      <c r="E35" s="3" t="b">
        <v>1</v>
      </c>
      <c r="F35" s="3">
        <f>IF(OR(Z35=TRUE,SUMIFS('Cashflow Projection'!$E$119:$E$151,'Cashflow Projection'!$D$119:$D$151,Sales!C35)=1),0,SUMIFS('Cashflow Projection'!$C$7:$C$23,'Cashflow Projection'!$B$7:$B$23,Sales!B35,'Cashflow Projection'!$A$7:$A$23,Sales!A35))</f>
        <v/>
      </c>
      <c r="G35" s="4" t="n">
        <v>45079</v>
      </c>
      <c r="H35" s="4" t="n">
        <v>45688</v>
      </c>
      <c r="I35" s="3" t="n">
        <v>1559900</v>
      </c>
      <c r="J35" s="3" t="n">
        <v>203465.2173913044</v>
      </c>
      <c r="K35" s="3" t="n">
        <v>1356434.782608696</v>
      </c>
      <c r="L35" s="3" t="n">
        <v>18502.08</v>
      </c>
      <c r="M35" s="3" t="n">
        <v>1789</v>
      </c>
      <c r="N35" s="3" t="n">
        <v>7799.5</v>
      </c>
      <c r="O35" s="3" t="n">
        <v>77995</v>
      </c>
      <c r="P35" s="3" t="n">
        <v>19224.37</v>
      </c>
      <c r="Q35" s="9">
        <f>K35-SUM(L35:P35)</f>
        <v/>
      </c>
      <c r="R35" s="10">
        <f>IF($F35=1,((SUMIFS(Investors!$M:$M,Investors!$E:$E,Sales!$C35,Investors!$O:$O,FALSE)+SUMIFS(Investors!$S:$S,Investors!$E:$E,Sales!$C35,Investors!$O:$O,FALSE))*$F35)-SUMIFS('Investor Exit List'!$Q:$Q,'Investor Exit List'!$Y:$Y,1,'Investor Exit List'!$Z:$Z,"Release",'Investor Exit List'!$C:$C,Sales!$C35),(SUMIFS(Investors!$M:$M,Investors!$E:$E,Sales!$C35,Investors!$O:$O,FALSE)+SUMIFS(Investors!$S:$S,Investors!$E:$E,Sales!$C35,Investors!$O:$O,FALSE))*$F35)</f>
        <v/>
      </c>
      <c r="S35" s="10">
        <f>IF(T35=FALSE,Q35-R35,+V35)</f>
        <v/>
      </c>
      <c r="T35" s="3">
        <f>IF(SUMIFS('Cashflow Projection'!$E$119:$E$151,'Cashflow Projection'!$D$119:$D$151,Sales!C35)&lt;&gt;0,TRUE,FALSE)</f>
        <v/>
      </c>
      <c r="U35" s="4" t="n">
        <v>45747</v>
      </c>
      <c r="V35" s="10" t="n">
        <v>397481.1458904108</v>
      </c>
      <c r="W35" s="11">
        <f>IF(SUMIFS('Cashflow Projection'!$E$119:$E$151,'Cashflow Projection'!$D$119:$D$151,Sales!C35)=1,SUMIFS('Cashflow Projection'!$C$119:$C$151,'Cashflow Projection'!$D$119:$D$151,Sales!C35),+Sales!H35)</f>
        <v/>
      </c>
      <c r="X35" s="11">
        <f>IF(MOD(MONTH(W35), 2) &lt;&gt; 0, EOMONTH(W35, 2), EOMONTH(W35, 1))</f>
        <v/>
      </c>
      <c r="Y35" s="11">
        <f>EOMONTH(X35,1)</f>
        <v/>
      </c>
      <c r="Z35" t="b">
        <v>0</v>
      </c>
    </row>
    <row r="36">
      <c r="A36" s="3" t="inlineStr">
        <is>
          <t>Endulini</t>
        </is>
      </c>
      <c r="B36" s="3" t="inlineStr">
        <is>
          <t>A</t>
        </is>
      </c>
      <c r="C36" s="3" t="inlineStr">
        <is>
          <t>EA103</t>
        </is>
      </c>
      <c r="D36" s="3" t="b">
        <v>1</v>
      </c>
      <c r="E36" s="3" t="b">
        <v>1</v>
      </c>
      <c r="F36" s="3">
        <f>IF(OR(Z36=TRUE,SUMIFS('Cashflow Projection'!$E$119:$E$151,'Cashflow Projection'!$D$119:$D$151,Sales!C36)=1),0,SUMIFS('Cashflow Projection'!$C$7:$C$23,'Cashflow Projection'!$B$7:$B$23,Sales!B36,'Cashflow Projection'!$A$7:$A$23,Sales!A36))</f>
        <v/>
      </c>
      <c r="G36" s="4" t="n">
        <v>44869</v>
      </c>
      <c r="H36" s="4" t="n">
        <v>45688</v>
      </c>
      <c r="I36" s="3" t="n">
        <v>1549900</v>
      </c>
      <c r="J36" s="3" t="n">
        <v>202160.8695652174</v>
      </c>
      <c r="K36" s="3" t="n">
        <v>1347739.130434783</v>
      </c>
      <c r="L36" s="3" t="n">
        <v>18502.08</v>
      </c>
      <c r="M36" s="3" t="n">
        <v>1789</v>
      </c>
      <c r="N36" s="3" t="n">
        <v>7749.5</v>
      </c>
      <c r="O36" s="3" t="n">
        <v>77495</v>
      </c>
      <c r="P36" s="3" t="n">
        <v>19224.37</v>
      </c>
      <c r="Q36" s="9">
        <f>K36-SUM(L36:P36)</f>
        <v/>
      </c>
      <c r="R36" s="10">
        <f>IF($F36=1,((SUMIFS(Investors!$M:$M,Investors!$E:$E,Sales!$C36,Investors!$O:$O,FALSE)+SUMIFS(Investors!$S:$S,Investors!$E:$E,Sales!$C36,Investors!$O:$O,FALSE))*$F36)-SUMIFS('Investor Exit List'!$Q:$Q,'Investor Exit List'!$Y:$Y,1,'Investor Exit List'!$Z:$Z,"Release",'Investor Exit List'!$C:$C,Sales!$C36),(SUMIFS(Investors!$M:$M,Investors!$E:$E,Sales!$C36,Investors!$O:$O,FALSE)+SUMIFS(Investors!$S:$S,Investors!$E:$E,Sales!$C36,Investors!$O:$O,FALSE))*$F36)</f>
        <v/>
      </c>
      <c r="S36" s="10">
        <f>IF(T36=FALSE,Q36-R36,+V36)</f>
        <v/>
      </c>
      <c r="T36" s="3">
        <f>IF(SUMIFS('Cashflow Projection'!$E$119:$E$151,'Cashflow Projection'!$D$119:$D$151,Sales!C36)&lt;&gt;0,TRUE,FALSE)</f>
        <v/>
      </c>
      <c r="U36" s="4" t="n">
        <v>45747</v>
      </c>
      <c r="V36" s="10" t="n">
        <v>196095.5294520545</v>
      </c>
      <c r="W36" s="11">
        <f>IF(SUMIFS('Cashflow Projection'!$E$119:$E$151,'Cashflow Projection'!$D$119:$D$151,Sales!C36)=1,SUMIFS('Cashflow Projection'!$C$119:$C$151,'Cashflow Projection'!$D$119:$D$151,Sales!C36),+Sales!H36)</f>
        <v/>
      </c>
      <c r="X36" s="11">
        <f>IF(MOD(MONTH(W36), 2) &lt;&gt; 0, EOMONTH(W36, 2), EOMONTH(W36, 1))</f>
        <v/>
      </c>
      <c r="Y36" s="11">
        <f>EOMONTH(X36,1)</f>
        <v/>
      </c>
      <c r="Z36" t="b">
        <v>0</v>
      </c>
    </row>
    <row r="37">
      <c r="A37" s="3" t="inlineStr">
        <is>
          <t>Endulini</t>
        </is>
      </c>
      <c r="B37" s="3" t="inlineStr">
        <is>
          <t>A</t>
        </is>
      </c>
      <c r="C37" s="3" t="inlineStr">
        <is>
          <t>EA104</t>
        </is>
      </c>
      <c r="D37" s="3" t="b">
        <v>1</v>
      </c>
      <c r="E37" s="3" t="b">
        <v>1</v>
      </c>
      <c r="F37" s="3">
        <f>IF(OR(Z37=TRUE,SUMIFS('Cashflow Projection'!$E$119:$E$151,'Cashflow Projection'!$D$119:$D$151,Sales!C37)=1),0,SUMIFS('Cashflow Projection'!$C$7:$C$23,'Cashflow Projection'!$B$7:$B$23,Sales!B37,'Cashflow Projection'!$A$7:$A$23,Sales!A37))</f>
        <v/>
      </c>
      <c r="G37" s="4" t="n">
        <v>44960</v>
      </c>
      <c r="H37" s="4" t="n">
        <v>45688</v>
      </c>
      <c r="I37" s="3" t="n">
        <v>1559900</v>
      </c>
      <c r="J37" s="3" t="n">
        <v>203465.2173913044</v>
      </c>
      <c r="K37" s="3" t="n">
        <v>1356434.782608696</v>
      </c>
      <c r="L37" s="3" t="n">
        <v>18502.08</v>
      </c>
      <c r="M37" s="3" t="n">
        <v>1789</v>
      </c>
      <c r="N37" s="3" t="n">
        <v>7799.5</v>
      </c>
      <c r="O37" s="3" t="n">
        <v>77995</v>
      </c>
      <c r="P37" s="3" t="n">
        <v>19224.37</v>
      </c>
      <c r="Q37" s="9">
        <f>K37-SUM(L37:P37)</f>
        <v/>
      </c>
      <c r="R37" s="10">
        <f>IF($F37=1,((SUMIFS(Investors!$M:$M,Investors!$E:$E,Sales!$C37,Investors!$O:$O,FALSE)+SUMIFS(Investors!$S:$S,Investors!$E:$E,Sales!$C37,Investors!$O:$O,FALSE))*$F37)-SUMIFS('Investor Exit List'!$Q:$Q,'Investor Exit List'!$Y:$Y,1,'Investor Exit List'!$Z:$Z,"Release",'Investor Exit List'!$C:$C,Sales!$C37),(SUMIFS(Investors!$M:$M,Investors!$E:$E,Sales!$C37,Investors!$O:$O,FALSE)+SUMIFS(Investors!$S:$S,Investors!$E:$E,Sales!$C37,Investors!$O:$O,FALSE))*$F37)</f>
        <v/>
      </c>
      <c r="S37" s="10">
        <f>IF(T37=FALSE,Q37-R37,+V37)</f>
        <v/>
      </c>
      <c r="T37" s="3">
        <f>IF(SUMIFS('Cashflow Projection'!$E$119:$E$151,'Cashflow Projection'!$D$119:$D$151,Sales!C37)&lt;&gt;0,TRUE,FALSE)</f>
        <v/>
      </c>
      <c r="U37" s="4" t="n">
        <v>45747</v>
      </c>
      <c r="V37" s="10" t="n">
        <v>156487.3102739723</v>
      </c>
      <c r="W37" s="11">
        <f>IF(SUMIFS('Cashflow Projection'!$E$119:$E$151,'Cashflow Projection'!$D$119:$D$151,Sales!C37)=1,SUMIFS('Cashflow Projection'!$C$119:$C$151,'Cashflow Projection'!$D$119:$D$151,Sales!C37),+Sales!H37)</f>
        <v/>
      </c>
      <c r="X37" s="11">
        <f>IF(MOD(MONTH(W37), 2) &lt;&gt; 0, EOMONTH(W37, 2), EOMONTH(W37, 1))</f>
        <v/>
      </c>
      <c r="Y37" s="11">
        <f>EOMONTH(X37,1)</f>
        <v/>
      </c>
      <c r="Z37" t="b">
        <v>0</v>
      </c>
    </row>
    <row r="38">
      <c r="A38" s="3" t="inlineStr">
        <is>
          <t>Endulini</t>
        </is>
      </c>
      <c r="B38" s="3" t="inlineStr">
        <is>
          <t>A</t>
        </is>
      </c>
      <c r="C38" s="3" t="inlineStr">
        <is>
          <t>EA302</t>
        </is>
      </c>
      <c r="D38" s="3" t="b">
        <v>0</v>
      </c>
      <c r="E38" s="3" t="b">
        <v>0</v>
      </c>
      <c r="F38" s="3">
        <f>IF(OR(Z38=TRUE,SUMIFS('Cashflow Projection'!$E$119:$E$151,'Cashflow Projection'!$D$119:$D$151,Sales!C38)=1),0,SUMIFS('Cashflow Projection'!$C$7:$C$23,'Cashflow Projection'!$B$7:$B$23,Sales!B38,'Cashflow Projection'!$A$7:$A$23,Sales!A38))</f>
        <v/>
      </c>
      <c r="G38" s="4" t="n">
        <v>45478</v>
      </c>
      <c r="H38" s="4" t="n">
        <v>45427</v>
      </c>
      <c r="I38" s="3" t="n">
        <v>1559900</v>
      </c>
      <c r="J38" s="3" t="n">
        <v>0</v>
      </c>
      <c r="K38" s="3" t="n">
        <v>1356434.782608696</v>
      </c>
      <c r="L38" s="3" t="n">
        <v>18502.08</v>
      </c>
      <c r="M38" s="3" t="n">
        <v>1789</v>
      </c>
      <c r="N38" s="3" t="n">
        <v>7799.5</v>
      </c>
      <c r="O38" s="3" t="n">
        <v>77995</v>
      </c>
      <c r="P38" s="3" t="n">
        <v>19224.37</v>
      </c>
      <c r="Q38" s="9">
        <f>K38-SUM(L38:P38)</f>
        <v/>
      </c>
      <c r="R38" s="10">
        <f>IF($F38=1,((SUMIFS(Investors!$M:$M,Investors!$E:$E,Sales!$C38,Investors!$O:$O,FALSE)+SUMIFS(Investors!$S:$S,Investors!$E:$E,Sales!$C38,Investors!$O:$O,FALSE))*$F38)-SUMIFS('Investor Exit List'!$Q:$Q,'Investor Exit List'!$Y:$Y,1,'Investor Exit List'!$Z:$Z,"Release",'Investor Exit List'!$C:$C,Sales!$C38),(SUMIFS(Investors!$M:$M,Investors!$E:$E,Sales!$C38,Investors!$O:$O,FALSE)+SUMIFS(Investors!$S:$S,Investors!$E:$E,Sales!$C38,Investors!$O:$O,FALSE))*$F38)</f>
        <v/>
      </c>
      <c r="S38" s="10">
        <f>IF(T38=FALSE,Q38-R38,+V38)</f>
        <v/>
      </c>
      <c r="T38" s="3">
        <f>IF(SUMIFS('Cashflow Projection'!$E$119:$E$151,'Cashflow Projection'!$D$119:$D$151,Sales!C38)&lt;&gt;0,TRUE,FALSE)</f>
        <v/>
      </c>
      <c r="U38" s="4" t="n">
        <v>45504</v>
      </c>
      <c r="V38" s="10" t="n">
        <v>921500</v>
      </c>
      <c r="W38" s="11">
        <f>IF(SUMIFS('Cashflow Projection'!$E$119:$E$151,'Cashflow Projection'!$D$119:$D$151,Sales!C38)=1,SUMIFS('Cashflow Projection'!$C$119:$C$151,'Cashflow Projection'!$D$119:$D$151,Sales!C38),+Sales!H38)</f>
        <v/>
      </c>
      <c r="X38" s="11">
        <f>IF(MOD(MONTH(W38), 2) &lt;&gt; 0, EOMONTH(W38, 2), EOMONTH(W38, 1))</f>
        <v/>
      </c>
      <c r="Y38" s="11">
        <f>EOMONTH(X38,1)</f>
        <v/>
      </c>
      <c r="Z38" t="b">
        <v>0</v>
      </c>
    </row>
    <row r="39">
      <c r="A39" s="3" t="inlineStr">
        <is>
          <t>Endulini</t>
        </is>
      </c>
      <c r="B39" s="3" t="inlineStr">
        <is>
          <t>A</t>
        </is>
      </c>
      <c r="C39" s="3" t="inlineStr">
        <is>
          <t>EA109</t>
        </is>
      </c>
      <c r="D39" s="3" t="b">
        <v>1</v>
      </c>
      <c r="E39" s="3" t="b">
        <v>1</v>
      </c>
      <c r="F39" s="3">
        <f>IF(OR(Z39=TRUE,SUMIFS('Cashflow Projection'!$E$119:$E$151,'Cashflow Projection'!$D$119:$D$151,Sales!C39)=1),0,SUMIFS('Cashflow Projection'!$C$7:$C$23,'Cashflow Projection'!$B$7:$B$23,Sales!B39,'Cashflow Projection'!$A$7:$A$23,Sales!A39))</f>
        <v/>
      </c>
      <c r="G39" s="4" t="n">
        <v>44845</v>
      </c>
      <c r="H39" s="4" t="n">
        <v>45688</v>
      </c>
      <c r="I39" s="3" t="n">
        <v>1599900</v>
      </c>
      <c r="J39" s="3" t="n">
        <v>208682.6086956522</v>
      </c>
      <c r="K39" s="3" t="n">
        <v>1391217.391304348</v>
      </c>
      <c r="L39" s="3" t="n">
        <v>18502.08</v>
      </c>
      <c r="M39" s="3" t="n">
        <v>1789</v>
      </c>
      <c r="N39" s="3" t="n">
        <v>7999.5</v>
      </c>
      <c r="O39" s="3" t="n">
        <v>79995</v>
      </c>
      <c r="P39" s="3" t="n">
        <v>19224.37</v>
      </c>
      <c r="Q39" s="9">
        <f>K39-SUM(L39:P39)</f>
        <v/>
      </c>
      <c r="R39" s="10">
        <f>IF($F39=1,((SUMIFS(Investors!$M:$M,Investors!$E:$E,Sales!$C39,Investors!$O:$O,FALSE)+SUMIFS(Investors!$S:$S,Investors!$E:$E,Sales!$C39,Investors!$O:$O,FALSE))*$F39)-SUMIFS('Investor Exit List'!$Q:$Q,'Investor Exit List'!$Y:$Y,1,'Investor Exit List'!$Z:$Z,"Release",'Investor Exit List'!$C:$C,Sales!$C39),(SUMIFS(Investors!$M:$M,Investors!$E:$E,Sales!$C39,Investors!$O:$O,FALSE)+SUMIFS(Investors!$S:$S,Investors!$E:$E,Sales!$C39,Investors!$O:$O,FALSE))*$F39)</f>
        <v/>
      </c>
      <c r="S39" s="10">
        <f>IF(T39=FALSE,Q39-R39,+V39)</f>
        <v/>
      </c>
      <c r="T39" s="3">
        <f>IF(SUMIFS('Cashflow Projection'!$E$119:$E$151,'Cashflow Projection'!$D$119:$D$151,Sales!C39)&lt;&gt;0,TRUE,FALSE)</f>
        <v/>
      </c>
      <c r="U39" s="4" t="n">
        <v>45747</v>
      </c>
      <c r="V39" s="10" t="n">
        <v>288141.4198630136</v>
      </c>
      <c r="W39" s="11">
        <f>IF(SUMIFS('Cashflow Projection'!$E$119:$E$151,'Cashflow Projection'!$D$119:$D$151,Sales!C39)=1,SUMIFS('Cashflow Projection'!$C$119:$C$151,'Cashflow Projection'!$D$119:$D$151,Sales!C39),+Sales!H39)</f>
        <v/>
      </c>
      <c r="X39" s="11">
        <f>IF(MOD(MONTH(W39), 2) &lt;&gt; 0, EOMONTH(W39, 2), EOMONTH(W39, 1))</f>
        <v/>
      </c>
      <c r="Y39" s="11">
        <f>EOMONTH(X39,1)</f>
        <v/>
      </c>
      <c r="Z39" t="b">
        <v>0</v>
      </c>
    </row>
    <row r="40">
      <c r="A40" s="3" t="inlineStr">
        <is>
          <t>Endulini</t>
        </is>
      </c>
      <c r="B40" s="3" t="inlineStr">
        <is>
          <t>C</t>
        </is>
      </c>
      <c r="C40" s="3" t="inlineStr">
        <is>
          <t>EC201</t>
        </is>
      </c>
      <c r="D40" s="3" t="b">
        <v>1</v>
      </c>
      <c r="E40" s="3" t="b">
        <v>1</v>
      </c>
      <c r="F40" s="3">
        <f>IF(OR(Z40=TRUE,SUMIFS('Cashflow Projection'!$E$119:$E$151,'Cashflow Projection'!$D$119:$D$151,Sales!C40)=1),0,SUMIFS('Cashflow Projection'!$C$7:$C$23,'Cashflow Projection'!$B$7:$B$23,Sales!B40,'Cashflow Projection'!$A$7:$A$23,Sales!A40))</f>
        <v/>
      </c>
      <c r="G40" s="4" t="n">
        <v>44848</v>
      </c>
      <c r="H40" s="4" t="n">
        <v>45688</v>
      </c>
      <c r="I40" s="3" t="n">
        <v>1479900</v>
      </c>
      <c r="J40" s="3" t="n">
        <v>193030.4347826087</v>
      </c>
      <c r="K40" s="3" t="n">
        <v>1286869.565217391</v>
      </c>
      <c r="L40" s="3" t="n">
        <v>18502.08</v>
      </c>
      <c r="M40" s="3" t="n">
        <v>1789</v>
      </c>
      <c r="N40" s="3" t="n">
        <v>7399.5</v>
      </c>
      <c r="O40" s="3" t="n">
        <v>73995</v>
      </c>
      <c r="P40" s="3" t="n">
        <v>19224.37</v>
      </c>
      <c r="Q40" s="9">
        <f>K40-SUM(L40:P40)</f>
        <v/>
      </c>
      <c r="R40" s="10">
        <f>IF($F40=1,((SUMIFS(Investors!$M:$M,Investors!$E:$E,Sales!$C40,Investors!$O:$O,FALSE)+SUMIFS(Investors!$S:$S,Investors!$E:$E,Sales!$C40,Investors!$O:$O,FALSE))*$F40)-SUMIFS('Investor Exit List'!$Q:$Q,'Investor Exit List'!$Y:$Y,1,'Investor Exit List'!$Z:$Z,"Release",'Investor Exit List'!$C:$C,Sales!$C40),(SUMIFS(Investors!$M:$M,Investors!$E:$E,Sales!$C40,Investors!$O:$O,FALSE)+SUMIFS(Investors!$S:$S,Investors!$E:$E,Sales!$C40,Investors!$O:$O,FALSE))*$F40)</f>
        <v/>
      </c>
      <c r="S40" s="10">
        <f>IF(T40=FALSE,Q40-R40,+V40)</f>
        <v/>
      </c>
      <c r="T40" s="3">
        <f>IF(SUMIFS('Cashflow Projection'!$E$119:$E$151,'Cashflow Projection'!$D$119:$D$151,Sales!C40)&lt;&gt;0,TRUE,FALSE)</f>
        <v/>
      </c>
      <c r="U40" s="4" t="n">
        <v>45747</v>
      </c>
      <c r="V40" s="10" t="n">
        <v>166868.4524613698</v>
      </c>
      <c r="W40" s="11">
        <f>IF(SUMIFS('Cashflow Projection'!$E$119:$E$151,'Cashflow Projection'!$D$119:$D$151,Sales!C40)=1,SUMIFS('Cashflow Projection'!$C$119:$C$151,'Cashflow Projection'!$D$119:$D$151,Sales!C40),+Sales!H40)</f>
        <v/>
      </c>
      <c r="X40" s="11">
        <f>IF(MOD(MONTH(W40), 2) &lt;&gt; 0, EOMONTH(W40, 2), EOMONTH(W40, 1))</f>
        <v/>
      </c>
      <c r="Y40" s="11">
        <f>EOMONTH(X40,1)</f>
        <v/>
      </c>
      <c r="Z40" t="b">
        <v>0</v>
      </c>
    </row>
    <row r="41">
      <c r="A41" s="3" t="inlineStr">
        <is>
          <t>Endulini</t>
        </is>
      </c>
      <c r="B41" s="3" t="inlineStr">
        <is>
          <t>D</t>
        </is>
      </c>
      <c r="C41" s="3" t="inlineStr">
        <is>
          <t>ED102</t>
        </is>
      </c>
      <c r="D41" s="3" t="b">
        <v>1</v>
      </c>
      <c r="E41" s="3" t="b">
        <v>1</v>
      </c>
      <c r="F41" s="3">
        <f>IF(OR(Z41=TRUE,SUMIFS('Cashflow Projection'!$E$119:$E$151,'Cashflow Projection'!$D$119:$D$151,Sales!C41)=1),0,SUMIFS('Cashflow Projection'!$C$7:$C$23,'Cashflow Projection'!$B$7:$B$23,Sales!B41,'Cashflow Projection'!$A$7:$A$23,Sales!A41))</f>
        <v/>
      </c>
      <c r="G41" s="4" t="n">
        <v>44687</v>
      </c>
      <c r="H41" s="4" t="n">
        <v>45688</v>
      </c>
      <c r="I41" s="3" t="n">
        <v>1349900</v>
      </c>
      <c r="J41" s="3" t="n">
        <v>176073.9130434782</v>
      </c>
      <c r="K41" s="3" t="n">
        <v>1173826.086956522</v>
      </c>
      <c r="L41" s="3" t="n">
        <v>18502.08</v>
      </c>
      <c r="M41" s="3" t="n">
        <v>1789</v>
      </c>
      <c r="N41" s="3" t="n">
        <v>6749.5</v>
      </c>
      <c r="O41" s="3" t="n">
        <v>67495</v>
      </c>
      <c r="P41" s="3" t="n">
        <v>19224.37</v>
      </c>
      <c r="Q41" s="9">
        <f>K41-SUM(L41:P41)</f>
        <v/>
      </c>
      <c r="R41" s="10">
        <f>IF($F41=1,((SUMIFS(Investors!$M:$M,Investors!$E:$E,Sales!$C41,Investors!$O:$O,FALSE)+SUMIFS(Investors!$S:$S,Investors!$E:$E,Sales!$C41,Investors!$O:$O,FALSE))*$F41)-SUMIFS('Investor Exit List'!$Q:$Q,'Investor Exit List'!$Y:$Y,1,'Investor Exit List'!$Z:$Z,"Release",'Investor Exit List'!$C:$C,Sales!$C41),(SUMIFS(Investors!$M:$M,Investors!$E:$E,Sales!$C41,Investors!$O:$O,FALSE)+SUMIFS(Investors!$S:$S,Investors!$E:$E,Sales!$C41,Investors!$O:$O,FALSE))*$F41)</f>
        <v/>
      </c>
      <c r="S41" s="10">
        <f>IF(T41=FALSE,Q41-R41,+V41)</f>
        <v/>
      </c>
      <c r="T41" s="3">
        <f>IF(SUMIFS('Cashflow Projection'!$E$119:$E$151,'Cashflow Projection'!$D$119:$D$151,Sales!C41)&lt;&gt;0,TRUE,FALSE)</f>
        <v/>
      </c>
      <c r="U41" s="4" t="n">
        <v>45747</v>
      </c>
      <c r="V41" s="10" t="n">
        <v>33144.35634356132</v>
      </c>
      <c r="W41" s="11">
        <f>IF(SUMIFS('Cashflow Projection'!$E$119:$E$151,'Cashflow Projection'!$D$119:$D$151,Sales!C41)=1,SUMIFS('Cashflow Projection'!$C$119:$C$151,'Cashflow Projection'!$D$119:$D$151,Sales!C41),+Sales!H41)</f>
        <v/>
      </c>
      <c r="X41" s="11">
        <f>IF(MOD(MONTH(W41), 2) &lt;&gt; 0, EOMONTH(W41, 2), EOMONTH(W41, 1))</f>
        <v/>
      </c>
      <c r="Y41" s="11">
        <f>EOMONTH(X41,1)</f>
        <v/>
      </c>
      <c r="Z41" t="b">
        <v>0</v>
      </c>
    </row>
    <row r="42">
      <c r="A42" s="3" t="inlineStr">
        <is>
          <t>Endulini</t>
        </is>
      </c>
      <c r="B42" s="3" t="inlineStr">
        <is>
          <t>E</t>
        </is>
      </c>
      <c r="C42" s="3" t="inlineStr">
        <is>
          <t>EE101</t>
        </is>
      </c>
      <c r="D42" s="3" t="b">
        <v>1</v>
      </c>
      <c r="E42" s="3" t="b">
        <v>1</v>
      </c>
      <c r="F42" s="3">
        <f>IF(OR(Z42=TRUE,SUMIFS('Cashflow Projection'!$E$119:$E$151,'Cashflow Projection'!$D$119:$D$151,Sales!C42)=1),0,SUMIFS('Cashflow Projection'!$C$7:$C$23,'Cashflow Projection'!$B$7:$B$23,Sales!B42,'Cashflow Projection'!$A$7:$A$23,Sales!A42))</f>
        <v/>
      </c>
      <c r="G42" s="4" t="n">
        <v>44657</v>
      </c>
      <c r="H42" s="4" t="n">
        <v>45688</v>
      </c>
      <c r="I42" s="3" t="n">
        <v>1434900</v>
      </c>
      <c r="J42" s="3" t="n">
        <v>187160.8695652174</v>
      </c>
      <c r="K42" s="3" t="n">
        <v>1247739.130434783</v>
      </c>
      <c r="L42" s="3" t="n">
        <v>18502.08</v>
      </c>
      <c r="M42" s="3" t="n">
        <v>1789</v>
      </c>
      <c r="N42" s="3" t="n">
        <v>7174.5</v>
      </c>
      <c r="O42" s="3" t="n">
        <v>71745</v>
      </c>
      <c r="P42" s="3" t="n">
        <v>19224.37</v>
      </c>
      <c r="Q42" s="9">
        <f>K42-SUM(L42:P42)</f>
        <v/>
      </c>
      <c r="R42" s="10">
        <f>IF($F42=1,((SUMIFS(Investors!$M:$M,Investors!$E:$E,Sales!$C42,Investors!$O:$O,FALSE)+SUMIFS(Investors!$S:$S,Investors!$E:$E,Sales!$C42,Investors!$O:$O,FALSE))*$F42)-SUMIFS('Investor Exit List'!$Q:$Q,'Investor Exit List'!$Y:$Y,1,'Investor Exit List'!$Z:$Z,"Release",'Investor Exit List'!$C:$C,Sales!$C42),(SUMIFS(Investors!$M:$M,Investors!$E:$E,Sales!$C42,Investors!$O:$O,FALSE)+SUMIFS(Investors!$S:$S,Investors!$E:$E,Sales!$C42,Investors!$O:$O,FALSE))*$F42)</f>
        <v/>
      </c>
      <c r="S42" s="10">
        <f>IF(T42=FALSE,Q42-R42,+V42)</f>
        <v/>
      </c>
      <c r="T42" s="3">
        <f>IF(SUMIFS('Cashflow Projection'!$E$119:$E$151,'Cashflow Projection'!$D$119:$D$151,Sales!C42)&lt;&gt;0,TRUE,FALSE)</f>
        <v/>
      </c>
      <c r="U42" s="4" t="n">
        <v>45747</v>
      </c>
      <c r="V42" s="10" t="n">
        <v>82555.46095890389</v>
      </c>
      <c r="W42" s="11">
        <f>IF(SUMIFS('Cashflow Projection'!$E$119:$E$151,'Cashflow Projection'!$D$119:$D$151,Sales!C42)=1,SUMIFS('Cashflow Projection'!$C$119:$C$151,'Cashflow Projection'!$D$119:$D$151,Sales!C42),+Sales!H42)</f>
        <v/>
      </c>
      <c r="X42" s="11">
        <f>IF(MOD(MONTH(W42), 2) &lt;&gt; 0, EOMONTH(W42, 2), EOMONTH(W42, 1))</f>
        <v/>
      </c>
      <c r="Y42" s="11">
        <f>EOMONTH(X42,1)</f>
        <v/>
      </c>
      <c r="Z42" t="b">
        <v>0</v>
      </c>
    </row>
    <row r="43">
      <c r="A43" s="3" t="inlineStr">
        <is>
          <t>Heron Fields</t>
        </is>
      </c>
      <c r="B43" s="3" t="inlineStr">
        <is>
          <t>A</t>
        </is>
      </c>
      <c r="C43" s="3" t="inlineStr">
        <is>
          <t>HFA101</t>
        </is>
      </c>
      <c r="D43" s="3" t="b">
        <v>1</v>
      </c>
      <c r="E43" s="3" t="b">
        <v>1</v>
      </c>
      <c r="F43" s="3">
        <f>IF(OR(Z43=TRUE,SUMIFS('Cashflow Projection'!$E$119:$E$151,'Cashflow Projection'!$D$119:$D$151,Sales!C43)=1),0,SUMIFS('Cashflow Projection'!$C$7:$C$23,'Cashflow Projection'!$B$7:$B$23,Sales!B43,'Cashflow Projection'!$A$7:$A$23,Sales!A43))</f>
        <v/>
      </c>
      <c r="G43" s="4" t="n">
        <v>44887</v>
      </c>
      <c r="H43" s="4" t="n">
        <v>45688</v>
      </c>
      <c r="I43" s="3" t="n">
        <v>1479900</v>
      </c>
      <c r="J43" s="3" t="n">
        <v>193030.4347826087</v>
      </c>
      <c r="K43" s="3" t="n">
        <v>1286869.565217391</v>
      </c>
      <c r="L43" s="3" t="n">
        <v>18502.08</v>
      </c>
      <c r="M43" s="3" t="n">
        <v>1789</v>
      </c>
      <c r="N43" s="3" t="n">
        <v>7399.5</v>
      </c>
      <c r="O43" s="3" t="n">
        <v>73995</v>
      </c>
      <c r="P43" s="3" t="n">
        <v>19224.37</v>
      </c>
      <c r="Q43" s="9">
        <f>K43-SUM(L43:P43)</f>
        <v/>
      </c>
      <c r="R43" s="10">
        <f>IF($F43=1,((SUMIFS(Investors!$M:$M,Investors!$E:$E,Sales!$C43,Investors!$O:$O,FALSE)+SUMIFS(Investors!$S:$S,Investors!$E:$E,Sales!$C43,Investors!$O:$O,FALSE))*$F43)-SUMIFS('Investor Exit List'!$Q:$Q,'Investor Exit List'!$Y:$Y,1,'Investor Exit List'!$Z:$Z,"Release",'Investor Exit List'!$C:$C,Sales!$C43),(SUMIFS(Investors!$M:$M,Investors!$E:$E,Sales!$C43,Investors!$O:$O,FALSE)+SUMIFS(Investors!$S:$S,Investors!$E:$E,Sales!$C43,Investors!$O:$O,FALSE))*$F43)</f>
        <v/>
      </c>
      <c r="S43" s="10">
        <f>IF(T43=FALSE,Q43-R43,+V43)</f>
        <v/>
      </c>
      <c r="T43" s="3">
        <f>IF(SUMIFS('Cashflow Projection'!$E$119:$E$151,'Cashflow Projection'!$D$119:$D$151,Sales!C43)&lt;&gt;0,TRUE,FALSE)</f>
        <v/>
      </c>
      <c r="U43" s="4" t="n">
        <v>45747</v>
      </c>
      <c r="V43" s="10" t="n">
        <v>206805.4259752054</v>
      </c>
      <c r="W43" s="11">
        <f>IF(SUMIFS('Cashflow Projection'!$E$119:$E$151,'Cashflow Projection'!$D$119:$D$151,Sales!C43)=1,SUMIFS('Cashflow Projection'!$C$119:$C$151,'Cashflow Projection'!$D$119:$D$151,Sales!C43),+Sales!H43)</f>
        <v/>
      </c>
      <c r="X43" s="11">
        <f>IF(MOD(MONTH(W43), 2) &lt;&gt; 0, EOMONTH(W43, 2), EOMONTH(W43, 1))</f>
        <v/>
      </c>
      <c r="Y43" s="11">
        <f>EOMONTH(X43,1)</f>
        <v/>
      </c>
      <c r="Z43" t="b">
        <v>0</v>
      </c>
    </row>
    <row r="44">
      <c r="A44" s="3" t="inlineStr">
        <is>
          <t>Heron Fields</t>
        </is>
      </c>
      <c r="B44" s="3" t="inlineStr">
        <is>
          <t>A</t>
        </is>
      </c>
      <c r="C44" s="3" t="inlineStr">
        <is>
          <t>HFA205</t>
        </is>
      </c>
      <c r="D44" s="3" t="b">
        <v>1</v>
      </c>
      <c r="E44" s="3" t="b">
        <v>1</v>
      </c>
      <c r="F44" s="3">
        <f>IF(OR(Z44=TRUE,SUMIFS('Cashflow Projection'!$E$119:$E$151,'Cashflow Projection'!$D$119:$D$151,Sales!C44)=1),0,SUMIFS('Cashflow Projection'!$C$7:$C$23,'Cashflow Projection'!$B$7:$B$23,Sales!B44,'Cashflow Projection'!$A$7:$A$23,Sales!A44))</f>
        <v/>
      </c>
      <c r="G44" s="4" t="n">
        <v>44943</v>
      </c>
      <c r="H44" s="4" t="n">
        <v>45688</v>
      </c>
      <c r="I44" s="3" t="n">
        <v>1279900</v>
      </c>
      <c r="J44" s="3" t="n">
        <v>166943.4782608696</v>
      </c>
      <c r="K44" s="3" t="n">
        <v>1112956.521739131</v>
      </c>
      <c r="L44" s="3" t="n">
        <v>18502.08</v>
      </c>
      <c r="M44" s="3" t="n">
        <v>1789</v>
      </c>
      <c r="N44" s="3" t="n">
        <v>6399.5</v>
      </c>
      <c r="O44" s="3" t="n">
        <v>63995</v>
      </c>
      <c r="P44" s="3" t="n">
        <v>19224.37</v>
      </c>
      <c r="Q44" s="9">
        <f>K44-SUM(L44:P44)</f>
        <v/>
      </c>
      <c r="R44" s="10">
        <f>IF($F44=1,((SUMIFS(Investors!$M:$M,Investors!$E:$E,Sales!$C44,Investors!$O:$O,FALSE)+SUMIFS(Investors!$S:$S,Investors!$E:$E,Sales!$C44,Investors!$O:$O,FALSE))*$F44)-SUMIFS('Investor Exit List'!$Q:$Q,'Investor Exit List'!$Y:$Y,1,'Investor Exit List'!$Z:$Z,"Release",'Investor Exit List'!$C:$C,Sales!$C44),(SUMIFS(Investors!$M:$M,Investors!$E:$E,Sales!$C44,Investors!$O:$O,FALSE)+SUMIFS(Investors!$S:$S,Investors!$E:$E,Sales!$C44,Investors!$O:$O,FALSE))*$F44)</f>
        <v/>
      </c>
      <c r="S44" s="10">
        <f>IF(T44=FALSE,Q44-R44,+V44)</f>
        <v/>
      </c>
      <c r="T44" s="3">
        <f>IF(SUMIFS('Cashflow Projection'!$E$119:$E$151,'Cashflow Projection'!$D$119:$D$151,Sales!C44)&lt;&gt;0,TRUE,FALSE)</f>
        <v/>
      </c>
      <c r="U44" s="4" t="n">
        <v>45747</v>
      </c>
      <c r="V44" s="10" t="n">
        <v>3265.925640958594</v>
      </c>
      <c r="W44" s="11">
        <f>IF(SUMIFS('Cashflow Projection'!$E$119:$E$151,'Cashflow Projection'!$D$119:$D$151,Sales!C44)=1,SUMIFS('Cashflow Projection'!$C$119:$C$151,'Cashflow Projection'!$D$119:$D$151,Sales!C44),+Sales!H44)</f>
        <v/>
      </c>
      <c r="X44" s="11">
        <f>IF(MOD(MONTH(W44), 2) &lt;&gt; 0, EOMONTH(W44, 2), EOMONTH(W44, 1))</f>
        <v/>
      </c>
      <c r="Y44" s="11">
        <f>EOMONTH(X44,1)</f>
        <v/>
      </c>
      <c r="Z44" t="b">
        <v>0</v>
      </c>
    </row>
    <row r="45">
      <c r="A45" s="3" t="inlineStr">
        <is>
          <t>Heron Fields</t>
        </is>
      </c>
      <c r="B45" s="3" t="inlineStr">
        <is>
          <t>A</t>
        </is>
      </c>
      <c r="C45" s="3" t="inlineStr">
        <is>
          <t>HFA106</t>
        </is>
      </c>
      <c r="D45" s="3" t="b">
        <v>1</v>
      </c>
      <c r="E45" s="3" t="b">
        <v>1</v>
      </c>
      <c r="F45" s="3">
        <f>IF(OR(Z45=TRUE,SUMIFS('Cashflow Projection'!$E$119:$E$151,'Cashflow Projection'!$D$119:$D$151,Sales!C45)=1),0,SUMIFS('Cashflow Projection'!$C$7:$C$23,'Cashflow Projection'!$B$7:$B$23,Sales!B45,'Cashflow Projection'!$A$7:$A$23,Sales!A45))</f>
        <v/>
      </c>
      <c r="G45" s="4" t="n">
        <v>44887</v>
      </c>
      <c r="H45" s="4" t="n">
        <v>45688</v>
      </c>
      <c r="I45" s="3" t="n">
        <v>1549900</v>
      </c>
      <c r="J45" s="3" t="n">
        <v>202160.8695652174</v>
      </c>
      <c r="K45" s="3" t="n">
        <v>1347739.130434783</v>
      </c>
      <c r="L45" s="3" t="n">
        <v>18502.08</v>
      </c>
      <c r="M45" s="3" t="n">
        <v>1789</v>
      </c>
      <c r="N45" s="3" t="n">
        <v>7749.5</v>
      </c>
      <c r="O45" s="3" t="n">
        <v>77495</v>
      </c>
      <c r="P45" s="3" t="n">
        <v>19224.37</v>
      </c>
      <c r="Q45" s="9">
        <f>K45-SUM(L45:P45)</f>
        <v/>
      </c>
      <c r="R45" s="10">
        <f>IF($F45=1,((SUMIFS(Investors!$M:$M,Investors!$E:$E,Sales!$C45,Investors!$O:$O,FALSE)+SUMIFS(Investors!$S:$S,Investors!$E:$E,Sales!$C45,Investors!$O:$O,FALSE))*$F45)-SUMIFS('Investor Exit List'!$Q:$Q,'Investor Exit List'!$Y:$Y,1,'Investor Exit List'!$Z:$Z,"Release",'Investor Exit List'!$C:$C,Sales!$C45),(SUMIFS(Investors!$M:$M,Investors!$E:$E,Sales!$C45,Investors!$O:$O,FALSE)+SUMIFS(Investors!$S:$S,Investors!$E:$E,Sales!$C45,Investors!$O:$O,FALSE))*$F45)</f>
        <v/>
      </c>
      <c r="S45" s="10">
        <f>IF(T45=FALSE,Q45-R45,+V45)</f>
        <v/>
      </c>
      <c r="T45" s="3">
        <f>IF(SUMIFS('Cashflow Projection'!$E$119:$E$151,'Cashflow Projection'!$D$119:$D$151,Sales!C45)&lt;&gt;0,TRUE,FALSE)</f>
        <v/>
      </c>
      <c r="U45" s="4" t="n">
        <v>45747</v>
      </c>
      <c r="V45" s="10" t="n">
        <v>265790.1212876712</v>
      </c>
      <c r="W45" s="11">
        <f>IF(SUMIFS('Cashflow Projection'!$E$119:$E$151,'Cashflow Projection'!$D$119:$D$151,Sales!C45)=1,SUMIFS('Cashflow Projection'!$C$119:$C$151,'Cashflow Projection'!$D$119:$D$151,Sales!C45),+Sales!H45)</f>
        <v/>
      </c>
      <c r="X45" s="11">
        <f>IF(MOD(MONTH(W45), 2) &lt;&gt; 0, EOMONTH(W45, 2), EOMONTH(W45, 1))</f>
        <v/>
      </c>
      <c r="Y45" s="11">
        <f>EOMONTH(X45,1)</f>
        <v/>
      </c>
      <c r="Z45" t="b">
        <v>0</v>
      </c>
    </row>
    <row r="46">
      <c r="A46" s="3" t="inlineStr">
        <is>
          <t>Heron View</t>
        </is>
      </c>
      <c r="B46" s="3" t="inlineStr">
        <is>
          <t>N</t>
        </is>
      </c>
      <c r="C46" s="3" t="inlineStr">
        <is>
          <t>HVN103</t>
        </is>
      </c>
      <c r="D46" s="3" t="b">
        <v>1</v>
      </c>
      <c r="E46" s="3" t="b">
        <v>1</v>
      </c>
      <c r="F46" s="3">
        <f>IF(OR(Z46=TRUE,SUMIFS('Cashflow Projection'!$E$119:$E$151,'Cashflow Projection'!$D$119:$D$151,Sales!C46)=1),0,SUMIFS('Cashflow Projection'!$C$7:$C$23,'Cashflow Projection'!$B$7:$B$23,Sales!B46,'Cashflow Projection'!$A$7:$A$23,Sales!A46))</f>
        <v/>
      </c>
      <c r="G46" s="4" t="n">
        <v>45308</v>
      </c>
      <c r="H46" s="4" t="n">
        <v>45688</v>
      </c>
      <c r="I46" s="3" t="n">
        <v>1689900</v>
      </c>
      <c r="J46" s="3" t="n">
        <v>220421.7391304348</v>
      </c>
      <c r="K46" s="3" t="n">
        <v>1469478.260869565</v>
      </c>
      <c r="L46" s="3" t="n">
        <v>18502.08</v>
      </c>
      <c r="M46" s="3" t="n">
        <v>1789</v>
      </c>
      <c r="N46" s="3" t="n">
        <v>8449.5</v>
      </c>
      <c r="O46" s="3" t="n">
        <v>84495</v>
      </c>
      <c r="P46" s="3" t="n">
        <v>19224.37</v>
      </c>
      <c r="Q46" s="9">
        <f>K46-SUM(L46:P46)</f>
        <v/>
      </c>
      <c r="R46" s="10">
        <f>IF($F46=1,((SUMIFS(Investors!$M:$M,Investors!$E:$E,Sales!$C46,Investors!$O:$O,FALSE)+SUMIFS(Investors!$S:$S,Investors!$E:$E,Sales!$C46,Investors!$O:$O,FALSE))*$F46)-SUMIFS('Investor Exit List'!$Q:$Q,'Investor Exit List'!$Y:$Y,1,'Investor Exit List'!$Z:$Z,"Release",'Investor Exit List'!$C:$C,Sales!$C46),(SUMIFS(Investors!$M:$M,Investors!$E:$E,Sales!$C46,Investors!$O:$O,FALSE)+SUMIFS(Investors!$S:$S,Investors!$E:$E,Sales!$C46,Investors!$O:$O,FALSE))*$F46)</f>
        <v/>
      </c>
      <c r="S46" s="10">
        <f>IF(T46=FALSE,Q46-R46,+V46)</f>
        <v/>
      </c>
      <c r="T46" s="3">
        <f>IF(SUMIFS('Cashflow Projection'!$E$119:$E$151,'Cashflow Projection'!$D$119:$D$151,Sales!C46)&lt;&gt;0,TRUE,FALSE)</f>
        <v/>
      </c>
      <c r="U46" s="4" t="n">
        <v>45747</v>
      </c>
      <c r="V46" s="10" t="n">
        <v>348866.465127534</v>
      </c>
      <c r="W46" s="11">
        <f>IF(SUMIFS('Cashflow Projection'!$E$119:$E$151,'Cashflow Projection'!$D$119:$D$151,Sales!C46)=1,SUMIFS('Cashflow Projection'!$C$119:$C$151,'Cashflow Projection'!$D$119:$D$151,Sales!C46),+Sales!H46)</f>
        <v/>
      </c>
      <c r="X46" s="11">
        <f>IF(MOD(MONTH(W46), 2) &lt;&gt; 0, EOMONTH(W46, 2), EOMONTH(W46, 1))</f>
        <v/>
      </c>
      <c r="Y46" s="11">
        <f>EOMONTH(X46,1)</f>
        <v/>
      </c>
      <c r="Z46" t="b">
        <v>0</v>
      </c>
    </row>
    <row r="47">
      <c r="A47" s="3" t="inlineStr">
        <is>
          <t>Heron View</t>
        </is>
      </c>
      <c r="B47" s="3" t="inlineStr">
        <is>
          <t>N</t>
        </is>
      </c>
      <c r="C47" s="3" t="inlineStr">
        <is>
          <t>HVN302</t>
        </is>
      </c>
      <c r="D47" s="3" t="b">
        <v>0</v>
      </c>
      <c r="E47" s="3" t="b">
        <v>0</v>
      </c>
      <c r="F47" s="3">
        <f>IF(OR(Z47=TRUE,SUMIFS('Cashflow Projection'!$E$119:$E$151,'Cashflow Projection'!$D$119:$D$151,Sales!C47)=1),0,SUMIFS('Cashflow Projection'!$C$7:$C$23,'Cashflow Projection'!$B$7:$B$23,Sales!B47,'Cashflow Projection'!$A$7:$A$23,Sales!A47))</f>
        <v/>
      </c>
      <c r="G47" s="4" t="n">
        <v>45422</v>
      </c>
      <c r="H47" s="4" t="n">
        <v>45464</v>
      </c>
      <c r="I47" s="3" t="n">
        <v>1489900</v>
      </c>
      <c r="J47" s="3" t="n">
        <v>194334.7826086956</v>
      </c>
      <c r="K47" s="3" t="n">
        <v>1295565.217391304</v>
      </c>
      <c r="L47" s="3" t="n">
        <v>18502.08</v>
      </c>
      <c r="M47" s="3" t="n">
        <v>1789</v>
      </c>
      <c r="N47" s="3" t="n">
        <v>7449.5</v>
      </c>
      <c r="O47" s="3" t="n">
        <v>74495</v>
      </c>
      <c r="P47" s="3" t="n">
        <v>19224.37</v>
      </c>
      <c r="Q47" s="9">
        <f>K47-SUM(L47:P47)</f>
        <v/>
      </c>
      <c r="R47" s="10">
        <f>IF($F47=1,((SUMIFS(Investors!$M:$M,Investors!$E:$E,Sales!$C47,Investors!$O:$O,FALSE)+SUMIFS(Investors!$S:$S,Investors!$E:$E,Sales!$C47,Investors!$O:$O,FALSE))*$F47)-SUMIFS('Investor Exit List'!$Q:$Q,'Investor Exit List'!$Y:$Y,1,'Investor Exit List'!$Z:$Z,"Release",'Investor Exit List'!$C:$C,Sales!$C47),(SUMIFS(Investors!$M:$M,Investors!$E:$E,Sales!$C47,Investors!$O:$O,FALSE)+SUMIFS(Investors!$S:$S,Investors!$E:$E,Sales!$C47,Investors!$O:$O,FALSE))*$F47)</f>
        <v/>
      </c>
      <c r="S47" s="10">
        <f>IF(T47=FALSE,Q47-R47,+V47)</f>
        <v/>
      </c>
      <c r="T47" s="3">
        <f>IF(SUMIFS('Cashflow Projection'!$E$119:$E$151,'Cashflow Projection'!$D$119:$D$151,Sales!C47)&lt;&gt;0,TRUE,FALSE)</f>
        <v/>
      </c>
      <c r="U47" s="4" t="n">
        <v>45504</v>
      </c>
      <c r="V47" s="10" t="n">
        <v>34412.65273972577</v>
      </c>
      <c r="W47" s="11">
        <f>IF(SUMIFS('Cashflow Projection'!$E$119:$E$151,'Cashflow Projection'!$D$119:$D$151,Sales!C47)=1,SUMIFS('Cashflow Projection'!$C$119:$C$151,'Cashflow Projection'!$D$119:$D$151,Sales!C47),+Sales!H47)</f>
        <v/>
      </c>
      <c r="X47" s="11">
        <f>IF(MOD(MONTH(W47), 2) &lt;&gt; 0, EOMONTH(W47, 2), EOMONTH(W47, 1))</f>
        <v/>
      </c>
      <c r="Y47" s="11">
        <f>EOMONTH(X47,1)</f>
        <v/>
      </c>
      <c r="Z47" t="b">
        <v>0</v>
      </c>
    </row>
    <row r="48">
      <c r="A48" s="3" t="inlineStr">
        <is>
          <t>Heron View</t>
        </is>
      </c>
      <c r="B48" s="3" t="inlineStr">
        <is>
          <t>J</t>
        </is>
      </c>
      <c r="C48" s="3" t="inlineStr">
        <is>
          <t>HVJ103</t>
        </is>
      </c>
      <c r="D48" s="3" t="b">
        <v>0</v>
      </c>
      <c r="E48" s="3" t="b">
        <v>0</v>
      </c>
      <c r="F48" s="3">
        <f>IF(OR(Z48=TRUE,SUMIFS('Cashflow Projection'!$E$119:$E$151,'Cashflow Projection'!$D$119:$D$151,Sales!C48)=1),0,SUMIFS('Cashflow Projection'!$C$7:$C$23,'Cashflow Projection'!$B$7:$B$23,Sales!B48,'Cashflow Projection'!$A$7:$A$23,Sales!A48))</f>
        <v/>
      </c>
      <c r="G48" s="4" t="n">
        <v>45552</v>
      </c>
      <c r="H48" s="4" t="n">
        <v>45552</v>
      </c>
      <c r="I48" s="3" t="n">
        <v>1749900</v>
      </c>
      <c r="J48" s="3" t="n">
        <v>228247.8260869565</v>
      </c>
      <c r="K48" s="3" t="n">
        <v>1521652.173913044</v>
      </c>
      <c r="L48" s="3" t="n">
        <v>18502.08</v>
      </c>
      <c r="M48" s="3" t="n">
        <v>1789</v>
      </c>
      <c r="N48" s="3" t="n">
        <v>8749.5</v>
      </c>
      <c r="O48" s="3" t="n">
        <v>87495</v>
      </c>
      <c r="P48" s="3" t="n">
        <v>19224.37</v>
      </c>
      <c r="Q48" s="9">
        <f>K48-SUM(L48:P48)</f>
        <v/>
      </c>
      <c r="R48" s="10">
        <f>IF($F48=1,((SUMIFS(Investors!$M:$M,Investors!$E:$E,Sales!$C48,Investors!$O:$O,FALSE)+SUMIFS(Investors!$S:$S,Investors!$E:$E,Sales!$C48,Investors!$O:$O,FALSE))*$F48)-SUMIFS('Investor Exit List'!$Q:$Q,'Investor Exit List'!$Y:$Y,1,'Investor Exit List'!$Z:$Z,"Release",'Investor Exit List'!$C:$C,Sales!$C48),(SUMIFS(Investors!$M:$M,Investors!$E:$E,Sales!$C48,Investors!$O:$O,FALSE)+SUMIFS(Investors!$S:$S,Investors!$E:$E,Sales!$C48,Investors!$O:$O,FALSE))*$F48)</f>
        <v/>
      </c>
      <c r="S48" s="10">
        <f>IF(T48=FALSE,Q48-R48,+V48)</f>
        <v/>
      </c>
      <c r="T48" s="3">
        <f>IF(SUMIFS('Cashflow Projection'!$E$119:$E$151,'Cashflow Projection'!$D$119:$D$151,Sales!C48)&lt;&gt;0,TRUE,FALSE)</f>
        <v/>
      </c>
      <c r="U48" s="4" t="n">
        <v>45626</v>
      </c>
      <c r="V48" s="10" t="n">
        <v>267553.0636986298</v>
      </c>
      <c r="W48" s="11">
        <f>IF(SUMIFS('Cashflow Projection'!$E$119:$E$151,'Cashflow Projection'!$D$119:$D$151,Sales!C48)=1,SUMIFS('Cashflow Projection'!$C$119:$C$151,'Cashflow Projection'!$D$119:$D$151,Sales!C48),+Sales!H48)</f>
        <v/>
      </c>
      <c r="X48" s="11">
        <f>IF(MOD(MONTH(W48), 2) &lt;&gt; 0, EOMONTH(W48, 2), EOMONTH(W48, 1))</f>
        <v/>
      </c>
      <c r="Y48" s="11">
        <f>EOMONTH(X48,1)</f>
        <v/>
      </c>
      <c r="Z48" t="b">
        <v>0</v>
      </c>
    </row>
    <row r="49">
      <c r="A49" s="3" t="inlineStr">
        <is>
          <t>Heron View</t>
        </is>
      </c>
      <c r="B49" s="3" t="inlineStr">
        <is>
          <t>J</t>
        </is>
      </c>
      <c r="C49" s="3" t="inlineStr">
        <is>
          <t>HVJ301</t>
        </is>
      </c>
      <c r="D49" s="3" t="b">
        <v>0</v>
      </c>
      <c r="E49" s="3" t="b">
        <v>0</v>
      </c>
      <c r="F49" s="3">
        <f>IF(OR(Z49=TRUE,SUMIFS('Cashflow Projection'!$E$119:$E$151,'Cashflow Projection'!$D$119:$D$151,Sales!C49)=1),0,SUMIFS('Cashflow Projection'!$C$7:$C$23,'Cashflow Projection'!$B$7:$B$23,Sales!B49,'Cashflow Projection'!$A$7:$A$23,Sales!A49))</f>
        <v/>
      </c>
      <c r="G49" s="4" t="n">
        <v>45552</v>
      </c>
      <c r="H49" s="4" t="n">
        <v>45552</v>
      </c>
      <c r="I49" s="3" t="n">
        <v>1649900</v>
      </c>
      <c r="J49" s="3" t="n">
        <v>215204.3478260869</v>
      </c>
      <c r="K49" s="3" t="n">
        <v>1434695.652173913</v>
      </c>
      <c r="L49" s="3" t="n">
        <v>18502.08</v>
      </c>
      <c r="M49" s="3" t="n">
        <v>1789</v>
      </c>
      <c r="N49" s="3" t="n">
        <v>8249.5</v>
      </c>
      <c r="O49" s="3" t="n">
        <v>82495</v>
      </c>
      <c r="P49" s="3" t="n">
        <v>19224.37</v>
      </c>
      <c r="Q49" s="9">
        <f>K49-SUM(L49:P49)</f>
        <v/>
      </c>
      <c r="R49" s="10">
        <f>IF($F49=1,((SUMIFS(Investors!$M:$M,Investors!$E:$E,Sales!$C49,Investors!$O:$O,FALSE)+SUMIFS(Investors!$S:$S,Investors!$E:$E,Sales!$C49,Investors!$O:$O,FALSE))*$F49)-SUMIFS('Investor Exit List'!$Q:$Q,'Investor Exit List'!$Y:$Y,1,'Investor Exit List'!$Z:$Z,"Release",'Investor Exit List'!$C:$C,Sales!$C49),(SUMIFS(Investors!$M:$M,Investors!$E:$E,Sales!$C49,Investors!$O:$O,FALSE)+SUMIFS(Investors!$S:$S,Investors!$E:$E,Sales!$C49,Investors!$O:$O,FALSE))*$F49)</f>
        <v/>
      </c>
      <c r="S49" s="10">
        <f>IF(T49=FALSE,Q49-R49,+V49)</f>
        <v/>
      </c>
      <c r="T49" s="3">
        <f>IF(SUMIFS('Cashflow Projection'!$E$119:$E$151,'Cashflow Projection'!$D$119:$D$151,Sales!C49)&lt;&gt;0,TRUE,FALSE)</f>
        <v/>
      </c>
      <c r="U49" s="4" t="n">
        <v>45626</v>
      </c>
      <c r="V49" s="10" t="n">
        <v>200421.4342457533</v>
      </c>
      <c r="W49" s="11">
        <f>IF(SUMIFS('Cashflow Projection'!$E$119:$E$151,'Cashflow Projection'!$D$119:$D$151,Sales!C49)=1,SUMIFS('Cashflow Projection'!$C$119:$C$151,'Cashflow Projection'!$D$119:$D$151,Sales!C49),+Sales!H49)</f>
        <v/>
      </c>
      <c r="X49" s="11">
        <f>IF(MOD(MONTH(W49), 2) &lt;&gt; 0, EOMONTH(W49, 2), EOMONTH(W49, 1))</f>
        <v/>
      </c>
      <c r="Y49" s="11">
        <f>EOMONTH(X49,1)</f>
        <v/>
      </c>
      <c r="Z49" t="b">
        <v>0</v>
      </c>
    </row>
    <row r="50">
      <c r="A50" s="3" t="inlineStr">
        <is>
          <t>Heron View</t>
        </is>
      </c>
      <c r="B50" s="3" t="inlineStr">
        <is>
          <t>J</t>
        </is>
      </c>
      <c r="C50" s="3" t="inlineStr">
        <is>
          <t>HVJ202</t>
        </is>
      </c>
      <c r="D50" s="3" t="b">
        <v>1</v>
      </c>
      <c r="E50" s="3" t="b">
        <v>0</v>
      </c>
      <c r="F50" s="3">
        <f>IF(OR(Z50=TRUE,SUMIFS('Cashflow Projection'!$E$119:$E$151,'Cashflow Projection'!$D$119:$D$151,Sales!C50)=1),0,SUMIFS('Cashflow Projection'!$C$7:$C$23,'Cashflow Projection'!$B$7:$B$23,Sales!B50,'Cashflow Projection'!$A$7:$A$23,Sales!A50))</f>
        <v/>
      </c>
      <c r="G50" s="4" t="n">
        <v>45552</v>
      </c>
      <c r="H50" s="4" t="n">
        <v>45552</v>
      </c>
      <c r="I50" s="3" t="n">
        <v>1599900</v>
      </c>
      <c r="J50" s="3" t="n">
        <v>208682.6086956522</v>
      </c>
      <c r="K50" s="3" t="n">
        <v>1391217.391304348</v>
      </c>
      <c r="L50" s="3" t="n">
        <v>18502.08</v>
      </c>
      <c r="M50" s="3" t="n">
        <v>1789</v>
      </c>
      <c r="N50" s="3" t="n">
        <v>7999.5</v>
      </c>
      <c r="O50" s="3" t="n">
        <v>79995</v>
      </c>
      <c r="P50" s="3" t="n">
        <v>19224.37</v>
      </c>
      <c r="Q50" s="9">
        <f>K50-SUM(L50:P50)</f>
        <v/>
      </c>
      <c r="R50" s="10">
        <f>IF($F50=1,((SUMIFS(Investors!$M:$M,Investors!$E:$E,Sales!$C50,Investors!$O:$O,FALSE)+SUMIFS(Investors!$S:$S,Investors!$E:$E,Sales!$C50,Investors!$O:$O,FALSE))*$F50)-SUMIFS('Investor Exit List'!$Q:$Q,'Investor Exit List'!$Y:$Y,1,'Investor Exit List'!$Z:$Z,"Release",'Investor Exit List'!$C:$C,Sales!$C50),(SUMIFS(Investors!$M:$M,Investors!$E:$E,Sales!$C50,Investors!$O:$O,FALSE)+SUMIFS(Investors!$S:$S,Investors!$E:$E,Sales!$C50,Investors!$O:$O,FALSE))*$F50)</f>
        <v/>
      </c>
      <c r="S50" s="10">
        <f>IF(T50=FALSE,Q50-R50,+V50)</f>
        <v/>
      </c>
      <c r="T50" s="3">
        <f>IF(SUMIFS('Cashflow Projection'!$E$119:$E$151,'Cashflow Projection'!$D$119:$D$151,Sales!C50)&lt;&gt;0,TRUE,FALSE)</f>
        <v/>
      </c>
      <c r="U50" s="4" t="n">
        <v>45626</v>
      </c>
      <c r="V50" s="10" t="n">
        <v>96321.55684931483</v>
      </c>
      <c r="W50" s="11">
        <f>IF(SUMIFS('Cashflow Projection'!$E$119:$E$151,'Cashflow Projection'!$D$119:$D$151,Sales!C50)=1,SUMIFS('Cashflow Projection'!$C$119:$C$151,'Cashflow Projection'!$D$119:$D$151,Sales!C50),+Sales!H50)</f>
        <v/>
      </c>
      <c r="X50" s="11">
        <f>IF(MOD(MONTH(W50), 2) &lt;&gt; 0, EOMONTH(W50, 2), EOMONTH(W50, 1))</f>
        <v/>
      </c>
      <c r="Y50" s="11">
        <f>EOMONTH(X50,1)</f>
        <v/>
      </c>
      <c r="Z50" t="b">
        <v>0</v>
      </c>
    </row>
    <row r="51">
      <c r="A51" s="3" t="inlineStr">
        <is>
          <t>Heron View</t>
        </is>
      </c>
      <c r="B51" s="3" t="inlineStr">
        <is>
          <t>C</t>
        </is>
      </c>
      <c r="C51" s="3" t="inlineStr">
        <is>
          <t>HVC105</t>
        </is>
      </c>
      <c r="D51" s="3" t="b">
        <v>1</v>
      </c>
      <c r="E51" s="3" t="b">
        <v>1</v>
      </c>
      <c r="F51" s="3">
        <f>IF(OR(Z51=TRUE,SUMIFS('Cashflow Projection'!$E$119:$E$151,'Cashflow Projection'!$D$119:$D$151,Sales!C51)=1),0,SUMIFS('Cashflow Projection'!$C$7:$C$23,'Cashflow Projection'!$B$7:$B$23,Sales!B51,'Cashflow Projection'!$A$7:$A$23,Sales!A51))</f>
        <v/>
      </c>
      <c r="G51" s="4" t="n">
        <v>45175</v>
      </c>
      <c r="H51" s="4" t="n">
        <v>45688</v>
      </c>
      <c r="I51" s="3" t="n">
        <v>1619900</v>
      </c>
      <c r="J51" s="3" t="n">
        <v>211291.3043478261</v>
      </c>
      <c r="K51" s="3" t="n">
        <v>1408608.695652174</v>
      </c>
      <c r="L51" s="3" t="n">
        <v>18502.08</v>
      </c>
      <c r="M51" s="3" t="n">
        <v>1789</v>
      </c>
      <c r="N51" s="3" t="n">
        <v>8099.5</v>
      </c>
      <c r="O51" s="3" t="n">
        <v>80995</v>
      </c>
      <c r="P51" s="3" t="n">
        <v>19224.37</v>
      </c>
      <c r="Q51" s="9">
        <f>K51-SUM(L51:P51)</f>
        <v/>
      </c>
      <c r="R51" s="10">
        <f>IF($F51=1,((SUMIFS(Investors!$M:$M,Investors!$E:$E,Sales!$C51,Investors!$O:$O,FALSE)+SUMIFS(Investors!$S:$S,Investors!$E:$E,Sales!$C51,Investors!$O:$O,FALSE))*$F51)-SUMIFS('Investor Exit List'!$Q:$Q,'Investor Exit List'!$Y:$Y,1,'Investor Exit List'!$Z:$Z,"Release",'Investor Exit List'!$C:$C,Sales!$C51),(SUMIFS(Investors!$M:$M,Investors!$E:$E,Sales!$C51,Investors!$O:$O,FALSE)+SUMIFS(Investors!$S:$S,Investors!$E:$E,Sales!$C51,Investors!$O:$O,FALSE))*$F51)</f>
        <v/>
      </c>
      <c r="S51" s="10">
        <f>IF(T51=FALSE,Q51-R51,+V51)</f>
        <v/>
      </c>
      <c r="T51" s="3">
        <f>IF(SUMIFS('Cashflow Projection'!$E$119:$E$151,'Cashflow Projection'!$D$119:$D$151,Sales!C51)&lt;&gt;0,TRUE,FALSE)</f>
        <v/>
      </c>
      <c r="U51" s="4" t="n">
        <v>45747</v>
      </c>
      <c r="V51" s="10" t="n">
        <v>198815.4802572601</v>
      </c>
      <c r="W51" s="11">
        <f>IF(SUMIFS('Cashflow Projection'!$E$119:$E$151,'Cashflow Projection'!$D$119:$D$151,Sales!C51)=1,SUMIFS('Cashflow Projection'!$C$119:$C$151,'Cashflow Projection'!$D$119:$D$151,Sales!C51),+Sales!H51)</f>
        <v/>
      </c>
      <c r="X51" s="11">
        <f>IF(MOD(MONTH(W51), 2) &lt;&gt; 0, EOMONTH(W51, 2), EOMONTH(W51, 1))</f>
        <v/>
      </c>
      <c r="Y51" s="11">
        <f>EOMONTH(X51,1)</f>
        <v/>
      </c>
      <c r="Z51" t="b">
        <v>0</v>
      </c>
    </row>
    <row r="52">
      <c r="A52" s="3" t="inlineStr">
        <is>
          <t>Heron View</t>
        </is>
      </c>
      <c r="B52" s="3" t="inlineStr">
        <is>
          <t>C</t>
        </is>
      </c>
      <c r="C52" s="3" t="inlineStr">
        <is>
          <t>HVC104</t>
        </is>
      </c>
      <c r="D52" s="3" t="b">
        <v>1</v>
      </c>
      <c r="E52" s="3" t="b">
        <v>1</v>
      </c>
      <c r="F52" s="3">
        <f>IF(OR(Z52=TRUE,SUMIFS('Cashflow Projection'!$E$119:$E$151,'Cashflow Projection'!$D$119:$D$151,Sales!C52)=1),0,SUMIFS('Cashflow Projection'!$C$7:$C$23,'Cashflow Projection'!$B$7:$B$23,Sales!B52,'Cashflow Projection'!$A$7:$A$23,Sales!A52))</f>
        <v/>
      </c>
      <c r="G52" s="4" t="n">
        <v>45167</v>
      </c>
      <c r="H52" s="4" t="n">
        <v>45688</v>
      </c>
      <c r="I52" s="3" t="n">
        <v>1579900</v>
      </c>
      <c r="J52" s="3" t="n">
        <v>206073.9130434782</v>
      </c>
      <c r="K52" s="3" t="n">
        <v>1373826.086956522</v>
      </c>
      <c r="L52" s="3" t="n">
        <v>18502.08</v>
      </c>
      <c r="M52" s="3" t="n">
        <v>1789</v>
      </c>
      <c r="N52" s="3" t="n">
        <v>7899.5</v>
      </c>
      <c r="O52" s="3" t="n">
        <v>78995</v>
      </c>
      <c r="P52" s="3" t="n">
        <v>19224.37</v>
      </c>
      <c r="Q52" s="9">
        <f>K52-SUM(L52:P52)</f>
        <v/>
      </c>
      <c r="R52" s="10">
        <f>IF($F52=1,((SUMIFS(Investors!$M:$M,Investors!$E:$E,Sales!$C52,Investors!$O:$O,FALSE)+SUMIFS(Investors!$S:$S,Investors!$E:$E,Sales!$C52,Investors!$O:$O,FALSE))*$F52)-SUMIFS('Investor Exit List'!$Q:$Q,'Investor Exit List'!$Y:$Y,1,'Investor Exit List'!$Z:$Z,"Release",'Investor Exit List'!$C:$C,Sales!$C52),(SUMIFS(Investors!$M:$M,Investors!$E:$E,Sales!$C52,Investors!$O:$O,FALSE)+SUMIFS(Investors!$S:$S,Investors!$E:$E,Sales!$C52,Investors!$O:$O,FALSE))*$F52)</f>
        <v/>
      </c>
      <c r="S52" s="10">
        <f>IF(T52=FALSE,Q52-R52,+V52)</f>
        <v/>
      </c>
      <c r="T52" s="3">
        <f>IF(SUMIFS('Cashflow Projection'!$E$119:$E$151,'Cashflow Projection'!$D$119:$D$151,Sales!C52)&lt;&gt;0,TRUE,FALSE)</f>
        <v/>
      </c>
      <c r="U52" s="4" t="n">
        <v>45747</v>
      </c>
      <c r="V52" s="10" t="n">
        <v>215929.5020547942</v>
      </c>
      <c r="W52" s="11">
        <f>IF(SUMIFS('Cashflow Projection'!$E$119:$E$151,'Cashflow Projection'!$D$119:$D$151,Sales!C52)=1,SUMIFS('Cashflow Projection'!$C$119:$C$151,'Cashflow Projection'!$D$119:$D$151,Sales!C52),+Sales!H52)</f>
        <v/>
      </c>
      <c r="X52" s="11">
        <f>IF(MOD(MONTH(W52), 2) &lt;&gt; 0, EOMONTH(W52, 2), EOMONTH(W52, 1))</f>
        <v/>
      </c>
      <c r="Y52" s="11">
        <f>EOMONTH(X52,1)</f>
        <v/>
      </c>
      <c r="Z52" t="b">
        <v>0</v>
      </c>
    </row>
    <row r="53">
      <c r="A53" s="3" t="inlineStr">
        <is>
          <t>Heron View</t>
        </is>
      </c>
      <c r="B53" s="3" t="inlineStr">
        <is>
          <t>K</t>
        </is>
      </c>
      <c r="C53" s="3" t="inlineStr">
        <is>
          <t>HVK305</t>
        </is>
      </c>
      <c r="D53" s="3" t="b">
        <v>0</v>
      </c>
      <c r="E53" s="3" t="b">
        <v>0</v>
      </c>
      <c r="F53" s="3">
        <f>IF(OR(Z53=TRUE,SUMIFS('Cashflow Projection'!$E$119:$E$151,'Cashflow Projection'!$D$119:$D$151,Sales!C53)=1),0,SUMIFS('Cashflow Projection'!$C$7:$C$23,'Cashflow Projection'!$B$7:$B$23,Sales!B53,'Cashflow Projection'!$A$7:$A$23,Sales!A53))</f>
        <v/>
      </c>
      <c r="G53" s="4" t="n">
        <v>45510</v>
      </c>
      <c r="H53" s="4" t="n">
        <v>45625</v>
      </c>
      <c r="I53" s="3" t="n">
        <v>1529900</v>
      </c>
      <c r="J53" s="3" t="n">
        <v>199552.1739130435</v>
      </c>
      <c r="K53" s="3" t="n">
        <v>1330347.826086957</v>
      </c>
      <c r="L53" s="3" t="n">
        <v>18502.08</v>
      </c>
      <c r="M53" s="3" t="n">
        <v>1789</v>
      </c>
      <c r="N53" s="3" t="n">
        <v>7649.5</v>
      </c>
      <c r="O53" s="3" t="n">
        <v>76495</v>
      </c>
      <c r="P53" s="3" t="n">
        <v>19224.37</v>
      </c>
      <c r="Q53" s="9">
        <f>K53-SUM(L53:P53)</f>
        <v/>
      </c>
      <c r="R53" s="10">
        <f>IF($F53=1,((SUMIFS(Investors!$M:$M,Investors!$E:$E,Sales!$C53,Investors!$O:$O,FALSE)+SUMIFS(Investors!$S:$S,Investors!$E:$E,Sales!$C53,Investors!$O:$O,FALSE))*$F53)-SUMIFS('Investor Exit List'!$Q:$Q,'Investor Exit List'!$Y:$Y,1,'Investor Exit List'!$Z:$Z,"Release",'Investor Exit List'!$C:$C,Sales!$C53),(SUMIFS(Investors!$M:$M,Investors!$E:$E,Sales!$C53,Investors!$O:$O,FALSE)+SUMIFS(Investors!$S:$S,Investors!$E:$E,Sales!$C53,Investors!$O:$O,FALSE))*$F53)</f>
        <v/>
      </c>
      <c r="S53" s="10">
        <f>IF(T53=FALSE,Q53-R53,+V53)</f>
        <v/>
      </c>
      <c r="T53" s="3">
        <f>IF(SUMIFS('Cashflow Projection'!$E$119:$E$151,'Cashflow Projection'!$D$119:$D$151,Sales!C53)&lt;&gt;0,TRUE,FALSE)</f>
        <v/>
      </c>
      <c r="U53" s="4" t="n">
        <v>45688</v>
      </c>
      <c r="V53" s="10" t="n">
        <v>9381.796663972549</v>
      </c>
      <c r="W53" s="11">
        <f>IF(SUMIFS('Cashflow Projection'!$E$119:$E$151,'Cashflow Projection'!$D$119:$D$151,Sales!C53)=1,SUMIFS('Cashflow Projection'!$C$119:$C$151,'Cashflow Projection'!$D$119:$D$151,Sales!C53),+Sales!H53)</f>
        <v/>
      </c>
      <c r="X53" s="11">
        <f>IF(MOD(MONTH(W53), 2) &lt;&gt; 0, EOMONTH(W53, 2), EOMONTH(W53, 1))</f>
        <v/>
      </c>
      <c r="Y53" s="11">
        <f>EOMONTH(X53,1)</f>
        <v/>
      </c>
      <c r="Z53" t="b">
        <v>0</v>
      </c>
    </row>
    <row r="54">
      <c r="A54" s="3" t="inlineStr">
        <is>
          <t>Heron View</t>
        </is>
      </c>
      <c r="B54" s="3" t="inlineStr">
        <is>
          <t>H</t>
        </is>
      </c>
      <c r="C54" s="3" t="inlineStr">
        <is>
          <t>HVH202</t>
        </is>
      </c>
      <c r="D54" s="3" t="b">
        <v>1</v>
      </c>
      <c r="E54" s="3" t="b">
        <v>0</v>
      </c>
      <c r="F54" s="3">
        <f>IF(OR(Z54=TRUE,SUMIFS('Cashflow Projection'!$E$119:$E$151,'Cashflow Projection'!$D$119:$D$151,Sales!C54)=1),0,SUMIFS('Cashflow Projection'!$C$7:$C$23,'Cashflow Projection'!$B$7:$B$23,Sales!B54,'Cashflow Projection'!$A$7:$A$23,Sales!A54))</f>
        <v/>
      </c>
      <c r="G54" s="4" t="n">
        <v>45490</v>
      </c>
      <c r="H54" s="4" t="n">
        <v>45490</v>
      </c>
      <c r="I54" s="3" t="n">
        <v>1690999</v>
      </c>
      <c r="J54" s="3" t="n">
        <v>220565.0869565217</v>
      </c>
      <c r="K54" s="3" t="n">
        <v>1470433.913043478</v>
      </c>
      <c r="L54" s="3" t="n">
        <v>18502.08</v>
      </c>
      <c r="M54" s="3" t="n">
        <v>1789</v>
      </c>
      <c r="N54" s="3" t="n">
        <v>8454.995000000001</v>
      </c>
      <c r="O54" s="3" t="n">
        <v>84549.95000000001</v>
      </c>
      <c r="P54" s="3" t="n">
        <v>19224.37</v>
      </c>
      <c r="Q54" s="9">
        <f>K54-SUM(L54:P54)</f>
        <v/>
      </c>
      <c r="R54" s="10">
        <f>IF($F54=1,((SUMIFS(Investors!$M:$M,Investors!$E:$E,Sales!$C54,Investors!$O:$O,FALSE)+SUMIFS(Investors!$S:$S,Investors!$E:$E,Sales!$C54,Investors!$O:$O,FALSE))*$F54)-SUMIFS('Investor Exit List'!$Q:$Q,'Investor Exit List'!$Y:$Y,1,'Investor Exit List'!$Z:$Z,"Release",'Investor Exit List'!$C:$C,Sales!$C54),(SUMIFS(Investors!$M:$M,Investors!$E:$E,Sales!$C54,Investors!$O:$O,FALSE)+SUMIFS(Investors!$S:$S,Investors!$E:$E,Sales!$C54,Investors!$O:$O,FALSE))*$F54)</f>
        <v/>
      </c>
      <c r="S54" s="10">
        <f>IF(T54=FALSE,Q54-R54,+V54)</f>
        <v/>
      </c>
      <c r="T54" s="3">
        <f>IF(SUMIFS('Cashflow Projection'!$E$119:$E$151,'Cashflow Projection'!$D$119:$D$151,Sales!C54)&lt;&gt;0,TRUE,FALSE)</f>
        <v/>
      </c>
      <c r="U54" s="4" t="n">
        <v>45565</v>
      </c>
      <c r="V54" s="10" t="n">
        <v>334464.9063698628</v>
      </c>
      <c r="W54" s="11">
        <f>IF(SUMIFS('Cashflow Projection'!$E$119:$E$151,'Cashflow Projection'!$D$119:$D$151,Sales!C54)=1,SUMIFS('Cashflow Projection'!$C$119:$C$151,'Cashflow Projection'!$D$119:$D$151,Sales!C54),+Sales!H54)</f>
        <v/>
      </c>
      <c r="X54" s="11">
        <f>IF(MOD(MONTH(W54), 2) &lt;&gt; 0, EOMONTH(W54, 2), EOMONTH(W54, 1))</f>
        <v/>
      </c>
      <c r="Y54" s="11">
        <f>EOMONTH(X54,1)</f>
        <v/>
      </c>
      <c r="Z54" t="b">
        <v>0</v>
      </c>
    </row>
    <row r="55">
      <c r="A55" s="3" t="inlineStr">
        <is>
          <t>Heron View</t>
        </is>
      </c>
      <c r="B55" s="3" t="inlineStr">
        <is>
          <t>K</t>
        </is>
      </c>
      <c r="C55" s="3" t="inlineStr">
        <is>
          <t>HVK106</t>
        </is>
      </c>
      <c r="D55" s="3" t="b">
        <v>0</v>
      </c>
      <c r="E55" s="3" t="b">
        <v>0</v>
      </c>
      <c r="F55" s="3">
        <f>IF(OR(Z55=TRUE,SUMIFS('Cashflow Projection'!$E$119:$E$151,'Cashflow Projection'!$D$119:$D$151,Sales!C55)=1),0,SUMIFS('Cashflow Projection'!$C$7:$C$23,'Cashflow Projection'!$B$7:$B$23,Sales!B55,'Cashflow Projection'!$A$7:$A$23,Sales!A55))</f>
        <v/>
      </c>
      <c r="G55" s="4" t="n">
        <v>45510</v>
      </c>
      <c r="H55" s="4" t="n">
        <v>45625</v>
      </c>
      <c r="I55" s="3" t="n">
        <v>1739900</v>
      </c>
      <c r="J55" s="3" t="n">
        <v>226943.4782608696</v>
      </c>
      <c r="K55" s="3" t="n">
        <v>1512956.521739131</v>
      </c>
      <c r="L55" s="3" t="n">
        <v>18502.08</v>
      </c>
      <c r="M55" s="3" t="n">
        <v>1789</v>
      </c>
      <c r="N55" s="3" t="n">
        <v>8699.5</v>
      </c>
      <c r="O55" s="3" t="n">
        <v>86995</v>
      </c>
      <c r="P55" s="3" t="n">
        <v>19224.37</v>
      </c>
      <c r="Q55" s="9">
        <f>K55-SUM(L55:P55)</f>
        <v/>
      </c>
      <c r="R55" s="10">
        <f>IF($F55=1,((SUMIFS(Investors!$M:$M,Investors!$E:$E,Sales!$C55,Investors!$O:$O,FALSE)+SUMIFS(Investors!$S:$S,Investors!$E:$E,Sales!$C55,Investors!$O:$O,FALSE))*$F55)-SUMIFS('Investor Exit List'!$Q:$Q,'Investor Exit List'!$Y:$Y,1,'Investor Exit List'!$Z:$Z,"Release",'Investor Exit List'!$C:$C,Sales!$C55),(SUMIFS(Investors!$M:$M,Investors!$E:$E,Sales!$C55,Investors!$O:$O,FALSE)+SUMIFS(Investors!$S:$S,Investors!$E:$E,Sales!$C55,Investors!$O:$O,FALSE))*$F55)</f>
        <v/>
      </c>
      <c r="S55" s="10">
        <f>IF(T55=FALSE,Q55-R55,+V55)</f>
        <v/>
      </c>
      <c r="T55" s="3">
        <f>IF(SUMIFS('Cashflow Projection'!$E$119:$E$151,'Cashflow Projection'!$D$119:$D$151,Sales!C55)&lt;&gt;0,TRUE,FALSE)</f>
        <v/>
      </c>
      <c r="U55" s="4" t="n">
        <v>45688</v>
      </c>
      <c r="V55" s="10" t="n">
        <v>167543.0838911643</v>
      </c>
      <c r="W55" s="11">
        <f>IF(SUMIFS('Cashflow Projection'!$E$119:$E$151,'Cashflow Projection'!$D$119:$D$151,Sales!C55)=1,SUMIFS('Cashflow Projection'!$C$119:$C$151,'Cashflow Projection'!$D$119:$D$151,Sales!C55),+Sales!H55)</f>
        <v/>
      </c>
      <c r="X55" s="11">
        <f>IF(MOD(MONTH(W55), 2) &lt;&gt; 0, EOMONTH(W55, 2), EOMONTH(W55, 1))</f>
        <v/>
      </c>
      <c r="Y55" s="11">
        <f>EOMONTH(X55,1)</f>
        <v/>
      </c>
      <c r="Z55" t="b">
        <v>0</v>
      </c>
    </row>
    <row r="56">
      <c r="A56" s="3" t="inlineStr">
        <is>
          <t>Heron Fields</t>
        </is>
      </c>
      <c r="B56" s="3" t="inlineStr">
        <is>
          <t>A</t>
        </is>
      </c>
      <c r="C56" s="3" t="inlineStr">
        <is>
          <t>HFA304</t>
        </is>
      </c>
      <c r="D56" s="3" t="b">
        <v>1</v>
      </c>
      <c r="E56" s="3" t="b">
        <v>1</v>
      </c>
      <c r="F56" s="3">
        <f>IF(OR(Z56=TRUE,SUMIFS('Cashflow Projection'!$E$119:$E$151,'Cashflow Projection'!$D$119:$D$151,Sales!C56)=1),0,SUMIFS('Cashflow Projection'!$C$7:$C$23,'Cashflow Projection'!$B$7:$B$23,Sales!B56,'Cashflow Projection'!$A$7:$A$23,Sales!A56))</f>
        <v/>
      </c>
      <c r="G56" s="4" t="n">
        <v>45056</v>
      </c>
      <c r="H56" s="4" t="n">
        <v>45688</v>
      </c>
      <c r="I56" s="3" t="n">
        <v>1379900</v>
      </c>
      <c r="J56" s="3" t="n">
        <v>179986.9565217391</v>
      </c>
      <c r="K56" s="3" t="n">
        <v>1199913.043478261</v>
      </c>
      <c r="L56" s="3" t="n">
        <v>18502.08</v>
      </c>
      <c r="M56" s="3" t="n">
        <v>1789</v>
      </c>
      <c r="N56" s="3" t="n">
        <v>6899.5</v>
      </c>
      <c r="O56" s="3" t="n">
        <v>68995</v>
      </c>
      <c r="P56" s="3" t="n">
        <v>19224.37</v>
      </c>
      <c r="Q56" s="9">
        <f>K56-SUM(L56:P56)</f>
        <v/>
      </c>
      <c r="R56" s="10">
        <f>IF($F56=1,((SUMIFS(Investors!$M:$M,Investors!$E:$E,Sales!$C56,Investors!$O:$O,FALSE)+SUMIFS(Investors!$S:$S,Investors!$E:$E,Sales!$C56,Investors!$O:$O,FALSE))*$F56)-SUMIFS('Investor Exit List'!$Q:$Q,'Investor Exit List'!$Y:$Y,1,'Investor Exit List'!$Z:$Z,"Release",'Investor Exit List'!$C:$C,Sales!$C56),(SUMIFS(Investors!$M:$M,Investors!$E:$E,Sales!$C56,Investors!$O:$O,FALSE)+SUMIFS(Investors!$S:$S,Investors!$E:$E,Sales!$C56,Investors!$O:$O,FALSE))*$F56)</f>
        <v/>
      </c>
      <c r="S56" s="10">
        <f>IF(T56=FALSE,Q56-R56,+V56)</f>
        <v/>
      </c>
      <c r="T56" s="3">
        <f>IF(SUMIFS('Cashflow Projection'!$E$119:$E$151,'Cashflow Projection'!$D$119:$D$151,Sales!C56)&lt;&gt;0,TRUE,FALSE)</f>
        <v/>
      </c>
      <c r="U56" s="4" t="n">
        <v>45747</v>
      </c>
      <c r="V56" s="10" t="n">
        <v>306409.5705479451</v>
      </c>
      <c r="W56" s="11">
        <f>IF(SUMIFS('Cashflow Projection'!$E$119:$E$151,'Cashflow Projection'!$D$119:$D$151,Sales!C56)=1,SUMIFS('Cashflow Projection'!$C$119:$C$151,'Cashflow Projection'!$D$119:$D$151,Sales!C56),+Sales!H56)</f>
        <v/>
      </c>
      <c r="X56" s="11">
        <f>IF(MOD(MONTH(W56), 2) &lt;&gt; 0, EOMONTH(W56, 2), EOMONTH(W56, 1))</f>
        <v/>
      </c>
      <c r="Y56" s="11">
        <f>EOMONTH(X56,1)</f>
        <v/>
      </c>
      <c r="Z56" t="b">
        <v>0</v>
      </c>
    </row>
    <row r="57">
      <c r="A57" s="3" t="inlineStr">
        <is>
          <t>Heron Fields</t>
        </is>
      </c>
      <c r="B57" s="3" t="inlineStr">
        <is>
          <t>B</t>
        </is>
      </c>
      <c r="C57" s="3" t="inlineStr">
        <is>
          <t>HFB303</t>
        </is>
      </c>
      <c r="D57" s="3" t="b">
        <v>1</v>
      </c>
      <c r="E57" s="3" t="b">
        <v>1</v>
      </c>
      <c r="F57" s="3">
        <f>IF(OR(Z57=TRUE,SUMIFS('Cashflow Projection'!$E$119:$E$151,'Cashflow Projection'!$D$119:$D$151,Sales!C57)=1),0,SUMIFS('Cashflow Projection'!$C$7:$C$23,'Cashflow Projection'!$B$7:$B$23,Sales!B57,'Cashflow Projection'!$A$7:$A$23,Sales!A57))</f>
        <v/>
      </c>
      <c r="G57" s="4" t="n">
        <v>44942</v>
      </c>
      <c r="H57" s="4" t="n">
        <v>45688</v>
      </c>
      <c r="I57" s="3" t="n">
        <v>1379900</v>
      </c>
      <c r="J57" s="3" t="n">
        <v>179986.9565217391</v>
      </c>
      <c r="K57" s="3" t="n">
        <v>1199913.043478261</v>
      </c>
      <c r="L57" s="3" t="n">
        <v>18502.08</v>
      </c>
      <c r="M57" s="3" t="n">
        <v>1789</v>
      </c>
      <c r="N57" s="3" t="n">
        <v>6899.5</v>
      </c>
      <c r="O57" s="3" t="n">
        <v>68995</v>
      </c>
      <c r="P57" s="3" t="n">
        <v>19224.37</v>
      </c>
      <c r="Q57" s="9">
        <f>K57-SUM(L57:P57)</f>
        <v/>
      </c>
      <c r="R57" s="10">
        <f>IF($F57=1,((SUMIFS(Investors!$M:$M,Investors!$E:$E,Sales!$C57,Investors!$O:$O,FALSE)+SUMIFS(Investors!$S:$S,Investors!$E:$E,Sales!$C57,Investors!$O:$O,FALSE))*$F57)-SUMIFS('Investor Exit List'!$Q:$Q,'Investor Exit List'!$Y:$Y,1,'Investor Exit List'!$Z:$Z,"Release",'Investor Exit List'!$C:$C,Sales!$C57),(SUMIFS(Investors!$M:$M,Investors!$E:$E,Sales!$C57,Investors!$O:$O,FALSE)+SUMIFS(Investors!$S:$S,Investors!$E:$E,Sales!$C57,Investors!$O:$O,FALSE))*$F57)</f>
        <v/>
      </c>
      <c r="S57" s="10">
        <f>IF(T57=FALSE,Q57-R57,+V57)</f>
        <v/>
      </c>
      <c r="T57" s="3">
        <f>IF(SUMIFS('Cashflow Projection'!$E$119:$E$151,'Cashflow Projection'!$D$119:$D$151,Sales!C57)&lt;&gt;0,TRUE,FALSE)</f>
        <v/>
      </c>
      <c r="U57" s="4" t="n">
        <v>45747</v>
      </c>
      <c r="V57" s="10" t="n">
        <v>702474.6390410957</v>
      </c>
      <c r="W57" s="11">
        <f>IF(SUMIFS('Cashflow Projection'!$E$119:$E$151,'Cashflow Projection'!$D$119:$D$151,Sales!C57)=1,SUMIFS('Cashflow Projection'!$C$119:$C$151,'Cashflow Projection'!$D$119:$D$151,Sales!C57),+Sales!H57)</f>
        <v/>
      </c>
      <c r="X57" s="11">
        <f>IF(MOD(MONTH(W57), 2) &lt;&gt; 0, EOMONTH(W57, 2), EOMONTH(W57, 1))</f>
        <v/>
      </c>
      <c r="Y57" s="11">
        <f>EOMONTH(X57,1)</f>
        <v/>
      </c>
      <c r="Z57" t="b">
        <v>0</v>
      </c>
    </row>
    <row r="58">
      <c r="A58" s="3" t="inlineStr">
        <is>
          <t>Heron Fields</t>
        </is>
      </c>
      <c r="B58" s="3" t="inlineStr">
        <is>
          <t>B</t>
        </is>
      </c>
      <c r="C58" s="3" t="inlineStr">
        <is>
          <t>HFB302</t>
        </is>
      </c>
      <c r="D58" s="3" t="b">
        <v>1</v>
      </c>
      <c r="E58" s="3" t="b">
        <v>1</v>
      </c>
      <c r="F58" s="3">
        <f>IF(OR(Z58=TRUE,SUMIFS('Cashflow Projection'!$E$119:$E$151,'Cashflow Projection'!$D$119:$D$151,Sales!C58)=1),0,SUMIFS('Cashflow Projection'!$C$7:$C$23,'Cashflow Projection'!$B$7:$B$23,Sales!B58,'Cashflow Projection'!$A$7:$A$23,Sales!A58))</f>
        <v/>
      </c>
      <c r="G58" s="4" t="n">
        <v>44952</v>
      </c>
      <c r="H58" s="4" t="n">
        <v>45688</v>
      </c>
      <c r="I58" s="3" t="n">
        <v>1449900</v>
      </c>
      <c r="J58" s="3" t="n">
        <v>189117.3913043478</v>
      </c>
      <c r="K58" s="3" t="n">
        <v>1260782.608695652</v>
      </c>
      <c r="L58" s="3" t="n">
        <v>18502.08</v>
      </c>
      <c r="M58" s="3" t="n">
        <v>1789</v>
      </c>
      <c r="N58" s="3" t="n">
        <v>7249.5</v>
      </c>
      <c r="O58" s="3" t="n">
        <v>72495</v>
      </c>
      <c r="P58" s="3" t="n">
        <v>19224.37</v>
      </c>
      <c r="Q58" s="9">
        <f>K58-SUM(L58:P58)</f>
        <v/>
      </c>
      <c r="R58" s="10">
        <f>IF($F58=1,((SUMIFS(Investors!$M:$M,Investors!$E:$E,Sales!$C58,Investors!$O:$O,FALSE)+SUMIFS(Investors!$S:$S,Investors!$E:$E,Sales!$C58,Investors!$O:$O,FALSE))*$F58)-SUMIFS('Investor Exit List'!$Q:$Q,'Investor Exit List'!$Y:$Y,1,'Investor Exit List'!$Z:$Z,"Release",'Investor Exit List'!$C:$C,Sales!$C58),(SUMIFS(Investors!$M:$M,Investors!$E:$E,Sales!$C58,Investors!$O:$O,FALSE)+SUMIFS(Investors!$S:$S,Investors!$E:$E,Sales!$C58,Investors!$O:$O,FALSE))*$F58)</f>
        <v/>
      </c>
      <c r="S58" s="10">
        <f>IF(T58=FALSE,Q58-R58,+V58)</f>
        <v/>
      </c>
      <c r="T58" s="3">
        <f>IF(SUMIFS('Cashflow Projection'!$E$119:$E$151,'Cashflow Projection'!$D$119:$D$151,Sales!C58)&lt;&gt;0,TRUE,FALSE)</f>
        <v/>
      </c>
      <c r="U58" s="4" t="n">
        <v>45747</v>
      </c>
      <c r="V58" s="10" t="n">
        <v>121640.0499999998</v>
      </c>
      <c r="W58" s="11">
        <f>IF(SUMIFS('Cashflow Projection'!$E$119:$E$151,'Cashflow Projection'!$D$119:$D$151,Sales!C58)=1,SUMIFS('Cashflow Projection'!$C$119:$C$151,'Cashflow Projection'!$D$119:$D$151,Sales!C58),+Sales!H58)</f>
        <v/>
      </c>
      <c r="X58" s="11">
        <f>IF(MOD(MONTH(W58), 2) &lt;&gt; 0, EOMONTH(W58, 2), EOMONTH(W58, 1))</f>
        <v/>
      </c>
      <c r="Y58" s="11">
        <f>EOMONTH(X58,1)</f>
        <v/>
      </c>
      <c r="Z58" t="b">
        <v>0</v>
      </c>
    </row>
    <row r="59">
      <c r="A59" s="3" t="inlineStr">
        <is>
          <t>Heron Fields</t>
        </is>
      </c>
      <c r="B59" s="3" t="inlineStr">
        <is>
          <t>B</t>
        </is>
      </c>
      <c r="C59" s="3" t="inlineStr">
        <is>
          <t>HFB308</t>
        </is>
      </c>
      <c r="D59" s="3" t="b">
        <v>1</v>
      </c>
      <c r="E59" s="3" t="b">
        <v>1</v>
      </c>
      <c r="F59" s="3">
        <f>IF(OR(Z59=TRUE,SUMIFS('Cashflow Projection'!$E$119:$E$151,'Cashflow Projection'!$D$119:$D$151,Sales!C59)=1),0,SUMIFS('Cashflow Projection'!$C$7:$C$23,'Cashflow Projection'!$B$7:$B$23,Sales!B59,'Cashflow Projection'!$A$7:$A$23,Sales!A59))</f>
        <v/>
      </c>
      <c r="G59" s="4" t="n">
        <v>45027</v>
      </c>
      <c r="H59" s="4" t="n">
        <v>45688</v>
      </c>
      <c r="I59" s="3" t="n">
        <v>1459900</v>
      </c>
      <c r="J59" s="3" t="n">
        <v>190421.7391304348</v>
      </c>
      <c r="K59" s="3" t="n">
        <v>1269478.260869565</v>
      </c>
      <c r="L59" s="3" t="n">
        <v>18502.08</v>
      </c>
      <c r="M59" s="3" t="n">
        <v>1789</v>
      </c>
      <c r="N59" s="3" t="n">
        <v>7299.5</v>
      </c>
      <c r="O59" s="3" t="n">
        <v>72995</v>
      </c>
      <c r="P59" s="3" t="n">
        <v>19224.37</v>
      </c>
      <c r="Q59" s="9">
        <f>K59-SUM(L59:P59)</f>
        <v/>
      </c>
      <c r="R59" s="10">
        <f>IF($F59=1,((SUMIFS(Investors!$M:$M,Investors!$E:$E,Sales!$C59,Investors!$O:$O,FALSE)+SUMIFS(Investors!$S:$S,Investors!$E:$E,Sales!$C59,Investors!$O:$O,FALSE))*$F59)-SUMIFS('Investor Exit List'!$Q:$Q,'Investor Exit List'!$Y:$Y,1,'Investor Exit List'!$Z:$Z,"Release",'Investor Exit List'!$C:$C,Sales!$C59),(SUMIFS(Investors!$M:$M,Investors!$E:$E,Sales!$C59,Investors!$O:$O,FALSE)+SUMIFS(Investors!$S:$S,Investors!$E:$E,Sales!$C59,Investors!$O:$O,FALSE))*$F59)</f>
        <v/>
      </c>
      <c r="S59" s="10">
        <f>IF(T59=FALSE,Q59-R59,+V59)</f>
        <v/>
      </c>
      <c r="T59" s="3">
        <f>IF(SUMIFS('Cashflow Projection'!$E$119:$E$151,'Cashflow Projection'!$D$119:$D$151,Sales!C59)&lt;&gt;0,TRUE,FALSE)</f>
        <v/>
      </c>
      <c r="U59" s="4" t="n">
        <v>45747</v>
      </c>
      <c r="V59" s="10" t="n">
        <v>138829.776027397</v>
      </c>
      <c r="W59" s="11">
        <f>IF(SUMIFS('Cashflow Projection'!$E$119:$E$151,'Cashflow Projection'!$D$119:$D$151,Sales!C59)=1,SUMIFS('Cashflow Projection'!$C$119:$C$151,'Cashflow Projection'!$D$119:$D$151,Sales!C59),+Sales!H59)</f>
        <v/>
      </c>
      <c r="X59" s="11">
        <f>IF(MOD(MONTH(W59), 2) &lt;&gt; 0, EOMONTH(W59, 2), EOMONTH(W59, 1))</f>
        <v/>
      </c>
      <c r="Y59" s="11">
        <f>EOMONTH(X59,1)</f>
        <v/>
      </c>
      <c r="Z59" t="b">
        <v>0</v>
      </c>
    </row>
    <row r="60">
      <c r="A60" s="3" t="inlineStr">
        <is>
          <t>Heron Fields</t>
        </is>
      </c>
      <c r="B60" s="3" t="inlineStr">
        <is>
          <t>B</t>
        </is>
      </c>
      <c r="C60" s="3" t="inlineStr">
        <is>
          <t>HFB312</t>
        </is>
      </c>
      <c r="D60" s="3" t="b">
        <v>1</v>
      </c>
      <c r="E60" s="3" t="b">
        <v>1</v>
      </c>
      <c r="F60" s="3">
        <f>IF(OR(Z60=TRUE,SUMIFS('Cashflow Projection'!$E$119:$E$151,'Cashflow Projection'!$D$119:$D$151,Sales!C60)=1),0,SUMIFS('Cashflow Projection'!$C$7:$C$23,'Cashflow Projection'!$B$7:$B$23,Sales!B60,'Cashflow Projection'!$A$7:$A$23,Sales!A60))</f>
        <v/>
      </c>
      <c r="G60" s="4" t="n">
        <v>45027</v>
      </c>
      <c r="H60" s="4" t="n">
        <v>45688</v>
      </c>
      <c r="I60" s="3" t="n">
        <v>1399900</v>
      </c>
      <c r="J60" s="3" t="n">
        <v>182595.6521739131</v>
      </c>
      <c r="K60" s="3" t="n">
        <v>1217304.347826087</v>
      </c>
      <c r="L60" s="3" t="n">
        <v>18502.08</v>
      </c>
      <c r="M60" s="3" t="n">
        <v>1789</v>
      </c>
      <c r="N60" s="3" t="n">
        <v>6999.5</v>
      </c>
      <c r="O60" s="3" t="n">
        <v>69995</v>
      </c>
      <c r="P60" s="3" t="n">
        <v>19224.37</v>
      </c>
      <c r="Q60" s="9">
        <f>K60-SUM(L60:P60)</f>
        <v/>
      </c>
      <c r="R60" s="10">
        <f>IF($F60=1,((SUMIFS(Investors!$M:$M,Investors!$E:$E,Sales!$C60,Investors!$O:$O,FALSE)+SUMIFS(Investors!$S:$S,Investors!$E:$E,Sales!$C60,Investors!$O:$O,FALSE))*$F60)-SUMIFS('Investor Exit List'!$Q:$Q,'Investor Exit List'!$Y:$Y,1,'Investor Exit List'!$Z:$Z,"Release",'Investor Exit List'!$C:$C,Sales!$C60),(SUMIFS(Investors!$M:$M,Investors!$E:$E,Sales!$C60,Investors!$O:$O,FALSE)+SUMIFS(Investors!$S:$S,Investors!$E:$E,Sales!$C60,Investors!$O:$O,FALSE))*$F60)</f>
        <v/>
      </c>
      <c r="S60" s="10">
        <f>IF(T60=FALSE,Q60-R60,+V60)</f>
        <v/>
      </c>
      <c r="T60" s="3">
        <f>IF(SUMIFS('Cashflow Projection'!$E$119:$E$151,'Cashflow Projection'!$D$119:$D$151,Sales!C60)&lt;&gt;0,TRUE,FALSE)</f>
        <v/>
      </c>
      <c r="U60" s="4" t="n">
        <v>45747</v>
      </c>
      <c r="V60" s="10" t="n">
        <v>42376.35136986291</v>
      </c>
      <c r="W60" s="11">
        <f>IF(SUMIFS('Cashflow Projection'!$E$119:$E$151,'Cashflow Projection'!$D$119:$D$151,Sales!C60)=1,SUMIFS('Cashflow Projection'!$C$119:$C$151,'Cashflow Projection'!$D$119:$D$151,Sales!C60),+Sales!H60)</f>
        <v/>
      </c>
      <c r="X60" s="11">
        <f>IF(MOD(MONTH(W60), 2) &lt;&gt; 0, EOMONTH(W60, 2), EOMONTH(W60, 1))</f>
        <v/>
      </c>
      <c r="Y60" s="11">
        <f>EOMONTH(X60,1)</f>
        <v/>
      </c>
      <c r="Z60" t="b">
        <v>0</v>
      </c>
    </row>
    <row r="61">
      <c r="A61" s="3" t="inlineStr">
        <is>
          <t>Heron View</t>
        </is>
      </c>
      <c r="B61" s="3" t="inlineStr">
        <is>
          <t>D</t>
        </is>
      </c>
      <c r="C61" s="3" t="inlineStr">
        <is>
          <t>HVD102</t>
        </is>
      </c>
      <c r="D61" s="3" t="b">
        <v>1</v>
      </c>
      <c r="E61" s="3" t="b">
        <v>1</v>
      </c>
      <c r="F61" s="3">
        <f>IF(OR(Z61=TRUE,SUMIFS('Cashflow Projection'!$E$119:$E$151,'Cashflow Projection'!$D$119:$D$151,Sales!C61)=1),0,SUMIFS('Cashflow Projection'!$C$7:$C$23,'Cashflow Projection'!$B$7:$B$23,Sales!B61,'Cashflow Projection'!$A$7:$A$23,Sales!A61))</f>
        <v/>
      </c>
      <c r="G61" s="4" t="n">
        <v>45341</v>
      </c>
      <c r="H61" s="4" t="n">
        <v>45341</v>
      </c>
      <c r="I61" s="3" t="n">
        <v>1699900</v>
      </c>
      <c r="J61" s="3" t="n">
        <v>221726.0869565217</v>
      </c>
      <c r="K61" s="3" t="n">
        <v>1478173.913043478</v>
      </c>
      <c r="L61" s="3" t="n">
        <v>18502.08</v>
      </c>
      <c r="M61" s="3" t="n">
        <v>1789</v>
      </c>
      <c r="N61" s="3" t="n">
        <v>8499.5</v>
      </c>
      <c r="O61" s="3" t="n">
        <v>84995</v>
      </c>
      <c r="P61" s="3" t="n">
        <v>19224.37</v>
      </c>
      <c r="Q61" s="9">
        <f>K61-SUM(L61:P61)</f>
        <v/>
      </c>
      <c r="R61" s="10">
        <f>IF($F61=1,((SUMIFS(Investors!$M:$M,Investors!$E:$E,Sales!$C61,Investors!$O:$O,FALSE)+SUMIFS(Investors!$S:$S,Investors!$E:$E,Sales!$C61,Investors!$O:$O,FALSE))*$F61)-SUMIFS('Investor Exit List'!$Q:$Q,'Investor Exit List'!$Y:$Y,1,'Investor Exit List'!$Z:$Z,"Release",'Investor Exit List'!$C:$C,Sales!$C61),(SUMIFS(Investors!$M:$M,Investors!$E:$E,Sales!$C61,Investors!$O:$O,FALSE)+SUMIFS(Investors!$S:$S,Investors!$E:$E,Sales!$C61,Investors!$O:$O,FALSE))*$F61)</f>
        <v/>
      </c>
      <c r="S61" s="10">
        <f>IF(T61=FALSE,Q61-R61,+V61)</f>
        <v/>
      </c>
      <c r="T61" s="3">
        <f>IF(SUMIFS('Cashflow Projection'!$E$119:$E$151,'Cashflow Projection'!$D$119:$D$151,Sales!C61)&lt;&gt;0,TRUE,FALSE)</f>
        <v/>
      </c>
      <c r="U61" s="4" t="n">
        <v>45382</v>
      </c>
      <c r="V61" s="10" t="n">
        <v>303985.9404109586</v>
      </c>
      <c r="W61" s="11">
        <f>IF(SUMIFS('Cashflow Projection'!$E$119:$E$151,'Cashflow Projection'!$D$119:$D$151,Sales!C61)=1,SUMIFS('Cashflow Projection'!$C$119:$C$151,'Cashflow Projection'!$D$119:$D$151,Sales!C61),+Sales!H61)</f>
        <v/>
      </c>
      <c r="X61" s="11">
        <f>IF(MOD(MONTH(W61), 2) &lt;&gt; 0, EOMONTH(W61, 2), EOMONTH(W61, 1))</f>
        <v/>
      </c>
      <c r="Y61" s="11">
        <f>EOMONTH(X61,1)</f>
        <v/>
      </c>
      <c r="Z61" t="b">
        <v>0</v>
      </c>
    </row>
    <row r="62">
      <c r="A62" s="3" t="inlineStr">
        <is>
          <t>Heron View</t>
        </is>
      </c>
      <c r="B62" s="3" t="inlineStr">
        <is>
          <t>N</t>
        </is>
      </c>
      <c r="C62" s="3" t="inlineStr">
        <is>
          <t>HVN102</t>
        </is>
      </c>
      <c r="D62" s="3" t="b">
        <v>1</v>
      </c>
      <c r="E62" s="3" t="b">
        <v>1</v>
      </c>
      <c r="F62" s="3">
        <f>IF(OR(Z62=TRUE,SUMIFS('Cashflow Projection'!$E$119:$E$151,'Cashflow Projection'!$D$119:$D$151,Sales!C62)=1),0,SUMIFS('Cashflow Projection'!$C$7:$C$23,'Cashflow Projection'!$B$7:$B$23,Sales!B62,'Cashflow Projection'!$A$7:$A$23,Sales!A62))</f>
        <v/>
      </c>
      <c r="G62" s="4" t="n">
        <v>45428</v>
      </c>
      <c r="H62" s="4" t="n">
        <v>45420</v>
      </c>
      <c r="I62" s="3" t="n">
        <v>1689900</v>
      </c>
      <c r="J62" s="3" t="n">
        <v>220421.7391304348</v>
      </c>
      <c r="K62" s="3" t="n">
        <v>1469478.260869565</v>
      </c>
      <c r="L62" s="3" t="n">
        <v>18502.08</v>
      </c>
      <c r="M62" s="3" t="n">
        <v>1789</v>
      </c>
      <c r="N62" s="3" t="n">
        <v>8449.5</v>
      </c>
      <c r="O62" s="3" t="n">
        <v>84495</v>
      </c>
      <c r="P62" s="3" t="n">
        <v>19224.37</v>
      </c>
      <c r="Q62" s="9">
        <f>K62-SUM(L62:P62)</f>
        <v/>
      </c>
      <c r="R62" s="10">
        <f>IF($F62=1,((SUMIFS(Investors!$M:$M,Investors!$E:$E,Sales!$C62,Investors!$O:$O,FALSE)+SUMIFS(Investors!$S:$S,Investors!$E:$E,Sales!$C62,Investors!$O:$O,FALSE))*$F62)-SUMIFS('Investor Exit List'!$Q:$Q,'Investor Exit List'!$Y:$Y,1,'Investor Exit List'!$Z:$Z,"Release",'Investor Exit List'!$C:$C,Sales!$C62),(SUMIFS(Investors!$M:$M,Investors!$E:$E,Sales!$C62,Investors!$O:$O,FALSE)+SUMIFS(Investors!$S:$S,Investors!$E:$E,Sales!$C62,Investors!$O:$O,FALSE))*$F62)</f>
        <v/>
      </c>
      <c r="S62" s="10">
        <f>IF(T62=FALSE,Q62-R62,+V62)</f>
        <v/>
      </c>
      <c r="T62" s="3">
        <f>IF(SUMIFS('Cashflow Projection'!$E$119:$E$151,'Cashflow Projection'!$D$119:$D$151,Sales!C62)&lt;&gt;0,TRUE,FALSE)</f>
        <v/>
      </c>
      <c r="U62" s="4" t="n">
        <v>45504</v>
      </c>
      <c r="V62" s="10" t="n">
        <v>223905.8034246573</v>
      </c>
      <c r="W62" s="11">
        <f>IF(SUMIFS('Cashflow Projection'!$E$119:$E$151,'Cashflow Projection'!$D$119:$D$151,Sales!C62)=1,SUMIFS('Cashflow Projection'!$C$119:$C$151,'Cashflow Projection'!$D$119:$D$151,Sales!C62),+Sales!H62)</f>
        <v/>
      </c>
      <c r="X62" s="11">
        <f>IF(MOD(MONTH(W62), 2) &lt;&gt; 0, EOMONTH(W62, 2), EOMONTH(W62, 1))</f>
        <v/>
      </c>
      <c r="Y62" s="11">
        <f>EOMONTH(X62,1)</f>
        <v/>
      </c>
      <c r="Z62" t="b">
        <v>0</v>
      </c>
    </row>
    <row r="63">
      <c r="A63" s="3" t="inlineStr">
        <is>
          <t>Heron View</t>
        </is>
      </c>
      <c r="B63" s="3" t="inlineStr">
        <is>
          <t>N</t>
        </is>
      </c>
      <c r="C63" s="3" t="inlineStr">
        <is>
          <t>HVN203</t>
        </is>
      </c>
      <c r="D63" s="3" t="b">
        <v>1</v>
      </c>
      <c r="E63" s="3" t="b">
        <v>1</v>
      </c>
      <c r="F63" s="3">
        <f>IF(OR(Z63=TRUE,SUMIFS('Cashflow Projection'!$E$119:$E$151,'Cashflow Projection'!$D$119:$D$151,Sales!C63)=1),0,SUMIFS('Cashflow Projection'!$C$7:$C$23,'Cashflow Projection'!$B$7:$B$23,Sales!B63,'Cashflow Projection'!$A$7:$A$23,Sales!A63))</f>
        <v/>
      </c>
      <c r="G63" s="4" t="n">
        <v>45336</v>
      </c>
      <c r="H63" s="4" t="n">
        <v>45688</v>
      </c>
      <c r="I63" s="3" t="n">
        <v>1469900</v>
      </c>
      <c r="J63" s="3" t="n">
        <v>191726.0869565217</v>
      </c>
      <c r="K63" s="3" t="n">
        <v>1278173.913043478</v>
      </c>
      <c r="L63" s="3" t="n">
        <v>18502.08</v>
      </c>
      <c r="M63" s="3" t="n">
        <v>1789</v>
      </c>
      <c r="N63" s="3" t="n">
        <v>7349.5</v>
      </c>
      <c r="O63" s="3" t="n">
        <v>73495</v>
      </c>
      <c r="P63" s="3" t="n">
        <v>19224.37</v>
      </c>
      <c r="Q63" s="9">
        <f>K63-SUM(L63:P63)</f>
        <v/>
      </c>
      <c r="R63" s="10">
        <f>IF($F63=1,((SUMIFS(Investors!$M:$M,Investors!$E:$E,Sales!$C63,Investors!$O:$O,FALSE)+SUMIFS(Investors!$S:$S,Investors!$E:$E,Sales!$C63,Investors!$O:$O,FALSE))*$F63)-SUMIFS('Investor Exit List'!$Q:$Q,'Investor Exit List'!$Y:$Y,1,'Investor Exit List'!$Z:$Z,"Release",'Investor Exit List'!$C:$C,Sales!$C63),(SUMIFS(Investors!$M:$M,Investors!$E:$E,Sales!$C63,Investors!$O:$O,FALSE)+SUMIFS(Investors!$S:$S,Investors!$E:$E,Sales!$C63,Investors!$O:$O,FALSE))*$F63)</f>
        <v/>
      </c>
      <c r="S63" s="10">
        <f>IF(T63=FALSE,Q63-R63,+V63)</f>
        <v/>
      </c>
      <c r="T63" s="3">
        <f>IF(SUMIFS('Cashflow Projection'!$E$119:$E$151,'Cashflow Projection'!$D$119:$D$151,Sales!C63)&lt;&gt;0,TRUE,FALSE)</f>
        <v/>
      </c>
      <c r="U63" s="4" t="n">
        <v>45747</v>
      </c>
      <c r="V63" s="10" t="n">
        <v>56485.25547945197</v>
      </c>
      <c r="W63" s="11">
        <f>IF(SUMIFS('Cashflow Projection'!$E$119:$E$151,'Cashflow Projection'!$D$119:$D$151,Sales!C63)=1,SUMIFS('Cashflow Projection'!$C$119:$C$151,'Cashflow Projection'!$D$119:$D$151,Sales!C63),+Sales!H63)</f>
        <v/>
      </c>
      <c r="X63" s="11">
        <f>IF(MOD(MONTH(W63), 2) &lt;&gt; 0, EOMONTH(W63, 2), EOMONTH(W63, 1))</f>
        <v/>
      </c>
      <c r="Y63" s="11">
        <f>EOMONTH(X63,1)</f>
        <v/>
      </c>
      <c r="Z63" t="b">
        <v>0</v>
      </c>
    </row>
    <row r="64">
      <c r="A64" s="3" t="inlineStr">
        <is>
          <t>Heron View</t>
        </is>
      </c>
      <c r="B64" s="3" t="inlineStr">
        <is>
          <t>P</t>
        </is>
      </c>
      <c r="C64" s="3" t="inlineStr">
        <is>
          <t>HVP302</t>
        </is>
      </c>
      <c r="D64" s="3" t="b">
        <v>1</v>
      </c>
      <c r="E64" s="3" t="b">
        <v>1</v>
      </c>
      <c r="F64" s="3">
        <f>IF(OR(Z64=TRUE,SUMIFS('Cashflow Projection'!$E$119:$E$151,'Cashflow Projection'!$D$119:$D$151,Sales!C64)=1),0,SUMIFS('Cashflow Projection'!$C$7:$C$23,'Cashflow Projection'!$B$7:$B$23,Sales!B64,'Cashflow Projection'!$A$7:$A$23,Sales!A64))</f>
        <v/>
      </c>
      <c r="G64" s="4" t="n">
        <v>45271</v>
      </c>
      <c r="H64" s="4" t="n">
        <v>45688</v>
      </c>
      <c r="I64" s="3" t="n">
        <v>1779900</v>
      </c>
      <c r="J64" s="3" t="n">
        <v>232160.8695652174</v>
      </c>
      <c r="K64" s="3" t="n">
        <v>1547739.130434783</v>
      </c>
      <c r="L64" s="3" t="n">
        <v>18502.08</v>
      </c>
      <c r="M64" s="3" t="n">
        <v>1789</v>
      </c>
      <c r="N64" s="3" t="n">
        <v>8899.5</v>
      </c>
      <c r="O64" s="3" t="n">
        <v>88995</v>
      </c>
      <c r="P64" s="3" t="n">
        <v>19224.37</v>
      </c>
      <c r="Q64" s="9">
        <f>K64-SUM(L64:P64)</f>
        <v/>
      </c>
      <c r="R64" s="10">
        <f>IF($F64=1,((SUMIFS(Investors!$M:$M,Investors!$E:$E,Sales!$C64,Investors!$O:$O,FALSE)+SUMIFS(Investors!$S:$S,Investors!$E:$E,Sales!$C64,Investors!$O:$O,FALSE))*$F64)-SUMIFS('Investor Exit List'!$Q:$Q,'Investor Exit List'!$Y:$Y,1,'Investor Exit List'!$Z:$Z,"Release",'Investor Exit List'!$C:$C,Sales!$C64),(SUMIFS(Investors!$M:$M,Investors!$E:$E,Sales!$C64,Investors!$O:$O,FALSE)+SUMIFS(Investors!$S:$S,Investors!$E:$E,Sales!$C64,Investors!$O:$O,FALSE))*$F64)</f>
        <v/>
      </c>
      <c r="S64" s="10">
        <f>IF(T64=FALSE,Q64-R64,+V64)</f>
        <v/>
      </c>
      <c r="T64" s="3">
        <f>IF(SUMIFS('Cashflow Projection'!$E$119:$E$151,'Cashflow Projection'!$D$119:$D$151,Sales!C64)&lt;&gt;0,TRUE,FALSE)</f>
        <v/>
      </c>
      <c r="U64" s="4" t="n">
        <v>45747</v>
      </c>
      <c r="V64" s="10" t="n">
        <v>385098.9285599999</v>
      </c>
      <c r="W64" s="11">
        <f>IF(SUMIFS('Cashflow Projection'!$E$119:$E$151,'Cashflow Projection'!$D$119:$D$151,Sales!C64)=1,SUMIFS('Cashflow Projection'!$C$119:$C$151,'Cashflow Projection'!$D$119:$D$151,Sales!C64),+Sales!H64)</f>
        <v/>
      </c>
      <c r="X64" s="11">
        <f>IF(MOD(MONTH(W64), 2) &lt;&gt; 0, EOMONTH(W64, 2), EOMONTH(W64, 1))</f>
        <v/>
      </c>
      <c r="Y64" s="11">
        <f>EOMONTH(X64,1)</f>
        <v/>
      </c>
      <c r="Z64" t="b">
        <v>0</v>
      </c>
    </row>
    <row r="65">
      <c r="A65" s="3" t="inlineStr">
        <is>
          <t>Heron View</t>
        </is>
      </c>
      <c r="B65" s="3" t="inlineStr">
        <is>
          <t>K</t>
        </is>
      </c>
      <c r="C65" s="3" t="inlineStr">
        <is>
          <t>HVK404</t>
        </is>
      </c>
      <c r="D65" s="3" t="b">
        <v>0</v>
      </c>
      <c r="E65" s="3" t="b">
        <v>0</v>
      </c>
      <c r="F65" s="3">
        <f>IF(OR(Z65=TRUE,SUMIFS('Cashflow Projection'!$E$119:$E$151,'Cashflow Projection'!$D$119:$D$151,Sales!C65)=1),0,SUMIFS('Cashflow Projection'!$C$7:$C$23,'Cashflow Projection'!$B$7:$B$23,Sales!B65,'Cashflow Projection'!$A$7:$A$23,Sales!A65))</f>
        <v/>
      </c>
      <c r="G65" s="4" t="n">
        <v>45510</v>
      </c>
      <c r="H65" s="4" t="n">
        <v>45625</v>
      </c>
      <c r="I65" s="3" t="n">
        <v>1499900</v>
      </c>
      <c r="J65" s="3" t="n">
        <v>195639.1304347826</v>
      </c>
      <c r="K65" s="3" t="n">
        <v>1304260.869565218</v>
      </c>
      <c r="L65" s="3" t="n">
        <v>18502.08</v>
      </c>
      <c r="M65" s="3" t="n">
        <v>1789</v>
      </c>
      <c r="N65" s="3" t="n">
        <v>7499.5</v>
      </c>
      <c r="O65" s="3" t="n">
        <v>74995</v>
      </c>
      <c r="P65" s="3" t="n">
        <v>19224.37</v>
      </c>
      <c r="Q65" s="9">
        <f>K65-SUM(L65:P65)</f>
        <v/>
      </c>
      <c r="R65" s="10">
        <f>IF($F65=1,((SUMIFS(Investors!$M:$M,Investors!$E:$E,Sales!$C65,Investors!$O:$O,FALSE)+SUMIFS(Investors!$S:$S,Investors!$E:$E,Sales!$C65,Investors!$O:$O,FALSE))*$F65)-SUMIFS('Investor Exit List'!$Q:$Q,'Investor Exit List'!$Y:$Y,1,'Investor Exit List'!$Z:$Z,"Release",'Investor Exit List'!$C:$C,Sales!$C65),(SUMIFS(Investors!$M:$M,Investors!$E:$E,Sales!$C65,Investors!$O:$O,FALSE)+SUMIFS(Investors!$S:$S,Investors!$E:$E,Sales!$C65,Investors!$O:$O,FALSE))*$F65)</f>
        <v/>
      </c>
      <c r="S65" s="10">
        <f>IF(T65=FALSE,Q65-R65,+V65)</f>
        <v/>
      </c>
      <c r="T65" s="3">
        <f>IF(SUMIFS('Cashflow Projection'!$E$119:$E$151,'Cashflow Projection'!$D$119:$D$151,Sales!C65)&lt;&gt;0,TRUE,FALSE)</f>
        <v/>
      </c>
      <c r="U65" s="4" t="n">
        <v>45688</v>
      </c>
      <c r="V65" s="10" t="n">
        <v>5391.419863013551</v>
      </c>
      <c r="W65" s="11">
        <f>IF(SUMIFS('Cashflow Projection'!$E$119:$E$151,'Cashflow Projection'!$D$119:$D$151,Sales!C65)=1,SUMIFS('Cashflow Projection'!$C$119:$C$151,'Cashflow Projection'!$D$119:$D$151,Sales!C65),+Sales!H65)</f>
        <v/>
      </c>
      <c r="X65" s="11">
        <f>IF(MOD(MONTH(W65), 2) &lt;&gt; 0, EOMONTH(W65, 2), EOMONTH(W65, 1))</f>
        <v/>
      </c>
      <c r="Y65" s="11">
        <f>EOMONTH(X65,1)</f>
        <v/>
      </c>
      <c r="Z65" t="b">
        <v>0</v>
      </c>
    </row>
    <row r="66">
      <c r="A66" s="3" t="inlineStr">
        <is>
          <t>Heron View</t>
        </is>
      </c>
      <c r="B66" s="3" t="inlineStr">
        <is>
          <t>G</t>
        </is>
      </c>
      <c r="C66" s="3" t="inlineStr">
        <is>
          <t>HVG204</t>
        </is>
      </c>
      <c r="D66" s="3" t="b">
        <v>0</v>
      </c>
      <c r="E66" s="3" t="b">
        <v>0</v>
      </c>
      <c r="F66" s="3">
        <f>IF(OR(Z66=TRUE,SUMIFS('Cashflow Projection'!$E$119:$E$151,'Cashflow Projection'!$D$119:$D$151,Sales!C66)=1),0,SUMIFS('Cashflow Projection'!$C$7:$C$23,'Cashflow Projection'!$B$7:$B$23,Sales!B66,'Cashflow Projection'!$A$7:$A$23,Sales!A66))</f>
        <v/>
      </c>
      <c r="G66" s="4" t="n">
        <v>45523</v>
      </c>
      <c r="H66" s="4" t="n">
        <v>45532</v>
      </c>
      <c r="I66" s="3" t="n">
        <v>1449900</v>
      </c>
      <c r="J66" s="3" t="n">
        <v>189117.3913043478</v>
      </c>
      <c r="K66" s="3" t="n">
        <v>1260782.608695652</v>
      </c>
      <c r="L66" s="3" t="n">
        <v>18502.08</v>
      </c>
      <c r="M66" s="3" t="n">
        <v>1789</v>
      </c>
      <c r="N66" s="3" t="n">
        <v>7249.5</v>
      </c>
      <c r="O66" s="3" t="n">
        <v>72495</v>
      </c>
      <c r="P66" s="3" t="n">
        <v>19224.37</v>
      </c>
      <c r="Q66" s="9">
        <f>K66-SUM(L66:P66)</f>
        <v/>
      </c>
      <c r="R66" s="10">
        <f>IF($F66=1,((SUMIFS(Investors!$M:$M,Investors!$E:$E,Sales!$C66,Investors!$O:$O,FALSE)+SUMIFS(Investors!$S:$S,Investors!$E:$E,Sales!$C66,Investors!$O:$O,FALSE))*$F66)-SUMIFS('Investor Exit List'!$Q:$Q,'Investor Exit List'!$Y:$Y,1,'Investor Exit List'!$Z:$Z,"Release",'Investor Exit List'!$C:$C,Sales!$C66),(SUMIFS(Investors!$M:$M,Investors!$E:$E,Sales!$C66,Investors!$O:$O,FALSE)+SUMIFS(Investors!$S:$S,Investors!$E:$E,Sales!$C66,Investors!$O:$O,FALSE))*$F66)</f>
        <v/>
      </c>
      <c r="S66" s="10">
        <f>IF(T66=FALSE,Q66-R66,+V66)</f>
        <v/>
      </c>
      <c r="T66" s="3">
        <f>IF(SUMIFS('Cashflow Projection'!$E$119:$E$151,'Cashflow Projection'!$D$119:$D$151,Sales!C66)&lt;&gt;0,TRUE,FALSE)</f>
        <v/>
      </c>
      <c r="U66" s="4" t="n">
        <v>45565</v>
      </c>
      <c r="V66" s="10" t="n">
        <v>28879.09109589015</v>
      </c>
      <c r="W66" s="11">
        <f>IF(SUMIFS('Cashflow Projection'!$E$119:$E$151,'Cashflow Projection'!$D$119:$D$151,Sales!C66)=1,SUMIFS('Cashflow Projection'!$C$119:$C$151,'Cashflow Projection'!$D$119:$D$151,Sales!C66),+Sales!H66)</f>
        <v/>
      </c>
      <c r="X66" s="11">
        <f>IF(MOD(MONTH(W66), 2) &lt;&gt; 0, EOMONTH(W66, 2), EOMONTH(W66, 1))</f>
        <v/>
      </c>
      <c r="Y66" s="11">
        <f>EOMONTH(X66,1)</f>
        <v/>
      </c>
      <c r="Z66" t="b">
        <v>0</v>
      </c>
    </row>
    <row r="67">
      <c r="A67" s="3" t="inlineStr">
        <is>
          <t>Heron View</t>
        </is>
      </c>
      <c r="B67" s="3" t="inlineStr">
        <is>
          <t>K</t>
        </is>
      </c>
      <c r="C67" s="3" t="inlineStr">
        <is>
          <t>HVK206</t>
        </is>
      </c>
      <c r="D67" s="3" t="b">
        <v>0</v>
      </c>
      <c r="E67" s="3" t="b">
        <v>0</v>
      </c>
      <c r="F67" s="3">
        <f>IF(OR(Z67=TRUE,SUMIFS('Cashflow Projection'!$E$119:$E$151,'Cashflow Projection'!$D$119:$D$151,Sales!C67)=1),0,SUMIFS('Cashflow Projection'!$C$7:$C$23,'Cashflow Projection'!$B$7:$B$23,Sales!B67,'Cashflow Projection'!$A$7:$A$23,Sales!A67))</f>
        <v/>
      </c>
      <c r="G67" s="4" t="n">
        <v>45510</v>
      </c>
      <c r="H67" s="4" t="n">
        <v>45625</v>
      </c>
      <c r="I67" s="3" t="n">
        <v>1499900</v>
      </c>
      <c r="J67" s="3" t="n">
        <v>195639.1304347826</v>
      </c>
      <c r="K67" s="3" t="n">
        <v>1304260.869565218</v>
      </c>
      <c r="L67" s="3" t="n">
        <v>18502.08</v>
      </c>
      <c r="M67" s="3" t="n">
        <v>1789</v>
      </c>
      <c r="N67" s="3" t="n">
        <v>7499.5</v>
      </c>
      <c r="O67" s="3" t="n">
        <v>74995</v>
      </c>
      <c r="P67" s="3" t="n">
        <v>19224.37</v>
      </c>
      <c r="Q67" s="9">
        <f>K67-SUM(L67:P67)</f>
        <v/>
      </c>
      <c r="R67" s="10">
        <f>IF($F67=1,((SUMIFS(Investors!$M:$M,Investors!$E:$E,Sales!$C67,Investors!$O:$O,FALSE)+SUMIFS(Investors!$S:$S,Investors!$E:$E,Sales!$C67,Investors!$O:$O,FALSE))*$F67)-SUMIFS('Investor Exit List'!$Q:$Q,'Investor Exit List'!$Y:$Y,1,'Investor Exit List'!$Z:$Z,"Release",'Investor Exit List'!$C:$C,Sales!$C67),(SUMIFS(Investors!$M:$M,Investors!$E:$E,Sales!$C67,Investors!$O:$O,FALSE)+SUMIFS(Investors!$S:$S,Investors!$E:$E,Sales!$C67,Investors!$O:$O,FALSE))*$F67)</f>
        <v/>
      </c>
      <c r="S67" s="10">
        <f>IF(T67=FALSE,Q67-R67,+V67)</f>
        <v/>
      </c>
      <c r="T67" s="3">
        <f>IF(SUMIFS('Cashflow Projection'!$E$119:$E$151,'Cashflow Projection'!$D$119:$D$151,Sales!C67)&lt;&gt;0,TRUE,FALSE)</f>
        <v/>
      </c>
      <c r="U67" s="4" t="n">
        <v>45688</v>
      </c>
      <c r="V67" s="10" t="n">
        <v>-15585.21300739748</v>
      </c>
      <c r="W67" s="11">
        <f>IF(SUMIFS('Cashflow Projection'!$E$119:$E$151,'Cashflow Projection'!$D$119:$D$151,Sales!C67)=1,SUMIFS('Cashflow Projection'!$C$119:$C$151,'Cashflow Projection'!$D$119:$D$151,Sales!C67),+Sales!H67)</f>
        <v/>
      </c>
      <c r="X67" s="11">
        <f>IF(MOD(MONTH(W67), 2) &lt;&gt; 0, EOMONTH(W67, 2), EOMONTH(W67, 1))</f>
        <v/>
      </c>
      <c r="Y67" s="11">
        <f>EOMONTH(X67,1)</f>
        <v/>
      </c>
      <c r="Z67" t="b">
        <v>0</v>
      </c>
    </row>
    <row r="68">
      <c r="A68" s="3" t="inlineStr">
        <is>
          <t>Heron View</t>
        </is>
      </c>
      <c r="B68" s="3" t="inlineStr">
        <is>
          <t>G</t>
        </is>
      </c>
      <c r="C68" s="3" t="inlineStr">
        <is>
          <t>HVG101</t>
        </is>
      </c>
      <c r="D68" s="3" t="b">
        <v>0</v>
      </c>
      <c r="E68" s="3" t="b">
        <v>0</v>
      </c>
      <c r="F68" s="3">
        <f>IF(OR(Z68=TRUE,SUMIFS('Cashflow Projection'!$E$119:$E$151,'Cashflow Projection'!$D$119:$D$151,Sales!C68)=1),0,SUMIFS('Cashflow Projection'!$C$7:$C$23,'Cashflow Projection'!$B$7:$B$23,Sales!B68,'Cashflow Projection'!$A$7:$A$23,Sales!A68))</f>
        <v/>
      </c>
      <c r="G68" s="4" t="n">
        <v>45523</v>
      </c>
      <c r="H68" s="4" t="n">
        <v>45532</v>
      </c>
      <c r="I68" s="3" t="n">
        <v>1649900</v>
      </c>
      <c r="J68" s="3" t="n">
        <v>215204.3478260869</v>
      </c>
      <c r="K68" s="3" t="n">
        <v>1434695.652173913</v>
      </c>
      <c r="L68" s="3" t="n">
        <v>18502.08</v>
      </c>
      <c r="M68" s="3" t="n">
        <v>1789</v>
      </c>
      <c r="N68" s="3" t="n">
        <v>8249.5</v>
      </c>
      <c r="O68" s="3" t="n">
        <v>82495</v>
      </c>
      <c r="P68" s="3" t="n">
        <v>19224.37</v>
      </c>
      <c r="Q68" s="9">
        <f>K68-SUM(L68:P68)</f>
        <v/>
      </c>
      <c r="R68" s="10">
        <f>IF($F68=1,((SUMIFS(Investors!$M:$M,Investors!$E:$E,Sales!$C68,Investors!$O:$O,FALSE)+SUMIFS(Investors!$S:$S,Investors!$E:$E,Sales!$C68,Investors!$O:$O,FALSE))*$F68)-SUMIFS('Investor Exit List'!$Q:$Q,'Investor Exit List'!$Y:$Y,1,'Investor Exit List'!$Z:$Z,"Release",'Investor Exit List'!$C:$C,Sales!$C68),(SUMIFS(Investors!$M:$M,Investors!$E:$E,Sales!$C68,Investors!$O:$O,FALSE)+SUMIFS(Investors!$S:$S,Investors!$E:$E,Sales!$C68,Investors!$O:$O,FALSE))*$F68)</f>
        <v/>
      </c>
      <c r="S68" s="10">
        <f>IF(T68=FALSE,Q68-R68,+V68)</f>
        <v/>
      </c>
      <c r="T68" s="3">
        <f>IF(SUMIFS('Cashflow Projection'!$E$119:$E$151,'Cashflow Projection'!$D$119:$D$151,Sales!C68)&lt;&gt;0,TRUE,FALSE)</f>
        <v/>
      </c>
      <c r="U68" s="4" t="n">
        <v>45565</v>
      </c>
      <c r="V68" s="10" t="n">
        <v>170000.0499999998</v>
      </c>
      <c r="W68" s="11">
        <f>IF(SUMIFS('Cashflow Projection'!$E$119:$E$151,'Cashflow Projection'!$D$119:$D$151,Sales!C68)=1,SUMIFS('Cashflow Projection'!$C$119:$C$151,'Cashflow Projection'!$D$119:$D$151,Sales!C68),+Sales!H68)</f>
        <v/>
      </c>
      <c r="X68" s="11">
        <f>IF(MOD(MONTH(W68), 2) &lt;&gt; 0, EOMONTH(W68, 2), EOMONTH(W68, 1))</f>
        <v/>
      </c>
      <c r="Y68" s="11">
        <f>EOMONTH(X68,1)</f>
        <v/>
      </c>
      <c r="Z68" t="b">
        <v>0</v>
      </c>
    </row>
    <row r="69">
      <c r="A69" s="3" t="inlineStr">
        <is>
          <t>Heron View</t>
        </is>
      </c>
      <c r="B69" s="3" t="inlineStr">
        <is>
          <t>I</t>
        </is>
      </c>
      <c r="C69" s="3" t="inlineStr">
        <is>
          <t>HVI202</t>
        </is>
      </c>
      <c r="D69" s="3" t="b">
        <v>0</v>
      </c>
      <c r="E69" s="3" t="b">
        <v>0</v>
      </c>
      <c r="F69" s="3">
        <f>IF(OR(Z69=TRUE,SUMIFS('Cashflow Projection'!$E$119:$E$151,'Cashflow Projection'!$D$119:$D$151,Sales!C69)=1),0,SUMIFS('Cashflow Projection'!$C$7:$C$23,'Cashflow Projection'!$B$7:$B$23,Sales!B69,'Cashflow Projection'!$A$7:$A$23,Sales!A69))</f>
        <v/>
      </c>
      <c r="G69" s="4" t="n">
        <v>45491</v>
      </c>
      <c r="H69" s="4" t="n">
        <v>45596</v>
      </c>
      <c r="I69" s="3" t="n">
        <v>1549900</v>
      </c>
      <c r="J69" s="3" t="n">
        <v>202160.8695652174</v>
      </c>
      <c r="K69" s="3" t="n">
        <v>1347739.130434783</v>
      </c>
      <c r="L69" s="3" t="n">
        <v>18502.08</v>
      </c>
      <c r="M69" s="3" t="n">
        <v>1789</v>
      </c>
      <c r="N69" s="3" t="n">
        <v>7749.5</v>
      </c>
      <c r="O69" s="3" t="n">
        <v>77495</v>
      </c>
      <c r="P69" s="3" t="n">
        <v>19224.37</v>
      </c>
      <c r="Q69" s="9">
        <f>K69-SUM(L69:P69)</f>
        <v/>
      </c>
      <c r="R69" s="10">
        <f>IF($F69=1,((SUMIFS(Investors!$M:$M,Investors!$E:$E,Sales!$C69,Investors!$O:$O,FALSE)+SUMIFS(Investors!$S:$S,Investors!$E:$E,Sales!$C69,Investors!$O:$O,FALSE))*$F69)-SUMIFS('Investor Exit List'!$Q:$Q,'Investor Exit List'!$Y:$Y,1,'Investor Exit List'!$Z:$Z,"Release",'Investor Exit List'!$C:$C,Sales!$C69),(SUMIFS(Investors!$M:$M,Investors!$E:$E,Sales!$C69,Investors!$O:$O,FALSE)+SUMIFS(Investors!$S:$S,Investors!$E:$E,Sales!$C69,Investors!$O:$O,FALSE))*$F69)</f>
        <v/>
      </c>
      <c r="S69" s="10">
        <f>IF(T69=FALSE,Q69-R69,+V69)</f>
        <v/>
      </c>
      <c r="T69" s="3">
        <f>IF(SUMIFS('Cashflow Projection'!$E$119:$E$151,'Cashflow Projection'!$D$119:$D$151,Sales!C69)&lt;&gt;0,TRUE,FALSE)</f>
        <v/>
      </c>
      <c r="U69" s="4" t="n">
        <v>45626</v>
      </c>
      <c r="V69" s="10" t="n">
        <v>145583.8856164382</v>
      </c>
      <c r="W69" s="11">
        <f>IF(SUMIFS('Cashflow Projection'!$E$119:$E$151,'Cashflow Projection'!$D$119:$D$151,Sales!C69)=1,SUMIFS('Cashflow Projection'!$C$119:$C$151,'Cashflow Projection'!$D$119:$D$151,Sales!C69),+Sales!H69)</f>
        <v/>
      </c>
      <c r="X69" s="11">
        <f>IF(MOD(MONTH(W69), 2) &lt;&gt; 0, EOMONTH(W69, 2), EOMONTH(W69, 1))</f>
        <v/>
      </c>
      <c r="Y69" s="11">
        <f>EOMONTH(X69,1)</f>
        <v/>
      </c>
      <c r="Z69" t="b">
        <v>0</v>
      </c>
    </row>
    <row r="70">
      <c r="A70" s="3" t="inlineStr">
        <is>
          <t>Heron View</t>
        </is>
      </c>
      <c r="B70" s="3" t="inlineStr">
        <is>
          <t>O</t>
        </is>
      </c>
      <c r="C70" s="3" t="inlineStr">
        <is>
          <t>HVO302</t>
        </is>
      </c>
      <c r="D70" s="3" t="b">
        <v>0</v>
      </c>
      <c r="E70" s="3" t="b">
        <v>0</v>
      </c>
      <c r="F70" s="3">
        <f>IF(OR(Z70=TRUE,SUMIFS('Cashflow Projection'!$E$119:$E$151,'Cashflow Projection'!$D$119:$D$151,Sales!C70)=1),0,SUMIFS('Cashflow Projection'!$C$7:$C$23,'Cashflow Projection'!$B$7:$B$23,Sales!B70,'Cashflow Projection'!$A$7:$A$23,Sales!A70))</f>
        <v/>
      </c>
      <c r="G70" s="4" t="n">
        <v>45518</v>
      </c>
      <c r="H70" s="4" t="n">
        <v>45518</v>
      </c>
      <c r="I70" s="3" t="n">
        <v>1689900</v>
      </c>
      <c r="J70" s="3" t="n">
        <v>220421.7391304348</v>
      </c>
      <c r="K70" s="3" t="n">
        <v>1469478.260869565</v>
      </c>
      <c r="L70" s="3" t="n">
        <v>18502.08</v>
      </c>
      <c r="M70" s="3" t="n">
        <v>1789</v>
      </c>
      <c r="N70" s="3" t="n">
        <v>8449.5</v>
      </c>
      <c r="O70" s="3" t="n">
        <v>84495</v>
      </c>
      <c r="P70" s="3" t="n">
        <v>19224.37</v>
      </c>
      <c r="Q70" s="9">
        <f>K70-SUM(L70:P70)</f>
        <v/>
      </c>
      <c r="R70" s="10">
        <f>IF($F70=1,((SUMIFS(Investors!$M:$M,Investors!$E:$E,Sales!$C70,Investors!$O:$O,FALSE)+SUMIFS(Investors!$S:$S,Investors!$E:$E,Sales!$C70,Investors!$O:$O,FALSE))*$F70)-SUMIFS('Investor Exit List'!$Q:$Q,'Investor Exit List'!$Y:$Y,1,'Investor Exit List'!$Z:$Z,"Release",'Investor Exit List'!$C:$C,Sales!$C70),(SUMIFS(Investors!$M:$M,Investors!$E:$E,Sales!$C70,Investors!$O:$O,FALSE)+SUMIFS(Investors!$S:$S,Investors!$E:$E,Sales!$C70,Investors!$O:$O,FALSE))*$F70)</f>
        <v/>
      </c>
      <c r="S70" s="10">
        <f>IF(T70=FALSE,Q70-R70,+V70)</f>
        <v/>
      </c>
      <c r="T70" s="3">
        <f>IF(SUMIFS('Cashflow Projection'!$E$119:$E$151,'Cashflow Projection'!$D$119:$D$151,Sales!C70)&lt;&gt;0,TRUE,FALSE)</f>
        <v/>
      </c>
      <c r="U70" s="4" t="n">
        <v>45565</v>
      </c>
      <c r="V70" s="10" t="n">
        <v>211700.1850468493</v>
      </c>
      <c r="W70" s="11">
        <f>IF(SUMIFS('Cashflow Projection'!$E$119:$E$151,'Cashflow Projection'!$D$119:$D$151,Sales!C70)=1,SUMIFS('Cashflow Projection'!$C$119:$C$151,'Cashflow Projection'!$D$119:$D$151,Sales!C70),+Sales!H70)</f>
        <v/>
      </c>
      <c r="X70" s="11">
        <f>IF(MOD(MONTH(W70), 2) &lt;&gt; 0, EOMONTH(W70, 2), EOMONTH(W70, 1))</f>
        <v/>
      </c>
      <c r="Y70" s="11">
        <f>EOMONTH(X70,1)</f>
        <v/>
      </c>
      <c r="Z70" t="b">
        <v>0</v>
      </c>
    </row>
    <row r="71">
      <c r="A71" s="3" t="inlineStr">
        <is>
          <t>Heron View</t>
        </is>
      </c>
      <c r="B71" s="3" t="inlineStr">
        <is>
          <t>O</t>
        </is>
      </c>
      <c r="C71" s="3" t="inlineStr">
        <is>
          <t>HVO203</t>
        </is>
      </c>
      <c r="D71" s="3" t="b">
        <v>1</v>
      </c>
      <c r="E71" s="3" t="b">
        <v>0</v>
      </c>
      <c r="F71" s="3">
        <f>IF(OR(Z71=TRUE,SUMIFS('Cashflow Projection'!$E$119:$E$151,'Cashflow Projection'!$D$119:$D$151,Sales!C71)=1),0,SUMIFS('Cashflow Projection'!$C$7:$C$23,'Cashflow Projection'!$B$7:$B$23,Sales!B71,'Cashflow Projection'!$A$7:$A$23,Sales!A71))</f>
        <v/>
      </c>
      <c r="G71" s="4" t="n">
        <v>45518</v>
      </c>
      <c r="H71" s="4" t="n">
        <v>45518</v>
      </c>
      <c r="I71" s="3" t="n">
        <v>1679900</v>
      </c>
      <c r="J71" s="3" t="n">
        <v>219117.3913043478</v>
      </c>
      <c r="K71" s="3" t="n">
        <v>1460782.608695652</v>
      </c>
      <c r="L71" s="3" t="n">
        <v>18502.08</v>
      </c>
      <c r="M71" s="3" t="n">
        <v>1789</v>
      </c>
      <c r="N71" s="3" t="n">
        <v>8399.5</v>
      </c>
      <c r="O71" s="3" t="n">
        <v>83995</v>
      </c>
      <c r="P71" s="3" t="n">
        <v>19224.37</v>
      </c>
      <c r="Q71" s="9">
        <f>K71-SUM(L71:P71)</f>
        <v/>
      </c>
      <c r="R71" s="10">
        <f>IF($F71=1,((SUMIFS(Investors!$M:$M,Investors!$E:$E,Sales!$C71,Investors!$O:$O,FALSE)+SUMIFS(Investors!$S:$S,Investors!$E:$E,Sales!$C71,Investors!$O:$O,FALSE))*$F71)-SUMIFS('Investor Exit List'!$Q:$Q,'Investor Exit List'!$Y:$Y,1,'Investor Exit List'!$Z:$Z,"Release",'Investor Exit List'!$C:$C,Sales!$C71),(SUMIFS(Investors!$M:$M,Investors!$E:$E,Sales!$C71,Investors!$O:$O,FALSE)+SUMIFS(Investors!$S:$S,Investors!$E:$E,Sales!$C71,Investors!$O:$O,FALSE))*$F71)</f>
        <v/>
      </c>
      <c r="S71" s="10">
        <f>IF(T71=FALSE,Q71-R71,+V71)</f>
        <v/>
      </c>
      <c r="T71" s="3">
        <f>IF(SUMIFS('Cashflow Projection'!$E$119:$E$151,'Cashflow Projection'!$D$119:$D$151,Sales!C71)&lt;&gt;0,TRUE,FALSE)</f>
        <v/>
      </c>
      <c r="U71" s="4" t="n">
        <v>45565</v>
      </c>
      <c r="V71" s="10" t="n">
        <v>158670.6552241091</v>
      </c>
      <c r="W71" s="11">
        <f>IF(SUMIFS('Cashflow Projection'!$E$119:$E$151,'Cashflow Projection'!$D$119:$D$151,Sales!C71)=1,SUMIFS('Cashflow Projection'!$C$119:$C$151,'Cashflow Projection'!$D$119:$D$151,Sales!C71),+Sales!H71)</f>
        <v/>
      </c>
      <c r="X71" s="11">
        <f>IF(MOD(MONTH(W71), 2) &lt;&gt; 0, EOMONTH(W71, 2), EOMONTH(W71, 1))</f>
        <v/>
      </c>
      <c r="Y71" s="11">
        <f>EOMONTH(X71,1)</f>
        <v/>
      </c>
      <c r="Z71" t="b">
        <v>0</v>
      </c>
    </row>
    <row r="72">
      <c r="A72" s="3" t="inlineStr">
        <is>
          <t>Heron View</t>
        </is>
      </c>
      <c r="B72" s="3" t="inlineStr">
        <is>
          <t>E</t>
        </is>
      </c>
      <c r="C72" s="3" t="inlineStr">
        <is>
          <t>HVE303</t>
        </is>
      </c>
      <c r="D72" s="3" t="b">
        <v>0</v>
      </c>
      <c r="E72" s="3" t="b">
        <v>0</v>
      </c>
      <c r="F72" s="3">
        <f>IF(OR(Z72=TRUE,SUMIFS('Cashflow Projection'!$E$119:$E$151,'Cashflow Projection'!$D$119:$D$151,Sales!C72)=1),0,SUMIFS('Cashflow Projection'!$C$7:$C$23,'Cashflow Projection'!$B$7:$B$23,Sales!B72,'Cashflow Projection'!$A$7:$A$23,Sales!A72))</f>
        <v/>
      </c>
      <c r="G72" s="4" t="n">
        <v>45685</v>
      </c>
      <c r="H72" s="4" t="n">
        <v>45685</v>
      </c>
      <c r="I72" s="3" t="n">
        <v>1499900</v>
      </c>
      <c r="J72" s="3" t="n">
        <v>195639.1304347826</v>
      </c>
      <c r="K72" s="3" t="n">
        <v>1304260.869565218</v>
      </c>
      <c r="L72" s="3" t="n">
        <v>18502.08</v>
      </c>
      <c r="M72" s="3" t="n">
        <v>1789</v>
      </c>
      <c r="N72" s="3" t="n">
        <v>7499.5</v>
      </c>
      <c r="O72" s="3" t="n">
        <v>74995</v>
      </c>
      <c r="P72" s="3" t="n">
        <v>19224.37</v>
      </c>
      <c r="Q72" s="9">
        <f>K72-SUM(L72:P72)</f>
        <v/>
      </c>
      <c r="R72" s="10">
        <f>IF($F72=1,((SUMIFS(Investors!$M:$M,Investors!$E:$E,Sales!$C72,Investors!$O:$O,FALSE)+SUMIFS(Investors!$S:$S,Investors!$E:$E,Sales!$C72,Investors!$O:$O,FALSE))*$F72)-SUMIFS('Investor Exit List'!$Q:$Q,'Investor Exit List'!$Y:$Y,1,'Investor Exit List'!$Z:$Z,"Release",'Investor Exit List'!$C:$C,Sales!$C72),(SUMIFS(Investors!$M:$M,Investors!$E:$E,Sales!$C72,Investors!$O:$O,FALSE)+SUMIFS(Investors!$S:$S,Investors!$E:$E,Sales!$C72,Investors!$O:$O,FALSE))*$F72)</f>
        <v/>
      </c>
      <c r="S72" s="10">
        <f>IF(T72=FALSE,Q72-R72,+V72)</f>
        <v/>
      </c>
      <c r="T72" s="3">
        <f>IF(SUMIFS('Cashflow Projection'!$E$119:$E$151,'Cashflow Projection'!$D$119:$D$151,Sales!C72)&lt;&gt;0,TRUE,FALSE)</f>
        <v/>
      </c>
      <c r="U72" s="4" t="n">
        <v>45747</v>
      </c>
      <c r="V72" s="10" t="n">
        <v>511532.7897260272</v>
      </c>
      <c r="W72" s="11">
        <f>IF(SUMIFS('Cashflow Projection'!$E$119:$E$151,'Cashflow Projection'!$D$119:$D$151,Sales!C72)=1,SUMIFS('Cashflow Projection'!$C$119:$C$151,'Cashflow Projection'!$D$119:$D$151,Sales!C72),+Sales!H72)</f>
        <v/>
      </c>
      <c r="X72" s="11">
        <f>IF(MOD(MONTH(W72), 2) &lt;&gt; 0, EOMONTH(W72, 2), EOMONTH(W72, 1))</f>
        <v/>
      </c>
      <c r="Y72" s="11">
        <f>EOMONTH(X72,1)</f>
        <v/>
      </c>
      <c r="Z72" t="b">
        <v>0</v>
      </c>
    </row>
    <row r="73">
      <c r="A73" s="3" t="inlineStr">
        <is>
          <t>Endulini</t>
        </is>
      </c>
      <c r="B73" s="3" t="inlineStr">
        <is>
          <t>A</t>
        </is>
      </c>
      <c r="C73" s="3" t="inlineStr">
        <is>
          <t>EA306</t>
        </is>
      </c>
      <c r="D73" s="3" t="b">
        <v>1</v>
      </c>
      <c r="E73" s="3" t="b">
        <v>1</v>
      </c>
      <c r="F73" s="3">
        <f>IF(OR(Z73=TRUE,SUMIFS('Cashflow Projection'!$E$119:$E$151,'Cashflow Projection'!$D$119:$D$151,Sales!C73)=1),0,SUMIFS('Cashflow Projection'!$C$7:$C$23,'Cashflow Projection'!$B$7:$B$23,Sales!B73,'Cashflow Projection'!$A$7:$A$23,Sales!A73))</f>
        <v/>
      </c>
      <c r="G73" s="4" t="n">
        <v>45279</v>
      </c>
      <c r="H73" s="4" t="n">
        <v>45688</v>
      </c>
      <c r="I73" s="3" t="n">
        <v>1599900</v>
      </c>
      <c r="J73" s="3" t="n">
        <v>208682.6086956522</v>
      </c>
      <c r="K73" s="3" t="n">
        <v>1391217.391304348</v>
      </c>
      <c r="L73" s="3" t="n">
        <v>18502.08</v>
      </c>
      <c r="M73" s="3" t="n">
        <v>1789</v>
      </c>
      <c r="N73" s="3" t="n">
        <v>7999.5</v>
      </c>
      <c r="O73" s="3" t="n">
        <v>79995</v>
      </c>
      <c r="P73" s="3" t="n">
        <v>19224.37</v>
      </c>
      <c r="Q73" s="9">
        <f>K73-SUM(L73:P73)</f>
        <v/>
      </c>
      <c r="R73" s="10">
        <f>IF($F73=1,((SUMIFS(Investors!$M:$M,Investors!$E:$E,Sales!$C73,Investors!$O:$O,FALSE)+SUMIFS(Investors!$S:$S,Investors!$E:$E,Sales!$C73,Investors!$O:$O,FALSE))*$F73)-SUMIFS('Investor Exit List'!$Q:$Q,'Investor Exit List'!$Y:$Y,1,'Investor Exit List'!$Z:$Z,"Release",'Investor Exit List'!$C:$C,Sales!$C73),(SUMIFS(Investors!$M:$M,Investors!$E:$E,Sales!$C73,Investors!$O:$O,FALSE)+SUMIFS(Investors!$S:$S,Investors!$E:$E,Sales!$C73,Investors!$O:$O,FALSE))*$F73)</f>
        <v/>
      </c>
      <c r="S73" s="10">
        <f>IF(T73=FALSE,Q73-R73,+V73)</f>
        <v/>
      </c>
      <c r="T73" s="3">
        <f>IF(SUMIFS('Cashflow Projection'!$E$119:$E$151,'Cashflow Projection'!$D$119:$D$151,Sales!C73)&lt;&gt;0,TRUE,FALSE)</f>
        <v/>
      </c>
      <c r="U73" s="4" t="n">
        <v>45747</v>
      </c>
      <c r="V73" s="10" t="n">
        <v>161890.0499999998</v>
      </c>
      <c r="W73" s="11">
        <f>IF(SUMIFS('Cashflow Projection'!$E$119:$E$151,'Cashflow Projection'!$D$119:$D$151,Sales!C73)=1,SUMIFS('Cashflow Projection'!$C$119:$C$151,'Cashflow Projection'!$D$119:$D$151,Sales!C73),+Sales!H73)</f>
        <v/>
      </c>
      <c r="X73" s="11">
        <f>IF(MOD(MONTH(W73), 2) &lt;&gt; 0, EOMONTH(W73, 2), EOMONTH(W73, 1))</f>
        <v/>
      </c>
      <c r="Y73" s="11">
        <f>EOMONTH(X73,1)</f>
        <v/>
      </c>
      <c r="Z73" t="b">
        <v>0</v>
      </c>
    </row>
    <row r="74">
      <c r="A74" s="3" t="inlineStr">
        <is>
          <t>Endulini</t>
        </is>
      </c>
      <c r="B74" s="3" t="inlineStr">
        <is>
          <t>E</t>
        </is>
      </c>
      <c r="C74" s="3" t="inlineStr">
        <is>
          <t>EE201</t>
        </is>
      </c>
      <c r="D74" s="3" t="b">
        <v>1</v>
      </c>
      <c r="E74" s="3" t="b">
        <v>1</v>
      </c>
      <c r="F74" s="3">
        <f>IF(OR(Z74=TRUE,SUMIFS('Cashflow Projection'!$E$119:$E$151,'Cashflow Projection'!$D$119:$D$151,Sales!C74)=1),0,SUMIFS('Cashflow Projection'!$C$7:$C$23,'Cashflow Projection'!$B$7:$B$23,Sales!B74,'Cashflow Projection'!$A$7:$A$23,Sales!A74))</f>
        <v/>
      </c>
      <c r="G74" s="4" t="n">
        <v>44687</v>
      </c>
      <c r="H74" s="4" t="n">
        <v>45688</v>
      </c>
      <c r="I74" s="3" t="n">
        <v>1414900</v>
      </c>
      <c r="J74" s="3" t="n">
        <v>184552.1739130435</v>
      </c>
      <c r="K74" s="3" t="n">
        <v>1230347.826086957</v>
      </c>
      <c r="L74" s="3" t="n">
        <v>18502.08</v>
      </c>
      <c r="M74" s="3" t="n">
        <v>1789</v>
      </c>
      <c r="N74" s="3" t="n">
        <v>7074.5</v>
      </c>
      <c r="O74" s="3" t="n">
        <v>70745</v>
      </c>
      <c r="P74" s="3" t="n">
        <v>19224.37</v>
      </c>
      <c r="Q74" s="9">
        <f>K74-SUM(L74:P74)</f>
        <v/>
      </c>
      <c r="R74" s="10">
        <f>IF($F74=1,((SUMIFS(Investors!$M:$M,Investors!$E:$E,Sales!$C74,Investors!$O:$O,FALSE)+SUMIFS(Investors!$S:$S,Investors!$E:$E,Sales!$C74,Investors!$O:$O,FALSE))*$F74)-SUMIFS('Investor Exit List'!$Q:$Q,'Investor Exit List'!$Y:$Y,1,'Investor Exit List'!$Z:$Z,"Release",'Investor Exit List'!$C:$C,Sales!$C74),(SUMIFS(Investors!$M:$M,Investors!$E:$E,Sales!$C74,Investors!$O:$O,FALSE)+SUMIFS(Investors!$S:$S,Investors!$E:$E,Sales!$C74,Investors!$O:$O,FALSE))*$F74)</f>
        <v/>
      </c>
      <c r="S74" s="10">
        <f>IF(T74=FALSE,Q74-R74,+V74)</f>
        <v/>
      </c>
      <c r="T74" s="3">
        <f>IF(SUMIFS('Cashflow Projection'!$E$119:$E$151,'Cashflow Projection'!$D$119:$D$151,Sales!C74)&lt;&gt;0,TRUE,FALSE)</f>
        <v/>
      </c>
      <c r="U74" s="4" t="n">
        <v>45747</v>
      </c>
      <c r="V74" s="10" t="n">
        <v>86580.59173582168</v>
      </c>
      <c r="W74" s="11">
        <f>IF(SUMIFS('Cashflow Projection'!$E$119:$E$151,'Cashflow Projection'!$D$119:$D$151,Sales!C74)=1,SUMIFS('Cashflow Projection'!$C$119:$C$151,'Cashflow Projection'!$D$119:$D$151,Sales!C74),+Sales!H74)</f>
        <v/>
      </c>
      <c r="X74" s="11">
        <f>IF(MOD(MONTH(W74), 2) &lt;&gt; 0, EOMONTH(W74, 2), EOMONTH(W74, 1))</f>
        <v/>
      </c>
      <c r="Y74" s="11">
        <f>EOMONTH(X74,1)</f>
        <v/>
      </c>
      <c r="Z74" t="b">
        <v>0</v>
      </c>
    </row>
    <row r="75">
      <c r="A75" s="3" t="inlineStr">
        <is>
          <t>Endulini</t>
        </is>
      </c>
      <c r="B75" s="3" t="inlineStr">
        <is>
          <t>C</t>
        </is>
      </c>
      <c r="C75" s="3" t="inlineStr">
        <is>
          <t>EC301</t>
        </is>
      </c>
      <c r="D75" s="3" t="b">
        <v>1</v>
      </c>
      <c r="E75" s="3" t="b">
        <v>1</v>
      </c>
      <c r="F75" s="3">
        <f>IF(OR(Z75=TRUE,SUMIFS('Cashflow Projection'!$E$119:$E$151,'Cashflow Projection'!$D$119:$D$151,Sales!C75)=1),0,SUMIFS('Cashflow Projection'!$C$7:$C$23,'Cashflow Projection'!$B$7:$B$23,Sales!B75,'Cashflow Projection'!$A$7:$A$23,Sales!A75))</f>
        <v/>
      </c>
      <c r="G75" s="4" t="n">
        <v>45259</v>
      </c>
      <c r="H75" s="4" t="n">
        <v>45688</v>
      </c>
      <c r="I75" s="3" t="n">
        <v>1499900</v>
      </c>
      <c r="J75" s="3" t="n">
        <v>195639.1304347826</v>
      </c>
      <c r="K75" s="3" t="n">
        <v>1304260.869565218</v>
      </c>
      <c r="L75" s="3" t="n">
        <v>18502.08</v>
      </c>
      <c r="M75" s="3" t="n">
        <v>1789</v>
      </c>
      <c r="N75" s="3" t="n">
        <v>7499.5</v>
      </c>
      <c r="O75" s="3" t="n">
        <v>74995</v>
      </c>
      <c r="P75" s="3" t="n">
        <v>19224.37</v>
      </c>
      <c r="Q75" s="9">
        <f>K75-SUM(L75:P75)</f>
        <v/>
      </c>
      <c r="R75" s="10">
        <f>IF($F75=1,((SUMIFS(Investors!$M:$M,Investors!$E:$E,Sales!$C75,Investors!$O:$O,FALSE)+SUMIFS(Investors!$S:$S,Investors!$E:$E,Sales!$C75,Investors!$O:$O,FALSE))*$F75)-SUMIFS('Investor Exit List'!$Q:$Q,'Investor Exit List'!$Y:$Y,1,'Investor Exit List'!$Z:$Z,"Release",'Investor Exit List'!$C:$C,Sales!$C75),(SUMIFS(Investors!$M:$M,Investors!$E:$E,Sales!$C75,Investors!$O:$O,FALSE)+SUMIFS(Investors!$S:$S,Investors!$E:$E,Sales!$C75,Investors!$O:$O,FALSE))*$F75)</f>
        <v/>
      </c>
      <c r="S75" s="10">
        <f>IF(T75=FALSE,Q75-R75,+V75)</f>
        <v/>
      </c>
      <c r="T75" s="3">
        <f>IF(SUMIFS('Cashflow Projection'!$E$119:$E$151,'Cashflow Projection'!$D$119:$D$151,Sales!C75)&lt;&gt;0,TRUE,FALSE)</f>
        <v/>
      </c>
      <c r="U75" s="4" t="n">
        <v>45747</v>
      </c>
      <c r="V75" s="10" t="n">
        <v>67850.74232328753</v>
      </c>
      <c r="W75" s="11">
        <f>IF(SUMIFS('Cashflow Projection'!$E$119:$E$151,'Cashflow Projection'!$D$119:$D$151,Sales!C75)=1,SUMIFS('Cashflow Projection'!$C$119:$C$151,'Cashflow Projection'!$D$119:$D$151,Sales!C75),+Sales!H75)</f>
        <v/>
      </c>
      <c r="X75" s="11">
        <f>IF(MOD(MONTH(W75), 2) &lt;&gt; 0, EOMONTH(W75, 2), EOMONTH(W75, 1))</f>
        <v/>
      </c>
      <c r="Y75" s="11">
        <f>EOMONTH(X75,1)</f>
        <v/>
      </c>
      <c r="Z75" t="b">
        <v>0</v>
      </c>
    </row>
    <row r="76">
      <c r="A76" s="3" t="inlineStr">
        <is>
          <t>Heron Fields</t>
        </is>
      </c>
      <c r="B76" s="3" t="inlineStr">
        <is>
          <t>A</t>
        </is>
      </c>
      <c r="C76" s="3" t="inlineStr">
        <is>
          <t>HFA103</t>
        </is>
      </c>
      <c r="D76" s="3" t="b">
        <v>1</v>
      </c>
      <c r="E76" s="3" t="b">
        <v>1</v>
      </c>
      <c r="F76" s="3">
        <f>IF(OR(Z76=TRUE,SUMIFS('Cashflow Projection'!$E$119:$E$151,'Cashflow Projection'!$D$119:$D$151,Sales!C76)=1),0,SUMIFS('Cashflow Projection'!$C$7:$C$23,'Cashflow Projection'!$B$7:$B$23,Sales!B76,'Cashflow Projection'!$A$7:$A$23,Sales!A76))</f>
        <v/>
      </c>
      <c r="G76" s="4" t="n">
        <v>44887</v>
      </c>
      <c r="H76" s="4" t="n">
        <v>45688</v>
      </c>
      <c r="I76" s="3" t="n">
        <v>1549900</v>
      </c>
      <c r="J76" s="3" t="n">
        <v>202160.8695652174</v>
      </c>
      <c r="K76" s="3" t="n">
        <v>1347739.130434783</v>
      </c>
      <c r="L76" s="3" t="n">
        <v>18502.08</v>
      </c>
      <c r="M76" s="3" t="n">
        <v>1789</v>
      </c>
      <c r="N76" s="3" t="n">
        <v>7749.5</v>
      </c>
      <c r="O76" s="3" t="n">
        <v>77495</v>
      </c>
      <c r="P76" s="3" t="n">
        <v>19224.37</v>
      </c>
      <c r="Q76" s="9">
        <f>K76-SUM(L76:P76)</f>
        <v/>
      </c>
      <c r="R76" s="10">
        <f>IF($F76=1,((SUMIFS(Investors!$M:$M,Investors!$E:$E,Sales!$C76,Investors!$O:$O,FALSE)+SUMIFS(Investors!$S:$S,Investors!$E:$E,Sales!$C76,Investors!$O:$O,FALSE))*$F76)-SUMIFS('Investor Exit List'!$Q:$Q,'Investor Exit List'!$Y:$Y,1,'Investor Exit List'!$Z:$Z,"Release",'Investor Exit List'!$C:$C,Sales!$C76),(SUMIFS(Investors!$M:$M,Investors!$E:$E,Sales!$C76,Investors!$O:$O,FALSE)+SUMIFS(Investors!$S:$S,Investors!$E:$E,Sales!$C76,Investors!$O:$O,FALSE))*$F76)</f>
        <v/>
      </c>
      <c r="S76" s="10">
        <f>IF(T76=FALSE,Q76-R76,+V76)</f>
        <v/>
      </c>
      <c r="T76" s="3">
        <f>IF(SUMIFS('Cashflow Projection'!$E$119:$E$151,'Cashflow Projection'!$D$119:$D$151,Sales!C76)&lt;&gt;0,TRUE,FALSE)</f>
        <v/>
      </c>
      <c r="U76" s="4" t="n">
        <v>45747</v>
      </c>
      <c r="V76" s="10" t="n">
        <v>275537.3102739723</v>
      </c>
      <c r="W76" s="11">
        <f>IF(SUMIFS('Cashflow Projection'!$E$119:$E$151,'Cashflow Projection'!$D$119:$D$151,Sales!C76)=1,SUMIFS('Cashflow Projection'!$C$119:$C$151,'Cashflow Projection'!$D$119:$D$151,Sales!C76),+Sales!H76)</f>
        <v/>
      </c>
      <c r="X76" s="11">
        <f>IF(MOD(MONTH(W76), 2) &lt;&gt; 0, EOMONTH(W76, 2), EOMONTH(W76, 1))</f>
        <v/>
      </c>
      <c r="Y76" s="11">
        <f>EOMONTH(X76,1)</f>
        <v/>
      </c>
      <c r="Z76" t="b">
        <v>0</v>
      </c>
    </row>
    <row r="77">
      <c r="A77" s="3" t="inlineStr">
        <is>
          <t>Endulini</t>
        </is>
      </c>
      <c r="B77" s="3" t="inlineStr">
        <is>
          <t>B</t>
        </is>
      </c>
      <c r="C77" s="3" t="inlineStr">
        <is>
          <t>EB103</t>
        </is>
      </c>
      <c r="D77" s="3" t="b">
        <v>1</v>
      </c>
      <c r="E77" s="3" t="b">
        <v>1</v>
      </c>
      <c r="F77" s="3">
        <f>IF(OR(Z77=TRUE,SUMIFS('Cashflow Projection'!$E$119:$E$151,'Cashflow Projection'!$D$119:$D$151,Sales!C77)=1),0,SUMIFS('Cashflow Projection'!$C$7:$C$23,'Cashflow Projection'!$B$7:$B$23,Sales!B77,'Cashflow Projection'!$A$7:$A$23,Sales!A77))</f>
        <v/>
      </c>
      <c r="G77" s="4" t="n">
        <v>44832</v>
      </c>
      <c r="H77" s="4" t="n">
        <v>45688</v>
      </c>
      <c r="I77" s="3" t="n">
        <v>1519900</v>
      </c>
      <c r="J77" s="3" t="n">
        <v>198247.8260869565</v>
      </c>
      <c r="K77" s="3" t="n">
        <v>1321652.173913044</v>
      </c>
      <c r="L77" s="3" t="n">
        <v>18502.08</v>
      </c>
      <c r="M77" s="3" t="n">
        <v>1789</v>
      </c>
      <c r="N77" s="3" t="n">
        <v>7599.5</v>
      </c>
      <c r="O77" s="3" t="n">
        <v>75995</v>
      </c>
      <c r="P77" s="3" t="n">
        <v>19224.37</v>
      </c>
      <c r="Q77" s="9">
        <f>K77-SUM(L77:P77)</f>
        <v/>
      </c>
      <c r="R77" s="10">
        <f>IF($F77=1,((SUMIFS(Investors!$M:$M,Investors!$E:$E,Sales!$C77,Investors!$O:$O,FALSE)+SUMIFS(Investors!$S:$S,Investors!$E:$E,Sales!$C77,Investors!$O:$O,FALSE))*$F77)-SUMIFS('Investor Exit List'!$Q:$Q,'Investor Exit List'!$Y:$Y,1,'Investor Exit List'!$Z:$Z,"Release",'Investor Exit List'!$C:$C,Sales!$C77),(SUMIFS(Investors!$M:$M,Investors!$E:$E,Sales!$C77,Investors!$O:$O,FALSE)+SUMIFS(Investors!$S:$S,Investors!$E:$E,Sales!$C77,Investors!$O:$O,FALSE))*$F77)</f>
        <v/>
      </c>
      <c r="S77" s="10">
        <f>IF(T77=FALSE,Q77-R77,+V77)</f>
        <v/>
      </c>
      <c r="T77" s="3">
        <f>IF(SUMIFS('Cashflow Projection'!$E$119:$E$151,'Cashflow Projection'!$D$119:$D$151,Sales!C77)&lt;&gt;0,TRUE,FALSE)</f>
        <v/>
      </c>
      <c r="U77" s="4" t="n">
        <v>45747</v>
      </c>
      <c r="V77" s="10" t="n">
        <v>210442.1158383559</v>
      </c>
      <c r="W77" s="11">
        <f>IF(SUMIFS('Cashflow Projection'!$E$119:$E$151,'Cashflow Projection'!$D$119:$D$151,Sales!C77)=1,SUMIFS('Cashflow Projection'!$C$119:$C$151,'Cashflow Projection'!$D$119:$D$151,Sales!C77),+Sales!H77)</f>
        <v/>
      </c>
      <c r="X77" s="11">
        <f>IF(MOD(MONTH(W77), 2) &lt;&gt; 0, EOMONTH(W77, 2), EOMONTH(W77, 1))</f>
        <v/>
      </c>
      <c r="Y77" s="11">
        <f>EOMONTH(X77,1)</f>
        <v/>
      </c>
      <c r="Z77" t="b">
        <v>0</v>
      </c>
    </row>
    <row r="78">
      <c r="A78" s="3" t="inlineStr">
        <is>
          <t>Heron Fields</t>
        </is>
      </c>
      <c r="B78" s="3" t="inlineStr">
        <is>
          <t>A</t>
        </is>
      </c>
      <c r="C78" s="3" t="inlineStr">
        <is>
          <t>HFA204</t>
        </is>
      </c>
      <c r="D78" s="3" t="b">
        <v>1</v>
      </c>
      <c r="E78" s="3" t="b">
        <v>1</v>
      </c>
      <c r="F78" s="3">
        <f>IF(OR(Z78=TRUE,SUMIFS('Cashflow Projection'!$E$119:$E$151,'Cashflow Projection'!$D$119:$D$151,Sales!C78)=1),0,SUMIFS('Cashflow Projection'!$C$7:$C$23,'Cashflow Projection'!$B$7:$B$23,Sales!B78,'Cashflow Projection'!$A$7:$A$23,Sales!A78))</f>
        <v/>
      </c>
      <c r="G78" s="4" t="n">
        <v>44887</v>
      </c>
      <c r="H78" s="4" t="n">
        <v>45688</v>
      </c>
      <c r="I78" s="3" t="n">
        <v>1299900</v>
      </c>
      <c r="J78" s="3" t="n">
        <v>169552.1739130435</v>
      </c>
      <c r="K78" s="3" t="n">
        <v>1130347.826086957</v>
      </c>
      <c r="L78" s="3" t="n">
        <v>18502.08</v>
      </c>
      <c r="M78" s="3" t="n">
        <v>1789</v>
      </c>
      <c r="N78" s="3" t="n">
        <v>6499.5</v>
      </c>
      <c r="O78" s="3" t="n">
        <v>64995</v>
      </c>
      <c r="P78" s="3" t="n">
        <v>19224.37</v>
      </c>
      <c r="Q78" s="9">
        <f>K78-SUM(L78:P78)</f>
        <v/>
      </c>
      <c r="R78" s="10">
        <f>IF($F78=1,((SUMIFS(Investors!$M:$M,Investors!$E:$E,Sales!$C78,Investors!$O:$O,FALSE)+SUMIFS(Investors!$S:$S,Investors!$E:$E,Sales!$C78,Investors!$O:$O,FALSE))*$F78)-SUMIFS('Investor Exit List'!$Q:$Q,'Investor Exit List'!$Y:$Y,1,'Investor Exit List'!$Z:$Z,"Release",'Investor Exit List'!$C:$C,Sales!$C78),(SUMIFS(Investors!$M:$M,Investors!$E:$E,Sales!$C78,Investors!$O:$O,FALSE)+SUMIFS(Investors!$S:$S,Investors!$E:$E,Sales!$C78,Investors!$O:$O,FALSE))*$F78)</f>
        <v/>
      </c>
      <c r="S78" s="10">
        <f>IF(T78=FALSE,Q78-R78,+V78)</f>
        <v/>
      </c>
      <c r="T78" s="3">
        <f>IF(SUMIFS('Cashflow Projection'!$E$119:$E$151,'Cashflow Projection'!$D$119:$D$151,Sales!C78)&lt;&gt;0,TRUE,FALSE)</f>
        <v/>
      </c>
      <c r="U78" s="4" t="n">
        <v>45747</v>
      </c>
      <c r="V78" s="10" t="n">
        <v>43564.70753424638</v>
      </c>
      <c r="W78" s="11">
        <f>IF(SUMIFS('Cashflow Projection'!$E$119:$E$151,'Cashflow Projection'!$D$119:$D$151,Sales!C78)=1,SUMIFS('Cashflow Projection'!$C$119:$C$151,'Cashflow Projection'!$D$119:$D$151,Sales!C78),+Sales!H78)</f>
        <v/>
      </c>
      <c r="X78" s="11">
        <f>IF(MOD(MONTH(W78), 2) &lt;&gt; 0, EOMONTH(W78, 2), EOMONTH(W78, 1))</f>
        <v/>
      </c>
      <c r="Y78" s="11">
        <f>EOMONTH(X78,1)</f>
        <v/>
      </c>
      <c r="Z78" t="b">
        <v>0</v>
      </c>
    </row>
    <row r="79">
      <c r="A79" s="3" t="inlineStr">
        <is>
          <t>Endulini</t>
        </is>
      </c>
      <c r="B79" s="3" t="inlineStr">
        <is>
          <t>D</t>
        </is>
      </c>
      <c r="C79" s="3" t="inlineStr">
        <is>
          <t>ED101</t>
        </is>
      </c>
      <c r="D79" s="3" t="b">
        <v>1</v>
      </c>
      <c r="E79" s="3" t="b">
        <v>1</v>
      </c>
      <c r="F79" s="3">
        <f>IF(OR(Z79=TRUE,SUMIFS('Cashflow Projection'!$E$119:$E$151,'Cashflow Projection'!$D$119:$D$151,Sales!C79)=1),0,SUMIFS('Cashflow Projection'!$C$7:$C$23,'Cashflow Projection'!$B$7:$B$23,Sales!B79,'Cashflow Projection'!$A$7:$A$23,Sales!A79))</f>
        <v/>
      </c>
      <c r="G79" s="4" t="n">
        <v>44657</v>
      </c>
      <c r="H79" s="4" t="n">
        <v>45688</v>
      </c>
      <c r="I79" s="3" t="n">
        <v>1349900</v>
      </c>
      <c r="J79" s="3" t="n">
        <v>176073.9130434782</v>
      </c>
      <c r="K79" s="3" t="n">
        <v>1173826.086956522</v>
      </c>
      <c r="L79" s="3" t="n">
        <v>18502.08</v>
      </c>
      <c r="M79" s="3" t="n">
        <v>1789</v>
      </c>
      <c r="N79" s="3" t="n">
        <v>6749.5</v>
      </c>
      <c r="O79" s="3" t="n">
        <v>67495</v>
      </c>
      <c r="P79" s="3" t="n">
        <v>19224.37</v>
      </c>
      <c r="Q79" s="9">
        <f>K79-SUM(L79:P79)</f>
        <v/>
      </c>
      <c r="R79" s="10">
        <f>IF($F79=1,((SUMIFS(Investors!$M:$M,Investors!$E:$E,Sales!$C79,Investors!$O:$O,FALSE)+SUMIFS(Investors!$S:$S,Investors!$E:$E,Sales!$C79,Investors!$O:$O,FALSE))*$F79)-SUMIFS('Investor Exit List'!$Q:$Q,'Investor Exit List'!$Y:$Y,1,'Investor Exit List'!$Z:$Z,"Release",'Investor Exit List'!$C:$C,Sales!$C79),(SUMIFS(Investors!$M:$M,Investors!$E:$E,Sales!$C79,Investors!$O:$O,FALSE)+SUMIFS(Investors!$S:$S,Investors!$E:$E,Sales!$C79,Investors!$O:$O,FALSE))*$F79)</f>
        <v/>
      </c>
      <c r="S79" s="10">
        <f>IF(T79=FALSE,Q79-R79,+V79)</f>
        <v/>
      </c>
      <c r="T79" s="3">
        <f>IF(SUMIFS('Cashflow Projection'!$E$119:$E$151,'Cashflow Projection'!$D$119:$D$151,Sales!C79)&lt;&gt;0,TRUE,FALSE)</f>
        <v/>
      </c>
      <c r="U79" s="4" t="n">
        <v>45747</v>
      </c>
      <c r="V79" s="10" t="n">
        <v>52561.70052315039</v>
      </c>
      <c r="W79" s="11">
        <f>IF(SUMIFS('Cashflow Projection'!$E$119:$E$151,'Cashflow Projection'!$D$119:$D$151,Sales!C79)=1,SUMIFS('Cashflow Projection'!$C$119:$C$151,'Cashflow Projection'!$D$119:$D$151,Sales!C79),+Sales!H79)</f>
        <v/>
      </c>
      <c r="X79" s="11">
        <f>IF(MOD(MONTH(W79), 2) &lt;&gt; 0, EOMONTH(W79, 2), EOMONTH(W79, 1))</f>
        <v/>
      </c>
      <c r="Y79" s="11">
        <f>EOMONTH(X79,1)</f>
        <v/>
      </c>
      <c r="Z79" t="b">
        <v>0</v>
      </c>
    </row>
    <row r="80">
      <c r="A80" s="3" t="inlineStr">
        <is>
          <t>Heron Fields</t>
        </is>
      </c>
      <c r="B80" s="3" t="inlineStr">
        <is>
          <t>A</t>
        </is>
      </c>
      <c r="C80" s="3" t="inlineStr">
        <is>
          <t>HFA206</t>
        </is>
      </c>
      <c r="D80" s="3" t="b">
        <v>1</v>
      </c>
      <c r="E80" s="3" t="b">
        <v>1</v>
      </c>
      <c r="F80" s="3">
        <f>IF(OR(Z80=TRUE,SUMIFS('Cashflow Projection'!$E$119:$E$151,'Cashflow Projection'!$D$119:$D$151,Sales!C80)=1),0,SUMIFS('Cashflow Projection'!$C$7:$C$23,'Cashflow Projection'!$B$7:$B$23,Sales!B80,'Cashflow Projection'!$A$7:$A$23,Sales!A80))</f>
        <v/>
      </c>
      <c r="G80" s="4" t="n">
        <v>44887</v>
      </c>
      <c r="H80" s="4" t="n">
        <v>45688</v>
      </c>
      <c r="I80" s="3" t="n">
        <v>1329900</v>
      </c>
      <c r="J80" s="3" t="n">
        <v>173465.2173913044</v>
      </c>
      <c r="K80" s="3" t="n">
        <v>1156434.782608696</v>
      </c>
      <c r="L80" s="3" t="n">
        <v>18502.08</v>
      </c>
      <c r="M80" s="3" t="n">
        <v>1789</v>
      </c>
      <c r="N80" s="3" t="n">
        <v>6649.5</v>
      </c>
      <c r="O80" s="3" t="n">
        <v>66495</v>
      </c>
      <c r="P80" s="3" t="n">
        <v>19224.37</v>
      </c>
      <c r="Q80" s="9">
        <f>K80-SUM(L80:P80)</f>
        <v/>
      </c>
      <c r="R80" s="10">
        <f>IF($F80=1,((SUMIFS(Investors!$M:$M,Investors!$E:$E,Sales!$C80,Investors!$O:$O,FALSE)+SUMIFS(Investors!$S:$S,Investors!$E:$E,Sales!$C80,Investors!$O:$O,FALSE))*$F80)-SUMIFS('Investor Exit List'!$Q:$Q,'Investor Exit List'!$Y:$Y,1,'Investor Exit List'!$Z:$Z,"Release",'Investor Exit List'!$C:$C,Sales!$C80),(SUMIFS(Investors!$M:$M,Investors!$E:$E,Sales!$C80,Investors!$O:$O,FALSE)+SUMIFS(Investors!$S:$S,Investors!$E:$E,Sales!$C80,Investors!$O:$O,FALSE))*$F80)</f>
        <v/>
      </c>
      <c r="S80" s="10">
        <f>IF(T80=FALSE,Q80-R80,+V80)</f>
        <v/>
      </c>
      <c r="T80" s="3">
        <f>IF(SUMIFS('Cashflow Projection'!$E$119:$E$151,'Cashflow Projection'!$D$119:$D$151,Sales!C80)&lt;&gt;0,TRUE,FALSE)</f>
        <v/>
      </c>
      <c r="U80" s="4" t="n">
        <v>45747</v>
      </c>
      <c r="V80" s="10" t="n">
        <v>236666.8782342463</v>
      </c>
      <c r="W80" s="11">
        <f>IF(SUMIFS('Cashflow Projection'!$E$119:$E$151,'Cashflow Projection'!$D$119:$D$151,Sales!C80)=1,SUMIFS('Cashflow Projection'!$C$119:$C$151,'Cashflow Projection'!$D$119:$D$151,Sales!C80),+Sales!H80)</f>
        <v/>
      </c>
      <c r="X80" s="11">
        <f>IF(MOD(MONTH(W80), 2) &lt;&gt; 0, EOMONTH(W80, 2), EOMONTH(W80, 1))</f>
        <v/>
      </c>
      <c r="Y80" s="11">
        <f>EOMONTH(X80,1)</f>
        <v/>
      </c>
      <c r="Z80" t="b">
        <v>0</v>
      </c>
    </row>
    <row r="81">
      <c r="A81" s="3" t="inlineStr">
        <is>
          <t>Endulini</t>
        </is>
      </c>
      <c r="B81" s="3" t="inlineStr">
        <is>
          <t>F</t>
        </is>
      </c>
      <c r="C81" s="3" t="inlineStr">
        <is>
          <t>EF102</t>
        </is>
      </c>
      <c r="D81" s="3" t="b">
        <v>1</v>
      </c>
      <c r="E81" s="3" t="b">
        <v>1</v>
      </c>
      <c r="F81" s="3">
        <f>IF(OR(Z81=TRUE,SUMIFS('Cashflow Projection'!$E$119:$E$151,'Cashflow Projection'!$D$119:$D$151,Sales!C81)=1),0,SUMIFS('Cashflow Projection'!$C$7:$C$23,'Cashflow Projection'!$B$7:$B$23,Sales!B81,'Cashflow Projection'!$A$7:$A$23,Sales!A81))</f>
        <v/>
      </c>
      <c r="G81" s="4" t="n">
        <v>44657</v>
      </c>
      <c r="H81" s="4" t="n">
        <v>45688</v>
      </c>
      <c r="I81" s="3" t="n">
        <v>1424900</v>
      </c>
      <c r="J81" s="3" t="n">
        <v>185856.5217391304</v>
      </c>
      <c r="K81" s="3" t="n">
        <v>1239043.47826087</v>
      </c>
      <c r="L81" s="3" t="n">
        <v>18502.08</v>
      </c>
      <c r="M81" s="3" t="n">
        <v>1789</v>
      </c>
      <c r="N81" s="3" t="n">
        <v>7124.5</v>
      </c>
      <c r="O81" s="3" t="n">
        <v>71245</v>
      </c>
      <c r="P81" s="3" t="n">
        <v>19224.37</v>
      </c>
      <c r="Q81" s="9">
        <f>K81-SUM(L81:P81)</f>
        <v/>
      </c>
      <c r="R81" s="10">
        <f>IF($F81=1,((SUMIFS(Investors!$M:$M,Investors!$E:$E,Sales!$C81,Investors!$O:$O,FALSE)+SUMIFS(Investors!$S:$S,Investors!$E:$E,Sales!$C81,Investors!$O:$O,FALSE))*$F81)-SUMIFS('Investor Exit List'!$Q:$Q,'Investor Exit List'!$Y:$Y,1,'Investor Exit List'!$Z:$Z,"Release",'Investor Exit List'!$C:$C,Sales!$C81),(SUMIFS(Investors!$M:$M,Investors!$E:$E,Sales!$C81,Investors!$O:$O,FALSE)+SUMIFS(Investors!$S:$S,Investors!$E:$E,Sales!$C81,Investors!$O:$O,FALSE))*$F81)</f>
        <v/>
      </c>
      <c r="S81" s="10">
        <f>IF(T81=FALSE,Q81-R81,+V81)</f>
        <v/>
      </c>
      <c r="T81" s="3">
        <f>IF(SUMIFS('Cashflow Projection'!$E$119:$E$151,'Cashflow Projection'!$D$119:$D$151,Sales!C81)&lt;&gt;0,TRUE,FALSE)</f>
        <v/>
      </c>
      <c r="U81" s="4" t="n">
        <v>45747</v>
      </c>
      <c r="V81" s="10" t="n">
        <v>87788.91897630133</v>
      </c>
      <c r="W81" s="11">
        <f>IF(SUMIFS('Cashflow Projection'!$E$119:$E$151,'Cashflow Projection'!$D$119:$D$151,Sales!C81)=1,SUMIFS('Cashflow Projection'!$C$119:$C$151,'Cashflow Projection'!$D$119:$D$151,Sales!C81),+Sales!H81)</f>
        <v/>
      </c>
      <c r="X81" s="11">
        <f>IF(MOD(MONTH(W81), 2) &lt;&gt; 0, EOMONTH(W81, 2), EOMONTH(W81, 1))</f>
        <v/>
      </c>
      <c r="Y81" s="11">
        <f>EOMONTH(X81,1)</f>
        <v/>
      </c>
      <c r="Z81" t="b">
        <v>0</v>
      </c>
    </row>
    <row r="82">
      <c r="A82" s="3" t="inlineStr">
        <is>
          <t>Heron Fields</t>
        </is>
      </c>
      <c r="B82" s="3" t="inlineStr">
        <is>
          <t>A</t>
        </is>
      </c>
      <c r="C82" s="3" t="inlineStr">
        <is>
          <t>HFA202</t>
        </is>
      </c>
      <c r="D82" s="3" t="b">
        <v>1</v>
      </c>
      <c r="E82" s="3" t="b">
        <v>1</v>
      </c>
      <c r="F82" s="3">
        <f>IF(OR(Z82=TRUE,SUMIFS('Cashflow Projection'!$E$119:$E$151,'Cashflow Projection'!$D$119:$D$151,Sales!C82)=1),0,SUMIFS('Cashflow Projection'!$C$7:$C$23,'Cashflow Projection'!$B$7:$B$23,Sales!B82,'Cashflow Projection'!$A$7:$A$23,Sales!A82))</f>
        <v/>
      </c>
      <c r="G82" s="4" t="n">
        <v>44943</v>
      </c>
      <c r="H82" s="4" t="n">
        <v>45688</v>
      </c>
      <c r="I82" s="3" t="n">
        <v>1279900</v>
      </c>
      <c r="J82" s="3" t="n">
        <v>166943.4782608696</v>
      </c>
      <c r="K82" s="3" t="n">
        <v>1112956.521739131</v>
      </c>
      <c r="L82" s="3" t="n">
        <v>18502.08</v>
      </c>
      <c r="M82" s="3" t="n">
        <v>1789</v>
      </c>
      <c r="N82" s="3" t="n">
        <v>6399.5</v>
      </c>
      <c r="O82" s="3" t="n">
        <v>63995</v>
      </c>
      <c r="P82" s="3" t="n">
        <v>19224.37</v>
      </c>
      <c r="Q82" s="9">
        <f>K82-SUM(L82:P82)</f>
        <v/>
      </c>
      <c r="R82" s="10">
        <f>IF($F82=1,((SUMIFS(Investors!$M:$M,Investors!$E:$E,Sales!$C82,Investors!$O:$O,FALSE)+SUMIFS(Investors!$S:$S,Investors!$E:$E,Sales!$C82,Investors!$O:$O,FALSE))*$F82)-SUMIFS('Investor Exit List'!$Q:$Q,'Investor Exit List'!$Y:$Y,1,'Investor Exit List'!$Z:$Z,"Release",'Investor Exit List'!$C:$C,Sales!$C82),(SUMIFS(Investors!$M:$M,Investors!$E:$E,Sales!$C82,Investors!$O:$O,FALSE)+SUMIFS(Investors!$S:$S,Investors!$E:$E,Sales!$C82,Investors!$O:$O,FALSE))*$F82)</f>
        <v/>
      </c>
      <c r="S82" s="10">
        <f>IF(T82=FALSE,Q82-R82,+V82)</f>
        <v/>
      </c>
      <c r="T82" s="3">
        <f>IF(SUMIFS('Cashflow Projection'!$E$119:$E$151,'Cashflow Projection'!$D$119:$D$151,Sales!C82)&lt;&gt;0,TRUE,FALSE)</f>
        <v/>
      </c>
      <c r="U82" s="4" t="n">
        <v>45747</v>
      </c>
      <c r="V82" s="10" t="n">
        <v>-40329.6589853426</v>
      </c>
      <c r="W82" s="11">
        <f>IF(SUMIFS('Cashflow Projection'!$E$119:$E$151,'Cashflow Projection'!$D$119:$D$151,Sales!C82)=1,SUMIFS('Cashflow Projection'!$C$119:$C$151,'Cashflow Projection'!$D$119:$D$151,Sales!C82),+Sales!H82)</f>
        <v/>
      </c>
      <c r="X82" s="11">
        <f>IF(MOD(MONTH(W82), 2) &lt;&gt; 0, EOMONTH(W82, 2), EOMONTH(W82, 1))</f>
        <v/>
      </c>
      <c r="Y82" s="11">
        <f>EOMONTH(X82,1)</f>
        <v/>
      </c>
      <c r="Z82" t="b">
        <v>0</v>
      </c>
    </row>
    <row r="83">
      <c r="A83" s="3" t="inlineStr">
        <is>
          <t>Heron Fields</t>
        </is>
      </c>
      <c r="B83" s="3" t="inlineStr">
        <is>
          <t>B</t>
        </is>
      </c>
      <c r="C83" s="3" t="inlineStr">
        <is>
          <t>HFB214</t>
        </is>
      </c>
      <c r="D83" s="3" t="b">
        <v>1</v>
      </c>
      <c r="E83" s="3" t="b">
        <v>1</v>
      </c>
      <c r="F83" s="3">
        <f>IF(OR(Z83=TRUE,SUMIFS('Cashflow Projection'!$E$119:$E$151,'Cashflow Projection'!$D$119:$D$151,Sales!C83)=1),0,SUMIFS('Cashflow Projection'!$C$7:$C$23,'Cashflow Projection'!$B$7:$B$23,Sales!B83,'Cashflow Projection'!$A$7:$A$23,Sales!A83))</f>
        <v/>
      </c>
      <c r="G83" s="4" t="n">
        <v>45128</v>
      </c>
      <c r="H83" s="4" t="n">
        <v>45688</v>
      </c>
      <c r="I83" s="3" t="n">
        <v>1439900</v>
      </c>
      <c r="J83" s="3" t="n">
        <v>187813.0434782609</v>
      </c>
      <c r="K83" s="3" t="n">
        <v>1252086.956521739</v>
      </c>
      <c r="L83" s="3" t="n">
        <v>18502.08</v>
      </c>
      <c r="M83" s="3" t="n">
        <v>1789</v>
      </c>
      <c r="N83" s="3" t="n">
        <v>7199.5</v>
      </c>
      <c r="O83" s="3" t="n">
        <v>71995</v>
      </c>
      <c r="P83" s="3" t="n">
        <v>19224.37</v>
      </c>
      <c r="Q83" s="9">
        <f>K83-SUM(L83:P83)</f>
        <v/>
      </c>
      <c r="R83" s="10">
        <f>IF($F83=1,((SUMIFS(Investors!$M:$M,Investors!$E:$E,Sales!$C83,Investors!$O:$O,FALSE)+SUMIFS(Investors!$S:$S,Investors!$E:$E,Sales!$C83,Investors!$O:$O,FALSE))*$F83)-SUMIFS('Investor Exit List'!$Q:$Q,'Investor Exit List'!$Y:$Y,1,'Investor Exit List'!$Z:$Z,"Release",'Investor Exit List'!$C:$C,Sales!$C83),(SUMIFS(Investors!$M:$M,Investors!$E:$E,Sales!$C83,Investors!$O:$O,FALSE)+SUMIFS(Investors!$S:$S,Investors!$E:$E,Sales!$C83,Investors!$O:$O,FALSE))*$F83)</f>
        <v/>
      </c>
      <c r="S83" s="10">
        <f>IF(T83=FALSE,Q83-R83,+V83)</f>
        <v/>
      </c>
      <c r="T83" s="3">
        <f>IF(SUMIFS('Cashflow Projection'!$E$119:$E$151,'Cashflow Projection'!$D$119:$D$151,Sales!C83)&lt;&gt;0,TRUE,FALSE)</f>
        <v/>
      </c>
      <c r="U83" s="4" t="n">
        <v>45747</v>
      </c>
      <c r="V83" s="10" t="n">
        <v>44073.61164383544</v>
      </c>
      <c r="W83" s="11">
        <f>IF(SUMIFS('Cashflow Projection'!$E$119:$E$151,'Cashflow Projection'!$D$119:$D$151,Sales!C83)=1,SUMIFS('Cashflow Projection'!$C$119:$C$151,'Cashflow Projection'!$D$119:$D$151,Sales!C83),+Sales!H83)</f>
        <v/>
      </c>
      <c r="X83" s="11">
        <f>IF(MOD(MONTH(W83), 2) &lt;&gt; 0, EOMONTH(W83, 2), EOMONTH(W83, 1))</f>
        <v/>
      </c>
      <c r="Y83" s="11">
        <f>EOMONTH(X83,1)</f>
        <v/>
      </c>
      <c r="Z83" t="b">
        <v>0</v>
      </c>
    </row>
    <row r="84">
      <c r="A84" s="3" t="inlineStr">
        <is>
          <t>Heron Fields</t>
        </is>
      </c>
      <c r="B84" s="3" t="inlineStr">
        <is>
          <t>B</t>
        </is>
      </c>
      <c r="C84" s="3" t="inlineStr">
        <is>
          <t>HFB313</t>
        </is>
      </c>
      <c r="D84" s="3" t="b">
        <v>1</v>
      </c>
      <c r="E84" s="3" t="b">
        <v>1</v>
      </c>
      <c r="F84" s="3">
        <f>IF(OR(Z84=TRUE,SUMIFS('Cashflow Projection'!$E$119:$E$151,'Cashflow Projection'!$D$119:$D$151,Sales!C84)=1),0,SUMIFS('Cashflow Projection'!$C$7:$C$23,'Cashflow Projection'!$B$7:$B$23,Sales!B84,'Cashflow Projection'!$A$7:$A$23,Sales!A84))</f>
        <v/>
      </c>
      <c r="G84" s="4" t="n">
        <v>45051</v>
      </c>
      <c r="H84" s="4" t="n">
        <v>45688</v>
      </c>
      <c r="I84" s="3" t="n">
        <v>1399900</v>
      </c>
      <c r="J84" s="3" t="n">
        <v>182595.6521739131</v>
      </c>
      <c r="K84" s="3" t="n">
        <v>1217304.347826087</v>
      </c>
      <c r="L84" s="3" t="n">
        <v>18502.08</v>
      </c>
      <c r="M84" s="3" t="n">
        <v>1789</v>
      </c>
      <c r="N84" s="3" t="n">
        <v>6999.5</v>
      </c>
      <c r="O84" s="3" t="n">
        <v>69995</v>
      </c>
      <c r="P84" s="3" t="n">
        <v>19224.37</v>
      </c>
      <c r="Q84" s="9">
        <f>K84-SUM(L84:P84)</f>
        <v/>
      </c>
      <c r="R84" s="10">
        <f>IF($F84=1,((SUMIFS(Investors!$M:$M,Investors!$E:$E,Sales!$C84,Investors!$O:$O,FALSE)+SUMIFS(Investors!$S:$S,Investors!$E:$E,Sales!$C84,Investors!$O:$O,FALSE))*$F84)-SUMIFS('Investor Exit List'!$Q:$Q,'Investor Exit List'!$Y:$Y,1,'Investor Exit List'!$Z:$Z,"Release",'Investor Exit List'!$C:$C,Sales!$C84),(SUMIFS(Investors!$M:$M,Investors!$E:$E,Sales!$C84,Investors!$O:$O,FALSE)+SUMIFS(Investors!$S:$S,Investors!$E:$E,Sales!$C84,Investors!$O:$O,FALSE))*$F84)</f>
        <v/>
      </c>
      <c r="S84" s="10">
        <f>IF(T84=FALSE,Q84-R84,+V84)</f>
        <v/>
      </c>
      <c r="T84" s="3">
        <f>IF(SUMIFS('Cashflow Projection'!$E$119:$E$151,'Cashflow Projection'!$D$119:$D$151,Sales!C84)&lt;&gt;0,TRUE,FALSE)</f>
        <v/>
      </c>
      <c r="U84" s="4" t="n">
        <v>45747</v>
      </c>
      <c r="V84" s="10" t="n">
        <v>50597.88917808188</v>
      </c>
      <c r="W84" s="11">
        <f>IF(SUMIFS('Cashflow Projection'!$E$119:$E$151,'Cashflow Projection'!$D$119:$D$151,Sales!C84)=1,SUMIFS('Cashflow Projection'!$C$119:$C$151,'Cashflow Projection'!$D$119:$D$151,Sales!C84),+Sales!H84)</f>
        <v/>
      </c>
      <c r="X84" s="11">
        <f>IF(MOD(MONTH(W84), 2) &lt;&gt; 0, EOMONTH(W84, 2), EOMONTH(W84, 1))</f>
        <v/>
      </c>
      <c r="Y84" s="11">
        <f>EOMONTH(X84,1)</f>
        <v/>
      </c>
      <c r="Z84" t="b">
        <v>0</v>
      </c>
    </row>
    <row r="85">
      <c r="A85" s="3" t="inlineStr">
        <is>
          <t>Heron Fields</t>
        </is>
      </c>
      <c r="B85" s="3" t="inlineStr">
        <is>
          <t>B</t>
        </is>
      </c>
      <c r="C85" s="3" t="inlineStr">
        <is>
          <t>HFB311</t>
        </is>
      </c>
      <c r="D85" s="3" t="b">
        <v>1</v>
      </c>
      <c r="E85" s="3" t="b">
        <v>1</v>
      </c>
      <c r="F85" s="3">
        <f>IF(OR(Z85=TRUE,SUMIFS('Cashflow Projection'!$E$119:$E$151,'Cashflow Projection'!$D$119:$D$151,Sales!C85)=1),0,SUMIFS('Cashflow Projection'!$C$7:$C$23,'Cashflow Projection'!$B$7:$B$23,Sales!B85,'Cashflow Projection'!$A$7:$A$23,Sales!A85))</f>
        <v/>
      </c>
      <c r="G85" s="4" t="n">
        <v>45035</v>
      </c>
      <c r="H85" s="4" t="n">
        <v>45688</v>
      </c>
      <c r="I85" s="3" t="n">
        <v>1459900</v>
      </c>
      <c r="J85" s="3" t="n">
        <v>190421.7391304348</v>
      </c>
      <c r="K85" s="3" t="n">
        <v>1269478.260869565</v>
      </c>
      <c r="L85" s="3" t="n">
        <v>18502.08</v>
      </c>
      <c r="M85" s="3" t="n">
        <v>1789</v>
      </c>
      <c r="N85" s="3" t="n">
        <v>7299.5</v>
      </c>
      <c r="O85" s="3" t="n">
        <v>72995</v>
      </c>
      <c r="P85" s="3" t="n">
        <v>19224.37</v>
      </c>
      <c r="Q85" s="9">
        <f>K85-SUM(L85:P85)</f>
        <v/>
      </c>
      <c r="R85" s="10">
        <f>IF($F85=1,((SUMIFS(Investors!$M:$M,Investors!$E:$E,Sales!$C85,Investors!$O:$O,FALSE)+SUMIFS(Investors!$S:$S,Investors!$E:$E,Sales!$C85,Investors!$O:$O,FALSE))*$F85)-SUMIFS('Investor Exit List'!$Q:$Q,'Investor Exit List'!$Y:$Y,1,'Investor Exit List'!$Z:$Z,"Release",'Investor Exit List'!$C:$C,Sales!$C85),(SUMIFS(Investors!$M:$M,Investors!$E:$E,Sales!$C85,Investors!$O:$O,FALSE)+SUMIFS(Investors!$S:$S,Investors!$E:$E,Sales!$C85,Investors!$O:$O,FALSE))*$F85)</f>
        <v/>
      </c>
      <c r="S85" s="10">
        <f>IF(T85=FALSE,Q85-R85,+V85)</f>
        <v/>
      </c>
      <c r="T85" s="3">
        <f>IF(SUMIFS('Cashflow Projection'!$E$119:$E$151,'Cashflow Projection'!$D$119:$D$151,Sales!C85)&lt;&gt;0,TRUE,FALSE)</f>
        <v/>
      </c>
      <c r="U85" s="4" t="n">
        <v>45747</v>
      </c>
      <c r="V85" s="10" t="n">
        <v>601605.8034246573</v>
      </c>
      <c r="W85" s="11">
        <f>IF(SUMIFS('Cashflow Projection'!$E$119:$E$151,'Cashflow Projection'!$D$119:$D$151,Sales!C85)=1,SUMIFS('Cashflow Projection'!$C$119:$C$151,'Cashflow Projection'!$D$119:$D$151,Sales!C85),+Sales!H85)</f>
        <v/>
      </c>
      <c r="X85" s="11">
        <f>IF(MOD(MONTH(W85), 2) &lt;&gt; 0, EOMONTH(W85, 2), EOMONTH(W85, 1))</f>
        <v/>
      </c>
      <c r="Y85" s="11">
        <f>EOMONTH(X85,1)</f>
        <v/>
      </c>
      <c r="Z85" t="b">
        <v>0</v>
      </c>
    </row>
    <row r="86">
      <c r="A86" s="3" t="inlineStr">
        <is>
          <t>Heron View</t>
        </is>
      </c>
      <c r="B86" s="3" t="inlineStr">
        <is>
          <t>D</t>
        </is>
      </c>
      <c r="C86" s="3" t="inlineStr">
        <is>
          <t>HVD101</t>
        </is>
      </c>
      <c r="D86" s="3" t="b">
        <v>1</v>
      </c>
      <c r="E86" s="3" t="b">
        <v>1</v>
      </c>
      <c r="F86" s="3">
        <f>IF(OR(Z86=TRUE,SUMIFS('Cashflow Projection'!$E$119:$E$151,'Cashflow Projection'!$D$119:$D$151,Sales!C86)=1),0,SUMIFS('Cashflow Projection'!$C$7:$C$23,'Cashflow Projection'!$B$7:$B$23,Sales!B86,'Cashflow Projection'!$A$7:$A$23,Sales!A86))</f>
        <v/>
      </c>
      <c r="G86" s="4" t="n">
        <v>45308</v>
      </c>
      <c r="H86" s="4" t="n">
        <v>45688</v>
      </c>
      <c r="I86" s="3" t="n">
        <v>1699900</v>
      </c>
      <c r="J86" s="3" t="n">
        <v>221726.0869565217</v>
      </c>
      <c r="K86" s="3" t="n">
        <v>1478173.913043478</v>
      </c>
      <c r="L86" s="3" t="n">
        <v>18502.08</v>
      </c>
      <c r="M86" s="3" t="n">
        <v>1789</v>
      </c>
      <c r="N86" s="3" t="n">
        <v>8499.5</v>
      </c>
      <c r="O86" s="3" t="n">
        <v>84995</v>
      </c>
      <c r="P86" s="3" t="n">
        <v>19224.37</v>
      </c>
      <c r="Q86" s="9">
        <f>K86-SUM(L86:P86)</f>
        <v/>
      </c>
      <c r="R86" s="10">
        <f>IF($F86=1,((SUMIFS(Investors!$M:$M,Investors!$E:$E,Sales!$C86,Investors!$O:$O,FALSE)+SUMIFS(Investors!$S:$S,Investors!$E:$E,Sales!$C86,Investors!$O:$O,FALSE))*$F86)-SUMIFS('Investor Exit List'!$Q:$Q,'Investor Exit List'!$Y:$Y,1,'Investor Exit List'!$Z:$Z,"Release",'Investor Exit List'!$C:$C,Sales!$C86),(SUMIFS(Investors!$M:$M,Investors!$E:$E,Sales!$C86,Investors!$O:$O,FALSE)+SUMIFS(Investors!$S:$S,Investors!$E:$E,Sales!$C86,Investors!$O:$O,FALSE))*$F86)</f>
        <v/>
      </c>
      <c r="S86" s="10">
        <f>IF(T86=FALSE,Q86-R86,+V86)</f>
        <v/>
      </c>
      <c r="T86" s="3">
        <f>IF(SUMIFS('Cashflow Projection'!$E$119:$E$151,'Cashflow Projection'!$D$119:$D$151,Sales!C86)&lt;&gt;0,TRUE,FALSE)</f>
        <v/>
      </c>
      <c r="U86" s="4" t="n">
        <v>45747</v>
      </c>
      <c r="V86" s="10" t="n">
        <v>264034.9722779451</v>
      </c>
      <c r="W86" s="11">
        <f>IF(SUMIFS('Cashflow Projection'!$E$119:$E$151,'Cashflow Projection'!$D$119:$D$151,Sales!C86)=1,SUMIFS('Cashflow Projection'!$C$119:$C$151,'Cashflow Projection'!$D$119:$D$151,Sales!C86),+Sales!H86)</f>
        <v/>
      </c>
      <c r="X86" s="11">
        <f>IF(MOD(MONTH(W86), 2) &lt;&gt; 0, EOMONTH(W86, 2), EOMONTH(W86, 1))</f>
        <v/>
      </c>
      <c r="Y86" s="11">
        <f>EOMONTH(X86,1)</f>
        <v/>
      </c>
      <c r="Z86" t="b">
        <v>0</v>
      </c>
    </row>
    <row r="87">
      <c r="A87" s="3" t="inlineStr">
        <is>
          <t>Heron View</t>
        </is>
      </c>
      <c r="B87" s="3" t="inlineStr">
        <is>
          <t>D</t>
        </is>
      </c>
      <c r="C87" s="3" t="inlineStr">
        <is>
          <t>HVD303</t>
        </is>
      </c>
      <c r="D87" s="3" t="b">
        <v>0</v>
      </c>
      <c r="E87" s="3" t="b">
        <v>0</v>
      </c>
      <c r="F87" s="3">
        <f>IF(OR(Z87=TRUE,SUMIFS('Cashflow Projection'!$E$119:$E$151,'Cashflow Projection'!$D$119:$D$151,Sales!C87)=1),0,SUMIFS('Cashflow Projection'!$C$7:$C$23,'Cashflow Projection'!$B$7:$B$23,Sales!B87,'Cashflow Projection'!$A$7:$A$23,Sales!A87))</f>
        <v/>
      </c>
      <c r="G87" s="4" t="n">
        <v>45407</v>
      </c>
      <c r="H87" s="4" t="n">
        <v>45646</v>
      </c>
      <c r="I87" s="3" t="n">
        <v>1539900</v>
      </c>
      <c r="J87" s="3" t="n">
        <v>200856.5217391304</v>
      </c>
      <c r="K87" s="3" t="n">
        <v>1339043.47826087</v>
      </c>
      <c r="L87" s="3" t="n">
        <v>18502.08</v>
      </c>
      <c r="M87" s="3" t="n">
        <v>1789</v>
      </c>
      <c r="N87" s="3" t="n">
        <v>7699.5</v>
      </c>
      <c r="O87" s="3" t="n">
        <v>76995</v>
      </c>
      <c r="P87" s="3" t="n">
        <v>19224.37</v>
      </c>
      <c r="Q87" s="9">
        <f>K87-SUM(L87:P87)</f>
        <v/>
      </c>
      <c r="R87" s="10">
        <f>IF($F87=1,((SUMIFS(Investors!$M:$M,Investors!$E:$E,Sales!$C87,Investors!$O:$O,FALSE)+SUMIFS(Investors!$S:$S,Investors!$E:$E,Sales!$C87,Investors!$O:$O,FALSE))*$F87)-SUMIFS('Investor Exit List'!$Q:$Q,'Investor Exit List'!$Y:$Y,1,'Investor Exit List'!$Z:$Z,"Release",'Investor Exit List'!$C:$C,Sales!$C87),(SUMIFS(Investors!$M:$M,Investors!$E:$E,Sales!$C87,Investors!$O:$O,FALSE)+SUMIFS(Investors!$S:$S,Investors!$E:$E,Sales!$C87,Investors!$O:$O,FALSE))*$F87)</f>
        <v/>
      </c>
      <c r="S87" s="10">
        <f>IF(T87=FALSE,Q87-R87,+V87)</f>
        <v/>
      </c>
      <c r="T87" s="3">
        <f>IF(SUMIFS('Cashflow Projection'!$E$119:$E$151,'Cashflow Projection'!$D$119:$D$151,Sales!C87)&lt;&gt;0,TRUE,FALSE)</f>
        <v/>
      </c>
      <c r="U87" s="4" t="n">
        <v>45688</v>
      </c>
      <c r="V87" s="10" t="n">
        <v>73386.09300328745</v>
      </c>
      <c r="W87" s="11">
        <f>IF(SUMIFS('Cashflow Projection'!$E$119:$E$151,'Cashflow Projection'!$D$119:$D$151,Sales!C87)=1,SUMIFS('Cashflow Projection'!$C$119:$C$151,'Cashflow Projection'!$D$119:$D$151,Sales!C87),+Sales!H87)</f>
        <v/>
      </c>
      <c r="X87" s="11">
        <f>IF(MOD(MONTH(W87), 2) &lt;&gt; 0, EOMONTH(W87, 2), EOMONTH(W87, 1))</f>
        <v/>
      </c>
      <c r="Y87" s="11">
        <f>EOMONTH(X87,1)</f>
        <v/>
      </c>
      <c r="Z87" t="b">
        <v>0</v>
      </c>
    </row>
    <row r="88">
      <c r="A88" s="3" t="inlineStr">
        <is>
          <t>Heron View</t>
        </is>
      </c>
      <c r="B88" s="3" t="inlineStr">
        <is>
          <t>D</t>
        </is>
      </c>
      <c r="C88" s="3" t="inlineStr">
        <is>
          <t>HVD202</t>
        </is>
      </c>
      <c r="D88" s="3" t="b">
        <v>1</v>
      </c>
      <c r="E88" s="3" t="b">
        <v>0</v>
      </c>
      <c r="F88" s="3">
        <f>IF(OR(Z88=TRUE,SUMIFS('Cashflow Projection'!$E$119:$E$151,'Cashflow Projection'!$D$119:$D$151,Sales!C88)=1),0,SUMIFS('Cashflow Projection'!$C$7:$C$23,'Cashflow Projection'!$B$7:$B$23,Sales!B88,'Cashflow Projection'!$A$7:$A$23,Sales!A88))</f>
        <v/>
      </c>
      <c r="G88" s="4" t="n">
        <v>45415</v>
      </c>
      <c r="H88" s="4" t="n">
        <v>45456</v>
      </c>
      <c r="I88" s="3" t="n">
        <v>1519900</v>
      </c>
      <c r="J88" s="3" t="n">
        <v>198247.8260869565</v>
      </c>
      <c r="K88" s="3" t="n">
        <v>1321652.173913044</v>
      </c>
      <c r="L88" s="3" t="n">
        <v>18502.08</v>
      </c>
      <c r="M88" s="3" t="n">
        <v>1789</v>
      </c>
      <c r="N88" s="3" t="n">
        <v>7599.5</v>
      </c>
      <c r="O88" s="3" t="n">
        <v>75995</v>
      </c>
      <c r="P88" s="3" t="n">
        <v>19224.37</v>
      </c>
      <c r="Q88" s="9">
        <f>K88-SUM(L88:P88)</f>
        <v/>
      </c>
      <c r="R88" s="10">
        <f>IF($F88=1,((SUMIFS(Investors!$M:$M,Investors!$E:$E,Sales!$C88,Investors!$O:$O,FALSE)+SUMIFS(Investors!$S:$S,Investors!$E:$E,Sales!$C88,Investors!$O:$O,FALSE))*$F88)-SUMIFS('Investor Exit List'!$Q:$Q,'Investor Exit List'!$Y:$Y,1,'Investor Exit List'!$Z:$Z,"Release",'Investor Exit List'!$C:$C,Sales!$C88),(SUMIFS(Investors!$M:$M,Investors!$E:$E,Sales!$C88,Investors!$O:$O,FALSE)+SUMIFS(Investors!$S:$S,Investors!$E:$E,Sales!$C88,Investors!$O:$O,FALSE))*$F88)</f>
        <v/>
      </c>
      <c r="S88" s="10">
        <f>IF(T88=FALSE,Q88-R88,+V88)</f>
        <v/>
      </c>
      <c r="T88" s="3">
        <f>IF(SUMIFS('Cashflow Projection'!$E$119:$E$151,'Cashflow Projection'!$D$119:$D$151,Sales!C88)&lt;&gt;0,TRUE,FALSE)</f>
        <v/>
      </c>
      <c r="U88" s="4" t="n">
        <v>45504</v>
      </c>
      <c r="V88" s="10" t="n">
        <v>101802.850768219</v>
      </c>
      <c r="W88" s="11">
        <f>IF(SUMIFS('Cashflow Projection'!$E$119:$E$151,'Cashflow Projection'!$D$119:$D$151,Sales!C88)=1,SUMIFS('Cashflow Projection'!$C$119:$C$151,'Cashflow Projection'!$D$119:$D$151,Sales!C88),+Sales!H88)</f>
        <v/>
      </c>
      <c r="X88" s="11">
        <f>IF(MOD(MONTH(W88), 2) &lt;&gt; 0, EOMONTH(W88, 2), EOMONTH(W88, 1))</f>
        <v/>
      </c>
      <c r="Y88" s="11">
        <f>EOMONTH(X88,1)</f>
        <v/>
      </c>
      <c r="Z88" t="b">
        <v>0</v>
      </c>
    </row>
    <row r="89">
      <c r="A89" s="3" t="inlineStr">
        <is>
          <t>Heron View</t>
        </is>
      </c>
      <c r="B89" s="3" t="inlineStr">
        <is>
          <t>N</t>
        </is>
      </c>
      <c r="C89" s="3" t="inlineStr">
        <is>
          <t>HVN204</t>
        </is>
      </c>
      <c r="D89" s="3" t="b">
        <v>1</v>
      </c>
      <c r="E89" s="3" t="b">
        <v>1</v>
      </c>
      <c r="F89" s="3">
        <f>IF(OR(Z89=TRUE,SUMIFS('Cashflow Projection'!$E$119:$E$151,'Cashflow Projection'!$D$119:$D$151,Sales!C89)=1),0,SUMIFS('Cashflow Projection'!$C$7:$C$23,'Cashflow Projection'!$B$7:$B$23,Sales!B89,'Cashflow Projection'!$A$7:$A$23,Sales!A89))</f>
        <v/>
      </c>
      <c r="G89" s="4" t="n">
        <v>45314</v>
      </c>
      <c r="H89" s="4" t="n">
        <v>45688</v>
      </c>
      <c r="I89" s="3" t="n">
        <v>1479900</v>
      </c>
      <c r="J89" s="3" t="n">
        <v>193030.4347826087</v>
      </c>
      <c r="K89" s="3" t="n">
        <v>1286869.565217391</v>
      </c>
      <c r="L89" s="3" t="n">
        <v>18502.08</v>
      </c>
      <c r="M89" s="3" t="n">
        <v>1789</v>
      </c>
      <c r="N89" s="3" t="n">
        <v>7399.5</v>
      </c>
      <c r="O89" s="3" t="n">
        <v>73995</v>
      </c>
      <c r="P89" s="3" t="n">
        <v>19224.37</v>
      </c>
      <c r="Q89" s="9">
        <f>K89-SUM(L89:P89)</f>
        <v/>
      </c>
      <c r="R89" s="10">
        <f>IF($F89=1,((SUMIFS(Investors!$M:$M,Investors!$E:$E,Sales!$C89,Investors!$O:$O,FALSE)+SUMIFS(Investors!$S:$S,Investors!$E:$E,Sales!$C89,Investors!$O:$O,FALSE))*$F89)-SUMIFS('Investor Exit List'!$Q:$Q,'Investor Exit List'!$Y:$Y,1,'Investor Exit List'!$Z:$Z,"Release",'Investor Exit List'!$C:$C,Sales!$C89),(SUMIFS(Investors!$M:$M,Investors!$E:$E,Sales!$C89,Investors!$O:$O,FALSE)+SUMIFS(Investors!$S:$S,Investors!$E:$E,Sales!$C89,Investors!$O:$O,FALSE))*$F89)</f>
        <v/>
      </c>
      <c r="S89" s="10">
        <f>IF(T89=FALSE,Q89-R89,+V89)</f>
        <v/>
      </c>
      <c r="T89" s="3">
        <f>IF(SUMIFS('Cashflow Projection'!$E$119:$E$151,'Cashflow Projection'!$D$119:$D$151,Sales!C89)&lt;&gt;0,TRUE,FALSE)</f>
        <v/>
      </c>
      <c r="U89" s="4" t="n">
        <v>45747</v>
      </c>
      <c r="V89" s="10" t="n">
        <v>78222.92671232857</v>
      </c>
      <c r="W89" s="11">
        <f>IF(SUMIFS('Cashflow Projection'!$E$119:$E$151,'Cashflow Projection'!$D$119:$D$151,Sales!C89)=1,SUMIFS('Cashflow Projection'!$C$119:$C$151,'Cashflow Projection'!$D$119:$D$151,Sales!C89),+Sales!H89)</f>
        <v/>
      </c>
      <c r="X89" s="11">
        <f>IF(MOD(MONTH(W89), 2) &lt;&gt; 0, EOMONTH(W89, 2), EOMONTH(W89, 1))</f>
        <v/>
      </c>
      <c r="Y89" s="11">
        <f>EOMONTH(X89,1)</f>
        <v/>
      </c>
      <c r="Z89" t="b">
        <v>0</v>
      </c>
    </row>
    <row r="90">
      <c r="A90" s="3" t="inlineStr">
        <is>
          <t>Heron View</t>
        </is>
      </c>
      <c r="B90" s="3" t="inlineStr">
        <is>
          <t>I</t>
        </is>
      </c>
      <c r="C90" s="3" t="inlineStr">
        <is>
          <t>HVI201</t>
        </is>
      </c>
      <c r="D90" s="3" t="b">
        <v>0</v>
      </c>
      <c r="E90" s="3" t="b">
        <v>0</v>
      </c>
      <c r="F90" s="3">
        <f>IF(OR(Z90=TRUE,SUMIFS('Cashflow Projection'!$E$119:$E$151,'Cashflow Projection'!$D$119:$D$151,Sales!C90)=1),0,SUMIFS('Cashflow Projection'!$C$7:$C$23,'Cashflow Projection'!$B$7:$B$23,Sales!B90,'Cashflow Projection'!$A$7:$A$23,Sales!A90))</f>
        <v/>
      </c>
      <c r="G90" s="4" t="n">
        <v>45491</v>
      </c>
      <c r="H90" s="4" t="n">
        <v>45596</v>
      </c>
      <c r="I90" s="3" t="n">
        <v>1549900</v>
      </c>
      <c r="J90" s="3" t="n">
        <v>202160.8695652174</v>
      </c>
      <c r="K90" s="3" t="n">
        <v>1347739.130434783</v>
      </c>
      <c r="L90" s="3" t="n">
        <v>18502.08</v>
      </c>
      <c r="M90" s="3" t="n">
        <v>1789</v>
      </c>
      <c r="N90" s="3" t="n">
        <v>7749.5</v>
      </c>
      <c r="O90" s="3" t="n">
        <v>77495</v>
      </c>
      <c r="P90" s="3" t="n">
        <v>19224.37</v>
      </c>
      <c r="Q90" s="9">
        <f>K90-SUM(L90:P90)</f>
        <v/>
      </c>
      <c r="R90" s="10">
        <f>IF($F90=1,((SUMIFS(Investors!$M:$M,Investors!$E:$E,Sales!$C90,Investors!$O:$O,FALSE)+SUMIFS(Investors!$S:$S,Investors!$E:$E,Sales!$C90,Investors!$O:$O,FALSE))*$F90)-SUMIFS('Investor Exit List'!$Q:$Q,'Investor Exit List'!$Y:$Y,1,'Investor Exit List'!$Z:$Z,"Release",'Investor Exit List'!$C:$C,Sales!$C90),(SUMIFS(Investors!$M:$M,Investors!$E:$E,Sales!$C90,Investors!$O:$O,FALSE)+SUMIFS(Investors!$S:$S,Investors!$E:$E,Sales!$C90,Investors!$O:$O,FALSE))*$F90)</f>
        <v/>
      </c>
      <c r="S90" s="10">
        <f>IF(T90=FALSE,Q90-R90,+V90)</f>
        <v/>
      </c>
      <c r="T90" s="3">
        <f>IF(SUMIFS('Cashflow Projection'!$E$119:$E$151,'Cashflow Projection'!$D$119:$D$151,Sales!C90)&lt;&gt;0,TRUE,FALSE)</f>
        <v/>
      </c>
      <c r="U90" s="4" t="n">
        <v>45626</v>
      </c>
      <c r="V90" s="10" t="n">
        <v>157600.3239726024</v>
      </c>
      <c r="W90" s="11">
        <f>IF(SUMIFS('Cashflow Projection'!$E$119:$E$151,'Cashflow Projection'!$D$119:$D$151,Sales!C90)=1,SUMIFS('Cashflow Projection'!$C$119:$C$151,'Cashflow Projection'!$D$119:$D$151,Sales!C90),+Sales!H90)</f>
        <v/>
      </c>
      <c r="X90" s="11">
        <f>IF(MOD(MONTH(W90), 2) &lt;&gt; 0, EOMONTH(W90, 2), EOMONTH(W90, 1))</f>
        <v/>
      </c>
      <c r="Y90" s="11">
        <f>EOMONTH(X90,1)</f>
        <v/>
      </c>
      <c r="Z90" t="b">
        <v>0</v>
      </c>
    </row>
    <row r="91">
      <c r="A91" s="3" t="inlineStr">
        <is>
          <t>Heron View</t>
        </is>
      </c>
      <c r="B91" s="3" t="inlineStr">
        <is>
          <t>P</t>
        </is>
      </c>
      <c r="C91" s="3" t="inlineStr">
        <is>
          <t>HVP102</t>
        </is>
      </c>
      <c r="D91" s="3" t="b">
        <v>1</v>
      </c>
      <c r="E91" s="3" t="b">
        <v>1</v>
      </c>
      <c r="F91" s="3">
        <f>IF(OR(Z91=TRUE,SUMIFS('Cashflow Projection'!$E$119:$E$151,'Cashflow Projection'!$D$119:$D$151,Sales!C91)=1),0,SUMIFS('Cashflow Projection'!$C$7:$C$23,'Cashflow Projection'!$B$7:$B$23,Sales!B91,'Cashflow Projection'!$A$7:$A$23,Sales!A91))</f>
        <v/>
      </c>
      <c r="G91" s="4" t="n">
        <v>45177</v>
      </c>
      <c r="H91" s="4" t="n">
        <v>45688</v>
      </c>
      <c r="I91" s="3" t="n">
        <v>1799900</v>
      </c>
      <c r="J91" s="3" t="n">
        <v>234769.5652173913</v>
      </c>
      <c r="K91" s="3" t="n">
        <v>1565130.434782609</v>
      </c>
      <c r="L91" s="3" t="n">
        <v>18502.08</v>
      </c>
      <c r="M91" s="3" t="n">
        <v>1789</v>
      </c>
      <c r="N91" s="3" t="n">
        <v>8999.5</v>
      </c>
      <c r="O91" s="3" t="n">
        <v>89995</v>
      </c>
      <c r="P91" s="3" t="n">
        <v>19224.37</v>
      </c>
      <c r="Q91" s="9">
        <f>K91-SUM(L91:P91)</f>
        <v/>
      </c>
      <c r="R91" s="10">
        <f>IF($F91=1,((SUMIFS(Investors!$M:$M,Investors!$E:$E,Sales!$C91,Investors!$O:$O,FALSE)+SUMIFS(Investors!$S:$S,Investors!$E:$E,Sales!$C91,Investors!$O:$O,FALSE))*$F91)-SUMIFS('Investor Exit List'!$Q:$Q,'Investor Exit List'!$Y:$Y,1,'Investor Exit List'!$Z:$Z,"Release",'Investor Exit List'!$C:$C,Sales!$C91),(SUMIFS(Investors!$M:$M,Investors!$E:$E,Sales!$C91,Investors!$O:$O,FALSE)+SUMIFS(Investors!$S:$S,Investors!$E:$E,Sales!$C91,Investors!$O:$O,FALSE))*$F91)</f>
        <v/>
      </c>
      <c r="S91" s="10">
        <f>IF(T91=FALSE,Q91-R91,+V91)</f>
        <v/>
      </c>
      <c r="T91" s="3">
        <f>IF(SUMIFS('Cashflow Projection'!$E$119:$E$151,'Cashflow Projection'!$D$119:$D$151,Sales!C91)&lt;&gt;0,TRUE,FALSE)</f>
        <v/>
      </c>
      <c r="U91" s="4" t="n">
        <v>45747</v>
      </c>
      <c r="V91" s="10" t="n">
        <v>366851.0089041092</v>
      </c>
      <c r="W91" s="11">
        <f>IF(SUMIFS('Cashflow Projection'!$E$119:$E$151,'Cashflow Projection'!$D$119:$D$151,Sales!C91)=1,SUMIFS('Cashflow Projection'!$C$119:$C$151,'Cashflow Projection'!$D$119:$D$151,Sales!C91),+Sales!H91)</f>
        <v/>
      </c>
      <c r="X91" s="11">
        <f>IF(MOD(MONTH(W91), 2) &lt;&gt; 0, EOMONTH(W91, 2), EOMONTH(W91, 1))</f>
        <v/>
      </c>
      <c r="Y91" s="11">
        <f>EOMONTH(X91,1)</f>
        <v/>
      </c>
      <c r="Z91" t="b">
        <v>0</v>
      </c>
    </row>
    <row r="92">
      <c r="A92" s="3" t="inlineStr">
        <is>
          <t>Heron View</t>
        </is>
      </c>
      <c r="B92" s="3" t="inlineStr">
        <is>
          <t>K</t>
        </is>
      </c>
      <c r="C92" s="3" t="inlineStr">
        <is>
          <t>HVK101</t>
        </is>
      </c>
      <c r="D92" s="3" t="b">
        <v>0</v>
      </c>
      <c r="E92" s="3" t="b">
        <v>0</v>
      </c>
      <c r="F92" s="3">
        <f>IF(OR(Z92=TRUE,SUMIFS('Cashflow Projection'!$E$119:$E$151,'Cashflow Projection'!$D$119:$D$151,Sales!C92)=1),0,SUMIFS('Cashflow Projection'!$C$7:$C$23,'Cashflow Projection'!$B$7:$B$23,Sales!B92,'Cashflow Projection'!$A$7:$A$23,Sales!A92))</f>
        <v/>
      </c>
      <c r="G92" s="4" t="n">
        <v>45510</v>
      </c>
      <c r="H92" s="4" t="n">
        <v>45625</v>
      </c>
      <c r="I92" s="3" t="n">
        <v>1739900</v>
      </c>
      <c r="J92" s="3" t="n">
        <v>226943.4782608696</v>
      </c>
      <c r="K92" s="3" t="n">
        <v>1512956.521739131</v>
      </c>
      <c r="L92" s="3" t="n">
        <v>18502.08</v>
      </c>
      <c r="M92" s="3" t="n">
        <v>1789</v>
      </c>
      <c r="N92" s="3" t="n">
        <v>8699.5</v>
      </c>
      <c r="O92" s="3" t="n">
        <v>86995</v>
      </c>
      <c r="P92" s="3" t="n">
        <v>19224.37</v>
      </c>
      <c r="Q92" s="9">
        <f>K92-SUM(L92:P92)</f>
        <v/>
      </c>
      <c r="R92" s="10">
        <f>IF($F92=1,((SUMIFS(Investors!$M:$M,Investors!$E:$E,Sales!$C92,Investors!$O:$O,FALSE)+SUMIFS(Investors!$S:$S,Investors!$E:$E,Sales!$C92,Investors!$O:$O,FALSE))*$F92)-SUMIFS('Investor Exit List'!$Q:$Q,'Investor Exit List'!$Y:$Y,1,'Investor Exit List'!$Z:$Z,"Release",'Investor Exit List'!$C:$C,Sales!$C92),(SUMIFS(Investors!$M:$M,Investors!$E:$E,Sales!$C92,Investors!$O:$O,FALSE)+SUMIFS(Investors!$S:$S,Investors!$E:$E,Sales!$C92,Investors!$O:$O,FALSE))*$F92)</f>
        <v/>
      </c>
      <c r="S92" s="10">
        <f>IF(T92=FALSE,Q92-R92,+V92)</f>
        <v/>
      </c>
      <c r="T92" s="3">
        <f>IF(SUMIFS('Cashflow Projection'!$E$119:$E$151,'Cashflow Projection'!$D$119:$D$151,Sales!C92)&lt;&gt;0,TRUE,FALSE)</f>
        <v/>
      </c>
      <c r="U92" s="4" t="n">
        <v>45688</v>
      </c>
      <c r="V92" s="10" t="n">
        <v>302096.3513698627</v>
      </c>
      <c r="W92" s="11">
        <f>IF(SUMIFS('Cashflow Projection'!$E$119:$E$151,'Cashflow Projection'!$D$119:$D$151,Sales!C92)=1,SUMIFS('Cashflow Projection'!$C$119:$C$151,'Cashflow Projection'!$D$119:$D$151,Sales!C92),+Sales!H92)</f>
        <v/>
      </c>
      <c r="X92" s="11">
        <f>IF(MOD(MONTH(W92), 2) &lt;&gt; 0, EOMONTH(W92, 2), EOMONTH(W92, 1))</f>
        <v/>
      </c>
      <c r="Y92" s="11">
        <f>EOMONTH(X92,1)</f>
        <v/>
      </c>
      <c r="Z92" t="b">
        <v>0</v>
      </c>
    </row>
    <row r="93">
      <c r="A93" s="3" t="inlineStr">
        <is>
          <t>Heron View</t>
        </is>
      </c>
      <c r="B93" s="3" t="inlineStr">
        <is>
          <t>P</t>
        </is>
      </c>
      <c r="C93" s="3" t="inlineStr">
        <is>
          <t>HVP103</t>
        </is>
      </c>
      <c r="D93" s="3" t="b">
        <v>1</v>
      </c>
      <c r="E93" s="3" t="b">
        <v>1</v>
      </c>
      <c r="F93" s="3">
        <f>IF(OR(Z93=TRUE,SUMIFS('Cashflow Projection'!$E$119:$E$151,'Cashflow Projection'!$D$119:$D$151,Sales!C93)=1),0,SUMIFS('Cashflow Projection'!$C$7:$C$23,'Cashflow Projection'!$B$7:$B$23,Sales!B93,'Cashflow Projection'!$A$7:$A$23,Sales!A93))</f>
        <v/>
      </c>
      <c r="G93" s="4" t="n">
        <v>45177</v>
      </c>
      <c r="H93" s="4" t="n">
        <v>45688</v>
      </c>
      <c r="I93" s="3" t="n">
        <v>1769900</v>
      </c>
      <c r="J93" s="3" t="n">
        <v>230856.5217391304</v>
      </c>
      <c r="K93" s="3" t="n">
        <v>1539043.47826087</v>
      </c>
      <c r="L93" s="3" t="n">
        <v>18502.08</v>
      </c>
      <c r="M93" s="3" t="n">
        <v>1789</v>
      </c>
      <c r="N93" s="3" t="n">
        <v>8849.5</v>
      </c>
      <c r="O93" s="3" t="n">
        <v>88495</v>
      </c>
      <c r="P93" s="3" t="n">
        <v>19224.37</v>
      </c>
      <c r="Q93" s="9">
        <f>K93-SUM(L93:P93)</f>
        <v/>
      </c>
      <c r="R93" s="10">
        <f>IF($F93=1,((SUMIFS(Investors!$M:$M,Investors!$E:$E,Sales!$C93,Investors!$O:$O,FALSE)+SUMIFS(Investors!$S:$S,Investors!$E:$E,Sales!$C93,Investors!$O:$O,FALSE))*$F93)-SUMIFS('Investor Exit List'!$Q:$Q,'Investor Exit List'!$Y:$Y,1,'Investor Exit List'!$Z:$Z,"Release",'Investor Exit List'!$C:$C,Sales!$C93),(SUMIFS(Investors!$M:$M,Investors!$E:$E,Sales!$C93,Investors!$O:$O,FALSE)+SUMIFS(Investors!$S:$S,Investors!$E:$E,Sales!$C93,Investors!$O:$O,FALSE))*$F93)</f>
        <v/>
      </c>
      <c r="S93" s="10">
        <f>IF(T93=FALSE,Q93-R93,+V93)</f>
        <v/>
      </c>
      <c r="T93" s="3">
        <f>IF(SUMIFS('Cashflow Projection'!$E$119:$E$151,'Cashflow Projection'!$D$119:$D$151,Sales!C93)&lt;&gt;0,TRUE,FALSE)</f>
        <v/>
      </c>
      <c r="U93" s="4" t="n">
        <v>45747</v>
      </c>
      <c r="V93" s="10" t="n">
        <v>337232.5157534245</v>
      </c>
      <c r="W93" s="11">
        <f>IF(SUMIFS('Cashflow Projection'!$E$119:$E$151,'Cashflow Projection'!$D$119:$D$151,Sales!C93)=1,SUMIFS('Cashflow Projection'!$C$119:$C$151,'Cashflow Projection'!$D$119:$D$151,Sales!C93),+Sales!H93)</f>
        <v/>
      </c>
      <c r="X93" s="11">
        <f>IF(MOD(MONTH(W93), 2) &lt;&gt; 0, EOMONTH(W93, 2), EOMONTH(W93, 1))</f>
        <v/>
      </c>
      <c r="Y93" s="11">
        <f>EOMONTH(X93,1)</f>
        <v/>
      </c>
      <c r="Z93" t="b">
        <v>0</v>
      </c>
    </row>
    <row r="94">
      <c r="A94" s="3" t="inlineStr">
        <is>
          <t>Heron View</t>
        </is>
      </c>
      <c r="B94" s="3" t="inlineStr">
        <is>
          <t>E</t>
        </is>
      </c>
      <c r="C94" s="3" t="inlineStr">
        <is>
          <t>HVE204</t>
        </is>
      </c>
      <c r="D94" s="3" t="b">
        <v>0</v>
      </c>
      <c r="E94" s="3" t="b">
        <v>0</v>
      </c>
      <c r="F94" s="3">
        <f>IF(OR(Z94=TRUE,SUMIFS('Cashflow Projection'!$E$119:$E$151,'Cashflow Projection'!$D$119:$D$151,Sales!C94)=1),0,SUMIFS('Cashflow Projection'!$C$7:$C$23,'Cashflow Projection'!$B$7:$B$23,Sales!B94,'Cashflow Projection'!$A$7:$A$23,Sales!A94))</f>
        <v/>
      </c>
      <c r="G94" s="4" t="n">
        <v>45685</v>
      </c>
      <c r="H94" s="4" t="n">
        <v>45685</v>
      </c>
      <c r="I94" s="3" t="n">
        <v>1499900</v>
      </c>
      <c r="J94" s="3" t="n">
        <v>195639.1304347826</v>
      </c>
      <c r="K94" s="3" t="n">
        <v>1304260.869565218</v>
      </c>
      <c r="L94" s="3" t="n">
        <v>18502.08</v>
      </c>
      <c r="M94" s="3" t="n">
        <v>1789</v>
      </c>
      <c r="N94" s="3" t="n">
        <v>7499.5</v>
      </c>
      <c r="O94" s="3" t="n">
        <v>74995</v>
      </c>
      <c r="P94" s="3" t="n">
        <v>19224.37</v>
      </c>
      <c r="Q94" s="9">
        <f>K94-SUM(L94:P94)</f>
        <v/>
      </c>
      <c r="R94" s="10">
        <f>IF($F94=1,((SUMIFS(Investors!$M:$M,Investors!$E:$E,Sales!$C94,Investors!$O:$O,FALSE)+SUMIFS(Investors!$S:$S,Investors!$E:$E,Sales!$C94,Investors!$O:$O,FALSE))*$F94)-SUMIFS('Investor Exit List'!$Q:$Q,'Investor Exit List'!$Y:$Y,1,'Investor Exit List'!$Z:$Z,"Release",'Investor Exit List'!$C:$C,Sales!$C94),(SUMIFS(Investors!$M:$M,Investors!$E:$E,Sales!$C94,Investors!$O:$O,FALSE)+SUMIFS(Investors!$S:$S,Investors!$E:$E,Sales!$C94,Investors!$O:$O,FALSE))*$F94)</f>
        <v/>
      </c>
      <c r="S94" s="10">
        <f>IF(T94=FALSE,Q94-R94,+V94)</f>
        <v/>
      </c>
      <c r="T94" s="3">
        <f>IF(SUMIFS('Cashflow Projection'!$E$119:$E$151,'Cashflow Projection'!$D$119:$D$151,Sales!C94)&lt;&gt;0,TRUE,FALSE)</f>
        <v/>
      </c>
      <c r="U94" s="4" t="n">
        <v>45747</v>
      </c>
      <c r="V94" s="10" t="n">
        <v>-74109.95000000019</v>
      </c>
      <c r="W94" s="11">
        <f>IF(SUMIFS('Cashflow Projection'!$E$119:$E$151,'Cashflow Projection'!$D$119:$D$151,Sales!C94)=1,SUMIFS('Cashflow Projection'!$C$119:$C$151,'Cashflow Projection'!$D$119:$D$151,Sales!C94),+Sales!H94)</f>
        <v/>
      </c>
      <c r="X94" s="11">
        <f>IF(MOD(MONTH(W94), 2) &lt;&gt; 0, EOMONTH(W94, 2), EOMONTH(W94, 1))</f>
        <v/>
      </c>
      <c r="Y94" s="11">
        <f>EOMONTH(X94,1)</f>
        <v/>
      </c>
      <c r="Z94" t="b">
        <v>0</v>
      </c>
    </row>
    <row r="95">
      <c r="A95" s="3" t="inlineStr">
        <is>
          <t>Heron View</t>
        </is>
      </c>
      <c r="B95" s="3" t="inlineStr">
        <is>
          <t>E</t>
        </is>
      </c>
      <c r="C95" s="3" t="inlineStr">
        <is>
          <t>HVE201</t>
        </is>
      </c>
      <c r="D95" s="3" t="b">
        <v>0</v>
      </c>
      <c r="E95" s="3" t="b">
        <v>0</v>
      </c>
      <c r="F95" s="3">
        <f>IF(OR(Z95=TRUE,SUMIFS('Cashflow Projection'!$E$119:$E$151,'Cashflow Projection'!$D$119:$D$151,Sales!C95)=1),0,SUMIFS('Cashflow Projection'!$C$7:$C$23,'Cashflow Projection'!$B$7:$B$23,Sales!B95,'Cashflow Projection'!$A$7:$A$23,Sales!A95))</f>
        <v/>
      </c>
      <c r="G95" s="4" t="n">
        <v>45685</v>
      </c>
      <c r="H95" s="4" t="n">
        <v>45685</v>
      </c>
      <c r="I95" s="3" t="n">
        <v>1529900</v>
      </c>
      <c r="J95" s="3" t="n">
        <v>199552.1739130435</v>
      </c>
      <c r="K95" s="3" t="n">
        <v>1330347.826086957</v>
      </c>
      <c r="L95" s="3" t="n">
        <v>18502.08</v>
      </c>
      <c r="M95" s="3" t="n">
        <v>1789</v>
      </c>
      <c r="N95" s="3" t="n">
        <v>7649.5</v>
      </c>
      <c r="O95" s="3" t="n">
        <v>76495</v>
      </c>
      <c r="P95" s="3" t="n">
        <v>19224.37</v>
      </c>
      <c r="Q95" s="9">
        <f>K95-SUM(L95:P95)</f>
        <v/>
      </c>
      <c r="R95" s="10">
        <f>IF($F95=1,((SUMIFS(Investors!$M:$M,Investors!$E:$E,Sales!$C95,Investors!$O:$O,FALSE)+SUMIFS(Investors!$S:$S,Investors!$E:$E,Sales!$C95,Investors!$O:$O,FALSE))*$F95)-SUMIFS('Investor Exit List'!$Q:$Q,'Investor Exit List'!$Y:$Y,1,'Investor Exit List'!$Z:$Z,"Release",'Investor Exit List'!$C:$C,Sales!$C95),(SUMIFS(Investors!$M:$M,Investors!$E:$E,Sales!$C95,Investors!$O:$O,FALSE)+SUMIFS(Investors!$S:$S,Investors!$E:$E,Sales!$C95,Investors!$O:$O,FALSE))*$F95)</f>
        <v/>
      </c>
      <c r="S95" s="10">
        <f>IF(T95=FALSE,Q95-R95,+V95)</f>
        <v/>
      </c>
      <c r="T95" s="3">
        <f>IF(SUMIFS('Cashflow Projection'!$E$119:$E$151,'Cashflow Projection'!$D$119:$D$151,Sales!C95)&lt;&gt;0,TRUE,FALSE)</f>
        <v/>
      </c>
      <c r="U95" s="4" t="n">
        <v>45747</v>
      </c>
      <c r="V95" s="10" t="n">
        <v>-40155.89124164404</v>
      </c>
      <c r="W95" s="11">
        <f>IF(SUMIFS('Cashflow Projection'!$E$119:$E$151,'Cashflow Projection'!$D$119:$D$151,Sales!C95)=1,SUMIFS('Cashflow Projection'!$C$119:$C$151,'Cashflow Projection'!$D$119:$D$151,Sales!C95),+Sales!H95)</f>
        <v/>
      </c>
      <c r="X95" s="11">
        <f>IF(MOD(MONTH(W95), 2) &lt;&gt; 0, EOMONTH(W95, 2), EOMONTH(W95, 1))</f>
        <v/>
      </c>
      <c r="Y95" s="11">
        <f>EOMONTH(X95,1)</f>
        <v/>
      </c>
      <c r="Z95" t="b">
        <v>0</v>
      </c>
    </row>
    <row r="96">
      <c r="A96" s="3" t="inlineStr">
        <is>
          <t>Heron View</t>
        </is>
      </c>
      <c r="B96" s="3" t="inlineStr">
        <is>
          <t>O</t>
        </is>
      </c>
      <c r="C96" s="3" t="inlineStr">
        <is>
          <t>HVO204</t>
        </is>
      </c>
      <c r="D96" s="3" t="b">
        <v>1</v>
      </c>
      <c r="E96" s="3" t="b">
        <v>0</v>
      </c>
      <c r="F96" s="3">
        <f>IF(OR(Z96=TRUE,SUMIFS('Cashflow Projection'!$E$119:$E$151,'Cashflow Projection'!$D$119:$D$151,Sales!C96)=1),0,SUMIFS('Cashflow Projection'!$C$7:$C$23,'Cashflow Projection'!$B$7:$B$23,Sales!B96,'Cashflow Projection'!$A$7:$A$23,Sales!A96))</f>
        <v/>
      </c>
      <c r="G96" s="4" t="n">
        <v>45518</v>
      </c>
      <c r="H96" s="4" t="n">
        <v>45518</v>
      </c>
      <c r="I96" s="3" t="n">
        <v>1679900</v>
      </c>
      <c r="J96" s="3" t="n">
        <v>219117.3913043478</v>
      </c>
      <c r="K96" s="3" t="n">
        <v>1460782.608695652</v>
      </c>
      <c r="L96" s="3" t="n">
        <v>18502.08</v>
      </c>
      <c r="M96" s="3" t="n">
        <v>1789</v>
      </c>
      <c r="N96" s="3" t="n">
        <v>8399.5</v>
      </c>
      <c r="O96" s="3" t="n">
        <v>83995</v>
      </c>
      <c r="P96" s="3" t="n">
        <v>19224.37</v>
      </c>
      <c r="Q96" s="9">
        <f>K96-SUM(L96:P96)</f>
        <v/>
      </c>
      <c r="R96" s="10">
        <f>IF($F96=1,((SUMIFS(Investors!$M:$M,Investors!$E:$E,Sales!$C96,Investors!$O:$O,FALSE)+SUMIFS(Investors!$S:$S,Investors!$E:$E,Sales!$C96,Investors!$O:$O,FALSE))*$F96)-SUMIFS('Investor Exit List'!$Q:$Q,'Investor Exit List'!$Y:$Y,1,'Investor Exit List'!$Z:$Z,"Release",'Investor Exit List'!$C:$C,Sales!$C96),(SUMIFS(Investors!$M:$M,Investors!$E:$E,Sales!$C96,Investors!$O:$O,FALSE)+SUMIFS(Investors!$S:$S,Investors!$E:$E,Sales!$C96,Investors!$O:$O,FALSE))*$F96)</f>
        <v/>
      </c>
      <c r="S96" s="10">
        <f>IF(T96=FALSE,Q96-R96,+V96)</f>
        <v/>
      </c>
      <c r="T96" s="3">
        <f>IF(SUMIFS('Cashflow Projection'!$E$119:$E$151,'Cashflow Projection'!$D$119:$D$151,Sales!C96)&lt;&gt;0,TRUE,FALSE)</f>
        <v/>
      </c>
      <c r="U96" s="4" t="n">
        <v>45565</v>
      </c>
      <c r="V96" s="10" t="n">
        <v>196291.8213084929</v>
      </c>
      <c r="W96" s="11">
        <f>IF(SUMIFS('Cashflow Projection'!$E$119:$E$151,'Cashflow Projection'!$D$119:$D$151,Sales!C96)=1,SUMIFS('Cashflow Projection'!$C$119:$C$151,'Cashflow Projection'!$D$119:$D$151,Sales!C96),+Sales!H96)</f>
        <v/>
      </c>
      <c r="X96" s="11">
        <f>IF(MOD(MONTH(W96), 2) &lt;&gt; 0, EOMONTH(W96, 2), EOMONTH(W96, 1))</f>
        <v/>
      </c>
      <c r="Y96" s="11">
        <f>EOMONTH(X96,1)</f>
        <v/>
      </c>
      <c r="Z96" t="b">
        <v>0</v>
      </c>
    </row>
    <row r="97">
      <c r="A97" s="3" t="inlineStr">
        <is>
          <t>Heron View</t>
        </is>
      </c>
      <c r="B97" s="3" t="inlineStr">
        <is>
          <t>K</t>
        </is>
      </c>
      <c r="C97" s="3" t="inlineStr">
        <is>
          <t>HVK105</t>
        </is>
      </c>
      <c r="D97" s="3" t="b">
        <v>0</v>
      </c>
      <c r="E97" s="3" t="b">
        <v>0</v>
      </c>
      <c r="F97" s="3">
        <f>IF(OR(Z97=TRUE,SUMIFS('Cashflow Projection'!$E$119:$E$151,'Cashflow Projection'!$D$119:$D$151,Sales!C97)=1),0,SUMIFS('Cashflow Projection'!$C$7:$C$23,'Cashflow Projection'!$B$7:$B$23,Sales!B97,'Cashflow Projection'!$A$7:$A$23,Sales!A97))</f>
        <v/>
      </c>
      <c r="G97" s="4" t="n">
        <v>45510</v>
      </c>
      <c r="H97" s="4" t="n">
        <v>45625</v>
      </c>
      <c r="I97" s="3" t="n">
        <v>1739900</v>
      </c>
      <c r="J97" s="3" t="n">
        <v>226943.4782608696</v>
      </c>
      <c r="K97" s="3" t="n">
        <v>1512956.521739131</v>
      </c>
      <c r="L97" s="3" t="n">
        <v>18502.08</v>
      </c>
      <c r="M97" s="3" t="n">
        <v>1789</v>
      </c>
      <c r="N97" s="3" t="n">
        <v>8699.5</v>
      </c>
      <c r="O97" s="3" t="n">
        <v>86995</v>
      </c>
      <c r="P97" s="3" t="n">
        <v>19224.37</v>
      </c>
      <c r="Q97" s="9">
        <f>K97-SUM(L97:P97)</f>
        <v/>
      </c>
      <c r="R97" s="10">
        <f>IF($F97=1,((SUMIFS(Investors!$M:$M,Investors!$E:$E,Sales!$C97,Investors!$O:$O,FALSE)+SUMIFS(Investors!$S:$S,Investors!$E:$E,Sales!$C97,Investors!$O:$O,FALSE))*$F97)-SUMIFS('Investor Exit List'!$Q:$Q,'Investor Exit List'!$Y:$Y,1,'Investor Exit List'!$Z:$Z,"Release",'Investor Exit List'!$C:$C,Sales!$C97),(SUMIFS(Investors!$M:$M,Investors!$E:$E,Sales!$C97,Investors!$O:$O,FALSE)+SUMIFS(Investors!$S:$S,Investors!$E:$E,Sales!$C97,Investors!$O:$O,FALSE))*$F97)</f>
        <v/>
      </c>
      <c r="S97" s="10">
        <f>IF(T97=FALSE,Q97-R97,+V97)</f>
        <v/>
      </c>
      <c r="T97" s="3">
        <f>IF(SUMIFS('Cashflow Projection'!$E$119:$E$151,'Cashflow Projection'!$D$119:$D$151,Sales!C97)&lt;&gt;0,TRUE,FALSE)</f>
        <v/>
      </c>
      <c r="U97" s="4" t="n">
        <v>45688</v>
      </c>
      <c r="V97" s="10" t="n">
        <v>162011.6938356163</v>
      </c>
      <c r="W97" s="11">
        <f>IF(SUMIFS('Cashflow Projection'!$E$119:$E$151,'Cashflow Projection'!$D$119:$D$151,Sales!C97)=1,SUMIFS('Cashflow Projection'!$C$119:$C$151,'Cashflow Projection'!$D$119:$D$151,Sales!C97),+Sales!H97)</f>
        <v/>
      </c>
      <c r="X97" s="11">
        <f>IF(MOD(MONTH(W97), 2) &lt;&gt; 0, EOMONTH(W97, 2), EOMONTH(W97, 1))</f>
        <v/>
      </c>
      <c r="Y97" s="11">
        <f>EOMONTH(X97,1)</f>
        <v/>
      </c>
      <c r="Z97" t="b">
        <v>0</v>
      </c>
    </row>
    <row r="98">
      <c r="A98" s="3" t="inlineStr">
        <is>
          <t>Heron View</t>
        </is>
      </c>
      <c r="B98" s="3" t="inlineStr">
        <is>
          <t>K</t>
        </is>
      </c>
      <c r="C98" s="3" t="inlineStr">
        <is>
          <t>HVK402</t>
        </is>
      </c>
      <c r="D98" s="3" t="b">
        <v>0</v>
      </c>
      <c r="E98" s="3" t="b">
        <v>0</v>
      </c>
      <c r="F98" s="3">
        <f>IF(OR(Z98=TRUE,SUMIFS('Cashflow Projection'!$E$119:$E$151,'Cashflow Projection'!$D$119:$D$151,Sales!C98)=1),0,SUMIFS('Cashflow Projection'!$C$7:$C$23,'Cashflow Projection'!$B$7:$B$23,Sales!B98,'Cashflow Projection'!$A$7:$A$23,Sales!A98))</f>
        <v/>
      </c>
      <c r="G98" s="4" t="n">
        <v>45510</v>
      </c>
      <c r="H98" s="4" t="n">
        <v>45625</v>
      </c>
      <c r="I98" s="3" t="n">
        <v>1499900</v>
      </c>
      <c r="J98" s="3" t="n">
        <v>195639.1304347826</v>
      </c>
      <c r="K98" s="3" t="n">
        <v>1304260.869565218</v>
      </c>
      <c r="L98" s="3" t="n">
        <v>18502.08</v>
      </c>
      <c r="M98" s="3" t="n">
        <v>1789</v>
      </c>
      <c r="N98" s="3" t="n">
        <v>7499.5</v>
      </c>
      <c r="O98" s="3" t="n">
        <v>74995</v>
      </c>
      <c r="P98" s="3" t="n">
        <v>19224.37</v>
      </c>
      <c r="Q98" s="9">
        <f>K98-SUM(L98:P98)</f>
        <v/>
      </c>
      <c r="R98" s="10">
        <f>IF($F98=1,((SUMIFS(Investors!$M:$M,Investors!$E:$E,Sales!$C98,Investors!$O:$O,FALSE)+SUMIFS(Investors!$S:$S,Investors!$E:$E,Sales!$C98,Investors!$O:$O,FALSE))*$F98)-SUMIFS('Investor Exit List'!$Q:$Q,'Investor Exit List'!$Y:$Y,1,'Investor Exit List'!$Z:$Z,"Release",'Investor Exit List'!$C:$C,Sales!$C98),(SUMIFS(Investors!$M:$M,Investors!$E:$E,Sales!$C98,Investors!$O:$O,FALSE)+SUMIFS(Investors!$S:$S,Investors!$E:$E,Sales!$C98,Investors!$O:$O,FALSE))*$F98)</f>
        <v/>
      </c>
      <c r="S98" s="10">
        <f>IF(T98=FALSE,Q98-R98,+V98)</f>
        <v/>
      </c>
      <c r="T98" s="3">
        <f>IF(SUMIFS('Cashflow Projection'!$E$119:$E$151,'Cashflow Projection'!$D$119:$D$151,Sales!C98)&lt;&gt;0,TRUE,FALSE)</f>
        <v/>
      </c>
      <c r="U98" s="4" t="n">
        <v>45688</v>
      </c>
      <c r="V98" s="10" t="n">
        <v>-36370.52015835652</v>
      </c>
      <c r="W98" s="11">
        <f>IF(SUMIFS('Cashflow Projection'!$E$119:$E$151,'Cashflow Projection'!$D$119:$D$151,Sales!C98)=1,SUMIFS('Cashflow Projection'!$C$119:$C$151,'Cashflow Projection'!$D$119:$D$151,Sales!C98),+Sales!H98)</f>
        <v/>
      </c>
      <c r="X98" s="11">
        <f>IF(MOD(MONTH(W98), 2) &lt;&gt; 0, EOMONTH(W98, 2), EOMONTH(W98, 1))</f>
        <v/>
      </c>
      <c r="Y98" s="11">
        <f>EOMONTH(X98,1)</f>
        <v/>
      </c>
      <c r="Z98" t="b">
        <v>0</v>
      </c>
    </row>
    <row r="99">
      <c r="A99" s="3" t="inlineStr">
        <is>
          <t>Heron View</t>
        </is>
      </c>
      <c r="B99" s="3" t="inlineStr">
        <is>
          <t>K</t>
        </is>
      </c>
      <c r="C99" s="3" t="inlineStr">
        <is>
          <t>HVK405</t>
        </is>
      </c>
      <c r="D99" s="3" t="b">
        <v>0</v>
      </c>
      <c r="E99" s="3" t="b">
        <v>0</v>
      </c>
      <c r="F99" s="3">
        <f>IF(OR(Z99=TRUE,SUMIFS('Cashflow Projection'!$E$119:$E$151,'Cashflow Projection'!$D$119:$D$151,Sales!C99)=1),0,SUMIFS('Cashflow Projection'!$C$7:$C$23,'Cashflow Projection'!$B$7:$B$23,Sales!B99,'Cashflow Projection'!$A$7:$A$23,Sales!A99))</f>
        <v/>
      </c>
      <c r="G99" s="4" t="n">
        <v>45510</v>
      </c>
      <c r="H99" s="4" t="n">
        <v>45625</v>
      </c>
      <c r="I99" s="3" t="n">
        <v>1499900</v>
      </c>
      <c r="J99" s="3" t="n">
        <v>195639.1304347826</v>
      </c>
      <c r="K99" s="3" t="n">
        <v>1304260.869565218</v>
      </c>
      <c r="L99" s="3" t="n">
        <v>18502.08</v>
      </c>
      <c r="M99" s="3" t="n">
        <v>1789</v>
      </c>
      <c r="N99" s="3" t="n">
        <v>7499.5</v>
      </c>
      <c r="O99" s="3" t="n">
        <v>74995</v>
      </c>
      <c r="P99" s="3" t="n">
        <v>19224.37</v>
      </c>
      <c r="Q99" s="9">
        <f>K99-SUM(L99:P99)</f>
        <v/>
      </c>
      <c r="R99" s="10">
        <f>IF($F99=1,((SUMIFS(Investors!$M:$M,Investors!$E:$E,Sales!$C99,Investors!$O:$O,FALSE)+SUMIFS(Investors!$S:$S,Investors!$E:$E,Sales!$C99,Investors!$O:$O,FALSE))*$F99)-SUMIFS('Investor Exit List'!$Q:$Q,'Investor Exit List'!$Y:$Y,1,'Investor Exit List'!$Z:$Z,"Release",'Investor Exit List'!$C:$C,Sales!$C99),(SUMIFS(Investors!$M:$M,Investors!$E:$E,Sales!$C99,Investors!$O:$O,FALSE)+SUMIFS(Investors!$S:$S,Investors!$E:$E,Sales!$C99,Investors!$O:$O,FALSE))*$F99)</f>
        <v/>
      </c>
      <c r="S99" s="10">
        <f>IF(T99=FALSE,Q99-R99,+V99)</f>
        <v/>
      </c>
      <c r="T99" s="3">
        <f>IF(SUMIFS('Cashflow Projection'!$E$119:$E$151,'Cashflow Projection'!$D$119:$D$151,Sales!C99)&lt;&gt;0,TRUE,FALSE)</f>
        <v/>
      </c>
      <c r="U99" s="4" t="n">
        <v>45688</v>
      </c>
      <c r="V99" s="10" t="n">
        <v>-8950.089331506984</v>
      </c>
      <c r="W99" s="11">
        <f>IF(SUMIFS('Cashflow Projection'!$E$119:$E$151,'Cashflow Projection'!$D$119:$D$151,Sales!C99)=1,SUMIFS('Cashflow Projection'!$C$119:$C$151,'Cashflow Projection'!$D$119:$D$151,Sales!C99),+Sales!H99)</f>
        <v/>
      </c>
      <c r="X99" s="11">
        <f>IF(MOD(MONTH(W99), 2) &lt;&gt; 0, EOMONTH(W99, 2), EOMONTH(W99, 1))</f>
        <v/>
      </c>
      <c r="Y99" s="11">
        <f>EOMONTH(X99,1)</f>
        <v/>
      </c>
      <c r="Z99" t="b">
        <v>0</v>
      </c>
    </row>
    <row r="100">
      <c r="A100" s="3" t="inlineStr">
        <is>
          <t>Heron View</t>
        </is>
      </c>
      <c r="B100" s="3" t="inlineStr">
        <is>
          <t>O</t>
        </is>
      </c>
      <c r="C100" s="3" t="inlineStr">
        <is>
          <t>HVO303</t>
        </is>
      </c>
      <c r="D100" s="3" t="b">
        <v>1</v>
      </c>
      <c r="E100" s="3" t="b">
        <v>0</v>
      </c>
      <c r="F100" s="3">
        <f>IF(OR(Z100=TRUE,SUMIFS('Cashflow Projection'!$E$119:$E$151,'Cashflow Projection'!$D$119:$D$151,Sales!C100)=1),0,SUMIFS('Cashflow Projection'!$C$7:$C$23,'Cashflow Projection'!$B$7:$B$23,Sales!B100,'Cashflow Projection'!$A$7:$A$23,Sales!A100))</f>
        <v/>
      </c>
      <c r="G100" s="4" t="n">
        <v>45518</v>
      </c>
      <c r="H100" s="4" t="n">
        <v>45518</v>
      </c>
      <c r="I100" s="3" t="n">
        <v>1689900</v>
      </c>
      <c r="J100" s="3" t="n">
        <v>220421.7391304348</v>
      </c>
      <c r="K100" s="3" t="n">
        <v>1469478.260869565</v>
      </c>
      <c r="L100" s="3" t="n">
        <v>18502.08</v>
      </c>
      <c r="M100" s="3" t="n">
        <v>1789</v>
      </c>
      <c r="N100" s="3" t="n">
        <v>8449.5</v>
      </c>
      <c r="O100" s="3" t="n">
        <v>84495</v>
      </c>
      <c r="P100" s="3" t="n">
        <v>19224.37</v>
      </c>
      <c r="Q100" s="9">
        <f>K100-SUM(L100:P100)</f>
        <v/>
      </c>
      <c r="R100" s="10">
        <f>IF($F100=1,((SUMIFS(Investors!$M:$M,Investors!$E:$E,Sales!$C100,Investors!$O:$O,FALSE)+SUMIFS(Investors!$S:$S,Investors!$E:$E,Sales!$C100,Investors!$O:$O,FALSE))*$F100)-SUMIFS('Investor Exit List'!$Q:$Q,'Investor Exit List'!$Y:$Y,1,'Investor Exit List'!$Z:$Z,"Release",'Investor Exit List'!$C:$C,Sales!$C100),(SUMIFS(Investors!$M:$M,Investors!$E:$E,Sales!$C100,Investors!$O:$O,FALSE)+SUMIFS(Investors!$S:$S,Investors!$E:$E,Sales!$C100,Investors!$O:$O,FALSE))*$F100)</f>
        <v/>
      </c>
      <c r="S100" s="10">
        <f>IF(T100=FALSE,Q100-R100,+V100)</f>
        <v/>
      </c>
      <c r="T100" s="3">
        <f>IF(SUMIFS('Cashflow Projection'!$E$119:$E$151,'Cashflow Projection'!$D$119:$D$151,Sales!C100)&lt;&gt;0,TRUE,FALSE)</f>
        <v/>
      </c>
      <c r="U100" s="4" t="n">
        <v>45565</v>
      </c>
      <c r="V100" s="10" t="n">
        <v>194087.9952054792</v>
      </c>
      <c r="W100" s="11">
        <f>IF(SUMIFS('Cashflow Projection'!$E$119:$E$151,'Cashflow Projection'!$D$119:$D$151,Sales!C100)=1,SUMIFS('Cashflow Projection'!$C$119:$C$151,'Cashflow Projection'!$D$119:$D$151,Sales!C100),+Sales!H100)</f>
        <v/>
      </c>
      <c r="X100" s="11">
        <f>IF(MOD(MONTH(W100), 2) &lt;&gt; 0, EOMONTH(W100, 2), EOMONTH(W100, 1))</f>
        <v/>
      </c>
      <c r="Y100" s="11">
        <f>EOMONTH(X100,1)</f>
        <v/>
      </c>
      <c r="Z100" t="b">
        <v>0</v>
      </c>
    </row>
    <row r="101">
      <c r="A101" s="3" t="inlineStr">
        <is>
          <t>Heron View</t>
        </is>
      </c>
      <c r="B101" s="3" t="inlineStr">
        <is>
          <t>E</t>
        </is>
      </c>
      <c r="C101" s="3" t="inlineStr">
        <is>
          <t>HVE302</t>
        </is>
      </c>
      <c r="D101" s="3" t="b">
        <v>0</v>
      </c>
      <c r="E101" s="3" t="b">
        <v>0</v>
      </c>
      <c r="F101" s="3">
        <f>IF(OR(Z101=TRUE,SUMIFS('Cashflow Projection'!$E$119:$E$151,'Cashflow Projection'!$D$119:$D$151,Sales!C101)=1),0,SUMIFS('Cashflow Projection'!$C$7:$C$23,'Cashflow Projection'!$B$7:$B$23,Sales!B101,'Cashflow Projection'!$A$7:$A$23,Sales!A101))</f>
        <v/>
      </c>
      <c r="G101" s="4" t="n">
        <v>45685</v>
      </c>
      <c r="H101" s="4" t="n">
        <v>45685</v>
      </c>
      <c r="I101" s="3" t="n">
        <v>1499900</v>
      </c>
      <c r="J101" s="3" t="n">
        <v>195639.1304347826</v>
      </c>
      <c r="K101" s="3" t="n">
        <v>1304260.869565218</v>
      </c>
      <c r="L101" s="3" t="n">
        <v>18502.08</v>
      </c>
      <c r="M101" s="3" t="n">
        <v>1789</v>
      </c>
      <c r="N101" s="3" t="n">
        <v>7499.5</v>
      </c>
      <c r="O101" s="3" t="n">
        <v>74995</v>
      </c>
      <c r="P101" s="3" t="n">
        <v>19224.37</v>
      </c>
      <c r="Q101" s="9">
        <f>K101-SUM(L101:P101)</f>
        <v/>
      </c>
      <c r="R101" s="10">
        <f>IF($F101=1,((SUMIFS(Investors!$M:$M,Investors!$E:$E,Sales!$C101,Investors!$O:$O,FALSE)+SUMIFS(Investors!$S:$S,Investors!$E:$E,Sales!$C101,Investors!$O:$O,FALSE))*$F101)-SUMIFS('Investor Exit List'!$Q:$Q,'Investor Exit List'!$Y:$Y,1,'Investor Exit List'!$Z:$Z,"Release",'Investor Exit List'!$C:$C,Sales!$C101),(SUMIFS(Investors!$M:$M,Investors!$E:$E,Sales!$C101,Investors!$O:$O,FALSE)+SUMIFS(Investors!$S:$S,Investors!$E:$E,Sales!$C101,Investors!$O:$O,FALSE))*$F101)</f>
        <v/>
      </c>
      <c r="S101" s="10">
        <f>IF(T101=FALSE,Q101-R101,+V101)</f>
        <v/>
      </c>
      <c r="T101" s="3">
        <f>IF(SUMIFS('Cashflow Projection'!$E$119:$E$151,'Cashflow Projection'!$D$119:$D$151,Sales!C101)&lt;&gt;0,TRUE,FALSE)</f>
        <v/>
      </c>
      <c r="U101" s="4" t="n">
        <v>45747</v>
      </c>
      <c r="V101" s="10" t="n">
        <v>-83085.29246575362</v>
      </c>
      <c r="W101" s="11">
        <f>IF(SUMIFS('Cashflow Projection'!$E$119:$E$151,'Cashflow Projection'!$D$119:$D$151,Sales!C101)=1,SUMIFS('Cashflow Projection'!$C$119:$C$151,'Cashflow Projection'!$D$119:$D$151,Sales!C101),+Sales!H101)</f>
        <v/>
      </c>
      <c r="X101" s="11">
        <f>IF(MOD(MONTH(W101), 2) &lt;&gt; 0, EOMONTH(W101, 2), EOMONTH(W101, 1))</f>
        <v/>
      </c>
      <c r="Y101" s="11">
        <f>EOMONTH(X101,1)</f>
        <v/>
      </c>
      <c r="Z101" t="b">
        <v>0</v>
      </c>
    </row>
    <row r="102">
      <c r="A102" s="3" t="inlineStr">
        <is>
          <t>Heron View</t>
        </is>
      </c>
      <c r="B102" s="3" t="inlineStr">
        <is>
          <t>F</t>
        </is>
      </c>
      <c r="C102" s="3" t="inlineStr">
        <is>
          <t>HVF103</t>
        </is>
      </c>
      <c r="D102" s="3" t="b">
        <v>0</v>
      </c>
      <c r="E102" s="3" t="b">
        <v>0</v>
      </c>
      <c r="F102" s="3">
        <f>IF(OR(Z102=TRUE,SUMIFS('Cashflow Projection'!$E$119:$E$151,'Cashflow Projection'!$D$119:$D$151,Sales!C102)=1),0,SUMIFS('Cashflow Projection'!$C$7:$C$23,'Cashflow Projection'!$B$7:$B$23,Sales!B102,'Cashflow Projection'!$A$7:$A$23,Sales!A102))</f>
        <v/>
      </c>
      <c r="G102" s="4" t="n">
        <v>45517</v>
      </c>
      <c r="H102" s="4" t="n">
        <v>45722</v>
      </c>
      <c r="I102" s="3" t="n">
        <v>1619900</v>
      </c>
      <c r="J102" s="3" t="n">
        <v>211291.3043478261</v>
      </c>
      <c r="K102" s="3" t="n">
        <v>1408608.695652174</v>
      </c>
      <c r="L102" s="3" t="n">
        <v>18502.08</v>
      </c>
      <c r="M102" s="3" t="n">
        <v>1789</v>
      </c>
      <c r="N102" s="3" t="n">
        <v>8099.5</v>
      </c>
      <c r="O102" s="3" t="n">
        <v>80995</v>
      </c>
      <c r="P102" s="3" t="n">
        <v>19224.37</v>
      </c>
      <c r="Q102" s="9">
        <f>K102-SUM(L102:P102)</f>
        <v/>
      </c>
      <c r="R102" s="10">
        <f>IF($F102=1,((SUMIFS(Investors!$M:$M,Investors!$E:$E,Sales!$C102,Investors!$O:$O,FALSE)+SUMIFS(Investors!$S:$S,Investors!$E:$E,Sales!$C102,Investors!$O:$O,FALSE))*$F102)-SUMIFS('Investor Exit List'!$Q:$Q,'Investor Exit List'!$Y:$Y,1,'Investor Exit List'!$Z:$Z,"Release",'Investor Exit List'!$C:$C,Sales!$C102),(SUMIFS(Investors!$M:$M,Investors!$E:$E,Sales!$C102,Investors!$O:$O,FALSE)+SUMIFS(Investors!$S:$S,Investors!$E:$E,Sales!$C102,Investors!$O:$O,FALSE))*$F102)</f>
        <v/>
      </c>
      <c r="S102" s="10">
        <f>IF(T102=FALSE,Q102-R102,+V102)</f>
        <v/>
      </c>
      <c r="T102" s="3">
        <f>IF(SUMIFS('Cashflow Projection'!$E$119:$E$151,'Cashflow Projection'!$D$119:$D$151,Sales!C102)&lt;&gt;0,TRUE,FALSE)</f>
        <v/>
      </c>
      <c r="U102" s="4" t="n">
        <v>45808</v>
      </c>
      <c r="V102" s="10" t="n">
        <v>413041.4087967121</v>
      </c>
      <c r="W102" s="11">
        <f>IF(SUMIFS('Cashflow Projection'!$E$119:$E$151,'Cashflow Projection'!$D$119:$D$151,Sales!C102)=1,SUMIFS('Cashflow Projection'!$C$119:$C$151,'Cashflow Projection'!$D$119:$D$151,Sales!C102),+Sales!H102)</f>
        <v/>
      </c>
      <c r="X102" s="11">
        <f>IF(MOD(MONTH(W102), 2) &lt;&gt; 0, EOMONTH(W102, 2), EOMONTH(W102, 1))</f>
        <v/>
      </c>
      <c r="Y102" s="11">
        <f>EOMONTH(X102,1)</f>
        <v/>
      </c>
      <c r="Z102" t="b">
        <v>0</v>
      </c>
    </row>
    <row r="103">
      <c r="A103" s="3" t="inlineStr">
        <is>
          <t>Heron View</t>
        </is>
      </c>
      <c r="B103" s="3" t="inlineStr">
        <is>
          <t>K</t>
        </is>
      </c>
      <c r="C103" s="3" t="inlineStr">
        <is>
          <t>HVK303</t>
        </is>
      </c>
      <c r="D103" s="3" t="b">
        <v>0</v>
      </c>
      <c r="E103" s="3" t="b">
        <v>0</v>
      </c>
      <c r="F103" s="3">
        <f>IF(OR(Z103=TRUE,SUMIFS('Cashflow Projection'!$E$119:$E$151,'Cashflow Projection'!$D$119:$D$151,Sales!C103)=1),0,SUMIFS('Cashflow Projection'!$C$7:$C$23,'Cashflow Projection'!$B$7:$B$23,Sales!B103,'Cashflow Projection'!$A$7:$A$23,Sales!A103))</f>
        <v/>
      </c>
      <c r="G103" s="4" t="n">
        <v>45510</v>
      </c>
      <c r="H103" s="4" t="n">
        <v>45625</v>
      </c>
      <c r="I103" s="3" t="n">
        <v>1729900</v>
      </c>
      <c r="J103" s="3" t="n">
        <v>225639.1304347826</v>
      </c>
      <c r="K103" s="3" t="n">
        <v>1504260.869565218</v>
      </c>
      <c r="L103" s="3" t="n">
        <v>18502.08</v>
      </c>
      <c r="M103" s="3" t="n">
        <v>1789</v>
      </c>
      <c r="N103" s="3" t="n">
        <v>8649.5</v>
      </c>
      <c r="O103" s="3" t="n">
        <v>86495</v>
      </c>
      <c r="P103" s="3" t="n">
        <v>19224.37</v>
      </c>
      <c r="Q103" s="9">
        <f>K103-SUM(L103:P103)</f>
        <v/>
      </c>
      <c r="R103" s="10">
        <f>IF($F103=1,((SUMIFS(Investors!$M:$M,Investors!$E:$E,Sales!$C103,Investors!$O:$O,FALSE)+SUMIFS(Investors!$S:$S,Investors!$E:$E,Sales!$C103,Investors!$O:$O,FALSE))*$F103)-SUMIFS('Investor Exit List'!$Q:$Q,'Investor Exit List'!$Y:$Y,1,'Investor Exit List'!$Z:$Z,"Release",'Investor Exit List'!$C:$C,Sales!$C103),(SUMIFS(Investors!$M:$M,Investors!$E:$E,Sales!$C103,Investors!$O:$O,FALSE)+SUMIFS(Investors!$S:$S,Investors!$E:$E,Sales!$C103,Investors!$O:$O,FALSE))*$F103)</f>
        <v/>
      </c>
      <c r="S103" s="10">
        <f>IF(T103=FALSE,Q103-R103,+V103)</f>
        <v/>
      </c>
      <c r="T103" s="3">
        <f>IF(SUMIFS('Cashflow Projection'!$E$119:$E$151,'Cashflow Projection'!$D$119:$D$151,Sales!C103)&lt;&gt;0,TRUE,FALSE)</f>
        <v/>
      </c>
      <c r="U103" s="4" t="n">
        <v>45688</v>
      </c>
      <c r="V103" s="10" t="n">
        <v>186082.2551719176</v>
      </c>
      <c r="W103" s="11">
        <f>IF(SUMIFS('Cashflow Projection'!$E$119:$E$151,'Cashflow Projection'!$D$119:$D$151,Sales!C103)=1,SUMIFS('Cashflow Projection'!$C$119:$C$151,'Cashflow Projection'!$D$119:$D$151,Sales!C103),+Sales!H103)</f>
        <v/>
      </c>
      <c r="X103" s="11">
        <f>IF(MOD(MONTH(W103), 2) &lt;&gt; 0, EOMONTH(W103, 2), EOMONTH(W103, 1))</f>
        <v/>
      </c>
      <c r="Y103" s="11">
        <f>EOMONTH(X103,1)</f>
        <v/>
      </c>
      <c r="Z103" t="b">
        <v>0</v>
      </c>
    </row>
    <row r="104">
      <c r="A104" s="3" t="inlineStr">
        <is>
          <t>Heron View</t>
        </is>
      </c>
      <c r="B104" s="3" t="inlineStr">
        <is>
          <t>C</t>
        </is>
      </c>
      <c r="C104" s="3" t="inlineStr">
        <is>
          <t>HVC202</t>
        </is>
      </c>
      <c r="D104" s="3" t="b">
        <v>0</v>
      </c>
      <c r="E104" s="3" t="b">
        <v>0</v>
      </c>
      <c r="F104" s="3">
        <f>IF(OR(Z104=TRUE,SUMIFS('Cashflow Projection'!$E$119:$E$151,'Cashflow Projection'!$D$119:$D$151,Sales!C104)=1),0,SUMIFS('Cashflow Projection'!$C$7:$C$23,'Cashflow Projection'!$B$7:$B$23,Sales!B104,'Cashflow Projection'!$A$7:$A$23,Sales!A104))</f>
        <v/>
      </c>
      <c r="G104" s="4" t="n">
        <v>45485</v>
      </c>
      <c r="H104" s="4" t="n">
        <v>45646</v>
      </c>
      <c r="I104" s="3" t="n">
        <v>1499900</v>
      </c>
      <c r="J104" s="3" t="n">
        <v>195639.1304347826</v>
      </c>
      <c r="K104" s="3" t="n">
        <v>1304260.869565218</v>
      </c>
      <c r="L104" s="3" t="n">
        <v>18502.08</v>
      </c>
      <c r="M104" s="3" t="n">
        <v>1789</v>
      </c>
      <c r="N104" s="3" t="n">
        <v>7499.5</v>
      </c>
      <c r="O104" s="3" t="n">
        <v>74995</v>
      </c>
      <c r="P104" s="3" t="n">
        <v>19224.37</v>
      </c>
      <c r="Q104" s="9">
        <f>K104-SUM(L104:P104)</f>
        <v/>
      </c>
      <c r="R104" s="10">
        <f>IF($F104=1,((SUMIFS(Investors!$M:$M,Investors!$E:$E,Sales!$C104,Investors!$O:$O,FALSE)+SUMIFS(Investors!$S:$S,Investors!$E:$E,Sales!$C104,Investors!$O:$O,FALSE))*$F104)-SUMIFS('Investor Exit List'!$Q:$Q,'Investor Exit List'!$Y:$Y,1,'Investor Exit List'!$Z:$Z,"Release",'Investor Exit List'!$C:$C,Sales!$C104),(SUMIFS(Investors!$M:$M,Investors!$E:$E,Sales!$C104,Investors!$O:$O,FALSE)+SUMIFS(Investors!$S:$S,Investors!$E:$E,Sales!$C104,Investors!$O:$O,FALSE))*$F104)</f>
        <v/>
      </c>
      <c r="S104" s="10">
        <f>IF(T104=FALSE,Q104-R104,+V104)</f>
        <v/>
      </c>
      <c r="T104" s="3">
        <f>IF(SUMIFS('Cashflow Projection'!$E$119:$E$151,'Cashflow Projection'!$D$119:$D$151,Sales!C104)&lt;&gt;0,TRUE,FALSE)</f>
        <v/>
      </c>
      <c r="U104" s="4" t="n">
        <v>45688</v>
      </c>
      <c r="V104" s="10" t="n">
        <v>-1138.032191781094</v>
      </c>
      <c r="W104" s="11">
        <f>IF(SUMIFS('Cashflow Projection'!$E$119:$E$151,'Cashflow Projection'!$D$119:$D$151,Sales!C104)=1,SUMIFS('Cashflow Projection'!$C$119:$C$151,'Cashflow Projection'!$D$119:$D$151,Sales!C104),+Sales!H104)</f>
        <v/>
      </c>
      <c r="X104" s="11">
        <f>IF(MOD(MONTH(W104), 2) &lt;&gt; 0, EOMONTH(W104, 2), EOMONTH(W104, 1))</f>
        <v/>
      </c>
      <c r="Y104" s="11">
        <f>EOMONTH(X104,1)</f>
        <v/>
      </c>
      <c r="Z104" t="b">
        <v>0</v>
      </c>
    </row>
    <row r="105">
      <c r="A105" s="3" t="inlineStr">
        <is>
          <t>Heron View</t>
        </is>
      </c>
      <c r="B105" s="3" t="inlineStr">
        <is>
          <t>L</t>
        </is>
      </c>
      <c r="C105" s="3" t="inlineStr">
        <is>
          <t>HVL102</t>
        </is>
      </c>
      <c r="D105" s="3" t="b">
        <v>0</v>
      </c>
      <c r="E105" s="3" t="b">
        <v>0</v>
      </c>
      <c r="F105" s="3">
        <f>IF(OR(Z105=TRUE,SUMIFS('Cashflow Projection'!$E$119:$E$151,'Cashflow Projection'!$D$119:$D$151,Sales!C105)=1),0,SUMIFS('Cashflow Projection'!$C$7:$C$23,'Cashflow Projection'!$B$7:$B$23,Sales!B105,'Cashflow Projection'!$A$7:$A$23,Sales!A105))</f>
        <v/>
      </c>
      <c r="G105" s="4" t="n">
        <v>45499</v>
      </c>
      <c r="H105" s="4" t="n">
        <v>45716</v>
      </c>
      <c r="I105" s="3" t="n">
        <v>1499900</v>
      </c>
      <c r="J105" s="3" t="n">
        <v>195639.1304347826</v>
      </c>
      <c r="K105" s="3" t="n">
        <v>1304260.869565218</v>
      </c>
      <c r="L105" s="3" t="n">
        <v>18502.08</v>
      </c>
      <c r="M105" s="3" t="n">
        <v>1789</v>
      </c>
      <c r="N105" s="3" t="n">
        <v>7499.5</v>
      </c>
      <c r="O105" s="3" t="n">
        <v>74995</v>
      </c>
      <c r="P105" s="3" t="n">
        <v>19224.37</v>
      </c>
      <c r="Q105" s="9">
        <f>K105-SUM(L105:P105)</f>
        <v/>
      </c>
      <c r="R105" s="10">
        <f>IF($F105=1,((SUMIFS(Investors!$M:$M,Investors!$E:$E,Sales!$C105,Investors!$O:$O,FALSE)+SUMIFS(Investors!$S:$S,Investors!$E:$E,Sales!$C105,Investors!$O:$O,FALSE))*$F105)-SUMIFS('Investor Exit List'!$Q:$Q,'Investor Exit List'!$Y:$Y,1,'Investor Exit List'!$Z:$Z,"Release",'Investor Exit List'!$C:$C,Sales!$C105),(SUMIFS(Investors!$M:$M,Investors!$E:$E,Sales!$C105,Investors!$O:$O,FALSE)+SUMIFS(Investors!$S:$S,Investors!$E:$E,Sales!$C105,Investors!$O:$O,FALSE))*$F105)</f>
        <v/>
      </c>
      <c r="S105" s="10">
        <f>IF(T105=FALSE,Q105-R105,+V105)</f>
        <v/>
      </c>
      <c r="T105" s="3">
        <f>IF(SUMIFS('Cashflow Projection'!$E$119:$E$151,'Cashflow Projection'!$D$119:$D$151,Sales!C105)&lt;&gt;0,TRUE,FALSE)</f>
        <v/>
      </c>
      <c r="U105" s="4" t="n">
        <v>45747</v>
      </c>
      <c r="V105" s="10" t="n">
        <v>155102.378767123</v>
      </c>
      <c r="W105" s="11">
        <f>IF(SUMIFS('Cashflow Projection'!$E$119:$E$151,'Cashflow Projection'!$D$119:$D$151,Sales!C105)=1,SUMIFS('Cashflow Projection'!$C$119:$C$151,'Cashflow Projection'!$D$119:$D$151,Sales!C105),+Sales!H105)</f>
        <v/>
      </c>
      <c r="X105" s="11">
        <f>IF(MOD(MONTH(W105), 2) &lt;&gt; 0, EOMONTH(W105, 2), EOMONTH(W105, 1))</f>
        <v/>
      </c>
      <c r="Y105" s="11">
        <f>EOMONTH(X105,1)</f>
        <v/>
      </c>
      <c r="Z105" t="b">
        <v>0</v>
      </c>
    </row>
    <row r="106">
      <c r="A106" s="3" t="inlineStr">
        <is>
          <t>Heron View</t>
        </is>
      </c>
      <c r="B106" s="3" t="inlineStr">
        <is>
          <t>O</t>
        </is>
      </c>
      <c r="C106" s="3" t="inlineStr">
        <is>
          <t>HVO101</t>
        </is>
      </c>
      <c r="D106" s="3" t="b">
        <v>1</v>
      </c>
      <c r="E106" s="3" t="b">
        <v>0</v>
      </c>
      <c r="F106" s="3">
        <f>IF(OR(Z106=TRUE,SUMIFS('Cashflow Projection'!$E$119:$E$151,'Cashflow Projection'!$D$119:$D$151,Sales!C106)=1),0,SUMIFS('Cashflow Projection'!$C$7:$C$23,'Cashflow Projection'!$B$7:$B$23,Sales!B106,'Cashflow Projection'!$A$7:$A$23,Sales!A106))</f>
        <v/>
      </c>
      <c r="G106" s="4" t="n">
        <v>45518</v>
      </c>
      <c r="H106" s="4" t="n">
        <v>45518</v>
      </c>
      <c r="I106" s="3" t="n">
        <v>1679900</v>
      </c>
      <c r="J106" s="3" t="n">
        <v>219117.3913043478</v>
      </c>
      <c r="K106" s="3" t="n">
        <v>1460782.608695652</v>
      </c>
      <c r="L106" s="3" t="n">
        <v>18502.08</v>
      </c>
      <c r="M106" s="3" t="n">
        <v>1789</v>
      </c>
      <c r="N106" s="3" t="n">
        <v>8399.5</v>
      </c>
      <c r="O106" s="3" t="n">
        <v>83995</v>
      </c>
      <c r="P106" s="3" t="n">
        <v>19224.37</v>
      </c>
      <c r="Q106" s="9">
        <f>K106-SUM(L106:P106)</f>
        <v/>
      </c>
      <c r="R106" s="10">
        <f>IF($F106=1,((SUMIFS(Investors!$M:$M,Investors!$E:$E,Sales!$C106,Investors!$O:$O,FALSE)+SUMIFS(Investors!$S:$S,Investors!$E:$E,Sales!$C106,Investors!$O:$O,FALSE))*$F106)-SUMIFS('Investor Exit List'!$Q:$Q,'Investor Exit List'!$Y:$Y,1,'Investor Exit List'!$Z:$Z,"Release",'Investor Exit List'!$C:$C,Sales!$C106),(SUMIFS(Investors!$M:$M,Investors!$E:$E,Sales!$C106,Investors!$O:$O,FALSE)+SUMIFS(Investors!$S:$S,Investors!$E:$E,Sales!$C106,Investors!$O:$O,FALSE))*$F106)</f>
        <v/>
      </c>
      <c r="S106" s="10">
        <f>IF(T106=FALSE,Q106-R106,+V106)</f>
        <v/>
      </c>
      <c r="T106" s="3">
        <f>IF(SUMIFS('Cashflow Projection'!$E$119:$E$151,'Cashflow Projection'!$D$119:$D$151,Sales!C106)&lt;&gt;0,TRUE,FALSE)</f>
        <v/>
      </c>
      <c r="U106" s="4" t="n">
        <v>45565</v>
      </c>
      <c r="V106" s="10" t="n">
        <v>177320.0485332874</v>
      </c>
      <c r="W106" s="11">
        <f>IF(SUMIFS('Cashflow Projection'!$E$119:$E$151,'Cashflow Projection'!$D$119:$D$151,Sales!C106)=1,SUMIFS('Cashflow Projection'!$C$119:$C$151,'Cashflow Projection'!$D$119:$D$151,Sales!C106),+Sales!H106)</f>
        <v/>
      </c>
      <c r="X106" s="11">
        <f>IF(MOD(MONTH(W106), 2) &lt;&gt; 0, EOMONTH(W106, 2), EOMONTH(W106, 1))</f>
        <v/>
      </c>
      <c r="Y106" s="11">
        <f>EOMONTH(X106,1)</f>
        <v/>
      </c>
      <c r="Z106" t="b">
        <v>0</v>
      </c>
    </row>
    <row r="107">
      <c r="A107" s="3" t="inlineStr">
        <is>
          <t>Heron View</t>
        </is>
      </c>
      <c r="B107" s="3" t="inlineStr">
        <is>
          <t>P</t>
        </is>
      </c>
      <c r="C107" s="3" t="inlineStr">
        <is>
          <t>HVP202</t>
        </is>
      </c>
      <c r="D107" s="3" t="b">
        <v>1</v>
      </c>
      <c r="E107" s="3" t="b">
        <v>1</v>
      </c>
      <c r="F107" s="3">
        <f>IF(OR(Z107=TRUE,SUMIFS('Cashflow Projection'!$E$119:$E$151,'Cashflow Projection'!$D$119:$D$151,Sales!C107)=1),0,SUMIFS('Cashflow Projection'!$C$7:$C$23,'Cashflow Projection'!$B$7:$B$23,Sales!B107,'Cashflow Projection'!$A$7:$A$23,Sales!A107))</f>
        <v/>
      </c>
      <c r="G107" s="4" t="n">
        <v>45191</v>
      </c>
      <c r="H107" s="4" t="n">
        <v>45688</v>
      </c>
      <c r="I107" s="3" t="n">
        <v>1769900</v>
      </c>
      <c r="J107" s="3" t="n">
        <v>230856.5217391304</v>
      </c>
      <c r="K107" s="3" t="n">
        <v>1539043.47826087</v>
      </c>
      <c r="L107" s="3" t="n">
        <v>18502.08</v>
      </c>
      <c r="M107" s="3" t="n">
        <v>1789</v>
      </c>
      <c r="N107" s="3" t="n">
        <v>8849.5</v>
      </c>
      <c r="O107" s="3" t="n">
        <v>88495</v>
      </c>
      <c r="P107" s="3" t="n">
        <v>19224.37</v>
      </c>
      <c r="Q107" s="9">
        <f>K107-SUM(L107:P107)</f>
        <v/>
      </c>
      <c r="R107" s="10">
        <f>IF($F107=1,((SUMIFS(Investors!$M:$M,Investors!$E:$E,Sales!$C107,Investors!$O:$O,FALSE)+SUMIFS(Investors!$S:$S,Investors!$E:$E,Sales!$C107,Investors!$O:$O,FALSE))*$F107)-SUMIFS('Investor Exit List'!$Q:$Q,'Investor Exit List'!$Y:$Y,1,'Investor Exit List'!$Z:$Z,"Release",'Investor Exit List'!$C:$C,Sales!$C107),(SUMIFS(Investors!$M:$M,Investors!$E:$E,Sales!$C107,Investors!$O:$O,FALSE)+SUMIFS(Investors!$S:$S,Investors!$E:$E,Sales!$C107,Investors!$O:$O,FALSE))*$F107)</f>
        <v/>
      </c>
      <c r="S107" s="10">
        <f>IF(T107=FALSE,Q107-R107,+V107)</f>
        <v/>
      </c>
      <c r="T107" s="3">
        <f>IF(SUMIFS('Cashflow Projection'!$E$119:$E$151,'Cashflow Projection'!$D$119:$D$151,Sales!C107)&lt;&gt;0,TRUE,FALSE)</f>
        <v/>
      </c>
      <c r="U107" s="4" t="n">
        <v>45747</v>
      </c>
      <c r="V107" s="10" t="n">
        <v>438716.0773972599</v>
      </c>
      <c r="W107" s="11">
        <f>IF(SUMIFS('Cashflow Projection'!$E$119:$E$151,'Cashflow Projection'!$D$119:$D$151,Sales!C107)=1,SUMIFS('Cashflow Projection'!$C$119:$C$151,'Cashflow Projection'!$D$119:$D$151,Sales!C107),+Sales!H107)</f>
        <v/>
      </c>
      <c r="X107" s="11">
        <f>IF(MOD(MONTH(W107), 2) &lt;&gt; 0, EOMONTH(W107, 2), EOMONTH(W107, 1))</f>
        <v/>
      </c>
      <c r="Y107" s="11">
        <f>EOMONTH(X107,1)</f>
        <v/>
      </c>
      <c r="Z107" t="b">
        <v>0</v>
      </c>
    </row>
    <row r="108">
      <c r="A108" s="3" t="inlineStr">
        <is>
          <t>Heron View</t>
        </is>
      </c>
      <c r="B108" s="3" t="inlineStr">
        <is>
          <t>G</t>
        </is>
      </c>
      <c r="C108" s="3" t="inlineStr">
        <is>
          <t>HVG302</t>
        </is>
      </c>
      <c r="D108" s="3" t="b">
        <v>0</v>
      </c>
      <c r="E108" s="3" t="b">
        <v>0</v>
      </c>
      <c r="F108" s="3">
        <f>IF(OR(Z108=TRUE,SUMIFS('Cashflow Projection'!$E$119:$E$151,'Cashflow Projection'!$D$119:$D$151,Sales!C108)=1),0,SUMIFS('Cashflow Projection'!$C$7:$C$23,'Cashflow Projection'!$B$7:$B$23,Sales!B108,'Cashflow Projection'!$A$7:$A$23,Sales!A108))</f>
        <v/>
      </c>
      <c r="G108" s="4" t="n">
        <v>45523</v>
      </c>
      <c r="H108" s="4" t="n">
        <v>45532</v>
      </c>
      <c r="I108" s="3" t="n">
        <v>1499900</v>
      </c>
      <c r="J108" s="3" t="n">
        <v>195639.1304347826</v>
      </c>
      <c r="K108" s="3" t="n">
        <v>1304260.869565218</v>
      </c>
      <c r="L108" s="3" t="n">
        <v>18502.08</v>
      </c>
      <c r="M108" s="3" t="n">
        <v>1789</v>
      </c>
      <c r="N108" s="3" t="n">
        <v>7499.5</v>
      </c>
      <c r="O108" s="3" t="n">
        <v>74995</v>
      </c>
      <c r="P108" s="3" t="n">
        <v>19224.37</v>
      </c>
      <c r="Q108" s="9">
        <f>K108-SUM(L108:P108)</f>
        <v/>
      </c>
      <c r="R108" s="10">
        <f>IF($F108=1,((SUMIFS(Investors!$M:$M,Investors!$E:$E,Sales!$C108,Investors!$O:$O,FALSE)+SUMIFS(Investors!$S:$S,Investors!$E:$E,Sales!$C108,Investors!$O:$O,FALSE))*$F108)-SUMIFS('Investor Exit List'!$Q:$Q,'Investor Exit List'!$Y:$Y,1,'Investor Exit List'!$Z:$Z,"Release",'Investor Exit List'!$C:$C,Sales!$C108),(SUMIFS(Investors!$M:$M,Investors!$E:$E,Sales!$C108,Investors!$O:$O,FALSE)+SUMIFS(Investors!$S:$S,Investors!$E:$E,Sales!$C108,Investors!$O:$O,FALSE))*$F108)</f>
        <v/>
      </c>
      <c r="S108" s="10">
        <f>IF(T108=FALSE,Q108-R108,+V108)</f>
        <v/>
      </c>
      <c r="T108" s="3">
        <f>IF(SUMIFS('Cashflow Projection'!$E$119:$E$151,'Cashflow Projection'!$D$119:$D$151,Sales!C108)&lt;&gt;0,TRUE,FALSE)</f>
        <v/>
      </c>
      <c r="U108" s="4" t="n">
        <v>45565</v>
      </c>
      <c r="V108" s="10" t="n">
        <v>94628.86760397255</v>
      </c>
      <c r="W108" s="11">
        <f>IF(SUMIFS('Cashflow Projection'!$E$119:$E$151,'Cashflow Projection'!$D$119:$D$151,Sales!C108)=1,SUMIFS('Cashflow Projection'!$C$119:$C$151,'Cashflow Projection'!$D$119:$D$151,Sales!C108),+Sales!H108)</f>
        <v/>
      </c>
      <c r="X108" s="11">
        <f>IF(MOD(MONTH(W108), 2) &lt;&gt; 0, EOMONTH(W108, 2), EOMONTH(W108, 1))</f>
        <v/>
      </c>
      <c r="Y108" s="11">
        <f>EOMONTH(X108,1)</f>
        <v/>
      </c>
      <c r="Z108" t="b">
        <v>0</v>
      </c>
    </row>
    <row r="109">
      <c r="A109" s="3" t="inlineStr">
        <is>
          <t>Heron View</t>
        </is>
      </c>
      <c r="B109" s="3" t="inlineStr">
        <is>
          <t>K</t>
        </is>
      </c>
      <c r="C109" s="3" t="inlineStr">
        <is>
          <t>HVK104</t>
        </is>
      </c>
      <c r="D109" s="3" t="b">
        <v>0</v>
      </c>
      <c r="E109" s="3" t="b">
        <v>0</v>
      </c>
      <c r="F109" s="3">
        <f>IF(OR(Z109=TRUE,SUMIFS('Cashflow Projection'!$E$119:$E$151,'Cashflow Projection'!$D$119:$D$151,Sales!C109)=1),0,SUMIFS('Cashflow Projection'!$C$7:$C$23,'Cashflow Projection'!$B$7:$B$23,Sales!B109,'Cashflow Projection'!$A$7:$A$23,Sales!A109))</f>
        <v/>
      </c>
      <c r="G109" s="4" t="n">
        <v>45510</v>
      </c>
      <c r="H109" s="4" t="n">
        <v>45625</v>
      </c>
      <c r="I109" s="3" t="n">
        <v>1739900</v>
      </c>
      <c r="J109" s="3" t="n">
        <v>226943.4782608696</v>
      </c>
      <c r="K109" s="3" t="n">
        <v>1512956.521739131</v>
      </c>
      <c r="L109" s="3" t="n">
        <v>18502.08</v>
      </c>
      <c r="M109" s="3" t="n">
        <v>1789</v>
      </c>
      <c r="N109" s="3" t="n">
        <v>8699.5</v>
      </c>
      <c r="O109" s="3" t="n">
        <v>86995</v>
      </c>
      <c r="P109" s="3" t="n">
        <v>19224.37</v>
      </c>
      <c r="Q109" s="9">
        <f>K109-SUM(L109:P109)</f>
        <v/>
      </c>
      <c r="R109" s="10">
        <f>IF($F109=1,((SUMIFS(Investors!$M:$M,Investors!$E:$E,Sales!$C109,Investors!$O:$O,FALSE)+SUMIFS(Investors!$S:$S,Investors!$E:$E,Sales!$C109,Investors!$O:$O,FALSE))*$F109)-SUMIFS('Investor Exit List'!$Q:$Q,'Investor Exit List'!$Y:$Y,1,'Investor Exit List'!$Z:$Z,"Release",'Investor Exit List'!$C:$C,Sales!$C109),(SUMIFS(Investors!$M:$M,Investors!$E:$E,Sales!$C109,Investors!$O:$O,FALSE)+SUMIFS(Investors!$S:$S,Investors!$E:$E,Sales!$C109,Investors!$O:$O,FALSE))*$F109)</f>
        <v/>
      </c>
      <c r="S109" s="10">
        <f>IF(T109=FALSE,Q109-R109,+V109)</f>
        <v/>
      </c>
      <c r="T109" s="3">
        <f>IF(SUMIFS('Cashflow Projection'!$E$119:$E$151,'Cashflow Projection'!$D$119:$D$151,Sales!C109)&lt;&gt;0,TRUE,FALSE)</f>
        <v/>
      </c>
      <c r="U109" s="4" t="n">
        <v>45688</v>
      </c>
      <c r="V109" s="10" t="n">
        <v>223134.5705479449</v>
      </c>
      <c r="W109" s="11">
        <f>IF(SUMIFS('Cashflow Projection'!$E$119:$E$151,'Cashflow Projection'!$D$119:$D$151,Sales!C109)=1,SUMIFS('Cashflow Projection'!$C$119:$C$151,'Cashflow Projection'!$D$119:$D$151,Sales!C109),+Sales!H109)</f>
        <v/>
      </c>
      <c r="X109" s="11">
        <f>IF(MOD(MONTH(W109), 2) &lt;&gt; 0, EOMONTH(W109, 2), EOMONTH(W109, 1))</f>
        <v/>
      </c>
      <c r="Y109" s="11">
        <f>EOMONTH(X109,1)</f>
        <v/>
      </c>
      <c r="Z109" t="b">
        <v>0</v>
      </c>
    </row>
    <row r="110">
      <c r="A110" s="3" t="inlineStr">
        <is>
          <t>Endulini</t>
        </is>
      </c>
      <c r="B110" s="3" t="inlineStr">
        <is>
          <t>C</t>
        </is>
      </c>
      <c r="C110" s="3" t="inlineStr">
        <is>
          <t>EC202</t>
        </is>
      </c>
      <c r="D110" s="3" t="b">
        <v>1</v>
      </c>
      <c r="E110" s="3" t="b">
        <v>1</v>
      </c>
      <c r="F110" s="3">
        <f>IF(OR(Z110=TRUE,SUMIFS('Cashflow Projection'!$E$119:$E$151,'Cashflow Projection'!$D$119:$D$151,Sales!C110)=1),0,SUMIFS('Cashflow Projection'!$C$7:$C$23,'Cashflow Projection'!$B$7:$B$23,Sales!B110,'Cashflow Projection'!$A$7:$A$23,Sales!A110))</f>
        <v/>
      </c>
      <c r="G110" s="4" t="n">
        <v>45232</v>
      </c>
      <c r="H110" s="4" t="n">
        <v>45688</v>
      </c>
      <c r="I110" s="3" t="n">
        <v>1479900</v>
      </c>
      <c r="J110" s="3" t="n">
        <v>193030.4347826087</v>
      </c>
      <c r="K110" s="3" t="n">
        <v>1286869.565217391</v>
      </c>
      <c r="L110" s="3" t="n">
        <v>18502.08</v>
      </c>
      <c r="M110" s="3" t="n">
        <v>1789</v>
      </c>
      <c r="N110" s="3" t="n">
        <v>7399.5</v>
      </c>
      <c r="O110" s="3" t="n">
        <v>73995</v>
      </c>
      <c r="P110" s="3" t="n">
        <v>19224.37</v>
      </c>
      <c r="Q110" s="9">
        <f>K110-SUM(L110:P110)</f>
        <v/>
      </c>
      <c r="R110" s="10">
        <f>IF($F110=1,((SUMIFS(Investors!$M:$M,Investors!$E:$E,Sales!$C110,Investors!$O:$O,FALSE)+SUMIFS(Investors!$S:$S,Investors!$E:$E,Sales!$C110,Investors!$O:$O,FALSE))*$F110)-SUMIFS('Investor Exit List'!$Q:$Q,'Investor Exit List'!$Y:$Y,1,'Investor Exit List'!$Z:$Z,"Release",'Investor Exit List'!$C:$C,Sales!$C110),(SUMIFS(Investors!$M:$M,Investors!$E:$E,Sales!$C110,Investors!$O:$O,FALSE)+SUMIFS(Investors!$S:$S,Investors!$E:$E,Sales!$C110,Investors!$O:$O,FALSE))*$F110)</f>
        <v/>
      </c>
      <c r="S110" s="10">
        <f>IF(T110=FALSE,Q110-R110,+V110)</f>
        <v/>
      </c>
      <c r="T110" s="3">
        <f>IF(SUMIFS('Cashflow Projection'!$E$119:$E$151,'Cashflow Projection'!$D$119:$D$151,Sales!C110)&lt;&gt;0,TRUE,FALSE)</f>
        <v/>
      </c>
      <c r="U110" s="4" t="n">
        <v>45747</v>
      </c>
      <c r="V110" s="10" t="n">
        <v>43323.269178082</v>
      </c>
      <c r="W110" s="11">
        <f>IF(SUMIFS('Cashflow Projection'!$E$119:$E$151,'Cashflow Projection'!$D$119:$D$151,Sales!C110)=1,SUMIFS('Cashflow Projection'!$C$119:$C$151,'Cashflow Projection'!$D$119:$D$151,Sales!C110),+Sales!H110)</f>
        <v/>
      </c>
      <c r="X110" s="11">
        <f>IF(MOD(MONTH(W110), 2) &lt;&gt; 0, EOMONTH(W110, 2), EOMONTH(W110, 1))</f>
        <v/>
      </c>
      <c r="Y110" s="11">
        <f>EOMONTH(X110,1)</f>
        <v/>
      </c>
      <c r="Z110" t="b">
        <v>0</v>
      </c>
    </row>
    <row r="111">
      <c r="A111" s="3" t="inlineStr">
        <is>
          <t>Endulini</t>
        </is>
      </c>
      <c r="B111" s="3" t="inlineStr">
        <is>
          <t>D</t>
        </is>
      </c>
      <c r="C111" s="3" t="inlineStr">
        <is>
          <t>ED202</t>
        </is>
      </c>
      <c r="D111" s="3" t="b">
        <v>1</v>
      </c>
      <c r="E111" s="3" t="b">
        <v>1</v>
      </c>
      <c r="F111" s="3">
        <f>IF(OR(Z111=TRUE,SUMIFS('Cashflow Projection'!$E$119:$E$151,'Cashflow Projection'!$D$119:$D$151,Sales!C111)=1),0,SUMIFS('Cashflow Projection'!$C$7:$C$23,'Cashflow Projection'!$B$7:$B$23,Sales!B111,'Cashflow Projection'!$A$7:$A$23,Sales!A111))</f>
        <v/>
      </c>
      <c r="G111" s="4" t="n">
        <v>44701</v>
      </c>
      <c r="H111" s="4" t="n">
        <v>45688</v>
      </c>
      <c r="I111" s="3" t="n">
        <v>1249900</v>
      </c>
      <c r="J111" s="3" t="n">
        <v>163030.4347826087</v>
      </c>
      <c r="K111" s="3" t="n">
        <v>1086869.565217391</v>
      </c>
      <c r="L111" s="3" t="n">
        <v>18502.08</v>
      </c>
      <c r="M111" s="3" t="n">
        <v>1789</v>
      </c>
      <c r="N111" s="3" t="n">
        <v>6249.5</v>
      </c>
      <c r="O111" s="3" t="n">
        <v>62495</v>
      </c>
      <c r="P111" s="3" t="n">
        <v>19224.37</v>
      </c>
      <c r="Q111" s="9">
        <f>K111-SUM(L111:P111)</f>
        <v/>
      </c>
      <c r="R111" s="10">
        <f>IF($F111=1,((SUMIFS(Investors!$M:$M,Investors!$E:$E,Sales!$C111,Investors!$O:$O,FALSE)+SUMIFS(Investors!$S:$S,Investors!$E:$E,Sales!$C111,Investors!$O:$O,FALSE))*$F111)-SUMIFS('Investor Exit List'!$Q:$Q,'Investor Exit List'!$Y:$Y,1,'Investor Exit List'!$Z:$Z,"Release",'Investor Exit List'!$C:$C,Sales!$C111),(SUMIFS(Investors!$M:$M,Investors!$E:$E,Sales!$C111,Investors!$O:$O,FALSE)+SUMIFS(Investors!$S:$S,Investors!$E:$E,Sales!$C111,Investors!$O:$O,FALSE))*$F111)</f>
        <v/>
      </c>
      <c r="S111" s="10">
        <f>IF(T111=FALSE,Q111-R111,+V111)</f>
        <v/>
      </c>
      <c r="T111" s="3">
        <f>IF(SUMIFS('Cashflow Projection'!$E$119:$E$151,'Cashflow Projection'!$D$119:$D$151,Sales!C111)&lt;&gt;0,TRUE,FALSE)</f>
        <v/>
      </c>
      <c r="U111" s="4" t="n">
        <v>45747</v>
      </c>
      <c r="V111" s="10" t="n">
        <v>-139975.1432935616</v>
      </c>
      <c r="W111" s="11">
        <f>IF(SUMIFS('Cashflow Projection'!$E$119:$E$151,'Cashflow Projection'!$D$119:$D$151,Sales!C111)=1,SUMIFS('Cashflow Projection'!$C$119:$C$151,'Cashflow Projection'!$D$119:$D$151,Sales!C111),+Sales!H111)</f>
        <v/>
      </c>
      <c r="X111" s="11">
        <f>IF(MOD(MONTH(W111), 2) &lt;&gt; 0, EOMONTH(W111, 2), EOMONTH(W111, 1))</f>
        <v/>
      </c>
      <c r="Y111" s="11">
        <f>EOMONTH(X111,1)</f>
        <v/>
      </c>
      <c r="Z111" t="b">
        <v>0</v>
      </c>
    </row>
    <row r="112">
      <c r="A112" s="3" t="inlineStr">
        <is>
          <t>Endulini</t>
        </is>
      </c>
      <c r="B112" s="3" t="inlineStr">
        <is>
          <t>D</t>
        </is>
      </c>
      <c r="C112" s="3" t="inlineStr">
        <is>
          <t>ED201</t>
        </is>
      </c>
      <c r="D112" s="3" t="b">
        <v>1</v>
      </c>
      <c r="E112" s="3" t="b">
        <v>1</v>
      </c>
      <c r="F112" s="3">
        <f>IF(OR(Z112=TRUE,SUMIFS('Cashflow Projection'!$E$119:$E$151,'Cashflow Projection'!$D$119:$D$151,Sales!C112)=1),0,SUMIFS('Cashflow Projection'!$C$7:$C$23,'Cashflow Projection'!$B$7:$B$23,Sales!B112,'Cashflow Projection'!$A$7:$A$23,Sales!A112))</f>
        <v/>
      </c>
      <c r="G112" s="4" t="n">
        <v>44657</v>
      </c>
      <c r="H112" s="4" t="n">
        <v>45688</v>
      </c>
      <c r="I112" s="3" t="n">
        <v>1309900</v>
      </c>
      <c r="J112" s="3" t="n">
        <v>170856.5217391304</v>
      </c>
      <c r="K112" s="3" t="n">
        <v>1139043.47826087</v>
      </c>
      <c r="L112" s="3" t="n">
        <v>18502.08</v>
      </c>
      <c r="M112" s="3" t="n">
        <v>1789</v>
      </c>
      <c r="N112" s="3" t="n">
        <v>6549.5</v>
      </c>
      <c r="O112" s="3" t="n">
        <v>65495</v>
      </c>
      <c r="P112" s="3" t="n">
        <v>19224.37</v>
      </c>
      <c r="Q112" s="9">
        <f>K112-SUM(L112:P112)</f>
        <v/>
      </c>
      <c r="R112" s="10">
        <f>IF($F112=1,((SUMIFS(Investors!$M:$M,Investors!$E:$E,Sales!$C112,Investors!$O:$O,FALSE)+SUMIFS(Investors!$S:$S,Investors!$E:$E,Sales!$C112,Investors!$O:$O,FALSE))*$F112)-SUMIFS('Investor Exit List'!$Q:$Q,'Investor Exit List'!$Y:$Y,1,'Investor Exit List'!$Z:$Z,"Release",'Investor Exit List'!$C:$C,Sales!$C112),(SUMIFS(Investors!$M:$M,Investors!$E:$E,Sales!$C112,Investors!$O:$O,FALSE)+SUMIFS(Investors!$S:$S,Investors!$E:$E,Sales!$C112,Investors!$O:$O,FALSE))*$F112)</f>
        <v/>
      </c>
      <c r="S112" s="10">
        <f>IF(T112=FALSE,Q112-R112,+V112)</f>
        <v/>
      </c>
      <c r="T112" s="3">
        <f>IF(SUMIFS('Cashflow Projection'!$E$119:$E$151,'Cashflow Projection'!$D$119:$D$151,Sales!C112)&lt;&gt;0,TRUE,FALSE)</f>
        <v/>
      </c>
      <c r="U112" s="4" t="n">
        <v>45747</v>
      </c>
      <c r="V112" s="10" t="n">
        <v>121559.0433560272</v>
      </c>
      <c r="W112" s="11">
        <f>IF(SUMIFS('Cashflow Projection'!$E$119:$E$151,'Cashflow Projection'!$D$119:$D$151,Sales!C112)=1,SUMIFS('Cashflow Projection'!$C$119:$C$151,'Cashflow Projection'!$D$119:$D$151,Sales!C112),+Sales!H112)</f>
        <v/>
      </c>
      <c r="X112" s="11">
        <f>IF(MOD(MONTH(W112), 2) &lt;&gt; 0, EOMONTH(W112, 2), EOMONTH(W112, 1))</f>
        <v/>
      </c>
      <c r="Y112" s="11">
        <f>EOMONTH(X112,1)</f>
        <v/>
      </c>
      <c r="Z112" t="b">
        <v>0</v>
      </c>
    </row>
    <row r="113">
      <c r="A113" s="3" t="inlineStr">
        <is>
          <t>Heron Fields</t>
        </is>
      </c>
      <c r="B113" s="3" t="inlineStr">
        <is>
          <t>B</t>
        </is>
      </c>
      <c r="C113" s="3" t="inlineStr">
        <is>
          <t>HFB106</t>
        </is>
      </c>
      <c r="D113" s="3" t="b">
        <v>1</v>
      </c>
      <c r="E113" s="3" t="b">
        <v>1</v>
      </c>
      <c r="F113" s="3">
        <f>IF(OR(Z113=TRUE,SUMIFS('Cashflow Projection'!$E$119:$E$151,'Cashflow Projection'!$D$119:$D$151,Sales!C113)=1),0,SUMIFS('Cashflow Projection'!$C$7:$C$23,'Cashflow Projection'!$B$7:$B$23,Sales!B113,'Cashflow Projection'!$A$7:$A$23,Sales!A113))</f>
        <v/>
      </c>
      <c r="G113" s="4" t="n">
        <v>44956</v>
      </c>
      <c r="H113" s="4" t="n">
        <v>45688</v>
      </c>
      <c r="I113" s="3" t="n">
        <v>1529900</v>
      </c>
      <c r="J113" s="3" t="n">
        <v>199552.1739130435</v>
      </c>
      <c r="K113" s="3" t="n">
        <v>1330347.826086957</v>
      </c>
      <c r="L113" s="3" t="n">
        <v>18502.08</v>
      </c>
      <c r="M113" s="3" t="n">
        <v>1789</v>
      </c>
      <c r="N113" s="3" t="n">
        <v>7649.5</v>
      </c>
      <c r="O113" s="3" t="n">
        <v>76495</v>
      </c>
      <c r="P113" s="3" t="n">
        <v>19224.37</v>
      </c>
      <c r="Q113" s="9">
        <f>K113-SUM(L113:P113)</f>
        <v/>
      </c>
      <c r="R113" s="10">
        <f>IF($F113=1,((SUMIFS(Investors!$M:$M,Investors!$E:$E,Sales!$C113,Investors!$O:$O,FALSE)+SUMIFS(Investors!$S:$S,Investors!$E:$E,Sales!$C113,Investors!$O:$O,FALSE))*$F113)-SUMIFS('Investor Exit List'!$Q:$Q,'Investor Exit List'!$Y:$Y,1,'Investor Exit List'!$Z:$Z,"Release",'Investor Exit List'!$C:$C,Sales!$C113),(SUMIFS(Investors!$M:$M,Investors!$E:$E,Sales!$C113,Investors!$O:$O,FALSE)+SUMIFS(Investors!$S:$S,Investors!$E:$E,Sales!$C113,Investors!$O:$O,FALSE))*$F113)</f>
        <v/>
      </c>
      <c r="S113" s="10">
        <f>IF(T113=FALSE,Q113-R113,+V113)</f>
        <v/>
      </c>
      <c r="T113" s="3">
        <f>IF(SUMIFS('Cashflow Projection'!$E$119:$E$151,'Cashflow Projection'!$D$119:$D$151,Sales!C113)&lt;&gt;0,TRUE,FALSE)</f>
        <v/>
      </c>
      <c r="U113" s="4" t="n">
        <v>45747</v>
      </c>
      <c r="V113" s="10" t="n">
        <v>263192.1047945204</v>
      </c>
      <c r="W113" s="11">
        <f>IF(SUMIFS('Cashflow Projection'!$E$119:$E$151,'Cashflow Projection'!$D$119:$D$151,Sales!C113)=1,SUMIFS('Cashflow Projection'!$C$119:$C$151,'Cashflow Projection'!$D$119:$D$151,Sales!C113),+Sales!H113)</f>
        <v/>
      </c>
      <c r="X113" s="11">
        <f>IF(MOD(MONTH(W113), 2) &lt;&gt; 0, EOMONTH(W113, 2), EOMONTH(W113, 1))</f>
        <v/>
      </c>
      <c r="Y113" s="11">
        <f>EOMONTH(X113,1)</f>
        <v/>
      </c>
      <c r="Z113" t="b">
        <v>0</v>
      </c>
    </row>
    <row r="114">
      <c r="A114" s="3" t="inlineStr">
        <is>
          <t>Heron Fields</t>
        </is>
      </c>
      <c r="B114" s="3" t="inlineStr">
        <is>
          <t>B</t>
        </is>
      </c>
      <c r="C114" s="3" t="inlineStr">
        <is>
          <t>HFB213</t>
        </is>
      </c>
      <c r="D114" s="3" t="b">
        <v>0</v>
      </c>
      <c r="E114" s="3" t="b">
        <v>0</v>
      </c>
      <c r="F114" s="3">
        <f>IF(OR(Z114=TRUE,SUMIFS('Cashflow Projection'!$E$119:$E$151,'Cashflow Projection'!$D$119:$D$151,Sales!C114)=1),0,SUMIFS('Cashflow Projection'!$C$7:$C$23,'Cashflow Projection'!$B$7:$B$23,Sales!B114,'Cashflow Projection'!$A$7:$A$23,Sales!A114))</f>
        <v/>
      </c>
      <c r="G114" s="4" t="n">
        <v>45471</v>
      </c>
      <c r="H114" s="4" t="n">
        <v>45458</v>
      </c>
      <c r="I114" s="3" t="n">
        <v>1449900</v>
      </c>
      <c r="J114" s="3" t="n">
        <v>0</v>
      </c>
      <c r="K114" s="3" t="n">
        <v>1260782.608695652</v>
      </c>
      <c r="L114" s="3" t="n">
        <v>18502.08</v>
      </c>
      <c r="M114" s="3" t="n">
        <v>1789</v>
      </c>
      <c r="N114" s="3" t="n">
        <v>7249.5</v>
      </c>
      <c r="O114" s="3" t="n">
        <v>72495</v>
      </c>
      <c r="P114" s="3" t="n">
        <v>19224.37</v>
      </c>
      <c r="Q114" s="9">
        <f>K114-SUM(L114:P114)</f>
        <v/>
      </c>
      <c r="R114" s="10">
        <f>IF($F114=1,((SUMIFS(Investors!$M:$M,Investors!$E:$E,Sales!$C114,Investors!$O:$O,FALSE)+SUMIFS(Investors!$S:$S,Investors!$E:$E,Sales!$C114,Investors!$O:$O,FALSE))*$F114)-SUMIFS('Investor Exit List'!$Q:$Q,'Investor Exit List'!$Y:$Y,1,'Investor Exit List'!$Z:$Z,"Release",'Investor Exit List'!$C:$C,Sales!$C114),(SUMIFS(Investors!$M:$M,Investors!$E:$E,Sales!$C114,Investors!$O:$O,FALSE)+SUMIFS(Investors!$S:$S,Investors!$E:$E,Sales!$C114,Investors!$O:$O,FALSE))*$F114)</f>
        <v/>
      </c>
      <c r="S114" s="10">
        <f>IF(T114=FALSE,Q114-R114,+V114)</f>
        <v/>
      </c>
      <c r="T114" s="3">
        <f>IF(SUMIFS('Cashflow Projection'!$E$119:$E$151,'Cashflow Projection'!$D$119:$D$151,Sales!C114)&lt;&gt;0,TRUE,FALSE)</f>
        <v/>
      </c>
      <c r="U114" s="4" t="n">
        <v>45504</v>
      </c>
      <c r="V114" s="10" t="n">
        <v>892400</v>
      </c>
      <c r="W114" s="11">
        <f>IF(SUMIFS('Cashflow Projection'!$E$119:$E$151,'Cashflow Projection'!$D$119:$D$151,Sales!C114)=1,SUMIFS('Cashflow Projection'!$C$119:$C$151,'Cashflow Projection'!$D$119:$D$151,Sales!C114),+Sales!H114)</f>
        <v/>
      </c>
      <c r="X114" s="11">
        <f>IF(MOD(MONTH(W114), 2) &lt;&gt; 0, EOMONTH(W114, 2), EOMONTH(W114, 1))</f>
        <v/>
      </c>
      <c r="Y114" s="11">
        <f>EOMONTH(X114,1)</f>
        <v/>
      </c>
      <c r="Z114" t="b">
        <v>0</v>
      </c>
    </row>
    <row r="115">
      <c r="A115" s="3" t="inlineStr">
        <is>
          <t>Heron Fields</t>
        </is>
      </c>
      <c r="B115" s="3" t="inlineStr">
        <is>
          <t>B</t>
        </is>
      </c>
      <c r="C115" s="3" t="inlineStr">
        <is>
          <t>HFB310</t>
        </is>
      </c>
      <c r="D115" s="3" t="b">
        <v>1</v>
      </c>
      <c r="E115" s="3" t="b">
        <v>1</v>
      </c>
      <c r="F115" s="3">
        <f>IF(OR(Z115=TRUE,SUMIFS('Cashflow Projection'!$E$119:$E$151,'Cashflow Projection'!$D$119:$D$151,Sales!C115)=1),0,SUMIFS('Cashflow Projection'!$C$7:$C$23,'Cashflow Projection'!$B$7:$B$23,Sales!B115,'Cashflow Projection'!$A$7:$A$23,Sales!A115))</f>
        <v/>
      </c>
      <c r="G115" s="4" t="n">
        <v>45014</v>
      </c>
      <c r="H115" s="4" t="n">
        <v>45688</v>
      </c>
      <c r="I115" s="3" t="n">
        <v>1449900</v>
      </c>
      <c r="J115" s="3" t="n">
        <v>189117.3913043478</v>
      </c>
      <c r="K115" s="3" t="n">
        <v>1260782.608695652</v>
      </c>
      <c r="L115" s="3" t="n">
        <v>18502.08</v>
      </c>
      <c r="M115" s="3" t="n">
        <v>1789</v>
      </c>
      <c r="N115" s="3" t="n">
        <v>7249.5</v>
      </c>
      <c r="O115" s="3" t="n">
        <v>72495</v>
      </c>
      <c r="P115" s="3" t="n">
        <v>19224.37</v>
      </c>
      <c r="Q115" s="9">
        <f>K115-SUM(L115:P115)</f>
        <v/>
      </c>
      <c r="R115" s="10">
        <f>IF($F115=1,((SUMIFS(Investors!$M:$M,Investors!$E:$E,Sales!$C115,Investors!$O:$O,FALSE)+SUMIFS(Investors!$S:$S,Investors!$E:$E,Sales!$C115,Investors!$O:$O,FALSE))*$F115)-SUMIFS('Investor Exit List'!$Q:$Q,'Investor Exit List'!$Y:$Y,1,'Investor Exit List'!$Z:$Z,"Release",'Investor Exit List'!$C:$C,Sales!$C115),(SUMIFS(Investors!$M:$M,Investors!$E:$E,Sales!$C115,Investors!$O:$O,FALSE)+SUMIFS(Investors!$S:$S,Investors!$E:$E,Sales!$C115,Investors!$O:$O,FALSE))*$F115)</f>
        <v/>
      </c>
      <c r="S115" s="10">
        <f>IF(T115=FALSE,Q115-R115,+V115)</f>
        <v/>
      </c>
      <c r="T115" s="3">
        <f>IF(SUMIFS('Cashflow Projection'!$E$119:$E$151,'Cashflow Projection'!$D$119:$D$151,Sales!C115)&lt;&gt;0,TRUE,FALSE)</f>
        <v/>
      </c>
      <c r="U115" s="4" t="n">
        <v>45747</v>
      </c>
      <c r="V115" s="10" t="n">
        <v>91064.70753424638</v>
      </c>
      <c r="W115" s="11">
        <f>IF(SUMIFS('Cashflow Projection'!$E$119:$E$151,'Cashflow Projection'!$D$119:$D$151,Sales!C115)=1,SUMIFS('Cashflow Projection'!$C$119:$C$151,'Cashflow Projection'!$D$119:$D$151,Sales!C115),+Sales!H115)</f>
        <v/>
      </c>
      <c r="X115" s="11">
        <f>IF(MOD(MONTH(W115), 2) &lt;&gt; 0, EOMONTH(W115, 2), EOMONTH(W115, 1))</f>
        <v/>
      </c>
      <c r="Y115" s="11">
        <f>EOMONTH(X115,1)</f>
        <v/>
      </c>
      <c r="Z115" t="b">
        <v>0</v>
      </c>
    </row>
    <row r="116">
      <c r="A116" s="3" t="inlineStr">
        <is>
          <t>Heron View</t>
        </is>
      </c>
      <c r="B116" s="3" t="inlineStr">
        <is>
          <t>J</t>
        </is>
      </c>
      <c r="C116" s="3" t="inlineStr">
        <is>
          <t>HVJ203</t>
        </is>
      </c>
      <c r="D116" s="3" t="b">
        <v>0</v>
      </c>
      <c r="E116" s="3" t="b">
        <v>0</v>
      </c>
      <c r="F116" s="3">
        <f>IF(OR(Z116=TRUE,SUMIFS('Cashflow Projection'!$E$119:$E$151,'Cashflow Projection'!$D$119:$D$151,Sales!C116)=1),0,SUMIFS('Cashflow Projection'!$C$7:$C$23,'Cashflow Projection'!$B$7:$B$23,Sales!B116,'Cashflow Projection'!$A$7:$A$23,Sales!A116))</f>
        <v/>
      </c>
      <c r="G116" s="4" t="n">
        <v>45552</v>
      </c>
      <c r="H116" s="4" t="n">
        <v>45552</v>
      </c>
      <c r="I116" s="3" t="n">
        <v>1599900</v>
      </c>
      <c r="J116" s="3" t="n">
        <v>208682.6086956522</v>
      </c>
      <c r="K116" s="3" t="n">
        <v>1391217.391304348</v>
      </c>
      <c r="L116" s="3" t="n">
        <v>18502.08</v>
      </c>
      <c r="M116" s="3" t="n">
        <v>1789</v>
      </c>
      <c r="N116" s="3" t="n">
        <v>7999.5</v>
      </c>
      <c r="O116" s="3" t="n">
        <v>79995</v>
      </c>
      <c r="P116" s="3" t="n">
        <v>19224.37</v>
      </c>
      <c r="Q116" s="9">
        <f>K116-SUM(L116:P116)</f>
        <v/>
      </c>
      <c r="R116" s="10">
        <f>IF($F116=1,((SUMIFS(Investors!$M:$M,Investors!$E:$E,Sales!$C116,Investors!$O:$O,FALSE)+SUMIFS(Investors!$S:$S,Investors!$E:$E,Sales!$C116,Investors!$O:$O,FALSE))*$F116)-SUMIFS('Investor Exit List'!$Q:$Q,'Investor Exit List'!$Y:$Y,1,'Investor Exit List'!$Z:$Z,"Release",'Investor Exit List'!$C:$C,Sales!$C116),(SUMIFS(Investors!$M:$M,Investors!$E:$E,Sales!$C116,Investors!$O:$O,FALSE)+SUMIFS(Investors!$S:$S,Investors!$E:$E,Sales!$C116,Investors!$O:$O,FALSE))*$F116)</f>
        <v/>
      </c>
      <c r="S116" s="10">
        <f>IF(T116=FALSE,Q116-R116,+V116)</f>
        <v/>
      </c>
      <c r="T116" s="3">
        <f>IF(SUMIFS('Cashflow Projection'!$E$119:$E$151,'Cashflow Projection'!$D$119:$D$151,Sales!C116)&lt;&gt;0,TRUE,FALSE)</f>
        <v/>
      </c>
      <c r="U116" s="4" t="n">
        <v>45626</v>
      </c>
      <c r="V116" s="10" t="n">
        <v>86458.5431506848</v>
      </c>
      <c r="W116" s="11">
        <f>IF(SUMIFS('Cashflow Projection'!$E$119:$E$151,'Cashflow Projection'!$D$119:$D$151,Sales!C116)=1,SUMIFS('Cashflow Projection'!$C$119:$C$151,'Cashflow Projection'!$D$119:$D$151,Sales!C116),+Sales!H116)</f>
        <v/>
      </c>
      <c r="X116" s="11">
        <f>IF(MOD(MONTH(W116), 2) &lt;&gt; 0, EOMONTH(W116, 2), EOMONTH(W116, 1))</f>
        <v/>
      </c>
      <c r="Y116" s="11">
        <f>EOMONTH(X116,1)</f>
        <v/>
      </c>
      <c r="Z116" t="b">
        <v>0</v>
      </c>
    </row>
    <row r="117">
      <c r="A117" s="3" t="inlineStr">
        <is>
          <t>Heron View</t>
        </is>
      </c>
      <c r="B117" s="3" t="inlineStr">
        <is>
          <t>G</t>
        </is>
      </c>
      <c r="C117" s="3" t="inlineStr">
        <is>
          <t>HVG201</t>
        </is>
      </c>
      <c r="D117" s="3" t="b">
        <v>0</v>
      </c>
      <c r="E117" s="3" t="b">
        <v>0</v>
      </c>
      <c r="F117" s="3">
        <f>IF(OR(Z117=TRUE,SUMIFS('Cashflow Projection'!$E$119:$E$151,'Cashflow Projection'!$D$119:$D$151,Sales!C117)=1),0,SUMIFS('Cashflow Projection'!$C$7:$C$23,'Cashflow Projection'!$B$7:$B$23,Sales!B117,'Cashflow Projection'!$A$7:$A$23,Sales!A117))</f>
        <v/>
      </c>
      <c r="G117" s="4" t="n">
        <v>45523</v>
      </c>
      <c r="H117" s="4" t="n">
        <v>45532</v>
      </c>
      <c r="I117" s="3" t="n">
        <v>1449900</v>
      </c>
      <c r="J117" s="3" t="n">
        <v>189117.3913043478</v>
      </c>
      <c r="K117" s="3" t="n">
        <v>1260782.608695652</v>
      </c>
      <c r="L117" s="3" t="n">
        <v>18502.08</v>
      </c>
      <c r="M117" s="3" t="n">
        <v>1789</v>
      </c>
      <c r="N117" s="3" t="n">
        <v>7249.5</v>
      </c>
      <c r="O117" s="3" t="n">
        <v>72495</v>
      </c>
      <c r="P117" s="3" t="n">
        <v>19224.37</v>
      </c>
      <c r="Q117" s="9">
        <f>K117-SUM(L117:P117)</f>
        <v/>
      </c>
      <c r="R117" s="10">
        <f>IF($F117=1,((SUMIFS(Investors!$M:$M,Investors!$E:$E,Sales!$C117,Investors!$O:$O,FALSE)+SUMIFS(Investors!$S:$S,Investors!$E:$E,Sales!$C117,Investors!$O:$O,FALSE))*$F117)-SUMIFS('Investor Exit List'!$Q:$Q,'Investor Exit List'!$Y:$Y,1,'Investor Exit List'!$Z:$Z,"Release",'Investor Exit List'!$C:$C,Sales!$C117),(SUMIFS(Investors!$M:$M,Investors!$E:$E,Sales!$C117,Investors!$O:$O,FALSE)+SUMIFS(Investors!$S:$S,Investors!$E:$E,Sales!$C117,Investors!$O:$O,FALSE))*$F117)</f>
        <v/>
      </c>
      <c r="S117" s="10">
        <f>IF(T117=FALSE,Q117-R117,+V117)</f>
        <v/>
      </c>
      <c r="T117" s="3">
        <f>IF(SUMIFS('Cashflow Projection'!$E$119:$E$151,'Cashflow Projection'!$D$119:$D$151,Sales!C117)&lt;&gt;0,TRUE,FALSE)</f>
        <v/>
      </c>
      <c r="U117" s="4" t="n">
        <v>45565</v>
      </c>
      <c r="V117" s="10" t="n">
        <v>-35901.04589041113</v>
      </c>
      <c r="W117" s="11">
        <f>IF(SUMIFS('Cashflow Projection'!$E$119:$E$151,'Cashflow Projection'!$D$119:$D$151,Sales!C117)=1,SUMIFS('Cashflow Projection'!$C$119:$C$151,'Cashflow Projection'!$D$119:$D$151,Sales!C117),+Sales!H117)</f>
        <v/>
      </c>
      <c r="X117" s="11">
        <f>IF(MOD(MONTH(W117), 2) &lt;&gt; 0, EOMONTH(W117, 2), EOMONTH(W117, 1))</f>
        <v/>
      </c>
      <c r="Y117" s="11">
        <f>EOMONTH(X117,1)</f>
        <v/>
      </c>
      <c r="Z117" t="b">
        <v>0</v>
      </c>
    </row>
    <row r="118">
      <c r="A118" s="3" t="inlineStr">
        <is>
          <t>Heron View</t>
        </is>
      </c>
      <c r="B118" s="3" t="inlineStr">
        <is>
          <t>M</t>
        </is>
      </c>
      <c r="C118" s="3" t="inlineStr">
        <is>
          <t>HVM102</t>
        </is>
      </c>
      <c r="D118" s="3" t="b">
        <v>0</v>
      </c>
      <c r="E118" s="3" t="b">
        <v>0</v>
      </c>
      <c r="F118" s="3">
        <f>IF(OR(Z118=TRUE,SUMIFS('Cashflow Projection'!$E$119:$E$151,'Cashflow Projection'!$D$119:$D$151,Sales!C118)=1),0,SUMIFS('Cashflow Projection'!$C$7:$C$23,'Cashflow Projection'!$B$7:$B$23,Sales!B118,'Cashflow Projection'!$A$7:$A$23,Sales!A118))</f>
        <v/>
      </c>
      <c r="G118" s="4" t="n">
        <v>45450</v>
      </c>
      <c r="H118" s="4" t="n">
        <v>45583</v>
      </c>
      <c r="I118" s="3" t="n">
        <v>1649900</v>
      </c>
      <c r="J118" s="3" t="n">
        <v>215204.3478260869</v>
      </c>
      <c r="K118" s="3" t="n">
        <v>1434695.652173913</v>
      </c>
      <c r="L118" s="3" t="n">
        <v>18502.08</v>
      </c>
      <c r="M118" s="3" t="n">
        <v>1789</v>
      </c>
      <c r="N118" s="3" t="n">
        <v>8249.5</v>
      </c>
      <c r="O118" s="3" t="n">
        <v>82495</v>
      </c>
      <c r="P118" s="3" t="n">
        <v>19224.37</v>
      </c>
      <c r="Q118" s="9">
        <f>K118-SUM(L118:P118)</f>
        <v/>
      </c>
      <c r="R118" s="10">
        <f>IF($F118=1,((SUMIFS(Investors!$M:$M,Investors!$E:$E,Sales!$C118,Investors!$O:$O,FALSE)+SUMIFS(Investors!$S:$S,Investors!$E:$E,Sales!$C118,Investors!$O:$O,FALSE))*$F118)-SUMIFS('Investor Exit List'!$Q:$Q,'Investor Exit List'!$Y:$Y,1,'Investor Exit List'!$Z:$Z,"Release",'Investor Exit List'!$C:$C,Sales!$C118),(SUMIFS(Investors!$M:$M,Investors!$E:$E,Sales!$C118,Investors!$O:$O,FALSE)+SUMIFS(Investors!$S:$S,Investors!$E:$E,Sales!$C118,Investors!$O:$O,FALSE))*$F118)</f>
        <v/>
      </c>
      <c r="S118" s="10">
        <f>IF(T118=FALSE,Q118-R118,+V118)</f>
        <v/>
      </c>
      <c r="T118" s="3">
        <f>IF(SUMIFS('Cashflow Projection'!$E$119:$E$151,'Cashflow Projection'!$D$119:$D$151,Sales!C118)&lt;&gt;0,TRUE,FALSE)</f>
        <v/>
      </c>
      <c r="U118" s="4" t="n">
        <v>45626</v>
      </c>
      <c r="V118" s="10" t="n">
        <v>208598.7680235617</v>
      </c>
      <c r="W118" s="11">
        <f>IF(SUMIFS('Cashflow Projection'!$E$119:$E$151,'Cashflow Projection'!$D$119:$D$151,Sales!C118)=1,SUMIFS('Cashflow Projection'!$C$119:$C$151,'Cashflow Projection'!$D$119:$D$151,Sales!C118),+Sales!H118)</f>
        <v/>
      </c>
      <c r="X118" s="11">
        <f>IF(MOD(MONTH(W118), 2) &lt;&gt; 0, EOMONTH(W118, 2), EOMONTH(W118, 1))</f>
        <v/>
      </c>
      <c r="Y118" s="11">
        <f>EOMONTH(X118,1)</f>
        <v/>
      </c>
      <c r="Z118" t="b">
        <v>0</v>
      </c>
    </row>
    <row r="119">
      <c r="A119" s="3" t="inlineStr">
        <is>
          <t>Heron View</t>
        </is>
      </c>
      <c r="B119" s="3" t="inlineStr">
        <is>
          <t>I</t>
        </is>
      </c>
      <c r="C119" s="3" t="inlineStr">
        <is>
          <t>HVI104</t>
        </is>
      </c>
      <c r="D119" s="3" t="b">
        <v>0</v>
      </c>
      <c r="E119" s="3" t="b">
        <v>0</v>
      </c>
      <c r="F119" s="3">
        <f>IF(OR(Z119=TRUE,SUMIFS('Cashflow Projection'!$E$119:$E$151,'Cashflow Projection'!$D$119:$D$151,Sales!C119)=1),0,SUMIFS('Cashflow Projection'!$C$7:$C$23,'Cashflow Projection'!$B$7:$B$23,Sales!B119,'Cashflow Projection'!$A$7:$A$23,Sales!A119))</f>
        <v/>
      </c>
      <c r="G119" s="4" t="n">
        <v>45491</v>
      </c>
      <c r="H119" s="4" t="n">
        <v>45596</v>
      </c>
      <c r="I119" s="3" t="n">
        <v>1649900</v>
      </c>
      <c r="J119" s="3" t="n">
        <v>215204.3478260869</v>
      </c>
      <c r="K119" s="3" t="n">
        <v>1434695.652173913</v>
      </c>
      <c r="L119" s="3" t="n">
        <v>18502.08</v>
      </c>
      <c r="M119" s="3" t="n">
        <v>1789</v>
      </c>
      <c r="N119" s="3" t="n">
        <v>8249.5</v>
      </c>
      <c r="O119" s="3" t="n">
        <v>82495</v>
      </c>
      <c r="P119" s="3" t="n">
        <v>19224.37</v>
      </c>
      <c r="Q119" s="9">
        <f>K119-SUM(L119:P119)</f>
        <v/>
      </c>
      <c r="R119" s="10">
        <f>IF($F119=1,((SUMIFS(Investors!$M:$M,Investors!$E:$E,Sales!$C119,Investors!$O:$O,FALSE)+SUMIFS(Investors!$S:$S,Investors!$E:$E,Sales!$C119,Investors!$O:$O,FALSE))*$F119)-SUMIFS('Investor Exit List'!$Q:$Q,'Investor Exit List'!$Y:$Y,1,'Investor Exit List'!$Z:$Z,"Release",'Investor Exit List'!$C:$C,Sales!$C119),(SUMIFS(Investors!$M:$M,Investors!$E:$E,Sales!$C119,Investors!$O:$O,FALSE)+SUMIFS(Investors!$S:$S,Investors!$E:$E,Sales!$C119,Investors!$O:$O,FALSE))*$F119)</f>
        <v/>
      </c>
      <c r="S119" s="10">
        <f>IF(T119=FALSE,Q119-R119,+V119)</f>
        <v/>
      </c>
      <c r="T119" s="3">
        <f>IF(SUMIFS('Cashflow Projection'!$E$119:$E$151,'Cashflow Projection'!$D$119:$D$151,Sales!C119)&lt;&gt;0,TRUE,FALSE)</f>
        <v/>
      </c>
      <c r="U119" s="4" t="n">
        <v>45626</v>
      </c>
      <c r="V119" s="10" t="n">
        <v>239311.2828767123</v>
      </c>
      <c r="W119" s="11">
        <f>IF(SUMIFS('Cashflow Projection'!$E$119:$E$151,'Cashflow Projection'!$D$119:$D$151,Sales!C119)=1,SUMIFS('Cashflow Projection'!$C$119:$C$151,'Cashflow Projection'!$D$119:$D$151,Sales!C119),+Sales!H119)</f>
        <v/>
      </c>
      <c r="X119" s="11">
        <f>IF(MOD(MONTH(W119), 2) &lt;&gt; 0, EOMONTH(W119, 2), EOMONTH(W119, 1))</f>
        <v/>
      </c>
      <c r="Y119" s="11">
        <f>EOMONTH(X119,1)</f>
        <v/>
      </c>
      <c r="Z119" t="b">
        <v>0</v>
      </c>
    </row>
    <row r="120">
      <c r="A120" s="3" t="inlineStr">
        <is>
          <t>Heron View</t>
        </is>
      </c>
      <c r="B120" s="3" t="inlineStr">
        <is>
          <t>E</t>
        </is>
      </c>
      <c r="C120" s="3" t="inlineStr">
        <is>
          <t>HVE301</t>
        </is>
      </c>
      <c r="D120" s="3" t="b">
        <v>0</v>
      </c>
      <c r="E120" s="3" t="b">
        <v>0</v>
      </c>
      <c r="F120" s="3">
        <f>IF(OR(Z120=TRUE,SUMIFS('Cashflow Projection'!$E$119:$E$151,'Cashflow Projection'!$D$119:$D$151,Sales!C120)=1),0,SUMIFS('Cashflow Projection'!$C$7:$C$23,'Cashflow Projection'!$B$7:$B$23,Sales!B120,'Cashflow Projection'!$A$7:$A$23,Sales!A120))</f>
        <v/>
      </c>
      <c r="G120" s="4" t="n">
        <v>45685</v>
      </c>
      <c r="H120" s="4" t="n">
        <v>45685</v>
      </c>
      <c r="I120" s="3" t="n">
        <v>1549900</v>
      </c>
      <c r="J120" s="3" t="n">
        <v>202160.8695652174</v>
      </c>
      <c r="K120" s="3" t="n">
        <v>1347739.130434783</v>
      </c>
      <c r="L120" s="3" t="n">
        <v>18502.08</v>
      </c>
      <c r="M120" s="3" t="n">
        <v>1789</v>
      </c>
      <c r="N120" s="3" t="n">
        <v>7749.5</v>
      </c>
      <c r="O120" s="3" t="n">
        <v>77495</v>
      </c>
      <c r="P120" s="3" t="n">
        <v>19224.37</v>
      </c>
      <c r="Q120" s="9">
        <f>K120-SUM(L120:P120)</f>
        <v/>
      </c>
      <c r="R120" s="10">
        <f>IF($F120=1,((SUMIFS(Investors!$M:$M,Investors!$E:$E,Sales!$C120,Investors!$O:$O,FALSE)+SUMIFS(Investors!$S:$S,Investors!$E:$E,Sales!$C120,Investors!$O:$O,FALSE))*$F120)-SUMIFS('Investor Exit List'!$Q:$Q,'Investor Exit List'!$Y:$Y,1,'Investor Exit List'!$Z:$Z,"Release",'Investor Exit List'!$C:$C,Sales!$C120),(SUMIFS(Investors!$M:$M,Investors!$E:$E,Sales!$C120,Investors!$O:$O,FALSE)+SUMIFS(Investors!$S:$S,Investors!$E:$E,Sales!$C120,Investors!$O:$O,FALSE))*$F120)</f>
        <v/>
      </c>
      <c r="S120" s="10">
        <f>IF(T120=FALSE,Q120-R120,+V120)</f>
        <v/>
      </c>
      <c r="T120" s="3">
        <f>IF(SUMIFS('Cashflow Projection'!$E$119:$E$151,'Cashflow Projection'!$D$119:$D$151,Sales!C120)&lt;&gt;0,TRUE,FALSE)</f>
        <v/>
      </c>
      <c r="U120" s="4" t="n">
        <v>45747</v>
      </c>
      <c r="V120" s="10" t="n">
        <v>-31692.82671232894</v>
      </c>
      <c r="W120" s="11">
        <f>IF(SUMIFS('Cashflow Projection'!$E$119:$E$151,'Cashflow Projection'!$D$119:$D$151,Sales!C120)=1,SUMIFS('Cashflow Projection'!$C$119:$C$151,'Cashflow Projection'!$D$119:$D$151,Sales!C120),+Sales!H120)</f>
        <v/>
      </c>
      <c r="X120" s="11">
        <f>IF(MOD(MONTH(W120), 2) &lt;&gt; 0, EOMONTH(W120, 2), EOMONTH(W120, 1))</f>
        <v/>
      </c>
      <c r="Y120" s="11">
        <f>EOMONTH(X120,1)</f>
        <v/>
      </c>
      <c r="Z120" t="b">
        <v>0</v>
      </c>
    </row>
    <row r="121">
      <c r="A121" s="3" t="inlineStr">
        <is>
          <t>Heron View</t>
        </is>
      </c>
      <c r="B121" s="3" t="inlineStr">
        <is>
          <t>E</t>
        </is>
      </c>
      <c r="C121" s="3" t="inlineStr">
        <is>
          <t>HVE101</t>
        </is>
      </c>
      <c r="D121" s="3" t="b">
        <v>0</v>
      </c>
      <c r="E121" s="3" t="b">
        <v>0</v>
      </c>
      <c r="F121" s="3">
        <f>IF(OR(Z121=TRUE,SUMIFS('Cashflow Projection'!$E$119:$E$151,'Cashflow Projection'!$D$119:$D$151,Sales!C121)=1),0,SUMIFS('Cashflow Projection'!$C$7:$C$23,'Cashflow Projection'!$B$7:$B$23,Sales!B121,'Cashflow Projection'!$A$7:$A$23,Sales!A121))</f>
        <v/>
      </c>
      <c r="G121" s="4" t="n">
        <v>45685</v>
      </c>
      <c r="H121" s="4" t="n">
        <v>45685</v>
      </c>
      <c r="I121" s="3" t="n">
        <v>1619900</v>
      </c>
      <c r="J121" s="3" t="n">
        <v>211291.3043478261</v>
      </c>
      <c r="K121" s="3" t="n">
        <v>1408608.695652174</v>
      </c>
      <c r="L121" s="3" t="n">
        <v>18502.08</v>
      </c>
      <c r="M121" s="3" t="n">
        <v>1789</v>
      </c>
      <c r="N121" s="3" t="n">
        <v>8099.5</v>
      </c>
      <c r="O121" s="3" t="n">
        <v>80995</v>
      </c>
      <c r="P121" s="3" t="n">
        <v>19224.37</v>
      </c>
      <c r="Q121" s="9">
        <f>K121-SUM(L121:P121)</f>
        <v/>
      </c>
      <c r="R121" s="10">
        <f>IF($F121=1,((SUMIFS(Investors!$M:$M,Investors!$E:$E,Sales!$C121,Investors!$O:$O,FALSE)+SUMIFS(Investors!$S:$S,Investors!$E:$E,Sales!$C121,Investors!$O:$O,FALSE))*$F121)-SUMIFS('Investor Exit List'!$Q:$Q,'Investor Exit List'!$Y:$Y,1,'Investor Exit List'!$Z:$Z,"Release",'Investor Exit List'!$C:$C,Sales!$C121),(SUMIFS(Investors!$M:$M,Investors!$E:$E,Sales!$C121,Investors!$O:$O,FALSE)+SUMIFS(Investors!$S:$S,Investors!$E:$E,Sales!$C121,Investors!$O:$O,FALSE))*$F121)</f>
        <v/>
      </c>
      <c r="S121" s="10">
        <f>IF(T121=FALSE,Q121-R121,+V121)</f>
        <v/>
      </c>
      <c r="T121" s="3">
        <f>IF(SUMIFS('Cashflow Projection'!$E$119:$E$151,'Cashflow Projection'!$D$119:$D$151,Sales!C121)&lt;&gt;0,TRUE,FALSE)</f>
        <v/>
      </c>
      <c r="U121" s="4" t="n">
        <v>45747</v>
      </c>
      <c r="V121" s="10" t="n">
        <v>782203.5933945205</v>
      </c>
      <c r="W121" s="11">
        <f>IF(SUMIFS('Cashflow Projection'!$E$119:$E$151,'Cashflow Projection'!$D$119:$D$151,Sales!C121)=1,SUMIFS('Cashflow Projection'!$C$119:$C$151,'Cashflow Projection'!$D$119:$D$151,Sales!C121),+Sales!H121)</f>
        <v/>
      </c>
      <c r="X121" s="11">
        <f>IF(MOD(MONTH(W121), 2) &lt;&gt; 0, EOMONTH(W121, 2), EOMONTH(W121, 1))</f>
        <v/>
      </c>
      <c r="Y121" s="11">
        <f>EOMONTH(X121,1)</f>
        <v/>
      </c>
      <c r="Z121" t="b">
        <v>0</v>
      </c>
    </row>
    <row r="122">
      <c r="A122" s="3" t="inlineStr">
        <is>
          <t>Heron View</t>
        </is>
      </c>
      <c r="B122" s="3" t="inlineStr">
        <is>
          <t>E</t>
        </is>
      </c>
      <c r="C122" s="3" t="inlineStr">
        <is>
          <t>HVE202</t>
        </is>
      </c>
      <c r="D122" s="3" t="b">
        <v>0</v>
      </c>
      <c r="E122" s="3" t="b">
        <v>0</v>
      </c>
      <c r="F122" s="3">
        <f>IF(OR(Z122=TRUE,SUMIFS('Cashflow Projection'!$E$119:$E$151,'Cashflow Projection'!$D$119:$D$151,Sales!C122)=1),0,SUMIFS('Cashflow Projection'!$C$7:$C$23,'Cashflow Projection'!$B$7:$B$23,Sales!B122,'Cashflow Projection'!$A$7:$A$23,Sales!A122))</f>
        <v/>
      </c>
      <c r="G122" s="4" t="n">
        <v>45685</v>
      </c>
      <c r="H122" s="4" t="n">
        <v>45685</v>
      </c>
      <c r="I122" s="3" t="n">
        <v>1529900</v>
      </c>
      <c r="J122" s="3" t="n">
        <v>199552.1739130435</v>
      </c>
      <c r="K122" s="3" t="n">
        <v>1330347.826086957</v>
      </c>
      <c r="L122" s="3" t="n">
        <v>18502.08</v>
      </c>
      <c r="M122" s="3" t="n">
        <v>1789</v>
      </c>
      <c r="N122" s="3" t="n">
        <v>7649.5</v>
      </c>
      <c r="O122" s="3" t="n">
        <v>76495</v>
      </c>
      <c r="P122" s="3" t="n">
        <v>19224.37</v>
      </c>
      <c r="Q122" s="9">
        <f>K122-SUM(L122:P122)</f>
        <v/>
      </c>
      <c r="R122" s="10">
        <f>IF($F122=1,((SUMIFS(Investors!$M:$M,Investors!$E:$E,Sales!$C122,Investors!$O:$O,FALSE)+SUMIFS(Investors!$S:$S,Investors!$E:$E,Sales!$C122,Investors!$O:$O,FALSE))*$F122)-SUMIFS('Investor Exit List'!$Q:$Q,'Investor Exit List'!$Y:$Y,1,'Investor Exit List'!$Z:$Z,"Release",'Investor Exit List'!$C:$C,Sales!$C122),(SUMIFS(Investors!$M:$M,Investors!$E:$E,Sales!$C122,Investors!$O:$O,FALSE)+SUMIFS(Investors!$S:$S,Investors!$E:$E,Sales!$C122,Investors!$O:$O,FALSE))*$F122)</f>
        <v/>
      </c>
      <c r="S122" s="10">
        <f>IF(T122=FALSE,Q122-R122,+V122)</f>
        <v/>
      </c>
      <c r="T122" s="3">
        <f>IF(SUMIFS('Cashflow Projection'!$E$119:$E$151,'Cashflow Projection'!$D$119:$D$151,Sales!C122)&lt;&gt;0,TRUE,FALSE)</f>
        <v/>
      </c>
      <c r="U122" s="4" t="n">
        <v>45747</v>
      </c>
      <c r="V122" s="10" t="n">
        <v>-45759.95000000019</v>
      </c>
      <c r="W122" s="11">
        <f>IF(SUMIFS('Cashflow Projection'!$E$119:$E$151,'Cashflow Projection'!$D$119:$D$151,Sales!C122)=1,SUMIFS('Cashflow Projection'!$C$119:$C$151,'Cashflow Projection'!$D$119:$D$151,Sales!C122),+Sales!H122)</f>
        <v/>
      </c>
      <c r="X122" s="11">
        <f>IF(MOD(MONTH(W122), 2) &lt;&gt; 0, EOMONTH(W122, 2), EOMONTH(W122, 1))</f>
        <v/>
      </c>
      <c r="Y122" s="11">
        <f>EOMONTH(X122,1)</f>
        <v/>
      </c>
      <c r="Z122" t="b">
        <v>0</v>
      </c>
    </row>
    <row r="123">
      <c r="A123" s="3" t="inlineStr">
        <is>
          <t>Heron View</t>
        </is>
      </c>
      <c r="B123" s="3" t="inlineStr">
        <is>
          <t>K</t>
        </is>
      </c>
      <c r="C123" s="3" t="inlineStr">
        <is>
          <t>HVK401</t>
        </is>
      </c>
      <c r="D123" s="3" t="b">
        <v>0</v>
      </c>
      <c r="E123" s="3" t="b">
        <v>0</v>
      </c>
      <c r="F123" s="3">
        <f>IF(OR(Z123=TRUE,SUMIFS('Cashflow Projection'!$E$119:$E$151,'Cashflow Projection'!$D$119:$D$151,Sales!C123)=1),0,SUMIFS('Cashflow Projection'!$C$7:$C$23,'Cashflow Projection'!$B$7:$B$23,Sales!B123,'Cashflow Projection'!$A$7:$A$23,Sales!A123))</f>
        <v/>
      </c>
      <c r="G123" s="4" t="n">
        <v>45510</v>
      </c>
      <c r="H123" s="4" t="n">
        <v>45625</v>
      </c>
      <c r="I123" s="3" t="n">
        <v>1499900</v>
      </c>
      <c r="J123" s="3" t="n">
        <v>195639.1304347826</v>
      </c>
      <c r="K123" s="3" t="n">
        <v>1304260.869565218</v>
      </c>
      <c r="L123" s="3" t="n">
        <v>18502.08</v>
      </c>
      <c r="M123" s="3" t="n">
        <v>1789</v>
      </c>
      <c r="N123" s="3" t="n">
        <v>7499.5</v>
      </c>
      <c r="O123" s="3" t="n">
        <v>74995</v>
      </c>
      <c r="P123" s="3" t="n">
        <v>19224.37</v>
      </c>
      <c r="Q123" s="9">
        <f>K123-SUM(L123:P123)</f>
        <v/>
      </c>
      <c r="R123" s="10">
        <f>IF($F123=1,((SUMIFS(Investors!$M:$M,Investors!$E:$E,Sales!$C123,Investors!$O:$O,FALSE)+SUMIFS(Investors!$S:$S,Investors!$E:$E,Sales!$C123,Investors!$O:$O,FALSE))*$F123)-SUMIFS('Investor Exit List'!$Q:$Q,'Investor Exit List'!$Y:$Y,1,'Investor Exit List'!$Z:$Z,"Release",'Investor Exit List'!$C:$C,Sales!$C123),(SUMIFS(Investors!$M:$M,Investors!$E:$E,Sales!$C123,Investors!$O:$O,FALSE)+SUMIFS(Investors!$S:$S,Investors!$E:$E,Sales!$C123,Investors!$O:$O,FALSE))*$F123)</f>
        <v/>
      </c>
      <c r="S123" s="10">
        <f>IF(T123=FALSE,Q123-R123,+V123)</f>
        <v/>
      </c>
      <c r="T123" s="3">
        <f>IF(SUMIFS('Cashflow Projection'!$E$119:$E$151,'Cashflow Projection'!$D$119:$D$151,Sales!C123)&lt;&gt;0,TRUE,FALSE)</f>
        <v/>
      </c>
      <c r="U123" s="4" t="n">
        <v>45688</v>
      </c>
      <c r="V123" s="10" t="n">
        <v>-39469.91410109587</v>
      </c>
      <c r="W123" s="11">
        <f>IF(SUMIFS('Cashflow Projection'!$E$119:$E$151,'Cashflow Projection'!$D$119:$D$151,Sales!C123)=1,SUMIFS('Cashflow Projection'!$C$119:$C$151,'Cashflow Projection'!$D$119:$D$151,Sales!C123),+Sales!H123)</f>
        <v/>
      </c>
      <c r="X123" s="11">
        <f>IF(MOD(MONTH(W123), 2) &lt;&gt; 0, EOMONTH(W123, 2), EOMONTH(W123, 1))</f>
        <v/>
      </c>
      <c r="Y123" s="11">
        <f>EOMONTH(X123,1)</f>
        <v/>
      </c>
      <c r="Z123" t="b">
        <v>0</v>
      </c>
    </row>
    <row r="124">
      <c r="A124" s="3" t="inlineStr">
        <is>
          <t>Heron View</t>
        </is>
      </c>
      <c r="B124" s="3" t="inlineStr">
        <is>
          <t>O</t>
        </is>
      </c>
      <c r="C124" s="3" t="inlineStr">
        <is>
          <t>HVO205</t>
        </is>
      </c>
      <c r="D124" s="3" t="b">
        <v>0</v>
      </c>
      <c r="E124" s="3" t="b">
        <v>0</v>
      </c>
      <c r="F124" s="3">
        <f>IF(OR(Z124=TRUE,SUMIFS('Cashflow Projection'!$E$119:$E$151,'Cashflow Projection'!$D$119:$D$151,Sales!C124)=1),0,SUMIFS('Cashflow Projection'!$C$7:$C$23,'Cashflow Projection'!$B$7:$B$23,Sales!B124,'Cashflow Projection'!$A$7:$A$23,Sales!A124))</f>
        <v/>
      </c>
      <c r="G124" s="4" t="n">
        <v>45518</v>
      </c>
      <c r="H124" s="4" t="n">
        <v>45518</v>
      </c>
      <c r="I124" s="3" t="n">
        <v>1749900</v>
      </c>
      <c r="J124" s="3" t="n">
        <v>228247.8260869565</v>
      </c>
      <c r="K124" s="3" t="n">
        <v>1521652.173913044</v>
      </c>
      <c r="L124" s="3" t="n">
        <v>18502.08</v>
      </c>
      <c r="M124" s="3" t="n">
        <v>1789</v>
      </c>
      <c r="N124" s="3" t="n">
        <v>8749.5</v>
      </c>
      <c r="O124" s="3" t="n">
        <v>87495</v>
      </c>
      <c r="P124" s="3" t="n">
        <v>19224.37</v>
      </c>
      <c r="Q124" s="9">
        <f>K124-SUM(L124:P124)</f>
        <v/>
      </c>
      <c r="R124" s="10">
        <f>IF($F124=1,((SUMIFS(Investors!$M:$M,Investors!$E:$E,Sales!$C124,Investors!$O:$O,FALSE)+SUMIFS(Investors!$S:$S,Investors!$E:$E,Sales!$C124,Investors!$O:$O,FALSE))*$F124)-SUMIFS('Investor Exit List'!$Q:$Q,'Investor Exit List'!$Y:$Y,1,'Investor Exit List'!$Z:$Z,"Release",'Investor Exit List'!$C:$C,Sales!$C124),(SUMIFS(Investors!$M:$M,Investors!$E:$E,Sales!$C124,Investors!$O:$O,FALSE)+SUMIFS(Investors!$S:$S,Investors!$E:$E,Sales!$C124,Investors!$O:$O,FALSE))*$F124)</f>
        <v/>
      </c>
      <c r="S124" s="10">
        <f>IF(T124=FALSE,Q124-R124,+V124)</f>
        <v/>
      </c>
      <c r="T124" s="3">
        <f>IF(SUMIFS('Cashflow Projection'!$E$119:$E$151,'Cashflow Projection'!$D$119:$D$151,Sales!C124)&lt;&gt;0,TRUE,FALSE)</f>
        <v/>
      </c>
      <c r="U124" s="4" t="n">
        <v>45565</v>
      </c>
      <c r="V124" s="10" t="n">
        <v>237959.2280821914</v>
      </c>
      <c r="W124" s="11">
        <f>IF(SUMIFS('Cashflow Projection'!$E$119:$E$151,'Cashflow Projection'!$D$119:$D$151,Sales!C124)=1,SUMIFS('Cashflow Projection'!$C$119:$C$151,'Cashflow Projection'!$D$119:$D$151,Sales!C124),+Sales!H124)</f>
        <v/>
      </c>
      <c r="X124" s="11">
        <f>IF(MOD(MONTH(W124), 2) &lt;&gt; 0, EOMONTH(W124, 2), EOMONTH(W124, 1))</f>
        <v/>
      </c>
      <c r="Y124" s="11">
        <f>EOMONTH(X124,1)</f>
        <v/>
      </c>
      <c r="Z124" t="b">
        <v>0</v>
      </c>
    </row>
    <row r="125">
      <c r="A125" s="3" t="inlineStr">
        <is>
          <t>Endulini</t>
        </is>
      </c>
      <c r="B125" s="3" t="inlineStr">
        <is>
          <t>A</t>
        </is>
      </c>
      <c r="C125" s="3" t="inlineStr">
        <is>
          <t>EA108</t>
        </is>
      </c>
      <c r="D125" s="3" t="b">
        <v>1</v>
      </c>
      <c r="E125" s="3" t="b">
        <v>1</v>
      </c>
      <c r="F125" s="3">
        <f>IF(OR(Z125=TRUE,SUMIFS('Cashflow Projection'!$E$119:$E$151,'Cashflow Projection'!$D$119:$D$151,Sales!C125)=1),0,SUMIFS('Cashflow Projection'!$C$7:$C$23,'Cashflow Projection'!$B$7:$B$23,Sales!B125,'Cashflow Projection'!$A$7:$A$23,Sales!A125))</f>
        <v/>
      </c>
      <c r="G125" s="4" t="n">
        <v>44830</v>
      </c>
      <c r="H125" s="4" t="n">
        <v>45688</v>
      </c>
      <c r="I125" s="3" t="n">
        <v>1599900</v>
      </c>
      <c r="J125" s="3" t="n">
        <v>208682.6086956522</v>
      </c>
      <c r="K125" s="3" t="n">
        <v>1391217.391304348</v>
      </c>
      <c r="L125" s="3" t="n">
        <v>18502.08</v>
      </c>
      <c r="M125" s="3" t="n">
        <v>1789</v>
      </c>
      <c r="N125" s="3" t="n">
        <v>7999.5</v>
      </c>
      <c r="O125" s="3" t="n">
        <v>79995</v>
      </c>
      <c r="P125" s="3" t="n">
        <v>19224.37</v>
      </c>
      <c r="Q125" s="9">
        <f>K125-SUM(L125:P125)</f>
        <v/>
      </c>
      <c r="R125" s="10">
        <f>IF($F125=1,((SUMIFS(Investors!$M:$M,Investors!$E:$E,Sales!$C125,Investors!$O:$O,FALSE)+SUMIFS(Investors!$S:$S,Investors!$E:$E,Sales!$C125,Investors!$O:$O,FALSE))*$F125)-SUMIFS('Investor Exit List'!$Q:$Q,'Investor Exit List'!$Y:$Y,1,'Investor Exit List'!$Z:$Z,"Release",'Investor Exit List'!$C:$C,Sales!$C125),(SUMIFS(Investors!$M:$M,Investors!$E:$E,Sales!$C125,Investors!$O:$O,FALSE)+SUMIFS(Investors!$S:$S,Investors!$E:$E,Sales!$C125,Investors!$O:$O,FALSE))*$F125)</f>
        <v/>
      </c>
      <c r="S125" s="10">
        <f>IF(T125=FALSE,Q125-R125,+V125)</f>
        <v/>
      </c>
      <c r="T125" s="3">
        <f>IF(SUMIFS('Cashflow Projection'!$E$119:$E$151,'Cashflow Projection'!$D$119:$D$151,Sales!C125)&lt;&gt;0,TRUE,FALSE)</f>
        <v/>
      </c>
      <c r="U125" s="4" t="n">
        <v>45747</v>
      </c>
      <c r="V125" s="10" t="n">
        <v>277876.3513698629</v>
      </c>
      <c r="W125" s="11">
        <f>IF(SUMIFS('Cashflow Projection'!$E$119:$E$151,'Cashflow Projection'!$D$119:$D$151,Sales!C125)=1,SUMIFS('Cashflow Projection'!$C$119:$C$151,'Cashflow Projection'!$D$119:$D$151,Sales!C125),+Sales!H125)</f>
        <v/>
      </c>
      <c r="X125" s="11">
        <f>IF(MOD(MONTH(W125), 2) &lt;&gt; 0, EOMONTH(W125, 2), EOMONTH(W125, 1))</f>
        <v/>
      </c>
      <c r="Y125" s="11">
        <f>EOMONTH(X125,1)</f>
        <v/>
      </c>
      <c r="Z125" t="b">
        <v>0</v>
      </c>
    </row>
    <row r="126">
      <c r="A126" s="3" t="inlineStr">
        <is>
          <t>Endulini</t>
        </is>
      </c>
      <c r="B126" s="3" t="inlineStr">
        <is>
          <t>F</t>
        </is>
      </c>
      <c r="C126" s="3" t="inlineStr">
        <is>
          <t>EF201</t>
        </is>
      </c>
      <c r="D126" s="3" t="b">
        <v>1</v>
      </c>
      <c r="E126" s="3" t="b">
        <v>1</v>
      </c>
      <c r="F126" s="3">
        <f>IF(OR(Z126=TRUE,SUMIFS('Cashflow Projection'!$E$119:$E$151,'Cashflow Projection'!$D$119:$D$151,Sales!C126)=1),0,SUMIFS('Cashflow Projection'!$C$7:$C$23,'Cashflow Projection'!$B$7:$B$23,Sales!B126,'Cashflow Projection'!$A$7:$A$23,Sales!A126))</f>
        <v/>
      </c>
      <c r="G126" s="4" t="n">
        <v>44690</v>
      </c>
      <c r="H126" s="4" t="n">
        <v>45688</v>
      </c>
      <c r="I126" s="3" t="n">
        <v>1499900</v>
      </c>
      <c r="J126" s="3" t="n">
        <v>195639.1304347826</v>
      </c>
      <c r="K126" s="3" t="n">
        <v>1304260.869565218</v>
      </c>
      <c r="L126" s="3" t="n">
        <v>18502.08</v>
      </c>
      <c r="M126" s="3" t="n">
        <v>1789</v>
      </c>
      <c r="N126" s="3" t="n">
        <v>7499.5</v>
      </c>
      <c r="O126" s="3" t="n">
        <v>74995</v>
      </c>
      <c r="P126" s="3" t="n">
        <v>19224.37</v>
      </c>
      <c r="Q126" s="9">
        <f>K126-SUM(L126:P126)</f>
        <v/>
      </c>
      <c r="R126" s="10">
        <f>IF($F126=1,((SUMIFS(Investors!$M:$M,Investors!$E:$E,Sales!$C126,Investors!$O:$O,FALSE)+SUMIFS(Investors!$S:$S,Investors!$E:$E,Sales!$C126,Investors!$O:$O,FALSE))*$F126)-SUMIFS('Investor Exit List'!$Q:$Q,'Investor Exit List'!$Y:$Y,1,'Investor Exit List'!$Z:$Z,"Release",'Investor Exit List'!$C:$C,Sales!$C126),(SUMIFS(Investors!$M:$M,Investors!$E:$E,Sales!$C126,Investors!$O:$O,FALSE)+SUMIFS(Investors!$S:$S,Investors!$E:$E,Sales!$C126,Investors!$O:$O,FALSE))*$F126)</f>
        <v/>
      </c>
      <c r="S126" s="10">
        <f>IF(T126=FALSE,Q126-R126,+V126)</f>
        <v/>
      </c>
      <c r="T126" s="3">
        <f>IF(SUMIFS('Cashflow Projection'!$E$119:$E$151,'Cashflow Projection'!$D$119:$D$151,Sales!C126)&lt;&gt;0,TRUE,FALSE)</f>
        <v/>
      </c>
      <c r="U126" s="4" t="n">
        <v>45747</v>
      </c>
      <c r="V126" s="10" t="n">
        <v>228154.262328767</v>
      </c>
      <c r="W126" s="11">
        <f>IF(SUMIFS('Cashflow Projection'!$E$119:$E$151,'Cashflow Projection'!$D$119:$D$151,Sales!C126)=1,SUMIFS('Cashflow Projection'!$C$119:$C$151,'Cashflow Projection'!$D$119:$D$151,Sales!C126),+Sales!H126)</f>
        <v/>
      </c>
      <c r="X126" s="11">
        <f>IF(MOD(MONTH(W126), 2) &lt;&gt; 0, EOMONTH(W126, 2), EOMONTH(W126, 1))</f>
        <v/>
      </c>
      <c r="Y126" s="11">
        <f>EOMONTH(X126,1)</f>
        <v/>
      </c>
      <c r="Z126" t="b">
        <v>0</v>
      </c>
    </row>
    <row r="127">
      <c r="A127" s="3" t="inlineStr">
        <is>
          <t>Heron Fields</t>
        </is>
      </c>
      <c r="B127" s="3" t="inlineStr">
        <is>
          <t>B</t>
        </is>
      </c>
      <c r="C127" s="3" t="inlineStr">
        <is>
          <t>HFB209</t>
        </is>
      </c>
      <c r="D127" s="3" t="b">
        <v>1</v>
      </c>
      <c r="E127" s="3" t="b">
        <v>1</v>
      </c>
      <c r="F127" s="3">
        <f>IF(OR(Z127=TRUE,SUMIFS('Cashflow Projection'!$E$119:$E$151,'Cashflow Projection'!$D$119:$D$151,Sales!C127)=1),0,SUMIFS('Cashflow Projection'!$C$7:$C$23,'Cashflow Projection'!$B$7:$B$23,Sales!B127,'Cashflow Projection'!$A$7:$A$23,Sales!A127))</f>
        <v/>
      </c>
      <c r="G127" s="4" t="n">
        <v>45415</v>
      </c>
      <c r="H127" s="4" t="n">
        <v>45458</v>
      </c>
      <c r="I127" s="3" t="n">
        <v>1499900</v>
      </c>
      <c r="J127" s="3" t="n">
        <v>0</v>
      </c>
      <c r="K127" s="3" t="n">
        <v>1304260.869565218</v>
      </c>
      <c r="L127" s="3" t="n">
        <v>18502.08</v>
      </c>
      <c r="M127" s="3" t="n">
        <v>1789</v>
      </c>
      <c r="N127" s="3" t="n">
        <v>7499.5</v>
      </c>
      <c r="O127" s="3" t="n">
        <v>74995</v>
      </c>
      <c r="P127" s="3" t="n">
        <v>19224.37</v>
      </c>
      <c r="Q127" s="9">
        <f>K127-SUM(L127:P127)</f>
        <v/>
      </c>
      <c r="R127" s="10">
        <f>IF($F127=1,((SUMIFS(Investors!$M:$M,Investors!$E:$E,Sales!$C127,Investors!$O:$O,FALSE)+SUMIFS(Investors!$S:$S,Investors!$E:$E,Sales!$C127,Investors!$O:$O,FALSE))*$F127)-SUMIFS('Investor Exit List'!$Q:$Q,'Investor Exit List'!$Y:$Y,1,'Investor Exit List'!$Z:$Z,"Release",'Investor Exit List'!$C:$C,Sales!$C127),(SUMIFS(Investors!$M:$M,Investors!$E:$E,Sales!$C127,Investors!$O:$O,FALSE)+SUMIFS(Investors!$S:$S,Investors!$E:$E,Sales!$C127,Investors!$O:$O,FALSE))*$F127)</f>
        <v/>
      </c>
      <c r="S127" s="10">
        <f>IF(T127=FALSE,Q127-R127,+V127)</f>
        <v/>
      </c>
      <c r="T127" s="3">
        <f>IF(SUMIFS('Cashflow Projection'!$E$119:$E$151,'Cashflow Projection'!$D$119:$D$151,Sales!C127)&lt;&gt;0,TRUE,FALSE)</f>
        <v/>
      </c>
      <c r="U127" s="4" t="n">
        <v>45504</v>
      </c>
      <c r="V127" s="10" t="n">
        <v>873000</v>
      </c>
      <c r="W127" s="11">
        <f>IF(SUMIFS('Cashflow Projection'!$E$119:$E$151,'Cashflow Projection'!$D$119:$D$151,Sales!C127)=1,SUMIFS('Cashflow Projection'!$C$119:$C$151,'Cashflow Projection'!$D$119:$D$151,Sales!C127),+Sales!H127)</f>
        <v/>
      </c>
      <c r="X127" s="11">
        <f>IF(MOD(MONTH(W127), 2) &lt;&gt; 0, EOMONTH(W127, 2), EOMONTH(W127, 1))</f>
        <v/>
      </c>
      <c r="Y127" s="11">
        <f>EOMONTH(X127,1)</f>
        <v/>
      </c>
      <c r="Z127" t="b">
        <v>0</v>
      </c>
    </row>
    <row r="128">
      <c r="A128" s="3" t="inlineStr">
        <is>
          <t>Heron Fields</t>
        </is>
      </c>
      <c r="B128" s="3" t="inlineStr">
        <is>
          <t>B</t>
        </is>
      </c>
      <c r="C128" s="3" t="inlineStr">
        <is>
          <t>HFB208</t>
        </is>
      </c>
      <c r="D128" s="3" t="b">
        <v>1</v>
      </c>
      <c r="E128" s="3" t="b">
        <v>1</v>
      </c>
      <c r="F128" s="3">
        <f>IF(OR(Z128=TRUE,SUMIFS('Cashflow Projection'!$E$119:$E$151,'Cashflow Projection'!$D$119:$D$151,Sales!C128)=1),0,SUMIFS('Cashflow Projection'!$C$7:$C$23,'Cashflow Projection'!$B$7:$B$23,Sales!B128,'Cashflow Projection'!$A$7:$A$23,Sales!A128))</f>
        <v/>
      </c>
      <c r="G128" s="4" t="n">
        <v>45002</v>
      </c>
      <c r="H128" s="4" t="n">
        <v>45688</v>
      </c>
      <c r="I128" s="3" t="n">
        <v>1419900</v>
      </c>
      <c r="J128" s="3" t="n">
        <v>185204.3478260869</v>
      </c>
      <c r="K128" s="3" t="n">
        <v>1234695.652173913</v>
      </c>
      <c r="L128" s="3" t="n">
        <v>18502.08</v>
      </c>
      <c r="M128" s="3" t="n">
        <v>1789</v>
      </c>
      <c r="N128" s="3" t="n">
        <v>7099.5</v>
      </c>
      <c r="O128" s="3" t="n">
        <v>70995</v>
      </c>
      <c r="P128" s="3" t="n">
        <v>19224.37</v>
      </c>
      <c r="Q128" s="9">
        <f>K128-SUM(L128:P128)</f>
        <v/>
      </c>
      <c r="R128" s="10">
        <f>IF($F128=1,((SUMIFS(Investors!$M:$M,Investors!$E:$E,Sales!$C128,Investors!$O:$O,FALSE)+SUMIFS(Investors!$S:$S,Investors!$E:$E,Sales!$C128,Investors!$O:$O,FALSE))*$F128)-SUMIFS('Investor Exit List'!$Q:$Q,'Investor Exit List'!$Y:$Y,1,'Investor Exit List'!$Z:$Z,"Release",'Investor Exit List'!$C:$C,Sales!$C128),(SUMIFS(Investors!$M:$M,Investors!$E:$E,Sales!$C128,Investors!$O:$O,FALSE)+SUMIFS(Investors!$S:$S,Investors!$E:$E,Sales!$C128,Investors!$O:$O,FALSE))*$F128)</f>
        <v/>
      </c>
      <c r="S128" s="10">
        <f>IF(T128=FALSE,Q128-R128,+V128)</f>
        <v/>
      </c>
      <c r="T128" s="3">
        <f>IF(SUMIFS('Cashflow Projection'!$E$119:$E$151,'Cashflow Projection'!$D$119:$D$151,Sales!C128)&lt;&gt;0,TRUE,FALSE)</f>
        <v/>
      </c>
      <c r="U128" s="4" t="n">
        <v>45747</v>
      </c>
      <c r="V128" s="10" t="n">
        <v>202806.4883561642</v>
      </c>
      <c r="W128" s="11">
        <f>IF(SUMIFS('Cashflow Projection'!$E$119:$E$151,'Cashflow Projection'!$D$119:$D$151,Sales!C128)=1,SUMIFS('Cashflow Projection'!$C$119:$C$151,'Cashflow Projection'!$D$119:$D$151,Sales!C128),+Sales!H128)</f>
        <v/>
      </c>
      <c r="X128" s="11">
        <f>IF(MOD(MONTH(W128), 2) &lt;&gt; 0, EOMONTH(W128, 2), EOMONTH(W128, 1))</f>
        <v/>
      </c>
      <c r="Y128" s="11">
        <f>EOMONTH(X128,1)</f>
        <v/>
      </c>
      <c r="Z128" t="b">
        <v>0</v>
      </c>
    </row>
    <row r="129">
      <c r="A129" s="3" t="inlineStr">
        <is>
          <t>Heron Fields</t>
        </is>
      </c>
      <c r="B129" s="3" t="inlineStr">
        <is>
          <t>B</t>
        </is>
      </c>
      <c r="C129" s="3" t="inlineStr">
        <is>
          <t>HFB314</t>
        </is>
      </c>
      <c r="D129" s="3" t="b">
        <v>1</v>
      </c>
      <c r="E129" s="3" t="b">
        <v>1</v>
      </c>
      <c r="F129" s="3">
        <f>IF(OR(Z129=TRUE,SUMIFS('Cashflow Projection'!$E$119:$E$151,'Cashflow Projection'!$D$119:$D$151,Sales!C129)=1),0,SUMIFS('Cashflow Projection'!$C$7:$C$23,'Cashflow Projection'!$B$7:$B$23,Sales!B129,'Cashflow Projection'!$A$7:$A$23,Sales!A129))</f>
        <v/>
      </c>
      <c r="G129" s="4" t="n">
        <v>45027</v>
      </c>
      <c r="H129" s="4" t="n">
        <v>45688</v>
      </c>
      <c r="I129" s="3" t="n">
        <v>1429900</v>
      </c>
      <c r="J129" s="3" t="n">
        <v>186508.6956521739</v>
      </c>
      <c r="K129" s="3" t="n">
        <v>1243391.304347826</v>
      </c>
      <c r="L129" s="3" t="n">
        <v>18502.08</v>
      </c>
      <c r="M129" s="3" t="n">
        <v>1789</v>
      </c>
      <c r="N129" s="3" t="n">
        <v>7149.5</v>
      </c>
      <c r="O129" s="3" t="n">
        <v>71495</v>
      </c>
      <c r="P129" s="3" t="n">
        <v>19224.37</v>
      </c>
      <c r="Q129" s="9">
        <f>K129-SUM(L129:P129)</f>
        <v/>
      </c>
      <c r="R129" s="10">
        <f>IF($F129=1,((SUMIFS(Investors!$M:$M,Investors!$E:$E,Sales!$C129,Investors!$O:$O,FALSE)+SUMIFS(Investors!$S:$S,Investors!$E:$E,Sales!$C129,Investors!$O:$O,FALSE))*$F129)-SUMIFS('Investor Exit List'!$Q:$Q,'Investor Exit List'!$Y:$Y,1,'Investor Exit List'!$Z:$Z,"Release",'Investor Exit List'!$C:$C,Sales!$C129),(SUMIFS(Investors!$M:$M,Investors!$E:$E,Sales!$C129,Investors!$O:$O,FALSE)+SUMIFS(Investors!$S:$S,Investors!$E:$E,Sales!$C129,Investors!$O:$O,FALSE))*$F129)</f>
        <v/>
      </c>
      <c r="S129" s="10">
        <f>IF(T129=FALSE,Q129-R129,+V129)</f>
        <v/>
      </c>
      <c r="T129" s="3">
        <f>IF(SUMIFS('Cashflow Projection'!$E$119:$E$151,'Cashflow Projection'!$D$119:$D$151,Sales!C129)&lt;&gt;0,TRUE,FALSE)</f>
        <v/>
      </c>
      <c r="U129" s="4" t="n">
        <v>45747</v>
      </c>
      <c r="V129" s="10" t="n">
        <v>0</v>
      </c>
      <c r="W129" s="11">
        <f>IF(SUMIFS('Cashflow Projection'!$E$119:$E$151,'Cashflow Projection'!$D$119:$D$151,Sales!C129)=1,SUMIFS('Cashflow Projection'!$C$119:$C$151,'Cashflow Projection'!$D$119:$D$151,Sales!C129),+Sales!H129)</f>
        <v/>
      </c>
      <c r="X129" s="11">
        <f>IF(MOD(MONTH(W129), 2) &lt;&gt; 0, EOMONTH(W129, 2), EOMONTH(W129, 1))</f>
        <v/>
      </c>
      <c r="Y129" s="11">
        <f>EOMONTH(X129,1)</f>
        <v/>
      </c>
      <c r="Z129" t="b">
        <v>0</v>
      </c>
    </row>
    <row r="130">
      <c r="A130" s="3" t="inlineStr">
        <is>
          <t>Heron Fields</t>
        </is>
      </c>
      <c r="B130" s="3" t="inlineStr">
        <is>
          <t>B</t>
        </is>
      </c>
      <c r="C130" s="3" t="inlineStr">
        <is>
          <t>HFB210</t>
        </is>
      </c>
      <c r="D130" s="3" t="b">
        <v>0</v>
      </c>
      <c r="E130" s="3" t="b">
        <v>0</v>
      </c>
      <c r="F130" s="3">
        <f>IF(OR(Z130=TRUE,SUMIFS('Cashflow Projection'!$E$119:$E$151,'Cashflow Projection'!$D$119:$D$151,Sales!C130)=1),0,SUMIFS('Cashflow Projection'!$C$7:$C$23,'Cashflow Projection'!$B$7:$B$23,Sales!B130,'Cashflow Projection'!$A$7:$A$23,Sales!A130))</f>
        <v/>
      </c>
      <c r="G130" s="4" t="n">
        <v>45439</v>
      </c>
      <c r="H130" s="4" t="n">
        <v>45458</v>
      </c>
      <c r="I130" s="3" t="n">
        <v>1499900</v>
      </c>
      <c r="J130" s="3" t="n">
        <v>0</v>
      </c>
      <c r="K130" s="3" t="n">
        <v>1304260.869565218</v>
      </c>
      <c r="L130" s="3" t="n">
        <v>18502.08</v>
      </c>
      <c r="M130" s="3" t="n">
        <v>1789</v>
      </c>
      <c r="N130" s="3" t="n">
        <v>7499.5</v>
      </c>
      <c r="O130" s="3" t="n">
        <v>74995</v>
      </c>
      <c r="P130" s="3" t="n">
        <v>19224.37</v>
      </c>
      <c r="Q130" s="9">
        <f>K130-SUM(L130:P130)</f>
        <v/>
      </c>
      <c r="R130" s="10">
        <f>IF($F130=1,((SUMIFS(Investors!$M:$M,Investors!$E:$E,Sales!$C130,Investors!$O:$O,FALSE)+SUMIFS(Investors!$S:$S,Investors!$E:$E,Sales!$C130,Investors!$O:$O,FALSE))*$F130)-SUMIFS('Investor Exit List'!$Q:$Q,'Investor Exit List'!$Y:$Y,1,'Investor Exit List'!$Z:$Z,"Release",'Investor Exit List'!$C:$C,Sales!$C130),(SUMIFS(Investors!$M:$M,Investors!$E:$E,Sales!$C130,Investors!$O:$O,FALSE)+SUMIFS(Investors!$S:$S,Investors!$E:$E,Sales!$C130,Investors!$O:$O,FALSE))*$F130)</f>
        <v/>
      </c>
      <c r="S130" s="10">
        <f>IF(T130=FALSE,Q130-R130,+V130)</f>
        <v/>
      </c>
      <c r="T130" s="3">
        <f>IF(SUMIFS('Cashflow Projection'!$E$119:$E$151,'Cashflow Projection'!$D$119:$D$151,Sales!C130)&lt;&gt;0,TRUE,FALSE)</f>
        <v/>
      </c>
      <c r="U130" s="4" t="n">
        <v>45504</v>
      </c>
      <c r="V130" s="10" t="n">
        <v>902100</v>
      </c>
      <c r="W130" s="11">
        <f>IF(SUMIFS('Cashflow Projection'!$E$119:$E$151,'Cashflow Projection'!$D$119:$D$151,Sales!C130)=1,SUMIFS('Cashflow Projection'!$C$119:$C$151,'Cashflow Projection'!$D$119:$D$151,Sales!C130),+Sales!H130)</f>
        <v/>
      </c>
      <c r="X130" s="11">
        <f>IF(MOD(MONTH(W130), 2) &lt;&gt; 0, EOMONTH(W130, 2), EOMONTH(W130, 1))</f>
        <v/>
      </c>
      <c r="Y130" s="11">
        <f>EOMONTH(X130,1)</f>
        <v/>
      </c>
      <c r="Z130" t="b">
        <v>0</v>
      </c>
    </row>
    <row r="131">
      <c r="A131" s="3" t="inlineStr">
        <is>
          <t>Heron Fields</t>
        </is>
      </c>
      <c r="B131" s="3" t="inlineStr">
        <is>
          <t>B</t>
        </is>
      </c>
      <c r="C131" s="3" t="inlineStr">
        <is>
          <t>HFB315</t>
        </is>
      </c>
      <c r="D131" s="3" t="b">
        <v>1</v>
      </c>
      <c r="E131" s="3" t="b">
        <v>1</v>
      </c>
      <c r="F131" s="3">
        <f>IF(OR(Z131=TRUE,SUMIFS('Cashflow Projection'!$E$119:$E$151,'Cashflow Projection'!$D$119:$D$151,Sales!C131)=1),0,SUMIFS('Cashflow Projection'!$C$7:$C$23,'Cashflow Projection'!$B$7:$B$23,Sales!B131,'Cashflow Projection'!$A$7:$A$23,Sales!A131))</f>
        <v/>
      </c>
      <c r="G131" s="4" t="n">
        <v>45204</v>
      </c>
      <c r="H131" s="4" t="n">
        <v>45688</v>
      </c>
      <c r="I131" s="3" t="n">
        <v>1429900</v>
      </c>
      <c r="J131" s="3" t="n">
        <v>186508.6956521739</v>
      </c>
      <c r="K131" s="3" t="n">
        <v>1243391.304347826</v>
      </c>
      <c r="L131" s="3" t="n">
        <v>18502.08</v>
      </c>
      <c r="M131" s="3" t="n">
        <v>1789</v>
      </c>
      <c r="N131" s="3" t="n">
        <v>7149.5</v>
      </c>
      <c r="O131" s="3" t="n">
        <v>71495</v>
      </c>
      <c r="P131" s="3" t="n">
        <v>19224.37</v>
      </c>
      <c r="Q131" s="9">
        <f>K131-SUM(L131:P131)</f>
        <v/>
      </c>
      <c r="R131" s="10">
        <f>IF($F131=1,((SUMIFS(Investors!$M:$M,Investors!$E:$E,Sales!$C131,Investors!$O:$O,FALSE)+SUMIFS(Investors!$S:$S,Investors!$E:$E,Sales!$C131,Investors!$O:$O,FALSE))*$F131)-SUMIFS('Investor Exit List'!$Q:$Q,'Investor Exit List'!$Y:$Y,1,'Investor Exit List'!$Z:$Z,"Release",'Investor Exit List'!$C:$C,Sales!$C131),(SUMIFS(Investors!$M:$M,Investors!$E:$E,Sales!$C131,Investors!$O:$O,FALSE)+SUMIFS(Investors!$S:$S,Investors!$E:$E,Sales!$C131,Investors!$O:$O,FALSE))*$F131)</f>
        <v/>
      </c>
      <c r="S131" s="10">
        <f>IF(T131=FALSE,Q131-R131,+V131)</f>
        <v/>
      </c>
      <c r="T131" s="3">
        <f>IF(SUMIFS('Cashflow Projection'!$E$119:$E$151,'Cashflow Projection'!$D$119:$D$151,Sales!C131)&lt;&gt;0,TRUE,FALSE)</f>
        <v/>
      </c>
      <c r="U131" s="4" t="n">
        <v>45747</v>
      </c>
      <c r="V131" s="10" t="n">
        <v>0</v>
      </c>
      <c r="W131" s="11">
        <f>IF(SUMIFS('Cashflow Projection'!$E$119:$E$151,'Cashflow Projection'!$D$119:$D$151,Sales!C131)=1,SUMIFS('Cashflow Projection'!$C$119:$C$151,'Cashflow Projection'!$D$119:$D$151,Sales!C131),+Sales!H131)</f>
        <v/>
      </c>
      <c r="X131" s="11">
        <f>IF(MOD(MONTH(W131), 2) &lt;&gt; 0, EOMONTH(W131, 2), EOMONTH(W131, 1))</f>
        <v/>
      </c>
      <c r="Y131" s="11">
        <f>EOMONTH(X131,1)</f>
        <v/>
      </c>
      <c r="Z131" t="b">
        <v>0</v>
      </c>
    </row>
    <row r="132">
      <c r="A132" s="3" t="inlineStr">
        <is>
          <t>Heron Fields</t>
        </is>
      </c>
      <c r="B132" s="3" t="inlineStr">
        <is>
          <t>B</t>
        </is>
      </c>
      <c r="C132" s="3" t="inlineStr">
        <is>
          <t>HFB301</t>
        </is>
      </c>
      <c r="D132" s="3" t="b">
        <v>1</v>
      </c>
      <c r="E132" s="3" t="b">
        <v>1</v>
      </c>
      <c r="F132" s="3">
        <f>IF(OR(Z132=TRUE,SUMIFS('Cashflow Projection'!$E$119:$E$151,'Cashflow Projection'!$D$119:$D$151,Sales!C132)=1),0,SUMIFS('Cashflow Projection'!$C$7:$C$23,'Cashflow Projection'!$B$7:$B$23,Sales!B132,'Cashflow Projection'!$A$7:$A$23,Sales!A132))</f>
        <v/>
      </c>
      <c r="G132" s="4" t="n">
        <v>44956</v>
      </c>
      <c r="H132" s="4" t="n">
        <v>45688</v>
      </c>
      <c r="I132" s="3" t="n">
        <v>1499900</v>
      </c>
      <c r="J132" s="3" t="n">
        <v>195639.1304347826</v>
      </c>
      <c r="K132" s="3" t="n">
        <v>1304260.869565218</v>
      </c>
      <c r="L132" s="3" t="n">
        <v>18502.08</v>
      </c>
      <c r="M132" s="3" t="n">
        <v>1789</v>
      </c>
      <c r="N132" s="3" t="n">
        <v>7499.5</v>
      </c>
      <c r="O132" s="3" t="n">
        <v>74995</v>
      </c>
      <c r="P132" s="3" t="n">
        <v>19224.37</v>
      </c>
      <c r="Q132" s="9">
        <f>K132-SUM(L132:P132)</f>
        <v/>
      </c>
      <c r="R132" s="10">
        <f>IF($F132=1,((SUMIFS(Investors!$M:$M,Investors!$E:$E,Sales!$C132,Investors!$O:$O,FALSE)+SUMIFS(Investors!$S:$S,Investors!$E:$E,Sales!$C132,Investors!$O:$O,FALSE))*$F132)-SUMIFS('Investor Exit List'!$Q:$Q,'Investor Exit List'!$Y:$Y,1,'Investor Exit List'!$Z:$Z,"Release",'Investor Exit List'!$C:$C,Sales!$C132),(SUMIFS(Investors!$M:$M,Investors!$E:$E,Sales!$C132,Investors!$O:$O,FALSE)+SUMIFS(Investors!$S:$S,Investors!$E:$E,Sales!$C132,Investors!$O:$O,FALSE))*$F132)</f>
        <v/>
      </c>
      <c r="S132" s="10">
        <f>IF(T132=FALSE,Q132-R132,+V132)</f>
        <v/>
      </c>
      <c r="T132" s="3">
        <f>IF(SUMIFS('Cashflow Projection'!$E$119:$E$151,'Cashflow Projection'!$D$119:$D$151,Sales!C132)&lt;&gt;0,TRUE,FALSE)</f>
        <v/>
      </c>
      <c r="U132" s="4" t="n">
        <v>45747</v>
      </c>
      <c r="V132" s="10" t="n">
        <v>211441.4198630136</v>
      </c>
      <c r="W132" s="11">
        <f>IF(SUMIFS('Cashflow Projection'!$E$119:$E$151,'Cashflow Projection'!$D$119:$D$151,Sales!C132)=1,SUMIFS('Cashflow Projection'!$C$119:$C$151,'Cashflow Projection'!$D$119:$D$151,Sales!C132),+Sales!H132)</f>
        <v/>
      </c>
      <c r="X132" s="11">
        <f>IF(MOD(MONTH(W132), 2) &lt;&gt; 0, EOMONTH(W132, 2), EOMONTH(W132, 1))</f>
        <v/>
      </c>
      <c r="Y132" s="11">
        <f>EOMONTH(X132,1)</f>
        <v/>
      </c>
      <c r="Z132" t="b">
        <v>0</v>
      </c>
    </row>
    <row r="133">
      <c r="A133" s="3" t="inlineStr">
        <is>
          <t>Heron View</t>
        </is>
      </c>
      <c r="B133" s="3" t="inlineStr">
        <is>
          <t>D</t>
        </is>
      </c>
      <c r="C133" s="3" t="inlineStr">
        <is>
          <t>HVD104</t>
        </is>
      </c>
      <c r="D133" s="3" t="b">
        <v>1</v>
      </c>
      <c r="E133" s="3" t="b">
        <v>1</v>
      </c>
      <c r="F133" s="3">
        <f>IF(OR(Z133=TRUE,SUMIFS('Cashflow Projection'!$E$119:$E$151,'Cashflow Projection'!$D$119:$D$151,Sales!C133)=1),0,SUMIFS('Cashflow Projection'!$C$7:$C$23,'Cashflow Projection'!$B$7:$B$23,Sales!B133,'Cashflow Projection'!$A$7:$A$23,Sales!A133))</f>
        <v/>
      </c>
      <c r="G133" s="4" t="n">
        <v>45336</v>
      </c>
      <c r="H133" s="4" t="n">
        <v>45688</v>
      </c>
      <c r="I133" s="3" t="n">
        <v>1699900</v>
      </c>
      <c r="J133" s="3" t="n">
        <v>221726.0869565217</v>
      </c>
      <c r="K133" s="3" t="n">
        <v>1478173.913043478</v>
      </c>
      <c r="L133" s="3" t="n">
        <v>18502.08</v>
      </c>
      <c r="M133" s="3" t="n">
        <v>1789</v>
      </c>
      <c r="N133" s="3" t="n">
        <v>8499.5</v>
      </c>
      <c r="O133" s="3" t="n">
        <v>84995</v>
      </c>
      <c r="P133" s="3" t="n">
        <v>19224.37</v>
      </c>
      <c r="Q133" s="9">
        <f>K133-SUM(L133:P133)</f>
        <v/>
      </c>
      <c r="R133" s="10">
        <f>IF($F133=1,((SUMIFS(Investors!$M:$M,Investors!$E:$E,Sales!$C133,Investors!$O:$O,FALSE)+SUMIFS(Investors!$S:$S,Investors!$E:$E,Sales!$C133,Investors!$O:$O,FALSE))*$F133)-SUMIFS('Investor Exit List'!$Q:$Q,'Investor Exit List'!$Y:$Y,1,'Investor Exit List'!$Z:$Z,"Release",'Investor Exit List'!$C:$C,Sales!$C133),(SUMIFS(Investors!$M:$M,Investors!$E:$E,Sales!$C133,Investors!$O:$O,FALSE)+SUMIFS(Investors!$S:$S,Investors!$E:$E,Sales!$C133,Investors!$O:$O,FALSE))*$F133)</f>
        <v/>
      </c>
      <c r="S133" s="10">
        <f>IF(T133=FALSE,Q133-R133,+V133)</f>
        <v/>
      </c>
      <c r="T133" s="3">
        <f>IF(SUMIFS('Cashflow Projection'!$E$119:$E$151,'Cashflow Projection'!$D$119:$D$151,Sales!C133)&lt;&gt;0,TRUE,FALSE)</f>
        <v/>
      </c>
      <c r="U133" s="4" t="n">
        <v>45747</v>
      </c>
      <c r="V133" s="10" t="n">
        <v>290152.7237819175</v>
      </c>
      <c r="W133" s="11">
        <f>IF(SUMIFS('Cashflow Projection'!$E$119:$E$151,'Cashflow Projection'!$D$119:$D$151,Sales!C133)=1,SUMIFS('Cashflow Projection'!$C$119:$C$151,'Cashflow Projection'!$D$119:$D$151,Sales!C133),+Sales!H133)</f>
        <v/>
      </c>
      <c r="X133" s="11">
        <f>IF(MOD(MONTH(W133), 2) &lt;&gt; 0, EOMONTH(W133, 2), EOMONTH(W133, 1))</f>
        <v/>
      </c>
      <c r="Y133" s="11">
        <f>EOMONTH(X133,1)</f>
        <v/>
      </c>
      <c r="Z133" t="b">
        <v>0</v>
      </c>
    </row>
    <row r="134">
      <c r="A134" s="3" t="inlineStr">
        <is>
          <t>Heron View</t>
        </is>
      </c>
      <c r="B134" s="3" t="inlineStr">
        <is>
          <t>C</t>
        </is>
      </c>
      <c r="C134" s="3" t="inlineStr">
        <is>
          <t>HVC101</t>
        </is>
      </c>
      <c r="D134" s="3" t="b">
        <v>1</v>
      </c>
      <c r="E134" s="3" t="b">
        <v>1</v>
      </c>
      <c r="F134" s="3">
        <f>IF(OR(Z134=TRUE,SUMIFS('Cashflow Projection'!$E$119:$E$151,'Cashflow Projection'!$D$119:$D$151,Sales!C134)=1),0,SUMIFS('Cashflow Projection'!$C$7:$C$23,'Cashflow Projection'!$B$7:$B$23,Sales!B134,'Cashflow Projection'!$A$7:$A$23,Sales!A134))</f>
        <v/>
      </c>
      <c r="G134" s="4" t="n">
        <v>45154</v>
      </c>
      <c r="H134" s="4" t="n">
        <v>45688</v>
      </c>
      <c r="I134" s="3" t="n">
        <v>1649900</v>
      </c>
      <c r="J134" s="3" t="n">
        <v>215204.3478260869</v>
      </c>
      <c r="K134" s="3" t="n">
        <v>1434695.652173913</v>
      </c>
      <c r="L134" s="3" t="n">
        <v>18502.08</v>
      </c>
      <c r="M134" s="3" t="n">
        <v>1789</v>
      </c>
      <c r="N134" s="3" t="n">
        <v>8249.5</v>
      </c>
      <c r="O134" s="3" t="n">
        <v>82495</v>
      </c>
      <c r="P134" s="3" t="n">
        <v>19224.37</v>
      </c>
      <c r="Q134" s="9">
        <f>K134-SUM(L134:P134)</f>
        <v/>
      </c>
      <c r="R134" s="10">
        <f>IF($F134=1,((SUMIFS(Investors!$M:$M,Investors!$E:$E,Sales!$C134,Investors!$O:$O,FALSE)+SUMIFS(Investors!$S:$S,Investors!$E:$E,Sales!$C134,Investors!$O:$O,FALSE))*$F134)-SUMIFS('Investor Exit List'!$Q:$Q,'Investor Exit List'!$Y:$Y,1,'Investor Exit List'!$Z:$Z,"Release",'Investor Exit List'!$C:$C,Sales!$C134),(SUMIFS(Investors!$M:$M,Investors!$E:$E,Sales!$C134,Investors!$O:$O,FALSE)+SUMIFS(Investors!$S:$S,Investors!$E:$E,Sales!$C134,Investors!$O:$O,FALSE))*$F134)</f>
        <v/>
      </c>
      <c r="S134" s="10">
        <f>IF(T134=FALSE,Q134-R134,+V134)</f>
        <v/>
      </c>
      <c r="T134" s="3">
        <f>IF(SUMIFS('Cashflow Projection'!$E$119:$E$151,'Cashflow Projection'!$D$119:$D$151,Sales!C134)&lt;&gt;0,TRUE,FALSE)</f>
        <v/>
      </c>
      <c r="U134" s="4" t="n">
        <v>45747</v>
      </c>
      <c r="V134" s="10" t="n">
        <v>248020.03729726</v>
      </c>
      <c r="W134" s="11">
        <f>IF(SUMIFS('Cashflow Projection'!$E$119:$E$151,'Cashflow Projection'!$D$119:$D$151,Sales!C134)=1,SUMIFS('Cashflow Projection'!$C$119:$C$151,'Cashflow Projection'!$D$119:$D$151,Sales!C134),+Sales!H134)</f>
        <v/>
      </c>
      <c r="X134" s="11">
        <f>IF(MOD(MONTH(W134), 2) &lt;&gt; 0, EOMONTH(W134, 2), EOMONTH(W134, 1))</f>
        <v/>
      </c>
      <c r="Y134" s="11">
        <f>EOMONTH(X134,1)</f>
        <v/>
      </c>
      <c r="Z134" t="b">
        <v>0</v>
      </c>
    </row>
    <row r="135">
      <c r="A135" s="3" t="inlineStr">
        <is>
          <t>Heron View</t>
        </is>
      </c>
      <c r="B135" s="3" t="inlineStr">
        <is>
          <t>C</t>
        </is>
      </c>
      <c r="C135" s="3" t="inlineStr">
        <is>
          <t>HVC306</t>
        </is>
      </c>
      <c r="D135" s="3" t="b">
        <v>1</v>
      </c>
      <c r="E135" s="3" t="b">
        <v>1</v>
      </c>
      <c r="F135" s="3">
        <f>IF(OR(Z135=TRUE,SUMIFS('Cashflow Projection'!$E$119:$E$151,'Cashflow Projection'!$D$119:$D$151,Sales!C135)=1),0,SUMIFS('Cashflow Projection'!$C$7:$C$23,'Cashflow Projection'!$B$7:$B$23,Sales!B135,'Cashflow Projection'!$A$7:$A$23,Sales!A135))</f>
        <v/>
      </c>
      <c r="G135" s="4" t="n">
        <v>45429</v>
      </c>
      <c r="H135" s="4" t="n">
        <v>45394</v>
      </c>
      <c r="I135" s="3" t="n">
        <v>1519900</v>
      </c>
      <c r="J135" s="3" t="n">
        <v>198247.8260869565</v>
      </c>
      <c r="K135" s="3" t="n">
        <v>1321652.173913044</v>
      </c>
      <c r="L135" s="3" t="n">
        <v>18502.08</v>
      </c>
      <c r="M135" s="3" t="n">
        <v>1789</v>
      </c>
      <c r="N135" s="3" t="n">
        <v>7599.5</v>
      </c>
      <c r="O135" s="3" t="n">
        <v>75995</v>
      </c>
      <c r="P135" s="3" t="n">
        <v>19224.37</v>
      </c>
      <c r="Q135" s="9">
        <f>K135-SUM(L135:P135)</f>
        <v/>
      </c>
      <c r="R135" s="10">
        <f>IF($F135=1,((SUMIFS(Investors!$M:$M,Investors!$E:$E,Sales!$C135,Investors!$O:$O,FALSE)+SUMIFS(Investors!$S:$S,Investors!$E:$E,Sales!$C135,Investors!$O:$O,FALSE))*$F135)-SUMIFS('Investor Exit List'!$Q:$Q,'Investor Exit List'!$Y:$Y,1,'Investor Exit List'!$Z:$Z,"Release",'Investor Exit List'!$C:$C,Sales!$C135),(SUMIFS(Investors!$M:$M,Investors!$E:$E,Sales!$C135,Investors!$O:$O,FALSE)+SUMIFS(Investors!$S:$S,Investors!$E:$E,Sales!$C135,Investors!$O:$O,FALSE))*$F135)</f>
        <v/>
      </c>
      <c r="S135" s="10">
        <f>IF(T135=FALSE,Q135-R135,+V135)</f>
        <v/>
      </c>
      <c r="T135" s="3">
        <f>IF(SUMIFS('Cashflow Projection'!$E$119:$E$151,'Cashflow Projection'!$D$119:$D$151,Sales!C135)&lt;&gt;0,TRUE,FALSE)</f>
        <v/>
      </c>
      <c r="U135" s="4" t="n">
        <v>45443</v>
      </c>
      <c r="V135" s="10" t="n">
        <v>16425.66643835604</v>
      </c>
      <c r="W135" s="11">
        <f>IF(SUMIFS('Cashflow Projection'!$E$119:$E$151,'Cashflow Projection'!$D$119:$D$151,Sales!C135)=1,SUMIFS('Cashflow Projection'!$C$119:$C$151,'Cashflow Projection'!$D$119:$D$151,Sales!C135),+Sales!H135)</f>
        <v/>
      </c>
      <c r="X135" s="11">
        <f>IF(MOD(MONTH(W135), 2) &lt;&gt; 0, EOMONTH(W135, 2), EOMONTH(W135, 1))</f>
        <v/>
      </c>
      <c r="Y135" s="11">
        <f>EOMONTH(X135,1)</f>
        <v/>
      </c>
      <c r="Z135" t="b">
        <v>0</v>
      </c>
    </row>
    <row r="136">
      <c r="A136" s="3" t="inlineStr">
        <is>
          <t>Heron View</t>
        </is>
      </c>
      <c r="B136" s="3" t="inlineStr">
        <is>
          <t>H</t>
        </is>
      </c>
      <c r="C136" s="3" t="inlineStr">
        <is>
          <t>HVH203</t>
        </is>
      </c>
      <c r="D136" s="3" t="b">
        <v>1</v>
      </c>
      <c r="E136" s="3" t="b">
        <v>0</v>
      </c>
      <c r="F136" s="3">
        <f>IF(OR(Z136=TRUE,SUMIFS('Cashflow Projection'!$E$119:$E$151,'Cashflow Projection'!$D$119:$D$151,Sales!C136)=1),0,SUMIFS('Cashflow Projection'!$C$7:$C$23,'Cashflow Projection'!$B$7:$B$23,Sales!B136,'Cashflow Projection'!$A$7:$A$23,Sales!A136))</f>
        <v/>
      </c>
      <c r="G136" s="4" t="n">
        <v>45490</v>
      </c>
      <c r="H136" s="4" t="n">
        <v>45490</v>
      </c>
      <c r="I136" s="3" t="n">
        <v>1690999</v>
      </c>
      <c r="J136" s="3" t="n">
        <v>220565.0869565217</v>
      </c>
      <c r="K136" s="3" t="n">
        <v>1470433.913043478</v>
      </c>
      <c r="L136" s="3" t="n">
        <v>18502.08</v>
      </c>
      <c r="M136" s="3" t="n">
        <v>1789</v>
      </c>
      <c r="N136" s="3" t="n">
        <v>8454.995000000001</v>
      </c>
      <c r="O136" s="3" t="n">
        <v>84549.95000000001</v>
      </c>
      <c r="P136" s="3" t="n">
        <v>19224.37</v>
      </c>
      <c r="Q136" s="9">
        <f>K136-SUM(L136:P136)</f>
        <v/>
      </c>
      <c r="R136" s="10">
        <f>IF($F136=1,((SUMIFS(Investors!$M:$M,Investors!$E:$E,Sales!$C136,Investors!$O:$O,FALSE)+SUMIFS(Investors!$S:$S,Investors!$E:$E,Sales!$C136,Investors!$O:$O,FALSE))*$F136)-SUMIFS('Investor Exit List'!$Q:$Q,'Investor Exit List'!$Y:$Y,1,'Investor Exit List'!$Z:$Z,"Release",'Investor Exit List'!$C:$C,Sales!$C136),(SUMIFS(Investors!$M:$M,Investors!$E:$E,Sales!$C136,Investors!$O:$O,FALSE)+SUMIFS(Investors!$S:$S,Investors!$E:$E,Sales!$C136,Investors!$O:$O,FALSE))*$F136)</f>
        <v/>
      </c>
      <c r="S136" s="10">
        <f>IF(T136=FALSE,Q136-R136,+V136)</f>
        <v/>
      </c>
      <c r="T136" s="3">
        <f>IF(SUMIFS('Cashflow Projection'!$E$119:$E$151,'Cashflow Projection'!$D$119:$D$151,Sales!C136)&lt;&gt;0,TRUE,FALSE)</f>
        <v/>
      </c>
      <c r="U136" s="4" t="n">
        <v>45565</v>
      </c>
      <c r="V136" s="10" t="n">
        <v>334464.9063698628</v>
      </c>
      <c r="W136" s="11">
        <f>IF(SUMIFS('Cashflow Projection'!$E$119:$E$151,'Cashflow Projection'!$D$119:$D$151,Sales!C136)=1,SUMIFS('Cashflow Projection'!$C$119:$C$151,'Cashflow Projection'!$D$119:$D$151,Sales!C136),+Sales!H136)</f>
        <v/>
      </c>
      <c r="X136" s="11">
        <f>IF(MOD(MONTH(W136), 2) &lt;&gt; 0, EOMONTH(W136, 2), EOMONTH(W136, 1))</f>
        <v/>
      </c>
      <c r="Y136" s="11">
        <f>EOMONTH(X136,1)</f>
        <v/>
      </c>
      <c r="Z136" t="b">
        <v>0</v>
      </c>
    </row>
    <row r="137">
      <c r="A137" s="3" t="inlineStr">
        <is>
          <t>Heron View</t>
        </is>
      </c>
      <c r="B137" s="3" t="inlineStr">
        <is>
          <t>M</t>
        </is>
      </c>
      <c r="C137" s="3" t="inlineStr">
        <is>
          <t>HVM101</t>
        </is>
      </c>
      <c r="D137" s="3" t="b">
        <v>0</v>
      </c>
      <c r="E137" s="3" t="b">
        <v>0</v>
      </c>
      <c r="F137" s="3">
        <f>IF(OR(Z137=TRUE,SUMIFS('Cashflow Projection'!$E$119:$E$151,'Cashflow Projection'!$D$119:$D$151,Sales!C137)=1),0,SUMIFS('Cashflow Projection'!$C$7:$C$23,'Cashflow Projection'!$B$7:$B$23,Sales!B137,'Cashflow Projection'!$A$7:$A$23,Sales!A137))</f>
        <v/>
      </c>
      <c r="G137" s="4" t="n">
        <v>45450</v>
      </c>
      <c r="H137" s="4" t="n">
        <v>45583</v>
      </c>
      <c r="I137" s="3" t="n">
        <v>1679900</v>
      </c>
      <c r="J137" s="3" t="n">
        <v>219117.3913043478</v>
      </c>
      <c r="K137" s="3" t="n">
        <v>1460782.608695652</v>
      </c>
      <c r="L137" s="3" t="n">
        <v>18502.08</v>
      </c>
      <c r="M137" s="3" t="n">
        <v>1789</v>
      </c>
      <c r="N137" s="3" t="n">
        <v>8399.5</v>
      </c>
      <c r="O137" s="3" t="n">
        <v>83995</v>
      </c>
      <c r="P137" s="3" t="n">
        <v>19224.37</v>
      </c>
      <c r="Q137" s="9">
        <f>K137-SUM(L137:P137)</f>
        <v/>
      </c>
      <c r="R137" s="10">
        <f>IF($F137=1,((SUMIFS(Investors!$M:$M,Investors!$E:$E,Sales!$C137,Investors!$O:$O,FALSE)+SUMIFS(Investors!$S:$S,Investors!$E:$E,Sales!$C137,Investors!$O:$O,FALSE))*$F137)-SUMIFS('Investor Exit List'!$Q:$Q,'Investor Exit List'!$Y:$Y,1,'Investor Exit List'!$Z:$Z,"Release",'Investor Exit List'!$C:$C,Sales!$C137),(SUMIFS(Investors!$M:$M,Investors!$E:$E,Sales!$C137,Investors!$O:$O,FALSE)+SUMIFS(Investors!$S:$S,Investors!$E:$E,Sales!$C137,Investors!$O:$O,FALSE))*$F137)</f>
        <v/>
      </c>
      <c r="S137" s="10">
        <f>IF(T137=FALSE,Q137-R137,+V137)</f>
        <v/>
      </c>
      <c r="T137" s="3">
        <f>IF(SUMIFS('Cashflow Projection'!$E$119:$E$151,'Cashflow Projection'!$D$119:$D$151,Sales!C137)&lt;&gt;0,TRUE,FALSE)</f>
        <v/>
      </c>
      <c r="U137" s="4" t="n">
        <v>45626</v>
      </c>
      <c r="V137" s="10" t="n">
        <v>249566.1400757532</v>
      </c>
      <c r="W137" s="11">
        <f>IF(SUMIFS('Cashflow Projection'!$E$119:$E$151,'Cashflow Projection'!$D$119:$D$151,Sales!C137)=1,SUMIFS('Cashflow Projection'!$C$119:$C$151,'Cashflow Projection'!$D$119:$D$151,Sales!C137),+Sales!H137)</f>
        <v/>
      </c>
      <c r="X137" s="11">
        <f>IF(MOD(MONTH(W137), 2) &lt;&gt; 0, EOMONTH(W137, 2), EOMONTH(W137, 1))</f>
        <v/>
      </c>
      <c r="Y137" s="11">
        <f>EOMONTH(X137,1)</f>
        <v/>
      </c>
      <c r="Z137" t="b">
        <v>0</v>
      </c>
    </row>
    <row r="138">
      <c r="A138" s="3" t="inlineStr">
        <is>
          <t>Endulini</t>
        </is>
      </c>
      <c r="B138" s="3" t="inlineStr">
        <is>
          <t>D</t>
        </is>
      </c>
      <c r="C138" s="3" t="inlineStr">
        <is>
          <t>ED103</t>
        </is>
      </c>
      <c r="D138" s="3" t="b">
        <v>1</v>
      </c>
      <c r="E138" s="3" t="b">
        <v>1</v>
      </c>
      <c r="F138" s="3">
        <f>IF(OR(Z138=TRUE,SUMIFS('Cashflow Projection'!$E$119:$E$151,'Cashflow Projection'!$D$119:$D$151,Sales!C138)=1),0,SUMIFS('Cashflow Projection'!$C$7:$C$23,'Cashflow Projection'!$B$7:$B$23,Sales!B138,'Cashflow Projection'!$A$7:$A$23,Sales!A138))</f>
        <v/>
      </c>
      <c r="G138" s="4" t="n">
        <v>44781</v>
      </c>
      <c r="H138" s="4" t="n">
        <v>45688</v>
      </c>
      <c r="I138" s="3" t="n">
        <v>1444999</v>
      </c>
      <c r="J138" s="3" t="n">
        <v>188478.1304347826</v>
      </c>
      <c r="K138" s="3" t="n">
        <v>1256520.869565218</v>
      </c>
      <c r="L138" s="3" t="n">
        <v>18502.08</v>
      </c>
      <c r="M138" s="3" t="n">
        <v>1789</v>
      </c>
      <c r="N138" s="3" t="n">
        <v>7224.995</v>
      </c>
      <c r="O138" s="3" t="n">
        <v>72249.95</v>
      </c>
      <c r="P138" s="3" t="n">
        <v>19224.37</v>
      </c>
      <c r="Q138" s="9">
        <f>K138-SUM(L138:P138)</f>
        <v/>
      </c>
      <c r="R138" s="10">
        <f>IF($F138=1,((SUMIFS(Investors!$M:$M,Investors!$E:$E,Sales!$C138,Investors!$O:$O,FALSE)+SUMIFS(Investors!$S:$S,Investors!$E:$E,Sales!$C138,Investors!$O:$O,FALSE))*$F138)-SUMIFS('Investor Exit List'!$Q:$Q,'Investor Exit List'!$Y:$Y,1,'Investor Exit List'!$Z:$Z,"Release",'Investor Exit List'!$C:$C,Sales!$C138),(SUMIFS(Investors!$M:$M,Investors!$E:$E,Sales!$C138,Investors!$O:$O,FALSE)+SUMIFS(Investors!$S:$S,Investors!$E:$E,Sales!$C138,Investors!$O:$O,FALSE))*$F138)</f>
        <v/>
      </c>
      <c r="S138" s="10">
        <f>IF(T138=FALSE,Q138-R138,+V138)</f>
        <v/>
      </c>
      <c r="T138" s="3">
        <f>IF(SUMIFS('Cashflow Projection'!$E$119:$E$151,'Cashflow Projection'!$D$119:$D$151,Sales!C138)&lt;&gt;0,TRUE,FALSE)</f>
        <v/>
      </c>
      <c r="U138" s="4" t="n">
        <v>45747</v>
      </c>
      <c r="V138" s="10" t="n">
        <v>24912.71458904096</v>
      </c>
      <c r="W138" s="11">
        <f>IF(SUMIFS('Cashflow Projection'!$E$119:$E$151,'Cashflow Projection'!$D$119:$D$151,Sales!C138)=1,SUMIFS('Cashflow Projection'!$C$119:$C$151,'Cashflow Projection'!$D$119:$D$151,Sales!C138),+Sales!H138)</f>
        <v/>
      </c>
      <c r="X138" s="11">
        <f>IF(MOD(MONTH(W138), 2) &lt;&gt; 0, EOMONTH(W138, 2), EOMONTH(W138, 1))</f>
        <v/>
      </c>
      <c r="Y138" s="11">
        <f>EOMONTH(X138,1)</f>
        <v/>
      </c>
      <c r="Z138" t="b">
        <v>0</v>
      </c>
    </row>
    <row r="139">
      <c r="A139" s="3" t="inlineStr">
        <is>
          <t>Endulini</t>
        </is>
      </c>
      <c r="B139" s="3" t="inlineStr">
        <is>
          <t>E</t>
        </is>
      </c>
      <c r="C139" s="3" t="inlineStr">
        <is>
          <t>EE302</t>
        </is>
      </c>
      <c r="D139" s="3" t="b">
        <v>1</v>
      </c>
      <c r="E139" s="3" t="b">
        <v>1</v>
      </c>
      <c r="F139" s="3">
        <f>IF(OR(Z139=TRUE,SUMIFS('Cashflow Projection'!$E$119:$E$151,'Cashflow Projection'!$D$119:$D$151,Sales!C139)=1),0,SUMIFS('Cashflow Projection'!$C$7:$C$23,'Cashflow Projection'!$B$7:$B$23,Sales!B139,'Cashflow Projection'!$A$7:$A$23,Sales!A139))</f>
        <v/>
      </c>
      <c r="G139" s="4" t="n">
        <v>44700</v>
      </c>
      <c r="H139" s="4" t="n">
        <v>45688</v>
      </c>
      <c r="I139" s="3" t="n">
        <v>1444900</v>
      </c>
      <c r="J139" s="3" t="n">
        <v>188465.2173913044</v>
      </c>
      <c r="K139" s="3" t="n">
        <v>1256434.782608696</v>
      </c>
      <c r="L139" s="3" t="n">
        <v>18502.08</v>
      </c>
      <c r="M139" s="3" t="n">
        <v>1789</v>
      </c>
      <c r="N139" s="3" t="n">
        <v>7224.5</v>
      </c>
      <c r="O139" s="3" t="n">
        <v>72245</v>
      </c>
      <c r="P139" s="3" t="n">
        <v>19224.37</v>
      </c>
      <c r="Q139" s="9">
        <f>K139-SUM(L139:P139)</f>
        <v/>
      </c>
      <c r="R139" s="10">
        <f>IF($F139=1,((SUMIFS(Investors!$M:$M,Investors!$E:$E,Sales!$C139,Investors!$O:$O,FALSE)+SUMIFS(Investors!$S:$S,Investors!$E:$E,Sales!$C139,Investors!$O:$O,FALSE))*$F139)-SUMIFS('Investor Exit List'!$Q:$Q,'Investor Exit List'!$Y:$Y,1,'Investor Exit List'!$Z:$Z,"Release",'Investor Exit List'!$C:$C,Sales!$C139),(SUMIFS(Investors!$M:$M,Investors!$E:$E,Sales!$C139,Investors!$O:$O,FALSE)+SUMIFS(Investors!$S:$S,Investors!$E:$E,Sales!$C139,Investors!$O:$O,FALSE))*$F139)</f>
        <v/>
      </c>
      <c r="S139" s="10">
        <f>IF(T139=FALSE,Q139-R139,+V139)</f>
        <v/>
      </c>
      <c r="T139" s="3">
        <f>IF(SUMIFS('Cashflow Projection'!$E$119:$E$151,'Cashflow Projection'!$D$119:$D$151,Sales!C139)&lt;&gt;0,TRUE,FALSE)</f>
        <v/>
      </c>
      <c r="U139" s="4" t="n">
        <v>45747</v>
      </c>
      <c r="V139" s="10" t="n">
        <v>73946.19820499979</v>
      </c>
      <c r="W139" s="11">
        <f>IF(SUMIFS('Cashflow Projection'!$E$119:$E$151,'Cashflow Projection'!$D$119:$D$151,Sales!C139)=1,SUMIFS('Cashflow Projection'!$C$119:$C$151,'Cashflow Projection'!$D$119:$D$151,Sales!C139),+Sales!H139)</f>
        <v/>
      </c>
      <c r="X139" s="11">
        <f>IF(MOD(MONTH(W139), 2) &lt;&gt; 0, EOMONTH(W139, 2), EOMONTH(W139, 1))</f>
        <v/>
      </c>
      <c r="Y139" s="11">
        <f>EOMONTH(X139,1)</f>
        <v/>
      </c>
      <c r="Z139" t="b">
        <v>0</v>
      </c>
    </row>
    <row r="140">
      <c r="A140" s="3" t="inlineStr">
        <is>
          <t>Endulini</t>
        </is>
      </c>
      <c r="B140" s="3" t="inlineStr">
        <is>
          <t>E</t>
        </is>
      </c>
      <c r="C140" s="3" t="inlineStr">
        <is>
          <t>EE203</t>
        </is>
      </c>
      <c r="D140" s="3" t="b">
        <v>1</v>
      </c>
      <c r="E140" s="3" t="b">
        <v>1</v>
      </c>
      <c r="F140" s="3">
        <f>IF(OR(Z140=TRUE,SUMIFS('Cashflow Projection'!$E$119:$E$151,'Cashflow Projection'!$D$119:$D$151,Sales!C140)=1),0,SUMIFS('Cashflow Projection'!$C$7:$C$23,'Cashflow Projection'!$B$7:$B$23,Sales!B140,'Cashflow Projection'!$A$7:$A$23,Sales!A140))</f>
        <v/>
      </c>
      <c r="G140" s="4" t="n">
        <v>44701</v>
      </c>
      <c r="H140" s="4" t="n">
        <v>45688</v>
      </c>
      <c r="I140" s="3" t="n">
        <v>1389900</v>
      </c>
      <c r="J140" s="3" t="n">
        <v>181291.3043478261</v>
      </c>
      <c r="K140" s="3" t="n">
        <v>1208608.695652174</v>
      </c>
      <c r="L140" s="3" t="n">
        <v>18502.08</v>
      </c>
      <c r="M140" s="3" t="n">
        <v>1789</v>
      </c>
      <c r="N140" s="3" t="n">
        <v>6949.5</v>
      </c>
      <c r="O140" s="3" t="n">
        <v>69495</v>
      </c>
      <c r="P140" s="3" t="n">
        <v>19224.37</v>
      </c>
      <c r="Q140" s="9">
        <f>K140-SUM(L140:P140)</f>
        <v/>
      </c>
      <c r="R140" s="10">
        <f>IF($F140=1,((SUMIFS(Investors!$M:$M,Investors!$E:$E,Sales!$C140,Investors!$O:$O,FALSE)+SUMIFS(Investors!$S:$S,Investors!$E:$E,Sales!$C140,Investors!$O:$O,FALSE))*$F140)-SUMIFS('Investor Exit List'!$Q:$Q,'Investor Exit List'!$Y:$Y,1,'Investor Exit List'!$Z:$Z,"Release",'Investor Exit List'!$C:$C,Sales!$C140),(SUMIFS(Investors!$M:$M,Investors!$E:$E,Sales!$C140,Investors!$O:$O,FALSE)+SUMIFS(Investors!$S:$S,Investors!$E:$E,Sales!$C140,Investors!$O:$O,FALSE))*$F140)</f>
        <v/>
      </c>
      <c r="S140" s="10">
        <f>IF(T140=FALSE,Q140-R140,+V140)</f>
        <v/>
      </c>
      <c r="T140" s="3">
        <f>IF(SUMIFS('Cashflow Projection'!$E$119:$E$151,'Cashflow Projection'!$D$119:$D$151,Sales!C140)&lt;&gt;0,TRUE,FALSE)</f>
        <v/>
      </c>
      <c r="U140" s="4" t="n">
        <v>45747</v>
      </c>
      <c r="V140" s="10" t="n">
        <v>45446.89931506827</v>
      </c>
      <c r="W140" s="11">
        <f>IF(SUMIFS('Cashflow Projection'!$E$119:$E$151,'Cashflow Projection'!$D$119:$D$151,Sales!C140)=1,SUMIFS('Cashflow Projection'!$C$119:$C$151,'Cashflow Projection'!$D$119:$D$151,Sales!C140),+Sales!H140)</f>
        <v/>
      </c>
      <c r="X140" s="11">
        <f>IF(MOD(MONTH(W140), 2) &lt;&gt; 0, EOMONTH(W140, 2), EOMONTH(W140, 1))</f>
        <v/>
      </c>
      <c r="Y140" s="11">
        <f>EOMONTH(X140,1)</f>
        <v/>
      </c>
      <c r="Z140" t="b">
        <v>0</v>
      </c>
    </row>
    <row r="141">
      <c r="A141" s="3" t="inlineStr">
        <is>
          <t>Heron Fields</t>
        </is>
      </c>
      <c r="B141" s="3" t="inlineStr">
        <is>
          <t>A</t>
        </is>
      </c>
      <c r="C141" s="3" t="inlineStr">
        <is>
          <t>HFA105</t>
        </is>
      </c>
      <c r="D141" s="3" t="b">
        <v>1</v>
      </c>
      <c r="E141" s="3" t="b">
        <v>1</v>
      </c>
      <c r="F141" s="3">
        <f>IF(OR(Z141=TRUE,SUMIFS('Cashflow Projection'!$E$119:$E$151,'Cashflow Projection'!$D$119:$D$151,Sales!C141)=1),0,SUMIFS('Cashflow Projection'!$C$7:$C$23,'Cashflow Projection'!$B$7:$B$23,Sales!B141,'Cashflow Projection'!$A$7:$A$23,Sales!A141))</f>
        <v/>
      </c>
      <c r="G141" s="4" t="n">
        <v>44887</v>
      </c>
      <c r="H141" s="4" t="n">
        <v>45688</v>
      </c>
      <c r="I141" s="3" t="n">
        <v>1509900</v>
      </c>
      <c r="J141" s="3" t="n">
        <v>196943.4782608696</v>
      </c>
      <c r="K141" s="3" t="n">
        <v>1312956.521739131</v>
      </c>
      <c r="L141" s="3" t="n">
        <v>18502.08</v>
      </c>
      <c r="M141" s="3" t="n">
        <v>1789</v>
      </c>
      <c r="N141" s="3" t="n">
        <v>7549.5</v>
      </c>
      <c r="O141" s="3" t="n">
        <v>75495</v>
      </c>
      <c r="P141" s="3" t="n">
        <v>19224.37</v>
      </c>
      <c r="Q141" s="9">
        <f>K141-SUM(L141:P141)</f>
        <v/>
      </c>
      <c r="R141" s="10">
        <f>IF($F141=1,((SUMIFS(Investors!$M:$M,Investors!$E:$E,Sales!$C141,Investors!$O:$O,FALSE)+SUMIFS(Investors!$S:$S,Investors!$E:$E,Sales!$C141,Investors!$O:$O,FALSE))*$F141)-SUMIFS('Investor Exit List'!$Q:$Q,'Investor Exit List'!$Y:$Y,1,'Investor Exit List'!$Z:$Z,"Release",'Investor Exit List'!$C:$C,Sales!$C141),(SUMIFS(Investors!$M:$M,Investors!$E:$E,Sales!$C141,Investors!$O:$O,FALSE)+SUMIFS(Investors!$S:$S,Investors!$E:$E,Sales!$C141,Investors!$O:$O,FALSE))*$F141)</f>
        <v/>
      </c>
      <c r="S141" s="10">
        <f>IF(T141=FALSE,Q141-R141,+V141)</f>
        <v/>
      </c>
      <c r="T141" s="3">
        <f>IF(SUMIFS('Cashflow Projection'!$E$119:$E$151,'Cashflow Projection'!$D$119:$D$151,Sales!C141)&lt;&gt;0,TRUE,FALSE)</f>
        <v/>
      </c>
      <c r="U141" s="4" t="n">
        <v>45747</v>
      </c>
      <c r="V141" s="10" t="n">
        <v>447298.0458415067</v>
      </c>
      <c r="W141" s="11">
        <f>IF(SUMIFS('Cashflow Projection'!$E$119:$E$151,'Cashflow Projection'!$D$119:$D$151,Sales!C141)=1,SUMIFS('Cashflow Projection'!$C$119:$C$151,'Cashflow Projection'!$D$119:$D$151,Sales!C141),+Sales!H141)</f>
        <v/>
      </c>
      <c r="X141" s="11">
        <f>IF(MOD(MONTH(W141), 2) &lt;&gt; 0, EOMONTH(W141, 2), EOMONTH(W141, 1))</f>
        <v/>
      </c>
      <c r="Y141" s="11">
        <f>EOMONTH(X141,1)</f>
        <v/>
      </c>
      <c r="Z141" t="b">
        <v>0</v>
      </c>
    </row>
    <row r="142">
      <c r="A142" s="3" t="inlineStr">
        <is>
          <t>Heron Fields</t>
        </is>
      </c>
      <c r="B142" s="3" t="inlineStr">
        <is>
          <t>B</t>
        </is>
      </c>
      <c r="C142" s="3" t="inlineStr">
        <is>
          <t>HFB104</t>
        </is>
      </c>
      <c r="D142" s="3" t="b">
        <v>1</v>
      </c>
      <c r="E142" s="3" t="b">
        <v>1</v>
      </c>
      <c r="F142" s="3">
        <f>IF(OR(Z142=TRUE,SUMIFS('Cashflow Projection'!$E$119:$E$151,'Cashflow Projection'!$D$119:$D$151,Sales!C142)=1),0,SUMIFS('Cashflow Projection'!$C$7:$C$23,'Cashflow Projection'!$B$7:$B$23,Sales!B142,'Cashflow Projection'!$A$7:$A$23,Sales!A142))</f>
        <v/>
      </c>
      <c r="G142" s="4" t="n">
        <v>44908</v>
      </c>
      <c r="H142" s="4" t="n">
        <v>45688</v>
      </c>
      <c r="I142" s="3" t="n">
        <v>1579900</v>
      </c>
      <c r="J142" s="3" t="n">
        <v>206073.9130434782</v>
      </c>
      <c r="K142" s="3" t="n">
        <v>1373826.086956522</v>
      </c>
      <c r="L142" s="3" t="n">
        <v>18502.08</v>
      </c>
      <c r="M142" s="3" t="n">
        <v>1789</v>
      </c>
      <c r="N142" s="3" t="n">
        <v>7899.5</v>
      </c>
      <c r="O142" s="3" t="n">
        <v>78995</v>
      </c>
      <c r="P142" s="3" t="n">
        <v>19224.37</v>
      </c>
      <c r="Q142" s="9">
        <f>K142-SUM(L142:P142)</f>
        <v/>
      </c>
      <c r="R142" s="10">
        <f>IF($F142=1,((SUMIFS(Investors!$M:$M,Investors!$E:$E,Sales!$C142,Investors!$O:$O,FALSE)+SUMIFS(Investors!$S:$S,Investors!$E:$E,Sales!$C142,Investors!$O:$O,FALSE))*$F142)-SUMIFS('Investor Exit List'!$Q:$Q,'Investor Exit List'!$Y:$Y,1,'Investor Exit List'!$Z:$Z,"Release",'Investor Exit List'!$C:$C,Sales!$C142),(SUMIFS(Investors!$M:$M,Investors!$E:$E,Sales!$C142,Investors!$O:$O,FALSE)+SUMIFS(Investors!$S:$S,Investors!$E:$E,Sales!$C142,Investors!$O:$O,FALSE))*$F142)</f>
        <v/>
      </c>
      <c r="S142" s="10">
        <f>IF(T142=FALSE,Q142-R142,+V142)</f>
        <v/>
      </c>
      <c r="T142" s="3">
        <f>IF(SUMIFS('Cashflow Projection'!$E$119:$E$151,'Cashflow Projection'!$D$119:$D$151,Sales!C142)&lt;&gt;0,TRUE,FALSE)</f>
        <v/>
      </c>
      <c r="U142" s="4" t="n">
        <v>45747</v>
      </c>
      <c r="V142" s="10" t="n">
        <v>313362.8434960959</v>
      </c>
      <c r="W142" s="11">
        <f>IF(SUMIFS('Cashflow Projection'!$E$119:$E$151,'Cashflow Projection'!$D$119:$D$151,Sales!C142)=1,SUMIFS('Cashflow Projection'!$C$119:$C$151,'Cashflow Projection'!$D$119:$D$151,Sales!C142),+Sales!H142)</f>
        <v/>
      </c>
      <c r="X142" s="11">
        <f>IF(MOD(MONTH(W142), 2) &lt;&gt; 0, EOMONTH(W142, 2), EOMONTH(W142, 1))</f>
        <v/>
      </c>
      <c r="Y142" s="11">
        <f>EOMONTH(X142,1)</f>
        <v/>
      </c>
      <c r="Z142" t="b">
        <v>0</v>
      </c>
    </row>
    <row r="143">
      <c r="A143" s="3" t="inlineStr">
        <is>
          <t>Heron Fields</t>
        </is>
      </c>
      <c r="B143" s="3" t="inlineStr">
        <is>
          <t>B</t>
        </is>
      </c>
      <c r="C143" s="3" t="inlineStr">
        <is>
          <t>HFB109</t>
        </is>
      </c>
      <c r="D143" s="3" t="b">
        <v>1</v>
      </c>
      <c r="E143" s="3" t="b">
        <v>1</v>
      </c>
      <c r="F143" s="3">
        <f>IF(OR(Z143=TRUE,SUMIFS('Cashflow Projection'!$E$119:$E$151,'Cashflow Projection'!$D$119:$D$151,Sales!C143)=1),0,SUMIFS('Cashflow Projection'!$C$7:$C$23,'Cashflow Projection'!$B$7:$B$23,Sales!B143,'Cashflow Projection'!$A$7:$A$23,Sales!A143))</f>
        <v/>
      </c>
      <c r="G143" s="4" t="n">
        <v>44999</v>
      </c>
      <c r="H143" s="4" t="n">
        <v>45688</v>
      </c>
      <c r="I143" s="3" t="n">
        <v>1599900</v>
      </c>
      <c r="J143" s="3" t="n">
        <v>208682.6086956522</v>
      </c>
      <c r="K143" s="3" t="n">
        <v>1391217.391304348</v>
      </c>
      <c r="L143" s="3" t="n">
        <v>18502.08</v>
      </c>
      <c r="M143" s="3" t="n">
        <v>1789</v>
      </c>
      <c r="N143" s="3" t="n">
        <v>7999.5</v>
      </c>
      <c r="O143" s="3" t="n">
        <v>79995</v>
      </c>
      <c r="P143" s="3" t="n">
        <v>19224.37</v>
      </c>
      <c r="Q143" s="9">
        <f>K143-SUM(L143:P143)</f>
        <v/>
      </c>
      <c r="R143" s="10">
        <f>IF($F143=1,((SUMIFS(Investors!$M:$M,Investors!$E:$E,Sales!$C143,Investors!$O:$O,FALSE)+SUMIFS(Investors!$S:$S,Investors!$E:$E,Sales!$C143,Investors!$O:$O,FALSE))*$F143)-SUMIFS('Investor Exit List'!$Q:$Q,'Investor Exit List'!$Y:$Y,1,'Investor Exit List'!$Z:$Z,"Release",'Investor Exit List'!$C:$C,Sales!$C143),(SUMIFS(Investors!$M:$M,Investors!$E:$E,Sales!$C143,Investors!$O:$O,FALSE)+SUMIFS(Investors!$S:$S,Investors!$E:$E,Sales!$C143,Investors!$O:$O,FALSE))*$F143)</f>
        <v/>
      </c>
      <c r="S143" s="10">
        <f>IF(T143=FALSE,Q143-R143,+V143)</f>
        <v/>
      </c>
      <c r="T143" s="3">
        <f>IF(SUMIFS('Cashflow Projection'!$E$119:$E$151,'Cashflow Projection'!$D$119:$D$151,Sales!C143)&lt;&gt;0,TRUE,FALSE)</f>
        <v/>
      </c>
      <c r="U143" s="4" t="n">
        <v>45747</v>
      </c>
      <c r="V143" s="10" t="n">
        <v>263138.4061643835</v>
      </c>
      <c r="W143" s="11">
        <f>IF(SUMIFS('Cashflow Projection'!$E$119:$E$151,'Cashflow Projection'!$D$119:$D$151,Sales!C143)=1,SUMIFS('Cashflow Projection'!$C$119:$C$151,'Cashflow Projection'!$D$119:$D$151,Sales!C143),+Sales!H143)</f>
        <v/>
      </c>
      <c r="X143" s="11">
        <f>IF(MOD(MONTH(W143), 2) &lt;&gt; 0, EOMONTH(W143, 2), EOMONTH(W143, 1))</f>
        <v/>
      </c>
      <c r="Y143" s="11">
        <f>EOMONTH(X143,1)</f>
        <v/>
      </c>
      <c r="Z143" t="b">
        <v>0</v>
      </c>
    </row>
    <row r="144">
      <c r="A144" s="3" t="inlineStr">
        <is>
          <t>Heron Fields</t>
        </is>
      </c>
      <c r="B144" s="3" t="inlineStr">
        <is>
          <t>B</t>
        </is>
      </c>
      <c r="C144" s="3" t="inlineStr">
        <is>
          <t>HFB215</t>
        </is>
      </c>
      <c r="D144" s="3" t="b">
        <v>0</v>
      </c>
      <c r="E144" s="3" t="b">
        <v>0</v>
      </c>
      <c r="F144" s="3">
        <f>IF(OR(Z144=TRUE,SUMIFS('Cashflow Projection'!$E$119:$E$151,'Cashflow Projection'!$D$119:$D$151,Sales!C144)=1),0,SUMIFS('Cashflow Projection'!$C$7:$C$23,'Cashflow Projection'!$B$7:$B$23,Sales!B144,'Cashflow Projection'!$A$7:$A$23,Sales!A144))</f>
        <v/>
      </c>
      <c r="G144" s="4" t="n">
        <v>45471</v>
      </c>
      <c r="H144" s="4" t="n">
        <v>45458</v>
      </c>
      <c r="I144" s="3" t="n">
        <v>1449900</v>
      </c>
      <c r="J144" s="3" t="n">
        <v>0</v>
      </c>
      <c r="K144" s="3" t="n">
        <v>1260782.608695652</v>
      </c>
      <c r="L144" s="3" t="n">
        <v>18502.08</v>
      </c>
      <c r="M144" s="3" t="n">
        <v>1789</v>
      </c>
      <c r="N144" s="3" t="n">
        <v>7249.5</v>
      </c>
      <c r="O144" s="3" t="n">
        <v>72495</v>
      </c>
      <c r="P144" s="3" t="n">
        <v>19224.37</v>
      </c>
      <c r="Q144" s="9">
        <f>K144-SUM(L144:P144)</f>
        <v/>
      </c>
      <c r="R144" s="10">
        <f>IF($F144=1,((SUMIFS(Investors!$M:$M,Investors!$E:$E,Sales!$C144,Investors!$O:$O,FALSE)+SUMIFS(Investors!$S:$S,Investors!$E:$E,Sales!$C144,Investors!$O:$O,FALSE))*$F144)-SUMIFS('Investor Exit List'!$Q:$Q,'Investor Exit List'!$Y:$Y,1,'Investor Exit List'!$Z:$Z,"Release",'Investor Exit List'!$C:$C,Sales!$C144),(SUMIFS(Investors!$M:$M,Investors!$E:$E,Sales!$C144,Investors!$O:$O,FALSE)+SUMIFS(Investors!$S:$S,Investors!$E:$E,Sales!$C144,Investors!$O:$O,FALSE))*$F144)</f>
        <v/>
      </c>
      <c r="S144" s="10">
        <f>IF(T144=FALSE,Q144-R144,+V144)</f>
        <v/>
      </c>
      <c r="T144" s="3">
        <f>IF(SUMIFS('Cashflow Projection'!$E$119:$E$151,'Cashflow Projection'!$D$119:$D$151,Sales!C144)&lt;&gt;0,TRUE,FALSE)</f>
        <v/>
      </c>
      <c r="U144" s="4" t="n">
        <v>45504</v>
      </c>
      <c r="V144" s="10" t="n">
        <v>921500</v>
      </c>
      <c r="W144" s="11">
        <f>IF(SUMIFS('Cashflow Projection'!$E$119:$E$151,'Cashflow Projection'!$D$119:$D$151,Sales!C144)=1,SUMIFS('Cashflow Projection'!$C$119:$C$151,'Cashflow Projection'!$D$119:$D$151,Sales!C144),+Sales!H144)</f>
        <v/>
      </c>
      <c r="X144" s="11">
        <f>IF(MOD(MONTH(W144), 2) &lt;&gt; 0, EOMONTH(W144, 2), EOMONTH(W144, 1))</f>
        <v/>
      </c>
      <c r="Y144" s="11">
        <f>EOMONTH(X144,1)</f>
        <v/>
      </c>
      <c r="Z144" t="b">
        <v>0</v>
      </c>
    </row>
    <row r="145">
      <c r="A145" s="3" t="inlineStr">
        <is>
          <t>Heron Fields</t>
        </is>
      </c>
      <c r="B145" s="3" t="inlineStr">
        <is>
          <t>B</t>
        </is>
      </c>
      <c r="C145" s="3" t="inlineStr">
        <is>
          <t>HFB205</t>
        </is>
      </c>
      <c r="D145" s="3" t="b">
        <v>1</v>
      </c>
      <c r="E145" s="3" t="b">
        <v>1</v>
      </c>
      <c r="F145" s="3">
        <f>IF(OR(Z145=TRUE,SUMIFS('Cashflow Projection'!$E$119:$E$151,'Cashflow Projection'!$D$119:$D$151,Sales!C145)=1),0,SUMIFS('Cashflow Projection'!$C$7:$C$23,'Cashflow Projection'!$B$7:$B$23,Sales!B145,'Cashflow Projection'!$A$7:$A$23,Sales!A145))</f>
        <v/>
      </c>
      <c r="G145" s="4" t="n">
        <v>44974</v>
      </c>
      <c r="H145" s="4" t="n">
        <v>45688</v>
      </c>
      <c r="I145" s="3" t="n">
        <v>1579900</v>
      </c>
      <c r="J145" s="3" t="n">
        <v>206073.9130434782</v>
      </c>
      <c r="K145" s="3" t="n">
        <v>1373826.086956522</v>
      </c>
      <c r="L145" s="3" t="n">
        <v>18502.08</v>
      </c>
      <c r="M145" s="3" t="n">
        <v>1789</v>
      </c>
      <c r="N145" s="3" t="n">
        <v>7899.5</v>
      </c>
      <c r="O145" s="3" t="n">
        <v>78995</v>
      </c>
      <c r="P145" s="3" t="n">
        <v>19224.37</v>
      </c>
      <c r="Q145" s="9">
        <f>K145-SUM(L145:P145)</f>
        <v/>
      </c>
      <c r="R145" s="10">
        <f>IF($F145=1,((SUMIFS(Investors!$M:$M,Investors!$E:$E,Sales!$C145,Investors!$O:$O,FALSE)+SUMIFS(Investors!$S:$S,Investors!$E:$E,Sales!$C145,Investors!$O:$O,FALSE))*$F145)-SUMIFS('Investor Exit List'!$Q:$Q,'Investor Exit List'!$Y:$Y,1,'Investor Exit List'!$Z:$Z,"Release",'Investor Exit List'!$C:$C,Sales!$C145),(SUMIFS(Investors!$M:$M,Investors!$E:$E,Sales!$C145,Investors!$O:$O,FALSE)+SUMIFS(Investors!$S:$S,Investors!$E:$E,Sales!$C145,Investors!$O:$O,FALSE))*$F145)</f>
        <v/>
      </c>
      <c r="S145" s="10">
        <f>IF(T145=FALSE,Q145-R145,+V145)</f>
        <v/>
      </c>
      <c r="T145" s="3">
        <f>IF(SUMIFS('Cashflow Projection'!$E$119:$E$151,'Cashflow Projection'!$D$119:$D$151,Sales!C145)&lt;&gt;0,TRUE,FALSE)</f>
        <v/>
      </c>
      <c r="U145" s="4" t="n">
        <v>45747</v>
      </c>
      <c r="V145" s="10" t="n">
        <v>266020.1869863011</v>
      </c>
      <c r="W145" s="11">
        <f>IF(SUMIFS('Cashflow Projection'!$E$119:$E$151,'Cashflow Projection'!$D$119:$D$151,Sales!C145)=1,SUMIFS('Cashflow Projection'!$C$119:$C$151,'Cashflow Projection'!$D$119:$D$151,Sales!C145),+Sales!H145)</f>
        <v/>
      </c>
      <c r="X145" s="11">
        <f>IF(MOD(MONTH(W145), 2) &lt;&gt; 0, EOMONTH(W145, 2), EOMONTH(W145, 1))</f>
        <v/>
      </c>
      <c r="Y145" s="11">
        <f>EOMONTH(X145,1)</f>
        <v/>
      </c>
      <c r="Z145" t="b">
        <v>0</v>
      </c>
    </row>
    <row r="146">
      <c r="A146" s="3" t="inlineStr">
        <is>
          <t>Heron View</t>
        </is>
      </c>
      <c r="B146" s="3" t="inlineStr">
        <is>
          <t>D</t>
        </is>
      </c>
      <c r="C146" s="3" t="inlineStr">
        <is>
          <t>HVD302</t>
        </is>
      </c>
      <c r="D146" s="3" t="b">
        <v>0</v>
      </c>
      <c r="E146" s="3" t="b">
        <v>0</v>
      </c>
      <c r="F146" s="3">
        <f>IF(OR(Z146=TRUE,SUMIFS('Cashflow Projection'!$E$119:$E$151,'Cashflow Projection'!$D$119:$D$151,Sales!C146)=1),0,SUMIFS('Cashflow Projection'!$C$7:$C$23,'Cashflow Projection'!$B$7:$B$23,Sales!B146,'Cashflow Projection'!$A$7:$A$23,Sales!A146))</f>
        <v/>
      </c>
      <c r="G146" s="4" t="n">
        <v>45428</v>
      </c>
      <c r="H146" s="4" t="n">
        <v>45646</v>
      </c>
      <c r="I146" s="3" t="n">
        <v>1539900</v>
      </c>
      <c r="J146" s="3" t="n">
        <v>200856.5217391304</v>
      </c>
      <c r="K146" s="3" t="n">
        <v>1339043.47826087</v>
      </c>
      <c r="L146" s="3" t="n">
        <v>18502.08</v>
      </c>
      <c r="M146" s="3" t="n">
        <v>1789</v>
      </c>
      <c r="N146" s="3" t="n">
        <v>7699.5</v>
      </c>
      <c r="O146" s="3" t="n">
        <v>76995</v>
      </c>
      <c r="P146" s="3" t="n">
        <v>19224.37</v>
      </c>
      <c r="Q146" s="9">
        <f>K146-SUM(L146:P146)</f>
        <v/>
      </c>
      <c r="R146" s="10">
        <f>IF($F146=1,((SUMIFS(Investors!$M:$M,Investors!$E:$E,Sales!$C146,Investors!$O:$O,FALSE)+SUMIFS(Investors!$S:$S,Investors!$E:$E,Sales!$C146,Investors!$O:$O,FALSE))*$F146)-SUMIFS('Investor Exit List'!$Q:$Q,'Investor Exit List'!$Y:$Y,1,'Investor Exit List'!$Z:$Z,"Release",'Investor Exit List'!$C:$C,Sales!$C146),(SUMIFS(Investors!$M:$M,Investors!$E:$E,Sales!$C146,Investors!$O:$O,FALSE)+SUMIFS(Investors!$S:$S,Investors!$E:$E,Sales!$C146,Investors!$O:$O,FALSE))*$F146)</f>
        <v/>
      </c>
      <c r="S146" s="10">
        <f>IF(T146=FALSE,Q146-R146,+V146)</f>
        <v/>
      </c>
      <c r="T146" s="3">
        <f>IF(SUMIFS('Cashflow Projection'!$E$119:$E$151,'Cashflow Projection'!$D$119:$D$151,Sales!C146)&lt;&gt;0,TRUE,FALSE)</f>
        <v/>
      </c>
      <c r="U146" s="4" t="n">
        <v>45688</v>
      </c>
      <c r="V146" s="10" t="n">
        <v>98536.59862123267</v>
      </c>
      <c r="W146" s="11">
        <f>IF(SUMIFS('Cashflow Projection'!$E$119:$E$151,'Cashflow Projection'!$D$119:$D$151,Sales!C146)=1,SUMIFS('Cashflow Projection'!$C$119:$C$151,'Cashflow Projection'!$D$119:$D$151,Sales!C146),+Sales!H146)</f>
        <v/>
      </c>
      <c r="X146" s="11">
        <f>IF(MOD(MONTH(W146), 2) &lt;&gt; 0, EOMONTH(W146, 2), EOMONTH(W146, 1))</f>
        <v/>
      </c>
      <c r="Y146" s="11">
        <f>EOMONTH(X146,1)</f>
        <v/>
      </c>
      <c r="Z146" t="b">
        <v>0</v>
      </c>
    </row>
    <row r="147">
      <c r="A147" s="3" t="inlineStr">
        <is>
          <t>Heron View</t>
        </is>
      </c>
      <c r="B147" s="3" t="inlineStr">
        <is>
          <t>C</t>
        </is>
      </c>
      <c r="C147" s="3" t="inlineStr">
        <is>
          <t>HVC205</t>
        </is>
      </c>
      <c r="D147" s="3" t="b">
        <v>1</v>
      </c>
      <c r="E147" s="3" t="b">
        <v>0</v>
      </c>
      <c r="F147" s="3">
        <f>IF(OR(Z147=TRUE,SUMIFS('Cashflow Projection'!$E$119:$E$151,'Cashflow Projection'!$D$119:$D$151,Sales!C147)=1),0,SUMIFS('Cashflow Projection'!$C$7:$C$23,'Cashflow Projection'!$B$7:$B$23,Sales!B147,'Cashflow Projection'!$A$7:$A$23,Sales!A147))</f>
        <v/>
      </c>
      <c r="G147" s="4" t="n">
        <v>45394</v>
      </c>
      <c r="H147" s="4" t="n">
        <v>45473</v>
      </c>
      <c r="I147" s="3" t="n">
        <v>1489900</v>
      </c>
      <c r="J147" s="3" t="n">
        <v>194334.7826086956</v>
      </c>
      <c r="K147" s="3" t="n">
        <v>1295565.217391304</v>
      </c>
      <c r="L147" s="3" t="n">
        <v>18502.08</v>
      </c>
      <c r="M147" s="3" t="n">
        <v>1789</v>
      </c>
      <c r="N147" s="3" t="n">
        <v>7449.5</v>
      </c>
      <c r="O147" s="3" t="n">
        <v>74495</v>
      </c>
      <c r="P147" s="3" t="n">
        <v>19224.37</v>
      </c>
      <c r="Q147" s="9">
        <f>K147-SUM(L147:P147)</f>
        <v/>
      </c>
      <c r="R147" s="10">
        <f>IF($F147=1,((SUMIFS(Investors!$M:$M,Investors!$E:$E,Sales!$C147,Investors!$O:$O,FALSE)+SUMIFS(Investors!$S:$S,Investors!$E:$E,Sales!$C147,Investors!$O:$O,FALSE))*$F147)-SUMIFS('Investor Exit List'!$Q:$Q,'Investor Exit List'!$Y:$Y,1,'Investor Exit List'!$Z:$Z,"Release",'Investor Exit List'!$C:$C,Sales!$C147),(SUMIFS(Investors!$M:$M,Investors!$E:$E,Sales!$C147,Investors!$O:$O,FALSE)+SUMIFS(Investors!$S:$S,Investors!$E:$E,Sales!$C147,Investors!$O:$O,FALSE))*$F147)</f>
        <v/>
      </c>
      <c r="S147" s="10">
        <f>IF(T147=FALSE,Q147-R147,+V147)</f>
        <v/>
      </c>
      <c r="T147" s="3">
        <f>IF(SUMIFS('Cashflow Projection'!$E$119:$E$151,'Cashflow Projection'!$D$119:$D$151,Sales!C147)&lt;&gt;0,TRUE,FALSE)</f>
        <v/>
      </c>
      <c r="U147" s="4" t="n">
        <v>45504</v>
      </c>
      <c r="V147" s="10" t="n">
        <v>25991.46491835592</v>
      </c>
      <c r="W147" s="11">
        <f>IF(SUMIFS('Cashflow Projection'!$E$119:$E$151,'Cashflow Projection'!$D$119:$D$151,Sales!C147)=1,SUMIFS('Cashflow Projection'!$C$119:$C$151,'Cashflow Projection'!$D$119:$D$151,Sales!C147),+Sales!H147)</f>
        <v/>
      </c>
      <c r="X147" s="11">
        <f>IF(MOD(MONTH(W147), 2) &lt;&gt; 0, EOMONTH(W147, 2), EOMONTH(W147, 1))</f>
        <v/>
      </c>
      <c r="Y147" s="11">
        <f>EOMONTH(X147,1)</f>
        <v/>
      </c>
      <c r="Z147" t="b">
        <v>0</v>
      </c>
    </row>
    <row r="148">
      <c r="A148" s="3" t="inlineStr">
        <is>
          <t>Heron View</t>
        </is>
      </c>
      <c r="B148" s="3" t="inlineStr">
        <is>
          <t>E</t>
        </is>
      </c>
      <c r="C148" s="3" t="inlineStr">
        <is>
          <t>HVE203</t>
        </is>
      </c>
      <c r="D148" s="3" t="b">
        <v>0</v>
      </c>
      <c r="E148" s="3" t="b">
        <v>0</v>
      </c>
      <c r="F148" s="3">
        <f>IF(OR(Z148=TRUE,SUMIFS('Cashflow Projection'!$E$119:$E$151,'Cashflow Projection'!$D$119:$D$151,Sales!C148)=1),0,SUMIFS('Cashflow Projection'!$C$7:$C$23,'Cashflow Projection'!$B$7:$B$23,Sales!B148,'Cashflow Projection'!$A$7:$A$23,Sales!A148))</f>
        <v/>
      </c>
      <c r="G148" s="4" t="n">
        <v>45685</v>
      </c>
      <c r="H148" s="4" t="n">
        <v>45685</v>
      </c>
      <c r="I148" s="3" t="n">
        <v>1499900</v>
      </c>
      <c r="J148" s="3" t="n">
        <v>195639.1304347826</v>
      </c>
      <c r="K148" s="3" t="n">
        <v>1304260.869565218</v>
      </c>
      <c r="L148" s="3" t="n">
        <v>18502.08</v>
      </c>
      <c r="M148" s="3" t="n">
        <v>1789</v>
      </c>
      <c r="N148" s="3" t="n">
        <v>7499.5</v>
      </c>
      <c r="O148" s="3" t="n">
        <v>74995</v>
      </c>
      <c r="P148" s="3" t="n">
        <v>19224.37</v>
      </c>
      <c r="Q148" s="9">
        <f>K148-SUM(L148:P148)</f>
        <v/>
      </c>
      <c r="R148" s="10">
        <f>IF($F148=1,((SUMIFS(Investors!$M:$M,Investors!$E:$E,Sales!$C148,Investors!$O:$O,FALSE)+SUMIFS(Investors!$S:$S,Investors!$E:$E,Sales!$C148,Investors!$O:$O,FALSE))*$F148)-SUMIFS('Investor Exit List'!$Q:$Q,'Investor Exit List'!$Y:$Y,1,'Investor Exit List'!$Z:$Z,"Release",'Investor Exit List'!$C:$C,Sales!$C148),(SUMIFS(Investors!$M:$M,Investors!$E:$E,Sales!$C148,Investors!$O:$O,FALSE)+SUMIFS(Investors!$S:$S,Investors!$E:$E,Sales!$C148,Investors!$O:$O,FALSE))*$F148)</f>
        <v/>
      </c>
      <c r="S148" s="10">
        <f>IF(T148=FALSE,Q148-R148,+V148)</f>
        <v/>
      </c>
      <c r="T148" s="3">
        <f>IF(SUMIFS('Cashflow Projection'!$E$119:$E$151,'Cashflow Projection'!$D$119:$D$151,Sales!C148)&lt;&gt;0,TRUE,FALSE)</f>
        <v/>
      </c>
      <c r="U148" s="4" t="n">
        <v>45747</v>
      </c>
      <c r="V148" s="10" t="n">
        <v>-83085.29246575362</v>
      </c>
      <c r="W148" s="11">
        <f>IF(SUMIFS('Cashflow Projection'!$E$119:$E$151,'Cashflow Projection'!$D$119:$D$151,Sales!C148)=1,SUMIFS('Cashflow Projection'!$C$119:$C$151,'Cashflow Projection'!$D$119:$D$151,Sales!C148),+Sales!H148)</f>
        <v/>
      </c>
      <c r="X148" s="11">
        <f>IF(MOD(MONTH(W148), 2) &lt;&gt; 0, EOMONTH(W148, 2), EOMONTH(W148, 1))</f>
        <v/>
      </c>
      <c r="Y148" s="11">
        <f>EOMONTH(X148,1)</f>
        <v/>
      </c>
      <c r="Z148" t="b">
        <v>0</v>
      </c>
    </row>
    <row r="149">
      <c r="A149" s="3" t="inlineStr">
        <is>
          <t>Heron View</t>
        </is>
      </c>
      <c r="B149" s="3" t="inlineStr">
        <is>
          <t>M</t>
        </is>
      </c>
      <c r="C149" s="3" t="inlineStr">
        <is>
          <t>HVM202</t>
        </is>
      </c>
      <c r="D149" s="3" t="b">
        <v>0</v>
      </c>
      <c r="E149" s="3" t="b">
        <v>0</v>
      </c>
      <c r="F149" s="3">
        <f>IF(OR(Z149=TRUE,SUMIFS('Cashflow Projection'!$E$119:$E$151,'Cashflow Projection'!$D$119:$D$151,Sales!C149)=1),0,SUMIFS('Cashflow Projection'!$C$7:$C$23,'Cashflow Projection'!$B$7:$B$23,Sales!B149,'Cashflow Projection'!$A$7:$A$23,Sales!A149))</f>
        <v/>
      </c>
      <c r="G149" s="4" t="n">
        <v>45450</v>
      </c>
      <c r="H149" s="4" t="n">
        <v>45583</v>
      </c>
      <c r="I149" s="3" t="n">
        <v>1679900</v>
      </c>
      <c r="J149" s="3" t="n">
        <v>219117.3913043478</v>
      </c>
      <c r="K149" s="3" t="n">
        <v>1460782.608695652</v>
      </c>
      <c r="L149" s="3" t="n">
        <v>18502.08</v>
      </c>
      <c r="M149" s="3" t="n">
        <v>1789</v>
      </c>
      <c r="N149" s="3" t="n">
        <v>8399.5</v>
      </c>
      <c r="O149" s="3" t="n">
        <v>83995</v>
      </c>
      <c r="P149" s="3" t="n">
        <v>19224.37</v>
      </c>
      <c r="Q149" s="9">
        <f>K149-SUM(L149:P149)</f>
        <v/>
      </c>
      <c r="R149" s="10">
        <f>IF($F149=1,((SUMIFS(Investors!$M:$M,Investors!$E:$E,Sales!$C149,Investors!$O:$O,FALSE)+SUMIFS(Investors!$S:$S,Investors!$E:$E,Sales!$C149,Investors!$O:$O,FALSE))*$F149)-SUMIFS('Investor Exit List'!$Q:$Q,'Investor Exit List'!$Y:$Y,1,'Investor Exit List'!$Z:$Z,"Release",'Investor Exit List'!$C:$C,Sales!$C149),(SUMIFS(Investors!$M:$M,Investors!$E:$E,Sales!$C149,Investors!$O:$O,FALSE)+SUMIFS(Investors!$S:$S,Investors!$E:$E,Sales!$C149,Investors!$O:$O,FALSE))*$F149)</f>
        <v/>
      </c>
      <c r="S149" s="10">
        <f>IF(T149=FALSE,Q149-R149,+V149)</f>
        <v/>
      </c>
      <c r="T149" s="3">
        <f>IF(SUMIFS('Cashflow Projection'!$E$119:$E$151,'Cashflow Projection'!$D$119:$D$151,Sales!C149)&lt;&gt;0,TRUE,FALSE)</f>
        <v/>
      </c>
      <c r="U149" s="4" t="n">
        <v>45626</v>
      </c>
      <c r="V149" s="10" t="n">
        <v>238583.2006849314</v>
      </c>
      <c r="W149" s="11">
        <f>IF(SUMIFS('Cashflow Projection'!$E$119:$E$151,'Cashflow Projection'!$D$119:$D$151,Sales!C149)=1,SUMIFS('Cashflow Projection'!$C$119:$C$151,'Cashflow Projection'!$D$119:$D$151,Sales!C149),+Sales!H149)</f>
        <v/>
      </c>
      <c r="X149" s="11">
        <f>IF(MOD(MONTH(W149), 2) &lt;&gt; 0, EOMONTH(W149, 2), EOMONTH(W149, 1))</f>
        <v/>
      </c>
      <c r="Y149" s="11">
        <f>EOMONTH(X149,1)</f>
        <v/>
      </c>
      <c r="Z149" t="b">
        <v>0</v>
      </c>
    </row>
    <row r="150">
      <c r="A150" s="3" t="inlineStr">
        <is>
          <t>Heron View</t>
        </is>
      </c>
      <c r="B150" s="3" t="inlineStr">
        <is>
          <t>L</t>
        </is>
      </c>
      <c r="C150" s="3" t="inlineStr">
        <is>
          <t>HVL202</t>
        </is>
      </c>
      <c r="D150" s="3" t="b">
        <v>0</v>
      </c>
      <c r="E150" s="3" t="b">
        <v>0</v>
      </c>
      <c r="F150" s="3">
        <f>IF(OR(Z150=TRUE,SUMIFS('Cashflow Projection'!$E$119:$E$151,'Cashflow Projection'!$D$119:$D$151,Sales!C150)=1),0,SUMIFS('Cashflow Projection'!$C$7:$C$23,'Cashflow Projection'!$B$7:$B$23,Sales!B150,'Cashflow Projection'!$A$7:$A$23,Sales!A150))</f>
        <v/>
      </c>
      <c r="G150" s="4" t="n">
        <v>45499</v>
      </c>
      <c r="H150" s="4" t="n">
        <v>45716</v>
      </c>
      <c r="I150" s="3" t="n">
        <v>1499900</v>
      </c>
      <c r="J150" s="3" t="n">
        <v>195639.1304347826</v>
      </c>
      <c r="K150" s="3" t="n">
        <v>1304260.869565218</v>
      </c>
      <c r="L150" s="3" t="n">
        <v>18502.08</v>
      </c>
      <c r="M150" s="3" t="n">
        <v>1789</v>
      </c>
      <c r="N150" s="3" t="n">
        <v>7499.5</v>
      </c>
      <c r="O150" s="3" t="n">
        <v>74995</v>
      </c>
      <c r="P150" s="3" t="n">
        <v>19224.37</v>
      </c>
      <c r="Q150" s="9">
        <f>K150-SUM(L150:P150)</f>
        <v/>
      </c>
      <c r="R150" s="10">
        <f>IF($F150=1,((SUMIFS(Investors!$M:$M,Investors!$E:$E,Sales!$C150,Investors!$O:$O,FALSE)+SUMIFS(Investors!$S:$S,Investors!$E:$E,Sales!$C150,Investors!$O:$O,FALSE))*$F150)-SUMIFS('Investor Exit List'!$Q:$Q,'Investor Exit List'!$Y:$Y,1,'Investor Exit List'!$Z:$Z,"Release",'Investor Exit List'!$C:$C,Sales!$C150),(SUMIFS(Investors!$M:$M,Investors!$E:$E,Sales!$C150,Investors!$O:$O,FALSE)+SUMIFS(Investors!$S:$S,Investors!$E:$E,Sales!$C150,Investors!$O:$O,FALSE))*$F150)</f>
        <v/>
      </c>
      <c r="S150" s="10">
        <f>IF(T150=FALSE,Q150-R150,+V150)</f>
        <v/>
      </c>
      <c r="T150" s="3">
        <f>IF(SUMIFS('Cashflow Projection'!$E$119:$E$151,'Cashflow Projection'!$D$119:$D$151,Sales!C150)&lt;&gt;0,TRUE,FALSE)</f>
        <v/>
      </c>
      <c r="U150" s="4" t="n">
        <v>45747</v>
      </c>
      <c r="V150" s="10" t="n">
        <v>-1156.525342465844</v>
      </c>
      <c r="W150" s="11">
        <f>IF(SUMIFS('Cashflow Projection'!$E$119:$E$151,'Cashflow Projection'!$D$119:$D$151,Sales!C150)=1,SUMIFS('Cashflow Projection'!$C$119:$C$151,'Cashflow Projection'!$D$119:$D$151,Sales!C150),+Sales!H150)</f>
        <v/>
      </c>
      <c r="X150" s="11">
        <f>IF(MOD(MONTH(W150), 2) &lt;&gt; 0, EOMONTH(W150, 2), EOMONTH(W150, 1))</f>
        <v/>
      </c>
      <c r="Y150" s="11">
        <f>EOMONTH(X150,1)</f>
        <v/>
      </c>
      <c r="Z150" t="b">
        <v>0</v>
      </c>
    </row>
    <row r="151">
      <c r="A151" s="3" t="inlineStr">
        <is>
          <t>Heron View</t>
        </is>
      </c>
      <c r="B151" s="3" t="inlineStr">
        <is>
          <t>G</t>
        </is>
      </c>
      <c r="C151" s="3" t="inlineStr">
        <is>
          <t>HVG303</t>
        </is>
      </c>
      <c r="D151" s="3" t="b">
        <v>0</v>
      </c>
      <c r="E151" s="3" t="b">
        <v>0</v>
      </c>
      <c r="F151" s="3">
        <f>IF(OR(Z151=TRUE,SUMIFS('Cashflow Projection'!$E$119:$E$151,'Cashflow Projection'!$D$119:$D$151,Sales!C151)=1),0,SUMIFS('Cashflow Projection'!$C$7:$C$23,'Cashflow Projection'!$B$7:$B$23,Sales!B151,'Cashflow Projection'!$A$7:$A$23,Sales!A151))</f>
        <v/>
      </c>
      <c r="G151" s="4" t="n">
        <v>45523</v>
      </c>
      <c r="H151" s="4" t="n">
        <v>45532</v>
      </c>
      <c r="I151" s="3" t="n">
        <v>1499900</v>
      </c>
      <c r="J151" s="3" t="n">
        <v>195639.1304347826</v>
      </c>
      <c r="K151" s="3" t="n">
        <v>1304260.869565218</v>
      </c>
      <c r="L151" s="3" t="n">
        <v>18502.08</v>
      </c>
      <c r="M151" s="3" t="n">
        <v>1789</v>
      </c>
      <c r="N151" s="3" t="n">
        <v>7499.5</v>
      </c>
      <c r="O151" s="3" t="n">
        <v>74995</v>
      </c>
      <c r="P151" s="3" t="n">
        <v>19224.37</v>
      </c>
      <c r="Q151" s="9">
        <f>K151-SUM(L151:P151)</f>
        <v/>
      </c>
      <c r="R151" s="10">
        <f>IF($F151=1,((SUMIFS(Investors!$M:$M,Investors!$E:$E,Sales!$C151,Investors!$O:$O,FALSE)+SUMIFS(Investors!$S:$S,Investors!$E:$E,Sales!$C151,Investors!$O:$O,FALSE))*$F151)-SUMIFS('Investor Exit List'!$Q:$Q,'Investor Exit List'!$Y:$Y,1,'Investor Exit List'!$Z:$Z,"Release",'Investor Exit List'!$C:$C,Sales!$C151),(SUMIFS(Investors!$M:$M,Investors!$E:$E,Sales!$C151,Investors!$O:$O,FALSE)+SUMIFS(Investors!$S:$S,Investors!$E:$E,Sales!$C151,Investors!$O:$O,FALSE))*$F151)</f>
        <v/>
      </c>
      <c r="S151" s="10">
        <f>IF(T151=FALSE,Q151-R151,+V151)</f>
        <v/>
      </c>
      <c r="T151" s="3">
        <f>IF(SUMIFS('Cashflow Projection'!$E$119:$E$151,'Cashflow Projection'!$D$119:$D$151,Sales!C151)&lt;&gt;0,TRUE,FALSE)</f>
        <v/>
      </c>
      <c r="U151" s="4" t="n">
        <v>45565</v>
      </c>
      <c r="V151" s="10" t="n">
        <v>83683.94412547909</v>
      </c>
      <c r="W151" s="11">
        <f>IF(SUMIFS('Cashflow Projection'!$E$119:$E$151,'Cashflow Projection'!$D$119:$D$151,Sales!C151)=1,SUMIFS('Cashflow Projection'!$C$119:$C$151,'Cashflow Projection'!$D$119:$D$151,Sales!C151),+Sales!H151)</f>
        <v/>
      </c>
      <c r="X151" s="11">
        <f>IF(MOD(MONTH(W151), 2) &lt;&gt; 0, EOMONTH(W151, 2), EOMONTH(W151, 1))</f>
        <v/>
      </c>
      <c r="Y151" s="11">
        <f>EOMONTH(X151,1)</f>
        <v/>
      </c>
      <c r="Z151" t="b">
        <v>0</v>
      </c>
    </row>
    <row r="152">
      <c r="A152" s="3" t="inlineStr">
        <is>
          <t>Heron View</t>
        </is>
      </c>
      <c r="B152" s="3" t="inlineStr">
        <is>
          <t>C</t>
        </is>
      </c>
      <c r="C152" s="3" t="inlineStr">
        <is>
          <t>HVC206</t>
        </is>
      </c>
      <c r="D152" s="3" t="b">
        <v>1</v>
      </c>
      <c r="E152" s="3" t="b">
        <v>0</v>
      </c>
      <c r="F152" s="3">
        <f>IF(OR(Z152=TRUE,SUMIFS('Cashflow Projection'!$E$119:$E$151,'Cashflow Projection'!$D$119:$D$151,Sales!C152)=1),0,SUMIFS('Cashflow Projection'!$C$7:$C$23,'Cashflow Projection'!$B$7:$B$23,Sales!B152,'Cashflow Projection'!$A$7:$A$23,Sales!A152))</f>
        <v/>
      </c>
      <c r="G152" s="4" t="n">
        <v>45394</v>
      </c>
      <c r="H152" s="4" t="n">
        <v>45473</v>
      </c>
      <c r="I152" s="3" t="n">
        <v>1509900</v>
      </c>
      <c r="J152" s="3" t="n">
        <v>196943.4782608696</v>
      </c>
      <c r="K152" s="3" t="n">
        <v>1312956.521739131</v>
      </c>
      <c r="L152" s="3" t="n">
        <v>18502.08</v>
      </c>
      <c r="M152" s="3" t="n">
        <v>1789</v>
      </c>
      <c r="N152" s="3" t="n">
        <v>7549.5</v>
      </c>
      <c r="O152" s="3" t="n">
        <v>75495</v>
      </c>
      <c r="P152" s="3" t="n">
        <v>19224.37</v>
      </c>
      <c r="Q152" s="9">
        <f>K152-SUM(L152:P152)</f>
        <v/>
      </c>
      <c r="R152" s="10">
        <f>IF($F152=1,((SUMIFS(Investors!$M:$M,Investors!$E:$E,Sales!$C152,Investors!$O:$O,FALSE)+SUMIFS(Investors!$S:$S,Investors!$E:$E,Sales!$C152,Investors!$O:$O,FALSE))*$F152)-SUMIFS('Investor Exit List'!$Q:$Q,'Investor Exit List'!$Y:$Y,1,'Investor Exit List'!$Z:$Z,"Release",'Investor Exit List'!$C:$C,Sales!$C152),(SUMIFS(Investors!$M:$M,Investors!$E:$E,Sales!$C152,Investors!$O:$O,FALSE)+SUMIFS(Investors!$S:$S,Investors!$E:$E,Sales!$C152,Investors!$O:$O,FALSE))*$F152)</f>
        <v/>
      </c>
      <c r="S152" s="10">
        <f>IF(T152=FALSE,Q152-R152,+V152)</f>
        <v/>
      </c>
      <c r="T152" s="3">
        <f>IF(SUMIFS('Cashflow Projection'!$E$119:$E$151,'Cashflow Projection'!$D$119:$D$151,Sales!C152)&lt;&gt;0,TRUE,FALSE)</f>
        <v/>
      </c>
      <c r="U152" s="4" t="n">
        <v>45504</v>
      </c>
      <c r="V152" s="10" t="n">
        <v>-5862.68972602766</v>
      </c>
      <c r="W152" s="11">
        <f>IF(SUMIFS('Cashflow Projection'!$E$119:$E$151,'Cashflow Projection'!$D$119:$D$151,Sales!C152)=1,SUMIFS('Cashflow Projection'!$C$119:$C$151,'Cashflow Projection'!$D$119:$D$151,Sales!C152),+Sales!H152)</f>
        <v/>
      </c>
      <c r="X152" s="11">
        <f>IF(MOD(MONTH(W152), 2) &lt;&gt; 0, EOMONTH(W152, 2), EOMONTH(W152, 1))</f>
        <v/>
      </c>
      <c r="Y152" s="11">
        <f>EOMONTH(X152,1)</f>
        <v/>
      </c>
      <c r="Z152" t="b">
        <v>0</v>
      </c>
    </row>
    <row r="153">
      <c r="A153" s="3" t="inlineStr">
        <is>
          <t>Heron View</t>
        </is>
      </c>
      <c r="B153" s="3" t="inlineStr">
        <is>
          <t>C</t>
        </is>
      </c>
      <c r="C153" s="3" t="inlineStr">
        <is>
          <t>HVC304</t>
        </is>
      </c>
      <c r="D153" s="3" t="b">
        <v>0</v>
      </c>
      <c r="E153" s="3" t="b">
        <v>0</v>
      </c>
      <c r="F153" s="3">
        <f>IF(OR(Z153=TRUE,SUMIFS('Cashflow Projection'!$E$119:$E$151,'Cashflow Projection'!$D$119:$D$151,Sales!C153)=1),0,SUMIFS('Cashflow Projection'!$C$7:$C$23,'Cashflow Projection'!$B$7:$B$23,Sales!B153,'Cashflow Projection'!$A$7:$A$23,Sales!A153))</f>
        <v/>
      </c>
      <c r="G153" s="4" t="n">
        <v>45449</v>
      </c>
      <c r="H153" s="4" t="n">
        <v>45646</v>
      </c>
      <c r="I153" s="3" t="n">
        <v>1469900</v>
      </c>
      <c r="J153" s="3" t="n">
        <v>191726.0869565217</v>
      </c>
      <c r="K153" s="3" t="n">
        <v>1278173.913043478</v>
      </c>
      <c r="L153" s="3" t="n">
        <v>18502.08</v>
      </c>
      <c r="M153" s="3" t="n">
        <v>1789</v>
      </c>
      <c r="N153" s="3" t="n">
        <v>7349.5</v>
      </c>
      <c r="O153" s="3" t="n">
        <v>73495</v>
      </c>
      <c r="P153" s="3" t="n">
        <v>19224.37</v>
      </c>
      <c r="Q153" s="9">
        <f>K153-SUM(L153:P153)</f>
        <v/>
      </c>
      <c r="R153" s="10">
        <f>IF($F153=1,((SUMIFS(Investors!$M:$M,Investors!$E:$E,Sales!$C153,Investors!$O:$O,FALSE)+SUMIFS(Investors!$S:$S,Investors!$E:$E,Sales!$C153,Investors!$O:$O,FALSE))*$F153)-SUMIFS('Investor Exit List'!$Q:$Q,'Investor Exit List'!$Y:$Y,1,'Investor Exit List'!$Z:$Z,"Release",'Investor Exit List'!$C:$C,Sales!$C153),(SUMIFS(Investors!$M:$M,Investors!$E:$E,Sales!$C153,Investors!$O:$O,FALSE)+SUMIFS(Investors!$S:$S,Investors!$E:$E,Sales!$C153,Investors!$O:$O,FALSE))*$F153)</f>
        <v/>
      </c>
      <c r="S153" s="10">
        <f>IF(T153=FALSE,Q153-R153,+V153)</f>
        <v/>
      </c>
      <c r="T153" s="3">
        <f>IF(SUMIFS('Cashflow Projection'!$E$119:$E$151,'Cashflow Projection'!$D$119:$D$151,Sales!C153)&lt;&gt;0,TRUE,FALSE)</f>
        <v/>
      </c>
      <c r="U153" s="4" t="n">
        <v>45688</v>
      </c>
      <c r="V153" s="10" t="n">
        <v>34170.07971095876</v>
      </c>
      <c r="W153" s="11">
        <f>IF(SUMIFS('Cashflow Projection'!$E$119:$E$151,'Cashflow Projection'!$D$119:$D$151,Sales!C153)=1,SUMIFS('Cashflow Projection'!$C$119:$C$151,'Cashflow Projection'!$D$119:$D$151,Sales!C153),+Sales!H153)</f>
        <v/>
      </c>
      <c r="X153" s="11">
        <f>IF(MOD(MONTH(W153), 2) &lt;&gt; 0, EOMONTH(W153, 2), EOMONTH(W153, 1))</f>
        <v/>
      </c>
      <c r="Y153" s="11">
        <f>EOMONTH(X153,1)</f>
        <v/>
      </c>
      <c r="Z153" t="b">
        <v>0</v>
      </c>
    </row>
    <row r="154">
      <c r="A154" s="3" t="inlineStr">
        <is>
          <t>Heron View</t>
        </is>
      </c>
      <c r="B154" s="3" t="inlineStr">
        <is>
          <t>G</t>
        </is>
      </c>
      <c r="C154" s="3" t="inlineStr">
        <is>
          <t>HVG202</t>
        </is>
      </c>
      <c r="D154" s="3" t="b">
        <v>0</v>
      </c>
      <c r="E154" s="3" t="b">
        <v>0</v>
      </c>
      <c r="F154" s="3">
        <f>IF(OR(Z154=TRUE,SUMIFS('Cashflow Projection'!$E$119:$E$151,'Cashflow Projection'!$D$119:$D$151,Sales!C154)=1),0,SUMIFS('Cashflow Projection'!$C$7:$C$23,'Cashflow Projection'!$B$7:$B$23,Sales!B154,'Cashflow Projection'!$A$7:$A$23,Sales!A154))</f>
        <v/>
      </c>
      <c r="G154" s="4" t="n">
        <v>45523</v>
      </c>
      <c r="H154" s="4" t="n">
        <v>45532</v>
      </c>
      <c r="I154" s="3" t="n">
        <v>1449900</v>
      </c>
      <c r="J154" s="3" t="n">
        <v>189117.3913043478</v>
      </c>
      <c r="K154" s="3" t="n">
        <v>1260782.608695652</v>
      </c>
      <c r="L154" s="3" t="n">
        <v>18502.08</v>
      </c>
      <c r="M154" s="3" t="n">
        <v>1789</v>
      </c>
      <c r="N154" s="3" t="n">
        <v>7249.5</v>
      </c>
      <c r="O154" s="3" t="n">
        <v>72495</v>
      </c>
      <c r="P154" s="3" t="n">
        <v>19224.37</v>
      </c>
      <c r="Q154" s="9">
        <f>K154-SUM(L154:P154)</f>
        <v/>
      </c>
      <c r="R154" s="10">
        <f>IF($F154=1,((SUMIFS(Investors!$M:$M,Investors!$E:$E,Sales!$C154,Investors!$O:$O,FALSE)+SUMIFS(Investors!$S:$S,Investors!$E:$E,Sales!$C154,Investors!$O:$O,FALSE))*$F154)-SUMIFS('Investor Exit List'!$Q:$Q,'Investor Exit List'!$Y:$Y,1,'Investor Exit List'!$Z:$Z,"Release",'Investor Exit List'!$C:$C,Sales!$C154),(SUMIFS(Investors!$M:$M,Investors!$E:$E,Sales!$C154,Investors!$O:$O,FALSE)+SUMIFS(Investors!$S:$S,Investors!$E:$E,Sales!$C154,Investors!$O:$O,FALSE))*$F154)</f>
        <v/>
      </c>
      <c r="S154" s="10">
        <f>IF(T154=FALSE,Q154-R154,+V154)</f>
        <v/>
      </c>
      <c r="T154" s="3">
        <f>IF(SUMIFS('Cashflow Projection'!$E$119:$E$151,'Cashflow Projection'!$D$119:$D$151,Sales!C154)&lt;&gt;0,TRUE,FALSE)</f>
        <v/>
      </c>
      <c r="U154" s="4" t="n">
        <v>45565</v>
      </c>
      <c r="V154" s="10" t="n">
        <v>-5890.455245479476</v>
      </c>
      <c r="W154" s="11">
        <f>IF(SUMIFS('Cashflow Projection'!$E$119:$E$151,'Cashflow Projection'!$D$119:$D$151,Sales!C154)=1,SUMIFS('Cashflow Projection'!$C$119:$C$151,'Cashflow Projection'!$D$119:$D$151,Sales!C154),+Sales!H154)</f>
        <v/>
      </c>
      <c r="X154" s="11">
        <f>IF(MOD(MONTH(W154), 2) &lt;&gt; 0, EOMONTH(W154, 2), EOMONTH(W154, 1))</f>
        <v/>
      </c>
      <c r="Y154" s="11">
        <f>EOMONTH(X154,1)</f>
        <v/>
      </c>
      <c r="Z154" t="b">
        <v>0</v>
      </c>
    </row>
    <row r="155">
      <c r="A155" s="3" t="inlineStr">
        <is>
          <t>Heron View</t>
        </is>
      </c>
      <c r="B155" s="3" t="inlineStr">
        <is>
          <t>K</t>
        </is>
      </c>
      <c r="C155" s="3" t="inlineStr">
        <is>
          <t>HVK301</t>
        </is>
      </c>
      <c r="D155" s="3" t="b">
        <v>0</v>
      </c>
      <c r="E155" s="3" t="b">
        <v>0</v>
      </c>
      <c r="F155" s="3">
        <f>IF(OR(Z155=TRUE,SUMIFS('Cashflow Projection'!$E$119:$E$151,'Cashflow Projection'!$D$119:$D$151,Sales!C155)=1),0,SUMIFS('Cashflow Projection'!$C$7:$C$23,'Cashflow Projection'!$B$7:$B$23,Sales!B155,'Cashflow Projection'!$A$7:$A$23,Sales!A155))</f>
        <v/>
      </c>
      <c r="G155" s="4" t="n">
        <v>45510</v>
      </c>
      <c r="H155" s="4" t="n">
        <v>45625</v>
      </c>
      <c r="I155" s="3" t="n">
        <v>1529900</v>
      </c>
      <c r="J155" s="3" t="n">
        <v>199552.1739130435</v>
      </c>
      <c r="K155" s="3" t="n">
        <v>1330347.826086957</v>
      </c>
      <c r="L155" s="3" t="n">
        <v>18502.08</v>
      </c>
      <c r="M155" s="3" t="n">
        <v>1789</v>
      </c>
      <c r="N155" s="3" t="n">
        <v>7649.5</v>
      </c>
      <c r="O155" s="3" t="n">
        <v>76495</v>
      </c>
      <c r="P155" s="3" t="n">
        <v>19224.37</v>
      </c>
      <c r="Q155" s="9">
        <f>K155-SUM(L155:P155)</f>
        <v/>
      </c>
      <c r="R155" s="10">
        <f>IF($F155=1,((SUMIFS(Investors!$M:$M,Investors!$E:$E,Sales!$C155,Investors!$O:$O,FALSE)+SUMIFS(Investors!$S:$S,Investors!$E:$E,Sales!$C155,Investors!$O:$O,FALSE))*$F155)-SUMIFS('Investor Exit List'!$Q:$Q,'Investor Exit List'!$Y:$Y,1,'Investor Exit List'!$Z:$Z,"Release",'Investor Exit List'!$C:$C,Sales!$C155),(SUMIFS(Investors!$M:$M,Investors!$E:$E,Sales!$C155,Investors!$O:$O,FALSE)+SUMIFS(Investors!$S:$S,Investors!$E:$E,Sales!$C155,Investors!$O:$O,FALSE))*$F155)</f>
        <v/>
      </c>
      <c r="S155" s="10">
        <f>IF(T155=FALSE,Q155-R155,+V155)</f>
        <v/>
      </c>
      <c r="T155" s="3">
        <f>IF(SUMIFS('Cashflow Projection'!$E$119:$E$151,'Cashflow Projection'!$D$119:$D$151,Sales!C155)&lt;&gt;0,TRUE,FALSE)</f>
        <v/>
      </c>
      <c r="U155" s="4" t="n">
        <v>45688</v>
      </c>
      <c r="V155" s="10" t="n">
        <v>21813.98881952045</v>
      </c>
      <c r="W155" s="11">
        <f>IF(SUMIFS('Cashflow Projection'!$E$119:$E$151,'Cashflow Projection'!$D$119:$D$151,Sales!C155)=1,SUMIFS('Cashflow Projection'!$C$119:$C$151,'Cashflow Projection'!$D$119:$D$151,Sales!C155),+Sales!H155)</f>
        <v/>
      </c>
      <c r="X155" s="11">
        <f>IF(MOD(MONTH(W155), 2) &lt;&gt; 0, EOMONTH(W155, 2), EOMONTH(W155, 1))</f>
        <v/>
      </c>
      <c r="Y155" s="11">
        <f>EOMONTH(X155,1)</f>
        <v/>
      </c>
      <c r="Z155" t="b">
        <v>0</v>
      </c>
    </row>
    <row r="156">
      <c r="A156" s="3" t="inlineStr">
        <is>
          <t>Heron View</t>
        </is>
      </c>
      <c r="B156" s="3" t="inlineStr">
        <is>
          <t>K</t>
        </is>
      </c>
      <c r="C156" s="3" t="inlineStr">
        <is>
          <t>HVK306</t>
        </is>
      </c>
      <c r="D156" s="3" t="b">
        <v>0</v>
      </c>
      <c r="E156" s="3" t="b">
        <v>0</v>
      </c>
      <c r="F156" s="3">
        <f>IF(OR(Z156=TRUE,SUMIFS('Cashflow Projection'!$E$119:$E$151,'Cashflow Projection'!$D$119:$D$151,Sales!C156)=1),0,SUMIFS('Cashflow Projection'!$C$7:$C$23,'Cashflow Projection'!$B$7:$B$23,Sales!B156,'Cashflow Projection'!$A$7:$A$23,Sales!A156))</f>
        <v/>
      </c>
      <c r="G156" s="4" t="n">
        <v>45510</v>
      </c>
      <c r="H156" s="4" t="n">
        <v>45625</v>
      </c>
      <c r="I156" s="3" t="n">
        <v>1529900</v>
      </c>
      <c r="J156" s="3" t="n">
        <v>199552.1739130435</v>
      </c>
      <c r="K156" s="3" t="n">
        <v>1330347.826086957</v>
      </c>
      <c r="L156" s="3" t="n">
        <v>18502.08</v>
      </c>
      <c r="M156" s="3" t="n">
        <v>1789</v>
      </c>
      <c r="N156" s="3" t="n">
        <v>7649.5</v>
      </c>
      <c r="O156" s="3" t="n">
        <v>76495</v>
      </c>
      <c r="P156" s="3" t="n">
        <v>19224.37</v>
      </c>
      <c r="Q156" s="9">
        <f>K156-SUM(L156:P156)</f>
        <v/>
      </c>
      <c r="R156" s="10">
        <f>IF($F156=1,((SUMIFS(Investors!$M:$M,Investors!$E:$E,Sales!$C156,Investors!$O:$O,FALSE)+SUMIFS(Investors!$S:$S,Investors!$E:$E,Sales!$C156,Investors!$O:$O,FALSE))*$F156)-SUMIFS('Investor Exit List'!$Q:$Q,'Investor Exit List'!$Y:$Y,1,'Investor Exit List'!$Z:$Z,"Release",'Investor Exit List'!$C:$C,Sales!$C156),(SUMIFS(Investors!$M:$M,Investors!$E:$E,Sales!$C156,Investors!$O:$O,FALSE)+SUMIFS(Investors!$S:$S,Investors!$E:$E,Sales!$C156,Investors!$O:$O,FALSE))*$F156)</f>
        <v/>
      </c>
      <c r="S156" s="10">
        <f>IF(T156=FALSE,Q156-R156,+V156)</f>
        <v/>
      </c>
      <c r="T156" s="3">
        <f>IF(SUMIFS('Cashflow Projection'!$E$119:$E$151,'Cashflow Projection'!$D$119:$D$151,Sales!C156)&lt;&gt;0,TRUE,FALSE)</f>
        <v/>
      </c>
      <c r="U156" s="4" t="n">
        <v>45688</v>
      </c>
      <c r="V156" s="10" t="n">
        <v>-1053.100684931502</v>
      </c>
      <c r="W156" s="11">
        <f>IF(SUMIFS('Cashflow Projection'!$E$119:$E$151,'Cashflow Projection'!$D$119:$D$151,Sales!C156)=1,SUMIFS('Cashflow Projection'!$C$119:$C$151,'Cashflow Projection'!$D$119:$D$151,Sales!C156),+Sales!H156)</f>
        <v/>
      </c>
      <c r="X156" s="11">
        <f>IF(MOD(MONTH(W156), 2) &lt;&gt; 0, EOMONTH(W156, 2), EOMONTH(W156, 1))</f>
        <v/>
      </c>
      <c r="Y156" s="11">
        <f>EOMONTH(X156,1)</f>
        <v/>
      </c>
      <c r="Z156" t="b">
        <v>0</v>
      </c>
    </row>
    <row r="157">
      <c r="A157" s="3" t="inlineStr">
        <is>
          <t>Heron View</t>
        </is>
      </c>
      <c r="B157" s="3" t="inlineStr">
        <is>
          <t>E</t>
        </is>
      </c>
      <c r="C157" s="3" t="inlineStr">
        <is>
          <t>HVE102</t>
        </is>
      </c>
      <c r="D157" s="3" t="b">
        <v>0</v>
      </c>
      <c r="E157" s="3" t="b">
        <v>0</v>
      </c>
      <c r="F157" s="3">
        <f>IF(OR(Z157=TRUE,SUMIFS('Cashflow Projection'!$E$119:$E$151,'Cashflow Projection'!$D$119:$D$151,Sales!C157)=1),0,SUMIFS('Cashflow Projection'!$C$7:$C$23,'Cashflow Projection'!$B$7:$B$23,Sales!B157,'Cashflow Projection'!$A$7:$A$23,Sales!A157))</f>
        <v/>
      </c>
      <c r="G157" s="4" t="n">
        <v>45685</v>
      </c>
      <c r="H157" s="4" t="n">
        <v>45685</v>
      </c>
      <c r="I157" s="3" t="n">
        <v>1649900</v>
      </c>
      <c r="J157" s="3" t="n">
        <v>215204.3478260869</v>
      </c>
      <c r="K157" s="3" t="n">
        <v>1434695.652173913</v>
      </c>
      <c r="L157" s="3" t="n">
        <v>18502.08</v>
      </c>
      <c r="M157" s="3" t="n">
        <v>1789</v>
      </c>
      <c r="N157" s="3" t="n">
        <v>8249.5</v>
      </c>
      <c r="O157" s="3" t="n">
        <v>82495</v>
      </c>
      <c r="P157" s="3" t="n">
        <v>19224.37</v>
      </c>
      <c r="Q157" s="9">
        <f>K157-SUM(L157:P157)</f>
        <v/>
      </c>
      <c r="R157" s="10">
        <f>IF($F157=1,((SUMIFS(Investors!$M:$M,Investors!$E:$E,Sales!$C157,Investors!$O:$O,FALSE)+SUMIFS(Investors!$S:$S,Investors!$E:$E,Sales!$C157,Investors!$O:$O,FALSE))*$F157)-SUMIFS('Investor Exit List'!$Q:$Q,'Investor Exit List'!$Y:$Y,1,'Investor Exit List'!$Z:$Z,"Release",'Investor Exit List'!$C:$C,Sales!$C157),(SUMIFS(Investors!$M:$M,Investors!$E:$E,Sales!$C157,Investors!$O:$O,FALSE)+SUMIFS(Investors!$S:$S,Investors!$E:$E,Sales!$C157,Investors!$O:$O,FALSE))*$F157)</f>
        <v/>
      </c>
      <c r="S157" s="10">
        <f>IF(T157=FALSE,Q157-R157,+V157)</f>
        <v/>
      </c>
      <c r="T157" s="3">
        <f>IF(SUMIFS('Cashflow Projection'!$E$119:$E$151,'Cashflow Projection'!$D$119:$D$151,Sales!C157)&lt;&gt;0,TRUE,FALSE)</f>
        <v/>
      </c>
      <c r="U157" s="4" t="n">
        <v>45747</v>
      </c>
      <c r="V157" s="10" t="n">
        <v>1383822.8524</v>
      </c>
      <c r="W157" s="11">
        <f>IF(SUMIFS('Cashflow Projection'!$E$119:$E$151,'Cashflow Projection'!$D$119:$D$151,Sales!C157)=1,SUMIFS('Cashflow Projection'!$C$119:$C$151,'Cashflow Projection'!$D$119:$D$151,Sales!C157),+Sales!H157)</f>
        <v/>
      </c>
      <c r="X157" s="11">
        <f>IF(MOD(MONTH(W157), 2) &lt;&gt; 0, EOMONTH(W157, 2), EOMONTH(W157, 1))</f>
        <v/>
      </c>
      <c r="Y157" s="11">
        <f>EOMONTH(X157,1)</f>
        <v/>
      </c>
      <c r="Z157" t="b">
        <v>0</v>
      </c>
    </row>
    <row r="158">
      <c r="A158" s="3" t="inlineStr">
        <is>
          <t>Heron View</t>
        </is>
      </c>
      <c r="B158" s="3" t="inlineStr">
        <is>
          <t>K</t>
        </is>
      </c>
      <c r="C158" s="3" t="inlineStr">
        <is>
          <t>HVK205</t>
        </is>
      </c>
      <c r="D158" s="3" t="b">
        <v>0</v>
      </c>
      <c r="E158" s="3" t="b">
        <v>0</v>
      </c>
      <c r="F158" s="3">
        <f>IF(OR(Z158=TRUE,SUMIFS('Cashflow Projection'!$E$119:$E$151,'Cashflow Projection'!$D$119:$D$151,Sales!C158)=1),0,SUMIFS('Cashflow Projection'!$C$7:$C$23,'Cashflow Projection'!$B$7:$B$23,Sales!B158,'Cashflow Projection'!$A$7:$A$23,Sales!A158))</f>
        <v/>
      </c>
      <c r="G158" s="4" t="n">
        <v>45510</v>
      </c>
      <c r="H158" s="4" t="n">
        <v>45625</v>
      </c>
      <c r="I158" s="3" t="n">
        <v>1499900</v>
      </c>
      <c r="J158" s="3" t="n">
        <v>195639.1304347826</v>
      </c>
      <c r="K158" s="3" t="n">
        <v>1304260.869565218</v>
      </c>
      <c r="L158" s="3" t="n">
        <v>18502.08</v>
      </c>
      <c r="M158" s="3" t="n">
        <v>1789</v>
      </c>
      <c r="N158" s="3" t="n">
        <v>7499.5</v>
      </c>
      <c r="O158" s="3" t="n">
        <v>74995</v>
      </c>
      <c r="P158" s="3" t="n">
        <v>19224.37</v>
      </c>
      <c r="Q158" s="9">
        <f>K158-SUM(L158:P158)</f>
        <v/>
      </c>
      <c r="R158" s="10">
        <f>IF($F158=1,((SUMIFS(Investors!$M:$M,Investors!$E:$E,Sales!$C158,Investors!$O:$O,FALSE)+SUMIFS(Investors!$S:$S,Investors!$E:$E,Sales!$C158,Investors!$O:$O,FALSE))*$F158)-SUMIFS('Investor Exit List'!$Q:$Q,'Investor Exit List'!$Y:$Y,1,'Investor Exit List'!$Z:$Z,"Release",'Investor Exit List'!$C:$C,Sales!$C158),(SUMIFS(Investors!$M:$M,Investors!$E:$E,Sales!$C158,Investors!$O:$O,FALSE)+SUMIFS(Investors!$S:$S,Investors!$E:$E,Sales!$C158,Investors!$O:$O,FALSE))*$F158)</f>
        <v/>
      </c>
      <c r="S158" s="10">
        <f>IF(T158=FALSE,Q158-R158,+V158)</f>
        <v/>
      </c>
      <c r="T158" s="3">
        <f>IF(SUMIFS('Cashflow Projection'!$E$119:$E$151,'Cashflow Projection'!$D$119:$D$151,Sales!C158)&lt;&gt;0,TRUE,FALSE)</f>
        <v/>
      </c>
      <c r="U158" s="4" t="n">
        <v>45688</v>
      </c>
      <c r="V158" s="10" t="n">
        <v>-40335.67383445217</v>
      </c>
      <c r="W158" s="11">
        <f>IF(SUMIFS('Cashflow Projection'!$E$119:$E$151,'Cashflow Projection'!$D$119:$D$151,Sales!C158)=1,SUMIFS('Cashflow Projection'!$C$119:$C$151,'Cashflow Projection'!$D$119:$D$151,Sales!C158),+Sales!H158)</f>
        <v/>
      </c>
      <c r="X158" s="11">
        <f>IF(MOD(MONTH(W158), 2) &lt;&gt; 0, EOMONTH(W158, 2), EOMONTH(W158, 1))</f>
        <v/>
      </c>
      <c r="Y158" s="11">
        <f>EOMONTH(X158,1)</f>
        <v/>
      </c>
      <c r="Z158" t="b">
        <v>0</v>
      </c>
    </row>
    <row r="159">
      <c r="A159" s="3" t="inlineStr">
        <is>
          <t>Endulini</t>
        </is>
      </c>
      <c r="B159" s="3" t="inlineStr">
        <is>
          <t>B</t>
        </is>
      </c>
      <c r="C159" s="3" t="inlineStr">
        <is>
          <t>EB101</t>
        </is>
      </c>
      <c r="D159" s="3" t="b">
        <v>1</v>
      </c>
      <c r="E159" s="3" t="b">
        <v>1</v>
      </c>
      <c r="F159" s="3">
        <f>IF(OR(Z159=TRUE,SUMIFS('Cashflow Projection'!$E$119:$E$151,'Cashflow Projection'!$D$119:$D$151,Sales!C159)=1),0,SUMIFS('Cashflow Projection'!$C$7:$C$23,'Cashflow Projection'!$B$7:$B$23,Sales!B159,'Cashflow Projection'!$A$7:$A$23,Sales!A159))</f>
        <v/>
      </c>
      <c r="G159" s="4" t="n">
        <v>45281</v>
      </c>
      <c r="H159" s="4" t="n">
        <v>45688</v>
      </c>
      <c r="I159" s="3" t="n">
        <v>1579900</v>
      </c>
      <c r="J159" s="3" t="n">
        <v>206073.9130434782</v>
      </c>
      <c r="K159" s="3" t="n">
        <v>1373826.086956522</v>
      </c>
      <c r="L159" s="3" t="n">
        <v>18502.08</v>
      </c>
      <c r="M159" s="3" t="n">
        <v>1789</v>
      </c>
      <c r="N159" s="3" t="n">
        <v>7899.5</v>
      </c>
      <c r="O159" s="3" t="n">
        <v>78995</v>
      </c>
      <c r="P159" s="3" t="n">
        <v>19224.37</v>
      </c>
      <c r="Q159" s="9">
        <f>K159-SUM(L159:P159)</f>
        <v/>
      </c>
      <c r="R159" s="10">
        <f>IF($F159=1,((SUMIFS(Investors!$M:$M,Investors!$E:$E,Sales!$C159,Investors!$O:$O,FALSE)+SUMIFS(Investors!$S:$S,Investors!$E:$E,Sales!$C159,Investors!$O:$O,FALSE))*$F159)-SUMIFS('Investor Exit List'!$Q:$Q,'Investor Exit List'!$Y:$Y,1,'Investor Exit List'!$Z:$Z,"Release",'Investor Exit List'!$C:$C,Sales!$C159),(SUMIFS(Investors!$M:$M,Investors!$E:$E,Sales!$C159,Investors!$O:$O,FALSE)+SUMIFS(Investors!$S:$S,Investors!$E:$E,Sales!$C159,Investors!$O:$O,FALSE))*$F159)</f>
        <v/>
      </c>
      <c r="S159" s="10">
        <f>IF(T159=FALSE,Q159-R159,+V159)</f>
        <v/>
      </c>
      <c r="T159" s="3">
        <f>IF(SUMIFS('Cashflow Projection'!$E$119:$E$151,'Cashflow Projection'!$D$119:$D$151,Sales!C159)&lt;&gt;0,TRUE,FALSE)</f>
        <v/>
      </c>
      <c r="U159" s="4" t="n">
        <v>45747</v>
      </c>
      <c r="V159" s="10" t="n">
        <v>119092.7721843834</v>
      </c>
      <c r="W159" s="11">
        <f>IF(SUMIFS('Cashflow Projection'!$E$119:$E$151,'Cashflow Projection'!$D$119:$D$151,Sales!C159)=1,SUMIFS('Cashflow Projection'!$C$119:$C$151,'Cashflow Projection'!$D$119:$D$151,Sales!C159),+Sales!H159)</f>
        <v/>
      </c>
      <c r="X159" s="11">
        <f>IF(MOD(MONTH(W159), 2) &lt;&gt; 0, EOMONTH(W159, 2), EOMONTH(W159, 1))</f>
        <v/>
      </c>
      <c r="Y159" s="11">
        <f>EOMONTH(X159,1)</f>
        <v/>
      </c>
      <c r="Z159" t="b">
        <v>0</v>
      </c>
    </row>
    <row r="160">
      <c r="A160" s="3" t="inlineStr">
        <is>
          <t>Heron Fields</t>
        </is>
      </c>
      <c r="B160" s="3" t="inlineStr">
        <is>
          <t>A</t>
        </is>
      </c>
      <c r="C160" s="3" t="inlineStr">
        <is>
          <t>HFA104</t>
        </is>
      </c>
      <c r="D160" s="3" t="b">
        <v>1</v>
      </c>
      <c r="E160" s="3" t="b">
        <v>1</v>
      </c>
      <c r="F160" s="3">
        <f>IF(OR(Z160=TRUE,SUMIFS('Cashflow Projection'!$E$119:$E$151,'Cashflow Projection'!$D$119:$D$151,Sales!C160)=1),0,SUMIFS('Cashflow Projection'!$C$7:$C$23,'Cashflow Projection'!$B$7:$B$23,Sales!B160,'Cashflow Projection'!$A$7:$A$23,Sales!A160))</f>
        <v/>
      </c>
      <c r="G160" s="4" t="n">
        <v>44887</v>
      </c>
      <c r="H160" s="4" t="n">
        <v>45688</v>
      </c>
      <c r="I160" s="3" t="n">
        <v>1519900</v>
      </c>
      <c r="J160" s="3" t="n">
        <v>198247.8260869565</v>
      </c>
      <c r="K160" s="3" t="n">
        <v>1321652.173913044</v>
      </c>
      <c r="L160" s="3" t="n">
        <v>18502.08</v>
      </c>
      <c r="M160" s="3" t="n">
        <v>1789</v>
      </c>
      <c r="N160" s="3" t="n">
        <v>7599.5</v>
      </c>
      <c r="O160" s="3" t="n">
        <v>75995</v>
      </c>
      <c r="P160" s="3" t="n">
        <v>19224.37</v>
      </c>
      <c r="Q160" s="9">
        <f>K160-SUM(L160:P160)</f>
        <v/>
      </c>
      <c r="R160" s="10">
        <f>IF($F160=1,((SUMIFS(Investors!$M:$M,Investors!$E:$E,Sales!$C160,Investors!$O:$O,FALSE)+SUMIFS(Investors!$S:$S,Investors!$E:$E,Sales!$C160,Investors!$O:$O,FALSE))*$F160)-SUMIFS('Investor Exit List'!$Q:$Q,'Investor Exit List'!$Y:$Y,1,'Investor Exit List'!$Z:$Z,"Release",'Investor Exit List'!$C:$C,Sales!$C160),(SUMIFS(Investors!$M:$M,Investors!$E:$E,Sales!$C160,Investors!$O:$O,FALSE)+SUMIFS(Investors!$S:$S,Investors!$E:$E,Sales!$C160,Investors!$O:$O,FALSE))*$F160)</f>
        <v/>
      </c>
      <c r="S160" s="10">
        <f>IF(T160=FALSE,Q160-R160,+V160)</f>
        <v/>
      </c>
      <c r="T160" s="3">
        <f>IF(SUMIFS('Cashflow Projection'!$E$119:$E$151,'Cashflow Projection'!$D$119:$D$151,Sales!C160)&lt;&gt;0,TRUE,FALSE)</f>
        <v/>
      </c>
      <c r="U160" s="4" t="n">
        <v>45747</v>
      </c>
      <c r="V160" s="10" t="n">
        <v>249320.871917808</v>
      </c>
      <c r="W160" s="11">
        <f>IF(SUMIFS('Cashflow Projection'!$E$119:$E$151,'Cashflow Projection'!$D$119:$D$151,Sales!C160)=1,SUMIFS('Cashflow Projection'!$C$119:$C$151,'Cashflow Projection'!$D$119:$D$151,Sales!C160),+Sales!H160)</f>
        <v/>
      </c>
      <c r="X160" s="11">
        <f>IF(MOD(MONTH(W160), 2) &lt;&gt; 0, EOMONTH(W160, 2), EOMONTH(W160, 1))</f>
        <v/>
      </c>
      <c r="Y160" s="11">
        <f>EOMONTH(X160,1)</f>
        <v/>
      </c>
      <c r="Z160" t="b">
        <v>0</v>
      </c>
    </row>
    <row r="161">
      <c r="A161" s="3" t="inlineStr">
        <is>
          <t>Heron Fields</t>
        </is>
      </c>
      <c r="B161" s="3" t="inlineStr">
        <is>
          <t>B</t>
        </is>
      </c>
      <c r="C161" s="3" t="inlineStr">
        <is>
          <t>HFB108</t>
        </is>
      </c>
      <c r="D161" s="3" t="b">
        <v>1</v>
      </c>
      <c r="E161" s="3" t="b">
        <v>1</v>
      </c>
      <c r="F161" s="3">
        <f>IF(OR(Z161=TRUE,SUMIFS('Cashflow Projection'!$E$119:$E$151,'Cashflow Projection'!$D$119:$D$151,Sales!C161)=1),0,SUMIFS('Cashflow Projection'!$C$7:$C$23,'Cashflow Projection'!$B$7:$B$23,Sales!B161,'Cashflow Projection'!$A$7:$A$23,Sales!A161))</f>
        <v/>
      </c>
      <c r="G161" s="4" t="n">
        <v>44984</v>
      </c>
      <c r="H161" s="4" t="n">
        <v>45688</v>
      </c>
      <c r="I161" s="3" t="n">
        <v>1599900</v>
      </c>
      <c r="J161" s="3" t="n">
        <v>208682.6086956522</v>
      </c>
      <c r="K161" s="3" t="n">
        <v>1391217.391304348</v>
      </c>
      <c r="L161" s="3" t="n">
        <v>18502.08</v>
      </c>
      <c r="M161" s="3" t="n">
        <v>1789</v>
      </c>
      <c r="N161" s="3" t="n">
        <v>7999.5</v>
      </c>
      <c r="O161" s="3" t="n">
        <v>79995</v>
      </c>
      <c r="P161" s="3" t="n">
        <v>19224.37</v>
      </c>
      <c r="Q161" s="9">
        <f>K161-SUM(L161:P161)</f>
        <v/>
      </c>
      <c r="R161" s="10">
        <f>IF($F161=1,((SUMIFS(Investors!$M:$M,Investors!$E:$E,Sales!$C161,Investors!$O:$O,FALSE)+SUMIFS(Investors!$S:$S,Investors!$E:$E,Sales!$C161,Investors!$O:$O,FALSE))*$F161)-SUMIFS('Investor Exit List'!$Q:$Q,'Investor Exit List'!$Y:$Y,1,'Investor Exit List'!$Z:$Z,"Release",'Investor Exit List'!$C:$C,Sales!$C161),(SUMIFS(Investors!$M:$M,Investors!$E:$E,Sales!$C161,Investors!$O:$O,FALSE)+SUMIFS(Investors!$S:$S,Investors!$E:$E,Sales!$C161,Investors!$O:$O,FALSE))*$F161)</f>
        <v/>
      </c>
      <c r="S161" s="10">
        <f>IF(T161=FALSE,Q161-R161,+V161)</f>
        <v/>
      </c>
      <c r="T161" s="3">
        <f>IF(SUMIFS('Cashflow Projection'!$E$119:$E$151,'Cashflow Projection'!$D$119:$D$151,Sales!C161)&lt;&gt;0,TRUE,FALSE)</f>
        <v/>
      </c>
      <c r="U161" s="4" t="n">
        <v>45747</v>
      </c>
      <c r="V161" s="10" t="n">
        <v>305409.159589041</v>
      </c>
      <c r="W161" s="11">
        <f>IF(SUMIFS('Cashflow Projection'!$E$119:$E$151,'Cashflow Projection'!$D$119:$D$151,Sales!C161)=1,SUMIFS('Cashflow Projection'!$C$119:$C$151,'Cashflow Projection'!$D$119:$D$151,Sales!C161),+Sales!H161)</f>
        <v/>
      </c>
      <c r="X161" s="11">
        <f>IF(MOD(MONTH(W161), 2) &lt;&gt; 0, EOMONTH(W161, 2), EOMONTH(W161, 1))</f>
        <v/>
      </c>
      <c r="Y161" s="11">
        <f>EOMONTH(X161,1)</f>
        <v/>
      </c>
      <c r="Z161" t="b">
        <v>0</v>
      </c>
    </row>
    <row r="162">
      <c r="A162" s="3" t="inlineStr">
        <is>
          <t>Heron Fields</t>
        </is>
      </c>
      <c r="B162" s="3" t="inlineStr">
        <is>
          <t>B</t>
        </is>
      </c>
      <c r="C162" s="3" t="inlineStr">
        <is>
          <t>HFB102</t>
        </is>
      </c>
      <c r="D162" s="3" t="b">
        <v>1</v>
      </c>
      <c r="E162" s="3" t="b">
        <v>1</v>
      </c>
      <c r="F162" s="3">
        <f>IF(OR(Z162=TRUE,SUMIFS('Cashflow Projection'!$E$119:$E$151,'Cashflow Projection'!$D$119:$D$151,Sales!C162)=1),0,SUMIFS('Cashflow Projection'!$C$7:$C$23,'Cashflow Projection'!$B$7:$B$23,Sales!B162,'Cashflow Projection'!$A$7:$A$23,Sales!A162))</f>
        <v/>
      </c>
      <c r="G162" s="4" t="n">
        <v>44896</v>
      </c>
      <c r="H162" s="4" t="n">
        <v>45688</v>
      </c>
      <c r="I162" s="3" t="n">
        <v>1559900</v>
      </c>
      <c r="J162" s="3" t="n">
        <v>203465.2173913044</v>
      </c>
      <c r="K162" s="3" t="n">
        <v>1356434.782608696</v>
      </c>
      <c r="L162" s="3" t="n">
        <v>18502.08</v>
      </c>
      <c r="M162" s="3" t="n">
        <v>1789</v>
      </c>
      <c r="N162" s="3" t="n">
        <v>7799.5</v>
      </c>
      <c r="O162" s="3" t="n">
        <v>77995</v>
      </c>
      <c r="P162" s="3" t="n">
        <v>19224.37</v>
      </c>
      <c r="Q162" s="9">
        <f>K162-SUM(L162:P162)</f>
        <v/>
      </c>
      <c r="R162" s="10">
        <f>IF($F162=1,((SUMIFS(Investors!$M:$M,Investors!$E:$E,Sales!$C162,Investors!$O:$O,FALSE)+SUMIFS(Investors!$S:$S,Investors!$E:$E,Sales!$C162,Investors!$O:$O,FALSE))*$F162)-SUMIFS('Investor Exit List'!$Q:$Q,'Investor Exit List'!$Y:$Y,1,'Investor Exit List'!$Z:$Z,"Release",'Investor Exit List'!$C:$C,Sales!$C162),(SUMIFS(Investors!$M:$M,Investors!$E:$E,Sales!$C162,Investors!$O:$O,FALSE)+SUMIFS(Investors!$S:$S,Investors!$E:$E,Sales!$C162,Investors!$O:$O,FALSE))*$F162)</f>
        <v/>
      </c>
      <c r="S162" s="10">
        <f>IF(T162=FALSE,Q162-R162,+V162)</f>
        <v/>
      </c>
      <c r="T162" s="3">
        <f>IF(SUMIFS('Cashflow Projection'!$E$119:$E$151,'Cashflow Projection'!$D$119:$D$151,Sales!C162)&lt;&gt;0,TRUE,FALSE)</f>
        <v/>
      </c>
      <c r="U162" s="4" t="n">
        <v>45747</v>
      </c>
      <c r="V162" s="10" t="n">
        <v>248089.159589041</v>
      </c>
      <c r="W162" s="11">
        <f>IF(SUMIFS('Cashflow Projection'!$E$119:$E$151,'Cashflow Projection'!$D$119:$D$151,Sales!C162)=1,SUMIFS('Cashflow Projection'!$C$119:$C$151,'Cashflow Projection'!$D$119:$D$151,Sales!C162),+Sales!H162)</f>
        <v/>
      </c>
      <c r="X162" s="11">
        <f>IF(MOD(MONTH(W162), 2) &lt;&gt; 0, EOMONTH(W162, 2), EOMONTH(W162, 1))</f>
        <v/>
      </c>
      <c r="Y162" s="11">
        <f>EOMONTH(X162,1)</f>
        <v/>
      </c>
      <c r="Z162" t="b">
        <v>0</v>
      </c>
    </row>
    <row r="163">
      <c r="A163" s="3" t="inlineStr">
        <is>
          <t>Heron View</t>
        </is>
      </c>
      <c r="B163" s="3" t="inlineStr">
        <is>
          <t>N</t>
        </is>
      </c>
      <c r="C163" s="3" t="inlineStr">
        <is>
          <t>HVN101</t>
        </is>
      </c>
      <c r="D163" s="3" t="b">
        <v>1</v>
      </c>
      <c r="E163" s="3" t="b">
        <v>1</v>
      </c>
      <c r="F163" s="3">
        <f>IF(OR(Z163=TRUE,SUMIFS('Cashflow Projection'!$E$119:$E$151,'Cashflow Projection'!$D$119:$D$151,Sales!C163)=1),0,SUMIFS('Cashflow Projection'!$C$7:$C$23,'Cashflow Projection'!$B$7:$B$23,Sales!B163,'Cashflow Projection'!$A$7:$A$23,Sales!A163))</f>
        <v/>
      </c>
      <c r="G163" s="4" t="n">
        <v>45310</v>
      </c>
      <c r="H163" s="4" t="n">
        <v>45688</v>
      </c>
      <c r="I163" s="3" t="n">
        <v>1699900</v>
      </c>
      <c r="J163" s="3" t="n">
        <v>221726.0869565217</v>
      </c>
      <c r="K163" s="3" t="n">
        <v>1478173.913043478</v>
      </c>
      <c r="L163" s="3" t="n">
        <v>18502.08</v>
      </c>
      <c r="M163" s="3" t="n">
        <v>1789</v>
      </c>
      <c r="N163" s="3" t="n">
        <v>8499.5</v>
      </c>
      <c r="O163" s="3" t="n">
        <v>84995</v>
      </c>
      <c r="P163" s="3" t="n">
        <v>19224.37</v>
      </c>
      <c r="Q163" s="9">
        <f>K163-SUM(L163:P163)</f>
        <v/>
      </c>
      <c r="R163" s="10">
        <f>IF($F163=1,((SUMIFS(Investors!$M:$M,Investors!$E:$E,Sales!$C163,Investors!$O:$O,FALSE)+SUMIFS(Investors!$S:$S,Investors!$E:$E,Sales!$C163,Investors!$O:$O,FALSE))*$F163)-SUMIFS('Investor Exit List'!$Q:$Q,'Investor Exit List'!$Y:$Y,1,'Investor Exit List'!$Z:$Z,"Release",'Investor Exit List'!$C:$C,Sales!$C163),(SUMIFS(Investors!$M:$M,Investors!$E:$E,Sales!$C163,Investors!$O:$O,FALSE)+SUMIFS(Investors!$S:$S,Investors!$E:$E,Sales!$C163,Investors!$O:$O,FALSE))*$F163)</f>
        <v/>
      </c>
      <c r="S163" s="10">
        <f>IF(T163=FALSE,Q163-R163,+V163)</f>
        <v/>
      </c>
      <c r="T163" s="3">
        <f>IF(SUMIFS('Cashflow Projection'!$E$119:$E$151,'Cashflow Projection'!$D$119:$D$151,Sales!C163)&lt;&gt;0,TRUE,FALSE)</f>
        <v/>
      </c>
      <c r="U163" s="4" t="n">
        <v>45747</v>
      </c>
      <c r="V163" s="10" t="n">
        <v>351075.1815538355</v>
      </c>
      <c r="W163" s="11">
        <f>IF(SUMIFS('Cashflow Projection'!$E$119:$E$151,'Cashflow Projection'!$D$119:$D$151,Sales!C163)=1,SUMIFS('Cashflow Projection'!$C$119:$C$151,'Cashflow Projection'!$D$119:$D$151,Sales!C163),+Sales!H163)</f>
        <v/>
      </c>
      <c r="X163" s="11">
        <f>IF(MOD(MONTH(W163), 2) &lt;&gt; 0, EOMONTH(W163, 2), EOMONTH(W163, 1))</f>
        <v/>
      </c>
      <c r="Y163" s="11">
        <f>EOMONTH(X163,1)</f>
        <v/>
      </c>
      <c r="Z163" t="b">
        <v>0</v>
      </c>
    </row>
    <row r="164">
      <c r="A164" s="3" t="inlineStr">
        <is>
          <t>Heron View</t>
        </is>
      </c>
      <c r="B164" s="3" t="inlineStr">
        <is>
          <t>J</t>
        </is>
      </c>
      <c r="C164" s="3" t="inlineStr">
        <is>
          <t>HVJ102</t>
        </is>
      </c>
      <c r="D164" s="3" t="b">
        <v>1</v>
      </c>
      <c r="E164" s="3" t="b">
        <v>0</v>
      </c>
      <c r="F164" s="3">
        <f>IF(OR(Z164=TRUE,SUMIFS('Cashflow Projection'!$E$119:$E$151,'Cashflow Projection'!$D$119:$D$151,Sales!C164)=1),0,SUMIFS('Cashflow Projection'!$C$7:$C$23,'Cashflow Projection'!$B$7:$B$23,Sales!B164,'Cashflow Projection'!$A$7:$A$23,Sales!A164))</f>
        <v/>
      </c>
      <c r="G164" s="4" t="n">
        <v>45552</v>
      </c>
      <c r="H164" s="4" t="n">
        <v>45552</v>
      </c>
      <c r="I164" s="3" t="n">
        <v>1749900</v>
      </c>
      <c r="J164" s="3" t="n">
        <v>228247.8260869565</v>
      </c>
      <c r="K164" s="3" t="n">
        <v>1521652.173913044</v>
      </c>
      <c r="L164" s="3" t="n">
        <v>18502.08</v>
      </c>
      <c r="M164" s="3" t="n">
        <v>1789</v>
      </c>
      <c r="N164" s="3" t="n">
        <v>8749.5</v>
      </c>
      <c r="O164" s="3" t="n">
        <v>87495</v>
      </c>
      <c r="P164" s="3" t="n">
        <v>19224.37</v>
      </c>
      <c r="Q164" s="9">
        <f>K164-SUM(L164:P164)</f>
        <v/>
      </c>
      <c r="R164" s="10">
        <f>IF($F164=1,((SUMIFS(Investors!$M:$M,Investors!$E:$E,Sales!$C164,Investors!$O:$O,FALSE)+SUMIFS(Investors!$S:$S,Investors!$E:$E,Sales!$C164,Investors!$O:$O,FALSE))*$F164)-SUMIFS('Investor Exit List'!$Q:$Q,'Investor Exit List'!$Y:$Y,1,'Investor Exit List'!$Z:$Z,"Release",'Investor Exit List'!$C:$C,Sales!$C164),(SUMIFS(Investors!$M:$M,Investors!$E:$E,Sales!$C164,Investors!$O:$O,FALSE)+SUMIFS(Investors!$S:$S,Investors!$E:$E,Sales!$C164,Investors!$O:$O,FALSE))*$F164)</f>
        <v/>
      </c>
      <c r="S164" s="10">
        <f>IF(T164=FALSE,Q164-R164,+V164)</f>
        <v/>
      </c>
      <c r="T164" s="3">
        <f>IF(SUMIFS('Cashflow Projection'!$E$119:$E$151,'Cashflow Projection'!$D$119:$D$151,Sales!C164)&lt;&gt;0,TRUE,FALSE)</f>
        <v/>
      </c>
      <c r="U164" s="4" t="n">
        <v>45626</v>
      </c>
      <c r="V164" s="10" t="n">
        <v>240804.3385128765</v>
      </c>
      <c r="W164" s="11">
        <f>IF(SUMIFS('Cashflow Projection'!$E$119:$E$151,'Cashflow Projection'!$D$119:$D$151,Sales!C164)=1,SUMIFS('Cashflow Projection'!$C$119:$C$151,'Cashflow Projection'!$D$119:$D$151,Sales!C164),+Sales!H164)</f>
        <v/>
      </c>
      <c r="X164" s="11">
        <f>IF(MOD(MONTH(W164), 2) &lt;&gt; 0, EOMONTH(W164, 2), EOMONTH(W164, 1))</f>
        <v/>
      </c>
      <c r="Y164" s="11">
        <f>EOMONTH(X164,1)</f>
        <v/>
      </c>
      <c r="Z164" t="b">
        <v>0</v>
      </c>
    </row>
    <row r="165">
      <c r="A165" s="3" t="inlineStr">
        <is>
          <t>Heron View</t>
        </is>
      </c>
      <c r="B165" s="3" t="inlineStr">
        <is>
          <t>C</t>
        </is>
      </c>
      <c r="C165" s="3" t="inlineStr">
        <is>
          <t>HVC106</t>
        </is>
      </c>
      <c r="D165" s="3" t="b">
        <v>1</v>
      </c>
      <c r="E165" s="3" t="b">
        <v>1</v>
      </c>
      <c r="F165" s="3">
        <f>IF(OR(Z165=TRUE,SUMIFS('Cashflow Projection'!$E$119:$E$151,'Cashflow Projection'!$D$119:$D$151,Sales!C165)=1),0,SUMIFS('Cashflow Projection'!$C$7:$C$23,'Cashflow Projection'!$B$7:$B$23,Sales!B165,'Cashflow Projection'!$A$7:$A$23,Sales!A165))</f>
        <v/>
      </c>
      <c r="G165" s="4" t="n">
        <v>45170</v>
      </c>
      <c r="H165" s="4" t="n">
        <v>45688</v>
      </c>
      <c r="I165" s="3" t="n">
        <v>1619900</v>
      </c>
      <c r="J165" s="3" t="n">
        <v>211291.3043478261</v>
      </c>
      <c r="K165" s="3" t="n">
        <v>1408608.695652174</v>
      </c>
      <c r="L165" s="3" t="n">
        <v>18502.08</v>
      </c>
      <c r="M165" s="3" t="n">
        <v>1789</v>
      </c>
      <c r="N165" s="3" t="n">
        <v>8099.5</v>
      </c>
      <c r="O165" s="3" t="n">
        <v>80995</v>
      </c>
      <c r="P165" s="3" t="n">
        <v>19224.37</v>
      </c>
      <c r="Q165" s="9">
        <f>K165-SUM(L165:P165)</f>
        <v/>
      </c>
      <c r="R165" s="10">
        <f>IF($F165=1,((SUMIFS(Investors!$M:$M,Investors!$E:$E,Sales!$C165,Investors!$O:$O,FALSE)+SUMIFS(Investors!$S:$S,Investors!$E:$E,Sales!$C165,Investors!$O:$O,FALSE))*$F165)-SUMIFS('Investor Exit List'!$Q:$Q,'Investor Exit List'!$Y:$Y,1,'Investor Exit List'!$Z:$Z,"Release",'Investor Exit List'!$C:$C,Sales!$C165),(SUMIFS(Investors!$M:$M,Investors!$E:$E,Sales!$C165,Investors!$O:$O,FALSE)+SUMIFS(Investors!$S:$S,Investors!$E:$E,Sales!$C165,Investors!$O:$O,FALSE))*$F165)</f>
        <v/>
      </c>
      <c r="S165" s="10">
        <f>IF(T165=FALSE,Q165-R165,+V165)</f>
        <v/>
      </c>
      <c r="T165" s="3">
        <f>IF(SUMIFS('Cashflow Projection'!$E$119:$E$151,'Cashflow Projection'!$D$119:$D$151,Sales!C165)&lt;&gt;0,TRUE,FALSE)</f>
        <v/>
      </c>
      <c r="U165" s="4" t="n">
        <v>45747</v>
      </c>
      <c r="V165" s="10" t="n">
        <v>217507.3102739723</v>
      </c>
      <c r="W165" s="11">
        <f>IF(SUMIFS('Cashflow Projection'!$E$119:$E$151,'Cashflow Projection'!$D$119:$D$151,Sales!C165)=1,SUMIFS('Cashflow Projection'!$C$119:$C$151,'Cashflow Projection'!$D$119:$D$151,Sales!C165),+Sales!H165)</f>
        <v/>
      </c>
      <c r="X165" s="11">
        <f>IF(MOD(MONTH(W165), 2) &lt;&gt; 0, EOMONTH(W165, 2), EOMONTH(W165, 1))</f>
        <v/>
      </c>
      <c r="Y165" s="11">
        <f>EOMONTH(X165,1)</f>
        <v/>
      </c>
      <c r="Z165" t="b">
        <v>0</v>
      </c>
    </row>
    <row r="166">
      <c r="A166" s="3" t="inlineStr">
        <is>
          <t>Heron View</t>
        </is>
      </c>
      <c r="B166" s="3" t="inlineStr">
        <is>
          <t>M</t>
        </is>
      </c>
      <c r="C166" s="3" t="inlineStr">
        <is>
          <t>HVM103</t>
        </is>
      </c>
      <c r="D166" s="3" t="b">
        <v>0</v>
      </c>
      <c r="E166" s="3" t="b">
        <v>0</v>
      </c>
      <c r="F166" s="3">
        <f>IF(OR(Z166=TRUE,SUMIFS('Cashflow Projection'!$E$119:$E$151,'Cashflow Projection'!$D$119:$D$151,Sales!C166)=1),0,SUMIFS('Cashflow Projection'!$C$7:$C$23,'Cashflow Projection'!$B$7:$B$23,Sales!B166,'Cashflow Projection'!$A$7:$A$23,Sales!A166))</f>
        <v/>
      </c>
      <c r="G166" s="4" t="n">
        <v>45450</v>
      </c>
      <c r="H166" s="4" t="n">
        <v>45583</v>
      </c>
      <c r="I166" s="3" t="n">
        <v>1699900</v>
      </c>
      <c r="J166" s="3" t="n">
        <v>221726.0869565217</v>
      </c>
      <c r="K166" s="3" t="n">
        <v>1478173.913043478</v>
      </c>
      <c r="L166" s="3" t="n">
        <v>18502.08</v>
      </c>
      <c r="M166" s="3" t="n">
        <v>1789</v>
      </c>
      <c r="N166" s="3" t="n">
        <v>8499.5</v>
      </c>
      <c r="O166" s="3" t="n">
        <v>84995</v>
      </c>
      <c r="P166" s="3" t="n">
        <v>19224.37</v>
      </c>
      <c r="Q166" s="9">
        <f>K166-SUM(L166:P166)</f>
        <v/>
      </c>
      <c r="R166" s="10">
        <f>IF($F166=1,((SUMIFS(Investors!$M:$M,Investors!$E:$E,Sales!$C166,Investors!$O:$O,FALSE)+SUMIFS(Investors!$S:$S,Investors!$E:$E,Sales!$C166,Investors!$O:$O,FALSE))*$F166)-SUMIFS('Investor Exit List'!$Q:$Q,'Investor Exit List'!$Y:$Y,1,'Investor Exit List'!$Z:$Z,"Release",'Investor Exit List'!$C:$C,Sales!$C166),(SUMIFS(Investors!$M:$M,Investors!$E:$E,Sales!$C166,Investors!$O:$O,FALSE)+SUMIFS(Investors!$S:$S,Investors!$E:$E,Sales!$C166,Investors!$O:$O,FALSE))*$F166)</f>
        <v/>
      </c>
      <c r="S166" s="10">
        <f>IF(T166=FALSE,Q166-R166,+V166)</f>
        <v/>
      </c>
      <c r="T166" s="3">
        <f>IF(SUMIFS('Cashflow Projection'!$E$119:$E$151,'Cashflow Projection'!$D$119:$D$151,Sales!C166)&lt;&gt;0,TRUE,FALSE)</f>
        <v/>
      </c>
      <c r="U166" s="4" t="n">
        <v>45626</v>
      </c>
      <c r="V166" s="10" t="n">
        <v>350186.1152468491</v>
      </c>
      <c r="W166" s="11">
        <f>IF(SUMIFS('Cashflow Projection'!$E$119:$E$151,'Cashflow Projection'!$D$119:$D$151,Sales!C166)=1,SUMIFS('Cashflow Projection'!$C$119:$C$151,'Cashflow Projection'!$D$119:$D$151,Sales!C166),+Sales!H166)</f>
        <v/>
      </c>
      <c r="X166" s="11">
        <f>IF(MOD(MONTH(W166), 2) &lt;&gt; 0, EOMONTH(W166, 2), EOMONTH(W166, 1))</f>
        <v/>
      </c>
      <c r="Y166" s="11">
        <f>EOMONTH(X166,1)</f>
        <v/>
      </c>
      <c r="Z166" t="b">
        <v>0</v>
      </c>
    </row>
    <row r="167">
      <c r="A167" s="3" t="inlineStr">
        <is>
          <t>Heron View</t>
        </is>
      </c>
      <c r="B167" s="3" t="inlineStr">
        <is>
          <t>L</t>
        </is>
      </c>
      <c r="C167" s="3" t="inlineStr">
        <is>
          <t>HVL103</t>
        </is>
      </c>
      <c r="D167" s="3" t="b">
        <v>0</v>
      </c>
      <c r="E167" s="3" t="b">
        <v>0</v>
      </c>
      <c r="F167" s="3">
        <f>IF(OR(Z167=TRUE,SUMIFS('Cashflow Projection'!$E$119:$E$151,'Cashflow Projection'!$D$119:$D$151,Sales!C167)=1),0,SUMIFS('Cashflow Projection'!$C$7:$C$23,'Cashflow Projection'!$B$7:$B$23,Sales!B167,'Cashflow Projection'!$A$7:$A$23,Sales!A167))</f>
        <v/>
      </c>
      <c r="G167" s="4" t="n">
        <v>45499</v>
      </c>
      <c r="H167" s="4" t="n">
        <v>45716</v>
      </c>
      <c r="I167" s="3" t="n">
        <v>1499900</v>
      </c>
      <c r="J167" s="3" t="n">
        <v>195639.1304347826</v>
      </c>
      <c r="K167" s="3" t="n">
        <v>1304260.869565218</v>
      </c>
      <c r="L167" s="3" t="n">
        <v>18502.08</v>
      </c>
      <c r="M167" s="3" t="n">
        <v>1789</v>
      </c>
      <c r="N167" s="3" t="n">
        <v>7499.5</v>
      </c>
      <c r="O167" s="3" t="n">
        <v>74995</v>
      </c>
      <c r="P167" s="3" t="n">
        <v>19224.37</v>
      </c>
      <c r="Q167" s="9">
        <f>K167-SUM(L167:P167)</f>
        <v/>
      </c>
      <c r="R167" s="10">
        <f>IF($F167=1,((SUMIFS(Investors!$M:$M,Investors!$E:$E,Sales!$C167,Investors!$O:$O,FALSE)+SUMIFS(Investors!$S:$S,Investors!$E:$E,Sales!$C167,Investors!$O:$O,FALSE))*$F167)-SUMIFS('Investor Exit List'!$Q:$Q,'Investor Exit List'!$Y:$Y,1,'Investor Exit List'!$Z:$Z,"Release",'Investor Exit List'!$C:$C,Sales!$C167),(SUMIFS(Investors!$M:$M,Investors!$E:$E,Sales!$C167,Investors!$O:$O,FALSE)+SUMIFS(Investors!$S:$S,Investors!$E:$E,Sales!$C167,Investors!$O:$O,FALSE))*$F167)</f>
        <v/>
      </c>
      <c r="S167" s="10">
        <f>IF(T167=FALSE,Q167-R167,+V167)</f>
        <v/>
      </c>
      <c r="T167" s="3">
        <f>IF(SUMIFS('Cashflow Projection'!$E$119:$E$151,'Cashflow Projection'!$D$119:$D$151,Sales!C167)&lt;&gt;0,TRUE,FALSE)</f>
        <v/>
      </c>
      <c r="U167" s="4" t="n">
        <v>45747</v>
      </c>
      <c r="V167" s="10" t="n">
        <v>91715.12276273966</v>
      </c>
      <c r="W167" s="11">
        <f>IF(SUMIFS('Cashflow Projection'!$E$119:$E$151,'Cashflow Projection'!$D$119:$D$151,Sales!C167)=1,SUMIFS('Cashflow Projection'!$C$119:$C$151,'Cashflow Projection'!$D$119:$D$151,Sales!C167),+Sales!H167)</f>
        <v/>
      </c>
      <c r="X167" s="11">
        <f>IF(MOD(MONTH(W167), 2) &lt;&gt; 0, EOMONTH(W167, 2), EOMONTH(W167, 1))</f>
        <v/>
      </c>
      <c r="Y167" s="11">
        <f>EOMONTH(X167,1)</f>
        <v/>
      </c>
      <c r="Z167" t="b">
        <v>0</v>
      </c>
    </row>
    <row r="168">
      <c r="A168" s="3" t="inlineStr">
        <is>
          <t>Heron View</t>
        </is>
      </c>
      <c r="B168" s="3" t="inlineStr">
        <is>
          <t>O</t>
        </is>
      </c>
      <c r="C168" s="3" t="inlineStr">
        <is>
          <t>HVO202</t>
        </is>
      </c>
      <c r="D168" s="3" t="b">
        <v>1</v>
      </c>
      <c r="E168" s="3" t="b">
        <v>0</v>
      </c>
      <c r="F168" s="3">
        <f>IF(OR(Z168=TRUE,SUMIFS('Cashflow Projection'!$E$119:$E$151,'Cashflow Projection'!$D$119:$D$151,Sales!C168)=1),0,SUMIFS('Cashflow Projection'!$C$7:$C$23,'Cashflow Projection'!$B$7:$B$23,Sales!B168,'Cashflow Projection'!$A$7:$A$23,Sales!A168))</f>
        <v/>
      </c>
      <c r="G168" s="4" t="n">
        <v>45518</v>
      </c>
      <c r="H168" s="4" t="n">
        <v>45518</v>
      </c>
      <c r="I168" s="3" t="n">
        <v>1679900</v>
      </c>
      <c r="J168" s="3" t="n">
        <v>219117.3913043478</v>
      </c>
      <c r="K168" s="3" t="n">
        <v>1460782.608695652</v>
      </c>
      <c r="L168" s="3" t="n">
        <v>18502.08</v>
      </c>
      <c r="M168" s="3" t="n">
        <v>1789</v>
      </c>
      <c r="N168" s="3" t="n">
        <v>8399.5</v>
      </c>
      <c r="O168" s="3" t="n">
        <v>83995</v>
      </c>
      <c r="P168" s="3" t="n">
        <v>19224.37</v>
      </c>
      <c r="Q168" s="9">
        <f>K168-SUM(L168:P168)</f>
        <v/>
      </c>
      <c r="R168" s="10">
        <f>IF($F168=1,((SUMIFS(Investors!$M:$M,Investors!$E:$E,Sales!$C168,Investors!$O:$O,FALSE)+SUMIFS(Investors!$S:$S,Investors!$E:$E,Sales!$C168,Investors!$O:$O,FALSE))*$F168)-SUMIFS('Investor Exit List'!$Q:$Q,'Investor Exit List'!$Y:$Y,1,'Investor Exit List'!$Z:$Z,"Release",'Investor Exit List'!$C:$C,Sales!$C168),(SUMIFS(Investors!$M:$M,Investors!$E:$E,Sales!$C168,Investors!$O:$O,FALSE)+SUMIFS(Investors!$S:$S,Investors!$E:$E,Sales!$C168,Investors!$O:$O,FALSE))*$F168)</f>
        <v/>
      </c>
      <c r="S168" s="10">
        <f>IF(T168=FALSE,Q168-R168,+V168)</f>
        <v/>
      </c>
      <c r="T168" s="3">
        <f>IF(SUMIFS('Cashflow Projection'!$E$119:$E$151,'Cashflow Projection'!$D$119:$D$151,Sales!C168)&lt;&gt;0,TRUE,FALSE)</f>
        <v/>
      </c>
      <c r="U168" s="4" t="n">
        <v>45565</v>
      </c>
      <c r="V168" s="10" t="n">
        <v>165703.5267766435</v>
      </c>
      <c r="W168" s="11">
        <f>IF(SUMIFS('Cashflow Projection'!$E$119:$E$151,'Cashflow Projection'!$D$119:$D$151,Sales!C168)=1,SUMIFS('Cashflow Projection'!$C$119:$C$151,'Cashflow Projection'!$D$119:$D$151,Sales!C168),+Sales!H168)</f>
        <v/>
      </c>
      <c r="X168" s="11">
        <f>IF(MOD(MONTH(W168), 2) &lt;&gt; 0, EOMONTH(W168, 2), EOMONTH(W168, 1))</f>
        <v/>
      </c>
      <c r="Y168" s="11">
        <f>EOMONTH(X168,1)</f>
        <v/>
      </c>
      <c r="Z168" t="b">
        <v>0</v>
      </c>
    </row>
    <row r="169">
      <c r="A169" s="3" t="inlineStr">
        <is>
          <t>Heron View</t>
        </is>
      </c>
      <c r="B169" s="3" t="inlineStr">
        <is>
          <t>P</t>
        </is>
      </c>
      <c r="C169" s="3" t="inlineStr">
        <is>
          <t>HVP303</t>
        </is>
      </c>
      <c r="D169" s="3" t="b">
        <v>0</v>
      </c>
      <c r="E169" s="3" t="b">
        <v>0</v>
      </c>
      <c r="F169" s="3">
        <f>IF(OR(Z169=TRUE,SUMIFS('Cashflow Projection'!$E$119:$E$151,'Cashflow Projection'!$D$119:$D$151,Sales!C169)=1),0,SUMIFS('Cashflow Projection'!$C$7:$C$23,'Cashflow Projection'!$B$7:$B$23,Sales!B169,'Cashflow Projection'!$A$7:$A$23,Sales!A169))</f>
        <v/>
      </c>
      <c r="G169" s="4" t="n">
        <v>45456</v>
      </c>
      <c r="H169" s="4" t="n">
        <v>45646</v>
      </c>
      <c r="I169" s="3" t="n">
        <v>1749900</v>
      </c>
      <c r="J169" s="3" t="n">
        <v>228247.8260869565</v>
      </c>
      <c r="K169" s="3" t="n">
        <v>1521652.173913044</v>
      </c>
      <c r="L169" s="3" t="n">
        <v>18502.08</v>
      </c>
      <c r="M169" s="3" t="n">
        <v>1789</v>
      </c>
      <c r="N169" s="3" t="n">
        <v>8749.5</v>
      </c>
      <c r="O169" s="3" t="n">
        <v>87495</v>
      </c>
      <c r="P169" s="3" t="n">
        <v>19224.37</v>
      </c>
      <c r="Q169" s="9">
        <f>K169-SUM(L169:P169)</f>
        <v/>
      </c>
      <c r="R169" s="10">
        <f>IF($F169=1,((SUMIFS(Investors!$M:$M,Investors!$E:$E,Sales!$C169,Investors!$O:$O,FALSE)+SUMIFS(Investors!$S:$S,Investors!$E:$E,Sales!$C169,Investors!$O:$O,FALSE))*$F169)-SUMIFS('Investor Exit List'!$Q:$Q,'Investor Exit List'!$Y:$Y,1,'Investor Exit List'!$Z:$Z,"Release",'Investor Exit List'!$C:$C,Sales!$C169),(SUMIFS(Investors!$M:$M,Investors!$E:$E,Sales!$C169,Investors!$O:$O,FALSE)+SUMIFS(Investors!$S:$S,Investors!$E:$E,Sales!$C169,Investors!$O:$O,FALSE))*$F169)</f>
        <v/>
      </c>
      <c r="S169" s="10">
        <f>IF(T169=FALSE,Q169-R169,+V169)</f>
        <v/>
      </c>
      <c r="T169" s="3">
        <f>IF(SUMIFS('Cashflow Projection'!$E$119:$E$151,'Cashflow Projection'!$D$119:$D$151,Sales!C169)&lt;&gt;0,TRUE,FALSE)</f>
        <v/>
      </c>
      <c r="U169" s="4" t="n">
        <v>45688</v>
      </c>
      <c r="V169" s="10" t="n">
        <v>187304.4335616436</v>
      </c>
      <c r="W169" s="11">
        <f>IF(SUMIFS('Cashflow Projection'!$E$119:$E$151,'Cashflow Projection'!$D$119:$D$151,Sales!C169)=1,SUMIFS('Cashflow Projection'!$C$119:$C$151,'Cashflow Projection'!$D$119:$D$151,Sales!C169),+Sales!H169)</f>
        <v/>
      </c>
      <c r="X169" s="11">
        <f>IF(MOD(MONTH(W169), 2) &lt;&gt; 0, EOMONTH(W169, 2), EOMONTH(W169, 1))</f>
        <v/>
      </c>
      <c r="Y169" s="11">
        <f>EOMONTH(X169,1)</f>
        <v/>
      </c>
      <c r="Z169" t="b">
        <v>0</v>
      </c>
    </row>
    <row r="170">
      <c r="A170" s="3" t="inlineStr">
        <is>
          <t>Heron View</t>
        </is>
      </c>
      <c r="B170" s="3" t="inlineStr">
        <is>
          <t>H</t>
        </is>
      </c>
      <c r="C170" s="3" t="inlineStr">
        <is>
          <t>HVH101</t>
        </is>
      </c>
      <c r="D170" s="3" t="b">
        <v>1</v>
      </c>
      <c r="E170" s="3" t="b">
        <v>0</v>
      </c>
      <c r="F170" s="3">
        <f>IF(OR(Z170=TRUE,SUMIFS('Cashflow Projection'!$E$119:$E$151,'Cashflow Projection'!$D$119:$D$151,Sales!C170)=1),0,SUMIFS('Cashflow Projection'!$C$7:$C$23,'Cashflow Projection'!$B$7:$B$23,Sales!B170,'Cashflow Projection'!$A$7:$A$23,Sales!A170))</f>
        <v/>
      </c>
      <c r="G170" s="4" t="n">
        <v>45490</v>
      </c>
      <c r="H170" s="4" t="n">
        <v>45490</v>
      </c>
      <c r="I170" s="3" t="n">
        <v>1690999</v>
      </c>
      <c r="J170" s="3" t="n">
        <v>220565.0869565217</v>
      </c>
      <c r="K170" s="3" t="n">
        <v>1470433.913043478</v>
      </c>
      <c r="L170" s="3" t="n">
        <v>18502.08</v>
      </c>
      <c r="M170" s="3" t="n">
        <v>1789</v>
      </c>
      <c r="N170" s="3" t="n">
        <v>8454.995000000001</v>
      </c>
      <c r="O170" s="3" t="n">
        <v>84549.95000000001</v>
      </c>
      <c r="P170" s="3" t="n">
        <v>19224.37</v>
      </c>
      <c r="Q170" s="9">
        <f>K170-SUM(L170:P170)</f>
        <v/>
      </c>
      <c r="R170" s="10">
        <f>IF($F170=1,((SUMIFS(Investors!$M:$M,Investors!$E:$E,Sales!$C170,Investors!$O:$O,FALSE)+SUMIFS(Investors!$S:$S,Investors!$E:$E,Sales!$C170,Investors!$O:$O,FALSE))*$F170)-SUMIFS('Investor Exit List'!$Q:$Q,'Investor Exit List'!$Y:$Y,1,'Investor Exit List'!$Z:$Z,"Release",'Investor Exit List'!$C:$C,Sales!$C170),(SUMIFS(Investors!$M:$M,Investors!$E:$E,Sales!$C170,Investors!$O:$O,FALSE)+SUMIFS(Investors!$S:$S,Investors!$E:$E,Sales!$C170,Investors!$O:$O,FALSE))*$F170)</f>
        <v/>
      </c>
      <c r="S170" s="10">
        <f>IF(T170=FALSE,Q170-R170,+V170)</f>
        <v/>
      </c>
      <c r="T170" s="3">
        <f>IF(SUMIFS('Cashflow Projection'!$E$119:$E$151,'Cashflow Projection'!$D$119:$D$151,Sales!C170)&lt;&gt;0,TRUE,FALSE)</f>
        <v/>
      </c>
      <c r="U170" s="4" t="n">
        <v>45565</v>
      </c>
      <c r="V170" s="10" t="n">
        <v>309541.6186986298</v>
      </c>
      <c r="W170" s="11">
        <f>IF(SUMIFS('Cashflow Projection'!$E$119:$E$151,'Cashflow Projection'!$D$119:$D$151,Sales!C170)=1,SUMIFS('Cashflow Projection'!$C$119:$C$151,'Cashflow Projection'!$D$119:$D$151,Sales!C170),+Sales!H170)</f>
        <v/>
      </c>
      <c r="X170" s="11">
        <f>IF(MOD(MONTH(W170), 2) &lt;&gt; 0, EOMONTH(W170, 2), EOMONTH(W170, 1))</f>
        <v/>
      </c>
      <c r="Y170" s="11">
        <f>EOMONTH(X170,1)</f>
        <v/>
      </c>
      <c r="Z170" t="b">
        <v>0</v>
      </c>
    </row>
    <row r="171">
      <c r="A171" s="3" t="inlineStr">
        <is>
          <t>Heron View</t>
        </is>
      </c>
      <c r="B171" s="3" t="inlineStr">
        <is>
          <t>I</t>
        </is>
      </c>
      <c r="C171" s="3" t="inlineStr">
        <is>
          <t>HVI204</t>
        </is>
      </c>
      <c r="D171" s="3" t="b">
        <v>0</v>
      </c>
      <c r="E171" s="3" t="b">
        <v>0</v>
      </c>
      <c r="F171" s="3">
        <f>IF(OR(Z171=TRUE,SUMIFS('Cashflow Projection'!$E$119:$E$151,'Cashflow Projection'!$D$119:$D$151,Sales!C171)=1),0,SUMIFS('Cashflow Projection'!$C$7:$C$23,'Cashflow Projection'!$B$7:$B$23,Sales!B171,'Cashflow Projection'!$A$7:$A$23,Sales!A171))</f>
        <v/>
      </c>
      <c r="G171" s="4" t="n">
        <v>45491</v>
      </c>
      <c r="H171" s="4" t="n">
        <v>45596</v>
      </c>
      <c r="I171" s="3" t="n">
        <v>1549900</v>
      </c>
      <c r="J171" s="3" t="n">
        <v>202160.8695652174</v>
      </c>
      <c r="K171" s="3" t="n">
        <v>1347739.130434783</v>
      </c>
      <c r="L171" s="3" t="n">
        <v>18502.08</v>
      </c>
      <c r="M171" s="3" t="n">
        <v>1789</v>
      </c>
      <c r="N171" s="3" t="n">
        <v>7749.5</v>
      </c>
      <c r="O171" s="3" t="n">
        <v>77495</v>
      </c>
      <c r="P171" s="3" t="n">
        <v>19224.37</v>
      </c>
      <c r="Q171" s="9">
        <f>K171-SUM(L171:P171)</f>
        <v/>
      </c>
      <c r="R171" s="10">
        <f>IF($F171=1,((SUMIFS(Investors!$M:$M,Investors!$E:$E,Sales!$C171,Investors!$O:$O,FALSE)+SUMIFS(Investors!$S:$S,Investors!$E:$E,Sales!$C171,Investors!$O:$O,FALSE))*$F171)-SUMIFS('Investor Exit List'!$Q:$Q,'Investor Exit List'!$Y:$Y,1,'Investor Exit List'!$Z:$Z,"Release",'Investor Exit List'!$C:$C,Sales!$C171),(SUMIFS(Investors!$M:$M,Investors!$E:$E,Sales!$C171,Investors!$O:$O,FALSE)+SUMIFS(Investors!$S:$S,Investors!$E:$E,Sales!$C171,Investors!$O:$O,FALSE))*$F171)</f>
        <v/>
      </c>
      <c r="S171" s="10">
        <f>IF(T171=FALSE,Q171-R171,+V171)</f>
        <v/>
      </c>
      <c r="T171" s="3">
        <f>IF(SUMIFS('Cashflow Projection'!$E$119:$E$151,'Cashflow Projection'!$D$119:$D$151,Sales!C171)&lt;&gt;0,TRUE,FALSE)</f>
        <v/>
      </c>
      <c r="U171" s="4" t="n">
        <v>45626</v>
      </c>
      <c r="V171" s="10" t="n">
        <v>150677.0363013698</v>
      </c>
      <c r="W171" s="11">
        <f>IF(SUMIFS('Cashflow Projection'!$E$119:$E$151,'Cashflow Projection'!$D$119:$D$151,Sales!C171)=1,SUMIFS('Cashflow Projection'!$C$119:$C$151,'Cashflow Projection'!$D$119:$D$151,Sales!C171),+Sales!H171)</f>
        <v/>
      </c>
      <c r="X171" s="11">
        <f>IF(MOD(MONTH(W171), 2) &lt;&gt; 0, EOMONTH(W171, 2), EOMONTH(W171, 1))</f>
        <v/>
      </c>
      <c r="Y171" s="11">
        <f>EOMONTH(X171,1)</f>
        <v/>
      </c>
      <c r="Z171" t="b">
        <v>0</v>
      </c>
    </row>
    <row r="172">
      <c r="A172" s="3" t="inlineStr">
        <is>
          <t>Endulini</t>
        </is>
      </c>
      <c r="B172" s="3" t="inlineStr">
        <is>
          <t>A</t>
        </is>
      </c>
      <c r="C172" s="3" t="inlineStr">
        <is>
          <t>EA307</t>
        </is>
      </c>
      <c r="D172" s="3" t="b">
        <v>1</v>
      </c>
      <c r="E172" s="3" t="b">
        <v>1</v>
      </c>
      <c r="F172" s="3">
        <f>IF(OR(Z172=TRUE,SUMIFS('Cashflow Projection'!$E$119:$E$151,'Cashflow Projection'!$D$119:$D$151,Sales!C172)=1),0,SUMIFS('Cashflow Projection'!$C$7:$C$23,'Cashflow Projection'!$B$7:$B$23,Sales!B172,'Cashflow Projection'!$A$7:$A$23,Sales!A172))</f>
        <v/>
      </c>
      <c r="G172" s="4" t="n">
        <v>45089</v>
      </c>
      <c r="H172" s="4" t="n">
        <v>45688</v>
      </c>
      <c r="I172" s="3" t="n">
        <v>1569900</v>
      </c>
      <c r="J172" s="3" t="n">
        <v>204769.5652173913</v>
      </c>
      <c r="K172" s="3" t="n">
        <v>1365130.434782609</v>
      </c>
      <c r="L172" s="3" t="n">
        <v>18502.08</v>
      </c>
      <c r="M172" s="3" t="n">
        <v>1789</v>
      </c>
      <c r="N172" s="3" t="n">
        <v>7849.5</v>
      </c>
      <c r="O172" s="3" t="n">
        <v>78495</v>
      </c>
      <c r="P172" s="3" t="n">
        <v>19224.37</v>
      </c>
      <c r="Q172" s="9">
        <f>K172-SUM(L172:P172)</f>
        <v/>
      </c>
      <c r="R172" s="10">
        <f>IF($F172=1,((SUMIFS(Investors!$M:$M,Investors!$E:$E,Sales!$C172,Investors!$O:$O,FALSE)+SUMIFS(Investors!$S:$S,Investors!$E:$E,Sales!$C172,Investors!$O:$O,FALSE))*$F172)-SUMIFS('Investor Exit List'!$Q:$Q,'Investor Exit List'!$Y:$Y,1,'Investor Exit List'!$Z:$Z,"Release",'Investor Exit List'!$C:$C,Sales!$C172),(SUMIFS(Investors!$M:$M,Investors!$E:$E,Sales!$C172,Investors!$O:$O,FALSE)+SUMIFS(Investors!$S:$S,Investors!$E:$E,Sales!$C172,Investors!$O:$O,FALSE))*$F172)</f>
        <v/>
      </c>
      <c r="S172" s="10">
        <f>IF(T172=FALSE,Q172-R172,+V172)</f>
        <v/>
      </c>
      <c r="T172" s="3">
        <f>IF(SUMIFS('Cashflow Projection'!$E$119:$E$151,'Cashflow Projection'!$D$119:$D$151,Sales!C172)&lt;&gt;0,TRUE,FALSE)</f>
        <v/>
      </c>
      <c r="U172" s="4" t="n">
        <v>45747</v>
      </c>
      <c r="V172" s="10" t="n">
        <v>262736.58569726</v>
      </c>
      <c r="W172" s="11">
        <f>IF(SUMIFS('Cashflow Projection'!$E$119:$E$151,'Cashflow Projection'!$D$119:$D$151,Sales!C172)=1,SUMIFS('Cashflow Projection'!$C$119:$C$151,'Cashflow Projection'!$D$119:$D$151,Sales!C172),+Sales!H172)</f>
        <v/>
      </c>
      <c r="X172" s="11">
        <f>IF(MOD(MONTH(W172), 2) &lt;&gt; 0, EOMONTH(W172, 2), EOMONTH(W172, 1))</f>
        <v/>
      </c>
      <c r="Y172" s="11">
        <f>EOMONTH(X172,1)</f>
        <v/>
      </c>
      <c r="Z172" t="b">
        <v>0</v>
      </c>
    </row>
    <row r="173">
      <c r="A173" s="3" t="inlineStr">
        <is>
          <t>Endulini</t>
        </is>
      </c>
      <c r="B173" s="3" t="inlineStr">
        <is>
          <t>B</t>
        </is>
      </c>
      <c r="C173" s="3" t="inlineStr">
        <is>
          <t>EB202</t>
        </is>
      </c>
      <c r="D173" s="3" t="b">
        <v>0</v>
      </c>
      <c r="E173" s="3" t="b">
        <v>0</v>
      </c>
      <c r="F173" s="3">
        <f>IF(OR(Z173=TRUE,SUMIFS('Cashflow Projection'!$E$119:$E$151,'Cashflow Projection'!$D$119:$D$151,Sales!C173)=1),0,SUMIFS('Cashflow Projection'!$C$7:$C$23,'Cashflow Projection'!$B$7:$B$23,Sales!B173,'Cashflow Projection'!$A$7:$A$23,Sales!A173))</f>
        <v/>
      </c>
      <c r="G173" s="4" t="n">
        <v>45478</v>
      </c>
      <c r="H173" s="4" t="n">
        <v>45458</v>
      </c>
      <c r="I173" s="3" t="n">
        <v>1499900</v>
      </c>
      <c r="J173" s="3" t="n">
        <v>0</v>
      </c>
      <c r="K173" s="3" t="n">
        <v>1304260.869565218</v>
      </c>
      <c r="L173" s="3" t="n">
        <v>18502.08</v>
      </c>
      <c r="M173" s="3" t="n">
        <v>1789</v>
      </c>
      <c r="N173" s="3" t="n">
        <v>7499.5</v>
      </c>
      <c r="O173" s="3" t="n">
        <v>74995</v>
      </c>
      <c r="P173" s="3" t="n">
        <v>19224.37</v>
      </c>
      <c r="Q173" s="9">
        <f>K173-SUM(L173:P173)</f>
        <v/>
      </c>
      <c r="R173" s="10">
        <f>IF($F173=1,((SUMIFS(Investors!$M:$M,Investors!$E:$E,Sales!$C173,Investors!$O:$O,FALSE)+SUMIFS(Investors!$S:$S,Investors!$E:$E,Sales!$C173,Investors!$O:$O,FALSE))*$F173)-SUMIFS('Investor Exit List'!$Q:$Q,'Investor Exit List'!$Y:$Y,1,'Investor Exit List'!$Z:$Z,"Release",'Investor Exit List'!$C:$C,Sales!$C173),(SUMIFS(Investors!$M:$M,Investors!$E:$E,Sales!$C173,Investors!$O:$O,FALSE)+SUMIFS(Investors!$S:$S,Investors!$E:$E,Sales!$C173,Investors!$O:$O,FALSE))*$F173)</f>
        <v/>
      </c>
      <c r="S173" s="10">
        <f>IF(T173=FALSE,Q173-R173,+V173)</f>
        <v/>
      </c>
      <c r="T173" s="3">
        <f>IF(SUMIFS('Cashflow Projection'!$E$119:$E$151,'Cashflow Projection'!$D$119:$D$151,Sales!C173)&lt;&gt;0,TRUE,FALSE)</f>
        <v/>
      </c>
      <c r="U173" s="4" t="n">
        <v>45504</v>
      </c>
      <c r="V173" s="10" t="n">
        <v>873000</v>
      </c>
      <c r="W173" s="11">
        <f>IF(SUMIFS('Cashflow Projection'!$E$119:$E$151,'Cashflow Projection'!$D$119:$D$151,Sales!C173)=1,SUMIFS('Cashflow Projection'!$C$119:$C$151,'Cashflow Projection'!$D$119:$D$151,Sales!C173),+Sales!H173)</f>
        <v/>
      </c>
      <c r="X173" s="11">
        <f>IF(MOD(MONTH(W173), 2) &lt;&gt; 0, EOMONTH(W173, 2), EOMONTH(W173, 1))</f>
        <v/>
      </c>
      <c r="Y173" s="11">
        <f>EOMONTH(X173,1)</f>
        <v/>
      </c>
      <c r="Z173" t="b">
        <v>0</v>
      </c>
    </row>
    <row r="174">
      <c r="A174" s="3" t="inlineStr">
        <is>
          <t>Endulini</t>
        </is>
      </c>
      <c r="B174" s="3" t="inlineStr">
        <is>
          <t>F</t>
        </is>
      </c>
      <c r="C174" s="3" t="inlineStr">
        <is>
          <t>EF202</t>
        </is>
      </c>
      <c r="D174" s="3" t="b">
        <v>1</v>
      </c>
      <c r="E174" s="3" t="b">
        <v>1</v>
      </c>
      <c r="F174" s="3">
        <f>IF(OR(Z174=TRUE,SUMIFS('Cashflow Projection'!$E$119:$E$151,'Cashflow Projection'!$D$119:$D$151,Sales!C174)=1),0,SUMIFS('Cashflow Projection'!$C$7:$C$23,'Cashflow Projection'!$B$7:$B$23,Sales!B174,'Cashflow Projection'!$A$7:$A$23,Sales!A174))</f>
        <v/>
      </c>
      <c r="G174" s="4" t="n">
        <v>44686</v>
      </c>
      <c r="H174" s="4" t="n">
        <v>45688</v>
      </c>
      <c r="I174" s="3" t="n">
        <v>1479900</v>
      </c>
      <c r="J174" s="3" t="n">
        <v>193030.4347826087</v>
      </c>
      <c r="K174" s="3" t="n">
        <v>1286869.565217391</v>
      </c>
      <c r="L174" s="3" t="n">
        <v>18502.08</v>
      </c>
      <c r="M174" s="3" t="n">
        <v>1789</v>
      </c>
      <c r="N174" s="3" t="n">
        <v>7399.5</v>
      </c>
      <c r="O174" s="3" t="n">
        <v>73995</v>
      </c>
      <c r="P174" s="3" t="n">
        <v>19224.37</v>
      </c>
      <c r="Q174" s="9">
        <f>K174-SUM(L174:P174)</f>
        <v/>
      </c>
      <c r="R174" s="10">
        <f>IF($F174=1,((SUMIFS(Investors!$M:$M,Investors!$E:$E,Sales!$C174,Investors!$O:$O,FALSE)+SUMIFS(Investors!$S:$S,Investors!$E:$E,Sales!$C174,Investors!$O:$O,FALSE))*$F174)-SUMIFS('Investor Exit List'!$Q:$Q,'Investor Exit List'!$Y:$Y,1,'Investor Exit List'!$Z:$Z,"Release",'Investor Exit List'!$C:$C,Sales!$C174),(SUMIFS(Investors!$M:$M,Investors!$E:$E,Sales!$C174,Investors!$O:$O,FALSE)+SUMIFS(Investors!$S:$S,Investors!$E:$E,Sales!$C174,Investors!$O:$O,FALSE))*$F174)</f>
        <v/>
      </c>
      <c r="S174" s="10">
        <f>IF(T174=FALSE,Q174-R174,+V174)</f>
        <v/>
      </c>
      <c r="T174" s="3">
        <f>IF(SUMIFS('Cashflow Projection'!$E$119:$E$151,'Cashflow Projection'!$D$119:$D$151,Sales!C174)&lt;&gt;0,TRUE,FALSE)</f>
        <v/>
      </c>
      <c r="U174" s="4" t="n">
        <v>45747</v>
      </c>
      <c r="V174" s="10" t="n">
        <v>90057.00205479423</v>
      </c>
      <c r="W174" s="11">
        <f>IF(SUMIFS('Cashflow Projection'!$E$119:$E$151,'Cashflow Projection'!$D$119:$D$151,Sales!C174)=1,SUMIFS('Cashflow Projection'!$C$119:$C$151,'Cashflow Projection'!$D$119:$D$151,Sales!C174),+Sales!H174)</f>
        <v/>
      </c>
      <c r="X174" s="11">
        <f>IF(MOD(MONTH(W174), 2) &lt;&gt; 0, EOMONTH(W174, 2), EOMONTH(W174, 1))</f>
        <v/>
      </c>
      <c r="Y174" s="11">
        <f>EOMONTH(X174,1)</f>
        <v/>
      </c>
      <c r="Z174" t="b">
        <v>0</v>
      </c>
    </row>
    <row r="175">
      <c r="A175" s="3" t="inlineStr">
        <is>
          <t>Heron Fields</t>
        </is>
      </c>
      <c r="B175" s="3" t="inlineStr">
        <is>
          <t>B</t>
        </is>
      </c>
      <c r="C175" s="3" t="inlineStr">
        <is>
          <t>HFB202</t>
        </is>
      </c>
      <c r="D175" s="3" t="b">
        <v>1</v>
      </c>
      <c r="E175" s="3" t="b">
        <v>1</v>
      </c>
      <c r="F175" s="3">
        <f>IF(OR(Z175=TRUE,SUMIFS('Cashflow Projection'!$E$119:$E$151,'Cashflow Projection'!$D$119:$D$151,Sales!C175)=1),0,SUMIFS('Cashflow Projection'!$C$7:$C$23,'Cashflow Projection'!$B$7:$B$23,Sales!B175,'Cashflow Projection'!$A$7:$A$23,Sales!A175))</f>
        <v/>
      </c>
      <c r="G175" s="4" t="n">
        <v>45007</v>
      </c>
      <c r="H175" s="4" t="n">
        <v>45688</v>
      </c>
      <c r="I175" s="3" t="n">
        <v>1424900</v>
      </c>
      <c r="J175" s="3" t="n">
        <v>185856.5217391304</v>
      </c>
      <c r="K175" s="3" t="n">
        <v>1239043.47826087</v>
      </c>
      <c r="L175" s="3" t="n">
        <v>18502.08</v>
      </c>
      <c r="M175" s="3" t="n">
        <v>1789</v>
      </c>
      <c r="N175" s="3" t="n">
        <v>7124.5</v>
      </c>
      <c r="O175" s="3" t="n">
        <v>71245</v>
      </c>
      <c r="P175" s="3" t="n">
        <v>19224.37</v>
      </c>
      <c r="Q175" s="9">
        <f>K175-SUM(L175:P175)</f>
        <v/>
      </c>
      <c r="R175" s="10">
        <f>IF($F175=1,((SUMIFS(Investors!$M:$M,Investors!$E:$E,Sales!$C175,Investors!$O:$O,FALSE)+SUMIFS(Investors!$S:$S,Investors!$E:$E,Sales!$C175,Investors!$O:$O,FALSE))*$F175)-SUMIFS('Investor Exit List'!$Q:$Q,'Investor Exit List'!$Y:$Y,1,'Investor Exit List'!$Z:$Z,"Release",'Investor Exit List'!$C:$C,Sales!$C175),(SUMIFS(Investors!$M:$M,Investors!$E:$E,Sales!$C175,Investors!$O:$O,FALSE)+SUMIFS(Investors!$S:$S,Investors!$E:$E,Sales!$C175,Investors!$O:$O,FALSE))*$F175)</f>
        <v/>
      </c>
      <c r="S175" s="10">
        <f>IF(T175=FALSE,Q175-R175,+V175)</f>
        <v/>
      </c>
      <c r="T175" s="3">
        <f>IF(SUMIFS('Cashflow Projection'!$E$119:$E$151,'Cashflow Projection'!$D$119:$D$151,Sales!C175)&lt;&gt;0,TRUE,FALSE)</f>
        <v/>
      </c>
      <c r="U175" s="4" t="n">
        <v>45747</v>
      </c>
      <c r="V175" s="10" t="n">
        <v>158996.2143835616</v>
      </c>
      <c r="W175" s="11">
        <f>IF(SUMIFS('Cashflow Projection'!$E$119:$E$151,'Cashflow Projection'!$D$119:$D$151,Sales!C175)=1,SUMIFS('Cashflow Projection'!$C$119:$C$151,'Cashflow Projection'!$D$119:$D$151,Sales!C175),+Sales!H175)</f>
        <v/>
      </c>
      <c r="X175" s="11">
        <f>IF(MOD(MONTH(W175), 2) &lt;&gt; 0, EOMONTH(W175, 2), EOMONTH(W175, 1))</f>
        <v/>
      </c>
      <c r="Y175" s="11">
        <f>EOMONTH(X175,1)</f>
        <v/>
      </c>
      <c r="Z175" t="b">
        <v>0</v>
      </c>
    </row>
    <row r="176">
      <c r="A176" s="3" t="inlineStr">
        <is>
          <t>Heron Fields</t>
        </is>
      </c>
      <c r="B176" s="3" t="inlineStr">
        <is>
          <t>A</t>
        </is>
      </c>
      <c r="C176" s="3" t="inlineStr">
        <is>
          <t>HFA303</t>
        </is>
      </c>
      <c r="D176" s="3" t="b">
        <v>1</v>
      </c>
      <c r="E176" s="3" t="b">
        <v>1</v>
      </c>
      <c r="F176" s="3">
        <f>IF(OR(Z176=TRUE,SUMIFS('Cashflow Projection'!$E$119:$E$151,'Cashflow Projection'!$D$119:$D$151,Sales!C176)=1),0,SUMIFS('Cashflow Projection'!$C$7:$C$23,'Cashflow Projection'!$B$7:$B$23,Sales!B176,'Cashflow Projection'!$A$7:$A$23,Sales!A176))</f>
        <v/>
      </c>
      <c r="G176" s="4" t="n">
        <v>44896</v>
      </c>
      <c r="H176" s="4" t="n">
        <v>45688</v>
      </c>
      <c r="I176" s="3" t="n">
        <v>1349900</v>
      </c>
      <c r="J176" s="3" t="n">
        <v>176073.9130434782</v>
      </c>
      <c r="K176" s="3" t="n">
        <v>1173826.086956522</v>
      </c>
      <c r="L176" s="3" t="n">
        <v>18502.08</v>
      </c>
      <c r="M176" s="3" t="n">
        <v>1789</v>
      </c>
      <c r="N176" s="3" t="n">
        <v>6749.5</v>
      </c>
      <c r="O176" s="3" t="n">
        <v>67495</v>
      </c>
      <c r="P176" s="3" t="n">
        <v>19224.37</v>
      </c>
      <c r="Q176" s="9">
        <f>K176-SUM(L176:P176)</f>
        <v/>
      </c>
      <c r="R176" s="10">
        <f>IF($F176=1,((SUMIFS(Investors!$M:$M,Investors!$E:$E,Sales!$C176,Investors!$O:$O,FALSE)+SUMIFS(Investors!$S:$S,Investors!$E:$E,Sales!$C176,Investors!$O:$O,FALSE))*$F176)-SUMIFS('Investor Exit List'!$Q:$Q,'Investor Exit List'!$Y:$Y,1,'Investor Exit List'!$Z:$Z,"Release",'Investor Exit List'!$C:$C,Sales!$C176),(SUMIFS(Investors!$M:$M,Investors!$E:$E,Sales!$C176,Investors!$O:$O,FALSE)+SUMIFS(Investors!$S:$S,Investors!$E:$E,Sales!$C176,Investors!$O:$O,FALSE))*$F176)</f>
        <v/>
      </c>
      <c r="S176" s="10">
        <f>IF(T176=FALSE,Q176-R176,+V176)</f>
        <v/>
      </c>
      <c r="T176" s="3">
        <f>IF(SUMIFS('Cashflow Projection'!$E$119:$E$151,'Cashflow Projection'!$D$119:$D$151,Sales!C176)&lt;&gt;0,TRUE,FALSE)</f>
        <v/>
      </c>
      <c r="U176" s="4" t="n">
        <v>45747</v>
      </c>
      <c r="V176" s="10" t="n">
        <v>92601.46095890389</v>
      </c>
      <c r="W176" s="11">
        <f>IF(SUMIFS('Cashflow Projection'!$E$119:$E$151,'Cashflow Projection'!$D$119:$D$151,Sales!C176)=1,SUMIFS('Cashflow Projection'!$C$119:$C$151,'Cashflow Projection'!$D$119:$D$151,Sales!C176),+Sales!H176)</f>
        <v/>
      </c>
      <c r="X176" s="11">
        <f>IF(MOD(MONTH(W176), 2) &lt;&gt; 0, EOMONTH(W176, 2), EOMONTH(W176, 1))</f>
        <v/>
      </c>
      <c r="Y176" s="11">
        <f>EOMONTH(X176,1)</f>
        <v/>
      </c>
      <c r="Z176" t="b">
        <v>0</v>
      </c>
    </row>
    <row r="177">
      <c r="A177" s="3" t="inlineStr">
        <is>
          <t>Heron Fields</t>
        </is>
      </c>
      <c r="B177" s="3" t="inlineStr">
        <is>
          <t>B</t>
        </is>
      </c>
      <c r="C177" s="3" t="inlineStr">
        <is>
          <t>HFB309</t>
        </is>
      </c>
      <c r="D177" s="3" t="b">
        <v>1</v>
      </c>
      <c r="E177" s="3" t="b">
        <v>1</v>
      </c>
      <c r="F177" s="3">
        <f>IF(OR(Z177=TRUE,SUMIFS('Cashflow Projection'!$E$119:$E$151,'Cashflow Projection'!$D$119:$D$151,Sales!C177)=1),0,SUMIFS('Cashflow Projection'!$C$7:$C$23,'Cashflow Projection'!$B$7:$B$23,Sales!B177,'Cashflow Projection'!$A$7:$A$23,Sales!A177))</f>
        <v/>
      </c>
      <c r="G177" s="4" t="n">
        <v>45086</v>
      </c>
      <c r="H177" s="4" t="n">
        <v>45688</v>
      </c>
      <c r="I177" s="3" t="n">
        <v>1429900</v>
      </c>
      <c r="J177" s="3" t="n">
        <v>186508.6956521739</v>
      </c>
      <c r="K177" s="3" t="n">
        <v>1243391.304347826</v>
      </c>
      <c r="L177" s="3" t="n">
        <v>18502.08</v>
      </c>
      <c r="M177" s="3" t="n">
        <v>1789</v>
      </c>
      <c r="N177" s="3" t="n">
        <v>7149.5</v>
      </c>
      <c r="O177" s="3" t="n">
        <v>71495</v>
      </c>
      <c r="P177" s="3" t="n">
        <v>19224.37</v>
      </c>
      <c r="Q177" s="9">
        <f>K177-SUM(L177:P177)</f>
        <v/>
      </c>
      <c r="R177" s="10">
        <f>IF($F177=1,((SUMIFS(Investors!$M:$M,Investors!$E:$E,Sales!$C177,Investors!$O:$O,FALSE)+SUMIFS(Investors!$S:$S,Investors!$E:$E,Sales!$C177,Investors!$O:$O,FALSE))*$F177)-SUMIFS('Investor Exit List'!$Q:$Q,'Investor Exit List'!$Y:$Y,1,'Investor Exit List'!$Z:$Z,"Release",'Investor Exit List'!$C:$C,Sales!$C177),(SUMIFS(Investors!$M:$M,Investors!$E:$E,Sales!$C177,Investors!$O:$O,FALSE)+SUMIFS(Investors!$S:$S,Investors!$E:$E,Sales!$C177,Investors!$O:$O,FALSE))*$F177)</f>
        <v/>
      </c>
      <c r="S177" s="10">
        <f>IF(T177=FALSE,Q177-R177,+V177)</f>
        <v/>
      </c>
      <c r="T177" s="3">
        <f>IF(SUMIFS('Cashflow Projection'!$E$119:$E$151,'Cashflow Projection'!$D$119:$D$151,Sales!C177)&lt;&gt;0,TRUE,FALSE)</f>
        <v/>
      </c>
      <c r="U177" s="4" t="n">
        <v>45747</v>
      </c>
      <c r="V177" s="10" t="n">
        <v>368807.706027123</v>
      </c>
      <c r="W177" s="11">
        <f>IF(SUMIFS('Cashflow Projection'!$E$119:$E$151,'Cashflow Projection'!$D$119:$D$151,Sales!C177)=1,SUMIFS('Cashflow Projection'!$C$119:$C$151,'Cashflow Projection'!$D$119:$D$151,Sales!C177),+Sales!H177)</f>
        <v/>
      </c>
      <c r="X177" s="11">
        <f>IF(MOD(MONTH(W177), 2) &lt;&gt; 0, EOMONTH(W177, 2), EOMONTH(W177, 1))</f>
        <v/>
      </c>
      <c r="Y177" s="11">
        <f>EOMONTH(X177,1)</f>
        <v/>
      </c>
      <c r="Z177" t="b">
        <v>0</v>
      </c>
    </row>
    <row r="178">
      <c r="A178" s="3" t="inlineStr">
        <is>
          <t>Heron View</t>
        </is>
      </c>
      <c r="B178" s="3" t="inlineStr">
        <is>
          <t>D</t>
        </is>
      </c>
      <c r="C178" s="3" t="inlineStr">
        <is>
          <t>HVD203</t>
        </is>
      </c>
      <c r="D178" s="3" t="b">
        <v>1</v>
      </c>
      <c r="E178" s="3" t="b">
        <v>1</v>
      </c>
      <c r="F178" s="3">
        <f>IF(OR(Z178=TRUE,SUMIFS('Cashflow Projection'!$E$119:$E$151,'Cashflow Projection'!$D$119:$D$151,Sales!C178)=1),0,SUMIFS('Cashflow Projection'!$C$7:$C$23,'Cashflow Projection'!$B$7:$B$23,Sales!B178,'Cashflow Projection'!$A$7:$A$23,Sales!A178))</f>
        <v/>
      </c>
      <c r="G178" s="4" t="n">
        <v>45384</v>
      </c>
      <c r="H178" s="4" t="n">
        <v>45377</v>
      </c>
      <c r="I178" s="3" t="n">
        <v>1519900</v>
      </c>
      <c r="J178" s="3" t="n">
        <v>198247.8260869565</v>
      </c>
      <c r="K178" s="3" t="n">
        <v>1321652.173913044</v>
      </c>
      <c r="L178" s="3" t="n">
        <v>18502.08</v>
      </c>
      <c r="M178" s="3" t="n">
        <v>1789</v>
      </c>
      <c r="N178" s="3" t="n">
        <v>7599.5</v>
      </c>
      <c r="O178" s="3" t="n">
        <v>75995</v>
      </c>
      <c r="P178" s="3" t="n">
        <v>19224.37</v>
      </c>
      <c r="Q178" s="9">
        <f>K178-SUM(L178:P178)</f>
        <v/>
      </c>
      <c r="R178" s="10">
        <f>IF($F178=1,((SUMIFS(Investors!$M:$M,Investors!$E:$E,Sales!$C178,Investors!$O:$O,FALSE)+SUMIFS(Investors!$S:$S,Investors!$E:$E,Sales!$C178,Investors!$O:$O,FALSE))*$F178)-SUMIFS('Investor Exit List'!$Q:$Q,'Investor Exit List'!$Y:$Y,1,'Investor Exit List'!$Z:$Z,"Release",'Investor Exit List'!$C:$C,Sales!$C178),(SUMIFS(Investors!$M:$M,Investors!$E:$E,Sales!$C178,Investors!$O:$O,FALSE)+SUMIFS(Investors!$S:$S,Investors!$E:$E,Sales!$C178,Investors!$O:$O,FALSE))*$F178)</f>
        <v/>
      </c>
      <c r="S178" s="10">
        <f>IF(T178=FALSE,Q178-R178,+V178)</f>
        <v/>
      </c>
      <c r="T178" s="3">
        <f>IF(SUMIFS('Cashflow Projection'!$E$119:$E$151,'Cashflow Projection'!$D$119:$D$151,Sales!C178)&lt;&gt;0,TRUE,FALSE)</f>
        <v/>
      </c>
      <c r="U178" s="4" t="n">
        <v>45443</v>
      </c>
      <c r="V178" s="10" t="n">
        <v>70283.20068493136</v>
      </c>
      <c r="W178" s="11">
        <f>IF(SUMIFS('Cashflow Projection'!$E$119:$E$151,'Cashflow Projection'!$D$119:$D$151,Sales!C178)=1,SUMIFS('Cashflow Projection'!$C$119:$C$151,'Cashflow Projection'!$D$119:$D$151,Sales!C178),+Sales!H178)</f>
        <v/>
      </c>
      <c r="X178" s="11">
        <f>IF(MOD(MONTH(W178), 2) &lt;&gt; 0, EOMONTH(W178, 2), EOMONTH(W178, 1))</f>
        <v/>
      </c>
      <c r="Y178" s="11">
        <f>EOMONTH(X178,1)</f>
        <v/>
      </c>
      <c r="Z178" t="b">
        <v>0</v>
      </c>
    </row>
    <row r="179">
      <c r="A179" s="3" t="inlineStr">
        <is>
          <t>Heron View</t>
        </is>
      </c>
      <c r="B179" s="3" t="inlineStr">
        <is>
          <t>N</t>
        </is>
      </c>
      <c r="C179" s="3" t="inlineStr">
        <is>
          <t>HVN301</t>
        </is>
      </c>
      <c r="D179" s="3" t="b">
        <v>1</v>
      </c>
      <c r="E179" s="3" t="b">
        <v>0</v>
      </c>
      <c r="F179" s="3">
        <f>IF(OR(Z179=TRUE,SUMIFS('Cashflow Projection'!$E$119:$E$151,'Cashflow Projection'!$D$119:$D$151,Sales!C179)=1),0,SUMIFS('Cashflow Projection'!$C$7:$C$23,'Cashflow Projection'!$B$7:$B$23,Sales!B179,'Cashflow Projection'!$A$7:$A$23,Sales!A179))</f>
        <v/>
      </c>
      <c r="G179" s="4" t="n">
        <v>45449</v>
      </c>
      <c r="H179" s="4" t="n">
        <v>45449</v>
      </c>
      <c r="I179" s="3" t="n">
        <v>1499900</v>
      </c>
      <c r="J179" s="3" t="n">
        <v>195639.1304347826</v>
      </c>
      <c r="K179" s="3" t="n">
        <v>1304260.869565218</v>
      </c>
      <c r="L179" s="3" t="n">
        <v>18502.08</v>
      </c>
      <c r="M179" s="3" t="n">
        <v>1789</v>
      </c>
      <c r="N179" s="3" t="n">
        <v>7499.5</v>
      </c>
      <c r="O179" s="3" t="n">
        <v>74995</v>
      </c>
      <c r="P179" s="3" t="n">
        <v>19224.37</v>
      </c>
      <c r="Q179" s="9">
        <f>K179-SUM(L179:P179)</f>
        <v/>
      </c>
      <c r="R179" s="10">
        <f>IF($F179=1,((SUMIFS(Investors!$M:$M,Investors!$E:$E,Sales!$C179,Investors!$O:$O,FALSE)+SUMIFS(Investors!$S:$S,Investors!$E:$E,Sales!$C179,Investors!$O:$O,FALSE))*$F179)-SUMIFS('Investor Exit List'!$Q:$Q,'Investor Exit List'!$Y:$Y,1,'Investor Exit List'!$Z:$Z,"Release",'Investor Exit List'!$C:$C,Sales!$C179),(SUMIFS(Investors!$M:$M,Investors!$E:$E,Sales!$C179,Investors!$O:$O,FALSE)+SUMIFS(Investors!$S:$S,Investors!$E:$E,Sales!$C179,Investors!$O:$O,FALSE))*$F179)</f>
        <v/>
      </c>
      <c r="S179" s="10">
        <f>IF(T179=FALSE,Q179-R179,+V179)</f>
        <v/>
      </c>
      <c r="T179" s="3">
        <f>IF(SUMIFS('Cashflow Projection'!$E$119:$E$151,'Cashflow Projection'!$D$119:$D$151,Sales!C179)&lt;&gt;0,TRUE,FALSE)</f>
        <v/>
      </c>
      <c r="U179" s="4" t="n">
        <v>45504</v>
      </c>
      <c r="V179" s="10" t="n">
        <v>16164.02260273951</v>
      </c>
      <c r="W179" s="11">
        <f>IF(SUMIFS('Cashflow Projection'!$E$119:$E$151,'Cashflow Projection'!$D$119:$D$151,Sales!C179)=1,SUMIFS('Cashflow Projection'!$C$119:$C$151,'Cashflow Projection'!$D$119:$D$151,Sales!C179),+Sales!H179)</f>
        <v/>
      </c>
      <c r="X179" s="11">
        <f>IF(MOD(MONTH(W179), 2) &lt;&gt; 0, EOMONTH(W179, 2), EOMONTH(W179, 1))</f>
        <v/>
      </c>
      <c r="Y179" s="11">
        <f>EOMONTH(X179,1)</f>
        <v/>
      </c>
      <c r="Z179" t="b">
        <v>0</v>
      </c>
    </row>
    <row r="180">
      <c r="A180" s="3" t="inlineStr">
        <is>
          <t>Heron View</t>
        </is>
      </c>
      <c r="B180" s="3" t="inlineStr">
        <is>
          <t>C</t>
        </is>
      </c>
      <c r="C180" s="3" t="inlineStr">
        <is>
          <t>HVC302</t>
        </is>
      </c>
      <c r="D180" s="3" t="b">
        <v>0</v>
      </c>
      <c r="E180" s="3" t="b">
        <v>0</v>
      </c>
      <c r="F180" s="3">
        <f>IF(OR(Z180=TRUE,SUMIFS('Cashflow Projection'!$E$119:$E$151,'Cashflow Projection'!$D$119:$D$151,Sales!C180)=1),0,SUMIFS('Cashflow Projection'!$C$7:$C$23,'Cashflow Projection'!$B$7:$B$23,Sales!B180,'Cashflow Projection'!$A$7:$A$23,Sales!A180))</f>
        <v/>
      </c>
      <c r="G180" s="4" t="n">
        <v>45429</v>
      </c>
      <c r="H180" s="4" t="n">
        <v>45646</v>
      </c>
      <c r="I180" s="3" t="n">
        <v>1509900</v>
      </c>
      <c r="J180" s="3" t="n">
        <v>196943.4782608696</v>
      </c>
      <c r="K180" s="3" t="n">
        <v>1312956.521739131</v>
      </c>
      <c r="L180" s="3" t="n">
        <v>18502.08</v>
      </c>
      <c r="M180" s="3" t="n">
        <v>1789</v>
      </c>
      <c r="N180" s="3" t="n">
        <v>7549.5</v>
      </c>
      <c r="O180" s="3" t="n">
        <v>75495</v>
      </c>
      <c r="P180" s="3" t="n">
        <v>19224.37</v>
      </c>
      <c r="Q180" s="9">
        <f>K180-SUM(L180:P180)</f>
        <v/>
      </c>
      <c r="R180" s="10">
        <f>IF($F180=1,((SUMIFS(Investors!$M:$M,Investors!$E:$E,Sales!$C180,Investors!$O:$O,FALSE)+SUMIFS(Investors!$S:$S,Investors!$E:$E,Sales!$C180,Investors!$O:$O,FALSE))*$F180)-SUMIFS('Investor Exit List'!$Q:$Q,'Investor Exit List'!$Y:$Y,1,'Investor Exit List'!$Z:$Z,"Release",'Investor Exit List'!$C:$C,Sales!$C180),(SUMIFS(Investors!$M:$M,Investors!$E:$E,Sales!$C180,Investors!$O:$O,FALSE)+SUMIFS(Investors!$S:$S,Investors!$E:$E,Sales!$C180,Investors!$O:$O,FALSE))*$F180)</f>
        <v/>
      </c>
      <c r="S180" s="10">
        <f>IF(T180=FALSE,Q180-R180,+V180)</f>
        <v/>
      </c>
      <c r="T180" s="3">
        <f>IF(SUMIFS('Cashflow Projection'!$E$119:$E$151,'Cashflow Projection'!$D$119:$D$151,Sales!C180)&lt;&gt;0,TRUE,FALSE)</f>
        <v/>
      </c>
      <c r="U180" s="4" t="n">
        <v>45688</v>
      </c>
      <c r="V180" s="10" t="n">
        <v>-2950.521597671555</v>
      </c>
      <c r="W180" s="11">
        <f>IF(SUMIFS('Cashflow Projection'!$E$119:$E$151,'Cashflow Projection'!$D$119:$D$151,Sales!C180)=1,SUMIFS('Cashflow Projection'!$C$119:$C$151,'Cashflow Projection'!$D$119:$D$151,Sales!C180),+Sales!H180)</f>
        <v/>
      </c>
      <c r="X180" s="11">
        <f>IF(MOD(MONTH(W180), 2) &lt;&gt; 0, EOMONTH(W180, 2), EOMONTH(W180, 1))</f>
        <v/>
      </c>
      <c r="Y180" s="11">
        <f>EOMONTH(X180,1)</f>
        <v/>
      </c>
      <c r="Z180" t="b">
        <v>0</v>
      </c>
    </row>
    <row r="181">
      <c r="A181" s="3" t="inlineStr">
        <is>
          <t>Heron View</t>
        </is>
      </c>
      <c r="B181" s="3" t="inlineStr">
        <is>
          <t>C</t>
        </is>
      </c>
      <c r="C181" s="3" t="inlineStr">
        <is>
          <t>HVC102</t>
        </is>
      </c>
      <c r="D181" s="3" t="b">
        <v>1</v>
      </c>
      <c r="E181" s="3" t="b">
        <v>1</v>
      </c>
      <c r="F181" s="3">
        <f>IF(OR(Z181=TRUE,SUMIFS('Cashflow Projection'!$E$119:$E$151,'Cashflow Projection'!$D$119:$D$151,Sales!C181)=1),0,SUMIFS('Cashflow Projection'!$C$7:$C$23,'Cashflow Projection'!$B$7:$B$23,Sales!B181,'Cashflow Projection'!$A$7:$A$23,Sales!A181))</f>
        <v/>
      </c>
      <c r="G181" s="4" t="n">
        <v>45154</v>
      </c>
      <c r="H181" s="4" t="n">
        <v>45688</v>
      </c>
      <c r="I181" s="3" t="n">
        <v>1619900</v>
      </c>
      <c r="J181" s="3" t="n">
        <v>211291.3043478261</v>
      </c>
      <c r="K181" s="3" t="n">
        <v>1408608.695652174</v>
      </c>
      <c r="L181" s="3" t="n">
        <v>18502.08</v>
      </c>
      <c r="M181" s="3" t="n">
        <v>1789</v>
      </c>
      <c r="N181" s="3" t="n">
        <v>8099.5</v>
      </c>
      <c r="O181" s="3" t="n">
        <v>80995</v>
      </c>
      <c r="P181" s="3" t="n">
        <v>19224.37</v>
      </c>
      <c r="Q181" s="9">
        <f>K181-SUM(L181:P181)</f>
        <v/>
      </c>
      <c r="R181" s="10">
        <f>IF($F181=1,((SUMIFS(Investors!$M:$M,Investors!$E:$E,Sales!$C181,Investors!$O:$O,FALSE)+SUMIFS(Investors!$S:$S,Investors!$E:$E,Sales!$C181,Investors!$O:$O,FALSE))*$F181)-SUMIFS('Investor Exit List'!$Q:$Q,'Investor Exit List'!$Y:$Y,1,'Investor Exit List'!$Z:$Z,"Release",'Investor Exit List'!$C:$C,Sales!$C181),(SUMIFS(Investors!$M:$M,Investors!$E:$E,Sales!$C181,Investors!$O:$O,FALSE)+SUMIFS(Investors!$S:$S,Investors!$E:$E,Sales!$C181,Investors!$O:$O,FALSE))*$F181)</f>
        <v/>
      </c>
      <c r="S181" s="10">
        <f>IF(T181=FALSE,Q181-R181,+V181)</f>
        <v/>
      </c>
      <c r="T181" s="3">
        <f>IF(SUMIFS('Cashflow Projection'!$E$119:$E$151,'Cashflow Projection'!$D$119:$D$151,Sales!C181)&lt;&gt;0,TRUE,FALSE)</f>
        <v/>
      </c>
      <c r="U181" s="4" t="n">
        <v>45747</v>
      </c>
      <c r="V181" s="10" t="n">
        <v>228279.0910958902</v>
      </c>
      <c r="W181" s="11">
        <f>IF(SUMIFS('Cashflow Projection'!$E$119:$E$151,'Cashflow Projection'!$D$119:$D$151,Sales!C181)=1,SUMIFS('Cashflow Projection'!$C$119:$C$151,'Cashflow Projection'!$D$119:$D$151,Sales!C181),+Sales!H181)</f>
        <v/>
      </c>
      <c r="X181" s="11">
        <f>IF(MOD(MONTH(W181), 2) &lt;&gt; 0, EOMONTH(W181, 2), EOMONTH(W181, 1))</f>
        <v/>
      </c>
      <c r="Y181" s="11">
        <f>EOMONTH(X181,1)</f>
        <v/>
      </c>
      <c r="Z181" t="b">
        <v>0</v>
      </c>
    </row>
    <row r="182">
      <c r="A182" s="3" t="inlineStr">
        <is>
          <t>Heron View</t>
        </is>
      </c>
      <c r="B182" s="3" t="inlineStr">
        <is>
          <t>M</t>
        </is>
      </c>
      <c r="C182" s="3" t="inlineStr">
        <is>
          <t>HVM201</t>
        </is>
      </c>
      <c r="D182" s="3" t="b">
        <v>0</v>
      </c>
      <c r="E182" s="3" t="b">
        <v>0</v>
      </c>
      <c r="F182" s="3">
        <f>IF(OR(Z182=TRUE,SUMIFS('Cashflow Projection'!$E$119:$E$151,'Cashflow Projection'!$D$119:$D$151,Sales!C182)=1),0,SUMIFS('Cashflow Projection'!$C$7:$C$23,'Cashflow Projection'!$B$7:$B$23,Sales!B182,'Cashflow Projection'!$A$7:$A$23,Sales!A182))</f>
        <v/>
      </c>
      <c r="G182" s="4" t="n">
        <v>45450</v>
      </c>
      <c r="H182" s="4" t="n">
        <v>45583</v>
      </c>
      <c r="I182" s="3" t="n">
        <v>1709900</v>
      </c>
      <c r="J182" s="3" t="n">
        <v>223030.4347826087</v>
      </c>
      <c r="K182" s="3" t="n">
        <v>1486869.565217391</v>
      </c>
      <c r="L182" s="3" t="n">
        <v>18502.08</v>
      </c>
      <c r="M182" s="3" t="n">
        <v>1789</v>
      </c>
      <c r="N182" s="3" t="n">
        <v>8549.5</v>
      </c>
      <c r="O182" s="3" t="n">
        <v>85495</v>
      </c>
      <c r="P182" s="3" t="n">
        <v>19224.37</v>
      </c>
      <c r="Q182" s="9">
        <f>K182-SUM(L182:P182)</f>
        <v/>
      </c>
      <c r="R182" s="10">
        <f>IF($F182=1,((SUMIFS(Investors!$M:$M,Investors!$E:$E,Sales!$C182,Investors!$O:$O,FALSE)+SUMIFS(Investors!$S:$S,Investors!$E:$E,Sales!$C182,Investors!$O:$O,FALSE))*$F182)-SUMIFS('Investor Exit List'!$Q:$Q,'Investor Exit List'!$Y:$Y,1,'Investor Exit List'!$Z:$Z,"Release",'Investor Exit List'!$C:$C,Sales!$C182),(SUMIFS(Investors!$M:$M,Investors!$E:$E,Sales!$C182,Investors!$O:$O,FALSE)+SUMIFS(Investors!$S:$S,Investors!$E:$E,Sales!$C182,Investors!$O:$O,FALSE))*$F182)</f>
        <v/>
      </c>
      <c r="S182" s="10">
        <f>IF(T182=FALSE,Q182-R182,+V182)</f>
        <v/>
      </c>
      <c r="T182" s="3">
        <f>IF(SUMIFS('Cashflow Projection'!$E$119:$E$151,'Cashflow Projection'!$D$119:$D$151,Sales!C182)&lt;&gt;0,TRUE,FALSE)</f>
        <v/>
      </c>
      <c r="U182" s="4" t="n">
        <v>45626</v>
      </c>
      <c r="V182" s="10" t="n">
        <v>266616.762328767</v>
      </c>
      <c r="W182" s="11">
        <f>IF(SUMIFS('Cashflow Projection'!$E$119:$E$151,'Cashflow Projection'!$D$119:$D$151,Sales!C182)=1,SUMIFS('Cashflow Projection'!$C$119:$C$151,'Cashflow Projection'!$D$119:$D$151,Sales!C182),+Sales!H182)</f>
        <v/>
      </c>
      <c r="X182" s="11">
        <f>IF(MOD(MONTH(W182), 2) &lt;&gt; 0, EOMONTH(W182, 2), EOMONTH(W182, 1))</f>
        <v/>
      </c>
      <c r="Y182" s="11">
        <f>EOMONTH(X182,1)</f>
        <v/>
      </c>
      <c r="Z182" t="b">
        <v>0</v>
      </c>
    </row>
    <row r="183">
      <c r="A183" s="3" t="inlineStr">
        <is>
          <t>Heron View</t>
        </is>
      </c>
      <c r="B183" s="3" t="inlineStr">
        <is>
          <t>K</t>
        </is>
      </c>
      <c r="C183" s="3" t="inlineStr">
        <is>
          <t>HVK302</t>
        </is>
      </c>
      <c r="D183" s="3" t="b">
        <v>0</v>
      </c>
      <c r="E183" s="3" t="b">
        <v>0</v>
      </c>
      <c r="F183" s="3">
        <f>IF(OR(Z183=TRUE,SUMIFS('Cashflow Projection'!$E$119:$E$151,'Cashflow Projection'!$D$119:$D$151,Sales!C183)=1),0,SUMIFS('Cashflow Projection'!$C$7:$C$23,'Cashflow Projection'!$B$7:$B$23,Sales!B183,'Cashflow Projection'!$A$7:$A$23,Sales!A183))</f>
        <v/>
      </c>
      <c r="G183" s="4" t="n">
        <v>45510</v>
      </c>
      <c r="H183" s="4" t="n">
        <v>45625</v>
      </c>
      <c r="I183" s="3" t="n">
        <v>1529900</v>
      </c>
      <c r="J183" s="3" t="n">
        <v>199552.1739130435</v>
      </c>
      <c r="K183" s="3" t="n">
        <v>1330347.826086957</v>
      </c>
      <c r="L183" s="3" t="n">
        <v>18502.08</v>
      </c>
      <c r="M183" s="3" t="n">
        <v>1789</v>
      </c>
      <c r="N183" s="3" t="n">
        <v>7649.5</v>
      </c>
      <c r="O183" s="3" t="n">
        <v>76495</v>
      </c>
      <c r="P183" s="3" t="n">
        <v>19224.37</v>
      </c>
      <c r="Q183" s="9">
        <f>K183-SUM(L183:P183)</f>
        <v/>
      </c>
      <c r="R183" s="10">
        <f>IF($F183=1,((SUMIFS(Investors!$M:$M,Investors!$E:$E,Sales!$C183,Investors!$O:$O,FALSE)+SUMIFS(Investors!$S:$S,Investors!$E:$E,Sales!$C183,Investors!$O:$O,FALSE))*$F183)-SUMIFS('Investor Exit List'!$Q:$Q,'Investor Exit List'!$Y:$Y,1,'Investor Exit List'!$Z:$Z,"Release",'Investor Exit List'!$C:$C,Sales!$C183),(SUMIFS(Investors!$M:$M,Investors!$E:$E,Sales!$C183,Investors!$O:$O,FALSE)+SUMIFS(Investors!$S:$S,Investors!$E:$E,Sales!$C183,Investors!$O:$O,FALSE))*$F183)</f>
        <v/>
      </c>
      <c r="S183" s="10">
        <f>IF(T183=FALSE,Q183-R183,+V183)</f>
        <v/>
      </c>
      <c r="T183" s="3">
        <f>IF(SUMIFS('Cashflow Projection'!$E$119:$E$151,'Cashflow Projection'!$D$119:$D$151,Sales!C183)&lt;&gt;0,TRUE,FALSE)</f>
        <v/>
      </c>
      <c r="U183" s="4" t="n">
        <v>45688</v>
      </c>
      <c r="V183" s="10" t="n">
        <v>28568.8429975342</v>
      </c>
      <c r="W183" s="11">
        <f>IF(SUMIFS('Cashflow Projection'!$E$119:$E$151,'Cashflow Projection'!$D$119:$D$151,Sales!C183)=1,SUMIFS('Cashflow Projection'!$C$119:$C$151,'Cashflow Projection'!$D$119:$D$151,Sales!C183),+Sales!H183)</f>
        <v/>
      </c>
      <c r="X183" s="11">
        <f>IF(MOD(MONTH(W183), 2) &lt;&gt; 0, EOMONTH(W183, 2), EOMONTH(W183, 1))</f>
        <v/>
      </c>
      <c r="Y183" s="11">
        <f>EOMONTH(X183,1)</f>
        <v/>
      </c>
      <c r="Z183" t="b">
        <v>0</v>
      </c>
    </row>
    <row r="184">
      <c r="A184" s="3" t="inlineStr">
        <is>
          <t>Heron View</t>
        </is>
      </c>
      <c r="B184" s="3" t="inlineStr">
        <is>
          <t>C</t>
        </is>
      </c>
      <c r="C184" s="3" t="inlineStr">
        <is>
          <t>HVC103</t>
        </is>
      </c>
      <c r="D184" s="3" t="b">
        <v>1</v>
      </c>
      <c r="E184" s="3" t="b">
        <v>1</v>
      </c>
      <c r="F184" s="3">
        <f>IF(OR(Z184=TRUE,SUMIFS('Cashflow Projection'!$E$119:$E$151,'Cashflow Projection'!$D$119:$D$151,Sales!C184)=1),0,SUMIFS('Cashflow Projection'!$C$7:$C$23,'Cashflow Projection'!$B$7:$B$23,Sales!B184,'Cashflow Projection'!$A$7:$A$23,Sales!A184))</f>
        <v/>
      </c>
      <c r="G184" s="4" t="n">
        <v>45174</v>
      </c>
      <c r="H184" s="4" t="n">
        <v>45688</v>
      </c>
      <c r="I184" s="3" t="n">
        <v>1619900</v>
      </c>
      <c r="J184" s="3" t="n">
        <v>211291.3043478261</v>
      </c>
      <c r="K184" s="3" t="n">
        <v>1408608.695652174</v>
      </c>
      <c r="L184" s="3" t="n">
        <v>18502.08</v>
      </c>
      <c r="M184" s="3" t="n">
        <v>1789</v>
      </c>
      <c r="N184" s="3" t="n">
        <v>8099.5</v>
      </c>
      <c r="O184" s="3" t="n">
        <v>80995</v>
      </c>
      <c r="P184" s="3" t="n">
        <v>19224.37</v>
      </c>
      <c r="Q184" s="9">
        <f>K184-SUM(L184:P184)</f>
        <v/>
      </c>
      <c r="R184" s="10">
        <f>IF($F184=1,((SUMIFS(Investors!$M:$M,Investors!$E:$E,Sales!$C184,Investors!$O:$O,FALSE)+SUMIFS(Investors!$S:$S,Investors!$E:$E,Sales!$C184,Investors!$O:$O,FALSE))*$F184)-SUMIFS('Investor Exit List'!$Q:$Q,'Investor Exit List'!$Y:$Y,1,'Investor Exit List'!$Z:$Z,"Release",'Investor Exit List'!$C:$C,Sales!$C184),(SUMIFS(Investors!$M:$M,Investors!$E:$E,Sales!$C184,Investors!$O:$O,FALSE)+SUMIFS(Investors!$S:$S,Investors!$E:$E,Sales!$C184,Investors!$O:$O,FALSE))*$F184)</f>
        <v/>
      </c>
      <c r="S184" s="10">
        <f>IF(T184=FALSE,Q184-R184,+V184)</f>
        <v/>
      </c>
      <c r="T184" s="3">
        <f>IF(SUMIFS('Cashflow Projection'!$E$119:$E$151,'Cashflow Projection'!$D$119:$D$151,Sales!C184)&lt;&gt;0,TRUE,FALSE)</f>
        <v/>
      </c>
      <c r="U184" s="4" t="n">
        <v>45747</v>
      </c>
      <c r="V184" s="10" t="n">
        <v>197267.0595569862</v>
      </c>
      <c r="W184" s="11">
        <f>IF(SUMIFS('Cashflow Projection'!$E$119:$E$151,'Cashflow Projection'!$D$119:$D$151,Sales!C184)=1,SUMIFS('Cashflow Projection'!$C$119:$C$151,'Cashflow Projection'!$D$119:$D$151,Sales!C184),+Sales!H184)</f>
        <v/>
      </c>
      <c r="X184" s="11">
        <f>IF(MOD(MONTH(W184), 2) &lt;&gt; 0, EOMONTH(W184, 2), EOMONTH(W184, 1))</f>
        <v/>
      </c>
      <c r="Y184" s="11">
        <f>EOMONTH(X184,1)</f>
        <v/>
      </c>
      <c r="Z184" t="b">
        <v>0</v>
      </c>
    </row>
    <row r="185">
      <c r="A185" s="3" t="inlineStr">
        <is>
          <t>Heron View</t>
        </is>
      </c>
      <c r="B185" s="3" t="inlineStr">
        <is>
          <t>L</t>
        </is>
      </c>
      <c r="C185" s="3" t="inlineStr">
        <is>
          <t>HVL104</t>
        </is>
      </c>
      <c r="D185" s="3" t="b">
        <v>0</v>
      </c>
      <c r="E185" s="3" t="b">
        <v>0</v>
      </c>
      <c r="F185" s="3">
        <f>IF(OR(Z185=TRUE,SUMIFS('Cashflow Projection'!$E$119:$E$151,'Cashflow Projection'!$D$119:$D$151,Sales!C185)=1),0,SUMIFS('Cashflow Projection'!$C$7:$C$23,'Cashflow Projection'!$B$7:$B$23,Sales!B185,'Cashflow Projection'!$A$7:$A$23,Sales!A185))</f>
        <v/>
      </c>
      <c r="G185" s="4" t="n">
        <v>45499</v>
      </c>
      <c r="H185" s="4" t="n">
        <v>45716</v>
      </c>
      <c r="I185" s="3" t="n">
        <v>1499900</v>
      </c>
      <c r="J185" s="3" t="n">
        <v>195639.1304347826</v>
      </c>
      <c r="K185" s="3" t="n">
        <v>1304260.869565218</v>
      </c>
      <c r="L185" s="3" t="n">
        <v>18502.08</v>
      </c>
      <c r="M185" s="3" t="n">
        <v>1789</v>
      </c>
      <c r="N185" s="3" t="n">
        <v>7499.5</v>
      </c>
      <c r="O185" s="3" t="n">
        <v>74995</v>
      </c>
      <c r="P185" s="3" t="n">
        <v>19224.37</v>
      </c>
      <c r="Q185" s="9">
        <f>K185-SUM(L185:P185)</f>
        <v/>
      </c>
      <c r="R185" s="10">
        <f>IF($F185=1,((SUMIFS(Investors!$M:$M,Investors!$E:$E,Sales!$C185,Investors!$O:$O,FALSE)+SUMIFS(Investors!$S:$S,Investors!$E:$E,Sales!$C185,Investors!$O:$O,FALSE))*$F185)-SUMIFS('Investor Exit List'!$Q:$Q,'Investor Exit List'!$Y:$Y,1,'Investor Exit List'!$Z:$Z,"Release",'Investor Exit List'!$C:$C,Sales!$C185),(SUMIFS(Investors!$M:$M,Investors!$E:$E,Sales!$C185,Investors!$O:$O,FALSE)+SUMIFS(Investors!$S:$S,Investors!$E:$E,Sales!$C185,Investors!$O:$O,FALSE))*$F185)</f>
        <v/>
      </c>
      <c r="S185" s="10">
        <f>IF(T185=FALSE,Q185-R185,+V185)</f>
        <v/>
      </c>
      <c r="T185" s="3">
        <f>IF(SUMIFS('Cashflow Projection'!$E$119:$E$151,'Cashflow Projection'!$D$119:$D$151,Sales!C185)&lt;&gt;0,TRUE,FALSE)</f>
        <v/>
      </c>
      <c r="U185" s="4" t="n">
        <v>45747</v>
      </c>
      <c r="V185" s="10" t="n">
        <v>89865.39246575325</v>
      </c>
      <c r="W185" s="11">
        <f>IF(SUMIFS('Cashflow Projection'!$E$119:$E$151,'Cashflow Projection'!$D$119:$D$151,Sales!C185)=1,SUMIFS('Cashflow Projection'!$C$119:$C$151,'Cashflow Projection'!$D$119:$D$151,Sales!C185),+Sales!H185)</f>
        <v/>
      </c>
      <c r="X185" s="11">
        <f>IF(MOD(MONTH(W185), 2) &lt;&gt; 0, EOMONTH(W185, 2), EOMONTH(W185, 1))</f>
        <v/>
      </c>
      <c r="Y185" s="11">
        <f>EOMONTH(X185,1)</f>
        <v/>
      </c>
      <c r="Z185" t="b">
        <v>0</v>
      </c>
    </row>
    <row r="186">
      <c r="A186" s="3" t="inlineStr">
        <is>
          <t>Heron View</t>
        </is>
      </c>
      <c r="B186" s="3" t="inlineStr">
        <is>
          <t>C</t>
        </is>
      </c>
      <c r="C186" s="3" t="inlineStr">
        <is>
          <t>HVC203</t>
        </is>
      </c>
      <c r="D186" s="3" t="b">
        <v>1</v>
      </c>
      <c r="E186" s="3" t="b">
        <v>1</v>
      </c>
      <c r="F186" s="3">
        <f>IF(OR(Z186=TRUE,SUMIFS('Cashflow Projection'!$E$119:$E$151,'Cashflow Projection'!$D$119:$D$151,Sales!C186)=1),0,SUMIFS('Cashflow Projection'!$C$7:$C$23,'Cashflow Projection'!$B$7:$B$23,Sales!B186,'Cashflow Projection'!$A$7:$A$23,Sales!A186))</f>
        <v/>
      </c>
      <c r="G186" s="4" t="n">
        <v>45154</v>
      </c>
      <c r="H186" s="4" t="n">
        <v>45688</v>
      </c>
      <c r="I186" s="3" t="n">
        <v>1499900</v>
      </c>
      <c r="J186" s="3" t="n">
        <v>195639.1304347826</v>
      </c>
      <c r="K186" s="3" t="n">
        <v>1304260.869565218</v>
      </c>
      <c r="L186" s="3" t="n">
        <v>18502.08</v>
      </c>
      <c r="M186" s="3" t="n">
        <v>1789</v>
      </c>
      <c r="N186" s="3" t="n">
        <v>7499.5</v>
      </c>
      <c r="O186" s="3" t="n">
        <v>74995</v>
      </c>
      <c r="P186" s="3" t="n">
        <v>19224.37</v>
      </c>
      <c r="Q186" s="9">
        <f>K186-SUM(L186:P186)</f>
        <v/>
      </c>
      <c r="R186" s="10">
        <f>IF($F186=1,((SUMIFS(Investors!$M:$M,Investors!$E:$E,Sales!$C186,Investors!$O:$O,FALSE)+SUMIFS(Investors!$S:$S,Investors!$E:$E,Sales!$C186,Investors!$O:$O,FALSE))*$F186)-SUMIFS('Investor Exit List'!$Q:$Q,'Investor Exit List'!$Y:$Y,1,'Investor Exit List'!$Z:$Z,"Release",'Investor Exit List'!$C:$C,Sales!$C186),(SUMIFS(Investors!$M:$M,Investors!$E:$E,Sales!$C186,Investors!$O:$O,FALSE)+SUMIFS(Investors!$S:$S,Investors!$E:$E,Sales!$C186,Investors!$O:$O,FALSE))*$F186)</f>
        <v/>
      </c>
      <c r="S186" s="10">
        <f>IF(T186=FALSE,Q186-R186,+V186)</f>
        <v/>
      </c>
      <c r="T186" s="3">
        <f>IF(SUMIFS('Cashflow Projection'!$E$119:$E$151,'Cashflow Projection'!$D$119:$D$151,Sales!C186)&lt;&gt;0,TRUE,FALSE)</f>
        <v/>
      </c>
      <c r="U186" s="4" t="n">
        <v>45747</v>
      </c>
      <c r="V186" s="10" t="n">
        <v>129372.2417808217</v>
      </c>
      <c r="W186" s="11">
        <f>IF(SUMIFS('Cashflow Projection'!$E$119:$E$151,'Cashflow Projection'!$D$119:$D$151,Sales!C186)=1,SUMIFS('Cashflow Projection'!$C$119:$C$151,'Cashflow Projection'!$D$119:$D$151,Sales!C186),+Sales!H186)</f>
        <v/>
      </c>
      <c r="X186" s="11">
        <f>IF(MOD(MONTH(W186), 2) &lt;&gt; 0, EOMONTH(W186, 2), EOMONTH(W186, 1))</f>
        <v/>
      </c>
      <c r="Y186" s="11">
        <f>EOMONTH(X186,1)</f>
        <v/>
      </c>
      <c r="Z186" t="b">
        <v>0</v>
      </c>
    </row>
    <row r="187">
      <c r="A187" s="3" t="inlineStr">
        <is>
          <t>Heron View</t>
        </is>
      </c>
      <c r="B187" s="3" t="inlineStr">
        <is>
          <t>H</t>
        </is>
      </c>
      <c r="C187" s="3" t="inlineStr">
        <is>
          <t>HVH104</t>
        </is>
      </c>
      <c r="D187" s="3" t="b">
        <v>1</v>
      </c>
      <c r="E187" s="3" t="b">
        <v>0</v>
      </c>
      <c r="F187" s="3">
        <f>IF(OR(Z187=TRUE,SUMIFS('Cashflow Projection'!$E$119:$E$151,'Cashflow Projection'!$D$119:$D$151,Sales!C187)=1),0,SUMIFS('Cashflow Projection'!$C$7:$C$23,'Cashflow Projection'!$B$7:$B$23,Sales!B187,'Cashflow Projection'!$A$7:$A$23,Sales!A187))</f>
        <v/>
      </c>
      <c r="G187" s="4" t="n">
        <v>45490</v>
      </c>
      <c r="H187" s="4" t="n">
        <v>45490</v>
      </c>
      <c r="I187" s="3" t="n">
        <v>1690999</v>
      </c>
      <c r="J187" s="3" t="n">
        <v>220565.0869565217</v>
      </c>
      <c r="K187" s="3" t="n">
        <v>1470433.913043478</v>
      </c>
      <c r="L187" s="3" t="n">
        <v>18502.08</v>
      </c>
      <c r="M187" s="3" t="n">
        <v>1789</v>
      </c>
      <c r="N187" s="3" t="n">
        <v>8454.995000000001</v>
      </c>
      <c r="O187" s="3" t="n">
        <v>84549.95000000001</v>
      </c>
      <c r="P187" s="3" t="n">
        <v>19224.37</v>
      </c>
      <c r="Q187" s="9">
        <f>K187-SUM(L187:P187)</f>
        <v/>
      </c>
      <c r="R187" s="10">
        <f>IF($F187=1,((SUMIFS(Investors!$M:$M,Investors!$E:$E,Sales!$C187,Investors!$O:$O,FALSE)+SUMIFS(Investors!$S:$S,Investors!$E:$E,Sales!$C187,Investors!$O:$O,FALSE))*$F187)-SUMIFS('Investor Exit List'!$Q:$Q,'Investor Exit List'!$Y:$Y,1,'Investor Exit List'!$Z:$Z,"Release",'Investor Exit List'!$C:$C,Sales!$C187),(SUMIFS(Investors!$M:$M,Investors!$E:$E,Sales!$C187,Investors!$O:$O,FALSE)+SUMIFS(Investors!$S:$S,Investors!$E:$E,Sales!$C187,Investors!$O:$O,FALSE))*$F187)</f>
        <v/>
      </c>
      <c r="S187" s="10">
        <f>IF(T187=FALSE,Q187-R187,+V187)</f>
        <v/>
      </c>
      <c r="T187" s="3">
        <f>IF(SUMIFS('Cashflow Projection'!$E$119:$E$151,'Cashflow Projection'!$D$119:$D$151,Sales!C187)&lt;&gt;0,TRUE,FALSE)</f>
        <v/>
      </c>
      <c r="U187" s="4" t="n">
        <v>45565</v>
      </c>
      <c r="V187" s="10" t="n">
        <v>309541.6186986298</v>
      </c>
      <c r="W187" s="11">
        <f>IF(SUMIFS('Cashflow Projection'!$E$119:$E$151,'Cashflow Projection'!$D$119:$D$151,Sales!C187)=1,SUMIFS('Cashflow Projection'!$C$119:$C$151,'Cashflow Projection'!$D$119:$D$151,Sales!C187),+Sales!H187)</f>
        <v/>
      </c>
      <c r="X187" s="11">
        <f>IF(MOD(MONTH(W187), 2) &lt;&gt; 0, EOMONTH(W187, 2), EOMONTH(W187, 1))</f>
        <v/>
      </c>
      <c r="Y187" s="11">
        <f>EOMONTH(X187,1)</f>
        <v/>
      </c>
      <c r="Z187" t="b">
        <v>0</v>
      </c>
    </row>
    <row r="188">
      <c r="A188" s="3" t="inlineStr">
        <is>
          <t>Endulini</t>
        </is>
      </c>
      <c r="B188" s="3" t="inlineStr">
        <is>
          <t>A</t>
        </is>
      </c>
      <c r="C188" s="3" t="inlineStr">
        <is>
          <t>EA207</t>
        </is>
      </c>
      <c r="D188" s="3" t="b">
        <v>0</v>
      </c>
      <c r="E188" s="3" t="b">
        <v>0</v>
      </c>
      <c r="F188" s="3">
        <f>IF(OR(Z188=TRUE,SUMIFS('Cashflow Projection'!$E$119:$E$151,'Cashflow Projection'!$D$119:$D$151,Sales!C188)=1),0,SUMIFS('Cashflow Projection'!$C$7:$C$23,'Cashflow Projection'!$B$7:$B$23,Sales!B188,'Cashflow Projection'!$A$7:$A$23,Sales!A188))</f>
        <v/>
      </c>
      <c r="G188" s="4" t="n">
        <v>45456</v>
      </c>
      <c r="H188" s="4" t="n">
        <v>45458</v>
      </c>
      <c r="I188" s="3" t="n">
        <v>1529900</v>
      </c>
      <c r="J188" s="3" t="n">
        <v>0</v>
      </c>
      <c r="K188" s="3" t="n">
        <v>1330347.826086957</v>
      </c>
      <c r="L188" s="3" t="n">
        <v>18502.08</v>
      </c>
      <c r="M188" s="3" t="n">
        <v>1789</v>
      </c>
      <c r="N188" s="3" t="n">
        <v>7649.5</v>
      </c>
      <c r="O188" s="3" t="n">
        <v>76495</v>
      </c>
      <c r="P188" s="3" t="n">
        <v>19224.37</v>
      </c>
      <c r="Q188" s="9">
        <f>K188-SUM(L188:P188)</f>
        <v/>
      </c>
      <c r="R188" s="10">
        <f>IF($F188=1,((SUMIFS(Investors!$M:$M,Investors!$E:$E,Sales!$C188,Investors!$O:$O,FALSE)+SUMIFS(Investors!$S:$S,Investors!$E:$E,Sales!$C188,Investors!$O:$O,FALSE))*$F188)-SUMIFS('Investor Exit List'!$Q:$Q,'Investor Exit List'!$Y:$Y,1,'Investor Exit List'!$Z:$Z,"Release",'Investor Exit List'!$C:$C,Sales!$C188),(SUMIFS(Investors!$M:$M,Investors!$E:$E,Sales!$C188,Investors!$O:$O,FALSE)+SUMIFS(Investors!$S:$S,Investors!$E:$E,Sales!$C188,Investors!$O:$O,FALSE))*$F188)</f>
        <v/>
      </c>
      <c r="S188" s="10">
        <f>IF(T188=FALSE,Q188-R188,+V188)</f>
        <v/>
      </c>
      <c r="T188" s="3">
        <f>IF(SUMIFS('Cashflow Projection'!$E$119:$E$151,'Cashflow Projection'!$D$119:$D$151,Sales!C188)&lt;&gt;0,TRUE,FALSE)</f>
        <v/>
      </c>
      <c r="U188" s="4" t="n">
        <v>45504</v>
      </c>
      <c r="V188" s="10" t="n">
        <v>950600</v>
      </c>
      <c r="W188" s="11">
        <f>IF(SUMIFS('Cashflow Projection'!$E$119:$E$151,'Cashflow Projection'!$D$119:$D$151,Sales!C188)=1,SUMIFS('Cashflow Projection'!$C$119:$C$151,'Cashflow Projection'!$D$119:$D$151,Sales!C188),+Sales!H188)</f>
        <v/>
      </c>
      <c r="X188" s="11">
        <f>IF(MOD(MONTH(W188), 2) &lt;&gt; 0, EOMONTH(W188, 2), EOMONTH(W188, 1))</f>
        <v/>
      </c>
      <c r="Y188" s="11">
        <f>EOMONTH(X188,1)</f>
        <v/>
      </c>
      <c r="Z188" t="b">
        <v>0</v>
      </c>
    </row>
    <row r="189">
      <c r="A189" s="3" t="inlineStr">
        <is>
          <t>Endulini</t>
        </is>
      </c>
      <c r="B189" s="3" t="inlineStr">
        <is>
          <t>A</t>
        </is>
      </c>
      <c r="C189" s="3" t="inlineStr">
        <is>
          <t>EA208</t>
        </is>
      </c>
      <c r="D189" s="3" t="b">
        <v>1</v>
      </c>
      <c r="E189" s="3" t="b">
        <v>1</v>
      </c>
      <c r="F189" s="3">
        <f>IF(OR(Z189=TRUE,SUMIFS('Cashflow Projection'!$E$119:$E$151,'Cashflow Projection'!$D$119:$D$151,Sales!C189)=1),0,SUMIFS('Cashflow Projection'!$C$7:$C$23,'Cashflow Projection'!$B$7:$B$23,Sales!B189,'Cashflow Projection'!$A$7:$A$23,Sales!A189))</f>
        <v/>
      </c>
      <c r="G189" s="4" t="n">
        <v>44880</v>
      </c>
      <c r="H189" s="4" t="n">
        <v>45688</v>
      </c>
      <c r="I189" s="3" t="n">
        <v>1594900</v>
      </c>
      <c r="J189" s="3" t="n">
        <v>208030.4347826087</v>
      </c>
      <c r="K189" s="3" t="n">
        <v>1386869.565217391</v>
      </c>
      <c r="L189" s="3" t="n">
        <v>18502.08</v>
      </c>
      <c r="M189" s="3" t="n">
        <v>1789</v>
      </c>
      <c r="N189" s="3" t="n">
        <v>7974.5</v>
      </c>
      <c r="O189" s="3" t="n">
        <v>79745</v>
      </c>
      <c r="P189" s="3" t="n">
        <v>19224.37</v>
      </c>
      <c r="Q189" s="9">
        <f>K189-SUM(L189:P189)</f>
        <v/>
      </c>
      <c r="R189" s="10">
        <f>IF($F189=1,((SUMIFS(Investors!$M:$M,Investors!$E:$E,Sales!$C189,Investors!$O:$O,FALSE)+SUMIFS(Investors!$S:$S,Investors!$E:$E,Sales!$C189,Investors!$O:$O,FALSE))*$F189)-SUMIFS('Investor Exit List'!$Q:$Q,'Investor Exit List'!$Y:$Y,1,'Investor Exit List'!$Z:$Z,"Release",'Investor Exit List'!$C:$C,Sales!$C189),(SUMIFS(Investors!$M:$M,Investors!$E:$E,Sales!$C189,Investors!$O:$O,FALSE)+SUMIFS(Investors!$S:$S,Investors!$E:$E,Sales!$C189,Investors!$O:$O,FALSE))*$F189)</f>
        <v/>
      </c>
      <c r="S189" s="10">
        <f>IF(T189=FALSE,Q189-R189,+V189)</f>
        <v/>
      </c>
      <c r="T189" s="3">
        <f>IF(SUMIFS('Cashflow Projection'!$E$119:$E$151,'Cashflow Projection'!$D$119:$D$151,Sales!C189)&lt;&gt;0,TRUE,FALSE)</f>
        <v/>
      </c>
      <c r="U189" s="4" t="n">
        <v>45747</v>
      </c>
      <c r="V189" s="10" t="n">
        <v>433280.1184931506</v>
      </c>
      <c r="W189" s="11">
        <f>IF(SUMIFS('Cashflow Projection'!$E$119:$E$151,'Cashflow Projection'!$D$119:$D$151,Sales!C189)=1,SUMIFS('Cashflow Projection'!$C$119:$C$151,'Cashflow Projection'!$D$119:$D$151,Sales!C189),+Sales!H189)</f>
        <v/>
      </c>
      <c r="X189" s="11">
        <f>IF(MOD(MONTH(W189), 2) &lt;&gt; 0, EOMONTH(W189, 2), EOMONTH(W189, 1))</f>
        <v/>
      </c>
      <c r="Y189" s="11">
        <f>EOMONTH(X189,1)</f>
        <v/>
      </c>
      <c r="Z189" t="b">
        <v>0</v>
      </c>
    </row>
    <row r="190">
      <c r="A190" s="3" t="inlineStr">
        <is>
          <t>Endulini</t>
        </is>
      </c>
      <c r="B190" s="3" t="inlineStr">
        <is>
          <t>D</t>
        </is>
      </c>
      <c r="C190" s="3" t="inlineStr">
        <is>
          <t>ED203</t>
        </is>
      </c>
      <c r="D190" s="3" t="b">
        <v>1</v>
      </c>
      <c r="E190" s="3" t="b">
        <v>1</v>
      </c>
      <c r="F190" s="3">
        <f>IF(OR(Z190=TRUE,SUMIFS('Cashflow Projection'!$E$119:$E$151,'Cashflow Projection'!$D$119:$D$151,Sales!C190)=1),0,SUMIFS('Cashflow Projection'!$C$7:$C$23,'Cashflow Projection'!$B$7:$B$23,Sales!B190,'Cashflow Projection'!$A$7:$A$23,Sales!A190))</f>
        <v/>
      </c>
      <c r="G190" s="4" t="n">
        <v>45376</v>
      </c>
      <c r="H190" s="4" t="n">
        <v>45369</v>
      </c>
      <c r="I190" s="3" t="n">
        <v>1349900</v>
      </c>
      <c r="J190" s="3" t="n">
        <v>176073.9130434782</v>
      </c>
      <c r="K190" s="3" t="n">
        <v>1173826.086956522</v>
      </c>
      <c r="L190" s="3" t="n">
        <v>18502.08</v>
      </c>
      <c r="M190" s="3" t="n">
        <v>1789</v>
      </c>
      <c r="N190" s="3" t="n">
        <v>6749.5</v>
      </c>
      <c r="O190" s="3" t="n">
        <v>67495</v>
      </c>
      <c r="P190" s="3" t="n">
        <v>19224.37</v>
      </c>
      <c r="Q190" s="9">
        <f>K190-SUM(L190:P190)</f>
        <v/>
      </c>
      <c r="R190" s="10">
        <f>IF($F190=1,((SUMIFS(Investors!$M:$M,Investors!$E:$E,Sales!$C190,Investors!$O:$O,FALSE)+SUMIFS(Investors!$S:$S,Investors!$E:$E,Sales!$C190,Investors!$O:$O,FALSE))*$F190)-SUMIFS('Investor Exit List'!$Q:$Q,'Investor Exit List'!$Y:$Y,1,'Investor Exit List'!$Z:$Z,"Release",'Investor Exit List'!$C:$C,Sales!$C190),(SUMIFS(Investors!$M:$M,Investors!$E:$E,Sales!$C190,Investors!$O:$O,FALSE)+SUMIFS(Investors!$S:$S,Investors!$E:$E,Sales!$C190,Investors!$O:$O,FALSE))*$F190)</f>
        <v/>
      </c>
      <c r="S190" s="10">
        <f>IF(T190=FALSE,Q190-R190,+V190)</f>
        <v/>
      </c>
      <c r="T190" s="3">
        <f>IF(SUMIFS('Cashflow Projection'!$E$119:$E$151,'Cashflow Projection'!$D$119:$D$151,Sales!C190)&lt;&gt;0,TRUE,FALSE)</f>
        <v/>
      </c>
      <c r="U190" s="4" t="n">
        <v>45443</v>
      </c>
      <c r="V190" s="10" t="n">
        <v>-164791.4568493152</v>
      </c>
      <c r="W190" s="11">
        <f>IF(SUMIFS('Cashflow Projection'!$E$119:$E$151,'Cashflow Projection'!$D$119:$D$151,Sales!C190)=1,SUMIFS('Cashflow Projection'!$C$119:$C$151,'Cashflow Projection'!$D$119:$D$151,Sales!C190),+Sales!H190)</f>
        <v/>
      </c>
      <c r="X190" s="11">
        <f>IF(MOD(MONTH(W190), 2) &lt;&gt; 0, EOMONTH(W190, 2), EOMONTH(W190, 1))</f>
        <v/>
      </c>
      <c r="Y190" s="11">
        <f>EOMONTH(X190,1)</f>
        <v/>
      </c>
      <c r="Z190" t="b">
        <v>0</v>
      </c>
    </row>
    <row r="191">
      <c r="A191" s="3" t="inlineStr">
        <is>
          <t>Endulini</t>
        </is>
      </c>
      <c r="B191" s="3" t="inlineStr">
        <is>
          <t>C</t>
        </is>
      </c>
      <c r="C191" s="3" t="inlineStr">
        <is>
          <t>EC302</t>
        </is>
      </c>
      <c r="D191" s="3" t="b">
        <v>1</v>
      </c>
      <c r="E191" s="3" t="b">
        <v>1</v>
      </c>
      <c r="F191" s="3">
        <f>IF(OR(Z191=TRUE,SUMIFS('Cashflow Projection'!$E$119:$E$151,'Cashflow Projection'!$D$119:$D$151,Sales!C191)=1),0,SUMIFS('Cashflow Projection'!$C$7:$C$23,'Cashflow Projection'!$B$7:$B$23,Sales!B191,'Cashflow Projection'!$A$7:$A$23,Sales!A191))</f>
        <v/>
      </c>
      <c r="G191" s="4" t="n">
        <v>45240</v>
      </c>
      <c r="H191" s="4" t="n">
        <v>45688</v>
      </c>
      <c r="I191" s="3" t="n">
        <v>1499900</v>
      </c>
      <c r="J191" s="3" t="n">
        <v>195639.1304347826</v>
      </c>
      <c r="K191" s="3" t="n">
        <v>1304260.869565218</v>
      </c>
      <c r="L191" s="3" t="n">
        <v>18502.08</v>
      </c>
      <c r="M191" s="3" t="n">
        <v>1789</v>
      </c>
      <c r="N191" s="3" t="n">
        <v>7499.5</v>
      </c>
      <c r="O191" s="3" t="n">
        <v>74995</v>
      </c>
      <c r="P191" s="3" t="n">
        <v>19224.37</v>
      </c>
      <c r="Q191" s="9">
        <f>K191-SUM(L191:P191)</f>
        <v/>
      </c>
      <c r="R191" s="10">
        <f>IF($F191=1,((SUMIFS(Investors!$M:$M,Investors!$E:$E,Sales!$C191,Investors!$O:$O,FALSE)+SUMIFS(Investors!$S:$S,Investors!$E:$E,Sales!$C191,Investors!$O:$O,FALSE))*$F191)-SUMIFS('Investor Exit List'!$Q:$Q,'Investor Exit List'!$Y:$Y,1,'Investor Exit List'!$Z:$Z,"Release",'Investor Exit List'!$C:$C,Sales!$C191),(SUMIFS(Investors!$M:$M,Investors!$E:$E,Sales!$C191,Investors!$O:$O,FALSE)+SUMIFS(Investors!$S:$S,Investors!$E:$E,Sales!$C191,Investors!$O:$O,FALSE))*$F191)</f>
        <v/>
      </c>
      <c r="S191" s="10">
        <f>IF(T191=FALSE,Q191-R191,+V191)</f>
        <v/>
      </c>
      <c r="T191" s="3">
        <f>IF(SUMIFS('Cashflow Projection'!$E$119:$E$151,'Cashflow Projection'!$D$119:$D$151,Sales!C191)&lt;&gt;0,TRUE,FALSE)</f>
        <v/>
      </c>
      <c r="U191" s="4" t="n">
        <v>45747</v>
      </c>
      <c r="V191" s="10" t="n">
        <v>123122.9267123286</v>
      </c>
      <c r="W191" s="11">
        <f>IF(SUMIFS('Cashflow Projection'!$E$119:$E$151,'Cashflow Projection'!$D$119:$D$151,Sales!C191)=1,SUMIFS('Cashflow Projection'!$C$119:$C$151,'Cashflow Projection'!$D$119:$D$151,Sales!C191),+Sales!H191)</f>
        <v/>
      </c>
      <c r="X191" s="11">
        <f>IF(MOD(MONTH(W191), 2) &lt;&gt; 0, EOMONTH(W191, 2), EOMONTH(W191, 1))</f>
        <v/>
      </c>
      <c r="Y191" s="11">
        <f>EOMONTH(X191,1)</f>
        <v/>
      </c>
      <c r="Z191" t="b">
        <v>0</v>
      </c>
    </row>
    <row r="192">
      <c r="A192" s="3" t="inlineStr">
        <is>
          <t>Heron Fields</t>
        </is>
      </c>
      <c r="B192" s="3" t="inlineStr">
        <is>
          <t>A</t>
        </is>
      </c>
      <c r="C192" s="3" t="inlineStr">
        <is>
          <t>HFA306</t>
        </is>
      </c>
      <c r="D192" s="3" t="b">
        <v>1</v>
      </c>
      <c r="E192" s="3" t="b">
        <v>1</v>
      </c>
      <c r="F192" s="3">
        <f>IF(OR(Z192=TRUE,SUMIFS('Cashflow Projection'!$E$119:$E$151,'Cashflow Projection'!$D$119:$D$151,Sales!C192)=1),0,SUMIFS('Cashflow Projection'!$C$7:$C$23,'Cashflow Projection'!$B$7:$B$23,Sales!B192,'Cashflow Projection'!$A$7:$A$23,Sales!A192))</f>
        <v/>
      </c>
      <c r="G192" s="4" t="n">
        <v>44901</v>
      </c>
      <c r="H192" s="4" t="n">
        <v>45688</v>
      </c>
      <c r="I192" s="3" t="n">
        <v>1389900</v>
      </c>
      <c r="J192" s="3" t="n">
        <v>181291.3043478261</v>
      </c>
      <c r="K192" s="3" t="n">
        <v>1208608.695652174</v>
      </c>
      <c r="L192" s="3" t="n">
        <v>18502.08</v>
      </c>
      <c r="M192" s="3" t="n">
        <v>1789</v>
      </c>
      <c r="N192" s="3" t="n">
        <v>6949.5</v>
      </c>
      <c r="O192" s="3" t="n">
        <v>69495</v>
      </c>
      <c r="P192" s="3" t="n">
        <v>19224.37</v>
      </c>
      <c r="Q192" s="9">
        <f>K192-SUM(L192:P192)</f>
        <v/>
      </c>
      <c r="R192" s="10">
        <f>IF($F192=1,((SUMIFS(Investors!$M:$M,Investors!$E:$E,Sales!$C192,Investors!$O:$O,FALSE)+SUMIFS(Investors!$S:$S,Investors!$E:$E,Sales!$C192,Investors!$O:$O,FALSE))*$F192)-SUMIFS('Investor Exit List'!$Q:$Q,'Investor Exit List'!$Y:$Y,1,'Investor Exit List'!$Z:$Z,"Release",'Investor Exit List'!$C:$C,Sales!$C192),(SUMIFS(Investors!$M:$M,Investors!$E:$E,Sales!$C192,Investors!$O:$O,FALSE)+SUMIFS(Investors!$S:$S,Investors!$E:$E,Sales!$C192,Investors!$O:$O,FALSE))*$F192)</f>
        <v/>
      </c>
      <c r="S192" s="10">
        <f>IF(T192=FALSE,Q192-R192,+V192)</f>
        <v/>
      </c>
      <c r="T192" s="3">
        <f>IF(SUMIFS('Cashflow Projection'!$E$119:$E$151,'Cashflow Projection'!$D$119:$D$151,Sales!C192)&lt;&gt;0,TRUE,FALSE)</f>
        <v/>
      </c>
      <c r="U192" s="4" t="n">
        <v>45747</v>
      </c>
      <c r="V192" s="10" t="n">
        <v>163857.4623287669</v>
      </c>
      <c r="W192" s="11">
        <f>IF(SUMIFS('Cashflow Projection'!$E$119:$E$151,'Cashflow Projection'!$D$119:$D$151,Sales!C192)=1,SUMIFS('Cashflow Projection'!$C$119:$C$151,'Cashflow Projection'!$D$119:$D$151,Sales!C192),+Sales!H192)</f>
        <v/>
      </c>
      <c r="X192" s="11">
        <f>IF(MOD(MONTH(W192), 2) &lt;&gt; 0, EOMONTH(W192, 2), EOMONTH(W192, 1))</f>
        <v/>
      </c>
      <c r="Y192" s="11">
        <f>EOMONTH(X192,1)</f>
        <v/>
      </c>
      <c r="Z192" t="b">
        <v>0</v>
      </c>
    </row>
    <row r="193">
      <c r="A193" s="3" t="inlineStr">
        <is>
          <t>Heron Fields</t>
        </is>
      </c>
      <c r="B193" s="3" t="inlineStr">
        <is>
          <t>B</t>
        </is>
      </c>
      <c r="C193" s="3" t="inlineStr">
        <is>
          <t>HFB101</t>
        </is>
      </c>
      <c r="D193" s="3" t="b">
        <v>1</v>
      </c>
      <c r="E193" s="3" t="b">
        <v>1</v>
      </c>
      <c r="F193" s="3">
        <f>IF(OR(Z193=TRUE,SUMIFS('Cashflow Projection'!$E$119:$E$151,'Cashflow Projection'!$D$119:$D$151,Sales!C193)=1),0,SUMIFS('Cashflow Projection'!$C$7:$C$23,'Cashflow Projection'!$B$7:$B$23,Sales!B193,'Cashflow Projection'!$A$7:$A$23,Sales!A193))</f>
        <v/>
      </c>
      <c r="G193" s="4" t="n">
        <v>44909</v>
      </c>
      <c r="H193" s="4" t="n">
        <v>45688</v>
      </c>
      <c r="I193" s="3" t="n">
        <v>1595900</v>
      </c>
      <c r="J193" s="3" t="n">
        <v>208160.8695652174</v>
      </c>
      <c r="K193" s="3" t="n">
        <v>1387739.130434783</v>
      </c>
      <c r="L193" s="3" t="n">
        <v>18502.08</v>
      </c>
      <c r="M193" s="3" t="n">
        <v>1789</v>
      </c>
      <c r="N193" s="3" t="n">
        <v>7979.5</v>
      </c>
      <c r="O193" s="3" t="n">
        <v>79795</v>
      </c>
      <c r="P193" s="3" t="n">
        <v>19224.37</v>
      </c>
      <c r="Q193" s="9">
        <f>K193-SUM(L193:P193)</f>
        <v/>
      </c>
      <c r="R193" s="10">
        <f>IF($F193=1,((SUMIFS(Investors!$M:$M,Investors!$E:$E,Sales!$C193,Investors!$O:$O,FALSE)+SUMIFS(Investors!$S:$S,Investors!$E:$E,Sales!$C193,Investors!$O:$O,FALSE))*$F193)-SUMIFS('Investor Exit List'!$Q:$Q,'Investor Exit List'!$Y:$Y,1,'Investor Exit List'!$Z:$Z,"Release",'Investor Exit List'!$C:$C,Sales!$C193),(SUMIFS(Investors!$M:$M,Investors!$E:$E,Sales!$C193,Investors!$O:$O,FALSE)+SUMIFS(Investors!$S:$S,Investors!$E:$E,Sales!$C193,Investors!$O:$O,FALSE))*$F193)</f>
        <v/>
      </c>
      <c r="S193" s="10">
        <f>IF(T193=FALSE,Q193-R193,+V193)</f>
        <v/>
      </c>
      <c r="T193" s="3">
        <f>IF(SUMIFS('Cashflow Projection'!$E$119:$E$151,'Cashflow Projection'!$D$119:$D$151,Sales!C193)&lt;&gt;0,TRUE,FALSE)</f>
        <v/>
      </c>
      <c r="U193" s="4" t="n">
        <v>45747</v>
      </c>
      <c r="V193" s="10" t="n">
        <v>289148.9541095889</v>
      </c>
      <c r="W193" s="11">
        <f>IF(SUMIFS('Cashflow Projection'!$E$119:$E$151,'Cashflow Projection'!$D$119:$D$151,Sales!C193)=1,SUMIFS('Cashflow Projection'!$C$119:$C$151,'Cashflow Projection'!$D$119:$D$151,Sales!C193),+Sales!H193)</f>
        <v/>
      </c>
      <c r="X193" s="11">
        <f>IF(MOD(MONTH(W193), 2) &lt;&gt; 0, EOMONTH(W193, 2), EOMONTH(W193, 1))</f>
        <v/>
      </c>
      <c r="Y193" s="11">
        <f>EOMONTH(X193,1)</f>
        <v/>
      </c>
      <c r="Z193" t="b">
        <v>0</v>
      </c>
    </row>
    <row r="194">
      <c r="A194" s="3" t="inlineStr">
        <is>
          <t>Heron Fields</t>
        </is>
      </c>
      <c r="B194" s="3" t="inlineStr">
        <is>
          <t>B</t>
        </is>
      </c>
      <c r="C194" s="3" t="inlineStr">
        <is>
          <t>HFB204</t>
        </is>
      </c>
      <c r="D194" s="3" t="b">
        <v>1</v>
      </c>
      <c r="E194" s="3" t="b">
        <v>1</v>
      </c>
      <c r="F194" s="3">
        <f>IF(OR(Z194=TRUE,SUMIFS('Cashflow Projection'!$E$119:$E$151,'Cashflow Projection'!$D$119:$D$151,Sales!C194)=1),0,SUMIFS('Cashflow Projection'!$C$7:$C$23,'Cashflow Projection'!$B$7:$B$23,Sales!B194,'Cashflow Projection'!$A$7:$A$23,Sales!A194))</f>
        <v/>
      </c>
      <c r="G194" s="4" t="n">
        <v>45007</v>
      </c>
      <c r="H194" s="4" t="n">
        <v>45688</v>
      </c>
      <c r="I194" s="3" t="n">
        <v>1424900</v>
      </c>
      <c r="J194" s="3" t="n">
        <v>185856.5217391304</v>
      </c>
      <c r="K194" s="3" t="n">
        <v>1239043.47826087</v>
      </c>
      <c r="L194" s="3" t="n">
        <v>18502.08</v>
      </c>
      <c r="M194" s="3" t="n">
        <v>1789</v>
      </c>
      <c r="N194" s="3" t="n">
        <v>7124.5</v>
      </c>
      <c r="O194" s="3" t="n">
        <v>71245</v>
      </c>
      <c r="P194" s="3" t="n">
        <v>19224.37</v>
      </c>
      <c r="Q194" s="9">
        <f>K194-SUM(L194:P194)</f>
        <v/>
      </c>
      <c r="R194" s="10">
        <f>IF($F194=1,((SUMIFS(Investors!$M:$M,Investors!$E:$E,Sales!$C194,Investors!$O:$O,FALSE)+SUMIFS(Investors!$S:$S,Investors!$E:$E,Sales!$C194,Investors!$O:$O,FALSE))*$F194)-SUMIFS('Investor Exit List'!$Q:$Q,'Investor Exit List'!$Y:$Y,1,'Investor Exit List'!$Z:$Z,"Release",'Investor Exit List'!$C:$C,Sales!$C194),(SUMIFS(Investors!$M:$M,Investors!$E:$E,Sales!$C194,Investors!$O:$O,FALSE)+SUMIFS(Investors!$S:$S,Investors!$E:$E,Sales!$C194,Investors!$O:$O,FALSE))*$F194)</f>
        <v/>
      </c>
      <c r="S194" s="10">
        <f>IF(T194=FALSE,Q194-R194,+V194)</f>
        <v/>
      </c>
      <c r="T194" s="3">
        <f>IF(SUMIFS('Cashflow Projection'!$E$119:$E$151,'Cashflow Projection'!$D$119:$D$151,Sales!C194)&lt;&gt;0,TRUE,FALSE)</f>
        <v/>
      </c>
      <c r="U194" s="4" t="n">
        <v>45747</v>
      </c>
      <c r="V194" s="10" t="n">
        <v>108893.1321917805</v>
      </c>
      <c r="W194" s="11">
        <f>IF(SUMIFS('Cashflow Projection'!$E$119:$E$151,'Cashflow Projection'!$D$119:$D$151,Sales!C194)=1,SUMIFS('Cashflow Projection'!$C$119:$C$151,'Cashflow Projection'!$D$119:$D$151,Sales!C194),+Sales!H194)</f>
        <v/>
      </c>
      <c r="X194" s="11">
        <f>IF(MOD(MONTH(W194), 2) &lt;&gt; 0, EOMONTH(W194, 2), EOMONTH(W194, 1))</f>
        <v/>
      </c>
      <c r="Y194" s="11">
        <f>EOMONTH(X194,1)</f>
        <v/>
      </c>
      <c r="Z194" t="b">
        <v>0</v>
      </c>
    </row>
    <row r="195">
      <c r="A195" s="3" t="inlineStr">
        <is>
          <t>Heron Fields</t>
        </is>
      </c>
      <c r="B195" s="3" t="inlineStr">
        <is>
          <t>B</t>
        </is>
      </c>
      <c r="C195" s="3" t="inlineStr">
        <is>
          <t>HFB305</t>
        </is>
      </c>
      <c r="D195" s="3" t="b">
        <v>1</v>
      </c>
      <c r="E195" s="3" t="b">
        <v>1</v>
      </c>
      <c r="F195" s="3">
        <f>IF(OR(Z195=TRUE,SUMIFS('Cashflow Projection'!$E$119:$E$151,'Cashflow Projection'!$D$119:$D$151,Sales!C195)=1),0,SUMIFS('Cashflow Projection'!$C$7:$C$23,'Cashflow Projection'!$B$7:$B$23,Sales!B195,'Cashflow Projection'!$A$7:$A$23,Sales!A195))</f>
        <v/>
      </c>
      <c r="G195" s="4" t="n">
        <v>45007</v>
      </c>
      <c r="H195" s="4" t="n">
        <v>45688</v>
      </c>
      <c r="I195" s="3" t="n">
        <v>1604900</v>
      </c>
      <c r="J195" s="3" t="n">
        <v>209334.7826086956</v>
      </c>
      <c r="K195" s="3" t="n">
        <v>1395565.217391304</v>
      </c>
      <c r="L195" s="3" t="n">
        <v>18502.08</v>
      </c>
      <c r="M195" s="3" t="n">
        <v>1789</v>
      </c>
      <c r="N195" s="3" t="n">
        <v>8024.5</v>
      </c>
      <c r="O195" s="3" t="n">
        <v>80245</v>
      </c>
      <c r="P195" s="3" t="n">
        <v>19224.37</v>
      </c>
      <c r="Q195" s="9">
        <f>K195-SUM(L195:P195)</f>
        <v/>
      </c>
      <c r="R195" s="10">
        <f>IF($F195=1,((SUMIFS(Investors!$M:$M,Investors!$E:$E,Sales!$C195,Investors!$O:$O,FALSE)+SUMIFS(Investors!$S:$S,Investors!$E:$E,Sales!$C195,Investors!$O:$O,FALSE))*$F195)-SUMIFS('Investor Exit List'!$Q:$Q,'Investor Exit List'!$Y:$Y,1,'Investor Exit List'!$Z:$Z,"Release",'Investor Exit List'!$C:$C,Sales!$C195),(SUMIFS(Investors!$M:$M,Investors!$E:$E,Sales!$C195,Investors!$O:$O,FALSE)+SUMIFS(Investors!$S:$S,Investors!$E:$E,Sales!$C195,Investors!$O:$O,FALSE))*$F195)</f>
        <v/>
      </c>
      <c r="S195" s="10">
        <f>IF(T195=FALSE,Q195-R195,+V195)</f>
        <v/>
      </c>
      <c r="T195" s="3">
        <f>IF(SUMIFS('Cashflow Projection'!$E$119:$E$151,'Cashflow Projection'!$D$119:$D$151,Sales!C195)&lt;&gt;0,TRUE,FALSE)</f>
        <v/>
      </c>
      <c r="U195" s="4" t="n">
        <v>45747</v>
      </c>
      <c r="V195" s="10" t="n">
        <v>0</v>
      </c>
      <c r="W195" s="11">
        <f>IF(SUMIFS('Cashflow Projection'!$E$119:$E$151,'Cashflow Projection'!$D$119:$D$151,Sales!C195)=1,SUMIFS('Cashflow Projection'!$C$119:$C$151,'Cashflow Projection'!$D$119:$D$151,Sales!C195),+Sales!H195)</f>
        <v/>
      </c>
      <c r="X195" s="11">
        <f>IF(MOD(MONTH(W195), 2) &lt;&gt; 0, EOMONTH(W195, 2), EOMONTH(W195, 1))</f>
        <v/>
      </c>
      <c r="Y195" s="11">
        <f>EOMONTH(X195,1)</f>
        <v/>
      </c>
      <c r="Z195" t="b">
        <v>0</v>
      </c>
    </row>
    <row r="196">
      <c r="A196" s="3" t="inlineStr">
        <is>
          <t>Heron View</t>
        </is>
      </c>
      <c r="B196" s="3" t="inlineStr">
        <is>
          <t>J</t>
        </is>
      </c>
      <c r="C196" s="3" t="inlineStr">
        <is>
          <t>HVJ201</t>
        </is>
      </c>
      <c r="D196" s="3" t="b">
        <v>1</v>
      </c>
      <c r="E196" s="3" t="b">
        <v>0</v>
      </c>
      <c r="F196" s="3">
        <f>IF(OR(Z196=TRUE,SUMIFS('Cashflow Projection'!$E$119:$E$151,'Cashflow Projection'!$D$119:$D$151,Sales!C196)=1),0,SUMIFS('Cashflow Projection'!$C$7:$C$23,'Cashflow Projection'!$B$7:$B$23,Sales!B196,'Cashflow Projection'!$A$7:$A$23,Sales!A196))</f>
        <v/>
      </c>
      <c r="G196" s="4" t="n">
        <v>45552</v>
      </c>
      <c r="H196" s="4" t="n">
        <v>45552</v>
      </c>
      <c r="I196" s="3" t="n">
        <v>1599900</v>
      </c>
      <c r="J196" s="3" t="n">
        <v>208682.6086956522</v>
      </c>
      <c r="K196" s="3" t="n">
        <v>1391217.391304348</v>
      </c>
      <c r="L196" s="3" t="n">
        <v>18502.08</v>
      </c>
      <c r="M196" s="3" t="n">
        <v>1789</v>
      </c>
      <c r="N196" s="3" t="n">
        <v>7999.5</v>
      </c>
      <c r="O196" s="3" t="n">
        <v>79995</v>
      </c>
      <c r="P196" s="3" t="n">
        <v>19224.37</v>
      </c>
      <c r="Q196" s="9">
        <f>K196-SUM(L196:P196)</f>
        <v/>
      </c>
      <c r="R196" s="10">
        <f>IF($F196=1,((SUMIFS(Investors!$M:$M,Investors!$E:$E,Sales!$C196,Investors!$O:$O,FALSE)+SUMIFS(Investors!$S:$S,Investors!$E:$E,Sales!$C196,Investors!$O:$O,FALSE))*$F196)-SUMIFS('Investor Exit List'!$Q:$Q,'Investor Exit List'!$Y:$Y,1,'Investor Exit List'!$Z:$Z,"Release",'Investor Exit List'!$C:$C,Sales!$C196),(SUMIFS(Investors!$M:$M,Investors!$E:$E,Sales!$C196,Investors!$O:$O,FALSE)+SUMIFS(Investors!$S:$S,Investors!$E:$E,Sales!$C196,Investors!$O:$O,FALSE))*$F196)</f>
        <v/>
      </c>
      <c r="S196" s="10">
        <f>IF(T196=FALSE,Q196-R196,+V196)</f>
        <v/>
      </c>
      <c r="T196" s="3">
        <f>IF(SUMIFS('Cashflow Projection'!$E$119:$E$151,'Cashflow Projection'!$D$119:$D$151,Sales!C196)&lt;&gt;0,TRUE,FALSE)</f>
        <v/>
      </c>
      <c r="U196" s="4" t="n">
        <v>45626</v>
      </c>
      <c r="V196" s="10" t="n">
        <v>120457.1732876711</v>
      </c>
      <c r="W196" s="11">
        <f>IF(SUMIFS('Cashflow Projection'!$E$119:$E$151,'Cashflow Projection'!$D$119:$D$151,Sales!C196)=1,SUMIFS('Cashflow Projection'!$C$119:$C$151,'Cashflow Projection'!$D$119:$D$151,Sales!C196),+Sales!H196)</f>
        <v/>
      </c>
      <c r="X196" s="11">
        <f>IF(MOD(MONTH(W196), 2) &lt;&gt; 0, EOMONTH(W196, 2), EOMONTH(W196, 1))</f>
        <v/>
      </c>
      <c r="Y196" s="11">
        <f>EOMONTH(X196,1)</f>
        <v/>
      </c>
      <c r="Z196" t="b">
        <v>0</v>
      </c>
    </row>
    <row r="197">
      <c r="A197" s="3" t="inlineStr">
        <is>
          <t>Heron View</t>
        </is>
      </c>
      <c r="B197" s="3" t="inlineStr">
        <is>
          <t>O</t>
        </is>
      </c>
      <c r="C197" s="3" t="inlineStr">
        <is>
          <t>HVO305</t>
        </is>
      </c>
      <c r="D197" s="3" t="b">
        <v>0</v>
      </c>
      <c r="E197" s="3" t="b">
        <v>0</v>
      </c>
      <c r="F197" s="3">
        <f>IF(OR(Z197=TRUE,SUMIFS('Cashflow Projection'!$E$119:$E$151,'Cashflow Projection'!$D$119:$D$151,Sales!C197)=1),0,SUMIFS('Cashflow Projection'!$C$7:$C$23,'Cashflow Projection'!$B$7:$B$23,Sales!B197,'Cashflow Projection'!$A$7:$A$23,Sales!A197))</f>
        <v/>
      </c>
      <c r="G197" s="4" t="n">
        <v>45518</v>
      </c>
      <c r="H197" s="4" t="n">
        <v>45518</v>
      </c>
      <c r="I197" s="3" t="n">
        <v>1759900</v>
      </c>
      <c r="J197" s="3" t="n">
        <v>229552.1739130435</v>
      </c>
      <c r="K197" s="3" t="n">
        <v>1530347.826086957</v>
      </c>
      <c r="L197" s="3" t="n">
        <v>18502.08</v>
      </c>
      <c r="M197" s="3" t="n">
        <v>1789</v>
      </c>
      <c r="N197" s="3" t="n">
        <v>8799.5</v>
      </c>
      <c r="O197" s="3" t="n">
        <v>87995</v>
      </c>
      <c r="P197" s="3" t="n">
        <v>19224.37</v>
      </c>
      <c r="Q197" s="9">
        <f>K197-SUM(L197:P197)</f>
        <v/>
      </c>
      <c r="R197" s="10">
        <f>IF($F197=1,((SUMIFS(Investors!$M:$M,Investors!$E:$E,Sales!$C197,Investors!$O:$O,FALSE)+SUMIFS(Investors!$S:$S,Investors!$E:$E,Sales!$C197,Investors!$O:$O,FALSE))*$F197)-SUMIFS('Investor Exit List'!$Q:$Q,'Investor Exit List'!$Y:$Y,1,'Investor Exit List'!$Z:$Z,"Release",'Investor Exit List'!$C:$C,Sales!$C197),(SUMIFS(Investors!$M:$M,Investors!$E:$E,Sales!$C197,Investors!$O:$O,FALSE)+SUMIFS(Investors!$S:$S,Investors!$E:$E,Sales!$C197,Investors!$O:$O,FALSE))*$F197)</f>
        <v/>
      </c>
      <c r="S197" s="10">
        <f>IF(T197=FALSE,Q197-R197,+V197)</f>
        <v/>
      </c>
      <c r="T197" s="3">
        <f>IF(SUMIFS('Cashflow Projection'!$E$119:$E$151,'Cashflow Projection'!$D$119:$D$151,Sales!C197)&lt;&gt;0,TRUE,FALSE)</f>
        <v/>
      </c>
      <c r="U197" s="4" t="n">
        <v>45565</v>
      </c>
      <c r="V197" s="10" t="n">
        <v>273647.8371517807</v>
      </c>
      <c r="W197" s="11">
        <f>IF(SUMIFS('Cashflow Projection'!$E$119:$E$151,'Cashflow Projection'!$D$119:$D$151,Sales!C197)=1,SUMIFS('Cashflow Projection'!$C$119:$C$151,'Cashflow Projection'!$D$119:$D$151,Sales!C197),+Sales!H197)</f>
        <v/>
      </c>
      <c r="X197" s="11">
        <f>IF(MOD(MONTH(W197), 2) &lt;&gt; 0, EOMONTH(W197, 2), EOMONTH(W197, 1))</f>
        <v/>
      </c>
      <c r="Y197" s="11">
        <f>EOMONTH(X197,1)</f>
        <v/>
      </c>
      <c r="Z197" t="b">
        <v>0</v>
      </c>
    </row>
    <row r="198">
      <c r="A198" s="3" t="inlineStr">
        <is>
          <t>Heron View</t>
        </is>
      </c>
      <c r="B198" s="3" t="inlineStr">
        <is>
          <t>I</t>
        </is>
      </c>
      <c r="C198" s="3" t="inlineStr">
        <is>
          <t>HVI203</t>
        </is>
      </c>
      <c r="D198" s="3" t="b">
        <v>0</v>
      </c>
      <c r="E198" s="3" t="b">
        <v>0</v>
      </c>
      <c r="F198" s="3">
        <f>IF(OR(Z198=TRUE,SUMIFS('Cashflow Projection'!$E$119:$E$151,'Cashflow Projection'!$D$119:$D$151,Sales!C198)=1),0,SUMIFS('Cashflow Projection'!$C$7:$C$23,'Cashflow Projection'!$B$7:$B$23,Sales!B198,'Cashflow Projection'!$A$7:$A$23,Sales!A198))</f>
        <v/>
      </c>
      <c r="G198" s="4" t="n">
        <v>45491</v>
      </c>
      <c r="H198" s="4" t="n">
        <v>45596</v>
      </c>
      <c r="I198" s="3" t="n">
        <v>1549900</v>
      </c>
      <c r="J198" s="3" t="n">
        <v>202160.8695652174</v>
      </c>
      <c r="K198" s="3" t="n">
        <v>1347739.130434783</v>
      </c>
      <c r="L198" s="3" t="n">
        <v>18502.08</v>
      </c>
      <c r="M198" s="3" t="n">
        <v>1789</v>
      </c>
      <c r="N198" s="3" t="n">
        <v>7749.5</v>
      </c>
      <c r="O198" s="3" t="n">
        <v>77495</v>
      </c>
      <c r="P198" s="3" t="n">
        <v>19224.37</v>
      </c>
      <c r="Q198" s="9">
        <f>K198-SUM(L198:P198)</f>
        <v/>
      </c>
      <c r="R198" s="10">
        <f>IF($F198=1,((SUMIFS(Investors!$M:$M,Investors!$E:$E,Sales!$C198,Investors!$O:$O,FALSE)+SUMIFS(Investors!$S:$S,Investors!$E:$E,Sales!$C198,Investors!$O:$O,FALSE))*$F198)-SUMIFS('Investor Exit List'!$Q:$Q,'Investor Exit List'!$Y:$Y,1,'Investor Exit List'!$Z:$Z,"Release",'Investor Exit List'!$C:$C,Sales!$C198),(SUMIFS(Investors!$M:$M,Investors!$E:$E,Sales!$C198,Investors!$O:$O,FALSE)+SUMIFS(Investors!$S:$S,Investors!$E:$E,Sales!$C198,Investors!$O:$O,FALSE))*$F198)</f>
        <v/>
      </c>
      <c r="S198" s="10">
        <f>IF(T198=FALSE,Q198-R198,+V198)</f>
        <v/>
      </c>
      <c r="T198" s="3">
        <f>IF(SUMIFS('Cashflow Projection'!$E$119:$E$151,'Cashflow Projection'!$D$119:$D$151,Sales!C198)&lt;&gt;0,TRUE,FALSE)</f>
        <v/>
      </c>
      <c r="U198" s="4" t="n">
        <v>45626</v>
      </c>
      <c r="V198" s="10" t="n">
        <v>145583.8856164382</v>
      </c>
      <c r="W198" s="11">
        <f>IF(SUMIFS('Cashflow Projection'!$E$119:$E$151,'Cashflow Projection'!$D$119:$D$151,Sales!C198)=1,SUMIFS('Cashflow Projection'!$C$119:$C$151,'Cashflow Projection'!$D$119:$D$151,Sales!C198),+Sales!H198)</f>
        <v/>
      </c>
      <c r="X198" s="11">
        <f>IF(MOD(MONTH(W198), 2) &lt;&gt; 0, EOMONTH(W198, 2), EOMONTH(W198, 1))</f>
        <v/>
      </c>
      <c r="Y198" s="11">
        <f>EOMONTH(X198,1)</f>
        <v/>
      </c>
      <c r="Z198" t="b">
        <v>0</v>
      </c>
    </row>
    <row r="199">
      <c r="A199" s="3" t="inlineStr">
        <is>
          <t>Heron View</t>
        </is>
      </c>
      <c r="B199" s="3" t="inlineStr">
        <is>
          <t>L</t>
        </is>
      </c>
      <c r="C199" s="3" t="inlineStr">
        <is>
          <t>HVL204</t>
        </is>
      </c>
      <c r="D199" s="3" t="b">
        <v>0</v>
      </c>
      <c r="E199" s="3" t="b">
        <v>0</v>
      </c>
      <c r="F199" s="3">
        <f>IF(OR(Z199=TRUE,SUMIFS('Cashflow Projection'!$E$119:$E$151,'Cashflow Projection'!$D$119:$D$151,Sales!C199)=1),0,SUMIFS('Cashflow Projection'!$C$7:$C$23,'Cashflow Projection'!$B$7:$B$23,Sales!B199,'Cashflow Projection'!$A$7:$A$23,Sales!A199))</f>
        <v/>
      </c>
      <c r="G199" s="4" t="n">
        <v>45499</v>
      </c>
      <c r="H199" s="4" t="n">
        <v>45716</v>
      </c>
      <c r="I199" s="3" t="n">
        <v>1499900</v>
      </c>
      <c r="J199" s="3" t="n">
        <v>195639.1304347826</v>
      </c>
      <c r="K199" s="3" t="n">
        <v>1304260.869565218</v>
      </c>
      <c r="L199" s="3" t="n">
        <v>18502.08</v>
      </c>
      <c r="M199" s="3" t="n">
        <v>1789</v>
      </c>
      <c r="N199" s="3" t="n">
        <v>7499.5</v>
      </c>
      <c r="O199" s="3" t="n">
        <v>74995</v>
      </c>
      <c r="P199" s="3" t="n">
        <v>19224.37</v>
      </c>
      <c r="Q199" s="9">
        <f>K199-SUM(L199:P199)</f>
        <v/>
      </c>
      <c r="R199" s="10">
        <f>IF($F199=1,((SUMIFS(Investors!$M:$M,Investors!$E:$E,Sales!$C199,Investors!$O:$O,FALSE)+SUMIFS(Investors!$S:$S,Investors!$E:$E,Sales!$C199,Investors!$O:$O,FALSE))*$F199)-SUMIFS('Investor Exit List'!$Q:$Q,'Investor Exit List'!$Y:$Y,1,'Investor Exit List'!$Z:$Z,"Release",'Investor Exit List'!$C:$C,Sales!$C199),(SUMIFS(Investors!$M:$M,Investors!$E:$E,Sales!$C199,Investors!$O:$O,FALSE)+SUMIFS(Investors!$S:$S,Investors!$E:$E,Sales!$C199,Investors!$O:$O,FALSE))*$F199)</f>
        <v/>
      </c>
      <c r="S199" s="10">
        <f>IF(T199=FALSE,Q199-R199,+V199)</f>
        <v/>
      </c>
      <c r="T199" s="3">
        <f>IF(SUMIFS('Cashflow Projection'!$E$119:$E$151,'Cashflow Projection'!$D$119:$D$151,Sales!C199)&lt;&gt;0,TRUE,FALSE)</f>
        <v/>
      </c>
      <c r="U199" s="4" t="n">
        <v>45747</v>
      </c>
      <c r="V199" s="10" t="n">
        <v>57158.06717479439</v>
      </c>
      <c r="W199" s="11">
        <f>IF(SUMIFS('Cashflow Projection'!$E$119:$E$151,'Cashflow Projection'!$D$119:$D$151,Sales!C199)=1,SUMIFS('Cashflow Projection'!$C$119:$C$151,'Cashflow Projection'!$D$119:$D$151,Sales!C199),+Sales!H199)</f>
        <v/>
      </c>
      <c r="X199" s="11">
        <f>IF(MOD(MONTH(W199), 2) &lt;&gt; 0, EOMONTH(W199, 2), EOMONTH(W199, 1))</f>
        <v/>
      </c>
      <c r="Y199" s="11">
        <f>EOMONTH(X199,1)</f>
        <v/>
      </c>
      <c r="Z199" t="b">
        <v>0</v>
      </c>
    </row>
    <row r="200">
      <c r="A200" s="3" t="inlineStr">
        <is>
          <t>Heron View</t>
        </is>
      </c>
      <c r="B200" s="3" t="inlineStr">
        <is>
          <t>H</t>
        </is>
      </c>
      <c r="C200" s="3" t="inlineStr">
        <is>
          <t>HVH201</t>
        </is>
      </c>
      <c r="D200" s="3" t="b">
        <v>1</v>
      </c>
      <c r="E200" s="3" t="b">
        <v>0</v>
      </c>
      <c r="F200" s="3">
        <f>IF(OR(Z200=TRUE,SUMIFS('Cashflow Projection'!$E$119:$E$151,'Cashflow Projection'!$D$119:$D$151,Sales!C200)=1),0,SUMIFS('Cashflow Projection'!$C$7:$C$23,'Cashflow Projection'!$B$7:$B$23,Sales!B200,'Cashflow Projection'!$A$7:$A$23,Sales!A200))</f>
        <v/>
      </c>
      <c r="G200" s="4" t="n">
        <v>45490</v>
      </c>
      <c r="H200" s="4" t="n">
        <v>45490</v>
      </c>
      <c r="I200" s="3" t="n">
        <v>1707999</v>
      </c>
      <c r="J200" s="3" t="n">
        <v>222782.4782608696</v>
      </c>
      <c r="K200" s="3" t="n">
        <v>1485216.521739131</v>
      </c>
      <c r="L200" s="3" t="n">
        <v>18502.08</v>
      </c>
      <c r="M200" s="3" t="n">
        <v>1789</v>
      </c>
      <c r="N200" s="3" t="n">
        <v>8539.995000000001</v>
      </c>
      <c r="O200" s="3" t="n">
        <v>85399.95000000001</v>
      </c>
      <c r="P200" s="3" t="n">
        <v>19224.37</v>
      </c>
      <c r="Q200" s="9">
        <f>K200-SUM(L200:P200)</f>
        <v/>
      </c>
      <c r="R200" s="10">
        <f>IF($F200=1,((SUMIFS(Investors!$M:$M,Investors!$E:$E,Sales!$C200,Investors!$O:$O,FALSE)+SUMIFS(Investors!$S:$S,Investors!$E:$E,Sales!$C200,Investors!$O:$O,FALSE))*$F200)-SUMIFS('Investor Exit List'!$Q:$Q,'Investor Exit List'!$Y:$Y,1,'Investor Exit List'!$Z:$Z,"Release",'Investor Exit List'!$C:$C,Sales!$C200),(SUMIFS(Investors!$M:$M,Investors!$E:$E,Sales!$C200,Investors!$O:$O,FALSE)+SUMIFS(Investors!$S:$S,Investors!$E:$E,Sales!$C200,Investors!$O:$O,FALSE))*$F200)</f>
        <v/>
      </c>
      <c r="S200" s="10">
        <f>IF(T200=FALSE,Q200-R200,+V200)</f>
        <v/>
      </c>
      <c r="T200" s="3">
        <f>IF(SUMIFS('Cashflow Projection'!$E$119:$E$151,'Cashflow Projection'!$D$119:$D$151,Sales!C200)&lt;&gt;0,TRUE,FALSE)</f>
        <v/>
      </c>
      <c r="U200" s="4" t="n">
        <v>45565</v>
      </c>
      <c r="V200" s="10" t="n">
        <v>347576.4817123285</v>
      </c>
      <c r="W200" s="11">
        <f>IF(SUMIFS('Cashflow Projection'!$E$119:$E$151,'Cashflow Projection'!$D$119:$D$151,Sales!C200)=1,SUMIFS('Cashflow Projection'!$C$119:$C$151,'Cashflow Projection'!$D$119:$D$151,Sales!C200),+Sales!H200)</f>
        <v/>
      </c>
      <c r="X200" s="11">
        <f>IF(MOD(MONTH(W200), 2) &lt;&gt; 0, EOMONTH(W200, 2), EOMONTH(W200, 1))</f>
        <v/>
      </c>
      <c r="Y200" s="11">
        <f>EOMONTH(X200,1)</f>
        <v/>
      </c>
      <c r="Z200" t="b">
        <v>0</v>
      </c>
    </row>
    <row r="201">
      <c r="A201" s="3" t="inlineStr">
        <is>
          <t>Heron View</t>
        </is>
      </c>
      <c r="B201" s="3" t="inlineStr">
        <is>
          <t>O</t>
        </is>
      </c>
      <c r="C201" s="3" t="inlineStr">
        <is>
          <t>HVO104</t>
        </is>
      </c>
      <c r="D201" s="3" t="b">
        <v>1</v>
      </c>
      <c r="E201" s="3" t="b">
        <v>0</v>
      </c>
      <c r="F201" s="3">
        <f>IF(OR(Z201=TRUE,SUMIFS('Cashflow Projection'!$E$119:$E$151,'Cashflow Projection'!$D$119:$D$151,Sales!C201)=1),0,SUMIFS('Cashflow Projection'!$C$7:$C$23,'Cashflow Projection'!$B$7:$B$23,Sales!B201,'Cashflow Projection'!$A$7:$A$23,Sales!A201))</f>
        <v/>
      </c>
      <c r="G201" s="4" t="n">
        <v>45518</v>
      </c>
      <c r="H201" s="4" t="n">
        <v>45518</v>
      </c>
      <c r="I201" s="3" t="n">
        <v>1659900</v>
      </c>
      <c r="J201" s="3" t="n">
        <v>216508.6956521739</v>
      </c>
      <c r="K201" s="3" t="n">
        <v>1443391.304347826</v>
      </c>
      <c r="L201" s="3" t="n">
        <v>18502.08</v>
      </c>
      <c r="M201" s="3" t="n">
        <v>1789</v>
      </c>
      <c r="N201" s="3" t="n">
        <v>8299.5</v>
      </c>
      <c r="O201" s="3" t="n">
        <v>82995</v>
      </c>
      <c r="P201" s="3" t="n">
        <v>19224.37</v>
      </c>
      <c r="Q201" s="9">
        <f>K201-SUM(L201:P201)</f>
        <v/>
      </c>
      <c r="R201" s="10">
        <f>IF($F201=1,((SUMIFS(Investors!$M:$M,Investors!$E:$E,Sales!$C201,Investors!$O:$O,FALSE)+SUMIFS(Investors!$S:$S,Investors!$E:$E,Sales!$C201,Investors!$O:$O,FALSE))*$F201)-SUMIFS('Investor Exit List'!$Q:$Q,'Investor Exit List'!$Y:$Y,1,'Investor Exit List'!$Z:$Z,"Release",'Investor Exit List'!$C:$C,Sales!$C201),(SUMIFS(Investors!$M:$M,Investors!$E:$E,Sales!$C201,Investors!$O:$O,FALSE)+SUMIFS(Investors!$S:$S,Investors!$E:$E,Sales!$C201,Investors!$O:$O,FALSE))*$F201)</f>
        <v/>
      </c>
      <c r="S201" s="10">
        <f>IF(T201=FALSE,Q201-R201,+V201)</f>
        <v/>
      </c>
      <c r="T201" s="3">
        <f>IF(SUMIFS('Cashflow Projection'!$E$119:$E$151,'Cashflow Projection'!$D$119:$D$151,Sales!C201)&lt;&gt;0,TRUE,FALSE)</f>
        <v/>
      </c>
      <c r="U201" s="4" t="n">
        <v>45565</v>
      </c>
      <c r="V201" s="10" t="n">
        <v>115943.5092847943</v>
      </c>
      <c r="W201" s="11">
        <f>IF(SUMIFS('Cashflow Projection'!$E$119:$E$151,'Cashflow Projection'!$D$119:$D$151,Sales!C201)=1,SUMIFS('Cashflow Projection'!$C$119:$C$151,'Cashflow Projection'!$D$119:$D$151,Sales!C201),+Sales!H201)</f>
        <v/>
      </c>
      <c r="X201" s="11">
        <f>IF(MOD(MONTH(W201), 2) &lt;&gt; 0, EOMONTH(W201, 2), EOMONTH(W201, 1))</f>
        <v/>
      </c>
      <c r="Y201" s="11">
        <f>EOMONTH(X201,1)</f>
        <v/>
      </c>
      <c r="Z201" t="b">
        <v>0</v>
      </c>
    </row>
    <row r="202">
      <c r="A202" s="3" t="inlineStr">
        <is>
          <t>Heron Fields</t>
        </is>
      </c>
      <c r="B202" s="3" t="inlineStr">
        <is>
          <t>A</t>
        </is>
      </c>
      <c r="C202" s="3" t="inlineStr">
        <is>
          <t>HFA102</t>
        </is>
      </c>
      <c r="D202" s="3" t="b">
        <v>1</v>
      </c>
      <c r="E202" s="3" t="b">
        <v>1</v>
      </c>
      <c r="F202" s="3">
        <f>IF(OR(Z202=TRUE,SUMIFS('Cashflow Projection'!$E$119:$E$151,'Cashflow Projection'!$D$119:$D$151,Sales!C202)=1),0,SUMIFS('Cashflow Projection'!$C$7:$C$23,'Cashflow Projection'!$B$7:$B$23,Sales!B202,'Cashflow Projection'!$A$7:$A$23,Sales!A202))</f>
        <v/>
      </c>
      <c r="G202" s="4" t="n">
        <v>44887</v>
      </c>
      <c r="H202" s="4" t="n">
        <v>45688</v>
      </c>
      <c r="I202" s="3" t="n">
        <v>1499900</v>
      </c>
      <c r="J202" s="3" t="n">
        <v>195639.1304347826</v>
      </c>
      <c r="K202" s="3" t="n">
        <v>1304260.869565218</v>
      </c>
      <c r="L202" s="3" t="n">
        <v>18502.08</v>
      </c>
      <c r="M202" s="3" t="n">
        <v>1789</v>
      </c>
      <c r="N202" s="3" t="n">
        <v>7499.5</v>
      </c>
      <c r="O202" s="3" t="n">
        <v>74995</v>
      </c>
      <c r="P202" s="3" t="n">
        <v>19224.37</v>
      </c>
      <c r="Q202" s="9">
        <f>K202-SUM(L202:P202)</f>
        <v/>
      </c>
      <c r="R202" s="10">
        <f>IF($F202=1,((SUMIFS(Investors!$M:$M,Investors!$E:$E,Sales!$C202,Investors!$O:$O,FALSE)+SUMIFS(Investors!$S:$S,Investors!$E:$E,Sales!$C202,Investors!$O:$O,FALSE))*$F202)-SUMIFS('Investor Exit List'!$Q:$Q,'Investor Exit List'!$Y:$Y,1,'Investor Exit List'!$Z:$Z,"Release",'Investor Exit List'!$C:$C,Sales!$C202),(SUMIFS(Investors!$M:$M,Investors!$E:$E,Sales!$C202,Investors!$O:$O,FALSE)+SUMIFS(Investors!$S:$S,Investors!$E:$E,Sales!$C202,Investors!$O:$O,FALSE))*$F202)</f>
        <v/>
      </c>
      <c r="S202" s="10">
        <f>IF(T202=FALSE,Q202-R202,+V202)</f>
        <v/>
      </c>
      <c r="T202" s="3">
        <f>IF(SUMIFS('Cashflow Projection'!$E$119:$E$151,'Cashflow Projection'!$D$119:$D$151,Sales!C202)&lt;&gt;0,TRUE,FALSE)</f>
        <v/>
      </c>
      <c r="U202" s="4" t="n">
        <v>45747</v>
      </c>
      <c r="V202" s="10" t="n">
        <v>210694.8445205479</v>
      </c>
      <c r="W202" s="11">
        <f>IF(SUMIFS('Cashflow Projection'!$E$119:$E$151,'Cashflow Projection'!$D$119:$D$151,Sales!C202)=1,SUMIFS('Cashflow Projection'!$C$119:$C$151,'Cashflow Projection'!$D$119:$D$151,Sales!C202),+Sales!H202)</f>
        <v/>
      </c>
      <c r="X202" s="11">
        <f>IF(MOD(MONTH(W202), 2) &lt;&gt; 0, EOMONTH(W202, 2), EOMONTH(W202, 1))</f>
        <v/>
      </c>
      <c r="Y202" s="11">
        <f>EOMONTH(X202,1)</f>
        <v/>
      </c>
      <c r="Z202" t="b">
        <v>0</v>
      </c>
    </row>
    <row r="203">
      <c r="A203" s="3" t="inlineStr">
        <is>
          <t>Heron Fields</t>
        </is>
      </c>
      <c r="B203" s="3" t="inlineStr">
        <is>
          <t>B</t>
        </is>
      </c>
      <c r="C203" s="3" t="inlineStr">
        <is>
          <t>HFB105</t>
        </is>
      </c>
      <c r="D203" s="3" t="b">
        <v>1</v>
      </c>
      <c r="E203" s="3" t="b">
        <v>1</v>
      </c>
      <c r="F203" s="3">
        <f>IF(OR(Z203=TRUE,SUMIFS('Cashflow Projection'!$E$119:$E$151,'Cashflow Projection'!$D$119:$D$151,Sales!C203)=1),0,SUMIFS('Cashflow Projection'!$C$7:$C$23,'Cashflow Projection'!$B$7:$B$23,Sales!B203,'Cashflow Projection'!$A$7:$A$23,Sales!A203))</f>
        <v/>
      </c>
      <c r="G203" s="4" t="n">
        <v>44992</v>
      </c>
      <c r="H203" s="4" t="n">
        <v>45688</v>
      </c>
      <c r="I203" s="3" t="n">
        <v>1649900</v>
      </c>
      <c r="J203" s="3" t="n">
        <v>215204.3478260869</v>
      </c>
      <c r="K203" s="3" t="n">
        <v>1434695.652173913</v>
      </c>
      <c r="L203" s="3" t="n">
        <v>18502.08</v>
      </c>
      <c r="M203" s="3" t="n">
        <v>1789</v>
      </c>
      <c r="N203" s="3" t="n">
        <v>8249.5</v>
      </c>
      <c r="O203" s="3" t="n">
        <v>82495</v>
      </c>
      <c r="P203" s="3" t="n">
        <v>19224.37</v>
      </c>
      <c r="Q203" s="9">
        <f>K203-SUM(L203:P203)</f>
        <v/>
      </c>
      <c r="R203" s="10">
        <f>IF($F203=1,((SUMIFS(Investors!$M:$M,Investors!$E:$E,Sales!$C203,Investors!$O:$O,FALSE)+SUMIFS(Investors!$S:$S,Investors!$E:$E,Sales!$C203,Investors!$O:$O,FALSE))*$F203)-SUMIFS('Investor Exit List'!$Q:$Q,'Investor Exit List'!$Y:$Y,1,'Investor Exit List'!$Z:$Z,"Release",'Investor Exit List'!$C:$C,Sales!$C203),(SUMIFS(Investors!$M:$M,Investors!$E:$E,Sales!$C203,Investors!$O:$O,FALSE)+SUMIFS(Investors!$S:$S,Investors!$E:$E,Sales!$C203,Investors!$O:$O,FALSE))*$F203)</f>
        <v/>
      </c>
      <c r="S203" s="10">
        <f>IF(T203=FALSE,Q203-R203,+V203)</f>
        <v/>
      </c>
      <c r="T203" s="3">
        <f>IF(SUMIFS('Cashflow Projection'!$E$119:$E$151,'Cashflow Projection'!$D$119:$D$151,Sales!C203)&lt;&gt;0,TRUE,FALSE)</f>
        <v/>
      </c>
      <c r="U203" s="4" t="n">
        <v>45747</v>
      </c>
      <c r="V203" s="10" t="n">
        <v>360381.4873442464</v>
      </c>
      <c r="W203" s="11">
        <f>IF(SUMIFS('Cashflow Projection'!$E$119:$E$151,'Cashflow Projection'!$D$119:$D$151,Sales!C203)=1,SUMIFS('Cashflow Projection'!$C$119:$C$151,'Cashflow Projection'!$D$119:$D$151,Sales!C203),+Sales!H203)</f>
        <v/>
      </c>
      <c r="X203" s="11">
        <f>IF(MOD(MONTH(W203), 2) &lt;&gt; 0, EOMONTH(W203, 2), EOMONTH(W203, 1))</f>
        <v/>
      </c>
      <c r="Y203" s="11">
        <f>EOMONTH(X203,1)</f>
        <v/>
      </c>
      <c r="Z203" t="b">
        <v>0</v>
      </c>
    </row>
    <row r="204">
      <c r="A204" s="3" t="inlineStr">
        <is>
          <t>Heron Fields</t>
        </is>
      </c>
      <c r="B204" s="3" t="inlineStr">
        <is>
          <t>A</t>
        </is>
      </c>
      <c r="C204" s="3" t="inlineStr">
        <is>
          <t>HFA305</t>
        </is>
      </c>
      <c r="D204" s="3" t="b">
        <v>1</v>
      </c>
      <c r="E204" s="3" t="b">
        <v>1</v>
      </c>
      <c r="F204" s="3">
        <f>IF(OR(Z204=TRUE,SUMIFS('Cashflow Projection'!$E$119:$E$151,'Cashflow Projection'!$D$119:$D$151,Sales!C204)=1),0,SUMIFS('Cashflow Projection'!$C$7:$C$23,'Cashflow Projection'!$B$7:$B$23,Sales!B204,'Cashflow Projection'!$A$7:$A$23,Sales!A204))</f>
        <v/>
      </c>
      <c r="G204" s="4" t="n">
        <v>44942</v>
      </c>
      <c r="H204" s="4" t="n">
        <v>45688</v>
      </c>
      <c r="I204" s="3" t="n">
        <v>1379900</v>
      </c>
      <c r="J204" s="3" t="n">
        <v>179986.9565217391</v>
      </c>
      <c r="K204" s="3" t="n">
        <v>1199913.043478261</v>
      </c>
      <c r="L204" s="3" t="n">
        <v>18502.08</v>
      </c>
      <c r="M204" s="3" t="n">
        <v>1789</v>
      </c>
      <c r="N204" s="3" t="n">
        <v>6899.5</v>
      </c>
      <c r="O204" s="3" t="n">
        <v>68995</v>
      </c>
      <c r="P204" s="3" t="n">
        <v>19224.37</v>
      </c>
      <c r="Q204" s="9">
        <f>K204-SUM(L204:P204)</f>
        <v/>
      </c>
      <c r="R204" s="10">
        <f>IF($F204=1,((SUMIFS(Investors!$M:$M,Investors!$E:$E,Sales!$C204,Investors!$O:$O,FALSE)+SUMIFS(Investors!$S:$S,Investors!$E:$E,Sales!$C204,Investors!$O:$O,FALSE))*$F204)-SUMIFS('Investor Exit List'!$Q:$Q,'Investor Exit List'!$Y:$Y,1,'Investor Exit List'!$Z:$Z,"Release",'Investor Exit List'!$C:$C,Sales!$C204),(SUMIFS(Investors!$M:$M,Investors!$E:$E,Sales!$C204,Investors!$O:$O,FALSE)+SUMIFS(Investors!$S:$S,Investors!$E:$E,Sales!$C204,Investors!$O:$O,FALSE))*$F204)</f>
        <v/>
      </c>
      <c r="S204" s="10">
        <f>IF(T204=FALSE,Q204-R204,+V204)</f>
        <v/>
      </c>
      <c r="T204" s="3">
        <f>IF(SUMIFS('Cashflow Projection'!$E$119:$E$151,'Cashflow Projection'!$D$119:$D$151,Sales!C204)&lt;&gt;0,TRUE,FALSE)</f>
        <v/>
      </c>
      <c r="U204" s="4" t="n">
        <v>45747</v>
      </c>
      <c r="V204" s="10" t="n">
        <v>397609.3164383559</v>
      </c>
      <c r="W204" s="11">
        <f>IF(SUMIFS('Cashflow Projection'!$E$119:$E$151,'Cashflow Projection'!$D$119:$D$151,Sales!C204)=1,SUMIFS('Cashflow Projection'!$C$119:$C$151,'Cashflow Projection'!$D$119:$D$151,Sales!C204),+Sales!H204)</f>
        <v/>
      </c>
      <c r="X204" s="11">
        <f>IF(MOD(MONTH(W204), 2) &lt;&gt; 0, EOMONTH(W204, 2), EOMONTH(W204, 1))</f>
        <v/>
      </c>
      <c r="Y204" s="11">
        <f>EOMONTH(X204,1)</f>
        <v/>
      </c>
      <c r="Z204" t="b">
        <v>0</v>
      </c>
    </row>
    <row r="205">
      <c r="A205" s="3" t="inlineStr">
        <is>
          <t>Heron Fields</t>
        </is>
      </c>
      <c r="B205" s="3" t="inlineStr">
        <is>
          <t>B</t>
        </is>
      </c>
      <c r="C205" s="3" t="inlineStr">
        <is>
          <t>HFB103</t>
        </is>
      </c>
      <c r="D205" s="3" t="b">
        <v>1</v>
      </c>
      <c r="E205" s="3" t="b">
        <v>1</v>
      </c>
      <c r="F205" s="3">
        <f>IF(OR(Z205=TRUE,SUMIFS('Cashflow Projection'!$E$119:$E$151,'Cashflow Projection'!$D$119:$D$151,Sales!C205)=1),0,SUMIFS('Cashflow Projection'!$C$7:$C$23,'Cashflow Projection'!$B$7:$B$23,Sales!B205,'Cashflow Projection'!$A$7:$A$23,Sales!A205))</f>
        <v/>
      </c>
      <c r="G205" s="4" t="n">
        <v>44887</v>
      </c>
      <c r="H205" s="4" t="n">
        <v>45688</v>
      </c>
      <c r="I205" s="3" t="n">
        <v>1514900</v>
      </c>
      <c r="J205" s="3" t="n">
        <v>197595.6521739131</v>
      </c>
      <c r="K205" s="3" t="n">
        <v>1317304.347826087</v>
      </c>
      <c r="L205" s="3" t="n">
        <v>18502.08</v>
      </c>
      <c r="M205" s="3" t="n">
        <v>1789</v>
      </c>
      <c r="N205" s="3" t="n">
        <v>7574.5</v>
      </c>
      <c r="O205" s="3" t="n">
        <v>75745</v>
      </c>
      <c r="P205" s="3" t="n">
        <v>19224.37</v>
      </c>
      <c r="Q205" s="9">
        <f>K205-SUM(L205:P205)</f>
        <v/>
      </c>
      <c r="R205" s="10">
        <f>IF($F205=1,((SUMIFS(Investors!$M:$M,Investors!$E:$E,Sales!$C205,Investors!$O:$O,FALSE)+SUMIFS(Investors!$S:$S,Investors!$E:$E,Sales!$C205,Investors!$O:$O,FALSE))*$F205)-SUMIFS('Investor Exit List'!$Q:$Q,'Investor Exit List'!$Y:$Y,1,'Investor Exit List'!$Z:$Z,"Release",'Investor Exit List'!$C:$C,Sales!$C205),(SUMIFS(Investors!$M:$M,Investors!$E:$E,Sales!$C205,Investors!$O:$O,FALSE)+SUMIFS(Investors!$S:$S,Investors!$E:$E,Sales!$C205,Investors!$O:$O,FALSE))*$F205)</f>
        <v/>
      </c>
      <c r="S205" s="10">
        <f>IF(T205=FALSE,Q205-R205,+V205)</f>
        <v/>
      </c>
      <c r="T205" s="3">
        <f>IF(SUMIFS('Cashflow Projection'!$E$119:$E$151,'Cashflow Projection'!$D$119:$D$151,Sales!C205)&lt;&gt;0,TRUE,FALSE)</f>
        <v/>
      </c>
      <c r="U205" s="4" t="n">
        <v>45747</v>
      </c>
      <c r="V205" s="10" t="n">
        <v>247128.7486301369</v>
      </c>
      <c r="W205" s="11">
        <f>IF(SUMIFS('Cashflow Projection'!$E$119:$E$151,'Cashflow Projection'!$D$119:$D$151,Sales!C205)=1,SUMIFS('Cashflow Projection'!$C$119:$C$151,'Cashflow Projection'!$D$119:$D$151,Sales!C205),+Sales!H205)</f>
        <v/>
      </c>
      <c r="X205" s="11">
        <f>IF(MOD(MONTH(W205), 2) &lt;&gt; 0, EOMONTH(W205, 2), EOMONTH(W205, 1))</f>
        <v/>
      </c>
      <c r="Y205" s="11">
        <f>EOMONTH(X205,1)</f>
        <v/>
      </c>
      <c r="Z205" t="b">
        <v>0</v>
      </c>
    </row>
    <row r="206">
      <c r="A206" s="3" t="inlineStr">
        <is>
          <t>Heron Fields</t>
        </is>
      </c>
      <c r="B206" s="3" t="inlineStr">
        <is>
          <t>B</t>
        </is>
      </c>
      <c r="C206" s="3" t="inlineStr">
        <is>
          <t>HFB107</t>
        </is>
      </c>
      <c r="D206" s="3" t="b">
        <v>1</v>
      </c>
      <c r="E206" s="3" t="b">
        <v>1</v>
      </c>
      <c r="F206" s="3">
        <f>IF(OR(Z206=TRUE,SUMIFS('Cashflow Projection'!$E$119:$E$151,'Cashflow Projection'!$D$119:$D$151,Sales!C206)=1),0,SUMIFS('Cashflow Projection'!$C$7:$C$23,'Cashflow Projection'!$B$7:$B$23,Sales!B206,'Cashflow Projection'!$A$7:$A$23,Sales!A206))</f>
        <v/>
      </c>
      <c r="G206" s="4" t="n">
        <v>45027</v>
      </c>
      <c r="H206" s="4" t="n">
        <v>45688</v>
      </c>
      <c r="I206" s="3" t="n">
        <v>1549900</v>
      </c>
      <c r="J206" s="3" t="n">
        <v>202160.8695652174</v>
      </c>
      <c r="K206" s="3" t="n">
        <v>1347739.130434783</v>
      </c>
      <c r="L206" s="3" t="n">
        <v>18502.08</v>
      </c>
      <c r="M206" s="3" t="n">
        <v>1789</v>
      </c>
      <c r="N206" s="3" t="n">
        <v>7749.5</v>
      </c>
      <c r="O206" s="3" t="n">
        <v>77495</v>
      </c>
      <c r="P206" s="3" t="n">
        <v>19224.37</v>
      </c>
      <c r="Q206" s="9">
        <f>K206-SUM(L206:P206)</f>
        <v/>
      </c>
      <c r="R206" s="10">
        <f>IF($F206=1,((SUMIFS(Investors!$M:$M,Investors!$E:$E,Sales!$C206,Investors!$O:$O,FALSE)+SUMIFS(Investors!$S:$S,Investors!$E:$E,Sales!$C206,Investors!$O:$O,FALSE))*$F206)-SUMIFS('Investor Exit List'!$Q:$Q,'Investor Exit List'!$Y:$Y,1,'Investor Exit List'!$Z:$Z,"Release",'Investor Exit List'!$C:$C,Sales!$C206),(SUMIFS(Investors!$M:$M,Investors!$E:$E,Sales!$C206,Investors!$O:$O,FALSE)+SUMIFS(Investors!$S:$S,Investors!$E:$E,Sales!$C206,Investors!$O:$O,FALSE))*$F206)</f>
        <v/>
      </c>
      <c r="S206" s="10">
        <f>IF(T206=FALSE,Q206-R206,+V206)</f>
        <v/>
      </c>
      <c r="T206" s="3">
        <f>IF(SUMIFS('Cashflow Projection'!$E$119:$E$151,'Cashflow Projection'!$D$119:$D$151,Sales!C206)&lt;&gt;0,TRUE,FALSE)</f>
        <v/>
      </c>
      <c r="U206" s="4" t="n">
        <v>45747</v>
      </c>
      <c r="V206" s="10" t="n">
        <v>201845.5294520545</v>
      </c>
      <c r="W206" s="11">
        <f>IF(SUMIFS('Cashflow Projection'!$E$119:$E$151,'Cashflow Projection'!$D$119:$D$151,Sales!C206)=1,SUMIFS('Cashflow Projection'!$C$119:$C$151,'Cashflow Projection'!$D$119:$D$151,Sales!C206),+Sales!H206)</f>
        <v/>
      </c>
      <c r="X206" s="11">
        <f>IF(MOD(MONTH(W206), 2) &lt;&gt; 0, EOMONTH(W206, 2), EOMONTH(W206, 1))</f>
        <v/>
      </c>
      <c r="Y206" s="11">
        <f>EOMONTH(X206,1)</f>
        <v/>
      </c>
      <c r="Z206" t="b">
        <v>0</v>
      </c>
    </row>
    <row r="207">
      <c r="A207" s="3" t="inlineStr">
        <is>
          <t>Heron Fields</t>
        </is>
      </c>
      <c r="B207" s="3" t="inlineStr">
        <is>
          <t>B</t>
        </is>
      </c>
      <c r="C207" s="3" t="inlineStr">
        <is>
          <t>HFB307</t>
        </is>
      </c>
      <c r="D207" s="3" t="b">
        <v>1</v>
      </c>
      <c r="E207" s="3" t="b">
        <v>1</v>
      </c>
      <c r="F207" s="3">
        <f>IF(OR(Z207=TRUE,SUMIFS('Cashflow Projection'!$E$119:$E$151,'Cashflow Projection'!$D$119:$D$151,Sales!C207)=1),0,SUMIFS('Cashflow Projection'!$C$7:$C$23,'Cashflow Projection'!$B$7:$B$23,Sales!B207,'Cashflow Projection'!$A$7:$A$23,Sales!A207))</f>
        <v/>
      </c>
      <c r="G207" s="4" t="n">
        <v>45054</v>
      </c>
      <c r="H207" s="4" t="n">
        <v>45688</v>
      </c>
      <c r="I207" s="3" t="n">
        <v>1399900</v>
      </c>
      <c r="J207" s="3" t="n">
        <v>182595.6521739131</v>
      </c>
      <c r="K207" s="3" t="n">
        <v>1217304.347826087</v>
      </c>
      <c r="L207" s="3" t="n">
        <v>18502.08</v>
      </c>
      <c r="M207" s="3" t="n">
        <v>1789</v>
      </c>
      <c r="N207" s="3" t="n">
        <v>6999.5</v>
      </c>
      <c r="O207" s="3" t="n">
        <v>69995</v>
      </c>
      <c r="P207" s="3" t="n">
        <v>19224.37</v>
      </c>
      <c r="Q207" s="9">
        <f>K207-SUM(L207:P207)</f>
        <v/>
      </c>
      <c r="R207" s="10">
        <f>IF($F207=1,((SUMIFS(Investors!$M:$M,Investors!$E:$E,Sales!$C207,Investors!$O:$O,FALSE)+SUMIFS(Investors!$S:$S,Investors!$E:$E,Sales!$C207,Investors!$O:$O,FALSE))*$F207)-SUMIFS('Investor Exit List'!$Q:$Q,'Investor Exit List'!$Y:$Y,1,'Investor Exit List'!$Z:$Z,"Release",'Investor Exit List'!$C:$C,Sales!$C207),(SUMIFS(Investors!$M:$M,Investors!$E:$E,Sales!$C207,Investors!$O:$O,FALSE)+SUMIFS(Investors!$S:$S,Investors!$E:$E,Sales!$C207,Investors!$O:$O,FALSE))*$F207)</f>
        <v/>
      </c>
      <c r="S207" s="10">
        <f>IF(T207=FALSE,Q207-R207,+V207)</f>
        <v/>
      </c>
      <c r="T207" s="3">
        <f>IF(SUMIFS('Cashflow Projection'!$E$119:$E$151,'Cashflow Projection'!$D$119:$D$151,Sales!C207)&lt;&gt;0,TRUE,FALSE)</f>
        <v/>
      </c>
      <c r="U207" s="4" t="n">
        <v>45747</v>
      </c>
      <c r="V207" s="10" t="n">
        <v>810420.1869863011</v>
      </c>
      <c r="W207" s="11">
        <f>IF(SUMIFS('Cashflow Projection'!$E$119:$E$151,'Cashflow Projection'!$D$119:$D$151,Sales!C207)=1,SUMIFS('Cashflow Projection'!$C$119:$C$151,'Cashflow Projection'!$D$119:$D$151,Sales!C207),+Sales!H207)</f>
        <v/>
      </c>
      <c r="X207" s="11">
        <f>IF(MOD(MONTH(W207), 2) &lt;&gt; 0, EOMONTH(W207, 2), EOMONTH(W207, 1))</f>
        <v/>
      </c>
      <c r="Y207" s="11">
        <f>EOMONTH(X207,1)</f>
        <v/>
      </c>
      <c r="Z207" t="b">
        <v>0</v>
      </c>
    </row>
    <row r="208">
      <c r="A208" s="3" t="inlineStr">
        <is>
          <t>Heron Fields</t>
        </is>
      </c>
      <c r="B208" s="3" t="inlineStr">
        <is>
          <t>B</t>
        </is>
      </c>
      <c r="C208" s="3" t="inlineStr">
        <is>
          <t>HFB110</t>
        </is>
      </c>
      <c r="D208" s="3" t="b">
        <v>1</v>
      </c>
      <c r="E208" s="3" t="b">
        <v>1</v>
      </c>
      <c r="F208" s="3">
        <f>IF(OR(Z208=TRUE,SUMIFS('Cashflow Projection'!$E$119:$E$151,'Cashflow Projection'!$D$119:$D$151,Sales!C208)=1),0,SUMIFS('Cashflow Projection'!$C$7:$C$23,'Cashflow Projection'!$B$7:$B$23,Sales!B208,'Cashflow Projection'!$A$7:$A$23,Sales!A208))</f>
        <v/>
      </c>
      <c r="G208" s="4" t="n">
        <v>45019</v>
      </c>
      <c r="H208" s="4" t="n">
        <v>45688</v>
      </c>
      <c r="I208" s="3" t="n">
        <v>1549900</v>
      </c>
      <c r="J208" s="3" t="n">
        <v>202160.8695652174</v>
      </c>
      <c r="K208" s="3" t="n">
        <v>1347739.130434783</v>
      </c>
      <c r="L208" s="3" t="n">
        <v>18502.08</v>
      </c>
      <c r="M208" s="3" t="n">
        <v>1789</v>
      </c>
      <c r="N208" s="3" t="n">
        <v>7749.5</v>
      </c>
      <c r="O208" s="3" t="n">
        <v>77495</v>
      </c>
      <c r="P208" s="3" t="n">
        <v>19224.37</v>
      </c>
      <c r="Q208" s="9">
        <f>K208-SUM(L208:P208)</f>
        <v/>
      </c>
      <c r="R208" s="10">
        <f>IF($F208=1,((SUMIFS(Investors!$M:$M,Investors!$E:$E,Sales!$C208,Investors!$O:$O,FALSE)+SUMIFS(Investors!$S:$S,Investors!$E:$E,Sales!$C208,Investors!$O:$O,FALSE))*$F208)-SUMIFS('Investor Exit List'!$Q:$Q,'Investor Exit List'!$Y:$Y,1,'Investor Exit List'!$Z:$Z,"Release",'Investor Exit List'!$C:$C,Sales!$C208),(SUMIFS(Investors!$M:$M,Investors!$E:$E,Sales!$C208,Investors!$O:$O,FALSE)+SUMIFS(Investors!$S:$S,Investors!$E:$E,Sales!$C208,Investors!$O:$O,FALSE))*$F208)</f>
        <v/>
      </c>
      <c r="S208" s="10">
        <f>IF(T208=FALSE,Q208-R208,+V208)</f>
        <v/>
      </c>
      <c r="T208" s="3">
        <f>IF(SUMIFS('Cashflow Projection'!$E$119:$E$151,'Cashflow Projection'!$D$119:$D$151,Sales!C208)&lt;&gt;0,TRUE,FALSE)</f>
        <v/>
      </c>
      <c r="U208" s="4" t="n">
        <v>45747</v>
      </c>
      <c r="V208" s="10" t="n">
        <v>213844.8445205477</v>
      </c>
      <c r="W208" s="11">
        <f>IF(SUMIFS('Cashflow Projection'!$E$119:$E$151,'Cashflow Projection'!$D$119:$D$151,Sales!C208)=1,SUMIFS('Cashflow Projection'!$C$119:$C$151,'Cashflow Projection'!$D$119:$D$151,Sales!C208),+Sales!H208)</f>
        <v/>
      </c>
      <c r="X208" s="11">
        <f>IF(MOD(MONTH(W208), 2) &lt;&gt; 0, EOMONTH(W208, 2), EOMONTH(W208, 1))</f>
        <v/>
      </c>
      <c r="Y208" s="11">
        <f>EOMONTH(X208,1)</f>
        <v/>
      </c>
      <c r="Z208" t="b">
        <v>0</v>
      </c>
    </row>
    <row r="209">
      <c r="A209" s="3" t="inlineStr">
        <is>
          <t>Heron View</t>
        </is>
      </c>
      <c r="B209" s="3" t="inlineStr">
        <is>
          <t>D</t>
        </is>
      </c>
      <c r="C209" s="3" t="inlineStr">
        <is>
          <t>HVD204</t>
        </is>
      </c>
      <c r="D209" s="3" t="b">
        <v>1</v>
      </c>
      <c r="E209" s="3" t="b">
        <v>1</v>
      </c>
      <c r="F209" s="3">
        <f>IF(OR(Z209=TRUE,SUMIFS('Cashflow Projection'!$E$119:$E$151,'Cashflow Projection'!$D$119:$D$151,Sales!C209)=1),0,SUMIFS('Cashflow Projection'!$C$7:$C$23,'Cashflow Projection'!$B$7:$B$23,Sales!B209,'Cashflow Projection'!$A$7:$A$23,Sales!A209))</f>
        <v/>
      </c>
      <c r="G209" s="4" t="n">
        <v>45330</v>
      </c>
      <c r="H209" s="4" t="n">
        <v>45688</v>
      </c>
      <c r="I209" s="3" t="n">
        <v>1589900</v>
      </c>
      <c r="J209" s="3" t="n">
        <v>207378.2608695652</v>
      </c>
      <c r="K209" s="3" t="n">
        <v>1382521.739130435</v>
      </c>
      <c r="L209" s="3" t="n">
        <v>18502.08</v>
      </c>
      <c r="M209" s="3" t="n">
        <v>1789</v>
      </c>
      <c r="N209" s="3" t="n">
        <v>7949.5</v>
      </c>
      <c r="O209" s="3" t="n">
        <v>79495</v>
      </c>
      <c r="P209" s="3" t="n">
        <v>19224.37</v>
      </c>
      <c r="Q209" s="9">
        <f>K209-SUM(L209:P209)</f>
        <v/>
      </c>
      <c r="R209" s="10">
        <f>IF($F209=1,((SUMIFS(Investors!$M:$M,Investors!$E:$E,Sales!$C209,Investors!$O:$O,FALSE)+SUMIFS(Investors!$S:$S,Investors!$E:$E,Sales!$C209,Investors!$O:$O,FALSE))*$F209)-SUMIFS('Investor Exit List'!$Q:$Q,'Investor Exit List'!$Y:$Y,1,'Investor Exit List'!$Z:$Z,"Release",'Investor Exit List'!$C:$C,Sales!$C209),(SUMIFS(Investors!$M:$M,Investors!$E:$E,Sales!$C209,Investors!$O:$O,FALSE)+SUMIFS(Investors!$S:$S,Investors!$E:$E,Sales!$C209,Investors!$O:$O,FALSE))*$F209)</f>
        <v/>
      </c>
      <c r="S209" s="10">
        <f>IF(T209=FALSE,Q209-R209,+V209)</f>
        <v/>
      </c>
      <c r="T209" s="3">
        <f>IF(SUMIFS('Cashflow Projection'!$E$119:$E$151,'Cashflow Projection'!$D$119:$D$151,Sales!C209)&lt;&gt;0,TRUE,FALSE)</f>
        <v/>
      </c>
      <c r="U209" s="4" t="n">
        <v>45747</v>
      </c>
      <c r="V209" s="10" t="n">
        <v>173085.7106034243</v>
      </c>
      <c r="W209" s="11">
        <f>IF(SUMIFS('Cashflow Projection'!$E$119:$E$151,'Cashflow Projection'!$D$119:$D$151,Sales!C209)=1,SUMIFS('Cashflow Projection'!$C$119:$C$151,'Cashflow Projection'!$D$119:$D$151,Sales!C209),+Sales!H209)</f>
        <v/>
      </c>
      <c r="X209" s="11">
        <f>IF(MOD(MONTH(W209), 2) &lt;&gt; 0, EOMONTH(W209, 2), EOMONTH(W209, 1))</f>
        <v/>
      </c>
      <c r="Y209" s="11">
        <f>EOMONTH(X209,1)</f>
        <v/>
      </c>
      <c r="Z209" t="b">
        <v>0</v>
      </c>
    </row>
    <row r="210">
      <c r="A210" s="3" t="inlineStr">
        <is>
          <t>Heron View</t>
        </is>
      </c>
      <c r="B210" s="3" t="inlineStr">
        <is>
          <t>N</t>
        </is>
      </c>
      <c r="C210" s="3" t="inlineStr">
        <is>
          <t>HVN202</t>
        </is>
      </c>
      <c r="D210" s="3" t="b">
        <v>1</v>
      </c>
      <c r="E210" s="3" t="b">
        <v>1</v>
      </c>
      <c r="F210" s="3">
        <f>IF(OR(Z210=TRUE,SUMIFS('Cashflow Projection'!$E$119:$E$151,'Cashflow Projection'!$D$119:$D$151,Sales!C210)=1),0,SUMIFS('Cashflow Projection'!$C$7:$C$23,'Cashflow Projection'!$B$7:$B$23,Sales!B210,'Cashflow Projection'!$A$7:$A$23,Sales!A210))</f>
        <v/>
      </c>
      <c r="G210" s="4" t="n">
        <v>45327</v>
      </c>
      <c r="H210" s="4" t="n">
        <v>45688</v>
      </c>
      <c r="I210" s="3" t="n">
        <v>1469900</v>
      </c>
      <c r="J210" s="3" t="n">
        <v>191726.0869565217</v>
      </c>
      <c r="K210" s="3" t="n">
        <v>1278173.913043478</v>
      </c>
      <c r="L210" s="3" t="n">
        <v>18502.08</v>
      </c>
      <c r="M210" s="3" t="n">
        <v>1789</v>
      </c>
      <c r="N210" s="3" t="n">
        <v>7349.5</v>
      </c>
      <c r="O210" s="3" t="n">
        <v>73495</v>
      </c>
      <c r="P210" s="3" t="n">
        <v>19224.37</v>
      </c>
      <c r="Q210" s="9">
        <f>K210-SUM(L210:P210)</f>
        <v/>
      </c>
      <c r="R210" s="10">
        <f>IF($F210=1,((SUMIFS(Investors!$M:$M,Investors!$E:$E,Sales!$C210,Investors!$O:$O,FALSE)+SUMIFS(Investors!$S:$S,Investors!$E:$E,Sales!$C210,Investors!$O:$O,FALSE))*$F210)-SUMIFS('Investor Exit List'!$Q:$Q,'Investor Exit List'!$Y:$Y,1,'Investor Exit List'!$Z:$Z,"Release",'Investor Exit List'!$C:$C,Sales!$C210),(SUMIFS(Investors!$M:$M,Investors!$E:$E,Sales!$C210,Investors!$O:$O,FALSE)+SUMIFS(Investors!$S:$S,Investors!$E:$E,Sales!$C210,Investors!$O:$O,FALSE))*$F210)</f>
        <v/>
      </c>
      <c r="S210" s="10">
        <f>IF(T210=FALSE,Q210-R210,+V210)</f>
        <v/>
      </c>
      <c r="T210" s="3">
        <f>IF(SUMIFS('Cashflow Projection'!$E$119:$E$151,'Cashflow Projection'!$D$119:$D$151,Sales!C210)&lt;&gt;0,TRUE,FALSE)</f>
        <v/>
      </c>
      <c r="U210" s="4" t="n">
        <v>45747</v>
      </c>
      <c r="V210" s="10" t="n">
        <v>66019.50205479423</v>
      </c>
      <c r="W210" s="11">
        <f>IF(SUMIFS('Cashflow Projection'!$E$119:$E$151,'Cashflow Projection'!$D$119:$D$151,Sales!C210)=1,SUMIFS('Cashflow Projection'!$C$119:$C$151,'Cashflow Projection'!$D$119:$D$151,Sales!C210),+Sales!H210)</f>
        <v/>
      </c>
      <c r="X210" s="11">
        <f>IF(MOD(MONTH(W210), 2) &lt;&gt; 0, EOMONTH(W210, 2), EOMONTH(W210, 1))</f>
        <v/>
      </c>
      <c r="Y210" s="11">
        <f>EOMONTH(X210,1)</f>
        <v/>
      </c>
      <c r="Z210" t="b">
        <v>0</v>
      </c>
    </row>
    <row r="211">
      <c r="A211" s="3" t="inlineStr">
        <is>
          <t>Heron View</t>
        </is>
      </c>
      <c r="B211" s="3" t="inlineStr">
        <is>
          <t>J</t>
        </is>
      </c>
      <c r="C211" s="3" t="inlineStr">
        <is>
          <t>HVJ401</t>
        </is>
      </c>
      <c r="D211" s="3" t="b">
        <v>0</v>
      </c>
      <c r="E211" s="3" t="b">
        <v>0</v>
      </c>
      <c r="F211" s="3">
        <f>IF(OR(Z211=TRUE,SUMIFS('Cashflow Projection'!$E$119:$E$151,'Cashflow Projection'!$D$119:$D$151,Sales!C211)=1),0,SUMIFS('Cashflow Projection'!$C$7:$C$23,'Cashflow Projection'!$B$7:$B$23,Sales!B211,'Cashflow Projection'!$A$7:$A$23,Sales!A211))</f>
        <v/>
      </c>
      <c r="G211" s="4" t="n">
        <v>45552</v>
      </c>
      <c r="H211" s="4" t="n">
        <v>45552</v>
      </c>
      <c r="I211" s="3" t="n">
        <v>1699900</v>
      </c>
      <c r="J211" s="3" t="n">
        <v>221726.0869565217</v>
      </c>
      <c r="K211" s="3" t="n">
        <v>1478173.913043478</v>
      </c>
      <c r="L211" s="3" t="n">
        <v>18502.08</v>
      </c>
      <c r="M211" s="3" t="n">
        <v>1789</v>
      </c>
      <c r="N211" s="3" t="n">
        <v>8499.5</v>
      </c>
      <c r="O211" s="3" t="n">
        <v>84995</v>
      </c>
      <c r="P211" s="3" t="n">
        <v>19224.37</v>
      </c>
      <c r="Q211" s="9">
        <f>K211-SUM(L211:P211)</f>
        <v/>
      </c>
      <c r="R211" s="10">
        <f>IF($F211=1,((SUMIFS(Investors!$M:$M,Investors!$E:$E,Sales!$C211,Investors!$O:$O,FALSE)+SUMIFS(Investors!$S:$S,Investors!$E:$E,Sales!$C211,Investors!$O:$O,FALSE))*$F211)-SUMIFS('Investor Exit List'!$Q:$Q,'Investor Exit List'!$Y:$Y,1,'Investor Exit List'!$Z:$Z,"Release",'Investor Exit List'!$C:$C,Sales!$C211),(SUMIFS(Investors!$M:$M,Investors!$E:$E,Sales!$C211,Investors!$O:$O,FALSE)+SUMIFS(Investors!$S:$S,Investors!$E:$E,Sales!$C211,Investors!$O:$O,FALSE))*$F211)</f>
        <v/>
      </c>
      <c r="S211" s="10">
        <f>IF(T211=FALSE,Q211-R211,+V211)</f>
        <v/>
      </c>
      <c r="T211" s="3">
        <f>IF(SUMIFS('Cashflow Projection'!$E$119:$E$151,'Cashflow Projection'!$D$119:$D$151,Sales!C211)&lt;&gt;0,TRUE,FALSE)</f>
        <v/>
      </c>
      <c r="U211" s="4" t="n">
        <v>45626</v>
      </c>
      <c r="V211" s="10" t="n">
        <v>191027.0363013698</v>
      </c>
      <c r="W211" s="11">
        <f>IF(SUMIFS('Cashflow Projection'!$E$119:$E$151,'Cashflow Projection'!$D$119:$D$151,Sales!C211)=1,SUMIFS('Cashflow Projection'!$C$119:$C$151,'Cashflow Projection'!$D$119:$D$151,Sales!C211),+Sales!H211)</f>
        <v/>
      </c>
      <c r="X211" s="11">
        <f>IF(MOD(MONTH(W211), 2) &lt;&gt; 0, EOMONTH(W211, 2), EOMONTH(W211, 1))</f>
        <v/>
      </c>
      <c r="Y211" s="11">
        <f>EOMONTH(X211,1)</f>
        <v/>
      </c>
      <c r="Z211" t="b">
        <v>0</v>
      </c>
    </row>
    <row r="212">
      <c r="A212" s="3" t="inlineStr">
        <is>
          <t>Heron View</t>
        </is>
      </c>
      <c r="B212" s="3" t="inlineStr">
        <is>
          <t>P</t>
        </is>
      </c>
      <c r="C212" s="3" t="inlineStr">
        <is>
          <t>HVP203</t>
        </is>
      </c>
      <c r="D212" s="3" t="b">
        <v>0</v>
      </c>
      <c r="E212" s="3" t="b">
        <v>0</v>
      </c>
      <c r="F212" s="3">
        <f>IF(OR(Z212=TRUE,SUMIFS('Cashflow Projection'!$E$119:$E$151,'Cashflow Projection'!$D$119:$D$151,Sales!C212)=1),0,SUMIFS('Cashflow Projection'!$C$7:$C$23,'Cashflow Projection'!$B$7:$B$23,Sales!B212,'Cashflow Projection'!$A$7:$A$23,Sales!A212))</f>
        <v/>
      </c>
      <c r="G212" s="4" t="n">
        <v>45456</v>
      </c>
      <c r="H212" s="4" t="n">
        <v>45646</v>
      </c>
      <c r="I212" s="3" t="n">
        <v>1729900</v>
      </c>
      <c r="J212" s="3" t="n">
        <v>225639.1304347826</v>
      </c>
      <c r="K212" s="3" t="n">
        <v>1504260.869565218</v>
      </c>
      <c r="L212" s="3" t="n">
        <v>18502.08</v>
      </c>
      <c r="M212" s="3" t="n">
        <v>1789</v>
      </c>
      <c r="N212" s="3" t="n">
        <v>8649.5</v>
      </c>
      <c r="O212" s="3" t="n">
        <v>86495</v>
      </c>
      <c r="P212" s="3" t="n">
        <v>19224.37</v>
      </c>
      <c r="Q212" s="9">
        <f>K212-SUM(L212:P212)</f>
        <v/>
      </c>
      <c r="R212" s="10">
        <f>IF($F212=1,((SUMIFS(Investors!$M:$M,Investors!$E:$E,Sales!$C212,Investors!$O:$O,FALSE)+SUMIFS(Investors!$S:$S,Investors!$E:$E,Sales!$C212,Investors!$O:$O,FALSE))*$F212)-SUMIFS('Investor Exit List'!$Q:$Q,'Investor Exit List'!$Y:$Y,1,'Investor Exit List'!$Z:$Z,"Release",'Investor Exit List'!$C:$C,Sales!$C212),(SUMIFS(Investors!$M:$M,Investors!$E:$E,Sales!$C212,Investors!$O:$O,FALSE)+SUMIFS(Investors!$S:$S,Investors!$E:$E,Sales!$C212,Investors!$O:$O,FALSE))*$F212)</f>
        <v/>
      </c>
      <c r="S212" s="10">
        <f>IF(T212=FALSE,Q212-R212,+V212)</f>
        <v/>
      </c>
      <c r="T212" s="3">
        <f>IF(SUMIFS('Cashflow Projection'!$E$119:$E$151,'Cashflow Projection'!$D$119:$D$151,Sales!C212)&lt;&gt;0,TRUE,FALSE)</f>
        <v/>
      </c>
      <c r="U212" s="4" t="n">
        <v>45688</v>
      </c>
      <c r="V212" s="10" t="n">
        <v>146841.4198630136</v>
      </c>
      <c r="W212" s="11">
        <f>IF(SUMIFS('Cashflow Projection'!$E$119:$E$151,'Cashflow Projection'!$D$119:$D$151,Sales!C212)=1,SUMIFS('Cashflow Projection'!$C$119:$C$151,'Cashflow Projection'!$D$119:$D$151,Sales!C212),+Sales!H212)</f>
        <v/>
      </c>
      <c r="X212" s="11">
        <f>IF(MOD(MONTH(W212), 2) &lt;&gt; 0, EOMONTH(W212, 2), EOMONTH(W212, 1))</f>
        <v/>
      </c>
      <c r="Y212" s="11">
        <f>EOMONTH(X212,1)</f>
        <v/>
      </c>
      <c r="Z212" t="b">
        <v>0</v>
      </c>
    </row>
    <row r="213">
      <c r="A213" s="3" t="inlineStr">
        <is>
          <t>Heron View</t>
        </is>
      </c>
      <c r="B213" s="3" t="inlineStr">
        <is>
          <t>C</t>
        </is>
      </c>
      <c r="C213" s="3" t="inlineStr">
        <is>
          <t>HVC305</t>
        </is>
      </c>
      <c r="D213" s="3" t="b">
        <v>0</v>
      </c>
      <c r="E213" s="3" t="b">
        <v>0</v>
      </c>
      <c r="F213" s="3">
        <f>IF(OR(Z213=TRUE,SUMIFS('Cashflow Projection'!$E$119:$E$151,'Cashflow Projection'!$D$119:$D$151,Sales!C213)=1),0,SUMIFS('Cashflow Projection'!$C$7:$C$23,'Cashflow Projection'!$B$7:$B$23,Sales!B213,'Cashflow Projection'!$A$7:$A$23,Sales!A213))</f>
        <v/>
      </c>
      <c r="G213" s="4" t="n">
        <v>45471</v>
      </c>
      <c r="H213" s="4" t="n">
        <v>45646</v>
      </c>
      <c r="I213" s="3" t="n">
        <v>1509900</v>
      </c>
      <c r="J213" s="3" t="n">
        <v>196943.4782608696</v>
      </c>
      <c r="K213" s="3" t="n">
        <v>1312956.521739131</v>
      </c>
      <c r="L213" s="3" t="n">
        <v>18502.08</v>
      </c>
      <c r="M213" s="3" t="n">
        <v>1789</v>
      </c>
      <c r="N213" s="3" t="n">
        <v>7549.5</v>
      </c>
      <c r="O213" s="3" t="n">
        <v>75495</v>
      </c>
      <c r="P213" s="3" t="n">
        <v>19224.37</v>
      </c>
      <c r="Q213" s="9">
        <f>K213-SUM(L213:P213)</f>
        <v/>
      </c>
      <c r="R213" s="10">
        <f>IF($F213=1,((SUMIFS(Investors!$M:$M,Investors!$E:$E,Sales!$C213,Investors!$O:$O,FALSE)+SUMIFS(Investors!$S:$S,Investors!$E:$E,Sales!$C213,Investors!$O:$O,FALSE))*$F213)-SUMIFS('Investor Exit List'!$Q:$Q,'Investor Exit List'!$Y:$Y,1,'Investor Exit List'!$Z:$Z,"Release",'Investor Exit List'!$C:$C,Sales!$C213),(SUMIFS(Investors!$M:$M,Investors!$E:$E,Sales!$C213,Investors!$O:$O,FALSE)+SUMIFS(Investors!$S:$S,Investors!$E:$E,Sales!$C213,Investors!$O:$O,FALSE))*$F213)</f>
        <v/>
      </c>
      <c r="S213" s="10">
        <f>IF(T213=FALSE,Q213-R213,+V213)</f>
        <v/>
      </c>
      <c r="T213" s="3">
        <f>IF(SUMIFS('Cashflow Projection'!$E$119:$E$151,'Cashflow Projection'!$D$119:$D$151,Sales!C213)&lt;&gt;0,TRUE,FALSE)</f>
        <v/>
      </c>
      <c r="U213" s="4" t="n">
        <v>45688</v>
      </c>
      <c r="V213" s="10" t="n">
        <v>1003.756094794255</v>
      </c>
      <c r="W213" s="11">
        <f>IF(SUMIFS('Cashflow Projection'!$E$119:$E$151,'Cashflow Projection'!$D$119:$D$151,Sales!C213)=1,SUMIFS('Cashflow Projection'!$C$119:$C$151,'Cashflow Projection'!$D$119:$D$151,Sales!C213),+Sales!H213)</f>
        <v/>
      </c>
      <c r="X213" s="11">
        <f>IF(MOD(MONTH(W213), 2) &lt;&gt; 0, EOMONTH(W213, 2), EOMONTH(W213, 1))</f>
        <v/>
      </c>
      <c r="Y213" s="11">
        <f>EOMONTH(X213,1)</f>
        <v/>
      </c>
      <c r="Z213" t="b">
        <v>0</v>
      </c>
    </row>
    <row r="214">
      <c r="A214" s="3" t="inlineStr">
        <is>
          <t>Heron View</t>
        </is>
      </c>
      <c r="B214" s="3" t="inlineStr">
        <is>
          <t>F</t>
        </is>
      </c>
      <c r="C214" s="3" t="inlineStr">
        <is>
          <t>HVF101</t>
        </is>
      </c>
      <c r="D214" s="3" t="b">
        <v>0</v>
      </c>
      <c r="E214" s="3" t="b">
        <v>0</v>
      </c>
      <c r="F214" s="3">
        <f>IF(OR(Z214=TRUE,SUMIFS('Cashflow Projection'!$E$119:$E$151,'Cashflow Projection'!$D$119:$D$151,Sales!C214)=1),0,SUMIFS('Cashflow Projection'!$C$7:$C$23,'Cashflow Projection'!$B$7:$B$23,Sales!B214,'Cashflow Projection'!$A$7:$A$23,Sales!A214))</f>
        <v/>
      </c>
      <c r="G214" s="4" t="n">
        <v>45517</v>
      </c>
      <c r="H214" s="4" t="n">
        <v>45722</v>
      </c>
      <c r="I214" s="3" t="n">
        <v>1619900</v>
      </c>
      <c r="J214" s="3" t="n">
        <v>211291.3043478261</v>
      </c>
      <c r="K214" s="3" t="n">
        <v>1408608.695652174</v>
      </c>
      <c r="L214" s="3" t="n">
        <v>18502.08</v>
      </c>
      <c r="M214" s="3" t="n">
        <v>1789</v>
      </c>
      <c r="N214" s="3" t="n">
        <v>8099.5</v>
      </c>
      <c r="O214" s="3" t="n">
        <v>80995</v>
      </c>
      <c r="P214" s="3" t="n">
        <v>19224.37</v>
      </c>
      <c r="Q214" s="9">
        <f>K214-SUM(L214:P214)</f>
        <v/>
      </c>
      <c r="R214" s="10">
        <f>IF($F214=1,((SUMIFS(Investors!$M:$M,Investors!$E:$E,Sales!$C214,Investors!$O:$O,FALSE)+SUMIFS(Investors!$S:$S,Investors!$E:$E,Sales!$C214,Investors!$O:$O,FALSE))*$F214)-SUMIFS('Investor Exit List'!$Q:$Q,'Investor Exit List'!$Y:$Y,1,'Investor Exit List'!$Z:$Z,"Release",'Investor Exit List'!$C:$C,Sales!$C214),(SUMIFS(Investors!$M:$M,Investors!$E:$E,Sales!$C214,Investors!$O:$O,FALSE)+SUMIFS(Investors!$S:$S,Investors!$E:$E,Sales!$C214,Investors!$O:$O,FALSE))*$F214)</f>
        <v/>
      </c>
      <c r="S214" s="10">
        <f>IF(T214=FALSE,Q214-R214,+V214)</f>
        <v/>
      </c>
      <c r="T214" s="3">
        <f>IF(SUMIFS('Cashflow Projection'!$E$119:$E$151,'Cashflow Projection'!$D$119:$D$151,Sales!C214)&lt;&gt;0,TRUE,FALSE)</f>
        <v/>
      </c>
      <c r="U214" s="4" t="n">
        <v>45808</v>
      </c>
      <c r="V214" s="10" t="n">
        <v>73543.48670465732</v>
      </c>
      <c r="W214" s="11">
        <f>IF(SUMIFS('Cashflow Projection'!$E$119:$E$151,'Cashflow Projection'!$D$119:$D$151,Sales!C214)=1,SUMIFS('Cashflow Projection'!$C$119:$C$151,'Cashflow Projection'!$D$119:$D$151,Sales!C214),+Sales!H214)</f>
        <v/>
      </c>
      <c r="X214" s="11">
        <f>IF(MOD(MONTH(W214), 2) &lt;&gt; 0, EOMONTH(W214, 2), EOMONTH(W214, 1))</f>
        <v/>
      </c>
      <c r="Y214" s="11">
        <f>EOMONTH(X214,1)</f>
        <v/>
      </c>
      <c r="Z214" t="b">
        <v>0</v>
      </c>
    </row>
    <row r="215">
      <c r="A215" s="3" t="inlineStr">
        <is>
          <t>Heron View</t>
        </is>
      </c>
      <c r="B215" s="3" t="inlineStr">
        <is>
          <t>F</t>
        </is>
      </c>
      <c r="C215" s="3" t="inlineStr">
        <is>
          <t>HVF202</t>
        </is>
      </c>
      <c r="D215" s="3" t="b">
        <v>0</v>
      </c>
      <c r="E215" s="3" t="b">
        <v>0</v>
      </c>
      <c r="F215" s="3">
        <f>IF(OR(Z215=TRUE,SUMIFS('Cashflow Projection'!$E$119:$E$151,'Cashflow Projection'!$D$119:$D$151,Sales!C215)=1),0,SUMIFS('Cashflow Projection'!$C$7:$C$23,'Cashflow Projection'!$B$7:$B$23,Sales!B215,'Cashflow Projection'!$A$7:$A$23,Sales!A215))</f>
        <v/>
      </c>
      <c r="G215" s="4" t="n">
        <v>45517</v>
      </c>
      <c r="H215" s="4" t="n">
        <v>45722</v>
      </c>
      <c r="I215" s="3" t="n">
        <v>1599900</v>
      </c>
      <c r="J215" s="3" t="n">
        <v>208682.6086956522</v>
      </c>
      <c r="K215" s="3" t="n">
        <v>1391217.391304348</v>
      </c>
      <c r="L215" s="3" t="n">
        <v>18502.08</v>
      </c>
      <c r="M215" s="3" t="n">
        <v>1789</v>
      </c>
      <c r="N215" s="3" t="n">
        <v>7999.5</v>
      </c>
      <c r="O215" s="3" t="n">
        <v>79995</v>
      </c>
      <c r="P215" s="3" t="n">
        <v>19224.37</v>
      </c>
      <c r="Q215" s="9">
        <f>K215-SUM(L215:P215)</f>
        <v/>
      </c>
      <c r="R215" s="10">
        <f>IF($F215=1,((SUMIFS(Investors!$M:$M,Investors!$E:$E,Sales!$C215,Investors!$O:$O,FALSE)+SUMIFS(Investors!$S:$S,Investors!$E:$E,Sales!$C215,Investors!$O:$O,FALSE))*$F215)-SUMIFS('Investor Exit List'!$Q:$Q,'Investor Exit List'!$Y:$Y,1,'Investor Exit List'!$Z:$Z,"Release",'Investor Exit List'!$C:$C,Sales!$C215),(SUMIFS(Investors!$M:$M,Investors!$E:$E,Sales!$C215,Investors!$O:$O,FALSE)+SUMIFS(Investors!$S:$S,Investors!$E:$E,Sales!$C215,Investors!$O:$O,FALSE))*$F215)</f>
        <v/>
      </c>
      <c r="S215" s="10">
        <f>IF(T215=FALSE,Q215-R215,+V215)</f>
        <v/>
      </c>
      <c r="T215" s="3">
        <f>IF(SUMIFS('Cashflow Projection'!$E$119:$E$151,'Cashflow Projection'!$D$119:$D$151,Sales!C215)&lt;&gt;0,TRUE,FALSE)</f>
        <v/>
      </c>
      <c r="U215" s="4" t="n">
        <v>45808</v>
      </c>
      <c r="V215" s="10" t="n">
        <v>151378.804887397</v>
      </c>
      <c r="W215" s="11">
        <f>IF(SUMIFS('Cashflow Projection'!$E$119:$E$151,'Cashflow Projection'!$D$119:$D$151,Sales!C215)=1,SUMIFS('Cashflow Projection'!$C$119:$C$151,'Cashflow Projection'!$D$119:$D$151,Sales!C215),+Sales!H215)</f>
        <v/>
      </c>
      <c r="X215" s="11">
        <f>IF(MOD(MONTH(W215), 2) &lt;&gt; 0, EOMONTH(W215, 2), EOMONTH(W215, 1))</f>
        <v/>
      </c>
      <c r="Y215" s="11">
        <f>EOMONTH(X215,1)</f>
        <v/>
      </c>
      <c r="Z215" t="b">
        <v>0</v>
      </c>
    </row>
    <row r="216">
      <c r="A216" s="3" t="inlineStr">
        <is>
          <t>Heron View</t>
        </is>
      </c>
      <c r="B216" s="3" t="inlineStr">
        <is>
          <t>C</t>
        </is>
      </c>
      <c r="C216" s="3" t="inlineStr">
        <is>
          <t>HVC303</t>
        </is>
      </c>
      <c r="D216" s="3" t="b">
        <v>1</v>
      </c>
      <c r="E216" s="3" t="b">
        <v>1</v>
      </c>
      <c r="F216" s="3">
        <f>IF(OR(Z216=TRUE,SUMIFS('Cashflow Projection'!$E$119:$E$151,'Cashflow Projection'!$D$119:$D$151,Sales!C216)=1),0,SUMIFS('Cashflow Projection'!$C$7:$C$23,'Cashflow Projection'!$B$7:$B$23,Sales!B216,'Cashflow Projection'!$A$7:$A$23,Sales!A216))</f>
        <v/>
      </c>
      <c r="G216" s="4" t="n">
        <v>45177</v>
      </c>
      <c r="H216" s="4" t="n">
        <v>45688</v>
      </c>
      <c r="I216" s="3" t="n">
        <v>1499900</v>
      </c>
      <c r="J216" s="3" t="n">
        <v>195639.1304347826</v>
      </c>
      <c r="K216" s="3" t="n">
        <v>1304260.869565218</v>
      </c>
      <c r="L216" s="3" t="n">
        <v>18502.08</v>
      </c>
      <c r="M216" s="3" t="n">
        <v>1789</v>
      </c>
      <c r="N216" s="3" t="n">
        <v>7499.5</v>
      </c>
      <c r="O216" s="3" t="n">
        <v>74995</v>
      </c>
      <c r="P216" s="3" t="n">
        <v>19224.37</v>
      </c>
      <c r="Q216" s="9">
        <f>K216-SUM(L216:P216)</f>
        <v/>
      </c>
      <c r="R216" s="10">
        <f>IF($F216=1,((SUMIFS(Investors!$M:$M,Investors!$E:$E,Sales!$C216,Investors!$O:$O,FALSE)+SUMIFS(Investors!$S:$S,Investors!$E:$E,Sales!$C216,Investors!$O:$O,FALSE))*$F216)-SUMIFS('Investor Exit List'!$Q:$Q,'Investor Exit List'!$Y:$Y,1,'Investor Exit List'!$Z:$Z,"Release",'Investor Exit List'!$C:$C,Sales!$C216),(SUMIFS(Investors!$M:$M,Investors!$E:$E,Sales!$C216,Investors!$O:$O,FALSE)+SUMIFS(Investors!$S:$S,Investors!$E:$E,Sales!$C216,Investors!$O:$O,FALSE))*$F216)</f>
        <v/>
      </c>
      <c r="S216" s="10">
        <f>IF(T216=FALSE,Q216-R216,+V216)</f>
        <v/>
      </c>
      <c r="T216" s="3">
        <f>IF(SUMIFS('Cashflow Projection'!$E$119:$E$151,'Cashflow Projection'!$D$119:$D$151,Sales!C216)&lt;&gt;0,TRUE,FALSE)</f>
        <v/>
      </c>
      <c r="U216" s="4" t="n">
        <v>45747</v>
      </c>
      <c r="V216" s="10" t="n">
        <v>164183.3933342465</v>
      </c>
      <c r="W216" s="11">
        <f>IF(SUMIFS('Cashflow Projection'!$E$119:$E$151,'Cashflow Projection'!$D$119:$D$151,Sales!C216)=1,SUMIFS('Cashflow Projection'!$C$119:$C$151,'Cashflow Projection'!$D$119:$D$151,Sales!C216),+Sales!H216)</f>
        <v/>
      </c>
      <c r="X216" s="11">
        <f>IF(MOD(MONTH(W216), 2) &lt;&gt; 0, EOMONTH(W216, 2), EOMONTH(W216, 1))</f>
        <v/>
      </c>
      <c r="Y216" s="11">
        <f>EOMONTH(X216,1)</f>
        <v/>
      </c>
      <c r="Z216" t="b">
        <v>0</v>
      </c>
    </row>
    <row r="217">
      <c r="A217" s="3" t="inlineStr">
        <is>
          <t>Heron View</t>
        </is>
      </c>
      <c r="B217" s="3" t="inlineStr">
        <is>
          <t>I</t>
        </is>
      </c>
      <c r="C217" s="3" t="inlineStr">
        <is>
          <t>HVI102</t>
        </is>
      </c>
      <c r="D217" s="3" t="b">
        <v>0</v>
      </c>
      <c r="E217" s="3" t="b">
        <v>0</v>
      </c>
      <c r="F217" s="3">
        <f>IF(OR(Z217=TRUE,SUMIFS('Cashflow Projection'!$E$119:$E$151,'Cashflow Projection'!$D$119:$D$151,Sales!C217)=1),0,SUMIFS('Cashflow Projection'!$C$7:$C$23,'Cashflow Projection'!$B$7:$B$23,Sales!B217,'Cashflow Projection'!$A$7:$A$23,Sales!A217))</f>
        <v/>
      </c>
      <c r="G217" s="4" t="n">
        <v>45491</v>
      </c>
      <c r="H217" s="4" t="n">
        <v>45596</v>
      </c>
      <c r="I217" s="3" t="n">
        <v>1649900</v>
      </c>
      <c r="J217" s="3" t="n">
        <v>215204.3478260869</v>
      </c>
      <c r="K217" s="3" t="n">
        <v>1434695.652173913</v>
      </c>
      <c r="L217" s="3" t="n">
        <v>18502.08</v>
      </c>
      <c r="M217" s="3" t="n">
        <v>1789</v>
      </c>
      <c r="N217" s="3" t="n">
        <v>8249.5</v>
      </c>
      <c r="O217" s="3" t="n">
        <v>82495</v>
      </c>
      <c r="P217" s="3" t="n">
        <v>19224.37</v>
      </c>
      <c r="Q217" s="9">
        <f>K217-SUM(L217:P217)</f>
        <v/>
      </c>
      <c r="R217" s="10">
        <f>IF($F217=1,((SUMIFS(Investors!$M:$M,Investors!$E:$E,Sales!$C217,Investors!$O:$O,FALSE)+SUMIFS(Investors!$S:$S,Investors!$E:$E,Sales!$C217,Investors!$O:$O,FALSE))*$F217)-SUMIFS('Investor Exit List'!$Q:$Q,'Investor Exit List'!$Y:$Y,1,'Investor Exit List'!$Z:$Z,"Release",'Investor Exit List'!$C:$C,Sales!$C217),(SUMIFS(Investors!$M:$M,Investors!$E:$E,Sales!$C217,Investors!$O:$O,FALSE)+SUMIFS(Investors!$S:$S,Investors!$E:$E,Sales!$C217,Investors!$O:$O,FALSE))*$F217)</f>
        <v/>
      </c>
      <c r="S217" s="10">
        <f>IF(T217=FALSE,Q217-R217,+V217)</f>
        <v/>
      </c>
      <c r="T217" s="3">
        <f>IF(SUMIFS('Cashflow Projection'!$E$119:$E$151,'Cashflow Projection'!$D$119:$D$151,Sales!C217)&lt;&gt;0,TRUE,FALSE)</f>
        <v/>
      </c>
      <c r="U217" s="4" t="n">
        <v>45626</v>
      </c>
      <c r="V217" s="10" t="n">
        <v>247785.5705479453</v>
      </c>
      <c r="W217" s="11">
        <f>IF(SUMIFS('Cashflow Projection'!$E$119:$E$151,'Cashflow Projection'!$D$119:$D$151,Sales!C217)=1,SUMIFS('Cashflow Projection'!$C$119:$C$151,'Cashflow Projection'!$D$119:$D$151,Sales!C217),+Sales!H217)</f>
        <v/>
      </c>
      <c r="X217" s="11">
        <f>IF(MOD(MONTH(W217), 2) &lt;&gt; 0, EOMONTH(W217, 2), EOMONTH(W217, 1))</f>
        <v/>
      </c>
      <c r="Y217" s="11">
        <f>EOMONTH(X217,1)</f>
        <v/>
      </c>
      <c r="Z217" t="b">
        <v>0</v>
      </c>
    </row>
    <row r="218">
      <c r="A218" s="3" t="inlineStr">
        <is>
          <t>Heron View</t>
        </is>
      </c>
      <c r="B218" s="3" t="inlineStr">
        <is>
          <t>K</t>
        </is>
      </c>
      <c r="C218" s="3" t="inlineStr">
        <is>
          <t>HVK103</t>
        </is>
      </c>
      <c r="D218" s="3" t="b">
        <v>0</v>
      </c>
      <c r="E218" s="3" t="b">
        <v>0</v>
      </c>
      <c r="F218" s="3">
        <f>IF(OR(Z218=TRUE,SUMIFS('Cashflow Projection'!$E$119:$E$151,'Cashflow Projection'!$D$119:$D$151,Sales!C218)=1),0,SUMIFS('Cashflow Projection'!$C$7:$C$23,'Cashflow Projection'!$B$7:$B$23,Sales!B218,'Cashflow Projection'!$A$7:$A$23,Sales!A218))</f>
        <v/>
      </c>
      <c r="G218" s="4" t="n">
        <v>45510</v>
      </c>
      <c r="H218" s="4" t="n">
        <v>45625</v>
      </c>
      <c r="I218" s="3" t="n">
        <v>1739900</v>
      </c>
      <c r="J218" s="3" t="n">
        <v>226943.4782608696</v>
      </c>
      <c r="K218" s="3" t="n">
        <v>1512956.521739131</v>
      </c>
      <c r="L218" s="3" t="n">
        <v>18502.08</v>
      </c>
      <c r="M218" s="3" t="n">
        <v>1789</v>
      </c>
      <c r="N218" s="3" t="n">
        <v>8699.5</v>
      </c>
      <c r="O218" s="3" t="n">
        <v>86995</v>
      </c>
      <c r="P218" s="3" t="n">
        <v>19224.37</v>
      </c>
      <c r="Q218" s="9">
        <f>K218-SUM(L218:P218)</f>
        <v/>
      </c>
      <c r="R218" s="10">
        <f>IF($F218=1,((SUMIFS(Investors!$M:$M,Investors!$E:$E,Sales!$C218,Investors!$O:$O,FALSE)+SUMIFS(Investors!$S:$S,Investors!$E:$E,Sales!$C218,Investors!$O:$O,FALSE))*$F218)-SUMIFS('Investor Exit List'!$Q:$Q,'Investor Exit List'!$Y:$Y,1,'Investor Exit List'!$Z:$Z,"Release",'Investor Exit List'!$C:$C,Sales!$C218),(SUMIFS(Investors!$M:$M,Investors!$E:$E,Sales!$C218,Investors!$O:$O,FALSE)+SUMIFS(Investors!$S:$S,Investors!$E:$E,Sales!$C218,Investors!$O:$O,FALSE))*$F218)</f>
        <v/>
      </c>
      <c r="S218" s="10">
        <f>IF(T218=FALSE,Q218-R218,+V218)</f>
        <v/>
      </c>
      <c r="T218" s="3">
        <f>IF(SUMIFS('Cashflow Projection'!$E$119:$E$151,'Cashflow Projection'!$D$119:$D$151,Sales!C218)&lt;&gt;0,TRUE,FALSE)</f>
        <v/>
      </c>
      <c r="U218" s="4" t="n">
        <v>45688</v>
      </c>
      <c r="V218" s="10" t="n">
        <v>251456.9733885615</v>
      </c>
      <c r="W218" s="11">
        <f>IF(SUMIFS('Cashflow Projection'!$E$119:$E$151,'Cashflow Projection'!$D$119:$D$151,Sales!C218)=1,SUMIFS('Cashflow Projection'!$C$119:$C$151,'Cashflow Projection'!$D$119:$D$151,Sales!C218),+Sales!H218)</f>
        <v/>
      </c>
      <c r="X218" s="11">
        <f>IF(MOD(MONTH(W218), 2) &lt;&gt; 0, EOMONTH(W218, 2), EOMONTH(W218, 1))</f>
        <v/>
      </c>
      <c r="Y218" s="11">
        <f>EOMONTH(X218,1)</f>
        <v/>
      </c>
      <c r="Z218" t="b">
        <v>0</v>
      </c>
    </row>
    <row r="219">
      <c r="A219" s="3" t="inlineStr">
        <is>
          <t>Heron View</t>
        </is>
      </c>
      <c r="B219" s="3" t="inlineStr">
        <is>
          <t>L</t>
        </is>
      </c>
      <c r="C219" s="3" t="inlineStr">
        <is>
          <t>HVL201</t>
        </is>
      </c>
      <c r="D219" s="3" t="b">
        <v>0</v>
      </c>
      <c r="E219" s="3" t="b">
        <v>0</v>
      </c>
      <c r="F219" s="3">
        <f>IF(OR(Z219=TRUE,SUMIFS('Cashflow Projection'!$E$119:$E$151,'Cashflow Projection'!$D$119:$D$151,Sales!C219)=1),0,SUMIFS('Cashflow Projection'!$C$7:$C$23,'Cashflow Projection'!$B$7:$B$23,Sales!B219,'Cashflow Projection'!$A$7:$A$23,Sales!A219))</f>
        <v/>
      </c>
      <c r="G219" s="4" t="n">
        <v>45499</v>
      </c>
      <c r="H219" s="4" t="n">
        <v>45716</v>
      </c>
      <c r="I219" s="3" t="n">
        <v>1499900</v>
      </c>
      <c r="J219" s="3" t="n">
        <v>195639.1304347826</v>
      </c>
      <c r="K219" s="3" t="n">
        <v>1304260.869565218</v>
      </c>
      <c r="L219" s="3" t="n">
        <v>18502.08</v>
      </c>
      <c r="M219" s="3" t="n">
        <v>1789</v>
      </c>
      <c r="N219" s="3" t="n">
        <v>7499.5</v>
      </c>
      <c r="O219" s="3" t="n">
        <v>74995</v>
      </c>
      <c r="P219" s="3" t="n">
        <v>19224.37</v>
      </c>
      <c r="Q219" s="9">
        <f>K219-SUM(L219:P219)</f>
        <v/>
      </c>
      <c r="R219" s="10">
        <f>IF($F219=1,((SUMIFS(Investors!$M:$M,Investors!$E:$E,Sales!$C219,Investors!$O:$O,FALSE)+SUMIFS(Investors!$S:$S,Investors!$E:$E,Sales!$C219,Investors!$O:$O,FALSE))*$F219)-SUMIFS('Investor Exit List'!$Q:$Q,'Investor Exit List'!$Y:$Y,1,'Investor Exit List'!$Z:$Z,"Release",'Investor Exit List'!$C:$C,Sales!$C219),(SUMIFS(Investors!$M:$M,Investors!$E:$E,Sales!$C219,Investors!$O:$O,FALSE)+SUMIFS(Investors!$S:$S,Investors!$E:$E,Sales!$C219,Investors!$O:$O,FALSE))*$F219)</f>
        <v/>
      </c>
      <c r="S219" s="10">
        <f>IF(T219=FALSE,Q219-R219,+V219)</f>
        <v/>
      </c>
      <c r="T219" s="3">
        <f>IF(SUMIFS('Cashflow Projection'!$E$119:$E$151,'Cashflow Projection'!$D$119:$D$151,Sales!C219)&lt;&gt;0,TRUE,FALSE)</f>
        <v/>
      </c>
      <c r="U219" s="4" t="n">
        <v>45747</v>
      </c>
      <c r="V219" s="10" t="n">
        <v>31258.11889205477</v>
      </c>
      <c r="W219" s="11">
        <f>IF(SUMIFS('Cashflow Projection'!$E$119:$E$151,'Cashflow Projection'!$D$119:$D$151,Sales!C219)=1,SUMIFS('Cashflow Projection'!$C$119:$C$151,'Cashflow Projection'!$D$119:$D$151,Sales!C219),+Sales!H219)</f>
        <v/>
      </c>
      <c r="X219" s="11">
        <f>IF(MOD(MONTH(W219), 2) &lt;&gt; 0, EOMONTH(W219, 2), EOMONTH(W219, 1))</f>
        <v/>
      </c>
      <c r="Y219" s="11">
        <f>EOMONTH(X219,1)</f>
        <v/>
      </c>
      <c r="Z219" t="b">
        <v>0</v>
      </c>
    </row>
    <row r="220">
      <c r="A220" s="3" t="inlineStr">
        <is>
          <t>Heron View</t>
        </is>
      </c>
      <c r="B220" s="3" t="inlineStr">
        <is>
          <t>H</t>
        </is>
      </c>
      <c r="C220" s="3" t="inlineStr">
        <is>
          <t>HVH103</t>
        </is>
      </c>
      <c r="D220" s="3" t="b">
        <v>1</v>
      </c>
      <c r="E220" s="3" t="b">
        <v>0</v>
      </c>
      <c r="F220" s="3">
        <f>IF(OR(Z220=TRUE,SUMIFS('Cashflow Projection'!$E$119:$E$151,'Cashflow Projection'!$D$119:$D$151,Sales!C220)=1),0,SUMIFS('Cashflow Projection'!$C$7:$C$23,'Cashflow Projection'!$B$7:$B$23,Sales!B220,'Cashflow Projection'!$A$7:$A$23,Sales!A220))</f>
        <v/>
      </c>
      <c r="G220" s="4" t="n">
        <v>45490</v>
      </c>
      <c r="H220" s="4" t="n">
        <v>45490</v>
      </c>
      <c r="I220" s="3" t="n">
        <v>1669999</v>
      </c>
      <c r="J220" s="3" t="n">
        <v>217825.9565217391</v>
      </c>
      <c r="K220" s="3" t="n">
        <v>1452173.043478261</v>
      </c>
      <c r="L220" s="3" t="n">
        <v>18502.08</v>
      </c>
      <c r="M220" s="3" t="n">
        <v>1789</v>
      </c>
      <c r="N220" s="3" t="n">
        <v>8349.995000000001</v>
      </c>
      <c r="O220" s="3" t="n">
        <v>83499.95000000001</v>
      </c>
      <c r="P220" s="3" t="n">
        <v>19224.37</v>
      </c>
      <c r="Q220" s="9">
        <f>K220-SUM(L220:P220)</f>
        <v/>
      </c>
      <c r="R220" s="10">
        <f>IF($F220=1,((SUMIFS(Investors!$M:$M,Investors!$E:$E,Sales!$C220,Investors!$O:$O,FALSE)+SUMIFS(Investors!$S:$S,Investors!$E:$E,Sales!$C220,Investors!$O:$O,FALSE))*$F220)-SUMIFS('Investor Exit List'!$Q:$Q,'Investor Exit List'!$Y:$Y,1,'Investor Exit List'!$Z:$Z,"Release",'Investor Exit List'!$C:$C,Sales!$C220),(SUMIFS(Investors!$M:$M,Investors!$E:$E,Sales!$C220,Investors!$O:$O,FALSE)+SUMIFS(Investors!$S:$S,Investors!$E:$E,Sales!$C220,Investors!$O:$O,FALSE))*$F220)</f>
        <v/>
      </c>
      <c r="S220" s="10">
        <f>IF(T220=FALSE,Q220-R220,+V220)</f>
        <v/>
      </c>
      <c r="T220" s="3">
        <f>IF(SUMIFS('Cashflow Projection'!$E$119:$E$151,'Cashflow Projection'!$D$119:$D$151,Sales!C220)&lt;&gt;0,TRUE,FALSE)</f>
        <v/>
      </c>
      <c r="U220" s="4" t="n">
        <v>45565</v>
      </c>
      <c r="V220" s="10" t="n">
        <v>289696.6186986298</v>
      </c>
      <c r="W220" s="11">
        <f>IF(SUMIFS('Cashflow Projection'!$E$119:$E$151,'Cashflow Projection'!$D$119:$D$151,Sales!C220)=1,SUMIFS('Cashflow Projection'!$C$119:$C$151,'Cashflow Projection'!$D$119:$D$151,Sales!C220),+Sales!H220)</f>
        <v/>
      </c>
      <c r="X220" s="11">
        <f>IF(MOD(MONTH(W220), 2) &lt;&gt; 0, EOMONTH(W220, 2), EOMONTH(W220, 1))</f>
        <v/>
      </c>
      <c r="Y220" s="11">
        <f>EOMONTH(X220,1)</f>
        <v/>
      </c>
      <c r="Z220" t="b">
        <v>0</v>
      </c>
    </row>
    <row r="221">
      <c r="A221" s="3" t="inlineStr">
        <is>
          <t>Heron View</t>
        </is>
      </c>
      <c r="B221" s="3" t="inlineStr">
        <is>
          <t>L</t>
        </is>
      </c>
      <c r="C221" s="3" t="inlineStr">
        <is>
          <t>HVL203</t>
        </is>
      </c>
      <c r="D221" s="3" t="b">
        <v>0</v>
      </c>
      <c r="E221" s="3" t="b">
        <v>0</v>
      </c>
      <c r="F221" s="3">
        <f>IF(OR(Z221=TRUE,SUMIFS('Cashflow Projection'!$E$119:$E$151,'Cashflow Projection'!$D$119:$D$151,Sales!C221)=1),0,SUMIFS('Cashflow Projection'!$C$7:$C$23,'Cashflow Projection'!$B$7:$B$23,Sales!B221,'Cashflow Projection'!$A$7:$A$23,Sales!A221))</f>
        <v/>
      </c>
      <c r="G221" s="4" t="n">
        <v>45499</v>
      </c>
      <c r="H221" s="4" t="n">
        <v>45716</v>
      </c>
      <c r="I221" s="3" t="n">
        <v>1499900</v>
      </c>
      <c r="J221" s="3" t="n">
        <v>195639.1304347826</v>
      </c>
      <c r="K221" s="3" t="n">
        <v>1304260.869565218</v>
      </c>
      <c r="L221" s="3" t="n">
        <v>18502.08</v>
      </c>
      <c r="M221" s="3" t="n">
        <v>1789</v>
      </c>
      <c r="N221" s="3" t="n">
        <v>7499.5</v>
      </c>
      <c r="O221" s="3" t="n">
        <v>74995</v>
      </c>
      <c r="P221" s="3" t="n">
        <v>19224.37</v>
      </c>
      <c r="Q221" s="9">
        <f>K221-SUM(L221:P221)</f>
        <v/>
      </c>
      <c r="R221" s="10">
        <f>IF($F221=1,((SUMIFS(Investors!$M:$M,Investors!$E:$E,Sales!$C221,Investors!$O:$O,FALSE)+SUMIFS(Investors!$S:$S,Investors!$E:$E,Sales!$C221,Investors!$O:$O,FALSE))*$F221)-SUMIFS('Investor Exit List'!$Q:$Q,'Investor Exit List'!$Y:$Y,1,'Investor Exit List'!$Z:$Z,"Release",'Investor Exit List'!$C:$C,Sales!$C221),(SUMIFS(Investors!$M:$M,Investors!$E:$E,Sales!$C221,Investors!$O:$O,FALSE)+SUMIFS(Investors!$S:$S,Investors!$E:$E,Sales!$C221,Investors!$O:$O,FALSE))*$F221)</f>
        <v/>
      </c>
      <c r="S221" s="10">
        <f>IF(T221=FALSE,Q221-R221,+V221)</f>
        <v/>
      </c>
      <c r="T221" s="3">
        <f>IF(SUMIFS('Cashflow Projection'!$E$119:$E$151,'Cashflow Projection'!$D$119:$D$151,Sales!C221)&lt;&gt;0,TRUE,FALSE)</f>
        <v/>
      </c>
      <c r="U221" s="4" t="n">
        <v>45747</v>
      </c>
      <c r="V221" s="10" t="n">
        <v>35089.73092273949</v>
      </c>
      <c r="W221" s="11">
        <f>IF(SUMIFS('Cashflow Projection'!$E$119:$E$151,'Cashflow Projection'!$D$119:$D$151,Sales!C221)=1,SUMIFS('Cashflow Projection'!$C$119:$C$151,'Cashflow Projection'!$D$119:$D$151,Sales!C221),+Sales!H221)</f>
        <v/>
      </c>
      <c r="X221" s="11">
        <f>IF(MOD(MONTH(W221), 2) &lt;&gt; 0, EOMONTH(W221, 2), EOMONTH(W221, 1))</f>
        <v/>
      </c>
      <c r="Y221" s="11">
        <f>EOMONTH(X221,1)</f>
        <v/>
      </c>
      <c r="Z221" t="b">
        <v>0</v>
      </c>
    </row>
    <row r="222">
      <c r="A222" s="3" t="inlineStr">
        <is>
          <t>Heron View</t>
        </is>
      </c>
      <c r="B222" s="3" t="inlineStr">
        <is>
          <t>F</t>
        </is>
      </c>
      <c r="C222" s="3" t="inlineStr">
        <is>
          <t>HVF203</t>
        </is>
      </c>
      <c r="D222" s="3" t="b">
        <v>0</v>
      </c>
      <c r="E222" s="3" t="b">
        <v>0</v>
      </c>
      <c r="F222" s="3">
        <f>IF(OR(Z222=TRUE,SUMIFS('Cashflow Projection'!$E$119:$E$151,'Cashflow Projection'!$D$119:$D$151,Sales!C222)=1),0,SUMIFS('Cashflow Projection'!$C$7:$C$23,'Cashflow Projection'!$B$7:$B$23,Sales!B222,'Cashflow Projection'!$A$7:$A$23,Sales!A222))</f>
        <v/>
      </c>
      <c r="G222" s="4" t="n">
        <v>45517</v>
      </c>
      <c r="H222" s="4" t="n">
        <v>45722</v>
      </c>
      <c r="I222" s="3" t="n">
        <v>1599900</v>
      </c>
      <c r="J222" s="3" t="n">
        <v>208682.6086956522</v>
      </c>
      <c r="K222" s="3" t="n">
        <v>1391217.391304348</v>
      </c>
      <c r="L222" s="3" t="n">
        <v>18502.08</v>
      </c>
      <c r="M222" s="3" t="n">
        <v>1789</v>
      </c>
      <c r="N222" s="3" t="n">
        <v>7999.5</v>
      </c>
      <c r="O222" s="3" t="n">
        <v>79995</v>
      </c>
      <c r="P222" s="3" t="n">
        <v>19224.37</v>
      </c>
      <c r="Q222" s="9">
        <f>K222-SUM(L222:P222)</f>
        <v/>
      </c>
      <c r="R222" s="10">
        <f>IF($F222=1,((SUMIFS(Investors!$M:$M,Investors!$E:$E,Sales!$C222,Investors!$O:$O,FALSE)+SUMIFS(Investors!$S:$S,Investors!$E:$E,Sales!$C222,Investors!$O:$O,FALSE))*$F222)-SUMIFS('Investor Exit List'!$Q:$Q,'Investor Exit List'!$Y:$Y,1,'Investor Exit List'!$Z:$Z,"Release",'Investor Exit List'!$C:$C,Sales!$C222),(SUMIFS(Investors!$M:$M,Investors!$E:$E,Sales!$C222,Investors!$O:$O,FALSE)+SUMIFS(Investors!$S:$S,Investors!$E:$E,Sales!$C222,Investors!$O:$O,FALSE))*$F222)</f>
        <v/>
      </c>
      <c r="S222" s="10">
        <f>IF(T222=FALSE,Q222-R222,+V222)</f>
        <v/>
      </c>
      <c r="T222" s="3">
        <f>IF(SUMIFS('Cashflow Projection'!$E$119:$E$151,'Cashflow Projection'!$D$119:$D$151,Sales!C222)&lt;&gt;0,TRUE,FALSE)</f>
        <v/>
      </c>
      <c r="U222" s="4" t="n">
        <v>45808</v>
      </c>
      <c r="V222" s="10" t="n">
        <v>86782.34097369853</v>
      </c>
      <c r="W222" s="11">
        <f>IF(SUMIFS('Cashflow Projection'!$E$119:$E$151,'Cashflow Projection'!$D$119:$D$151,Sales!C222)=1,SUMIFS('Cashflow Projection'!$C$119:$C$151,'Cashflow Projection'!$D$119:$D$151,Sales!C222),+Sales!H222)</f>
        <v/>
      </c>
      <c r="X222" s="11">
        <f>IF(MOD(MONTH(W222), 2) &lt;&gt; 0, EOMONTH(W222, 2), EOMONTH(W222, 1))</f>
        <v/>
      </c>
      <c r="Y222" s="11">
        <f>EOMONTH(X222,1)</f>
        <v/>
      </c>
      <c r="Z222" t="b">
        <v>0</v>
      </c>
    </row>
    <row r="223">
      <c r="A223" s="3" t="inlineStr">
        <is>
          <t>Endulini</t>
        </is>
      </c>
      <c r="B223" s="3" t="inlineStr">
        <is>
          <t>A</t>
        </is>
      </c>
      <c r="C223" s="3" t="inlineStr">
        <is>
          <t>EA301</t>
        </is>
      </c>
      <c r="D223" s="3" t="b">
        <v>1</v>
      </c>
      <c r="E223" s="3" t="b">
        <v>1</v>
      </c>
      <c r="F223" s="3">
        <f>IF(OR(Z223=TRUE,SUMIFS('Cashflow Projection'!$E$119:$E$151,'Cashflow Projection'!$D$119:$D$151,Sales!C223)=1),0,SUMIFS('Cashflow Projection'!$C$7:$C$23,'Cashflow Projection'!$B$7:$B$23,Sales!B223,'Cashflow Projection'!$A$7:$A$23,Sales!A223))</f>
        <v/>
      </c>
      <c r="G223" s="4" t="n">
        <v>44855</v>
      </c>
      <c r="H223" s="4" t="n">
        <v>45688</v>
      </c>
      <c r="I223" s="3" t="n">
        <v>1599900</v>
      </c>
      <c r="J223" s="3" t="n">
        <v>208682.6086956522</v>
      </c>
      <c r="K223" s="3" t="n">
        <v>1391217.391304348</v>
      </c>
      <c r="L223" s="3" t="n">
        <v>18502.08</v>
      </c>
      <c r="M223" s="3" t="n">
        <v>1789</v>
      </c>
      <c r="N223" s="3" t="n">
        <v>7999.5</v>
      </c>
      <c r="O223" s="3" t="n">
        <v>79995</v>
      </c>
      <c r="P223" s="3" t="n">
        <v>19224.37</v>
      </c>
      <c r="Q223" s="9">
        <f>K223-SUM(L223:P223)</f>
        <v/>
      </c>
      <c r="R223" s="10">
        <f>IF($F223=1,((SUMIFS(Investors!$M:$M,Investors!$E:$E,Sales!$C223,Investors!$O:$O,FALSE)+SUMIFS(Investors!$S:$S,Investors!$E:$E,Sales!$C223,Investors!$O:$O,FALSE))*$F223)-SUMIFS('Investor Exit List'!$Q:$Q,'Investor Exit List'!$Y:$Y,1,'Investor Exit List'!$Z:$Z,"Release",'Investor Exit List'!$C:$C,Sales!$C223),(SUMIFS(Investors!$M:$M,Investors!$E:$E,Sales!$C223,Investors!$O:$O,FALSE)+SUMIFS(Investors!$S:$S,Investors!$E:$E,Sales!$C223,Investors!$O:$O,FALSE))*$F223)</f>
        <v/>
      </c>
      <c r="S223" s="10">
        <f>IF(T223=FALSE,Q223-R223,+V223)</f>
        <v/>
      </c>
      <c r="T223" s="3">
        <f>IF(SUMIFS('Cashflow Projection'!$E$119:$E$151,'Cashflow Projection'!$D$119:$D$151,Sales!C223)&lt;&gt;0,TRUE,FALSE)</f>
        <v/>
      </c>
      <c r="U223" s="4" t="n">
        <v>45747</v>
      </c>
      <c r="V223" s="10" t="n">
        <v>344555.8034246573</v>
      </c>
      <c r="W223" s="11">
        <f>IF(SUMIFS('Cashflow Projection'!$E$119:$E$151,'Cashflow Projection'!$D$119:$D$151,Sales!C223)=1,SUMIFS('Cashflow Projection'!$C$119:$C$151,'Cashflow Projection'!$D$119:$D$151,Sales!C223),+Sales!H223)</f>
        <v/>
      </c>
      <c r="X223" s="11">
        <f>IF(MOD(MONTH(W223), 2) &lt;&gt; 0, EOMONTH(W223, 2), EOMONTH(W223, 1))</f>
        <v/>
      </c>
      <c r="Y223" s="11">
        <f>EOMONTH(X223,1)</f>
        <v/>
      </c>
      <c r="Z223" t="b">
        <v>0</v>
      </c>
    </row>
    <row r="224">
      <c r="A224" s="3" t="inlineStr">
        <is>
          <t>Endulini</t>
        </is>
      </c>
      <c r="B224" s="3" t="inlineStr">
        <is>
          <t>A</t>
        </is>
      </c>
      <c r="C224" s="3" t="inlineStr">
        <is>
          <t>EA203</t>
        </is>
      </c>
      <c r="D224" s="3" t="b">
        <v>1</v>
      </c>
      <c r="E224" s="3" t="b">
        <v>1</v>
      </c>
      <c r="F224" s="3">
        <f>IF(OR(Z224=TRUE,SUMIFS('Cashflow Projection'!$E$119:$E$151,'Cashflow Projection'!$D$119:$D$151,Sales!C224)=1),0,SUMIFS('Cashflow Projection'!$C$7:$C$23,'Cashflow Projection'!$B$7:$B$23,Sales!B224,'Cashflow Projection'!$A$7:$A$23,Sales!A224))</f>
        <v/>
      </c>
      <c r="G224" s="4" t="n">
        <v>44838</v>
      </c>
      <c r="H224" s="4" t="n">
        <v>45688</v>
      </c>
      <c r="I224" s="3" t="n">
        <v>1579900</v>
      </c>
      <c r="J224" s="3" t="n">
        <v>206073.9130434782</v>
      </c>
      <c r="K224" s="3" t="n">
        <v>1373826.086956522</v>
      </c>
      <c r="L224" s="3" t="n">
        <v>18502.08</v>
      </c>
      <c r="M224" s="3" t="n">
        <v>1789</v>
      </c>
      <c r="N224" s="3" t="n">
        <v>7899.5</v>
      </c>
      <c r="O224" s="3" t="n">
        <v>78995</v>
      </c>
      <c r="P224" s="3" t="n">
        <v>19224.37</v>
      </c>
      <c r="Q224" s="9">
        <f>K224-SUM(L224:P224)</f>
        <v/>
      </c>
      <c r="R224" s="10">
        <f>IF($F224=1,((SUMIFS(Investors!$M:$M,Investors!$E:$E,Sales!$C224,Investors!$O:$O,FALSE)+SUMIFS(Investors!$S:$S,Investors!$E:$E,Sales!$C224,Investors!$O:$O,FALSE))*$F224)-SUMIFS('Investor Exit List'!$Q:$Q,'Investor Exit List'!$Y:$Y,1,'Investor Exit List'!$Z:$Z,"Release",'Investor Exit List'!$C:$C,Sales!$C224),(SUMIFS(Investors!$M:$M,Investors!$E:$E,Sales!$C224,Investors!$O:$O,FALSE)+SUMIFS(Investors!$S:$S,Investors!$E:$E,Sales!$C224,Investors!$O:$O,FALSE))*$F224)</f>
        <v/>
      </c>
      <c r="S224" s="10">
        <f>IF(T224=FALSE,Q224-R224,+V224)</f>
        <v/>
      </c>
      <c r="T224" s="3">
        <f>IF(SUMIFS('Cashflow Projection'!$E$119:$E$151,'Cashflow Projection'!$D$119:$D$151,Sales!C224)&lt;&gt;0,TRUE,FALSE)</f>
        <v/>
      </c>
      <c r="U224" s="4" t="n">
        <v>45747</v>
      </c>
      <c r="V224" s="10" t="n">
        <v>336393.8159950683</v>
      </c>
      <c r="W224" s="11">
        <f>IF(SUMIFS('Cashflow Projection'!$E$119:$E$151,'Cashflow Projection'!$D$119:$D$151,Sales!C224)=1,SUMIFS('Cashflow Projection'!$C$119:$C$151,'Cashflow Projection'!$D$119:$D$151,Sales!C224),+Sales!H224)</f>
        <v/>
      </c>
      <c r="X224" s="11">
        <f>IF(MOD(MONTH(W224), 2) &lt;&gt; 0, EOMONTH(W224, 2), EOMONTH(W224, 1))</f>
        <v/>
      </c>
      <c r="Y224" s="11">
        <f>EOMONTH(X224,1)</f>
        <v/>
      </c>
      <c r="Z224" t="b">
        <v>0</v>
      </c>
    </row>
    <row r="225">
      <c r="A225" s="3" t="inlineStr">
        <is>
          <t>Endulini</t>
        </is>
      </c>
      <c r="B225" s="3" t="inlineStr">
        <is>
          <t>A</t>
        </is>
      </c>
      <c r="C225" s="3" t="inlineStr">
        <is>
          <t>EA106</t>
        </is>
      </c>
      <c r="D225" s="3" t="b">
        <v>1</v>
      </c>
      <c r="E225" s="3" t="b">
        <v>1</v>
      </c>
      <c r="F225" s="3">
        <f>IF(OR(Z225=TRUE,SUMIFS('Cashflow Projection'!$E$119:$E$151,'Cashflow Projection'!$D$119:$D$151,Sales!C225)=1),0,SUMIFS('Cashflow Projection'!$C$7:$C$23,'Cashflow Projection'!$B$7:$B$23,Sales!B225,'Cashflow Projection'!$A$7:$A$23,Sales!A225))</f>
        <v/>
      </c>
      <c r="G225" s="4" t="n">
        <v>44830</v>
      </c>
      <c r="H225" s="4" t="n">
        <v>45688</v>
      </c>
      <c r="I225" s="3" t="n">
        <v>1549900</v>
      </c>
      <c r="J225" s="3" t="n">
        <v>202160.8695652174</v>
      </c>
      <c r="K225" s="3" t="n">
        <v>1347739.130434783</v>
      </c>
      <c r="L225" s="3" t="n">
        <v>18502.08</v>
      </c>
      <c r="M225" s="3" t="n">
        <v>1789</v>
      </c>
      <c r="N225" s="3" t="n">
        <v>7749.5</v>
      </c>
      <c r="O225" s="3" t="n">
        <v>77495</v>
      </c>
      <c r="P225" s="3" t="n">
        <v>19224.37</v>
      </c>
      <c r="Q225" s="9">
        <f>K225-SUM(L225:P225)</f>
        <v/>
      </c>
      <c r="R225" s="10">
        <f>IF($F225=1,((SUMIFS(Investors!$M:$M,Investors!$E:$E,Sales!$C225,Investors!$O:$O,FALSE)+SUMIFS(Investors!$S:$S,Investors!$E:$E,Sales!$C225,Investors!$O:$O,FALSE))*$F225)-SUMIFS('Investor Exit List'!$Q:$Q,'Investor Exit List'!$Y:$Y,1,'Investor Exit List'!$Z:$Z,"Release",'Investor Exit List'!$C:$C,Sales!$C225),(SUMIFS(Investors!$M:$M,Investors!$E:$E,Sales!$C225,Investors!$O:$O,FALSE)+SUMIFS(Investors!$S:$S,Investors!$E:$E,Sales!$C225,Investors!$O:$O,FALSE))*$F225)</f>
        <v/>
      </c>
      <c r="S225" s="10">
        <f>IF(T225=FALSE,Q225-R225,+V225)</f>
        <v/>
      </c>
      <c r="T225" s="3">
        <f>IF(SUMIFS('Cashflow Projection'!$E$119:$E$151,'Cashflow Projection'!$D$119:$D$151,Sales!C225)&lt;&gt;0,TRUE,FALSE)</f>
        <v/>
      </c>
      <c r="U225" s="4" t="n">
        <v>45747</v>
      </c>
      <c r="V225" s="10" t="n">
        <v>248403.7486301367</v>
      </c>
      <c r="W225" s="11">
        <f>IF(SUMIFS('Cashflow Projection'!$E$119:$E$151,'Cashflow Projection'!$D$119:$D$151,Sales!C225)=1,SUMIFS('Cashflow Projection'!$C$119:$C$151,'Cashflow Projection'!$D$119:$D$151,Sales!C225),+Sales!H225)</f>
        <v/>
      </c>
      <c r="X225" s="11">
        <f>IF(MOD(MONTH(W225), 2) &lt;&gt; 0, EOMONTH(W225, 2), EOMONTH(W225, 1))</f>
        <v/>
      </c>
      <c r="Y225" s="11">
        <f>EOMONTH(X225,1)</f>
        <v/>
      </c>
      <c r="Z225" t="b">
        <v>0</v>
      </c>
    </row>
    <row r="226">
      <c r="A226" s="3" t="inlineStr">
        <is>
          <t>Endulini</t>
        </is>
      </c>
      <c r="B226" s="3" t="inlineStr">
        <is>
          <t>A</t>
        </is>
      </c>
      <c r="C226" s="3" t="inlineStr">
        <is>
          <t>EA102</t>
        </is>
      </c>
      <c r="D226" s="3" t="b">
        <v>1</v>
      </c>
      <c r="E226" s="3" t="b">
        <v>1</v>
      </c>
      <c r="F226" s="3">
        <f>IF(OR(Z226=TRUE,SUMIFS('Cashflow Projection'!$E$119:$E$151,'Cashflow Projection'!$D$119:$D$151,Sales!C226)=1),0,SUMIFS('Cashflow Projection'!$C$7:$C$23,'Cashflow Projection'!$B$7:$B$23,Sales!B226,'Cashflow Projection'!$A$7:$A$23,Sales!A226))</f>
        <v/>
      </c>
      <c r="G226" s="4" t="n">
        <v>44851</v>
      </c>
      <c r="H226" s="4" t="n">
        <v>45688</v>
      </c>
      <c r="I226" s="3" t="n">
        <v>1599000</v>
      </c>
      <c r="J226" s="3" t="n">
        <v>208565.2173913044</v>
      </c>
      <c r="K226" s="3" t="n">
        <v>1390434.782608696</v>
      </c>
      <c r="L226" s="3" t="n">
        <v>18502.08</v>
      </c>
      <c r="M226" s="3" t="n">
        <v>1789</v>
      </c>
      <c r="N226" s="3" t="n">
        <v>7995</v>
      </c>
      <c r="O226" s="3" t="n">
        <v>79950</v>
      </c>
      <c r="P226" s="3" t="n">
        <v>19224.37</v>
      </c>
      <c r="Q226" s="9">
        <f>K226-SUM(L226:P226)</f>
        <v/>
      </c>
      <c r="R226" s="10">
        <f>IF($F226=1,((SUMIFS(Investors!$M:$M,Investors!$E:$E,Sales!$C226,Investors!$O:$O,FALSE)+SUMIFS(Investors!$S:$S,Investors!$E:$E,Sales!$C226,Investors!$O:$O,FALSE))*$F226)-SUMIFS('Investor Exit List'!$Q:$Q,'Investor Exit List'!$Y:$Y,1,'Investor Exit List'!$Z:$Z,"Release",'Investor Exit List'!$C:$C,Sales!$C226),(SUMIFS(Investors!$M:$M,Investors!$E:$E,Sales!$C226,Investors!$O:$O,FALSE)+SUMIFS(Investors!$S:$S,Investors!$E:$E,Sales!$C226,Investors!$O:$O,FALSE))*$F226)</f>
        <v/>
      </c>
      <c r="S226" s="10">
        <f>IF(T226=FALSE,Q226-R226,+V226)</f>
        <v/>
      </c>
      <c r="T226" s="3">
        <f>IF(SUMIFS('Cashflow Projection'!$E$119:$E$151,'Cashflow Projection'!$D$119:$D$151,Sales!C226)&lt;&gt;0,TRUE,FALSE)</f>
        <v/>
      </c>
      <c r="U226" s="4" t="n">
        <v>45747</v>
      </c>
      <c r="V226" s="10" t="n">
        <v>296637.4952054792</v>
      </c>
      <c r="W226" s="11">
        <f>IF(SUMIFS('Cashflow Projection'!$E$119:$E$151,'Cashflow Projection'!$D$119:$D$151,Sales!C226)=1,SUMIFS('Cashflow Projection'!$C$119:$C$151,'Cashflow Projection'!$D$119:$D$151,Sales!C226),+Sales!H226)</f>
        <v/>
      </c>
      <c r="X226" s="11">
        <f>IF(MOD(MONTH(W226), 2) &lt;&gt; 0, EOMONTH(W226, 2), EOMONTH(W226, 1))</f>
        <v/>
      </c>
      <c r="Y226" s="11">
        <f>EOMONTH(X226,1)</f>
        <v/>
      </c>
      <c r="Z226" t="b">
        <v>0</v>
      </c>
    </row>
    <row r="227">
      <c r="A227" s="3" t="inlineStr">
        <is>
          <t>Endulini</t>
        </is>
      </c>
      <c r="B227" s="3" t="inlineStr">
        <is>
          <t>A</t>
        </is>
      </c>
      <c r="C227" s="3" t="inlineStr">
        <is>
          <t>EA107</t>
        </is>
      </c>
      <c r="D227" s="3" t="b">
        <v>0</v>
      </c>
      <c r="E227" s="3" t="b">
        <v>0</v>
      </c>
      <c r="F227" s="3">
        <f>IF(OR(Z227=TRUE,SUMIFS('Cashflow Projection'!$E$119:$E$151,'Cashflow Projection'!$D$119:$D$151,Sales!C227)=1),0,SUMIFS('Cashflow Projection'!$C$7:$C$23,'Cashflow Projection'!$B$7:$B$23,Sales!B227,'Cashflow Projection'!$A$7:$A$23,Sales!A227))</f>
        <v/>
      </c>
      <c r="G227" s="4" t="n">
        <v>45442</v>
      </c>
      <c r="H227" s="4" t="n">
        <v>45458</v>
      </c>
      <c r="I227" s="3" t="n">
        <v>1559900</v>
      </c>
      <c r="J227" s="3" t="n">
        <v>0</v>
      </c>
      <c r="K227" s="3" t="n">
        <v>1356434.782608696</v>
      </c>
      <c r="L227" s="3" t="n">
        <v>18502.08</v>
      </c>
      <c r="M227" s="3" t="n">
        <v>1789</v>
      </c>
      <c r="N227" s="3" t="n">
        <v>7799.5</v>
      </c>
      <c r="O227" s="3" t="n">
        <v>77995</v>
      </c>
      <c r="P227" s="3" t="n">
        <v>19224.37</v>
      </c>
      <c r="Q227" s="9">
        <f>K227-SUM(L227:P227)</f>
        <v/>
      </c>
      <c r="R227" s="10">
        <f>IF($F227=1,((SUMIFS(Investors!$M:$M,Investors!$E:$E,Sales!$C227,Investors!$O:$O,FALSE)+SUMIFS(Investors!$S:$S,Investors!$E:$E,Sales!$C227,Investors!$O:$O,FALSE))*$F227)-SUMIFS('Investor Exit List'!$Q:$Q,'Investor Exit List'!$Y:$Y,1,'Investor Exit List'!$Z:$Z,"Release",'Investor Exit List'!$C:$C,Sales!$C227),(SUMIFS(Investors!$M:$M,Investors!$E:$E,Sales!$C227,Investors!$O:$O,FALSE)+SUMIFS(Investors!$S:$S,Investors!$E:$E,Sales!$C227,Investors!$O:$O,FALSE))*$F227)</f>
        <v/>
      </c>
      <c r="S227" s="10">
        <f>IF(T227=FALSE,Q227-R227,+V227)</f>
        <v/>
      </c>
      <c r="T227" s="3">
        <f>IF(SUMIFS('Cashflow Projection'!$E$119:$E$151,'Cashflow Projection'!$D$119:$D$151,Sales!C227)&lt;&gt;0,TRUE,FALSE)</f>
        <v/>
      </c>
      <c r="U227" s="4" t="n">
        <v>45504</v>
      </c>
      <c r="V227" s="10" t="n">
        <v>902100</v>
      </c>
      <c r="W227" s="11">
        <f>IF(SUMIFS('Cashflow Projection'!$E$119:$E$151,'Cashflow Projection'!$D$119:$D$151,Sales!C227)=1,SUMIFS('Cashflow Projection'!$C$119:$C$151,'Cashflow Projection'!$D$119:$D$151,Sales!C227),+Sales!H227)</f>
        <v/>
      </c>
      <c r="X227" s="11">
        <f>IF(MOD(MONTH(W227), 2) &lt;&gt; 0, EOMONTH(W227, 2), EOMONTH(W227, 1))</f>
        <v/>
      </c>
      <c r="Y227" s="11">
        <f>EOMONTH(X227,1)</f>
        <v/>
      </c>
      <c r="Z227" t="b">
        <v>0</v>
      </c>
    </row>
    <row r="228">
      <c r="A228" s="3" t="inlineStr">
        <is>
          <t>Endulini</t>
        </is>
      </c>
      <c r="B228" s="3" t="inlineStr">
        <is>
          <t>E</t>
        </is>
      </c>
      <c r="C228" s="3" t="inlineStr">
        <is>
          <t>EE103</t>
        </is>
      </c>
      <c r="D228" s="3" t="b">
        <v>1</v>
      </c>
      <c r="E228" s="3" t="b">
        <v>1</v>
      </c>
      <c r="F228" s="3">
        <f>IF(OR(Z228=TRUE,SUMIFS('Cashflow Projection'!$E$119:$E$151,'Cashflow Projection'!$D$119:$D$151,Sales!C228)=1),0,SUMIFS('Cashflow Projection'!$C$7:$C$23,'Cashflow Projection'!$B$7:$B$23,Sales!B228,'Cashflow Projection'!$A$7:$A$23,Sales!A228))</f>
        <v/>
      </c>
      <c r="G228" s="4" t="n">
        <v>44687</v>
      </c>
      <c r="H228" s="4" t="n">
        <v>45688</v>
      </c>
      <c r="I228" s="3" t="n">
        <v>1499900</v>
      </c>
      <c r="J228" s="3" t="n">
        <v>195639.1304347826</v>
      </c>
      <c r="K228" s="3" t="n">
        <v>1304260.869565218</v>
      </c>
      <c r="L228" s="3" t="n">
        <v>18502.08</v>
      </c>
      <c r="M228" s="3" t="n">
        <v>1789</v>
      </c>
      <c r="N228" s="3" t="n">
        <v>7499.5</v>
      </c>
      <c r="O228" s="3" t="n">
        <v>74995</v>
      </c>
      <c r="P228" s="3" t="n">
        <v>19224.37</v>
      </c>
      <c r="Q228" s="9">
        <f>K228-SUM(L228:P228)</f>
        <v/>
      </c>
      <c r="R228" s="10">
        <f>IF($F228=1,((SUMIFS(Investors!$M:$M,Investors!$E:$E,Sales!$C228,Investors!$O:$O,FALSE)+SUMIFS(Investors!$S:$S,Investors!$E:$E,Sales!$C228,Investors!$O:$O,FALSE))*$F228)-SUMIFS('Investor Exit List'!$Q:$Q,'Investor Exit List'!$Y:$Y,1,'Investor Exit List'!$Z:$Z,"Release",'Investor Exit List'!$C:$C,Sales!$C228),(SUMIFS(Investors!$M:$M,Investors!$E:$E,Sales!$C228,Investors!$O:$O,FALSE)+SUMIFS(Investors!$S:$S,Investors!$E:$E,Sales!$C228,Investors!$O:$O,FALSE))*$F228)</f>
        <v/>
      </c>
      <c r="S228" s="10">
        <f>IF(T228=FALSE,Q228-R228,+V228)</f>
        <v/>
      </c>
      <c r="T228" s="3">
        <f>IF(SUMIFS('Cashflow Projection'!$E$119:$E$151,'Cashflow Projection'!$D$119:$D$151,Sales!C228)&lt;&gt;0,TRUE,FALSE)</f>
        <v/>
      </c>
      <c r="U228" s="4" t="n">
        <v>45747</v>
      </c>
      <c r="V228" s="10" t="n">
        <v>110728.5592725342</v>
      </c>
      <c r="W228" s="11">
        <f>IF(SUMIFS('Cashflow Projection'!$E$119:$E$151,'Cashflow Projection'!$D$119:$D$151,Sales!C228)=1,SUMIFS('Cashflow Projection'!$C$119:$C$151,'Cashflow Projection'!$D$119:$D$151,Sales!C228),+Sales!H228)</f>
        <v/>
      </c>
      <c r="X228" s="11">
        <f>IF(MOD(MONTH(W228), 2) &lt;&gt; 0, EOMONTH(W228, 2), EOMONTH(W228, 1))</f>
        <v/>
      </c>
      <c r="Y228" s="11">
        <f>EOMONTH(X228,1)</f>
        <v/>
      </c>
      <c r="Z228" t="b">
        <v>0</v>
      </c>
    </row>
    <row r="229">
      <c r="A229" s="3" t="inlineStr">
        <is>
          <t>Endulini</t>
        </is>
      </c>
      <c r="B229" s="3" t="inlineStr">
        <is>
          <t>E</t>
        </is>
      </c>
      <c r="C229" s="3" t="inlineStr">
        <is>
          <t>EE303</t>
        </is>
      </c>
      <c r="D229" s="3" t="b">
        <v>1</v>
      </c>
      <c r="E229" s="3" t="b">
        <v>1</v>
      </c>
      <c r="F229" s="3">
        <f>IF(OR(Z229=TRUE,SUMIFS('Cashflow Projection'!$E$119:$E$151,'Cashflow Projection'!$D$119:$D$151,Sales!C229)=1),0,SUMIFS('Cashflow Projection'!$C$7:$C$23,'Cashflow Projection'!$B$7:$B$23,Sales!B229,'Cashflow Projection'!$A$7:$A$23,Sales!A229))</f>
        <v/>
      </c>
      <c r="G229" s="4" t="n">
        <v>44690</v>
      </c>
      <c r="H229" s="4" t="n">
        <v>45688</v>
      </c>
      <c r="I229" s="3" t="n">
        <v>1444900</v>
      </c>
      <c r="J229" s="3" t="n">
        <v>188465.2173913044</v>
      </c>
      <c r="K229" s="3" t="n">
        <v>1256434.782608696</v>
      </c>
      <c r="L229" s="3" t="n">
        <v>18502.08</v>
      </c>
      <c r="M229" s="3" t="n">
        <v>1789</v>
      </c>
      <c r="N229" s="3" t="n">
        <v>7224.5</v>
      </c>
      <c r="O229" s="3" t="n">
        <v>72245</v>
      </c>
      <c r="P229" s="3" t="n">
        <v>19224.37</v>
      </c>
      <c r="Q229" s="9">
        <f>K229-SUM(L229:P229)</f>
        <v/>
      </c>
      <c r="R229" s="10">
        <f>IF($F229=1,((SUMIFS(Investors!$M:$M,Investors!$E:$E,Sales!$C229,Investors!$O:$O,FALSE)+SUMIFS(Investors!$S:$S,Investors!$E:$E,Sales!$C229,Investors!$O:$O,FALSE))*$F229)-SUMIFS('Investor Exit List'!$Q:$Q,'Investor Exit List'!$Y:$Y,1,'Investor Exit List'!$Z:$Z,"Release",'Investor Exit List'!$C:$C,Sales!$C229),(SUMIFS(Investors!$M:$M,Investors!$E:$E,Sales!$C229,Investors!$O:$O,FALSE)+SUMIFS(Investors!$S:$S,Investors!$E:$E,Sales!$C229,Investors!$O:$O,FALSE))*$F229)</f>
        <v/>
      </c>
      <c r="S229" s="10">
        <f>IF(T229=FALSE,Q229-R229,+V229)</f>
        <v/>
      </c>
      <c r="T229" s="3">
        <f>IF(SUMIFS('Cashflow Projection'!$E$119:$E$151,'Cashflow Projection'!$D$119:$D$151,Sales!C229)&lt;&gt;0,TRUE,FALSE)</f>
        <v/>
      </c>
      <c r="U229" s="4" t="n">
        <v>45747</v>
      </c>
      <c r="V229" s="10" t="n">
        <v>119014.2744549997</v>
      </c>
      <c r="W229" s="11">
        <f>IF(SUMIFS('Cashflow Projection'!$E$119:$E$151,'Cashflow Projection'!$D$119:$D$151,Sales!C229)=1,SUMIFS('Cashflow Projection'!$C$119:$C$151,'Cashflow Projection'!$D$119:$D$151,Sales!C229),+Sales!H229)</f>
        <v/>
      </c>
      <c r="X229" s="11">
        <f>IF(MOD(MONTH(W229), 2) &lt;&gt; 0, EOMONTH(W229, 2), EOMONTH(W229, 1))</f>
        <v/>
      </c>
      <c r="Y229" s="11">
        <f>EOMONTH(X229,1)</f>
        <v/>
      </c>
      <c r="Z229" t="b">
        <v>0</v>
      </c>
    </row>
    <row r="230">
      <c r="A230" s="3" t="inlineStr">
        <is>
          <t>Heron Fields</t>
        </is>
      </c>
      <c r="B230" s="3" t="inlineStr">
        <is>
          <t>B</t>
        </is>
      </c>
      <c r="C230" s="3" t="inlineStr">
        <is>
          <t>HFB203</t>
        </is>
      </c>
      <c r="D230" s="3" t="b">
        <v>1</v>
      </c>
      <c r="E230" s="3" t="b">
        <v>1</v>
      </c>
      <c r="F230" s="3">
        <f>IF(OR(Z230=TRUE,SUMIFS('Cashflow Projection'!$E$119:$E$151,'Cashflow Projection'!$D$119:$D$151,Sales!C230)=1),0,SUMIFS('Cashflow Projection'!$C$7:$C$23,'Cashflow Projection'!$B$7:$B$23,Sales!B230,'Cashflow Projection'!$A$7:$A$23,Sales!A230))</f>
        <v/>
      </c>
      <c r="G230" s="4" t="n">
        <v>44936</v>
      </c>
      <c r="H230" s="4" t="n">
        <v>45688</v>
      </c>
      <c r="I230" s="3" t="n">
        <v>1329900</v>
      </c>
      <c r="J230" s="3" t="n">
        <v>173465.2173913044</v>
      </c>
      <c r="K230" s="3" t="n">
        <v>1156434.782608696</v>
      </c>
      <c r="L230" s="3" t="n">
        <v>18502.08</v>
      </c>
      <c r="M230" s="3" t="n">
        <v>1789</v>
      </c>
      <c r="N230" s="3" t="n">
        <v>6649.5</v>
      </c>
      <c r="O230" s="3" t="n">
        <v>66495</v>
      </c>
      <c r="P230" s="3" t="n">
        <v>19224.37</v>
      </c>
      <c r="Q230" s="9">
        <f>K230-SUM(L230:P230)</f>
        <v/>
      </c>
      <c r="R230" s="10">
        <f>IF($F230=1,((SUMIFS(Investors!$M:$M,Investors!$E:$E,Sales!$C230,Investors!$O:$O,FALSE)+SUMIFS(Investors!$S:$S,Investors!$E:$E,Sales!$C230,Investors!$O:$O,FALSE))*$F230)-SUMIFS('Investor Exit List'!$Q:$Q,'Investor Exit List'!$Y:$Y,1,'Investor Exit List'!$Z:$Z,"Release",'Investor Exit List'!$C:$C,Sales!$C230),(SUMIFS(Investors!$M:$M,Investors!$E:$E,Sales!$C230,Investors!$O:$O,FALSE)+SUMIFS(Investors!$S:$S,Investors!$E:$E,Sales!$C230,Investors!$O:$O,FALSE))*$F230)</f>
        <v/>
      </c>
      <c r="S230" s="10">
        <f>IF(T230=FALSE,Q230-R230,+V230)</f>
        <v/>
      </c>
      <c r="T230" s="3">
        <f>IF(SUMIFS('Cashflow Projection'!$E$119:$E$151,'Cashflow Projection'!$D$119:$D$151,Sales!C230)&lt;&gt;0,TRUE,FALSE)</f>
        <v/>
      </c>
      <c r="U230" s="4" t="n">
        <v>45747</v>
      </c>
      <c r="V230" s="10" t="n">
        <v>262275.3239726026</v>
      </c>
      <c r="W230" s="11">
        <f>IF(SUMIFS('Cashflow Projection'!$E$119:$E$151,'Cashflow Projection'!$D$119:$D$151,Sales!C230)=1,SUMIFS('Cashflow Projection'!$C$119:$C$151,'Cashflow Projection'!$D$119:$D$151,Sales!C230),+Sales!H230)</f>
        <v/>
      </c>
      <c r="X230" s="11">
        <f>IF(MOD(MONTH(W230), 2) &lt;&gt; 0, EOMONTH(W230, 2), EOMONTH(W230, 1))</f>
        <v/>
      </c>
      <c r="Y230" s="11">
        <f>EOMONTH(X230,1)</f>
        <v/>
      </c>
      <c r="Z230" t="b">
        <v>0</v>
      </c>
    </row>
    <row r="231">
      <c r="A231" s="3" t="inlineStr">
        <is>
          <t>Heron View</t>
        </is>
      </c>
      <c r="B231" s="3" t="inlineStr">
        <is>
          <t>D</t>
        </is>
      </c>
      <c r="C231" s="3" t="inlineStr">
        <is>
          <t>HVD201</t>
        </is>
      </c>
      <c r="D231" s="3" t="b">
        <v>1</v>
      </c>
      <c r="E231" s="3" t="b">
        <v>1</v>
      </c>
      <c r="F231" s="3">
        <f>IF(OR(Z231=TRUE,SUMIFS('Cashflow Projection'!$E$119:$E$151,'Cashflow Projection'!$D$119:$D$151,Sales!C231)=1),0,SUMIFS('Cashflow Projection'!$C$7:$C$23,'Cashflow Projection'!$B$7:$B$23,Sales!B231,'Cashflow Projection'!$A$7:$A$23,Sales!A231))</f>
        <v/>
      </c>
      <c r="G231" s="4" t="n">
        <v>45327</v>
      </c>
      <c r="H231" s="4" t="n">
        <v>45688</v>
      </c>
      <c r="I231" s="3" t="n">
        <v>1589900</v>
      </c>
      <c r="J231" s="3" t="n">
        <v>207378.2608695652</v>
      </c>
      <c r="K231" s="3" t="n">
        <v>1382521.739130435</v>
      </c>
      <c r="L231" s="3" t="n">
        <v>18502.08</v>
      </c>
      <c r="M231" s="3" t="n">
        <v>1789</v>
      </c>
      <c r="N231" s="3" t="n">
        <v>7949.5</v>
      </c>
      <c r="O231" s="3" t="n">
        <v>79495</v>
      </c>
      <c r="P231" s="3" t="n">
        <v>19224.37</v>
      </c>
      <c r="Q231" s="9">
        <f>K231-SUM(L231:P231)</f>
        <v/>
      </c>
      <c r="R231" s="10">
        <f>IF($F231=1,((SUMIFS(Investors!$M:$M,Investors!$E:$E,Sales!$C231,Investors!$O:$O,FALSE)+SUMIFS(Investors!$S:$S,Investors!$E:$E,Sales!$C231,Investors!$O:$O,FALSE))*$F231)-SUMIFS('Investor Exit List'!$Q:$Q,'Investor Exit List'!$Y:$Y,1,'Investor Exit List'!$Z:$Z,"Release",'Investor Exit List'!$C:$C,Sales!$C231),(SUMIFS(Investors!$M:$M,Investors!$E:$E,Sales!$C231,Investors!$O:$O,FALSE)+SUMIFS(Investors!$S:$S,Investors!$E:$E,Sales!$C231,Investors!$O:$O,FALSE))*$F231)</f>
        <v/>
      </c>
      <c r="S231" s="10">
        <f>IF(T231=FALSE,Q231-R231,+V231)</f>
        <v/>
      </c>
      <c r="T231" s="3">
        <f>IF(SUMIFS('Cashflow Projection'!$E$119:$E$151,'Cashflow Projection'!$D$119:$D$151,Sales!C231)&lt;&gt;0,TRUE,FALSE)</f>
        <v/>
      </c>
      <c r="U231" s="4" t="n">
        <v>45747</v>
      </c>
      <c r="V231" s="10" t="n">
        <v>167242.5410523287</v>
      </c>
      <c r="W231" s="11">
        <f>IF(SUMIFS('Cashflow Projection'!$E$119:$E$151,'Cashflow Projection'!$D$119:$D$151,Sales!C231)=1,SUMIFS('Cashflow Projection'!$C$119:$C$151,'Cashflow Projection'!$D$119:$D$151,Sales!C231),+Sales!H231)</f>
        <v/>
      </c>
      <c r="X231" s="11">
        <f>IF(MOD(MONTH(W231), 2) &lt;&gt; 0, EOMONTH(W231, 2), EOMONTH(W231, 1))</f>
        <v/>
      </c>
      <c r="Y231" s="11">
        <f>EOMONTH(X231,1)</f>
        <v/>
      </c>
      <c r="Z231" t="b">
        <v>0</v>
      </c>
    </row>
    <row r="232">
      <c r="A232" s="3" t="inlineStr">
        <is>
          <t>Heron View</t>
        </is>
      </c>
      <c r="B232" s="3" t="inlineStr">
        <is>
          <t>G</t>
        </is>
      </c>
      <c r="C232" s="3" t="inlineStr">
        <is>
          <t>HVG304</t>
        </is>
      </c>
      <c r="D232" s="3" t="b">
        <v>0</v>
      </c>
      <c r="E232" s="3" t="b">
        <v>0</v>
      </c>
      <c r="F232" s="3">
        <f>IF(OR(Z232=TRUE,SUMIFS('Cashflow Projection'!$E$119:$E$151,'Cashflow Projection'!$D$119:$D$151,Sales!C232)=1),0,SUMIFS('Cashflow Projection'!$C$7:$C$23,'Cashflow Projection'!$B$7:$B$23,Sales!B232,'Cashflow Projection'!$A$7:$A$23,Sales!A232))</f>
        <v/>
      </c>
      <c r="G232" s="4" t="n">
        <v>45523</v>
      </c>
      <c r="H232" s="4" t="n">
        <v>45532</v>
      </c>
      <c r="I232" s="3" t="n">
        <v>1499900</v>
      </c>
      <c r="J232" s="3" t="n">
        <v>195639.1304347826</v>
      </c>
      <c r="K232" s="3" t="n">
        <v>1304260.869565218</v>
      </c>
      <c r="L232" s="3" t="n">
        <v>18502.08</v>
      </c>
      <c r="M232" s="3" t="n">
        <v>1789</v>
      </c>
      <c r="N232" s="3" t="n">
        <v>7499.5</v>
      </c>
      <c r="O232" s="3" t="n">
        <v>74995</v>
      </c>
      <c r="P232" s="3" t="n">
        <v>19224.37</v>
      </c>
      <c r="Q232" s="9">
        <f>K232-SUM(L232:P232)</f>
        <v/>
      </c>
      <c r="R232" s="10">
        <f>IF($F232=1,((SUMIFS(Investors!$M:$M,Investors!$E:$E,Sales!$C232,Investors!$O:$O,FALSE)+SUMIFS(Investors!$S:$S,Investors!$E:$E,Sales!$C232,Investors!$O:$O,FALSE))*$F232)-SUMIFS('Investor Exit List'!$Q:$Q,'Investor Exit List'!$Y:$Y,1,'Investor Exit List'!$Z:$Z,"Release",'Investor Exit List'!$C:$C,Sales!$C232),(SUMIFS(Investors!$M:$M,Investors!$E:$E,Sales!$C232,Investors!$O:$O,FALSE)+SUMIFS(Investors!$S:$S,Investors!$E:$E,Sales!$C232,Investors!$O:$O,FALSE))*$F232)</f>
        <v/>
      </c>
      <c r="S232" s="10">
        <f>IF(T232=FALSE,Q232-R232,+V232)</f>
        <v/>
      </c>
      <c r="T232" s="3">
        <f>IF(SUMIFS('Cashflow Projection'!$E$119:$E$151,'Cashflow Projection'!$D$119:$D$151,Sales!C232)&lt;&gt;0,TRUE,FALSE)</f>
        <v/>
      </c>
      <c r="U232" s="4" t="n">
        <v>45565</v>
      </c>
      <c r="V232" s="10" t="n">
        <v>57618.81712328759</v>
      </c>
      <c r="W232" s="11">
        <f>IF(SUMIFS('Cashflow Projection'!$E$119:$E$151,'Cashflow Projection'!$D$119:$D$151,Sales!C232)=1,SUMIFS('Cashflow Projection'!$C$119:$C$151,'Cashflow Projection'!$D$119:$D$151,Sales!C232),+Sales!H232)</f>
        <v/>
      </c>
      <c r="X232" s="11">
        <f>IF(MOD(MONTH(W232), 2) &lt;&gt; 0, EOMONTH(W232, 2), EOMONTH(W232, 1))</f>
        <v/>
      </c>
      <c r="Y232" s="11">
        <f>EOMONTH(X232,1)</f>
        <v/>
      </c>
      <c r="Z232" t="b">
        <v>0</v>
      </c>
    </row>
    <row r="233">
      <c r="A233" s="3" t="inlineStr">
        <is>
          <t>Heron View</t>
        </is>
      </c>
      <c r="B233" s="3" t="inlineStr">
        <is>
          <t>M</t>
        </is>
      </c>
      <c r="C233" s="3" t="inlineStr">
        <is>
          <t>HVM204</t>
        </is>
      </c>
      <c r="D233" s="3" t="b">
        <v>0</v>
      </c>
      <c r="E233" s="3" t="b">
        <v>0</v>
      </c>
      <c r="F233" s="3">
        <f>IF(OR(Z233=TRUE,SUMIFS('Cashflow Projection'!$E$119:$E$151,'Cashflow Projection'!$D$119:$D$151,Sales!C233)=1),0,SUMIFS('Cashflow Projection'!$C$7:$C$23,'Cashflow Projection'!$B$7:$B$23,Sales!B233,'Cashflow Projection'!$A$7:$A$23,Sales!A233))</f>
        <v/>
      </c>
      <c r="G233" s="4" t="n">
        <v>45450</v>
      </c>
      <c r="H233" s="4" t="n">
        <v>45583</v>
      </c>
      <c r="I233" s="3" t="n">
        <v>1699900</v>
      </c>
      <c r="J233" s="3" t="n">
        <v>221726.0869565217</v>
      </c>
      <c r="K233" s="3" t="n">
        <v>1478173.913043478</v>
      </c>
      <c r="L233" s="3" t="n">
        <v>18502.08</v>
      </c>
      <c r="M233" s="3" t="n">
        <v>1789</v>
      </c>
      <c r="N233" s="3" t="n">
        <v>8499.5</v>
      </c>
      <c r="O233" s="3" t="n">
        <v>84995</v>
      </c>
      <c r="P233" s="3" t="n">
        <v>19224.37</v>
      </c>
      <c r="Q233" s="9">
        <f>K233-SUM(L233:P233)</f>
        <v/>
      </c>
      <c r="R233" s="10">
        <f>IF($F233=1,((SUMIFS(Investors!$M:$M,Investors!$E:$E,Sales!$C233,Investors!$O:$O,FALSE)+SUMIFS(Investors!$S:$S,Investors!$E:$E,Sales!$C233,Investors!$O:$O,FALSE))*$F233)-SUMIFS('Investor Exit List'!$Q:$Q,'Investor Exit List'!$Y:$Y,1,'Investor Exit List'!$Z:$Z,"Release",'Investor Exit List'!$C:$C,Sales!$C233),(SUMIFS(Investors!$M:$M,Investors!$E:$E,Sales!$C233,Investors!$O:$O,FALSE)+SUMIFS(Investors!$S:$S,Investors!$E:$E,Sales!$C233,Investors!$O:$O,FALSE))*$F233)</f>
        <v/>
      </c>
      <c r="S233" s="10">
        <f>IF(T233=FALSE,Q233-R233,+V233)</f>
        <v/>
      </c>
      <c r="T233" s="3">
        <f>IF(SUMIFS('Cashflow Projection'!$E$119:$E$151,'Cashflow Projection'!$D$119:$D$151,Sales!C233)&lt;&gt;0,TRUE,FALSE)</f>
        <v/>
      </c>
      <c r="U233" s="4" t="n">
        <v>45626</v>
      </c>
      <c r="V233" s="10" t="n">
        <v>282753.0636986298</v>
      </c>
      <c r="W233" s="11">
        <f>IF(SUMIFS('Cashflow Projection'!$E$119:$E$151,'Cashflow Projection'!$D$119:$D$151,Sales!C233)=1,SUMIFS('Cashflow Projection'!$C$119:$C$151,'Cashflow Projection'!$D$119:$D$151,Sales!C233),+Sales!H233)</f>
        <v/>
      </c>
      <c r="X233" s="11">
        <f>IF(MOD(MONTH(W233), 2) &lt;&gt; 0, EOMONTH(W233, 2), EOMONTH(W233, 1))</f>
        <v/>
      </c>
      <c r="Y233" s="11">
        <f>EOMONTH(X233,1)</f>
        <v/>
      </c>
      <c r="Z233" t="b">
        <v>0</v>
      </c>
    </row>
    <row r="234">
      <c r="A234" s="3" t="inlineStr">
        <is>
          <t>Heron View</t>
        </is>
      </c>
      <c r="B234" s="3" t="inlineStr">
        <is>
          <t>K</t>
        </is>
      </c>
      <c r="C234" s="3" t="inlineStr">
        <is>
          <t>HVK201</t>
        </is>
      </c>
      <c r="D234" s="3" t="b">
        <v>0</v>
      </c>
      <c r="E234" s="3" t="b">
        <v>0</v>
      </c>
      <c r="F234" s="3">
        <f>IF(OR(Z234=TRUE,SUMIFS('Cashflow Projection'!$E$119:$E$151,'Cashflow Projection'!$D$119:$D$151,Sales!C234)=1),0,SUMIFS('Cashflow Projection'!$C$7:$C$23,'Cashflow Projection'!$B$7:$B$23,Sales!B234,'Cashflow Projection'!$A$7:$A$23,Sales!A234))</f>
        <v/>
      </c>
      <c r="G234" s="4" t="n">
        <v>45510</v>
      </c>
      <c r="H234" s="4" t="n">
        <v>45625</v>
      </c>
      <c r="I234" s="3" t="n">
        <v>1499900</v>
      </c>
      <c r="J234" s="3" t="n">
        <v>195639.1304347826</v>
      </c>
      <c r="K234" s="3" t="n">
        <v>1304260.869565218</v>
      </c>
      <c r="L234" s="3" t="n">
        <v>18502.08</v>
      </c>
      <c r="M234" s="3" t="n">
        <v>1789</v>
      </c>
      <c r="N234" s="3" t="n">
        <v>7499.5</v>
      </c>
      <c r="O234" s="3" t="n">
        <v>74995</v>
      </c>
      <c r="P234" s="3" t="n">
        <v>19224.37</v>
      </c>
      <c r="Q234" s="9">
        <f>K234-SUM(L234:P234)</f>
        <v/>
      </c>
      <c r="R234" s="10">
        <f>IF($F234=1,((SUMIFS(Investors!$M:$M,Investors!$E:$E,Sales!$C234,Investors!$O:$O,FALSE)+SUMIFS(Investors!$S:$S,Investors!$E:$E,Sales!$C234,Investors!$O:$O,FALSE))*$F234)-SUMIFS('Investor Exit List'!$Q:$Q,'Investor Exit List'!$Y:$Y,1,'Investor Exit List'!$Z:$Z,"Release",'Investor Exit List'!$C:$C,Sales!$C234),(SUMIFS(Investors!$M:$M,Investors!$E:$E,Sales!$C234,Investors!$O:$O,FALSE)+SUMIFS(Investors!$S:$S,Investors!$E:$E,Sales!$C234,Investors!$O:$O,FALSE))*$F234)</f>
        <v/>
      </c>
      <c r="S234" s="10">
        <f>IF(T234=FALSE,Q234-R234,+V234)</f>
        <v/>
      </c>
      <c r="T234" s="3">
        <f>IF(SUMIFS('Cashflow Projection'!$E$119:$E$151,'Cashflow Projection'!$D$119:$D$151,Sales!C234)&lt;&gt;0,TRUE,FALSE)</f>
        <v/>
      </c>
      <c r="U234" s="4" t="n">
        <v>45688</v>
      </c>
      <c r="V234" s="10" t="n">
        <v>-58370.90890410985</v>
      </c>
      <c r="W234" s="11">
        <f>IF(SUMIFS('Cashflow Projection'!$E$119:$E$151,'Cashflow Projection'!$D$119:$D$151,Sales!C234)=1,SUMIFS('Cashflow Projection'!$C$119:$C$151,'Cashflow Projection'!$D$119:$D$151,Sales!C234),+Sales!H234)</f>
        <v/>
      </c>
      <c r="X234" s="11">
        <f>IF(MOD(MONTH(W234), 2) &lt;&gt; 0, EOMONTH(W234, 2), EOMONTH(W234, 1))</f>
        <v/>
      </c>
      <c r="Y234" s="11">
        <f>EOMONTH(X234,1)</f>
        <v/>
      </c>
      <c r="Z234" t="b">
        <v>0</v>
      </c>
    </row>
    <row r="235">
      <c r="A235" s="3" t="inlineStr">
        <is>
          <t>Heron View</t>
        </is>
      </c>
      <c r="B235" s="3" t="inlineStr">
        <is>
          <t>G</t>
        </is>
      </c>
      <c r="C235" s="3" t="inlineStr">
        <is>
          <t>HVG104</t>
        </is>
      </c>
      <c r="D235" s="3" t="b">
        <v>0</v>
      </c>
      <c r="E235" s="3" t="b">
        <v>0</v>
      </c>
      <c r="F235" s="3">
        <f>IF(OR(Z235=TRUE,SUMIFS('Cashflow Projection'!$E$119:$E$151,'Cashflow Projection'!$D$119:$D$151,Sales!C235)=1),0,SUMIFS('Cashflow Projection'!$C$7:$C$23,'Cashflow Projection'!$B$7:$B$23,Sales!B235,'Cashflow Projection'!$A$7:$A$23,Sales!A235))</f>
        <v/>
      </c>
      <c r="G235" s="4" t="n">
        <v>45523</v>
      </c>
      <c r="H235" s="4" t="n">
        <v>45532</v>
      </c>
      <c r="I235" s="3" t="n">
        <v>1649900</v>
      </c>
      <c r="J235" s="3" t="n">
        <v>215204.3478260869</v>
      </c>
      <c r="K235" s="3" t="n">
        <v>1434695.652173913</v>
      </c>
      <c r="L235" s="3" t="n">
        <v>18502.08</v>
      </c>
      <c r="M235" s="3" t="n">
        <v>1789</v>
      </c>
      <c r="N235" s="3" t="n">
        <v>8249.5</v>
      </c>
      <c r="O235" s="3" t="n">
        <v>82495</v>
      </c>
      <c r="P235" s="3" t="n">
        <v>19224.37</v>
      </c>
      <c r="Q235" s="9">
        <f>K235-SUM(L235:P235)</f>
        <v/>
      </c>
      <c r="R235" s="10">
        <f>IF($F235=1,((SUMIFS(Investors!$M:$M,Investors!$E:$E,Sales!$C235,Investors!$O:$O,FALSE)+SUMIFS(Investors!$S:$S,Investors!$E:$E,Sales!$C235,Investors!$O:$O,FALSE))*$F235)-SUMIFS('Investor Exit List'!$Q:$Q,'Investor Exit List'!$Y:$Y,1,'Investor Exit List'!$Z:$Z,"Release",'Investor Exit List'!$C:$C,Sales!$C235),(SUMIFS(Investors!$M:$M,Investors!$E:$E,Sales!$C235,Investors!$O:$O,FALSE)+SUMIFS(Investors!$S:$S,Investors!$E:$E,Sales!$C235,Investors!$O:$O,FALSE))*$F235)</f>
        <v/>
      </c>
      <c r="S235" s="10">
        <f>IF(T235=FALSE,Q235-R235,+V235)</f>
        <v/>
      </c>
      <c r="T235" s="3">
        <f>IF(SUMIFS('Cashflow Projection'!$E$119:$E$151,'Cashflow Projection'!$D$119:$D$151,Sales!C235)&lt;&gt;0,TRUE,FALSE)</f>
        <v/>
      </c>
      <c r="U235" s="4" t="n">
        <v>45565</v>
      </c>
      <c r="V235" s="10" t="n">
        <v>169984.7490986299</v>
      </c>
      <c r="W235" s="11">
        <f>IF(SUMIFS('Cashflow Projection'!$E$119:$E$151,'Cashflow Projection'!$D$119:$D$151,Sales!C235)=1,SUMIFS('Cashflow Projection'!$C$119:$C$151,'Cashflow Projection'!$D$119:$D$151,Sales!C235),+Sales!H235)</f>
        <v/>
      </c>
      <c r="X235" s="11">
        <f>IF(MOD(MONTH(W235), 2) &lt;&gt; 0, EOMONTH(W235, 2), EOMONTH(W235, 1))</f>
        <v/>
      </c>
      <c r="Y235" s="11">
        <f>EOMONTH(X235,1)</f>
        <v/>
      </c>
      <c r="Z235" t="b">
        <v>0</v>
      </c>
    </row>
    <row r="236">
      <c r="A236" s="3" t="inlineStr">
        <is>
          <t>Heron View</t>
        </is>
      </c>
      <c r="B236" s="3" t="inlineStr">
        <is>
          <t>K</t>
        </is>
      </c>
      <c r="C236" s="3" t="inlineStr">
        <is>
          <t>HVK102</t>
        </is>
      </c>
      <c r="D236" s="3" t="b">
        <v>0</v>
      </c>
      <c r="E236" s="3" t="b">
        <v>0</v>
      </c>
      <c r="F236" s="3">
        <f>IF(OR(Z236=TRUE,SUMIFS('Cashflow Projection'!$E$119:$E$151,'Cashflow Projection'!$D$119:$D$151,Sales!C236)=1),0,SUMIFS('Cashflow Projection'!$C$7:$C$23,'Cashflow Projection'!$B$7:$B$23,Sales!B236,'Cashflow Projection'!$A$7:$A$23,Sales!A236))</f>
        <v/>
      </c>
      <c r="G236" s="4" t="n">
        <v>45510</v>
      </c>
      <c r="H236" s="4" t="n">
        <v>45625</v>
      </c>
      <c r="I236" s="3" t="n">
        <v>1739900</v>
      </c>
      <c r="J236" s="3" t="n">
        <v>226943.4782608696</v>
      </c>
      <c r="K236" s="3" t="n">
        <v>1512956.521739131</v>
      </c>
      <c r="L236" s="3" t="n">
        <v>18502.08</v>
      </c>
      <c r="M236" s="3" t="n">
        <v>1789</v>
      </c>
      <c r="N236" s="3" t="n">
        <v>8699.5</v>
      </c>
      <c r="O236" s="3" t="n">
        <v>86995</v>
      </c>
      <c r="P236" s="3" t="n">
        <v>19224.37</v>
      </c>
      <c r="Q236" s="9">
        <f>K236-SUM(L236:P236)</f>
        <v/>
      </c>
      <c r="R236" s="10">
        <f>IF($F236=1,((SUMIFS(Investors!$M:$M,Investors!$E:$E,Sales!$C236,Investors!$O:$O,FALSE)+SUMIFS(Investors!$S:$S,Investors!$E:$E,Sales!$C236,Investors!$O:$O,FALSE))*$F236)-SUMIFS('Investor Exit List'!$Q:$Q,'Investor Exit List'!$Y:$Y,1,'Investor Exit List'!$Z:$Z,"Release",'Investor Exit List'!$C:$C,Sales!$C236),(SUMIFS(Investors!$M:$M,Investors!$E:$E,Sales!$C236,Investors!$O:$O,FALSE)+SUMIFS(Investors!$S:$S,Investors!$E:$E,Sales!$C236,Investors!$O:$O,FALSE))*$F236)</f>
        <v/>
      </c>
      <c r="S236" s="10">
        <f>IF(T236=FALSE,Q236-R236,+V236)</f>
        <v/>
      </c>
      <c r="T236" s="3">
        <f>IF(SUMIFS('Cashflow Projection'!$E$119:$E$151,'Cashflow Projection'!$D$119:$D$151,Sales!C236)&lt;&gt;0,TRUE,FALSE)</f>
        <v/>
      </c>
      <c r="U236" s="4" t="n">
        <v>45688</v>
      </c>
      <c r="V236" s="10" t="n">
        <v>166688.6801369861</v>
      </c>
      <c r="W236" s="11">
        <f>IF(SUMIFS('Cashflow Projection'!$E$119:$E$151,'Cashflow Projection'!$D$119:$D$151,Sales!C236)=1,SUMIFS('Cashflow Projection'!$C$119:$C$151,'Cashflow Projection'!$D$119:$D$151,Sales!C236),+Sales!H236)</f>
        <v/>
      </c>
      <c r="X236" s="11">
        <f>IF(MOD(MONTH(W236), 2) &lt;&gt; 0, EOMONTH(W236, 2), EOMONTH(W236, 1))</f>
        <v/>
      </c>
      <c r="Y236" s="11">
        <f>EOMONTH(X236,1)</f>
        <v/>
      </c>
      <c r="Z236" t="b">
        <v>0</v>
      </c>
    </row>
    <row r="237">
      <c r="A237" s="3" t="inlineStr">
        <is>
          <t>Heron View</t>
        </is>
      </c>
      <c r="B237" s="3" t="inlineStr">
        <is>
          <t>O</t>
        </is>
      </c>
      <c r="C237" s="3" t="inlineStr">
        <is>
          <t>HVO103</t>
        </is>
      </c>
      <c r="D237" s="3" t="b">
        <v>1</v>
      </c>
      <c r="E237" s="3" t="b">
        <v>0</v>
      </c>
      <c r="F237" s="3">
        <f>IF(OR(Z237=TRUE,SUMIFS('Cashflow Projection'!$E$119:$E$151,'Cashflow Projection'!$D$119:$D$151,Sales!C237)=1),0,SUMIFS('Cashflow Projection'!$C$7:$C$23,'Cashflow Projection'!$B$7:$B$23,Sales!B237,'Cashflow Projection'!$A$7:$A$23,Sales!A237))</f>
        <v/>
      </c>
      <c r="G237" s="4" t="n">
        <v>45518</v>
      </c>
      <c r="H237" s="4" t="n">
        <v>45518</v>
      </c>
      <c r="I237" s="3" t="n">
        <v>1659900</v>
      </c>
      <c r="J237" s="3" t="n">
        <v>216508.6956521739</v>
      </c>
      <c r="K237" s="3" t="n">
        <v>1443391.304347826</v>
      </c>
      <c r="L237" s="3" t="n">
        <v>18502.08</v>
      </c>
      <c r="M237" s="3" t="n">
        <v>1789</v>
      </c>
      <c r="N237" s="3" t="n">
        <v>8299.5</v>
      </c>
      <c r="O237" s="3" t="n">
        <v>82995</v>
      </c>
      <c r="P237" s="3" t="n">
        <v>19224.37</v>
      </c>
      <c r="Q237" s="9">
        <f>K237-SUM(L237:P237)</f>
        <v/>
      </c>
      <c r="R237" s="10">
        <f>IF($F237=1,((SUMIFS(Investors!$M:$M,Investors!$E:$E,Sales!$C237,Investors!$O:$O,FALSE)+SUMIFS(Investors!$S:$S,Investors!$E:$E,Sales!$C237,Investors!$O:$O,FALSE))*$F237)-SUMIFS('Investor Exit List'!$Q:$Q,'Investor Exit List'!$Y:$Y,1,'Investor Exit List'!$Z:$Z,"Release",'Investor Exit List'!$C:$C,Sales!$C237),(SUMIFS(Investors!$M:$M,Investors!$E:$E,Sales!$C237,Investors!$O:$O,FALSE)+SUMIFS(Investors!$S:$S,Investors!$E:$E,Sales!$C237,Investors!$O:$O,FALSE))*$F237)</f>
        <v/>
      </c>
      <c r="S237" s="10">
        <f>IF(T237=FALSE,Q237-R237,+V237)</f>
        <v/>
      </c>
      <c r="T237" s="3">
        <f>IF(SUMIFS('Cashflow Projection'!$E$119:$E$151,'Cashflow Projection'!$D$119:$D$151,Sales!C237)&lt;&gt;0,TRUE,FALSE)</f>
        <v/>
      </c>
      <c r="U237" s="4" t="n">
        <v>45565</v>
      </c>
      <c r="V237" s="10" t="n">
        <v>114546.5502426713</v>
      </c>
      <c r="W237" s="11">
        <f>IF(SUMIFS('Cashflow Projection'!$E$119:$E$151,'Cashflow Projection'!$D$119:$D$151,Sales!C237)=1,SUMIFS('Cashflow Projection'!$C$119:$C$151,'Cashflow Projection'!$D$119:$D$151,Sales!C237),+Sales!H237)</f>
        <v/>
      </c>
      <c r="X237" s="11">
        <f>IF(MOD(MONTH(W237), 2) &lt;&gt; 0, EOMONTH(W237, 2), EOMONTH(W237, 1))</f>
        <v/>
      </c>
      <c r="Y237" s="11">
        <f>EOMONTH(X237,1)</f>
        <v/>
      </c>
      <c r="Z237" t="b">
        <v>0</v>
      </c>
    </row>
    <row r="238">
      <c r="A238" s="3" t="inlineStr">
        <is>
          <t>Heron View</t>
        </is>
      </c>
      <c r="B238" s="3" t="inlineStr">
        <is>
          <t>H</t>
        </is>
      </c>
      <c r="C238" s="3" t="inlineStr">
        <is>
          <t>HVH204</t>
        </is>
      </c>
      <c r="D238" s="3" t="b">
        <v>1</v>
      </c>
      <c r="E238" s="3" t="b">
        <v>0</v>
      </c>
      <c r="F238" s="3">
        <f>IF(OR(Z238=TRUE,SUMIFS('Cashflow Projection'!$E$119:$E$151,'Cashflow Projection'!$D$119:$D$151,Sales!C238)=1),0,SUMIFS('Cashflow Projection'!$C$7:$C$23,'Cashflow Projection'!$B$7:$B$23,Sales!B238,'Cashflow Projection'!$A$7:$A$23,Sales!A238))</f>
        <v/>
      </c>
      <c r="G238" s="4" t="n">
        <v>45490</v>
      </c>
      <c r="H238" s="4" t="n">
        <v>45490</v>
      </c>
      <c r="I238" s="3" t="n">
        <v>1707999</v>
      </c>
      <c r="J238" s="3" t="n">
        <v>222782.4782608696</v>
      </c>
      <c r="K238" s="3" t="n">
        <v>1485216.521739131</v>
      </c>
      <c r="L238" s="3" t="n">
        <v>18502.08</v>
      </c>
      <c r="M238" s="3" t="n">
        <v>1789</v>
      </c>
      <c r="N238" s="3" t="n">
        <v>8539.995000000001</v>
      </c>
      <c r="O238" s="3" t="n">
        <v>85399.95000000001</v>
      </c>
      <c r="P238" s="3" t="n">
        <v>19224.37</v>
      </c>
      <c r="Q238" s="9">
        <f>K238-SUM(L238:P238)</f>
        <v/>
      </c>
      <c r="R238" s="10">
        <f>IF($F238=1,((SUMIFS(Investors!$M:$M,Investors!$E:$E,Sales!$C238,Investors!$O:$O,FALSE)+SUMIFS(Investors!$S:$S,Investors!$E:$E,Sales!$C238,Investors!$O:$O,FALSE))*$F238)-SUMIFS('Investor Exit List'!$Q:$Q,'Investor Exit List'!$Y:$Y,1,'Investor Exit List'!$Z:$Z,"Release",'Investor Exit List'!$C:$C,Sales!$C238),(SUMIFS(Investors!$M:$M,Investors!$E:$E,Sales!$C238,Investors!$O:$O,FALSE)+SUMIFS(Investors!$S:$S,Investors!$E:$E,Sales!$C238,Investors!$O:$O,FALSE))*$F238)</f>
        <v/>
      </c>
      <c r="S238" s="10">
        <f>IF(T238=FALSE,Q238-R238,+V238)</f>
        <v/>
      </c>
      <c r="T238" s="3">
        <f>IF(SUMIFS('Cashflow Projection'!$E$119:$E$151,'Cashflow Projection'!$D$119:$D$151,Sales!C238)&lt;&gt;0,TRUE,FALSE)</f>
        <v/>
      </c>
      <c r="U238" s="4" t="n">
        <v>45565</v>
      </c>
      <c r="V238" s="10" t="n">
        <v>350529.9063698628</v>
      </c>
      <c r="W238" s="11">
        <f>IF(SUMIFS('Cashflow Projection'!$E$119:$E$151,'Cashflow Projection'!$D$119:$D$151,Sales!C238)=1,SUMIFS('Cashflow Projection'!$C$119:$C$151,'Cashflow Projection'!$D$119:$D$151,Sales!C238),+Sales!H238)</f>
        <v/>
      </c>
      <c r="X238" s="11">
        <f>IF(MOD(MONTH(W238), 2) &lt;&gt; 0, EOMONTH(W238, 2), EOMONTH(W238, 1))</f>
        <v/>
      </c>
      <c r="Y238" s="11">
        <f>EOMONTH(X238,1)</f>
        <v/>
      </c>
      <c r="Z238" t="b">
        <v>0</v>
      </c>
    </row>
    <row r="239">
      <c r="A239" s="3" t="inlineStr">
        <is>
          <t>Heron View</t>
        </is>
      </c>
      <c r="B239" s="3" t="inlineStr">
        <is>
          <t>O</t>
        </is>
      </c>
      <c r="C239" s="3" t="inlineStr">
        <is>
          <t>HVO102</t>
        </is>
      </c>
      <c r="D239" s="3" t="b">
        <v>1</v>
      </c>
      <c r="E239" s="3" t="b">
        <v>0</v>
      </c>
      <c r="F239" s="3">
        <f>IF(OR(Z239=TRUE,SUMIFS('Cashflow Projection'!$E$119:$E$151,'Cashflow Projection'!$D$119:$D$151,Sales!C239)=1),0,SUMIFS('Cashflow Projection'!$C$7:$C$23,'Cashflow Projection'!$B$7:$B$23,Sales!B239,'Cashflow Projection'!$A$7:$A$23,Sales!A239))</f>
        <v/>
      </c>
      <c r="G239" s="4" t="n">
        <v>45518</v>
      </c>
      <c r="H239" s="4" t="n">
        <v>45518</v>
      </c>
      <c r="I239" s="3" t="n">
        <v>1659900</v>
      </c>
      <c r="J239" s="3" t="n">
        <v>216508.6956521739</v>
      </c>
      <c r="K239" s="3" t="n">
        <v>1443391.304347826</v>
      </c>
      <c r="L239" s="3" t="n">
        <v>18502.08</v>
      </c>
      <c r="M239" s="3" t="n">
        <v>1789</v>
      </c>
      <c r="N239" s="3" t="n">
        <v>8299.5</v>
      </c>
      <c r="O239" s="3" t="n">
        <v>82995</v>
      </c>
      <c r="P239" s="3" t="n">
        <v>19224.37</v>
      </c>
      <c r="Q239" s="9">
        <f>K239-SUM(L239:P239)</f>
        <v/>
      </c>
      <c r="R239" s="10">
        <f>IF($F239=1,((SUMIFS(Investors!$M:$M,Investors!$E:$E,Sales!$C239,Investors!$O:$O,FALSE)+SUMIFS(Investors!$S:$S,Investors!$E:$E,Sales!$C239,Investors!$O:$O,FALSE))*$F239)-SUMIFS('Investor Exit List'!$Q:$Q,'Investor Exit List'!$Y:$Y,1,'Investor Exit List'!$Z:$Z,"Release",'Investor Exit List'!$C:$C,Sales!$C239),(SUMIFS(Investors!$M:$M,Investors!$E:$E,Sales!$C239,Investors!$O:$O,FALSE)+SUMIFS(Investors!$S:$S,Investors!$E:$E,Sales!$C239,Investors!$O:$O,FALSE))*$F239)</f>
        <v/>
      </c>
      <c r="S239" s="10">
        <f>IF(T239=FALSE,Q239-R239,+V239)</f>
        <v/>
      </c>
      <c r="T239" s="3">
        <f>IF(SUMIFS('Cashflow Projection'!$E$119:$E$151,'Cashflow Projection'!$D$119:$D$151,Sales!C239)&lt;&gt;0,TRUE,FALSE)</f>
        <v/>
      </c>
      <c r="U239" s="4" t="n">
        <v>45565</v>
      </c>
      <c r="V239" s="10" t="n">
        <v>161468.4996656161</v>
      </c>
      <c r="W239" s="11">
        <f>IF(SUMIFS('Cashflow Projection'!$E$119:$E$151,'Cashflow Projection'!$D$119:$D$151,Sales!C239)=1,SUMIFS('Cashflow Projection'!$C$119:$C$151,'Cashflow Projection'!$D$119:$D$151,Sales!C239),+Sales!H239)</f>
        <v/>
      </c>
      <c r="X239" s="11">
        <f>IF(MOD(MONTH(W239), 2) &lt;&gt; 0, EOMONTH(W239, 2), EOMONTH(W239, 1))</f>
        <v/>
      </c>
      <c r="Y239" s="11">
        <f>EOMONTH(X239,1)</f>
        <v/>
      </c>
      <c r="Z239" t="b">
        <v>0</v>
      </c>
    </row>
    <row r="240">
      <c r="A240" s="3" t="inlineStr">
        <is>
          <t>Heron View</t>
        </is>
      </c>
      <c r="B240" s="3" t="inlineStr">
        <is>
          <t>F</t>
        </is>
      </c>
      <c r="C240" s="3" t="inlineStr">
        <is>
          <t>HVF102</t>
        </is>
      </c>
      <c r="D240" s="3" t="b">
        <v>0</v>
      </c>
      <c r="E240" s="3" t="b">
        <v>0</v>
      </c>
      <c r="F240" s="3">
        <f>IF(OR(Z240=TRUE,SUMIFS('Cashflow Projection'!$E$119:$E$151,'Cashflow Projection'!$D$119:$D$151,Sales!C240)=1),0,SUMIFS('Cashflow Projection'!$C$7:$C$23,'Cashflow Projection'!$B$7:$B$23,Sales!B240,'Cashflow Projection'!$A$7:$A$23,Sales!A240))</f>
        <v/>
      </c>
      <c r="G240" s="4" t="n">
        <v>45517</v>
      </c>
      <c r="H240" s="4" t="n">
        <v>45722</v>
      </c>
      <c r="I240" s="3" t="n">
        <v>1619900</v>
      </c>
      <c r="J240" s="3" t="n">
        <v>211291.3043478261</v>
      </c>
      <c r="K240" s="3" t="n">
        <v>1408608.695652174</v>
      </c>
      <c r="L240" s="3" t="n">
        <v>18502.08</v>
      </c>
      <c r="M240" s="3" t="n">
        <v>1789</v>
      </c>
      <c r="N240" s="3" t="n">
        <v>8099.5</v>
      </c>
      <c r="O240" s="3" t="n">
        <v>80995</v>
      </c>
      <c r="P240" s="3" t="n">
        <v>19224.37</v>
      </c>
      <c r="Q240" s="9">
        <f>K240-SUM(L240:P240)</f>
        <v/>
      </c>
      <c r="R240" s="10">
        <f>IF($F240=1,((SUMIFS(Investors!$M:$M,Investors!$E:$E,Sales!$C240,Investors!$O:$O,FALSE)+SUMIFS(Investors!$S:$S,Investors!$E:$E,Sales!$C240,Investors!$O:$O,FALSE))*$F240)-SUMIFS('Investor Exit List'!$Q:$Q,'Investor Exit List'!$Y:$Y,1,'Investor Exit List'!$Z:$Z,"Release",'Investor Exit List'!$C:$C,Sales!$C240),(SUMIFS(Investors!$M:$M,Investors!$E:$E,Sales!$C240,Investors!$O:$O,FALSE)+SUMIFS(Investors!$S:$S,Investors!$E:$E,Sales!$C240,Investors!$O:$O,FALSE))*$F240)</f>
        <v/>
      </c>
      <c r="S240" s="10">
        <f>IF(T240=FALSE,Q240-R240,+V240)</f>
        <v/>
      </c>
      <c r="T240" s="3">
        <f>IF(SUMIFS('Cashflow Projection'!$E$119:$E$151,'Cashflow Projection'!$D$119:$D$151,Sales!C240)&lt;&gt;0,TRUE,FALSE)</f>
        <v/>
      </c>
      <c r="U240" s="4" t="n">
        <v>45808</v>
      </c>
      <c r="V240" s="10" t="n">
        <v>279221.2483942464</v>
      </c>
      <c r="W240" s="11">
        <f>IF(SUMIFS('Cashflow Projection'!$E$119:$E$151,'Cashflow Projection'!$D$119:$D$151,Sales!C240)=1,SUMIFS('Cashflow Projection'!$C$119:$C$151,'Cashflow Projection'!$D$119:$D$151,Sales!C240),+Sales!H240)</f>
        <v/>
      </c>
      <c r="X240" s="11">
        <f>IF(MOD(MONTH(W240), 2) &lt;&gt; 0, EOMONTH(W240, 2), EOMONTH(W240, 1))</f>
        <v/>
      </c>
      <c r="Y240" s="11">
        <f>EOMONTH(X240,1)</f>
        <v/>
      </c>
      <c r="Z240" t="b">
        <v>0</v>
      </c>
    </row>
    <row r="241">
      <c r="A241" s="3" t="inlineStr">
        <is>
          <t>Heron View</t>
        </is>
      </c>
      <c r="B241" s="3" t="inlineStr">
        <is>
          <t>G</t>
        </is>
      </c>
      <c r="C241" s="3" t="inlineStr">
        <is>
          <t>HVG301</t>
        </is>
      </c>
      <c r="D241" s="3" t="b">
        <v>0</v>
      </c>
      <c r="E241" s="3" t="b">
        <v>0</v>
      </c>
      <c r="F241" s="3">
        <f>IF(OR(Z241=TRUE,SUMIFS('Cashflow Projection'!$E$119:$E$151,'Cashflow Projection'!$D$119:$D$151,Sales!C241)=1),0,SUMIFS('Cashflow Projection'!$C$7:$C$23,'Cashflow Projection'!$B$7:$B$23,Sales!B241,'Cashflow Projection'!$A$7:$A$23,Sales!A241))</f>
        <v/>
      </c>
      <c r="G241" s="4" t="n">
        <v>45523</v>
      </c>
      <c r="H241" s="4" t="n">
        <v>45532</v>
      </c>
      <c r="I241" s="3" t="n">
        <v>1499900</v>
      </c>
      <c r="J241" s="3" t="n">
        <v>195639.1304347826</v>
      </c>
      <c r="K241" s="3" t="n">
        <v>1304260.869565218</v>
      </c>
      <c r="L241" s="3" t="n">
        <v>18502.08</v>
      </c>
      <c r="M241" s="3" t="n">
        <v>1789</v>
      </c>
      <c r="N241" s="3" t="n">
        <v>7499.5</v>
      </c>
      <c r="O241" s="3" t="n">
        <v>74995</v>
      </c>
      <c r="P241" s="3" t="n">
        <v>19224.37</v>
      </c>
      <c r="Q241" s="9">
        <f>K241-SUM(L241:P241)</f>
        <v/>
      </c>
      <c r="R241" s="10">
        <f>IF($F241=1,((SUMIFS(Investors!$M:$M,Investors!$E:$E,Sales!$C241,Investors!$O:$O,FALSE)+SUMIFS(Investors!$S:$S,Investors!$E:$E,Sales!$C241,Investors!$O:$O,FALSE))*$F241)-SUMIFS('Investor Exit List'!$Q:$Q,'Investor Exit List'!$Y:$Y,1,'Investor Exit List'!$Z:$Z,"Release",'Investor Exit List'!$C:$C,Sales!$C241),(SUMIFS(Investors!$M:$M,Investors!$E:$E,Sales!$C241,Investors!$O:$O,FALSE)+SUMIFS(Investors!$S:$S,Investors!$E:$E,Sales!$C241,Investors!$O:$O,FALSE))*$F241)</f>
        <v/>
      </c>
      <c r="S241" s="10">
        <f>IF(T241=FALSE,Q241-R241,+V241)</f>
        <v/>
      </c>
      <c r="T241" s="3">
        <f>IF(SUMIFS('Cashflow Projection'!$E$119:$E$151,'Cashflow Projection'!$D$119:$D$151,Sales!C241)&lt;&gt;0,TRUE,FALSE)</f>
        <v/>
      </c>
      <c r="U241" s="4" t="n">
        <v>45565</v>
      </c>
      <c r="V241" s="10" t="n">
        <v>64244.84452054766</v>
      </c>
      <c r="W241" s="11">
        <f>IF(SUMIFS('Cashflow Projection'!$E$119:$E$151,'Cashflow Projection'!$D$119:$D$151,Sales!C241)=1,SUMIFS('Cashflow Projection'!$C$119:$C$151,'Cashflow Projection'!$D$119:$D$151,Sales!C241),+Sales!H241)</f>
        <v/>
      </c>
      <c r="X241" s="11">
        <f>IF(MOD(MONTH(W241), 2) &lt;&gt; 0, EOMONTH(W241, 2), EOMONTH(W241, 1))</f>
        <v/>
      </c>
      <c r="Y241" s="11">
        <f>EOMONTH(X241,1)</f>
        <v/>
      </c>
      <c r="Z241" t="b">
        <v>0</v>
      </c>
    </row>
    <row r="242">
      <c r="A242" s="3" t="inlineStr">
        <is>
          <t>Heron View</t>
        </is>
      </c>
      <c r="B242" s="3" t="inlineStr">
        <is>
          <t>O</t>
        </is>
      </c>
      <c r="C242" s="3" t="inlineStr">
        <is>
          <t>HVO304</t>
        </is>
      </c>
      <c r="D242" s="3" t="b">
        <v>0</v>
      </c>
      <c r="E242" s="3" t="b">
        <v>0</v>
      </c>
      <c r="F242" s="3">
        <f>IF(OR(Z242=TRUE,SUMIFS('Cashflow Projection'!$E$119:$E$151,'Cashflow Projection'!$D$119:$D$151,Sales!C242)=1),0,SUMIFS('Cashflow Projection'!$C$7:$C$23,'Cashflow Projection'!$B$7:$B$23,Sales!B242,'Cashflow Projection'!$A$7:$A$23,Sales!A242))</f>
        <v/>
      </c>
      <c r="G242" s="4" t="n">
        <v>45518</v>
      </c>
      <c r="H242" s="4" t="n">
        <v>45518</v>
      </c>
      <c r="I242" s="3" t="n">
        <v>1689900</v>
      </c>
      <c r="J242" s="3" t="n">
        <v>220421.7391304348</v>
      </c>
      <c r="K242" s="3" t="n">
        <v>1469478.260869565</v>
      </c>
      <c r="L242" s="3" t="n">
        <v>18502.08</v>
      </c>
      <c r="M242" s="3" t="n">
        <v>1789</v>
      </c>
      <c r="N242" s="3" t="n">
        <v>8449.5</v>
      </c>
      <c r="O242" s="3" t="n">
        <v>84495</v>
      </c>
      <c r="P242" s="3" t="n">
        <v>19224.37</v>
      </c>
      <c r="Q242" s="9">
        <f>K242-SUM(L242:P242)</f>
        <v/>
      </c>
      <c r="R242" s="10">
        <f>IF($F242=1,((SUMIFS(Investors!$M:$M,Investors!$E:$E,Sales!$C242,Investors!$O:$O,FALSE)+SUMIFS(Investors!$S:$S,Investors!$E:$E,Sales!$C242,Investors!$O:$O,FALSE))*$F242)-SUMIFS('Investor Exit List'!$Q:$Q,'Investor Exit List'!$Y:$Y,1,'Investor Exit List'!$Z:$Z,"Release",'Investor Exit List'!$C:$C,Sales!$C242),(SUMIFS(Investors!$M:$M,Investors!$E:$E,Sales!$C242,Investors!$O:$O,FALSE)+SUMIFS(Investors!$S:$S,Investors!$E:$E,Sales!$C242,Investors!$O:$O,FALSE))*$F242)</f>
        <v/>
      </c>
      <c r="S242" s="10">
        <f>IF(T242=FALSE,Q242-R242,+V242)</f>
        <v/>
      </c>
      <c r="T242" s="3">
        <f>IF(SUMIFS('Cashflow Projection'!$E$119:$E$151,'Cashflow Projection'!$D$119:$D$151,Sales!C242)&lt;&gt;0,TRUE,FALSE)</f>
        <v/>
      </c>
      <c r="U242" s="4" t="n">
        <v>45565</v>
      </c>
      <c r="V242" s="10" t="n">
        <v>237373.9082991779</v>
      </c>
      <c r="W242" s="11">
        <f>IF(SUMIFS('Cashflow Projection'!$E$119:$E$151,'Cashflow Projection'!$D$119:$D$151,Sales!C242)=1,SUMIFS('Cashflow Projection'!$C$119:$C$151,'Cashflow Projection'!$D$119:$D$151,Sales!C242),+Sales!H242)</f>
        <v/>
      </c>
      <c r="X242" s="11">
        <f>IF(MOD(MONTH(W242), 2) &lt;&gt; 0, EOMONTH(W242, 2), EOMONTH(W242, 1))</f>
        <v/>
      </c>
      <c r="Y242" s="11">
        <f>EOMONTH(X242,1)</f>
        <v/>
      </c>
      <c r="Z242" t="b">
        <v>0</v>
      </c>
    </row>
    <row r="243">
      <c r="A243" s="3" t="inlineStr">
        <is>
          <t>Endulini</t>
        </is>
      </c>
      <c r="B243" s="3" t="inlineStr">
        <is>
          <t>A</t>
        </is>
      </c>
      <c r="C243" s="3" t="inlineStr">
        <is>
          <t>EA204</t>
        </is>
      </c>
      <c r="D243" s="3" t="b">
        <v>1</v>
      </c>
      <c r="E243" s="3" t="b">
        <v>1</v>
      </c>
      <c r="F243" s="3">
        <f>IF(OR(Z243=TRUE,SUMIFS('Cashflow Projection'!$E$119:$E$151,'Cashflow Projection'!$D$119:$D$151,Sales!C243)=1),0,SUMIFS('Cashflow Projection'!$C$7:$C$23,'Cashflow Projection'!$B$7:$B$23,Sales!B243,'Cashflow Projection'!$A$7:$A$23,Sales!A243))</f>
        <v/>
      </c>
      <c r="G243" s="4" t="n">
        <v>45274</v>
      </c>
      <c r="H243" s="4" t="n">
        <v>45688</v>
      </c>
      <c r="I243" s="3" t="n">
        <v>1499900</v>
      </c>
      <c r="J243" s="3" t="n">
        <v>195639.1304347826</v>
      </c>
      <c r="K243" s="3" t="n">
        <v>1304260.869565218</v>
      </c>
      <c r="L243" s="3" t="n">
        <v>18502.08</v>
      </c>
      <c r="M243" s="3" t="n">
        <v>1789</v>
      </c>
      <c r="N243" s="3" t="n">
        <v>7499.5</v>
      </c>
      <c r="O243" s="3" t="n">
        <v>74995</v>
      </c>
      <c r="P243" s="3" t="n">
        <v>19224.37</v>
      </c>
      <c r="Q243" s="9">
        <f>K243-SUM(L243:P243)</f>
        <v/>
      </c>
      <c r="R243" s="10">
        <f>IF($F243=1,((SUMIFS(Investors!$M:$M,Investors!$E:$E,Sales!$C243,Investors!$O:$O,FALSE)+SUMIFS(Investors!$S:$S,Investors!$E:$E,Sales!$C243,Investors!$O:$O,FALSE))*$F243)-SUMIFS('Investor Exit List'!$Q:$Q,'Investor Exit List'!$Y:$Y,1,'Investor Exit List'!$Z:$Z,"Release",'Investor Exit List'!$C:$C,Sales!$C243),(SUMIFS(Investors!$M:$M,Investors!$E:$E,Sales!$C243,Investors!$O:$O,FALSE)+SUMIFS(Investors!$S:$S,Investors!$E:$E,Sales!$C243,Investors!$O:$O,FALSE))*$F243)</f>
        <v/>
      </c>
      <c r="S243" s="10">
        <f>IF(T243=FALSE,Q243-R243,+V243)</f>
        <v/>
      </c>
      <c r="T243" s="3">
        <f>IF(SUMIFS('Cashflow Projection'!$E$119:$E$151,'Cashflow Projection'!$D$119:$D$151,Sales!C243)&lt;&gt;0,TRUE,FALSE)</f>
        <v/>
      </c>
      <c r="U243" s="4" t="n">
        <v>45747</v>
      </c>
      <c r="V243" s="10" t="n">
        <v>133229.776027397</v>
      </c>
      <c r="W243" s="11">
        <f>IF(SUMIFS('Cashflow Projection'!$E$119:$E$151,'Cashflow Projection'!$D$119:$D$151,Sales!C243)=1,SUMIFS('Cashflow Projection'!$C$119:$C$151,'Cashflow Projection'!$D$119:$D$151,Sales!C243),+Sales!H243)</f>
        <v/>
      </c>
      <c r="X243" s="11">
        <f>IF(MOD(MONTH(W243), 2) &lt;&gt; 0, EOMONTH(W243, 2), EOMONTH(W243, 1))</f>
        <v/>
      </c>
      <c r="Y243" s="11">
        <f>EOMONTH(X243,1)</f>
        <v/>
      </c>
      <c r="Z243" t="b">
        <v>0</v>
      </c>
    </row>
    <row r="244">
      <c r="A244" s="3" t="inlineStr">
        <is>
          <t>Endulini</t>
        </is>
      </c>
      <c r="B244" s="3" t="inlineStr">
        <is>
          <t>A</t>
        </is>
      </c>
      <c r="C244" s="3" t="inlineStr">
        <is>
          <t>EA304</t>
        </is>
      </c>
      <c r="D244" s="3" t="b">
        <v>1</v>
      </c>
      <c r="E244" s="3" t="b">
        <v>1</v>
      </c>
      <c r="F244" s="3">
        <f>IF(OR(Z244=TRUE,SUMIFS('Cashflow Projection'!$E$119:$E$151,'Cashflow Projection'!$D$119:$D$151,Sales!C244)=1),0,SUMIFS('Cashflow Projection'!$C$7:$C$23,'Cashflow Projection'!$B$7:$B$23,Sales!B244,'Cashflow Projection'!$A$7:$A$23,Sales!A244))</f>
        <v/>
      </c>
      <c r="G244" s="4" t="n">
        <v>45264</v>
      </c>
      <c r="H244" s="4" t="n">
        <v>45688</v>
      </c>
      <c r="I244" s="3" t="n">
        <v>1559900</v>
      </c>
      <c r="J244" s="3" t="n">
        <v>203465.2173913044</v>
      </c>
      <c r="K244" s="3" t="n">
        <v>1356434.782608696</v>
      </c>
      <c r="L244" s="3" t="n">
        <v>18502.08</v>
      </c>
      <c r="M244" s="3" t="n">
        <v>1789</v>
      </c>
      <c r="N244" s="3" t="n">
        <v>7799.5</v>
      </c>
      <c r="O244" s="3" t="n">
        <v>77995</v>
      </c>
      <c r="P244" s="3" t="n">
        <v>19224.37</v>
      </c>
      <c r="Q244" s="9">
        <f>K244-SUM(L244:P244)</f>
        <v/>
      </c>
      <c r="R244" s="10">
        <f>IF($F244=1,((SUMIFS(Investors!$M:$M,Investors!$E:$E,Sales!$C244,Investors!$O:$O,FALSE)+SUMIFS(Investors!$S:$S,Investors!$E:$E,Sales!$C244,Investors!$O:$O,FALSE))*$F244)-SUMIFS('Investor Exit List'!$Q:$Q,'Investor Exit List'!$Y:$Y,1,'Investor Exit List'!$Z:$Z,"Release",'Investor Exit List'!$C:$C,Sales!$C244),(SUMIFS(Investors!$M:$M,Investors!$E:$E,Sales!$C244,Investors!$O:$O,FALSE)+SUMIFS(Investors!$S:$S,Investors!$E:$E,Sales!$C244,Investors!$O:$O,FALSE))*$F244)</f>
        <v/>
      </c>
      <c r="S244" s="10">
        <f>IF(T244=FALSE,Q244-R244,+V244)</f>
        <v/>
      </c>
      <c r="T244" s="3">
        <f>IF(SUMIFS('Cashflow Projection'!$E$119:$E$151,'Cashflow Projection'!$D$119:$D$151,Sales!C244)&lt;&gt;0,TRUE,FALSE)</f>
        <v/>
      </c>
      <c r="U244" s="4" t="n">
        <v>45747</v>
      </c>
      <c r="V244" s="10" t="n">
        <v>324976.3513698627</v>
      </c>
      <c r="W244" s="11">
        <f>IF(SUMIFS('Cashflow Projection'!$E$119:$E$151,'Cashflow Projection'!$D$119:$D$151,Sales!C244)=1,SUMIFS('Cashflow Projection'!$C$119:$C$151,'Cashflow Projection'!$D$119:$D$151,Sales!C244),+Sales!H244)</f>
        <v/>
      </c>
      <c r="X244" s="11">
        <f>IF(MOD(MONTH(W244), 2) &lt;&gt; 0, EOMONTH(W244, 2), EOMONTH(W244, 1))</f>
        <v/>
      </c>
      <c r="Y244" s="11">
        <f>EOMONTH(X244,1)</f>
        <v/>
      </c>
      <c r="Z244" t="b">
        <v>0</v>
      </c>
    </row>
    <row r="245">
      <c r="A245" s="3" t="inlineStr">
        <is>
          <t>Endulini</t>
        </is>
      </c>
      <c r="B245" s="3" t="inlineStr">
        <is>
          <t>C</t>
        </is>
      </c>
      <c r="C245" s="3" t="inlineStr">
        <is>
          <t>EC102</t>
        </is>
      </c>
      <c r="D245" s="3" t="b">
        <v>1</v>
      </c>
      <c r="E245" s="3" t="b">
        <v>1</v>
      </c>
      <c r="F245" s="3">
        <f>IF(OR(Z245=TRUE,SUMIFS('Cashflow Projection'!$E$119:$E$151,'Cashflow Projection'!$D$119:$D$151,Sales!C245)=1),0,SUMIFS('Cashflow Projection'!$C$7:$C$23,'Cashflow Projection'!$B$7:$B$23,Sales!B245,'Cashflow Projection'!$A$7:$A$23,Sales!A245))</f>
        <v/>
      </c>
      <c r="G245" s="4" t="n">
        <v>44841</v>
      </c>
      <c r="H245" s="4" t="n">
        <v>45688</v>
      </c>
      <c r="I245" s="3" t="n">
        <v>1559900</v>
      </c>
      <c r="J245" s="3" t="n">
        <v>203465.2173913044</v>
      </c>
      <c r="K245" s="3" t="n">
        <v>1356434.782608696</v>
      </c>
      <c r="L245" s="3" t="n">
        <v>18502.08</v>
      </c>
      <c r="M245" s="3" t="n">
        <v>1789</v>
      </c>
      <c r="N245" s="3" t="n">
        <v>7799.5</v>
      </c>
      <c r="O245" s="3" t="n">
        <v>77995</v>
      </c>
      <c r="P245" s="3" t="n">
        <v>19224.37</v>
      </c>
      <c r="Q245" s="9">
        <f>K245-SUM(L245:P245)</f>
        <v/>
      </c>
      <c r="R245" s="10">
        <f>IF($F245=1,((SUMIFS(Investors!$M:$M,Investors!$E:$E,Sales!$C245,Investors!$O:$O,FALSE)+SUMIFS(Investors!$S:$S,Investors!$E:$E,Sales!$C245,Investors!$O:$O,FALSE))*$F245)-SUMIFS('Investor Exit List'!$Q:$Q,'Investor Exit List'!$Y:$Y,1,'Investor Exit List'!$Z:$Z,"Release",'Investor Exit List'!$C:$C,Sales!$C245),(SUMIFS(Investors!$M:$M,Investors!$E:$E,Sales!$C245,Investors!$O:$O,FALSE)+SUMIFS(Investors!$S:$S,Investors!$E:$E,Sales!$C245,Investors!$O:$O,FALSE))*$F245)</f>
        <v/>
      </c>
      <c r="S245" s="10">
        <f>IF(T245=FALSE,Q245-R245,+V245)</f>
        <v/>
      </c>
      <c r="T245" s="3">
        <f>IF(SUMIFS('Cashflow Projection'!$E$119:$E$151,'Cashflow Projection'!$D$119:$D$151,Sales!C245)&lt;&gt;0,TRUE,FALSE)</f>
        <v/>
      </c>
      <c r="U245" s="4" t="n">
        <v>45747</v>
      </c>
      <c r="V245" s="10" t="n">
        <v>242139.7075342464</v>
      </c>
      <c r="W245" s="11">
        <f>IF(SUMIFS('Cashflow Projection'!$E$119:$E$151,'Cashflow Projection'!$D$119:$D$151,Sales!C245)=1,SUMIFS('Cashflow Projection'!$C$119:$C$151,'Cashflow Projection'!$D$119:$D$151,Sales!C245),+Sales!H245)</f>
        <v/>
      </c>
      <c r="X245" s="11">
        <f>IF(MOD(MONTH(W245), 2) &lt;&gt; 0, EOMONTH(W245, 2), EOMONTH(W245, 1))</f>
        <v/>
      </c>
      <c r="Y245" s="11">
        <f>EOMONTH(X245,1)</f>
        <v/>
      </c>
      <c r="Z245" t="b">
        <v>0</v>
      </c>
    </row>
    <row r="246">
      <c r="A246" s="3" t="inlineStr">
        <is>
          <t>Endulini</t>
        </is>
      </c>
      <c r="B246" s="3" t="inlineStr">
        <is>
          <t>B</t>
        </is>
      </c>
      <c r="C246" s="3" t="inlineStr">
        <is>
          <t>EB203</t>
        </is>
      </c>
      <c r="D246" s="3" t="b">
        <v>1</v>
      </c>
      <c r="E246" s="3" t="b">
        <v>1</v>
      </c>
      <c r="F246" s="3">
        <f>IF(OR(Z246=TRUE,SUMIFS('Cashflow Projection'!$E$119:$E$151,'Cashflow Projection'!$D$119:$D$151,Sales!C246)=1),0,SUMIFS('Cashflow Projection'!$C$7:$C$23,'Cashflow Projection'!$B$7:$B$23,Sales!B246,'Cashflow Projection'!$A$7:$A$23,Sales!A246))</f>
        <v/>
      </c>
      <c r="G246" s="4" t="n">
        <v>45265</v>
      </c>
      <c r="H246" s="4" t="n">
        <v>45688</v>
      </c>
      <c r="I246" s="3" t="n">
        <v>1499900</v>
      </c>
      <c r="J246" s="3" t="n">
        <v>195639.1304347826</v>
      </c>
      <c r="K246" s="3" t="n">
        <v>1304260.869565218</v>
      </c>
      <c r="L246" s="3" t="n">
        <v>18502.08</v>
      </c>
      <c r="M246" s="3" t="n">
        <v>1789</v>
      </c>
      <c r="N246" s="3" t="n">
        <v>7499.5</v>
      </c>
      <c r="O246" s="3" t="n">
        <v>74995</v>
      </c>
      <c r="P246" s="3" t="n">
        <v>19224.37</v>
      </c>
      <c r="Q246" s="9">
        <f>K246-SUM(L246:P246)</f>
        <v/>
      </c>
      <c r="R246" s="10">
        <f>IF($F246=1,((SUMIFS(Investors!$M:$M,Investors!$E:$E,Sales!$C246,Investors!$O:$O,FALSE)+SUMIFS(Investors!$S:$S,Investors!$E:$E,Sales!$C246,Investors!$O:$O,FALSE))*$F246)-SUMIFS('Investor Exit List'!$Q:$Q,'Investor Exit List'!$Y:$Y,1,'Investor Exit List'!$Z:$Z,"Release",'Investor Exit List'!$C:$C,Sales!$C246),(SUMIFS(Investors!$M:$M,Investors!$E:$E,Sales!$C246,Investors!$O:$O,FALSE)+SUMIFS(Investors!$S:$S,Investors!$E:$E,Sales!$C246,Investors!$O:$O,FALSE))*$F246)</f>
        <v/>
      </c>
      <c r="S246" s="10">
        <f>IF(T246=FALSE,Q246-R246,+V246)</f>
        <v/>
      </c>
      <c r="T246" s="3">
        <f>IF(SUMIFS('Cashflow Projection'!$E$119:$E$151,'Cashflow Projection'!$D$119:$D$151,Sales!C246)&lt;&gt;0,TRUE,FALSE)</f>
        <v/>
      </c>
      <c r="U246" s="4" t="n">
        <v>45747</v>
      </c>
      <c r="V246" s="10" t="n">
        <v>156079.0212124656</v>
      </c>
      <c r="W246" s="11">
        <f>IF(SUMIFS('Cashflow Projection'!$E$119:$E$151,'Cashflow Projection'!$D$119:$D$151,Sales!C246)=1,SUMIFS('Cashflow Projection'!$C$119:$C$151,'Cashflow Projection'!$D$119:$D$151,Sales!C246),+Sales!H246)</f>
        <v/>
      </c>
      <c r="X246" s="11">
        <f>IF(MOD(MONTH(W246), 2) &lt;&gt; 0, EOMONTH(W246, 2), EOMONTH(W246, 1))</f>
        <v/>
      </c>
      <c r="Y246" s="11">
        <f>EOMONTH(X246,1)</f>
        <v/>
      </c>
      <c r="Z246" t="b">
        <v>0</v>
      </c>
    </row>
    <row r="247">
      <c r="A247" s="3" t="inlineStr">
        <is>
          <t>Endulini</t>
        </is>
      </c>
      <c r="B247" s="3" t="inlineStr">
        <is>
          <t>D</t>
        </is>
      </c>
      <c r="C247" s="3" t="inlineStr">
        <is>
          <t>ED301</t>
        </is>
      </c>
      <c r="D247" s="3" t="b">
        <v>1</v>
      </c>
      <c r="E247" s="3" t="b">
        <v>1</v>
      </c>
      <c r="F247" s="3">
        <f>IF(OR(Z247=TRUE,SUMIFS('Cashflow Projection'!$E$119:$E$151,'Cashflow Projection'!$D$119:$D$151,Sales!C247)=1),0,SUMIFS('Cashflow Projection'!$C$7:$C$23,'Cashflow Projection'!$B$7:$B$23,Sales!B247,'Cashflow Projection'!$A$7:$A$23,Sales!A247))</f>
        <v/>
      </c>
      <c r="G247" s="4" t="n">
        <v>44711</v>
      </c>
      <c r="H247" s="4" t="n">
        <v>45688</v>
      </c>
      <c r="I247" s="3" t="n">
        <v>1399900</v>
      </c>
      <c r="J247" s="3" t="n">
        <v>182595.6521739131</v>
      </c>
      <c r="K247" s="3" t="n">
        <v>1217304.347826087</v>
      </c>
      <c r="L247" s="3" t="n">
        <v>18502.08</v>
      </c>
      <c r="M247" s="3" t="n">
        <v>1789</v>
      </c>
      <c r="N247" s="3" t="n">
        <v>6999.5</v>
      </c>
      <c r="O247" s="3" t="n">
        <v>69995</v>
      </c>
      <c r="P247" s="3" t="n">
        <v>19224.37</v>
      </c>
      <c r="Q247" s="9">
        <f>K247-SUM(L247:P247)</f>
        <v/>
      </c>
      <c r="R247" s="10">
        <f>IF($F247=1,((SUMIFS(Investors!$M:$M,Investors!$E:$E,Sales!$C247,Investors!$O:$O,FALSE)+SUMIFS(Investors!$S:$S,Investors!$E:$E,Sales!$C247,Investors!$O:$O,FALSE))*$F247)-SUMIFS('Investor Exit List'!$Q:$Q,'Investor Exit List'!$Y:$Y,1,'Investor Exit List'!$Z:$Z,"Release",'Investor Exit List'!$C:$C,Sales!$C247),(SUMIFS(Investors!$M:$M,Investors!$E:$E,Sales!$C247,Investors!$O:$O,FALSE)+SUMIFS(Investors!$S:$S,Investors!$E:$E,Sales!$C247,Investors!$O:$O,FALSE))*$F247)</f>
        <v/>
      </c>
      <c r="S247" s="10">
        <f>IF(T247=FALSE,Q247-R247,+V247)</f>
        <v/>
      </c>
      <c r="T247" s="3">
        <f>IF(SUMIFS('Cashflow Projection'!$E$119:$E$151,'Cashflow Projection'!$D$119:$D$151,Sales!C247)&lt;&gt;0,TRUE,FALSE)</f>
        <v/>
      </c>
      <c r="U247" s="4" t="n">
        <v>45747</v>
      </c>
      <c r="V247" s="10" t="n">
        <v>49965.39246575325</v>
      </c>
      <c r="W247" s="11">
        <f>IF(SUMIFS('Cashflow Projection'!$E$119:$E$151,'Cashflow Projection'!$D$119:$D$151,Sales!C247)=1,SUMIFS('Cashflow Projection'!$C$119:$C$151,'Cashflow Projection'!$D$119:$D$151,Sales!C247),+Sales!H247)</f>
        <v/>
      </c>
      <c r="X247" s="11">
        <f>IF(MOD(MONTH(W247), 2) &lt;&gt; 0, EOMONTH(W247, 2), EOMONTH(W247, 1))</f>
        <v/>
      </c>
      <c r="Y247" s="11">
        <f>EOMONTH(X247,1)</f>
        <v/>
      </c>
      <c r="Z247" t="b">
        <v>0</v>
      </c>
    </row>
    <row r="248">
      <c r="A248" s="3" t="inlineStr">
        <is>
          <t>Heron Fields</t>
        </is>
      </c>
      <c r="B248" s="3" t="inlineStr">
        <is>
          <t>A</t>
        </is>
      </c>
      <c r="C248" s="3" t="inlineStr">
        <is>
          <t>HFA301</t>
        </is>
      </c>
      <c r="D248" s="3" t="b">
        <v>1</v>
      </c>
      <c r="E248" s="3" t="b">
        <v>1</v>
      </c>
      <c r="F248" s="3">
        <f>IF(OR(Z248=TRUE,SUMIFS('Cashflow Projection'!$E$119:$E$151,'Cashflow Projection'!$D$119:$D$151,Sales!C248)=1),0,SUMIFS('Cashflow Projection'!$C$7:$C$23,'Cashflow Projection'!$B$7:$B$23,Sales!B248,'Cashflow Projection'!$A$7:$A$23,Sales!A248))</f>
        <v/>
      </c>
      <c r="G248" s="4" t="n">
        <v>44901</v>
      </c>
      <c r="H248" s="4" t="n">
        <v>45688</v>
      </c>
      <c r="I248" s="3" t="n">
        <v>1399900</v>
      </c>
      <c r="J248" s="3" t="n">
        <v>182595.6521739131</v>
      </c>
      <c r="K248" s="3" t="n">
        <v>1217304.347826087</v>
      </c>
      <c r="L248" s="3" t="n">
        <v>18502.08</v>
      </c>
      <c r="M248" s="3" t="n">
        <v>1789</v>
      </c>
      <c r="N248" s="3" t="n">
        <v>6999.5</v>
      </c>
      <c r="O248" s="3" t="n">
        <v>69995</v>
      </c>
      <c r="P248" s="3" t="n">
        <v>19224.37</v>
      </c>
      <c r="Q248" s="9">
        <f>K248-SUM(L248:P248)</f>
        <v/>
      </c>
      <c r="R248" s="10">
        <f>IF($F248=1,((SUMIFS(Investors!$M:$M,Investors!$E:$E,Sales!$C248,Investors!$O:$O,FALSE)+SUMIFS(Investors!$S:$S,Investors!$E:$E,Sales!$C248,Investors!$O:$O,FALSE))*$F248)-SUMIFS('Investor Exit List'!$Q:$Q,'Investor Exit List'!$Y:$Y,1,'Investor Exit List'!$Z:$Z,"Release",'Investor Exit List'!$C:$C,Sales!$C248),(SUMIFS(Investors!$M:$M,Investors!$E:$E,Sales!$C248,Investors!$O:$O,FALSE)+SUMIFS(Investors!$S:$S,Investors!$E:$E,Sales!$C248,Investors!$O:$O,FALSE))*$F248)</f>
        <v/>
      </c>
      <c r="S248" s="10">
        <f>IF(T248=FALSE,Q248-R248,+V248)</f>
        <v/>
      </c>
      <c r="T248" s="3">
        <f>IF(SUMIFS('Cashflow Projection'!$E$119:$E$151,'Cashflow Projection'!$D$119:$D$151,Sales!C248)&lt;&gt;0,TRUE,FALSE)</f>
        <v/>
      </c>
      <c r="U248" s="4" t="n">
        <v>45747</v>
      </c>
      <c r="V248" s="10" t="n">
        <v>97089.0805238355</v>
      </c>
      <c r="W248" s="11">
        <f>IF(SUMIFS('Cashflow Projection'!$E$119:$E$151,'Cashflow Projection'!$D$119:$D$151,Sales!C248)=1,SUMIFS('Cashflow Projection'!$C$119:$C$151,'Cashflow Projection'!$D$119:$D$151,Sales!C248),+Sales!H248)</f>
        <v/>
      </c>
      <c r="X248" s="11">
        <f>IF(MOD(MONTH(W248), 2) &lt;&gt; 0, EOMONTH(W248, 2), EOMONTH(W248, 1))</f>
        <v/>
      </c>
      <c r="Y248" s="11">
        <f>EOMONTH(X248,1)</f>
        <v/>
      </c>
      <c r="Z248" t="b">
        <v>0</v>
      </c>
    </row>
    <row r="249">
      <c r="A249" s="3" t="inlineStr">
        <is>
          <t>Heron Fields</t>
        </is>
      </c>
      <c r="B249" s="3" t="inlineStr">
        <is>
          <t>B</t>
        </is>
      </c>
      <c r="C249" s="3" t="inlineStr">
        <is>
          <t>HFB211</t>
        </is>
      </c>
      <c r="D249" s="3" t="b">
        <v>0</v>
      </c>
      <c r="E249" s="3" t="b">
        <v>0</v>
      </c>
      <c r="F249" s="3">
        <f>IF(OR(Z249=TRUE,SUMIFS('Cashflow Projection'!$E$119:$E$151,'Cashflow Projection'!$D$119:$D$151,Sales!C249)=1),0,SUMIFS('Cashflow Projection'!$C$7:$C$23,'Cashflow Projection'!$B$7:$B$23,Sales!B249,'Cashflow Projection'!$A$7:$A$23,Sales!A249))</f>
        <v/>
      </c>
      <c r="G249" s="4" t="n">
        <v>45439</v>
      </c>
      <c r="H249" s="4" t="n">
        <v>45458</v>
      </c>
      <c r="I249" s="3" t="n">
        <v>1499900</v>
      </c>
      <c r="J249" s="3" t="n">
        <v>0</v>
      </c>
      <c r="K249" s="3" t="n">
        <v>1304260.869565218</v>
      </c>
      <c r="L249" s="3" t="n">
        <v>18502.08</v>
      </c>
      <c r="M249" s="3" t="n">
        <v>1789</v>
      </c>
      <c r="N249" s="3" t="n">
        <v>7499.5</v>
      </c>
      <c r="O249" s="3" t="n">
        <v>74995</v>
      </c>
      <c r="P249" s="3" t="n">
        <v>19224.37</v>
      </c>
      <c r="Q249" s="9">
        <f>K249-SUM(L249:P249)</f>
        <v/>
      </c>
      <c r="R249" s="10">
        <f>IF($F249=1,((SUMIFS(Investors!$M:$M,Investors!$E:$E,Sales!$C249,Investors!$O:$O,FALSE)+SUMIFS(Investors!$S:$S,Investors!$E:$E,Sales!$C249,Investors!$O:$O,FALSE))*$F249)-SUMIFS('Investor Exit List'!$Q:$Q,'Investor Exit List'!$Y:$Y,1,'Investor Exit List'!$Z:$Z,"Release",'Investor Exit List'!$C:$C,Sales!$C249),(SUMIFS(Investors!$M:$M,Investors!$E:$E,Sales!$C249,Investors!$O:$O,FALSE)+SUMIFS(Investors!$S:$S,Investors!$E:$E,Sales!$C249,Investors!$O:$O,FALSE))*$F249)</f>
        <v/>
      </c>
      <c r="S249" s="10">
        <f>IF(T249=FALSE,Q249-R249,+V249)</f>
        <v/>
      </c>
      <c r="T249" s="3">
        <f>IF(SUMIFS('Cashflow Projection'!$E$119:$E$151,'Cashflow Projection'!$D$119:$D$151,Sales!C249)&lt;&gt;0,TRUE,FALSE)</f>
        <v/>
      </c>
      <c r="U249" s="4" t="n">
        <v>45504</v>
      </c>
      <c r="V249" s="10" t="n">
        <v>921500</v>
      </c>
      <c r="W249" s="11">
        <f>IF(SUMIFS('Cashflow Projection'!$E$119:$E$151,'Cashflow Projection'!$D$119:$D$151,Sales!C249)=1,SUMIFS('Cashflow Projection'!$C$119:$C$151,'Cashflow Projection'!$D$119:$D$151,Sales!C249),+Sales!H249)</f>
        <v/>
      </c>
      <c r="X249" s="11">
        <f>IF(MOD(MONTH(W249), 2) &lt;&gt; 0, EOMONTH(W249, 2), EOMONTH(W249, 1))</f>
        <v/>
      </c>
      <c r="Y249" s="11">
        <f>EOMONTH(X249,1)</f>
        <v/>
      </c>
      <c r="Z249" t="b">
        <v>0</v>
      </c>
    </row>
    <row r="250">
      <c r="A250" s="3" t="inlineStr">
        <is>
          <t>Heron View</t>
        </is>
      </c>
      <c r="B250" s="3" t="inlineStr">
        <is>
          <t>D</t>
        </is>
      </c>
      <c r="C250" s="3" t="inlineStr">
        <is>
          <t>HVD304</t>
        </is>
      </c>
      <c r="D250" s="3" t="b">
        <v>0</v>
      </c>
      <c r="E250" s="3" t="b">
        <v>0</v>
      </c>
      <c r="F250" s="3">
        <f>IF(OR(Z250=TRUE,SUMIFS('Cashflow Projection'!$E$119:$E$151,'Cashflow Projection'!$D$119:$D$151,Sales!C250)=1),0,SUMIFS('Cashflow Projection'!$C$7:$C$23,'Cashflow Projection'!$B$7:$B$23,Sales!B250,'Cashflow Projection'!$A$7:$A$23,Sales!A250))</f>
        <v/>
      </c>
      <c r="G250" s="4" t="n">
        <v>45428</v>
      </c>
      <c r="H250" s="4" t="n">
        <v>45646</v>
      </c>
      <c r="I250" s="3" t="n">
        <v>1599900</v>
      </c>
      <c r="J250" s="3" t="n">
        <v>208682.6086956522</v>
      </c>
      <c r="K250" s="3" t="n">
        <v>1391217.391304348</v>
      </c>
      <c r="L250" s="3" t="n">
        <v>18502.08</v>
      </c>
      <c r="M250" s="3" t="n">
        <v>1789</v>
      </c>
      <c r="N250" s="3" t="n">
        <v>7999.5</v>
      </c>
      <c r="O250" s="3" t="n">
        <v>79995</v>
      </c>
      <c r="P250" s="3" t="n">
        <v>19224.37</v>
      </c>
      <c r="Q250" s="9">
        <f>K250-SUM(L250:P250)</f>
        <v/>
      </c>
      <c r="R250" s="10">
        <f>IF($F250=1,((SUMIFS(Investors!$M:$M,Investors!$E:$E,Sales!$C250,Investors!$O:$O,FALSE)+SUMIFS(Investors!$S:$S,Investors!$E:$E,Sales!$C250,Investors!$O:$O,FALSE))*$F250)-SUMIFS('Investor Exit List'!$Q:$Q,'Investor Exit List'!$Y:$Y,1,'Investor Exit List'!$Z:$Z,"Release",'Investor Exit List'!$C:$C,Sales!$C250),(SUMIFS(Investors!$M:$M,Investors!$E:$E,Sales!$C250,Investors!$O:$O,FALSE)+SUMIFS(Investors!$S:$S,Investors!$E:$E,Sales!$C250,Investors!$O:$O,FALSE))*$F250)</f>
        <v/>
      </c>
      <c r="S250" s="10">
        <f>IF(T250=FALSE,Q250-R250,+V250)</f>
        <v/>
      </c>
      <c r="T250" s="3">
        <f>IF(SUMIFS('Cashflow Projection'!$E$119:$E$151,'Cashflow Projection'!$D$119:$D$151,Sales!C250)&lt;&gt;0,TRUE,FALSE)</f>
        <v/>
      </c>
      <c r="U250" s="4" t="n">
        <v>45688</v>
      </c>
      <c r="V250" s="10" t="n">
        <v>136568.8171232874</v>
      </c>
      <c r="W250" s="11">
        <f>IF(SUMIFS('Cashflow Projection'!$E$119:$E$151,'Cashflow Projection'!$D$119:$D$151,Sales!C250)=1,SUMIFS('Cashflow Projection'!$C$119:$C$151,'Cashflow Projection'!$D$119:$D$151,Sales!C250),+Sales!H250)</f>
        <v/>
      </c>
      <c r="X250" s="11">
        <f>IF(MOD(MONTH(W250), 2) &lt;&gt; 0, EOMONTH(W250, 2), EOMONTH(W250, 1))</f>
        <v/>
      </c>
      <c r="Y250" s="11">
        <f>EOMONTH(X250,1)</f>
        <v/>
      </c>
      <c r="Z250" t="b">
        <v>0</v>
      </c>
    </row>
    <row r="251">
      <c r="A251" s="3" t="inlineStr">
        <is>
          <t>Heron View</t>
        </is>
      </c>
      <c r="B251" s="3" t="inlineStr">
        <is>
          <t>N</t>
        </is>
      </c>
      <c r="C251" s="3" t="inlineStr">
        <is>
          <t>HVN201</t>
        </is>
      </c>
      <c r="D251" s="3" t="b">
        <v>1</v>
      </c>
      <c r="E251" s="3" t="b">
        <v>1</v>
      </c>
      <c r="F251" s="3">
        <f>IF(OR(Z251=TRUE,SUMIFS('Cashflow Projection'!$E$119:$E$151,'Cashflow Projection'!$D$119:$D$151,Sales!C251)=1),0,SUMIFS('Cashflow Projection'!$C$7:$C$23,'Cashflow Projection'!$B$7:$B$23,Sales!B251,'Cashflow Projection'!$A$7:$A$23,Sales!A251))</f>
        <v/>
      </c>
      <c r="G251" s="4" t="n">
        <v>45308</v>
      </c>
      <c r="H251" s="4" t="n">
        <v>45688</v>
      </c>
      <c r="I251" s="3" t="n">
        <v>1479900</v>
      </c>
      <c r="J251" s="3" t="n">
        <v>193030.4347826087</v>
      </c>
      <c r="K251" s="3" t="n">
        <v>1286869.565217391</v>
      </c>
      <c r="L251" s="3" t="n">
        <v>18502.08</v>
      </c>
      <c r="M251" s="3" t="n">
        <v>1789</v>
      </c>
      <c r="N251" s="3" t="n">
        <v>7399.5</v>
      </c>
      <c r="O251" s="3" t="n">
        <v>73995</v>
      </c>
      <c r="P251" s="3" t="n">
        <v>19224.37</v>
      </c>
      <c r="Q251" s="9">
        <f>K251-SUM(L251:P251)</f>
        <v/>
      </c>
      <c r="R251" s="10">
        <f>IF($F251=1,((SUMIFS(Investors!$M:$M,Investors!$E:$E,Sales!$C251,Investors!$O:$O,FALSE)+SUMIFS(Investors!$S:$S,Investors!$E:$E,Sales!$C251,Investors!$O:$O,FALSE))*$F251)-SUMIFS('Investor Exit List'!$Q:$Q,'Investor Exit List'!$Y:$Y,1,'Investor Exit List'!$Z:$Z,"Release",'Investor Exit List'!$C:$C,Sales!$C251),(SUMIFS(Investors!$M:$M,Investors!$E:$E,Sales!$C251,Investors!$O:$O,FALSE)+SUMIFS(Investors!$S:$S,Investors!$E:$E,Sales!$C251,Investors!$O:$O,FALSE))*$F251)</f>
        <v/>
      </c>
      <c r="S251" s="10">
        <f>IF(T251=FALSE,Q251-R251,+V251)</f>
        <v/>
      </c>
      <c r="T251" s="3">
        <f>IF(SUMIFS('Cashflow Projection'!$E$119:$E$151,'Cashflow Projection'!$D$119:$D$151,Sales!C251)&lt;&gt;0,TRUE,FALSE)</f>
        <v/>
      </c>
      <c r="U251" s="4" t="n">
        <v>45747</v>
      </c>
      <c r="V251" s="10" t="n">
        <v>74195.52945205453</v>
      </c>
      <c r="W251" s="11">
        <f>IF(SUMIFS('Cashflow Projection'!$E$119:$E$151,'Cashflow Projection'!$D$119:$D$151,Sales!C251)=1,SUMIFS('Cashflow Projection'!$C$119:$C$151,'Cashflow Projection'!$D$119:$D$151,Sales!C251),+Sales!H251)</f>
        <v/>
      </c>
      <c r="X251" s="11">
        <f>IF(MOD(MONTH(W251), 2) &lt;&gt; 0, EOMONTH(W251, 2), EOMONTH(W251, 1))</f>
        <v/>
      </c>
      <c r="Y251" s="11">
        <f>EOMONTH(X251,1)</f>
        <v/>
      </c>
      <c r="Z251" t="b">
        <v>0</v>
      </c>
    </row>
    <row r="252">
      <c r="A252" s="3" t="inlineStr">
        <is>
          <t>Heron View</t>
        </is>
      </c>
      <c r="B252" s="3" t="inlineStr">
        <is>
          <t>P</t>
        </is>
      </c>
      <c r="C252" s="3" t="inlineStr">
        <is>
          <t>HVP201</t>
        </is>
      </c>
      <c r="D252" s="3" t="b">
        <v>1</v>
      </c>
      <c r="E252" s="3" t="b">
        <v>0</v>
      </c>
      <c r="F252" s="3">
        <f>IF(OR(Z252=TRUE,SUMIFS('Cashflow Projection'!$E$119:$E$151,'Cashflow Projection'!$D$119:$D$151,Sales!C252)=1),0,SUMIFS('Cashflow Projection'!$C$7:$C$23,'Cashflow Projection'!$B$7:$B$23,Sales!B252,'Cashflow Projection'!$A$7:$A$23,Sales!A252))</f>
        <v/>
      </c>
      <c r="G252" s="4" t="n">
        <v>45429</v>
      </c>
      <c r="H252" s="4" t="n">
        <v>45462</v>
      </c>
      <c r="I252" s="3" t="n">
        <v>1699900</v>
      </c>
      <c r="J252" s="3" t="n">
        <v>221726.0869565217</v>
      </c>
      <c r="K252" s="3" t="n">
        <v>1478173.913043478</v>
      </c>
      <c r="L252" s="3" t="n">
        <v>18502.08</v>
      </c>
      <c r="M252" s="3" t="n">
        <v>1789</v>
      </c>
      <c r="N252" s="3" t="n">
        <v>8499.5</v>
      </c>
      <c r="O252" s="3" t="n">
        <v>84995</v>
      </c>
      <c r="P252" s="3" t="n">
        <v>19224.37</v>
      </c>
      <c r="Q252" s="9">
        <f>K252-SUM(L252:P252)</f>
        <v/>
      </c>
      <c r="R252" s="10">
        <f>IF($F252=1,((SUMIFS(Investors!$M:$M,Investors!$E:$E,Sales!$C252,Investors!$O:$O,FALSE)+SUMIFS(Investors!$S:$S,Investors!$E:$E,Sales!$C252,Investors!$O:$O,FALSE))*$F252)-SUMIFS('Investor Exit List'!$Q:$Q,'Investor Exit List'!$Y:$Y,1,'Investor Exit List'!$Z:$Z,"Release",'Investor Exit List'!$C:$C,Sales!$C252),(SUMIFS(Investors!$M:$M,Investors!$E:$E,Sales!$C252,Investors!$O:$O,FALSE)+SUMIFS(Investors!$S:$S,Investors!$E:$E,Sales!$C252,Investors!$O:$O,FALSE))*$F252)</f>
        <v/>
      </c>
      <c r="S252" s="10">
        <f>IF(T252=FALSE,Q252-R252,+V252)</f>
        <v/>
      </c>
      <c r="T252" s="3">
        <f>IF(SUMIFS('Cashflow Projection'!$E$119:$E$151,'Cashflow Projection'!$D$119:$D$151,Sales!C252)&lt;&gt;0,TRUE,FALSE)</f>
        <v/>
      </c>
      <c r="U252" s="4" t="n">
        <v>45504</v>
      </c>
      <c r="V252" s="10" t="n">
        <v>163875.666438356</v>
      </c>
      <c r="W252" s="11">
        <f>IF(SUMIFS('Cashflow Projection'!$E$119:$E$151,'Cashflow Projection'!$D$119:$D$151,Sales!C252)=1,SUMIFS('Cashflow Projection'!$C$119:$C$151,'Cashflow Projection'!$D$119:$D$151,Sales!C252),+Sales!H252)</f>
        <v/>
      </c>
      <c r="X252" s="11">
        <f>IF(MOD(MONTH(W252), 2) &lt;&gt; 0, EOMONTH(W252, 2), EOMONTH(W252, 1))</f>
        <v/>
      </c>
      <c r="Y252" s="11">
        <f>EOMONTH(X252,1)</f>
        <v/>
      </c>
      <c r="Z252" t="b">
        <v>0</v>
      </c>
    </row>
    <row r="253">
      <c r="A253" s="3" t="inlineStr">
        <is>
          <t>Heron View</t>
        </is>
      </c>
      <c r="B253" s="3" t="inlineStr">
        <is>
          <t>F</t>
        </is>
      </c>
      <c r="C253" s="3" t="inlineStr">
        <is>
          <t>HVF204</t>
        </is>
      </c>
      <c r="D253" s="3" t="b">
        <v>0</v>
      </c>
      <c r="E253" s="3" t="b">
        <v>0</v>
      </c>
      <c r="F253" s="3">
        <f>IF(OR(Z253=TRUE,SUMIFS('Cashflow Projection'!$E$119:$E$151,'Cashflow Projection'!$D$119:$D$151,Sales!C253)=1),0,SUMIFS('Cashflow Projection'!$C$7:$C$23,'Cashflow Projection'!$B$7:$B$23,Sales!B253,'Cashflow Projection'!$A$7:$A$23,Sales!A253))</f>
        <v/>
      </c>
      <c r="G253" s="4" t="n">
        <v>45517</v>
      </c>
      <c r="H253" s="4" t="n">
        <v>45722</v>
      </c>
      <c r="I253" s="3" t="n">
        <v>1599900</v>
      </c>
      <c r="J253" s="3" t="n">
        <v>208682.6086956522</v>
      </c>
      <c r="K253" s="3" t="n">
        <v>1391217.391304348</v>
      </c>
      <c r="L253" s="3" t="n">
        <v>18502.08</v>
      </c>
      <c r="M253" s="3" t="n">
        <v>1789</v>
      </c>
      <c r="N253" s="3" t="n">
        <v>7999.5</v>
      </c>
      <c r="O253" s="3" t="n">
        <v>79995</v>
      </c>
      <c r="P253" s="3" t="n">
        <v>19224.37</v>
      </c>
      <c r="Q253" s="9">
        <f>K253-SUM(L253:P253)</f>
        <v/>
      </c>
      <c r="R253" s="10">
        <f>IF($F253=1,((SUMIFS(Investors!$M:$M,Investors!$E:$E,Sales!$C253,Investors!$O:$O,FALSE)+SUMIFS(Investors!$S:$S,Investors!$E:$E,Sales!$C253,Investors!$O:$O,FALSE))*$F253)-SUMIFS('Investor Exit List'!$Q:$Q,'Investor Exit List'!$Y:$Y,1,'Investor Exit List'!$Z:$Z,"Release",'Investor Exit List'!$C:$C,Sales!$C253),(SUMIFS(Investors!$M:$M,Investors!$E:$E,Sales!$C253,Investors!$O:$O,FALSE)+SUMIFS(Investors!$S:$S,Investors!$E:$E,Sales!$C253,Investors!$O:$O,FALSE))*$F253)</f>
        <v/>
      </c>
      <c r="S253" s="10">
        <f>IF(T253=FALSE,Q253-R253,+V253)</f>
        <v/>
      </c>
      <c r="T253" s="3">
        <f>IF(SUMIFS('Cashflow Projection'!$E$119:$E$151,'Cashflow Projection'!$D$119:$D$151,Sales!C253)&lt;&gt;0,TRUE,FALSE)</f>
        <v/>
      </c>
      <c r="U253" s="4" t="n">
        <v>45808</v>
      </c>
      <c r="V253" s="10" t="n">
        <v>0</v>
      </c>
      <c r="W253" s="11">
        <f>IF(SUMIFS('Cashflow Projection'!$E$119:$E$151,'Cashflow Projection'!$D$119:$D$151,Sales!C253)=1,SUMIFS('Cashflow Projection'!$C$119:$C$151,'Cashflow Projection'!$D$119:$D$151,Sales!C253),+Sales!H253)</f>
        <v/>
      </c>
      <c r="X253" s="11">
        <f>IF(MOD(MONTH(W253), 2) &lt;&gt; 0, EOMONTH(W253, 2), EOMONTH(W253, 1))</f>
        <v/>
      </c>
      <c r="Y253" s="11">
        <f>EOMONTH(X253,1)</f>
        <v/>
      </c>
      <c r="Z253" t="b">
        <v>0</v>
      </c>
    </row>
    <row r="254">
      <c r="A254" s="3" t="inlineStr">
        <is>
          <t>Heron View</t>
        </is>
      </c>
      <c r="B254" s="3" t="inlineStr">
        <is>
          <t>E</t>
        </is>
      </c>
      <c r="C254" s="3" t="inlineStr">
        <is>
          <t>HVE104</t>
        </is>
      </c>
      <c r="D254" s="3" t="b">
        <v>0</v>
      </c>
      <c r="E254" s="3" t="b">
        <v>0</v>
      </c>
      <c r="F254" s="3">
        <f>IF(OR(Z254=TRUE,SUMIFS('Cashflow Projection'!$E$119:$E$151,'Cashflow Projection'!$D$119:$D$151,Sales!C254)=1),0,SUMIFS('Cashflow Projection'!$C$7:$C$23,'Cashflow Projection'!$B$7:$B$23,Sales!B254,'Cashflow Projection'!$A$7:$A$23,Sales!A254))</f>
        <v/>
      </c>
      <c r="G254" s="4" t="n">
        <v>45685</v>
      </c>
      <c r="H254" s="4" t="n">
        <v>45685</v>
      </c>
      <c r="I254" s="3" t="n">
        <v>1649900</v>
      </c>
      <c r="J254" s="3" t="n">
        <v>215204.3478260869</v>
      </c>
      <c r="K254" s="3" t="n">
        <v>1434695.652173913</v>
      </c>
      <c r="L254" s="3" t="n">
        <v>18502.08</v>
      </c>
      <c r="M254" s="3" t="n">
        <v>1789</v>
      </c>
      <c r="N254" s="3" t="n">
        <v>8249.5</v>
      </c>
      <c r="O254" s="3" t="n">
        <v>82495</v>
      </c>
      <c r="P254" s="3" t="n">
        <v>19224.37</v>
      </c>
      <c r="Q254" s="9">
        <f>K254-SUM(L254:P254)</f>
        <v/>
      </c>
      <c r="R254" s="10">
        <f>IF($F254=1,((SUMIFS(Investors!$M:$M,Investors!$E:$E,Sales!$C254,Investors!$O:$O,FALSE)+SUMIFS(Investors!$S:$S,Investors!$E:$E,Sales!$C254,Investors!$O:$O,FALSE))*$F254)-SUMIFS('Investor Exit List'!$Q:$Q,'Investor Exit List'!$Y:$Y,1,'Investor Exit List'!$Z:$Z,"Release",'Investor Exit List'!$C:$C,Sales!$C254),(SUMIFS(Investors!$M:$M,Investors!$E:$E,Sales!$C254,Investors!$O:$O,FALSE)+SUMIFS(Investors!$S:$S,Investors!$E:$E,Sales!$C254,Investors!$O:$O,FALSE))*$F254)</f>
        <v/>
      </c>
      <c r="S254" s="10">
        <f>IF(T254=FALSE,Q254-R254,+V254)</f>
        <v/>
      </c>
      <c r="T254" s="3">
        <f>IF(SUMIFS('Cashflow Projection'!$E$119:$E$151,'Cashflow Projection'!$D$119:$D$151,Sales!C254)&lt;&gt;0,TRUE,FALSE)</f>
        <v/>
      </c>
      <c r="U254" s="4" t="n">
        <v>45747</v>
      </c>
      <c r="V254" s="10" t="n">
        <v>67640.04999999981</v>
      </c>
      <c r="W254" s="11">
        <f>IF(SUMIFS('Cashflow Projection'!$E$119:$E$151,'Cashflow Projection'!$D$119:$D$151,Sales!C254)=1,SUMIFS('Cashflow Projection'!$C$119:$C$151,'Cashflow Projection'!$D$119:$D$151,Sales!C254),+Sales!H254)</f>
        <v/>
      </c>
      <c r="X254" s="11">
        <f>IF(MOD(MONTH(W254), 2) &lt;&gt; 0, EOMONTH(W254, 2), EOMONTH(W254, 1))</f>
        <v/>
      </c>
      <c r="Y254" s="11">
        <f>EOMONTH(X254,1)</f>
        <v/>
      </c>
      <c r="Z254" t="b">
        <v>0</v>
      </c>
    </row>
    <row r="255">
      <c r="A255" s="3" t="inlineStr">
        <is>
          <t>Heron View</t>
        </is>
      </c>
      <c r="B255" s="3" t="inlineStr">
        <is>
          <t>K</t>
        </is>
      </c>
      <c r="C255" s="3" t="inlineStr">
        <is>
          <t>HVK202</t>
        </is>
      </c>
      <c r="D255" s="3" t="b">
        <v>0</v>
      </c>
      <c r="E255" s="3" t="b">
        <v>0</v>
      </c>
      <c r="F255" s="3">
        <f>IF(OR(Z255=TRUE,SUMIFS('Cashflow Projection'!$E$119:$E$151,'Cashflow Projection'!$D$119:$D$151,Sales!C255)=1),0,SUMIFS('Cashflow Projection'!$C$7:$C$23,'Cashflow Projection'!$B$7:$B$23,Sales!B255,'Cashflow Projection'!$A$7:$A$23,Sales!A255))</f>
        <v/>
      </c>
      <c r="G255" s="4" t="n">
        <v>45510</v>
      </c>
      <c r="H255" s="4" t="n">
        <v>45625</v>
      </c>
      <c r="I255" s="3" t="n">
        <v>1499900</v>
      </c>
      <c r="J255" s="3" t="n">
        <v>195639.1304347826</v>
      </c>
      <c r="K255" s="3" t="n">
        <v>1304260.869565218</v>
      </c>
      <c r="L255" s="3" t="n">
        <v>18502.08</v>
      </c>
      <c r="M255" s="3" t="n">
        <v>1789</v>
      </c>
      <c r="N255" s="3" t="n">
        <v>7499.5</v>
      </c>
      <c r="O255" s="3" t="n">
        <v>74995</v>
      </c>
      <c r="P255" s="3" t="n">
        <v>19224.37</v>
      </c>
      <c r="Q255" s="9">
        <f>K255-SUM(L255:P255)</f>
        <v/>
      </c>
      <c r="R255" s="10">
        <f>IF($F255=1,((SUMIFS(Investors!$M:$M,Investors!$E:$E,Sales!$C255,Investors!$O:$O,FALSE)+SUMIFS(Investors!$S:$S,Investors!$E:$E,Sales!$C255,Investors!$O:$O,FALSE))*$F255)-SUMIFS('Investor Exit List'!$Q:$Q,'Investor Exit List'!$Y:$Y,1,'Investor Exit List'!$Z:$Z,"Release",'Investor Exit List'!$C:$C,Sales!$C255),(SUMIFS(Investors!$M:$M,Investors!$E:$E,Sales!$C255,Investors!$O:$O,FALSE)+SUMIFS(Investors!$S:$S,Investors!$E:$E,Sales!$C255,Investors!$O:$O,FALSE))*$F255)</f>
        <v/>
      </c>
      <c r="S255" s="10">
        <f>IF(T255=FALSE,Q255-R255,+V255)</f>
        <v/>
      </c>
      <c r="T255" s="3">
        <f>IF(SUMIFS('Cashflow Projection'!$E$119:$E$151,'Cashflow Projection'!$D$119:$D$151,Sales!C255)&lt;&gt;0,TRUE,FALSE)</f>
        <v/>
      </c>
      <c r="U255" s="4" t="n">
        <v>45688</v>
      </c>
      <c r="V255" s="10" t="n">
        <v>100090.1216166434</v>
      </c>
      <c r="W255" s="11">
        <f>IF(SUMIFS('Cashflow Projection'!$E$119:$E$151,'Cashflow Projection'!$D$119:$D$151,Sales!C255)=1,SUMIFS('Cashflow Projection'!$C$119:$C$151,'Cashflow Projection'!$D$119:$D$151,Sales!C255),+Sales!H255)</f>
        <v/>
      </c>
      <c r="X255" s="11">
        <f>IF(MOD(MONTH(W255), 2) &lt;&gt; 0, EOMONTH(W255, 2), EOMONTH(W255, 1))</f>
        <v/>
      </c>
      <c r="Y255" s="11">
        <f>EOMONTH(X255,1)</f>
        <v/>
      </c>
      <c r="Z255" t="b">
        <v>0</v>
      </c>
    </row>
    <row r="256">
      <c r="A256" s="3" t="inlineStr">
        <is>
          <t>Heron View</t>
        </is>
      </c>
      <c r="B256" s="3" t="inlineStr">
        <is>
          <t>K</t>
        </is>
      </c>
      <c r="C256" s="3" t="inlineStr">
        <is>
          <t>HVK203</t>
        </is>
      </c>
      <c r="D256" s="3" t="b">
        <v>0</v>
      </c>
      <c r="E256" s="3" t="b">
        <v>0</v>
      </c>
      <c r="F256" s="3">
        <f>IF(OR(Z256=TRUE,SUMIFS('Cashflow Projection'!$E$119:$E$151,'Cashflow Projection'!$D$119:$D$151,Sales!C256)=1),0,SUMIFS('Cashflow Projection'!$C$7:$C$23,'Cashflow Projection'!$B$7:$B$23,Sales!B256,'Cashflow Projection'!$A$7:$A$23,Sales!A256))</f>
        <v/>
      </c>
      <c r="G256" s="4" t="n">
        <v>45510</v>
      </c>
      <c r="H256" s="4" t="n">
        <v>45625</v>
      </c>
      <c r="I256" s="3" t="n">
        <v>1699900</v>
      </c>
      <c r="J256" s="3" t="n">
        <v>221726.0869565217</v>
      </c>
      <c r="K256" s="3" t="n">
        <v>1478173.913043478</v>
      </c>
      <c r="L256" s="3" t="n">
        <v>18502.08</v>
      </c>
      <c r="M256" s="3" t="n">
        <v>1789</v>
      </c>
      <c r="N256" s="3" t="n">
        <v>8499.5</v>
      </c>
      <c r="O256" s="3" t="n">
        <v>84995</v>
      </c>
      <c r="P256" s="3" t="n">
        <v>19224.37</v>
      </c>
      <c r="Q256" s="9">
        <f>K256-SUM(L256:P256)</f>
        <v/>
      </c>
      <c r="R256" s="10">
        <f>IF($F256=1,((SUMIFS(Investors!$M:$M,Investors!$E:$E,Sales!$C256,Investors!$O:$O,FALSE)+SUMIFS(Investors!$S:$S,Investors!$E:$E,Sales!$C256,Investors!$O:$O,FALSE))*$F256)-SUMIFS('Investor Exit List'!$Q:$Q,'Investor Exit List'!$Y:$Y,1,'Investor Exit List'!$Z:$Z,"Release",'Investor Exit List'!$C:$C,Sales!$C256),(SUMIFS(Investors!$M:$M,Investors!$E:$E,Sales!$C256,Investors!$O:$O,FALSE)+SUMIFS(Investors!$S:$S,Investors!$E:$E,Sales!$C256,Investors!$O:$O,FALSE))*$F256)</f>
        <v/>
      </c>
      <c r="S256" s="10">
        <f>IF(T256=FALSE,Q256-R256,+V256)</f>
        <v/>
      </c>
      <c r="T256" s="3">
        <f>IF(SUMIFS('Cashflow Projection'!$E$119:$E$151,'Cashflow Projection'!$D$119:$D$151,Sales!C256)&lt;&gt;0,TRUE,FALSE)</f>
        <v/>
      </c>
      <c r="U256" s="4" t="n">
        <v>45688</v>
      </c>
      <c r="V256" s="10" t="n">
        <v>197457.6778483558</v>
      </c>
      <c r="W256" s="11">
        <f>IF(SUMIFS('Cashflow Projection'!$E$119:$E$151,'Cashflow Projection'!$D$119:$D$151,Sales!C256)=1,SUMIFS('Cashflow Projection'!$C$119:$C$151,'Cashflow Projection'!$D$119:$D$151,Sales!C256),+Sales!H256)</f>
        <v/>
      </c>
      <c r="X256" s="11">
        <f>IF(MOD(MONTH(W256), 2) &lt;&gt; 0, EOMONTH(W256, 2), EOMONTH(W256, 1))</f>
        <v/>
      </c>
      <c r="Y256" s="11">
        <f>EOMONTH(X256,1)</f>
        <v/>
      </c>
      <c r="Z256" t="b">
        <v>0</v>
      </c>
    </row>
    <row r="257">
      <c r="A257" s="3" t="inlineStr">
        <is>
          <t>Heron View</t>
        </is>
      </c>
      <c r="B257" s="3" t="inlineStr">
        <is>
          <t>G</t>
        </is>
      </c>
      <c r="C257" s="3" t="inlineStr">
        <is>
          <t>HVG203</t>
        </is>
      </c>
      <c r="D257" s="3" t="b">
        <v>0</v>
      </c>
      <c r="E257" s="3" t="b">
        <v>0</v>
      </c>
      <c r="F257" s="3">
        <f>IF(OR(Z257=TRUE,SUMIFS('Cashflow Projection'!$E$119:$E$151,'Cashflow Projection'!$D$119:$D$151,Sales!C257)=1),0,SUMIFS('Cashflow Projection'!$C$7:$C$23,'Cashflow Projection'!$B$7:$B$23,Sales!B257,'Cashflow Projection'!$A$7:$A$23,Sales!A257))</f>
        <v/>
      </c>
      <c r="G257" s="4" t="n">
        <v>45523</v>
      </c>
      <c r="H257" s="4" t="n">
        <v>45532</v>
      </c>
      <c r="I257" s="3" t="n">
        <v>1449900</v>
      </c>
      <c r="J257" s="3" t="n">
        <v>189117.3913043478</v>
      </c>
      <c r="K257" s="3" t="n">
        <v>1260782.608695652</v>
      </c>
      <c r="L257" s="3" t="n">
        <v>18502.08</v>
      </c>
      <c r="M257" s="3" t="n">
        <v>1789</v>
      </c>
      <c r="N257" s="3" t="n">
        <v>7249.5</v>
      </c>
      <c r="O257" s="3" t="n">
        <v>72495</v>
      </c>
      <c r="P257" s="3" t="n">
        <v>19224.37</v>
      </c>
      <c r="Q257" s="9">
        <f>K257-SUM(L257:P257)</f>
        <v/>
      </c>
      <c r="R257" s="10">
        <f>IF($F257=1,((SUMIFS(Investors!$M:$M,Investors!$E:$E,Sales!$C257,Investors!$O:$O,FALSE)+SUMIFS(Investors!$S:$S,Investors!$E:$E,Sales!$C257,Investors!$O:$O,FALSE))*$F257)-SUMIFS('Investor Exit List'!$Q:$Q,'Investor Exit List'!$Y:$Y,1,'Investor Exit List'!$Z:$Z,"Release",'Investor Exit List'!$C:$C,Sales!$C257),(SUMIFS(Investors!$M:$M,Investors!$E:$E,Sales!$C257,Investors!$O:$O,FALSE)+SUMIFS(Investors!$S:$S,Investors!$E:$E,Sales!$C257,Investors!$O:$O,FALSE))*$F257)</f>
        <v/>
      </c>
      <c r="S257" s="10">
        <f>IF(T257=FALSE,Q257-R257,+V257)</f>
        <v/>
      </c>
      <c r="T257" s="3">
        <f>IF(SUMIFS('Cashflow Projection'!$E$119:$E$151,'Cashflow Projection'!$D$119:$D$151,Sales!C257)&lt;&gt;0,TRUE,FALSE)</f>
        <v/>
      </c>
      <c r="U257" s="4" t="n">
        <v>45565</v>
      </c>
      <c r="V257" s="10" t="n">
        <v>19431.92394739715</v>
      </c>
      <c r="W257" s="11">
        <f>IF(SUMIFS('Cashflow Projection'!$E$119:$E$151,'Cashflow Projection'!$D$119:$D$151,Sales!C257)=1,SUMIFS('Cashflow Projection'!$C$119:$C$151,'Cashflow Projection'!$D$119:$D$151,Sales!C257),+Sales!H257)</f>
        <v/>
      </c>
      <c r="X257" s="11">
        <f>IF(MOD(MONTH(W257), 2) &lt;&gt; 0, EOMONTH(W257, 2), EOMONTH(W257, 1))</f>
        <v/>
      </c>
      <c r="Y257" s="11">
        <f>EOMONTH(X257,1)</f>
        <v/>
      </c>
      <c r="Z257" t="b">
        <v>0</v>
      </c>
    </row>
    <row r="258">
      <c r="A258" s="3" t="inlineStr">
        <is>
          <t>Heron View</t>
        </is>
      </c>
      <c r="B258" s="3" t="inlineStr">
        <is>
          <t>M</t>
        </is>
      </c>
      <c r="C258" s="3" t="inlineStr">
        <is>
          <t>HVM104</t>
        </is>
      </c>
      <c r="D258" s="3" t="b">
        <v>0</v>
      </c>
      <c r="E258" s="3" t="b">
        <v>0</v>
      </c>
      <c r="F258" s="3">
        <f>IF(OR(Z258=TRUE,SUMIFS('Cashflow Projection'!$E$119:$E$151,'Cashflow Projection'!$D$119:$D$151,Sales!C258)=1),0,SUMIFS('Cashflow Projection'!$C$7:$C$23,'Cashflow Projection'!$B$7:$B$23,Sales!B258,'Cashflow Projection'!$A$7:$A$23,Sales!A258))</f>
        <v/>
      </c>
      <c r="G258" s="4" t="n">
        <v>45450</v>
      </c>
      <c r="H258" s="4" t="n">
        <v>45583</v>
      </c>
      <c r="I258" s="3" t="n">
        <v>1679900</v>
      </c>
      <c r="J258" s="3" t="n">
        <v>219117.3913043478</v>
      </c>
      <c r="K258" s="3" t="n">
        <v>1460782.608695652</v>
      </c>
      <c r="L258" s="3" t="n">
        <v>18502.08</v>
      </c>
      <c r="M258" s="3" t="n">
        <v>1789</v>
      </c>
      <c r="N258" s="3" t="n">
        <v>8399.5</v>
      </c>
      <c r="O258" s="3" t="n">
        <v>83995</v>
      </c>
      <c r="P258" s="3" t="n">
        <v>19224.37</v>
      </c>
      <c r="Q258" s="9">
        <f>K258-SUM(L258:P258)</f>
        <v/>
      </c>
      <c r="R258" s="10">
        <f>IF($F258=1,((SUMIFS(Investors!$M:$M,Investors!$E:$E,Sales!$C258,Investors!$O:$O,FALSE)+SUMIFS(Investors!$S:$S,Investors!$E:$E,Sales!$C258,Investors!$O:$O,FALSE))*$F258)-SUMIFS('Investor Exit List'!$Q:$Q,'Investor Exit List'!$Y:$Y,1,'Investor Exit List'!$Z:$Z,"Release",'Investor Exit List'!$C:$C,Sales!$C258),(SUMIFS(Investors!$M:$M,Investors!$E:$E,Sales!$C258,Investors!$O:$O,FALSE)+SUMIFS(Investors!$S:$S,Investors!$E:$E,Sales!$C258,Investors!$O:$O,FALSE))*$F258)</f>
        <v/>
      </c>
      <c r="S258" s="10">
        <f>IF(T258=FALSE,Q258-R258,+V258)</f>
        <v/>
      </c>
      <c r="T258" s="3">
        <f>IF(SUMIFS('Cashflow Projection'!$E$119:$E$151,'Cashflow Projection'!$D$119:$D$151,Sales!C258)&lt;&gt;0,TRUE,FALSE)</f>
        <v/>
      </c>
      <c r="U258" s="4" t="n">
        <v>45626</v>
      </c>
      <c r="V258" s="10" t="n">
        <v>228155.8034246573</v>
      </c>
      <c r="W258" s="11">
        <f>IF(SUMIFS('Cashflow Projection'!$E$119:$E$151,'Cashflow Projection'!$D$119:$D$151,Sales!C258)=1,SUMIFS('Cashflow Projection'!$C$119:$C$151,'Cashflow Projection'!$D$119:$D$151,Sales!C258),+Sales!H258)</f>
        <v/>
      </c>
      <c r="X258" s="11">
        <f>IF(MOD(MONTH(W258), 2) &lt;&gt; 0, EOMONTH(W258, 2), EOMONTH(W258, 1))</f>
        <v/>
      </c>
      <c r="Y258" s="11">
        <f>EOMONTH(X258,1)</f>
        <v/>
      </c>
      <c r="Z258" t="b">
        <v>0</v>
      </c>
    </row>
    <row r="259">
      <c r="A259" s="3" t="inlineStr">
        <is>
          <t>Heron View</t>
        </is>
      </c>
      <c r="B259" s="3" t="inlineStr">
        <is>
          <t>K</t>
        </is>
      </c>
      <c r="C259" s="3" t="inlineStr">
        <is>
          <t>HVK406</t>
        </is>
      </c>
      <c r="D259" s="3" t="b">
        <v>0</v>
      </c>
      <c r="E259" s="3" t="b">
        <v>0</v>
      </c>
      <c r="F259" s="3">
        <f>IF(OR(Z259=TRUE,SUMIFS('Cashflow Projection'!$E$119:$E$151,'Cashflow Projection'!$D$119:$D$151,Sales!C259)=1),0,SUMIFS('Cashflow Projection'!$C$7:$C$23,'Cashflow Projection'!$B$7:$B$23,Sales!B259,'Cashflow Projection'!$A$7:$A$23,Sales!A259))</f>
        <v/>
      </c>
      <c r="G259" s="4" t="n">
        <v>45510</v>
      </c>
      <c r="H259" s="4" t="n">
        <v>45510</v>
      </c>
      <c r="I259" s="3" t="n">
        <v>1499900</v>
      </c>
      <c r="J259" s="3" t="n">
        <v>195639.1304347826</v>
      </c>
      <c r="K259" s="3" t="n">
        <v>1304260.869565218</v>
      </c>
      <c r="L259" s="3" t="n">
        <v>18502.08</v>
      </c>
      <c r="M259" s="3" t="n">
        <v>1789</v>
      </c>
      <c r="N259" s="3" t="n">
        <v>7499.5</v>
      </c>
      <c r="O259" s="3" t="n">
        <v>74995</v>
      </c>
      <c r="P259" s="3" t="n">
        <v>19224.37</v>
      </c>
      <c r="Q259" s="9">
        <f>K259-SUM(L259:P259)</f>
        <v/>
      </c>
      <c r="R259" s="10">
        <f>IF($F259=1,((SUMIFS(Investors!$M:$M,Investors!$E:$E,Sales!$C259,Investors!$O:$O,FALSE)+SUMIFS(Investors!$S:$S,Investors!$E:$E,Sales!$C259,Investors!$O:$O,FALSE))*$F259)-SUMIFS('Investor Exit List'!$Q:$Q,'Investor Exit List'!$Y:$Y,1,'Investor Exit List'!$Z:$Z,"Release",'Investor Exit List'!$C:$C,Sales!$C259),(SUMIFS(Investors!$M:$M,Investors!$E:$E,Sales!$C259,Investors!$O:$O,FALSE)+SUMIFS(Investors!$S:$S,Investors!$E:$E,Sales!$C259,Investors!$O:$O,FALSE))*$F259)</f>
        <v/>
      </c>
      <c r="S259" s="10">
        <f>IF(T259=FALSE,Q259-R259,+V259)</f>
        <v/>
      </c>
      <c r="T259" s="3">
        <f>IF(SUMIFS('Cashflow Projection'!$E$119:$E$151,'Cashflow Projection'!$D$119:$D$151,Sales!C259)&lt;&gt;0,TRUE,FALSE)</f>
        <v/>
      </c>
      <c r="U259" s="4" t="n">
        <v>45565</v>
      </c>
      <c r="V259" s="10" t="n">
        <v>-24403.30641226051</v>
      </c>
      <c r="W259" s="11">
        <f>IF(SUMIFS('Cashflow Projection'!$E$119:$E$151,'Cashflow Projection'!$D$119:$D$151,Sales!C259)=1,SUMIFS('Cashflow Projection'!$C$119:$C$151,'Cashflow Projection'!$D$119:$D$151,Sales!C259),+Sales!H259)</f>
        <v/>
      </c>
      <c r="X259" s="11">
        <f>IF(MOD(MONTH(W259), 2) &lt;&gt; 0, EOMONTH(W259, 2), EOMONTH(W259, 1))</f>
        <v/>
      </c>
      <c r="Y259" s="11">
        <f>EOMONTH(X259,1)</f>
        <v/>
      </c>
      <c r="Z259" t="b">
        <v>0</v>
      </c>
    </row>
    <row r="260">
      <c r="A260" s="3" t="inlineStr">
        <is>
          <t>Heron View</t>
        </is>
      </c>
      <c r="B260" s="3" t="inlineStr">
        <is>
          <t>I</t>
        </is>
      </c>
      <c r="C260" s="3" t="inlineStr">
        <is>
          <t>HVI103</t>
        </is>
      </c>
      <c r="D260" s="3" t="b">
        <v>0</v>
      </c>
      <c r="E260" s="3" t="b">
        <v>0</v>
      </c>
      <c r="F260" s="3">
        <f>IF(OR(Z260=TRUE,SUMIFS('Cashflow Projection'!$E$119:$E$151,'Cashflow Projection'!$D$119:$D$151,Sales!C260)=1),0,SUMIFS('Cashflow Projection'!$C$7:$C$23,'Cashflow Projection'!$B$7:$B$23,Sales!B260,'Cashflow Projection'!$A$7:$A$23,Sales!A260))</f>
        <v/>
      </c>
      <c r="G260" s="4" t="n">
        <v>45491</v>
      </c>
      <c r="H260" s="4" t="n">
        <v>45596</v>
      </c>
      <c r="I260" s="3" t="n">
        <v>1649900</v>
      </c>
      <c r="J260" s="3" t="n">
        <v>215204.3478260869</v>
      </c>
      <c r="K260" s="3" t="n">
        <v>1434695.652173913</v>
      </c>
      <c r="L260" s="3" t="n">
        <v>18502.08</v>
      </c>
      <c r="M260" s="3" t="n">
        <v>1789</v>
      </c>
      <c r="N260" s="3" t="n">
        <v>8249.5</v>
      </c>
      <c r="O260" s="3" t="n">
        <v>82495</v>
      </c>
      <c r="P260" s="3" t="n">
        <v>19224.37</v>
      </c>
      <c r="Q260" s="9">
        <f>K260-SUM(L260:P260)</f>
        <v/>
      </c>
      <c r="R260" s="10">
        <f>IF($F260=1,((SUMIFS(Investors!$M:$M,Investors!$E:$E,Sales!$C260,Investors!$O:$O,FALSE)+SUMIFS(Investors!$S:$S,Investors!$E:$E,Sales!$C260,Investors!$O:$O,FALSE))*$F260)-SUMIFS('Investor Exit List'!$Q:$Q,'Investor Exit List'!$Y:$Y,1,'Investor Exit List'!$Z:$Z,"Release",'Investor Exit List'!$C:$C,Sales!$C260),(SUMIFS(Investors!$M:$M,Investors!$E:$E,Sales!$C260,Investors!$O:$O,FALSE)+SUMIFS(Investors!$S:$S,Investors!$E:$E,Sales!$C260,Investors!$O:$O,FALSE))*$F260)</f>
        <v/>
      </c>
      <c r="S260" s="10">
        <f>IF(T260=FALSE,Q260-R260,+V260)</f>
        <v/>
      </c>
      <c r="T260" s="3">
        <f>IF(SUMIFS('Cashflow Projection'!$E$119:$E$151,'Cashflow Projection'!$D$119:$D$151,Sales!C260)&lt;&gt;0,TRUE,FALSE)</f>
        <v/>
      </c>
      <c r="U260" s="4" t="n">
        <v>45626</v>
      </c>
      <c r="V260" s="10" t="n">
        <v>240741.4198630136</v>
      </c>
      <c r="W260" s="11">
        <f>IF(SUMIFS('Cashflow Projection'!$E$119:$E$151,'Cashflow Projection'!$D$119:$D$151,Sales!C260)=1,SUMIFS('Cashflow Projection'!$C$119:$C$151,'Cashflow Projection'!$D$119:$D$151,Sales!C260),+Sales!H260)</f>
        <v/>
      </c>
      <c r="X260" s="11">
        <f>IF(MOD(MONTH(W260), 2) &lt;&gt; 0, EOMONTH(W260, 2), EOMONTH(W260, 1))</f>
        <v/>
      </c>
      <c r="Y260" s="11">
        <f>EOMONTH(X260,1)</f>
        <v/>
      </c>
      <c r="Z260" t="b">
        <v>0</v>
      </c>
    </row>
    <row r="261">
      <c r="A261" s="3" t="inlineStr">
        <is>
          <t>Heron View</t>
        </is>
      </c>
      <c r="B261" s="3" t="inlineStr">
        <is>
          <t>K</t>
        </is>
      </c>
      <c r="C261" s="3" t="inlineStr">
        <is>
          <t>HVK304</t>
        </is>
      </c>
      <c r="D261" s="3" t="b">
        <v>0</v>
      </c>
      <c r="E261" s="3" t="b">
        <v>0</v>
      </c>
      <c r="F261" s="3">
        <f>IF(OR(Z261=TRUE,SUMIFS('Cashflow Projection'!$E$119:$E$151,'Cashflow Projection'!$D$119:$D$151,Sales!C261)=1),0,SUMIFS('Cashflow Projection'!$C$7:$C$23,'Cashflow Projection'!$B$7:$B$23,Sales!B261,'Cashflow Projection'!$A$7:$A$23,Sales!A261))</f>
        <v/>
      </c>
      <c r="G261" s="4" t="n">
        <v>45510</v>
      </c>
      <c r="H261" s="4" t="n">
        <v>45625</v>
      </c>
      <c r="I261" s="3" t="n">
        <v>1529900</v>
      </c>
      <c r="J261" s="3" t="n">
        <v>199552.1739130435</v>
      </c>
      <c r="K261" s="3" t="n">
        <v>1330347.826086957</v>
      </c>
      <c r="L261" s="3" t="n">
        <v>18502.08</v>
      </c>
      <c r="M261" s="3" t="n">
        <v>1789</v>
      </c>
      <c r="N261" s="3" t="n">
        <v>7649.5</v>
      </c>
      <c r="O261" s="3" t="n">
        <v>76495</v>
      </c>
      <c r="P261" s="3" t="n">
        <v>19224.37</v>
      </c>
      <c r="Q261" s="9">
        <f>K261-SUM(L261:P261)</f>
        <v/>
      </c>
      <c r="R261" s="10">
        <f>IF($F261=1,((SUMIFS(Investors!$M:$M,Investors!$E:$E,Sales!$C261,Investors!$O:$O,FALSE)+SUMIFS(Investors!$S:$S,Investors!$E:$E,Sales!$C261,Investors!$O:$O,FALSE))*$F261)-SUMIFS('Investor Exit List'!$Q:$Q,'Investor Exit List'!$Y:$Y,1,'Investor Exit List'!$Z:$Z,"Release",'Investor Exit List'!$C:$C,Sales!$C261),(SUMIFS(Investors!$M:$M,Investors!$E:$E,Sales!$C261,Investors!$O:$O,FALSE)+SUMIFS(Investors!$S:$S,Investors!$E:$E,Sales!$C261,Investors!$O:$O,FALSE))*$F261)</f>
        <v/>
      </c>
      <c r="S261" s="10">
        <f>IF(T261=FALSE,Q261-R261,+V261)</f>
        <v/>
      </c>
      <c r="T261" s="3">
        <f>IF(SUMIFS('Cashflow Projection'!$E$119:$E$151,'Cashflow Projection'!$D$119:$D$151,Sales!C261)&lt;&gt;0,TRUE,FALSE)</f>
        <v/>
      </c>
      <c r="U261" s="4" t="n">
        <v>45688</v>
      </c>
      <c r="V261" s="10" t="n">
        <v>26263.56270506838</v>
      </c>
      <c r="W261" s="11">
        <f>IF(SUMIFS('Cashflow Projection'!$E$119:$E$151,'Cashflow Projection'!$D$119:$D$151,Sales!C261)=1,SUMIFS('Cashflow Projection'!$C$119:$C$151,'Cashflow Projection'!$D$119:$D$151,Sales!C261),+Sales!H261)</f>
        <v/>
      </c>
      <c r="X261" s="11">
        <f>IF(MOD(MONTH(W261), 2) &lt;&gt; 0, EOMONTH(W261, 2), EOMONTH(W261, 1))</f>
        <v/>
      </c>
      <c r="Y261" s="11">
        <f>EOMONTH(X261,1)</f>
        <v/>
      </c>
      <c r="Z261" t="b">
        <v>0</v>
      </c>
    </row>
    <row r="262">
      <c r="A262" s="3" t="inlineStr">
        <is>
          <t>Endulini</t>
        </is>
      </c>
      <c r="B262" s="3" t="inlineStr">
        <is>
          <t>B</t>
        </is>
      </c>
      <c r="C262" s="3" t="inlineStr">
        <is>
          <t>EB201</t>
        </is>
      </c>
      <c r="D262" s="3" t="b">
        <v>0</v>
      </c>
      <c r="E262" s="3" t="b">
        <v>0</v>
      </c>
      <c r="F262" s="3">
        <f>IF(OR(Z262=TRUE,SUMIFS('Cashflow Projection'!$E$119:$E$151,'Cashflow Projection'!$D$119:$D$151,Sales!C262)=1),0,SUMIFS('Cashflow Projection'!$C$7:$C$23,'Cashflow Projection'!$B$7:$B$23,Sales!B262,'Cashflow Projection'!$A$7:$A$23,Sales!A262))</f>
        <v/>
      </c>
      <c r="G262" s="4" t="n">
        <v>45478</v>
      </c>
      <c r="H262" s="4" t="n">
        <v>45458</v>
      </c>
      <c r="I262" s="3" t="n">
        <v>1549900</v>
      </c>
      <c r="J262" s="3" t="n">
        <v>0</v>
      </c>
      <c r="K262" s="3" t="n">
        <v>1347739.130434783</v>
      </c>
      <c r="L262" s="3" t="n">
        <v>18502.08</v>
      </c>
      <c r="M262" s="3" t="n">
        <v>1789</v>
      </c>
      <c r="N262" s="3" t="n">
        <v>7749.5</v>
      </c>
      <c r="O262" s="3" t="n">
        <v>77495</v>
      </c>
      <c r="P262" s="3" t="n">
        <v>19224.37</v>
      </c>
      <c r="Q262" s="9">
        <f>K262-SUM(L262:P262)</f>
        <v/>
      </c>
      <c r="R262" s="10">
        <f>IF($F262=1,((SUMIFS(Investors!$M:$M,Investors!$E:$E,Sales!$C262,Investors!$O:$O,FALSE)+SUMIFS(Investors!$S:$S,Investors!$E:$E,Sales!$C262,Investors!$O:$O,FALSE))*$F262)-SUMIFS('Investor Exit List'!$Q:$Q,'Investor Exit List'!$Y:$Y,1,'Investor Exit List'!$Z:$Z,"Release",'Investor Exit List'!$C:$C,Sales!$C262),(SUMIFS(Investors!$M:$M,Investors!$E:$E,Sales!$C262,Investors!$O:$O,FALSE)+SUMIFS(Investors!$S:$S,Investors!$E:$E,Sales!$C262,Investors!$O:$O,FALSE))*$F262)</f>
        <v/>
      </c>
      <c r="S262" s="10">
        <f>IF(T262=FALSE,Q262-R262,+V262)</f>
        <v/>
      </c>
      <c r="T262" s="3">
        <f>IF(SUMIFS('Cashflow Projection'!$E$119:$E$151,'Cashflow Projection'!$D$119:$D$151,Sales!C262)&lt;&gt;0,TRUE,FALSE)</f>
        <v/>
      </c>
      <c r="U262" s="4" t="n">
        <v>45504</v>
      </c>
      <c r="V262" s="10" t="n">
        <v>921500</v>
      </c>
      <c r="W262" s="11">
        <f>IF(SUMIFS('Cashflow Projection'!$E$119:$E$151,'Cashflow Projection'!$D$119:$D$151,Sales!C262)=1,SUMIFS('Cashflow Projection'!$C$119:$C$151,'Cashflow Projection'!$D$119:$D$151,Sales!C262),+Sales!H262)</f>
        <v/>
      </c>
      <c r="X262" s="11">
        <f>IF(MOD(MONTH(W262), 2) &lt;&gt; 0, EOMONTH(W262, 2), EOMONTH(W262, 1))</f>
        <v/>
      </c>
      <c r="Y262" s="11">
        <f>EOMONTH(X262,1)</f>
        <v/>
      </c>
      <c r="Z262" t="b">
        <v>0</v>
      </c>
    </row>
    <row r="263">
      <c r="A263" s="3" t="inlineStr">
        <is>
          <t>Endulini</t>
        </is>
      </c>
      <c r="B263" s="3" t="inlineStr">
        <is>
          <t>C</t>
        </is>
      </c>
      <c r="C263" s="3" t="inlineStr">
        <is>
          <t>EC101</t>
        </is>
      </c>
      <c r="D263" s="3" t="b">
        <v>1</v>
      </c>
      <c r="E263" s="3" t="b">
        <v>1</v>
      </c>
      <c r="F263" s="3">
        <f>IF(OR(Z263=TRUE,SUMIFS('Cashflow Projection'!$E$119:$E$151,'Cashflow Projection'!$D$119:$D$151,Sales!C263)=1),0,SUMIFS('Cashflow Projection'!$C$7:$C$23,'Cashflow Projection'!$B$7:$B$23,Sales!B263,'Cashflow Projection'!$A$7:$A$23,Sales!A263))</f>
        <v/>
      </c>
      <c r="G263" s="4" t="n">
        <v>44837</v>
      </c>
      <c r="H263" s="4" t="n">
        <v>45688</v>
      </c>
      <c r="I263" s="3" t="n">
        <v>1559900</v>
      </c>
      <c r="J263" s="3" t="n">
        <v>203465.2173913044</v>
      </c>
      <c r="K263" s="3" t="n">
        <v>1356434.782608696</v>
      </c>
      <c r="L263" s="3" t="n">
        <v>18502.08</v>
      </c>
      <c r="M263" s="3" t="n">
        <v>1789</v>
      </c>
      <c r="N263" s="3" t="n">
        <v>7799.5</v>
      </c>
      <c r="O263" s="3" t="n">
        <v>77995</v>
      </c>
      <c r="P263" s="3" t="n">
        <v>19224.37</v>
      </c>
      <c r="Q263" s="9">
        <f>K263-SUM(L263:P263)</f>
        <v/>
      </c>
      <c r="R263" s="10">
        <f>IF($F263=1,((SUMIFS(Investors!$M:$M,Investors!$E:$E,Sales!$C263,Investors!$O:$O,FALSE)+SUMIFS(Investors!$S:$S,Investors!$E:$E,Sales!$C263,Investors!$O:$O,FALSE))*$F263)-SUMIFS('Investor Exit List'!$Q:$Q,'Investor Exit List'!$Y:$Y,1,'Investor Exit List'!$Z:$Z,"Release",'Investor Exit List'!$C:$C,Sales!$C263),(SUMIFS(Investors!$M:$M,Investors!$E:$E,Sales!$C263,Investors!$O:$O,FALSE)+SUMIFS(Investors!$S:$S,Investors!$E:$E,Sales!$C263,Investors!$O:$O,FALSE))*$F263)</f>
        <v/>
      </c>
      <c r="S263" s="10">
        <f>IF(T263=FALSE,Q263-R263,+V263)</f>
        <v/>
      </c>
      <c r="T263" s="3">
        <f>IF(SUMIFS('Cashflow Projection'!$E$119:$E$151,'Cashflow Projection'!$D$119:$D$151,Sales!C263)&lt;&gt;0,TRUE,FALSE)</f>
        <v/>
      </c>
      <c r="U263" s="4" t="n">
        <v>45747</v>
      </c>
      <c r="V263" s="10" t="n">
        <v>255059.2280821917</v>
      </c>
      <c r="W263" s="11">
        <f>IF(SUMIFS('Cashflow Projection'!$E$119:$E$151,'Cashflow Projection'!$D$119:$D$151,Sales!C263)=1,SUMIFS('Cashflow Projection'!$C$119:$C$151,'Cashflow Projection'!$D$119:$D$151,Sales!C263),+Sales!H263)</f>
        <v/>
      </c>
      <c r="X263" s="11">
        <f>IF(MOD(MONTH(W263), 2) &lt;&gt; 0, EOMONTH(W263, 2), EOMONTH(W263, 1))</f>
        <v/>
      </c>
      <c r="Y263" s="11">
        <f>EOMONTH(X263,1)</f>
        <v/>
      </c>
      <c r="Z263" t="b">
        <v>0</v>
      </c>
    </row>
    <row r="264">
      <c r="A264" s="3" t="inlineStr">
        <is>
          <t>Endulini</t>
        </is>
      </c>
      <c r="B264" s="3" t="inlineStr">
        <is>
          <t>F</t>
        </is>
      </c>
      <c r="C264" s="3" t="inlineStr">
        <is>
          <t>EF101</t>
        </is>
      </c>
      <c r="D264" s="3" t="b">
        <v>1</v>
      </c>
      <c r="E264" s="3" t="b">
        <v>1</v>
      </c>
      <c r="F264" s="3">
        <f>IF(OR(Z264=TRUE,SUMIFS('Cashflow Projection'!$E$119:$E$151,'Cashflow Projection'!$D$119:$D$151,Sales!C264)=1),0,SUMIFS('Cashflow Projection'!$C$7:$C$23,'Cashflow Projection'!$B$7:$B$23,Sales!B264,'Cashflow Projection'!$A$7:$A$23,Sales!A264))</f>
        <v/>
      </c>
      <c r="G264" s="4" t="n">
        <v>44657</v>
      </c>
      <c r="H264" s="4" t="n">
        <v>45688</v>
      </c>
      <c r="I264" s="3" t="n">
        <v>1404900</v>
      </c>
      <c r="J264" s="3" t="n">
        <v>183247.8260869565</v>
      </c>
      <c r="K264" s="3" t="n">
        <v>1221652.173913043</v>
      </c>
      <c r="L264" s="3" t="n">
        <v>18502.08</v>
      </c>
      <c r="M264" s="3" t="n">
        <v>1789</v>
      </c>
      <c r="N264" s="3" t="n">
        <v>7024.5</v>
      </c>
      <c r="O264" s="3" t="n">
        <v>70245</v>
      </c>
      <c r="P264" s="3" t="n">
        <v>19224.37</v>
      </c>
      <c r="Q264" s="9">
        <f>K264-SUM(L264:P264)</f>
        <v/>
      </c>
      <c r="R264" s="10">
        <f>IF($F264=1,((SUMIFS(Investors!$M:$M,Investors!$E:$E,Sales!$C264,Investors!$O:$O,FALSE)+SUMIFS(Investors!$S:$S,Investors!$E:$E,Sales!$C264,Investors!$O:$O,FALSE))*$F264)-SUMIFS('Investor Exit List'!$Q:$Q,'Investor Exit List'!$Y:$Y,1,'Investor Exit List'!$Z:$Z,"Release",'Investor Exit List'!$C:$C,Sales!$C264),(SUMIFS(Investors!$M:$M,Investors!$E:$E,Sales!$C264,Investors!$O:$O,FALSE)+SUMIFS(Investors!$S:$S,Investors!$E:$E,Sales!$C264,Investors!$O:$O,FALSE))*$F264)</f>
        <v/>
      </c>
      <c r="S264" s="10">
        <f>IF(T264=FALSE,Q264-R264,+V264)</f>
        <v/>
      </c>
      <c r="T264" s="3">
        <f>IF(SUMIFS('Cashflow Projection'!$E$119:$E$151,'Cashflow Projection'!$D$119:$D$151,Sales!C264)&lt;&gt;0,TRUE,FALSE)</f>
        <v/>
      </c>
      <c r="U264" s="4" t="n">
        <v>45747</v>
      </c>
      <c r="V264" s="10" t="n">
        <v>177167.5671541095</v>
      </c>
      <c r="W264" s="11">
        <f>IF(SUMIFS('Cashflow Projection'!$E$119:$E$151,'Cashflow Projection'!$D$119:$D$151,Sales!C264)=1,SUMIFS('Cashflow Projection'!$C$119:$C$151,'Cashflow Projection'!$D$119:$D$151,Sales!C264),+Sales!H264)</f>
        <v/>
      </c>
      <c r="X264" s="11">
        <f>IF(MOD(MONTH(W264), 2) &lt;&gt; 0, EOMONTH(W264, 2), EOMONTH(W264, 1))</f>
        <v/>
      </c>
      <c r="Y264" s="11">
        <f>EOMONTH(X264,1)</f>
        <v/>
      </c>
      <c r="Z264" t="b">
        <v>0</v>
      </c>
    </row>
    <row r="265">
      <c r="A265" s="3" t="inlineStr">
        <is>
          <t>Heron Fields</t>
        </is>
      </c>
      <c r="B265" s="3" t="inlineStr">
        <is>
          <t>A</t>
        </is>
      </c>
      <c r="C265" s="3" t="inlineStr">
        <is>
          <t>HFA203</t>
        </is>
      </c>
      <c r="D265" s="3" t="b">
        <v>1</v>
      </c>
      <c r="E265" s="3" t="b">
        <v>1</v>
      </c>
      <c r="F265" s="3">
        <f>IF(OR(Z265=TRUE,SUMIFS('Cashflow Projection'!$E$119:$E$151,'Cashflow Projection'!$D$119:$D$151,Sales!C265)=1),0,SUMIFS('Cashflow Projection'!$C$7:$C$23,'Cashflow Projection'!$B$7:$B$23,Sales!B265,'Cashflow Projection'!$A$7:$A$23,Sales!A265))</f>
        <v/>
      </c>
      <c r="G265" s="4" t="n">
        <v>44897</v>
      </c>
      <c r="H265" s="4" t="n">
        <v>45688</v>
      </c>
      <c r="I265" s="3" t="n">
        <v>1349900</v>
      </c>
      <c r="J265" s="3" t="n">
        <v>176073.9130434782</v>
      </c>
      <c r="K265" s="3" t="n">
        <v>1173826.086956522</v>
      </c>
      <c r="L265" s="3" t="n">
        <v>18502.08</v>
      </c>
      <c r="M265" s="3" t="n">
        <v>1789</v>
      </c>
      <c r="N265" s="3" t="n">
        <v>6749.5</v>
      </c>
      <c r="O265" s="3" t="n">
        <v>67495</v>
      </c>
      <c r="P265" s="3" t="n">
        <v>19224.37</v>
      </c>
      <c r="Q265" s="9">
        <f>K265-SUM(L265:P265)</f>
        <v/>
      </c>
      <c r="R265" s="10">
        <f>IF($F265=1,((SUMIFS(Investors!$M:$M,Investors!$E:$E,Sales!$C265,Investors!$O:$O,FALSE)+SUMIFS(Investors!$S:$S,Investors!$E:$E,Sales!$C265,Investors!$O:$O,FALSE))*$F265)-SUMIFS('Investor Exit List'!$Q:$Q,'Investor Exit List'!$Y:$Y,1,'Investor Exit List'!$Z:$Z,"Release",'Investor Exit List'!$C:$C,Sales!$C265),(SUMIFS(Investors!$M:$M,Investors!$E:$E,Sales!$C265,Investors!$O:$O,FALSE)+SUMIFS(Investors!$S:$S,Investors!$E:$E,Sales!$C265,Investors!$O:$O,FALSE))*$F265)</f>
        <v/>
      </c>
      <c r="S265" s="10">
        <f>IF(T265=FALSE,Q265-R265,+V265)</f>
        <v/>
      </c>
      <c r="T265" s="3">
        <f>IF(SUMIFS('Cashflow Projection'!$E$119:$E$151,'Cashflow Projection'!$D$119:$D$151,Sales!C265)&lt;&gt;0,TRUE,FALSE)</f>
        <v/>
      </c>
      <c r="U265" s="4" t="n">
        <v>45747</v>
      </c>
      <c r="V265" s="10" t="n">
        <v>103177.5842465751</v>
      </c>
      <c r="W265" s="11">
        <f>IF(SUMIFS('Cashflow Projection'!$E$119:$E$151,'Cashflow Projection'!$D$119:$D$151,Sales!C265)=1,SUMIFS('Cashflow Projection'!$C$119:$C$151,'Cashflow Projection'!$D$119:$D$151,Sales!C265),+Sales!H265)</f>
        <v/>
      </c>
      <c r="X265" s="11">
        <f>IF(MOD(MONTH(W265), 2) &lt;&gt; 0, EOMONTH(W265, 2), EOMONTH(W265, 1))</f>
        <v/>
      </c>
      <c r="Y265" s="11">
        <f>EOMONTH(X265,1)</f>
        <v/>
      </c>
      <c r="Z265" t="b">
        <v>0</v>
      </c>
    </row>
    <row r="266">
      <c r="A266" s="3" t="inlineStr">
        <is>
          <t>Heron Fields</t>
        </is>
      </c>
      <c r="B266" s="3" t="inlineStr">
        <is>
          <t>B</t>
        </is>
      </c>
      <c r="C266" s="3" t="inlineStr">
        <is>
          <t>HFB306</t>
        </is>
      </c>
      <c r="D266" s="3" t="b">
        <v>1</v>
      </c>
      <c r="E266" s="3" t="b">
        <v>1</v>
      </c>
      <c r="F266" s="3">
        <f>IF(OR(Z266=TRUE,SUMIFS('Cashflow Projection'!$E$119:$E$151,'Cashflow Projection'!$D$119:$D$151,Sales!C266)=1),0,SUMIFS('Cashflow Projection'!$C$7:$C$23,'Cashflow Projection'!$B$7:$B$23,Sales!B266,'Cashflow Projection'!$A$7:$A$23,Sales!A266))</f>
        <v/>
      </c>
      <c r="G266" s="4" t="n">
        <v>45061</v>
      </c>
      <c r="H266" s="4" t="n">
        <v>45688</v>
      </c>
      <c r="I266" s="3" t="n">
        <v>1399900</v>
      </c>
      <c r="J266" s="3" t="n">
        <v>182595.6521739131</v>
      </c>
      <c r="K266" s="3" t="n">
        <v>1217304.347826087</v>
      </c>
      <c r="L266" s="3" t="n">
        <v>18502.08</v>
      </c>
      <c r="M266" s="3" t="n">
        <v>1789</v>
      </c>
      <c r="N266" s="3" t="n">
        <v>6999.5</v>
      </c>
      <c r="O266" s="3" t="n">
        <v>69995</v>
      </c>
      <c r="P266" s="3" t="n">
        <v>19224.37</v>
      </c>
      <c r="Q266" s="9">
        <f>K266-SUM(L266:P266)</f>
        <v/>
      </c>
      <c r="R266" s="10">
        <f>IF($F266=1,((SUMIFS(Investors!$M:$M,Investors!$E:$E,Sales!$C266,Investors!$O:$O,FALSE)+SUMIFS(Investors!$S:$S,Investors!$E:$E,Sales!$C266,Investors!$O:$O,FALSE))*$F266)-SUMIFS('Investor Exit List'!$Q:$Q,'Investor Exit List'!$Y:$Y,1,'Investor Exit List'!$Z:$Z,"Release",'Investor Exit List'!$C:$C,Sales!$C266),(SUMIFS(Investors!$M:$M,Investors!$E:$E,Sales!$C266,Investors!$O:$O,FALSE)+SUMIFS(Investors!$S:$S,Investors!$E:$E,Sales!$C266,Investors!$O:$O,FALSE))*$F266)</f>
        <v/>
      </c>
      <c r="S266" s="10">
        <f>IF(T266=FALSE,Q266-R266,+V266)</f>
        <v/>
      </c>
      <c r="T266" s="3">
        <f>IF(SUMIFS('Cashflow Projection'!$E$119:$E$151,'Cashflow Projection'!$D$119:$D$151,Sales!C266)&lt;&gt;0,TRUE,FALSE)</f>
        <v/>
      </c>
      <c r="U266" s="4" t="n">
        <v>45747</v>
      </c>
      <c r="V266" s="10" t="n">
        <v>70629.77602739702</v>
      </c>
      <c r="W266" s="11">
        <f>IF(SUMIFS('Cashflow Projection'!$E$119:$E$151,'Cashflow Projection'!$D$119:$D$151,Sales!C266)=1,SUMIFS('Cashflow Projection'!$C$119:$C$151,'Cashflow Projection'!$D$119:$D$151,Sales!C266),+Sales!H266)</f>
        <v/>
      </c>
      <c r="X266" s="11">
        <f>IF(MOD(MONTH(W266), 2) &lt;&gt; 0, EOMONTH(W266, 2), EOMONTH(W266, 1))</f>
        <v/>
      </c>
      <c r="Y266" s="11">
        <f>EOMONTH(X266,1)</f>
        <v/>
      </c>
      <c r="Z266" t="b">
        <v>0</v>
      </c>
    </row>
    <row r="267">
      <c r="A267" s="3" t="inlineStr">
        <is>
          <t>Heron View</t>
        </is>
      </c>
      <c r="B267" s="3" t="inlineStr">
        <is>
          <t>D</t>
        </is>
      </c>
      <c r="C267" s="3" t="inlineStr">
        <is>
          <t>HVD103</t>
        </is>
      </c>
      <c r="D267" s="3" t="b">
        <v>1</v>
      </c>
      <c r="E267" s="3" t="b">
        <v>1</v>
      </c>
      <c r="F267" s="3">
        <f>IF(OR(Z267=TRUE,SUMIFS('Cashflow Projection'!$E$119:$E$151,'Cashflow Projection'!$D$119:$D$151,Sales!C267)=1),0,SUMIFS('Cashflow Projection'!$C$7:$C$23,'Cashflow Projection'!$B$7:$B$23,Sales!B267,'Cashflow Projection'!$A$7:$A$23,Sales!A267))</f>
        <v/>
      </c>
      <c r="G267" s="4" t="n">
        <v>45323</v>
      </c>
      <c r="H267" s="4" t="n">
        <v>45688</v>
      </c>
      <c r="I267" s="3" t="n">
        <v>1699900</v>
      </c>
      <c r="J267" s="3" t="n">
        <v>221726.0869565217</v>
      </c>
      <c r="K267" s="3" t="n">
        <v>1478173.913043478</v>
      </c>
      <c r="L267" s="3" t="n">
        <v>18502.08</v>
      </c>
      <c r="M267" s="3" t="n">
        <v>1789</v>
      </c>
      <c r="N267" s="3" t="n">
        <v>8499.5</v>
      </c>
      <c r="O267" s="3" t="n">
        <v>84995</v>
      </c>
      <c r="P267" s="3" t="n">
        <v>19224.37</v>
      </c>
      <c r="Q267" s="9">
        <f>K267-SUM(L267:P267)</f>
        <v/>
      </c>
      <c r="R267" s="10">
        <f>IF($F267=1,((SUMIFS(Investors!$M:$M,Investors!$E:$E,Sales!$C267,Investors!$O:$O,FALSE)+SUMIFS(Investors!$S:$S,Investors!$E:$E,Sales!$C267,Investors!$O:$O,FALSE))*$F267)-SUMIFS('Investor Exit List'!$Q:$Q,'Investor Exit List'!$Y:$Y,1,'Investor Exit List'!$Z:$Z,"Release",'Investor Exit List'!$C:$C,Sales!$C267),(SUMIFS(Investors!$M:$M,Investors!$E:$E,Sales!$C267,Investors!$O:$O,FALSE)+SUMIFS(Investors!$S:$S,Investors!$E:$E,Sales!$C267,Investors!$O:$O,FALSE))*$F267)</f>
        <v/>
      </c>
      <c r="S267" s="10">
        <f>IF(T267=FALSE,Q267-R267,+V267)</f>
        <v/>
      </c>
      <c r="T267" s="3">
        <f>IF(SUMIFS('Cashflow Projection'!$E$119:$E$151,'Cashflow Projection'!$D$119:$D$151,Sales!C267)&lt;&gt;0,TRUE,FALSE)</f>
        <v/>
      </c>
      <c r="U267" s="4" t="n">
        <v>45747</v>
      </c>
      <c r="V267" s="10" t="n">
        <v>313960.6180572601</v>
      </c>
      <c r="W267" s="11">
        <f>IF(SUMIFS('Cashflow Projection'!$E$119:$E$151,'Cashflow Projection'!$D$119:$D$151,Sales!C267)=1,SUMIFS('Cashflow Projection'!$C$119:$C$151,'Cashflow Projection'!$D$119:$D$151,Sales!C267),+Sales!H267)</f>
        <v/>
      </c>
      <c r="X267" s="11">
        <f>IF(MOD(MONTH(W267), 2) &lt;&gt; 0, EOMONTH(W267, 2), EOMONTH(W267, 1))</f>
        <v/>
      </c>
      <c r="Y267" s="11">
        <f>EOMONTH(X267,1)</f>
        <v/>
      </c>
      <c r="Z267" t="b">
        <v>0</v>
      </c>
    </row>
    <row r="268">
      <c r="A268" s="3" t="inlineStr">
        <is>
          <t>Heron View</t>
        </is>
      </c>
      <c r="B268" s="3" t="inlineStr">
        <is>
          <t>N</t>
        </is>
      </c>
      <c r="C268" s="3" t="inlineStr">
        <is>
          <t>HVN104</t>
        </is>
      </c>
      <c r="D268" s="3" t="b">
        <v>1</v>
      </c>
      <c r="E268" s="3" t="b">
        <v>1</v>
      </c>
      <c r="F268" s="3">
        <f>IF(OR(Z268=TRUE,SUMIFS('Cashflow Projection'!$E$119:$E$151,'Cashflow Projection'!$D$119:$D$151,Sales!C268)=1),0,SUMIFS('Cashflow Projection'!$C$7:$C$23,'Cashflow Projection'!$B$7:$B$23,Sales!B268,'Cashflow Projection'!$A$7:$A$23,Sales!A268))</f>
        <v/>
      </c>
      <c r="G268" s="4" t="n">
        <v>45399</v>
      </c>
      <c r="H268" s="4" t="n">
        <v>45369</v>
      </c>
      <c r="I268" s="3" t="n">
        <v>1699900</v>
      </c>
      <c r="J268" s="3" t="n">
        <v>221726.0869565217</v>
      </c>
      <c r="K268" s="3" t="n">
        <v>1478173.913043478</v>
      </c>
      <c r="L268" s="3" t="n">
        <v>18502.08</v>
      </c>
      <c r="M268" s="3" t="n">
        <v>1789</v>
      </c>
      <c r="N268" s="3" t="n">
        <v>8499.5</v>
      </c>
      <c r="O268" s="3" t="n">
        <v>84995</v>
      </c>
      <c r="P268" s="3" t="n">
        <v>19224.37</v>
      </c>
      <c r="Q268" s="9">
        <f>K268-SUM(L268:P268)</f>
        <v/>
      </c>
      <c r="R268" s="10">
        <f>IF($F268=1,((SUMIFS(Investors!$M:$M,Investors!$E:$E,Sales!$C268,Investors!$O:$O,FALSE)+SUMIFS(Investors!$S:$S,Investors!$E:$E,Sales!$C268,Investors!$O:$O,FALSE))*$F268)-SUMIFS('Investor Exit List'!$Q:$Q,'Investor Exit List'!$Y:$Y,1,'Investor Exit List'!$Z:$Z,"Release",'Investor Exit List'!$C:$C,Sales!$C268),(SUMIFS(Investors!$M:$M,Investors!$E:$E,Sales!$C268,Investors!$O:$O,FALSE)+SUMIFS(Investors!$S:$S,Investors!$E:$E,Sales!$C268,Investors!$O:$O,FALSE))*$F268)</f>
        <v/>
      </c>
      <c r="S268" s="10">
        <f>IF(T268=FALSE,Q268-R268,+V268)</f>
        <v/>
      </c>
      <c r="T268" s="3">
        <f>IF(SUMIFS('Cashflow Projection'!$E$119:$E$151,'Cashflow Projection'!$D$119:$D$151,Sales!C268)&lt;&gt;0,TRUE,FALSE)</f>
        <v/>
      </c>
      <c r="U268" s="4" t="n">
        <v>45443</v>
      </c>
      <c r="V268" s="10" t="n">
        <v>251335.2554794517</v>
      </c>
      <c r="W268" s="11">
        <f>IF(SUMIFS('Cashflow Projection'!$E$119:$E$151,'Cashflow Projection'!$D$119:$D$151,Sales!C268)=1,SUMIFS('Cashflow Projection'!$C$119:$C$151,'Cashflow Projection'!$D$119:$D$151,Sales!C268),+Sales!H268)</f>
        <v/>
      </c>
      <c r="X268" s="11">
        <f>IF(MOD(MONTH(W268), 2) &lt;&gt; 0, EOMONTH(W268, 2), EOMONTH(W268, 1))</f>
        <v/>
      </c>
      <c r="Y268" s="11">
        <f>EOMONTH(X268,1)</f>
        <v/>
      </c>
      <c r="Z268" t="b">
        <v>0</v>
      </c>
    </row>
    <row r="269">
      <c r="A269" s="3" t="inlineStr">
        <is>
          <t>Heron View</t>
        </is>
      </c>
      <c r="B269" s="3" t="inlineStr">
        <is>
          <t>J</t>
        </is>
      </c>
      <c r="C269" s="3" t="inlineStr">
        <is>
          <t>HVJ101</t>
        </is>
      </c>
      <c r="D269" s="3" t="b">
        <v>1</v>
      </c>
      <c r="E269" s="3" t="b">
        <v>0</v>
      </c>
      <c r="F269" s="3">
        <f>IF(OR(Z269=TRUE,SUMIFS('Cashflow Projection'!$E$119:$E$151,'Cashflow Projection'!$D$119:$D$151,Sales!C269)=1),0,SUMIFS('Cashflow Projection'!$C$7:$C$23,'Cashflow Projection'!$B$7:$B$23,Sales!B269,'Cashflow Projection'!$A$7:$A$23,Sales!A269))</f>
        <v/>
      </c>
      <c r="G269" s="4" t="n">
        <v>45552</v>
      </c>
      <c r="H269" s="4" t="n">
        <v>45552</v>
      </c>
      <c r="I269" s="3" t="n">
        <v>1759900</v>
      </c>
      <c r="J269" s="3" t="n">
        <v>229552.1739130435</v>
      </c>
      <c r="K269" s="3" t="n">
        <v>1530347.826086957</v>
      </c>
      <c r="L269" s="3" t="n">
        <v>18502.08</v>
      </c>
      <c r="M269" s="3" t="n">
        <v>1789</v>
      </c>
      <c r="N269" s="3" t="n">
        <v>8799.5</v>
      </c>
      <c r="O269" s="3" t="n">
        <v>87995</v>
      </c>
      <c r="P269" s="3" t="n">
        <v>19224.37</v>
      </c>
      <c r="Q269" s="9">
        <f>K269-SUM(L269:P269)</f>
        <v/>
      </c>
      <c r="R269" s="10">
        <f>IF($F269=1,((SUMIFS(Investors!$M:$M,Investors!$E:$E,Sales!$C269,Investors!$O:$O,FALSE)+SUMIFS(Investors!$S:$S,Investors!$E:$E,Sales!$C269,Investors!$O:$O,FALSE))*$F269)-SUMIFS('Investor Exit List'!$Q:$Q,'Investor Exit List'!$Y:$Y,1,'Investor Exit List'!$Z:$Z,"Release",'Investor Exit List'!$C:$C,Sales!$C269),(SUMIFS(Investors!$M:$M,Investors!$E:$E,Sales!$C269,Investors!$O:$O,FALSE)+SUMIFS(Investors!$S:$S,Investors!$E:$E,Sales!$C269,Investors!$O:$O,FALSE))*$F269)</f>
        <v/>
      </c>
      <c r="S269" s="10">
        <f>IF(T269=FALSE,Q269-R269,+V269)</f>
        <v/>
      </c>
      <c r="T269" s="3">
        <f>IF(SUMIFS('Cashflow Projection'!$E$119:$E$151,'Cashflow Projection'!$D$119:$D$151,Sales!C269)&lt;&gt;0,TRUE,FALSE)</f>
        <v/>
      </c>
      <c r="U269" s="4" t="n">
        <v>45626</v>
      </c>
      <c r="V269" s="10" t="n">
        <v>196146.2143835614</v>
      </c>
      <c r="W269" s="11">
        <f>IF(SUMIFS('Cashflow Projection'!$E$119:$E$151,'Cashflow Projection'!$D$119:$D$151,Sales!C269)=1,SUMIFS('Cashflow Projection'!$C$119:$C$151,'Cashflow Projection'!$D$119:$D$151,Sales!C269),+Sales!H269)</f>
        <v/>
      </c>
      <c r="X269" s="11">
        <f>IF(MOD(MONTH(W269), 2) &lt;&gt; 0, EOMONTH(W269, 2), EOMONTH(W269, 1))</f>
        <v/>
      </c>
      <c r="Y269" s="11">
        <f>EOMONTH(X269,1)</f>
        <v/>
      </c>
      <c r="Z269" t="b">
        <v>0</v>
      </c>
    </row>
    <row r="270">
      <c r="A270" s="3" t="inlineStr">
        <is>
          <t>Heron View</t>
        </is>
      </c>
      <c r="B270" s="3" t="inlineStr">
        <is>
          <t>H</t>
        </is>
      </c>
      <c r="C270" s="3" t="inlineStr">
        <is>
          <t>HVH102</t>
        </is>
      </c>
      <c r="D270" s="3" t="b">
        <v>1</v>
      </c>
      <c r="E270" s="3" t="b">
        <v>0</v>
      </c>
      <c r="F270" s="3">
        <f>IF(OR(Z270=TRUE,SUMIFS('Cashflow Projection'!$E$119:$E$151,'Cashflow Projection'!$D$119:$D$151,Sales!C270)=1),0,SUMIFS('Cashflow Projection'!$C$7:$C$23,'Cashflow Projection'!$B$7:$B$23,Sales!B270,'Cashflow Projection'!$A$7:$A$23,Sales!A270))</f>
        <v/>
      </c>
      <c r="G270" s="4" t="n">
        <v>45490</v>
      </c>
      <c r="H270" s="4" t="n">
        <v>45490</v>
      </c>
      <c r="I270" s="3" t="n">
        <v>1669999</v>
      </c>
      <c r="J270" s="3" t="n">
        <v>217825.9565217391</v>
      </c>
      <c r="K270" s="3" t="n">
        <v>1452173.043478261</v>
      </c>
      <c r="L270" s="3" t="n">
        <v>18502.08</v>
      </c>
      <c r="M270" s="3" t="n">
        <v>1789</v>
      </c>
      <c r="N270" s="3" t="n">
        <v>8349.995000000001</v>
      </c>
      <c r="O270" s="3" t="n">
        <v>83499.95000000001</v>
      </c>
      <c r="P270" s="3" t="n">
        <v>19224.37</v>
      </c>
      <c r="Q270" s="9">
        <f>K270-SUM(L270:P270)</f>
        <v/>
      </c>
      <c r="R270" s="10">
        <f>IF($F270=1,((SUMIFS(Investors!$M:$M,Investors!$E:$E,Sales!$C270,Investors!$O:$O,FALSE)+SUMIFS(Investors!$S:$S,Investors!$E:$E,Sales!$C270,Investors!$O:$O,FALSE))*$F270)-SUMIFS('Investor Exit List'!$Q:$Q,'Investor Exit List'!$Y:$Y,1,'Investor Exit List'!$Z:$Z,"Release",'Investor Exit List'!$C:$C,Sales!$C270),(SUMIFS(Investors!$M:$M,Investors!$E:$E,Sales!$C270,Investors!$O:$O,FALSE)+SUMIFS(Investors!$S:$S,Investors!$E:$E,Sales!$C270,Investors!$O:$O,FALSE))*$F270)</f>
        <v/>
      </c>
      <c r="S270" s="10">
        <f>IF(T270=FALSE,Q270-R270,+V270)</f>
        <v/>
      </c>
      <c r="T270" s="3">
        <f>IF(SUMIFS('Cashflow Projection'!$E$119:$E$151,'Cashflow Projection'!$D$119:$D$151,Sales!C270)&lt;&gt;0,TRUE,FALSE)</f>
        <v/>
      </c>
      <c r="U270" s="4" t="n">
        <v>45565</v>
      </c>
      <c r="V270" s="10" t="n">
        <v>289696.6186986298</v>
      </c>
      <c r="W270" s="11">
        <f>IF(SUMIFS('Cashflow Projection'!$E$119:$E$151,'Cashflow Projection'!$D$119:$D$151,Sales!C270)=1,SUMIFS('Cashflow Projection'!$C$119:$C$151,'Cashflow Projection'!$D$119:$D$151,Sales!C270),+Sales!H270)</f>
        <v/>
      </c>
      <c r="X270" s="11">
        <f>IF(MOD(MONTH(W270), 2) &lt;&gt; 0, EOMONTH(W270, 2), EOMONTH(W270, 1))</f>
        <v/>
      </c>
      <c r="Y270" s="11">
        <f>EOMONTH(X270,1)</f>
        <v/>
      </c>
      <c r="Z270" t="b">
        <v>0</v>
      </c>
    </row>
    <row r="271">
      <c r="A271" s="3" t="inlineStr">
        <is>
          <t>Heron View</t>
        </is>
      </c>
      <c r="B271" s="3" t="inlineStr">
        <is>
          <t>C</t>
        </is>
      </c>
      <c r="C271" s="3" t="inlineStr">
        <is>
          <t>HVC301</t>
        </is>
      </c>
      <c r="D271" s="3" t="b">
        <v>1</v>
      </c>
      <c r="E271" s="3" t="b">
        <v>1</v>
      </c>
      <c r="F271" s="3">
        <f>IF(OR(Z271=TRUE,SUMIFS('Cashflow Projection'!$E$119:$E$151,'Cashflow Projection'!$D$119:$D$151,Sales!C271)=1),0,SUMIFS('Cashflow Projection'!$C$7:$C$23,'Cashflow Projection'!$B$7:$B$23,Sales!B271,'Cashflow Projection'!$A$7:$A$23,Sales!A271))</f>
        <v/>
      </c>
      <c r="G271" s="4" t="n">
        <v>45154</v>
      </c>
      <c r="H271" s="4" t="n">
        <v>45688</v>
      </c>
      <c r="I271" s="3" t="n">
        <v>1549900</v>
      </c>
      <c r="J271" s="3" t="n">
        <v>202160.8695652174</v>
      </c>
      <c r="K271" s="3" t="n">
        <v>1347739.130434783</v>
      </c>
      <c r="L271" s="3" t="n">
        <v>18502.08</v>
      </c>
      <c r="M271" s="3" t="n">
        <v>1789</v>
      </c>
      <c r="N271" s="3" t="n">
        <v>7749.5</v>
      </c>
      <c r="O271" s="3" t="n">
        <v>77495</v>
      </c>
      <c r="P271" s="3" t="n">
        <v>19224.37</v>
      </c>
      <c r="Q271" s="9">
        <f>K271-SUM(L271:P271)</f>
        <v/>
      </c>
      <c r="R271" s="10">
        <f>IF($F271=1,((SUMIFS(Investors!$M:$M,Investors!$E:$E,Sales!$C271,Investors!$O:$O,FALSE)+SUMIFS(Investors!$S:$S,Investors!$E:$E,Sales!$C271,Investors!$O:$O,FALSE))*$F271)-SUMIFS('Investor Exit List'!$Q:$Q,'Investor Exit List'!$Y:$Y,1,'Investor Exit List'!$Z:$Z,"Release",'Investor Exit List'!$C:$C,Sales!$C271),(SUMIFS(Investors!$M:$M,Investors!$E:$E,Sales!$C271,Investors!$O:$O,FALSE)+SUMIFS(Investors!$S:$S,Investors!$E:$E,Sales!$C271,Investors!$O:$O,FALSE))*$F271)</f>
        <v/>
      </c>
      <c r="S271" s="10">
        <f>IF(T271=FALSE,Q271-R271,+V271)</f>
        <v/>
      </c>
      <c r="T271" s="3">
        <f>IF(SUMIFS('Cashflow Projection'!$E$119:$E$151,'Cashflow Projection'!$D$119:$D$151,Sales!C271)&lt;&gt;0,TRUE,FALSE)</f>
        <v/>
      </c>
      <c r="U271" s="4" t="n">
        <v>45747</v>
      </c>
      <c r="V271" s="10" t="n">
        <v>174406.3808467123</v>
      </c>
      <c r="W271" s="11">
        <f>IF(SUMIFS('Cashflow Projection'!$E$119:$E$151,'Cashflow Projection'!$D$119:$D$151,Sales!C271)=1,SUMIFS('Cashflow Projection'!$C$119:$C$151,'Cashflow Projection'!$D$119:$D$151,Sales!C271),+Sales!H271)</f>
        <v/>
      </c>
      <c r="X271" s="11">
        <f>IF(MOD(MONTH(W271), 2) &lt;&gt; 0, EOMONTH(W271, 2), EOMONTH(W271, 1))</f>
        <v/>
      </c>
      <c r="Y271" s="11">
        <f>EOMONTH(X271,1)</f>
        <v/>
      </c>
      <c r="Z271" t="b">
        <v>0</v>
      </c>
    </row>
    <row r="272">
      <c r="A272" s="3" t="inlineStr">
        <is>
          <t>Heron View</t>
        </is>
      </c>
      <c r="B272" s="3" t="inlineStr">
        <is>
          <t>M</t>
        </is>
      </c>
      <c r="C272" s="3" t="inlineStr">
        <is>
          <t>HVM203</t>
        </is>
      </c>
      <c r="D272" s="3" t="b">
        <v>0</v>
      </c>
      <c r="E272" s="3" t="b">
        <v>0</v>
      </c>
      <c r="F272" s="3">
        <f>IF(OR(Z272=TRUE,SUMIFS('Cashflow Projection'!$E$119:$E$151,'Cashflow Projection'!$D$119:$D$151,Sales!C272)=1),0,SUMIFS('Cashflow Projection'!$C$7:$C$23,'Cashflow Projection'!$B$7:$B$23,Sales!B272,'Cashflow Projection'!$A$7:$A$23,Sales!A272))</f>
        <v/>
      </c>
      <c r="G272" s="4" t="n">
        <v>45450</v>
      </c>
      <c r="H272" s="4" t="n">
        <v>45583</v>
      </c>
      <c r="I272" s="3" t="n">
        <v>1729900</v>
      </c>
      <c r="J272" s="3" t="n">
        <v>225639.1304347826</v>
      </c>
      <c r="K272" s="3" t="n">
        <v>1504260.869565218</v>
      </c>
      <c r="L272" s="3" t="n">
        <v>18502.08</v>
      </c>
      <c r="M272" s="3" t="n">
        <v>1789</v>
      </c>
      <c r="N272" s="3" t="n">
        <v>8649.5</v>
      </c>
      <c r="O272" s="3" t="n">
        <v>86495</v>
      </c>
      <c r="P272" s="3" t="n">
        <v>19224.37</v>
      </c>
      <c r="Q272" s="9">
        <f>K272-SUM(L272:P272)</f>
        <v/>
      </c>
      <c r="R272" s="10">
        <f>IF($F272=1,((SUMIFS(Investors!$M:$M,Investors!$E:$E,Sales!$C272,Investors!$O:$O,FALSE)+SUMIFS(Investors!$S:$S,Investors!$E:$E,Sales!$C272,Investors!$O:$O,FALSE))*$F272)-SUMIFS('Investor Exit List'!$Q:$Q,'Investor Exit List'!$Y:$Y,1,'Investor Exit List'!$Z:$Z,"Release",'Investor Exit List'!$C:$C,Sales!$C272),(SUMIFS(Investors!$M:$M,Investors!$E:$E,Sales!$C272,Investors!$O:$O,FALSE)+SUMIFS(Investors!$S:$S,Investors!$E:$E,Sales!$C272,Investors!$O:$O,FALSE))*$F272)</f>
        <v/>
      </c>
      <c r="S272" s="10">
        <f>IF(T272=FALSE,Q272-R272,+V272)</f>
        <v/>
      </c>
      <c r="T272" s="3">
        <f>IF(SUMIFS('Cashflow Projection'!$E$119:$E$151,'Cashflow Projection'!$D$119:$D$151,Sales!C272)&lt;&gt;0,TRUE,FALSE)</f>
        <v/>
      </c>
      <c r="U272" s="4" t="n">
        <v>45626</v>
      </c>
      <c r="V272" s="10" t="n">
        <v>288048.269178082</v>
      </c>
      <c r="W272" s="11">
        <f>IF(SUMIFS('Cashflow Projection'!$E$119:$E$151,'Cashflow Projection'!$D$119:$D$151,Sales!C272)=1,SUMIFS('Cashflow Projection'!$C$119:$C$151,'Cashflow Projection'!$D$119:$D$151,Sales!C272),+Sales!H272)</f>
        <v/>
      </c>
      <c r="X272" s="11">
        <f>IF(MOD(MONTH(W272), 2) &lt;&gt; 0, EOMONTH(W272, 2), EOMONTH(W272, 1))</f>
        <v/>
      </c>
      <c r="Y272" s="11">
        <f>EOMONTH(X272,1)</f>
        <v/>
      </c>
      <c r="Z272" t="b">
        <v>0</v>
      </c>
    </row>
    <row r="273">
      <c r="A273" s="3" t="inlineStr">
        <is>
          <t>Heron View</t>
        </is>
      </c>
      <c r="B273" s="3" t="inlineStr">
        <is>
          <t>L</t>
        </is>
      </c>
      <c r="C273" s="3" t="inlineStr">
        <is>
          <t>HVL101</t>
        </is>
      </c>
      <c r="D273" s="3" t="b">
        <v>0</v>
      </c>
      <c r="E273" s="3" t="b">
        <v>0</v>
      </c>
      <c r="F273" s="3">
        <f>IF(OR(Z273=TRUE,SUMIFS('Cashflow Projection'!$E$119:$E$151,'Cashflow Projection'!$D$119:$D$151,Sales!C273)=1),0,SUMIFS('Cashflow Projection'!$C$7:$C$23,'Cashflow Projection'!$B$7:$B$23,Sales!B273,'Cashflow Projection'!$A$7:$A$23,Sales!A273))</f>
        <v/>
      </c>
      <c r="G273" s="4" t="n">
        <v>45499</v>
      </c>
      <c r="H273" s="4" t="n">
        <v>45716</v>
      </c>
      <c r="I273" s="3" t="n">
        <v>1499900</v>
      </c>
      <c r="J273" s="3" t="n">
        <v>195639.1304347826</v>
      </c>
      <c r="K273" s="3" t="n">
        <v>1304260.869565218</v>
      </c>
      <c r="L273" s="3" t="n">
        <v>18502.08</v>
      </c>
      <c r="M273" s="3" t="n">
        <v>1789</v>
      </c>
      <c r="N273" s="3" t="n">
        <v>7499.5</v>
      </c>
      <c r="O273" s="3" t="n">
        <v>74995</v>
      </c>
      <c r="P273" s="3" t="n">
        <v>19224.37</v>
      </c>
      <c r="Q273" s="9">
        <f>K273-SUM(L273:P273)</f>
        <v/>
      </c>
      <c r="R273" s="10">
        <f>IF($F273=1,((SUMIFS(Investors!$M:$M,Investors!$E:$E,Sales!$C273,Investors!$O:$O,FALSE)+SUMIFS(Investors!$S:$S,Investors!$E:$E,Sales!$C273,Investors!$O:$O,FALSE))*$F273)-SUMIFS('Investor Exit List'!$Q:$Q,'Investor Exit List'!$Y:$Y,1,'Investor Exit List'!$Z:$Z,"Release",'Investor Exit List'!$C:$C,Sales!$C273),(SUMIFS(Investors!$M:$M,Investors!$E:$E,Sales!$C273,Investors!$O:$O,FALSE)+SUMIFS(Investors!$S:$S,Investors!$E:$E,Sales!$C273,Investors!$O:$O,FALSE))*$F273)</f>
        <v/>
      </c>
      <c r="S273" s="10">
        <f>IF(T273=FALSE,Q273-R273,+V273)</f>
        <v/>
      </c>
      <c r="T273" s="3">
        <f>IF(SUMIFS('Cashflow Projection'!$E$119:$E$151,'Cashflow Projection'!$D$119:$D$151,Sales!C273)&lt;&gt;0,TRUE,FALSE)</f>
        <v/>
      </c>
      <c r="U273" s="4" t="n">
        <v>45747</v>
      </c>
      <c r="V273" s="10" t="n">
        <v>89865.39246575325</v>
      </c>
      <c r="W273" s="11">
        <f>IF(SUMIFS('Cashflow Projection'!$E$119:$E$151,'Cashflow Projection'!$D$119:$D$151,Sales!C273)=1,SUMIFS('Cashflow Projection'!$C$119:$C$151,'Cashflow Projection'!$D$119:$D$151,Sales!C273),+Sales!H273)</f>
        <v/>
      </c>
      <c r="X273" s="11">
        <f>IF(MOD(MONTH(W273), 2) &lt;&gt; 0, EOMONTH(W273, 2), EOMONTH(W273, 1))</f>
        <v/>
      </c>
      <c r="Y273" s="11">
        <f>EOMONTH(X273,1)</f>
        <v/>
      </c>
      <c r="Z273" t="b">
        <v>0</v>
      </c>
    </row>
    <row r="274">
      <c r="A274" s="3" t="inlineStr">
        <is>
          <t>Heron View</t>
        </is>
      </c>
      <c r="B274" s="3" t="inlineStr">
        <is>
          <t>F</t>
        </is>
      </c>
      <c r="C274" s="3" t="inlineStr">
        <is>
          <t>HVF104</t>
        </is>
      </c>
      <c r="D274" s="3" t="b">
        <v>0</v>
      </c>
      <c r="E274" s="3" t="b">
        <v>0</v>
      </c>
      <c r="F274" s="3">
        <f>IF(OR(Z274=TRUE,SUMIFS('Cashflow Projection'!$E$119:$E$151,'Cashflow Projection'!$D$119:$D$151,Sales!C274)=1),0,SUMIFS('Cashflow Projection'!$C$7:$C$23,'Cashflow Projection'!$B$7:$B$23,Sales!B274,'Cashflow Projection'!$A$7:$A$23,Sales!A274))</f>
        <v/>
      </c>
      <c r="G274" s="4" t="n">
        <v>45517</v>
      </c>
      <c r="H274" s="4" t="n">
        <v>45722</v>
      </c>
      <c r="I274" s="3" t="n">
        <v>1619900</v>
      </c>
      <c r="J274" s="3" t="n">
        <v>211291.3043478261</v>
      </c>
      <c r="K274" s="3" t="n">
        <v>1408608.695652174</v>
      </c>
      <c r="L274" s="3" t="n">
        <v>18502.08</v>
      </c>
      <c r="M274" s="3" t="n">
        <v>1789</v>
      </c>
      <c r="N274" s="3" t="n">
        <v>8099.5</v>
      </c>
      <c r="O274" s="3" t="n">
        <v>80995</v>
      </c>
      <c r="P274" s="3" t="n">
        <v>19224.37</v>
      </c>
      <c r="Q274" s="9">
        <f>K274-SUM(L274:P274)</f>
        <v/>
      </c>
      <c r="R274" s="10">
        <f>IF($F274=1,((SUMIFS(Investors!$M:$M,Investors!$E:$E,Sales!$C274,Investors!$O:$O,FALSE)+SUMIFS(Investors!$S:$S,Investors!$E:$E,Sales!$C274,Investors!$O:$O,FALSE))*$F274)-SUMIFS('Investor Exit List'!$Q:$Q,'Investor Exit List'!$Y:$Y,1,'Investor Exit List'!$Z:$Z,"Release",'Investor Exit List'!$C:$C,Sales!$C274),(SUMIFS(Investors!$M:$M,Investors!$E:$E,Sales!$C274,Investors!$O:$O,FALSE)+SUMIFS(Investors!$S:$S,Investors!$E:$E,Sales!$C274,Investors!$O:$O,FALSE))*$F274)</f>
        <v/>
      </c>
      <c r="S274" s="10">
        <f>IF(T274=FALSE,Q274-R274,+V274)</f>
        <v/>
      </c>
      <c r="T274" s="3">
        <f>IF(SUMIFS('Cashflow Projection'!$E$119:$E$151,'Cashflow Projection'!$D$119:$D$151,Sales!C274)&lt;&gt;0,TRUE,FALSE)</f>
        <v/>
      </c>
      <c r="U274" s="4" t="n">
        <v>45808</v>
      </c>
      <c r="V274" s="10" t="n">
        <v>358449.0610342463</v>
      </c>
      <c r="W274" s="11">
        <f>IF(SUMIFS('Cashflow Projection'!$E$119:$E$151,'Cashflow Projection'!$D$119:$D$151,Sales!C274)=1,SUMIFS('Cashflow Projection'!$C$119:$C$151,'Cashflow Projection'!$D$119:$D$151,Sales!C274),+Sales!H274)</f>
        <v/>
      </c>
      <c r="X274" s="11">
        <f>IF(MOD(MONTH(W274), 2) &lt;&gt; 0, EOMONTH(W274, 2), EOMONTH(W274, 1))</f>
        <v/>
      </c>
      <c r="Y274" s="11">
        <f>EOMONTH(X274,1)</f>
        <v/>
      </c>
      <c r="Z274" t="b">
        <v>0</v>
      </c>
    </row>
    <row r="275">
      <c r="A275" s="3" t="inlineStr">
        <is>
          <t>Heron View</t>
        </is>
      </c>
      <c r="B275" s="3" t="inlineStr">
        <is>
          <t>O</t>
        </is>
      </c>
      <c r="C275" s="3" t="inlineStr">
        <is>
          <t>HVO301</t>
        </is>
      </c>
      <c r="D275" s="3" t="b">
        <v>1</v>
      </c>
      <c r="E275" s="3" t="b">
        <v>0</v>
      </c>
      <c r="F275" s="3">
        <f>IF(OR(Z275=TRUE,SUMIFS('Cashflow Projection'!$E$119:$E$151,'Cashflow Projection'!$D$119:$D$151,Sales!C275)=1),0,SUMIFS('Cashflow Projection'!$C$7:$C$23,'Cashflow Projection'!$B$7:$B$23,Sales!B275,'Cashflow Projection'!$A$7:$A$23,Sales!A275))</f>
        <v/>
      </c>
      <c r="G275" s="4" t="n">
        <v>45518</v>
      </c>
      <c r="H275" s="4" t="n">
        <v>45518</v>
      </c>
      <c r="I275" s="3" t="n">
        <v>1699900</v>
      </c>
      <c r="J275" s="3" t="n">
        <v>221726.0869565217</v>
      </c>
      <c r="K275" s="3" t="n">
        <v>1478173.913043478</v>
      </c>
      <c r="L275" s="3" t="n">
        <v>18502.08</v>
      </c>
      <c r="M275" s="3" t="n">
        <v>1789</v>
      </c>
      <c r="N275" s="3" t="n">
        <v>8499.5</v>
      </c>
      <c r="O275" s="3" t="n">
        <v>84995</v>
      </c>
      <c r="P275" s="3" t="n">
        <v>19224.37</v>
      </c>
      <c r="Q275" s="9">
        <f>K275-SUM(L275:P275)</f>
        <v/>
      </c>
      <c r="R275" s="10">
        <f>IF($F275=1,((SUMIFS(Investors!$M:$M,Investors!$E:$E,Sales!$C275,Investors!$O:$O,FALSE)+SUMIFS(Investors!$S:$S,Investors!$E:$E,Sales!$C275,Investors!$O:$O,FALSE))*$F275)-SUMIFS('Investor Exit List'!$Q:$Q,'Investor Exit List'!$Y:$Y,1,'Investor Exit List'!$Z:$Z,"Release",'Investor Exit List'!$C:$C,Sales!$C275),(SUMIFS(Investors!$M:$M,Investors!$E:$E,Sales!$C275,Investors!$O:$O,FALSE)+SUMIFS(Investors!$S:$S,Investors!$E:$E,Sales!$C275,Investors!$O:$O,FALSE))*$F275)</f>
        <v/>
      </c>
      <c r="S275" s="10">
        <f>IF(T275=FALSE,Q275-R275,+V275)</f>
        <v/>
      </c>
      <c r="T275" s="3">
        <f>IF(SUMIFS('Cashflow Projection'!$E$119:$E$151,'Cashflow Projection'!$D$119:$D$151,Sales!C275)&lt;&gt;0,TRUE,FALSE)</f>
        <v/>
      </c>
      <c r="U275" s="4" t="n">
        <v>45565</v>
      </c>
      <c r="V275" s="10" t="n">
        <v>221288.6385268492</v>
      </c>
      <c r="W275" s="11">
        <f>IF(SUMIFS('Cashflow Projection'!$E$119:$E$151,'Cashflow Projection'!$D$119:$D$151,Sales!C275)=1,SUMIFS('Cashflow Projection'!$C$119:$C$151,'Cashflow Projection'!$D$119:$D$151,Sales!C275),+Sales!H275)</f>
        <v/>
      </c>
      <c r="X275" s="11">
        <f>IF(MOD(MONTH(W275), 2) &lt;&gt; 0, EOMONTH(W275, 2), EOMONTH(W275, 1))</f>
        <v/>
      </c>
      <c r="Y275" s="11">
        <f>EOMONTH(X275,1)</f>
        <v/>
      </c>
      <c r="Z275" t="b">
        <v>0</v>
      </c>
    </row>
    <row r="276">
      <c r="A276" s="3" t="inlineStr">
        <is>
          <t>Endulini</t>
        </is>
      </c>
      <c r="B276" s="3" t="inlineStr">
        <is>
          <t>E</t>
        </is>
      </c>
      <c r="C276" s="3" t="inlineStr">
        <is>
          <t>EE301</t>
        </is>
      </c>
      <c r="D276" s="3" t="b">
        <v>1</v>
      </c>
      <c r="E276" s="3" t="b">
        <v>1</v>
      </c>
      <c r="F276" s="3">
        <f>IF(OR(Z276=TRUE,SUMIFS('Cashflow Projection'!$E$119:$E$151,'Cashflow Projection'!$D$119:$D$151,Sales!C276)=1),0,SUMIFS('Cashflow Projection'!$C$7:$C$23,'Cashflow Projection'!$B$7:$B$23,Sales!B276,'Cashflow Projection'!$A$7:$A$23,Sales!A276))</f>
        <v/>
      </c>
      <c r="G276" s="4" t="n">
        <v>44685</v>
      </c>
      <c r="H276" s="4" t="n">
        <v>45688</v>
      </c>
      <c r="I276" s="3" t="n">
        <v>1549900</v>
      </c>
      <c r="J276" s="3" t="n">
        <v>202160.8695652174</v>
      </c>
      <c r="K276" s="3" t="n">
        <v>1347739.130434783</v>
      </c>
      <c r="L276" s="3" t="n">
        <v>18502.08</v>
      </c>
      <c r="M276" s="3" t="n">
        <v>1789</v>
      </c>
      <c r="N276" s="3" t="n">
        <v>7749.5</v>
      </c>
      <c r="O276" s="3" t="n">
        <v>77495</v>
      </c>
      <c r="P276" s="3" t="n">
        <v>19224.37</v>
      </c>
      <c r="Q276" s="9">
        <f>K276-SUM(L276:P276)</f>
        <v/>
      </c>
      <c r="R276" s="10">
        <f>IF($F276=1,((SUMIFS(Investors!$M:$M,Investors!$E:$E,Sales!$C276,Investors!$O:$O,FALSE)+SUMIFS(Investors!$S:$S,Investors!$E:$E,Sales!$C276,Investors!$O:$O,FALSE))*$F276)-SUMIFS('Investor Exit List'!$Q:$Q,'Investor Exit List'!$Y:$Y,1,'Investor Exit List'!$Z:$Z,"Release",'Investor Exit List'!$C:$C,Sales!$C276),(SUMIFS(Investors!$M:$M,Investors!$E:$E,Sales!$C276,Investors!$O:$O,FALSE)+SUMIFS(Investors!$S:$S,Investors!$E:$E,Sales!$C276,Investors!$O:$O,FALSE))*$F276)</f>
        <v/>
      </c>
      <c r="S276" s="10">
        <f>IF(T276=FALSE,Q276-R276,+V276)</f>
        <v/>
      </c>
      <c r="T276" s="3">
        <f>IF(SUMIFS('Cashflow Projection'!$E$119:$E$151,'Cashflow Projection'!$D$119:$D$151,Sales!C276)&lt;&gt;0,TRUE,FALSE)</f>
        <v/>
      </c>
      <c r="U276" s="4" t="n">
        <v>45747</v>
      </c>
      <c r="V276" s="10" t="n">
        <v>318915.3105557533</v>
      </c>
      <c r="W276" s="11">
        <f>IF(SUMIFS('Cashflow Projection'!$E$119:$E$151,'Cashflow Projection'!$D$119:$D$151,Sales!C276)=1,SUMIFS('Cashflow Projection'!$C$119:$C$151,'Cashflow Projection'!$D$119:$D$151,Sales!C276),+Sales!H276)</f>
        <v/>
      </c>
      <c r="X276" s="11">
        <f>IF(MOD(MONTH(W276), 2) &lt;&gt; 0, EOMONTH(W276, 2), EOMONTH(W276, 1))</f>
        <v/>
      </c>
      <c r="Y276" s="11">
        <f>EOMONTH(X276,1)</f>
        <v/>
      </c>
      <c r="Z276" t="b">
        <v>0</v>
      </c>
    </row>
    <row r="277">
      <c r="A277" s="3" t="inlineStr">
        <is>
          <t>Endulini</t>
        </is>
      </c>
      <c r="B277" s="3" t="inlineStr">
        <is>
          <t>F</t>
        </is>
      </c>
      <c r="C277" s="3" t="inlineStr">
        <is>
          <t>EF203</t>
        </is>
      </c>
      <c r="D277" s="3" t="b">
        <v>1</v>
      </c>
      <c r="E277" s="3" t="b">
        <v>1</v>
      </c>
      <c r="F277" s="3">
        <f>IF(OR(Z277=TRUE,SUMIFS('Cashflow Projection'!$E$119:$E$151,'Cashflow Projection'!$D$119:$D$151,Sales!C277)=1),0,SUMIFS('Cashflow Projection'!$C$7:$C$23,'Cashflow Projection'!$B$7:$B$23,Sales!B277,'Cashflow Projection'!$A$7:$A$23,Sales!A277))</f>
        <v/>
      </c>
      <c r="G277" s="4" t="n">
        <v>44657</v>
      </c>
      <c r="H277" s="4" t="n">
        <v>45688</v>
      </c>
      <c r="I277" s="3" t="n">
        <v>1488900</v>
      </c>
      <c r="J277" s="3" t="n">
        <v>194204.3478260869</v>
      </c>
      <c r="K277" s="3" t="n">
        <v>1294695.652173913</v>
      </c>
      <c r="L277" s="3" t="n">
        <v>18502.08</v>
      </c>
      <c r="M277" s="3" t="n">
        <v>1789</v>
      </c>
      <c r="N277" s="3" t="n">
        <v>7444.5</v>
      </c>
      <c r="O277" s="3" t="n">
        <v>74445</v>
      </c>
      <c r="P277" s="3" t="n">
        <v>19224.37</v>
      </c>
      <c r="Q277" s="9">
        <f>K277-SUM(L277:P277)</f>
        <v/>
      </c>
      <c r="R277" s="10">
        <f>IF($F277=1,((SUMIFS(Investors!$M:$M,Investors!$E:$E,Sales!$C277,Investors!$O:$O,FALSE)+SUMIFS(Investors!$S:$S,Investors!$E:$E,Sales!$C277,Investors!$O:$O,FALSE))*$F277)-SUMIFS('Investor Exit List'!$Q:$Q,'Investor Exit List'!$Y:$Y,1,'Investor Exit List'!$Z:$Z,"Release",'Investor Exit List'!$C:$C,Sales!$C277),(SUMIFS(Investors!$M:$M,Investors!$E:$E,Sales!$C277,Investors!$O:$O,FALSE)+SUMIFS(Investors!$S:$S,Investors!$E:$E,Sales!$C277,Investors!$O:$O,FALSE))*$F277)</f>
        <v/>
      </c>
      <c r="S277" s="10">
        <f>IF(T277=FALSE,Q277-R277,+V277)</f>
        <v/>
      </c>
      <c r="T277" s="3">
        <f>IF(SUMIFS('Cashflow Projection'!$E$119:$E$151,'Cashflow Projection'!$D$119:$D$151,Sales!C277)&lt;&gt;0,TRUE,FALSE)</f>
        <v/>
      </c>
      <c r="U277" s="4" t="n">
        <v>45747</v>
      </c>
      <c r="V277" s="10" t="n">
        <v>116166.2944530135</v>
      </c>
      <c r="W277" s="11">
        <f>IF(SUMIFS('Cashflow Projection'!$E$119:$E$151,'Cashflow Projection'!$D$119:$D$151,Sales!C277)=1,SUMIFS('Cashflow Projection'!$C$119:$C$151,'Cashflow Projection'!$D$119:$D$151,Sales!C277),+Sales!H277)</f>
        <v/>
      </c>
      <c r="X277" s="11">
        <f>IF(MOD(MONTH(W277), 2) &lt;&gt; 0, EOMONTH(W277, 2), EOMONTH(W277, 1))</f>
        <v/>
      </c>
      <c r="Y277" s="11">
        <f>EOMONTH(X277,1)</f>
        <v/>
      </c>
      <c r="Z277" t="b">
        <v>0</v>
      </c>
    </row>
    <row r="278">
      <c r="A278" s="3" t="inlineStr">
        <is>
          <t>Heron Fields</t>
        </is>
      </c>
      <c r="B278" s="3" t="inlineStr">
        <is>
          <t>A</t>
        </is>
      </c>
      <c r="C278" s="3" t="inlineStr">
        <is>
          <t>HFA302</t>
        </is>
      </c>
      <c r="D278" s="3" t="b">
        <v>1</v>
      </c>
      <c r="E278" s="3" t="b">
        <v>1</v>
      </c>
      <c r="F278" s="3">
        <f>IF(OR(Z278=TRUE,SUMIFS('Cashflow Projection'!$E$119:$E$151,'Cashflow Projection'!$D$119:$D$151,Sales!C278)=1),0,SUMIFS('Cashflow Projection'!$C$7:$C$23,'Cashflow Projection'!$B$7:$B$23,Sales!B278,'Cashflow Projection'!$A$7:$A$23,Sales!A278))</f>
        <v/>
      </c>
      <c r="G278" s="4" t="n">
        <v>44887</v>
      </c>
      <c r="H278" s="4" t="n">
        <v>45688</v>
      </c>
      <c r="I278" s="3" t="n">
        <v>1309900</v>
      </c>
      <c r="J278" s="3" t="n">
        <v>170856.5217391304</v>
      </c>
      <c r="K278" s="3" t="n">
        <v>1139043.47826087</v>
      </c>
      <c r="L278" s="3" t="n">
        <v>18502.08</v>
      </c>
      <c r="M278" s="3" t="n">
        <v>1789</v>
      </c>
      <c r="N278" s="3" t="n">
        <v>6549.5</v>
      </c>
      <c r="O278" s="3" t="n">
        <v>65495</v>
      </c>
      <c r="P278" s="3" t="n">
        <v>19224.37</v>
      </c>
      <c r="Q278" s="9">
        <f>K278-SUM(L278:P278)</f>
        <v/>
      </c>
      <c r="R278" s="10">
        <f>IF($F278=1,((SUMIFS(Investors!$M:$M,Investors!$E:$E,Sales!$C278,Investors!$O:$O,FALSE)+SUMIFS(Investors!$S:$S,Investors!$E:$E,Sales!$C278,Investors!$O:$O,FALSE))*$F278)-SUMIFS('Investor Exit List'!$Q:$Q,'Investor Exit List'!$Y:$Y,1,'Investor Exit List'!$Z:$Z,"Release",'Investor Exit List'!$C:$C,Sales!$C278),(SUMIFS(Investors!$M:$M,Investors!$E:$E,Sales!$C278,Investors!$O:$O,FALSE)+SUMIFS(Investors!$S:$S,Investors!$E:$E,Sales!$C278,Investors!$O:$O,FALSE))*$F278)</f>
        <v/>
      </c>
      <c r="S278" s="10">
        <f>IF(T278=FALSE,Q278-R278,+V278)</f>
        <v/>
      </c>
      <c r="T278" s="3">
        <f>IF(SUMIFS('Cashflow Projection'!$E$119:$E$151,'Cashflow Projection'!$D$119:$D$151,Sales!C278)&lt;&gt;0,TRUE,FALSE)</f>
        <v/>
      </c>
      <c r="U278" s="4" t="n">
        <v>45747</v>
      </c>
      <c r="V278" s="10" t="n">
        <v>60455.76790821902</v>
      </c>
      <c r="W278" s="11">
        <f>IF(SUMIFS('Cashflow Projection'!$E$119:$E$151,'Cashflow Projection'!$D$119:$D$151,Sales!C278)=1,SUMIFS('Cashflow Projection'!$C$119:$C$151,'Cashflow Projection'!$D$119:$D$151,Sales!C278),+Sales!H278)</f>
        <v/>
      </c>
      <c r="X278" s="11">
        <f>IF(MOD(MONTH(W278), 2) &lt;&gt; 0, EOMONTH(W278, 2), EOMONTH(W278, 1))</f>
        <v/>
      </c>
      <c r="Y278" s="11">
        <f>EOMONTH(X278,1)</f>
        <v/>
      </c>
      <c r="Z278" t="b">
        <v>0</v>
      </c>
    </row>
    <row r="279">
      <c r="A279" s="3" t="inlineStr">
        <is>
          <t>Heron Fields</t>
        </is>
      </c>
      <c r="B279" s="3" t="inlineStr">
        <is>
          <t>B</t>
        </is>
      </c>
      <c r="C279" s="3" t="inlineStr">
        <is>
          <t>HFB206</t>
        </is>
      </c>
      <c r="D279" s="3" t="b">
        <v>1</v>
      </c>
      <c r="E279" s="3" t="b">
        <v>0</v>
      </c>
      <c r="F279" s="3">
        <f>IF(OR(Z279=TRUE,SUMIFS('Cashflow Projection'!$E$119:$E$151,'Cashflow Projection'!$D$119:$D$151,Sales!C279)=1),0,SUMIFS('Cashflow Projection'!$C$7:$C$23,'Cashflow Projection'!$B$7:$B$23,Sales!B279,'Cashflow Projection'!$A$7:$A$23,Sales!A279))</f>
        <v/>
      </c>
      <c r="G279" s="4" t="n">
        <v>45408</v>
      </c>
      <c r="H279" s="4" t="n">
        <v>45458</v>
      </c>
      <c r="I279" s="3" t="n">
        <v>1399900</v>
      </c>
      <c r="J279" s="3" t="n">
        <v>0</v>
      </c>
      <c r="K279" s="3" t="n">
        <v>1217304.347826087</v>
      </c>
      <c r="L279" s="3" t="n">
        <v>18502.08</v>
      </c>
      <c r="M279" s="3" t="n">
        <v>1789</v>
      </c>
      <c r="N279" s="3" t="n">
        <v>6999.5</v>
      </c>
      <c r="O279" s="3" t="n">
        <v>69995</v>
      </c>
      <c r="P279" s="3" t="n">
        <v>19224.37</v>
      </c>
      <c r="Q279" s="9">
        <f>K279-SUM(L279:P279)</f>
        <v/>
      </c>
      <c r="R279" s="10">
        <f>IF($F279=1,((SUMIFS(Investors!$M:$M,Investors!$E:$E,Sales!$C279,Investors!$O:$O,FALSE)+SUMIFS(Investors!$S:$S,Investors!$E:$E,Sales!$C279,Investors!$O:$O,FALSE))*$F279)-SUMIFS('Investor Exit List'!$Q:$Q,'Investor Exit List'!$Y:$Y,1,'Investor Exit List'!$Z:$Z,"Release",'Investor Exit List'!$C:$C,Sales!$C279),(SUMIFS(Investors!$M:$M,Investors!$E:$E,Sales!$C279,Investors!$O:$O,FALSE)+SUMIFS(Investors!$S:$S,Investors!$E:$E,Sales!$C279,Investors!$O:$O,FALSE))*$F279)</f>
        <v/>
      </c>
      <c r="S279" s="10">
        <f>IF(T279=FALSE,Q279-R279,+V279)</f>
        <v/>
      </c>
      <c r="T279" s="3">
        <f>IF(SUMIFS('Cashflow Projection'!$E$119:$E$151,'Cashflow Projection'!$D$119:$D$151,Sales!C279)&lt;&gt;0,TRUE,FALSE)</f>
        <v/>
      </c>
      <c r="U279" s="4" t="n">
        <v>45504</v>
      </c>
      <c r="V279" s="10" t="n">
        <v>824500</v>
      </c>
      <c r="W279" s="11">
        <f>IF(SUMIFS('Cashflow Projection'!$E$119:$E$151,'Cashflow Projection'!$D$119:$D$151,Sales!C279)=1,SUMIFS('Cashflow Projection'!$C$119:$C$151,'Cashflow Projection'!$D$119:$D$151,Sales!C279),+Sales!H279)</f>
        <v/>
      </c>
      <c r="X279" s="11">
        <f>IF(MOD(MONTH(W279), 2) &lt;&gt; 0, EOMONTH(W279, 2), EOMONTH(W279, 1))</f>
        <v/>
      </c>
      <c r="Y279" s="11">
        <f>EOMONTH(X279,1)</f>
        <v/>
      </c>
      <c r="Z279" t="b">
        <v>0</v>
      </c>
    </row>
    <row r="280">
      <c r="A280" s="3" t="inlineStr">
        <is>
          <t>Heron Fields</t>
        </is>
      </c>
      <c r="B280" s="3" t="inlineStr">
        <is>
          <t>B</t>
        </is>
      </c>
      <c r="C280" s="3" t="inlineStr">
        <is>
          <t>HFB207</t>
        </is>
      </c>
      <c r="D280" s="3" t="b">
        <v>0</v>
      </c>
      <c r="E280" s="3" t="b">
        <v>0</v>
      </c>
      <c r="F280" s="3">
        <f>IF(OR(Z280=TRUE,SUMIFS('Cashflow Projection'!$E$119:$E$151,'Cashflow Projection'!$D$119:$D$151,Sales!C280)=1),0,SUMIFS('Cashflow Projection'!$C$7:$C$23,'Cashflow Projection'!$B$7:$B$23,Sales!B280,'Cashflow Projection'!$A$7:$A$23,Sales!A280))</f>
        <v/>
      </c>
      <c r="G280" s="4" t="n">
        <v>45408</v>
      </c>
      <c r="H280" s="4" t="n">
        <v>45458</v>
      </c>
      <c r="I280" s="3" t="n">
        <v>1449900</v>
      </c>
      <c r="J280" s="3" t="n">
        <v>0</v>
      </c>
      <c r="K280" s="3" t="n">
        <v>1260782.608695652</v>
      </c>
      <c r="L280" s="3" t="n">
        <v>18502.08</v>
      </c>
      <c r="M280" s="3" t="n">
        <v>1789</v>
      </c>
      <c r="N280" s="3" t="n">
        <v>7249.5</v>
      </c>
      <c r="O280" s="3" t="n">
        <v>72495</v>
      </c>
      <c r="P280" s="3" t="n">
        <v>19224.37</v>
      </c>
      <c r="Q280" s="9">
        <f>K280-SUM(L280:P280)</f>
        <v/>
      </c>
      <c r="R280" s="10">
        <f>IF($F280=1,((SUMIFS(Investors!$M:$M,Investors!$E:$E,Sales!$C280,Investors!$O:$O,FALSE)+SUMIFS(Investors!$S:$S,Investors!$E:$E,Sales!$C280,Investors!$O:$O,FALSE))*$F280)-SUMIFS('Investor Exit List'!$Q:$Q,'Investor Exit List'!$Y:$Y,1,'Investor Exit List'!$Z:$Z,"Release",'Investor Exit List'!$C:$C,Sales!$C280),(SUMIFS(Investors!$M:$M,Investors!$E:$E,Sales!$C280,Investors!$O:$O,FALSE)+SUMIFS(Investors!$S:$S,Investors!$E:$E,Sales!$C280,Investors!$O:$O,FALSE))*$F280)</f>
        <v/>
      </c>
      <c r="S280" s="10">
        <f>IF(T280=FALSE,Q280-R280,+V280)</f>
        <v/>
      </c>
      <c r="T280" s="3">
        <f>IF(SUMIFS('Cashflow Projection'!$E$119:$E$151,'Cashflow Projection'!$D$119:$D$151,Sales!C280)&lt;&gt;0,TRUE,FALSE)</f>
        <v/>
      </c>
      <c r="U280" s="4" t="n">
        <v>45504</v>
      </c>
      <c r="V280" s="10" t="n">
        <v>824500</v>
      </c>
      <c r="W280" s="11">
        <f>IF(SUMIFS('Cashflow Projection'!$E$119:$E$151,'Cashflow Projection'!$D$119:$D$151,Sales!C280)=1,SUMIFS('Cashflow Projection'!$C$119:$C$151,'Cashflow Projection'!$D$119:$D$151,Sales!C280),+Sales!H280)</f>
        <v/>
      </c>
      <c r="X280" s="11">
        <f>IF(MOD(MONTH(W280), 2) &lt;&gt; 0, EOMONTH(W280, 2), EOMONTH(W280, 1))</f>
        <v/>
      </c>
      <c r="Y280" s="11">
        <f>EOMONTH(X280,1)</f>
        <v/>
      </c>
      <c r="Z280" t="b">
        <v>0</v>
      </c>
    </row>
    <row r="281">
      <c r="A281" s="3" t="inlineStr">
        <is>
          <t>Heron Fields</t>
        </is>
      </c>
      <c r="B281" s="3" t="inlineStr">
        <is>
          <t>B</t>
        </is>
      </c>
      <c r="C281" s="3" t="inlineStr">
        <is>
          <t>HFB304</t>
        </is>
      </c>
      <c r="D281" s="3" t="b">
        <v>1</v>
      </c>
      <c r="E281" s="3" t="b">
        <v>1</v>
      </c>
      <c r="F281" s="3">
        <f>IF(OR(Z281=TRUE,SUMIFS('Cashflow Projection'!$E$119:$E$151,'Cashflow Projection'!$D$119:$D$151,Sales!C281)=1),0,SUMIFS('Cashflow Projection'!$C$7:$C$23,'Cashflow Projection'!$B$7:$B$23,Sales!B281,'Cashflow Projection'!$A$7:$A$23,Sales!A281))</f>
        <v/>
      </c>
      <c r="G281" s="4" t="n">
        <v>45027</v>
      </c>
      <c r="H281" s="4" t="n">
        <v>45688</v>
      </c>
      <c r="I281" s="3" t="n">
        <v>1449900</v>
      </c>
      <c r="J281" s="3" t="n">
        <v>189117.3913043478</v>
      </c>
      <c r="K281" s="3" t="n">
        <v>1260782.608695652</v>
      </c>
      <c r="L281" s="3" t="n">
        <v>18502.08</v>
      </c>
      <c r="M281" s="3" t="n">
        <v>1789</v>
      </c>
      <c r="N281" s="3" t="n">
        <v>7249.5</v>
      </c>
      <c r="O281" s="3" t="n">
        <v>72495</v>
      </c>
      <c r="P281" s="3" t="n">
        <v>19224.37</v>
      </c>
      <c r="Q281" s="9">
        <f>K281-SUM(L281:P281)</f>
        <v/>
      </c>
      <c r="R281" s="10">
        <f>IF($F281=1,((SUMIFS(Investors!$M:$M,Investors!$E:$E,Sales!$C281,Investors!$O:$O,FALSE)+SUMIFS(Investors!$S:$S,Investors!$E:$E,Sales!$C281,Investors!$O:$O,FALSE))*$F281)-SUMIFS('Investor Exit List'!$Q:$Q,'Investor Exit List'!$Y:$Y,1,'Investor Exit List'!$Z:$Z,"Release",'Investor Exit List'!$C:$C,Sales!$C281),(SUMIFS(Investors!$M:$M,Investors!$E:$E,Sales!$C281,Investors!$O:$O,FALSE)+SUMIFS(Investors!$S:$S,Investors!$E:$E,Sales!$C281,Investors!$O:$O,FALSE))*$F281)</f>
        <v/>
      </c>
      <c r="S281" s="10">
        <f>IF(T281=FALSE,Q281-R281,+V281)</f>
        <v/>
      </c>
      <c r="T281" s="3">
        <f>IF(SUMIFS('Cashflow Projection'!$E$119:$E$151,'Cashflow Projection'!$D$119:$D$151,Sales!C281)&lt;&gt;0,TRUE,FALSE)</f>
        <v/>
      </c>
      <c r="U281" s="4" t="n">
        <v>45747</v>
      </c>
      <c r="V281" s="10" t="n">
        <v>132790.7349315067</v>
      </c>
      <c r="W281" s="11">
        <f>IF(SUMIFS('Cashflow Projection'!$E$119:$E$151,'Cashflow Projection'!$D$119:$D$151,Sales!C281)=1,SUMIFS('Cashflow Projection'!$C$119:$C$151,'Cashflow Projection'!$D$119:$D$151,Sales!C281),+Sales!H281)</f>
        <v/>
      </c>
      <c r="X281" s="11">
        <f>IF(MOD(MONTH(W281), 2) &lt;&gt; 0, EOMONTH(W281, 2), EOMONTH(W281, 1))</f>
        <v/>
      </c>
      <c r="Y281" s="11">
        <f>EOMONTH(X281,1)</f>
        <v/>
      </c>
      <c r="Z281" t="b">
        <v>0</v>
      </c>
    </row>
    <row r="282">
      <c r="A282" s="3" t="inlineStr">
        <is>
          <t>Heron Fields</t>
        </is>
      </c>
      <c r="B282" s="3" t="inlineStr">
        <is>
          <t>B</t>
        </is>
      </c>
      <c r="C282" s="3" t="inlineStr">
        <is>
          <t>HFB212</t>
        </is>
      </c>
      <c r="D282" s="3" t="b">
        <v>0</v>
      </c>
      <c r="E282" s="3" t="b">
        <v>0</v>
      </c>
      <c r="F282" s="3">
        <f>IF(OR(Z282=TRUE,SUMIFS('Cashflow Projection'!$E$119:$E$151,'Cashflow Projection'!$D$119:$D$151,Sales!C282)=1),0,SUMIFS('Cashflow Projection'!$C$7:$C$23,'Cashflow Projection'!$B$7:$B$23,Sales!B282,'Cashflow Projection'!$A$7:$A$23,Sales!A282))</f>
        <v/>
      </c>
      <c r="G282" s="4" t="n">
        <v>45439</v>
      </c>
      <c r="H282" s="4" t="n">
        <v>45458</v>
      </c>
      <c r="I282" s="3" t="n">
        <v>1439900</v>
      </c>
      <c r="J282" s="3" t="n">
        <v>0</v>
      </c>
      <c r="K282" s="3" t="n">
        <v>1252086.956521739</v>
      </c>
      <c r="L282" s="3" t="n">
        <v>18502.08</v>
      </c>
      <c r="M282" s="3" t="n">
        <v>1789</v>
      </c>
      <c r="N282" s="3" t="n">
        <v>7199.5</v>
      </c>
      <c r="O282" s="3" t="n">
        <v>71995</v>
      </c>
      <c r="P282" s="3" t="n">
        <v>19224.37</v>
      </c>
      <c r="Q282" s="9">
        <f>K282-SUM(L282:P282)</f>
        <v/>
      </c>
      <c r="R282" s="10">
        <f>IF($F282=1,((SUMIFS(Investors!$M:$M,Investors!$E:$E,Sales!$C282,Investors!$O:$O,FALSE)+SUMIFS(Investors!$S:$S,Investors!$E:$E,Sales!$C282,Investors!$O:$O,FALSE))*$F282)-SUMIFS('Investor Exit List'!$Q:$Q,'Investor Exit List'!$Y:$Y,1,'Investor Exit List'!$Z:$Z,"Release",'Investor Exit List'!$C:$C,Sales!$C282),(SUMIFS(Investors!$M:$M,Investors!$E:$E,Sales!$C282,Investors!$O:$O,FALSE)+SUMIFS(Investors!$S:$S,Investors!$E:$E,Sales!$C282,Investors!$O:$O,FALSE))*$F282)</f>
        <v/>
      </c>
      <c r="S282" s="10">
        <f>IF(T282=FALSE,Q282-R282,+V282)</f>
        <v/>
      </c>
      <c r="T282" s="3">
        <f>IF(SUMIFS('Cashflow Projection'!$E$119:$E$151,'Cashflow Projection'!$D$119:$D$151,Sales!C282)&lt;&gt;0,TRUE,FALSE)</f>
        <v/>
      </c>
      <c r="U282" s="4" t="n">
        <v>45504</v>
      </c>
      <c r="V282" s="10" t="n">
        <v>892400</v>
      </c>
      <c r="W282" s="11">
        <f>IF(SUMIFS('Cashflow Projection'!$E$119:$E$151,'Cashflow Projection'!$D$119:$D$151,Sales!C282)=1,SUMIFS('Cashflow Projection'!$C$119:$C$151,'Cashflow Projection'!$D$119:$D$151,Sales!C282),+Sales!H282)</f>
        <v/>
      </c>
      <c r="X282" s="11">
        <f>IF(MOD(MONTH(W282), 2) &lt;&gt; 0, EOMONTH(W282, 2), EOMONTH(W282, 1))</f>
        <v/>
      </c>
      <c r="Y282" s="11">
        <f>EOMONTH(X282,1)</f>
        <v/>
      </c>
      <c r="Z282" t="b">
        <v>0</v>
      </c>
    </row>
    <row r="283">
      <c r="A283" s="3" t="inlineStr">
        <is>
          <t>Heron View</t>
        </is>
      </c>
      <c r="B283" s="3" t="inlineStr">
        <is>
          <t>N</t>
        </is>
      </c>
      <c r="C283" s="3" t="inlineStr">
        <is>
          <t>HVN303</t>
        </is>
      </c>
      <c r="D283" s="3" t="b">
        <v>0</v>
      </c>
      <c r="E283" s="3" t="b">
        <v>0</v>
      </c>
      <c r="F283" s="3">
        <f>IF(OR(Z283=TRUE,SUMIFS('Cashflow Projection'!$E$119:$E$151,'Cashflow Projection'!$D$119:$D$151,Sales!C283)=1),0,SUMIFS('Cashflow Projection'!$C$7:$C$23,'Cashflow Projection'!$B$7:$B$23,Sales!B283,'Cashflow Projection'!$A$7:$A$23,Sales!A283))</f>
        <v/>
      </c>
      <c r="G283" s="4" t="n">
        <v>45464</v>
      </c>
      <c r="H283" s="4" t="n">
        <v>45498</v>
      </c>
      <c r="I283" s="3" t="n">
        <v>1489900</v>
      </c>
      <c r="J283" s="3" t="n">
        <v>194334.7826086956</v>
      </c>
      <c r="K283" s="3" t="n">
        <v>1295565.217391304</v>
      </c>
      <c r="L283" s="3" t="n">
        <v>18502.08</v>
      </c>
      <c r="M283" s="3" t="n">
        <v>1789</v>
      </c>
      <c r="N283" s="3" t="n">
        <v>7449.5</v>
      </c>
      <c r="O283" s="3" t="n">
        <v>74495</v>
      </c>
      <c r="P283" s="3" t="n">
        <v>19224.37</v>
      </c>
      <c r="Q283" s="9">
        <f>K283-SUM(L283:P283)</f>
        <v/>
      </c>
      <c r="R283" s="10">
        <f>IF($F283=1,((SUMIFS(Investors!$M:$M,Investors!$E:$E,Sales!$C283,Investors!$O:$O,FALSE)+SUMIFS(Investors!$S:$S,Investors!$E:$E,Sales!$C283,Investors!$O:$O,FALSE))*$F283)-SUMIFS('Investor Exit List'!$Q:$Q,'Investor Exit List'!$Y:$Y,1,'Investor Exit List'!$Z:$Z,"Release",'Investor Exit List'!$C:$C,Sales!$C283),(SUMIFS(Investors!$M:$M,Investors!$E:$E,Sales!$C283,Investors!$O:$O,FALSE)+SUMIFS(Investors!$S:$S,Investors!$E:$E,Sales!$C283,Investors!$O:$O,FALSE))*$F283)</f>
        <v/>
      </c>
      <c r="S283" s="10">
        <f>IF(T283=FALSE,Q283-R283,+V283)</f>
        <v/>
      </c>
      <c r="T283" s="3">
        <f>IF(SUMIFS('Cashflow Projection'!$E$119:$E$151,'Cashflow Projection'!$D$119:$D$151,Sales!C283)&lt;&gt;0,TRUE,FALSE)</f>
        <v/>
      </c>
      <c r="U283" s="4" t="n">
        <v>45565</v>
      </c>
      <c r="V283" s="10" t="n">
        <v>19289.36506849295</v>
      </c>
      <c r="W283" s="11">
        <f>IF(SUMIFS('Cashflow Projection'!$E$119:$E$151,'Cashflow Projection'!$D$119:$D$151,Sales!C283)=1,SUMIFS('Cashflow Projection'!$C$119:$C$151,'Cashflow Projection'!$D$119:$D$151,Sales!C283),+Sales!H283)</f>
        <v/>
      </c>
      <c r="X283" s="11">
        <f>IF(MOD(MONTH(W283), 2) &lt;&gt; 0, EOMONTH(W283, 2), EOMONTH(W283, 1))</f>
        <v/>
      </c>
      <c r="Y283" s="11">
        <f>EOMONTH(X283,1)</f>
        <v/>
      </c>
      <c r="Z283" t="b">
        <v>0</v>
      </c>
    </row>
    <row r="284">
      <c r="A284" s="3" t="inlineStr">
        <is>
          <t>Heron View</t>
        </is>
      </c>
      <c r="B284" s="3" t="inlineStr">
        <is>
          <t>J</t>
        </is>
      </c>
      <c r="C284" s="3" t="inlineStr">
        <is>
          <t>HVJ403</t>
        </is>
      </c>
      <c r="D284" s="3" t="b">
        <v>0</v>
      </c>
      <c r="E284" s="3" t="b">
        <v>0</v>
      </c>
      <c r="F284" s="3">
        <f>IF(OR(Z284=TRUE,SUMIFS('Cashflow Projection'!$E$119:$E$151,'Cashflow Projection'!$D$119:$D$151,Sales!C284)=1),0,SUMIFS('Cashflow Projection'!$C$7:$C$23,'Cashflow Projection'!$B$7:$B$23,Sales!B284,'Cashflow Projection'!$A$7:$A$23,Sales!A284))</f>
        <v/>
      </c>
      <c r="G284" s="4" t="n">
        <v>45552</v>
      </c>
      <c r="H284" s="4" t="n">
        <v>45552</v>
      </c>
      <c r="I284" s="3" t="n">
        <v>1699900</v>
      </c>
      <c r="J284" s="3" t="n">
        <v>221726.0869565217</v>
      </c>
      <c r="K284" s="3" t="n">
        <v>1478173.913043478</v>
      </c>
      <c r="L284" s="3" t="n">
        <v>18502.08</v>
      </c>
      <c r="M284" s="3" t="n">
        <v>1789</v>
      </c>
      <c r="N284" s="3" t="n">
        <v>8499.5</v>
      </c>
      <c r="O284" s="3" t="n">
        <v>84995</v>
      </c>
      <c r="P284" s="3" t="n">
        <v>19224.37</v>
      </c>
      <c r="Q284" s="9">
        <f>K284-SUM(L284:P284)</f>
        <v/>
      </c>
      <c r="R284" s="10">
        <f>IF($F284=1,((SUMIFS(Investors!$M:$M,Investors!$E:$E,Sales!$C284,Investors!$O:$O,FALSE)+SUMIFS(Investors!$S:$S,Investors!$E:$E,Sales!$C284,Investors!$O:$O,FALSE))*$F284)-SUMIFS('Investor Exit List'!$Q:$Q,'Investor Exit List'!$Y:$Y,1,'Investor Exit List'!$Z:$Z,"Release",'Investor Exit List'!$C:$C,Sales!$C284),(SUMIFS(Investors!$M:$M,Investors!$E:$E,Sales!$C284,Investors!$O:$O,FALSE)+SUMIFS(Investors!$S:$S,Investors!$E:$E,Sales!$C284,Investors!$O:$O,FALSE))*$F284)</f>
        <v/>
      </c>
      <c r="S284" s="10">
        <f>IF(T284=FALSE,Q284-R284,+V284)</f>
        <v/>
      </c>
      <c r="T284" s="3">
        <f>IF(SUMIFS('Cashflow Projection'!$E$119:$E$151,'Cashflow Projection'!$D$119:$D$151,Sales!C284)&lt;&gt;0,TRUE,FALSE)</f>
        <v/>
      </c>
      <c r="U284" s="4" t="n">
        <v>45626</v>
      </c>
      <c r="V284" s="10" t="n">
        <v>188366.0773972601</v>
      </c>
      <c r="W284" s="11">
        <f>IF(SUMIFS('Cashflow Projection'!$E$119:$E$151,'Cashflow Projection'!$D$119:$D$151,Sales!C284)=1,SUMIFS('Cashflow Projection'!$C$119:$C$151,'Cashflow Projection'!$D$119:$D$151,Sales!C284),+Sales!H284)</f>
        <v/>
      </c>
      <c r="X284" s="11">
        <f>IF(MOD(MONTH(W284), 2) &lt;&gt; 0, EOMONTH(W284, 2), EOMONTH(W284, 1))</f>
        <v/>
      </c>
      <c r="Y284" s="11">
        <f>EOMONTH(X284,1)</f>
        <v/>
      </c>
      <c r="Z284" t="b">
        <v>0</v>
      </c>
    </row>
    <row r="285">
      <c r="A285" s="3" t="inlineStr">
        <is>
          <t>Heron View</t>
        </is>
      </c>
      <c r="B285" s="3" t="inlineStr">
        <is>
          <t>P</t>
        </is>
      </c>
      <c r="C285" s="3" t="inlineStr">
        <is>
          <t>HVP301</t>
        </is>
      </c>
      <c r="D285" s="3" t="b">
        <v>1</v>
      </c>
      <c r="E285" s="3" t="b">
        <v>1</v>
      </c>
      <c r="F285" s="3">
        <f>IF(OR(Z285=TRUE,SUMIFS('Cashflow Projection'!$E$119:$E$151,'Cashflow Projection'!$D$119:$D$151,Sales!C285)=1),0,SUMIFS('Cashflow Projection'!$C$7:$C$23,'Cashflow Projection'!$B$7:$B$23,Sales!B285,'Cashflow Projection'!$A$7:$A$23,Sales!A285))</f>
        <v/>
      </c>
      <c r="G285" s="4" t="n">
        <v>45247</v>
      </c>
      <c r="H285" s="4" t="n">
        <v>45688</v>
      </c>
      <c r="I285" s="3" t="n">
        <v>1719900</v>
      </c>
      <c r="J285" s="3" t="n">
        <v>224334.7826086956</v>
      </c>
      <c r="K285" s="3" t="n">
        <v>1495565.217391304</v>
      </c>
      <c r="L285" s="3" t="n">
        <v>18502.08</v>
      </c>
      <c r="M285" s="3" t="n">
        <v>1789</v>
      </c>
      <c r="N285" s="3" t="n">
        <v>8599.5</v>
      </c>
      <c r="O285" s="3" t="n">
        <v>85995</v>
      </c>
      <c r="P285" s="3" t="n">
        <v>19224.37</v>
      </c>
      <c r="Q285" s="9">
        <f>K285-SUM(L285:P285)</f>
        <v/>
      </c>
      <c r="R285" s="10">
        <f>IF($F285=1,((SUMIFS(Investors!$M:$M,Investors!$E:$E,Sales!$C285,Investors!$O:$O,FALSE)+SUMIFS(Investors!$S:$S,Investors!$E:$E,Sales!$C285,Investors!$O:$O,FALSE))*$F285)-SUMIFS('Investor Exit List'!$Q:$Q,'Investor Exit List'!$Y:$Y,1,'Investor Exit List'!$Z:$Z,"Release",'Investor Exit List'!$C:$C,Sales!$C285),(SUMIFS(Investors!$M:$M,Investors!$E:$E,Sales!$C285,Investors!$O:$O,FALSE)+SUMIFS(Investors!$S:$S,Investors!$E:$E,Sales!$C285,Investors!$O:$O,FALSE))*$F285)</f>
        <v/>
      </c>
      <c r="S285" s="10">
        <f>IF(T285=FALSE,Q285-R285,+V285)</f>
        <v/>
      </c>
      <c r="T285" s="3">
        <f>IF(SUMIFS('Cashflow Projection'!$E$119:$E$151,'Cashflow Projection'!$D$119:$D$151,Sales!C285)&lt;&gt;0,TRUE,FALSE)</f>
        <v/>
      </c>
      <c r="U285" s="4" t="n">
        <v>45747</v>
      </c>
      <c r="V285" s="10" t="n">
        <v>254202.2203583559</v>
      </c>
      <c r="W285" s="11">
        <f>IF(SUMIFS('Cashflow Projection'!$E$119:$E$151,'Cashflow Projection'!$D$119:$D$151,Sales!C285)=1,SUMIFS('Cashflow Projection'!$C$119:$C$151,'Cashflow Projection'!$D$119:$D$151,Sales!C285),+Sales!H285)</f>
        <v/>
      </c>
      <c r="X285" s="11">
        <f>IF(MOD(MONTH(W285), 2) &lt;&gt; 0, EOMONTH(W285, 2), EOMONTH(W285, 1))</f>
        <v/>
      </c>
      <c r="Y285" s="11">
        <f>EOMONTH(X285,1)</f>
        <v/>
      </c>
      <c r="Z285" t="b">
        <v>0</v>
      </c>
    </row>
    <row r="286">
      <c r="A286" s="3" t="inlineStr">
        <is>
          <t>Heron View</t>
        </is>
      </c>
      <c r="B286" s="3" t="inlineStr">
        <is>
          <t>F</t>
        </is>
      </c>
      <c r="C286" s="3" t="inlineStr">
        <is>
          <t>HVF201</t>
        </is>
      </c>
      <c r="D286" s="3" t="b">
        <v>0</v>
      </c>
      <c r="E286" s="3" t="b">
        <v>0</v>
      </c>
      <c r="F286" s="3">
        <f>IF(OR(Z286=TRUE,SUMIFS('Cashflow Projection'!$E$119:$E$151,'Cashflow Projection'!$D$119:$D$151,Sales!C286)=1),0,SUMIFS('Cashflow Projection'!$C$7:$C$23,'Cashflow Projection'!$B$7:$B$23,Sales!B286,'Cashflow Projection'!$A$7:$A$23,Sales!A286))</f>
        <v/>
      </c>
      <c r="G286" s="4" t="n">
        <v>45517</v>
      </c>
      <c r="H286" s="4" t="n">
        <v>45722</v>
      </c>
      <c r="I286" s="3" t="n">
        <v>1599900</v>
      </c>
      <c r="J286" s="3" t="n">
        <v>208682.6086956522</v>
      </c>
      <c r="K286" s="3" t="n">
        <v>1391217.391304348</v>
      </c>
      <c r="L286" s="3" t="n">
        <v>18502.08</v>
      </c>
      <c r="M286" s="3" t="n">
        <v>1789</v>
      </c>
      <c r="N286" s="3" t="n">
        <v>7999.5</v>
      </c>
      <c r="O286" s="3" t="n">
        <v>79995</v>
      </c>
      <c r="P286" s="3" t="n">
        <v>19224.37</v>
      </c>
      <c r="Q286" s="9">
        <f>K286-SUM(L286:P286)</f>
        <v/>
      </c>
      <c r="R286" s="10">
        <f>IF($F286=1,((SUMIFS(Investors!$M:$M,Investors!$E:$E,Sales!$C286,Investors!$O:$O,FALSE)+SUMIFS(Investors!$S:$S,Investors!$E:$E,Sales!$C286,Investors!$O:$O,FALSE))*$F286)-SUMIFS('Investor Exit List'!$Q:$Q,'Investor Exit List'!$Y:$Y,1,'Investor Exit List'!$Z:$Z,"Release",'Investor Exit List'!$C:$C,Sales!$C286),(SUMIFS(Investors!$M:$M,Investors!$E:$E,Sales!$C286,Investors!$O:$O,FALSE)+SUMIFS(Investors!$S:$S,Investors!$E:$E,Sales!$C286,Investors!$O:$O,FALSE))*$F286)</f>
        <v/>
      </c>
      <c r="S286" s="10">
        <f>IF(T286=FALSE,Q286-R286,+V286)</f>
        <v/>
      </c>
      <c r="T286" s="3">
        <f>IF(SUMIFS('Cashflow Projection'!$E$119:$E$151,'Cashflow Projection'!$D$119:$D$151,Sales!C286)&lt;&gt;0,TRUE,FALSE)</f>
        <v/>
      </c>
      <c r="U286" s="4" t="n">
        <v>45808</v>
      </c>
      <c r="V286" s="10" t="n">
        <v>284828.4061643833</v>
      </c>
      <c r="W286" s="11">
        <f>IF(SUMIFS('Cashflow Projection'!$E$119:$E$151,'Cashflow Projection'!$D$119:$D$151,Sales!C286)=1,SUMIFS('Cashflow Projection'!$C$119:$C$151,'Cashflow Projection'!$D$119:$D$151,Sales!C286),+Sales!H286)</f>
        <v/>
      </c>
      <c r="X286" s="11">
        <f>IF(MOD(MONTH(W286), 2) &lt;&gt; 0, EOMONTH(W286, 2), EOMONTH(W286, 1))</f>
        <v/>
      </c>
      <c r="Y286" s="11">
        <f>EOMONTH(X286,1)</f>
        <v/>
      </c>
      <c r="Z286" t="b">
        <v>0</v>
      </c>
    </row>
    <row r="287">
      <c r="A287" s="3" t="inlineStr">
        <is>
          <t>Heron View</t>
        </is>
      </c>
      <c r="B287" s="3" t="inlineStr">
        <is>
          <t>O</t>
        </is>
      </c>
      <c r="C287" s="3" t="inlineStr">
        <is>
          <t>HVO201</t>
        </is>
      </c>
      <c r="D287" s="3" t="b">
        <v>1</v>
      </c>
      <c r="E287" s="3" t="b">
        <v>0</v>
      </c>
      <c r="F287" s="3">
        <f>IF(OR(Z287=TRUE,SUMIFS('Cashflow Projection'!$E$119:$E$151,'Cashflow Projection'!$D$119:$D$151,Sales!C287)=1),0,SUMIFS('Cashflow Projection'!$C$7:$C$23,'Cashflow Projection'!$B$7:$B$23,Sales!B287,'Cashflow Projection'!$A$7:$A$23,Sales!A287))</f>
        <v/>
      </c>
      <c r="G287" s="4" t="n">
        <v>45518</v>
      </c>
      <c r="H287" s="4" t="n">
        <v>45518</v>
      </c>
      <c r="I287" s="3" t="n">
        <v>1689900</v>
      </c>
      <c r="J287" s="3" t="n">
        <v>220421.7391304348</v>
      </c>
      <c r="K287" s="3" t="n">
        <v>1469478.260869565</v>
      </c>
      <c r="L287" s="3" t="n">
        <v>18502.08</v>
      </c>
      <c r="M287" s="3" t="n">
        <v>1789</v>
      </c>
      <c r="N287" s="3" t="n">
        <v>8449.5</v>
      </c>
      <c r="O287" s="3" t="n">
        <v>84495</v>
      </c>
      <c r="P287" s="3" t="n">
        <v>19224.37</v>
      </c>
      <c r="Q287" s="9">
        <f>K287-SUM(L287:P287)</f>
        <v/>
      </c>
      <c r="R287" s="10">
        <f>IF($F287=1,((SUMIFS(Investors!$M:$M,Investors!$E:$E,Sales!$C287,Investors!$O:$O,FALSE)+SUMIFS(Investors!$S:$S,Investors!$E:$E,Sales!$C287,Investors!$O:$O,FALSE))*$F287)-SUMIFS('Investor Exit List'!$Q:$Q,'Investor Exit List'!$Y:$Y,1,'Investor Exit List'!$Z:$Z,"Release",'Investor Exit List'!$C:$C,Sales!$C287),(SUMIFS(Investors!$M:$M,Investors!$E:$E,Sales!$C287,Investors!$O:$O,FALSE)+SUMIFS(Investors!$S:$S,Investors!$E:$E,Sales!$C287,Investors!$O:$O,FALSE))*$F287)</f>
        <v/>
      </c>
      <c r="S287" s="10">
        <f>IF(T287=FALSE,Q287-R287,+V287)</f>
        <v/>
      </c>
      <c r="T287" s="3">
        <f>IF(SUMIFS('Cashflow Projection'!$E$119:$E$151,'Cashflow Projection'!$D$119:$D$151,Sales!C287)&lt;&gt;0,TRUE,FALSE)</f>
        <v/>
      </c>
      <c r="U287" s="4" t="n">
        <v>45565</v>
      </c>
      <c r="V287" s="10" t="n">
        <v>267165.4577508902</v>
      </c>
      <c r="W287" s="11">
        <f>IF(SUMIFS('Cashflow Projection'!$E$119:$E$151,'Cashflow Projection'!$D$119:$D$151,Sales!C287)=1,SUMIFS('Cashflow Projection'!$C$119:$C$151,'Cashflow Projection'!$D$119:$D$151,Sales!C287),+Sales!H287)</f>
        <v/>
      </c>
      <c r="X287" s="11">
        <f>IF(MOD(MONTH(W287), 2) &lt;&gt; 0, EOMONTH(W287, 2), EOMONTH(W287, 1))</f>
        <v/>
      </c>
      <c r="Y287" s="11">
        <f>EOMONTH(X287,1)</f>
        <v/>
      </c>
      <c r="Z287" t="b">
        <v>0</v>
      </c>
    </row>
    <row r="288">
      <c r="A288" s="3" t="inlineStr">
        <is>
          <t>Heron View</t>
        </is>
      </c>
      <c r="B288" s="3" t="inlineStr">
        <is>
          <t>E</t>
        </is>
      </c>
      <c r="C288" s="3" t="inlineStr">
        <is>
          <t>HVE103</t>
        </is>
      </c>
      <c r="D288" s="3" t="b">
        <v>0</v>
      </c>
      <c r="E288" s="3" t="b">
        <v>0</v>
      </c>
      <c r="F288" s="3">
        <f>IF(OR(Z288=TRUE,SUMIFS('Cashflow Projection'!$E$119:$E$151,'Cashflow Projection'!$D$119:$D$151,Sales!C288)=1),0,SUMIFS('Cashflow Projection'!$C$7:$C$23,'Cashflow Projection'!$B$7:$B$23,Sales!B288,'Cashflow Projection'!$A$7:$A$23,Sales!A288))</f>
        <v/>
      </c>
      <c r="G288" s="4" t="n">
        <v>45685</v>
      </c>
      <c r="H288" s="4" t="n">
        <v>45685</v>
      </c>
      <c r="I288" s="3" t="n">
        <v>1649900</v>
      </c>
      <c r="J288" s="3" t="n">
        <v>215204.3478260869</v>
      </c>
      <c r="K288" s="3" t="n">
        <v>1434695.652173913</v>
      </c>
      <c r="L288" s="3" t="n">
        <v>18502.08</v>
      </c>
      <c r="M288" s="3" t="n">
        <v>1789</v>
      </c>
      <c r="N288" s="3" t="n">
        <v>8249.5</v>
      </c>
      <c r="O288" s="3" t="n">
        <v>82495</v>
      </c>
      <c r="P288" s="3" t="n">
        <v>19224.37</v>
      </c>
      <c r="Q288" s="9">
        <f>K288-SUM(L288:P288)</f>
        <v/>
      </c>
      <c r="R288" s="10">
        <f>IF($F288=1,((SUMIFS(Investors!$M:$M,Investors!$E:$E,Sales!$C288,Investors!$O:$O,FALSE)+SUMIFS(Investors!$S:$S,Investors!$E:$E,Sales!$C288,Investors!$O:$O,FALSE))*$F288)-SUMIFS('Investor Exit List'!$Q:$Q,'Investor Exit List'!$Y:$Y,1,'Investor Exit List'!$Z:$Z,"Release",'Investor Exit List'!$C:$C,Sales!$C288),(SUMIFS(Investors!$M:$M,Investors!$E:$E,Sales!$C288,Investors!$O:$O,FALSE)+SUMIFS(Investors!$S:$S,Investors!$E:$E,Sales!$C288,Investors!$O:$O,FALSE))*$F288)</f>
        <v/>
      </c>
      <c r="S288" s="10">
        <f>IF(T288=FALSE,Q288-R288,+V288)</f>
        <v/>
      </c>
      <c r="T288" s="3">
        <f>IF(SUMIFS('Cashflow Projection'!$E$119:$E$151,'Cashflow Projection'!$D$119:$D$151,Sales!C288)&lt;&gt;0,TRUE,FALSE)</f>
        <v/>
      </c>
      <c r="U288" s="4" t="n">
        <v>45747</v>
      </c>
      <c r="V288" s="10" t="n">
        <v>0</v>
      </c>
      <c r="W288" s="11">
        <f>IF(SUMIFS('Cashflow Projection'!$E$119:$E$151,'Cashflow Projection'!$D$119:$D$151,Sales!C288)=1,SUMIFS('Cashflow Projection'!$C$119:$C$151,'Cashflow Projection'!$D$119:$D$151,Sales!C288),+Sales!H288)</f>
        <v/>
      </c>
      <c r="X288" s="11">
        <f>IF(MOD(MONTH(W288), 2) &lt;&gt; 0, EOMONTH(W288, 2), EOMONTH(W288, 1))</f>
        <v/>
      </c>
      <c r="Y288" s="11">
        <f>EOMONTH(X288,1)</f>
        <v/>
      </c>
      <c r="Z288" t="b">
        <v>0</v>
      </c>
    </row>
    <row r="289">
      <c r="A289" s="3" t="inlineStr">
        <is>
          <t>Heron View</t>
        </is>
      </c>
      <c r="B289" s="3" t="inlineStr">
        <is>
          <t>G</t>
        </is>
      </c>
      <c r="C289" s="3" t="inlineStr">
        <is>
          <t>HVG102</t>
        </is>
      </c>
      <c r="D289" s="3" t="b">
        <v>0</v>
      </c>
      <c r="E289" s="3" t="b">
        <v>0</v>
      </c>
      <c r="F289" s="3">
        <f>IF(OR(Z289=TRUE,SUMIFS('Cashflow Projection'!$E$119:$E$151,'Cashflow Projection'!$D$119:$D$151,Sales!C289)=1),0,SUMIFS('Cashflow Projection'!$C$7:$C$23,'Cashflow Projection'!$B$7:$B$23,Sales!B289,'Cashflow Projection'!$A$7:$A$23,Sales!A289))</f>
        <v/>
      </c>
      <c r="G289" s="4" t="n">
        <v>45523</v>
      </c>
      <c r="H289" s="4" t="n">
        <v>45532</v>
      </c>
      <c r="I289" s="3" t="n">
        <v>1649900</v>
      </c>
      <c r="J289" s="3" t="n">
        <v>215204.3478260869</v>
      </c>
      <c r="K289" s="3" t="n">
        <v>1434695.652173913</v>
      </c>
      <c r="L289" s="3" t="n">
        <v>18502.08</v>
      </c>
      <c r="M289" s="3" t="n">
        <v>1789</v>
      </c>
      <c r="N289" s="3" t="n">
        <v>8249.5</v>
      </c>
      <c r="O289" s="3" t="n">
        <v>82495</v>
      </c>
      <c r="P289" s="3" t="n">
        <v>19224.37</v>
      </c>
      <c r="Q289" s="9">
        <f>K289-SUM(L289:P289)</f>
        <v/>
      </c>
      <c r="R289" s="10">
        <f>IF($F289=1,((SUMIFS(Investors!$M:$M,Investors!$E:$E,Sales!$C289,Investors!$O:$O,FALSE)+SUMIFS(Investors!$S:$S,Investors!$E:$E,Sales!$C289,Investors!$O:$O,FALSE))*$F289)-SUMIFS('Investor Exit List'!$Q:$Q,'Investor Exit List'!$Y:$Y,1,'Investor Exit List'!$Z:$Z,"Release",'Investor Exit List'!$C:$C,Sales!$C289),(SUMIFS(Investors!$M:$M,Investors!$E:$E,Sales!$C289,Investors!$O:$O,FALSE)+SUMIFS(Investors!$S:$S,Investors!$E:$E,Sales!$C289,Investors!$O:$O,FALSE))*$F289)</f>
        <v/>
      </c>
      <c r="S289" s="10">
        <f>IF(T289=FALSE,Q289-R289,+V289)</f>
        <v/>
      </c>
      <c r="T289" s="3">
        <f>IF(SUMIFS('Cashflow Projection'!$E$119:$E$151,'Cashflow Projection'!$D$119:$D$151,Sales!C289)&lt;&gt;0,TRUE,FALSE)</f>
        <v/>
      </c>
      <c r="U289" s="4" t="n">
        <v>45565</v>
      </c>
      <c r="V289" s="10" t="n">
        <v>165231.0096150683</v>
      </c>
      <c r="W289" s="11">
        <f>IF(SUMIFS('Cashflow Projection'!$E$119:$E$151,'Cashflow Projection'!$D$119:$D$151,Sales!C289)=1,SUMIFS('Cashflow Projection'!$C$119:$C$151,'Cashflow Projection'!$D$119:$D$151,Sales!C289),+Sales!H289)</f>
        <v/>
      </c>
      <c r="X289" s="11">
        <f>IF(MOD(MONTH(W289), 2) &lt;&gt; 0, EOMONTH(W289, 2), EOMONTH(W289, 1))</f>
        <v/>
      </c>
      <c r="Y289" s="11">
        <f>EOMONTH(X289,1)</f>
        <v/>
      </c>
      <c r="Z289" t="b">
        <v>0</v>
      </c>
    </row>
    <row r="290">
      <c r="A290" s="3" t="inlineStr">
        <is>
          <t>Heron View</t>
        </is>
      </c>
      <c r="B290" s="3" t="inlineStr">
        <is>
          <t>I</t>
        </is>
      </c>
      <c r="C290" s="3" t="inlineStr">
        <is>
          <t>HVI101</t>
        </is>
      </c>
      <c r="D290" s="3" t="b">
        <v>0</v>
      </c>
      <c r="E290" s="3" t="b">
        <v>0</v>
      </c>
      <c r="F290" s="3">
        <f>IF(OR(Z290=TRUE,SUMIFS('Cashflow Projection'!$E$119:$E$151,'Cashflow Projection'!$D$119:$D$151,Sales!C290)=1),0,SUMIFS('Cashflow Projection'!$C$7:$C$23,'Cashflow Projection'!$B$7:$B$23,Sales!B290,'Cashflow Projection'!$A$7:$A$23,Sales!A290))</f>
        <v/>
      </c>
      <c r="G290" s="4" t="n">
        <v>45491</v>
      </c>
      <c r="H290" s="4" t="n">
        <v>45596</v>
      </c>
      <c r="I290" s="3" t="n">
        <v>1649900</v>
      </c>
      <c r="J290" s="3" t="n">
        <v>215204.3478260869</v>
      </c>
      <c r="K290" s="3" t="n">
        <v>1434695.652173913</v>
      </c>
      <c r="L290" s="3" t="n">
        <v>18502.08</v>
      </c>
      <c r="M290" s="3" t="n">
        <v>1789</v>
      </c>
      <c r="N290" s="3" t="n">
        <v>8249.5</v>
      </c>
      <c r="O290" s="3" t="n">
        <v>82495</v>
      </c>
      <c r="P290" s="3" t="n">
        <v>19224.37</v>
      </c>
      <c r="Q290" s="9">
        <f>K290-SUM(L290:P290)</f>
        <v/>
      </c>
      <c r="R290" s="10">
        <f>IF($F290=1,((SUMIFS(Investors!$M:$M,Investors!$E:$E,Sales!$C290,Investors!$O:$O,FALSE)+SUMIFS(Investors!$S:$S,Investors!$E:$E,Sales!$C290,Investors!$O:$O,FALSE))*$F290)-SUMIFS('Investor Exit List'!$Q:$Q,'Investor Exit List'!$Y:$Y,1,'Investor Exit List'!$Z:$Z,"Release",'Investor Exit List'!$C:$C,Sales!$C290),(SUMIFS(Investors!$M:$M,Investors!$E:$E,Sales!$C290,Investors!$O:$O,FALSE)+SUMIFS(Investors!$S:$S,Investors!$E:$E,Sales!$C290,Investors!$O:$O,FALSE))*$F290)</f>
        <v/>
      </c>
      <c r="S290" s="10">
        <f>IF(T290=FALSE,Q290-R290,+V290)</f>
        <v/>
      </c>
      <c r="T290" s="3">
        <f>IF(SUMIFS('Cashflow Projection'!$E$119:$E$151,'Cashflow Projection'!$D$119:$D$151,Sales!C290)&lt;&gt;0,TRUE,FALSE)</f>
        <v/>
      </c>
      <c r="U290" s="4" t="n">
        <v>45626</v>
      </c>
      <c r="V290" s="10" t="n">
        <v>215627.7212328764</v>
      </c>
      <c r="W290" s="11">
        <f>IF(SUMIFS('Cashflow Projection'!$E$119:$E$151,'Cashflow Projection'!$D$119:$D$151,Sales!C290)=1,SUMIFS('Cashflow Projection'!$C$119:$C$151,'Cashflow Projection'!$D$119:$D$151,Sales!C290),+Sales!H290)</f>
        <v/>
      </c>
      <c r="X290" s="11">
        <f>IF(MOD(MONTH(W290), 2) &lt;&gt; 0, EOMONTH(W290, 2), EOMONTH(W290, 1))</f>
        <v/>
      </c>
      <c r="Y290" s="11">
        <f>EOMONTH(X290,1)</f>
        <v/>
      </c>
      <c r="Z290" t="b">
        <v>0</v>
      </c>
    </row>
  </sheetData>
  <autoFilter ref="A4:V290"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1072BA"/>
    <outlinePr summaryBelow="1" summaryRight="1"/>
    <pageSetUpPr/>
  </sheetPr>
  <dimension ref="A1:N101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Operational Costs</t>
        </is>
      </c>
    </row>
    <row r="2">
      <c r="N2" s="1">
        <f>SUBTOTAL(9,N5:N101)</f>
        <v/>
      </c>
    </row>
    <row r="4">
      <c r="A4" s="2" t="inlineStr">
        <is>
          <t>Company</t>
        </is>
      </c>
      <c r="B4" s="2" t="inlineStr">
        <is>
          <t>Account</t>
        </is>
      </c>
      <c r="C4" s="2" t="inlineStr">
        <is>
          <t>Month1</t>
        </is>
      </c>
      <c r="D4" s="2" t="inlineStr">
        <is>
          <t>Month2</t>
        </is>
      </c>
      <c r="E4" s="2" t="inlineStr">
        <is>
          <t>Month3</t>
        </is>
      </c>
      <c r="F4" s="2" t="inlineStr">
        <is>
          <t>Month4</t>
        </is>
      </c>
      <c r="G4" s="2" t="inlineStr">
        <is>
          <t>Month5</t>
        </is>
      </c>
      <c r="H4" s="2" t="inlineStr">
        <is>
          <t>Month6</t>
        </is>
      </c>
      <c r="I4" s="2" t="inlineStr">
        <is>
          <t>Month7</t>
        </is>
      </c>
      <c r="J4" s="2" t="inlineStr">
        <is>
          <t>Month8</t>
        </is>
      </c>
      <c r="K4" s="2" t="inlineStr">
        <is>
          <t>Month9</t>
        </is>
      </c>
      <c r="L4" s="2" t="inlineStr">
        <is>
          <t>Month10</t>
        </is>
      </c>
      <c r="M4" s="2" t="inlineStr">
        <is>
          <t>Month11</t>
        </is>
      </c>
      <c r="N4" s="2" t="inlineStr">
        <is>
          <t>Operating Expenses</t>
        </is>
      </c>
    </row>
    <row r="5">
      <c r="A5" s="3" t="inlineStr">
        <is>
          <t>Heron Fields (Pty) Ltd</t>
        </is>
      </c>
      <c r="B5" s="3" t="inlineStr">
        <is>
          <t>Rates - Heron</t>
        </is>
      </c>
      <c r="C5" s="3" t="n">
        <v>0</v>
      </c>
      <c r="D5" s="3" t="n">
        <v>0</v>
      </c>
      <c r="E5" s="3" t="n">
        <v>213951.5</v>
      </c>
      <c r="F5" s="3" t="n">
        <v>0</v>
      </c>
      <c r="G5" s="3" t="n">
        <v>9078.59</v>
      </c>
      <c r="H5" s="3" t="n">
        <v>0</v>
      </c>
      <c r="I5" s="3" t="n">
        <v>0</v>
      </c>
      <c r="J5" s="3" t="n">
        <v>0</v>
      </c>
      <c r="K5" s="3" t="n">
        <v>1.08</v>
      </c>
      <c r="L5" s="3" t="inlineStr">
        <is>
          <t>-R 42 216,76</t>
        </is>
      </c>
      <c r="M5" s="3" t="n">
        <v>30819.25</v>
      </c>
      <c r="N5" s="3" t="n">
        <v>19239.42</v>
      </c>
    </row>
    <row r="6">
      <c r="A6" s="3" t="inlineStr">
        <is>
          <t>Cape Projects Construction (Pty) Ltd</t>
        </is>
      </c>
      <c r="B6" s="3" t="inlineStr">
        <is>
          <t>Accounting Fees - Other</t>
        </is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700</v>
      </c>
      <c r="J6" s="3" t="n">
        <v>580</v>
      </c>
      <c r="K6" s="3" t="n">
        <v>0</v>
      </c>
      <c r="L6" s="3" t="n">
        <v>0</v>
      </c>
      <c r="M6" s="3" t="n">
        <v>0</v>
      </c>
      <c r="N6" s="3" t="n">
        <v>128</v>
      </c>
    </row>
    <row r="7">
      <c r="A7" s="3" t="inlineStr">
        <is>
          <t>Heron View (Pty) Ltd</t>
        </is>
      </c>
      <c r="B7" s="3" t="inlineStr">
        <is>
          <t>Repairs _AND_ Maintenance</t>
        </is>
      </c>
      <c r="C7" s="3" t="n">
        <v>7583.63</v>
      </c>
      <c r="D7" s="3" t="n">
        <v>0</v>
      </c>
      <c r="E7" s="3" t="n">
        <v>0</v>
      </c>
      <c r="F7" s="3" t="inlineStr">
        <is>
          <t>-R 1 003,07</t>
        </is>
      </c>
      <c r="G7" s="3" t="n">
        <v>16566.56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2104.28</v>
      </c>
    </row>
    <row r="8">
      <c r="A8" s="3" t="inlineStr">
        <is>
          <t>Heron View (Pty) Ltd</t>
        </is>
      </c>
      <c r="B8" s="3" t="inlineStr">
        <is>
          <t>Water</t>
        </is>
      </c>
      <c r="C8" s="3" t="n">
        <v>0</v>
      </c>
      <c r="D8" s="3" t="n">
        <v>19.64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1.79</v>
      </c>
    </row>
    <row r="9">
      <c r="A9" s="3" t="inlineStr">
        <is>
          <t>Cape Projects Construction (Pty) Ltd</t>
        </is>
      </c>
      <c r="B9" s="3" t="inlineStr">
        <is>
          <t>Insurance - Santam</t>
        </is>
      </c>
      <c r="C9" s="3" t="n">
        <v>0</v>
      </c>
      <c r="D9" s="3" t="n">
        <v>6204.53</v>
      </c>
      <c r="E9" s="3" t="n">
        <v>2211.15</v>
      </c>
      <c r="F9" s="3" t="n">
        <v>0</v>
      </c>
      <c r="G9" s="3" t="n">
        <v>4390.6</v>
      </c>
      <c r="H9" s="3" t="n">
        <v>2085.79</v>
      </c>
      <c r="I9" s="3" t="n">
        <v>2063.15</v>
      </c>
      <c r="J9" s="3" t="n">
        <v>2089.86</v>
      </c>
      <c r="K9" s="3" t="n">
        <v>0</v>
      </c>
      <c r="L9" s="3" t="n">
        <v>4275.67</v>
      </c>
      <c r="M9" s="3" t="n">
        <v>1458.74</v>
      </c>
      <c r="N9" s="3" t="n">
        <v>2252.68</v>
      </c>
    </row>
    <row r="10">
      <c r="A10" s="3" t="inlineStr">
        <is>
          <t>Cape Projects Construction (Pty) Ltd</t>
        </is>
      </c>
      <c r="B10" s="3" t="inlineStr">
        <is>
          <t>Advertising _AND_ Promotions</t>
        </is>
      </c>
      <c r="C10" s="3" t="n">
        <v>0</v>
      </c>
      <c r="D10" s="3" t="n">
        <v>0</v>
      </c>
      <c r="E10" s="3" t="n">
        <v>0</v>
      </c>
      <c r="F10" s="3" t="n">
        <v>0</v>
      </c>
      <c r="G10" s="3" t="n">
        <v>2300</v>
      </c>
      <c r="H10" s="3" t="n">
        <v>4025</v>
      </c>
      <c r="I10" s="3" t="n">
        <v>3450</v>
      </c>
      <c r="J10" s="3" t="n">
        <v>1200</v>
      </c>
      <c r="K10" s="3" t="n">
        <v>0</v>
      </c>
      <c r="L10" s="3" t="n">
        <v>0</v>
      </c>
      <c r="M10" s="3" t="n">
        <v>0</v>
      </c>
      <c r="N10" s="3" t="n">
        <v>997.73</v>
      </c>
    </row>
    <row r="11">
      <c r="A11" s="3" t="inlineStr">
        <is>
          <t>Cape Projects Construction (Pty) Ltd</t>
        </is>
      </c>
      <c r="B11" s="3" t="inlineStr">
        <is>
          <t>Computer Expenses</t>
        </is>
      </c>
      <c r="C11" s="3" t="n">
        <v>0</v>
      </c>
      <c r="D11" s="3" t="n">
        <v>0</v>
      </c>
      <c r="E11" s="3" t="n">
        <v>1100</v>
      </c>
      <c r="F11" s="3" t="n">
        <v>950</v>
      </c>
      <c r="G11" s="3" t="n">
        <v>0</v>
      </c>
      <c r="H11" s="3" t="n">
        <v>0</v>
      </c>
      <c r="I11" s="3" t="n">
        <v>749</v>
      </c>
      <c r="J11" s="3" t="n">
        <v>0</v>
      </c>
      <c r="K11" s="3" t="n">
        <v>1999.13</v>
      </c>
      <c r="L11" s="3" t="n">
        <v>0</v>
      </c>
      <c r="M11" s="3" t="n">
        <v>1604.52</v>
      </c>
      <c r="N11" s="3" t="n">
        <v>582.0599999999999</v>
      </c>
    </row>
    <row r="12">
      <c r="A12" s="3" t="inlineStr">
        <is>
          <t>Cape Projects Construction (Pty) Ltd</t>
        </is>
      </c>
      <c r="B12" s="3" t="inlineStr">
        <is>
          <t>Insurance - A_AND_G</t>
        </is>
      </c>
      <c r="C12" s="3" t="n">
        <v>0</v>
      </c>
      <c r="D12" s="3" t="n">
        <v>0</v>
      </c>
      <c r="E12" s="3" t="n">
        <v>0</v>
      </c>
      <c r="F12" s="3" t="n">
        <v>0</v>
      </c>
      <c r="G12" s="3" t="n">
        <v>0</v>
      </c>
      <c r="H12" s="3" t="n">
        <v>24242.76</v>
      </c>
      <c r="I12" s="3" t="n">
        <v>0</v>
      </c>
      <c r="J12" s="3" t="n">
        <v>0</v>
      </c>
      <c r="K12" s="3" t="n">
        <v>0</v>
      </c>
      <c r="L12" s="3" t="n">
        <v>0</v>
      </c>
      <c r="M12" s="3" t="n">
        <v>0</v>
      </c>
      <c r="N12" s="3" t="n">
        <v>2203.89</v>
      </c>
    </row>
    <row r="13">
      <c r="A13" s="3" t="inlineStr">
        <is>
          <t>Heron Fields (Pty) Ltd</t>
        </is>
      </c>
      <c r="B13" s="3" t="inlineStr">
        <is>
          <t>General Expenses</t>
        </is>
      </c>
      <c r="C13" s="3" t="n">
        <v>0</v>
      </c>
      <c r="D13" s="3" t="n">
        <v>2956.52</v>
      </c>
      <c r="E13" s="3" t="n">
        <v>0</v>
      </c>
      <c r="F13" s="3" t="n">
        <v>0</v>
      </c>
      <c r="G13" s="3" t="n">
        <v>0</v>
      </c>
      <c r="H13" s="3" t="n">
        <v>0</v>
      </c>
      <c r="I13" s="3" t="n">
        <v>0</v>
      </c>
      <c r="J13" s="3" t="n">
        <v>0</v>
      </c>
      <c r="K13" s="3" t="n">
        <v>0</v>
      </c>
      <c r="L13" s="3" t="n">
        <v>0</v>
      </c>
      <c r="M13" s="3" t="n">
        <v>199.99</v>
      </c>
      <c r="N13" s="3" t="n">
        <v>286.96</v>
      </c>
    </row>
    <row r="14">
      <c r="A14" s="3" t="inlineStr">
        <is>
          <t>Heron View (Pty) Ltd</t>
        </is>
      </c>
      <c r="B14" s="3" t="inlineStr">
        <is>
          <t>Advertising _AND_ Promotions</t>
        </is>
      </c>
      <c r="C14" s="3" t="n">
        <v>0</v>
      </c>
      <c r="D14" s="3" t="n">
        <v>431.25</v>
      </c>
      <c r="E14" s="3" t="n">
        <v>0</v>
      </c>
      <c r="F14" s="3" t="n">
        <v>1500</v>
      </c>
      <c r="G14" s="3" t="n">
        <v>9750</v>
      </c>
      <c r="H14" s="3" t="n">
        <v>0</v>
      </c>
      <c r="I14" s="3" t="n">
        <v>7705</v>
      </c>
      <c r="J14" s="3" t="n">
        <v>1293.75</v>
      </c>
      <c r="K14" s="3" t="n">
        <v>5637.5</v>
      </c>
      <c r="L14" s="3" t="n">
        <v>0</v>
      </c>
      <c r="M14" s="3" t="n">
        <v>24975</v>
      </c>
      <c r="N14" s="3" t="n">
        <v>4662.95</v>
      </c>
    </row>
    <row r="15">
      <c r="A15" s="3" t="inlineStr">
        <is>
          <t>Cape Projects Construction (Pty) Ltd</t>
        </is>
      </c>
      <c r="B15" s="3" t="inlineStr">
        <is>
          <t>Rates</t>
        </is>
      </c>
      <c r="C15" s="3" t="n">
        <v>8257.370000000001</v>
      </c>
      <c r="D15" s="3" t="n">
        <v>9027.469999999999</v>
      </c>
      <c r="E15" s="3" t="n">
        <v>989.75</v>
      </c>
      <c r="F15" s="3" t="n">
        <v>989.75</v>
      </c>
      <c r="G15" s="3" t="n">
        <v>989.75</v>
      </c>
      <c r="H15" s="3" t="n">
        <v>2871.04</v>
      </c>
      <c r="I15" s="3" t="n">
        <v>843.6</v>
      </c>
      <c r="J15" s="3" t="n">
        <v>843.6</v>
      </c>
      <c r="K15" s="3" t="n">
        <v>843.6</v>
      </c>
      <c r="L15" s="3" t="n">
        <v>843.6</v>
      </c>
      <c r="M15" s="3" t="n">
        <v>843.6</v>
      </c>
      <c r="N15" s="3" t="n">
        <v>2485.74</v>
      </c>
    </row>
    <row r="16">
      <c r="A16" s="3" t="inlineStr">
        <is>
          <t>Cape Projects Construction (Pty) Ltd</t>
        </is>
      </c>
      <c r="B16" s="3" t="inlineStr">
        <is>
          <t>Advertising - Design Fees</t>
        </is>
      </c>
      <c r="C16" s="3" t="n">
        <v>0</v>
      </c>
      <c r="D16" s="3" t="n">
        <v>0</v>
      </c>
      <c r="E16" s="3" t="n">
        <v>0</v>
      </c>
      <c r="F16" s="3" t="n">
        <v>0</v>
      </c>
      <c r="G16" s="3" t="n">
        <v>0</v>
      </c>
      <c r="H16" s="3" t="n">
        <v>0</v>
      </c>
      <c r="I16" s="3" t="n">
        <v>0</v>
      </c>
      <c r="J16" s="3" t="n">
        <v>0</v>
      </c>
      <c r="K16" s="3" t="n">
        <v>0</v>
      </c>
      <c r="L16" s="3" t="n">
        <v>0</v>
      </c>
      <c r="M16" s="3" t="n">
        <v>295</v>
      </c>
      <c r="N16" s="3" t="n">
        <v>26.82</v>
      </c>
    </row>
    <row r="17">
      <c r="A17" s="3" t="inlineStr">
        <is>
          <t>Cape Projects Construction (Pty) Ltd</t>
        </is>
      </c>
      <c r="B17" s="3" t="inlineStr">
        <is>
          <t>Bank Charges</t>
        </is>
      </c>
      <c r="C17" s="3" t="n">
        <v>2245.76</v>
      </c>
      <c r="D17" s="3" t="n">
        <v>1798.31</v>
      </c>
      <c r="E17" s="3" t="n">
        <v>1423.87</v>
      </c>
      <c r="F17" s="3" t="n">
        <v>1734.61</v>
      </c>
      <c r="G17" s="3" t="n">
        <v>1574.96</v>
      </c>
      <c r="H17" s="3" t="n">
        <v>2073.8</v>
      </c>
      <c r="I17" s="3" t="n">
        <v>1918.65</v>
      </c>
      <c r="J17" s="3" t="n">
        <v>1821.46</v>
      </c>
      <c r="K17" s="3" t="n">
        <v>1869.9</v>
      </c>
      <c r="L17" s="3" t="n">
        <v>1777.27</v>
      </c>
      <c r="M17" s="3" t="n">
        <v>1931.46</v>
      </c>
      <c r="N17" s="3" t="n">
        <v>1833.64</v>
      </c>
    </row>
    <row r="18">
      <c r="A18" s="3" t="inlineStr">
        <is>
          <t>Cape Projects Construction (Pty) Ltd</t>
        </is>
      </c>
      <c r="B18" s="3" t="inlineStr">
        <is>
          <t>Motor Vehicle - Insurance _AND_ Licence</t>
        </is>
      </c>
      <c r="C18" s="3" t="n">
        <v>0</v>
      </c>
      <c r="D18" s="3" t="n">
        <v>0</v>
      </c>
      <c r="E18" s="3" t="n">
        <v>0</v>
      </c>
      <c r="F18" s="3" t="n">
        <v>0</v>
      </c>
      <c r="G18" s="3" t="n">
        <v>0</v>
      </c>
      <c r="H18" s="3" t="n">
        <v>0</v>
      </c>
      <c r="I18" s="3" t="n">
        <v>0</v>
      </c>
      <c r="J18" s="3" t="n">
        <v>1069</v>
      </c>
      <c r="K18" s="3" t="n">
        <v>0</v>
      </c>
      <c r="L18" s="3" t="n">
        <v>0</v>
      </c>
      <c r="M18" s="3" t="n">
        <v>0</v>
      </c>
      <c r="N18" s="3" t="n">
        <v>97.18000000000001</v>
      </c>
    </row>
    <row r="19">
      <c r="A19" s="3" t="inlineStr">
        <is>
          <t>Cape Projects Construction (Pty) Ltd</t>
        </is>
      </c>
      <c r="B19" s="3" t="inlineStr">
        <is>
          <t>Advertising - Other</t>
        </is>
      </c>
      <c r="C19" s="3" t="n">
        <v>0</v>
      </c>
      <c r="D19" s="3" t="n">
        <v>0</v>
      </c>
      <c r="E19" s="3" t="n">
        <v>0</v>
      </c>
      <c r="F19" s="3" t="n">
        <v>0</v>
      </c>
      <c r="G19" s="3" t="n">
        <v>0</v>
      </c>
      <c r="H19" s="3" t="n">
        <v>0</v>
      </c>
      <c r="I19" s="3" t="n">
        <v>0</v>
      </c>
      <c r="J19" s="3" t="n">
        <v>885</v>
      </c>
      <c r="K19" s="3" t="n">
        <v>0</v>
      </c>
      <c r="L19" s="3" t="n">
        <v>0</v>
      </c>
      <c r="M19" s="3" t="n">
        <v>712</v>
      </c>
      <c r="N19" s="3" t="n">
        <v>145.18</v>
      </c>
    </row>
    <row r="20">
      <c r="A20" s="3" t="inlineStr">
        <is>
          <t>Cape Projects Construction (Pty) Ltd</t>
        </is>
      </c>
      <c r="B20" s="3" t="inlineStr">
        <is>
          <t>Accounting Fees - Audit</t>
        </is>
      </c>
      <c r="C20" s="3" t="n">
        <v>0</v>
      </c>
      <c r="D20" s="3" t="n">
        <v>0</v>
      </c>
      <c r="E20" s="3" t="n">
        <v>0</v>
      </c>
      <c r="F20" s="3" t="n">
        <v>0</v>
      </c>
      <c r="G20" s="3" t="n">
        <v>0</v>
      </c>
      <c r="H20" s="3" t="n">
        <v>0</v>
      </c>
      <c r="I20" s="3" t="n">
        <v>0</v>
      </c>
      <c r="J20" s="3" t="n">
        <v>11170</v>
      </c>
      <c r="K20" s="3" t="n">
        <v>0</v>
      </c>
      <c r="L20" s="3" t="n">
        <v>0</v>
      </c>
      <c r="M20" s="3" t="n">
        <v>0</v>
      </c>
      <c r="N20" s="3" t="n">
        <v>1015.45</v>
      </c>
    </row>
    <row r="21">
      <c r="A21" s="3" t="inlineStr">
        <is>
          <t>Cape Projects Construction (Pty) Ltd</t>
        </is>
      </c>
      <c r="B21" s="3" t="inlineStr">
        <is>
          <t>Courier _AND_ Postage</t>
        </is>
      </c>
      <c r="C21" s="3" t="n">
        <v>0</v>
      </c>
      <c r="D21" s="3" t="n">
        <v>0</v>
      </c>
      <c r="E21" s="3" t="n">
        <v>0</v>
      </c>
      <c r="F21" s="3" t="n">
        <v>0</v>
      </c>
      <c r="G21" s="3" t="n">
        <v>245</v>
      </c>
      <c r="H21" s="3" t="n">
        <v>0</v>
      </c>
      <c r="I21" s="3" t="n">
        <v>0</v>
      </c>
      <c r="J21" s="3" t="n">
        <v>0</v>
      </c>
      <c r="K21" s="3" t="n">
        <v>86.09</v>
      </c>
      <c r="L21" s="3" t="n">
        <v>0</v>
      </c>
      <c r="M21" s="3" t="n">
        <v>0</v>
      </c>
      <c r="N21" s="3" t="n">
        <v>30.1</v>
      </c>
    </row>
    <row r="22">
      <c r="A22" s="3" t="inlineStr">
        <is>
          <t>Cape Projects Construction (Pty) Ltd</t>
        </is>
      </c>
      <c r="B22" s="3" t="inlineStr">
        <is>
          <t>Salaries &amp; Wages - WCA</t>
        </is>
      </c>
      <c r="C22" s="3" t="n">
        <v>0</v>
      </c>
      <c r="D22" s="3" t="n">
        <v>0</v>
      </c>
      <c r="E22" s="3" t="n">
        <v>0</v>
      </c>
      <c r="F22" s="3" t="n">
        <v>0</v>
      </c>
      <c r="G22" s="3" t="n">
        <v>0</v>
      </c>
      <c r="H22" s="3" t="n">
        <v>0</v>
      </c>
      <c r="I22" s="3" t="n">
        <v>0</v>
      </c>
      <c r="J22" s="3" t="n">
        <v>0</v>
      </c>
      <c r="K22" s="3" t="n">
        <v>5192.13</v>
      </c>
      <c r="L22" s="3" t="n">
        <v>0</v>
      </c>
      <c r="M22" s="3" t="n">
        <v>0</v>
      </c>
      <c r="N22" s="3" t="n">
        <v>472.01</v>
      </c>
    </row>
    <row r="23">
      <c r="A23" s="3" t="inlineStr">
        <is>
          <t>Cape Projects Construction (Pty) Ltd</t>
        </is>
      </c>
      <c r="B23" s="3" t="inlineStr">
        <is>
          <t>Subscriptions  - Adobe</t>
        </is>
      </c>
      <c r="C23" s="3" t="n">
        <v>0</v>
      </c>
      <c r="D23" s="3" t="n">
        <v>0</v>
      </c>
      <c r="E23" s="3" t="n">
        <v>0</v>
      </c>
      <c r="F23" s="3" t="n">
        <v>0</v>
      </c>
      <c r="G23" s="3" t="n">
        <v>0</v>
      </c>
      <c r="H23" s="3" t="n">
        <v>4498.72</v>
      </c>
      <c r="I23" s="3" t="n">
        <v>0</v>
      </c>
      <c r="J23" s="3" t="n">
        <v>0</v>
      </c>
      <c r="K23" s="3" t="n">
        <v>0</v>
      </c>
      <c r="L23" s="3" t="n">
        <v>0</v>
      </c>
      <c r="M23" s="3" t="n">
        <v>0</v>
      </c>
      <c r="N23" s="3" t="n">
        <v>408.97</v>
      </c>
    </row>
    <row r="24">
      <c r="A24" s="3" t="inlineStr">
        <is>
          <t>Cape Projects Construction (Pty) Ltd</t>
        </is>
      </c>
      <c r="B24" s="3" t="inlineStr">
        <is>
          <t>Subscriptions - Smartsheet</t>
        </is>
      </c>
      <c r="C24" s="3" t="n">
        <v>2178</v>
      </c>
      <c r="D24" s="3" t="n">
        <v>1089</v>
      </c>
      <c r="E24" s="3" t="n">
        <v>1215.69</v>
      </c>
      <c r="F24" s="3" t="n">
        <v>847</v>
      </c>
      <c r="G24" s="3" t="n">
        <v>846.99</v>
      </c>
      <c r="H24" s="3" t="n">
        <v>847</v>
      </c>
      <c r="I24" s="3" t="n">
        <v>847</v>
      </c>
      <c r="J24" s="3" t="n">
        <v>847</v>
      </c>
      <c r="K24" s="3" t="n">
        <v>937.23</v>
      </c>
      <c r="L24" s="3" t="n">
        <v>803.5</v>
      </c>
      <c r="M24" s="3" t="n">
        <v>605</v>
      </c>
      <c r="N24" s="3" t="n">
        <v>1005.76</v>
      </c>
    </row>
    <row r="25">
      <c r="A25" s="3" t="inlineStr">
        <is>
          <t>Cape Projects Construction (Pty) Ltd</t>
        </is>
      </c>
      <c r="B25" s="3" t="inlineStr">
        <is>
          <t>Subscriptions &amp; Licenses - Caseware</t>
        </is>
      </c>
      <c r="C25" s="3" t="n">
        <v>0</v>
      </c>
      <c r="D25" s="3" t="n">
        <v>0</v>
      </c>
      <c r="E25" s="3" t="n">
        <v>0</v>
      </c>
      <c r="F25" s="3" t="n">
        <v>0</v>
      </c>
      <c r="G25" s="3" t="n">
        <v>0</v>
      </c>
      <c r="H25" s="3" t="n">
        <v>0</v>
      </c>
      <c r="I25" s="3" t="n">
        <v>0</v>
      </c>
      <c r="J25" s="3" t="n">
        <v>0</v>
      </c>
      <c r="K25" s="3" t="n">
        <v>0</v>
      </c>
      <c r="L25" s="3" t="n">
        <v>0</v>
      </c>
      <c r="M25" s="3" t="n">
        <v>10825.49</v>
      </c>
      <c r="N25" s="3" t="n">
        <v>984.14</v>
      </c>
    </row>
    <row r="26">
      <c r="A26" s="3" t="inlineStr">
        <is>
          <t>Endulini (Pty) Ltd</t>
        </is>
      </c>
      <c r="B26" s="3" t="inlineStr">
        <is>
          <t>Bank Charges</t>
        </is>
      </c>
      <c r="C26" s="3" t="n">
        <v>219.64</v>
      </c>
      <c r="D26" s="3" t="n">
        <v>161.5</v>
      </c>
      <c r="E26" s="3" t="n">
        <v>165.89</v>
      </c>
      <c r="F26" s="3" t="n">
        <v>176.39</v>
      </c>
      <c r="G26" s="3" t="n">
        <v>140.02</v>
      </c>
      <c r="H26" s="3" t="n">
        <v>119.02</v>
      </c>
      <c r="I26" s="3" t="n">
        <v>356.08</v>
      </c>
      <c r="J26" s="3" t="n">
        <v>258.59</v>
      </c>
      <c r="K26" s="3" t="n">
        <v>246.22</v>
      </c>
      <c r="L26" s="3" t="n">
        <v>243.13</v>
      </c>
      <c r="M26" s="3" t="n">
        <v>108.92</v>
      </c>
      <c r="N26" s="3" t="n">
        <v>199.58</v>
      </c>
    </row>
    <row r="27">
      <c r="A27" s="3" t="inlineStr">
        <is>
          <t>Cape Projects Construction (Pty) Ltd</t>
        </is>
      </c>
      <c r="B27" s="3" t="inlineStr">
        <is>
          <t>Consulting Fees - Admin and Finance</t>
        </is>
      </c>
      <c r="C27" s="3" t="n">
        <v>128868.17</v>
      </c>
      <c r="D27" s="3" t="n">
        <v>125097.01</v>
      </c>
      <c r="E27" s="3" t="n">
        <v>124297</v>
      </c>
      <c r="F27" s="3" t="n">
        <v>124297</v>
      </c>
      <c r="G27" s="3" t="n">
        <v>125697</v>
      </c>
      <c r="H27" s="3" t="n">
        <v>119697</v>
      </c>
      <c r="I27" s="3" t="n">
        <v>119527</v>
      </c>
      <c r="J27" s="3" t="n">
        <v>119527</v>
      </c>
      <c r="K27" s="3" t="n">
        <v>119527</v>
      </c>
      <c r="L27" s="3" t="n">
        <v>110452</v>
      </c>
      <c r="M27" s="3" t="n">
        <v>144016.7</v>
      </c>
      <c r="N27" s="3" t="n">
        <v>123727.53</v>
      </c>
    </row>
    <row r="28">
      <c r="A28" s="3" t="inlineStr">
        <is>
          <t>Cape Projects Construction (Pty) Ltd</t>
        </is>
      </c>
      <c r="B28" s="3" t="inlineStr">
        <is>
          <t>Depreciation - Generator Fixed Asset</t>
        </is>
      </c>
      <c r="C28" s="3" t="n">
        <v>1188.71</v>
      </c>
      <c r="D28" s="3" t="n">
        <v>1188.69</v>
      </c>
      <c r="E28" s="3" t="n">
        <v>1188.7</v>
      </c>
      <c r="F28" s="3" t="n">
        <v>1188.71</v>
      </c>
      <c r="G28" s="3" t="n">
        <v>1188.69</v>
      </c>
      <c r="H28" s="3" t="n">
        <v>1188.7</v>
      </c>
      <c r="I28" s="3" t="n">
        <v>1188.71</v>
      </c>
      <c r="J28" s="3" t="n">
        <v>1188.69</v>
      </c>
      <c r="K28" s="3" t="n">
        <v>1188.7</v>
      </c>
      <c r="L28" s="3" t="n">
        <v>193.34</v>
      </c>
      <c r="M28" s="3" t="n">
        <v>193.33</v>
      </c>
      <c r="N28" s="3" t="n">
        <v>1007.72</v>
      </c>
    </row>
    <row r="29">
      <c r="A29" s="3" t="inlineStr">
        <is>
          <t>Cape Projects Construction (Pty) Ltd</t>
        </is>
      </c>
      <c r="B29" s="3" t="inlineStr">
        <is>
          <t>Motor Vehicle Expenses</t>
        </is>
      </c>
      <c r="C29" s="3" t="n">
        <v>0</v>
      </c>
      <c r="D29" s="3" t="n">
        <v>0</v>
      </c>
      <c r="E29" s="3" t="n">
        <v>0</v>
      </c>
      <c r="F29" s="3" t="n">
        <v>0</v>
      </c>
      <c r="G29" s="3" t="n">
        <v>0</v>
      </c>
      <c r="H29" s="3" t="n">
        <v>0</v>
      </c>
      <c r="I29" s="3" t="n">
        <v>0</v>
      </c>
      <c r="J29" s="3" t="n">
        <v>0</v>
      </c>
      <c r="K29" s="3" t="n">
        <v>0</v>
      </c>
      <c r="L29" s="3" t="n">
        <v>362</v>
      </c>
      <c r="M29" s="3" t="n">
        <v>0</v>
      </c>
      <c r="N29" s="3" t="n">
        <v>32.91</v>
      </c>
    </row>
    <row r="30">
      <c r="A30" s="3" t="inlineStr">
        <is>
          <t>Cape Projects Construction (Pty) Ltd</t>
        </is>
      </c>
      <c r="B30" s="3" t="inlineStr">
        <is>
          <t>Printing - Printer rental</t>
        </is>
      </c>
      <c r="C30" s="3" t="n">
        <v>2233.3</v>
      </c>
      <c r="D30" s="3" t="n">
        <v>2401.59</v>
      </c>
      <c r="E30" s="3" t="n">
        <v>2280.91</v>
      </c>
      <c r="F30" s="3" t="n">
        <v>2304.82</v>
      </c>
      <c r="G30" s="3" t="n">
        <v>2745.32</v>
      </c>
      <c r="H30" s="3" t="n">
        <v>4215.07</v>
      </c>
      <c r="I30" s="3" t="n">
        <v>1459.35</v>
      </c>
      <c r="J30" s="3" t="n">
        <v>704.96</v>
      </c>
      <c r="K30" s="3" t="n">
        <v>2190.96</v>
      </c>
      <c r="L30" s="3" t="n">
        <v>1777.93</v>
      </c>
      <c r="M30" s="3" t="n">
        <v>1375.3</v>
      </c>
      <c r="N30" s="3" t="n">
        <v>2153.59</v>
      </c>
    </row>
    <row r="31">
      <c r="A31" s="3" t="inlineStr">
        <is>
          <t>Cape Projects Construction (Pty) Ltd</t>
        </is>
      </c>
      <c r="B31" s="3" t="inlineStr">
        <is>
          <t>Subscriptions / Licenses</t>
        </is>
      </c>
      <c r="C31" s="3" t="n">
        <v>0</v>
      </c>
      <c r="D31" s="3" t="n">
        <v>0</v>
      </c>
      <c r="E31" s="3" t="n">
        <v>0</v>
      </c>
      <c r="F31" s="3" t="n">
        <v>0</v>
      </c>
      <c r="G31" s="3" t="n">
        <v>0</v>
      </c>
      <c r="H31" s="3" t="n">
        <v>3016</v>
      </c>
      <c r="I31" s="3" t="n">
        <v>2162.32</v>
      </c>
      <c r="J31" s="3" t="n">
        <v>8349.65</v>
      </c>
      <c r="K31" s="3" t="n">
        <v>0</v>
      </c>
      <c r="L31" s="3" t="n">
        <v>0</v>
      </c>
      <c r="M31" s="3" t="n">
        <v>0</v>
      </c>
      <c r="N31" s="3" t="n">
        <v>1229.82</v>
      </c>
    </row>
    <row r="32">
      <c r="A32" s="3" t="inlineStr">
        <is>
          <t>Cape Projects Construction (Pty) Ltd</t>
        </is>
      </c>
      <c r="B32" s="3" t="inlineStr">
        <is>
          <t>Telephone _AND_ Fax</t>
        </is>
      </c>
      <c r="C32" s="3" t="n">
        <v>0</v>
      </c>
      <c r="D32" s="3" t="n">
        <v>0</v>
      </c>
      <c r="E32" s="3" t="n">
        <v>0</v>
      </c>
      <c r="F32" s="3" t="n">
        <v>0</v>
      </c>
      <c r="G32" s="3" t="n">
        <v>0</v>
      </c>
      <c r="H32" s="3" t="n">
        <v>11566.33</v>
      </c>
      <c r="I32" s="3" t="n">
        <v>0</v>
      </c>
      <c r="J32" s="3" t="n">
        <v>0</v>
      </c>
      <c r="K32" s="3" t="n">
        <v>0</v>
      </c>
      <c r="L32" s="3" t="n">
        <v>0</v>
      </c>
      <c r="M32" s="3" t="n">
        <v>0</v>
      </c>
      <c r="N32" s="3" t="n">
        <v>1051.48</v>
      </c>
    </row>
    <row r="33">
      <c r="A33" s="3" t="inlineStr">
        <is>
          <t>Heron Fields (Pty) Ltd</t>
        </is>
      </c>
      <c r="B33" s="3" t="inlineStr">
        <is>
          <t>CoCT - Refuse</t>
        </is>
      </c>
      <c r="C33" s="3" t="n">
        <v>0</v>
      </c>
      <c r="D33" s="3" t="n">
        <v>0</v>
      </c>
      <c r="E33" s="3" t="n">
        <v>0</v>
      </c>
      <c r="F33" s="3" t="n">
        <v>36288.17</v>
      </c>
      <c r="G33" s="3" t="n">
        <v>0</v>
      </c>
      <c r="H33" s="3" t="n">
        <v>0</v>
      </c>
      <c r="I33" s="3" t="n">
        <v>0</v>
      </c>
      <c r="J33" s="3" t="n">
        <v>0</v>
      </c>
      <c r="K33" s="3" t="n">
        <v>0</v>
      </c>
      <c r="L33" s="3" t="n">
        <v>0</v>
      </c>
      <c r="M33" s="3" t="n">
        <v>10690.2</v>
      </c>
      <c r="N33" s="3" t="n">
        <v>4270.76</v>
      </c>
    </row>
    <row r="34">
      <c r="A34" s="3" t="inlineStr">
        <is>
          <t>Heron Fields (Pty) Ltd</t>
        </is>
      </c>
      <c r="B34" s="3" t="inlineStr">
        <is>
          <t>Developers Levies</t>
        </is>
      </c>
      <c r="C34" s="3" t="n">
        <v>0</v>
      </c>
      <c r="D34" s="3" t="n">
        <v>0</v>
      </c>
      <c r="E34" s="3" t="n">
        <v>0</v>
      </c>
      <c r="F34" s="3" t="n">
        <v>0</v>
      </c>
      <c r="G34" s="3" t="n">
        <v>0</v>
      </c>
      <c r="H34" s="3" t="n">
        <v>0</v>
      </c>
      <c r="I34" s="3" t="n">
        <v>5282.68</v>
      </c>
      <c r="J34" s="3" t="n">
        <v>71583.14999999999</v>
      </c>
      <c r="K34" s="3" t="n">
        <v>0</v>
      </c>
      <c r="L34" s="3" t="n">
        <v>0</v>
      </c>
      <c r="M34" s="3" t="n">
        <v>0</v>
      </c>
      <c r="N34" s="3" t="n">
        <v>6987.8</v>
      </c>
    </row>
    <row r="35">
      <c r="A35" s="3" t="inlineStr">
        <is>
          <t>Heron Fields (Pty) Ltd</t>
        </is>
      </c>
      <c r="B35" s="3" t="inlineStr">
        <is>
          <t>Momentum Admin Fee</t>
        </is>
      </c>
      <c r="C35" s="3" t="n">
        <v>0</v>
      </c>
      <c r="D35" s="3" t="n">
        <v>11793.8</v>
      </c>
      <c r="E35" s="3" t="n">
        <v>17979.75</v>
      </c>
      <c r="F35" s="3" t="n">
        <v>19033.8</v>
      </c>
      <c r="G35" s="3" t="n">
        <v>15149.62</v>
      </c>
      <c r="H35" s="3" t="n">
        <v>12954.16</v>
      </c>
      <c r="I35" s="3" t="n">
        <v>15190</v>
      </c>
      <c r="J35" s="3" t="n">
        <v>10523.82</v>
      </c>
      <c r="K35" s="3" t="n">
        <v>5264.82</v>
      </c>
      <c r="L35" s="3" t="n">
        <v>8404.200000000001</v>
      </c>
      <c r="M35" s="3" t="n">
        <v>5169.95</v>
      </c>
      <c r="N35" s="3" t="n">
        <v>11042.17</v>
      </c>
    </row>
    <row r="36">
      <c r="A36" s="3" t="inlineStr">
        <is>
          <t>Heron Fields (Pty) Ltd</t>
        </is>
      </c>
      <c r="B36" s="3" t="inlineStr">
        <is>
          <t>Security</t>
        </is>
      </c>
      <c r="C36" s="3" t="n">
        <v>0</v>
      </c>
      <c r="D36" s="3" t="n">
        <v>0</v>
      </c>
      <c r="E36" s="3" t="n">
        <v>7198.71</v>
      </c>
      <c r="F36" s="3" t="n">
        <v>0</v>
      </c>
      <c r="G36" s="3" t="n">
        <v>0</v>
      </c>
      <c r="H36" s="3" t="n">
        <v>0</v>
      </c>
      <c r="I36" s="3" t="n">
        <v>0</v>
      </c>
      <c r="J36" s="3" t="n">
        <v>0</v>
      </c>
      <c r="K36" s="3" t="n">
        <v>0</v>
      </c>
      <c r="L36" s="3" t="n">
        <v>0</v>
      </c>
      <c r="M36" s="3" t="n">
        <v>0</v>
      </c>
      <c r="N36" s="3" t="n">
        <v>654.4299999999999</v>
      </c>
    </row>
    <row r="37">
      <c r="A37" s="3" t="inlineStr">
        <is>
          <t>Heron Fields (Pty) Ltd</t>
        </is>
      </c>
      <c r="B37" s="3" t="inlineStr">
        <is>
          <t>Subscriptions - Xero</t>
        </is>
      </c>
      <c r="C37" s="3" t="n">
        <v>600</v>
      </c>
      <c r="D37" s="3" t="n">
        <v>600</v>
      </c>
      <c r="E37" s="3" t="n">
        <v>600</v>
      </c>
      <c r="F37" s="3" t="n">
        <v>600</v>
      </c>
      <c r="G37" s="3" t="n">
        <v>600</v>
      </c>
      <c r="H37" s="3" t="n">
        <v>600</v>
      </c>
      <c r="I37" s="3" t="n">
        <v>600</v>
      </c>
      <c r="J37" s="3" t="n">
        <v>600</v>
      </c>
      <c r="K37" s="3" t="n">
        <v>600</v>
      </c>
      <c r="L37" s="3" t="n">
        <v>600</v>
      </c>
      <c r="M37" s="3" t="n">
        <v>600</v>
      </c>
      <c r="N37" s="3" t="n">
        <v>600</v>
      </c>
    </row>
    <row r="38">
      <c r="A38" s="3" t="inlineStr">
        <is>
          <t>Endulini (Pty) Ltd</t>
        </is>
      </c>
      <c r="B38" s="3" t="inlineStr">
        <is>
          <t>Subscriptions - Xero</t>
        </is>
      </c>
      <c r="C38" s="3" t="n">
        <v>600</v>
      </c>
      <c r="D38" s="3" t="n">
        <v>600</v>
      </c>
      <c r="E38" s="3" t="n">
        <v>600</v>
      </c>
      <c r="F38" s="3" t="n">
        <v>600</v>
      </c>
      <c r="G38" s="3" t="n">
        <v>600</v>
      </c>
      <c r="H38" s="3" t="n">
        <v>600</v>
      </c>
      <c r="I38" s="3" t="n">
        <v>600</v>
      </c>
      <c r="J38" s="3" t="n">
        <v>600</v>
      </c>
      <c r="K38" s="3" t="n">
        <v>600</v>
      </c>
      <c r="L38" s="3" t="n">
        <v>600</v>
      </c>
      <c r="M38" s="3" t="n">
        <v>600</v>
      </c>
      <c r="N38" s="3" t="n">
        <v>600</v>
      </c>
    </row>
    <row r="39">
      <c r="A39" s="3" t="inlineStr">
        <is>
          <t>Cape Projects Construction (Pty) Ltd</t>
        </is>
      </c>
      <c r="B39" s="3" t="inlineStr">
        <is>
          <t>Electricity _AND_ Water</t>
        </is>
      </c>
      <c r="C39" s="3" t="n">
        <v>0</v>
      </c>
      <c r="D39" s="3" t="n">
        <v>0</v>
      </c>
      <c r="E39" s="3" t="n">
        <v>7400.09</v>
      </c>
      <c r="F39" s="3" t="n">
        <v>6675.2</v>
      </c>
      <c r="G39" s="3" t="n">
        <v>7040.33</v>
      </c>
      <c r="H39" s="3" t="n">
        <v>7399.44</v>
      </c>
      <c r="I39" s="3" t="n">
        <v>7214.2</v>
      </c>
      <c r="J39" s="3" t="n">
        <v>6082.97</v>
      </c>
      <c r="K39" s="3" t="n">
        <v>5058.34</v>
      </c>
      <c r="L39" s="3" t="n">
        <v>6676.08</v>
      </c>
      <c r="M39" s="3" t="n">
        <v>7428.07</v>
      </c>
      <c r="N39" s="3" t="n">
        <v>5543.16</v>
      </c>
    </row>
    <row r="40">
      <c r="A40" s="3" t="inlineStr">
        <is>
          <t>Cape Projects Construction (Pty) Ltd</t>
        </is>
      </c>
      <c r="B40" s="3" t="inlineStr">
        <is>
          <t>SDL Contributions</t>
        </is>
      </c>
      <c r="C40" s="3" t="n">
        <v>5237.23</v>
      </c>
      <c r="D40" s="3" t="n">
        <v>5533.95</v>
      </c>
      <c r="E40" s="3" t="n">
        <v>5370.73</v>
      </c>
      <c r="F40" s="3" t="n">
        <v>5014.74</v>
      </c>
      <c r="G40" s="3" t="n">
        <v>4371.35</v>
      </c>
      <c r="H40" s="3" t="n">
        <v>4381.84</v>
      </c>
      <c r="I40" s="3" t="n">
        <v>4480.77</v>
      </c>
      <c r="J40" s="3" t="n">
        <v>4434.64</v>
      </c>
      <c r="K40" s="3" t="n">
        <v>3980.49</v>
      </c>
      <c r="L40" s="3" t="n">
        <v>3918.5</v>
      </c>
      <c r="M40" s="3" t="n">
        <v>3744.13</v>
      </c>
      <c r="N40" s="3" t="n">
        <v>4588.03</v>
      </c>
    </row>
    <row r="41">
      <c r="A41" s="3" t="inlineStr">
        <is>
          <t>Cape Projects Construction (Pty) Ltd</t>
        </is>
      </c>
      <c r="B41" s="3" t="inlineStr">
        <is>
          <t>Secretarial fees - CIPC</t>
        </is>
      </c>
      <c r="C41" s="3" t="n">
        <v>0</v>
      </c>
      <c r="D41" s="3" t="n">
        <v>0</v>
      </c>
      <c r="E41" s="3" t="n">
        <v>0</v>
      </c>
      <c r="F41" s="3" t="n">
        <v>0</v>
      </c>
      <c r="G41" s="3" t="n">
        <v>0</v>
      </c>
      <c r="H41" s="3" t="n">
        <v>0</v>
      </c>
      <c r="I41" s="3" t="n">
        <v>4000</v>
      </c>
      <c r="J41" s="3" t="n">
        <v>0</v>
      </c>
      <c r="K41" s="3" t="n">
        <v>0</v>
      </c>
      <c r="L41" s="3" t="n">
        <v>0</v>
      </c>
      <c r="M41" s="3" t="n">
        <v>0</v>
      </c>
      <c r="N41" s="3" t="n">
        <v>363.64</v>
      </c>
    </row>
    <row r="42">
      <c r="A42" s="3" t="inlineStr">
        <is>
          <t>Heron Fields (Pty) Ltd</t>
        </is>
      </c>
      <c r="B42" s="3" t="inlineStr">
        <is>
          <t>CoCT - Water</t>
        </is>
      </c>
      <c r="C42" s="3" t="inlineStr">
        <is>
          <t>-R 147,72</t>
        </is>
      </c>
      <c r="D42" s="3" t="n">
        <v>971.22</v>
      </c>
      <c r="E42" s="3" t="n">
        <v>478.58</v>
      </c>
      <c r="F42" s="3" t="n">
        <v>47156.78</v>
      </c>
      <c r="G42" s="3" t="n">
        <v>1094.18</v>
      </c>
      <c r="H42" s="3" t="n">
        <v>0</v>
      </c>
      <c r="I42" s="3" t="n">
        <v>0</v>
      </c>
      <c r="J42" s="3" t="n">
        <v>0</v>
      </c>
      <c r="K42" s="3" t="n">
        <v>8832.24</v>
      </c>
      <c r="L42" s="3" t="inlineStr">
        <is>
          <t>-R 4 301,84</t>
        </is>
      </c>
      <c r="M42" s="3" t="n">
        <v>39349.03</v>
      </c>
      <c r="N42" s="3" t="n">
        <v>8493.860000000001</v>
      </c>
    </row>
    <row r="43">
      <c r="A43" s="3" t="inlineStr">
        <is>
          <t>Endulini (Pty) Ltd</t>
        </is>
      </c>
      <c r="B43" s="3" t="inlineStr">
        <is>
          <t>Consulting Fees - Admin and Finance</t>
        </is>
      </c>
      <c r="C43" s="3" t="n">
        <v>42094.19</v>
      </c>
      <c r="D43" s="3" t="n">
        <v>40680</v>
      </c>
      <c r="E43" s="3" t="n">
        <v>40380</v>
      </c>
      <c r="F43" s="3" t="n">
        <v>40380</v>
      </c>
      <c r="G43" s="3" t="n">
        <v>42480</v>
      </c>
      <c r="H43" s="3" t="n">
        <v>40230</v>
      </c>
      <c r="I43" s="3" t="n">
        <v>39975</v>
      </c>
      <c r="J43" s="3" t="n">
        <v>39975</v>
      </c>
      <c r="K43" s="3" t="n">
        <v>39975</v>
      </c>
      <c r="L43" s="3" t="n">
        <v>49900</v>
      </c>
      <c r="M43" s="3" t="n">
        <v>61022.57</v>
      </c>
      <c r="N43" s="3" t="n">
        <v>43371.98</v>
      </c>
    </row>
    <row r="44">
      <c r="A44" s="3" t="inlineStr">
        <is>
          <t>Endulini (Pty) Ltd</t>
        </is>
      </c>
      <c r="B44" s="3" t="inlineStr">
        <is>
          <t>Repairs _AND_ Maintenance</t>
        </is>
      </c>
      <c r="C44" s="3" t="n">
        <v>3297.62</v>
      </c>
      <c r="D44" s="3" t="n">
        <v>0</v>
      </c>
      <c r="E44" s="3" t="n">
        <v>0</v>
      </c>
      <c r="F44" s="3" t="n">
        <v>0</v>
      </c>
      <c r="G44" s="3" t="n">
        <v>4539.88</v>
      </c>
      <c r="H44" s="3" t="n">
        <v>0</v>
      </c>
      <c r="I44" s="3" t="n">
        <v>9269.25</v>
      </c>
      <c r="J44" s="3" t="n">
        <v>0</v>
      </c>
      <c r="K44" s="3" t="n">
        <v>15702.19</v>
      </c>
      <c r="L44" s="3" t="n">
        <v>0</v>
      </c>
      <c r="M44" s="3" t="n">
        <v>0</v>
      </c>
      <c r="N44" s="3" t="n">
        <v>2982.63</v>
      </c>
    </row>
    <row r="45">
      <c r="A45" s="3" t="inlineStr">
        <is>
          <t>Cape Projects Construction (Pty) Ltd</t>
        </is>
      </c>
      <c r="B45" s="3" t="inlineStr">
        <is>
          <t>Printing _AND_ Stationery</t>
        </is>
      </c>
      <c r="C45" s="3" t="n">
        <v>6732.42</v>
      </c>
      <c r="D45" s="3" t="n">
        <v>4891.29</v>
      </c>
      <c r="E45" s="3" t="n">
        <v>2706.92</v>
      </c>
      <c r="F45" s="3" t="n">
        <v>5021.88</v>
      </c>
      <c r="G45" s="3" t="n">
        <v>7557.38</v>
      </c>
      <c r="H45" s="3" t="n">
        <v>2648.22</v>
      </c>
      <c r="I45" s="3" t="n">
        <v>5699.68</v>
      </c>
      <c r="J45" s="3" t="n">
        <v>4327.12</v>
      </c>
      <c r="K45" s="3" t="n">
        <v>2190.86</v>
      </c>
      <c r="L45" s="3" t="n">
        <v>1173.91</v>
      </c>
      <c r="M45" s="3" t="n">
        <v>2299.13</v>
      </c>
      <c r="N45" s="3" t="n">
        <v>4113.53</v>
      </c>
    </row>
    <row r="46">
      <c r="A46" s="3" t="inlineStr">
        <is>
          <t>Heron Fields (Pty) Ltd</t>
        </is>
      </c>
      <c r="B46" s="3" t="inlineStr">
        <is>
          <t>Bank Charges</t>
        </is>
      </c>
      <c r="C46" s="3" t="n">
        <v>399.76</v>
      </c>
      <c r="D46" s="3" t="n">
        <v>369.23</v>
      </c>
      <c r="E46" s="3" t="n">
        <v>398.2</v>
      </c>
      <c r="F46" s="3" t="n">
        <v>369.15</v>
      </c>
      <c r="G46" s="3" t="n">
        <v>256.55</v>
      </c>
      <c r="H46" s="3" t="n">
        <v>390.11</v>
      </c>
      <c r="I46" s="3" t="n">
        <v>644.17</v>
      </c>
      <c r="J46" s="3" t="n">
        <v>516.95</v>
      </c>
      <c r="K46" s="3" t="n">
        <v>449.38</v>
      </c>
      <c r="L46" s="3" t="n">
        <v>374.2</v>
      </c>
      <c r="M46" s="3" t="n">
        <v>582.98</v>
      </c>
      <c r="N46" s="3" t="n">
        <v>431.88</v>
      </c>
    </row>
    <row r="47">
      <c r="A47" s="3" t="inlineStr">
        <is>
          <t>Cape Projects Construction (Pty) Ltd</t>
        </is>
      </c>
      <c r="B47" s="3" t="inlineStr">
        <is>
          <t>BIBC Company Contribution</t>
        </is>
      </c>
      <c r="C47" s="3" t="n">
        <v>0</v>
      </c>
      <c r="D47" s="3" t="n">
        <v>0</v>
      </c>
      <c r="E47" s="3" t="n">
        <v>0</v>
      </c>
      <c r="F47" s="3" t="n">
        <v>0</v>
      </c>
      <c r="G47" s="3" t="n">
        <v>0</v>
      </c>
      <c r="H47" s="3" t="n">
        <v>0</v>
      </c>
      <c r="I47" s="3" t="n">
        <v>0</v>
      </c>
      <c r="J47" s="3" t="n">
        <v>0</v>
      </c>
      <c r="K47" s="3" t="n">
        <v>3007.35</v>
      </c>
      <c r="L47" s="3" t="n">
        <v>7034</v>
      </c>
      <c r="M47" s="3" t="n">
        <v>5034</v>
      </c>
      <c r="N47" s="3" t="n">
        <v>1370.49</v>
      </c>
    </row>
    <row r="48">
      <c r="A48" s="3" t="inlineStr">
        <is>
          <t>Cape Projects Construction (Pty) Ltd</t>
        </is>
      </c>
      <c r="B48" s="3" t="inlineStr">
        <is>
          <t>Depreciation - Furniture and Fittings</t>
        </is>
      </c>
      <c r="C48" s="3" t="n">
        <v>547.6799999999999</v>
      </c>
      <c r="D48" s="3" t="n">
        <v>547.6799999999999</v>
      </c>
      <c r="E48" s="3" t="n">
        <v>547.67</v>
      </c>
      <c r="F48" s="3" t="n">
        <v>547.6799999999999</v>
      </c>
      <c r="G48" s="3" t="n">
        <v>547.6799999999999</v>
      </c>
      <c r="H48" s="3" t="n">
        <v>547.67</v>
      </c>
      <c r="I48" s="3" t="n">
        <v>547.6900000000001</v>
      </c>
      <c r="J48" s="3" t="n">
        <v>547.67</v>
      </c>
      <c r="K48" s="3" t="n">
        <v>547.6799999999999</v>
      </c>
      <c r="L48" s="3" t="n">
        <v>547.67</v>
      </c>
      <c r="M48" s="3" t="n">
        <v>547.6799999999999</v>
      </c>
      <c r="N48" s="3" t="n">
        <v>547.6799999999999</v>
      </c>
    </row>
    <row r="49">
      <c r="A49" s="3" t="inlineStr">
        <is>
          <t>Cape Projects Construction (Pty) Ltd</t>
        </is>
      </c>
      <c r="B49" s="3" t="inlineStr">
        <is>
          <t>Depreciation - Computer Equipment</t>
        </is>
      </c>
      <c r="C49" s="3" t="n">
        <v>4562.87</v>
      </c>
      <c r="D49" s="3" t="n">
        <v>4562.87</v>
      </c>
      <c r="E49" s="3" t="n">
        <v>4549.49</v>
      </c>
      <c r="F49" s="3" t="n">
        <v>4562.86</v>
      </c>
      <c r="G49" s="3" t="n">
        <v>3631.27</v>
      </c>
      <c r="H49" s="3" t="n">
        <v>3323.89</v>
      </c>
      <c r="I49" s="3" t="n">
        <v>3323.92</v>
      </c>
      <c r="J49" s="3" t="n">
        <v>3323.88</v>
      </c>
      <c r="K49" s="3" t="n">
        <v>3323.91</v>
      </c>
      <c r="L49" s="3" t="n">
        <v>3323.88</v>
      </c>
      <c r="M49" s="3" t="n">
        <v>3323.91</v>
      </c>
      <c r="N49" s="3" t="n">
        <v>3801.16</v>
      </c>
    </row>
    <row r="50">
      <c r="A50" s="3" t="inlineStr">
        <is>
          <t>Heron Fields (Pty) Ltd</t>
        </is>
      </c>
      <c r="B50" s="3" t="inlineStr">
        <is>
          <t>Levies - Amari</t>
        </is>
      </c>
      <c r="C50" s="3" t="n">
        <v>3292.17</v>
      </c>
      <c r="D50" s="3" t="n">
        <v>5105.18</v>
      </c>
      <c r="E50" s="3" t="n">
        <v>5862.1</v>
      </c>
      <c r="F50" s="3" t="n">
        <v>9670.93</v>
      </c>
      <c r="G50" s="3" t="n">
        <v>4142.54</v>
      </c>
      <c r="H50" s="3" t="n">
        <v>0</v>
      </c>
      <c r="I50" s="3" t="n">
        <v>0</v>
      </c>
      <c r="J50" s="3" t="n">
        <v>0</v>
      </c>
      <c r="K50" s="3" t="n">
        <v>0</v>
      </c>
      <c r="L50" s="3" t="n">
        <v>0</v>
      </c>
      <c r="M50" s="3" t="n">
        <v>0</v>
      </c>
      <c r="N50" s="3" t="n">
        <v>2552.08</v>
      </c>
    </row>
    <row r="51">
      <c r="A51" s="3" t="inlineStr">
        <is>
          <t>Heron Fields (Pty) Ltd</t>
        </is>
      </c>
      <c r="B51" s="3" t="inlineStr">
        <is>
          <t>Motor Vehicle Expenses</t>
        </is>
      </c>
      <c r="C51" s="3" t="n">
        <v>0</v>
      </c>
      <c r="D51" s="3" t="n">
        <v>0</v>
      </c>
      <c r="E51" s="3" t="n">
        <v>0</v>
      </c>
      <c r="F51" s="3" t="n">
        <v>0</v>
      </c>
      <c r="G51" s="3" t="n">
        <v>0</v>
      </c>
      <c r="H51" s="3" t="n">
        <v>0</v>
      </c>
      <c r="I51" s="3" t="n">
        <v>20</v>
      </c>
      <c r="J51" s="3" t="n">
        <v>0</v>
      </c>
      <c r="K51" s="3" t="n">
        <v>0</v>
      </c>
      <c r="L51" s="3" t="n">
        <v>0</v>
      </c>
      <c r="M51" s="3" t="n">
        <v>0</v>
      </c>
      <c r="N51" s="3" t="n">
        <v>1.82</v>
      </c>
    </row>
    <row r="52">
      <c r="A52" s="3" t="inlineStr">
        <is>
          <t>Heron Fields (Pty) Ltd</t>
        </is>
      </c>
      <c r="B52" s="3" t="inlineStr">
        <is>
          <t>Repairs _AND_ Maintenance</t>
        </is>
      </c>
      <c r="C52" s="3" t="n">
        <v>0</v>
      </c>
      <c r="D52" s="3" t="n">
        <v>0</v>
      </c>
      <c r="E52" s="3" t="n">
        <v>0</v>
      </c>
      <c r="F52" s="3" t="n">
        <v>900</v>
      </c>
      <c r="G52" s="3" t="n">
        <v>0</v>
      </c>
      <c r="H52" s="3" t="n">
        <v>0</v>
      </c>
      <c r="I52" s="3" t="n">
        <v>33647.28</v>
      </c>
      <c r="J52" s="3" t="n">
        <v>0</v>
      </c>
      <c r="K52" s="3" t="n">
        <v>0</v>
      </c>
      <c r="L52" s="3" t="n">
        <v>0</v>
      </c>
      <c r="M52" s="3" t="n">
        <v>0</v>
      </c>
      <c r="N52" s="3" t="n">
        <v>3140.66</v>
      </c>
    </row>
    <row r="53">
      <c r="A53" s="3" t="inlineStr">
        <is>
          <t>Heron View (Pty) Ltd</t>
        </is>
      </c>
      <c r="B53" s="3" t="inlineStr">
        <is>
          <t>Advertising - Pure Brand Activation</t>
        </is>
      </c>
      <c r="C53" s="3" t="n">
        <v>0</v>
      </c>
      <c r="D53" s="3" t="n">
        <v>0</v>
      </c>
      <c r="E53" s="3" t="n">
        <v>0</v>
      </c>
      <c r="F53" s="3" t="n">
        <v>0</v>
      </c>
      <c r="G53" s="3" t="n">
        <v>9967.1</v>
      </c>
      <c r="H53" s="3" t="n">
        <v>0</v>
      </c>
      <c r="I53" s="3" t="n">
        <v>4602</v>
      </c>
      <c r="J53" s="3" t="n">
        <v>0</v>
      </c>
      <c r="K53" s="3" t="n">
        <v>0</v>
      </c>
      <c r="L53" s="3" t="n">
        <v>0</v>
      </c>
      <c r="M53" s="3" t="n">
        <v>0</v>
      </c>
      <c r="N53" s="3" t="n">
        <v>1324.46</v>
      </c>
    </row>
    <row r="54">
      <c r="A54" s="3" t="inlineStr">
        <is>
          <t>Heron View (Pty) Ltd</t>
        </is>
      </c>
      <c r="B54" s="3" t="inlineStr">
        <is>
          <t>Advertising - Real Marketing</t>
        </is>
      </c>
      <c r="C54" s="3" t="n">
        <v>0</v>
      </c>
      <c r="D54" s="3" t="n">
        <v>0</v>
      </c>
      <c r="E54" s="3" t="n">
        <v>0</v>
      </c>
      <c r="F54" s="3" t="n">
        <v>0</v>
      </c>
      <c r="G54" s="3" t="n">
        <v>0</v>
      </c>
      <c r="H54" s="3" t="n">
        <v>18500</v>
      </c>
      <c r="I54" s="3" t="n">
        <v>0</v>
      </c>
      <c r="J54" s="3" t="n">
        <v>0</v>
      </c>
      <c r="K54" s="3" t="n">
        <v>0</v>
      </c>
      <c r="L54" s="3" t="n">
        <v>0</v>
      </c>
      <c r="M54" s="3" t="n">
        <v>0</v>
      </c>
      <c r="N54" s="3" t="n">
        <v>1681.82</v>
      </c>
    </row>
    <row r="55">
      <c r="A55" s="3" t="inlineStr">
        <is>
          <t>Cape Projects Construction (Pty) Ltd</t>
        </is>
      </c>
      <c r="B55" s="3" t="inlineStr">
        <is>
          <t>Legal Fees</t>
        </is>
      </c>
      <c r="C55" s="3" t="n">
        <v>0</v>
      </c>
      <c r="D55" s="3" t="n">
        <v>0</v>
      </c>
      <c r="E55" s="3" t="n">
        <v>0</v>
      </c>
      <c r="F55" s="3" t="n">
        <v>0</v>
      </c>
      <c r="G55" s="3" t="n">
        <v>0</v>
      </c>
      <c r="H55" s="3" t="n">
        <v>0</v>
      </c>
      <c r="I55" s="3" t="n">
        <v>0</v>
      </c>
      <c r="J55" s="3" t="n">
        <v>0</v>
      </c>
      <c r="K55" s="3" t="n">
        <v>0</v>
      </c>
      <c r="L55" s="3" t="n">
        <v>5202.88</v>
      </c>
      <c r="M55" s="3" t="n">
        <v>0</v>
      </c>
      <c r="N55" s="3" t="n">
        <v>472.99</v>
      </c>
    </row>
    <row r="56">
      <c r="A56" s="3" t="inlineStr">
        <is>
          <t>Heron Fields (Pty) Ltd</t>
        </is>
      </c>
      <c r="B56" s="3" t="inlineStr">
        <is>
          <t>Consulting fees - Trustee</t>
        </is>
      </c>
      <c r="C56" s="3" t="n">
        <v>4200</v>
      </c>
      <c r="D56" s="3" t="n">
        <v>0</v>
      </c>
      <c r="E56" s="3" t="n">
        <v>4200</v>
      </c>
      <c r="F56" s="3" t="n">
        <v>5700</v>
      </c>
      <c r="G56" s="3" t="n">
        <v>0</v>
      </c>
      <c r="H56" s="3" t="n">
        <v>0</v>
      </c>
      <c r="I56" s="3" t="n">
        <v>0</v>
      </c>
      <c r="J56" s="3" t="n">
        <v>4200</v>
      </c>
      <c r="K56" s="3" t="n">
        <v>4000</v>
      </c>
      <c r="L56" s="3" t="n">
        <v>4000</v>
      </c>
      <c r="M56" s="3" t="n">
        <v>0</v>
      </c>
      <c r="N56" s="3" t="n">
        <v>2390.91</v>
      </c>
    </row>
    <row r="57">
      <c r="A57" s="3" t="inlineStr">
        <is>
          <t>Cape Projects Construction (Pty) Ltd</t>
        </is>
      </c>
      <c r="B57" s="3" t="inlineStr">
        <is>
          <t>Rent Paid</t>
        </is>
      </c>
      <c r="C57" s="3" t="n">
        <v>31820</v>
      </c>
      <c r="D57" s="3" t="n">
        <v>31820</v>
      </c>
      <c r="E57" s="3" t="n">
        <v>31820</v>
      </c>
      <c r="F57" s="3" t="n">
        <v>29600</v>
      </c>
      <c r="G57" s="3" t="n">
        <v>29600</v>
      </c>
      <c r="H57" s="3" t="n">
        <v>29600</v>
      </c>
      <c r="I57" s="3" t="n">
        <v>29600</v>
      </c>
      <c r="J57" s="3" t="n">
        <v>29600</v>
      </c>
      <c r="K57" s="3" t="n">
        <v>29600</v>
      </c>
      <c r="L57" s="3" t="n">
        <v>29600</v>
      </c>
      <c r="M57" s="3" t="n">
        <v>29600</v>
      </c>
      <c r="N57" s="3" t="n">
        <v>30205.45</v>
      </c>
    </row>
    <row r="58">
      <c r="A58" s="3" t="inlineStr">
        <is>
          <t>Cape Projects Construction (Pty) Ltd</t>
        </is>
      </c>
      <c r="B58" s="3" t="inlineStr">
        <is>
          <t>Motor Vehicle - Repairs _AND_ Maint.</t>
        </is>
      </c>
      <c r="C58" s="3" t="n">
        <v>0</v>
      </c>
      <c r="D58" s="3" t="n">
        <v>0</v>
      </c>
      <c r="E58" s="3" t="n">
        <v>0</v>
      </c>
      <c r="F58" s="3" t="n">
        <v>31.3</v>
      </c>
      <c r="G58" s="3" t="n">
        <v>3637</v>
      </c>
      <c r="H58" s="3" t="n">
        <v>0</v>
      </c>
      <c r="I58" s="3" t="n">
        <v>0</v>
      </c>
      <c r="J58" s="3" t="n">
        <v>0</v>
      </c>
      <c r="K58" s="3" t="n">
        <v>0</v>
      </c>
      <c r="L58" s="3" t="n">
        <v>0</v>
      </c>
      <c r="M58" s="3" t="n">
        <v>0</v>
      </c>
      <c r="N58" s="3" t="n">
        <v>333.48</v>
      </c>
    </row>
    <row r="59">
      <c r="A59" s="3" t="inlineStr">
        <is>
          <t>Cape Projects Construction (Pty) Ltd</t>
        </is>
      </c>
      <c r="B59" s="3" t="inlineStr">
        <is>
          <t>Repairs _AND_ Maintenance</t>
        </is>
      </c>
      <c r="C59" s="3" t="n">
        <v>0</v>
      </c>
      <c r="D59" s="3" t="n">
        <v>0</v>
      </c>
      <c r="E59" s="3" t="n">
        <v>599.97</v>
      </c>
      <c r="F59" s="3" t="n">
        <v>63.04</v>
      </c>
      <c r="G59" s="3" t="n">
        <v>0</v>
      </c>
      <c r="H59" s="3" t="n">
        <v>682.61</v>
      </c>
      <c r="I59" s="3" t="n">
        <v>5400</v>
      </c>
      <c r="J59" s="3" t="n">
        <v>155</v>
      </c>
      <c r="K59" s="3" t="n">
        <v>2121.6</v>
      </c>
      <c r="L59" s="3" t="n">
        <v>750</v>
      </c>
      <c r="M59" s="3" t="n">
        <v>6352.8</v>
      </c>
      <c r="N59" s="3" t="n">
        <v>1465.91</v>
      </c>
    </row>
    <row r="60">
      <c r="A60" s="3" t="inlineStr">
        <is>
          <t>Heron View (Pty) Ltd</t>
        </is>
      </c>
      <c r="B60" s="3" t="inlineStr">
        <is>
          <t>Consulting fees - Trustee</t>
        </is>
      </c>
      <c r="C60" s="3" t="n">
        <v>10500</v>
      </c>
      <c r="D60" s="3" t="n">
        <v>14250</v>
      </c>
      <c r="E60" s="3" t="n">
        <v>11250</v>
      </c>
      <c r="F60" s="3" t="n">
        <v>11750</v>
      </c>
      <c r="G60" s="3" t="n">
        <v>7250</v>
      </c>
      <c r="H60" s="3" t="n">
        <v>7250</v>
      </c>
      <c r="I60" s="3" t="n">
        <v>7250</v>
      </c>
      <c r="J60" s="3" t="n">
        <v>7250</v>
      </c>
      <c r="K60" s="3" t="n">
        <v>0</v>
      </c>
      <c r="L60" s="3" t="n">
        <v>0</v>
      </c>
      <c r="M60" s="3" t="n">
        <v>0</v>
      </c>
      <c r="N60" s="3" t="n">
        <v>6977.27</v>
      </c>
    </row>
    <row r="61">
      <c r="A61" s="3" t="inlineStr">
        <is>
          <t>Cape Projects Construction (Pty) Ltd</t>
        </is>
      </c>
      <c r="B61" s="3" t="inlineStr">
        <is>
          <t>Salaries _AND_ Wages</t>
        </is>
      </c>
      <c r="C61" s="3" t="n">
        <v>441360.94</v>
      </c>
      <c r="D61" s="3" t="n">
        <v>463088.48</v>
      </c>
      <c r="E61" s="3" t="n">
        <v>448756.2</v>
      </c>
      <c r="F61" s="3" t="n">
        <v>424105.1</v>
      </c>
      <c r="G61" s="3" t="n">
        <v>367762.35</v>
      </c>
      <c r="H61" s="3" t="n">
        <v>368859.45</v>
      </c>
      <c r="I61" s="3" t="n">
        <v>377867.45</v>
      </c>
      <c r="J61" s="3" t="n">
        <v>373109.3</v>
      </c>
      <c r="K61" s="3" t="n">
        <v>333418.54</v>
      </c>
      <c r="L61" s="3" t="n">
        <v>327361.08</v>
      </c>
      <c r="M61" s="3" t="n">
        <v>311179.66</v>
      </c>
      <c r="N61" s="3" t="n">
        <v>385169.87</v>
      </c>
    </row>
    <row r="62">
      <c r="A62" s="3" t="inlineStr">
        <is>
          <t>Endulini (Pty) Ltd</t>
        </is>
      </c>
      <c r="B62" s="3" t="inlineStr">
        <is>
          <t>Advertising _AND_ Promotions</t>
        </is>
      </c>
      <c r="C62" s="3" t="n">
        <v>0</v>
      </c>
      <c r="D62" s="3" t="n">
        <v>0</v>
      </c>
      <c r="E62" s="3" t="n">
        <v>415</v>
      </c>
      <c r="F62" s="3" t="n">
        <v>0</v>
      </c>
      <c r="G62" s="3" t="n">
        <v>0</v>
      </c>
      <c r="H62" s="3" t="n">
        <v>0</v>
      </c>
      <c r="I62" s="3" t="n">
        <v>0</v>
      </c>
      <c r="J62" s="3" t="n">
        <v>4180</v>
      </c>
      <c r="K62" s="3" t="n">
        <v>0</v>
      </c>
      <c r="L62" s="3" t="n">
        <v>0</v>
      </c>
      <c r="M62" s="3" t="n">
        <v>0</v>
      </c>
      <c r="N62" s="3" t="n">
        <v>417.73</v>
      </c>
    </row>
    <row r="63">
      <c r="A63" s="3" t="inlineStr">
        <is>
          <t>Cape Projects Construction (Pty) Ltd</t>
        </is>
      </c>
      <c r="B63" s="3" t="inlineStr">
        <is>
          <t>Staff Welfare _AND_ Refreshmts</t>
        </is>
      </c>
      <c r="C63" s="3" t="n">
        <v>2314.69</v>
      </c>
      <c r="D63" s="3" t="n">
        <v>1639.02</v>
      </c>
      <c r="E63" s="3" t="n">
        <v>1697.41</v>
      </c>
      <c r="F63" s="3" t="n">
        <v>2655.98</v>
      </c>
      <c r="G63" s="3" t="n">
        <v>3395.64</v>
      </c>
      <c r="H63" s="3" t="n">
        <v>14904.84</v>
      </c>
      <c r="I63" s="3" t="n">
        <v>4892.56</v>
      </c>
      <c r="J63" s="3" t="n">
        <v>2814.73</v>
      </c>
      <c r="K63" s="3" t="n">
        <v>2227.4</v>
      </c>
      <c r="L63" s="3" t="n">
        <v>244.98</v>
      </c>
      <c r="M63" s="3" t="n">
        <v>0</v>
      </c>
      <c r="N63" s="3" t="n">
        <v>3344.3</v>
      </c>
    </row>
    <row r="64">
      <c r="A64" s="3" t="inlineStr">
        <is>
          <t>Cape Projects Construction (Pty) Ltd</t>
        </is>
      </c>
      <c r="B64" s="3" t="inlineStr">
        <is>
          <t>UIF Company Contributions</t>
        </is>
      </c>
      <c r="C64" s="3" t="n">
        <v>3004.75</v>
      </c>
      <c r="D64" s="3" t="n">
        <v>3179.47</v>
      </c>
      <c r="E64" s="3" t="n">
        <v>3093.33</v>
      </c>
      <c r="F64" s="3" t="n">
        <v>3028.4</v>
      </c>
      <c r="G64" s="3" t="n">
        <v>2385.07</v>
      </c>
      <c r="H64" s="3" t="n">
        <v>2396.05</v>
      </c>
      <c r="I64" s="3" t="n">
        <v>2495.21</v>
      </c>
      <c r="J64" s="3" t="n">
        <v>2442.38</v>
      </c>
      <c r="K64" s="3" t="n">
        <v>2059.18</v>
      </c>
      <c r="L64" s="3" t="n">
        <v>2003.44</v>
      </c>
      <c r="M64" s="3" t="n">
        <v>1920.62</v>
      </c>
      <c r="N64" s="3" t="n">
        <v>2546.17</v>
      </c>
    </row>
    <row r="65">
      <c r="A65" s="3" t="inlineStr">
        <is>
          <t>Heron Fields (Pty) Ltd</t>
        </is>
      </c>
      <c r="B65" s="3" t="inlineStr">
        <is>
          <t>Accounting - CIPC</t>
        </is>
      </c>
      <c r="C65" s="3" t="n">
        <v>0</v>
      </c>
      <c r="D65" s="3" t="n">
        <v>0</v>
      </c>
      <c r="E65" s="3" t="n">
        <v>0</v>
      </c>
      <c r="F65" s="3" t="n">
        <v>0</v>
      </c>
      <c r="G65" s="3" t="n">
        <v>0</v>
      </c>
      <c r="H65" s="3" t="n">
        <v>0</v>
      </c>
      <c r="I65" s="3" t="n">
        <v>3050</v>
      </c>
      <c r="J65" s="3" t="n">
        <v>0</v>
      </c>
      <c r="K65" s="3" t="n">
        <v>0</v>
      </c>
      <c r="L65" s="3" t="n">
        <v>0</v>
      </c>
      <c r="M65" s="3" t="n">
        <v>0</v>
      </c>
      <c r="N65" s="3" t="n">
        <v>277.27</v>
      </c>
    </row>
    <row r="66">
      <c r="A66" s="3" t="inlineStr">
        <is>
          <t>Heron Fields (Pty) Ltd</t>
        </is>
      </c>
      <c r="B66" s="3" t="inlineStr">
        <is>
          <t>Subscription - NHBRC</t>
        </is>
      </c>
      <c r="C66" s="3" t="n">
        <v>0</v>
      </c>
      <c r="D66" s="3" t="n">
        <v>0</v>
      </c>
      <c r="E66" s="3" t="n">
        <v>0</v>
      </c>
      <c r="F66" s="3" t="n">
        <v>526.3200000000001</v>
      </c>
      <c r="G66" s="3" t="n">
        <v>0</v>
      </c>
      <c r="H66" s="3" t="n">
        <v>0</v>
      </c>
      <c r="I66" s="3" t="n">
        <v>0</v>
      </c>
      <c r="J66" s="3" t="n">
        <v>0</v>
      </c>
      <c r="K66" s="3" t="n">
        <v>0</v>
      </c>
      <c r="L66" s="3" t="n">
        <v>0</v>
      </c>
      <c r="M66" s="3" t="n">
        <v>0</v>
      </c>
      <c r="N66" s="3" t="n">
        <v>47.85</v>
      </c>
    </row>
    <row r="67">
      <c r="A67" s="3" t="inlineStr">
        <is>
          <t>Heron View (Pty) Ltd</t>
        </is>
      </c>
      <c r="B67" s="3" t="inlineStr">
        <is>
          <t>Subscriptions - Xero</t>
        </is>
      </c>
      <c r="C67" s="3" t="n">
        <v>0</v>
      </c>
      <c r="D67" s="3" t="n">
        <v>600</v>
      </c>
      <c r="E67" s="3" t="n">
        <v>600</v>
      </c>
      <c r="F67" s="3" t="n">
        <v>600</v>
      </c>
      <c r="G67" s="3" t="n">
        <v>600</v>
      </c>
      <c r="H67" s="3" t="n">
        <v>600</v>
      </c>
      <c r="I67" s="3" t="n">
        <v>600</v>
      </c>
      <c r="J67" s="3" t="n">
        <v>600</v>
      </c>
      <c r="K67" s="3" t="n">
        <v>600</v>
      </c>
      <c r="L67" s="3" t="n">
        <v>600</v>
      </c>
      <c r="M67" s="3" t="n">
        <v>600</v>
      </c>
      <c r="N67" s="3" t="n">
        <v>545.45</v>
      </c>
    </row>
    <row r="68">
      <c r="A68" s="3" t="inlineStr">
        <is>
          <t>Endulini (Pty) Ltd</t>
        </is>
      </c>
      <c r="B68" s="3" t="inlineStr">
        <is>
          <t>Momentum Admin Fee</t>
        </is>
      </c>
      <c r="C68" s="3" t="n">
        <v>0</v>
      </c>
      <c r="D68" s="3" t="n">
        <v>0</v>
      </c>
      <c r="E68" s="3" t="n">
        <v>0</v>
      </c>
      <c r="F68" s="3" t="n">
        <v>0.77</v>
      </c>
      <c r="G68" s="3" t="n">
        <v>0</v>
      </c>
      <c r="H68" s="3" t="n">
        <v>3.41</v>
      </c>
      <c r="I68" s="3" t="n">
        <v>0</v>
      </c>
      <c r="J68" s="3" t="n">
        <v>0</v>
      </c>
      <c r="K68" s="3" t="n">
        <v>1.07</v>
      </c>
      <c r="L68" s="3" t="n">
        <v>1.14</v>
      </c>
      <c r="M68" s="3" t="n">
        <v>1.03</v>
      </c>
      <c r="N68" s="3" t="n">
        <v>0.67</v>
      </c>
    </row>
    <row r="69">
      <c r="A69" s="3" t="inlineStr">
        <is>
          <t>Endulini (Pty) Ltd</t>
        </is>
      </c>
      <c r="B69" s="3" t="inlineStr">
        <is>
          <t>Repair &amp; Maintenance - Rentals</t>
        </is>
      </c>
      <c r="C69" s="3" t="n">
        <v>0</v>
      </c>
      <c r="D69" s="3" t="n">
        <v>102.75</v>
      </c>
      <c r="E69" s="3" t="n">
        <v>0</v>
      </c>
      <c r="F69" s="3" t="n">
        <v>0</v>
      </c>
      <c r="G69" s="3" t="n">
        <v>0</v>
      </c>
      <c r="H69" s="3" t="n">
        <v>0</v>
      </c>
      <c r="I69" s="3" t="n">
        <v>391.3</v>
      </c>
      <c r="J69" s="3" t="n">
        <v>1521.74</v>
      </c>
      <c r="K69" s="3" t="n">
        <v>0</v>
      </c>
      <c r="L69" s="3" t="n">
        <v>0</v>
      </c>
      <c r="M69" s="3" t="n">
        <v>0</v>
      </c>
      <c r="N69" s="3" t="n">
        <v>183.25</v>
      </c>
    </row>
    <row r="70">
      <c r="A70" s="3" t="inlineStr">
        <is>
          <t>Cape Projects Construction (Pty) Ltd</t>
        </is>
      </c>
      <c r="B70" s="3" t="inlineStr">
        <is>
          <t>Subscriptions &amp; Licenses - Sage payroll</t>
        </is>
      </c>
      <c r="C70" s="3" t="n">
        <v>0</v>
      </c>
      <c r="D70" s="3" t="n">
        <v>747</v>
      </c>
      <c r="E70" s="3" t="n">
        <v>747</v>
      </c>
      <c r="F70" s="3" t="n">
        <v>747</v>
      </c>
      <c r="G70" s="3" t="n">
        <v>747</v>
      </c>
      <c r="H70" s="3" t="n">
        <v>747</v>
      </c>
      <c r="I70" s="3" t="n">
        <v>747</v>
      </c>
      <c r="J70" s="3" t="n">
        <v>747</v>
      </c>
      <c r="K70" s="3" t="n">
        <v>747</v>
      </c>
      <c r="L70" s="3" t="n">
        <v>747</v>
      </c>
      <c r="M70" s="3" t="n">
        <v>747</v>
      </c>
      <c r="N70" s="3" t="n">
        <v>679.09</v>
      </c>
    </row>
    <row r="71">
      <c r="A71" s="3" t="inlineStr">
        <is>
          <t>Cape Projects Construction (Pty) Ltd</t>
        </is>
      </c>
      <c r="B71" s="3" t="inlineStr">
        <is>
          <t>UIF Employee Contribution</t>
        </is>
      </c>
      <c r="C71" s="3" t="n">
        <v>3004.75</v>
      </c>
      <c r="D71" s="3" t="n">
        <v>3179.47</v>
      </c>
      <c r="E71" s="3" t="n">
        <v>3093.33</v>
      </c>
      <c r="F71" s="3" t="n">
        <v>3028.4</v>
      </c>
      <c r="G71" s="3" t="n">
        <v>2385.07</v>
      </c>
      <c r="H71" s="3" t="n">
        <v>2396.05</v>
      </c>
      <c r="I71" s="3" t="n">
        <v>2495.21</v>
      </c>
      <c r="J71" s="3" t="n">
        <v>2442.38</v>
      </c>
      <c r="K71" s="3" t="n">
        <v>2059.18</v>
      </c>
      <c r="L71" s="3" t="n">
        <v>2003.44</v>
      </c>
      <c r="M71" s="3" t="n">
        <v>1920.62</v>
      </c>
      <c r="N71" s="3" t="n">
        <v>2546.17</v>
      </c>
    </row>
    <row r="72">
      <c r="A72" s="3" t="inlineStr">
        <is>
          <t>Heron Fields (Pty) Ltd</t>
        </is>
      </c>
      <c r="B72" s="3" t="inlineStr">
        <is>
          <t>Advertising - Real Marketing</t>
        </is>
      </c>
      <c r="C72" s="3" t="n">
        <v>0</v>
      </c>
      <c r="D72" s="3" t="n">
        <v>0</v>
      </c>
      <c r="E72" s="3" t="n">
        <v>0</v>
      </c>
      <c r="F72" s="3" t="n">
        <v>0</v>
      </c>
      <c r="G72" s="3" t="n">
        <v>0</v>
      </c>
      <c r="H72" s="3" t="n">
        <v>10250</v>
      </c>
      <c r="I72" s="3" t="n">
        <v>0</v>
      </c>
      <c r="J72" s="3" t="n">
        <v>0</v>
      </c>
      <c r="K72" s="3" t="n">
        <v>0</v>
      </c>
      <c r="L72" s="3" t="n">
        <v>0</v>
      </c>
      <c r="M72" s="3" t="n">
        <v>0</v>
      </c>
      <c r="N72" s="3" t="n">
        <v>931.8200000000001</v>
      </c>
    </row>
    <row r="73">
      <c r="A73" s="3" t="inlineStr">
        <is>
          <t>Heron Fields (Pty) Ltd</t>
        </is>
      </c>
      <c r="B73" s="3" t="inlineStr">
        <is>
          <t>Entertainment Expenses</t>
        </is>
      </c>
      <c r="C73" s="3" t="n">
        <v>0</v>
      </c>
      <c r="D73" s="3" t="n">
        <v>0</v>
      </c>
      <c r="E73" s="3" t="n">
        <v>0</v>
      </c>
      <c r="F73" s="3" t="n">
        <v>0</v>
      </c>
      <c r="G73" s="3" t="n">
        <v>0</v>
      </c>
      <c r="H73" s="3" t="n">
        <v>0</v>
      </c>
      <c r="I73" s="3" t="n">
        <v>0</v>
      </c>
      <c r="J73" s="3" t="n">
        <v>0</v>
      </c>
      <c r="K73" s="3" t="n">
        <v>39.47</v>
      </c>
      <c r="L73" s="3" t="n">
        <v>0</v>
      </c>
      <c r="M73" s="3" t="n">
        <v>0</v>
      </c>
      <c r="N73" s="3" t="n">
        <v>3.59</v>
      </c>
    </row>
    <row r="74">
      <c r="A74" s="3" t="inlineStr">
        <is>
          <t>Heron Fields (Pty) Ltd</t>
        </is>
      </c>
      <c r="B74" s="3" t="inlineStr">
        <is>
          <t>OPP INVEST</t>
        </is>
      </c>
      <c r="C74" s="3" t="n">
        <v>392914.3</v>
      </c>
      <c r="D74" s="3" t="n">
        <v>392914.3</v>
      </c>
      <c r="E74" s="3" t="n">
        <v>392914.3</v>
      </c>
      <c r="F74" s="3" t="n">
        <v>392914.3</v>
      </c>
      <c r="G74" s="3" t="n">
        <v>392914.3</v>
      </c>
      <c r="H74" s="3" t="n">
        <v>392914.3</v>
      </c>
      <c r="I74" s="3" t="n">
        <v>392914.3</v>
      </c>
      <c r="J74" s="3" t="n">
        <v>392914.3</v>
      </c>
      <c r="K74" s="3" t="n">
        <v>392914.3</v>
      </c>
      <c r="L74" s="3" t="n">
        <v>392914.3</v>
      </c>
      <c r="M74" s="3" t="n">
        <v>392914.3</v>
      </c>
      <c r="N74" s="3" t="n">
        <v>392914.3</v>
      </c>
    </row>
    <row r="75">
      <c r="A75" s="3" t="inlineStr">
        <is>
          <t>Heron View (Pty) Ltd</t>
        </is>
      </c>
      <c r="B75" s="3" t="inlineStr">
        <is>
          <t>Levies - Developer</t>
        </is>
      </c>
      <c r="C75" s="3" t="n">
        <v>0</v>
      </c>
      <c r="D75" s="3" t="n">
        <v>11879.1</v>
      </c>
      <c r="E75" s="3" t="n">
        <v>0</v>
      </c>
      <c r="F75" s="3" t="n">
        <v>0</v>
      </c>
      <c r="G75" s="3" t="n">
        <v>0</v>
      </c>
      <c r="H75" s="3" t="n">
        <v>0</v>
      </c>
      <c r="I75" s="3" t="n">
        <v>0</v>
      </c>
      <c r="J75" s="3" t="n">
        <v>0</v>
      </c>
      <c r="K75" s="3" t="n">
        <v>0</v>
      </c>
      <c r="L75" s="3" t="n">
        <v>0</v>
      </c>
      <c r="M75" s="3" t="n">
        <v>0</v>
      </c>
      <c r="N75" s="3" t="n">
        <v>1079.92</v>
      </c>
    </row>
    <row r="76">
      <c r="A76" s="3" t="inlineStr">
        <is>
          <t>Heron View (Pty) Ltd</t>
        </is>
      </c>
      <c r="B76" s="3" t="inlineStr">
        <is>
          <t>Levies - Special Levies</t>
        </is>
      </c>
      <c r="C76" s="3" t="n">
        <v>0</v>
      </c>
      <c r="D76" s="3" t="n">
        <v>66011.50999999999</v>
      </c>
      <c r="E76" s="3" t="n">
        <v>0</v>
      </c>
      <c r="F76" s="3" t="n">
        <v>0</v>
      </c>
      <c r="G76" s="3" t="n">
        <v>0</v>
      </c>
      <c r="H76" s="3" t="n">
        <v>0</v>
      </c>
      <c r="I76" s="3" t="n">
        <v>0</v>
      </c>
      <c r="J76" s="3" t="n">
        <v>0</v>
      </c>
      <c r="K76" s="3" t="n">
        <v>0</v>
      </c>
      <c r="L76" s="3" t="n">
        <v>0</v>
      </c>
      <c r="M76" s="3" t="n">
        <v>0</v>
      </c>
      <c r="N76" s="3" t="n">
        <v>6001.05</v>
      </c>
    </row>
    <row r="77">
      <c r="A77" s="3" t="inlineStr">
        <is>
          <t>Cape Projects Construction (Pty) Ltd</t>
        </is>
      </c>
      <c r="B77" s="3" t="inlineStr">
        <is>
          <t>Cell Phone - Nick Morgan</t>
        </is>
      </c>
      <c r="C77" s="3" t="n">
        <v>0</v>
      </c>
      <c r="D77" s="3" t="n">
        <v>0</v>
      </c>
      <c r="E77" s="3" t="n">
        <v>0</v>
      </c>
      <c r="F77" s="3" t="n">
        <v>0</v>
      </c>
      <c r="G77" s="3" t="n">
        <v>0</v>
      </c>
      <c r="H77" s="3" t="n">
        <v>26779.67</v>
      </c>
      <c r="I77" s="3" t="n">
        <v>0</v>
      </c>
      <c r="J77" s="3" t="n">
        <v>0</v>
      </c>
      <c r="K77" s="3" t="n">
        <v>0</v>
      </c>
      <c r="L77" s="3" t="n">
        <v>0</v>
      </c>
      <c r="M77" s="3" t="n">
        <v>0</v>
      </c>
      <c r="N77" s="3" t="n">
        <v>2434.52</v>
      </c>
    </row>
    <row r="78">
      <c r="A78" s="3" t="inlineStr">
        <is>
          <t>Heron Fields (Pty) Ltd</t>
        </is>
      </c>
      <c r="B78" s="3" t="inlineStr">
        <is>
          <t>Advertising _AND_ Promotions</t>
        </is>
      </c>
      <c r="C78" s="3" t="n">
        <v>0</v>
      </c>
      <c r="D78" s="3" t="n">
        <v>931.25</v>
      </c>
      <c r="E78" s="3" t="n">
        <v>7641.04</v>
      </c>
      <c r="F78" s="3" t="n">
        <v>500</v>
      </c>
      <c r="G78" s="3" t="n">
        <v>500</v>
      </c>
      <c r="H78" s="3" t="n">
        <v>5439.56</v>
      </c>
      <c r="I78" s="3" t="n">
        <v>26226.57</v>
      </c>
      <c r="J78" s="3" t="n">
        <v>39589.13</v>
      </c>
      <c r="K78" s="3" t="n">
        <v>52232.03</v>
      </c>
      <c r="L78" s="3" t="n">
        <v>23300</v>
      </c>
      <c r="M78" s="3" t="n">
        <v>22554.76</v>
      </c>
      <c r="N78" s="3" t="n">
        <v>16264.94</v>
      </c>
    </row>
    <row r="79">
      <c r="A79" s="3" t="inlineStr">
        <is>
          <t>Heron Fields (Pty) Ltd</t>
        </is>
      </c>
      <c r="B79" s="3" t="inlineStr">
        <is>
          <t>CoCT - Electricity</t>
        </is>
      </c>
      <c r="C79" s="3" t="n">
        <v>68.37</v>
      </c>
      <c r="D79" s="3" t="inlineStr">
        <is>
          <t>-R 971,22</t>
        </is>
      </c>
      <c r="E79" s="3" t="n">
        <v>498.69</v>
      </c>
      <c r="F79" s="3" t="n">
        <v>12352.28</v>
      </c>
      <c r="G79" s="3" t="n">
        <v>833.84</v>
      </c>
      <c r="H79" s="3" t="n">
        <v>0</v>
      </c>
      <c r="I79" s="3" t="n">
        <v>0</v>
      </c>
      <c r="J79" s="3" t="n">
        <v>0</v>
      </c>
      <c r="K79" s="3" t="n">
        <v>2524.84</v>
      </c>
      <c r="L79" s="3" t="inlineStr">
        <is>
          <t>-R 2 477,51</t>
        </is>
      </c>
      <c r="M79" s="3" t="n">
        <v>11216.13</v>
      </c>
      <c r="N79" s="3" t="n">
        <v>2185.95</v>
      </c>
    </row>
    <row r="80">
      <c r="A80" s="3" t="inlineStr">
        <is>
          <t>Heron Fields (Pty) Ltd</t>
        </is>
      </c>
      <c r="B80" s="3" t="inlineStr">
        <is>
          <t>Consulting Fees - Admin and Finance</t>
        </is>
      </c>
      <c r="C80" s="3" t="n">
        <v>120475.57</v>
      </c>
      <c r="D80" s="3" t="n">
        <v>116233</v>
      </c>
      <c r="E80" s="3" t="n">
        <v>115333</v>
      </c>
      <c r="F80" s="3" t="n">
        <v>115333</v>
      </c>
      <c r="G80" s="3" t="n">
        <v>128833</v>
      </c>
      <c r="H80" s="3" t="n">
        <v>122083</v>
      </c>
      <c r="I80" s="3" t="n">
        <v>121658</v>
      </c>
      <c r="J80" s="3" t="n">
        <v>121658</v>
      </c>
      <c r="K80" s="3" t="n">
        <v>121658</v>
      </c>
      <c r="L80" s="3" t="n">
        <v>98308</v>
      </c>
      <c r="M80" s="3" t="n">
        <v>109218.57</v>
      </c>
      <c r="N80" s="3" t="n">
        <v>117344.65</v>
      </c>
    </row>
    <row r="81">
      <c r="A81" s="3" t="inlineStr">
        <is>
          <t>Cape Projects Construction (Pty) Ltd</t>
        </is>
      </c>
      <c r="B81" s="3" t="inlineStr">
        <is>
          <t>BIBC Employee Contribution</t>
        </is>
      </c>
      <c r="C81" s="3" t="n">
        <v>0</v>
      </c>
      <c r="D81" s="3" t="n">
        <v>0</v>
      </c>
      <c r="E81" s="3" t="n">
        <v>0</v>
      </c>
      <c r="F81" s="3" t="n">
        <v>0</v>
      </c>
      <c r="G81" s="3" t="n">
        <v>0</v>
      </c>
      <c r="H81" s="3" t="n">
        <v>0</v>
      </c>
      <c r="I81" s="3" t="n">
        <v>0</v>
      </c>
      <c r="J81" s="3" t="n">
        <v>0</v>
      </c>
      <c r="K81" s="3" t="n">
        <v>1011.6</v>
      </c>
      <c r="L81" s="3" t="n">
        <v>1775.25</v>
      </c>
      <c r="M81" s="3" t="n">
        <v>1775.25</v>
      </c>
      <c r="N81" s="3" t="n">
        <v>414.74</v>
      </c>
    </row>
    <row r="82">
      <c r="A82" s="3" t="inlineStr">
        <is>
          <t>Cape Projects Construction (Pty) Ltd</t>
        </is>
      </c>
      <c r="B82" s="3" t="inlineStr">
        <is>
          <t>Cell Phone - CT Office</t>
        </is>
      </c>
      <c r="C82" s="3" t="n">
        <v>0</v>
      </c>
      <c r="D82" s="3" t="n">
        <v>0</v>
      </c>
      <c r="E82" s="3" t="n">
        <v>0</v>
      </c>
      <c r="F82" s="3" t="n">
        <v>0</v>
      </c>
      <c r="G82" s="3" t="n">
        <v>0</v>
      </c>
      <c r="H82" s="3" t="n">
        <v>4123</v>
      </c>
      <c r="I82" s="3" t="n">
        <v>0</v>
      </c>
      <c r="J82" s="3" t="n">
        <v>0</v>
      </c>
      <c r="K82" s="3" t="n">
        <v>0</v>
      </c>
      <c r="L82" s="3" t="n">
        <v>0</v>
      </c>
      <c r="M82" s="3" t="n">
        <v>0</v>
      </c>
      <c r="N82" s="3" t="n">
        <v>374.82</v>
      </c>
    </row>
    <row r="83">
      <c r="A83" s="3" t="inlineStr">
        <is>
          <t>Cape Projects Construction (Pty) Ltd</t>
        </is>
      </c>
      <c r="B83" s="3" t="inlineStr">
        <is>
          <t>Cleaning</t>
        </is>
      </c>
      <c r="C83" s="3" t="n">
        <v>483.52</v>
      </c>
      <c r="D83" s="3" t="n">
        <v>0</v>
      </c>
      <c r="E83" s="3" t="n">
        <v>216.48</v>
      </c>
      <c r="F83" s="3" t="n">
        <v>0</v>
      </c>
      <c r="G83" s="3" t="n">
        <v>0</v>
      </c>
      <c r="H83" s="3" t="n">
        <v>0</v>
      </c>
      <c r="I83" s="3" t="n">
        <v>78.23999999999999</v>
      </c>
      <c r="J83" s="3" t="n">
        <v>0</v>
      </c>
      <c r="K83" s="3" t="n">
        <v>78.25</v>
      </c>
      <c r="L83" s="3" t="n">
        <v>0</v>
      </c>
      <c r="M83" s="3" t="n">
        <v>355.4</v>
      </c>
      <c r="N83" s="3" t="n">
        <v>110.17</v>
      </c>
    </row>
    <row r="84">
      <c r="A84" s="3" t="inlineStr">
        <is>
          <t>Cape Projects Construction (Pty) Ltd</t>
        </is>
      </c>
      <c r="B84" s="3" t="inlineStr">
        <is>
          <t>Computer Exp - IT, Internet/Hosting Fee</t>
        </is>
      </c>
      <c r="C84" s="3" t="n">
        <v>3975</v>
      </c>
      <c r="D84" s="3" t="n">
        <v>3230</v>
      </c>
      <c r="E84" s="3" t="n">
        <v>3230</v>
      </c>
      <c r="F84" s="3" t="n">
        <v>3230</v>
      </c>
      <c r="G84" s="3" t="n">
        <v>6080</v>
      </c>
      <c r="H84" s="3" t="n">
        <v>5130</v>
      </c>
      <c r="I84" s="3" t="n">
        <v>3130</v>
      </c>
      <c r="J84" s="3" t="n">
        <v>4230</v>
      </c>
      <c r="K84" s="3" t="n">
        <v>3130</v>
      </c>
      <c r="L84" s="3" t="n">
        <v>2532</v>
      </c>
      <c r="M84" s="3" t="n">
        <v>5177</v>
      </c>
      <c r="N84" s="3" t="n">
        <v>3915.82</v>
      </c>
    </row>
    <row r="85">
      <c r="A85" s="3" t="inlineStr">
        <is>
          <t>Cape Projects Construction (Pty) Ltd</t>
        </is>
      </c>
      <c r="B85" s="3" t="inlineStr">
        <is>
          <t>PAYE Contributions</t>
        </is>
      </c>
      <c r="C85" s="3" t="n">
        <v>209433.39</v>
      </c>
      <c r="D85" s="3" t="n">
        <v>101779.19</v>
      </c>
      <c r="E85" s="3" t="n">
        <v>98374.47</v>
      </c>
      <c r="F85" s="3" t="n">
        <v>89188.14999999999</v>
      </c>
      <c r="G85" s="3" t="n">
        <v>81838.63</v>
      </c>
      <c r="H85" s="3" t="n">
        <v>81778.72</v>
      </c>
      <c r="I85" s="3" t="n">
        <v>82564.37</v>
      </c>
      <c r="J85" s="3" t="n">
        <v>82763.78</v>
      </c>
      <c r="K85" s="3" t="n">
        <v>77215.96000000001</v>
      </c>
      <c r="L85" s="3" t="n">
        <v>76990.11</v>
      </c>
      <c r="M85" s="3" t="n">
        <v>75818.38</v>
      </c>
      <c r="N85" s="3" t="n">
        <v>96158.64999999999</v>
      </c>
    </row>
    <row r="86">
      <c r="A86" s="3" t="inlineStr">
        <is>
          <t>Cape Projects Construction (Pty) Ltd</t>
        </is>
      </c>
      <c r="B86" s="3" t="inlineStr">
        <is>
          <t>Small Assets</t>
        </is>
      </c>
      <c r="C86" s="3" t="n">
        <v>2431.25</v>
      </c>
      <c r="D86" s="3" t="n">
        <v>0</v>
      </c>
      <c r="E86" s="3" t="n">
        <v>0</v>
      </c>
      <c r="F86" s="3" t="n">
        <v>7942.28</v>
      </c>
      <c r="G86" s="3" t="n">
        <v>3800</v>
      </c>
      <c r="H86" s="3" t="n">
        <v>9888.959999999999</v>
      </c>
      <c r="I86" s="3" t="n">
        <v>2165.59</v>
      </c>
      <c r="J86" s="3" t="n">
        <v>4172.17</v>
      </c>
      <c r="K86" s="3" t="n">
        <v>607.83</v>
      </c>
      <c r="L86" s="3" t="n">
        <v>1600</v>
      </c>
      <c r="M86" s="3" t="n">
        <v>833.91</v>
      </c>
      <c r="N86" s="3" t="n">
        <v>3040.18</v>
      </c>
    </row>
    <row r="87">
      <c r="A87" s="3" t="inlineStr">
        <is>
          <t>Heron Fields (Pty) Ltd</t>
        </is>
      </c>
      <c r="B87" s="3" t="inlineStr">
        <is>
          <t>Advertising - Property24</t>
        </is>
      </c>
      <c r="C87" s="3" t="n">
        <v>0</v>
      </c>
      <c r="D87" s="3" t="n">
        <v>0</v>
      </c>
      <c r="E87" s="3" t="n">
        <v>0</v>
      </c>
      <c r="F87" s="3" t="n">
        <v>0</v>
      </c>
      <c r="G87" s="3" t="n">
        <v>0</v>
      </c>
      <c r="H87" s="3" t="n">
        <v>0</v>
      </c>
      <c r="I87" s="3" t="n">
        <v>0</v>
      </c>
      <c r="J87" s="3" t="n">
        <v>0</v>
      </c>
      <c r="K87" s="3" t="inlineStr">
        <is>
          <t>-R 12 480,00</t>
        </is>
      </c>
      <c r="L87" s="3" t="n">
        <v>24960</v>
      </c>
      <c r="M87" s="3" t="n">
        <v>0</v>
      </c>
      <c r="N87" s="3" t="n">
        <v>1134.55</v>
      </c>
    </row>
    <row r="88">
      <c r="A88" s="3" t="inlineStr">
        <is>
          <t>Cape Projects Construction (Pty) Ltd</t>
        </is>
      </c>
      <c r="B88" s="3" t="inlineStr">
        <is>
          <t>Staff Training</t>
        </is>
      </c>
      <c r="C88" s="3" t="n">
        <v>0</v>
      </c>
      <c r="D88" s="3" t="n">
        <v>0</v>
      </c>
      <c r="E88" s="3" t="n">
        <v>1190.1</v>
      </c>
      <c r="F88" s="3" t="n">
        <v>2262.6</v>
      </c>
      <c r="G88" s="3" t="n">
        <v>0</v>
      </c>
      <c r="H88" s="3" t="n">
        <v>0</v>
      </c>
      <c r="I88" s="3" t="n">
        <v>0</v>
      </c>
      <c r="J88" s="3" t="n">
        <v>0</v>
      </c>
      <c r="K88" s="3" t="n">
        <v>0</v>
      </c>
      <c r="L88" s="3" t="n">
        <v>0</v>
      </c>
      <c r="M88" s="3" t="n">
        <v>0</v>
      </c>
      <c r="N88" s="3" t="n">
        <v>313.88</v>
      </c>
    </row>
    <row r="89">
      <c r="A89" s="3" t="inlineStr">
        <is>
          <t>Cape Projects Construction (Pty) Ltd</t>
        </is>
      </c>
      <c r="B89" s="3" t="inlineStr">
        <is>
          <t>Subscription &amp; Licenses - ERS Bio</t>
        </is>
      </c>
      <c r="C89" s="3" t="n">
        <v>718.9299999999999</v>
      </c>
      <c r="D89" s="3" t="n">
        <v>718.9299999999999</v>
      </c>
      <c r="E89" s="3" t="n">
        <v>1437.86</v>
      </c>
      <c r="F89" s="3" t="n">
        <v>0</v>
      </c>
      <c r="G89" s="3" t="n">
        <v>0</v>
      </c>
      <c r="H89" s="3" t="n">
        <v>0</v>
      </c>
      <c r="I89" s="3" t="n">
        <v>0</v>
      </c>
      <c r="J89" s="3" t="n">
        <v>0</v>
      </c>
      <c r="K89" s="3" t="n">
        <v>0</v>
      </c>
      <c r="L89" s="3" t="n">
        <v>0</v>
      </c>
      <c r="M89" s="3" t="n">
        <v>0</v>
      </c>
      <c r="N89" s="3" t="n">
        <v>261.43</v>
      </c>
    </row>
    <row r="90">
      <c r="A90" s="3" t="inlineStr">
        <is>
          <t>Heron Fields (Pty) Ltd</t>
        </is>
      </c>
      <c r="B90" s="3" t="inlineStr">
        <is>
          <t>Accounting Fees</t>
        </is>
      </c>
      <c r="C90" s="3" t="n">
        <v>0</v>
      </c>
      <c r="D90" s="3" t="n">
        <v>0</v>
      </c>
      <c r="E90" s="3" t="n">
        <v>0</v>
      </c>
      <c r="F90" s="3" t="n">
        <v>0</v>
      </c>
      <c r="G90" s="3" t="n">
        <v>0</v>
      </c>
      <c r="H90" s="3" t="n">
        <v>1620</v>
      </c>
      <c r="I90" s="3" t="n">
        <v>13404.96</v>
      </c>
      <c r="J90" s="3" t="n">
        <v>0</v>
      </c>
      <c r="K90" s="3" t="n">
        <v>0</v>
      </c>
      <c r="L90" s="3" t="n">
        <v>0</v>
      </c>
      <c r="M90" s="3" t="n">
        <v>0</v>
      </c>
      <c r="N90" s="3" t="n">
        <v>1365.91</v>
      </c>
    </row>
    <row r="91">
      <c r="A91" s="3" t="inlineStr">
        <is>
          <t>Heron Fields (Pty) Ltd</t>
        </is>
      </c>
      <c r="B91" s="3" t="inlineStr">
        <is>
          <t>Security - ADT</t>
        </is>
      </c>
      <c r="C91" s="3" t="n">
        <v>0</v>
      </c>
      <c r="D91" s="3" t="n">
        <v>1119.77</v>
      </c>
      <c r="E91" s="3" t="n">
        <v>366.14</v>
      </c>
      <c r="F91" s="3" t="n">
        <v>366.14</v>
      </c>
      <c r="G91" s="3" t="n">
        <v>366.14</v>
      </c>
      <c r="H91" s="3" t="n">
        <v>366.14</v>
      </c>
      <c r="I91" s="3" t="n">
        <v>366.14</v>
      </c>
      <c r="J91" s="3" t="n">
        <v>366.14</v>
      </c>
      <c r="K91" s="3" t="n">
        <v>328.38</v>
      </c>
      <c r="L91" s="3" t="n">
        <v>328.38</v>
      </c>
      <c r="M91" s="3" t="n">
        <v>328.38</v>
      </c>
      <c r="N91" s="3" t="n">
        <v>391.07</v>
      </c>
    </row>
    <row r="92">
      <c r="A92" s="3" t="inlineStr">
        <is>
          <t>Heron Fields (Pty) Ltd</t>
        </is>
      </c>
      <c r="B92" s="3" t="inlineStr">
        <is>
          <t>CPSD</t>
        </is>
      </c>
      <c r="C92" s="3" t="n">
        <v>314037.88</v>
      </c>
      <c r="D92" s="3" t="n">
        <v>314037.88</v>
      </c>
      <c r="E92" s="3" t="n">
        <v>314037.88</v>
      </c>
      <c r="F92" s="3" t="n">
        <v>314037.88</v>
      </c>
      <c r="G92" s="3" t="n">
        <v>314037.88</v>
      </c>
      <c r="H92" s="3" t="n">
        <v>314037.88</v>
      </c>
      <c r="I92" s="3" t="n">
        <v>314037.88</v>
      </c>
      <c r="J92" s="3" t="n">
        <v>314037.88</v>
      </c>
      <c r="K92" s="3" t="n">
        <v>314037.88</v>
      </c>
      <c r="L92" s="3" t="n">
        <v>314037.88</v>
      </c>
      <c r="M92" s="3" t="n">
        <v>314037.88</v>
      </c>
      <c r="N92" s="3" t="n">
        <v>314037.88</v>
      </c>
    </row>
    <row r="93">
      <c r="A93" s="3" t="inlineStr">
        <is>
          <t>Heron View (Pty) Ltd</t>
        </is>
      </c>
      <c r="B93" s="3" t="inlineStr">
        <is>
          <t>Levies</t>
        </is>
      </c>
      <c r="C93" s="3" t="n">
        <v>1773.44</v>
      </c>
      <c r="D93" s="3" t="inlineStr">
        <is>
          <t>-R 92 227,34</t>
        </is>
      </c>
      <c r="E93" s="3" t="n">
        <v>0</v>
      </c>
      <c r="F93" s="3" t="n">
        <v>0</v>
      </c>
      <c r="G93" s="3" t="n">
        <v>95314.44</v>
      </c>
      <c r="H93" s="3" t="n">
        <v>0</v>
      </c>
      <c r="I93" s="3" t="n">
        <v>0</v>
      </c>
      <c r="J93" s="3" t="n">
        <v>0</v>
      </c>
      <c r="K93" s="3" t="n">
        <v>0</v>
      </c>
      <c r="L93" s="3" t="n">
        <v>0</v>
      </c>
      <c r="M93" s="3" t="n">
        <v>0</v>
      </c>
      <c r="N93" s="3" t="n">
        <v>441.87</v>
      </c>
    </row>
    <row r="94">
      <c r="A94" s="3" t="inlineStr">
        <is>
          <t>Heron View (Pty) Ltd</t>
        </is>
      </c>
      <c r="B94" s="3" t="inlineStr">
        <is>
          <t>Management fees - OMH</t>
        </is>
      </c>
      <c r="C94" s="3" t="n">
        <v>0</v>
      </c>
      <c r="D94" s="3" t="n">
        <v>0</v>
      </c>
      <c r="E94" s="3" t="n">
        <v>0</v>
      </c>
      <c r="F94" s="3" t="n">
        <v>0</v>
      </c>
      <c r="G94" s="3" t="n">
        <v>0</v>
      </c>
      <c r="H94" s="3" t="n">
        <v>50000</v>
      </c>
      <c r="I94" s="3" t="n">
        <v>0</v>
      </c>
      <c r="J94" s="3" t="n">
        <v>350000</v>
      </c>
      <c r="K94" s="3" t="n">
        <v>0</v>
      </c>
      <c r="L94" s="3" t="n">
        <v>0</v>
      </c>
      <c r="M94" s="3" t="n">
        <v>0</v>
      </c>
      <c r="N94" s="3" t="n">
        <v>36363.64</v>
      </c>
    </row>
    <row r="95">
      <c r="A95" s="3" t="inlineStr">
        <is>
          <t>Endulini (Pty) Ltd</t>
        </is>
      </c>
      <c r="B95" s="3" t="inlineStr">
        <is>
          <t>Advertising _AND_ Promotions - Media Agenda</t>
        </is>
      </c>
      <c r="C95" s="3" t="n">
        <v>0</v>
      </c>
      <c r="D95" s="3" t="n">
        <v>575</v>
      </c>
      <c r="E95" s="3" t="n">
        <v>0</v>
      </c>
      <c r="F95" s="3" t="n">
        <v>0</v>
      </c>
      <c r="G95" s="3" t="n">
        <v>0</v>
      </c>
      <c r="H95" s="3" t="n">
        <v>0</v>
      </c>
      <c r="I95" s="3" t="n">
        <v>575</v>
      </c>
      <c r="J95" s="3" t="n">
        <v>0</v>
      </c>
      <c r="K95" s="3" t="n">
        <v>2300</v>
      </c>
      <c r="L95" s="3" t="n">
        <v>0</v>
      </c>
      <c r="M95" s="3" t="n">
        <v>1437.5</v>
      </c>
      <c r="N95" s="3" t="n">
        <v>444.32</v>
      </c>
    </row>
    <row r="96">
      <c r="A96" s="3" t="inlineStr">
        <is>
          <t>Endulini (Pty) Ltd</t>
        </is>
      </c>
      <c r="B96" s="3" t="inlineStr">
        <is>
          <t>Advertiving - Real Marketing</t>
        </is>
      </c>
      <c r="C96" s="3" t="n">
        <v>0</v>
      </c>
      <c r="D96" s="3" t="n">
        <v>0</v>
      </c>
      <c r="E96" s="3" t="n">
        <v>0</v>
      </c>
      <c r="F96" s="3" t="n">
        <v>0</v>
      </c>
      <c r="G96" s="3" t="n">
        <v>0</v>
      </c>
      <c r="H96" s="3" t="n">
        <v>10250</v>
      </c>
      <c r="I96" s="3" t="n">
        <v>0</v>
      </c>
      <c r="J96" s="3" t="n">
        <v>0</v>
      </c>
      <c r="K96" s="3" t="n">
        <v>0</v>
      </c>
      <c r="L96" s="3" t="n">
        <v>0</v>
      </c>
      <c r="M96" s="3" t="n">
        <v>0</v>
      </c>
      <c r="N96" s="3" t="n">
        <v>931.8200000000001</v>
      </c>
    </row>
    <row r="97">
      <c r="A97" s="3" t="inlineStr">
        <is>
          <t>Cape Projects Construction (Pty) Ltd</t>
        </is>
      </c>
      <c r="B97" s="3" t="inlineStr">
        <is>
          <t>Motor Vehicle - Petrol _AND_ Oil</t>
        </is>
      </c>
      <c r="C97" s="3" t="n">
        <v>1463.16</v>
      </c>
      <c r="D97" s="3" t="n">
        <v>3281.84</v>
      </c>
      <c r="E97" s="3" t="n">
        <v>3911.97</v>
      </c>
      <c r="F97" s="3" t="n">
        <v>1789.91</v>
      </c>
      <c r="G97" s="3" t="n">
        <v>5244.4</v>
      </c>
      <c r="H97" s="3" t="n">
        <v>0</v>
      </c>
      <c r="I97" s="3" t="n">
        <v>4022.51</v>
      </c>
      <c r="J97" s="3" t="n">
        <v>3175.51</v>
      </c>
      <c r="K97" s="3" t="n">
        <v>4892.22</v>
      </c>
      <c r="L97" s="3" t="n">
        <v>7124.28</v>
      </c>
      <c r="M97" s="3" t="n">
        <v>5589.51</v>
      </c>
      <c r="N97" s="3" t="n">
        <v>3681.39</v>
      </c>
    </row>
    <row r="98">
      <c r="A98" s="3" t="inlineStr">
        <is>
          <t>Cape Projects Construction (Pty) Ltd</t>
        </is>
      </c>
      <c r="B98" s="3" t="inlineStr">
        <is>
          <t>Security</t>
        </is>
      </c>
      <c r="C98" s="3" t="n">
        <v>191.17</v>
      </c>
      <c r="D98" s="3" t="n">
        <v>191.17</v>
      </c>
      <c r="E98" s="3" t="n">
        <v>191.17</v>
      </c>
      <c r="F98" s="3" t="n">
        <v>191.17</v>
      </c>
      <c r="G98" s="3" t="n">
        <v>177.33</v>
      </c>
      <c r="H98" s="3" t="n">
        <v>177.33</v>
      </c>
      <c r="I98" s="3" t="n">
        <v>177.33</v>
      </c>
      <c r="J98" s="3" t="n">
        <v>177.33</v>
      </c>
      <c r="K98" s="3" t="n">
        <v>177.33</v>
      </c>
      <c r="L98" s="3" t="n">
        <v>177.33</v>
      </c>
      <c r="M98" s="3" t="n">
        <v>177.33</v>
      </c>
      <c r="N98" s="3" t="n">
        <v>182.36</v>
      </c>
    </row>
    <row r="99">
      <c r="A99" s="3" t="inlineStr">
        <is>
          <t>Cape Projects Construction (Pty) Ltd</t>
        </is>
      </c>
      <c r="B99" s="3" t="inlineStr">
        <is>
          <t>Subscriptions &amp; Licenses - Xero</t>
        </is>
      </c>
      <c r="C99" s="3" t="n">
        <v>600</v>
      </c>
      <c r="D99" s="3" t="n">
        <v>600</v>
      </c>
      <c r="E99" s="3" t="n">
        <v>600</v>
      </c>
      <c r="F99" s="3" t="n">
        <v>600</v>
      </c>
      <c r="G99" s="3" t="n">
        <v>600</v>
      </c>
      <c r="H99" s="3" t="n">
        <v>600</v>
      </c>
      <c r="I99" s="3" t="n">
        <v>600</v>
      </c>
      <c r="J99" s="3" t="n">
        <v>600</v>
      </c>
      <c r="K99" s="3" t="n">
        <v>600</v>
      </c>
      <c r="L99" s="3" t="n">
        <v>600</v>
      </c>
      <c r="M99" s="3" t="n">
        <v>600</v>
      </c>
      <c r="N99" s="3" t="n">
        <v>600</v>
      </c>
    </row>
    <row r="100">
      <c r="A100" s="3" t="inlineStr">
        <is>
          <t>Heron Fields (Pty) Ltd</t>
        </is>
      </c>
      <c r="B100" s="3" t="inlineStr">
        <is>
          <t>Insurance</t>
        </is>
      </c>
      <c r="C100" s="3" t="n">
        <v>15043.78</v>
      </c>
      <c r="D100" s="3" t="n">
        <v>17021.08</v>
      </c>
      <c r="E100" s="3" t="n">
        <v>12118.18</v>
      </c>
      <c r="F100" s="3" t="n">
        <v>12147.19</v>
      </c>
      <c r="G100" s="3" t="n">
        <v>13224.43</v>
      </c>
      <c r="H100" s="3" t="n">
        <v>10516.5</v>
      </c>
      <c r="I100" s="3" t="n">
        <v>10459.97</v>
      </c>
      <c r="J100" s="3" t="n">
        <v>10741.66</v>
      </c>
      <c r="K100" s="3" t="n">
        <v>8823.9</v>
      </c>
      <c r="L100" s="3" t="n">
        <v>7350.33</v>
      </c>
      <c r="M100" s="3" t="n">
        <v>0</v>
      </c>
      <c r="N100" s="3" t="n">
        <v>10677</v>
      </c>
    </row>
    <row r="101">
      <c r="A101" s="3" t="inlineStr">
        <is>
          <t>Heron View (Pty) Ltd</t>
        </is>
      </c>
      <c r="B101" s="3" t="inlineStr">
        <is>
          <t>Advertising - Thinkink</t>
        </is>
      </c>
      <c r="C101" s="3" t="n">
        <v>0</v>
      </c>
      <c r="D101" s="3" t="n">
        <v>0</v>
      </c>
      <c r="E101" s="3" t="n">
        <v>0</v>
      </c>
      <c r="F101" s="3" t="n">
        <v>17110</v>
      </c>
      <c r="G101" s="3" t="n">
        <v>745</v>
      </c>
      <c r="H101" s="3" t="n">
        <v>0</v>
      </c>
      <c r="I101" s="3" t="n">
        <v>0</v>
      </c>
      <c r="J101" s="3" t="n">
        <v>0</v>
      </c>
      <c r="K101" s="3" t="n">
        <v>0</v>
      </c>
      <c r="L101" s="3" t="n">
        <v>0</v>
      </c>
      <c r="M101" s="3" t="n">
        <v>0</v>
      </c>
      <c r="N101" s="3" t="n">
        <v>1623.18</v>
      </c>
    </row>
  </sheetData>
  <autoFilter ref="A4:N101"/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1072BA"/>
    <outlinePr summaryBelow="1" summaryRight="1"/>
    <pageSetUpPr/>
  </sheetPr>
  <dimension ref="A1:G20878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Xero</t>
        </is>
      </c>
    </row>
    <row r="2">
      <c r="F2" s="1">
        <f>SUBTOTAL(9,F5:F20878)</f>
        <v/>
      </c>
      <c r="G2" s="1">
        <f>SUBTOTAL(9,G5:G20878)</f>
        <v/>
      </c>
    </row>
    <row r="4">
      <c r="A4" s="2" t="inlineStr">
        <is>
          <t>Reporttitle</t>
        </is>
      </c>
      <c r="B4" s="2" t="inlineStr">
        <is>
          <t>Reportdate</t>
        </is>
      </c>
      <c r="C4" s="2" t="inlineStr">
        <is>
          <t>Category</t>
        </is>
      </c>
      <c r="D4" s="2" t="inlineStr">
        <is>
          <t>Accountcode</t>
        </is>
      </c>
      <c r="E4" s="2" t="inlineStr">
        <is>
          <t>Accountname</t>
        </is>
      </c>
      <c r="F4" s="2" t="inlineStr">
        <is>
          <t>Current</t>
        </is>
      </c>
      <c r="G4" s="2" t="inlineStr">
        <is>
          <t>Ytd</t>
        </is>
      </c>
    </row>
    <row r="5">
      <c r="A5" s="3" t="inlineStr">
        <is>
          <t>Heron Fields (Pty) Ltd</t>
        </is>
      </c>
      <c r="B5" s="4" t="n">
        <v>44286</v>
      </c>
      <c r="C5" s="3" t="inlineStr">
        <is>
          <t>Expenses</t>
        </is>
      </c>
      <c r="D5" s="3" t="inlineStr">
        <is>
          <t>3050/000</t>
        </is>
      </c>
      <c r="E5" s="3" t="inlineStr">
        <is>
          <t>Advertising _AND_ Promotions</t>
        </is>
      </c>
      <c r="F5" s="3" t="n">
        <v>5750</v>
      </c>
      <c r="G5" s="3" t="n">
        <v>5750</v>
      </c>
    </row>
    <row r="6">
      <c r="A6" s="3" t="inlineStr">
        <is>
          <t>Heron Fields (Pty) Ltd</t>
        </is>
      </c>
      <c r="B6" s="4" t="n">
        <v>44286</v>
      </c>
      <c r="C6" s="3" t="inlineStr">
        <is>
          <t>Expenses</t>
        </is>
      </c>
      <c r="D6" s="3" t="inlineStr">
        <is>
          <t>4410/000</t>
        </is>
      </c>
      <c r="E6" s="3" t="inlineStr">
        <is>
          <t>Secretarial fees</t>
        </is>
      </c>
      <c r="F6" s="3" t="n">
        <v>100</v>
      </c>
      <c r="G6" s="3" t="n">
        <v>100</v>
      </c>
    </row>
    <row r="7">
      <c r="A7" s="3" t="inlineStr">
        <is>
          <t>Heron Fields (Pty) Ltd</t>
        </is>
      </c>
      <c r="B7" s="4" t="n">
        <v>44286</v>
      </c>
      <c r="C7" s="3" t="inlineStr">
        <is>
          <t>Equity</t>
        </is>
      </c>
      <c r="D7" s="3" t="inlineStr">
        <is>
          <t>5100-000</t>
        </is>
      </c>
      <c r="E7" s="3" t="inlineStr">
        <is>
          <t>Share Capital</t>
        </is>
      </c>
      <c r="F7" s="3" t="n">
        <v>-100</v>
      </c>
      <c r="G7" s="3" t="n">
        <v>-100</v>
      </c>
    </row>
    <row r="8">
      <c r="A8" s="3" t="inlineStr">
        <is>
          <t>Heron Fields (Pty) Ltd</t>
        </is>
      </c>
      <c r="B8" s="4" t="n">
        <v>44286</v>
      </c>
      <c r="C8" s="3" t="inlineStr">
        <is>
          <t>Liabilities</t>
        </is>
      </c>
      <c r="D8" s="3" t="inlineStr">
        <is>
          <t>5500/010</t>
        </is>
      </c>
      <c r="E8" s="3" t="inlineStr">
        <is>
          <t>Loan - Quinate</t>
        </is>
      </c>
      <c r="F8" s="3" t="n">
        <v>-300000</v>
      </c>
      <c r="G8" s="3" t="n">
        <v>-300000</v>
      </c>
    </row>
    <row r="9">
      <c r="A9" s="3" t="inlineStr">
        <is>
          <t>Heron Fields (Pty) Ltd</t>
        </is>
      </c>
      <c r="B9" s="4" t="n">
        <v>44286</v>
      </c>
      <c r="C9" s="3" t="inlineStr">
        <is>
          <t>Liabilities</t>
        </is>
      </c>
      <c r="D9" s="3" t="inlineStr">
        <is>
          <t>5500/020</t>
        </is>
      </c>
      <c r="E9" s="3" t="inlineStr">
        <is>
          <t>Loan - Cape Projects Construction</t>
        </is>
      </c>
      <c r="F9" s="3" t="n">
        <v>30000</v>
      </c>
      <c r="G9" s="3" t="n">
        <v>30000</v>
      </c>
    </row>
    <row r="10">
      <c r="A10" s="3" t="inlineStr">
        <is>
          <t>Heron Fields (Pty) Ltd</t>
        </is>
      </c>
      <c r="B10" s="4" t="n">
        <v>44286</v>
      </c>
      <c r="C10" s="3" t="inlineStr">
        <is>
          <t>Assets</t>
        </is>
      </c>
      <c r="D10" s="3" t="inlineStr">
        <is>
          <t>7620/240</t>
        </is>
      </c>
      <c r="E10" s="3" t="inlineStr">
        <is>
          <t>HF CIP Civil Engineering</t>
        </is>
      </c>
      <c r="F10" s="3" t="n">
        <v>54000</v>
      </c>
      <c r="G10" s="3" t="n">
        <v>54000</v>
      </c>
    </row>
    <row r="11">
      <c r="A11" s="3" t="inlineStr">
        <is>
          <t>Heron Fields (Pty) Ltd</t>
        </is>
      </c>
      <c r="B11" s="4" t="n">
        <v>44286</v>
      </c>
      <c r="C11" s="3" t="inlineStr">
        <is>
          <t>Assets</t>
        </is>
      </c>
      <c r="D11" s="3" t="inlineStr">
        <is>
          <t>7620/280</t>
        </is>
      </c>
      <c r="E11" s="3" t="inlineStr">
        <is>
          <t>HF CIP Site Establishment</t>
        </is>
      </c>
      <c r="F11" s="3" t="n">
        <v>23034.26</v>
      </c>
      <c r="G11" s="3" t="n">
        <v>23034.26</v>
      </c>
    </row>
    <row r="12">
      <c r="A12" s="3" t="inlineStr">
        <is>
          <t>Heron Fields (Pty) Ltd</t>
        </is>
      </c>
      <c r="B12" s="4" t="n">
        <v>44286</v>
      </c>
      <c r="C12" s="3" t="inlineStr">
        <is>
          <t>Assets</t>
        </is>
      </c>
      <c r="D12" s="3" t="inlineStr">
        <is>
          <t>8300/001</t>
        </is>
      </c>
      <c r="E12" s="3" t="inlineStr">
        <is>
          <t>Deposit Paid - Grey Heron Langeberg</t>
        </is>
      </c>
      <c r="F12" s="3" t="n">
        <v>200000</v>
      </c>
      <c r="G12" s="3" t="n">
        <v>200000</v>
      </c>
    </row>
    <row r="13">
      <c r="A13" s="3" t="inlineStr">
        <is>
          <t>Heron Fields (Pty) Ltd</t>
        </is>
      </c>
      <c r="B13" s="4" t="n">
        <v>44286</v>
      </c>
      <c r="C13" s="3" t="inlineStr">
        <is>
          <t>Assets</t>
        </is>
      </c>
      <c r="D13" s="3" t="inlineStr">
        <is>
          <t>8400/000</t>
        </is>
      </c>
      <c r="E13" s="3" t="inlineStr">
        <is>
          <t>RMB - 62882379087</t>
        </is>
      </c>
      <c r="F13" s="3" t="n">
        <v>7900</v>
      </c>
      <c r="G13" s="3" t="n">
        <v>7900</v>
      </c>
    </row>
    <row r="14">
      <c r="A14" s="3" t="inlineStr">
        <is>
          <t>Heron Fields (Pty) Ltd</t>
        </is>
      </c>
      <c r="B14" s="4" t="n">
        <v>44286</v>
      </c>
      <c r="C14" s="3" t="inlineStr">
        <is>
          <t>Assets</t>
        </is>
      </c>
      <c r="D14" s="3" t="inlineStr">
        <is>
          <t>8410/000</t>
        </is>
      </c>
      <c r="E14" s="3" t="inlineStr">
        <is>
          <t>STBB Trust Account</t>
        </is>
      </c>
      <c r="F14" s="3" t="n">
        <v>11150100</v>
      </c>
      <c r="G14" s="3" t="n">
        <v>25505236.61</v>
      </c>
    </row>
    <row r="15">
      <c r="A15" s="3" t="inlineStr">
        <is>
          <t>Heron Fields (Pty) Ltd</t>
        </is>
      </c>
      <c r="B15" s="4" t="n">
        <v>44286</v>
      </c>
      <c r="C15" s="3" t="inlineStr">
        <is>
          <t>Liabilities</t>
        </is>
      </c>
      <c r="D15" s="3" t="inlineStr">
        <is>
          <t>9000/000</t>
        </is>
      </c>
      <c r="E15" s="3" t="inlineStr">
        <is>
          <t>Supplier Control Account</t>
        </is>
      </c>
      <c r="F15" s="3" t="n">
        <v>-11182339.4</v>
      </c>
      <c r="G15" s="3" t="n">
        <v>-25537476.01</v>
      </c>
    </row>
    <row r="16">
      <c r="A16" s="3" t="inlineStr">
        <is>
          <t>Heron Fields (Pty) Ltd</t>
        </is>
      </c>
      <c r="B16" s="4" t="n">
        <v>44286</v>
      </c>
      <c r="C16" s="3" t="inlineStr">
        <is>
          <t>Liabilities</t>
        </is>
      </c>
      <c r="D16" s="3" t="inlineStr">
        <is>
          <t>9500/000</t>
        </is>
      </c>
      <c r="E16" s="3" t="inlineStr">
        <is>
          <t>Vat / Tax Control Account</t>
        </is>
      </c>
      <c r="F16" s="3" t="n">
        <v>11555.14</v>
      </c>
      <c r="G16" s="3" t="n">
        <v>11555.14</v>
      </c>
    </row>
    <row r="17">
      <c r="A17" s="3" t="inlineStr">
        <is>
          <t>Heron Fields (Pty) Ltd</t>
        </is>
      </c>
      <c r="B17" s="4" t="n">
        <v>44316</v>
      </c>
      <c r="C17" s="3" t="inlineStr">
        <is>
          <t>Expenses</t>
        </is>
      </c>
      <c r="D17" s="3" t="inlineStr">
        <is>
          <t>3050/000</t>
        </is>
      </c>
      <c r="E17" s="3" t="inlineStr">
        <is>
          <t>Advertising _AND_ Promotions</t>
        </is>
      </c>
      <c r="F17" s="3" t="n">
        <v>0</v>
      </c>
      <c r="G17" s="3" t="n">
        <v>5750</v>
      </c>
    </row>
    <row r="18">
      <c r="A18" s="3" t="inlineStr">
        <is>
          <t>Heron Fields (Pty) Ltd</t>
        </is>
      </c>
      <c r="B18" s="4" t="n">
        <v>44316</v>
      </c>
      <c r="C18" s="3" t="inlineStr">
        <is>
          <t>Expenses</t>
        </is>
      </c>
      <c r="D18" s="3" t="inlineStr">
        <is>
          <t>3200/000</t>
        </is>
      </c>
      <c r="E18" s="3" t="inlineStr">
        <is>
          <t>Bank Charges</t>
        </is>
      </c>
      <c r="F18" s="3" t="n">
        <v>140.21</v>
      </c>
      <c r="G18" s="3" t="n">
        <v>140.21</v>
      </c>
    </row>
    <row r="19">
      <c r="A19" s="3" t="inlineStr">
        <is>
          <t>Heron Fields (Pty) Ltd</t>
        </is>
      </c>
      <c r="B19" s="4" t="n">
        <v>44316</v>
      </c>
      <c r="C19" s="3" t="inlineStr">
        <is>
          <t>Expenses</t>
        </is>
      </c>
      <c r="D19" s="3" t="inlineStr">
        <is>
          <t>3700/000</t>
        </is>
      </c>
      <c r="E19" s="3" t="inlineStr">
        <is>
          <t>Entertainment Expenses</t>
        </is>
      </c>
      <c r="F19" s="3" t="n">
        <v>250</v>
      </c>
      <c r="G19" s="3" t="n">
        <v>250</v>
      </c>
    </row>
    <row r="20">
      <c r="A20" s="3" t="inlineStr">
        <is>
          <t>Heron Fields (Pty) Ltd</t>
        </is>
      </c>
      <c r="B20" s="4" t="n">
        <v>44316</v>
      </c>
      <c r="C20" s="3" t="inlineStr">
        <is>
          <t>Expenses</t>
        </is>
      </c>
      <c r="D20" s="3" t="inlineStr">
        <is>
          <t>4410/000</t>
        </is>
      </c>
      <c r="E20" s="3" t="inlineStr">
        <is>
          <t>Secretarial fees</t>
        </is>
      </c>
      <c r="F20" s="3" t="n">
        <v>0</v>
      </c>
      <c r="G20" s="3" t="n">
        <v>100</v>
      </c>
    </row>
    <row r="21">
      <c r="A21" s="3" t="inlineStr">
        <is>
          <t>Heron Fields (Pty) Ltd</t>
        </is>
      </c>
      <c r="B21" s="4" t="n">
        <v>44316</v>
      </c>
      <c r="C21" s="3" t="inlineStr">
        <is>
          <t>Equity</t>
        </is>
      </c>
      <c r="D21" s="3" t="inlineStr">
        <is>
          <t>5100-000</t>
        </is>
      </c>
      <c r="E21" s="3" t="inlineStr">
        <is>
          <t>Share Capital</t>
        </is>
      </c>
      <c r="F21" s="3" t="n">
        <v>0</v>
      </c>
      <c r="G21" s="3" t="n">
        <v>-100</v>
      </c>
    </row>
    <row r="22">
      <c r="A22" s="3" t="inlineStr">
        <is>
          <t>Heron Fields (Pty) Ltd</t>
        </is>
      </c>
      <c r="B22" s="4" t="n">
        <v>44316</v>
      </c>
      <c r="C22" s="3" t="inlineStr">
        <is>
          <t>Liabilities</t>
        </is>
      </c>
      <c r="D22" s="3" t="inlineStr">
        <is>
          <t>5500/010</t>
        </is>
      </c>
      <c r="E22" s="3" t="inlineStr">
        <is>
          <t>Loan - Quinate</t>
        </is>
      </c>
      <c r="F22" s="3" t="n">
        <v>-15250</v>
      </c>
      <c r="G22" s="3" t="n">
        <v>-315250</v>
      </c>
    </row>
    <row r="23">
      <c r="A23" s="3" t="inlineStr">
        <is>
          <t>Heron Fields (Pty) Ltd</t>
        </is>
      </c>
      <c r="B23" s="4" t="n">
        <v>44316</v>
      </c>
      <c r="C23" s="3" t="inlineStr">
        <is>
          <t>Liabilities</t>
        </is>
      </c>
      <c r="D23" s="3" t="inlineStr">
        <is>
          <t>5500/020</t>
        </is>
      </c>
      <c r="E23" s="3" t="inlineStr">
        <is>
          <t>Loan - Cape Projects Construction</t>
        </is>
      </c>
      <c r="F23" s="3" t="n">
        <v>0</v>
      </c>
      <c r="G23" s="3" t="n">
        <v>30000</v>
      </c>
    </row>
    <row r="24">
      <c r="A24" s="3" t="inlineStr">
        <is>
          <t>Heron Fields (Pty) Ltd</t>
        </is>
      </c>
      <c r="B24" s="4" t="n">
        <v>44316</v>
      </c>
      <c r="C24" s="3" t="inlineStr">
        <is>
          <t>Assets</t>
        </is>
      </c>
      <c r="D24" s="3" t="inlineStr">
        <is>
          <t>7620/220</t>
        </is>
      </c>
      <c r="E24" s="3" t="inlineStr">
        <is>
          <t>HF CIP Architectural Designs</t>
        </is>
      </c>
      <c r="F24" s="3" t="n">
        <v>20000</v>
      </c>
      <c r="G24" s="3" t="n">
        <v>20000</v>
      </c>
    </row>
    <row r="25">
      <c r="A25" s="3" t="inlineStr">
        <is>
          <t>Heron Fields (Pty) Ltd</t>
        </is>
      </c>
      <c r="B25" s="4" t="n">
        <v>44316</v>
      </c>
      <c r="C25" s="3" t="inlineStr">
        <is>
          <t>Assets</t>
        </is>
      </c>
      <c r="D25" s="3" t="inlineStr">
        <is>
          <t>7620/240</t>
        </is>
      </c>
      <c r="E25" s="3" t="inlineStr">
        <is>
          <t>HF CIP Civil Engineering</t>
        </is>
      </c>
      <c r="F25" s="3" t="n">
        <v>0</v>
      </c>
      <c r="G25" s="3" t="n">
        <v>54000</v>
      </c>
    </row>
    <row r="26">
      <c r="A26" s="3" t="inlineStr">
        <is>
          <t>Heron Fields (Pty) Ltd</t>
        </is>
      </c>
      <c r="B26" s="4" t="n">
        <v>44316</v>
      </c>
      <c r="C26" s="3" t="inlineStr">
        <is>
          <t>Assets</t>
        </is>
      </c>
      <c r="D26" s="3" t="inlineStr">
        <is>
          <t>7620/260</t>
        </is>
      </c>
      <c r="E26" s="3" t="inlineStr">
        <is>
          <t>HF CIP Mechanical Engineers</t>
        </is>
      </c>
      <c r="F26" s="3" t="n">
        <v>39000</v>
      </c>
      <c r="G26" s="3" t="n">
        <v>39000</v>
      </c>
    </row>
    <row r="27">
      <c r="A27" s="3" t="inlineStr">
        <is>
          <t>Heron Fields (Pty) Ltd</t>
        </is>
      </c>
      <c r="B27" s="4" t="n">
        <v>44316</v>
      </c>
      <c r="C27" s="3" t="inlineStr">
        <is>
          <t>Assets</t>
        </is>
      </c>
      <c r="D27" s="3" t="inlineStr">
        <is>
          <t>7620/280</t>
        </is>
      </c>
      <c r="E27" s="3" t="inlineStr">
        <is>
          <t>HF CIP Site Establishment</t>
        </is>
      </c>
      <c r="F27" s="3" t="n">
        <v>0</v>
      </c>
      <c r="G27" s="3" t="n">
        <v>23034.26</v>
      </c>
    </row>
    <row r="28">
      <c r="A28" s="3" t="inlineStr">
        <is>
          <t>Heron Fields (Pty) Ltd</t>
        </is>
      </c>
      <c r="B28" s="4" t="n">
        <v>44316</v>
      </c>
      <c r="C28" s="3" t="inlineStr">
        <is>
          <t>Assets</t>
        </is>
      </c>
      <c r="D28" s="3" t="inlineStr">
        <is>
          <t>8300/001</t>
        </is>
      </c>
      <c r="E28" s="3" t="inlineStr">
        <is>
          <t>Deposit Paid - Grey Heron Langeberg</t>
        </is>
      </c>
      <c r="F28" s="3" t="n">
        <v>0</v>
      </c>
      <c r="G28" s="3" t="n">
        <v>200000</v>
      </c>
    </row>
    <row r="29">
      <c r="A29" s="3" t="inlineStr">
        <is>
          <t>Heron Fields (Pty) Ltd</t>
        </is>
      </c>
      <c r="B29" s="4" t="n">
        <v>44316</v>
      </c>
      <c r="C29" s="3" t="inlineStr">
        <is>
          <t>Assets</t>
        </is>
      </c>
      <c r="D29" s="3" t="inlineStr">
        <is>
          <t>8400/000</t>
        </is>
      </c>
      <c r="E29" s="3" t="inlineStr">
        <is>
          <t>RMB - 62882379087</t>
        </is>
      </c>
      <c r="F29" s="3" t="n">
        <v>484.79</v>
      </c>
      <c r="G29" s="3" t="n">
        <v>8384.790000000001</v>
      </c>
    </row>
    <row r="30">
      <c r="A30" s="3" t="inlineStr">
        <is>
          <t>Heron Fields (Pty) Ltd</t>
        </is>
      </c>
      <c r="B30" s="4" t="n">
        <v>44316</v>
      </c>
      <c r="C30" s="3" t="inlineStr">
        <is>
          <t>Assets</t>
        </is>
      </c>
      <c r="D30" s="3" t="inlineStr">
        <is>
          <t>8410/000</t>
        </is>
      </c>
      <c r="E30" s="3" t="inlineStr">
        <is>
          <t>STBB Trust Account</t>
        </is>
      </c>
      <c r="F30" s="3" t="n">
        <v>2788000</v>
      </c>
      <c r="G30" s="3" t="n">
        <v>28293236.61</v>
      </c>
    </row>
    <row r="31">
      <c r="A31" s="3" t="inlineStr">
        <is>
          <t>Heron Fields (Pty) Ltd</t>
        </is>
      </c>
      <c r="B31" s="4" t="n">
        <v>44316</v>
      </c>
      <c r="C31" s="3" t="inlineStr">
        <is>
          <t>Liabilities</t>
        </is>
      </c>
      <c r="D31" s="3" t="inlineStr">
        <is>
          <t>9000/000</t>
        </is>
      </c>
      <c r="E31" s="3" t="inlineStr">
        <is>
          <t>Supplier Control Account</t>
        </is>
      </c>
      <c r="F31" s="3" t="n">
        <v>-2841475</v>
      </c>
      <c r="G31" s="3" t="n">
        <v>-28378951.01</v>
      </c>
    </row>
    <row r="32">
      <c r="A32" s="3" t="inlineStr">
        <is>
          <t>Heron Fields (Pty) Ltd</t>
        </is>
      </c>
      <c r="B32" s="4" t="n">
        <v>44316</v>
      </c>
      <c r="C32" s="3" t="inlineStr">
        <is>
          <t>Liabilities</t>
        </is>
      </c>
      <c r="D32" s="3" t="inlineStr">
        <is>
          <t>9500/000</t>
        </is>
      </c>
      <c r="E32" s="3" t="inlineStr">
        <is>
          <t>Vat / Tax Control Account</t>
        </is>
      </c>
      <c r="F32" s="3" t="n">
        <v>8850</v>
      </c>
      <c r="G32" s="3" t="n">
        <v>20405.14</v>
      </c>
    </row>
    <row r="33">
      <c r="A33" s="3" t="inlineStr">
        <is>
          <t>Heron Fields (Pty) Ltd</t>
        </is>
      </c>
      <c r="B33" s="4" t="n">
        <v>44347</v>
      </c>
      <c r="C33" s="3" t="inlineStr">
        <is>
          <t>Expenses</t>
        </is>
      </c>
      <c r="D33" s="3" t="inlineStr">
        <is>
          <t>3050/000</t>
        </is>
      </c>
      <c r="E33" s="3" t="inlineStr">
        <is>
          <t>Advertising _AND_ Promotions</t>
        </is>
      </c>
      <c r="F33" s="3" t="n">
        <v>0</v>
      </c>
      <c r="G33" s="3" t="n">
        <v>5750</v>
      </c>
    </row>
    <row r="34">
      <c r="A34" s="3" t="inlineStr">
        <is>
          <t>Heron Fields (Pty) Ltd</t>
        </is>
      </c>
      <c r="B34" s="4" t="n">
        <v>44347</v>
      </c>
      <c r="C34" s="3" t="inlineStr">
        <is>
          <t>Expenses</t>
        </is>
      </c>
      <c r="D34" s="3" t="inlineStr">
        <is>
          <t>3200/000</t>
        </is>
      </c>
      <c r="E34" s="3" t="inlineStr">
        <is>
          <t>Bank Charges</t>
        </is>
      </c>
      <c r="F34" s="3" t="n">
        <v>116.5</v>
      </c>
      <c r="G34" s="3" t="n">
        <v>256.71</v>
      </c>
    </row>
    <row r="35">
      <c r="A35" s="3" t="inlineStr">
        <is>
          <t>Heron Fields (Pty) Ltd</t>
        </is>
      </c>
      <c r="B35" s="4" t="n">
        <v>44347</v>
      </c>
      <c r="C35" s="3" t="inlineStr">
        <is>
          <t>Expenses</t>
        </is>
      </c>
      <c r="D35" s="3" t="inlineStr">
        <is>
          <t>3700/000</t>
        </is>
      </c>
      <c r="E35" s="3" t="inlineStr">
        <is>
          <t>Entertainment Expenses</t>
        </is>
      </c>
      <c r="F35" s="3" t="n">
        <v>0</v>
      </c>
      <c r="G35" s="3" t="n">
        <v>250</v>
      </c>
    </row>
    <row r="36">
      <c r="A36" s="3" t="inlineStr">
        <is>
          <t>Heron Fields (Pty) Ltd</t>
        </is>
      </c>
      <c r="B36" s="4" t="n">
        <v>44347</v>
      </c>
      <c r="C36" s="3" t="inlineStr">
        <is>
          <t>Expenses</t>
        </is>
      </c>
      <c r="D36" s="3" t="inlineStr">
        <is>
          <t>4200/000</t>
        </is>
      </c>
      <c r="E36" s="3" t="inlineStr">
        <is>
          <t>Printing _AND_ Stationery</t>
        </is>
      </c>
      <c r="F36" s="3" t="n">
        <v>765</v>
      </c>
      <c r="G36" s="3" t="n">
        <v>765</v>
      </c>
    </row>
    <row r="37">
      <c r="A37" s="3" t="inlineStr">
        <is>
          <t>Heron Fields (Pty) Ltd</t>
        </is>
      </c>
      <c r="B37" s="4" t="n">
        <v>44347</v>
      </c>
      <c r="C37" s="3" t="inlineStr">
        <is>
          <t>Expenses</t>
        </is>
      </c>
      <c r="D37" s="3" t="inlineStr">
        <is>
          <t>4410/000</t>
        </is>
      </c>
      <c r="E37" s="3" t="inlineStr">
        <is>
          <t>Secretarial fees</t>
        </is>
      </c>
      <c r="F37" s="3" t="n">
        <v>0</v>
      </c>
      <c r="G37" s="3" t="n">
        <v>100</v>
      </c>
    </row>
    <row r="38">
      <c r="A38" s="3" t="inlineStr">
        <is>
          <t>Heron Fields (Pty) Ltd</t>
        </is>
      </c>
      <c r="B38" s="4" t="n">
        <v>44347</v>
      </c>
      <c r="C38" s="3" t="inlineStr">
        <is>
          <t>Equity</t>
        </is>
      </c>
      <c r="D38" s="3" t="inlineStr">
        <is>
          <t>5100-000</t>
        </is>
      </c>
      <c r="E38" s="3" t="inlineStr">
        <is>
          <t>Share Capital</t>
        </is>
      </c>
      <c r="F38" s="3" t="n">
        <v>0</v>
      </c>
      <c r="G38" s="3" t="n">
        <v>-100</v>
      </c>
    </row>
    <row r="39">
      <c r="A39" s="3" t="inlineStr">
        <is>
          <t>Heron Fields (Pty) Ltd</t>
        </is>
      </c>
      <c r="B39" s="4" t="n">
        <v>44347</v>
      </c>
      <c r="C39" s="3" t="inlineStr">
        <is>
          <t>Liabilities</t>
        </is>
      </c>
      <c r="D39" s="3" t="inlineStr">
        <is>
          <t>5500/010</t>
        </is>
      </c>
      <c r="E39" s="3" t="inlineStr">
        <is>
          <t>Loan - Quinate</t>
        </is>
      </c>
      <c r="F39" s="3" t="n">
        <v>0</v>
      </c>
      <c r="G39" s="3" t="n">
        <v>-315250</v>
      </c>
    </row>
    <row r="40">
      <c r="A40" s="3" t="inlineStr">
        <is>
          <t>Heron Fields (Pty) Ltd</t>
        </is>
      </c>
      <c r="B40" s="4" t="n">
        <v>44347</v>
      </c>
      <c r="C40" s="3" t="inlineStr">
        <is>
          <t>Liabilities</t>
        </is>
      </c>
      <c r="D40" s="3" t="inlineStr">
        <is>
          <t>5500/020</t>
        </is>
      </c>
      <c r="E40" s="3" t="inlineStr">
        <is>
          <t>Loan - Cape Projects Construction</t>
        </is>
      </c>
      <c r="F40" s="3" t="n">
        <v>0</v>
      </c>
      <c r="G40" s="3" t="n">
        <v>30000</v>
      </c>
    </row>
    <row r="41">
      <c r="A41" s="3" t="inlineStr">
        <is>
          <t>Heron Fields (Pty) Ltd</t>
        </is>
      </c>
      <c r="B41" s="4" t="n">
        <v>44347</v>
      </c>
      <c r="C41" s="3" t="inlineStr">
        <is>
          <t>Assets</t>
        </is>
      </c>
      <c r="D41" s="3" t="inlineStr">
        <is>
          <t>7620/220</t>
        </is>
      </c>
      <c r="E41" s="3" t="inlineStr">
        <is>
          <t>HF CIP Architectural Designs</t>
        </is>
      </c>
      <c r="F41" s="3" t="n">
        <v>0</v>
      </c>
      <c r="G41" s="3" t="n">
        <v>20000</v>
      </c>
    </row>
    <row r="42">
      <c r="A42" s="3" t="inlineStr">
        <is>
          <t>Heron Fields (Pty) Ltd</t>
        </is>
      </c>
      <c r="B42" s="4" t="n">
        <v>44347</v>
      </c>
      <c r="C42" s="3" t="inlineStr">
        <is>
          <t>Assets</t>
        </is>
      </c>
      <c r="D42" s="3" t="inlineStr">
        <is>
          <t>7620/240</t>
        </is>
      </c>
      <c r="E42" s="3" t="inlineStr">
        <is>
          <t>HF CIP Civil Engineering</t>
        </is>
      </c>
      <c r="F42" s="3" t="n">
        <v>0</v>
      </c>
      <c r="G42" s="3" t="n">
        <v>54000</v>
      </c>
    </row>
    <row r="43">
      <c r="A43" s="3" t="inlineStr">
        <is>
          <t>Heron Fields (Pty) Ltd</t>
        </is>
      </c>
      <c r="B43" s="4" t="n">
        <v>44347</v>
      </c>
      <c r="C43" s="3" t="inlineStr">
        <is>
          <t>Assets</t>
        </is>
      </c>
      <c r="D43" s="3" t="inlineStr">
        <is>
          <t>7620/250</t>
        </is>
      </c>
      <c r="E43" s="3" t="inlineStr">
        <is>
          <t>HF CIP Land Surveyor</t>
        </is>
      </c>
      <c r="F43" s="3" t="n">
        <v>4510</v>
      </c>
      <c r="G43" s="3" t="n">
        <v>4510</v>
      </c>
    </row>
    <row r="44">
      <c r="A44" s="3" t="inlineStr">
        <is>
          <t>Heron Fields (Pty) Ltd</t>
        </is>
      </c>
      <c r="B44" s="4" t="n">
        <v>44347</v>
      </c>
      <c r="C44" s="3" t="inlineStr">
        <is>
          <t>Assets</t>
        </is>
      </c>
      <c r="D44" s="3" t="inlineStr">
        <is>
          <t>7620/255</t>
        </is>
      </c>
      <c r="E44" s="3" t="inlineStr">
        <is>
          <t>HF CIP Landscaping</t>
        </is>
      </c>
      <c r="F44" s="3" t="n">
        <v>7500</v>
      </c>
      <c r="G44" s="3" t="n">
        <v>7500</v>
      </c>
    </row>
    <row r="45">
      <c r="A45" s="3" t="inlineStr">
        <is>
          <t>Heron Fields (Pty) Ltd</t>
        </is>
      </c>
      <c r="B45" s="4" t="n">
        <v>44347</v>
      </c>
      <c r="C45" s="3" t="inlineStr">
        <is>
          <t>Assets</t>
        </is>
      </c>
      <c r="D45" s="3" t="inlineStr">
        <is>
          <t>7620/260</t>
        </is>
      </c>
      <c r="E45" s="3" t="inlineStr">
        <is>
          <t>HF CIP Mechanical Engineers</t>
        </is>
      </c>
      <c r="F45" s="3" t="n">
        <v>0</v>
      </c>
      <c r="G45" s="3" t="n">
        <v>39000</v>
      </c>
    </row>
    <row r="46">
      <c r="A46" s="3" t="inlineStr">
        <is>
          <t>Heron Fields (Pty) Ltd</t>
        </is>
      </c>
      <c r="B46" s="4" t="n">
        <v>44347</v>
      </c>
      <c r="C46" s="3" t="inlineStr">
        <is>
          <t>Assets</t>
        </is>
      </c>
      <c r="D46" s="3" t="inlineStr">
        <is>
          <t>7620/280</t>
        </is>
      </c>
      <c r="E46" s="3" t="inlineStr">
        <is>
          <t>HF CIP Site Establishment</t>
        </is>
      </c>
      <c r="F46" s="3" t="n">
        <v>0</v>
      </c>
      <c r="G46" s="3" t="n">
        <v>23034.26</v>
      </c>
    </row>
    <row r="47">
      <c r="A47" s="3" t="inlineStr">
        <is>
          <t>Heron Fields (Pty) Ltd</t>
        </is>
      </c>
      <c r="B47" s="4" t="n">
        <v>44347</v>
      </c>
      <c r="C47" s="3" t="inlineStr">
        <is>
          <t>Assets</t>
        </is>
      </c>
      <c r="D47" s="3" t="inlineStr">
        <is>
          <t>7620/290</t>
        </is>
      </c>
      <c r="E47" s="3" t="inlineStr">
        <is>
          <t>HF CIP Town Planning</t>
        </is>
      </c>
      <c r="F47" s="3" t="n">
        <v>123150</v>
      </c>
      <c r="G47" s="3" t="n">
        <v>123150</v>
      </c>
    </row>
    <row r="48">
      <c r="A48" s="3" t="inlineStr">
        <is>
          <t>Heron Fields (Pty) Ltd</t>
        </is>
      </c>
      <c r="B48" s="4" t="n">
        <v>44347</v>
      </c>
      <c r="C48" s="3" t="inlineStr">
        <is>
          <t>Assets</t>
        </is>
      </c>
      <c r="D48" s="3" t="inlineStr">
        <is>
          <t>7620/295</t>
        </is>
      </c>
      <c r="E48" s="3" t="inlineStr">
        <is>
          <t>HF CIP Traffic Planning</t>
        </is>
      </c>
      <c r="F48" s="3" t="n">
        <v>45000</v>
      </c>
      <c r="G48" s="3" t="n">
        <v>45000</v>
      </c>
    </row>
    <row r="49">
      <c r="A49" s="3" t="inlineStr">
        <is>
          <t>Heron Fields (Pty) Ltd</t>
        </is>
      </c>
      <c r="B49" s="4" t="n">
        <v>44347</v>
      </c>
      <c r="C49" s="3" t="inlineStr">
        <is>
          <t>Assets</t>
        </is>
      </c>
      <c r="D49" s="3" t="inlineStr">
        <is>
          <t>8300/001</t>
        </is>
      </c>
      <c r="E49" s="3" t="inlineStr">
        <is>
          <t>Deposit Paid - Grey Heron Langeberg</t>
        </is>
      </c>
      <c r="F49" s="3" t="n">
        <v>0</v>
      </c>
      <c r="G49" s="3" t="n">
        <v>200000</v>
      </c>
    </row>
    <row r="50">
      <c r="A50" s="3" t="inlineStr">
        <is>
          <t>Heron Fields (Pty) Ltd</t>
        </is>
      </c>
      <c r="B50" s="4" t="n">
        <v>44347</v>
      </c>
      <c r="C50" s="3" t="inlineStr">
        <is>
          <t>Assets</t>
        </is>
      </c>
      <c r="D50" s="3" t="inlineStr">
        <is>
          <t>8400/000</t>
        </is>
      </c>
      <c r="E50" s="3" t="inlineStr">
        <is>
          <t>RMB - 62882379087</t>
        </is>
      </c>
      <c r="F50" s="3" t="n">
        <v>-133.97</v>
      </c>
      <c r="G50" s="3" t="n">
        <v>8250.82</v>
      </c>
    </row>
    <row r="51">
      <c r="A51" s="3" t="inlineStr">
        <is>
          <t>Heron Fields (Pty) Ltd</t>
        </is>
      </c>
      <c r="B51" s="4" t="n">
        <v>44347</v>
      </c>
      <c r="C51" s="3" t="inlineStr">
        <is>
          <t>Assets</t>
        </is>
      </c>
      <c r="D51" s="3" t="inlineStr">
        <is>
          <t>8410/000</t>
        </is>
      </c>
      <c r="E51" s="3" t="inlineStr">
        <is>
          <t>STBB Trust Account</t>
        </is>
      </c>
      <c r="F51" s="3" t="n">
        <v>1100100</v>
      </c>
      <c r="G51" s="3" t="n">
        <v>29393336.61</v>
      </c>
    </row>
    <row r="52">
      <c r="A52" s="3" t="inlineStr">
        <is>
          <t>Heron Fields (Pty) Ltd</t>
        </is>
      </c>
      <c r="B52" s="4" t="n">
        <v>44347</v>
      </c>
      <c r="C52" s="3" t="inlineStr">
        <is>
          <t>Liabilities</t>
        </is>
      </c>
      <c r="D52" s="3" t="inlineStr">
        <is>
          <t>9000/000</t>
        </is>
      </c>
      <c r="E52" s="3" t="inlineStr">
        <is>
          <t>Supplier Control Account</t>
        </is>
      </c>
      <c r="F52" s="3" t="n">
        <v>-1288451.5</v>
      </c>
      <c r="G52" s="3" t="n">
        <v>-29667402.51</v>
      </c>
    </row>
    <row r="53">
      <c r="A53" s="3" t="inlineStr">
        <is>
          <t>Heron Fields (Pty) Ltd</t>
        </is>
      </c>
      <c r="B53" s="4" t="n">
        <v>44347</v>
      </c>
      <c r="C53" s="3" t="inlineStr">
        <is>
          <t>Liabilities</t>
        </is>
      </c>
      <c r="D53" s="3" t="inlineStr">
        <is>
          <t>9500/000</t>
        </is>
      </c>
      <c r="E53" s="3" t="inlineStr">
        <is>
          <t>Vat / Tax Control Account</t>
        </is>
      </c>
      <c r="F53" s="3" t="n">
        <v>7443.97</v>
      </c>
      <c r="G53" s="3" t="n">
        <v>27849.11</v>
      </c>
    </row>
    <row r="54">
      <c r="A54" s="3" t="inlineStr">
        <is>
          <t>Heron Fields (Pty) Ltd</t>
        </is>
      </c>
      <c r="B54" s="4" t="n">
        <v>44377</v>
      </c>
      <c r="C54" s="3" t="inlineStr">
        <is>
          <t>Revenue</t>
        </is>
      </c>
      <c r="D54" s="3" t="inlineStr">
        <is>
          <t>2753/001</t>
        </is>
      </c>
      <c r="E54" s="3" t="inlineStr">
        <is>
          <t>Interest Received - Deposit Grey Heron</t>
        </is>
      </c>
      <c r="F54" s="3" t="n">
        <v>-1245</v>
      </c>
      <c r="G54" s="3" t="n">
        <v>-1245</v>
      </c>
    </row>
    <row r="55">
      <c r="A55" s="3" t="inlineStr">
        <is>
          <t>Heron Fields (Pty) Ltd</t>
        </is>
      </c>
      <c r="B55" s="4" t="n">
        <v>44377</v>
      </c>
      <c r="C55" s="3" t="inlineStr">
        <is>
          <t>Expenses</t>
        </is>
      </c>
      <c r="D55" s="3" t="inlineStr">
        <is>
          <t>3050/000</t>
        </is>
      </c>
      <c r="E55" s="3" t="inlineStr">
        <is>
          <t>Advertising _AND_ Promotions</t>
        </is>
      </c>
      <c r="F55" s="3" t="n">
        <v>0</v>
      </c>
      <c r="G55" s="3" t="n">
        <v>5750</v>
      </c>
    </row>
    <row r="56">
      <c r="A56" s="3" t="inlineStr">
        <is>
          <t>Heron Fields (Pty) Ltd</t>
        </is>
      </c>
      <c r="B56" s="4" t="n">
        <v>44377</v>
      </c>
      <c r="C56" s="3" t="inlineStr">
        <is>
          <t>Expenses</t>
        </is>
      </c>
      <c r="D56" s="3" t="inlineStr">
        <is>
          <t>3200/000</t>
        </is>
      </c>
      <c r="E56" s="3" t="inlineStr">
        <is>
          <t>Bank Charges</t>
        </is>
      </c>
      <c r="F56" s="3" t="n">
        <v>758.04</v>
      </c>
      <c r="G56" s="3" t="n">
        <v>1014.75</v>
      </c>
    </row>
    <row r="57">
      <c r="A57" s="3" t="inlineStr">
        <is>
          <t>Heron Fields (Pty) Ltd</t>
        </is>
      </c>
      <c r="B57" s="4" t="n">
        <v>44377</v>
      </c>
      <c r="C57" s="3" t="inlineStr">
        <is>
          <t>Expenses</t>
        </is>
      </c>
      <c r="D57" s="3" t="inlineStr">
        <is>
          <t>3700/000</t>
        </is>
      </c>
      <c r="E57" s="3" t="inlineStr">
        <is>
          <t>Entertainment Expenses</t>
        </is>
      </c>
      <c r="F57" s="3" t="n">
        <v>0</v>
      </c>
      <c r="G57" s="3" t="n">
        <v>250</v>
      </c>
    </row>
    <row r="58">
      <c r="A58" s="3" t="inlineStr">
        <is>
          <t>Heron Fields (Pty) Ltd</t>
        </is>
      </c>
      <c r="B58" s="4" t="n">
        <v>44377</v>
      </c>
      <c r="C58" s="3" t="inlineStr">
        <is>
          <t>Expenses</t>
        </is>
      </c>
      <c r="D58" s="3" t="inlineStr">
        <is>
          <t>4200/000</t>
        </is>
      </c>
      <c r="E58" s="3" t="inlineStr">
        <is>
          <t>Printing _AND_ Stationery</t>
        </is>
      </c>
      <c r="F58" s="3" t="n">
        <v>0</v>
      </c>
      <c r="G58" s="3" t="n">
        <v>765</v>
      </c>
    </row>
    <row r="59">
      <c r="A59" s="3" t="inlineStr">
        <is>
          <t>Heron Fields (Pty) Ltd</t>
        </is>
      </c>
      <c r="B59" s="4" t="n">
        <v>44377</v>
      </c>
      <c r="C59" s="3" t="inlineStr">
        <is>
          <t>Expenses</t>
        </is>
      </c>
      <c r="D59" s="3" t="inlineStr">
        <is>
          <t>4410/000</t>
        </is>
      </c>
      <c r="E59" s="3" t="inlineStr">
        <is>
          <t>Secretarial fees</t>
        </is>
      </c>
      <c r="F59" s="3" t="n">
        <v>2000</v>
      </c>
      <c r="G59" s="3" t="n">
        <v>2100</v>
      </c>
    </row>
    <row r="60">
      <c r="A60" s="3" t="inlineStr">
        <is>
          <t>Heron Fields (Pty) Ltd</t>
        </is>
      </c>
      <c r="B60" s="4" t="n">
        <v>44377</v>
      </c>
      <c r="C60" s="3" t="inlineStr">
        <is>
          <t>Expenses</t>
        </is>
      </c>
      <c r="D60" s="3" t="inlineStr">
        <is>
          <t>4420/001</t>
        </is>
      </c>
      <c r="E60" s="3" t="inlineStr">
        <is>
          <t>Security - ADT</t>
        </is>
      </c>
      <c r="F60" s="3" t="n">
        <v>1078.97</v>
      </c>
      <c r="G60" s="3" t="n">
        <v>1078.97</v>
      </c>
    </row>
    <row r="61">
      <c r="A61" s="3" t="inlineStr">
        <is>
          <t>Heron Fields (Pty) Ltd</t>
        </is>
      </c>
      <c r="B61" s="4" t="n">
        <v>44377</v>
      </c>
      <c r="C61" s="3" t="inlineStr">
        <is>
          <t>Equity</t>
        </is>
      </c>
      <c r="D61" s="3" t="inlineStr">
        <is>
          <t>5100-000</t>
        </is>
      </c>
      <c r="E61" s="3" t="inlineStr">
        <is>
          <t>Share Capital</t>
        </is>
      </c>
      <c r="F61" s="3" t="n">
        <v>0</v>
      </c>
      <c r="G61" s="3" t="n">
        <v>-100</v>
      </c>
    </row>
    <row r="62">
      <c r="A62" s="3" t="inlineStr">
        <is>
          <t>Heron Fields (Pty) Ltd</t>
        </is>
      </c>
      <c r="B62" s="4" t="n">
        <v>44377</v>
      </c>
      <c r="C62" s="3" t="inlineStr">
        <is>
          <t>Liabilities</t>
        </is>
      </c>
      <c r="D62" s="3" t="inlineStr">
        <is>
          <t>5500/010</t>
        </is>
      </c>
      <c r="E62" s="3" t="inlineStr">
        <is>
          <t>Loan - Quinate</t>
        </is>
      </c>
      <c r="F62" s="3" t="n">
        <v>200000</v>
      </c>
      <c r="G62" s="3" t="n">
        <v>-115250</v>
      </c>
    </row>
    <row r="63">
      <c r="A63" s="3" t="inlineStr">
        <is>
          <t>Heron Fields (Pty) Ltd</t>
        </is>
      </c>
      <c r="B63" s="4" t="n">
        <v>44377</v>
      </c>
      <c r="C63" s="3" t="inlineStr">
        <is>
          <t>Liabilities</t>
        </is>
      </c>
      <c r="D63" s="3" t="inlineStr">
        <is>
          <t>5500/020</t>
        </is>
      </c>
      <c r="E63" s="3" t="inlineStr">
        <is>
          <t>Loan - Cape Projects Construction</t>
        </is>
      </c>
      <c r="F63" s="3" t="n">
        <v>0</v>
      </c>
      <c r="G63" s="3" t="n">
        <v>30000</v>
      </c>
    </row>
    <row r="64">
      <c r="A64" s="3" t="inlineStr">
        <is>
          <t>Heron Fields (Pty) Ltd</t>
        </is>
      </c>
      <c r="B64" s="4" t="n">
        <v>44377</v>
      </c>
      <c r="C64" s="3" t="inlineStr">
        <is>
          <t>Assets</t>
        </is>
      </c>
      <c r="D64" s="3" t="inlineStr">
        <is>
          <t>7620/100</t>
        </is>
      </c>
      <c r="E64" s="3" t="inlineStr">
        <is>
          <t>Heron View Land</t>
        </is>
      </c>
      <c r="F64" s="3" t="n">
        <v>26200000</v>
      </c>
      <c r="G64" s="3" t="n">
        <v>26200000</v>
      </c>
    </row>
    <row r="65">
      <c r="A65" s="3" t="inlineStr">
        <is>
          <t>Heron Fields (Pty) Ltd</t>
        </is>
      </c>
      <c r="B65" s="4" t="n">
        <v>44377</v>
      </c>
      <c r="C65" s="3" t="inlineStr">
        <is>
          <t>Assets</t>
        </is>
      </c>
      <c r="D65" s="3" t="inlineStr">
        <is>
          <t>7620/101</t>
        </is>
      </c>
      <c r="E65" s="3" t="inlineStr">
        <is>
          <t>HF CIP Bond Registration Fee</t>
        </is>
      </c>
      <c r="F65" s="3" t="n">
        <v>68427</v>
      </c>
      <c r="G65" s="3" t="n">
        <v>68427</v>
      </c>
    </row>
    <row r="66">
      <c r="A66" s="3" t="inlineStr">
        <is>
          <t>Heron Fields (Pty) Ltd</t>
        </is>
      </c>
      <c r="B66" s="4" t="n">
        <v>44377</v>
      </c>
      <c r="C66" s="3" t="inlineStr">
        <is>
          <t>Assets</t>
        </is>
      </c>
      <c r="D66" s="3" t="inlineStr">
        <is>
          <t>7620/102</t>
        </is>
      </c>
      <c r="E66" s="3" t="inlineStr">
        <is>
          <t>HF CIP Transfer Fee</t>
        </is>
      </c>
      <c r="F66" s="3" t="n">
        <v>103812</v>
      </c>
      <c r="G66" s="3" t="n">
        <v>103812</v>
      </c>
    </row>
    <row r="67">
      <c r="A67" s="3" t="inlineStr">
        <is>
          <t>Heron Fields (Pty) Ltd</t>
        </is>
      </c>
      <c r="B67" s="4" t="n">
        <v>44377</v>
      </c>
      <c r="C67" s="3" t="inlineStr">
        <is>
          <t>Assets</t>
        </is>
      </c>
      <c r="D67" s="3" t="inlineStr">
        <is>
          <t>7620/220</t>
        </is>
      </c>
      <c r="E67" s="3" t="inlineStr">
        <is>
          <t>HF CIP Architectural Designs</t>
        </is>
      </c>
      <c r="F67" s="3" t="n">
        <v>100000</v>
      </c>
      <c r="G67" s="3" t="n">
        <v>120000</v>
      </c>
    </row>
    <row r="68">
      <c r="A68" s="3" t="inlineStr">
        <is>
          <t>Heron Fields (Pty) Ltd</t>
        </is>
      </c>
      <c r="B68" s="4" t="n">
        <v>44377</v>
      </c>
      <c r="C68" s="3" t="inlineStr">
        <is>
          <t>Assets</t>
        </is>
      </c>
      <c r="D68" s="3" t="inlineStr">
        <is>
          <t>7620/240</t>
        </is>
      </c>
      <c r="E68" s="3" t="inlineStr">
        <is>
          <t>HF CIP Civil Engineering</t>
        </is>
      </c>
      <c r="F68" s="3" t="n">
        <v>273000</v>
      </c>
      <c r="G68" s="3" t="n">
        <v>327000</v>
      </c>
    </row>
    <row r="69">
      <c r="A69" s="3" t="inlineStr">
        <is>
          <t>Heron Fields (Pty) Ltd</t>
        </is>
      </c>
      <c r="B69" s="4" t="n">
        <v>44377</v>
      </c>
      <c r="C69" s="3" t="inlineStr">
        <is>
          <t>Assets</t>
        </is>
      </c>
      <c r="D69" s="3" t="inlineStr">
        <is>
          <t>7620/250</t>
        </is>
      </c>
      <c r="E69" s="3" t="inlineStr">
        <is>
          <t>HF CIP Land Surveyor</t>
        </is>
      </c>
      <c r="F69" s="3" t="n">
        <v>0</v>
      </c>
      <c r="G69" s="3" t="n">
        <v>4510</v>
      </c>
    </row>
    <row r="70">
      <c r="A70" s="3" t="inlineStr">
        <is>
          <t>Heron Fields (Pty) Ltd</t>
        </is>
      </c>
      <c r="B70" s="4" t="n">
        <v>44377</v>
      </c>
      <c r="C70" s="3" t="inlineStr">
        <is>
          <t>Assets</t>
        </is>
      </c>
      <c r="D70" s="3" t="inlineStr">
        <is>
          <t>7620/255</t>
        </is>
      </c>
      <c r="E70" s="3" t="inlineStr">
        <is>
          <t>HF CIP Landscaping</t>
        </is>
      </c>
      <c r="F70" s="3" t="n">
        <v>0</v>
      </c>
      <c r="G70" s="3" t="n">
        <v>7500</v>
      </c>
    </row>
    <row r="71">
      <c r="A71" s="3" t="inlineStr">
        <is>
          <t>Heron Fields (Pty) Ltd</t>
        </is>
      </c>
      <c r="B71" s="4" t="n">
        <v>44377</v>
      </c>
      <c r="C71" s="3" t="inlineStr">
        <is>
          <t>Assets</t>
        </is>
      </c>
      <c r="D71" s="3" t="inlineStr">
        <is>
          <t>7620/260</t>
        </is>
      </c>
      <c r="E71" s="3" t="inlineStr">
        <is>
          <t>HF CIP Mechanical Engineers</t>
        </is>
      </c>
      <c r="F71" s="3" t="n">
        <v>0</v>
      </c>
      <c r="G71" s="3" t="n">
        <v>39000</v>
      </c>
    </row>
    <row r="72">
      <c r="A72" s="3" t="inlineStr">
        <is>
          <t>Heron Fields (Pty) Ltd</t>
        </is>
      </c>
      <c r="B72" s="4" t="n">
        <v>44377</v>
      </c>
      <c r="C72" s="3" t="inlineStr">
        <is>
          <t>Assets</t>
        </is>
      </c>
      <c r="D72" s="3" t="inlineStr">
        <is>
          <t>7620/270</t>
        </is>
      </c>
      <c r="E72" s="3" t="inlineStr">
        <is>
          <t>HF CIP Geotechnical</t>
        </is>
      </c>
      <c r="F72" s="3" t="n">
        <v>15175</v>
      </c>
      <c r="G72" s="3" t="n">
        <v>15175</v>
      </c>
    </row>
    <row r="73">
      <c r="A73" s="3" t="inlineStr">
        <is>
          <t>Heron Fields (Pty) Ltd</t>
        </is>
      </c>
      <c r="B73" s="4" t="n">
        <v>44377</v>
      </c>
      <c r="C73" s="3" t="inlineStr">
        <is>
          <t>Assets</t>
        </is>
      </c>
      <c r="D73" s="3" t="inlineStr">
        <is>
          <t>7620/280</t>
        </is>
      </c>
      <c r="E73" s="3" t="inlineStr">
        <is>
          <t>HF CIP Site Establishment</t>
        </is>
      </c>
      <c r="F73" s="3" t="n">
        <v>0</v>
      </c>
      <c r="G73" s="3" t="n">
        <v>23034.26</v>
      </c>
    </row>
    <row r="74">
      <c r="A74" s="3" t="inlineStr">
        <is>
          <t>Heron Fields (Pty) Ltd</t>
        </is>
      </c>
      <c r="B74" s="4" t="n">
        <v>44377</v>
      </c>
      <c r="C74" s="3" t="inlineStr">
        <is>
          <t>Assets</t>
        </is>
      </c>
      <c r="D74" s="3" t="inlineStr">
        <is>
          <t>7620/285</t>
        </is>
      </c>
      <c r="E74" s="3" t="inlineStr">
        <is>
          <t>HF CIP Structuring Fee - Invest</t>
        </is>
      </c>
      <c r="F74" s="3" t="n">
        <v>1363107.22</v>
      </c>
      <c r="G74" s="3" t="n">
        <v>1363107.22</v>
      </c>
    </row>
    <row r="75">
      <c r="A75" s="3" t="inlineStr">
        <is>
          <t>Heron Fields (Pty) Ltd</t>
        </is>
      </c>
      <c r="B75" s="4" t="n">
        <v>44377</v>
      </c>
      <c r="C75" s="3" t="inlineStr">
        <is>
          <t>Assets</t>
        </is>
      </c>
      <c r="D75" s="3" t="inlineStr">
        <is>
          <t>7620/290</t>
        </is>
      </c>
      <c r="E75" s="3" t="inlineStr">
        <is>
          <t>HF CIP Town Planning</t>
        </is>
      </c>
      <c r="F75" s="3" t="n">
        <v>0</v>
      </c>
      <c r="G75" s="3" t="n">
        <v>123150</v>
      </c>
    </row>
    <row r="76">
      <c r="A76" s="3" t="inlineStr">
        <is>
          <t>Heron Fields (Pty) Ltd</t>
        </is>
      </c>
      <c r="B76" s="4" t="n">
        <v>44377</v>
      </c>
      <c r="C76" s="3" t="inlineStr">
        <is>
          <t>Assets</t>
        </is>
      </c>
      <c r="D76" s="3" t="inlineStr">
        <is>
          <t>7620/295</t>
        </is>
      </c>
      <c r="E76" s="3" t="inlineStr">
        <is>
          <t>HF CIP Traffic Planning</t>
        </is>
      </c>
      <c r="F76" s="3" t="n">
        <v>0</v>
      </c>
      <c r="G76" s="3" t="n">
        <v>45000</v>
      </c>
    </row>
    <row r="77">
      <c r="A77" s="3" t="inlineStr">
        <is>
          <t>Heron Fields (Pty) Ltd</t>
        </is>
      </c>
      <c r="B77" s="4" t="n">
        <v>44377</v>
      </c>
      <c r="C77" s="3" t="inlineStr">
        <is>
          <t>Assets</t>
        </is>
      </c>
      <c r="D77" s="3" t="inlineStr">
        <is>
          <t>8300/001</t>
        </is>
      </c>
      <c r="E77" s="3" t="inlineStr">
        <is>
          <t>Deposit Paid - Grey Heron Langeberg</t>
        </is>
      </c>
      <c r="F77" s="3" t="n">
        <v>-200000</v>
      </c>
      <c r="G77" s="3" t="n">
        <v>0</v>
      </c>
    </row>
    <row r="78">
      <c r="A78" s="3" t="inlineStr">
        <is>
          <t>Heron Fields (Pty) Ltd</t>
        </is>
      </c>
      <c r="B78" s="4" t="n">
        <v>44377</v>
      </c>
      <c r="C78" s="3" t="inlineStr">
        <is>
          <t>Assets</t>
        </is>
      </c>
      <c r="D78" s="3" t="inlineStr">
        <is>
          <t>8400/000</t>
        </is>
      </c>
      <c r="E78" s="3" t="inlineStr">
        <is>
          <t>RMB - 62882379087</t>
        </is>
      </c>
      <c r="F78" s="3" t="n">
        <v>119999.73</v>
      </c>
      <c r="G78" s="3" t="n">
        <v>128250.55</v>
      </c>
    </row>
    <row r="79">
      <c r="A79" s="3" t="inlineStr">
        <is>
          <t>Heron Fields (Pty) Ltd</t>
        </is>
      </c>
      <c r="B79" s="4" t="n">
        <v>44377</v>
      </c>
      <c r="C79" s="3" t="inlineStr">
        <is>
          <t>Assets</t>
        </is>
      </c>
      <c r="D79" s="3" t="inlineStr">
        <is>
          <t>8410/000</t>
        </is>
      </c>
      <c r="E79" s="3" t="inlineStr">
        <is>
          <t>STBB Trust Account</t>
        </is>
      </c>
      <c r="F79" s="3" t="n">
        <v>-26644599.14</v>
      </c>
      <c r="G79" s="3" t="n">
        <v>2748737.47</v>
      </c>
    </row>
    <row r="80">
      <c r="A80" s="3" t="inlineStr">
        <is>
          <t>Heron Fields (Pty) Ltd</t>
        </is>
      </c>
      <c r="B80" s="4" t="n">
        <v>44377</v>
      </c>
      <c r="C80" s="3" t="inlineStr">
        <is>
          <t>Liabilities</t>
        </is>
      </c>
      <c r="D80" s="3" t="inlineStr">
        <is>
          <t>9000/000</t>
        </is>
      </c>
      <c r="E80" s="3" t="inlineStr">
        <is>
          <t>Supplier Control Account</t>
        </is>
      </c>
      <c r="F80" s="3" t="n">
        <v>-4888314.41</v>
      </c>
      <c r="G80" s="3" t="n">
        <v>-34555716.92</v>
      </c>
    </row>
    <row r="81">
      <c r="A81" s="3" t="inlineStr">
        <is>
          <t>Heron Fields (Pty) Ltd</t>
        </is>
      </c>
      <c r="B81" s="4" t="n">
        <v>44377</v>
      </c>
      <c r="C81" s="3" t="inlineStr">
        <is>
          <t>Liabilities</t>
        </is>
      </c>
      <c r="D81" s="3" t="inlineStr">
        <is>
          <t>9500/000</t>
        </is>
      </c>
      <c r="E81" s="3" t="inlineStr">
        <is>
          <t>Vat / Tax Control Account</t>
        </is>
      </c>
      <c r="F81" s="3" t="n">
        <v>3286800.59</v>
      </c>
      <c r="G81" s="3" t="n">
        <v>3314649.7</v>
      </c>
    </row>
    <row r="82">
      <c r="A82" s="3" t="inlineStr">
        <is>
          <t>Heron Fields (Pty) Ltd</t>
        </is>
      </c>
      <c r="B82" s="4" t="n">
        <v>44408</v>
      </c>
      <c r="C82" s="3" t="inlineStr">
        <is>
          <t>Revenue</t>
        </is>
      </c>
      <c r="D82" s="3" t="inlineStr">
        <is>
          <t>2753/001</t>
        </is>
      </c>
      <c r="E82" s="3" t="inlineStr">
        <is>
          <t>Interest Received - Deposit Grey Heron</t>
        </is>
      </c>
      <c r="F82" s="3" t="n">
        <v>0</v>
      </c>
      <c r="G82" s="3" t="n">
        <v>-1245</v>
      </c>
    </row>
    <row r="83">
      <c r="A83" s="3" t="inlineStr">
        <is>
          <t>Heron Fields (Pty) Ltd</t>
        </is>
      </c>
      <c r="B83" s="4" t="n">
        <v>44408</v>
      </c>
      <c r="C83" s="3" t="inlineStr">
        <is>
          <t>Revenue</t>
        </is>
      </c>
      <c r="D83" s="3" t="inlineStr">
        <is>
          <t>2754/001</t>
        </is>
      </c>
      <c r="E83" s="3" t="inlineStr">
        <is>
          <t>Interest Received - STBB Trust Account</t>
        </is>
      </c>
      <c r="F83" s="3" t="n">
        <v>-149149.4</v>
      </c>
      <c r="G83" s="3" t="n">
        <v>-149149.4</v>
      </c>
    </row>
    <row r="84">
      <c r="A84" s="3" t="inlineStr">
        <is>
          <t>Heron Fields (Pty) Ltd</t>
        </is>
      </c>
      <c r="B84" s="4" t="n">
        <v>44408</v>
      </c>
      <c r="C84" s="3" t="inlineStr">
        <is>
          <t>Expenses</t>
        </is>
      </c>
      <c r="D84" s="3" t="inlineStr">
        <is>
          <t>3000/100</t>
        </is>
      </c>
      <c r="E84" s="3" t="inlineStr">
        <is>
          <t>Accounting - CIPC</t>
        </is>
      </c>
      <c r="F84" s="3" t="n">
        <v>100</v>
      </c>
      <c r="G84" s="3" t="n">
        <v>100</v>
      </c>
    </row>
    <row r="85">
      <c r="A85" s="3" t="inlineStr">
        <is>
          <t>Heron Fields (Pty) Ltd</t>
        </is>
      </c>
      <c r="B85" s="4" t="n">
        <v>44408</v>
      </c>
      <c r="C85" s="3" t="inlineStr">
        <is>
          <t>Expenses</t>
        </is>
      </c>
      <c r="D85" s="3" t="inlineStr">
        <is>
          <t>3050/000</t>
        </is>
      </c>
      <c r="E85" s="3" t="inlineStr">
        <is>
          <t>Advertising _AND_ Promotions</t>
        </is>
      </c>
      <c r="F85" s="3" t="n">
        <v>0</v>
      </c>
      <c r="G85" s="3" t="n">
        <v>5750</v>
      </c>
    </row>
    <row r="86">
      <c r="A86" s="3" t="inlineStr">
        <is>
          <t>Heron Fields (Pty) Ltd</t>
        </is>
      </c>
      <c r="B86" s="4" t="n">
        <v>44408</v>
      </c>
      <c r="C86" s="3" t="inlineStr">
        <is>
          <t>Expenses</t>
        </is>
      </c>
      <c r="D86" s="3" t="inlineStr">
        <is>
          <t>3200/000</t>
        </is>
      </c>
      <c r="E86" s="3" t="inlineStr">
        <is>
          <t>Bank Charges</t>
        </is>
      </c>
      <c r="F86" s="3" t="n">
        <v>162.02</v>
      </c>
      <c r="G86" s="3" t="n">
        <v>1176.77</v>
      </c>
    </row>
    <row r="87">
      <c r="A87" s="3" t="inlineStr">
        <is>
          <t>Heron Fields (Pty) Ltd</t>
        </is>
      </c>
      <c r="B87" s="4" t="n">
        <v>44408</v>
      </c>
      <c r="C87" s="3" t="inlineStr">
        <is>
          <t>Expenses</t>
        </is>
      </c>
      <c r="D87" s="3" t="inlineStr">
        <is>
          <t>3301/000</t>
        </is>
      </c>
      <c r="E87" s="3" t="inlineStr">
        <is>
          <t>Computer Expenses - Xero</t>
        </is>
      </c>
      <c r="F87" s="3" t="n">
        <v>3000</v>
      </c>
      <c r="G87" s="3" t="n">
        <v>3000</v>
      </c>
    </row>
    <row r="88">
      <c r="A88" s="3" t="inlineStr">
        <is>
          <t>Heron Fields (Pty) Ltd</t>
        </is>
      </c>
      <c r="B88" s="4" t="n">
        <v>44408</v>
      </c>
      <c r="C88" s="3" t="inlineStr">
        <is>
          <t>Expenses</t>
        </is>
      </c>
      <c r="D88" s="3" t="inlineStr">
        <is>
          <t>3650/000</t>
        </is>
      </c>
      <c r="E88" s="3" t="inlineStr">
        <is>
          <t>CoCT - Electricity</t>
        </is>
      </c>
      <c r="F88" s="3" t="n">
        <v>3259.25</v>
      </c>
      <c r="G88" s="3" t="n">
        <v>3259.25</v>
      </c>
    </row>
    <row r="89">
      <c r="A89" s="3" t="inlineStr">
        <is>
          <t>Heron Fields (Pty) Ltd</t>
        </is>
      </c>
      <c r="B89" s="4" t="n">
        <v>44408</v>
      </c>
      <c r="C89" s="3" t="inlineStr">
        <is>
          <t>Expenses</t>
        </is>
      </c>
      <c r="D89" s="3" t="inlineStr">
        <is>
          <t>3660/000</t>
        </is>
      </c>
      <c r="E89" s="3" t="inlineStr">
        <is>
          <t>CoCT - Water</t>
        </is>
      </c>
      <c r="F89" s="3" t="n">
        <v>173.86</v>
      </c>
      <c r="G89" s="3" t="n">
        <v>173.86</v>
      </c>
    </row>
    <row r="90">
      <c r="A90" s="3" t="inlineStr">
        <is>
          <t>Heron Fields (Pty) Ltd</t>
        </is>
      </c>
      <c r="B90" s="4" t="n">
        <v>44408</v>
      </c>
      <c r="C90" s="3" t="inlineStr">
        <is>
          <t>Expenses</t>
        </is>
      </c>
      <c r="D90" s="3" t="inlineStr">
        <is>
          <t>3700/000</t>
        </is>
      </c>
      <c r="E90" s="3" t="inlineStr">
        <is>
          <t>Entertainment Expenses</t>
        </is>
      </c>
      <c r="F90" s="3" t="n">
        <v>0</v>
      </c>
      <c r="G90" s="3" t="n">
        <v>250</v>
      </c>
    </row>
    <row r="91">
      <c r="A91" s="3" t="inlineStr">
        <is>
          <t>Heron Fields (Pty) Ltd</t>
        </is>
      </c>
      <c r="B91" s="4" t="n">
        <v>44408</v>
      </c>
      <c r="C91" s="3" t="inlineStr">
        <is>
          <t>Expenses</t>
        </is>
      </c>
      <c r="D91" s="3" t="inlineStr">
        <is>
          <t>4200/000</t>
        </is>
      </c>
      <c r="E91" s="3" t="inlineStr">
        <is>
          <t>Printing _AND_ Stationery</t>
        </is>
      </c>
      <c r="F91" s="3" t="n">
        <v>0</v>
      </c>
      <c r="G91" s="3" t="n">
        <v>765</v>
      </c>
    </row>
    <row r="92">
      <c r="A92" s="3" t="inlineStr">
        <is>
          <t>Heron Fields (Pty) Ltd</t>
        </is>
      </c>
      <c r="B92" s="4" t="n">
        <v>44408</v>
      </c>
      <c r="C92" s="3" t="inlineStr">
        <is>
          <t>Expenses</t>
        </is>
      </c>
      <c r="D92" s="3" t="inlineStr">
        <is>
          <t>4310/000</t>
        </is>
      </c>
      <c r="E92" s="3" t="inlineStr">
        <is>
          <t>Rates - Heron</t>
        </is>
      </c>
      <c r="F92" s="3" t="n">
        <v>5505.37</v>
      </c>
      <c r="G92" s="3" t="n">
        <v>5505.37</v>
      </c>
    </row>
    <row r="93">
      <c r="A93" s="3" t="inlineStr">
        <is>
          <t>Heron Fields (Pty) Ltd</t>
        </is>
      </c>
      <c r="B93" s="4" t="n">
        <v>44408</v>
      </c>
      <c r="C93" s="3" t="inlineStr">
        <is>
          <t>Expenses</t>
        </is>
      </c>
      <c r="D93" s="3" t="inlineStr">
        <is>
          <t>4410/000</t>
        </is>
      </c>
      <c r="E93" s="3" t="inlineStr">
        <is>
          <t>Secretarial fees</t>
        </is>
      </c>
      <c r="F93" s="3" t="n">
        <v>0</v>
      </c>
      <c r="G93" s="3" t="n">
        <v>2100</v>
      </c>
    </row>
    <row r="94">
      <c r="A94" s="3" t="inlineStr">
        <is>
          <t>Heron Fields (Pty) Ltd</t>
        </is>
      </c>
      <c r="B94" s="4" t="n">
        <v>44408</v>
      </c>
      <c r="C94" s="3" t="inlineStr">
        <is>
          <t>Expenses</t>
        </is>
      </c>
      <c r="D94" s="3" t="inlineStr">
        <is>
          <t>4420/001</t>
        </is>
      </c>
      <c r="E94" s="3" t="inlineStr">
        <is>
          <t>Security - ADT</t>
        </is>
      </c>
      <c r="F94" s="3" t="n">
        <v>430.43</v>
      </c>
      <c r="G94" s="3" t="n">
        <v>1509.4</v>
      </c>
    </row>
    <row r="95">
      <c r="A95" s="3" t="inlineStr">
        <is>
          <t>Heron Fields (Pty) Ltd</t>
        </is>
      </c>
      <c r="B95" s="4" t="n">
        <v>44408</v>
      </c>
      <c r="C95" s="3" t="inlineStr">
        <is>
          <t>Expenses</t>
        </is>
      </c>
      <c r="D95" s="3" t="inlineStr">
        <is>
          <t>4550/100</t>
        </is>
      </c>
      <c r="E95" s="3" t="inlineStr">
        <is>
          <t>Subscriptions - Xero</t>
        </is>
      </c>
      <c r="F95" s="3" t="n">
        <v>550</v>
      </c>
      <c r="G95" s="3" t="n">
        <v>550</v>
      </c>
    </row>
    <row r="96">
      <c r="A96" s="3" t="inlineStr">
        <is>
          <t>Heron Fields (Pty) Ltd</t>
        </is>
      </c>
      <c r="B96" s="4" t="n">
        <v>44408</v>
      </c>
      <c r="C96" s="3" t="inlineStr">
        <is>
          <t>Equity</t>
        </is>
      </c>
      <c r="D96" s="3" t="inlineStr">
        <is>
          <t>5100-000</t>
        </is>
      </c>
      <c r="E96" s="3" t="inlineStr">
        <is>
          <t>Share Capital</t>
        </is>
      </c>
      <c r="F96" s="3" t="n">
        <v>0</v>
      </c>
      <c r="G96" s="3" t="n">
        <v>-100</v>
      </c>
    </row>
    <row r="97">
      <c r="A97" s="3" t="inlineStr">
        <is>
          <t>Heron Fields (Pty) Ltd</t>
        </is>
      </c>
      <c r="B97" s="4" t="n">
        <v>44408</v>
      </c>
      <c r="C97" s="3" t="inlineStr">
        <is>
          <t>Liabilities</t>
        </is>
      </c>
      <c r="D97" s="3" t="inlineStr">
        <is>
          <t>5500/010</t>
        </is>
      </c>
      <c r="E97" s="3" t="inlineStr">
        <is>
          <t>Loan - Quinate</t>
        </is>
      </c>
      <c r="F97" s="3" t="n">
        <v>115250</v>
      </c>
      <c r="G97" s="3" t="n">
        <v>0</v>
      </c>
    </row>
    <row r="98">
      <c r="A98" s="3" t="inlineStr">
        <is>
          <t>Heron Fields (Pty) Ltd</t>
        </is>
      </c>
      <c r="B98" s="4" t="n">
        <v>44408</v>
      </c>
      <c r="C98" s="3" t="inlineStr">
        <is>
          <t>Liabilities</t>
        </is>
      </c>
      <c r="D98" s="3" t="inlineStr">
        <is>
          <t>5500/020</t>
        </is>
      </c>
      <c r="E98" s="3" t="inlineStr">
        <is>
          <t>Loan - Cape Projects Construction</t>
        </is>
      </c>
      <c r="F98" s="3" t="n">
        <v>80000</v>
      </c>
      <c r="G98" s="3" t="n">
        <v>110000</v>
      </c>
    </row>
    <row r="99">
      <c r="A99" s="3" t="inlineStr">
        <is>
          <t>Heron Fields (Pty) Ltd</t>
        </is>
      </c>
      <c r="B99" s="4" t="n">
        <v>44408</v>
      </c>
      <c r="C99" s="3" t="inlineStr">
        <is>
          <t>Liabilities</t>
        </is>
      </c>
      <c r="D99" s="3" t="inlineStr">
        <is>
          <t>5500/030</t>
        </is>
      </c>
      <c r="E99" s="3" t="inlineStr">
        <is>
          <t>Loan - Opportunity Global Investments</t>
        </is>
      </c>
      <c r="F99" s="3" t="n">
        <v>-28000</v>
      </c>
      <c r="G99" s="3" t="n">
        <v>-28000</v>
      </c>
    </row>
    <row r="100">
      <c r="A100" s="3" t="inlineStr">
        <is>
          <t>Heron Fields (Pty) Ltd</t>
        </is>
      </c>
      <c r="B100" s="4" t="n">
        <v>44408</v>
      </c>
      <c r="C100" s="3" t="inlineStr">
        <is>
          <t>Assets</t>
        </is>
      </c>
      <c r="D100" s="3" t="inlineStr">
        <is>
          <t>7620/100</t>
        </is>
      </c>
      <c r="E100" s="3" t="inlineStr">
        <is>
          <t>Heron View Land</t>
        </is>
      </c>
      <c r="F100" s="3" t="n">
        <v>0</v>
      </c>
      <c r="G100" s="3" t="n">
        <v>26200000</v>
      </c>
    </row>
    <row r="101">
      <c r="A101" s="3" t="inlineStr">
        <is>
          <t>Heron Fields (Pty) Ltd</t>
        </is>
      </c>
      <c r="B101" s="4" t="n">
        <v>44408</v>
      </c>
      <c r="C101" s="3" t="inlineStr">
        <is>
          <t>Assets</t>
        </is>
      </c>
      <c r="D101" s="3" t="inlineStr">
        <is>
          <t>7620/101</t>
        </is>
      </c>
      <c r="E101" s="3" t="inlineStr">
        <is>
          <t>HF CIP Bond Registration Fee</t>
        </is>
      </c>
      <c r="F101" s="3" t="n">
        <v>0</v>
      </c>
      <c r="G101" s="3" t="n">
        <v>68427</v>
      </c>
    </row>
    <row r="102">
      <c r="A102" s="3" t="inlineStr">
        <is>
          <t>Heron Fields (Pty) Ltd</t>
        </is>
      </c>
      <c r="B102" s="4" t="n">
        <v>44408</v>
      </c>
      <c r="C102" s="3" t="inlineStr">
        <is>
          <t>Assets</t>
        </is>
      </c>
      <c r="D102" s="3" t="inlineStr">
        <is>
          <t>7620/102</t>
        </is>
      </c>
      <c r="E102" s="3" t="inlineStr">
        <is>
          <t>HF CIP Transfer Fee</t>
        </is>
      </c>
      <c r="F102" s="3" t="n">
        <v>0</v>
      </c>
      <c r="G102" s="3" t="n">
        <v>103812</v>
      </c>
    </row>
    <row r="103">
      <c r="A103" s="3" t="inlineStr">
        <is>
          <t>Heron Fields (Pty) Ltd</t>
        </is>
      </c>
      <c r="B103" s="4" t="n">
        <v>44408</v>
      </c>
      <c r="C103" s="3" t="inlineStr">
        <is>
          <t>Assets</t>
        </is>
      </c>
      <c r="D103" s="3" t="inlineStr">
        <is>
          <t>7620/220</t>
        </is>
      </c>
      <c r="E103" s="3" t="inlineStr">
        <is>
          <t>HF CIP Architectural Designs</t>
        </is>
      </c>
      <c r="F103" s="3" t="n">
        <v>0</v>
      </c>
      <c r="G103" s="3" t="n">
        <v>120000</v>
      </c>
    </row>
    <row r="104">
      <c r="A104" s="3" t="inlineStr">
        <is>
          <t>Heron Fields (Pty) Ltd</t>
        </is>
      </c>
      <c r="B104" s="4" t="n">
        <v>44408</v>
      </c>
      <c r="C104" s="3" t="inlineStr">
        <is>
          <t>Assets</t>
        </is>
      </c>
      <c r="D104" s="3" t="inlineStr">
        <is>
          <t>7620/240</t>
        </is>
      </c>
      <c r="E104" s="3" t="inlineStr">
        <is>
          <t>HF CIP Civil Engineering</t>
        </is>
      </c>
      <c r="F104" s="3" t="n">
        <v>31500</v>
      </c>
      <c r="G104" s="3" t="n">
        <v>358500</v>
      </c>
    </row>
    <row r="105">
      <c r="A105" s="3" t="inlineStr">
        <is>
          <t>Heron Fields (Pty) Ltd</t>
        </is>
      </c>
      <c r="B105" s="4" t="n">
        <v>44408</v>
      </c>
      <c r="C105" s="3" t="inlineStr">
        <is>
          <t>Assets</t>
        </is>
      </c>
      <c r="D105" s="3" t="inlineStr">
        <is>
          <t>7620/250</t>
        </is>
      </c>
      <c r="E105" s="3" t="inlineStr">
        <is>
          <t>HF CIP Land Surveyor</t>
        </is>
      </c>
      <c r="F105" s="3" t="n">
        <v>0</v>
      </c>
      <c r="G105" s="3" t="n">
        <v>4510</v>
      </c>
    </row>
    <row r="106">
      <c r="A106" s="3" t="inlineStr">
        <is>
          <t>Heron Fields (Pty) Ltd</t>
        </is>
      </c>
      <c r="B106" s="4" t="n">
        <v>44408</v>
      </c>
      <c r="C106" s="3" t="inlineStr">
        <is>
          <t>Assets</t>
        </is>
      </c>
      <c r="D106" s="3" t="inlineStr">
        <is>
          <t>7620/255</t>
        </is>
      </c>
      <c r="E106" s="3" t="inlineStr">
        <is>
          <t>HF CIP Landscaping</t>
        </is>
      </c>
      <c r="F106" s="3" t="n">
        <v>0</v>
      </c>
      <c r="G106" s="3" t="n">
        <v>7500</v>
      </c>
    </row>
    <row r="107">
      <c r="A107" s="3" t="inlineStr">
        <is>
          <t>Heron Fields (Pty) Ltd</t>
        </is>
      </c>
      <c r="B107" s="4" t="n">
        <v>44408</v>
      </c>
      <c r="C107" s="3" t="inlineStr">
        <is>
          <t>Assets</t>
        </is>
      </c>
      <c r="D107" s="3" t="inlineStr">
        <is>
          <t>7620/260</t>
        </is>
      </c>
      <c r="E107" s="3" t="inlineStr">
        <is>
          <t>HF CIP Mechanical Engineers</t>
        </is>
      </c>
      <c r="F107" s="3" t="n">
        <v>0</v>
      </c>
      <c r="G107" s="3" t="n">
        <v>39000</v>
      </c>
    </row>
    <row r="108">
      <c r="A108" s="3" t="inlineStr">
        <is>
          <t>Heron Fields (Pty) Ltd</t>
        </is>
      </c>
      <c r="B108" s="4" t="n">
        <v>44408</v>
      </c>
      <c r="C108" s="3" t="inlineStr">
        <is>
          <t>Assets</t>
        </is>
      </c>
      <c r="D108" s="3" t="inlineStr">
        <is>
          <t>7620/270</t>
        </is>
      </c>
      <c r="E108" s="3" t="inlineStr">
        <is>
          <t>HF CIP Geotechnical</t>
        </is>
      </c>
      <c r="F108" s="3" t="n">
        <v>0</v>
      </c>
      <c r="G108" s="3" t="n">
        <v>15175</v>
      </c>
    </row>
    <row r="109">
      <c r="A109" s="3" t="inlineStr">
        <is>
          <t>Heron Fields (Pty) Ltd</t>
        </is>
      </c>
      <c r="B109" s="4" t="n">
        <v>44408</v>
      </c>
      <c r="C109" s="3" t="inlineStr">
        <is>
          <t>Assets</t>
        </is>
      </c>
      <c r="D109" s="3" t="inlineStr">
        <is>
          <t>7620/280</t>
        </is>
      </c>
      <c r="E109" s="3" t="inlineStr">
        <is>
          <t>HF CIP Site Establishment</t>
        </is>
      </c>
      <c r="F109" s="3" t="n">
        <v>0</v>
      </c>
      <c r="G109" s="3" t="n">
        <v>23034.26</v>
      </c>
    </row>
    <row r="110">
      <c r="A110" s="3" t="inlineStr">
        <is>
          <t>Heron Fields (Pty) Ltd</t>
        </is>
      </c>
      <c r="B110" s="4" t="n">
        <v>44408</v>
      </c>
      <c r="C110" s="3" t="inlineStr">
        <is>
          <t>Assets</t>
        </is>
      </c>
      <c r="D110" s="3" t="inlineStr">
        <is>
          <t>7620/285</t>
        </is>
      </c>
      <c r="E110" s="3" t="inlineStr">
        <is>
          <t>HF CIP Structuring Fee - Invest</t>
        </is>
      </c>
      <c r="F110" s="3" t="n">
        <v>0</v>
      </c>
      <c r="G110" s="3" t="n">
        <v>1363107.22</v>
      </c>
    </row>
    <row r="111">
      <c r="A111" s="3" t="inlineStr">
        <is>
          <t>Heron Fields (Pty) Ltd</t>
        </is>
      </c>
      <c r="B111" s="4" t="n">
        <v>44408</v>
      </c>
      <c r="C111" s="3" t="inlineStr">
        <is>
          <t>Assets</t>
        </is>
      </c>
      <c r="D111" s="3" t="inlineStr">
        <is>
          <t>7620/287</t>
        </is>
      </c>
      <c r="E111" s="3" t="inlineStr">
        <is>
          <t>HF CIP Structuring Fee - Development</t>
        </is>
      </c>
      <c r="F111" s="3" t="n">
        <v>782608.0699999999</v>
      </c>
      <c r="G111" s="3" t="n">
        <v>782608.0699999999</v>
      </c>
    </row>
    <row r="112">
      <c r="A112" s="3" t="inlineStr">
        <is>
          <t>Heron Fields (Pty) Ltd</t>
        </is>
      </c>
      <c r="B112" s="4" t="n">
        <v>44408</v>
      </c>
      <c r="C112" s="3" t="inlineStr">
        <is>
          <t>Assets</t>
        </is>
      </c>
      <c r="D112" s="3" t="inlineStr">
        <is>
          <t>7620/290</t>
        </is>
      </c>
      <c r="E112" s="3" t="inlineStr">
        <is>
          <t>HF CIP Town Planning</t>
        </is>
      </c>
      <c r="F112" s="3" t="n">
        <v>0</v>
      </c>
      <c r="G112" s="3" t="n">
        <v>123150</v>
      </c>
    </row>
    <row r="113">
      <c r="A113" s="3" t="inlineStr">
        <is>
          <t>Heron Fields (Pty) Ltd</t>
        </is>
      </c>
      <c r="B113" s="4" t="n">
        <v>44408</v>
      </c>
      <c r="C113" s="3" t="inlineStr">
        <is>
          <t>Assets</t>
        </is>
      </c>
      <c r="D113" s="3" t="inlineStr">
        <is>
          <t>7620/295</t>
        </is>
      </c>
      <c r="E113" s="3" t="inlineStr">
        <is>
          <t>HF CIP Traffic Planning</t>
        </is>
      </c>
      <c r="F113" s="3" t="n">
        <v>0</v>
      </c>
      <c r="G113" s="3" t="n">
        <v>45000</v>
      </c>
    </row>
    <row r="114">
      <c r="A114" s="3" t="inlineStr">
        <is>
          <t>Heron Fields (Pty) Ltd</t>
        </is>
      </c>
      <c r="B114" s="4" t="n">
        <v>44408</v>
      </c>
      <c r="C114" s="3" t="inlineStr">
        <is>
          <t>Assets</t>
        </is>
      </c>
      <c r="D114" s="3" t="inlineStr">
        <is>
          <t>8400/000</t>
        </is>
      </c>
      <c r="E114" s="3" t="inlineStr">
        <is>
          <t>RMB - 62882379087</t>
        </is>
      </c>
      <c r="F114" s="3" t="n">
        <v>-125105.31</v>
      </c>
      <c r="G114" s="3" t="n">
        <v>3145.24</v>
      </c>
    </row>
    <row r="115">
      <c r="A115" s="3" t="inlineStr">
        <is>
          <t>Heron Fields (Pty) Ltd</t>
        </is>
      </c>
      <c r="B115" s="4" t="n">
        <v>44408</v>
      </c>
      <c r="C115" s="3" t="inlineStr">
        <is>
          <t>Assets</t>
        </is>
      </c>
      <c r="D115" s="3" t="inlineStr">
        <is>
          <t>8410/000</t>
        </is>
      </c>
      <c r="E115" s="3" t="inlineStr">
        <is>
          <t>STBB Trust Account</t>
        </is>
      </c>
      <c r="F115" s="3" t="n">
        <v>-2748737.47</v>
      </c>
      <c r="G115" s="3" t="n">
        <v>0</v>
      </c>
    </row>
    <row r="116">
      <c r="A116" s="3" t="inlineStr">
        <is>
          <t>Heron Fields (Pty) Ltd</t>
        </is>
      </c>
      <c r="B116" s="4" t="n">
        <v>44408</v>
      </c>
      <c r="C116" s="3" t="inlineStr">
        <is>
          <t>Liabilities</t>
        </is>
      </c>
      <c r="D116" s="3" t="inlineStr">
        <is>
          <t>9000/000</t>
        </is>
      </c>
      <c r="E116" s="3" t="inlineStr">
        <is>
          <t>Supplier Control Account</t>
        </is>
      </c>
      <c r="F116" s="3" t="n">
        <v>1905695.63</v>
      </c>
      <c r="G116" s="3" t="n">
        <v>-32650021.29</v>
      </c>
    </row>
    <row r="117">
      <c r="A117" s="3" t="inlineStr">
        <is>
          <t>Heron Fields (Pty) Ltd</t>
        </is>
      </c>
      <c r="B117" s="4" t="n">
        <v>44408</v>
      </c>
      <c r="C117" s="3" t="inlineStr">
        <is>
          <t>Liabilities</t>
        </is>
      </c>
      <c r="D117" s="3" t="inlineStr">
        <is>
          <t>9210/001</t>
        </is>
      </c>
      <c r="E117" s="3" t="inlineStr">
        <is>
          <t>Accrued Expenses</t>
        </is>
      </c>
      <c r="F117" s="3" t="n">
        <v>-430.43</v>
      </c>
      <c r="G117" s="3" t="n">
        <v>-430.43</v>
      </c>
    </row>
    <row r="118">
      <c r="A118" s="3" t="inlineStr">
        <is>
          <t>Heron Fields (Pty) Ltd</t>
        </is>
      </c>
      <c r="B118" s="4" t="n">
        <v>44408</v>
      </c>
      <c r="C118" s="3" t="inlineStr">
        <is>
          <t>Liabilities</t>
        </is>
      </c>
      <c r="D118" s="3" t="inlineStr">
        <is>
          <t>9500/000</t>
        </is>
      </c>
      <c r="E118" s="3" t="inlineStr">
        <is>
          <t>Vat / Tax Control Account</t>
        </is>
      </c>
      <c r="F118" s="3" t="n">
        <v>123187.98</v>
      </c>
      <c r="G118" s="3" t="n">
        <v>3437837.68</v>
      </c>
    </row>
    <row r="119">
      <c r="A119" s="3" t="inlineStr">
        <is>
          <t>Heron Fields (Pty) Ltd</t>
        </is>
      </c>
      <c r="B119" s="4" t="n">
        <v>44439</v>
      </c>
      <c r="C119" s="3" t="inlineStr">
        <is>
          <t>Revenue</t>
        </is>
      </c>
      <c r="D119" s="3" t="inlineStr">
        <is>
          <t>1500/001</t>
        </is>
      </c>
      <c r="E119" s="3" t="inlineStr">
        <is>
          <t>Revaluation of Land</t>
        </is>
      </c>
      <c r="F119" s="3" t="n">
        <v>-1000000</v>
      </c>
      <c r="G119" s="3" t="n">
        <v>-1000000</v>
      </c>
    </row>
    <row r="120">
      <c r="A120" s="3" t="inlineStr">
        <is>
          <t>Heron Fields (Pty) Ltd</t>
        </is>
      </c>
      <c r="B120" s="4" t="n">
        <v>44439</v>
      </c>
      <c r="C120" s="3" t="inlineStr">
        <is>
          <t>Revenue</t>
        </is>
      </c>
      <c r="D120" s="3" t="inlineStr">
        <is>
          <t>2753/001</t>
        </is>
      </c>
      <c r="E120" s="3" t="inlineStr">
        <is>
          <t>Interest Received - Deposit Grey Heron</t>
        </is>
      </c>
      <c r="F120" s="3" t="n">
        <v>0</v>
      </c>
      <c r="G120" s="3" t="n">
        <v>-1245</v>
      </c>
    </row>
    <row r="121">
      <c r="A121" s="3" t="inlineStr">
        <is>
          <t>Heron Fields (Pty) Ltd</t>
        </is>
      </c>
      <c r="B121" s="4" t="n">
        <v>44439</v>
      </c>
      <c r="C121" s="3" t="inlineStr">
        <is>
          <t>Revenue</t>
        </is>
      </c>
      <c r="D121" s="3" t="inlineStr">
        <is>
          <t>2754/001</t>
        </is>
      </c>
      <c r="E121" s="3" t="inlineStr">
        <is>
          <t>Interest Received - STBB Trust Account</t>
        </is>
      </c>
      <c r="F121" s="3" t="n">
        <v>0</v>
      </c>
      <c r="G121" s="3" t="n">
        <v>-149149.4</v>
      </c>
    </row>
    <row r="122">
      <c r="A122" s="3" t="inlineStr">
        <is>
          <t>Heron Fields (Pty) Ltd</t>
        </is>
      </c>
      <c r="B122" s="4" t="n">
        <v>44439</v>
      </c>
      <c r="C122" s="3" t="inlineStr">
        <is>
          <t>Expenses</t>
        </is>
      </c>
      <c r="D122" s="3" t="inlineStr">
        <is>
          <t>3000/100</t>
        </is>
      </c>
      <c r="E122" s="3" t="inlineStr">
        <is>
          <t>Accounting - CIPC</t>
        </is>
      </c>
      <c r="F122" s="3" t="n">
        <v>0</v>
      </c>
      <c r="G122" s="3" t="n">
        <v>100</v>
      </c>
    </row>
    <row r="123">
      <c r="A123" s="3" t="inlineStr">
        <is>
          <t>Heron Fields (Pty) Ltd</t>
        </is>
      </c>
      <c r="B123" s="4" t="n">
        <v>44439</v>
      </c>
      <c r="C123" s="3" t="inlineStr">
        <is>
          <t>Expenses</t>
        </is>
      </c>
      <c r="D123" s="3" t="inlineStr">
        <is>
          <t>3050/000</t>
        </is>
      </c>
      <c r="E123" s="3" t="inlineStr">
        <is>
          <t>Advertising _AND_ Promotions</t>
        </is>
      </c>
      <c r="F123" s="3" t="n">
        <v>1020</v>
      </c>
      <c r="G123" s="3" t="n">
        <v>6770</v>
      </c>
    </row>
    <row r="124">
      <c r="A124" s="3" t="inlineStr">
        <is>
          <t>Heron Fields (Pty) Ltd</t>
        </is>
      </c>
      <c r="B124" s="4" t="n">
        <v>44439</v>
      </c>
      <c r="C124" s="3" t="inlineStr">
        <is>
          <t>Expenses</t>
        </is>
      </c>
      <c r="D124" s="3" t="inlineStr">
        <is>
          <t>3200/000</t>
        </is>
      </c>
      <c r="E124" s="3" t="inlineStr">
        <is>
          <t>Bank Charges</t>
        </is>
      </c>
      <c r="F124" s="3" t="n">
        <v>295.94</v>
      </c>
      <c r="G124" s="3" t="n">
        <v>1472.71</v>
      </c>
    </row>
    <row r="125">
      <c r="A125" s="3" t="inlineStr">
        <is>
          <t>Heron Fields (Pty) Ltd</t>
        </is>
      </c>
      <c r="B125" s="4" t="n">
        <v>44439</v>
      </c>
      <c r="C125" s="3" t="inlineStr">
        <is>
          <t>Expenses</t>
        </is>
      </c>
      <c r="D125" s="3" t="inlineStr">
        <is>
          <t>3301/000</t>
        </is>
      </c>
      <c r="E125" s="3" t="inlineStr">
        <is>
          <t>Computer Expenses - Xero</t>
        </is>
      </c>
      <c r="F125" s="3" t="n">
        <v>0</v>
      </c>
      <c r="G125" s="3" t="n">
        <v>3000</v>
      </c>
    </row>
    <row r="126">
      <c r="A126" s="3" t="inlineStr">
        <is>
          <t>Heron Fields (Pty) Ltd</t>
        </is>
      </c>
      <c r="B126" s="4" t="n">
        <v>44439</v>
      </c>
      <c r="C126" s="3" t="inlineStr">
        <is>
          <t>Expenses</t>
        </is>
      </c>
      <c r="D126" s="3" t="inlineStr">
        <is>
          <t>3650/000</t>
        </is>
      </c>
      <c r="E126" s="3" t="inlineStr">
        <is>
          <t>CoCT - Electricity</t>
        </is>
      </c>
      <c r="F126" s="3" t="n">
        <v>2700.55</v>
      </c>
      <c r="G126" s="3" t="n">
        <v>5959.8</v>
      </c>
    </row>
    <row r="127">
      <c r="A127" s="3" t="inlineStr">
        <is>
          <t>Heron Fields (Pty) Ltd</t>
        </is>
      </c>
      <c r="B127" s="4" t="n">
        <v>44439</v>
      </c>
      <c r="C127" s="3" t="inlineStr">
        <is>
          <t>Expenses</t>
        </is>
      </c>
      <c r="D127" s="3" t="inlineStr">
        <is>
          <t>3660/000</t>
        </is>
      </c>
      <c r="E127" s="3" t="inlineStr">
        <is>
          <t>CoCT - Water</t>
        </is>
      </c>
      <c r="F127" s="3" t="n">
        <v>316.96</v>
      </c>
      <c r="G127" s="3" t="n">
        <v>490.82</v>
      </c>
    </row>
    <row r="128">
      <c r="A128" s="3" t="inlineStr">
        <is>
          <t>Heron Fields (Pty) Ltd</t>
        </is>
      </c>
      <c r="B128" s="4" t="n">
        <v>44439</v>
      </c>
      <c r="C128" s="3" t="inlineStr">
        <is>
          <t>Expenses</t>
        </is>
      </c>
      <c r="D128" s="3" t="inlineStr">
        <is>
          <t>3700/000</t>
        </is>
      </c>
      <c r="E128" s="3" t="inlineStr">
        <is>
          <t>Entertainment Expenses</t>
        </is>
      </c>
      <c r="F128" s="3" t="n">
        <v>0</v>
      </c>
      <c r="G128" s="3" t="n">
        <v>250</v>
      </c>
    </row>
    <row r="129">
      <c r="A129" s="3" t="inlineStr">
        <is>
          <t>Heron Fields (Pty) Ltd</t>
        </is>
      </c>
      <c r="B129" s="4" t="n">
        <v>44439</v>
      </c>
      <c r="C129" s="3" t="inlineStr">
        <is>
          <t>Expenses</t>
        </is>
      </c>
      <c r="D129" s="3" t="inlineStr">
        <is>
          <t>4200/000</t>
        </is>
      </c>
      <c r="E129" s="3" t="inlineStr">
        <is>
          <t>Printing _AND_ Stationery</t>
        </is>
      </c>
      <c r="F129" s="3" t="n">
        <v>0</v>
      </c>
      <c r="G129" s="3" t="n">
        <v>765</v>
      </c>
    </row>
    <row r="130">
      <c r="A130" s="3" t="inlineStr">
        <is>
          <t>Heron Fields (Pty) Ltd</t>
        </is>
      </c>
      <c r="B130" s="4" t="n">
        <v>44439</v>
      </c>
      <c r="C130" s="3" t="inlineStr">
        <is>
          <t>Expenses</t>
        </is>
      </c>
      <c r="D130" s="3" t="inlineStr">
        <is>
          <t>4310/000</t>
        </is>
      </c>
      <c r="E130" s="3" t="inlineStr">
        <is>
          <t>Rates - Heron</t>
        </is>
      </c>
      <c r="F130" s="3" t="n">
        <v>3374.65</v>
      </c>
      <c r="G130" s="3" t="n">
        <v>8880.02</v>
      </c>
    </row>
    <row r="131">
      <c r="A131" s="3" t="inlineStr">
        <is>
          <t>Heron Fields (Pty) Ltd</t>
        </is>
      </c>
      <c r="B131" s="4" t="n">
        <v>44439</v>
      </c>
      <c r="C131" s="3" t="inlineStr">
        <is>
          <t>Expenses</t>
        </is>
      </c>
      <c r="D131" s="3" t="inlineStr">
        <is>
          <t>4410/000</t>
        </is>
      </c>
      <c r="E131" s="3" t="inlineStr">
        <is>
          <t>Secretarial fees</t>
        </is>
      </c>
      <c r="F131" s="3" t="n">
        <v>0</v>
      </c>
      <c r="G131" s="3" t="n">
        <v>2100</v>
      </c>
    </row>
    <row r="132">
      <c r="A132" s="3" t="inlineStr">
        <is>
          <t>Heron Fields (Pty) Ltd</t>
        </is>
      </c>
      <c r="B132" s="4" t="n">
        <v>44439</v>
      </c>
      <c r="C132" s="3" t="inlineStr">
        <is>
          <t>Expenses</t>
        </is>
      </c>
      <c r="D132" s="3" t="inlineStr">
        <is>
          <t>4420/001</t>
        </is>
      </c>
      <c r="E132" s="3" t="inlineStr">
        <is>
          <t>Security - ADT</t>
        </is>
      </c>
      <c r="F132" s="3" t="n">
        <v>-430.43</v>
      </c>
      <c r="G132" s="3" t="n">
        <v>1078.97</v>
      </c>
    </row>
    <row r="133">
      <c r="A133" s="3" t="inlineStr">
        <is>
          <t>Heron Fields (Pty) Ltd</t>
        </is>
      </c>
      <c r="B133" s="4" t="n">
        <v>44439</v>
      </c>
      <c r="C133" s="3" t="inlineStr">
        <is>
          <t>Expenses</t>
        </is>
      </c>
      <c r="D133" s="3" t="inlineStr">
        <is>
          <t>4550/100</t>
        </is>
      </c>
      <c r="E133" s="3" t="inlineStr">
        <is>
          <t>Subscriptions - Xero</t>
        </is>
      </c>
      <c r="F133" s="3" t="n">
        <v>550</v>
      </c>
      <c r="G133" s="3" t="n">
        <v>1100</v>
      </c>
    </row>
    <row r="134">
      <c r="A134" s="3" t="inlineStr">
        <is>
          <t>Heron Fields (Pty) Ltd</t>
        </is>
      </c>
      <c r="B134" s="4" t="n">
        <v>44439</v>
      </c>
      <c r="C134" s="3" t="inlineStr">
        <is>
          <t>Equity</t>
        </is>
      </c>
      <c r="D134" s="3" t="inlineStr">
        <is>
          <t>5100-000</t>
        </is>
      </c>
      <c r="E134" s="3" t="inlineStr">
        <is>
          <t>Share Capital</t>
        </is>
      </c>
      <c r="F134" s="3" t="n">
        <v>0</v>
      </c>
      <c r="G134" s="3" t="n">
        <v>-100</v>
      </c>
    </row>
    <row r="135">
      <c r="A135" s="3" t="inlineStr">
        <is>
          <t>Heron Fields (Pty) Ltd</t>
        </is>
      </c>
      <c r="B135" s="4" t="n">
        <v>44439</v>
      </c>
      <c r="C135" s="3" t="inlineStr">
        <is>
          <t>Assets</t>
        </is>
      </c>
      <c r="D135" s="3" t="inlineStr">
        <is>
          <t>5300/001</t>
        </is>
      </c>
      <c r="E135" s="3" t="inlineStr">
        <is>
          <t>Revaluation of Land stock</t>
        </is>
      </c>
      <c r="F135" s="3" t="n">
        <v>1000000</v>
      </c>
      <c r="G135" s="3" t="n">
        <v>1000000</v>
      </c>
    </row>
    <row r="136">
      <c r="A136" s="3" t="inlineStr">
        <is>
          <t>Heron Fields (Pty) Ltd</t>
        </is>
      </c>
      <c r="B136" s="4" t="n">
        <v>44439</v>
      </c>
      <c r="C136" s="3" t="inlineStr">
        <is>
          <t>Liabilities</t>
        </is>
      </c>
      <c r="D136" s="3" t="inlineStr">
        <is>
          <t>5500/020</t>
        </is>
      </c>
      <c r="E136" s="3" t="inlineStr">
        <is>
          <t>Loan - Cape Projects Construction</t>
        </is>
      </c>
      <c r="F136" s="3" t="n">
        <v>-110000</v>
      </c>
      <c r="G136" s="3" t="n">
        <v>0</v>
      </c>
    </row>
    <row r="137">
      <c r="A137" s="3" t="inlineStr">
        <is>
          <t>Heron Fields (Pty) Ltd</t>
        </is>
      </c>
      <c r="B137" s="4" t="n">
        <v>44439</v>
      </c>
      <c r="C137" s="3" t="inlineStr">
        <is>
          <t>Liabilities</t>
        </is>
      </c>
      <c r="D137" s="3" t="inlineStr">
        <is>
          <t>5500/030</t>
        </is>
      </c>
      <c r="E137" s="3" t="inlineStr">
        <is>
          <t>Loan - Opportunity Global Investments</t>
        </is>
      </c>
      <c r="F137" s="3" t="n">
        <v>0</v>
      </c>
      <c r="G137" s="3" t="n">
        <v>-28000</v>
      </c>
    </row>
    <row r="138">
      <c r="A138" s="3" t="inlineStr">
        <is>
          <t>Heron Fields (Pty) Ltd</t>
        </is>
      </c>
      <c r="B138" s="4" t="n">
        <v>44439</v>
      </c>
      <c r="C138" s="3" t="inlineStr">
        <is>
          <t>Assets</t>
        </is>
      </c>
      <c r="D138" s="3" t="inlineStr">
        <is>
          <t>7620/100</t>
        </is>
      </c>
      <c r="E138" s="3" t="inlineStr">
        <is>
          <t>Heron View Land</t>
        </is>
      </c>
      <c r="F138" s="3" t="n">
        <v>0</v>
      </c>
      <c r="G138" s="3" t="n">
        <v>26200000</v>
      </c>
    </row>
    <row r="139">
      <c r="A139" s="3" t="inlineStr">
        <is>
          <t>Heron Fields (Pty) Ltd</t>
        </is>
      </c>
      <c r="B139" s="4" t="n">
        <v>44439</v>
      </c>
      <c r="C139" s="3" t="inlineStr">
        <is>
          <t>Assets</t>
        </is>
      </c>
      <c r="D139" s="3" t="inlineStr">
        <is>
          <t>7620/101</t>
        </is>
      </c>
      <c r="E139" s="3" t="inlineStr">
        <is>
          <t>HF CIP Bond Registration Fee</t>
        </is>
      </c>
      <c r="F139" s="3" t="n">
        <v>0</v>
      </c>
      <c r="G139" s="3" t="n">
        <v>68427</v>
      </c>
    </row>
    <row r="140">
      <c r="A140" s="3" t="inlineStr">
        <is>
          <t>Heron Fields (Pty) Ltd</t>
        </is>
      </c>
      <c r="B140" s="4" t="n">
        <v>44439</v>
      </c>
      <c r="C140" s="3" t="inlineStr">
        <is>
          <t>Assets</t>
        </is>
      </c>
      <c r="D140" s="3" t="inlineStr">
        <is>
          <t>7620/102</t>
        </is>
      </c>
      <c r="E140" s="3" t="inlineStr">
        <is>
          <t>HF CIP Transfer Fee</t>
        </is>
      </c>
      <c r="F140" s="3" t="n">
        <v>0</v>
      </c>
      <c r="G140" s="3" t="n">
        <v>103812</v>
      </c>
    </row>
    <row r="141">
      <c r="A141" s="3" t="inlineStr">
        <is>
          <t>Heron Fields (Pty) Ltd</t>
        </is>
      </c>
      <c r="B141" s="4" t="n">
        <v>44439</v>
      </c>
      <c r="C141" s="3" t="inlineStr">
        <is>
          <t>Assets</t>
        </is>
      </c>
      <c r="D141" s="3" t="inlineStr">
        <is>
          <t>7620/220</t>
        </is>
      </c>
      <c r="E141" s="3" t="inlineStr">
        <is>
          <t>HF CIP Architectural Designs</t>
        </is>
      </c>
      <c r="F141" s="3" t="n">
        <v>0</v>
      </c>
      <c r="G141" s="3" t="n">
        <v>120000</v>
      </c>
    </row>
    <row r="142">
      <c r="A142" s="3" t="inlineStr">
        <is>
          <t>Heron Fields (Pty) Ltd</t>
        </is>
      </c>
      <c r="B142" s="4" t="n">
        <v>44439</v>
      </c>
      <c r="C142" s="3" t="inlineStr">
        <is>
          <t>Assets</t>
        </is>
      </c>
      <c r="D142" s="3" t="inlineStr">
        <is>
          <t>7620/240</t>
        </is>
      </c>
      <c r="E142" s="3" t="inlineStr">
        <is>
          <t>HF CIP Civil Engineering</t>
        </is>
      </c>
      <c r="F142" s="3" t="n">
        <v>31500</v>
      </c>
      <c r="G142" s="3" t="n">
        <v>390000</v>
      </c>
    </row>
    <row r="143">
      <c r="A143" s="3" t="inlineStr">
        <is>
          <t>Heron Fields (Pty) Ltd</t>
        </is>
      </c>
      <c r="B143" s="4" t="n">
        <v>44439</v>
      </c>
      <c r="C143" s="3" t="inlineStr">
        <is>
          <t>Assets</t>
        </is>
      </c>
      <c r="D143" s="3" t="inlineStr">
        <is>
          <t>7620/250</t>
        </is>
      </c>
      <c r="E143" s="3" t="inlineStr">
        <is>
          <t>HF CIP Land Surveyor</t>
        </is>
      </c>
      <c r="F143" s="3" t="n">
        <v>0</v>
      </c>
      <c r="G143" s="3" t="n">
        <v>4510</v>
      </c>
    </row>
    <row r="144">
      <c r="A144" s="3" t="inlineStr">
        <is>
          <t>Heron Fields (Pty) Ltd</t>
        </is>
      </c>
      <c r="B144" s="4" t="n">
        <v>44439</v>
      </c>
      <c r="C144" s="3" t="inlineStr">
        <is>
          <t>Assets</t>
        </is>
      </c>
      <c r="D144" s="3" t="inlineStr">
        <is>
          <t>7620/255</t>
        </is>
      </c>
      <c r="E144" s="3" t="inlineStr">
        <is>
          <t>HF CIP Landscaping</t>
        </is>
      </c>
      <c r="F144" s="3" t="n">
        <v>0</v>
      </c>
      <c r="G144" s="3" t="n">
        <v>7500</v>
      </c>
    </row>
    <row r="145">
      <c r="A145" s="3" t="inlineStr">
        <is>
          <t>Heron Fields (Pty) Ltd</t>
        </is>
      </c>
      <c r="B145" s="4" t="n">
        <v>44439</v>
      </c>
      <c r="C145" s="3" t="inlineStr">
        <is>
          <t>Assets</t>
        </is>
      </c>
      <c r="D145" s="3" t="inlineStr">
        <is>
          <t>7620/260</t>
        </is>
      </c>
      <c r="E145" s="3" t="inlineStr">
        <is>
          <t>HF CIP Mechanical Engineers</t>
        </is>
      </c>
      <c r="F145" s="3" t="n">
        <v>0</v>
      </c>
      <c r="G145" s="3" t="n">
        <v>39000</v>
      </c>
    </row>
    <row r="146">
      <c r="A146" s="3" t="inlineStr">
        <is>
          <t>Heron Fields (Pty) Ltd</t>
        </is>
      </c>
      <c r="B146" s="4" t="n">
        <v>44439</v>
      </c>
      <c r="C146" s="3" t="inlineStr">
        <is>
          <t>Assets</t>
        </is>
      </c>
      <c r="D146" s="3" t="inlineStr">
        <is>
          <t>7620/270</t>
        </is>
      </c>
      <c r="E146" s="3" t="inlineStr">
        <is>
          <t>HF CIP Geotechnical</t>
        </is>
      </c>
      <c r="F146" s="3" t="n">
        <v>0</v>
      </c>
      <c r="G146" s="3" t="n">
        <v>15175</v>
      </c>
    </row>
    <row r="147">
      <c r="A147" s="3" t="inlineStr">
        <is>
          <t>Heron Fields (Pty) Ltd</t>
        </is>
      </c>
      <c r="B147" s="4" t="n">
        <v>44439</v>
      </c>
      <c r="C147" s="3" t="inlineStr">
        <is>
          <t>Assets</t>
        </is>
      </c>
      <c r="D147" s="3" t="inlineStr">
        <is>
          <t>7620/280</t>
        </is>
      </c>
      <c r="E147" s="3" t="inlineStr">
        <is>
          <t>HF CIP Site Establishment</t>
        </is>
      </c>
      <c r="F147" s="3" t="n">
        <v>0</v>
      </c>
      <c r="G147" s="3" t="n">
        <v>23034.26</v>
      </c>
    </row>
    <row r="148">
      <c r="A148" s="3" t="inlineStr">
        <is>
          <t>Heron Fields (Pty) Ltd</t>
        </is>
      </c>
      <c r="B148" s="4" t="n">
        <v>44439</v>
      </c>
      <c r="C148" s="3" t="inlineStr">
        <is>
          <t>Assets</t>
        </is>
      </c>
      <c r="D148" s="3" t="inlineStr">
        <is>
          <t>7620/285</t>
        </is>
      </c>
      <c r="E148" s="3" t="inlineStr">
        <is>
          <t>HF CIP Structuring Fee - Invest</t>
        </is>
      </c>
      <c r="F148" s="3" t="n">
        <v>0</v>
      </c>
      <c r="G148" s="3" t="n">
        <v>1363107.22</v>
      </c>
    </row>
    <row r="149">
      <c r="A149" s="3" t="inlineStr">
        <is>
          <t>Heron Fields (Pty) Ltd</t>
        </is>
      </c>
      <c r="B149" s="4" t="n">
        <v>44439</v>
      </c>
      <c r="C149" s="3" t="inlineStr">
        <is>
          <t>Assets</t>
        </is>
      </c>
      <c r="D149" s="3" t="inlineStr">
        <is>
          <t>7620/287</t>
        </is>
      </c>
      <c r="E149" s="3" t="inlineStr">
        <is>
          <t>HF CIP Structuring Fee - Development</t>
        </is>
      </c>
      <c r="F149" s="3" t="n">
        <v>0</v>
      </c>
      <c r="G149" s="3" t="n">
        <v>782608.0699999999</v>
      </c>
    </row>
    <row r="150">
      <c r="A150" s="3" t="inlineStr">
        <is>
          <t>Heron Fields (Pty) Ltd</t>
        </is>
      </c>
      <c r="B150" s="4" t="n">
        <v>44439</v>
      </c>
      <c r="C150" s="3" t="inlineStr">
        <is>
          <t>Assets</t>
        </is>
      </c>
      <c r="D150" s="3" t="inlineStr">
        <is>
          <t>7620/290</t>
        </is>
      </c>
      <c r="E150" s="3" t="inlineStr">
        <is>
          <t>HF CIP Town Planning</t>
        </is>
      </c>
      <c r="F150" s="3" t="n">
        <v>0</v>
      </c>
      <c r="G150" s="3" t="n">
        <v>123150</v>
      </c>
    </row>
    <row r="151">
      <c r="A151" s="3" t="inlineStr">
        <is>
          <t>Heron Fields (Pty) Ltd</t>
        </is>
      </c>
      <c r="B151" s="4" t="n">
        <v>44439</v>
      </c>
      <c r="C151" s="3" t="inlineStr">
        <is>
          <t>Assets</t>
        </is>
      </c>
      <c r="D151" s="3" t="inlineStr">
        <is>
          <t>7620/295</t>
        </is>
      </c>
      <c r="E151" s="3" t="inlineStr">
        <is>
          <t>HF CIP Traffic Planning</t>
        </is>
      </c>
      <c r="F151" s="3" t="n">
        <v>0</v>
      </c>
      <c r="G151" s="3" t="n">
        <v>45000</v>
      </c>
    </row>
    <row r="152">
      <c r="A152" s="3" t="inlineStr">
        <is>
          <t>Heron Fields (Pty) Ltd</t>
        </is>
      </c>
      <c r="B152" s="4" t="n">
        <v>44439</v>
      </c>
      <c r="C152" s="3" t="inlineStr">
        <is>
          <t>Assets</t>
        </is>
      </c>
      <c r="D152" s="3" t="inlineStr">
        <is>
          <t>8400/000</t>
        </is>
      </c>
      <c r="E152" s="3" t="inlineStr">
        <is>
          <t>RMB - 62882379087</t>
        </is>
      </c>
      <c r="F152" s="3" t="n">
        <v>85046.94</v>
      </c>
      <c r="G152" s="3" t="n">
        <v>88192.17999999999</v>
      </c>
    </row>
    <row r="153">
      <c r="A153" s="3" t="inlineStr">
        <is>
          <t>Heron Fields (Pty) Ltd</t>
        </is>
      </c>
      <c r="B153" s="4" t="n">
        <v>44439</v>
      </c>
      <c r="C153" s="3" t="inlineStr">
        <is>
          <t>Assets</t>
        </is>
      </c>
      <c r="D153" s="3" t="inlineStr">
        <is>
          <t>8430/000</t>
        </is>
      </c>
      <c r="E153" s="3" t="inlineStr">
        <is>
          <t>Momentum Private Account RU502230151</t>
        </is>
      </c>
      <c r="F153" s="3" t="n">
        <v>500</v>
      </c>
      <c r="G153" s="3" t="n">
        <v>500</v>
      </c>
    </row>
    <row r="154">
      <c r="A154" s="3" t="inlineStr">
        <is>
          <t>Heron Fields (Pty) Ltd</t>
        </is>
      </c>
      <c r="B154" s="4" t="n">
        <v>44439</v>
      </c>
      <c r="C154" s="3" t="inlineStr">
        <is>
          <t>Assets</t>
        </is>
      </c>
      <c r="D154" s="3" t="inlineStr">
        <is>
          <t>8440/000</t>
        </is>
      </c>
      <c r="E154" s="3" t="inlineStr">
        <is>
          <t>Momentum Investors Account RU502229930</t>
        </is>
      </c>
      <c r="F154" s="3" t="n">
        <v>1000500</v>
      </c>
      <c r="G154" s="3" t="n">
        <v>1000500</v>
      </c>
    </row>
    <row r="155">
      <c r="A155" s="3" t="inlineStr">
        <is>
          <t>Heron Fields (Pty) Ltd</t>
        </is>
      </c>
      <c r="B155" s="4" t="n">
        <v>44439</v>
      </c>
      <c r="C155" s="3" t="inlineStr">
        <is>
          <t>Liabilities</t>
        </is>
      </c>
      <c r="D155" s="3" t="inlineStr">
        <is>
          <t>9000/000</t>
        </is>
      </c>
      <c r="E155" s="3" t="inlineStr">
        <is>
          <t>Supplier Control Account</t>
        </is>
      </c>
      <c r="F155" s="3" t="n">
        <v>-1000704.4</v>
      </c>
      <c r="G155" s="3" t="n">
        <v>-33650725.69</v>
      </c>
    </row>
    <row r="156">
      <c r="A156" s="3" t="inlineStr">
        <is>
          <t>Heron Fields (Pty) Ltd</t>
        </is>
      </c>
      <c r="B156" s="4" t="n">
        <v>44439</v>
      </c>
      <c r="C156" s="3" t="inlineStr">
        <is>
          <t>Liabilities</t>
        </is>
      </c>
      <c r="D156" s="3" t="inlineStr">
        <is>
          <t>9210/001</t>
        </is>
      </c>
      <c r="E156" s="3" t="inlineStr">
        <is>
          <t>Accrued Expenses</t>
        </is>
      </c>
      <c r="F156" s="3" t="n">
        <v>430.43</v>
      </c>
      <c r="G156" s="3" t="n">
        <v>0</v>
      </c>
    </row>
    <row r="157">
      <c r="A157" s="3" t="inlineStr">
        <is>
          <t>Heron Fields (Pty) Ltd</t>
        </is>
      </c>
      <c r="B157" s="4" t="n">
        <v>44439</v>
      </c>
      <c r="C157" s="3" t="inlineStr">
        <is>
          <t>Liabilities</t>
        </is>
      </c>
      <c r="D157" s="3" t="inlineStr">
        <is>
          <t>9500/000</t>
        </is>
      </c>
      <c r="E157" s="3" t="inlineStr">
        <is>
          <t>Vat / Tax Control Account</t>
        </is>
      </c>
      <c r="F157" s="3" t="n">
        <v>-15100.64</v>
      </c>
      <c r="G157" s="3" t="n">
        <v>3422737.04</v>
      </c>
    </row>
    <row r="158">
      <c r="A158" s="3" t="inlineStr">
        <is>
          <t>Heron Fields (Pty) Ltd</t>
        </is>
      </c>
      <c r="B158" s="4" t="n">
        <v>44469</v>
      </c>
      <c r="C158" s="3" t="inlineStr">
        <is>
          <t>Revenue</t>
        </is>
      </c>
      <c r="D158" s="3" t="inlineStr">
        <is>
          <t>1500/001</t>
        </is>
      </c>
      <c r="E158" s="3" t="inlineStr">
        <is>
          <t>Revaluation of Land</t>
        </is>
      </c>
      <c r="F158" s="3" t="n">
        <v>-20976776.45</v>
      </c>
      <c r="G158" s="3" t="n">
        <v>-21976776.45</v>
      </c>
    </row>
    <row r="159">
      <c r="A159" s="3" t="inlineStr">
        <is>
          <t>Heron Fields (Pty) Ltd</t>
        </is>
      </c>
      <c r="B159" s="4" t="n">
        <v>44469</v>
      </c>
      <c r="C159" s="3" t="inlineStr">
        <is>
          <t>Expenses</t>
        </is>
      </c>
      <c r="D159" s="3" t="inlineStr">
        <is>
          <t>2000/020</t>
        </is>
      </c>
      <c r="E159" s="3" t="inlineStr">
        <is>
          <t>COS - Heron sales office</t>
        </is>
      </c>
      <c r="F159" s="3" t="n">
        <v>3380</v>
      </c>
      <c r="G159" s="3" t="n">
        <v>3380</v>
      </c>
    </row>
    <row r="160">
      <c r="A160" s="3" t="inlineStr">
        <is>
          <t>Heron Fields (Pty) Ltd</t>
        </is>
      </c>
      <c r="B160" s="4" t="n">
        <v>44469</v>
      </c>
      <c r="C160" s="3" t="inlineStr">
        <is>
          <t>Revenue</t>
        </is>
      </c>
      <c r="D160" s="3" t="inlineStr">
        <is>
          <t>2753/001</t>
        </is>
      </c>
      <c r="E160" s="3" t="inlineStr">
        <is>
          <t>Interest Received - Deposit Grey Heron</t>
        </is>
      </c>
      <c r="F160" s="3" t="n">
        <v>0</v>
      </c>
      <c r="G160" s="3" t="n">
        <v>-1245</v>
      </c>
    </row>
    <row r="161">
      <c r="A161" s="3" t="inlineStr">
        <is>
          <t>Heron Fields (Pty) Ltd</t>
        </is>
      </c>
      <c r="B161" s="4" t="n">
        <v>44469</v>
      </c>
      <c r="C161" s="3" t="inlineStr">
        <is>
          <t>Revenue</t>
        </is>
      </c>
      <c r="D161" s="3" t="inlineStr">
        <is>
          <t>2754/001</t>
        </is>
      </c>
      <c r="E161" s="3" t="inlineStr">
        <is>
          <t>Interest Received - STBB Trust Account</t>
        </is>
      </c>
      <c r="F161" s="3" t="n">
        <v>0</v>
      </c>
      <c r="G161" s="3" t="n">
        <v>-149149.4</v>
      </c>
    </row>
    <row r="162">
      <c r="A162" s="3" t="inlineStr">
        <is>
          <t>Heron Fields (Pty) Ltd</t>
        </is>
      </c>
      <c r="B162" s="4" t="n">
        <v>44469</v>
      </c>
      <c r="C162" s="3" t="inlineStr">
        <is>
          <t>Revenue</t>
        </is>
      </c>
      <c r="D162" s="3" t="inlineStr">
        <is>
          <t>2755/001</t>
        </is>
      </c>
      <c r="E162" s="3" t="inlineStr">
        <is>
          <t>Interest Received - Momentum</t>
        </is>
      </c>
      <c r="F162" s="3" t="n">
        <v>-6154.84</v>
      </c>
      <c r="G162" s="3" t="n">
        <v>-6154.84</v>
      </c>
    </row>
    <row r="163">
      <c r="A163" s="3" t="inlineStr">
        <is>
          <t>Heron Fields (Pty) Ltd</t>
        </is>
      </c>
      <c r="B163" s="4" t="n">
        <v>44469</v>
      </c>
      <c r="C163" s="3" t="inlineStr">
        <is>
          <t>Expenses</t>
        </is>
      </c>
      <c r="D163" s="3" t="inlineStr">
        <is>
          <t>3000/100</t>
        </is>
      </c>
      <c r="E163" s="3" t="inlineStr">
        <is>
          <t>Accounting - CIPC</t>
        </is>
      </c>
      <c r="F163" s="3" t="n">
        <v>0</v>
      </c>
      <c r="G163" s="3" t="n">
        <v>100</v>
      </c>
    </row>
    <row r="164">
      <c r="A164" s="3" t="inlineStr">
        <is>
          <t>Heron Fields (Pty) Ltd</t>
        </is>
      </c>
      <c r="B164" s="4" t="n">
        <v>44469</v>
      </c>
      <c r="C164" s="3" t="inlineStr">
        <is>
          <t>Expenses</t>
        </is>
      </c>
      <c r="D164" s="3" t="inlineStr">
        <is>
          <t>3050/000</t>
        </is>
      </c>
      <c r="E164" s="3" t="inlineStr">
        <is>
          <t>Advertising _AND_ Promotions</t>
        </is>
      </c>
      <c r="F164" s="3" t="n">
        <v>3224.52</v>
      </c>
      <c r="G164" s="3" t="n">
        <v>9994.52</v>
      </c>
    </row>
    <row r="165">
      <c r="A165" s="3" t="inlineStr">
        <is>
          <t>Heron Fields (Pty) Ltd</t>
        </is>
      </c>
      <c r="B165" s="4" t="n">
        <v>44469</v>
      </c>
      <c r="C165" s="3" t="inlineStr">
        <is>
          <t>Expenses</t>
        </is>
      </c>
      <c r="D165" s="3" t="inlineStr">
        <is>
          <t>3200/000</t>
        </is>
      </c>
      <c r="E165" s="3" t="inlineStr">
        <is>
          <t>Bank Charges</t>
        </is>
      </c>
      <c r="F165" s="3" t="n">
        <v>303.01</v>
      </c>
      <c r="G165" s="3" t="n">
        <v>1775.72</v>
      </c>
    </row>
    <row r="166">
      <c r="A166" s="3" t="inlineStr">
        <is>
          <t>Heron Fields (Pty) Ltd</t>
        </is>
      </c>
      <c r="B166" s="4" t="n">
        <v>44469</v>
      </c>
      <c r="C166" s="3" t="inlineStr">
        <is>
          <t>Expenses</t>
        </is>
      </c>
      <c r="D166" s="3" t="inlineStr">
        <is>
          <t>3301/000</t>
        </is>
      </c>
      <c r="E166" s="3" t="inlineStr">
        <is>
          <t>Computer Expenses - Xero</t>
        </is>
      </c>
      <c r="F166" s="3" t="n">
        <v>0</v>
      </c>
      <c r="G166" s="3" t="n">
        <v>3000</v>
      </c>
    </row>
    <row r="167">
      <c r="A167" s="3" t="inlineStr">
        <is>
          <t>Heron Fields (Pty) Ltd</t>
        </is>
      </c>
      <c r="B167" s="4" t="n">
        <v>44469</v>
      </c>
      <c r="C167" s="3" t="inlineStr">
        <is>
          <t>Expenses</t>
        </is>
      </c>
      <c r="D167" s="3" t="inlineStr">
        <is>
          <t>3350/100</t>
        </is>
      </c>
      <c r="E167" s="3" t="inlineStr">
        <is>
          <t>Consulting Fees - Admin and Finance</t>
        </is>
      </c>
      <c r="F167" s="3" t="n">
        <v>67385</v>
      </c>
      <c r="G167" s="3" t="n">
        <v>67385</v>
      </c>
    </row>
    <row r="168">
      <c r="A168" s="3" t="inlineStr">
        <is>
          <t>Heron Fields (Pty) Ltd</t>
        </is>
      </c>
      <c r="B168" s="4" t="n">
        <v>44469</v>
      </c>
      <c r="C168" s="3" t="inlineStr">
        <is>
          <t>Expenses</t>
        </is>
      </c>
      <c r="D168" s="3" t="inlineStr">
        <is>
          <t>3351/000</t>
        </is>
      </c>
      <c r="E168" s="3" t="inlineStr">
        <is>
          <t>Consulting fees - Trustee</t>
        </is>
      </c>
      <c r="F168" s="3" t="n">
        <v>5940</v>
      </c>
      <c r="G168" s="3" t="n">
        <v>5940</v>
      </c>
    </row>
    <row r="169">
      <c r="A169" s="3" t="inlineStr">
        <is>
          <t>Heron Fields (Pty) Ltd</t>
        </is>
      </c>
      <c r="B169" s="4" t="n">
        <v>44469</v>
      </c>
      <c r="C169" s="3" t="inlineStr">
        <is>
          <t>Expenses</t>
        </is>
      </c>
      <c r="D169" s="3" t="inlineStr">
        <is>
          <t>3650/000</t>
        </is>
      </c>
      <c r="E169" s="3" t="inlineStr">
        <is>
          <t>CoCT - Electricity</t>
        </is>
      </c>
      <c r="F169" s="3" t="n">
        <v>2300.82</v>
      </c>
      <c r="G169" s="3" t="n">
        <v>8260.620000000001</v>
      </c>
    </row>
    <row r="170">
      <c r="A170" s="3" t="inlineStr">
        <is>
          <t>Heron Fields (Pty) Ltd</t>
        </is>
      </c>
      <c r="B170" s="4" t="n">
        <v>44469</v>
      </c>
      <c r="C170" s="3" t="inlineStr">
        <is>
          <t>Expenses</t>
        </is>
      </c>
      <c r="D170" s="3" t="inlineStr">
        <is>
          <t>3660/000</t>
        </is>
      </c>
      <c r="E170" s="3" t="inlineStr">
        <is>
          <t>CoCT - Water</t>
        </is>
      </c>
      <c r="F170" s="3" t="n">
        <v>544.08</v>
      </c>
      <c r="G170" s="3" t="n">
        <v>1034.9</v>
      </c>
    </row>
    <row r="171">
      <c r="A171" s="3" t="inlineStr">
        <is>
          <t>Heron Fields (Pty) Ltd</t>
        </is>
      </c>
      <c r="B171" s="4" t="n">
        <v>44469</v>
      </c>
      <c r="C171" s="3" t="inlineStr">
        <is>
          <t>Expenses</t>
        </is>
      </c>
      <c r="D171" s="3" t="inlineStr">
        <is>
          <t>3700/000</t>
        </is>
      </c>
      <c r="E171" s="3" t="inlineStr">
        <is>
          <t>Entertainment Expenses</t>
        </is>
      </c>
      <c r="F171" s="3" t="n">
        <v>0</v>
      </c>
      <c r="G171" s="3" t="n">
        <v>250</v>
      </c>
    </row>
    <row r="172">
      <c r="A172" s="3" t="inlineStr">
        <is>
          <t>Heron Fields (Pty) Ltd</t>
        </is>
      </c>
      <c r="B172" s="4" t="n">
        <v>44469</v>
      </c>
      <c r="C172" s="3" t="inlineStr">
        <is>
          <t>Expenses</t>
        </is>
      </c>
      <c r="D172" s="3" t="inlineStr">
        <is>
          <t>4100/001</t>
        </is>
      </c>
      <c r="E172" s="3" t="inlineStr">
        <is>
          <t>Momentum Admin Fee</t>
        </is>
      </c>
      <c r="F172" s="3" t="n">
        <v>18131.87</v>
      </c>
      <c r="G172" s="3" t="n">
        <v>18131.87</v>
      </c>
    </row>
    <row r="173">
      <c r="A173" s="3" t="inlineStr">
        <is>
          <t>Heron Fields (Pty) Ltd</t>
        </is>
      </c>
      <c r="B173" s="4" t="n">
        <v>44469</v>
      </c>
      <c r="C173" s="3" t="inlineStr">
        <is>
          <t>Expenses</t>
        </is>
      </c>
      <c r="D173" s="3" t="inlineStr">
        <is>
          <t>4200/000</t>
        </is>
      </c>
      <c r="E173" s="3" t="inlineStr">
        <is>
          <t>Printing _AND_ Stationery</t>
        </is>
      </c>
      <c r="F173" s="3" t="n">
        <v>0</v>
      </c>
      <c r="G173" s="3" t="n">
        <v>765</v>
      </c>
    </row>
    <row r="174">
      <c r="A174" s="3" t="inlineStr">
        <is>
          <t>Heron Fields (Pty) Ltd</t>
        </is>
      </c>
      <c r="B174" s="4" t="n">
        <v>44469</v>
      </c>
      <c r="C174" s="3" t="inlineStr">
        <is>
          <t>Expenses</t>
        </is>
      </c>
      <c r="D174" s="3" t="inlineStr">
        <is>
          <t>4310/000</t>
        </is>
      </c>
      <c r="E174" s="3" t="inlineStr">
        <is>
          <t>Rates - Heron</t>
        </is>
      </c>
      <c r="F174" s="3" t="n">
        <v>3067.87</v>
      </c>
      <c r="G174" s="3" t="n">
        <v>11947.89</v>
      </c>
    </row>
    <row r="175">
      <c r="A175" s="3" t="inlineStr">
        <is>
          <t>Heron Fields (Pty) Ltd</t>
        </is>
      </c>
      <c r="B175" s="4" t="n">
        <v>44469</v>
      </c>
      <c r="C175" s="3" t="inlineStr">
        <is>
          <t>Expenses</t>
        </is>
      </c>
      <c r="D175" s="3" t="inlineStr">
        <is>
          <t>4350/000</t>
        </is>
      </c>
      <c r="E175" s="3" t="inlineStr">
        <is>
          <t>Repairs _AND_ Maintenance</t>
        </is>
      </c>
      <c r="F175" s="3" t="n">
        <v>250</v>
      </c>
      <c r="G175" s="3" t="n">
        <v>250</v>
      </c>
    </row>
    <row r="176">
      <c r="A176" s="3" t="inlineStr">
        <is>
          <t>Heron Fields (Pty) Ltd</t>
        </is>
      </c>
      <c r="B176" s="4" t="n">
        <v>44469</v>
      </c>
      <c r="C176" s="3" t="inlineStr">
        <is>
          <t>Expenses</t>
        </is>
      </c>
      <c r="D176" s="3" t="inlineStr">
        <is>
          <t>4410/000</t>
        </is>
      </c>
      <c r="E176" s="3" t="inlineStr">
        <is>
          <t>Secretarial fees</t>
        </is>
      </c>
      <c r="F176" s="3" t="n">
        <v>14900</v>
      </c>
      <c r="G176" s="3" t="n">
        <v>17000</v>
      </c>
    </row>
    <row r="177">
      <c r="A177" s="3" t="inlineStr">
        <is>
          <t>Heron Fields (Pty) Ltd</t>
        </is>
      </c>
      <c r="B177" s="4" t="n">
        <v>44469</v>
      </c>
      <c r="C177" s="3" t="inlineStr">
        <is>
          <t>Expenses</t>
        </is>
      </c>
      <c r="D177" s="3" t="inlineStr">
        <is>
          <t>4420/001</t>
        </is>
      </c>
      <c r="E177" s="3" t="inlineStr">
        <is>
          <t>Security - ADT</t>
        </is>
      </c>
      <c r="F177" s="3" t="n">
        <v>278.26</v>
      </c>
      <c r="G177" s="3" t="n">
        <v>1357.23</v>
      </c>
    </row>
    <row r="178">
      <c r="A178" s="3" t="inlineStr">
        <is>
          <t>Heron Fields (Pty) Ltd</t>
        </is>
      </c>
      <c r="B178" s="4" t="n">
        <v>44469</v>
      </c>
      <c r="C178" s="3" t="inlineStr">
        <is>
          <t>Expenses</t>
        </is>
      </c>
      <c r="D178" s="3" t="inlineStr">
        <is>
          <t>4550/100</t>
        </is>
      </c>
      <c r="E178" s="3" t="inlineStr">
        <is>
          <t>Subscriptions - Xero</t>
        </is>
      </c>
      <c r="F178" s="3" t="n">
        <v>550</v>
      </c>
      <c r="G178" s="3" t="n">
        <v>1650</v>
      </c>
    </row>
    <row r="179">
      <c r="A179" s="3" t="inlineStr">
        <is>
          <t>Heron Fields (Pty) Ltd</t>
        </is>
      </c>
      <c r="B179" s="4" t="n">
        <v>44469</v>
      </c>
      <c r="C179" s="3" t="inlineStr">
        <is>
          <t>Equity</t>
        </is>
      </c>
      <c r="D179" s="3" t="inlineStr">
        <is>
          <t>5100-000</t>
        </is>
      </c>
      <c r="E179" s="3" t="inlineStr">
        <is>
          <t>Share Capital</t>
        </is>
      </c>
      <c r="F179" s="3" t="n">
        <v>0</v>
      </c>
      <c r="G179" s="3" t="n">
        <v>-100</v>
      </c>
    </row>
    <row r="180">
      <c r="A180" s="3" t="inlineStr">
        <is>
          <t>Heron Fields (Pty) Ltd</t>
        </is>
      </c>
      <c r="B180" s="4" t="n">
        <v>44469</v>
      </c>
      <c r="C180" s="3" t="inlineStr">
        <is>
          <t>Assets</t>
        </is>
      </c>
      <c r="D180" s="3" t="inlineStr">
        <is>
          <t>5300/001</t>
        </is>
      </c>
      <c r="E180" s="3" t="inlineStr">
        <is>
          <t>Revaluation of Land stock</t>
        </is>
      </c>
      <c r="F180" s="3" t="n">
        <v>20976776.45</v>
      </c>
      <c r="G180" s="3" t="n">
        <v>21976776.45</v>
      </c>
    </row>
    <row r="181">
      <c r="A181" s="3" t="inlineStr">
        <is>
          <t>Heron Fields (Pty) Ltd</t>
        </is>
      </c>
      <c r="B181" s="4" t="n">
        <v>44469</v>
      </c>
      <c r="C181" s="3" t="inlineStr">
        <is>
          <t>Liabilities</t>
        </is>
      </c>
      <c r="D181" s="3" t="inlineStr">
        <is>
          <t>5500/010</t>
        </is>
      </c>
      <c r="E181" s="3" t="inlineStr">
        <is>
          <t>Loan - Quinate</t>
        </is>
      </c>
      <c r="F181" s="3" t="n">
        <v>-14900</v>
      </c>
      <c r="G181" s="3" t="n">
        <v>-14900</v>
      </c>
    </row>
    <row r="182">
      <c r="A182" s="3" t="inlineStr">
        <is>
          <t>Heron Fields (Pty) Ltd</t>
        </is>
      </c>
      <c r="B182" s="4" t="n">
        <v>44469</v>
      </c>
      <c r="C182" s="3" t="inlineStr">
        <is>
          <t>Liabilities</t>
        </is>
      </c>
      <c r="D182" s="3" t="inlineStr">
        <is>
          <t>5500/020</t>
        </is>
      </c>
      <c r="E182" s="3" t="inlineStr">
        <is>
          <t>Loan - Cape Projects Construction</t>
        </is>
      </c>
      <c r="F182" s="3" t="n">
        <v>18850</v>
      </c>
      <c r="G182" s="3" t="n">
        <v>18850</v>
      </c>
    </row>
    <row r="183">
      <c r="A183" s="3" t="inlineStr">
        <is>
          <t>Heron Fields (Pty) Ltd</t>
        </is>
      </c>
      <c r="B183" s="4" t="n">
        <v>44469</v>
      </c>
      <c r="C183" s="3" t="inlineStr">
        <is>
          <t>Liabilities</t>
        </is>
      </c>
      <c r="D183" s="3" t="inlineStr">
        <is>
          <t>5500/030</t>
        </is>
      </c>
      <c r="E183" s="3" t="inlineStr">
        <is>
          <t>Loan - Opportunity Global Investments</t>
        </is>
      </c>
      <c r="F183" s="3" t="n">
        <v>-2600</v>
      </c>
      <c r="G183" s="3" t="n">
        <v>-30600</v>
      </c>
    </row>
    <row r="184">
      <c r="A184" s="3" t="inlineStr">
        <is>
          <t>Heron Fields (Pty) Ltd</t>
        </is>
      </c>
      <c r="B184" s="4" t="n">
        <v>44469</v>
      </c>
      <c r="C184" s="3" t="inlineStr">
        <is>
          <t>Liabilities</t>
        </is>
      </c>
      <c r="D184" s="3" t="inlineStr">
        <is>
          <t>5500/040</t>
        </is>
      </c>
      <c r="E184" s="3" t="inlineStr">
        <is>
          <t>Loan - Trademark</t>
        </is>
      </c>
      <c r="F184" s="3" t="n">
        <v>-3635</v>
      </c>
      <c r="G184" s="3" t="n">
        <v>-3635</v>
      </c>
    </row>
    <row r="185">
      <c r="A185" s="3" t="inlineStr">
        <is>
          <t>Heron Fields (Pty) Ltd</t>
        </is>
      </c>
      <c r="B185" s="4" t="n">
        <v>44469</v>
      </c>
      <c r="C185" s="3" t="inlineStr">
        <is>
          <t>Assets</t>
        </is>
      </c>
      <c r="D185" s="3" t="inlineStr">
        <is>
          <t>7620/100</t>
        </is>
      </c>
      <c r="E185" s="3" t="inlineStr">
        <is>
          <t>Heron View Land</t>
        </is>
      </c>
      <c r="F185" s="3" t="n">
        <v>0</v>
      </c>
      <c r="G185" s="3" t="n">
        <v>26200000</v>
      </c>
    </row>
    <row r="186">
      <c r="A186" s="3" t="inlineStr">
        <is>
          <t>Heron Fields (Pty) Ltd</t>
        </is>
      </c>
      <c r="B186" s="4" t="n">
        <v>44469</v>
      </c>
      <c r="C186" s="3" t="inlineStr">
        <is>
          <t>Assets</t>
        </is>
      </c>
      <c r="D186" s="3" t="inlineStr">
        <is>
          <t>7620/101</t>
        </is>
      </c>
      <c r="E186" s="3" t="inlineStr">
        <is>
          <t>HF CIP Bond Registration Fee</t>
        </is>
      </c>
      <c r="F186" s="3" t="n">
        <v>0</v>
      </c>
      <c r="G186" s="3" t="n">
        <v>68427</v>
      </c>
    </row>
    <row r="187">
      <c r="A187" s="3" t="inlineStr">
        <is>
          <t>Heron Fields (Pty) Ltd</t>
        </is>
      </c>
      <c r="B187" s="4" t="n">
        <v>44469</v>
      </c>
      <c r="C187" s="3" t="inlineStr">
        <is>
          <t>Assets</t>
        </is>
      </c>
      <c r="D187" s="3" t="inlineStr">
        <is>
          <t>7620/102</t>
        </is>
      </c>
      <c r="E187" s="3" t="inlineStr">
        <is>
          <t>HF CIP Transfer Fee</t>
        </is>
      </c>
      <c r="F187" s="3" t="n">
        <v>0</v>
      </c>
      <c r="G187" s="3" t="n">
        <v>103812</v>
      </c>
    </row>
    <row r="188">
      <c r="A188" s="3" t="inlineStr">
        <is>
          <t>Heron Fields (Pty) Ltd</t>
        </is>
      </c>
      <c r="B188" s="4" t="n">
        <v>44469</v>
      </c>
      <c r="C188" s="3" t="inlineStr">
        <is>
          <t>Assets</t>
        </is>
      </c>
      <c r="D188" s="3" t="inlineStr">
        <is>
          <t>7620/220</t>
        </is>
      </c>
      <c r="E188" s="3" t="inlineStr">
        <is>
          <t>HF CIP Architectural Designs</t>
        </is>
      </c>
      <c r="F188" s="3" t="n">
        <v>0</v>
      </c>
      <c r="G188" s="3" t="n">
        <v>120000</v>
      </c>
    </row>
    <row r="189">
      <c r="A189" s="3" t="inlineStr">
        <is>
          <t>Heron Fields (Pty) Ltd</t>
        </is>
      </c>
      <c r="B189" s="4" t="n">
        <v>44469</v>
      </c>
      <c r="C189" s="3" t="inlineStr">
        <is>
          <t>Assets</t>
        </is>
      </c>
      <c r="D189" s="3" t="inlineStr">
        <is>
          <t>7620/240</t>
        </is>
      </c>
      <c r="E189" s="3" t="inlineStr">
        <is>
          <t>HF CIP Civil Engineering</t>
        </is>
      </c>
      <c r="F189" s="3" t="n">
        <v>31500</v>
      </c>
      <c r="G189" s="3" t="n">
        <v>421500</v>
      </c>
    </row>
    <row r="190">
      <c r="A190" s="3" t="inlineStr">
        <is>
          <t>Heron Fields (Pty) Ltd</t>
        </is>
      </c>
      <c r="B190" s="4" t="n">
        <v>44469</v>
      </c>
      <c r="C190" s="3" t="inlineStr">
        <is>
          <t>Assets</t>
        </is>
      </c>
      <c r="D190" s="3" t="inlineStr">
        <is>
          <t>7620/250</t>
        </is>
      </c>
      <c r="E190" s="3" t="inlineStr">
        <is>
          <t>HF CIP Land Surveyor</t>
        </is>
      </c>
      <c r="F190" s="3" t="n">
        <v>0</v>
      </c>
      <c r="G190" s="3" t="n">
        <v>4510</v>
      </c>
    </row>
    <row r="191">
      <c r="A191" s="3" t="inlineStr">
        <is>
          <t>Heron Fields (Pty) Ltd</t>
        </is>
      </c>
      <c r="B191" s="4" t="n">
        <v>44469</v>
      </c>
      <c r="C191" s="3" t="inlineStr">
        <is>
          <t>Assets</t>
        </is>
      </c>
      <c r="D191" s="3" t="inlineStr">
        <is>
          <t>7620/255</t>
        </is>
      </c>
      <c r="E191" s="3" t="inlineStr">
        <is>
          <t>HF CIP Landscaping</t>
        </is>
      </c>
      <c r="F191" s="3" t="n">
        <v>0</v>
      </c>
      <c r="G191" s="3" t="n">
        <v>7500</v>
      </c>
    </row>
    <row r="192">
      <c r="A192" s="3" t="inlineStr">
        <is>
          <t>Heron Fields (Pty) Ltd</t>
        </is>
      </c>
      <c r="B192" s="4" t="n">
        <v>44469</v>
      </c>
      <c r="C192" s="3" t="inlineStr">
        <is>
          <t>Assets</t>
        </is>
      </c>
      <c r="D192" s="3" t="inlineStr">
        <is>
          <t>7620/260</t>
        </is>
      </c>
      <c r="E192" s="3" t="inlineStr">
        <is>
          <t>HF CIP Mechanical Engineers</t>
        </is>
      </c>
      <c r="F192" s="3" t="n">
        <v>0</v>
      </c>
      <c r="G192" s="3" t="n">
        <v>39000</v>
      </c>
    </row>
    <row r="193">
      <c r="A193" s="3" t="inlineStr">
        <is>
          <t>Heron Fields (Pty) Ltd</t>
        </is>
      </c>
      <c r="B193" s="4" t="n">
        <v>44469</v>
      </c>
      <c r="C193" s="3" t="inlineStr">
        <is>
          <t>Assets</t>
        </is>
      </c>
      <c r="D193" s="3" t="inlineStr">
        <is>
          <t>7620/270</t>
        </is>
      </c>
      <c r="E193" s="3" t="inlineStr">
        <is>
          <t>HF CIP Geotechnical</t>
        </is>
      </c>
      <c r="F193" s="3" t="n">
        <v>0</v>
      </c>
      <c r="G193" s="3" t="n">
        <v>15175</v>
      </c>
    </row>
    <row r="194">
      <c r="A194" s="3" t="inlineStr">
        <is>
          <t>Heron Fields (Pty) Ltd</t>
        </is>
      </c>
      <c r="B194" s="4" t="n">
        <v>44469</v>
      </c>
      <c r="C194" s="3" t="inlineStr">
        <is>
          <t>Assets</t>
        </is>
      </c>
      <c r="D194" s="3" t="inlineStr">
        <is>
          <t>7620/280</t>
        </is>
      </c>
      <c r="E194" s="3" t="inlineStr">
        <is>
          <t>HF CIP Site Establishment</t>
        </is>
      </c>
      <c r="F194" s="3" t="n">
        <v>0</v>
      </c>
      <c r="G194" s="3" t="n">
        <v>23034.26</v>
      </c>
    </row>
    <row r="195">
      <c r="A195" s="3" t="inlineStr">
        <is>
          <t>Heron Fields (Pty) Ltd</t>
        </is>
      </c>
      <c r="B195" s="4" t="n">
        <v>44469</v>
      </c>
      <c r="C195" s="3" t="inlineStr">
        <is>
          <t>Assets</t>
        </is>
      </c>
      <c r="D195" s="3" t="inlineStr">
        <is>
          <t>7620/285</t>
        </is>
      </c>
      <c r="E195" s="3" t="inlineStr">
        <is>
          <t>HF CIP Structuring Fee - Invest</t>
        </is>
      </c>
      <c r="F195" s="3" t="n">
        <v>0</v>
      </c>
      <c r="G195" s="3" t="n">
        <v>1363107.22</v>
      </c>
    </row>
    <row r="196">
      <c r="A196" s="3" t="inlineStr">
        <is>
          <t>Heron Fields (Pty) Ltd</t>
        </is>
      </c>
      <c r="B196" s="4" t="n">
        <v>44469</v>
      </c>
      <c r="C196" s="3" t="inlineStr">
        <is>
          <t>Assets</t>
        </is>
      </c>
      <c r="D196" s="3" t="inlineStr">
        <is>
          <t>7620/287</t>
        </is>
      </c>
      <c r="E196" s="3" t="inlineStr">
        <is>
          <t>HF CIP Structuring Fee - Development</t>
        </is>
      </c>
      <c r="F196" s="3" t="n">
        <v>0</v>
      </c>
      <c r="G196" s="3" t="n">
        <v>782608.0699999999</v>
      </c>
    </row>
    <row r="197">
      <c r="A197" s="3" t="inlineStr">
        <is>
          <t>Heron Fields (Pty) Ltd</t>
        </is>
      </c>
      <c r="B197" s="4" t="n">
        <v>44469</v>
      </c>
      <c r="C197" s="3" t="inlineStr">
        <is>
          <t>Assets</t>
        </is>
      </c>
      <c r="D197" s="3" t="inlineStr">
        <is>
          <t>7620/290</t>
        </is>
      </c>
      <c r="E197" s="3" t="inlineStr">
        <is>
          <t>HF CIP Town Planning</t>
        </is>
      </c>
      <c r="F197" s="3" t="n">
        <v>6400</v>
      </c>
      <c r="G197" s="3" t="n">
        <v>129550</v>
      </c>
    </row>
    <row r="198">
      <c r="A198" s="3" t="inlineStr">
        <is>
          <t>Heron Fields (Pty) Ltd</t>
        </is>
      </c>
      <c r="B198" s="4" t="n">
        <v>44469</v>
      </c>
      <c r="C198" s="3" t="inlineStr">
        <is>
          <t>Assets</t>
        </is>
      </c>
      <c r="D198" s="3" t="inlineStr">
        <is>
          <t>7620/295</t>
        </is>
      </c>
      <c r="E198" s="3" t="inlineStr">
        <is>
          <t>HF CIP Traffic Planning</t>
        </is>
      </c>
      <c r="F198" s="3" t="n">
        <v>0</v>
      </c>
      <c r="G198" s="3" t="n">
        <v>45000</v>
      </c>
    </row>
    <row r="199">
      <c r="A199" s="3" t="inlineStr">
        <is>
          <t>Heron Fields (Pty) Ltd</t>
        </is>
      </c>
      <c r="B199" s="4" t="n">
        <v>44469</v>
      </c>
      <c r="C199" s="3" t="inlineStr">
        <is>
          <t>Assets</t>
        </is>
      </c>
      <c r="D199" s="3" t="inlineStr">
        <is>
          <t>8200/200</t>
        </is>
      </c>
      <c r="E199" s="3" t="inlineStr">
        <is>
          <t>Sundry Debtor - Quinate</t>
        </is>
      </c>
      <c r="F199" s="3" t="n">
        <v>300000</v>
      </c>
      <c r="G199" s="3" t="n">
        <v>300000</v>
      </c>
    </row>
    <row r="200">
      <c r="A200" s="3" t="inlineStr">
        <is>
          <t>Heron Fields (Pty) Ltd</t>
        </is>
      </c>
      <c r="B200" s="4" t="n">
        <v>44469</v>
      </c>
      <c r="C200" s="3" t="inlineStr">
        <is>
          <t>Assets</t>
        </is>
      </c>
      <c r="D200" s="3" t="inlineStr">
        <is>
          <t>8400/000</t>
        </is>
      </c>
      <c r="E200" s="3" t="inlineStr">
        <is>
          <t>RMB - 62882379087</t>
        </is>
      </c>
      <c r="F200" s="3" t="n">
        <v>-86186.02</v>
      </c>
      <c r="G200" s="3" t="n">
        <v>2006.16</v>
      </c>
    </row>
    <row r="201">
      <c r="A201" s="3" t="inlineStr">
        <is>
          <t>Heron Fields (Pty) Ltd</t>
        </is>
      </c>
      <c r="B201" s="4" t="n">
        <v>44469</v>
      </c>
      <c r="C201" s="3" t="inlineStr">
        <is>
          <t>Assets</t>
        </is>
      </c>
      <c r="D201" s="3" t="inlineStr">
        <is>
          <t>8430/000</t>
        </is>
      </c>
      <c r="E201" s="3" t="inlineStr">
        <is>
          <t>Momentum Private Account RU502230151</t>
        </is>
      </c>
      <c r="F201" s="3" t="n">
        <v>-5.27</v>
      </c>
      <c r="G201" s="3" t="n">
        <v>494.73</v>
      </c>
    </row>
    <row r="202">
      <c r="A202" s="3" t="inlineStr">
        <is>
          <t>Heron Fields (Pty) Ltd</t>
        </is>
      </c>
      <c r="B202" s="4" t="n">
        <v>44469</v>
      </c>
      <c r="C202" s="3" t="inlineStr">
        <is>
          <t>Assets</t>
        </is>
      </c>
      <c r="D202" s="3" t="inlineStr">
        <is>
          <t>8440/000</t>
        </is>
      </c>
      <c r="E202" s="3" t="inlineStr">
        <is>
          <t>Momentum Investors Account RU502229930</t>
        </is>
      </c>
      <c r="F202" s="3" t="n">
        <v>2785308.45</v>
      </c>
      <c r="G202" s="3" t="n">
        <v>3785808.45</v>
      </c>
    </row>
    <row r="203">
      <c r="A203" s="3" t="inlineStr">
        <is>
          <t>Heron Fields (Pty) Ltd</t>
        </is>
      </c>
      <c r="B203" s="4" t="n">
        <v>44469</v>
      </c>
      <c r="C203" s="3" t="inlineStr">
        <is>
          <t>Liabilities</t>
        </is>
      </c>
      <c r="D203" s="3" t="inlineStr">
        <is>
          <t>9000/000</t>
        </is>
      </c>
      <c r="E203" s="3" t="inlineStr">
        <is>
          <t>Supplier Control Account</t>
        </is>
      </c>
      <c r="F203" s="3" t="n">
        <v>-3159208.64</v>
      </c>
      <c r="G203" s="3" t="n">
        <v>-36809934.33</v>
      </c>
    </row>
    <row r="204">
      <c r="A204" s="3" t="inlineStr">
        <is>
          <t>Heron Fields (Pty) Ltd</t>
        </is>
      </c>
      <c r="B204" s="4" t="n">
        <v>44469</v>
      </c>
      <c r="C204" s="3" t="inlineStr">
        <is>
          <t>Liabilities</t>
        </is>
      </c>
      <c r="D204" s="3" t="inlineStr">
        <is>
          <t>9500/000</t>
        </is>
      </c>
      <c r="E204" s="3" t="inlineStr">
        <is>
          <t>Vat / Tax Control Account</t>
        </is>
      </c>
      <c r="F204" s="3" t="n">
        <v>10375.89</v>
      </c>
      <c r="G204" s="3" t="n">
        <v>3433112.93</v>
      </c>
    </row>
    <row r="205">
      <c r="A205" s="3" t="inlineStr">
        <is>
          <t>Heron Fields (Pty) Ltd</t>
        </is>
      </c>
      <c r="B205" s="4" t="n">
        <v>44500</v>
      </c>
      <c r="C205" s="3" t="inlineStr">
        <is>
          <t>Revenue</t>
        </is>
      </c>
      <c r="D205" s="3" t="inlineStr">
        <is>
          <t>1500/001</t>
        </is>
      </c>
      <c r="E205" s="3" t="inlineStr">
        <is>
          <t>Revaluation of Land</t>
        </is>
      </c>
      <c r="F205" s="3" t="n">
        <v>2263732.77</v>
      </c>
      <c r="G205" s="3" t="n">
        <v>-19713043.68</v>
      </c>
    </row>
    <row r="206">
      <c r="A206" s="3" t="inlineStr">
        <is>
          <t>Heron Fields (Pty) Ltd</t>
        </is>
      </c>
      <c r="B206" s="4" t="n">
        <v>44500</v>
      </c>
      <c r="C206" s="3" t="inlineStr">
        <is>
          <t>Expenses</t>
        </is>
      </c>
      <c r="D206" s="3" t="inlineStr">
        <is>
          <t>2000/020</t>
        </is>
      </c>
      <c r="E206" s="3" t="inlineStr">
        <is>
          <t>COS - Heron sales office</t>
        </is>
      </c>
      <c r="F206" s="3" t="n">
        <v>2850</v>
      </c>
      <c r="G206" s="3" t="n">
        <v>6230</v>
      </c>
    </row>
    <row r="207">
      <c r="A207" s="3" t="inlineStr">
        <is>
          <t>Heron Fields (Pty) Ltd</t>
        </is>
      </c>
      <c r="B207" s="4" t="n">
        <v>44500</v>
      </c>
      <c r="C207" s="3" t="inlineStr">
        <is>
          <t>Revenue</t>
        </is>
      </c>
      <c r="D207" s="3" t="inlineStr">
        <is>
          <t>2753/001</t>
        </is>
      </c>
      <c r="E207" s="3" t="inlineStr">
        <is>
          <t>Interest Received - Deposit Grey Heron</t>
        </is>
      </c>
      <c r="F207" s="3" t="n">
        <v>0</v>
      </c>
      <c r="G207" s="3" t="n">
        <v>-1245</v>
      </c>
    </row>
    <row r="208">
      <c r="A208" s="3" t="inlineStr">
        <is>
          <t>Heron Fields (Pty) Ltd</t>
        </is>
      </c>
      <c r="B208" s="4" t="n">
        <v>44500</v>
      </c>
      <c r="C208" s="3" t="inlineStr">
        <is>
          <t>Revenue</t>
        </is>
      </c>
      <c r="D208" s="3" t="inlineStr">
        <is>
          <t>2754/001</t>
        </is>
      </c>
      <c r="E208" s="3" t="inlineStr">
        <is>
          <t>Interest Received - STBB Trust Account</t>
        </is>
      </c>
      <c r="F208" s="3" t="n">
        <v>0</v>
      </c>
      <c r="G208" s="3" t="n">
        <v>-149149.4</v>
      </c>
    </row>
    <row r="209">
      <c r="A209" s="3" t="inlineStr">
        <is>
          <t>Heron Fields (Pty) Ltd</t>
        </is>
      </c>
      <c r="B209" s="4" t="n">
        <v>44500</v>
      </c>
      <c r="C209" s="3" t="inlineStr">
        <is>
          <t>Revenue</t>
        </is>
      </c>
      <c r="D209" s="3" t="inlineStr">
        <is>
          <t>2755/001</t>
        </is>
      </c>
      <c r="E209" s="3" t="inlineStr">
        <is>
          <t>Interest Received - Momentum</t>
        </is>
      </c>
      <c r="F209" s="3" t="n">
        <v>-34679.27</v>
      </c>
      <c r="G209" s="3" t="n">
        <v>-40834.11</v>
      </c>
    </row>
    <row r="210">
      <c r="A210" s="3" t="inlineStr">
        <is>
          <t>Heron Fields (Pty) Ltd</t>
        </is>
      </c>
      <c r="B210" s="4" t="n">
        <v>44500</v>
      </c>
      <c r="C210" s="3" t="inlineStr">
        <is>
          <t>Expenses</t>
        </is>
      </c>
      <c r="D210" s="3" t="inlineStr">
        <is>
          <t>3000/100</t>
        </is>
      </c>
      <c r="E210" s="3" t="inlineStr">
        <is>
          <t>Accounting - CIPC</t>
        </is>
      </c>
      <c r="F210" s="3" t="n">
        <v>0</v>
      </c>
      <c r="G210" s="3" t="n">
        <v>100</v>
      </c>
    </row>
    <row r="211">
      <c r="A211" s="3" t="inlineStr">
        <is>
          <t>Heron Fields (Pty) Ltd</t>
        </is>
      </c>
      <c r="B211" s="4" t="n">
        <v>44500</v>
      </c>
      <c r="C211" s="3" t="inlineStr">
        <is>
          <t>Expenses</t>
        </is>
      </c>
      <c r="D211" s="3" t="inlineStr">
        <is>
          <t>3050/000</t>
        </is>
      </c>
      <c r="E211" s="3" t="inlineStr">
        <is>
          <t>Advertising _AND_ Promotions</t>
        </is>
      </c>
      <c r="F211" s="3" t="n">
        <v>36211</v>
      </c>
      <c r="G211" s="3" t="n">
        <v>46205.52</v>
      </c>
    </row>
    <row r="212">
      <c r="A212" s="3" t="inlineStr">
        <is>
          <t>Heron Fields (Pty) Ltd</t>
        </is>
      </c>
      <c r="B212" s="4" t="n">
        <v>44500</v>
      </c>
      <c r="C212" s="3" t="inlineStr">
        <is>
          <t>Expenses</t>
        </is>
      </c>
      <c r="D212" s="3" t="inlineStr">
        <is>
          <t>3200/000</t>
        </is>
      </c>
      <c r="E212" s="3" t="inlineStr">
        <is>
          <t>Bank Charges</t>
        </is>
      </c>
      <c r="F212" s="3" t="n">
        <v>411.55</v>
      </c>
      <c r="G212" s="3" t="n">
        <v>2187.27</v>
      </c>
    </row>
    <row r="213">
      <c r="A213" s="3" t="inlineStr">
        <is>
          <t>Heron Fields (Pty) Ltd</t>
        </is>
      </c>
      <c r="B213" s="4" t="n">
        <v>44500</v>
      </c>
      <c r="C213" s="3" t="inlineStr">
        <is>
          <t>Expenses</t>
        </is>
      </c>
      <c r="D213" s="3" t="inlineStr">
        <is>
          <t>3301/000</t>
        </is>
      </c>
      <c r="E213" s="3" t="inlineStr">
        <is>
          <t>Computer Expenses - Xero</t>
        </is>
      </c>
      <c r="F213" s="3" t="n">
        <v>0</v>
      </c>
      <c r="G213" s="3" t="n">
        <v>3000</v>
      </c>
    </row>
    <row r="214">
      <c r="A214" s="3" t="inlineStr">
        <is>
          <t>Heron Fields (Pty) Ltd</t>
        </is>
      </c>
      <c r="B214" s="4" t="n">
        <v>44500</v>
      </c>
      <c r="C214" s="3" t="inlineStr">
        <is>
          <t>Expenses</t>
        </is>
      </c>
      <c r="D214" s="3" t="inlineStr">
        <is>
          <t>3350/100</t>
        </is>
      </c>
      <c r="E214" s="3" t="inlineStr">
        <is>
          <t>Consulting Fees - Admin and Finance</t>
        </is>
      </c>
      <c r="F214" s="3" t="n">
        <v>73220.73</v>
      </c>
      <c r="G214" s="3" t="n">
        <v>140605.73</v>
      </c>
    </row>
    <row r="215">
      <c r="A215" s="3" t="inlineStr">
        <is>
          <t>Heron Fields (Pty) Ltd</t>
        </is>
      </c>
      <c r="B215" s="4" t="n">
        <v>44500</v>
      </c>
      <c r="C215" s="3" t="inlineStr">
        <is>
          <t>Expenses</t>
        </is>
      </c>
      <c r="D215" s="3" t="inlineStr">
        <is>
          <t>3351/000</t>
        </is>
      </c>
      <c r="E215" s="3" t="inlineStr">
        <is>
          <t>Consulting fees - Trustee</t>
        </is>
      </c>
      <c r="F215" s="3" t="n">
        <v>7568</v>
      </c>
      <c r="G215" s="3" t="n">
        <v>13508</v>
      </c>
    </row>
    <row r="216">
      <c r="A216" s="3" t="inlineStr">
        <is>
          <t>Heron Fields (Pty) Ltd</t>
        </is>
      </c>
      <c r="B216" s="4" t="n">
        <v>44500</v>
      </c>
      <c r="C216" s="3" t="inlineStr">
        <is>
          <t>Expenses</t>
        </is>
      </c>
      <c r="D216" s="3" t="inlineStr">
        <is>
          <t>3650/000</t>
        </is>
      </c>
      <c r="E216" s="3" t="inlineStr">
        <is>
          <t>CoCT - Electricity</t>
        </is>
      </c>
      <c r="F216" s="3" t="n">
        <v>2325.02</v>
      </c>
      <c r="G216" s="3" t="n">
        <v>10585.64</v>
      </c>
    </row>
    <row r="217">
      <c r="A217" s="3" t="inlineStr">
        <is>
          <t>Heron Fields (Pty) Ltd</t>
        </is>
      </c>
      <c r="B217" s="4" t="n">
        <v>44500</v>
      </c>
      <c r="C217" s="3" t="inlineStr">
        <is>
          <t>Expenses</t>
        </is>
      </c>
      <c r="D217" s="3" t="inlineStr">
        <is>
          <t>3660/000</t>
        </is>
      </c>
      <c r="E217" s="3" t="inlineStr">
        <is>
          <t>CoCT - Water</t>
        </is>
      </c>
      <c r="F217" s="3" t="n">
        <v>345.35</v>
      </c>
      <c r="G217" s="3" t="n">
        <v>1380.25</v>
      </c>
    </row>
    <row r="218">
      <c r="A218" s="3" t="inlineStr">
        <is>
          <t>Heron Fields (Pty) Ltd</t>
        </is>
      </c>
      <c r="B218" s="4" t="n">
        <v>44500</v>
      </c>
      <c r="C218" s="3" t="inlineStr">
        <is>
          <t>Expenses</t>
        </is>
      </c>
      <c r="D218" s="3" t="inlineStr">
        <is>
          <t>3700/000</t>
        </is>
      </c>
      <c r="E218" s="3" t="inlineStr">
        <is>
          <t>Entertainment Expenses</t>
        </is>
      </c>
      <c r="F218" s="3" t="n">
        <v>0</v>
      </c>
      <c r="G218" s="3" t="n">
        <v>250</v>
      </c>
    </row>
    <row r="219">
      <c r="A219" s="3" t="inlineStr">
        <is>
          <t>Heron Fields (Pty) Ltd</t>
        </is>
      </c>
      <c r="B219" s="4" t="n">
        <v>44500</v>
      </c>
      <c r="C219" s="3" t="inlineStr">
        <is>
          <t>Expenses</t>
        </is>
      </c>
      <c r="D219" s="3" t="inlineStr">
        <is>
          <t>4100/001</t>
        </is>
      </c>
      <c r="E219" s="3" t="inlineStr">
        <is>
          <t>Momentum Admin Fee</t>
        </is>
      </c>
      <c r="F219" s="3" t="n">
        <v>51075.43</v>
      </c>
      <c r="G219" s="3" t="n">
        <v>69207.3</v>
      </c>
    </row>
    <row r="220">
      <c r="A220" s="3" t="inlineStr">
        <is>
          <t>Heron Fields (Pty) Ltd</t>
        </is>
      </c>
      <c r="B220" s="4" t="n">
        <v>44500</v>
      </c>
      <c r="C220" s="3" t="inlineStr">
        <is>
          <t>Expenses</t>
        </is>
      </c>
      <c r="D220" s="3" t="inlineStr">
        <is>
          <t>4200/000</t>
        </is>
      </c>
      <c r="E220" s="3" t="inlineStr">
        <is>
          <t>Printing _AND_ Stationery</t>
        </is>
      </c>
      <c r="F220" s="3" t="n">
        <v>0</v>
      </c>
      <c r="G220" s="3" t="n">
        <v>765</v>
      </c>
    </row>
    <row r="221">
      <c r="A221" s="3" t="inlineStr">
        <is>
          <t>Heron Fields (Pty) Ltd</t>
        </is>
      </c>
      <c r="B221" s="4" t="n">
        <v>44500</v>
      </c>
      <c r="C221" s="3" t="inlineStr">
        <is>
          <t>Expenses</t>
        </is>
      </c>
      <c r="D221" s="3" t="inlineStr">
        <is>
          <t>4310/000</t>
        </is>
      </c>
      <c r="E221" s="3" t="inlineStr">
        <is>
          <t>Rates - Heron</t>
        </is>
      </c>
      <c r="F221" s="3" t="n">
        <v>2965.61</v>
      </c>
      <c r="G221" s="3" t="n">
        <v>14913.5</v>
      </c>
    </row>
    <row r="222">
      <c r="A222" s="3" t="inlineStr">
        <is>
          <t>Heron Fields (Pty) Ltd</t>
        </is>
      </c>
      <c r="B222" s="4" t="n">
        <v>44500</v>
      </c>
      <c r="C222" s="3" t="inlineStr">
        <is>
          <t>Expenses</t>
        </is>
      </c>
      <c r="D222" s="3" t="inlineStr">
        <is>
          <t>4350/000</t>
        </is>
      </c>
      <c r="E222" s="3" t="inlineStr">
        <is>
          <t>Repairs _AND_ Maintenance</t>
        </is>
      </c>
      <c r="F222" s="3" t="n">
        <v>0</v>
      </c>
      <c r="G222" s="3" t="n">
        <v>250</v>
      </c>
    </row>
    <row r="223">
      <c r="A223" s="3" t="inlineStr">
        <is>
          <t>Heron Fields (Pty) Ltd</t>
        </is>
      </c>
      <c r="B223" s="4" t="n">
        <v>44500</v>
      </c>
      <c r="C223" s="3" t="inlineStr">
        <is>
          <t>Expenses</t>
        </is>
      </c>
      <c r="D223" s="3" t="inlineStr">
        <is>
          <t>4410/000</t>
        </is>
      </c>
      <c r="E223" s="3" t="inlineStr">
        <is>
          <t>Secretarial fees</t>
        </is>
      </c>
      <c r="F223" s="3" t="n">
        <v>0</v>
      </c>
      <c r="G223" s="3" t="n">
        <v>17000</v>
      </c>
    </row>
    <row r="224">
      <c r="A224" s="3" t="inlineStr">
        <is>
          <t>Heron Fields (Pty) Ltd</t>
        </is>
      </c>
      <c r="B224" s="4" t="n">
        <v>44500</v>
      </c>
      <c r="C224" s="3" t="inlineStr">
        <is>
          <t>Expenses</t>
        </is>
      </c>
      <c r="D224" s="3" t="inlineStr">
        <is>
          <t>4420/001</t>
        </is>
      </c>
      <c r="E224" s="3" t="inlineStr">
        <is>
          <t>Security - ADT</t>
        </is>
      </c>
      <c r="F224" s="3" t="n">
        <v>1095.26</v>
      </c>
      <c r="G224" s="3" t="n">
        <v>2452.49</v>
      </c>
    </row>
    <row r="225">
      <c r="A225" s="3" t="inlineStr">
        <is>
          <t>Heron Fields (Pty) Ltd</t>
        </is>
      </c>
      <c r="B225" s="4" t="n">
        <v>44500</v>
      </c>
      <c r="C225" s="3" t="inlineStr">
        <is>
          <t>Expenses</t>
        </is>
      </c>
      <c r="D225" s="3" t="inlineStr">
        <is>
          <t>4550/100</t>
        </is>
      </c>
      <c r="E225" s="3" t="inlineStr">
        <is>
          <t>Subscriptions - Xero</t>
        </is>
      </c>
      <c r="F225" s="3" t="n">
        <v>550</v>
      </c>
      <c r="G225" s="3" t="n">
        <v>2200</v>
      </c>
    </row>
    <row r="226">
      <c r="A226" s="3" t="inlineStr">
        <is>
          <t>Heron Fields (Pty) Ltd</t>
        </is>
      </c>
      <c r="B226" s="4" t="n">
        <v>44500</v>
      </c>
      <c r="C226" s="3" t="inlineStr">
        <is>
          <t>Equity</t>
        </is>
      </c>
      <c r="D226" s="3" t="inlineStr">
        <is>
          <t>5100-000</t>
        </is>
      </c>
      <c r="E226" s="3" t="inlineStr">
        <is>
          <t>Share Capital</t>
        </is>
      </c>
      <c r="F226" s="3" t="n">
        <v>0</v>
      </c>
      <c r="G226" s="3" t="n">
        <v>-100</v>
      </c>
    </row>
    <row r="227">
      <c r="A227" s="3" t="inlineStr">
        <is>
          <t>Heron Fields (Pty) Ltd</t>
        </is>
      </c>
      <c r="B227" s="4" t="n">
        <v>44500</v>
      </c>
      <c r="C227" s="3" t="inlineStr">
        <is>
          <t>Assets</t>
        </is>
      </c>
      <c r="D227" s="3" t="inlineStr">
        <is>
          <t>5300/001</t>
        </is>
      </c>
      <c r="E227" s="3" t="inlineStr">
        <is>
          <t>Revaluation of Land stock</t>
        </is>
      </c>
      <c r="F227" s="3" t="n">
        <v>-2263732.77</v>
      </c>
      <c r="G227" s="3" t="n">
        <v>19713043.68</v>
      </c>
    </row>
    <row r="228">
      <c r="A228" s="3" t="inlineStr">
        <is>
          <t>Heron Fields (Pty) Ltd</t>
        </is>
      </c>
      <c r="B228" s="4" t="n">
        <v>44500</v>
      </c>
      <c r="C228" s="3" t="inlineStr">
        <is>
          <t>Liabilities</t>
        </is>
      </c>
      <c r="D228" s="3" t="inlineStr">
        <is>
          <t>5500/010</t>
        </is>
      </c>
      <c r="E228" s="3" t="inlineStr">
        <is>
          <t>Loan - Quinate</t>
        </is>
      </c>
      <c r="F228" s="3" t="n">
        <v>0</v>
      </c>
      <c r="G228" s="3" t="n">
        <v>-14900</v>
      </c>
    </row>
    <row r="229">
      <c r="A229" s="3" t="inlineStr">
        <is>
          <t>Heron Fields (Pty) Ltd</t>
        </is>
      </c>
      <c r="B229" s="4" t="n">
        <v>44500</v>
      </c>
      <c r="C229" s="3" t="inlineStr">
        <is>
          <t>Liabilities</t>
        </is>
      </c>
      <c r="D229" s="3" t="inlineStr">
        <is>
          <t>5500/020</t>
        </is>
      </c>
      <c r="E229" s="3" t="inlineStr">
        <is>
          <t>Loan - Cape Projects Construction</t>
        </is>
      </c>
      <c r="F229" s="3" t="n">
        <v>324000</v>
      </c>
      <c r="G229" s="3" t="n">
        <v>342850</v>
      </c>
    </row>
    <row r="230">
      <c r="A230" s="3" t="inlineStr">
        <is>
          <t>Heron Fields (Pty) Ltd</t>
        </is>
      </c>
      <c r="B230" s="4" t="n">
        <v>44500</v>
      </c>
      <c r="C230" s="3" t="inlineStr">
        <is>
          <t>Liabilities</t>
        </is>
      </c>
      <c r="D230" s="3" t="inlineStr">
        <is>
          <t>5500/030</t>
        </is>
      </c>
      <c r="E230" s="3" t="inlineStr">
        <is>
          <t>Loan - Opportunity Global Investments</t>
        </is>
      </c>
      <c r="F230" s="3" t="n">
        <v>-10000</v>
      </c>
      <c r="G230" s="3" t="n">
        <v>-40600</v>
      </c>
    </row>
    <row r="231">
      <c r="A231" s="3" t="inlineStr">
        <is>
          <t>Heron Fields (Pty) Ltd</t>
        </is>
      </c>
      <c r="B231" s="4" t="n">
        <v>44500</v>
      </c>
      <c r="C231" s="3" t="inlineStr">
        <is>
          <t>Liabilities</t>
        </is>
      </c>
      <c r="D231" s="3" t="inlineStr">
        <is>
          <t>5500/040</t>
        </is>
      </c>
      <c r="E231" s="3" t="inlineStr">
        <is>
          <t>Loan - Trademark</t>
        </is>
      </c>
      <c r="F231" s="3" t="n">
        <v>0</v>
      </c>
      <c r="G231" s="3" t="n">
        <v>-3635</v>
      </c>
    </row>
    <row r="232">
      <c r="A232" s="3" t="inlineStr">
        <is>
          <t>Heron Fields (Pty) Ltd</t>
        </is>
      </c>
      <c r="B232" s="4" t="n">
        <v>44500</v>
      </c>
      <c r="C232" s="3" t="inlineStr">
        <is>
          <t>Assets</t>
        </is>
      </c>
      <c r="D232" s="3" t="inlineStr">
        <is>
          <t>7620/100</t>
        </is>
      </c>
      <c r="E232" s="3" t="inlineStr">
        <is>
          <t>Heron View Land</t>
        </is>
      </c>
      <c r="F232" s="3" t="n">
        <v>0</v>
      </c>
      <c r="G232" s="3" t="n">
        <v>26200000</v>
      </c>
    </row>
    <row r="233">
      <c r="A233" s="3" t="inlineStr">
        <is>
          <t>Heron Fields (Pty) Ltd</t>
        </is>
      </c>
      <c r="B233" s="4" t="n">
        <v>44500</v>
      </c>
      <c r="C233" s="3" t="inlineStr">
        <is>
          <t>Assets</t>
        </is>
      </c>
      <c r="D233" s="3" t="inlineStr">
        <is>
          <t>7620/101</t>
        </is>
      </c>
      <c r="E233" s="3" t="inlineStr">
        <is>
          <t>HF CIP Bond Registration Fee</t>
        </is>
      </c>
      <c r="F233" s="3" t="n">
        <v>0</v>
      </c>
      <c r="G233" s="3" t="n">
        <v>68427</v>
      </c>
    </row>
    <row r="234">
      <c r="A234" s="3" t="inlineStr">
        <is>
          <t>Heron Fields (Pty) Ltd</t>
        </is>
      </c>
      <c r="B234" s="4" t="n">
        <v>44500</v>
      </c>
      <c r="C234" s="3" t="inlineStr">
        <is>
          <t>Assets</t>
        </is>
      </c>
      <c r="D234" s="3" t="inlineStr">
        <is>
          <t>7620/102</t>
        </is>
      </c>
      <c r="E234" s="3" t="inlineStr">
        <is>
          <t>HF CIP Transfer Fee</t>
        </is>
      </c>
      <c r="F234" s="3" t="n">
        <v>0</v>
      </c>
      <c r="G234" s="3" t="n">
        <v>103812</v>
      </c>
    </row>
    <row r="235">
      <c r="A235" s="3" t="inlineStr">
        <is>
          <t>Heron Fields (Pty) Ltd</t>
        </is>
      </c>
      <c r="B235" s="4" t="n">
        <v>44500</v>
      </c>
      <c r="C235" s="3" t="inlineStr">
        <is>
          <t>Assets</t>
        </is>
      </c>
      <c r="D235" s="3" t="inlineStr">
        <is>
          <t>7620/220</t>
        </is>
      </c>
      <c r="E235" s="3" t="inlineStr">
        <is>
          <t>HF CIP Architectural Designs</t>
        </is>
      </c>
      <c r="F235" s="3" t="n">
        <v>7000</v>
      </c>
      <c r="G235" s="3" t="n">
        <v>127000</v>
      </c>
    </row>
    <row r="236">
      <c r="A236" s="3" t="inlineStr">
        <is>
          <t>Heron Fields (Pty) Ltd</t>
        </is>
      </c>
      <c r="B236" s="4" t="n">
        <v>44500</v>
      </c>
      <c r="C236" s="3" t="inlineStr">
        <is>
          <t>Assets</t>
        </is>
      </c>
      <c r="D236" s="3" t="inlineStr">
        <is>
          <t>7620/240</t>
        </is>
      </c>
      <c r="E236" s="3" t="inlineStr">
        <is>
          <t>HF CIP Civil Engineering</t>
        </is>
      </c>
      <c r="F236" s="3" t="n">
        <v>2034735</v>
      </c>
      <c r="G236" s="3" t="n">
        <v>2456235</v>
      </c>
    </row>
    <row r="237">
      <c r="A237" s="3" t="inlineStr">
        <is>
          <t>Heron Fields (Pty) Ltd</t>
        </is>
      </c>
      <c r="B237" s="4" t="n">
        <v>44500</v>
      </c>
      <c r="C237" s="3" t="inlineStr">
        <is>
          <t>Assets</t>
        </is>
      </c>
      <c r="D237" s="3" t="inlineStr">
        <is>
          <t>7620/250</t>
        </is>
      </c>
      <c r="E237" s="3" t="inlineStr">
        <is>
          <t>HF CIP Land Surveyor</t>
        </is>
      </c>
      <c r="F237" s="3" t="n">
        <v>0</v>
      </c>
      <c r="G237" s="3" t="n">
        <v>4510</v>
      </c>
    </row>
    <row r="238">
      <c r="A238" s="3" t="inlineStr">
        <is>
          <t>Heron Fields (Pty) Ltd</t>
        </is>
      </c>
      <c r="B238" s="4" t="n">
        <v>44500</v>
      </c>
      <c r="C238" s="3" t="inlineStr">
        <is>
          <t>Assets</t>
        </is>
      </c>
      <c r="D238" s="3" t="inlineStr">
        <is>
          <t>7620/255</t>
        </is>
      </c>
      <c r="E238" s="3" t="inlineStr">
        <is>
          <t>HF CIP Landscaping</t>
        </is>
      </c>
      <c r="F238" s="3" t="n">
        <v>0</v>
      </c>
      <c r="G238" s="3" t="n">
        <v>7500</v>
      </c>
    </row>
    <row r="239">
      <c r="A239" s="3" t="inlineStr">
        <is>
          <t>Heron Fields (Pty) Ltd</t>
        </is>
      </c>
      <c r="B239" s="4" t="n">
        <v>44500</v>
      </c>
      <c r="C239" s="3" t="inlineStr">
        <is>
          <t>Assets</t>
        </is>
      </c>
      <c r="D239" s="3" t="inlineStr">
        <is>
          <t>7620/260</t>
        </is>
      </c>
      <c r="E239" s="3" t="inlineStr">
        <is>
          <t>HF CIP Mechanical Engineers</t>
        </is>
      </c>
      <c r="F239" s="3" t="n">
        <v>0</v>
      </c>
      <c r="G239" s="3" t="n">
        <v>39000</v>
      </c>
    </row>
    <row r="240">
      <c r="A240" s="3" t="inlineStr">
        <is>
          <t>Heron Fields (Pty) Ltd</t>
        </is>
      </c>
      <c r="B240" s="4" t="n">
        <v>44500</v>
      </c>
      <c r="C240" s="3" t="inlineStr">
        <is>
          <t>Assets</t>
        </is>
      </c>
      <c r="D240" s="3" t="inlineStr">
        <is>
          <t>7620/270</t>
        </is>
      </c>
      <c r="E240" s="3" t="inlineStr">
        <is>
          <t>HF CIP Geotechnical</t>
        </is>
      </c>
      <c r="F240" s="3" t="n">
        <v>0</v>
      </c>
      <c r="G240" s="3" t="n">
        <v>15175</v>
      </c>
    </row>
    <row r="241">
      <c r="A241" s="3" t="inlineStr">
        <is>
          <t>Heron Fields (Pty) Ltd</t>
        </is>
      </c>
      <c r="B241" s="4" t="n">
        <v>44500</v>
      </c>
      <c r="C241" s="3" t="inlineStr">
        <is>
          <t>Assets</t>
        </is>
      </c>
      <c r="D241" s="3" t="inlineStr">
        <is>
          <t>7620/280</t>
        </is>
      </c>
      <c r="E241" s="3" t="inlineStr">
        <is>
          <t>HF CIP Site Establishment</t>
        </is>
      </c>
      <c r="F241" s="3" t="n">
        <v>0</v>
      </c>
      <c r="G241" s="3" t="n">
        <v>23034.26</v>
      </c>
    </row>
    <row r="242">
      <c r="A242" s="3" t="inlineStr">
        <is>
          <t>Heron Fields (Pty) Ltd</t>
        </is>
      </c>
      <c r="B242" s="4" t="n">
        <v>44500</v>
      </c>
      <c r="C242" s="3" t="inlineStr">
        <is>
          <t>Assets</t>
        </is>
      </c>
      <c r="D242" s="3" t="inlineStr">
        <is>
          <t>7620/285</t>
        </is>
      </c>
      <c r="E242" s="3" t="inlineStr">
        <is>
          <t>HF CIP Structuring Fee - Invest</t>
        </is>
      </c>
      <c r="F242" s="3" t="n">
        <v>191997.77</v>
      </c>
      <c r="G242" s="3" t="n">
        <v>1555104.99</v>
      </c>
    </row>
    <row r="243">
      <c r="A243" s="3" t="inlineStr">
        <is>
          <t>Heron Fields (Pty) Ltd</t>
        </is>
      </c>
      <c r="B243" s="4" t="n">
        <v>44500</v>
      </c>
      <c r="C243" s="3" t="inlineStr">
        <is>
          <t>Assets</t>
        </is>
      </c>
      <c r="D243" s="3" t="inlineStr">
        <is>
          <t>7620/287</t>
        </is>
      </c>
      <c r="E243" s="3" t="inlineStr">
        <is>
          <t>HF CIP Structuring Fee - Development</t>
        </is>
      </c>
      <c r="F243" s="3" t="n">
        <v>0</v>
      </c>
      <c r="G243" s="3" t="n">
        <v>782608.0699999999</v>
      </c>
    </row>
    <row r="244">
      <c r="A244" s="3" t="inlineStr">
        <is>
          <t>Heron Fields (Pty) Ltd</t>
        </is>
      </c>
      <c r="B244" s="4" t="n">
        <v>44500</v>
      </c>
      <c r="C244" s="3" t="inlineStr">
        <is>
          <t>Assets</t>
        </is>
      </c>
      <c r="D244" s="3" t="inlineStr">
        <is>
          <t>7620/290</t>
        </is>
      </c>
      <c r="E244" s="3" t="inlineStr">
        <is>
          <t>HF CIP Town Planning</t>
        </is>
      </c>
      <c r="F244" s="3" t="n">
        <v>0</v>
      </c>
      <c r="G244" s="3" t="n">
        <v>129550</v>
      </c>
    </row>
    <row r="245">
      <c r="A245" s="3" t="inlineStr">
        <is>
          <t>Heron Fields (Pty) Ltd</t>
        </is>
      </c>
      <c r="B245" s="4" t="n">
        <v>44500</v>
      </c>
      <c r="C245" s="3" t="inlineStr">
        <is>
          <t>Assets</t>
        </is>
      </c>
      <c r="D245" s="3" t="inlineStr">
        <is>
          <t>7620/295</t>
        </is>
      </c>
      <c r="E245" s="3" t="inlineStr">
        <is>
          <t>HF CIP Traffic Planning</t>
        </is>
      </c>
      <c r="F245" s="3" t="n">
        <v>0</v>
      </c>
      <c r="G245" s="3" t="n">
        <v>45000</v>
      </c>
    </row>
    <row r="246">
      <c r="A246" s="3" t="inlineStr">
        <is>
          <t>Heron Fields (Pty) Ltd</t>
        </is>
      </c>
      <c r="B246" s="4" t="n">
        <v>44500</v>
      </c>
      <c r="C246" s="3" t="inlineStr">
        <is>
          <t>Assets</t>
        </is>
      </c>
      <c r="D246" s="3" t="inlineStr">
        <is>
          <t>7620/600</t>
        </is>
      </c>
      <c r="E246" s="3" t="inlineStr">
        <is>
          <t>HF CIP Eco work</t>
        </is>
      </c>
      <c r="F246" s="3" t="n">
        <v>30000</v>
      </c>
      <c r="G246" s="3" t="n">
        <v>30000</v>
      </c>
    </row>
    <row r="247">
      <c r="A247" s="3" t="inlineStr">
        <is>
          <t>Heron Fields (Pty) Ltd</t>
        </is>
      </c>
      <c r="B247" s="4" t="n">
        <v>44500</v>
      </c>
      <c r="C247" s="3" t="inlineStr">
        <is>
          <t>Assets</t>
        </is>
      </c>
      <c r="D247" s="3" t="inlineStr">
        <is>
          <t>8200/200</t>
        </is>
      </c>
      <c r="E247" s="3" t="inlineStr">
        <is>
          <t>Sundry Debtor - Quinate</t>
        </is>
      </c>
      <c r="F247" s="3" t="n">
        <v>0</v>
      </c>
      <c r="G247" s="3" t="n">
        <v>300000</v>
      </c>
    </row>
    <row r="248">
      <c r="A248" s="3" t="inlineStr">
        <is>
          <t>Heron Fields (Pty) Ltd</t>
        </is>
      </c>
      <c r="B248" s="4" t="n">
        <v>44500</v>
      </c>
      <c r="C248" s="3" t="inlineStr">
        <is>
          <t>Assets</t>
        </is>
      </c>
      <c r="D248" s="3" t="inlineStr">
        <is>
          <t>8400/000</t>
        </is>
      </c>
      <c r="E248" s="3" t="inlineStr">
        <is>
          <t>RMB - 62882379087</t>
        </is>
      </c>
      <c r="F248" s="3" t="n">
        <v>58528.48</v>
      </c>
      <c r="G248" s="3" t="n">
        <v>60534.64</v>
      </c>
    </row>
    <row r="249">
      <c r="A249" s="3" t="inlineStr">
        <is>
          <t>Heron Fields (Pty) Ltd</t>
        </is>
      </c>
      <c r="B249" s="4" t="n">
        <v>44500</v>
      </c>
      <c r="C249" s="3" t="inlineStr">
        <is>
          <t>Assets</t>
        </is>
      </c>
      <c r="D249" s="3" t="inlineStr">
        <is>
          <t>8430/000</t>
        </is>
      </c>
      <c r="E249" s="3" t="inlineStr">
        <is>
          <t>Momentum Private Account RU502230151</t>
        </is>
      </c>
      <c r="F249" s="3" t="n">
        <v>389512.35</v>
      </c>
      <c r="G249" s="3" t="n">
        <v>390007.08</v>
      </c>
    </row>
    <row r="250">
      <c r="A250" s="3" t="inlineStr">
        <is>
          <t>Heron Fields (Pty) Ltd</t>
        </is>
      </c>
      <c r="B250" s="4" t="n">
        <v>44500</v>
      </c>
      <c r="C250" s="3" t="inlineStr">
        <is>
          <t>Assets</t>
        </is>
      </c>
      <c r="D250" s="3" t="inlineStr">
        <is>
          <t>8440/000</t>
        </is>
      </c>
      <c r="E250" s="3" t="inlineStr">
        <is>
          <t>Momentum Investors Account RU502229930</t>
        </is>
      </c>
      <c r="F250" s="3" t="n">
        <v>8736430.18</v>
      </c>
      <c r="G250" s="3" t="n">
        <v>12522238.63</v>
      </c>
    </row>
    <row r="251">
      <c r="A251" s="3" t="inlineStr">
        <is>
          <t>Heron Fields (Pty) Ltd</t>
        </is>
      </c>
      <c r="B251" s="4" t="n">
        <v>44500</v>
      </c>
      <c r="C251" s="3" t="inlineStr">
        <is>
          <t>Liabilities</t>
        </is>
      </c>
      <c r="D251" s="3" t="inlineStr">
        <is>
          <t>9000/000</t>
        </is>
      </c>
      <c r="E251" s="3" t="inlineStr">
        <is>
          <t>Supplier Control Account</t>
        </is>
      </c>
      <c r="F251" s="3" t="n">
        <v>-8843754.029999999</v>
      </c>
      <c r="G251" s="3" t="n">
        <v>-45653688.36</v>
      </c>
    </row>
    <row r="252">
      <c r="A252" s="3" t="inlineStr">
        <is>
          <t>Heron Fields (Pty) Ltd</t>
        </is>
      </c>
      <c r="B252" s="4" t="n">
        <v>44500</v>
      </c>
      <c r="C252" s="3" t="inlineStr">
        <is>
          <t>Liabilities</t>
        </is>
      </c>
      <c r="D252" s="3" t="inlineStr">
        <is>
          <t>9500/000</t>
        </is>
      </c>
      <c r="E252" s="3" t="inlineStr">
        <is>
          <t>Vat / Tax Control Account</t>
        </is>
      </c>
      <c r="F252" s="3" t="n">
        <v>-3062388.43</v>
      </c>
      <c r="G252" s="3" t="n">
        <v>370724.5</v>
      </c>
    </row>
    <row r="253">
      <c r="A253" s="3" t="inlineStr">
        <is>
          <t>Heron Fields (Pty) Ltd</t>
        </is>
      </c>
      <c r="B253" s="4" t="n">
        <v>44530</v>
      </c>
      <c r="C253" s="3" t="inlineStr">
        <is>
          <t>Revenue</t>
        </is>
      </c>
      <c r="D253" s="3" t="inlineStr">
        <is>
          <t>1500/001</t>
        </is>
      </c>
      <c r="E253" s="3" t="inlineStr">
        <is>
          <t>Revaluation of Land</t>
        </is>
      </c>
      <c r="F253" s="3" t="n">
        <v>0</v>
      </c>
      <c r="G253" s="3" t="n">
        <v>-19713043.68</v>
      </c>
    </row>
    <row r="254">
      <c r="A254" s="3" t="inlineStr">
        <is>
          <t>Heron Fields (Pty) Ltd</t>
        </is>
      </c>
      <c r="B254" s="4" t="n">
        <v>44530</v>
      </c>
      <c r="C254" s="3" t="inlineStr">
        <is>
          <t>Expenses</t>
        </is>
      </c>
      <c r="D254" s="3" t="inlineStr">
        <is>
          <t>2000/020</t>
        </is>
      </c>
      <c r="E254" s="3" t="inlineStr">
        <is>
          <t>COS - Heron sales office</t>
        </is>
      </c>
      <c r="F254" s="3" t="n">
        <v>2084</v>
      </c>
      <c r="G254" s="3" t="n">
        <v>8314</v>
      </c>
    </row>
    <row r="255">
      <c r="A255" s="3" t="inlineStr">
        <is>
          <t>Heron Fields (Pty) Ltd</t>
        </is>
      </c>
      <c r="B255" s="4" t="n">
        <v>44530</v>
      </c>
      <c r="C255" s="3" t="inlineStr">
        <is>
          <t>Revenue</t>
        </is>
      </c>
      <c r="D255" s="3" t="inlineStr">
        <is>
          <t>2753/001</t>
        </is>
      </c>
      <c r="E255" s="3" t="inlineStr">
        <is>
          <t>Interest Received - Deposit Grey Heron</t>
        </is>
      </c>
      <c r="F255" s="3" t="n">
        <v>0</v>
      </c>
      <c r="G255" s="3" t="n">
        <v>-1245</v>
      </c>
    </row>
    <row r="256">
      <c r="A256" s="3" t="inlineStr">
        <is>
          <t>Heron Fields (Pty) Ltd</t>
        </is>
      </c>
      <c r="B256" s="4" t="n">
        <v>44530</v>
      </c>
      <c r="C256" s="3" t="inlineStr">
        <is>
          <t>Revenue</t>
        </is>
      </c>
      <c r="D256" s="3" t="inlineStr">
        <is>
          <t>2754/001</t>
        </is>
      </c>
      <c r="E256" s="3" t="inlineStr">
        <is>
          <t>Interest Received - STBB Trust Account</t>
        </is>
      </c>
      <c r="F256" s="3" t="n">
        <v>0</v>
      </c>
      <c r="G256" s="3" t="n">
        <v>-149149.4</v>
      </c>
    </row>
    <row r="257">
      <c r="A257" s="3" t="inlineStr">
        <is>
          <t>Heron Fields (Pty) Ltd</t>
        </is>
      </c>
      <c r="B257" s="4" t="n">
        <v>44530</v>
      </c>
      <c r="C257" s="3" t="inlineStr">
        <is>
          <t>Revenue</t>
        </is>
      </c>
      <c r="D257" s="3" t="inlineStr">
        <is>
          <t>2755/001</t>
        </is>
      </c>
      <c r="E257" s="3" t="inlineStr">
        <is>
          <t>Interest Received - Momentum</t>
        </is>
      </c>
      <c r="F257" s="3" t="n">
        <v>-39490.48</v>
      </c>
      <c r="G257" s="3" t="n">
        <v>-80324.59</v>
      </c>
    </row>
    <row r="258">
      <c r="A258" s="3" t="inlineStr">
        <is>
          <t>Heron Fields (Pty) Ltd</t>
        </is>
      </c>
      <c r="B258" s="4" t="n">
        <v>44530</v>
      </c>
      <c r="C258" s="3" t="inlineStr">
        <is>
          <t>Expenses</t>
        </is>
      </c>
      <c r="D258" s="3" t="inlineStr">
        <is>
          <t>3000/100</t>
        </is>
      </c>
      <c r="E258" s="3" t="inlineStr">
        <is>
          <t>Accounting - CIPC</t>
        </is>
      </c>
      <c r="F258" s="3" t="n">
        <v>0</v>
      </c>
      <c r="G258" s="3" t="n">
        <v>100</v>
      </c>
    </row>
    <row r="259">
      <c r="A259" s="3" t="inlineStr">
        <is>
          <t>Heron Fields (Pty) Ltd</t>
        </is>
      </c>
      <c r="B259" s="4" t="n">
        <v>44530</v>
      </c>
      <c r="C259" s="3" t="inlineStr">
        <is>
          <t>Expenses</t>
        </is>
      </c>
      <c r="D259" s="3" t="inlineStr">
        <is>
          <t>3050/000</t>
        </is>
      </c>
      <c r="E259" s="3" t="inlineStr">
        <is>
          <t>Advertising _AND_ Promotions</t>
        </is>
      </c>
      <c r="F259" s="3" t="n">
        <v>15319.5</v>
      </c>
      <c r="G259" s="3" t="n">
        <v>61525.02</v>
      </c>
    </row>
    <row r="260">
      <c r="A260" s="3" t="inlineStr">
        <is>
          <t>Heron Fields (Pty) Ltd</t>
        </is>
      </c>
      <c r="B260" s="4" t="n">
        <v>44530</v>
      </c>
      <c r="C260" s="3" t="inlineStr">
        <is>
          <t>Expenses</t>
        </is>
      </c>
      <c r="D260" s="3" t="inlineStr">
        <is>
          <t>3050/100</t>
        </is>
      </c>
      <c r="E260" s="3" t="inlineStr">
        <is>
          <t>Advertising - Property24</t>
        </is>
      </c>
      <c r="F260" s="3" t="n">
        <v>32400</v>
      </c>
      <c r="G260" s="3" t="n">
        <v>32400</v>
      </c>
    </row>
    <row r="261">
      <c r="A261" s="3" t="inlineStr">
        <is>
          <t>Heron Fields (Pty) Ltd</t>
        </is>
      </c>
      <c r="B261" s="4" t="n">
        <v>44530</v>
      </c>
      <c r="C261" s="3" t="inlineStr">
        <is>
          <t>Expenses</t>
        </is>
      </c>
      <c r="D261" s="3" t="inlineStr">
        <is>
          <t>3200/000</t>
        </is>
      </c>
      <c r="E261" s="3" t="inlineStr">
        <is>
          <t>Bank Charges</t>
        </is>
      </c>
      <c r="F261" s="3" t="n">
        <v>530.11</v>
      </c>
      <c r="G261" s="3" t="n">
        <v>2717.38</v>
      </c>
    </row>
    <row r="262">
      <c r="A262" s="3" t="inlineStr">
        <is>
          <t>Heron Fields (Pty) Ltd</t>
        </is>
      </c>
      <c r="B262" s="4" t="n">
        <v>44530</v>
      </c>
      <c r="C262" s="3" t="inlineStr">
        <is>
          <t>Expenses</t>
        </is>
      </c>
      <c r="D262" s="3" t="inlineStr">
        <is>
          <t>3301/000</t>
        </is>
      </c>
      <c r="E262" s="3" t="inlineStr">
        <is>
          <t>Computer Expenses - Xero</t>
        </is>
      </c>
      <c r="F262" s="3" t="n">
        <v>0</v>
      </c>
      <c r="G262" s="3" t="n">
        <v>3000</v>
      </c>
    </row>
    <row r="263">
      <c r="A263" s="3" t="inlineStr">
        <is>
          <t>Heron Fields (Pty) Ltd</t>
        </is>
      </c>
      <c r="B263" s="4" t="n">
        <v>44530</v>
      </c>
      <c r="C263" s="3" t="inlineStr">
        <is>
          <t>Expenses</t>
        </is>
      </c>
      <c r="D263" s="3" t="inlineStr">
        <is>
          <t>3350/100</t>
        </is>
      </c>
      <c r="E263" s="3" t="inlineStr">
        <is>
          <t>Consulting Fees - Admin and Finance</t>
        </is>
      </c>
      <c r="F263" s="3" t="n">
        <v>73960</v>
      </c>
      <c r="G263" s="3" t="n">
        <v>214565.73</v>
      </c>
    </row>
    <row r="264">
      <c r="A264" s="3" t="inlineStr">
        <is>
          <t>Heron Fields (Pty) Ltd</t>
        </is>
      </c>
      <c r="B264" s="4" t="n">
        <v>44530</v>
      </c>
      <c r="C264" s="3" t="inlineStr">
        <is>
          <t>Expenses</t>
        </is>
      </c>
      <c r="D264" s="3" t="inlineStr">
        <is>
          <t>3351/000</t>
        </is>
      </c>
      <c r="E264" s="3" t="inlineStr">
        <is>
          <t>Consulting fees - Trustee</t>
        </is>
      </c>
      <c r="F264" s="3" t="n">
        <v>0</v>
      </c>
      <c r="G264" s="3" t="n">
        <v>13508</v>
      </c>
    </row>
    <row r="265">
      <c r="A265" s="3" t="inlineStr">
        <is>
          <t>Heron Fields (Pty) Ltd</t>
        </is>
      </c>
      <c r="B265" s="4" t="n">
        <v>44530</v>
      </c>
      <c r="C265" s="3" t="inlineStr">
        <is>
          <t>Expenses</t>
        </is>
      </c>
      <c r="D265" s="3" t="inlineStr">
        <is>
          <t>3650/000</t>
        </is>
      </c>
      <c r="E265" s="3" t="inlineStr">
        <is>
          <t>CoCT - Electricity</t>
        </is>
      </c>
      <c r="F265" s="3" t="n">
        <v>2508.88</v>
      </c>
      <c r="G265" s="3" t="n">
        <v>13094.52</v>
      </c>
    </row>
    <row r="266">
      <c r="A266" s="3" t="inlineStr">
        <is>
          <t>Heron Fields (Pty) Ltd</t>
        </is>
      </c>
      <c r="B266" s="4" t="n">
        <v>44530</v>
      </c>
      <c r="C266" s="3" t="inlineStr">
        <is>
          <t>Expenses</t>
        </is>
      </c>
      <c r="D266" s="3" t="inlineStr">
        <is>
          <t>3660/000</t>
        </is>
      </c>
      <c r="E266" s="3" t="inlineStr">
        <is>
          <t>CoCT - Water</t>
        </is>
      </c>
      <c r="F266" s="3" t="n">
        <v>402.13</v>
      </c>
      <c r="G266" s="3" t="n">
        <v>1782.38</v>
      </c>
    </row>
    <row r="267">
      <c r="A267" s="3" t="inlineStr">
        <is>
          <t>Heron Fields (Pty) Ltd</t>
        </is>
      </c>
      <c r="B267" s="4" t="n">
        <v>44530</v>
      </c>
      <c r="C267" s="3" t="inlineStr">
        <is>
          <t>Expenses</t>
        </is>
      </c>
      <c r="D267" s="3" t="inlineStr">
        <is>
          <t>3700/000</t>
        </is>
      </c>
      <c r="E267" s="3" t="inlineStr">
        <is>
          <t>Entertainment Expenses</t>
        </is>
      </c>
      <c r="F267" s="3" t="n">
        <v>0</v>
      </c>
      <c r="G267" s="3" t="n">
        <v>250</v>
      </c>
    </row>
    <row r="268">
      <c r="A268" s="3" t="inlineStr">
        <is>
          <t>Heron Fields (Pty) Ltd</t>
        </is>
      </c>
      <c r="B268" s="4" t="n">
        <v>44530</v>
      </c>
      <c r="C268" s="3" t="inlineStr">
        <is>
          <t>Expenses</t>
        </is>
      </c>
      <c r="D268" s="3" t="inlineStr">
        <is>
          <t>4100/001</t>
        </is>
      </c>
      <c r="E268" s="3" t="inlineStr">
        <is>
          <t>Momentum Admin Fee</t>
        </is>
      </c>
      <c r="F268" s="3" t="n">
        <v>9753.08</v>
      </c>
      <c r="G268" s="3" t="n">
        <v>78960.38</v>
      </c>
    </row>
    <row r="269">
      <c r="A269" s="3" t="inlineStr">
        <is>
          <t>Heron Fields (Pty) Ltd</t>
        </is>
      </c>
      <c r="B269" s="4" t="n">
        <v>44530</v>
      </c>
      <c r="C269" s="3" t="inlineStr">
        <is>
          <t>Expenses</t>
        </is>
      </c>
      <c r="D269" s="3" t="inlineStr">
        <is>
          <t>4200/000</t>
        </is>
      </c>
      <c r="E269" s="3" t="inlineStr">
        <is>
          <t>Printing _AND_ Stationery</t>
        </is>
      </c>
      <c r="F269" s="3" t="n">
        <v>0</v>
      </c>
      <c r="G269" s="3" t="n">
        <v>765</v>
      </c>
    </row>
    <row r="270">
      <c r="A270" s="3" t="inlineStr">
        <is>
          <t>Heron Fields (Pty) Ltd</t>
        </is>
      </c>
      <c r="B270" s="4" t="n">
        <v>44530</v>
      </c>
      <c r="C270" s="3" t="inlineStr">
        <is>
          <t>Expenses</t>
        </is>
      </c>
      <c r="D270" s="3" t="inlineStr">
        <is>
          <t>4310/000</t>
        </is>
      </c>
      <c r="E270" s="3" t="inlineStr">
        <is>
          <t>Rates - Heron</t>
        </is>
      </c>
      <c r="F270" s="3" t="n">
        <v>2965.61</v>
      </c>
      <c r="G270" s="3" t="n">
        <v>17879.11</v>
      </c>
    </row>
    <row r="271">
      <c r="A271" s="3" t="inlineStr">
        <is>
          <t>Heron Fields (Pty) Ltd</t>
        </is>
      </c>
      <c r="B271" s="4" t="n">
        <v>44530</v>
      </c>
      <c r="C271" s="3" t="inlineStr">
        <is>
          <t>Expenses</t>
        </is>
      </c>
      <c r="D271" s="3" t="inlineStr">
        <is>
          <t>4350/000</t>
        </is>
      </c>
      <c r="E271" s="3" t="inlineStr">
        <is>
          <t>Repairs _AND_ Maintenance</t>
        </is>
      </c>
      <c r="F271" s="3" t="n">
        <v>0</v>
      </c>
      <c r="G271" s="3" t="n">
        <v>250</v>
      </c>
    </row>
    <row r="272">
      <c r="A272" s="3" t="inlineStr">
        <is>
          <t>Heron Fields (Pty) Ltd</t>
        </is>
      </c>
      <c r="B272" s="4" t="n">
        <v>44530</v>
      </c>
      <c r="C272" s="3" t="inlineStr">
        <is>
          <t>Expenses</t>
        </is>
      </c>
      <c r="D272" s="3" t="inlineStr">
        <is>
          <t>4410/000</t>
        </is>
      </c>
      <c r="E272" s="3" t="inlineStr">
        <is>
          <t>Secretarial fees</t>
        </is>
      </c>
      <c r="F272" s="3" t="n">
        <v>0</v>
      </c>
      <c r="G272" s="3" t="n">
        <v>17000</v>
      </c>
    </row>
    <row r="273">
      <c r="A273" s="3" t="inlineStr">
        <is>
          <t>Heron Fields (Pty) Ltd</t>
        </is>
      </c>
      <c r="B273" s="4" t="n">
        <v>44530</v>
      </c>
      <c r="C273" s="3" t="inlineStr">
        <is>
          <t>Expenses</t>
        </is>
      </c>
      <c r="D273" s="3" t="inlineStr">
        <is>
          <t>4420/001</t>
        </is>
      </c>
      <c r="E273" s="3" t="inlineStr">
        <is>
          <t>Security - ADT</t>
        </is>
      </c>
      <c r="F273" s="3" t="n">
        <v>783.26</v>
      </c>
      <c r="G273" s="3" t="n">
        <v>3235.75</v>
      </c>
    </row>
    <row r="274">
      <c r="A274" s="3" t="inlineStr">
        <is>
          <t>Heron Fields (Pty) Ltd</t>
        </is>
      </c>
      <c r="B274" s="4" t="n">
        <v>44530</v>
      </c>
      <c r="C274" s="3" t="inlineStr">
        <is>
          <t>Expenses</t>
        </is>
      </c>
      <c r="D274" s="3" t="inlineStr">
        <is>
          <t>4550/100</t>
        </is>
      </c>
      <c r="E274" s="3" t="inlineStr">
        <is>
          <t>Subscriptions - Xero</t>
        </is>
      </c>
      <c r="F274" s="3" t="n">
        <v>600</v>
      </c>
      <c r="G274" s="3" t="n">
        <v>2800</v>
      </c>
    </row>
    <row r="275">
      <c r="A275" s="3" t="inlineStr">
        <is>
          <t>Heron Fields (Pty) Ltd</t>
        </is>
      </c>
      <c r="B275" s="4" t="n">
        <v>44530</v>
      </c>
      <c r="C275" s="3" t="inlineStr">
        <is>
          <t>Expenses</t>
        </is>
      </c>
      <c r="D275" s="3" t="inlineStr">
        <is>
          <t>4550/200</t>
        </is>
      </c>
      <c r="E275" s="3" t="inlineStr">
        <is>
          <t>Subscription - NHBRC</t>
        </is>
      </c>
      <c r="F275" s="3" t="n">
        <v>1271.93</v>
      </c>
      <c r="G275" s="3" t="n">
        <v>1271.93</v>
      </c>
    </row>
    <row r="276">
      <c r="A276" s="3" t="inlineStr">
        <is>
          <t>Heron Fields (Pty) Ltd</t>
        </is>
      </c>
      <c r="B276" s="4" t="n">
        <v>44530</v>
      </c>
      <c r="C276" s="3" t="inlineStr">
        <is>
          <t>Equity</t>
        </is>
      </c>
      <c r="D276" s="3" t="inlineStr">
        <is>
          <t>5100-000</t>
        </is>
      </c>
      <c r="E276" s="3" t="inlineStr">
        <is>
          <t>Share Capital</t>
        </is>
      </c>
      <c r="F276" s="3" t="n">
        <v>0</v>
      </c>
      <c r="G276" s="3" t="n">
        <v>-100</v>
      </c>
    </row>
    <row r="277">
      <c r="A277" s="3" t="inlineStr">
        <is>
          <t>Heron Fields (Pty) Ltd</t>
        </is>
      </c>
      <c r="B277" s="4" t="n">
        <v>44530</v>
      </c>
      <c r="C277" s="3" t="inlineStr">
        <is>
          <t>Assets</t>
        </is>
      </c>
      <c r="D277" s="3" t="inlineStr">
        <is>
          <t>5300/001</t>
        </is>
      </c>
      <c r="E277" s="3" t="inlineStr">
        <is>
          <t>Revaluation of Land stock</t>
        </is>
      </c>
      <c r="F277" s="3" t="n">
        <v>0</v>
      </c>
      <c r="G277" s="3" t="n">
        <v>19713043.68</v>
      </c>
    </row>
    <row r="278">
      <c r="A278" s="3" t="inlineStr">
        <is>
          <t>Heron Fields (Pty) Ltd</t>
        </is>
      </c>
      <c r="B278" s="4" t="n">
        <v>44530</v>
      </c>
      <c r="C278" s="3" t="inlineStr">
        <is>
          <t>Liabilities</t>
        </is>
      </c>
      <c r="D278" s="3" t="inlineStr">
        <is>
          <t>5500/010</t>
        </is>
      </c>
      <c r="E278" s="3" t="inlineStr">
        <is>
          <t>Loan - Quinate</t>
        </is>
      </c>
      <c r="F278" s="3" t="n">
        <v>8069</v>
      </c>
      <c r="G278" s="3" t="n">
        <v>-6831</v>
      </c>
    </row>
    <row r="279">
      <c r="A279" s="3" t="inlineStr">
        <is>
          <t>Heron Fields (Pty) Ltd</t>
        </is>
      </c>
      <c r="B279" s="4" t="n">
        <v>44530</v>
      </c>
      <c r="C279" s="3" t="inlineStr">
        <is>
          <t>Liabilities</t>
        </is>
      </c>
      <c r="D279" s="3" t="inlineStr">
        <is>
          <t>5500/020</t>
        </is>
      </c>
      <c r="E279" s="3" t="inlineStr">
        <is>
          <t>Loan - Cape Projects Construction</t>
        </is>
      </c>
      <c r="F279" s="3" t="n">
        <v>-238850</v>
      </c>
      <c r="G279" s="3" t="n">
        <v>104000</v>
      </c>
    </row>
    <row r="280">
      <c r="A280" s="3" t="inlineStr">
        <is>
          <t>Heron Fields (Pty) Ltd</t>
        </is>
      </c>
      <c r="B280" s="4" t="n">
        <v>44530</v>
      </c>
      <c r="C280" s="3" t="inlineStr">
        <is>
          <t>Liabilities</t>
        </is>
      </c>
      <c r="D280" s="3" t="inlineStr">
        <is>
          <t>5500/030</t>
        </is>
      </c>
      <c r="E280" s="3" t="inlineStr">
        <is>
          <t>Loan - Opportunity Global Investments</t>
        </is>
      </c>
      <c r="F280" s="3" t="n">
        <v>40600</v>
      </c>
      <c r="G280" s="3" t="n">
        <v>0</v>
      </c>
    </row>
    <row r="281">
      <c r="A281" s="3" t="inlineStr">
        <is>
          <t>Heron Fields (Pty) Ltd</t>
        </is>
      </c>
      <c r="B281" s="4" t="n">
        <v>44530</v>
      </c>
      <c r="C281" s="3" t="inlineStr">
        <is>
          <t>Liabilities</t>
        </is>
      </c>
      <c r="D281" s="3" t="inlineStr">
        <is>
          <t>5500/040</t>
        </is>
      </c>
      <c r="E281" s="3" t="inlineStr">
        <is>
          <t>Loan - Trademark</t>
        </is>
      </c>
      <c r="F281" s="3" t="n">
        <v>3635</v>
      </c>
      <c r="G281" s="3" t="n">
        <v>0</v>
      </c>
    </row>
    <row r="282">
      <c r="A282" s="3" t="inlineStr">
        <is>
          <t>Heron Fields (Pty) Ltd</t>
        </is>
      </c>
      <c r="B282" s="4" t="n">
        <v>44530</v>
      </c>
      <c r="C282" s="3" t="inlineStr">
        <is>
          <t>Assets</t>
        </is>
      </c>
      <c r="D282" s="3" t="inlineStr">
        <is>
          <t>7620/100</t>
        </is>
      </c>
      <c r="E282" s="3" t="inlineStr">
        <is>
          <t>Heron View Land</t>
        </is>
      </c>
      <c r="F282" s="3" t="n">
        <v>0</v>
      </c>
      <c r="G282" s="3" t="n">
        <v>26200000</v>
      </c>
    </row>
    <row r="283">
      <c r="A283" s="3" t="inlineStr">
        <is>
          <t>Heron Fields (Pty) Ltd</t>
        </is>
      </c>
      <c r="B283" s="4" t="n">
        <v>44530</v>
      </c>
      <c r="C283" s="3" t="inlineStr">
        <is>
          <t>Assets</t>
        </is>
      </c>
      <c r="D283" s="3" t="inlineStr">
        <is>
          <t>7620/101</t>
        </is>
      </c>
      <c r="E283" s="3" t="inlineStr">
        <is>
          <t>HF CIP Bond Registration Fee</t>
        </is>
      </c>
      <c r="F283" s="3" t="n">
        <v>0</v>
      </c>
      <c r="G283" s="3" t="n">
        <v>68427</v>
      </c>
    </row>
    <row r="284">
      <c r="A284" s="3" t="inlineStr">
        <is>
          <t>Heron Fields (Pty) Ltd</t>
        </is>
      </c>
      <c r="B284" s="4" t="n">
        <v>44530</v>
      </c>
      <c r="C284" s="3" t="inlineStr">
        <is>
          <t>Assets</t>
        </is>
      </c>
      <c r="D284" s="3" t="inlineStr">
        <is>
          <t>7620/102</t>
        </is>
      </c>
      <c r="E284" s="3" t="inlineStr">
        <is>
          <t>HF CIP Transfer Fee</t>
        </is>
      </c>
      <c r="F284" s="3" t="n">
        <v>0</v>
      </c>
      <c r="G284" s="3" t="n">
        <v>103812</v>
      </c>
    </row>
    <row r="285">
      <c r="A285" s="3" t="inlineStr">
        <is>
          <t>Heron Fields (Pty) Ltd</t>
        </is>
      </c>
      <c r="B285" s="4" t="n">
        <v>44530</v>
      </c>
      <c r="C285" s="3" t="inlineStr">
        <is>
          <t>Assets</t>
        </is>
      </c>
      <c r="D285" s="3" t="inlineStr">
        <is>
          <t>7620/220</t>
        </is>
      </c>
      <c r="E285" s="3" t="inlineStr">
        <is>
          <t>HF CIP Architectural Designs</t>
        </is>
      </c>
      <c r="F285" s="3" t="n">
        <v>10000</v>
      </c>
      <c r="G285" s="3" t="n">
        <v>137000</v>
      </c>
    </row>
    <row r="286">
      <c r="A286" s="3" t="inlineStr">
        <is>
          <t>Heron Fields (Pty) Ltd</t>
        </is>
      </c>
      <c r="B286" s="4" t="n">
        <v>44530</v>
      </c>
      <c r="C286" s="3" t="inlineStr">
        <is>
          <t>Assets</t>
        </is>
      </c>
      <c r="D286" s="3" t="inlineStr">
        <is>
          <t>7620/240</t>
        </is>
      </c>
      <c r="E286" s="3" t="inlineStr">
        <is>
          <t>HF CIP Civil Engineering</t>
        </is>
      </c>
      <c r="F286" s="3" t="n">
        <v>31500</v>
      </c>
      <c r="G286" s="3" t="n">
        <v>2487735</v>
      </c>
    </row>
    <row r="287">
      <c r="A287" s="3" t="inlineStr">
        <is>
          <t>Heron Fields (Pty) Ltd</t>
        </is>
      </c>
      <c r="B287" s="4" t="n">
        <v>44530</v>
      </c>
      <c r="C287" s="3" t="inlineStr">
        <is>
          <t>Assets</t>
        </is>
      </c>
      <c r="D287" s="3" t="inlineStr">
        <is>
          <t>7620/245</t>
        </is>
      </c>
      <c r="E287" s="3" t="inlineStr">
        <is>
          <t>HF CIP Development fee</t>
        </is>
      </c>
      <c r="F287" s="3" t="n">
        <v>13807.78</v>
      </c>
      <c r="G287" s="3" t="n">
        <v>13807.78</v>
      </c>
    </row>
    <row r="288">
      <c r="A288" s="3" t="inlineStr">
        <is>
          <t>Heron Fields (Pty) Ltd</t>
        </is>
      </c>
      <c r="B288" s="4" t="n">
        <v>44530</v>
      </c>
      <c r="C288" s="3" t="inlineStr">
        <is>
          <t>Assets</t>
        </is>
      </c>
      <c r="D288" s="3" t="inlineStr">
        <is>
          <t>7620/250</t>
        </is>
      </c>
      <c r="E288" s="3" t="inlineStr">
        <is>
          <t>HF CIP Land Surveyor</t>
        </is>
      </c>
      <c r="F288" s="3" t="n">
        <v>0</v>
      </c>
      <c r="G288" s="3" t="n">
        <v>4510</v>
      </c>
    </row>
    <row r="289">
      <c r="A289" s="3" t="inlineStr">
        <is>
          <t>Heron Fields (Pty) Ltd</t>
        </is>
      </c>
      <c r="B289" s="4" t="n">
        <v>44530</v>
      </c>
      <c r="C289" s="3" t="inlineStr">
        <is>
          <t>Assets</t>
        </is>
      </c>
      <c r="D289" s="3" t="inlineStr">
        <is>
          <t>7620/255</t>
        </is>
      </c>
      <c r="E289" s="3" t="inlineStr">
        <is>
          <t>HF CIP Landscaping</t>
        </is>
      </c>
      <c r="F289" s="3" t="n">
        <v>0</v>
      </c>
      <c r="G289" s="3" t="n">
        <v>7500</v>
      </c>
    </row>
    <row r="290">
      <c r="A290" s="3" t="inlineStr">
        <is>
          <t>Heron Fields (Pty) Ltd</t>
        </is>
      </c>
      <c r="B290" s="4" t="n">
        <v>44530</v>
      </c>
      <c r="C290" s="3" t="inlineStr">
        <is>
          <t>Assets</t>
        </is>
      </c>
      <c r="D290" s="3" t="inlineStr">
        <is>
          <t>7620/260</t>
        </is>
      </c>
      <c r="E290" s="3" t="inlineStr">
        <is>
          <t>HF CIP Mechanical Engineers</t>
        </is>
      </c>
      <c r="F290" s="3" t="n">
        <v>28400</v>
      </c>
      <c r="G290" s="3" t="n">
        <v>67400</v>
      </c>
    </row>
    <row r="291">
      <c r="A291" s="3" t="inlineStr">
        <is>
          <t>Heron Fields (Pty) Ltd</t>
        </is>
      </c>
      <c r="B291" s="4" t="n">
        <v>44530</v>
      </c>
      <c r="C291" s="3" t="inlineStr">
        <is>
          <t>Assets</t>
        </is>
      </c>
      <c r="D291" s="3" t="inlineStr">
        <is>
          <t>7620/270</t>
        </is>
      </c>
      <c r="E291" s="3" t="inlineStr">
        <is>
          <t>HF CIP Geotechnical</t>
        </is>
      </c>
      <c r="F291" s="3" t="n">
        <v>0</v>
      </c>
      <c r="G291" s="3" t="n">
        <v>15175</v>
      </c>
    </row>
    <row r="292">
      <c r="A292" s="3" t="inlineStr">
        <is>
          <t>Heron Fields (Pty) Ltd</t>
        </is>
      </c>
      <c r="B292" s="4" t="n">
        <v>44530</v>
      </c>
      <c r="C292" s="3" t="inlineStr">
        <is>
          <t>Assets</t>
        </is>
      </c>
      <c r="D292" s="3" t="inlineStr">
        <is>
          <t>7620/280</t>
        </is>
      </c>
      <c r="E292" s="3" t="inlineStr">
        <is>
          <t>HF CIP Site Establishment</t>
        </is>
      </c>
      <c r="F292" s="3" t="n">
        <v>0</v>
      </c>
      <c r="G292" s="3" t="n">
        <v>23034.26</v>
      </c>
    </row>
    <row r="293">
      <c r="A293" s="3" t="inlineStr">
        <is>
          <t>Heron Fields (Pty) Ltd</t>
        </is>
      </c>
      <c r="B293" s="4" t="n">
        <v>44530</v>
      </c>
      <c r="C293" s="3" t="inlineStr">
        <is>
          <t>Assets</t>
        </is>
      </c>
      <c r="D293" s="3" t="inlineStr">
        <is>
          <t>7620/285</t>
        </is>
      </c>
      <c r="E293" s="3" t="inlineStr">
        <is>
          <t>HF CIP Structuring Fee - Invest</t>
        </is>
      </c>
      <c r="F293" s="3" t="n">
        <v>0</v>
      </c>
      <c r="G293" s="3" t="n">
        <v>1555104.99</v>
      </c>
    </row>
    <row r="294">
      <c r="A294" s="3" t="inlineStr">
        <is>
          <t>Heron Fields (Pty) Ltd</t>
        </is>
      </c>
      <c r="B294" s="4" t="n">
        <v>44530</v>
      </c>
      <c r="C294" s="3" t="inlineStr">
        <is>
          <t>Assets</t>
        </is>
      </c>
      <c r="D294" s="3" t="inlineStr">
        <is>
          <t>7620/287</t>
        </is>
      </c>
      <c r="E294" s="3" t="inlineStr">
        <is>
          <t>HF CIP Structuring Fee - Development</t>
        </is>
      </c>
      <c r="F294" s="3" t="n">
        <v>0</v>
      </c>
      <c r="G294" s="3" t="n">
        <v>782608.0699999999</v>
      </c>
    </row>
    <row r="295">
      <c r="A295" s="3" t="inlineStr">
        <is>
          <t>Heron Fields (Pty) Ltd</t>
        </is>
      </c>
      <c r="B295" s="4" t="n">
        <v>44530</v>
      </c>
      <c r="C295" s="3" t="inlineStr">
        <is>
          <t>Assets</t>
        </is>
      </c>
      <c r="D295" s="3" t="inlineStr">
        <is>
          <t>7620/290</t>
        </is>
      </c>
      <c r="E295" s="3" t="inlineStr">
        <is>
          <t>HF CIP Town Planning</t>
        </is>
      </c>
      <c r="F295" s="3" t="n">
        <v>0</v>
      </c>
      <c r="G295" s="3" t="n">
        <v>129550</v>
      </c>
    </row>
    <row r="296">
      <c r="A296" s="3" t="inlineStr">
        <is>
          <t>Heron Fields (Pty) Ltd</t>
        </is>
      </c>
      <c r="B296" s="4" t="n">
        <v>44530</v>
      </c>
      <c r="C296" s="3" t="inlineStr">
        <is>
          <t>Assets</t>
        </is>
      </c>
      <c r="D296" s="3" t="inlineStr">
        <is>
          <t>7620/295</t>
        </is>
      </c>
      <c r="E296" s="3" t="inlineStr">
        <is>
          <t>HF CIP Traffic Planning</t>
        </is>
      </c>
      <c r="F296" s="3" t="n">
        <v>0</v>
      </c>
      <c r="G296" s="3" t="n">
        <v>45000</v>
      </c>
    </row>
    <row r="297">
      <c r="A297" s="3" t="inlineStr">
        <is>
          <t>Heron Fields (Pty) Ltd</t>
        </is>
      </c>
      <c r="B297" s="4" t="n">
        <v>44530</v>
      </c>
      <c r="C297" s="3" t="inlineStr">
        <is>
          <t>Assets</t>
        </is>
      </c>
      <c r="D297" s="3" t="inlineStr">
        <is>
          <t>7620/600</t>
        </is>
      </c>
      <c r="E297" s="3" t="inlineStr">
        <is>
          <t>HF CIP Eco work</t>
        </is>
      </c>
      <c r="F297" s="3" t="n">
        <v>6000</v>
      </c>
      <c r="G297" s="3" t="n">
        <v>36000</v>
      </c>
    </row>
    <row r="298">
      <c r="A298" s="3" t="inlineStr">
        <is>
          <t>Heron Fields (Pty) Ltd</t>
        </is>
      </c>
      <c r="B298" s="4" t="n">
        <v>44530</v>
      </c>
      <c r="C298" s="3" t="inlineStr">
        <is>
          <t>Assets</t>
        </is>
      </c>
      <c r="D298" s="3" t="inlineStr">
        <is>
          <t>7620/630</t>
        </is>
      </c>
      <c r="E298" s="3" t="inlineStr">
        <is>
          <t>HF CIP CoCT development contribution</t>
        </is>
      </c>
      <c r="F298" s="3" t="n">
        <v>523470.88</v>
      </c>
      <c r="G298" s="3" t="n">
        <v>523470.88</v>
      </c>
    </row>
    <row r="299">
      <c r="A299" s="3" t="inlineStr">
        <is>
          <t>Heron Fields (Pty) Ltd</t>
        </is>
      </c>
      <c r="B299" s="4" t="n">
        <v>44530</v>
      </c>
      <c r="C299" s="3" t="inlineStr">
        <is>
          <t>Assets</t>
        </is>
      </c>
      <c r="D299" s="3" t="inlineStr">
        <is>
          <t>8200/200</t>
        </is>
      </c>
      <c r="E299" s="3" t="inlineStr">
        <is>
          <t>Sundry Debtor - Quinate</t>
        </is>
      </c>
      <c r="F299" s="3" t="n">
        <v>0</v>
      </c>
      <c r="G299" s="3" t="n">
        <v>300000</v>
      </c>
    </row>
    <row r="300">
      <c r="A300" s="3" t="inlineStr">
        <is>
          <t>Heron Fields (Pty) Ltd</t>
        </is>
      </c>
      <c r="B300" s="4" t="n">
        <v>44530</v>
      </c>
      <c r="C300" s="3" t="inlineStr">
        <is>
          <t>Assets</t>
        </is>
      </c>
      <c r="D300" s="3" t="inlineStr">
        <is>
          <t>8400/000</t>
        </is>
      </c>
      <c r="E300" s="3" t="inlineStr">
        <is>
          <t>RMB - 62882379087</t>
        </is>
      </c>
      <c r="F300" s="3" t="n">
        <v>-56268.09</v>
      </c>
      <c r="G300" s="3" t="n">
        <v>4266.55</v>
      </c>
    </row>
    <row r="301">
      <c r="A301" s="3" t="inlineStr">
        <is>
          <t>Heron Fields (Pty) Ltd</t>
        </is>
      </c>
      <c r="B301" s="4" t="n">
        <v>44530</v>
      </c>
      <c r="C301" s="3" t="inlineStr">
        <is>
          <t>Assets</t>
        </is>
      </c>
      <c r="D301" s="3" t="inlineStr">
        <is>
          <t>8430/000</t>
        </is>
      </c>
      <c r="E301" s="3" t="inlineStr">
        <is>
          <t>Momentum Private Account RU502230151</t>
        </is>
      </c>
      <c r="F301" s="3" t="n">
        <v>-389000</v>
      </c>
      <c r="G301" s="3" t="n">
        <v>1007.08</v>
      </c>
    </row>
    <row r="302">
      <c r="A302" s="3" t="inlineStr">
        <is>
          <t>Heron Fields (Pty) Ltd</t>
        </is>
      </c>
      <c r="B302" s="4" t="n">
        <v>44530</v>
      </c>
      <c r="C302" s="3" t="inlineStr">
        <is>
          <t>Assets</t>
        </is>
      </c>
      <c r="D302" s="3" t="inlineStr">
        <is>
          <t>8440/000</t>
        </is>
      </c>
      <c r="E302" s="3" t="inlineStr">
        <is>
          <t>Momentum Investors Account RU502229930</t>
        </is>
      </c>
      <c r="F302" s="3" t="n">
        <v>328274.44</v>
      </c>
      <c r="G302" s="3" t="n">
        <v>12850513.07</v>
      </c>
    </row>
    <row r="303">
      <c r="A303" s="3" t="inlineStr">
        <is>
          <t>Heron Fields (Pty) Ltd</t>
        </is>
      </c>
      <c r="B303" s="4" t="n">
        <v>44530</v>
      </c>
      <c r="C303" s="3" t="inlineStr">
        <is>
          <t>Liabilities</t>
        </is>
      </c>
      <c r="D303" s="3" t="inlineStr">
        <is>
          <t>9000/000</t>
        </is>
      </c>
      <c r="E303" s="3" t="inlineStr">
        <is>
          <t>Supplier Control Account</t>
        </is>
      </c>
      <c r="F303" s="3" t="n">
        <v>-522932.04</v>
      </c>
      <c r="G303" s="3" t="n">
        <v>-46176620.4</v>
      </c>
    </row>
    <row r="304">
      <c r="A304" s="3" t="inlineStr">
        <is>
          <t>Heron Fields (Pty) Ltd</t>
        </is>
      </c>
      <c r="B304" s="4" t="n">
        <v>44530</v>
      </c>
      <c r="C304" s="3" t="inlineStr">
        <is>
          <t>Liabilities</t>
        </is>
      </c>
      <c r="D304" s="3" t="inlineStr">
        <is>
          <t>9500/000</t>
        </is>
      </c>
      <c r="E304" s="3" t="inlineStr">
        <is>
          <t>Vat / Tax Control Account</t>
        </is>
      </c>
      <c r="F304" s="3" t="n">
        <v>110205.01</v>
      </c>
      <c r="G304" s="3" t="n">
        <v>480929.51</v>
      </c>
    </row>
    <row r="305">
      <c r="A305" s="3" t="inlineStr">
        <is>
          <t>Cape Projects Construction (Pty) Ltd</t>
        </is>
      </c>
      <c r="B305" s="4" t="n">
        <v>44561</v>
      </c>
      <c r="C305" s="3" t="inlineStr">
        <is>
          <t>Revenue</t>
        </is>
      </c>
      <c r="D305" s="3" t="inlineStr">
        <is>
          <t>1050/030</t>
        </is>
      </c>
      <c r="E305" s="3" t="inlineStr">
        <is>
          <t>Fees - Construction - Endulini</t>
        </is>
      </c>
      <c r="F305" s="3" t="n">
        <v>-3010475.91</v>
      </c>
      <c r="G305" s="3" t="n">
        <v>-14286286.44</v>
      </c>
    </row>
    <row r="306">
      <c r="A306" s="3" t="inlineStr">
        <is>
          <t>Cape Projects Construction (Pty) Ltd</t>
        </is>
      </c>
      <c r="B306" s="4" t="n">
        <v>44561</v>
      </c>
      <c r="C306" s="3" t="inlineStr">
        <is>
          <t>Revenue</t>
        </is>
      </c>
      <c r="D306" s="3" t="inlineStr">
        <is>
          <t>1050/032</t>
        </is>
      </c>
      <c r="E306" s="3" t="inlineStr">
        <is>
          <t>Fees - Construction - Endulini P and G</t>
        </is>
      </c>
      <c r="F306" s="3" t="n">
        <v>-349420.17</v>
      </c>
      <c r="G306" s="3" t="n">
        <v>-1810031.5</v>
      </c>
    </row>
    <row r="307">
      <c r="A307" s="3" t="inlineStr">
        <is>
          <t>Cape Projects Construction (Pty) Ltd</t>
        </is>
      </c>
      <c r="B307" s="4" t="n">
        <v>44561</v>
      </c>
      <c r="C307" s="3" t="inlineStr">
        <is>
          <t>Revenue</t>
        </is>
      </c>
      <c r="D307" s="3" t="inlineStr">
        <is>
          <t>1060/000</t>
        </is>
      </c>
      <c r="E307" s="3" t="inlineStr">
        <is>
          <t>Insurance recovery</t>
        </is>
      </c>
      <c r="F307" s="3" t="n">
        <v>0</v>
      </c>
      <c r="G307" s="3" t="n">
        <v>387.08</v>
      </c>
    </row>
    <row r="308">
      <c r="A308" s="3" t="inlineStr">
        <is>
          <t>Cape Projects Construction (Pty) Ltd</t>
        </is>
      </c>
      <c r="B308" s="4" t="n">
        <v>44561</v>
      </c>
      <c r="C308" s="3" t="inlineStr">
        <is>
          <t>Revenue</t>
        </is>
      </c>
      <c r="D308" s="3" t="inlineStr">
        <is>
          <t>1070/000</t>
        </is>
      </c>
      <c r="E308" s="3" t="inlineStr">
        <is>
          <t>Rent - CT Office</t>
        </is>
      </c>
      <c r="F308" s="3" t="n">
        <v>-3490.94</v>
      </c>
      <c r="G308" s="3" t="n">
        <v>-3490.94</v>
      </c>
    </row>
    <row r="309">
      <c r="A309" s="3" t="inlineStr">
        <is>
          <t>Heron Fields (Pty) Ltd</t>
        </is>
      </c>
      <c r="B309" s="4" t="n">
        <v>44561</v>
      </c>
      <c r="C309" s="3" t="inlineStr">
        <is>
          <t>Revenue</t>
        </is>
      </c>
      <c r="D309" s="3" t="inlineStr">
        <is>
          <t>1500/001</t>
        </is>
      </c>
      <c r="E309" s="3" t="inlineStr">
        <is>
          <t>Revaluation of Land</t>
        </is>
      </c>
      <c r="F309" s="3" t="n">
        <v>0</v>
      </c>
      <c r="G309" s="3" t="n">
        <v>-19713043.68</v>
      </c>
    </row>
    <row r="310">
      <c r="A310" s="3" t="inlineStr">
        <is>
          <t>Heron Fields (Pty) Ltd</t>
        </is>
      </c>
      <c r="B310" s="4" t="n">
        <v>44561</v>
      </c>
      <c r="C310" s="3" t="inlineStr">
        <is>
          <t>Expenses</t>
        </is>
      </c>
      <c r="D310" s="3" t="inlineStr">
        <is>
          <t>2000/020</t>
        </is>
      </c>
      <c r="E310" s="3" t="inlineStr">
        <is>
          <t>COS - Heron sales office</t>
        </is>
      </c>
      <c r="F310" s="3" t="n">
        <v>1500</v>
      </c>
      <c r="G310" s="3" t="n">
        <v>9814</v>
      </c>
    </row>
    <row r="311">
      <c r="A311" s="3" t="inlineStr">
        <is>
          <t>Cape Projects Construction (Pty) Ltd</t>
        </is>
      </c>
      <c r="B311" s="4" t="n">
        <v>44561</v>
      </c>
      <c r="C311" s="3" t="inlineStr">
        <is>
          <t>Expenses</t>
        </is>
      </c>
      <c r="D311" s="3" t="inlineStr">
        <is>
          <t>2001/043</t>
        </is>
      </c>
      <c r="E311" s="3" t="inlineStr">
        <is>
          <t>COS - Site Establishment - Consumables</t>
        </is>
      </c>
      <c r="F311" s="3" t="n">
        <v>0</v>
      </c>
      <c r="G311" s="3" t="n">
        <v>1207.35</v>
      </c>
    </row>
    <row r="312">
      <c r="A312" s="3" t="inlineStr">
        <is>
          <t>Cape Projects Construction (Pty) Ltd</t>
        </is>
      </c>
      <c r="B312" s="4" t="n">
        <v>44561</v>
      </c>
      <c r="C312" s="3" t="inlineStr">
        <is>
          <t>Expenses</t>
        </is>
      </c>
      <c r="D312" s="3" t="inlineStr">
        <is>
          <t>2001/048</t>
        </is>
      </c>
      <c r="E312" s="3" t="inlineStr">
        <is>
          <t>COS - Site Establishment Water Pump</t>
        </is>
      </c>
      <c r="F312" s="3" t="n">
        <v>0</v>
      </c>
      <c r="G312" s="3" t="n">
        <v>4850</v>
      </c>
    </row>
    <row r="313">
      <c r="A313" s="3" t="inlineStr">
        <is>
          <t>Cape Projects Construction (Pty) Ltd</t>
        </is>
      </c>
      <c r="B313" s="4" t="n">
        <v>44561</v>
      </c>
      <c r="C313" s="3" t="inlineStr">
        <is>
          <t>Expenses</t>
        </is>
      </c>
      <c r="D313" s="3" t="inlineStr">
        <is>
          <t>2001/109</t>
        </is>
      </c>
      <c r="E313" s="3" t="inlineStr">
        <is>
          <t>COS - Site Labour Labourers</t>
        </is>
      </c>
      <c r="F313" s="3" t="n">
        <v>0</v>
      </c>
      <c r="G313" s="3" t="n">
        <v>3900</v>
      </c>
    </row>
    <row r="314">
      <c r="A314" s="3" t="inlineStr">
        <is>
          <t>Cape Projects Construction (Pty) Ltd</t>
        </is>
      </c>
      <c r="B314" s="4" t="n">
        <v>44561</v>
      </c>
      <c r="C314" s="3" t="inlineStr">
        <is>
          <t>Expenses</t>
        </is>
      </c>
      <c r="D314" s="3" t="inlineStr">
        <is>
          <t>2006/000</t>
        </is>
      </c>
      <c r="E314" s="3" t="inlineStr">
        <is>
          <t>COS - Endulini Construction</t>
        </is>
      </c>
      <c r="F314" s="3" t="n">
        <v>3119929.81</v>
      </c>
      <c r="G314" s="3" t="n">
        <v>12375159.27</v>
      </c>
    </row>
    <row r="315">
      <c r="A315" s="3" t="inlineStr">
        <is>
          <t>Cape Projects Construction (Pty) Ltd</t>
        </is>
      </c>
      <c r="B315" s="4" t="n">
        <v>44561</v>
      </c>
      <c r="C315" s="3" t="inlineStr">
        <is>
          <t>Expenses</t>
        </is>
      </c>
      <c r="D315" s="3" t="inlineStr">
        <is>
          <t>2006/100</t>
        </is>
      </c>
      <c r="E315" s="3" t="inlineStr">
        <is>
          <t>COS - Endulini P and G</t>
        </is>
      </c>
      <c r="F315" s="3" t="n">
        <v>22772.6</v>
      </c>
      <c r="G315" s="3" t="n">
        <v>238521.7</v>
      </c>
    </row>
    <row r="316">
      <c r="A316" s="3" t="inlineStr">
        <is>
          <t>Cape Projects Construction (Pty) Ltd</t>
        </is>
      </c>
      <c r="B316" s="4" t="n">
        <v>44561</v>
      </c>
      <c r="C316" s="3" t="inlineStr">
        <is>
          <t>Expenses</t>
        </is>
      </c>
      <c r="D316" s="3" t="inlineStr">
        <is>
          <t>2006/200</t>
        </is>
      </c>
      <c r="E316" s="3" t="inlineStr">
        <is>
          <t>COS - Insurance</t>
        </is>
      </c>
      <c r="F316" s="3" t="n">
        <v>2867.09</v>
      </c>
      <c r="G316" s="3" t="n">
        <v>14335.46</v>
      </c>
    </row>
    <row r="317">
      <c r="A317" s="3" t="inlineStr">
        <is>
          <t>Cape Projects Construction (Pty) Ltd</t>
        </is>
      </c>
      <c r="B317" s="4" t="n">
        <v>44561</v>
      </c>
      <c r="C317" s="3" t="inlineStr">
        <is>
          <t>Expenses</t>
        </is>
      </c>
      <c r="D317" s="3" t="inlineStr">
        <is>
          <t>2006/300</t>
        </is>
      </c>
      <c r="E317" s="3" t="inlineStr">
        <is>
          <t>COS - Endulini - Printing &amp; Stationary</t>
        </is>
      </c>
      <c r="F317" s="3" t="n">
        <v>103.13</v>
      </c>
      <c r="G317" s="3" t="n">
        <v>620.09</v>
      </c>
    </row>
    <row r="318">
      <c r="A318" s="3" t="inlineStr">
        <is>
          <t>Cape Projects Construction (Pty) Ltd</t>
        </is>
      </c>
      <c r="B318" s="4" t="n">
        <v>44561</v>
      </c>
      <c r="C318" s="3" t="inlineStr">
        <is>
          <t>Expenses</t>
        </is>
      </c>
      <c r="D318" s="3" t="inlineStr">
        <is>
          <t>2006/350</t>
        </is>
      </c>
      <c r="E318" s="3" t="inlineStr">
        <is>
          <t>COS - Endulini - Security</t>
        </is>
      </c>
      <c r="F318" s="3" t="n">
        <v>11000</v>
      </c>
      <c r="G318" s="3" t="n">
        <v>38500</v>
      </c>
    </row>
    <row r="319">
      <c r="A319" s="3" t="inlineStr">
        <is>
          <t>Cape Projects Construction (Pty) Ltd</t>
        </is>
      </c>
      <c r="B319" s="4" t="n">
        <v>44561</v>
      </c>
      <c r="C319" s="3" t="inlineStr">
        <is>
          <t>Expenses</t>
        </is>
      </c>
      <c r="D319" s="3" t="inlineStr">
        <is>
          <t>2006/400</t>
        </is>
      </c>
      <c r="E319" s="3" t="inlineStr">
        <is>
          <t>COS - Endulini - Health &amp; Safety</t>
        </is>
      </c>
      <c r="F319" s="3" t="n">
        <v>4000</v>
      </c>
      <c r="G319" s="3" t="n">
        <v>25938.36</v>
      </c>
    </row>
    <row r="320">
      <c r="A320" s="3" t="inlineStr">
        <is>
          <t>Cape Projects Construction (Pty) Ltd</t>
        </is>
      </c>
      <c r="B320" s="4" t="n">
        <v>44561</v>
      </c>
      <c r="C320" s="3" t="inlineStr">
        <is>
          <t>Expenses</t>
        </is>
      </c>
      <c r="D320" s="3" t="inlineStr">
        <is>
          <t>2006/500</t>
        </is>
      </c>
      <c r="E320" s="3" t="inlineStr">
        <is>
          <t>COS - Endulini - Small Assets</t>
        </is>
      </c>
      <c r="F320" s="3" t="n">
        <v>0</v>
      </c>
      <c r="G320" s="3" t="n">
        <v>13844.89</v>
      </c>
    </row>
    <row r="321">
      <c r="A321" s="3" t="inlineStr">
        <is>
          <t>Cape Projects Construction (Pty) Ltd</t>
        </is>
      </c>
      <c r="B321" s="4" t="n">
        <v>44561</v>
      </c>
      <c r="C321" s="3" t="inlineStr">
        <is>
          <t>Expenses</t>
        </is>
      </c>
      <c r="D321" s="3" t="inlineStr">
        <is>
          <t>2006/550</t>
        </is>
      </c>
      <c r="E321" s="3" t="inlineStr">
        <is>
          <t>COS - Endulini - Cleaning</t>
        </is>
      </c>
      <c r="F321" s="3" t="n">
        <v>15000</v>
      </c>
      <c r="G321" s="3" t="n">
        <v>15000</v>
      </c>
    </row>
    <row r="322">
      <c r="A322" s="3" t="inlineStr">
        <is>
          <t>Cape Projects Construction (Pty) Ltd</t>
        </is>
      </c>
      <c r="B322" s="4" t="n">
        <v>44561</v>
      </c>
      <c r="C322" s="3" t="inlineStr">
        <is>
          <t>Expenses</t>
        </is>
      </c>
      <c r="D322" s="3" t="inlineStr">
        <is>
          <t>2006/600</t>
        </is>
      </c>
      <c r="E322" s="3" t="inlineStr">
        <is>
          <t>COS - Endulini - Consumables</t>
        </is>
      </c>
      <c r="F322" s="3" t="n">
        <v>0</v>
      </c>
      <c r="G322" s="3" t="n">
        <v>691.29</v>
      </c>
    </row>
    <row r="323">
      <c r="A323" s="3" t="inlineStr">
        <is>
          <t>Cape Projects Construction (Pty) Ltd</t>
        </is>
      </c>
      <c r="B323" s="4" t="n">
        <v>44561</v>
      </c>
      <c r="C323" s="3" t="inlineStr">
        <is>
          <t>Expenses</t>
        </is>
      </c>
      <c r="D323" s="3" t="inlineStr">
        <is>
          <t>2006/700</t>
        </is>
      </c>
      <c r="E323" s="3" t="inlineStr">
        <is>
          <t>COS - Endulini - Fuel</t>
        </is>
      </c>
      <c r="F323" s="3" t="n">
        <v>5037</v>
      </c>
      <c r="G323" s="3" t="n">
        <v>18193.21</v>
      </c>
    </row>
    <row r="324">
      <c r="A324" s="3" t="inlineStr">
        <is>
          <t>Cape Projects Construction (Pty) Ltd</t>
        </is>
      </c>
      <c r="B324" s="4" t="n">
        <v>44561</v>
      </c>
      <c r="C324" s="3" t="inlineStr">
        <is>
          <t>Expenses</t>
        </is>
      </c>
      <c r="D324" s="3" t="inlineStr">
        <is>
          <t>2006/800</t>
        </is>
      </c>
      <c r="E324" s="3" t="inlineStr">
        <is>
          <t>COS - Endulini - Telephone &amp; Internet</t>
        </is>
      </c>
      <c r="F324" s="3" t="n">
        <v>1973.42</v>
      </c>
      <c r="G324" s="3" t="n">
        <v>4363.36</v>
      </c>
    </row>
    <row r="325">
      <c r="A325" s="3" t="inlineStr">
        <is>
          <t>Cape Projects Construction (Pty) Ltd</t>
        </is>
      </c>
      <c r="B325" s="4" t="n">
        <v>44561</v>
      </c>
      <c r="C325" s="3" t="inlineStr">
        <is>
          <t>Expenses</t>
        </is>
      </c>
      <c r="D325" s="3" t="inlineStr">
        <is>
          <t>2006/900</t>
        </is>
      </c>
      <c r="E325" s="3" t="inlineStr">
        <is>
          <t>COS - Endulini - Site Labour</t>
        </is>
      </c>
      <c r="F325" s="3" t="n">
        <v>8330</v>
      </c>
      <c r="G325" s="3" t="n">
        <v>22570</v>
      </c>
    </row>
    <row r="326">
      <c r="A326" s="3" t="inlineStr">
        <is>
          <t>Cape Projects Construction (Pty) Ltd</t>
        </is>
      </c>
      <c r="B326" s="4" t="n">
        <v>44561</v>
      </c>
      <c r="C326" s="3" t="inlineStr">
        <is>
          <t>Expenses</t>
        </is>
      </c>
      <c r="D326" s="3" t="inlineStr">
        <is>
          <t>2007/000</t>
        </is>
      </c>
      <c r="E326" s="3" t="inlineStr">
        <is>
          <t>COS - Repairs &amp; Maintenance - SW Southwark</t>
        </is>
      </c>
      <c r="F326" s="3" t="n">
        <v>0</v>
      </c>
      <c r="G326" s="3" t="n">
        <v>24889.96</v>
      </c>
    </row>
    <row r="327">
      <c r="A327" s="3" t="inlineStr">
        <is>
          <t>Cape Projects Construction (Pty) Ltd</t>
        </is>
      </c>
      <c r="B327" s="4" t="n">
        <v>44561</v>
      </c>
      <c r="C327" s="3" t="inlineStr">
        <is>
          <t>Expenses</t>
        </is>
      </c>
      <c r="D327" s="3" t="inlineStr">
        <is>
          <t>2009/000</t>
        </is>
      </c>
      <c r="E327" s="3" t="inlineStr">
        <is>
          <t>COS - Repairs &amp; Maintenance - Endulini Sales Office</t>
        </is>
      </c>
      <c r="F327" s="3" t="n">
        <v>0</v>
      </c>
      <c r="G327" s="3" t="n">
        <v>2783.31</v>
      </c>
    </row>
    <row r="328">
      <c r="A328" s="3" t="inlineStr">
        <is>
          <t>Cape Projects Construction (Pty) Ltd</t>
        </is>
      </c>
      <c r="B328" s="4" t="n">
        <v>44561</v>
      </c>
      <c r="C328" s="3" t="inlineStr">
        <is>
          <t>Expenses</t>
        </is>
      </c>
      <c r="D328" s="3" t="inlineStr">
        <is>
          <t>2010/000</t>
        </is>
      </c>
      <c r="E328" s="3" t="inlineStr">
        <is>
          <t>COS - Repairs &amp; Maintenance - Heron Sales Office</t>
        </is>
      </c>
      <c r="F328" s="3" t="n">
        <v>2140</v>
      </c>
      <c r="G328" s="3" t="n">
        <v>15997.39</v>
      </c>
    </row>
    <row r="329">
      <c r="A329" s="3" t="inlineStr">
        <is>
          <t>Cape Projects Construction (Pty) Ltd</t>
        </is>
      </c>
      <c r="B329" s="4" t="n">
        <v>44561</v>
      </c>
      <c r="C329" s="3" t="inlineStr">
        <is>
          <t>Expenses</t>
        </is>
      </c>
      <c r="D329" s="3" t="inlineStr">
        <is>
          <t>2011/100</t>
        </is>
      </c>
      <c r="E329" s="3" t="inlineStr">
        <is>
          <t>COS - Heron Fields - Garden Services</t>
        </is>
      </c>
      <c r="F329" s="3" t="n">
        <v>450</v>
      </c>
      <c r="G329" s="3" t="n">
        <v>450</v>
      </c>
    </row>
    <row r="330">
      <c r="A330" s="3" t="inlineStr">
        <is>
          <t>Cape Projects Construction (Pty) Ltd</t>
        </is>
      </c>
      <c r="B330" s="4" t="n">
        <v>44561</v>
      </c>
      <c r="C330" s="3" t="inlineStr">
        <is>
          <t>Expenses</t>
        </is>
      </c>
      <c r="D330" s="3" t="inlineStr">
        <is>
          <t>2011/200</t>
        </is>
      </c>
      <c r="E330" s="3" t="inlineStr">
        <is>
          <t>COS - Heron Fields - Labourers</t>
        </is>
      </c>
      <c r="F330" s="3" t="n">
        <v>0</v>
      </c>
      <c r="G330" s="3" t="n">
        <v>1450</v>
      </c>
    </row>
    <row r="331">
      <c r="A331" s="3" t="inlineStr">
        <is>
          <t>Cape Projects Construction (Pty) Ltd</t>
        </is>
      </c>
      <c r="B331" s="4" t="n">
        <v>44561</v>
      </c>
      <c r="C331" s="3" t="inlineStr">
        <is>
          <t>Expenses</t>
        </is>
      </c>
      <c r="D331" s="3" t="inlineStr">
        <is>
          <t>2011/300</t>
        </is>
      </c>
      <c r="E331" s="3" t="inlineStr">
        <is>
          <t>COS - Heron Fields - Printing &amp; Stationary</t>
        </is>
      </c>
      <c r="F331" s="3" t="n">
        <v>0</v>
      </c>
      <c r="G331" s="3" t="n">
        <v>30.43</v>
      </c>
    </row>
    <row r="332">
      <c r="A332" s="3" t="inlineStr">
        <is>
          <t>Cape Projects Construction (Pty) Ltd</t>
        </is>
      </c>
      <c r="B332" s="4" t="n">
        <v>44561</v>
      </c>
      <c r="C332" s="3" t="inlineStr">
        <is>
          <t>Expenses</t>
        </is>
      </c>
      <c r="D332" s="3" t="inlineStr">
        <is>
          <t>2011/400</t>
        </is>
      </c>
      <c r="E332" s="3" t="inlineStr">
        <is>
          <t>COS - Heron - Sales office Staff refreshments</t>
        </is>
      </c>
      <c r="F332" s="3" t="n">
        <v>1092.26</v>
      </c>
      <c r="G332" s="3" t="n">
        <v>1973.83</v>
      </c>
    </row>
    <row r="333">
      <c r="A333" s="3" t="inlineStr">
        <is>
          <t>Cape Projects Construction (Pty) Ltd</t>
        </is>
      </c>
      <c r="B333" s="4" t="n">
        <v>44561</v>
      </c>
      <c r="C333" s="3" t="inlineStr">
        <is>
          <t>Revenue</t>
        </is>
      </c>
      <c r="D333" s="3" t="inlineStr">
        <is>
          <t>2700/000</t>
        </is>
      </c>
      <c r="E333" s="3" t="inlineStr">
        <is>
          <t>Discount Received for Cash</t>
        </is>
      </c>
      <c r="F333" s="3" t="n">
        <v>0</v>
      </c>
      <c r="G333" s="3" t="n">
        <v>4.36</v>
      </c>
    </row>
    <row r="334">
      <c r="A334" s="3" t="inlineStr">
        <is>
          <t>Cape Projects Construction (Pty) Ltd</t>
        </is>
      </c>
      <c r="B334" s="4" t="n">
        <v>44561</v>
      </c>
      <c r="C334" s="3" t="inlineStr">
        <is>
          <t>Expenses</t>
        </is>
      </c>
      <c r="D334" s="3" t="inlineStr">
        <is>
          <t>2700/100</t>
        </is>
      </c>
      <c r="E334" s="3" t="inlineStr">
        <is>
          <t>COS - Southwark - Printing</t>
        </is>
      </c>
      <c r="F334" s="3" t="n">
        <v>0</v>
      </c>
      <c r="G334" s="3" t="n">
        <v>83.48</v>
      </c>
    </row>
    <row r="335">
      <c r="A335" s="3" t="inlineStr">
        <is>
          <t>Cape Projects Construction (Pty) Ltd</t>
        </is>
      </c>
      <c r="B335" s="4" t="n">
        <v>44561</v>
      </c>
      <c r="C335" s="3" t="inlineStr">
        <is>
          <t>Revenue</t>
        </is>
      </c>
      <c r="D335" s="3" t="inlineStr">
        <is>
          <t>2751/001</t>
        </is>
      </c>
      <c r="E335" s="3" t="inlineStr">
        <is>
          <t>Interest received - Momentum</t>
        </is>
      </c>
      <c r="F335" s="3" t="n">
        <v>-5.86</v>
      </c>
      <c r="G335" s="3" t="n">
        <v>-5.86</v>
      </c>
    </row>
    <row r="336">
      <c r="A336" s="3" t="inlineStr">
        <is>
          <t>Heron Fields (Pty) Ltd</t>
        </is>
      </c>
      <c r="B336" s="4" t="n">
        <v>44561</v>
      </c>
      <c r="C336" s="3" t="inlineStr">
        <is>
          <t>Revenue</t>
        </is>
      </c>
      <c r="D336" s="3" t="inlineStr">
        <is>
          <t>2753/001</t>
        </is>
      </c>
      <c r="E336" s="3" t="inlineStr">
        <is>
          <t>Interest Received - Deposit Grey Heron</t>
        </is>
      </c>
      <c r="F336" s="3" t="n">
        <v>0</v>
      </c>
      <c r="G336" s="3" t="n">
        <v>-1245</v>
      </c>
    </row>
    <row r="337">
      <c r="A337" s="3" t="inlineStr">
        <is>
          <t>Heron Fields (Pty) Ltd</t>
        </is>
      </c>
      <c r="B337" s="4" t="n">
        <v>44561</v>
      </c>
      <c r="C337" s="3" t="inlineStr">
        <is>
          <t>Revenue</t>
        </is>
      </c>
      <c r="D337" s="3" t="inlineStr">
        <is>
          <t>2754/001</t>
        </is>
      </c>
      <c r="E337" s="3" t="inlineStr">
        <is>
          <t>Interest Received - STBB Trust Account</t>
        </is>
      </c>
      <c r="F337" s="3" t="n">
        <v>0</v>
      </c>
      <c r="G337" s="3" t="n">
        <v>-149149.4</v>
      </c>
    </row>
    <row r="338">
      <c r="A338" s="3" t="inlineStr">
        <is>
          <t>Heron Fields (Pty) Ltd</t>
        </is>
      </c>
      <c r="B338" s="4" t="n">
        <v>44561</v>
      </c>
      <c r="C338" s="3" t="inlineStr">
        <is>
          <t>Revenue</t>
        </is>
      </c>
      <c r="D338" s="3" t="inlineStr">
        <is>
          <t>2755/001</t>
        </is>
      </c>
      <c r="E338" s="3" t="inlineStr">
        <is>
          <t>Interest Received - Momentum</t>
        </is>
      </c>
      <c r="F338" s="3" t="n">
        <v>-35000.8</v>
      </c>
      <c r="G338" s="3" t="n">
        <v>-115325.39</v>
      </c>
    </row>
    <row r="339">
      <c r="A339" s="3" t="inlineStr">
        <is>
          <t>Heron Fields (Pty) Ltd</t>
        </is>
      </c>
      <c r="B339" s="4" t="n">
        <v>44561</v>
      </c>
      <c r="C339" s="3" t="inlineStr">
        <is>
          <t>Expenses</t>
        </is>
      </c>
      <c r="D339" s="3" t="inlineStr">
        <is>
          <t>3000/100</t>
        </is>
      </c>
      <c r="E339" s="3" t="inlineStr">
        <is>
          <t>Accounting - CIPC</t>
        </is>
      </c>
      <c r="F339" s="3" t="n">
        <v>0</v>
      </c>
      <c r="G339" s="3" t="n">
        <v>100</v>
      </c>
    </row>
    <row r="340">
      <c r="A340" s="3" t="inlineStr">
        <is>
          <t>Cape Projects Construction (Pty) Ltd</t>
        </is>
      </c>
      <c r="B340" s="4" t="n">
        <v>44561</v>
      </c>
      <c r="C340" s="3" t="inlineStr">
        <is>
          <t>Expenses</t>
        </is>
      </c>
      <c r="D340" s="3" t="inlineStr">
        <is>
          <t>3001/000</t>
        </is>
      </c>
      <c r="E340" s="3" t="inlineStr">
        <is>
          <t>Accounting Fees - Other</t>
        </is>
      </c>
      <c r="F340" s="3" t="n">
        <v>0</v>
      </c>
      <c r="G340" s="3" t="n">
        <v>2215</v>
      </c>
    </row>
    <row r="341">
      <c r="A341" s="3" t="inlineStr">
        <is>
          <t>Cape Projects Construction (Pty) Ltd</t>
        </is>
      </c>
      <c r="B341" s="4" t="n">
        <v>44561</v>
      </c>
      <c r="C341" s="3" t="inlineStr">
        <is>
          <t>Expenses</t>
        </is>
      </c>
      <c r="D341" s="3" t="inlineStr">
        <is>
          <t>3002/000</t>
        </is>
      </c>
      <c r="E341" s="3" t="inlineStr">
        <is>
          <t>Accounting Fees - Audit</t>
        </is>
      </c>
      <c r="F341" s="3" t="n">
        <v>0</v>
      </c>
      <c r="G341" s="3" t="n">
        <v>4125</v>
      </c>
    </row>
    <row r="342">
      <c r="A342" s="3" t="inlineStr">
        <is>
          <t>Cape Projects Construction (Pty) Ltd</t>
        </is>
      </c>
      <c r="B342" s="4" t="n">
        <v>44561</v>
      </c>
      <c r="C342" s="3" t="inlineStr">
        <is>
          <t>Expenses</t>
        </is>
      </c>
      <c r="D342" s="3" t="inlineStr">
        <is>
          <t>3002/010</t>
        </is>
      </c>
      <c r="E342" s="3" t="inlineStr">
        <is>
          <t>Accounting Fee - PayrollWorx</t>
        </is>
      </c>
      <c r="F342" s="3" t="n">
        <v>0</v>
      </c>
      <c r="G342" s="3" t="n">
        <v>5575</v>
      </c>
    </row>
    <row r="343">
      <c r="A343" s="3" t="inlineStr">
        <is>
          <t>Cape Projects Construction (Pty) Ltd</t>
        </is>
      </c>
      <c r="B343" s="4" t="n">
        <v>44561</v>
      </c>
      <c r="C343" s="3" t="inlineStr">
        <is>
          <t>Expenses</t>
        </is>
      </c>
      <c r="D343" s="3" t="inlineStr">
        <is>
          <t>3004</t>
        </is>
      </c>
      <c r="E343" s="3" t="inlineStr">
        <is>
          <t>Accounting - Warwick</t>
        </is>
      </c>
      <c r="F343" s="3" t="n">
        <v>0</v>
      </c>
      <c r="G343" s="3" t="n">
        <v>107300</v>
      </c>
    </row>
    <row r="344">
      <c r="A344" s="3" t="inlineStr">
        <is>
          <t>Cape Projects Construction (Pty) Ltd</t>
        </is>
      </c>
      <c r="B344" s="4" t="n">
        <v>44561</v>
      </c>
      <c r="C344" s="3" t="inlineStr">
        <is>
          <t>Expenses</t>
        </is>
      </c>
      <c r="D344" s="3" t="inlineStr">
        <is>
          <t>3004/000</t>
        </is>
      </c>
      <c r="E344" s="3" t="inlineStr">
        <is>
          <t>Accounting Fees - Tax Dept.</t>
        </is>
      </c>
      <c r="F344" s="3" t="n">
        <v>747.5</v>
      </c>
      <c r="G344" s="3" t="n">
        <v>1847.5</v>
      </c>
    </row>
    <row r="345">
      <c r="A345" s="3" t="inlineStr">
        <is>
          <t>Cape Projects Construction (Pty) Ltd</t>
        </is>
      </c>
      <c r="B345" s="4" t="n">
        <v>44561</v>
      </c>
      <c r="C345" s="3" t="inlineStr">
        <is>
          <t>Expenses</t>
        </is>
      </c>
      <c r="D345" s="3" t="inlineStr">
        <is>
          <t>3005/000</t>
        </is>
      </c>
      <c r="E345" s="3" t="inlineStr">
        <is>
          <t>Accounting - Janine Theart</t>
        </is>
      </c>
      <c r="F345" s="3" t="n">
        <v>0</v>
      </c>
      <c r="G345" s="3" t="n">
        <v>51000</v>
      </c>
    </row>
    <row r="346">
      <c r="A346" s="3" t="inlineStr">
        <is>
          <t>Cape Projects Construction (Pty) Ltd</t>
        </is>
      </c>
      <c r="B346" s="4" t="n">
        <v>44561</v>
      </c>
      <c r="C346" s="3" t="inlineStr">
        <is>
          <t>Expenses</t>
        </is>
      </c>
      <c r="D346" s="3" t="inlineStr">
        <is>
          <t>3006</t>
        </is>
      </c>
      <c r="E346" s="3" t="inlineStr">
        <is>
          <t>Accounting - Deric Dudley</t>
        </is>
      </c>
      <c r="F346" s="3" t="n">
        <v>0</v>
      </c>
      <c r="G346" s="3" t="n">
        <v>190600</v>
      </c>
    </row>
    <row r="347">
      <c r="A347" s="3" t="inlineStr">
        <is>
          <t>Cape Projects Construction (Pty) Ltd</t>
        </is>
      </c>
      <c r="B347" s="4" t="n">
        <v>44561</v>
      </c>
      <c r="C347" s="3" t="inlineStr">
        <is>
          <t>Expenses</t>
        </is>
      </c>
      <c r="D347" s="3" t="inlineStr">
        <is>
          <t>3020/100</t>
        </is>
      </c>
      <c r="E347" s="3" t="inlineStr">
        <is>
          <t>Admin - Subcontractors</t>
        </is>
      </c>
      <c r="F347" s="3" t="n">
        <v>0</v>
      </c>
      <c r="G347" s="3" t="n">
        <v>3502.5</v>
      </c>
    </row>
    <row r="348">
      <c r="A348" s="3" t="inlineStr">
        <is>
          <t>Cape Projects Construction (Pty) Ltd</t>
        </is>
      </c>
      <c r="B348" s="4" t="n">
        <v>44561</v>
      </c>
      <c r="C348" s="3" t="inlineStr">
        <is>
          <t>Expenses</t>
        </is>
      </c>
      <c r="D348" s="3" t="inlineStr">
        <is>
          <t>3050/000</t>
        </is>
      </c>
      <c r="E348" s="3" t="inlineStr">
        <is>
          <t>Advertising _AND_ Promotions</t>
        </is>
      </c>
      <c r="F348" s="3" t="n">
        <v>0</v>
      </c>
      <c r="G348" s="3" t="n">
        <v>13699</v>
      </c>
    </row>
    <row r="349">
      <c r="A349" s="3" t="inlineStr">
        <is>
          <t>Heron Fields (Pty) Ltd</t>
        </is>
      </c>
      <c r="B349" s="4" t="n">
        <v>44561</v>
      </c>
      <c r="C349" s="3" t="inlineStr">
        <is>
          <t>Expenses</t>
        </is>
      </c>
      <c r="D349" s="3" t="inlineStr">
        <is>
          <t>3050/000</t>
        </is>
      </c>
      <c r="E349" s="3" t="inlineStr">
        <is>
          <t>Advertising _AND_ Promotions</t>
        </is>
      </c>
      <c r="F349" s="3" t="n">
        <v>1845</v>
      </c>
      <c r="G349" s="3" t="n">
        <v>63370.02</v>
      </c>
    </row>
    <row r="350">
      <c r="A350" s="3" t="inlineStr">
        <is>
          <t>Heron Fields (Pty) Ltd</t>
        </is>
      </c>
      <c r="B350" s="4" t="n">
        <v>44561</v>
      </c>
      <c r="C350" s="3" t="inlineStr">
        <is>
          <t>Expenses</t>
        </is>
      </c>
      <c r="D350" s="3" t="inlineStr">
        <is>
          <t>3050/100</t>
        </is>
      </c>
      <c r="E350" s="3" t="inlineStr">
        <is>
          <t>Advertising - Property24</t>
        </is>
      </c>
      <c r="F350" s="3" t="n">
        <v>10800</v>
      </c>
      <c r="G350" s="3" t="n">
        <v>43200</v>
      </c>
    </row>
    <row r="351">
      <c r="A351" s="3" t="inlineStr">
        <is>
          <t>Cape Projects Construction (Pty) Ltd</t>
        </is>
      </c>
      <c r="B351" s="4" t="n">
        <v>44561</v>
      </c>
      <c r="C351" s="3" t="inlineStr">
        <is>
          <t>Expenses</t>
        </is>
      </c>
      <c r="D351" s="3" t="inlineStr">
        <is>
          <t>3050/450</t>
        </is>
      </c>
      <c r="E351" s="3" t="inlineStr">
        <is>
          <t>Advertising - Other</t>
        </is>
      </c>
      <c r="F351" s="3" t="n">
        <v>0</v>
      </c>
      <c r="G351" s="3" t="n">
        <v>4597</v>
      </c>
    </row>
    <row r="352">
      <c r="A352" s="3" t="inlineStr">
        <is>
          <t>Cape Projects Construction (Pty) Ltd</t>
        </is>
      </c>
      <c r="B352" s="4" t="n">
        <v>44561</v>
      </c>
      <c r="C352" s="3" t="inlineStr">
        <is>
          <t>Expenses</t>
        </is>
      </c>
      <c r="D352" s="3" t="inlineStr">
        <is>
          <t>3200/000</t>
        </is>
      </c>
      <c r="E352" s="3" t="inlineStr">
        <is>
          <t>Bank Charges</t>
        </is>
      </c>
      <c r="F352" s="3" t="n">
        <v>1921.17</v>
      </c>
      <c r="G352" s="3" t="n">
        <v>9157.610000000001</v>
      </c>
    </row>
    <row r="353">
      <c r="A353" s="3" t="inlineStr">
        <is>
          <t>Heron Fields (Pty) Ltd</t>
        </is>
      </c>
      <c r="B353" s="4" t="n">
        <v>44561</v>
      </c>
      <c r="C353" s="3" t="inlineStr">
        <is>
          <t>Expenses</t>
        </is>
      </c>
      <c r="D353" s="3" t="inlineStr">
        <is>
          <t>3200/000</t>
        </is>
      </c>
      <c r="E353" s="3" t="inlineStr">
        <is>
          <t>Bank Charges</t>
        </is>
      </c>
      <c r="F353" s="3" t="n">
        <v>530.11</v>
      </c>
      <c r="G353" s="3" t="n">
        <v>3247.49</v>
      </c>
    </row>
    <row r="354">
      <c r="A354" s="3" t="inlineStr">
        <is>
          <t>Cape Projects Construction (Pty) Ltd</t>
        </is>
      </c>
      <c r="B354" s="4" t="n">
        <v>44561</v>
      </c>
      <c r="C354" s="3" t="inlineStr">
        <is>
          <t>Expenses</t>
        </is>
      </c>
      <c r="D354" s="3" t="inlineStr">
        <is>
          <t>3250/000</t>
        </is>
      </c>
      <c r="E354" s="3" t="inlineStr">
        <is>
          <t>Cleaning</t>
        </is>
      </c>
      <c r="F354" s="3" t="n">
        <v>1289.13</v>
      </c>
      <c r="G354" s="3" t="n">
        <v>7667.9</v>
      </c>
    </row>
    <row r="355">
      <c r="A355" s="3" t="inlineStr">
        <is>
          <t>Cape Projects Construction (Pty) Ltd</t>
        </is>
      </c>
      <c r="B355" s="4" t="n">
        <v>44561</v>
      </c>
      <c r="C355" s="3" t="inlineStr">
        <is>
          <t>Expenses</t>
        </is>
      </c>
      <c r="D355" s="3" t="inlineStr">
        <is>
          <t>3256/000</t>
        </is>
      </c>
      <c r="E355" s="3" t="inlineStr">
        <is>
          <t>Cell Phone - Nick Morgan</t>
        </is>
      </c>
      <c r="F355" s="3" t="n">
        <v>729.11</v>
      </c>
      <c r="G355" s="3" t="n">
        <v>5607.95</v>
      </c>
    </row>
    <row r="356">
      <c r="A356" s="3" t="inlineStr">
        <is>
          <t>Cape Projects Construction (Pty) Ltd</t>
        </is>
      </c>
      <c r="B356" s="4" t="n">
        <v>44561</v>
      </c>
      <c r="C356" s="3" t="inlineStr">
        <is>
          <t>Expenses</t>
        </is>
      </c>
      <c r="D356" s="3" t="inlineStr">
        <is>
          <t>3300/000</t>
        </is>
      </c>
      <c r="E356" s="3" t="inlineStr">
        <is>
          <t>Computer Expenses</t>
        </is>
      </c>
      <c r="F356" s="3" t="n">
        <v>1564.21</v>
      </c>
      <c r="G356" s="3" t="n">
        <v>7367.69</v>
      </c>
    </row>
    <row r="357">
      <c r="A357" s="3" t="inlineStr">
        <is>
          <t>Heron Fields (Pty) Ltd</t>
        </is>
      </c>
      <c r="B357" s="4" t="n">
        <v>44561</v>
      </c>
      <c r="C357" s="3" t="inlineStr">
        <is>
          <t>Expenses</t>
        </is>
      </c>
      <c r="D357" s="3" t="inlineStr">
        <is>
          <t>3301/000</t>
        </is>
      </c>
      <c r="E357" s="3" t="inlineStr">
        <is>
          <t>Computer Expenses - Xero</t>
        </is>
      </c>
      <c r="F357" s="3" t="n">
        <v>0</v>
      </c>
      <c r="G357" s="3" t="n">
        <v>3000</v>
      </c>
    </row>
    <row r="358">
      <c r="A358" s="3" t="inlineStr">
        <is>
          <t>Cape Projects Construction (Pty) Ltd</t>
        </is>
      </c>
      <c r="B358" s="4" t="n">
        <v>44561</v>
      </c>
      <c r="C358" s="3" t="inlineStr">
        <is>
          <t>Expenses</t>
        </is>
      </c>
      <c r="D358" s="3" t="inlineStr">
        <is>
          <t>3350/000</t>
        </is>
      </c>
      <c r="E358" s="3" t="inlineStr">
        <is>
          <t>Consulting Fees</t>
        </is>
      </c>
      <c r="F358" s="3" t="n">
        <v>0</v>
      </c>
      <c r="G358" s="3" t="n">
        <v>2250</v>
      </c>
    </row>
    <row r="359">
      <c r="A359" s="3" t="inlineStr">
        <is>
          <t>Heron Fields (Pty) Ltd</t>
        </is>
      </c>
      <c r="B359" s="4" t="n">
        <v>44561</v>
      </c>
      <c r="C359" s="3" t="inlineStr">
        <is>
          <t>Expenses</t>
        </is>
      </c>
      <c r="D359" s="3" t="inlineStr">
        <is>
          <t>3350/100</t>
        </is>
      </c>
      <c r="E359" s="3" t="inlineStr">
        <is>
          <t>Consulting Fees - Admin and Finance</t>
        </is>
      </c>
      <c r="F359" s="3" t="n">
        <v>76348.10000000001</v>
      </c>
      <c r="G359" s="3" t="n">
        <v>290913.83</v>
      </c>
    </row>
    <row r="360">
      <c r="A360" s="3" t="inlineStr">
        <is>
          <t>Cape Projects Construction (Pty) Ltd</t>
        </is>
      </c>
      <c r="B360" s="4" t="n">
        <v>44561</v>
      </c>
      <c r="C360" s="3" t="inlineStr">
        <is>
          <t>Expenses</t>
        </is>
      </c>
      <c r="D360" s="3" t="inlineStr">
        <is>
          <t>3350/100</t>
        </is>
      </c>
      <c r="E360" s="3" t="inlineStr">
        <is>
          <t>Consulting fees - Herbert du Plessis</t>
        </is>
      </c>
      <c r="F360" s="3" t="n">
        <v>32000</v>
      </c>
      <c r="G360" s="3" t="n">
        <v>320000</v>
      </c>
    </row>
    <row r="361">
      <c r="A361" s="3" t="inlineStr">
        <is>
          <t>Cape Projects Construction (Pty) Ltd</t>
        </is>
      </c>
      <c r="B361" s="4" t="n">
        <v>44561</v>
      </c>
      <c r="C361" s="3" t="inlineStr">
        <is>
          <t>Expenses</t>
        </is>
      </c>
      <c r="D361" s="3" t="inlineStr">
        <is>
          <t>3350/200</t>
        </is>
      </c>
      <c r="E361" s="3" t="inlineStr">
        <is>
          <t>Consulting fees - Quabeka</t>
        </is>
      </c>
      <c r="F361" s="3" t="n">
        <v>0</v>
      </c>
      <c r="G361" s="3" t="n">
        <v>42899.25</v>
      </c>
    </row>
    <row r="362">
      <c r="A362" s="3" t="inlineStr">
        <is>
          <t>Cape Projects Construction (Pty) Ltd</t>
        </is>
      </c>
      <c r="B362" s="4" t="n">
        <v>44561</v>
      </c>
      <c r="C362" s="3" t="inlineStr">
        <is>
          <t>Expenses</t>
        </is>
      </c>
      <c r="D362" s="3" t="inlineStr">
        <is>
          <t>3350/300</t>
        </is>
      </c>
      <c r="E362" s="3" t="inlineStr">
        <is>
          <t>Consulting Fees - Admin and Finance</t>
        </is>
      </c>
      <c r="F362" s="3" t="n">
        <v>112659.12</v>
      </c>
      <c r="G362" s="3" t="n">
        <v>341986.31</v>
      </c>
    </row>
    <row r="363">
      <c r="A363" s="3" t="inlineStr">
        <is>
          <t>Heron Fields (Pty) Ltd</t>
        </is>
      </c>
      <c r="B363" s="4" t="n">
        <v>44561</v>
      </c>
      <c r="C363" s="3" t="inlineStr">
        <is>
          <t>Expenses</t>
        </is>
      </c>
      <c r="D363" s="3" t="inlineStr">
        <is>
          <t>3351/000</t>
        </is>
      </c>
      <c r="E363" s="3" t="inlineStr">
        <is>
          <t>Consulting fees - Trustee</t>
        </is>
      </c>
      <c r="F363" s="3" t="n">
        <v>17184.49</v>
      </c>
      <c r="G363" s="3" t="n">
        <v>30692.49</v>
      </c>
    </row>
    <row r="364">
      <c r="A364" s="3" t="inlineStr">
        <is>
          <t>Cape Projects Construction (Pty) Ltd</t>
        </is>
      </c>
      <c r="B364" s="4" t="n">
        <v>44561</v>
      </c>
      <c r="C364" s="3" t="inlineStr">
        <is>
          <t>Expenses</t>
        </is>
      </c>
      <c r="D364" s="3" t="inlineStr">
        <is>
          <t>3400/000</t>
        </is>
      </c>
      <c r="E364" s="3" t="inlineStr">
        <is>
          <t>Courier _AND_ Postage</t>
        </is>
      </c>
      <c r="F364" s="3" t="n">
        <v>0</v>
      </c>
      <c r="G364" s="3" t="n">
        <v>165.83</v>
      </c>
    </row>
    <row r="365">
      <c r="A365" s="3" t="inlineStr">
        <is>
          <t>Cape Projects Construction (Pty) Ltd</t>
        </is>
      </c>
      <c r="B365" s="4" t="n">
        <v>44561</v>
      </c>
      <c r="C365" s="3" t="inlineStr">
        <is>
          <t>Expenses</t>
        </is>
      </c>
      <c r="D365" s="3" t="inlineStr">
        <is>
          <t>3450/001</t>
        </is>
      </c>
      <c r="E365" s="3" t="inlineStr">
        <is>
          <t>Depreciation - Computer Equipment</t>
        </is>
      </c>
      <c r="F365" s="3" t="n">
        <v>1092.24</v>
      </c>
      <c r="G365" s="3" t="n">
        <v>3252.55</v>
      </c>
    </row>
    <row r="366">
      <c r="A366" s="3" t="inlineStr">
        <is>
          <t>Cape Projects Construction (Pty) Ltd</t>
        </is>
      </c>
      <c r="B366" s="4" t="n">
        <v>44561</v>
      </c>
      <c r="C366" s="3" t="inlineStr">
        <is>
          <t>Expenses</t>
        </is>
      </c>
      <c r="D366" s="3" t="inlineStr">
        <is>
          <t>3450/002</t>
        </is>
      </c>
      <c r="E366" s="3" t="inlineStr">
        <is>
          <t>Depreciation - Generator Fixed Asset</t>
        </is>
      </c>
      <c r="F366" s="3" t="n">
        <v>193.33</v>
      </c>
      <c r="G366" s="3" t="n">
        <v>580</v>
      </c>
    </row>
    <row r="367">
      <c r="A367" s="3" t="inlineStr">
        <is>
          <t>Heron Fields (Pty) Ltd</t>
        </is>
      </c>
      <c r="B367" s="4" t="n">
        <v>44561</v>
      </c>
      <c r="C367" s="3" t="inlineStr">
        <is>
          <t>Expenses</t>
        </is>
      </c>
      <c r="D367" s="3" t="inlineStr">
        <is>
          <t>3650/000</t>
        </is>
      </c>
      <c r="E367" s="3" t="inlineStr">
        <is>
          <t>CoCT - Electricity</t>
        </is>
      </c>
      <c r="F367" s="3" t="n">
        <v>2543.5</v>
      </c>
      <c r="G367" s="3" t="n">
        <v>15638.02</v>
      </c>
    </row>
    <row r="368">
      <c r="A368" s="3" t="inlineStr">
        <is>
          <t>Cape Projects Construction (Pty) Ltd</t>
        </is>
      </c>
      <c r="B368" s="4" t="n">
        <v>44561</v>
      </c>
      <c r="C368" s="3" t="inlineStr">
        <is>
          <t>Expenses</t>
        </is>
      </c>
      <c r="D368" s="3" t="inlineStr">
        <is>
          <t>3650/000</t>
        </is>
      </c>
      <c r="E368" s="3" t="inlineStr">
        <is>
          <t>Electricity _AND_ Water</t>
        </is>
      </c>
      <c r="F368" s="3" t="n">
        <v>4932</v>
      </c>
      <c r="G368" s="3" t="n">
        <v>26108.31</v>
      </c>
    </row>
    <row r="369">
      <c r="A369" s="3" t="inlineStr">
        <is>
          <t>Heron Fields (Pty) Ltd</t>
        </is>
      </c>
      <c r="B369" s="4" t="n">
        <v>44561</v>
      </c>
      <c r="C369" s="3" t="inlineStr">
        <is>
          <t>Expenses</t>
        </is>
      </c>
      <c r="D369" s="3" t="inlineStr">
        <is>
          <t>3660/000</t>
        </is>
      </c>
      <c r="E369" s="3" t="inlineStr">
        <is>
          <t>CoCT - Water</t>
        </is>
      </c>
      <c r="F369" s="3" t="n">
        <v>458.9</v>
      </c>
      <c r="G369" s="3" t="n">
        <v>2241.28</v>
      </c>
    </row>
    <row r="370">
      <c r="A370" s="3" t="inlineStr">
        <is>
          <t>Cape Projects Construction (Pty) Ltd</t>
        </is>
      </c>
      <c r="B370" s="4" t="n">
        <v>44561</v>
      </c>
      <c r="C370" s="3" t="inlineStr">
        <is>
          <t>Expenses</t>
        </is>
      </c>
      <c r="D370" s="3" t="inlineStr">
        <is>
          <t>3700/000</t>
        </is>
      </c>
      <c r="E370" s="3" t="inlineStr">
        <is>
          <t>Entertainment Expenses</t>
        </is>
      </c>
      <c r="F370" s="3" t="n">
        <v>589.41</v>
      </c>
      <c r="G370" s="3" t="n">
        <v>9260.35</v>
      </c>
    </row>
    <row r="371">
      <c r="A371" s="3" t="inlineStr">
        <is>
          <t>Heron Fields (Pty) Ltd</t>
        </is>
      </c>
      <c r="B371" s="4" t="n">
        <v>44561</v>
      </c>
      <c r="C371" s="3" t="inlineStr">
        <is>
          <t>Expenses</t>
        </is>
      </c>
      <c r="D371" s="3" t="inlineStr">
        <is>
          <t>3700/000</t>
        </is>
      </c>
      <c r="E371" s="3" t="inlineStr">
        <is>
          <t>Entertainment Expenses</t>
        </is>
      </c>
      <c r="F371" s="3" t="n">
        <v>0</v>
      </c>
      <c r="G371" s="3" t="n">
        <v>250</v>
      </c>
    </row>
    <row r="372">
      <c r="A372" s="3" t="inlineStr">
        <is>
          <t>Cape Projects Construction (Pty) Ltd</t>
        </is>
      </c>
      <c r="B372" s="4" t="n">
        <v>44561</v>
      </c>
      <c r="C372" s="3" t="inlineStr">
        <is>
          <t>Expenses</t>
        </is>
      </c>
      <c r="D372" s="3" t="inlineStr">
        <is>
          <t>3840/001</t>
        </is>
      </c>
      <c r="E372" s="3" t="inlineStr">
        <is>
          <t>Health _AND_ Safety - Labour Department</t>
        </is>
      </c>
      <c r="F372" s="3" t="n">
        <v>0</v>
      </c>
      <c r="G372" s="3" t="n">
        <v>4742.88</v>
      </c>
    </row>
    <row r="373">
      <c r="A373" s="3" t="inlineStr">
        <is>
          <t>Cape Projects Construction (Pty) Ltd</t>
        </is>
      </c>
      <c r="B373" s="4" t="n">
        <v>44561</v>
      </c>
      <c r="C373" s="3" t="inlineStr">
        <is>
          <t>Expenses</t>
        </is>
      </c>
      <c r="D373" s="3" t="inlineStr">
        <is>
          <t>3850/001</t>
        </is>
      </c>
      <c r="E373" s="3" t="inlineStr">
        <is>
          <t>Insurance - Santam</t>
        </is>
      </c>
      <c r="F373" s="3" t="n">
        <v>1992.68</v>
      </c>
      <c r="G373" s="3" t="n">
        <v>11136.62</v>
      </c>
    </row>
    <row r="374">
      <c r="A374" s="3" t="inlineStr">
        <is>
          <t>Cape Projects Construction (Pty) Ltd</t>
        </is>
      </c>
      <c r="B374" s="4" t="n">
        <v>44561</v>
      </c>
      <c r="C374" s="3" t="inlineStr">
        <is>
          <t>Expenses</t>
        </is>
      </c>
      <c r="D374" s="3" t="inlineStr">
        <is>
          <t>3850/002</t>
        </is>
      </c>
      <c r="E374" s="3" t="inlineStr">
        <is>
          <t>Insurance - RBS</t>
        </is>
      </c>
      <c r="F374" s="3" t="n">
        <v>0</v>
      </c>
      <c r="G374" s="3" t="n">
        <v>2280.69</v>
      </c>
    </row>
    <row r="375">
      <c r="A375" s="3" t="inlineStr">
        <is>
          <t>Heron Fields (Pty) Ltd</t>
        </is>
      </c>
      <c r="B375" s="4" t="n">
        <v>44561</v>
      </c>
      <c r="C375" s="3" t="inlineStr">
        <is>
          <t>Expenses</t>
        </is>
      </c>
      <c r="D375" s="3" t="inlineStr">
        <is>
          <t>4100/001</t>
        </is>
      </c>
      <c r="E375" s="3" t="inlineStr">
        <is>
          <t>Momentum Admin Fee</t>
        </is>
      </c>
      <c r="F375" s="3" t="n">
        <v>4700.86</v>
      </c>
      <c r="G375" s="3" t="n">
        <v>83661.24000000001</v>
      </c>
    </row>
    <row r="376">
      <c r="A376" s="3" t="inlineStr">
        <is>
          <t>Cape Projects Construction (Pty) Ltd</t>
        </is>
      </c>
      <c r="B376" s="4" t="n">
        <v>44561</v>
      </c>
      <c r="C376" s="3" t="inlineStr">
        <is>
          <t>Expenses</t>
        </is>
      </c>
      <c r="D376" s="3" t="inlineStr">
        <is>
          <t>4150/010</t>
        </is>
      </c>
      <c r="E376" s="3" t="inlineStr">
        <is>
          <t>Motor Vehicle - Petrol _AND_ Oil</t>
        </is>
      </c>
      <c r="F376" s="3" t="n">
        <v>0</v>
      </c>
      <c r="G376" s="3" t="n">
        <v>500</v>
      </c>
    </row>
    <row r="377">
      <c r="A377" s="3" t="inlineStr">
        <is>
          <t>Cape Projects Construction (Pty) Ltd</t>
        </is>
      </c>
      <c r="B377" s="4" t="n">
        <v>44561</v>
      </c>
      <c r="C377" s="3" t="inlineStr">
        <is>
          <t>Expenses</t>
        </is>
      </c>
      <c r="D377" s="3" t="inlineStr">
        <is>
          <t>4150/020</t>
        </is>
      </c>
      <c r="E377" s="3" t="inlineStr">
        <is>
          <t>Motor Vehicle - Repairs _AND_ Maint.</t>
        </is>
      </c>
      <c r="F377" s="3" t="n">
        <v>0</v>
      </c>
      <c r="G377" s="3" t="n">
        <v>1000</v>
      </c>
    </row>
    <row r="378">
      <c r="A378" s="3" t="inlineStr">
        <is>
          <t>Cape Projects Construction (Pty) Ltd</t>
        </is>
      </c>
      <c r="B378" s="4" t="n">
        <v>44561</v>
      </c>
      <c r="C378" s="3" t="inlineStr">
        <is>
          <t>Expenses</t>
        </is>
      </c>
      <c r="D378" s="3" t="inlineStr">
        <is>
          <t>4150/030</t>
        </is>
      </c>
      <c r="E378" s="3" t="inlineStr">
        <is>
          <t>Motor Vehicle - Insurance _AND_ Licence</t>
        </is>
      </c>
      <c r="F378" s="3" t="n">
        <v>0</v>
      </c>
      <c r="G378" s="3" t="n">
        <v>2277</v>
      </c>
    </row>
    <row r="379">
      <c r="A379" s="3" t="inlineStr">
        <is>
          <t>Cape Projects Construction (Pty) Ltd</t>
        </is>
      </c>
      <c r="B379" s="4" t="n">
        <v>44561</v>
      </c>
      <c r="C379" s="3" t="inlineStr">
        <is>
          <t>Expenses</t>
        </is>
      </c>
      <c r="D379" s="3" t="inlineStr">
        <is>
          <t>4200/000</t>
        </is>
      </c>
      <c r="E379" s="3" t="inlineStr">
        <is>
          <t>Printing _AND_ Stationery</t>
        </is>
      </c>
      <c r="F379" s="3" t="n">
        <v>1642.6</v>
      </c>
      <c r="G379" s="3" t="n">
        <v>13353.44</v>
      </c>
    </row>
    <row r="380">
      <c r="A380" s="3" t="inlineStr">
        <is>
          <t>Heron Fields (Pty) Ltd</t>
        </is>
      </c>
      <c r="B380" s="4" t="n">
        <v>44561</v>
      </c>
      <c r="C380" s="3" t="inlineStr">
        <is>
          <t>Expenses</t>
        </is>
      </c>
      <c r="D380" s="3" t="inlineStr">
        <is>
          <t>4200/000</t>
        </is>
      </c>
      <c r="E380" s="3" t="inlineStr">
        <is>
          <t>Printing _AND_ Stationery</t>
        </is>
      </c>
      <c r="F380" s="3" t="n">
        <v>0</v>
      </c>
      <c r="G380" s="3" t="n">
        <v>765</v>
      </c>
    </row>
    <row r="381">
      <c r="A381" s="3" t="inlineStr">
        <is>
          <t>Cape Projects Construction (Pty) Ltd</t>
        </is>
      </c>
      <c r="B381" s="4" t="n">
        <v>44561</v>
      </c>
      <c r="C381" s="3" t="inlineStr">
        <is>
          <t>Expenses</t>
        </is>
      </c>
      <c r="D381" s="3" t="inlineStr">
        <is>
          <t>4201/000</t>
        </is>
      </c>
      <c r="E381" s="3" t="inlineStr">
        <is>
          <t>Printing - Printer rental</t>
        </is>
      </c>
      <c r="F381" s="3" t="n">
        <v>631.42</v>
      </c>
      <c r="G381" s="3" t="n">
        <v>631.42</v>
      </c>
    </row>
    <row r="382">
      <c r="A382" s="3" t="inlineStr">
        <is>
          <t>Cape Projects Construction (Pty) Ltd</t>
        </is>
      </c>
      <c r="B382" s="4" t="n">
        <v>44561</v>
      </c>
      <c r="C382" s="3" t="inlineStr">
        <is>
          <t>Expenses</t>
        </is>
      </c>
      <c r="D382" s="3" t="inlineStr">
        <is>
          <t>4300/000</t>
        </is>
      </c>
      <c r="E382" s="3" t="inlineStr">
        <is>
          <t>Rent Paid</t>
        </is>
      </c>
      <c r="F382" s="3" t="n">
        <v>28087.5</v>
      </c>
      <c r="G382" s="3" t="n">
        <v>111364.67</v>
      </c>
    </row>
    <row r="383">
      <c r="A383" s="3" t="inlineStr">
        <is>
          <t>Cape Projects Construction (Pty) Ltd</t>
        </is>
      </c>
      <c r="B383" s="4" t="n">
        <v>44561</v>
      </c>
      <c r="C383" s="3" t="inlineStr">
        <is>
          <t>Expenses</t>
        </is>
      </c>
      <c r="D383" s="3" t="inlineStr">
        <is>
          <t>4310/000</t>
        </is>
      </c>
      <c r="E383" s="3" t="inlineStr">
        <is>
          <t>Rates</t>
        </is>
      </c>
      <c r="F383" s="3" t="n">
        <v>843.6</v>
      </c>
      <c r="G383" s="3" t="n">
        <v>3529.28</v>
      </c>
    </row>
    <row r="384">
      <c r="A384" s="3" t="inlineStr">
        <is>
          <t>Heron Fields (Pty) Ltd</t>
        </is>
      </c>
      <c r="B384" s="4" t="n">
        <v>44561</v>
      </c>
      <c r="C384" s="3" t="inlineStr">
        <is>
          <t>Expenses</t>
        </is>
      </c>
      <c r="D384" s="3" t="inlineStr">
        <is>
          <t>4310/000</t>
        </is>
      </c>
      <c r="E384" s="3" t="inlineStr">
        <is>
          <t>Rates - Heron</t>
        </is>
      </c>
      <c r="F384" s="3" t="n">
        <v>3476.93</v>
      </c>
      <c r="G384" s="3" t="n">
        <v>21356.04</v>
      </c>
    </row>
    <row r="385">
      <c r="A385" s="3" t="inlineStr">
        <is>
          <t>Cape Projects Construction (Pty) Ltd</t>
        </is>
      </c>
      <c r="B385" s="4" t="n">
        <v>44561</v>
      </c>
      <c r="C385" s="3" t="inlineStr">
        <is>
          <t>Expenses</t>
        </is>
      </c>
      <c r="D385" s="3" t="inlineStr">
        <is>
          <t>4350/000</t>
        </is>
      </c>
      <c r="E385" s="3" t="inlineStr">
        <is>
          <t>Repairs _AND_ Maintenance</t>
        </is>
      </c>
      <c r="F385" s="3" t="n">
        <v>2034.78</v>
      </c>
      <c r="G385" s="3" t="n">
        <v>102654.83</v>
      </c>
    </row>
    <row r="386">
      <c r="A386" s="3" t="inlineStr">
        <is>
          <t>Heron Fields (Pty) Ltd</t>
        </is>
      </c>
      <c r="B386" s="4" t="n">
        <v>44561</v>
      </c>
      <c r="C386" s="3" t="inlineStr">
        <is>
          <t>Expenses</t>
        </is>
      </c>
      <c r="D386" s="3" t="inlineStr">
        <is>
          <t>4350/000</t>
        </is>
      </c>
      <c r="E386" s="3" t="inlineStr">
        <is>
          <t>Repairs _AND_ Maintenance</t>
        </is>
      </c>
      <c r="F386" s="3" t="n">
        <v>0</v>
      </c>
      <c r="G386" s="3" t="n">
        <v>250</v>
      </c>
    </row>
    <row r="387">
      <c r="A387" s="3" t="inlineStr">
        <is>
          <t>Cape Projects Construction (Pty) Ltd</t>
        </is>
      </c>
      <c r="B387" s="4" t="n">
        <v>44561</v>
      </c>
      <c r="C387" s="3" t="inlineStr">
        <is>
          <t>Expenses</t>
        </is>
      </c>
      <c r="D387" s="3" t="inlineStr">
        <is>
          <t>4400/000</t>
        </is>
      </c>
      <c r="E387" s="3" t="inlineStr">
        <is>
          <t>Salaries _AND_ Wages</t>
        </is>
      </c>
      <c r="F387" s="3" t="n">
        <v>127924.7</v>
      </c>
      <c r="G387" s="3" t="n">
        <v>1343394.84</v>
      </c>
    </row>
    <row r="388">
      <c r="A388" s="3" t="inlineStr">
        <is>
          <t>Cape Projects Construction (Pty) Ltd</t>
        </is>
      </c>
      <c r="B388" s="4" t="n">
        <v>44561</v>
      </c>
      <c r="C388" s="3" t="inlineStr">
        <is>
          <t>Expenses</t>
        </is>
      </c>
      <c r="D388" s="3" t="inlineStr">
        <is>
          <t>4400/100</t>
        </is>
      </c>
      <c r="E388" s="3" t="inlineStr">
        <is>
          <t>Salaries and Wages - Shorty</t>
        </is>
      </c>
      <c r="F388" s="3" t="n">
        <v>0</v>
      </c>
      <c r="G388" s="3" t="n">
        <v>35500</v>
      </c>
    </row>
    <row r="389">
      <c r="A389" s="3" t="inlineStr">
        <is>
          <t>Cape Projects Construction (Pty) Ltd</t>
        </is>
      </c>
      <c r="B389" s="4" t="n">
        <v>44561</v>
      </c>
      <c r="C389" s="3" t="inlineStr">
        <is>
          <t>Expenses</t>
        </is>
      </c>
      <c r="D389" s="3" t="inlineStr">
        <is>
          <t>4402</t>
        </is>
      </c>
      <c r="E389" s="3" t="inlineStr">
        <is>
          <t>Salaries &amp; Wages - WCA</t>
        </is>
      </c>
      <c r="F389" s="3" t="n">
        <v>0</v>
      </c>
      <c r="G389" s="3" t="n">
        <v>1063.2</v>
      </c>
    </row>
    <row r="390">
      <c r="A390" s="3" t="inlineStr">
        <is>
          <t>Heron Fields (Pty) Ltd</t>
        </is>
      </c>
      <c r="B390" s="4" t="n">
        <v>44561</v>
      </c>
      <c r="C390" s="3" t="inlineStr">
        <is>
          <t>Expenses</t>
        </is>
      </c>
      <c r="D390" s="3" t="inlineStr">
        <is>
          <t>4410/000</t>
        </is>
      </c>
      <c r="E390" s="3" t="inlineStr">
        <is>
          <t>Secretarial fees</t>
        </is>
      </c>
      <c r="F390" s="3" t="n">
        <v>0</v>
      </c>
      <c r="G390" s="3" t="n">
        <v>17000</v>
      </c>
    </row>
    <row r="391">
      <c r="A391" s="3" t="inlineStr">
        <is>
          <t>Cape Projects Construction (Pty) Ltd</t>
        </is>
      </c>
      <c r="B391" s="4" t="n">
        <v>44561</v>
      </c>
      <c r="C391" s="3" t="inlineStr">
        <is>
          <t>Expenses</t>
        </is>
      </c>
      <c r="D391" s="3" t="inlineStr">
        <is>
          <t>4420/000</t>
        </is>
      </c>
      <c r="E391" s="3" t="inlineStr">
        <is>
          <t>Small Assets</t>
        </is>
      </c>
      <c r="F391" s="3" t="n">
        <v>7477.39</v>
      </c>
      <c r="G391" s="3" t="n">
        <v>15151.27</v>
      </c>
    </row>
    <row r="392">
      <c r="A392" s="3" t="inlineStr">
        <is>
          <t>Heron Fields (Pty) Ltd</t>
        </is>
      </c>
      <c r="B392" s="4" t="n">
        <v>44561</v>
      </c>
      <c r="C392" s="3" t="inlineStr">
        <is>
          <t>Expenses</t>
        </is>
      </c>
      <c r="D392" s="3" t="inlineStr">
        <is>
          <t>4420/001</t>
        </is>
      </c>
      <c r="E392" s="3" t="inlineStr">
        <is>
          <t>Security - ADT</t>
        </is>
      </c>
      <c r="F392" s="3" t="n">
        <v>600.04</v>
      </c>
      <c r="G392" s="3" t="n">
        <v>3835.79</v>
      </c>
    </row>
    <row r="393">
      <c r="A393" s="3" t="inlineStr">
        <is>
          <t>Cape Projects Construction (Pty) Ltd</t>
        </is>
      </c>
      <c r="B393" s="4" t="n">
        <v>44561</v>
      </c>
      <c r="C393" s="3" t="inlineStr">
        <is>
          <t>Expenses</t>
        </is>
      </c>
      <c r="D393" s="3" t="inlineStr">
        <is>
          <t>4450/000</t>
        </is>
      </c>
      <c r="E393" s="3" t="inlineStr">
        <is>
          <t>Staff Training</t>
        </is>
      </c>
      <c r="F393" s="3" t="n">
        <v>0</v>
      </c>
      <c r="G393" s="3" t="n">
        <v>2000</v>
      </c>
    </row>
    <row r="394">
      <c r="A394" s="3" t="inlineStr">
        <is>
          <t>Cape Projects Construction (Pty) Ltd</t>
        </is>
      </c>
      <c r="B394" s="4" t="n">
        <v>44561</v>
      </c>
      <c r="C394" s="3" t="inlineStr">
        <is>
          <t>Expenses</t>
        </is>
      </c>
      <c r="D394" s="3" t="inlineStr">
        <is>
          <t>4500/000</t>
        </is>
      </c>
      <c r="E394" s="3" t="inlineStr">
        <is>
          <t>Staff Welfare _AND_ Refreshmts</t>
        </is>
      </c>
      <c r="F394" s="3" t="n">
        <v>7584.19</v>
      </c>
      <c r="G394" s="3" t="n">
        <v>30283.96</v>
      </c>
    </row>
    <row r="395">
      <c r="A395" s="3" t="inlineStr">
        <is>
          <t>Cape Projects Construction (Pty) Ltd</t>
        </is>
      </c>
      <c r="B395" s="4" t="n">
        <v>44561</v>
      </c>
      <c r="C395" s="3" t="inlineStr">
        <is>
          <t>Expenses</t>
        </is>
      </c>
      <c r="D395" s="3" t="inlineStr">
        <is>
          <t>4550/000</t>
        </is>
      </c>
      <c r="E395" s="3" t="inlineStr">
        <is>
          <t>Subscriptions / Licenses</t>
        </is>
      </c>
      <c r="F395" s="3" t="n">
        <v>0</v>
      </c>
      <c r="G395" s="3" t="n">
        <v>526.3200000000001</v>
      </c>
    </row>
    <row r="396">
      <c r="A396" s="3" t="inlineStr">
        <is>
          <t>Cape Projects Construction (Pty) Ltd</t>
        </is>
      </c>
      <c r="B396" s="4" t="n">
        <v>44561</v>
      </c>
      <c r="C396" s="3" t="inlineStr">
        <is>
          <t>Expenses</t>
        </is>
      </c>
      <c r="D396" s="3" t="inlineStr">
        <is>
          <t>4550/001</t>
        </is>
      </c>
      <c r="E396" s="3" t="inlineStr">
        <is>
          <t>Subscriptions &amp; Licenses - Sage payroll</t>
        </is>
      </c>
      <c r="F396" s="3" t="n">
        <v>459</v>
      </c>
      <c r="G396" s="3" t="n">
        <v>2754</v>
      </c>
    </row>
    <row r="397">
      <c r="A397" s="3" t="inlineStr">
        <is>
          <t>Cape Projects Construction (Pty) Ltd</t>
        </is>
      </c>
      <c r="B397" s="4" t="n">
        <v>44561</v>
      </c>
      <c r="C397" s="3" t="inlineStr">
        <is>
          <t>Expenses</t>
        </is>
      </c>
      <c r="D397" s="3" t="inlineStr">
        <is>
          <t>4550/002</t>
        </is>
      </c>
      <c r="E397" s="3" t="inlineStr">
        <is>
          <t>Subscriptions &amp; Licenses - Caseware</t>
        </is>
      </c>
      <c r="F397" s="3" t="n">
        <v>0</v>
      </c>
      <c r="G397" s="3" t="n">
        <v>9463.01</v>
      </c>
    </row>
    <row r="398">
      <c r="A398" s="3" t="inlineStr">
        <is>
          <t>Cape Projects Construction (Pty) Ltd</t>
        </is>
      </c>
      <c r="B398" s="4" t="n">
        <v>44561</v>
      </c>
      <c r="C398" s="3" t="inlineStr">
        <is>
          <t>Expenses</t>
        </is>
      </c>
      <c r="D398" s="3" t="inlineStr">
        <is>
          <t>4550/003</t>
        </is>
      </c>
      <c r="E398" s="3" t="inlineStr">
        <is>
          <t>Subscriptions &amp; Licenses - Xero</t>
        </is>
      </c>
      <c r="F398" s="3" t="n">
        <v>600</v>
      </c>
      <c r="G398" s="3" t="n">
        <v>7500</v>
      </c>
    </row>
    <row r="399">
      <c r="A399" s="3" t="inlineStr">
        <is>
          <t>Cape Projects Construction (Pty) Ltd</t>
        </is>
      </c>
      <c r="B399" s="4" t="n">
        <v>44561</v>
      </c>
      <c r="C399" s="3" t="inlineStr">
        <is>
          <t>Expenses</t>
        </is>
      </c>
      <c r="D399" s="3" t="inlineStr">
        <is>
          <t>4550/004</t>
        </is>
      </c>
      <c r="E399" s="3" t="inlineStr">
        <is>
          <t>Subscriptions - Smartsheet</t>
        </is>
      </c>
      <c r="F399" s="3" t="n">
        <v>363</v>
      </c>
      <c r="G399" s="3" t="n">
        <v>1713.41</v>
      </c>
    </row>
    <row r="400">
      <c r="A400" s="3" t="inlineStr">
        <is>
          <t>Heron Fields (Pty) Ltd</t>
        </is>
      </c>
      <c r="B400" s="4" t="n">
        <v>44561</v>
      </c>
      <c r="C400" s="3" t="inlineStr">
        <is>
          <t>Expenses</t>
        </is>
      </c>
      <c r="D400" s="3" t="inlineStr">
        <is>
          <t>4550/100</t>
        </is>
      </c>
      <c r="E400" s="3" t="inlineStr">
        <is>
          <t>Subscriptions - Xero</t>
        </is>
      </c>
      <c r="F400" s="3" t="n">
        <v>600</v>
      </c>
      <c r="G400" s="3" t="n">
        <v>3400</v>
      </c>
    </row>
    <row r="401">
      <c r="A401" s="3" t="inlineStr">
        <is>
          <t>Heron Fields (Pty) Ltd</t>
        </is>
      </c>
      <c r="B401" s="4" t="n">
        <v>44561</v>
      </c>
      <c r="C401" s="3" t="inlineStr">
        <is>
          <t>Expenses</t>
        </is>
      </c>
      <c r="D401" s="3" t="inlineStr">
        <is>
          <t>4550/200</t>
        </is>
      </c>
      <c r="E401" s="3" t="inlineStr">
        <is>
          <t>Subscription - NHBRC</t>
        </is>
      </c>
      <c r="F401" s="3" t="n">
        <v>0</v>
      </c>
      <c r="G401" s="3" t="n">
        <v>1271.93</v>
      </c>
    </row>
    <row r="402">
      <c r="A402" s="3" t="inlineStr">
        <is>
          <t>Cape Projects Construction (Pty) Ltd</t>
        </is>
      </c>
      <c r="B402" s="4" t="n">
        <v>44561</v>
      </c>
      <c r="C402" s="3" t="inlineStr">
        <is>
          <t>Expenses</t>
        </is>
      </c>
      <c r="D402" s="3" t="inlineStr">
        <is>
          <t>4560</t>
        </is>
      </c>
      <c r="E402" s="3" t="inlineStr">
        <is>
          <t>Secretarial fees - CIPC</t>
        </is>
      </c>
      <c r="F402" s="3" t="n">
        <v>0</v>
      </c>
      <c r="G402" s="3" t="n">
        <v>450</v>
      </c>
    </row>
    <row r="403">
      <c r="A403" s="3" t="inlineStr">
        <is>
          <t>Cape Projects Construction (Pty) Ltd</t>
        </is>
      </c>
      <c r="B403" s="4" t="n">
        <v>44561</v>
      </c>
      <c r="C403" s="3" t="inlineStr">
        <is>
          <t>Expenses</t>
        </is>
      </c>
      <c r="D403" s="3" t="inlineStr">
        <is>
          <t>4600/000</t>
        </is>
      </c>
      <c r="E403" s="3" t="inlineStr">
        <is>
          <t>Telephone _AND_ Fax</t>
        </is>
      </c>
      <c r="F403" s="3" t="n">
        <v>0</v>
      </c>
      <c r="G403" s="3" t="n">
        <v>10273.56</v>
      </c>
    </row>
    <row r="404">
      <c r="A404" s="3" t="inlineStr">
        <is>
          <t>Cape Projects Construction (Pty) Ltd</t>
        </is>
      </c>
      <c r="B404" s="4" t="n">
        <v>44561</v>
      </c>
      <c r="C404" s="3" t="inlineStr">
        <is>
          <t>Expenses</t>
        </is>
      </c>
      <c r="D404" s="3" t="inlineStr">
        <is>
          <t>4650/010</t>
        </is>
      </c>
      <c r="E404" s="3" t="inlineStr">
        <is>
          <t>Travel - Local</t>
        </is>
      </c>
      <c r="F404" s="3" t="n">
        <v>0</v>
      </c>
      <c r="G404" s="3" t="n">
        <v>1275</v>
      </c>
    </row>
    <row r="405">
      <c r="A405" s="3" t="inlineStr">
        <is>
          <t>Cape Projects Construction (Pty) Ltd</t>
        </is>
      </c>
      <c r="B405" s="4" t="n">
        <v>44561</v>
      </c>
      <c r="C405" s="3" t="inlineStr">
        <is>
          <t>Expenses</t>
        </is>
      </c>
      <c r="D405" s="3" t="inlineStr">
        <is>
          <t>4700/000</t>
        </is>
      </c>
      <c r="E405" s="3" t="inlineStr">
        <is>
          <t>PAYE Contributions</t>
        </is>
      </c>
      <c r="F405" s="3" t="n">
        <v>28578.68</v>
      </c>
      <c r="G405" s="3" t="n">
        <v>352731.15</v>
      </c>
    </row>
    <row r="406">
      <c r="A406" s="3" t="inlineStr">
        <is>
          <t>Cape Projects Construction (Pty) Ltd</t>
        </is>
      </c>
      <c r="B406" s="4" t="n">
        <v>44561</v>
      </c>
      <c r="C406" s="3" t="inlineStr">
        <is>
          <t>Expenses</t>
        </is>
      </c>
      <c r="D406" s="3" t="inlineStr">
        <is>
          <t>4720/000</t>
        </is>
      </c>
      <c r="E406" s="3" t="inlineStr">
        <is>
          <t>SDL Contributions</t>
        </is>
      </c>
      <c r="F406" s="3" t="n">
        <v>1480.87</v>
      </c>
      <c r="G406" s="3" t="n">
        <v>16456.73</v>
      </c>
    </row>
    <row r="407">
      <c r="A407" s="3" t="inlineStr">
        <is>
          <t>Cape Projects Construction (Pty) Ltd</t>
        </is>
      </c>
      <c r="B407" s="4" t="n">
        <v>44561</v>
      </c>
      <c r="C407" s="3" t="inlineStr">
        <is>
          <t>Expenses</t>
        </is>
      </c>
      <c r="D407" s="3" t="inlineStr">
        <is>
          <t>4730/000</t>
        </is>
      </c>
      <c r="E407" s="3" t="inlineStr">
        <is>
          <t>UIF Company Contributions</t>
        </is>
      </c>
      <c r="F407" s="3" t="n">
        <v>784.39</v>
      </c>
      <c r="G407" s="3" t="n">
        <v>8932.77</v>
      </c>
    </row>
    <row r="408">
      <c r="A408" s="3" t="inlineStr">
        <is>
          <t>Cape Projects Construction (Pty) Ltd</t>
        </is>
      </c>
      <c r="B408" s="4" t="n">
        <v>44561</v>
      </c>
      <c r="C408" s="3" t="inlineStr">
        <is>
          <t>Expenses</t>
        </is>
      </c>
      <c r="D408" s="3" t="inlineStr">
        <is>
          <t>4731/000</t>
        </is>
      </c>
      <c r="E408" s="3" t="inlineStr">
        <is>
          <t>UIF Employee Contribution</t>
        </is>
      </c>
      <c r="F408" s="3" t="n">
        <v>784.39</v>
      </c>
      <c r="G408" s="3" t="n">
        <v>5660.93</v>
      </c>
    </row>
    <row r="409">
      <c r="A409" s="3" t="inlineStr">
        <is>
          <t>Heron Fields (Pty) Ltd</t>
        </is>
      </c>
      <c r="B409" s="4" t="n">
        <v>44561</v>
      </c>
      <c r="C409" s="3" t="inlineStr">
        <is>
          <t>Equity</t>
        </is>
      </c>
      <c r="D409" s="3" t="inlineStr">
        <is>
          <t>5100-000</t>
        </is>
      </c>
      <c r="E409" s="3" t="inlineStr">
        <is>
          <t>Share Capital</t>
        </is>
      </c>
      <c r="F409" s="3" t="n">
        <v>0</v>
      </c>
      <c r="G409" s="3" t="n">
        <v>-100</v>
      </c>
    </row>
    <row r="410">
      <c r="A410" s="3" t="inlineStr">
        <is>
          <t>Cape Projects Construction (Pty) Ltd</t>
        </is>
      </c>
      <c r="B410" s="4" t="n">
        <v>44561</v>
      </c>
      <c r="C410" s="3" t="inlineStr">
        <is>
          <t>Equity</t>
        </is>
      </c>
      <c r="D410" s="3" t="inlineStr">
        <is>
          <t>5100/000</t>
        </is>
      </c>
      <c r="E410" s="3" t="inlineStr">
        <is>
          <t>Share Capital / Members Contribution</t>
        </is>
      </c>
      <c r="F410" s="3" t="n">
        <v>0</v>
      </c>
      <c r="G410" s="3" t="n">
        <v>-120</v>
      </c>
    </row>
    <row r="411">
      <c r="A411" s="3" t="inlineStr">
        <is>
          <t>Cape Projects Construction (Pty) Ltd</t>
        </is>
      </c>
      <c r="B411" s="4" t="n">
        <v>44561</v>
      </c>
      <c r="C411" s="3" t="inlineStr">
        <is>
          <t>Equity</t>
        </is>
      </c>
      <c r="D411" s="3" t="inlineStr">
        <is>
          <t>5200/000</t>
        </is>
      </c>
      <c r="E411" s="3" t="inlineStr">
        <is>
          <t>Retained Earnings / Loss</t>
        </is>
      </c>
      <c r="F411" s="3" t="n">
        <v>0</v>
      </c>
      <c r="G411" s="3" t="n">
        <v>698664.99</v>
      </c>
    </row>
    <row r="412">
      <c r="A412" s="3" t="inlineStr">
        <is>
          <t>Heron Fields (Pty) Ltd</t>
        </is>
      </c>
      <c r="B412" s="4" t="n">
        <v>44561</v>
      </c>
      <c r="C412" s="3" t="inlineStr">
        <is>
          <t>Assets</t>
        </is>
      </c>
      <c r="D412" s="3" t="inlineStr">
        <is>
          <t>5300/001</t>
        </is>
      </c>
      <c r="E412" s="3" t="inlineStr">
        <is>
          <t>Revaluation of Land stock</t>
        </is>
      </c>
      <c r="F412" s="3" t="n">
        <v>0</v>
      </c>
      <c r="G412" s="3" t="n">
        <v>19713043.68</v>
      </c>
    </row>
    <row r="413">
      <c r="A413" s="3" t="inlineStr">
        <is>
          <t>Cape Projects Construction (Pty) Ltd</t>
        </is>
      </c>
      <c r="B413" s="4" t="n">
        <v>44561</v>
      </c>
      <c r="C413" s="3" t="inlineStr">
        <is>
          <t>Assets</t>
        </is>
      </c>
      <c r="D413" s="3" t="inlineStr">
        <is>
          <t>5400/200</t>
        </is>
      </c>
      <c r="E413" s="3" t="inlineStr">
        <is>
          <t>Members Loan - Nick Morgan</t>
        </is>
      </c>
      <c r="F413" s="3" t="n">
        <v>0</v>
      </c>
      <c r="G413" s="3" t="n">
        <v>-38862.46</v>
      </c>
    </row>
    <row r="414">
      <c r="A414" s="3" t="inlineStr">
        <is>
          <t>Cape Projects Construction (Pty) Ltd</t>
        </is>
      </c>
      <c r="B414" s="4" t="n">
        <v>44561</v>
      </c>
      <c r="C414" s="3" t="inlineStr">
        <is>
          <t>Assets</t>
        </is>
      </c>
      <c r="D414" s="3" t="inlineStr">
        <is>
          <t>5400/220</t>
        </is>
      </c>
      <c r="E414" s="3" t="inlineStr">
        <is>
          <t>Members Loan - WH</t>
        </is>
      </c>
      <c r="F414" s="3" t="n">
        <v>0</v>
      </c>
      <c r="G414" s="3" t="n">
        <v>4342.5</v>
      </c>
    </row>
    <row r="415">
      <c r="A415" s="3" t="inlineStr">
        <is>
          <t>Cape Projects Construction (Pty) Ltd</t>
        </is>
      </c>
      <c r="B415" s="4" t="n">
        <v>44561</v>
      </c>
      <c r="C415" s="3" t="inlineStr">
        <is>
          <t>Assets</t>
        </is>
      </c>
      <c r="D415" s="3" t="inlineStr">
        <is>
          <t>5400/450</t>
        </is>
      </c>
      <c r="E415" s="3" t="inlineStr">
        <is>
          <t>Loan - Opportunity Investment</t>
        </is>
      </c>
      <c r="F415" s="3" t="n">
        <v>100066.26</v>
      </c>
      <c r="G415" s="3" t="n">
        <v>-60000</v>
      </c>
    </row>
    <row r="416">
      <c r="A416" s="3" t="inlineStr">
        <is>
          <t>Cape Projects Construction (Pty) Ltd</t>
        </is>
      </c>
      <c r="B416" s="4" t="n">
        <v>44561</v>
      </c>
      <c r="C416" s="3" t="inlineStr">
        <is>
          <t>Assets</t>
        </is>
      </c>
      <c r="D416" s="3" t="inlineStr">
        <is>
          <t>5400/500</t>
        </is>
      </c>
      <c r="E416" s="3" t="inlineStr">
        <is>
          <t>Loan - Blou Mamba Trust</t>
        </is>
      </c>
      <c r="F416" s="3" t="n">
        <v>0</v>
      </c>
      <c r="G416" s="3" t="n">
        <v>-29796.99</v>
      </c>
    </row>
    <row r="417">
      <c r="A417" s="3" t="inlineStr">
        <is>
          <t>Cape Projects Construction (Pty) Ltd</t>
        </is>
      </c>
      <c r="B417" s="4" t="n">
        <v>44561</v>
      </c>
      <c r="C417" s="3" t="inlineStr">
        <is>
          <t>Assets</t>
        </is>
      </c>
      <c r="D417" s="3" t="inlineStr">
        <is>
          <t>5400/550</t>
        </is>
      </c>
      <c r="E417" s="3" t="inlineStr">
        <is>
          <t>Loan - Trademark</t>
        </is>
      </c>
      <c r="F417" s="3" t="n">
        <v>600</v>
      </c>
      <c r="G417" s="3" t="n">
        <v>-33800</v>
      </c>
    </row>
    <row r="418">
      <c r="A418" s="3" t="inlineStr">
        <is>
          <t>Cape Projects Construction (Pty) Ltd</t>
        </is>
      </c>
      <c r="B418" s="4" t="n">
        <v>44561</v>
      </c>
      <c r="C418" s="3" t="inlineStr">
        <is>
          <t>Assets</t>
        </is>
      </c>
      <c r="D418" s="3" t="inlineStr">
        <is>
          <t>5400/600</t>
        </is>
      </c>
      <c r="E418" s="3" t="inlineStr">
        <is>
          <t>Loan - Heron Projects</t>
        </is>
      </c>
      <c r="F418" s="3" t="n">
        <v>54000</v>
      </c>
      <c r="G418" s="3" t="n">
        <v>-50000</v>
      </c>
    </row>
    <row r="419">
      <c r="A419" s="3" t="inlineStr">
        <is>
          <t>Cape Projects Construction (Pty) Ltd</t>
        </is>
      </c>
      <c r="B419" s="4" t="n">
        <v>44561</v>
      </c>
      <c r="C419" s="3" t="inlineStr">
        <is>
          <t>Assets</t>
        </is>
      </c>
      <c r="D419" s="3" t="inlineStr">
        <is>
          <t>5400/650</t>
        </is>
      </c>
      <c r="E419" s="3" t="inlineStr">
        <is>
          <t>Loan - Noble Shield</t>
        </is>
      </c>
      <c r="F419" s="3" t="n">
        <v>600</v>
      </c>
      <c r="G419" s="3" t="n">
        <v>-3800</v>
      </c>
    </row>
    <row r="420">
      <c r="A420" s="3" t="inlineStr">
        <is>
          <t>Cape Projects Construction (Pty) Ltd</t>
        </is>
      </c>
      <c r="B420" s="4" t="n">
        <v>44561</v>
      </c>
      <c r="C420" s="3" t="inlineStr">
        <is>
          <t>Assets</t>
        </is>
      </c>
      <c r="D420" s="3" t="inlineStr">
        <is>
          <t>5400/800</t>
        </is>
      </c>
      <c r="E420" s="3" t="inlineStr">
        <is>
          <t>Loan - Opportunity Management Holdings</t>
        </is>
      </c>
      <c r="F420" s="3" t="n">
        <v>-35000</v>
      </c>
      <c r="G420" s="3" t="n">
        <v>-49000</v>
      </c>
    </row>
    <row r="421">
      <c r="A421" s="3" t="inlineStr">
        <is>
          <t>Heron Fields (Pty) Ltd</t>
        </is>
      </c>
      <c r="B421" s="4" t="n">
        <v>44561</v>
      </c>
      <c r="C421" s="3" t="inlineStr">
        <is>
          <t>Liabilities</t>
        </is>
      </c>
      <c r="D421" s="3" t="inlineStr">
        <is>
          <t>5500/010</t>
        </is>
      </c>
      <c r="E421" s="3" t="inlineStr">
        <is>
          <t>Loan - Quinate</t>
        </is>
      </c>
      <c r="F421" s="3" t="n">
        <v>6831</v>
      </c>
      <c r="G421" s="3" t="n">
        <v>0</v>
      </c>
    </row>
    <row r="422">
      <c r="A422" s="3" t="inlineStr">
        <is>
          <t>Heron Fields (Pty) Ltd</t>
        </is>
      </c>
      <c r="B422" s="4" t="n">
        <v>44561</v>
      </c>
      <c r="C422" s="3" t="inlineStr">
        <is>
          <t>Liabilities</t>
        </is>
      </c>
      <c r="D422" s="3" t="inlineStr">
        <is>
          <t>5500/020</t>
        </is>
      </c>
      <c r="E422" s="3" t="inlineStr">
        <is>
          <t>Loan - Cape Projects Construction</t>
        </is>
      </c>
      <c r="F422" s="3" t="n">
        <v>-54000</v>
      </c>
      <c r="G422" s="3" t="n">
        <v>50000</v>
      </c>
    </row>
    <row r="423">
      <c r="A423" s="3" t="inlineStr">
        <is>
          <t>Cape Projects Construction (Pty) Ltd</t>
        </is>
      </c>
      <c r="B423" s="4" t="n">
        <v>44561</v>
      </c>
      <c r="C423" s="3" t="inlineStr">
        <is>
          <t>Assets</t>
        </is>
      </c>
      <c r="D423" s="3" t="inlineStr">
        <is>
          <t>5500/100</t>
        </is>
      </c>
      <c r="E423" s="3" t="inlineStr">
        <is>
          <t>Staff loan - Herbert du Plessis</t>
        </is>
      </c>
      <c r="F423" s="3" t="n">
        <v>-726</v>
      </c>
      <c r="G423" s="3" t="n">
        <v>0</v>
      </c>
    </row>
    <row r="424">
      <c r="A424" s="3" t="inlineStr">
        <is>
          <t>Cape Projects Construction (Pty) Ltd</t>
        </is>
      </c>
      <c r="B424" s="4" t="n">
        <v>44561</v>
      </c>
      <c r="C424" s="3" t="inlineStr">
        <is>
          <t>Assets</t>
        </is>
      </c>
      <c r="D424" s="3" t="inlineStr">
        <is>
          <t>5500/200</t>
        </is>
      </c>
      <c r="E424" s="3" t="inlineStr">
        <is>
          <t>Staff loan - Dirk Coetzee</t>
        </is>
      </c>
      <c r="F424" s="3" t="n">
        <v>120.05</v>
      </c>
      <c r="G424" s="3" t="n">
        <v>120.05</v>
      </c>
    </row>
    <row r="425">
      <c r="A425" s="3" t="inlineStr">
        <is>
          <t>Cape Projects Construction (Pty) Ltd</t>
        </is>
      </c>
      <c r="B425" s="4" t="n">
        <v>44561</v>
      </c>
      <c r="C425" s="3" t="inlineStr">
        <is>
          <t>Liabilities</t>
        </is>
      </c>
      <c r="D425" s="3" t="inlineStr">
        <is>
          <t>5600/100</t>
        </is>
      </c>
      <c r="E425" s="3" t="inlineStr">
        <is>
          <t>Motor Vehical Car Repaymts - Toyota</t>
        </is>
      </c>
      <c r="F425" s="3" t="n">
        <v>10368.28</v>
      </c>
      <c r="G425" s="3" t="n">
        <v>5557.44</v>
      </c>
    </row>
    <row r="426">
      <c r="A426" s="3" t="inlineStr">
        <is>
          <t>Cape Projects Construction (Pty) Ltd</t>
        </is>
      </c>
      <c r="B426" s="4" t="n">
        <v>44561</v>
      </c>
      <c r="C426" s="3" t="inlineStr">
        <is>
          <t>Liabilities</t>
        </is>
      </c>
      <c r="D426" s="3" t="inlineStr">
        <is>
          <t>5600/200</t>
        </is>
      </c>
      <c r="E426" s="3" t="inlineStr">
        <is>
          <t>Motor Vehicle Car Repayments - Toyota Shortterm</t>
        </is>
      </c>
      <c r="F426" s="3" t="n">
        <v>0</v>
      </c>
      <c r="G426" s="3" t="n">
        <v>-62160</v>
      </c>
    </row>
    <row r="427">
      <c r="A427" s="3" t="inlineStr">
        <is>
          <t>Cape Projects Construction (Pty) Ltd</t>
        </is>
      </c>
      <c r="B427" s="4" t="n">
        <v>44561</v>
      </c>
      <c r="C427" s="3" t="inlineStr">
        <is>
          <t>Assets</t>
        </is>
      </c>
      <c r="D427" s="3" t="inlineStr">
        <is>
          <t>6200/010</t>
        </is>
      </c>
      <c r="E427" s="3" t="inlineStr">
        <is>
          <t>Motor Vehicles - @ Cost</t>
        </is>
      </c>
      <c r="F427" s="3" t="n">
        <v>0</v>
      </c>
      <c r="G427" s="3" t="n">
        <v>216064.1</v>
      </c>
    </row>
    <row r="428">
      <c r="A428" s="3" t="inlineStr">
        <is>
          <t>Cape Projects Construction (Pty) Ltd</t>
        </is>
      </c>
      <c r="B428" s="4" t="n">
        <v>44561</v>
      </c>
      <c r="C428" s="3" t="inlineStr">
        <is>
          <t>Assets</t>
        </is>
      </c>
      <c r="D428" s="3" t="inlineStr">
        <is>
          <t>6200/020</t>
        </is>
      </c>
      <c r="E428" s="3" t="inlineStr">
        <is>
          <t>Motor Vehicles - Accum Depre</t>
        </is>
      </c>
      <c r="F428" s="3" t="n">
        <v>0</v>
      </c>
      <c r="G428" s="3" t="n">
        <v>-133240</v>
      </c>
    </row>
    <row r="429">
      <c r="A429" s="3" t="inlineStr">
        <is>
          <t>Cape Projects Construction (Pty) Ltd</t>
        </is>
      </c>
      <c r="B429" s="4" t="n">
        <v>44561</v>
      </c>
      <c r="C429" s="3" t="inlineStr">
        <is>
          <t>Assets</t>
        </is>
      </c>
      <c r="D429" s="3" t="inlineStr">
        <is>
          <t>6250/010</t>
        </is>
      </c>
      <c r="E429" s="3" t="inlineStr">
        <is>
          <t>Computer Equipment - @ Cost</t>
        </is>
      </c>
      <c r="F429" s="3" t="n">
        <v>0</v>
      </c>
      <c r="G429" s="3" t="n">
        <v>53450.87</v>
      </c>
    </row>
    <row r="430">
      <c r="A430" s="3" t="inlineStr">
        <is>
          <t>Cape Projects Construction (Pty) Ltd</t>
        </is>
      </c>
      <c r="B430" s="4" t="n">
        <v>44561</v>
      </c>
      <c r="C430" s="3" t="inlineStr">
        <is>
          <t>Assets</t>
        </is>
      </c>
      <c r="D430" s="3" t="inlineStr">
        <is>
          <t>6250/020</t>
        </is>
      </c>
      <c r="E430" s="3" t="inlineStr">
        <is>
          <t>Computer Equipment - Accum Depre</t>
        </is>
      </c>
      <c r="F430" s="3" t="n">
        <v>-1092.24</v>
      </c>
      <c r="G430" s="3" t="n">
        <v>-17381.55</v>
      </c>
    </row>
    <row r="431">
      <c r="A431" s="3" t="inlineStr">
        <is>
          <t>Cape Projects Construction (Pty) Ltd</t>
        </is>
      </c>
      <c r="B431" s="4" t="n">
        <v>44561</v>
      </c>
      <c r="C431" s="3" t="inlineStr">
        <is>
          <t>Assets</t>
        </is>
      </c>
      <c r="D431" s="3" t="inlineStr">
        <is>
          <t>6600/010</t>
        </is>
      </c>
      <c r="E431" s="3" t="inlineStr">
        <is>
          <t>Generator Fixed Asset - @ Cost</t>
        </is>
      </c>
      <c r="F431" s="3" t="n">
        <v>0</v>
      </c>
      <c r="G431" s="3" t="n">
        <v>11600</v>
      </c>
    </row>
    <row r="432">
      <c r="A432" s="3" t="inlineStr">
        <is>
          <t>Cape Projects Construction (Pty) Ltd</t>
        </is>
      </c>
      <c r="B432" s="4" t="n">
        <v>44561</v>
      </c>
      <c r="C432" s="3" t="inlineStr">
        <is>
          <t>Assets</t>
        </is>
      </c>
      <c r="D432" s="3" t="inlineStr">
        <is>
          <t>6600/020</t>
        </is>
      </c>
      <c r="E432" s="3" t="inlineStr">
        <is>
          <t>Generator Fixed Asset - Accum Depre</t>
        </is>
      </c>
      <c r="F432" s="3" t="n">
        <v>-193.33</v>
      </c>
      <c r="G432" s="3" t="n">
        <v>-580</v>
      </c>
    </row>
    <row r="433">
      <c r="A433" s="3" t="inlineStr">
        <is>
          <t>Heron Fields (Pty) Ltd</t>
        </is>
      </c>
      <c r="B433" s="4" t="n">
        <v>44561</v>
      </c>
      <c r="C433" s="3" t="inlineStr">
        <is>
          <t>Assets</t>
        </is>
      </c>
      <c r="D433" s="3" t="inlineStr">
        <is>
          <t>7610/395</t>
        </is>
      </c>
      <c r="E433" s="3" t="inlineStr">
        <is>
          <t>HF CIP NHBRC</t>
        </is>
      </c>
      <c r="F433" s="3" t="n">
        <v>261841.5</v>
      </c>
      <c r="G433" s="3" t="n">
        <v>261841.5</v>
      </c>
    </row>
    <row r="434">
      <c r="A434" s="3" t="inlineStr">
        <is>
          <t>Heron Fields (Pty) Ltd</t>
        </is>
      </c>
      <c r="B434" s="4" t="n">
        <v>44561</v>
      </c>
      <c r="C434" s="3" t="inlineStr">
        <is>
          <t>Assets</t>
        </is>
      </c>
      <c r="D434" s="3" t="inlineStr">
        <is>
          <t>7620/100</t>
        </is>
      </c>
      <c r="E434" s="3" t="inlineStr">
        <is>
          <t>Heron View Land</t>
        </is>
      </c>
      <c r="F434" s="3" t="n">
        <v>0</v>
      </c>
      <c r="G434" s="3" t="n">
        <v>26200000</v>
      </c>
    </row>
    <row r="435">
      <c r="A435" s="3" t="inlineStr">
        <is>
          <t>Heron Fields (Pty) Ltd</t>
        </is>
      </c>
      <c r="B435" s="4" t="n">
        <v>44561</v>
      </c>
      <c r="C435" s="3" t="inlineStr">
        <is>
          <t>Assets</t>
        </is>
      </c>
      <c r="D435" s="3" t="inlineStr">
        <is>
          <t>7620/101</t>
        </is>
      </c>
      <c r="E435" s="3" t="inlineStr">
        <is>
          <t>HF CIP Bond Registration Fee</t>
        </is>
      </c>
      <c r="F435" s="3" t="n">
        <v>0</v>
      </c>
      <c r="G435" s="3" t="n">
        <v>68427</v>
      </c>
    </row>
    <row r="436">
      <c r="A436" s="3" t="inlineStr">
        <is>
          <t>Heron Fields (Pty) Ltd</t>
        </is>
      </c>
      <c r="B436" s="4" t="n">
        <v>44561</v>
      </c>
      <c r="C436" s="3" t="inlineStr">
        <is>
          <t>Assets</t>
        </is>
      </c>
      <c r="D436" s="3" t="inlineStr">
        <is>
          <t>7620/102</t>
        </is>
      </c>
      <c r="E436" s="3" t="inlineStr">
        <is>
          <t>HF CIP Transfer Fee</t>
        </is>
      </c>
      <c r="F436" s="3" t="n">
        <v>0</v>
      </c>
      <c r="G436" s="3" t="n">
        <v>103812</v>
      </c>
    </row>
    <row r="437">
      <c r="A437" s="3" t="inlineStr">
        <is>
          <t>Heron Fields (Pty) Ltd</t>
        </is>
      </c>
      <c r="B437" s="4" t="n">
        <v>44561</v>
      </c>
      <c r="C437" s="3" t="inlineStr">
        <is>
          <t>Assets</t>
        </is>
      </c>
      <c r="D437" s="3" t="inlineStr">
        <is>
          <t>7620/220</t>
        </is>
      </c>
      <c r="E437" s="3" t="inlineStr">
        <is>
          <t>HF CIP Architectural Designs</t>
        </is>
      </c>
      <c r="F437" s="3" t="n">
        <v>5000</v>
      </c>
      <c r="G437" s="3" t="n">
        <v>142000</v>
      </c>
    </row>
    <row r="438">
      <c r="A438" s="3" t="inlineStr">
        <is>
          <t>Heron Fields (Pty) Ltd</t>
        </is>
      </c>
      <c r="B438" s="4" t="n">
        <v>44561</v>
      </c>
      <c r="C438" s="3" t="inlineStr">
        <is>
          <t>Assets</t>
        </is>
      </c>
      <c r="D438" s="3" t="inlineStr">
        <is>
          <t>7620/240</t>
        </is>
      </c>
      <c r="E438" s="3" t="inlineStr">
        <is>
          <t>HF CIP Civil Engineering</t>
        </is>
      </c>
      <c r="F438" s="3" t="n">
        <v>2565181.5</v>
      </c>
      <c r="G438" s="3" t="n">
        <v>5052916.5</v>
      </c>
    </row>
    <row r="439">
      <c r="A439" s="3" t="inlineStr">
        <is>
          <t>Heron Fields (Pty) Ltd</t>
        </is>
      </c>
      <c r="B439" s="4" t="n">
        <v>44561</v>
      </c>
      <c r="C439" s="3" t="inlineStr">
        <is>
          <t>Assets</t>
        </is>
      </c>
      <c r="D439" s="3" t="inlineStr">
        <is>
          <t>7620/245</t>
        </is>
      </c>
      <c r="E439" s="3" t="inlineStr">
        <is>
          <t>HF CIP Development fee</t>
        </is>
      </c>
      <c r="F439" s="3" t="n">
        <v>0</v>
      </c>
      <c r="G439" s="3" t="n">
        <v>13807.78</v>
      </c>
    </row>
    <row r="440">
      <c r="A440" s="3" t="inlineStr">
        <is>
          <t>Heron Fields (Pty) Ltd</t>
        </is>
      </c>
      <c r="B440" s="4" t="n">
        <v>44561</v>
      </c>
      <c r="C440" s="3" t="inlineStr">
        <is>
          <t>Assets</t>
        </is>
      </c>
      <c r="D440" s="3" t="inlineStr">
        <is>
          <t>7620/250</t>
        </is>
      </c>
      <c r="E440" s="3" t="inlineStr">
        <is>
          <t>HF CIP Land Surveyor</t>
        </is>
      </c>
      <c r="F440" s="3" t="n">
        <v>0</v>
      </c>
      <c r="G440" s="3" t="n">
        <v>4510</v>
      </c>
    </row>
    <row r="441">
      <c r="A441" s="3" t="inlineStr">
        <is>
          <t>Heron Fields (Pty) Ltd</t>
        </is>
      </c>
      <c r="B441" s="4" t="n">
        <v>44561</v>
      </c>
      <c r="C441" s="3" t="inlineStr">
        <is>
          <t>Assets</t>
        </is>
      </c>
      <c r="D441" s="3" t="inlineStr">
        <is>
          <t>7620/255</t>
        </is>
      </c>
      <c r="E441" s="3" t="inlineStr">
        <is>
          <t>HF CIP Landscaping</t>
        </is>
      </c>
      <c r="F441" s="3" t="n">
        <v>0</v>
      </c>
      <c r="G441" s="3" t="n">
        <v>7500</v>
      </c>
    </row>
    <row r="442">
      <c r="A442" s="3" t="inlineStr">
        <is>
          <t>Heron Fields (Pty) Ltd</t>
        </is>
      </c>
      <c r="B442" s="4" t="n">
        <v>44561</v>
      </c>
      <c r="C442" s="3" t="inlineStr">
        <is>
          <t>Assets</t>
        </is>
      </c>
      <c r="D442" s="3" t="inlineStr">
        <is>
          <t>7620/260</t>
        </is>
      </c>
      <c r="E442" s="3" t="inlineStr">
        <is>
          <t>HF CIP Mechanical Engineers</t>
        </is>
      </c>
      <c r="F442" s="3" t="n">
        <v>0</v>
      </c>
      <c r="G442" s="3" t="n">
        <v>67400</v>
      </c>
    </row>
    <row r="443">
      <c r="A443" s="3" t="inlineStr">
        <is>
          <t>Heron Fields (Pty) Ltd</t>
        </is>
      </c>
      <c r="B443" s="4" t="n">
        <v>44561</v>
      </c>
      <c r="C443" s="3" t="inlineStr">
        <is>
          <t>Assets</t>
        </is>
      </c>
      <c r="D443" s="3" t="inlineStr">
        <is>
          <t>7620/270</t>
        </is>
      </c>
      <c r="E443" s="3" t="inlineStr">
        <is>
          <t>HF CIP Geotechnical</t>
        </is>
      </c>
      <c r="F443" s="3" t="n">
        <v>0</v>
      </c>
      <c r="G443" s="3" t="n">
        <v>15175</v>
      </c>
    </row>
    <row r="444">
      <c r="A444" s="3" t="inlineStr">
        <is>
          <t>Heron Fields (Pty) Ltd</t>
        </is>
      </c>
      <c r="B444" s="4" t="n">
        <v>44561</v>
      </c>
      <c r="C444" s="3" t="inlineStr">
        <is>
          <t>Assets</t>
        </is>
      </c>
      <c r="D444" s="3" t="inlineStr">
        <is>
          <t>7620/280</t>
        </is>
      </c>
      <c r="E444" s="3" t="inlineStr">
        <is>
          <t>HF CIP Site Establishment</t>
        </is>
      </c>
      <c r="F444" s="3" t="n">
        <v>0</v>
      </c>
      <c r="G444" s="3" t="n">
        <v>23034.26</v>
      </c>
    </row>
    <row r="445">
      <c r="A445" s="3" t="inlineStr">
        <is>
          <t>Heron Fields (Pty) Ltd</t>
        </is>
      </c>
      <c r="B445" s="4" t="n">
        <v>44561</v>
      </c>
      <c r="C445" s="3" t="inlineStr">
        <is>
          <t>Assets</t>
        </is>
      </c>
      <c r="D445" s="3" t="inlineStr">
        <is>
          <t>7620/285</t>
        </is>
      </c>
      <c r="E445" s="3" t="inlineStr">
        <is>
          <t>HF CIP Structuring Fee - Invest</t>
        </is>
      </c>
      <c r="F445" s="3" t="n">
        <v>257612.85</v>
      </c>
      <c r="G445" s="3" t="n">
        <v>1812717.84</v>
      </c>
    </row>
    <row r="446">
      <c r="A446" s="3" t="inlineStr">
        <is>
          <t>Heron Fields (Pty) Ltd</t>
        </is>
      </c>
      <c r="B446" s="4" t="n">
        <v>44561</v>
      </c>
      <c r="C446" s="3" t="inlineStr">
        <is>
          <t>Assets</t>
        </is>
      </c>
      <c r="D446" s="3" t="inlineStr">
        <is>
          <t>7620/287</t>
        </is>
      </c>
      <c r="E446" s="3" t="inlineStr">
        <is>
          <t>HF CIP Structuring Fee - Development</t>
        </is>
      </c>
      <c r="F446" s="3" t="n">
        <v>0</v>
      </c>
      <c r="G446" s="3" t="n">
        <v>782608.0699999999</v>
      </c>
    </row>
    <row r="447">
      <c r="A447" s="3" t="inlineStr">
        <is>
          <t>Heron Fields (Pty) Ltd</t>
        </is>
      </c>
      <c r="B447" s="4" t="n">
        <v>44561</v>
      </c>
      <c r="C447" s="3" t="inlineStr">
        <is>
          <t>Assets</t>
        </is>
      </c>
      <c r="D447" s="3" t="inlineStr">
        <is>
          <t>7620/290</t>
        </is>
      </c>
      <c r="E447" s="3" t="inlineStr">
        <is>
          <t>HF CIP Town Planning</t>
        </is>
      </c>
      <c r="F447" s="3" t="n">
        <v>0</v>
      </c>
      <c r="G447" s="3" t="n">
        <v>129550</v>
      </c>
    </row>
    <row r="448">
      <c r="A448" s="3" t="inlineStr">
        <is>
          <t>Heron Fields (Pty) Ltd</t>
        </is>
      </c>
      <c r="B448" s="4" t="n">
        <v>44561</v>
      </c>
      <c r="C448" s="3" t="inlineStr">
        <is>
          <t>Assets</t>
        </is>
      </c>
      <c r="D448" s="3" t="inlineStr">
        <is>
          <t>7620/295</t>
        </is>
      </c>
      <c r="E448" s="3" t="inlineStr">
        <is>
          <t>HF CIP Traffic Planning</t>
        </is>
      </c>
      <c r="F448" s="3" t="n">
        <v>0</v>
      </c>
      <c r="G448" s="3" t="n">
        <v>45000</v>
      </c>
    </row>
    <row r="449">
      <c r="A449" s="3" t="inlineStr">
        <is>
          <t>Heron Fields (Pty) Ltd</t>
        </is>
      </c>
      <c r="B449" s="4" t="n">
        <v>44561</v>
      </c>
      <c r="C449" s="3" t="inlineStr">
        <is>
          <t>Assets</t>
        </is>
      </c>
      <c r="D449" s="3" t="inlineStr">
        <is>
          <t>7620/600</t>
        </is>
      </c>
      <c r="E449" s="3" t="inlineStr">
        <is>
          <t>HF CIP Eco work</t>
        </is>
      </c>
      <c r="F449" s="3" t="n">
        <v>6000</v>
      </c>
      <c r="G449" s="3" t="n">
        <v>42000</v>
      </c>
    </row>
    <row r="450">
      <c r="A450" s="3" t="inlineStr">
        <is>
          <t>Heron Fields (Pty) Ltd</t>
        </is>
      </c>
      <c r="B450" s="4" t="n">
        <v>44561</v>
      </c>
      <c r="C450" s="3" t="inlineStr">
        <is>
          <t>Assets</t>
        </is>
      </c>
      <c r="D450" s="3" t="inlineStr">
        <is>
          <t>7620/630</t>
        </is>
      </c>
      <c r="E450" s="3" t="inlineStr">
        <is>
          <t>HF CIP CoCT development contribution</t>
        </is>
      </c>
      <c r="F450" s="3" t="n">
        <v>55341.39</v>
      </c>
      <c r="G450" s="3" t="n">
        <v>578812.27</v>
      </c>
    </row>
    <row r="451">
      <c r="A451" s="3" t="inlineStr">
        <is>
          <t>Heron Fields (Pty) Ltd</t>
        </is>
      </c>
      <c r="B451" s="4" t="n">
        <v>44561</v>
      </c>
      <c r="C451" s="3" t="inlineStr">
        <is>
          <t>Assets</t>
        </is>
      </c>
      <c r="D451" s="3" t="inlineStr">
        <is>
          <t>7620/640</t>
        </is>
      </c>
      <c r="E451" s="3" t="inlineStr">
        <is>
          <t>HF CIP Project costs</t>
        </is>
      </c>
      <c r="F451" s="3" t="n">
        <v>320067.66</v>
      </c>
      <c r="G451" s="3" t="n">
        <v>320067.66</v>
      </c>
    </row>
    <row r="452">
      <c r="A452" s="3" t="inlineStr">
        <is>
          <t>Cape Projects Construction (Pty) Ltd</t>
        </is>
      </c>
      <c r="B452" s="4" t="n">
        <v>44561</v>
      </c>
      <c r="C452" s="3" t="inlineStr">
        <is>
          <t>Assets</t>
        </is>
      </c>
      <c r="D452" s="3" t="inlineStr">
        <is>
          <t>7800/000</t>
        </is>
      </c>
      <c r="E452" s="3" t="inlineStr">
        <is>
          <t>Deposits paid</t>
        </is>
      </c>
      <c r="F452" s="3" t="n">
        <v>0</v>
      </c>
      <c r="G452" s="3" t="n">
        <v>6875.45</v>
      </c>
    </row>
    <row r="453">
      <c r="A453" s="3" t="inlineStr">
        <is>
          <t>Cape Projects Construction (Pty) Ltd</t>
        </is>
      </c>
      <c r="B453" s="4" t="n">
        <v>44561</v>
      </c>
      <c r="C453" s="3" t="inlineStr">
        <is>
          <t>Assets</t>
        </is>
      </c>
      <c r="D453" s="3" t="inlineStr">
        <is>
          <t>8000/000</t>
        </is>
      </c>
      <c r="E453" s="3" t="inlineStr">
        <is>
          <t>Customer Control Account</t>
        </is>
      </c>
      <c r="F453" s="3" t="n">
        <v>-1631119.5</v>
      </c>
      <c r="G453" s="3" t="n">
        <v>1523361.67</v>
      </c>
    </row>
    <row r="454">
      <c r="A454" s="3" t="inlineStr">
        <is>
          <t>Cape Projects Construction (Pty) Ltd</t>
        </is>
      </c>
      <c r="B454" s="4" t="n">
        <v>44561</v>
      </c>
      <c r="C454" s="3" t="inlineStr">
        <is>
          <t>Assets</t>
        </is>
      </c>
      <c r="D454" s="3" t="inlineStr">
        <is>
          <t>8200/010</t>
        </is>
      </c>
      <c r="E454" s="3" t="inlineStr">
        <is>
          <t>Prepayments / Prepaid Expenses</t>
        </is>
      </c>
      <c r="F454" s="3" t="n">
        <v>-2867.09</v>
      </c>
      <c r="G454" s="3" t="n">
        <v>20069.66</v>
      </c>
    </row>
    <row r="455">
      <c r="A455" s="3" t="inlineStr">
        <is>
          <t>Heron Fields (Pty) Ltd</t>
        </is>
      </c>
      <c r="B455" s="4" t="n">
        <v>44561</v>
      </c>
      <c r="C455" s="3" t="inlineStr">
        <is>
          <t>Assets</t>
        </is>
      </c>
      <c r="D455" s="3" t="inlineStr">
        <is>
          <t>8200/200</t>
        </is>
      </c>
      <c r="E455" s="3" t="inlineStr">
        <is>
          <t>Sundry Debtor - Quinate</t>
        </is>
      </c>
      <c r="F455" s="3" t="n">
        <v>0</v>
      </c>
      <c r="G455" s="3" t="n">
        <v>300000</v>
      </c>
    </row>
    <row r="456">
      <c r="A456" s="3" t="inlineStr">
        <is>
          <t>Cape Projects Construction (Pty) Ltd</t>
        </is>
      </c>
      <c r="B456" s="4" t="n">
        <v>44561</v>
      </c>
      <c r="C456" s="3" t="inlineStr">
        <is>
          <t>Assets</t>
        </is>
      </c>
      <c r="D456" s="3" t="inlineStr">
        <is>
          <t>8300/000</t>
        </is>
      </c>
      <c r="E456" s="3" t="inlineStr">
        <is>
          <t>FNB Credit Card 8812 7100 446 6006</t>
        </is>
      </c>
      <c r="F456" s="3" t="n">
        <v>-129</v>
      </c>
      <c r="G456" s="3" t="n">
        <v>0</v>
      </c>
    </row>
    <row r="457">
      <c r="A457" s="3" t="inlineStr">
        <is>
          <t>Heron Fields (Pty) Ltd</t>
        </is>
      </c>
      <c r="B457" s="4" t="n">
        <v>44561</v>
      </c>
      <c r="C457" s="3" t="inlineStr">
        <is>
          <t>Assets</t>
        </is>
      </c>
      <c r="D457" s="3" t="inlineStr">
        <is>
          <t>8400/000</t>
        </is>
      </c>
      <c r="E457" s="3" t="inlineStr">
        <is>
          <t>RMB - 62882379087</t>
        </is>
      </c>
      <c r="F457" s="3" t="n">
        <v>41819.65</v>
      </c>
      <c r="G457" s="3" t="n">
        <v>46086.2</v>
      </c>
    </row>
    <row r="458">
      <c r="A458" s="3" t="inlineStr">
        <is>
          <t>Cape Projects Construction (Pty) Ltd</t>
        </is>
      </c>
      <c r="B458" s="4" t="n">
        <v>44561</v>
      </c>
      <c r="C458" s="3" t="inlineStr">
        <is>
          <t>Assets</t>
        </is>
      </c>
      <c r="D458" s="3" t="inlineStr">
        <is>
          <t>8400/000</t>
        </is>
      </c>
      <c r="E458" s="3" t="inlineStr">
        <is>
          <t>RMB 62275138470</t>
        </is>
      </c>
      <c r="F458" s="3" t="n">
        <v>11634.4</v>
      </c>
      <c r="G458" s="3" t="n">
        <v>39603.9</v>
      </c>
    </row>
    <row r="459">
      <c r="A459" s="3" t="inlineStr">
        <is>
          <t>Cape Projects Construction (Pty) Ltd</t>
        </is>
      </c>
      <c r="B459" s="4" t="n">
        <v>44561</v>
      </c>
      <c r="C459" s="3" t="inlineStr">
        <is>
          <t>Assets</t>
        </is>
      </c>
      <c r="D459" s="3" t="inlineStr">
        <is>
          <t>8410/000</t>
        </is>
      </c>
      <c r="E459" s="3" t="inlineStr">
        <is>
          <t>Petty Cash</t>
        </is>
      </c>
      <c r="F459" s="3" t="n">
        <v>-665</v>
      </c>
      <c r="G459" s="3" t="n">
        <v>46.7</v>
      </c>
    </row>
    <row r="460">
      <c r="A460" s="3" t="inlineStr">
        <is>
          <t>Cape Projects Construction (Pty) Ltd</t>
        </is>
      </c>
      <c r="B460" s="4" t="n">
        <v>44561</v>
      </c>
      <c r="C460" s="3" t="inlineStr">
        <is>
          <t>Assets</t>
        </is>
      </c>
      <c r="D460" s="3" t="inlineStr">
        <is>
          <t>8420/000</t>
        </is>
      </c>
      <c r="E460" s="3" t="inlineStr">
        <is>
          <t>Momentum Priv Acc RU502230981</t>
        </is>
      </c>
      <c r="F460" s="3" t="n">
        <v>5.86</v>
      </c>
      <c r="G460" s="3" t="n">
        <v>505.86</v>
      </c>
    </row>
    <row r="461">
      <c r="A461" s="3" t="inlineStr">
        <is>
          <t>Heron Fields (Pty) Ltd</t>
        </is>
      </c>
      <c r="B461" s="4" t="n">
        <v>44561</v>
      </c>
      <c r="C461" s="3" t="inlineStr">
        <is>
          <t>Assets</t>
        </is>
      </c>
      <c r="D461" s="3" t="inlineStr">
        <is>
          <t>8430/000</t>
        </is>
      </c>
      <c r="E461" s="3" t="inlineStr">
        <is>
          <t>Momentum Private Account RU502230151</t>
        </is>
      </c>
      <c r="F461" s="3" t="n">
        <v>-227.23</v>
      </c>
      <c r="G461" s="3" t="n">
        <v>779.85</v>
      </c>
    </row>
    <row r="462">
      <c r="A462" s="3" t="inlineStr">
        <is>
          <t>Heron Fields (Pty) Ltd</t>
        </is>
      </c>
      <c r="B462" s="4" t="n">
        <v>44561</v>
      </c>
      <c r="C462" s="3" t="inlineStr">
        <is>
          <t>Assets</t>
        </is>
      </c>
      <c r="D462" s="3" t="inlineStr">
        <is>
          <t>8440/000</t>
        </is>
      </c>
      <c r="E462" s="3" t="inlineStr">
        <is>
          <t>Momentum Investors Account RU502229930</t>
        </is>
      </c>
      <c r="F462" s="3" t="n">
        <v>-3670177.96</v>
      </c>
      <c r="G462" s="3" t="n">
        <v>9180335.109999999</v>
      </c>
    </row>
    <row r="463">
      <c r="A463" s="3" t="inlineStr">
        <is>
          <t>Cape Projects Construction (Pty) Ltd</t>
        </is>
      </c>
      <c r="B463" s="4" t="n">
        <v>44561</v>
      </c>
      <c r="C463" s="3" t="inlineStr">
        <is>
          <t>Liabilities</t>
        </is>
      </c>
      <c r="D463" s="3" t="inlineStr">
        <is>
          <t>860</t>
        </is>
      </c>
      <c r="E463" s="3" t="inlineStr">
        <is>
          <t>Rounding</t>
        </is>
      </c>
      <c r="F463" s="3" t="n">
        <v>0.01</v>
      </c>
      <c r="G463" s="3" t="n">
        <v>-0.02</v>
      </c>
    </row>
    <row r="464">
      <c r="A464" s="3" t="inlineStr">
        <is>
          <t>Heron Fields (Pty) Ltd</t>
        </is>
      </c>
      <c r="B464" s="4" t="n">
        <v>44561</v>
      </c>
      <c r="C464" s="3" t="inlineStr">
        <is>
          <t>Liabilities</t>
        </is>
      </c>
      <c r="D464" s="3" t="inlineStr">
        <is>
          <t>860</t>
        </is>
      </c>
      <c r="E464" s="3" t="inlineStr">
        <is>
          <t>Rounding</t>
        </is>
      </c>
      <c r="F464" s="3" t="n">
        <v>0.01</v>
      </c>
      <c r="G464" s="3" t="n">
        <v>0.01</v>
      </c>
    </row>
    <row r="465">
      <c r="A465" s="3" t="inlineStr">
        <is>
          <t>Cape Projects Construction (Pty) Ltd</t>
        </is>
      </c>
      <c r="B465" s="4" t="n">
        <v>44561</v>
      </c>
      <c r="C465" s="3" t="inlineStr">
        <is>
          <t>Liabilities</t>
        </is>
      </c>
      <c r="D465" s="3" t="inlineStr">
        <is>
          <t>9000/000</t>
        </is>
      </c>
      <c r="E465" s="3" t="inlineStr">
        <is>
          <t>Supplier Control Account</t>
        </is>
      </c>
      <c r="F465" s="3" t="n">
        <v>1443494.23</v>
      </c>
      <c r="G465" s="3" t="n">
        <v>-1373786.79</v>
      </c>
    </row>
    <row r="466">
      <c r="A466" s="3" t="inlineStr">
        <is>
          <t>Heron Fields (Pty) Ltd</t>
        </is>
      </c>
      <c r="B466" s="4" t="n">
        <v>44561</v>
      </c>
      <c r="C466" s="3" t="inlineStr">
        <is>
          <t>Liabilities</t>
        </is>
      </c>
      <c r="D466" s="3" t="inlineStr">
        <is>
          <t>9000/000</t>
        </is>
      </c>
      <c r="E466" s="3" t="inlineStr">
        <is>
          <t>Supplier Control Account</t>
        </is>
      </c>
      <c r="F466" s="3" t="n">
        <v>-379322.93</v>
      </c>
      <c r="G466" s="3" t="n">
        <v>-46555943.33</v>
      </c>
    </row>
    <row r="467">
      <c r="A467" s="3" t="inlineStr">
        <is>
          <t>Cape Projects Construction (Pty) Ltd</t>
        </is>
      </c>
      <c r="B467" s="4" t="n">
        <v>44561</v>
      </c>
      <c r="C467" s="3" t="inlineStr">
        <is>
          <t>Liabilities</t>
        </is>
      </c>
      <c r="D467" s="3" t="inlineStr">
        <is>
          <t>9250/010</t>
        </is>
      </c>
      <c r="E467" s="3" t="inlineStr">
        <is>
          <t>SALARY CONTROL</t>
        </is>
      </c>
      <c r="F467" s="3" t="n">
        <v>0</v>
      </c>
      <c r="G467" s="3" t="n">
        <v>3000</v>
      </c>
    </row>
    <row r="468">
      <c r="A468" s="3" t="inlineStr">
        <is>
          <t>Cape Projects Construction (Pty) Ltd</t>
        </is>
      </c>
      <c r="B468" s="4" t="n">
        <v>44561</v>
      </c>
      <c r="C468" s="3" t="inlineStr">
        <is>
          <t>Liabilities</t>
        </is>
      </c>
      <c r="D468" s="3" t="inlineStr">
        <is>
          <t>9250/020</t>
        </is>
      </c>
      <c r="E468" s="3" t="inlineStr">
        <is>
          <t>PAYE, UIF AND SDL CONTROL</t>
        </is>
      </c>
      <c r="F468" s="3" t="n">
        <v>1933.03</v>
      </c>
      <c r="G468" s="3" t="n">
        <v>-31628.33</v>
      </c>
    </row>
    <row r="469">
      <c r="A469" s="3" t="inlineStr">
        <is>
          <t>Cape Projects Construction (Pty) Ltd</t>
        </is>
      </c>
      <c r="B469" s="4" t="n">
        <v>44561</v>
      </c>
      <c r="C469" s="3" t="inlineStr">
        <is>
          <t>Liabilities</t>
        </is>
      </c>
      <c r="D469" s="3" t="inlineStr">
        <is>
          <t>9500/000</t>
        </is>
      </c>
      <c r="E469" s="3" t="inlineStr">
        <is>
          <t>VAT Control Account</t>
        </is>
      </c>
      <c r="F469" s="3" t="n">
        <v>-151318.8</v>
      </c>
      <c r="G469" s="3" t="n">
        <v>-691896.02</v>
      </c>
    </row>
    <row r="470">
      <c r="A470" s="3" t="inlineStr">
        <is>
          <t>Heron Fields (Pty) Ltd</t>
        </is>
      </c>
      <c r="B470" s="4" t="n">
        <v>44561</v>
      </c>
      <c r="C470" s="3" t="inlineStr">
        <is>
          <t>Liabilities</t>
        </is>
      </c>
      <c r="D470" s="3" t="inlineStr">
        <is>
          <t>9500/000</t>
        </is>
      </c>
      <c r="E470" s="3" t="inlineStr">
        <is>
          <t>Vat / Tax Control Account</t>
        </is>
      </c>
      <c r="F470" s="3" t="n">
        <v>498445.43</v>
      </c>
      <c r="G470" s="3" t="n">
        <v>979374.9399999999</v>
      </c>
    </row>
    <row r="471">
      <c r="A471" s="3" t="inlineStr">
        <is>
          <t>Cape Projects Construction (Pty) Ltd</t>
        </is>
      </c>
      <c r="B471" s="4" t="n">
        <v>44561</v>
      </c>
      <c r="C471" s="3" t="inlineStr">
        <is>
          <t>Liabilities</t>
        </is>
      </c>
      <c r="D471" s="3" t="inlineStr">
        <is>
          <t>B/S</t>
        </is>
      </c>
      <c r="E471" s="3" t="inlineStr">
        <is>
          <t>Taxation Payable</t>
        </is>
      </c>
      <c r="F471" s="3" t="n">
        <v>0</v>
      </c>
      <c r="G471" s="3" t="n">
        <v>7748.15</v>
      </c>
    </row>
    <row r="472">
      <c r="A472" s="3" t="inlineStr">
        <is>
          <t>Cape Projects Construction (Pty) Ltd</t>
        </is>
      </c>
      <c r="B472" s="4" t="n">
        <v>44561</v>
      </c>
      <c r="C472" s="3" t="inlineStr">
        <is>
          <t>Liabilities</t>
        </is>
      </c>
      <c r="D472" s="3" t="inlineStr">
        <is>
          <t>TEMP/ACC</t>
        </is>
      </c>
      <c r="E472" s="3" t="inlineStr">
        <is>
          <t>Conversion Account</t>
        </is>
      </c>
      <c r="F472" s="3" t="n">
        <v>0</v>
      </c>
      <c r="G472" s="3" t="n">
        <v>-254.99</v>
      </c>
    </row>
    <row r="473">
      <c r="A473" s="3" t="inlineStr">
        <is>
          <t>Cape Projects Construction (Pty) Ltd</t>
        </is>
      </c>
      <c r="B473" s="4" t="n">
        <v>44592</v>
      </c>
      <c r="C473" s="3" t="inlineStr">
        <is>
          <t>Revenue</t>
        </is>
      </c>
      <c r="D473" s="3" t="inlineStr">
        <is>
          <t>1040/100</t>
        </is>
      </c>
      <c r="E473" s="3" t="inlineStr">
        <is>
          <t>Fees - Construction - Heron</t>
        </is>
      </c>
      <c r="F473" s="3" t="n">
        <v>-73913.03999999999</v>
      </c>
      <c r="G473" s="3" t="n">
        <v>-73913.03999999999</v>
      </c>
    </row>
    <row r="474">
      <c r="A474" s="3" t="inlineStr">
        <is>
          <t>Cape Projects Construction (Pty) Ltd</t>
        </is>
      </c>
      <c r="B474" s="4" t="n">
        <v>44592</v>
      </c>
      <c r="C474" s="3" t="inlineStr">
        <is>
          <t>Revenue</t>
        </is>
      </c>
      <c r="D474" s="3" t="inlineStr">
        <is>
          <t>1050/030</t>
        </is>
      </c>
      <c r="E474" s="3" t="inlineStr">
        <is>
          <t>Fees - Construction - Endulini</t>
        </is>
      </c>
      <c r="F474" s="3" t="n">
        <v>-613551.63</v>
      </c>
      <c r="G474" s="3" t="n">
        <v>-14899838.07</v>
      </c>
    </row>
    <row r="475">
      <c r="A475" s="3" t="inlineStr">
        <is>
          <t>Cape Projects Construction (Pty) Ltd</t>
        </is>
      </c>
      <c r="B475" s="4" t="n">
        <v>44592</v>
      </c>
      <c r="C475" s="3" t="inlineStr">
        <is>
          <t>Revenue</t>
        </is>
      </c>
      <c r="D475" s="3" t="inlineStr">
        <is>
          <t>1050/032</t>
        </is>
      </c>
      <c r="E475" s="3" t="inlineStr">
        <is>
          <t>Fees - Construction - Endulini P and G</t>
        </is>
      </c>
      <c r="F475" s="3" t="n">
        <v>-672512.24</v>
      </c>
      <c r="G475" s="3" t="n">
        <v>-2482543.74</v>
      </c>
    </row>
    <row r="476">
      <c r="A476" s="3" t="inlineStr">
        <is>
          <t>Cape Projects Construction (Pty) Ltd</t>
        </is>
      </c>
      <c r="B476" s="4" t="n">
        <v>44592</v>
      </c>
      <c r="C476" s="3" t="inlineStr">
        <is>
          <t>Revenue</t>
        </is>
      </c>
      <c r="D476" s="3" t="inlineStr">
        <is>
          <t>1060/000</t>
        </is>
      </c>
      <c r="E476" s="3" t="inlineStr">
        <is>
          <t>Insurance recovery</t>
        </is>
      </c>
      <c r="F476" s="3" t="n">
        <v>0</v>
      </c>
      <c r="G476" s="3" t="n">
        <v>387.08</v>
      </c>
    </row>
    <row r="477">
      <c r="A477" s="3" t="inlineStr">
        <is>
          <t>Cape Projects Construction (Pty) Ltd</t>
        </is>
      </c>
      <c r="B477" s="4" t="n">
        <v>44592</v>
      </c>
      <c r="C477" s="3" t="inlineStr">
        <is>
          <t>Revenue</t>
        </is>
      </c>
      <c r="D477" s="3" t="inlineStr">
        <is>
          <t>1070/000</t>
        </is>
      </c>
      <c r="E477" s="3" t="inlineStr">
        <is>
          <t>Rent - CT Office</t>
        </is>
      </c>
      <c r="F477" s="3" t="n">
        <v>-3490.94</v>
      </c>
      <c r="G477" s="3" t="n">
        <v>-6981.88</v>
      </c>
    </row>
    <row r="478">
      <c r="A478" s="3" t="inlineStr">
        <is>
          <t>Heron Fields (Pty) Ltd</t>
        </is>
      </c>
      <c r="B478" s="4" t="n">
        <v>44592</v>
      </c>
      <c r="C478" s="3" t="inlineStr">
        <is>
          <t>Revenue</t>
        </is>
      </c>
      <c r="D478" s="3" t="inlineStr">
        <is>
          <t>1500/001</t>
        </is>
      </c>
      <c r="E478" s="3" t="inlineStr">
        <is>
          <t>Revaluation of Land</t>
        </is>
      </c>
      <c r="F478" s="3" t="n">
        <v>0</v>
      </c>
      <c r="G478" s="3" t="n">
        <v>-19713043.68</v>
      </c>
    </row>
    <row r="479">
      <c r="A479" s="3" t="inlineStr">
        <is>
          <t>Heron Fields (Pty) Ltd</t>
        </is>
      </c>
      <c r="B479" s="4" t="n">
        <v>44592</v>
      </c>
      <c r="C479" s="3" t="inlineStr">
        <is>
          <t>Expenses</t>
        </is>
      </c>
      <c r="D479" s="3" t="inlineStr">
        <is>
          <t>2000/020</t>
        </is>
      </c>
      <c r="E479" s="3" t="inlineStr">
        <is>
          <t>COS - Heron sales office</t>
        </is>
      </c>
      <c r="F479" s="3" t="n">
        <v>0</v>
      </c>
      <c r="G479" s="3" t="n">
        <v>9814</v>
      </c>
    </row>
    <row r="480">
      <c r="A480" s="3" t="inlineStr">
        <is>
          <t>Cape Projects Construction (Pty) Ltd</t>
        </is>
      </c>
      <c r="B480" s="4" t="n">
        <v>44592</v>
      </c>
      <c r="C480" s="3" t="inlineStr">
        <is>
          <t>Expenses</t>
        </is>
      </c>
      <c r="D480" s="3" t="inlineStr">
        <is>
          <t>2001/043</t>
        </is>
      </c>
      <c r="E480" s="3" t="inlineStr">
        <is>
          <t>COS - Site Establishment - Consumables</t>
        </is>
      </c>
      <c r="F480" s="3" t="n">
        <v>0</v>
      </c>
      <c r="G480" s="3" t="n">
        <v>1207.35</v>
      </c>
    </row>
    <row r="481">
      <c r="A481" s="3" t="inlineStr">
        <is>
          <t>Cape Projects Construction (Pty) Ltd</t>
        </is>
      </c>
      <c r="B481" s="4" t="n">
        <v>44592</v>
      </c>
      <c r="C481" s="3" t="inlineStr">
        <is>
          <t>Expenses</t>
        </is>
      </c>
      <c r="D481" s="3" t="inlineStr">
        <is>
          <t>2001/048</t>
        </is>
      </c>
      <c r="E481" s="3" t="inlineStr">
        <is>
          <t>COS - Site Establishment Water Pump</t>
        </is>
      </c>
      <c r="F481" s="3" t="n">
        <v>0</v>
      </c>
      <c r="G481" s="3" t="n">
        <v>4850</v>
      </c>
    </row>
    <row r="482">
      <c r="A482" s="3" t="inlineStr">
        <is>
          <t>Cape Projects Construction (Pty) Ltd</t>
        </is>
      </c>
      <c r="B482" s="4" t="n">
        <v>44592</v>
      </c>
      <c r="C482" s="3" t="inlineStr">
        <is>
          <t>Expenses</t>
        </is>
      </c>
      <c r="D482" s="3" t="inlineStr">
        <is>
          <t>2001/109</t>
        </is>
      </c>
      <c r="E482" s="3" t="inlineStr">
        <is>
          <t>COS - Site Labour Labourers</t>
        </is>
      </c>
      <c r="F482" s="3" t="n">
        <v>0</v>
      </c>
      <c r="G482" s="3" t="n">
        <v>3900</v>
      </c>
    </row>
    <row r="483">
      <c r="A483" s="3" t="inlineStr">
        <is>
          <t>Cape Projects Construction (Pty) Ltd</t>
        </is>
      </c>
      <c r="B483" s="4" t="n">
        <v>44592</v>
      </c>
      <c r="C483" s="3" t="inlineStr">
        <is>
          <t>Expenses</t>
        </is>
      </c>
      <c r="D483" s="3" t="inlineStr">
        <is>
          <t>2006/000</t>
        </is>
      </c>
      <c r="E483" s="3" t="inlineStr">
        <is>
          <t>COS - Endulini Construction</t>
        </is>
      </c>
      <c r="F483" s="3" t="n">
        <v>893690.02</v>
      </c>
      <c r="G483" s="3" t="n">
        <v>13268849.29</v>
      </c>
    </row>
    <row r="484">
      <c r="A484" s="3" t="inlineStr">
        <is>
          <t>Cape Projects Construction (Pty) Ltd</t>
        </is>
      </c>
      <c r="B484" s="4" t="n">
        <v>44592</v>
      </c>
      <c r="C484" s="3" t="inlineStr">
        <is>
          <t>Expenses</t>
        </is>
      </c>
      <c r="D484" s="3" t="inlineStr">
        <is>
          <t>2006/100</t>
        </is>
      </c>
      <c r="E484" s="3" t="inlineStr">
        <is>
          <t>COS - Endulini P and G</t>
        </is>
      </c>
      <c r="F484" s="3" t="n">
        <v>111056.9</v>
      </c>
      <c r="G484" s="3" t="n">
        <v>349578.6</v>
      </c>
    </row>
    <row r="485">
      <c r="A485" s="3" t="inlineStr">
        <is>
          <t>Cape Projects Construction (Pty) Ltd</t>
        </is>
      </c>
      <c r="B485" s="4" t="n">
        <v>44592</v>
      </c>
      <c r="C485" s="3" t="inlineStr">
        <is>
          <t>Expenses</t>
        </is>
      </c>
      <c r="D485" s="3" t="inlineStr">
        <is>
          <t>2006/200</t>
        </is>
      </c>
      <c r="E485" s="3" t="inlineStr">
        <is>
          <t>COS - Insurance</t>
        </is>
      </c>
      <c r="F485" s="3" t="n">
        <v>2867.09</v>
      </c>
      <c r="G485" s="3" t="n">
        <v>17202.55</v>
      </c>
    </row>
    <row r="486">
      <c r="A486" s="3" t="inlineStr">
        <is>
          <t>Cape Projects Construction (Pty) Ltd</t>
        </is>
      </c>
      <c r="B486" s="4" t="n">
        <v>44592</v>
      </c>
      <c r="C486" s="3" t="inlineStr">
        <is>
          <t>Expenses</t>
        </is>
      </c>
      <c r="D486" s="3" t="inlineStr">
        <is>
          <t>2006/300</t>
        </is>
      </c>
      <c r="E486" s="3" t="inlineStr">
        <is>
          <t>COS - Endulini - Printing &amp; Stationary</t>
        </is>
      </c>
      <c r="F486" s="3" t="n">
        <v>208.35</v>
      </c>
      <c r="G486" s="3" t="n">
        <v>828.4400000000001</v>
      </c>
    </row>
    <row r="487">
      <c r="A487" s="3" t="inlineStr">
        <is>
          <t>Cape Projects Construction (Pty) Ltd</t>
        </is>
      </c>
      <c r="B487" s="4" t="n">
        <v>44592</v>
      </c>
      <c r="C487" s="3" t="inlineStr">
        <is>
          <t>Expenses</t>
        </is>
      </c>
      <c r="D487" s="3" t="inlineStr">
        <is>
          <t>2006/350</t>
        </is>
      </c>
      <c r="E487" s="3" t="inlineStr">
        <is>
          <t>COS - Endulini - Security</t>
        </is>
      </c>
      <c r="F487" s="3" t="n">
        <v>11000</v>
      </c>
      <c r="G487" s="3" t="n">
        <v>49500</v>
      </c>
    </row>
    <row r="488">
      <c r="A488" s="3" t="inlineStr">
        <is>
          <t>Cape Projects Construction (Pty) Ltd</t>
        </is>
      </c>
      <c r="B488" s="4" t="n">
        <v>44592</v>
      </c>
      <c r="C488" s="3" t="inlineStr">
        <is>
          <t>Expenses</t>
        </is>
      </c>
      <c r="D488" s="3" t="inlineStr">
        <is>
          <t>2006/400</t>
        </is>
      </c>
      <c r="E488" s="3" t="inlineStr">
        <is>
          <t>COS - Endulini - Health &amp; Safety</t>
        </is>
      </c>
      <c r="F488" s="3" t="n">
        <v>9235</v>
      </c>
      <c r="G488" s="3" t="n">
        <v>35173.36</v>
      </c>
    </row>
    <row r="489">
      <c r="A489" s="3" t="inlineStr">
        <is>
          <t>Cape Projects Construction (Pty) Ltd</t>
        </is>
      </c>
      <c r="B489" s="4" t="n">
        <v>44592</v>
      </c>
      <c r="C489" s="3" t="inlineStr">
        <is>
          <t>Expenses</t>
        </is>
      </c>
      <c r="D489" s="3" t="inlineStr">
        <is>
          <t>2006/500</t>
        </is>
      </c>
      <c r="E489" s="3" t="inlineStr">
        <is>
          <t>COS - Endulini - Small Assets</t>
        </is>
      </c>
      <c r="F489" s="3" t="n">
        <v>0</v>
      </c>
      <c r="G489" s="3" t="n">
        <v>13844.89</v>
      </c>
    </row>
    <row r="490">
      <c r="A490" s="3" t="inlineStr">
        <is>
          <t>Cape Projects Construction (Pty) Ltd</t>
        </is>
      </c>
      <c r="B490" s="4" t="n">
        <v>44592</v>
      </c>
      <c r="C490" s="3" t="inlineStr">
        <is>
          <t>Expenses</t>
        </is>
      </c>
      <c r="D490" s="3" t="inlineStr">
        <is>
          <t>2006/550</t>
        </is>
      </c>
      <c r="E490" s="3" t="inlineStr">
        <is>
          <t>COS - Endulini - Cleaning</t>
        </is>
      </c>
      <c r="F490" s="3" t="n">
        <v>0</v>
      </c>
      <c r="G490" s="3" t="n">
        <v>15000</v>
      </c>
    </row>
    <row r="491">
      <c r="A491" s="3" t="inlineStr">
        <is>
          <t>Cape Projects Construction (Pty) Ltd</t>
        </is>
      </c>
      <c r="B491" s="4" t="n">
        <v>44592</v>
      </c>
      <c r="C491" s="3" t="inlineStr">
        <is>
          <t>Expenses</t>
        </is>
      </c>
      <c r="D491" s="3" t="inlineStr">
        <is>
          <t>2006/600</t>
        </is>
      </c>
      <c r="E491" s="3" t="inlineStr">
        <is>
          <t>COS - Endulini - Consumables</t>
        </is>
      </c>
      <c r="F491" s="3" t="n">
        <v>0</v>
      </c>
      <c r="G491" s="3" t="n">
        <v>691.29</v>
      </c>
    </row>
    <row r="492">
      <c r="A492" s="3" t="inlineStr">
        <is>
          <t>Cape Projects Construction (Pty) Ltd</t>
        </is>
      </c>
      <c r="B492" s="4" t="n">
        <v>44592</v>
      </c>
      <c r="C492" s="3" t="inlineStr">
        <is>
          <t>Expenses</t>
        </is>
      </c>
      <c r="D492" s="3" t="inlineStr">
        <is>
          <t>2006/700</t>
        </is>
      </c>
      <c r="E492" s="3" t="inlineStr">
        <is>
          <t>COS - Endulini - Fuel</t>
        </is>
      </c>
      <c r="F492" s="3" t="n">
        <v>2724.51</v>
      </c>
      <c r="G492" s="3" t="n">
        <v>20917.72</v>
      </c>
    </row>
    <row r="493">
      <c r="A493" s="3" t="inlineStr">
        <is>
          <t>Cape Projects Construction (Pty) Ltd</t>
        </is>
      </c>
      <c r="B493" s="4" t="n">
        <v>44592</v>
      </c>
      <c r="C493" s="3" t="inlineStr">
        <is>
          <t>Expenses</t>
        </is>
      </c>
      <c r="D493" s="3" t="inlineStr">
        <is>
          <t>2006/800</t>
        </is>
      </c>
      <c r="E493" s="3" t="inlineStr">
        <is>
          <t>COS - Endulini - Telephone &amp; Internet</t>
        </is>
      </c>
      <c r="F493" s="3" t="n">
        <v>1973.85</v>
      </c>
      <c r="G493" s="3" t="n">
        <v>6337.21</v>
      </c>
    </row>
    <row r="494">
      <c r="A494" s="3" t="inlineStr">
        <is>
          <t>Cape Projects Construction (Pty) Ltd</t>
        </is>
      </c>
      <c r="B494" s="4" t="n">
        <v>44592</v>
      </c>
      <c r="C494" s="3" t="inlineStr">
        <is>
          <t>Expenses</t>
        </is>
      </c>
      <c r="D494" s="3" t="inlineStr">
        <is>
          <t>2006/900</t>
        </is>
      </c>
      <c r="E494" s="3" t="inlineStr">
        <is>
          <t>COS - Endulini - Site Labour</t>
        </is>
      </c>
      <c r="F494" s="3" t="n">
        <v>2250</v>
      </c>
      <c r="G494" s="3" t="n">
        <v>24820</v>
      </c>
    </row>
    <row r="495">
      <c r="A495" s="3" t="inlineStr">
        <is>
          <t>Cape Projects Construction (Pty) Ltd</t>
        </is>
      </c>
      <c r="B495" s="4" t="n">
        <v>44592</v>
      </c>
      <c r="C495" s="3" t="inlineStr">
        <is>
          <t>Expenses</t>
        </is>
      </c>
      <c r="D495" s="3" t="inlineStr">
        <is>
          <t>2007/000</t>
        </is>
      </c>
      <c r="E495" s="3" t="inlineStr">
        <is>
          <t>COS - Repairs &amp; Maintenance - SW Southwark</t>
        </is>
      </c>
      <c r="F495" s="3" t="n">
        <v>0</v>
      </c>
      <c r="G495" s="3" t="n">
        <v>24889.96</v>
      </c>
    </row>
    <row r="496">
      <c r="A496" s="3" t="inlineStr">
        <is>
          <t>Cape Projects Construction (Pty) Ltd</t>
        </is>
      </c>
      <c r="B496" s="4" t="n">
        <v>44592</v>
      </c>
      <c r="C496" s="3" t="inlineStr">
        <is>
          <t>Expenses</t>
        </is>
      </c>
      <c r="D496" s="3" t="inlineStr">
        <is>
          <t>2009/000</t>
        </is>
      </c>
      <c r="E496" s="3" t="inlineStr">
        <is>
          <t>COS - Repairs &amp; Maintenance - Endulini Sales Office</t>
        </is>
      </c>
      <c r="F496" s="3" t="n">
        <v>0</v>
      </c>
      <c r="G496" s="3" t="n">
        <v>2783.31</v>
      </c>
    </row>
    <row r="497">
      <c r="A497" s="3" t="inlineStr">
        <is>
          <t>Cape Projects Construction (Pty) Ltd</t>
        </is>
      </c>
      <c r="B497" s="4" t="n">
        <v>44592</v>
      </c>
      <c r="C497" s="3" t="inlineStr">
        <is>
          <t>Expenses</t>
        </is>
      </c>
      <c r="D497" s="3" t="inlineStr">
        <is>
          <t>2010/000</t>
        </is>
      </c>
      <c r="E497" s="3" t="inlineStr">
        <is>
          <t>COS - Repairs &amp; Maintenance - Heron Sales Office</t>
        </is>
      </c>
      <c r="F497" s="3" t="n">
        <v>0</v>
      </c>
      <c r="G497" s="3" t="n">
        <v>15997.39</v>
      </c>
    </row>
    <row r="498">
      <c r="A498" s="3" t="inlineStr">
        <is>
          <t>Cape Projects Construction (Pty) Ltd</t>
        </is>
      </c>
      <c r="B498" s="4" t="n">
        <v>44592</v>
      </c>
      <c r="C498" s="3" t="inlineStr">
        <is>
          <t>Expenses</t>
        </is>
      </c>
      <c r="D498" s="3" t="inlineStr">
        <is>
          <t>2011/100</t>
        </is>
      </c>
      <c r="E498" s="3" t="inlineStr">
        <is>
          <t>COS - Heron Fields - Garden Services</t>
        </is>
      </c>
      <c r="F498" s="3" t="n">
        <v>0</v>
      </c>
      <c r="G498" s="3" t="n">
        <v>450</v>
      </c>
    </row>
    <row r="499">
      <c r="A499" s="3" t="inlineStr">
        <is>
          <t>Cape Projects Construction (Pty) Ltd</t>
        </is>
      </c>
      <c r="B499" s="4" t="n">
        <v>44592</v>
      </c>
      <c r="C499" s="3" t="inlineStr">
        <is>
          <t>Expenses</t>
        </is>
      </c>
      <c r="D499" s="3" t="inlineStr">
        <is>
          <t>2011/200</t>
        </is>
      </c>
      <c r="E499" s="3" t="inlineStr">
        <is>
          <t>COS - Heron Fields - Labourers</t>
        </is>
      </c>
      <c r="F499" s="3" t="n">
        <v>2500</v>
      </c>
      <c r="G499" s="3" t="n">
        <v>3950</v>
      </c>
    </row>
    <row r="500">
      <c r="A500" s="3" t="inlineStr">
        <is>
          <t>Cape Projects Construction (Pty) Ltd</t>
        </is>
      </c>
      <c r="B500" s="4" t="n">
        <v>44592</v>
      </c>
      <c r="C500" s="3" t="inlineStr">
        <is>
          <t>Expenses</t>
        </is>
      </c>
      <c r="D500" s="3" t="inlineStr">
        <is>
          <t>2011/300</t>
        </is>
      </c>
      <c r="E500" s="3" t="inlineStr">
        <is>
          <t>COS - Heron Fields - Printing &amp; Stationary</t>
        </is>
      </c>
      <c r="F500" s="3" t="n">
        <v>869.5700000000001</v>
      </c>
      <c r="G500" s="3" t="n">
        <v>900</v>
      </c>
    </row>
    <row r="501">
      <c r="A501" s="3" t="inlineStr">
        <is>
          <t>Cape Projects Construction (Pty) Ltd</t>
        </is>
      </c>
      <c r="B501" s="4" t="n">
        <v>44592</v>
      </c>
      <c r="C501" s="3" t="inlineStr">
        <is>
          <t>Expenses</t>
        </is>
      </c>
      <c r="D501" s="3" t="inlineStr">
        <is>
          <t>2011/400</t>
        </is>
      </c>
      <c r="E501" s="3" t="inlineStr">
        <is>
          <t>COS - Heron - Sales office Staff refreshments</t>
        </is>
      </c>
      <c r="F501" s="3" t="n">
        <v>259.96</v>
      </c>
      <c r="G501" s="3" t="n">
        <v>2233.79</v>
      </c>
    </row>
    <row r="502">
      <c r="A502" s="3" t="inlineStr">
        <is>
          <t>Cape Projects Construction (Pty) Ltd</t>
        </is>
      </c>
      <c r="B502" s="4" t="n">
        <v>44592</v>
      </c>
      <c r="C502" s="3" t="inlineStr">
        <is>
          <t>Expenses</t>
        </is>
      </c>
      <c r="D502" s="3" t="inlineStr">
        <is>
          <t>2011/500</t>
        </is>
      </c>
      <c r="E502" s="3" t="inlineStr">
        <is>
          <t>COS - Heron Fields - Construction</t>
        </is>
      </c>
      <c r="F502" s="3" t="n">
        <v>29451.51</v>
      </c>
      <c r="G502" s="3" t="n">
        <v>29451.51</v>
      </c>
    </row>
    <row r="503">
      <c r="A503" s="3" t="inlineStr">
        <is>
          <t>Cape Projects Construction (Pty) Ltd</t>
        </is>
      </c>
      <c r="B503" s="4" t="n">
        <v>44592</v>
      </c>
      <c r="C503" s="3" t="inlineStr">
        <is>
          <t>Expenses</t>
        </is>
      </c>
      <c r="D503" s="3" t="inlineStr">
        <is>
          <t>2011/600</t>
        </is>
      </c>
      <c r="E503" s="3" t="inlineStr">
        <is>
          <t>COS - Heron Fields - P &amp; G</t>
        </is>
      </c>
      <c r="F503" s="3" t="n">
        <v>24818.27</v>
      </c>
      <c r="G503" s="3" t="n">
        <v>24818.27</v>
      </c>
    </row>
    <row r="504">
      <c r="A504" s="3" t="inlineStr">
        <is>
          <t>Cape Projects Construction (Pty) Ltd</t>
        </is>
      </c>
      <c r="B504" s="4" t="n">
        <v>44592</v>
      </c>
      <c r="C504" s="3" t="inlineStr">
        <is>
          <t>Expenses</t>
        </is>
      </c>
      <c r="D504" s="3" t="inlineStr">
        <is>
          <t>2011/700</t>
        </is>
      </c>
      <c r="E504" s="3" t="inlineStr">
        <is>
          <t>COS - Heron Fields - Health &amp; Safety</t>
        </is>
      </c>
      <c r="F504" s="3" t="n">
        <v>3185.16</v>
      </c>
      <c r="G504" s="3" t="n">
        <v>3185.16</v>
      </c>
    </row>
    <row r="505">
      <c r="A505" s="3" t="inlineStr">
        <is>
          <t>Cape Projects Construction (Pty) Ltd</t>
        </is>
      </c>
      <c r="B505" s="4" t="n">
        <v>44592</v>
      </c>
      <c r="C505" s="3" t="inlineStr">
        <is>
          <t>Revenue</t>
        </is>
      </c>
      <c r="D505" s="3" t="inlineStr">
        <is>
          <t>2700/000</t>
        </is>
      </c>
      <c r="E505" s="3" t="inlineStr">
        <is>
          <t>Discount Received for Cash</t>
        </is>
      </c>
      <c r="F505" s="3" t="n">
        <v>0</v>
      </c>
      <c r="G505" s="3" t="n">
        <v>4.36</v>
      </c>
    </row>
    <row r="506">
      <c r="A506" s="3" t="inlineStr">
        <is>
          <t>Cape Projects Construction (Pty) Ltd</t>
        </is>
      </c>
      <c r="B506" s="4" t="n">
        <v>44592</v>
      </c>
      <c r="C506" s="3" t="inlineStr">
        <is>
          <t>Expenses</t>
        </is>
      </c>
      <c r="D506" s="3" t="inlineStr">
        <is>
          <t>2700/100</t>
        </is>
      </c>
      <c r="E506" s="3" t="inlineStr">
        <is>
          <t>COS - Southwark - Printing</t>
        </is>
      </c>
      <c r="F506" s="3" t="n">
        <v>0</v>
      </c>
      <c r="G506" s="3" t="n">
        <v>83.48</v>
      </c>
    </row>
    <row r="507">
      <c r="A507" s="3" t="inlineStr">
        <is>
          <t>Cape Projects Construction (Pty) Ltd</t>
        </is>
      </c>
      <c r="B507" s="4" t="n">
        <v>44592</v>
      </c>
      <c r="C507" s="3" t="inlineStr">
        <is>
          <t>Revenue</t>
        </is>
      </c>
      <c r="D507" s="3" t="inlineStr">
        <is>
          <t>2751/001</t>
        </is>
      </c>
      <c r="E507" s="3" t="inlineStr">
        <is>
          <t>Interest received - Momentum</t>
        </is>
      </c>
      <c r="F507" s="3" t="n">
        <v>-1.98</v>
      </c>
      <c r="G507" s="3" t="n">
        <v>-7.84</v>
      </c>
    </row>
    <row r="508">
      <c r="A508" s="3" t="inlineStr">
        <is>
          <t>Heron Fields (Pty) Ltd</t>
        </is>
      </c>
      <c r="B508" s="4" t="n">
        <v>44592</v>
      </c>
      <c r="C508" s="3" t="inlineStr">
        <is>
          <t>Revenue</t>
        </is>
      </c>
      <c r="D508" s="3" t="inlineStr">
        <is>
          <t>2753/001</t>
        </is>
      </c>
      <c r="E508" s="3" t="inlineStr">
        <is>
          <t>Interest Received - Deposit Grey Heron</t>
        </is>
      </c>
      <c r="F508" s="3" t="n">
        <v>0</v>
      </c>
      <c r="G508" s="3" t="n">
        <v>-1245</v>
      </c>
    </row>
    <row r="509">
      <c r="A509" s="3" t="inlineStr">
        <is>
          <t>Heron Fields (Pty) Ltd</t>
        </is>
      </c>
      <c r="B509" s="4" t="n">
        <v>44592</v>
      </c>
      <c r="C509" s="3" t="inlineStr">
        <is>
          <t>Revenue</t>
        </is>
      </c>
      <c r="D509" s="3" t="inlineStr">
        <is>
          <t>2754/001</t>
        </is>
      </c>
      <c r="E509" s="3" t="inlineStr">
        <is>
          <t>Interest Received - STBB Trust Account</t>
        </is>
      </c>
      <c r="F509" s="3" t="n">
        <v>0</v>
      </c>
      <c r="G509" s="3" t="n">
        <v>-149149.4</v>
      </c>
    </row>
    <row r="510">
      <c r="A510" s="3" t="inlineStr">
        <is>
          <t>Heron Fields (Pty) Ltd</t>
        </is>
      </c>
      <c r="B510" s="4" t="n">
        <v>44592</v>
      </c>
      <c r="C510" s="3" t="inlineStr">
        <is>
          <t>Revenue</t>
        </is>
      </c>
      <c r="D510" s="3" t="inlineStr">
        <is>
          <t>2755/001</t>
        </is>
      </c>
      <c r="E510" s="3" t="inlineStr">
        <is>
          <t>Interest Received - Momentum</t>
        </is>
      </c>
      <c r="F510" s="3" t="n">
        <v>-25737.44</v>
      </c>
      <c r="G510" s="3" t="n">
        <v>-141062.83</v>
      </c>
    </row>
    <row r="511">
      <c r="A511" s="3" t="inlineStr">
        <is>
          <t>Heron Fields (Pty) Ltd</t>
        </is>
      </c>
      <c r="B511" s="4" t="n">
        <v>44592</v>
      </c>
      <c r="C511" s="3" t="inlineStr">
        <is>
          <t>Expenses</t>
        </is>
      </c>
      <c r="D511" s="3" t="inlineStr">
        <is>
          <t>3000/100</t>
        </is>
      </c>
      <c r="E511" s="3" t="inlineStr">
        <is>
          <t>Accounting - CIPC</t>
        </is>
      </c>
      <c r="F511" s="3" t="n">
        <v>0</v>
      </c>
      <c r="G511" s="3" t="n">
        <v>100</v>
      </c>
    </row>
    <row r="512">
      <c r="A512" s="3" t="inlineStr">
        <is>
          <t>Cape Projects Construction (Pty) Ltd</t>
        </is>
      </c>
      <c r="B512" s="4" t="n">
        <v>44592</v>
      </c>
      <c r="C512" s="3" t="inlineStr">
        <is>
          <t>Expenses</t>
        </is>
      </c>
      <c r="D512" s="3" t="inlineStr">
        <is>
          <t>3001/000</t>
        </is>
      </c>
      <c r="E512" s="3" t="inlineStr">
        <is>
          <t>Accounting Fees - Other</t>
        </is>
      </c>
      <c r="F512" s="3" t="n">
        <v>0</v>
      </c>
      <c r="G512" s="3" t="n">
        <v>2215</v>
      </c>
    </row>
    <row r="513">
      <c r="A513" s="3" t="inlineStr">
        <is>
          <t>Cape Projects Construction (Pty) Ltd</t>
        </is>
      </c>
      <c r="B513" s="4" t="n">
        <v>44592</v>
      </c>
      <c r="C513" s="3" t="inlineStr">
        <is>
          <t>Expenses</t>
        </is>
      </c>
      <c r="D513" s="3" t="inlineStr">
        <is>
          <t>3002/000</t>
        </is>
      </c>
      <c r="E513" s="3" t="inlineStr">
        <is>
          <t>Accounting Fees - Audit</t>
        </is>
      </c>
      <c r="F513" s="3" t="n">
        <v>0</v>
      </c>
      <c r="G513" s="3" t="n">
        <v>4125</v>
      </c>
    </row>
    <row r="514">
      <c r="A514" s="3" t="inlineStr">
        <is>
          <t>Cape Projects Construction (Pty) Ltd</t>
        </is>
      </c>
      <c r="B514" s="4" t="n">
        <v>44592</v>
      </c>
      <c r="C514" s="3" t="inlineStr">
        <is>
          <t>Expenses</t>
        </is>
      </c>
      <c r="D514" s="3" t="inlineStr">
        <is>
          <t>3002/010</t>
        </is>
      </c>
      <c r="E514" s="3" t="inlineStr">
        <is>
          <t>Accounting Fee - PayrollWorx</t>
        </is>
      </c>
      <c r="F514" s="3" t="n">
        <v>0</v>
      </c>
      <c r="G514" s="3" t="n">
        <v>5575</v>
      </c>
    </row>
    <row r="515">
      <c r="A515" s="3" t="inlineStr">
        <is>
          <t>Cape Projects Construction (Pty) Ltd</t>
        </is>
      </c>
      <c r="B515" s="4" t="n">
        <v>44592</v>
      </c>
      <c r="C515" s="3" t="inlineStr">
        <is>
          <t>Expenses</t>
        </is>
      </c>
      <c r="D515" s="3" t="inlineStr">
        <is>
          <t>3004</t>
        </is>
      </c>
      <c r="E515" s="3" t="inlineStr">
        <is>
          <t>Accounting - Warwick</t>
        </is>
      </c>
      <c r="F515" s="3" t="n">
        <v>0</v>
      </c>
      <c r="G515" s="3" t="n">
        <v>107300</v>
      </c>
    </row>
    <row r="516">
      <c r="A516" s="3" t="inlineStr">
        <is>
          <t>Cape Projects Construction (Pty) Ltd</t>
        </is>
      </c>
      <c r="B516" s="4" t="n">
        <v>44592</v>
      </c>
      <c r="C516" s="3" t="inlineStr">
        <is>
          <t>Expenses</t>
        </is>
      </c>
      <c r="D516" s="3" t="inlineStr">
        <is>
          <t>3004/000</t>
        </is>
      </c>
      <c r="E516" s="3" t="inlineStr">
        <is>
          <t>Accounting Fees - Tax Dept.</t>
        </is>
      </c>
      <c r="F516" s="3" t="n">
        <v>0</v>
      </c>
      <c r="G516" s="3" t="n">
        <v>1847.5</v>
      </c>
    </row>
    <row r="517">
      <c r="A517" s="3" t="inlineStr">
        <is>
          <t>Cape Projects Construction (Pty) Ltd</t>
        </is>
      </c>
      <c r="B517" s="4" t="n">
        <v>44592</v>
      </c>
      <c r="C517" s="3" t="inlineStr">
        <is>
          <t>Expenses</t>
        </is>
      </c>
      <c r="D517" s="3" t="inlineStr">
        <is>
          <t>3005/000</t>
        </is>
      </c>
      <c r="E517" s="3" t="inlineStr">
        <is>
          <t>Accounting - Janine Theart</t>
        </is>
      </c>
      <c r="F517" s="3" t="n">
        <v>0</v>
      </c>
      <c r="G517" s="3" t="n">
        <v>51000</v>
      </c>
    </row>
    <row r="518">
      <c r="A518" s="3" t="inlineStr">
        <is>
          <t>Cape Projects Construction (Pty) Ltd</t>
        </is>
      </c>
      <c r="B518" s="4" t="n">
        <v>44592</v>
      </c>
      <c r="C518" s="3" t="inlineStr">
        <is>
          <t>Expenses</t>
        </is>
      </c>
      <c r="D518" s="3" t="inlineStr">
        <is>
          <t>3006</t>
        </is>
      </c>
      <c r="E518" s="3" t="inlineStr">
        <is>
          <t>Accounting - Deric Dudley</t>
        </is>
      </c>
      <c r="F518" s="3" t="n">
        <v>0</v>
      </c>
      <c r="G518" s="3" t="n">
        <v>190600</v>
      </c>
    </row>
    <row r="519">
      <c r="A519" s="3" t="inlineStr">
        <is>
          <t>Cape Projects Construction (Pty) Ltd</t>
        </is>
      </c>
      <c r="B519" s="4" t="n">
        <v>44592</v>
      </c>
      <c r="C519" s="3" t="inlineStr">
        <is>
          <t>Expenses</t>
        </is>
      </c>
      <c r="D519" s="3" t="inlineStr">
        <is>
          <t>3020/100</t>
        </is>
      </c>
      <c r="E519" s="3" t="inlineStr">
        <is>
          <t>Admin - Subcontractors</t>
        </is>
      </c>
      <c r="F519" s="3" t="n">
        <v>1650</v>
      </c>
      <c r="G519" s="3" t="n">
        <v>5152.5</v>
      </c>
    </row>
    <row r="520">
      <c r="A520" s="3" t="inlineStr">
        <is>
          <t>Cape Projects Construction (Pty) Ltd</t>
        </is>
      </c>
      <c r="B520" s="4" t="n">
        <v>44592</v>
      </c>
      <c r="C520" s="3" t="inlineStr">
        <is>
          <t>Expenses</t>
        </is>
      </c>
      <c r="D520" s="3" t="inlineStr">
        <is>
          <t>3050/000</t>
        </is>
      </c>
      <c r="E520" s="3" t="inlineStr">
        <is>
          <t>Advertising _AND_ Promotions</t>
        </is>
      </c>
      <c r="F520" s="3" t="n">
        <v>0</v>
      </c>
      <c r="G520" s="3" t="n">
        <v>13699</v>
      </c>
    </row>
    <row r="521">
      <c r="A521" s="3" t="inlineStr">
        <is>
          <t>Heron Fields (Pty) Ltd</t>
        </is>
      </c>
      <c r="B521" s="4" t="n">
        <v>44592</v>
      </c>
      <c r="C521" s="3" t="inlineStr">
        <is>
          <t>Expenses</t>
        </is>
      </c>
      <c r="D521" s="3" t="inlineStr">
        <is>
          <t>3050/000</t>
        </is>
      </c>
      <c r="E521" s="3" t="inlineStr">
        <is>
          <t>Advertising _AND_ Promotions</t>
        </is>
      </c>
      <c r="F521" s="3" t="n">
        <v>0</v>
      </c>
      <c r="G521" s="3" t="n">
        <v>63370.02</v>
      </c>
    </row>
    <row r="522">
      <c r="A522" s="3" t="inlineStr">
        <is>
          <t>Heron Fields (Pty) Ltd</t>
        </is>
      </c>
      <c r="B522" s="4" t="n">
        <v>44592</v>
      </c>
      <c r="C522" s="3" t="inlineStr">
        <is>
          <t>Expenses</t>
        </is>
      </c>
      <c r="D522" s="3" t="inlineStr">
        <is>
          <t>3050/100</t>
        </is>
      </c>
      <c r="E522" s="3" t="inlineStr">
        <is>
          <t>Advertising - Property24</t>
        </is>
      </c>
      <c r="F522" s="3" t="n">
        <v>10800</v>
      </c>
      <c r="G522" s="3" t="n">
        <v>54000</v>
      </c>
    </row>
    <row r="523">
      <c r="A523" s="3" t="inlineStr">
        <is>
          <t>Cape Projects Construction (Pty) Ltd</t>
        </is>
      </c>
      <c r="B523" s="4" t="n">
        <v>44592</v>
      </c>
      <c r="C523" s="3" t="inlineStr">
        <is>
          <t>Expenses</t>
        </is>
      </c>
      <c r="D523" s="3" t="inlineStr">
        <is>
          <t>3050/450</t>
        </is>
      </c>
      <c r="E523" s="3" t="inlineStr">
        <is>
          <t>Advertising - Other</t>
        </is>
      </c>
      <c r="F523" s="3" t="n">
        <v>0</v>
      </c>
      <c r="G523" s="3" t="n">
        <v>4597</v>
      </c>
    </row>
    <row r="524">
      <c r="A524" s="3" t="inlineStr">
        <is>
          <t>Cape Projects Construction (Pty) Ltd</t>
        </is>
      </c>
      <c r="B524" s="4" t="n">
        <v>44592</v>
      </c>
      <c r="C524" s="3" t="inlineStr">
        <is>
          <t>Expenses</t>
        </is>
      </c>
      <c r="D524" s="3" t="inlineStr">
        <is>
          <t>3200/000</t>
        </is>
      </c>
      <c r="E524" s="3" t="inlineStr">
        <is>
          <t>Bank Charges</t>
        </is>
      </c>
      <c r="F524" s="3" t="n">
        <v>1930.81</v>
      </c>
      <c r="G524" s="3" t="n">
        <v>11088.42</v>
      </c>
    </row>
    <row r="525">
      <c r="A525" s="3" t="inlineStr">
        <is>
          <t>Heron Fields (Pty) Ltd</t>
        </is>
      </c>
      <c r="B525" s="4" t="n">
        <v>44592</v>
      </c>
      <c r="C525" s="3" t="inlineStr">
        <is>
          <t>Expenses</t>
        </is>
      </c>
      <c r="D525" s="3" t="inlineStr">
        <is>
          <t>3200/000</t>
        </is>
      </c>
      <c r="E525" s="3" t="inlineStr">
        <is>
          <t>Bank Charges</t>
        </is>
      </c>
      <c r="F525" s="3" t="n">
        <v>540.89</v>
      </c>
      <c r="G525" s="3" t="n">
        <v>3788.38</v>
      </c>
    </row>
    <row r="526">
      <c r="A526" s="3" t="inlineStr">
        <is>
          <t>Cape Projects Construction (Pty) Ltd</t>
        </is>
      </c>
      <c r="B526" s="4" t="n">
        <v>44592</v>
      </c>
      <c r="C526" s="3" t="inlineStr">
        <is>
          <t>Expenses</t>
        </is>
      </c>
      <c r="D526" s="3" t="inlineStr">
        <is>
          <t>3250/000</t>
        </is>
      </c>
      <c r="E526" s="3" t="inlineStr">
        <is>
          <t>Cleaning</t>
        </is>
      </c>
      <c r="F526" s="3" t="n">
        <v>1014.27</v>
      </c>
      <c r="G526" s="3" t="n">
        <v>8682.17</v>
      </c>
    </row>
    <row r="527">
      <c r="A527" s="3" t="inlineStr">
        <is>
          <t>Cape Projects Construction (Pty) Ltd</t>
        </is>
      </c>
      <c r="B527" s="4" t="n">
        <v>44592</v>
      </c>
      <c r="C527" s="3" t="inlineStr">
        <is>
          <t>Expenses</t>
        </is>
      </c>
      <c r="D527" s="3" t="inlineStr">
        <is>
          <t>3256/000</t>
        </is>
      </c>
      <c r="E527" s="3" t="inlineStr">
        <is>
          <t>Cell Phone - Nick Morgan</t>
        </is>
      </c>
      <c r="F527" s="3" t="n">
        <v>640.09</v>
      </c>
      <c r="G527" s="3" t="n">
        <v>6248.04</v>
      </c>
    </row>
    <row r="528">
      <c r="A528" s="3" t="inlineStr">
        <is>
          <t>Cape Projects Construction (Pty) Ltd</t>
        </is>
      </c>
      <c r="B528" s="4" t="n">
        <v>44592</v>
      </c>
      <c r="C528" s="3" t="inlineStr">
        <is>
          <t>Expenses</t>
        </is>
      </c>
      <c r="D528" s="3" t="inlineStr">
        <is>
          <t>3300/000</t>
        </is>
      </c>
      <c r="E528" s="3" t="inlineStr">
        <is>
          <t>Computer Expenses</t>
        </is>
      </c>
      <c r="F528" s="3" t="n">
        <v>3236.76</v>
      </c>
      <c r="G528" s="3" t="n">
        <v>10604.45</v>
      </c>
    </row>
    <row r="529">
      <c r="A529" s="3" t="inlineStr">
        <is>
          <t>Heron Fields (Pty) Ltd</t>
        </is>
      </c>
      <c r="B529" s="4" t="n">
        <v>44592</v>
      </c>
      <c r="C529" s="3" t="inlineStr">
        <is>
          <t>Expenses</t>
        </is>
      </c>
      <c r="D529" s="3" t="inlineStr">
        <is>
          <t>3301/000</t>
        </is>
      </c>
      <c r="E529" s="3" t="inlineStr">
        <is>
          <t>Computer Expenses - Xero</t>
        </is>
      </c>
      <c r="F529" s="3" t="n">
        <v>0</v>
      </c>
      <c r="G529" s="3" t="n">
        <v>3000</v>
      </c>
    </row>
    <row r="530">
      <c r="A530" s="3" t="inlineStr">
        <is>
          <t>Cape Projects Construction (Pty) Ltd</t>
        </is>
      </c>
      <c r="B530" s="4" t="n">
        <v>44592</v>
      </c>
      <c r="C530" s="3" t="inlineStr">
        <is>
          <t>Expenses</t>
        </is>
      </c>
      <c r="D530" s="3" t="inlineStr">
        <is>
          <t>3350/000</t>
        </is>
      </c>
      <c r="E530" s="3" t="inlineStr">
        <is>
          <t>Consulting Fees</t>
        </is>
      </c>
      <c r="F530" s="3" t="n">
        <v>0</v>
      </c>
      <c r="G530" s="3" t="n">
        <v>2250</v>
      </c>
    </row>
    <row r="531">
      <c r="A531" s="3" t="inlineStr">
        <is>
          <t>Heron Fields (Pty) Ltd</t>
        </is>
      </c>
      <c r="B531" s="4" t="n">
        <v>44592</v>
      </c>
      <c r="C531" s="3" t="inlineStr">
        <is>
          <t>Expenses</t>
        </is>
      </c>
      <c r="D531" s="3" t="inlineStr">
        <is>
          <t>3350/100</t>
        </is>
      </c>
      <c r="E531" s="3" t="inlineStr">
        <is>
          <t>Consulting Fees - Admin and Finance</t>
        </is>
      </c>
      <c r="F531" s="3" t="n">
        <v>70984.92</v>
      </c>
      <c r="G531" s="3" t="n">
        <v>361898.75</v>
      </c>
    </row>
    <row r="532">
      <c r="A532" s="3" t="inlineStr">
        <is>
          <t>Cape Projects Construction (Pty) Ltd</t>
        </is>
      </c>
      <c r="B532" s="4" t="n">
        <v>44592</v>
      </c>
      <c r="C532" s="3" t="inlineStr">
        <is>
          <t>Expenses</t>
        </is>
      </c>
      <c r="D532" s="3" t="inlineStr">
        <is>
          <t>3350/100</t>
        </is>
      </c>
      <c r="E532" s="3" t="inlineStr">
        <is>
          <t>Consulting fees - Herbert du Plessis</t>
        </is>
      </c>
      <c r="F532" s="3" t="n">
        <v>36000</v>
      </c>
      <c r="G532" s="3" t="n">
        <v>356000</v>
      </c>
    </row>
    <row r="533">
      <c r="A533" s="3" t="inlineStr">
        <is>
          <t>Cape Projects Construction (Pty) Ltd</t>
        </is>
      </c>
      <c r="B533" s="4" t="n">
        <v>44592</v>
      </c>
      <c r="C533" s="3" t="inlineStr">
        <is>
          <t>Expenses</t>
        </is>
      </c>
      <c r="D533" s="3" t="inlineStr">
        <is>
          <t>3350/200</t>
        </is>
      </c>
      <c r="E533" s="3" t="inlineStr">
        <is>
          <t>Consulting fees - Quabeka</t>
        </is>
      </c>
      <c r="F533" s="3" t="n">
        <v>0</v>
      </c>
      <c r="G533" s="3" t="n">
        <v>42899.25</v>
      </c>
    </row>
    <row r="534">
      <c r="A534" s="3" t="inlineStr">
        <is>
          <t>Cape Projects Construction (Pty) Ltd</t>
        </is>
      </c>
      <c r="B534" s="4" t="n">
        <v>44592</v>
      </c>
      <c r="C534" s="3" t="inlineStr">
        <is>
          <t>Expenses</t>
        </is>
      </c>
      <c r="D534" s="3" t="inlineStr">
        <is>
          <t>3350/300</t>
        </is>
      </c>
      <c r="E534" s="3" t="inlineStr">
        <is>
          <t>Consulting Fees - Admin and Finance</t>
        </is>
      </c>
      <c r="F534" s="3" t="n">
        <v>95508.23</v>
      </c>
      <c r="G534" s="3" t="n">
        <v>437494.54</v>
      </c>
    </row>
    <row r="535">
      <c r="A535" s="3" t="inlineStr">
        <is>
          <t>Heron Fields (Pty) Ltd</t>
        </is>
      </c>
      <c r="B535" s="4" t="n">
        <v>44592</v>
      </c>
      <c r="C535" s="3" t="inlineStr">
        <is>
          <t>Expenses</t>
        </is>
      </c>
      <c r="D535" s="3" t="inlineStr">
        <is>
          <t>3351/000</t>
        </is>
      </c>
      <c r="E535" s="3" t="inlineStr">
        <is>
          <t>Consulting fees - Trustee</t>
        </is>
      </c>
      <c r="F535" s="3" t="n">
        <v>0</v>
      </c>
      <c r="G535" s="3" t="n">
        <v>30692.49</v>
      </c>
    </row>
    <row r="536">
      <c r="A536" s="3" t="inlineStr">
        <is>
          <t>Cape Projects Construction (Pty) Ltd</t>
        </is>
      </c>
      <c r="B536" s="4" t="n">
        <v>44592</v>
      </c>
      <c r="C536" s="3" t="inlineStr">
        <is>
          <t>Expenses</t>
        </is>
      </c>
      <c r="D536" s="3" t="inlineStr">
        <is>
          <t>3400/000</t>
        </is>
      </c>
      <c r="E536" s="3" t="inlineStr">
        <is>
          <t>Courier _AND_ Postage</t>
        </is>
      </c>
      <c r="F536" s="3" t="n">
        <v>0</v>
      </c>
      <c r="G536" s="3" t="n">
        <v>165.83</v>
      </c>
    </row>
    <row r="537">
      <c r="A537" s="3" t="inlineStr">
        <is>
          <t>Cape Projects Construction (Pty) Ltd</t>
        </is>
      </c>
      <c r="B537" s="4" t="n">
        <v>44592</v>
      </c>
      <c r="C537" s="3" t="inlineStr">
        <is>
          <t>Expenses</t>
        </is>
      </c>
      <c r="D537" s="3" t="inlineStr">
        <is>
          <t>3450/001</t>
        </is>
      </c>
      <c r="E537" s="3" t="inlineStr">
        <is>
          <t>Depreciation - Computer Equipment</t>
        </is>
      </c>
      <c r="F537" s="3" t="n">
        <v>1092.24</v>
      </c>
      <c r="G537" s="3" t="n">
        <v>4344.79</v>
      </c>
    </row>
    <row r="538">
      <c r="A538" s="3" t="inlineStr">
        <is>
          <t>Cape Projects Construction (Pty) Ltd</t>
        </is>
      </c>
      <c r="B538" s="4" t="n">
        <v>44592</v>
      </c>
      <c r="C538" s="3" t="inlineStr">
        <is>
          <t>Expenses</t>
        </is>
      </c>
      <c r="D538" s="3" t="inlineStr">
        <is>
          <t>3450/002</t>
        </is>
      </c>
      <c r="E538" s="3" t="inlineStr">
        <is>
          <t>Depreciation - Generator Fixed Asset</t>
        </is>
      </c>
      <c r="F538" s="3" t="n">
        <v>193.33</v>
      </c>
      <c r="G538" s="3" t="n">
        <v>773.33</v>
      </c>
    </row>
    <row r="539">
      <c r="A539" s="3" t="inlineStr">
        <is>
          <t>Heron Fields (Pty) Ltd</t>
        </is>
      </c>
      <c r="B539" s="4" t="n">
        <v>44592</v>
      </c>
      <c r="C539" s="3" t="inlineStr">
        <is>
          <t>Expenses</t>
        </is>
      </c>
      <c r="D539" s="3" t="inlineStr">
        <is>
          <t>3650/000</t>
        </is>
      </c>
      <c r="E539" s="3" t="inlineStr">
        <is>
          <t>CoCT - Electricity</t>
        </is>
      </c>
      <c r="F539" s="3" t="n">
        <v>2401.53</v>
      </c>
      <c r="G539" s="3" t="n">
        <v>18039.55</v>
      </c>
    </row>
    <row r="540">
      <c r="A540" s="3" t="inlineStr">
        <is>
          <t>Cape Projects Construction (Pty) Ltd</t>
        </is>
      </c>
      <c r="B540" s="4" t="n">
        <v>44592</v>
      </c>
      <c r="C540" s="3" t="inlineStr">
        <is>
          <t>Expenses</t>
        </is>
      </c>
      <c r="D540" s="3" t="inlineStr">
        <is>
          <t>3650/000</t>
        </is>
      </c>
      <c r="E540" s="3" t="inlineStr">
        <is>
          <t>Electricity _AND_ Water</t>
        </is>
      </c>
      <c r="F540" s="3" t="n">
        <v>6038.3</v>
      </c>
      <c r="G540" s="3" t="n">
        <v>32146.61</v>
      </c>
    </row>
    <row r="541">
      <c r="A541" s="3" t="inlineStr">
        <is>
          <t>Heron Fields (Pty) Ltd</t>
        </is>
      </c>
      <c r="B541" s="4" t="n">
        <v>44592</v>
      </c>
      <c r="C541" s="3" t="inlineStr">
        <is>
          <t>Expenses</t>
        </is>
      </c>
      <c r="D541" s="3" t="inlineStr">
        <is>
          <t>3660/000</t>
        </is>
      </c>
      <c r="E541" s="3" t="inlineStr">
        <is>
          <t>CoCT - Water</t>
        </is>
      </c>
      <c r="F541" s="3" t="n">
        <v>856.37</v>
      </c>
      <c r="G541" s="3" t="n">
        <v>3097.65</v>
      </c>
    </row>
    <row r="542">
      <c r="A542" s="3" t="inlineStr">
        <is>
          <t>Cape Projects Construction (Pty) Ltd</t>
        </is>
      </c>
      <c r="B542" s="4" t="n">
        <v>44592</v>
      </c>
      <c r="C542" s="3" t="inlineStr">
        <is>
          <t>Expenses</t>
        </is>
      </c>
      <c r="D542" s="3" t="inlineStr">
        <is>
          <t>3700/000</t>
        </is>
      </c>
      <c r="E542" s="3" t="inlineStr">
        <is>
          <t>Entertainment Expenses</t>
        </is>
      </c>
      <c r="F542" s="3" t="n">
        <v>923.33</v>
      </c>
      <c r="G542" s="3" t="n">
        <v>10183.68</v>
      </c>
    </row>
    <row r="543">
      <c r="A543" s="3" t="inlineStr">
        <is>
          <t>Heron Fields (Pty) Ltd</t>
        </is>
      </c>
      <c r="B543" s="4" t="n">
        <v>44592</v>
      </c>
      <c r="C543" s="3" t="inlineStr">
        <is>
          <t>Expenses</t>
        </is>
      </c>
      <c r="D543" s="3" t="inlineStr">
        <is>
          <t>3700/000</t>
        </is>
      </c>
      <c r="E543" s="3" t="inlineStr">
        <is>
          <t>Entertainment Expenses</t>
        </is>
      </c>
      <c r="F543" s="3" t="n">
        <v>0</v>
      </c>
      <c r="G543" s="3" t="n">
        <v>250</v>
      </c>
    </row>
    <row r="544">
      <c r="A544" s="3" t="inlineStr">
        <is>
          <t>Cape Projects Construction (Pty) Ltd</t>
        </is>
      </c>
      <c r="B544" s="4" t="n">
        <v>44592</v>
      </c>
      <c r="C544" s="3" t="inlineStr">
        <is>
          <t>Expenses</t>
        </is>
      </c>
      <c r="D544" s="3" t="inlineStr">
        <is>
          <t>3840/001</t>
        </is>
      </c>
      <c r="E544" s="3" t="inlineStr">
        <is>
          <t>Health _AND_ Safety - Labour Department</t>
        </is>
      </c>
      <c r="F544" s="3" t="n">
        <v>0</v>
      </c>
      <c r="G544" s="3" t="n">
        <v>4742.88</v>
      </c>
    </row>
    <row r="545">
      <c r="A545" s="3" t="inlineStr">
        <is>
          <t>Cape Projects Construction (Pty) Ltd</t>
        </is>
      </c>
      <c r="B545" s="4" t="n">
        <v>44592</v>
      </c>
      <c r="C545" s="3" t="inlineStr">
        <is>
          <t>Expenses</t>
        </is>
      </c>
      <c r="D545" s="3" t="inlineStr">
        <is>
          <t>3850/001</t>
        </is>
      </c>
      <c r="E545" s="3" t="inlineStr">
        <is>
          <t>Insurance - Santam</t>
        </is>
      </c>
      <c r="F545" s="3" t="n">
        <v>0</v>
      </c>
      <c r="G545" s="3" t="n">
        <v>11136.62</v>
      </c>
    </row>
    <row r="546">
      <c r="A546" s="3" t="inlineStr">
        <is>
          <t>Cape Projects Construction (Pty) Ltd</t>
        </is>
      </c>
      <c r="B546" s="4" t="n">
        <v>44592</v>
      </c>
      <c r="C546" s="3" t="inlineStr">
        <is>
          <t>Expenses</t>
        </is>
      </c>
      <c r="D546" s="3" t="inlineStr">
        <is>
          <t>3850/002</t>
        </is>
      </c>
      <c r="E546" s="3" t="inlineStr">
        <is>
          <t>Insurance - RBS</t>
        </is>
      </c>
      <c r="F546" s="3" t="n">
        <v>642.89</v>
      </c>
      <c r="G546" s="3" t="n">
        <v>2923.58</v>
      </c>
    </row>
    <row r="547">
      <c r="A547" s="3" t="inlineStr">
        <is>
          <t>Heron Fields (Pty) Ltd</t>
        </is>
      </c>
      <c r="B547" s="4" t="n">
        <v>44592</v>
      </c>
      <c r="C547" s="3" t="inlineStr">
        <is>
          <t>Expenses</t>
        </is>
      </c>
      <c r="D547" s="3" t="inlineStr">
        <is>
          <t>3900/000</t>
        </is>
      </c>
      <c r="E547" s="3" t="inlineStr">
        <is>
          <t>Interest Paid</t>
        </is>
      </c>
      <c r="F547" s="3" t="n">
        <v>35.37</v>
      </c>
      <c r="G547" s="3" t="n">
        <v>35.37</v>
      </c>
    </row>
    <row r="548">
      <c r="A548" s="3" t="inlineStr">
        <is>
          <t>Heron Fields (Pty) Ltd</t>
        </is>
      </c>
      <c r="B548" s="4" t="n">
        <v>44592</v>
      </c>
      <c r="C548" s="3" t="inlineStr">
        <is>
          <t>Expenses</t>
        </is>
      </c>
      <c r="D548" s="3" t="inlineStr">
        <is>
          <t>4100/001</t>
        </is>
      </c>
      <c r="E548" s="3" t="inlineStr">
        <is>
          <t>Momentum Admin Fee</t>
        </is>
      </c>
      <c r="F548" s="3" t="n">
        <v>2971.42</v>
      </c>
      <c r="G548" s="3" t="n">
        <v>86632.66</v>
      </c>
    </row>
    <row r="549">
      <c r="A549" s="3" t="inlineStr">
        <is>
          <t>Cape Projects Construction (Pty) Ltd</t>
        </is>
      </c>
      <c r="B549" s="4" t="n">
        <v>44592</v>
      </c>
      <c r="C549" s="3" t="inlineStr">
        <is>
          <t>Expenses</t>
        </is>
      </c>
      <c r="D549" s="3" t="inlineStr">
        <is>
          <t>4150/010</t>
        </is>
      </c>
      <c r="E549" s="3" t="inlineStr">
        <is>
          <t>Motor Vehicle - Petrol _AND_ Oil</t>
        </is>
      </c>
      <c r="F549" s="3" t="n">
        <v>0</v>
      </c>
      <c r="G549" s="3" t="n">
        <v>500</v>
      </c>
    </row>
    <row r="550">
      <c r="A550" s="3" t="inlineStr">
        <is>
          <t>Cape Projects Construction (Pty) Ltd</t>
        </is>
      </c>
      <c r="B550" s="4" t="n">
        <v>44592</v>
      </c>
      <c r="C550" s="3" t="inlineStr">
        <is>
          <t>Expenses</t>
        </is>
      </c>
      <c r="D550" s="3" t="inlineStr">
        <is>
          <t>4150/020</t>
        </is>
      </c>
      <c r="E550" s="3" t="inlineStr">
        <is>
          <t>Motor Vehicle - Repairs _AND_ Maint.</t>
        </is>
      </c>
      <c r="F550" s="3" t="n">
        <v>0</v>
      </c>
      <c r="G550" s="3" t="n">
        <v>1000</v>
      </c>
    </row>
    <row r="551">
      <c r="A551" s="3" t="inlineStr">
        <is>
          <t>Cape Projects Construction (Pty) Ltd</t>
        </is>
      </c>
      <c r="B551" s="4" t="n">
        <v>44592</v>
      </c>
      <c r="C551" s="3" t="inlineStr">
        <is>
          <t>Expenses</t>
        </is>
      </c>
      <c r="D551" s="3" t="inlineStr">
        <is>
          <t>4150/030</t>
        </is>
      </c>
      <c r="E551" s="3" t="inlineStr">
        <is>
          <t>Motor Vehicle - Insurance _AND_ Licence</t>
        </is>
      </c>
      <c r="F551" s="3" t="n">
        <v>0</v>
      </c>
      <c r="G551" s="3" t="n">
        <v>2277</v>
      </c>
    </row>
    <row r="552">
      <c r="A552" s="3" t="inlineStr">
        <is>
          <t>Cape Projects Construction (Pty) Ltd</t>
        </is>
      </c>
      <c r="B552" s="4" t="n">
        <v>44592</v>
      </c>
      <c r="C552" s="3" t="inlineStr">
        <is>
          <t>Expenses</t>
        </is>
      </c>
      <c r="D552" s="3" t="inlineStr">
        <is>
          <t>4200/000</t>
        </is>
      </c>
      <c r="E552" s="3" t="inlineStr">
        <is>
          <t>Printing _AND_ Stationery</t>
        </is>
      </c>
      <c r="F552" s="3" t="n">
        <v>2155.16</v>
      </c>
      <c r="G552" s="3" t="n">
        <v>15508.6</v>
      </c>
    </row>
    <row r="553">
      <c r="A553" s="3" t="inlineStr">
        <is>
          <t>Heron Fields (Pty) Ltd</t>
        </is>
      </c>
      <c r="B553" s="4" t="n">
        <v>44592</v>
      </c>
      <c r="C553" s="3" t="inlineStr">
        <is>
          <t>Expenses</t>
        </is>
      </c>
      <c r="D553" s="3" t="inlineStr">
        <is>
          <t>4200/000</t>
        </is>
      </c>
      <c r="E553" s="3" t="inlineStr">
        <is>
          <t>Printing _AND_ Stationery</t>
        </is>
      </c>
      <c r="F553" s="3" t="n">
        <v>0</v>
      </c>
      <c r="G553" s="3" t="n">
        <v>765</v>
      </c>
    </row>
    <row r="554">
      <c r="A554" s="3" t="inlineStr">
        <is>
          <t>Cape Projects Construction (Pty) Ltd</t>
        </is>
      </c>
      <c r="B554" s="4" t="n">
        <v>44592</v>
      </c>
      <c r="C554" s="3" t="inlineStr">
        <is>
          <t>Expenses</t>
        </is>
      </c>
      <c r="D554" s="3" t="inlineStr">
        <is>
          <t>4201/000</t>
        </is>
      </c>
      <c r="E554" s="3" t="inlineStr">
        <is>
          <t>Printing - Printer rental</t>
        </is>
      </c>
      <c r="F554" s="3" t="n">
        <v>612</v>
      </c>
      <c r="G554" s="3" t="n">
        <v>1243.42</v>
      </c>
    </row>
    <row r="555">
      <c r="A555" s="3" t="inlineStr">
        <is>
          <t>Cape Projects Construction (Pty) Ltd</t>
        </is>
      </c>
      <c r="B555" s="4" t="n">
        <v>44592</v>
      </c>
      <c r="C555" s="3" t="inlineStr">
        <is>
          <t>Expenses</t>
        </is>
      </c>
      <c r="D555" s="3" t="inlineStr">
        <is>
          <t>4300/000</t>
        </is>
      </c>
      <c r="E555" s="3" t="inlineStr">
        <is>
          <t>Rent Paid</t>
        </is>
      </c>
      <c r="F555" s="3" t="n">
        <v>28087.5</v>
      </c>
      <c r="G555" s="3" t="n">
        <v>139452.17</v>
      </c>
    </row>
    <row r="556">
      <c r="A556" s="3" t="inlineStr">
        <is>
          <t>Cape Projects Construction (Pty) Ltd</t>
        </is>
      </c>
      <c r="B556" s="4" t="n">
        <v>44592</v>
      </c>
      <c r="C556" s="3" t="inlineStr">
        <is>
          <t>Expenses</t>
        </is>
      </c>
      <c r="D556" s="3" t="inlineStr">
        <is>
          <t>4310/000</t>
        </is>
      </c>
      <c r="E556" s="3" t="inlineStr">
        <is>
          <t>Rates</t>
        </is>
      </c>
      <c r="F556" s="3" t="n">
        <v>843.6</v>
      </c>
      <c r="G556" s="3" t="n">
        <v>4372.88</v>
      </c>
    </row>
    <row r="557">
      <c r="A557" s="3" t="inlineStr">
        <is>
          <t>Heron Fields (Pty) Ltd</t>
        </is>
      </c>
      <c r="B557" s="4" t="n">
        <v>44592</v>
      </c>
      <c r="C557" s="3" t="inlineStr">
        <is>
          <t>Expenses</t>
        </is>
      </c>
      <c r="D557" s="3" t="inlineStr">
        <is>
          <t>4310/000</t>
        </is>
      </c>
      <c r="E557" s="3" t="inlineStr">
        <is>
          <t>Rates - Heron</t>
        </is>
      </c>
      <c r="F557" s="3" t="n">
        <v>2965.61</v>
      </c>
      <c r="G557" s="3" t="n">
        <v>24321.65</v>
      </c>
    </row>
    <row r="558">
      <c r="A558" s="3" t="inlineStr">
        <is>
          <t>Cape Projects Construction (Pty) Ltd</t>
        </is>
      </c>
      <c r="B558" s="4" t="n">
        <v>44592</v>
      </c>
      <c r="C558" s="3" t="inlineStr">
        <is>
          <t>Expenses</t>
        </is>
      </c>
      <c r="D558" s="3" t="inlineStr">
        <is>
          <t>4350/000</t>
        </is>
      </c>
      <c r="E558" s="3" t="inlineStr">
        <is>
          <t>Repairs _AND_ Maintenance</t>
        </is>
      </c>
      <c r="F558" s="3" t="n">
        <v>0</v>
      </c>
      <c r="G558" s="3" t="n">
        <v>102654.83</v>
      </c>
    </row>
    <row r="559">
      <c r="A559" s="3" t="inlineStr">
        <is>
          <t>Heron Fields (Pty) Ltd</t>
        </is>
      </c>
      <c r="B559" s="4" t="n">
        <v>44592</v>
      </c>
      <c r="C559" s="3" t="inlineStr">
        <is>
          <t>Expenses</t>
        </is>
      </c>
      <c r="D559" s="3" t="inlineStr">
        <is>
          <t>4350/000</t>
        </is>
      </c>
      <c r="E559" s="3" t="inlineStr">
        <is>
          <t>Repairs _AND_ Maintenance</t>
        </is>
      </c>
      <c r="F559" s="3" t="n">
        <v>0</v>
      </c>
      <c r="G559" s="3" t="n">
        <v>250</v>
      </c>
    </row>
    <row r="560">
      <c r="A560" s="3" t="inlineStr">
        <is>
          <t>Cape Projects Construction (Pty) Ltd</t>
        </is>
      </c>
      <c r="B560" s="4" t="n">
        <v>44592</v>
      </c>
      <c r="C560" s="3" t="inlineStr">
        <is>
          <t>Expenses</t>
        </is>
      </c>
      <c r="D560" s="3" t="inlineStr">
        <is>
          <t>4400/000</t>
        </is>
      </c>
      <c r="E560" s="3" t="inlineStr">
        <is>
          <t>Salaries _AND_ Wages</t>
        </is>
      </c>
      <c r="F560" s="3" t="n">
        <v>149308.55</v>
      </c>
      <c r="G560" s="3" t="n">
        <v>1492703.39</v>
      </c>
    </row>
    <row r="561">
      <c r="A561" s="3" t="inlineStr">
        <is>
          <t>Cape Projects Construction (Pty) Ltd</t>
        </is>
      </c>
      <c r="B561" s="4" t="n">
        <v>44592</v>
      </c>
      <c r="C561" s="3" t="inlineStr">
        <is>
          <t>Expenses</t>
        </is>
      </c>
      <c r="D561" s="3" t="inlineStr">
        <is>
          <t>4400/100</t>
        </is>
      </c>
      <c r="E561" s="3" t="inlineStr">
        <is>
          <t>Salaries and Wages - Shorty</t>
        </is>
      </c>
      <c r="F561" s="3" t="n">
        <v>0</v>
      </c>
      <c r="G561" s="3" t="n">
        <v>35500</v>
      </c>
    </row>
    <row r="562">
      <c r="A562" s="3" t="inlineStr">
        <is>
          <t>Cape Projects Construction (Pty) Ltd</t>
        </is>
      </c>
      <c r="B562" s="4" t="n">
        <v>44592</v>
      </c>
      <c r="C562" s="3" t="inlineStr">
        <is>
          <t>Expenses</t>
        </is>
      </c>
      <c r="D562" s="3" t="inlineStr">
        <is>
          <t>4402</t>
        </is>
      </c>
      <c r="E562" s="3" t="inlineStr">
        <is>
          <t>Salaries &amp; Wages - WCA</t>
        </is>
      </c>
      <c r="F562" s="3" t="n">
        <v>0</v>
      </c>
      <c r="G562" s="3" t="n">
        <v>1063.2</v>
      </c>
    </row>
    <row r="563">
      <c r="A563" s="3" t="inlineStr">
        <is>
          <t>Heron Fields (Pty) Ltd</t>
        </is>
      </c>
      <c r="B563" s="4" t="n">
        <v>44592</v>
      </c>
      <c r="C563" s="3" t="inlineStr">
        <is>
          <t>Expenses</t>
        </is>
      </c>
      <c r="D563" s="3" t="inlineStr">
        <is>
          <t>4410/000</t>
        </is>
      </c>
      <c r="E563" s="3" t="inlineStr">
        <is>
          <t>Secretarial fees</t>
        </is>
      </c>
      <c r="F563" s="3" t="n">
        <v>0</v>
      </c>
      <c r="G563" s="3" t="n">
        <v>17000</v>
      </c>
    </row>
    <row r="564">
      <c r="A564" s="3" t="inlineStr">
        <is>
          <t>Cape Projects Construction (Pty) Ltd</t>
        </is>
      </c>
      <c r="B564" s="4" t="n">
        <v>44592</v>
      </c>
      <c r="C564" s="3" t="inlineStr">
        <is>
          <t>Expenses</t>
        </is>
      </c>
      <c r="D564" s="3" t="inlineStr">
        <is>
          <t>4420/000</t>
        </is>
      </c>
      <c r="E564" s="3" t="inlineStr">
        <is>
          <t>Small Assets</t>
        </is>
      </c>
      <c r="F564" s="3" t="n">
        <v>530.4299999999999</v>
      </c>
      <c r="G564" s="3" t="n">
        <v>15681.7</v>
      </c>
    </row>
    <row r="565">
      <c r="A565" s="3" t="inlineStr">
        <is>
          <t>Heron Fields (Pty) Ltd</t>
        </is>
      </c>
      <c r="B565" s="4" t="n">
        <v>44592</v>
      </c>
      <c r="C565" s="3" t="inlineStr">
        <is>
          <t>Expenses</t>
        </is>
      </c>
      <c r="D565" s="3" t="inlineStr">
        <is>
          <t>4420/001</t>
        </is>
      </c>
      <c r="E565" s="3" t="inlineStr">
        <is>
          <t>Security - ADT</t>
        </is>
      </c>
      <c r="F565" s="3" t="n">
        <v>285.26</v>
      </c>
      <c r="G565" s="3" t="n">
        <v>4121.05</v>
      </c>
    </row>
    <row r="566">
      <c r="A566" s="3" t="inlineStr">
        <is>
          <t>Cape Projects Construction (Pty) Ltd</t>
        </is>
      </c>
      <c r="B566" s="4" t="n">
        <v>44592</v>
      </c>
      <c r="C566" s="3" t="inlineStr">
        <is>
          <t>Expenses</t>
        </is>
      </c>
      <c r="D566" s="3" t="inlineStr">
        <is>
          <t>4450/000</t>
        </is>
      </c>
      <c r="E566" s="3" t="inlineStr">
        <is>
          <t>Staff Training</t>
        </is>
      </c>
      <c r="F566" s="3" t="n">
        <v>0</v>
      </c>
      <c r="G566" s="3" t="n">
        <v>2000</v>
      </c>
    </row>
    <row r="567">
      <c r="A567" s="3" t="inlineStr">
        <is>
          <t>Cape Projects Construction (Pty) Ltd</t>
        </is>
      </c>
      <c r="B567" s="4" t="n">
        <v>44592</v>
      </c>
      <c r="C567" s="3" t="inlineStr">
        <is>
          <t>Expenses</t>
        </is>
      </c>
      <c r="D567" s="3" t="inlineStr">
        <is>
          <t>4500/000</t>
        </is>
      </c>
      <c r="E567" s="3" t="inlineStr">
        <is>
          <t>Staff Welfare _AND_ Refreshmts</t>
        </is>
      </c>
      <c r="F567" s="3" t="n">
        <v>3426.48</v>
      </c>
      <c r="G567" s="3" t="n">
        <v>33710.44</v>
      </c>
    </row>
    <row r="568">
      <c r="A568" s="3" t="inlineStr">
        <is>
          <t>Cape Projects Construction (Pty) Ltd</t>
        </is>
      </c>
      <c r="B568" s="4" t="n">
        <v>44592</v>
      </c>
      <c r="C568" s="3" t="inlineStr">
        <is>
          <t>Expenses</t>
        </is>
      </c>
      <c r="D568" s="3" t="inlineStr">
        <is>
          <t>4550/000</t>
        </is>
      </c>
      <c r="E568" s="3" t="inlineStr">
        <is>
          <t>Subscriptions / Licenses</t>
        </is>
      </c>
      <c r="F568" s="3" t="n">
        <v>0</v>
      </c>
      <c r="G568" s="3" t="n">
        <v>526.3200000000001</v>
      </c>
    </row>
    <row r="569">
      <c r="A569" s="3" t="inlineStr">
        <is>
          <t>Cape Projects Construction (Pty) Ltd</t>
        </is>
      </c>
      <c r="B569" s="4" t="n">
        <v>44592</v>
      </c>
      <c r="C569" s="3" t="inlineStr">
        <is>
          <t>Expenses</t>
        </is>
      </c>
      <c r="D569" s="3" t="inlineStr">
        <is>
          <t>4550/001</t>
        </is>
      </c>
      <c r="E569" s="3" t="inlineStr">
        <is>
          <t>Subscriptions &amp; Licenses - Sage payroll</t>
        </is>
      </c>
      <c r="F569" s="3" t="n">
        <v>459</v>
      </c>
      <c r="G569" s="3" t="n">
        <v>3213</v>
      </c>
    </row>
    <row r="570">
      <c r="A570" s="3" t="inlineStr">
        <is>
          <t>Cape Projects Construction (Pty) Ltd</t>
        </is>
      </c>
      <c r="B570" s="4" t="n">
        <v>44592</v>
      </c>
      <c r="C570" s="3" t="inlineStr">
        <is>
          <t>Expenses</t>
        </is>
      </c>
      <c r="D570" s="3" t="inlineStr">
        <is>
          <t>4550/002</t>
        </is>
      </c>
      <c r="E570" s="3" t="inlineStr">
        <is>
          <t>Subscriptions &amp; Licenses - Caseware</t>
        </is>
      </c>
      <c r="F570" s="3" t="n">
        <v>0</v>
      </c>
      <c r="G570" s="3" t="n">
        <v>9463.01</v>
      </c>
    </row>
    <row r="571">
      <c r="A571" s="3" t="inlineStr">
        <is>
          <t>Cape Projects Construction (Pty) Ltd</t>
        </is>
      </c>
      <c r="B571" s="4" t="n">
        <v>44592</v>
      </c>
      <c r="C571" s="3" t="inlineStr">
        <is>
          <t>Expenses</t>
        </is>
      </c>
      <c r="D571" s="3" t="inlineStr">
        <is>
          <t>4550/003</t>
        </is>
      </c>
      <c r="E571" s="3" t="inlineStr">
        <is>
          <t>Subscriptions &amp; Licenses - Xero</t>
        </is>
      </c>
      <c r="F571" s="3" t="n">
        <v>600</v>
      </c>
      <c r="G571" s="3" t="n">
        <v>8100</v>
      </c>
    </row>
    <row r="572">
      <c r="A572" s="3" t="inlineStr">
        <is>
          <t>Cape Projects Construction (Pty) Ltd</t>
        </is>
      </c>
      <c r="B572" s="4" t="n">
        <v>44592</v>
      </c>
      <c r="C572" s="3" t="inlineStr">
        <is>
          <t>Expenses</t>
        </is>
      </c>
      <c r="D572" s="3" t="inlineStr">
        <is>
          <t>4550/004</t>
        </is>
      </c>
      <c r="E572" s="3" t="inlineStr">
        <is>
          <t>Subscriptions - Smartsheet</t>
        </is>
      </c>
      <c r="F572" s="3" t="n">
        <v>363</v>
      </c>
      <c r="G572" s="3" t="n">
        <v>2076.41</v>
      </c>
    </row>
    <row r="573">
      <c r="A573" s="3" t="inlineStr">
        <is>
          <t>Heron Fields (Pty) Ltd</t>
        </is>
      </c>
      <c r="B573" s="4" t="n">
        <v>44592</v>
      </c>
      <c r="C573" s="3" t="inlineStr">
        <is>
          <t>Expenses</t>
        </is>
      </c>
      <c r="D573" s="3" t="inlineStr">
        <is>
          <t>4550/100</t>
        </is>
      </c>
      <c r="E573" s="3" t="inlineStr">
        <is>
          <t>Subscriptions - Xero</t>
        </is>
      </c>
      <c r="F573" s="3" t="n">
        <v>600</v>
      </c>
      <c r="G573" s="3" t="n">
        <v>4000</v>
      </c>
    </row>
    <row r="574">
      <c r="A574" s="3" t="inlineStr">
        <is>
          <t>Heron Fields (Pty) Ltd</t>
        </is>
      </c>
      <c r="B574" s="4" t="n">
        <v>44592</v>
      </c>
      <c r="C574" s="3" t="inlineStr">
        <is>
          <t>Expenses</t>
        </is>
      </c>
      <c r="D574" s="3" t="inlineStr">
        <is>
          <t>4550/200</t>
        </is>
      </c>
      <c r="E574" s="3" t="inlineStr">
        <is>
          <t>Subscription - NHBRC</t>
        </is>
      </c>
      <c r="F574" s="3" t="n">
        <v>0</v>
      </c>
      <c r="G574" s="3" t="n">
        <v>1271.93</v>
      </c>
    </row>
    <row r="575">
      <c r="A575" s="3" t="inlineStr">
        <is>
          <t>Cape Projects Construction (Pty) Ltd</t>
        </is>
      </c>
      <c r="B575" s="4" t="n">
        <v>44592</v>
      </c>
      <c r="C575" s="3" t="inlineStr">
        <is>
          <t>Expenses</t>
        </is>
      </c>
      <c r="D575" s="3" t="inlineStr">
        <is>
          <t>4560</t>
        </is>
      </c>
      <c r="E575" s="3" t="inlineStr">
        <is>
          <t>Secretarial fees - CIPC</t>
        </is>
      </c>
      <c r="F575" s="3" t="n">
        <v>0</v>
      </c>
      <c r="G575" s="3" t="n">
        <v>450</v>
      </c>
    </row>
    <row r="576">
      <c r="A576" s="3" t="inlineStr">
        <is>
          <t>Cape Projects Construction (Pty) Ltd</t>
        </is>
      </c>
      <c r="B576" s="4" t="n">
        <v>44592</v>
      </c>
      <c r="C576" s="3" t="inlineStr">
        <is>
          <t>Expenses</t>
        </is>
      </c>
      <c r="D576" s="3" t="inlineStr">
        <is>
          <t>4600/000</t>
        </is>
      </c>
      <c r="E576" s="3" t="inlineStr">
        <is>
          <t>Telephone _AND_ Fax</t>
        </is>
      </c>
      <c r="F576" s="3" t="n">
        <v>0</v>
      </c>
      <c r="G576" s="3" t="n">
        <v>10273.56</v>
      </c>
    </row>
    <row r="577">
      <c r="A577" s="3" t="inlineStr">
        <is>
          <t>Cape Projects Construction (Pty) Ltd</t>
        </is>
      </c>
      <c r="B577" s="4" t="n">
        <v>44592</v>
      </c>
      <c r="C577" s="3" t="inlineStr">
        <is>
          <t>Expenses</t>
        </is>
      </c>
      <c r="D577" s="3" t="inlineStr">
        <is>
          <t>4650/010</t>
        </is>
      </c>
      <c r="E577" s="3" t="inlineStr">
        <is>
          <t>Travel - Local</t>
        </is>
      </c>
      <c r="F577" s="3" t="n">
        <v>0</v>
      </c>
      <c r="G577" s="3" t="n">
        <v>1275</v>
      </c>
    </row>
    <row r="578">
      <c r="A578" s="3" t="inlineStr">
        <is>
          <t>Cape Projects Construction (Pty) Ltd</t>
        </is>
      </c>
      <c r="B578" s="4" t="n">
        <v>44592</v>
      </c>
      <c r="C578" s="3" t="inlineStr">
        <is>
          <t>Expenses</t>
        </is>
      </c>
      <c r="D578" s="3" t="inlineStr">
        <is>
          <t>4700/000</t>
        </is>
      </c>
      <c r="E578" s="3" t="inlineStr">
        <is>
          <t>PAYE Contributions</t>
        </is>
      </c>
      <c r="F578" s="3" t="n">
        <v>32273.51</v>
      </c>
      <c r="G578" s="3" t="n">
        <v>385004.66</v>
      </c>
    </row>
    <row r="579">
      <c r="A579" s="3" t="inlineStr">
        <is>
          <t>Cape Projects Construction (Pty) Ltd</t>
        </is>
      </c>
      <c r="B579" s="4" t="n">
        <v>44592</v>
      </c>
      <c r="C579" s="3" t="inlineStr">
        <is>
          <t>Expenses</t>
        </is>
      </c>
      <c r="D579" s="3" t="inlineStr">
        <is>
          <t>4720/000</t>
        </is>
      </c>
      <c r="E579" s="3" t="inlineStr">
        <is>
          <t>SDL Contributions</t>
        </is>
      </c>
      <c r="F579" s="3" t="n">
        <v>1734.63</v>
      </c>
      <c r="G579" s="3" t="n">
        <v>18191.36</v>
      </c>
    </row>
    <row r="580">
      <c r="A580" s="3" t="inlineStr">
        <is>
          <t>Cape Projects Construction (Pty) Ltd</t>
        </is>
      </c>
      <c r="B580" s="4" t="n">
        <v>44592</v>
      </c>
      <c r="C580" s="3" t="inlineStr">
        <is>
          <t>Expenses</t>
        </is>
      </c>
      <c r="D580" s="3" t="inlineStr">
        <is>
          <t>4730/000</t>
        </is>
      </c>
      <c r="E580" s="3" t="inlineStr">
        <is>
          <t>UIF Company Contributions</t>
        </is>
      </c>
      <c r="F580" s="3" t="n">
        <v>976.24</v>
      </c>
      <c r="G580" s="3" t="n">
        <v>9909.01</v>
      </c>
    </row>
    <row r="581">
      <c r="A581" s="3" t="inlineStr">
        <is>
          <t>Cape Projects Construction (Pty) Ltd</t>
        </is>
      </c>
      <c r="B581" s="4" t="n">
        <v>44592</v>
      </c>
      <c r="C581" s="3" t="inlineStr">
        <is>
          <t>Expenses</t>
        </is>
      </c>
      <c r="D581" s="3" t="inlineStr">
        <is>
          <t>4731/000</t>
        </is>
      </c>
      <c r="E581" s="3" t="inlineStr">
        <is>
          <t>UIF Employee Contribution</t>
        </is>
      </c>
      <c r="F581" s="3" t="n">
        <v>976.24</v>
      </c>
      <c r="G581" s="3" t="n">
        <v>6637.17</v>
      </c>
    </row>
    <row r="582">
      <c r="A582" s="3" t="inlineStr">
        <is>
          <t>Cape Projects Construction (Pty) Ltd</t>
        </is>
      </c>
      <c r="B582" s="4" t="n">
        <v>44592</v>
      </c>
      <c r="C582" s="3" t="inlineStr">
        <is>
          <t>Expenses</t>
        </is>
      </c>
      <c r="D582" s="3" t="inlineStr">
        <is>
          <t>4740/000</t>
        </is>
      </c>
      <c r="E582" s="3" t="inlineStr">
        <is>
          <t>BIBC Company Contribution</t>
        </is>
      </c>
      <c r="F582" s="3" t="n">
        <v>146.78</v>
      </c>
      <c r="G582" s="3" t="n">
        <v>146.78</v>
      </c>
    </row>
    <row r="583">
      <c r="A583" s="3" t="inlineStr">
        <is>
          <t>Cape Projects Construction (Pty) Ltd</t>
        </is>
      </c>
      <c r="B583" s="4" t="n">
        <v>44592</v>
      </c>
      <c r="C583" s="3" t="inlineStr">
        <is>
          <t>Expenses</t>
        </is>
      </c>
      <c r="D583" s="3" t="inlineStr">
        <is>
          <t>4741/000</t>
        </is>
      </c>
      <c r="E583" s="3" t="inlineStr">
        <is>
          <t>BIBC Employee Contribution</t>
        </is>
      </c>
      <c r="F583" s="3" t="n">
        <v>57.78</v>
      </c>
      <c r="G583" s="3" t="n">
        <v>57.78</v>
      </c>
    </row>
    <row r="584">
      <c r="A584" s="3" t="inlineStr">
        <is>
          <t>Heron Fields (Pty) Ltd</t>
        </is>
      </c>
      <c r="B584" s="4" t="n">
        <v>44592</v>
      </c>
      <c r="C584" s="3" t="inlineStr">
        <is>
          <t>Equity</t>
        </is>
      </c>
      <c r="D584" s="3" t="inlineStr">
        <is>
          <t>5100-000</t>
        </is>
      </c>
      <c r="E584" s="3" t="inlineStr">
        <is>
          <t>Share Capital</t>
        </is>
      </c>
      <c r="F584" s="3" t="n">
        <v>0</v>
      </c>
      <c r="G584" s="3" t="n">
        <v>-100</v>
      </c>
    </row>
    <row r="585">
      <c r="A585" s="3" t="inlineStr">
        <is>
          <t>Cape Projects Construction (Pty) Ltd</t>
        </is>
      </c>
      <c r="B585" s="4" t="n">
        <v>44592</v>
      </c>
      <c r="C585" s="3" t="inlineStr">
        <is>
          <t>Equity</t>
        </is>
      </c>
      <c r="D585" s="3" t="inlineStr">
        <is>
          <t>5100/000</t>
        </is>
      </c>
      <c r="E585" s="3" t="inlineStr">
        <is>
          <t>Share Capital / Members Contribution</t>
        </is>
      </c>
      <c r="F585" s="3" t="n">
        <v>0</v>
      </c>
      <c r="G585" s="3" t="n">
        <v>-120</v>
      </c>
    </row>
    <row r="586">
      <c r="A586" s="3" t="inlineStr">
        <is>
          <t>Cape Projects Construction (Pty) Ltd</t>
        </is>
      </c>
      <c r="B586" s="4" t="n">
        <v>44592</v>
      </c>
      <c r="C586" s="3" t="inlineStr">
        <is>
          <t>Equity</t>
        </is>
      </c>
      <c r="D586" s="3" t="inlineStr">
        <is>
          <t>5200/000</t>
        </is>
      </c>
      <c r="E586" s="3" t="inlineStr">
        <is>
          <t>Retained Earnings / Loss</t>
        </is>
      </c>
      <c r="F586" s="3" t="n">
        <v>0</v>
      </c>
      <c r="G586" s="3" t="n">
        <v>698664.99</v>
      </c>
    </row>
    <row r="587">
      <c r="A587" s="3" t="inlineStr">
        <is>
          <t>Heron Fields (Pty) Ltd</t>
        </is>
      </c>
      <c r="B587" s="4" t="n">
        <v>44592</v>
      </c>
      <c r="C587" s="3" t="inlineStr">
        <is>
          <t>Assets</t>
        </is>
      </c>
      <c r="D587" s="3" t="inlineStr">
        <is>
          <t>5300/001</t>
        </is>
      </c>
      <c r="E587" s="3" t="inlineStr">
        <is>
          <t>Revaluation of Land stock</t>
        </is>
      </c>
      <c r="F587" s="3" t="n">
        <v>0</v>
      </c>
      <c r="G587" s="3" t="n">
        <v>19713043.68</v>
      </c>
    </row>
    <row r="588">
      <c r="A588" s="3" t="inlineStr">
        <is>
          <t>Cape Projects Construction (Pty) Ltd</t>
        </is>
      </c>
      <c r="B588" s="4" t="n">
        <v>44592</v>
      </c>
      <c r="C588" s="3" t="inlineStr">
        <is>
          <t>Assets</t>
        </is>
      </c>
      <c r="D588" s="3" t="inlineStr">
        <is>
          <t>5400/100</t>
        </is>
      </c>
      <c r="E588" s="3" t="inlineStr">
        <is>
          <t>Loan - Cape Projects Structuring Dev</t>
        </is>
      </c>
      <c r="F588" s="3" t="n">
        <v>-350000</v>
      </c>
      <c r="G588" s="3" t="n">
        <v>-350000</v>
      </c>
    </row>
    <row r="589">
      <c r="A589" s="3" t="inlineStr">
        <is>
          <t>Cape Projects Construction (Pty) Ltd</t>
        </is>
      </c>
      <c r="B589" s="4" t="n">
        <v>44592</v>
      </c>
      <c r="C589" s="3" t="inlineStr">
        <is>
          <t>Assets</t>
        </is>
      </c>
      <c r="D589" s="3" t="inlineStr">
        <is>
          <t>5400/200</t>
        </is>
      </c>
      <c r="E589" s="3" t="inlineStr">
        <is>
          <t>Members Loan - Nick Morgan</t>
        </is>
      </c>
      <c r="F589" s="3" t="n">
        <v>0</v>
      </c>
      <c r="G589" s="3" t="n">
        <v>-38862.46</v>
      </c>
    </row>
    <row r="590">
      <c r="A590" s="3" t="inlineStr">
        <is>
          <t>Cape Projects Construction (Pty) Ltd</t>
        </is>
      </c>
      <c r="B590" s="4" t="n">
        <v>44592</v>
      </c>
      <c r="C590" s="3" t="inlineStr">
        <is>
          <t>Assets</t>
        </is>
      </c>
      <c r="D590" s="3" t="inlineStr">
        <is>
          <t>5400/220</t>
        </is>
      </c>
      <c r="E590" s="3" t="inlineStr">
        <is>
          <t>Members Loan - WH</t>
        </is>
      </c>
      <c r="F590" s="3" t="n">
        <v>0</v>
      </c>
      <c r="G590" s="3" t="n">
        <v>4342.5</v>
      </c>
    </row>
    <row r="591">
      <c r="A591" s="3" t="inlineStr">
        <is>
          <t>Cape Projects Construction (Pty) Ltd</t>
        </is>
      </c>
      <c r="B591" s="4" t="n">
        <v>44592</v>
      </c>
      <c r="C591" s="3" t="inlineStr">
        <is>
          <t>Assets</t>
        </is>
      </c>
      <c r="D591" s="3" t="inlineStr">
        <is>
          <t>5400/450</t>
        </is>
      </c>
      <c r="E591" s="3" t="inlineStr">
        <is>
          <t>Loan - Opportunity Investment</t>
        </is>
      </c>
      <c r="F591" s="3" t="n">
        <v>-470000</v>
      </c>
      <c r="G591" s="3" t="n">
        <v>-530000</v>
      </c>
    </row>
    <row r="592">
      <c r="A592" s="3" t="inlineStr">
        <is>
          <t>Cape Projects Construction (Pty) Ltd</t>
        </is>
      </c>
      <c r="B592" s="4" t="n">
        <v>44592</v>
      </c>
      <c r="C592" s="3" t="inlineStr">
        <is>
          <t>Assets</t>
        </is>
      </c>
      <c r="D592" s="3" t="inlineStr">
        <is>
          <t>5400/500</t>
        </is>
      </c>
      <c r="E592" s="3" t="inlineStr">
        <is>
          <t>Loan - Blou Mamba Trust</t>
        </is>
      </c>
      <c r="F592" s="3" t="n">
        <v>0</v>
      </c>
      <c r="G592" s="3" t="n">
        <v>-29796.99</v>
      </c>
    </row>
    <row r="593">
      <c r="A593" s="3" t="inlineStr">
        <is>
          <t>Cape Projects Construction (Pty) Ltd</t>
        </is>
      </c>
      <c r="B593" s="4" t="n">
        <v>44592</v>
      </c>
      <c r="C593" s="3" t="inlineStr">
        <is>
          <t>Assets</t>
        </is>
      </c>
      <c r="D593" s="3" t="inlineStr">
        <is>
          <t>5400/550</t>
        </is>
      </c>
      <c r="E593" s="3" t="inlineStr">
        <is>
          <t>Loan - Trademark</t>
        </is>
      </c>
      <c r="F593" s="3" t="n">
        <v>600</v>
      </c>
      <c r="G593" s="3" t="n">
        <v>-33200</v>
      </c>
    </row>
    <row r="594">
      <c r="A594" s="3" t="inlineStr">
        <is>
          <t>Cape Projects Construction (Pty) Ltd</t>
        </is>
      </c>
      <c r="B594" s="4" t="n">
        <v>44592</v>
      </c>
      <c r="C594" s="3" t="inlineStr">
        <is>
          <t>Assets</t>
        </is>
      </c>
      <c r="D594" s="3" t="inlineStr">
        <is>
          <t>5400/600</t>
        </is>
      </c>
      <c r="E594" s="3" t="inlineStr">
        <is>
          <t>Loan - Heron Projects</t>
        </is>
      </c>
      <c r="F594" s="3" t="n">
        <v>-128000</v>
      </c>
      <c r="G594" s="3" t="n">
        <v>-178000</v>
      </c>
    </row>
    <row r="595">
      <c r="A595" s="3" t="inlineStr">
        <is>
          <t>Cape Projects Construction (Pty) Ltd</t>
        </is>
      </c>
      <c r="B595" s="4" t="n">
        <v>44592</v>
      </c>
      <c r="C595" s="3" t="inlineStr">
        <is>
          <t>Assets</t>
        </is>
      </c>
      <c r="D595" s="3" t="inlineStr">
        <is>
          <t>5400/650</t>
        </is>
      </c>
      <c r="E595" s="3" t="inlineStr">
        <is>
          <t>Loan - Noble Shield</t>
        </is>
      </c>
      <c r="F595" s="3" t="n">
        <v>600</v>
      </c>
      <c r="G595" s="3" t="n">
        <v>-3200</v>
      </c>
    </row>
    <row r="596">
      <c r="A596" s="3" t="inlineStr">
        <is>
          <t>Cape Projects Construction (Pty) Ltd</t>
        </is>
      </c>
      <c r="B596" s="4" t="n">
        <v>44592</v>
      </c>
      <c r="C596" s="3" t="inlineStr">
        <is>
          <t>Assets</t>
        </is>
      </c>
      <c r="D596" s="3" t="inlineStr">
        <is>
          <t>5400/800</t>
        </is>
      </c>
      <c r="E596" s="3" t="inlineStr">
        <is>
          <t>Loan - Opportunity Management Holdings</t>
        </is>
      </c>
      <c r="F596" s="3" t="n">
        <v>0</v>
      </c>
      <c r="G596" s="3" t="n">
        <v>-49000</v>
      </c>
    </row>
    <row r="597">
      <c r="A597" s="3" t="inlineStr">
        <is>
          <t>Heron Fields (Pty) Ltd</t>
        </is>
      </c>
      <c r="B597" s="4" t="n">
        <v>44592</v>
      </c>
      <c r="C597" s="3" t="inlineStr">
        <is>
          <t>Liabilities</t>
        </is>
      </c>
      <c r="D597" s="3" t="inlineStr">
        <is>
          <t>5500/020</t>
        </is>
      </c>
      <c r="E597" s="3" t="inlineStr">
        <is>
          <t>Loan - Cape Projects Construction</t>
        </is>
      </c>
      <c r="F597" s="3" t="n">
        <v>128000</v>
      </c>
      <c r="G597" s="3" t="n">
        <v>178000</v>
      </c>
    </row>
    <row r="598">
      <c r="A598" s="3" t="inlineStr">
        <is>
          <t>Cape Projects Construction (Pty) Ltd</t>
        </is>
      </c>
      <c r="B598" s="4" t="n">
        <v>44592</v>
      </c>
      <c r="C598" s="3" t="inlineStr">
        <is>
          <t>Assets</t>
        </is>
      </c>
      <c r="D598" s="3" t="inlineStr">
        <is>
          <t>5500/200</t>
        </is>
      </c>
      <c r="E598" s="3" t="inlineStr">
        <is>
          <t>Staff loan - Dirk Coetzee</t>
        </is>
      </c>
      <c r="F598" s="3" t="n">
        <v>0</v>
      </c>
      <c r="G598" s="3" t="n">
        <v>120.05</v>
      </c>
    </row>
    <row r="599">
      <c r="A599" s="3" t="inlineStr">
        <is>
          <t>Cape Projects Construction (Pty) Ltd</t>
        </is>
      </c>
      <c r="B599" s="4" t="n">
        <v>44592</v>
      </c>
      <c r="C599" s="3" t="inlineStr">
        <is>
          <t>Liabilities</t>
        </is>
      </c>
      <c r="D599" s="3" t="inlineStr">
        <is>
          <t>5600/100</t>
        </is>
      </c>
      <c r="E599" s="3" t="inlineStr">
        <is>
          <t>Motor Vehical Car Repaymts - Toyota</t>
        </is>
      </c>
      <c r="F599" s="3" t="n">
        <v>0</v>
      </c>
      <c r="G599" s="3" t="n">
        <v>5557.44</v>
      </c>
    </row>
    <row r="600">
      <c r="A600" s="3" t="inlineStr">
        <is>
          <t>Cape Projects Construction (Pty) Ltd</t>
        </is>
      </c>
      <c r="B600" s="4" t="n">
        <v>44592</v>
      </c>
      <c r="C600" s="3" t="inlineStr">
        <is>
          <t>Liabilities</t>
        </is>
      </c>
      <c r="D600" s="3" t="inlineStr">
        <is>
          <t>5600/200</t>
        </is>
      </c>
      <c r="E600" s="3" t="inlineStr">
        <is>
          <t>Motor Vehicle Car Repayments - Toyota Shortterm</t>
        </is>
      </c>
      <c r="F600" s="3" t="n">
        <v>0</v>
      </c>
      <c r="G600" s="3" t="n">
        <v>-62160</v>
      </c>
    </row>
    <row r="601">
      <c r="A601" s="3" t="inlineStr">
        <is>
          <t>Cape Projects Construction (Pty) Ltd</t>
        </is>
      </c>
      <c r="B601" s="4" t="n">
        <v>44592</v>
      </c>
      <c r="C601" s="3" t="inlineStr">
        <is>
          <t>Assets</t>
        </is>
      </c>
      <c r="D601" s="3" t="inlineStr">
        <is>
          <t>6200/010</t>
        </is>
      </c>
      <c r="E601" s="3" t="inlineStr">
        <is>
          <t>Motor Vehicles - @ Cost</t>
        </is>
      </c>
      <c r="F601" s="3" t="n">
        <v>0</v>
      </c>
      <c r="G601" s="3" t="n">
        <v>216064.1</v>
      </c>
    </row>
    <row r="602">
      <c r="A602" s="3" t="inlineStr">
        <is>
          <t>Cape Projects Construction (Pty) Ltd</t>
        </is>
      </c>
      <c r="B602" s="4" t="n">
        <v>44592</v>
      </c>
      <c r="C602" s="3" t="inlineStr">
        <is>
          <t>Assets</t>
        </is>
      </c>
      <c r="D602" s="3" t="inlineStr">
        <is>
          <t>6200/020</t>
        </is>
      </c>
      <c r="E602" s="3" t="inlineStr">
        <is>
          <t>Motor Vehicles - Accum Depre</t>
        </is>
      </c>
      <c r="F602" s="3" t="n">
        <v>0</v>
      </c>
      <c r="G602" s="3" t="n">
        <v>-133240</v>
      </c>
    </row>
    <row r="603">
      <c r="A603" s="3" t="inlineStr">
        <is>
          <t>Cape Projects Construction (Pty) Ltd</t>
        </is>
      </c>
      <c r="B603" s="4" t="n">
        <v>44592</v>
      </c>
      <c r="C603" s="3" t="inlineStr">
        <is>
          <t>Assets</t>
        </is>
      </c>
      <c r="D603" s="3" t="inlineStr">
        <is>
          <t>6250/010</t>
        </is>
      </c>
      <c r="E603" s="3" t="inlineStr">
        <is>
          <t>Computer Equipment - @ Cost</t>
        </is>
      </c>
      <c r="F603" s="3" t="n">
        <v>0</v>
      </c>
      <c r="G603" s="3" t="n">
        <v>53450.87</v>
      </c>
    </row>
    <row r="604">
      <c r="A604" s="3" t="inlineStr">
        <is>
          <t>Cape Projects Construction (Pty) Ltd</t>
        </is>
      </c>
      <c r="B604" s="4" t="n">
        <v>44592</v>
      </c>
      <c r="C604" s="3" t="inlineStr">
        <is>
          <t>Assets</t>
        </is>
      </c>
      <c r="D604" s="3" t="inlineStr">
        <is>
          <t>6250/020</t>
        </is>
      </c>
      <c r="E604" s="3" t="inlineStr">
        <is>
          <t>Computer Equipment - Accum Depre</t>
        </is>
      </c>
      <c r="F604" s="3" t="n">
        <v>-1092.24</v>
      </c>
      <c r="G604" s="3" t="n">
        <v>-18473.79</v>
      </c>
    </row>
    <row r="605">
      <c r="A605" s="3" t="inlineStr">
        <is>
          <t>Cape Projects Construction (Pty) Ltd</t>
        </is>
      </c>
      <c r="B605" s="4" t="n">
        <v>44592</v>
      </c>
      <c r="C605" s="3" t="inlineStr">
        <is>
          <t>Assets</t>
        </is>
      </c>
      <c r="D605" s="3" t="inlineStr">
        <is>
          <t>6350/010</t>
        </is>
      </c>
      <c r="E605" s="3" t="inlineStr">
        <is>
          <t>Furniture _AND_ Fittings - @ Cost</t>
        </is>
      </c>
      <c r="F605" s="3" t="n">
        <v>27804</v>
      </c>
      <c r="G605" s="3" t="n">
        <v>27804</v>
      </c>
    </row>
    <row r="606">
      <c r="A606" s="3" t="inlineStr">
        <is>
          <t>Cape Projects Construction (Pty) Ltd</t>
        </is>
      </c>
      <c r="B606" s="4" t="n">
        <v>44592</v>
      </c>
      <c r="C606" s="3" t="inlineStr">
        <is>
          <t>Assets</t>
        </is>
      </c>
      <c r="D606" s="3" t="inlineStr">
        <is>
          <t>6600/010</t>
        </is>
      </c>
      <c r="E606" s="3" t="inlineStr">
        <is>
          <t>Generator Fixed Asset - @ Cost</t>
        </is>
      </c>
      <c r="F606" s="3" t="n">
        <v>0</v>
      </c>
      <c r="G606" s="3" t="n">
        <v>11600</v>
      </c>
    </row>
    <row r="607">
      <c r="A607" s="3" t="inlineStr">
        <is>
          <t>Cape Projects Construction (Pty) Ltd</t>
        </is>
      </c>
      <c r="B607" s="4" t="n">
        <v>44592</v>
      </c>
      <c r="C607" s="3" t="inlineStr">
        <is>
          <t>Assets</t>
        </is>
      </c>
      <c r="D607" s="3" t="inlineStr">
        <is>
          <t>6600/020</t>
        </is>
      </c>
      <c r="E607" s="3" t="inlineStr">
        <is>
          <t>Generator Fixed Asset - Accum Depre</t>
        </is>
      </c>
      <c r="F607" s="3" t="n">
        <v>-193.33</v>
      </c>
      <c r="G607" s="3" t="n">
        <v>-773.33</v>
      </c>
    </row>
    <row r="608">
      <c r="A608" s="3" t="inlineStr">
        <is>
          <t>Heron Fields (Pty) Ltd</t>
        </is>
      </c>
      <c r="B608" s="4" t="n">
        <v>44592</v>
      </c>
      <c r="C608" s="3" t="inlineStr">
        <is>
          <t>Assets</t>
        </is>
      </c>
      <c r="D608" s="3" t="inlineStr">
        <is>
          <t>7610/395</t>
        </is>
      </c>
      <c r="E608" s="3" t="inlineStr">
        <is>
          <t>HF CIP NHBRC</t>
        </is>
      </c>
      <c r="F608" s="3" t="n">
        <v>0</v>
      </c>
      <c r="G608" s="3" t="n">
        <v>261841.5</v>
      </c>
    </row>
    <row r="609">
      <c r="A609" s="3" t="inlineStr">
        <is>
          <t>Heron Fields (Pty) Ltd</t>
        </is>
      </c>
      <c r="B609" s="4" t="n">
        <v>44592</v>
      </c>
      <c r="C609" s="3" t="inlineStr">
        <is>
          <t>Assets</t>
        </is>
      </c>
      <c r="D609" s="3" t="inlineStr">
        <is>
          <t>7620/100</t>
        </is>
      </c>
      <c r="E609" s="3" t="inlineStr">
        <is>
          <t>Heron View Land</t>
        </is>
      </c>
      <c r="F609" s="3" t="n">
        <v>0</v>
      </c>
      <c r="G609" s="3" t="n">
        <v>26200000</v>
      </c>
    </row>
    <row r="610">
      <c r="A610" s="3" t="inlineStr">
        <is>
          <t>Heron Fields (Pty) Ltd</t>
        </is>
      </c>
      <c r="B610" s="4" t="n">
        <v>44592</v>
      </c>
      <c r="C610" s="3" t="inlineStr">
        <is>
          <t>Assets</t>
        </is>
      </c>
      <c r="D610" s="3" t="inlineStr">
        <is>
          <t>7620/101</t>
        </is>
      </c>
      <c r="E610" s="3" t="inlineStr">
        <is>
          <t>HF CIP Bond Registration Fee</t>
        </is>
      </c>
      <c r="F610" s="3" t="n">
        <v>0</v>
      </c>
      <c r="G610" s="3" t="n">
        <v>68427</v>
      </c>
    </row>
    <row r="611">
      <c r="A611" s="3" t="inlineStr">
        <is>
          <t>Heron Fields (Pty) Ltd</t>
        </is>
      </c>
      <c r="B611" s="4" t="n">
        <v>44592</v>
      </c>
      <c r="C611" s="3" t="inlineStr">
        <is>
          <t>Assets</t>
        </is>
      </c>
      <c r="D611" s="3" t="inlineStr">
        <is>
          <t>7620/102</t>
        </is>
      </c>
      <c r="E611" s="3" t="inlineStr">
        <is>
          <t>HF CIP Transfer Fee</t>
        </is>
      </c>
      <c r="F611" s="3" t="n">
        <v>0</v>
      </c>
      <c r="G611" s="3" t="n">
        <v>103812</v>
      </c>
    </row>
    <row r="612">
      <c r="A612" s="3" t="inlineStr">
        <is>
          <t>Heron Fields (Pty) Ltd</t>
        </is>
      </c>
      <c r="B612" s="4" t="n">
        <v>44592</v>
      </c>
      <c r="C612" s="3" t="inlineStr">
        <is>
          <t>Assets</t>
        </is>
      </c>
      <c r="D612" s="3" t="inlineStr">
        <is>
          <t>7620/220</t>
        </is>
      </c>
      <c r="E612" s="3" t="inlineStr">
        <is>
          <t>HF CIP Architectural Designs</t>
        </is>
      </c>
      <c r="F612" s="3" t="n">
        <v>0</v>
      </c>
      <c r="G612" s="3" t="n">
        <v>142000</v>
      </c>
    </row>
    <row r="613">
      <c r="A613" s="3" t="inlineStr">
        <is>
          <t>Heron Fields (Pty) Ltd</t>
        </is>
      </c>
      <c r="B613" s="4" t="n">
        <v>44592</v>
      </c>
      <c r="C613" s="3" t="inlineStr">
        <is>
          <t>Assets</t>
        </is>
      </c>
      <c r="D613" s="3" t="inlineStr">
        <is>
          <t>7620/240</t>
        </is>
      </c>
      <c r="E613" s="3" t="inlineStr">
        <is>
          <t>HF CIP Civil Engineering</t>
        </is>
      </c>
      <c r="F613" s="3" t="n">
        <v>0</v>
      </c>
      <c r="G613" s="3" t="n">
        <v>5052916.5</v>
      </c>
    </row>
    <row r="614">
      <c r="A614" s="3" t="inlineStr">
        <is>
          <t>Heron Fields (Pty) Ltd</t>
        </is>
      </c>
      <c r="B614" s="4" t="n">
        <v>44592</v>
      </c>
      <c r="C614" s="3" t="inlineStr">
        <is>
          <t>Assets</t>
        </is>
      </c>
      <c r="D614" s="3" t="inlineStr">
        <is>
          <t>7620/245</t>
        </is>
      </c>
      <c r="E614" s="3" t="inlineStr">
        <is>
          <t>HF CIP Development fee</t>
        </is>
      </c>
      <c r="F614" s="3" t="n">
        <v>0</v>
      </c>
      <c r="G614" s="3" t="n">
        <v>13807.78</v>
      </c>
    </row>
    <row r="615">
      <c r="A615" s="3" t="inlineStr">
        <is>
          <t>Heron Fields (Pty) Ltd</t>
        </is>
      </c>
      <c r="B615" s="4" t="n">
        <v>44592</v>
      </c>
      <c r="C615" s="3" t="inlineStr">
        <is>
          <t>Assets</t>
        </is>
      </c>
      <c r="D615" s="3" t="inlineStr">
        <is>
          <t>7620/250</t>
        </is>
      </c>
      <c r="E615" s="3" t="inlineStr">
        <is>
          <t>HF CIP Land Surveyor</t>
        </is>
      </c>
      <c r="F615" s="3" t="n">
        <v>1840</v>
      </c>
      <c r="G615" s="3" t="n">
        <v>6350</v>
      </c>
    </row>
    <row r="616">
      <c r="A616" s="3" t="inlineStr">
        <is>
          <t>Heron Fields (Pty) Ltd</t>
        </is>
      </c>
      <c r="B616" s="4" t="n">
        <v>44592</v>
      </c>
      <c r="C616" s="3" t="inlineStr">
        <is>
          <t>Assets</t>
        </is>
      </c>
      <c r="D616" s="3" t="inlineStr">
        <is>
          <t>7620/255</t>
        </is>
      </c>
      <c r="E616" s="3" t="inlineStr">
        <is>
          <t>HF CIP Landscaping</t>
        </is>
      </c>
      <c r="F616" s="3" t="n">
        <v>0</v>
      </c>
      <c r="G616" s="3" t="n">
        <v>7500</v>
      </c>
    </row>
    <row r="617">
      <c r="A617" s="3" t="inlineStr">
        <is>
          <t>Heron Fields (Pty) Ltd</t>
        </is>
      </c>
      <c r="B617" s="4" t="n">
        <v>44592</v>
      </c>
      <c r="C617" s="3" t="inlineStr">
        <is>
          <t>Assets</t>
        </is>
      </c>
      <c r="D617" s="3" t="inlineStr">
        <is>
          <t>7620/260</t>
        </is>
      </c>
      <c r="E617" s="3" t="inlineStr">
        <is>
          <t>HF CIP Mechanical Engineers</t>
        </is>
      </c>
      <c r="F617" s="3" t="n">
        <v>0</v>
      </c>
      <c r="G617" s="3" t="n">
        <v>67400</v>
      </c>
    </row>
    <row r="618">
      <c r="A618" s="3" t="inlineStr">
        <is>
          <t>Heron Fields (Pty) Ltd</t>
        </is>
      </c>
      <c r="B618" s="4" t="n">
        <v>44592</v>
      </c>
      <c r="C618" s="3" t="inlineStr">
        <is>
          <t>Assets</t>
        </is>
      </c>
      <c r="D618" s="3" t="inlineStr">
        <is>
          <t>7620/270</t>
        </is>
      </c>
      <c r="E618" s="3" t="inlineStr">
        <is>
          <t>HF CIP Geotechnical</t>
        </is>
      </c>
      <c r="F618" s="3" t="n">
        <v>0</v>
      </c>
      <c r="G618" s="3" t="n">
        <v>15175</v>
      </c>
    </row>
    <row r="619">
      <c r="A619" s="3" t="inlineStr">
        <is>
          <t>Heron Fields (Pty) Ltd</t>
        </is>
      </c>
      <c r="B619" s="4" t="n">
        <v>44592</v>
      </c>
      <c r="C619" s="3" t="inlineStr">
        <is>
          <t>Assets</t>
        </is>
      </c>
      <c r="D619" s="3" t="inlineStr">
        <is>
          <t>7620/280</t>
        </is>
      </c>
      <c r="E619" s="3" t="inlineStr">
        <is>
          <t>HF CIP Site Establishment</t>
        </is>
      </c>
      <c r="F619" s="3" t="n">
        <v>77600.53999999999</v>
      </c>
      <c r="G619" s="3" t="n">
        <v>100634.8</v>
      </c>
    </row>
    <row r="620">
      <c r="A620" s="3" t="inlineStr">
        <is>
          <t>Heron Fields (Pty) Ltd</t>
        </is>
      </c>
      <c r="B620" s="4" t="n">
        <v>44592</v>
      </c>
      <c r="C620" s="3" t="inlineStr">
        <is>
          <t>Assets</t>
        </is>
      </c>
      <c r="D620" s="3" t="inlineStr">
        <is>
          <t>7620/285</t>
        </is>
      </c>
      <c r="E620" s="3" t="inlineStr">
        <is>
          <t>HF CIP Structuring Fee - Invest</t>
        </is>
      </c>
      <c r="F620" s="3" t="n">
        <v>518489.22</v>
      </c>
      <c r="G620" s="3" t="n">
        <v>2331207.06</v>
      </c>
    </row>
    <row r="621">
      <c r="A621" s="3" t="inlineStr">
        <is>
          <t>Heron Fields (Pty) Ltd</t>
        </is>
      </c>
      <c r="B621" s="4" t="n">
        <v>44592</v>
      </c>
      <c r="C621" s="3" t="inlineStr">
        <is>
          <t>Assets</t>
        </is>
      </c>
      <c r="D621" s="3" t="inlineStr">
        <is>
          <t>7620/287</t>
        </is>
      </c>
      <c r="E621" s="3" t="inlineStr">
        <is>
          <t>HF CIP Structuring Fee - Development</t>
        </is>
      </c>
      <c r="F621" s="3" t="n">
        <v>0</v>
      </c>
      <c r="G621" s="3" t="n">
        <v>782608.0699999999</v>
      </c>
    </row>
    <row r="622">
      <c r="A622" s="3" t="inlineStr">
        <is>
          <t>Heron Fields (Pty) Ltd</t>
        </is>
      </c>
      <c r="B622" s="4" t="n">
        <v>44592</v>
      </c>
      <c r="C622" s="3" t="inlineStr">
        <is>
          <t>Assets</t>
        </is>
      </c>
      <c r="D622" s="3" t="inlineStr">
        <is>
          <t>7620/290</t>
        </is>
      </c>
      <c r="E622" s="3" t="inlineStr">
        <is>
          <t>HF CIP Town Planning</t>
        </is>
      </c>
      <c r="F622" s="3" t="n">
        <v>0</v>
      </c>
      <c r="G622" s="3" t="n">
        <v>129550</v>
      </c>
    </row>
    <row r="623">
      <c r="A623" s="3" t="inlineStr">
        <is>
          <t>Heron Fields (Pty) Ltd</t>
        </is>
      </c>
      <c r="B623" s="4" t="n">
        <v>44592</v>
      </c>
      <c r="C623" s="3" t="inlineStr">
        <is>
          <t>Assets</t>
        </is>
      </c>
      <c r="D623" s="3" t="inlineStr">
        <is>
          <t>7620/295</t>
        </is>
      </c>
      <c r="E623" s="3" t="inlineStr">
        <is>
          <t>HF CIP Traffic Planning</t>
        </is>
      </c>
      <c r="F623" s="3" t="n">
        <v>0</v>
      </c>
      <c r="G623" s="3" t="n">
        <v>45000</v>
      </c>
    </row>
    <row r="624">
      <c r="A624" s="3" t="inlineStr">
        <is>
          <t>Heron Fields (Pty) Ltd</t>
        </is>
      </c>
      <c r="B624" s="4" t="n">
        <v>44592</v>
      </c>
      <c r="C624" s="3" t="inlineStr">
        <is>
          <t>Assets</t>
        </is>
      </c>
      <c r="D624" s="3" t="inlineStr">
        <is>
          <t>7620/600</t>
        </is>
      </c>
      <c r="E624" s="3" t="inlineStr">
        <is>
          <t>HF CIP Eco work</t>
        </is>
      </c>
      <c r="F624" s="3" t="n">
        <v>6000</v>
      </c>
      <c r="G624" s="3" t="n">
        <v>48000</v>
      </c>
    </row>
    <row r="625">
      <c r="A625" s="3" t="inlineStr">
        <is>
          <t>Heron Fields (Pty) Ltd</t>
        </is>
      </c>
      <c r="B625" s="4" t="n">
        <v>44592</v>
      </c>
      <c r="C625" s="3" t="inlineStr">
        <is>
          <t>Assets</t>
        </is>
      </c>
      <c r="D625" s="3" t="inlineStr">
        <is>
          <t>7620/630</t>
        </is>
      </c>
      <c r="E625" s="3" t="inlineStr">
        <is>
          <t>HF CIP CoCT development contribution</t>
        </is>
      </c>
      <c r="F625" s="3" t="n">
        <v>48396.87</v>
      </c>
      <c r="G625" s="3" t="n">
        <v>627209.14</v>
      </c>
    </row>
    <row r="626">
      <c r="A626" s="3" t="inlineStr">
        <is>
          <t>Heron Fields (Pty) Ltd</t>
        </is>
      </c>
      <c r="B626" s="4" t="n">
        <v>44592</v>
      </c>
      <c r="C626" s="3" t="inlineStr">
        <is>
          <t>Assets</t>
        </is>
      </c>
      <c r="D626" s="3" t="inlineStr">
        <is>
          <t>7620/640</t>
        </is>
      </c>
      <c r="E626" s="3" t="inlineStr">
        <is>
          <t>HF CIP Project costs</t>
        </is>
      </c>
      <c r="F626" s="3" t="n">
        <v>302206.85</v>
      </c>
      <c r="G626" s="3" t="n">
        <v>622274.51</v>
      </c>
    </row>
    <row r="627">
      <c r="A627" s="3" t="inlineStr">
        <is>
          <t>Cape Projects Construction (Pty) Ltd</t>
        </is>
      </c>
      <c r="B627" s="4" t="n">
        <v>44592</v>
      </c>
      <c r="C627" s="3" t="inlineStr">
        <is>
          <t>Assets</t>
        </is>
      </c>
      <c r="D627" s="3" t="inlineStr">
        <is>
          <t>7800/000</t>
        </is>
      </c>
      <c r="E627" s="3" t="inlineStr">
        <is>
          <t>Deposits paid</t>
        </is>
      </c>
      <c r="F627" s="3" t="n">
        <v>0</v>
      </c>
      <c r="G627" s="3" t="n">
        <v>6875.45</v>
      </c>
    </row>
    <row r="628">
      <c r="A628" s="3" t="inlineStr">
        <is>
          <t>Cape Projects Construction (Pty) Ltd</t>
        </is>
      </c>
      <c r="B628" s="4" t="n">
        <v>44592</v>
      </c>
      <c r="C628" s="3" t="inlineStr">
        <is>
          <t>Assets</t>
        </is>
      </c>
      <c r="D628" s="3" t="inlineStr">
        <is>
          <t>8000/000</t>
        </is>
      </c>
      <c r="E628" s="3" t="inlineStr">
        <is>
          <t>Customer Control Account</t>
        </is>
      </c>
      <c r="F628" s="3" t="n">
        <v>875168.84</v>
      </c>
      <c r="G628" s="3" t="n">
        <v>2398530.51</v>
      </c>
    </row>
    <row r="629">
      <c r="A629" s="3" t="inlineStr">
        <is>
          <t>Cape Projects Construction (Pty) Ltd</t>
        </is>
      </c>
      <c r="B629" s="4" t="n">
        <v>44592</v>
      </c>
      <c r="C629" s="3" t="inlineStr">
        <is>
          <t>Assets</t>
        </is>
      </c>
      <c r="D629" s="3" t="inlineStr">
        <is>
          <t>8200/010</t>
        </is>
      </c>
      <c r="E629" s="3" t="inlineStr">
        <is>
          <t>Prepayments / Prepaid Expenses</t>
        </is>
      </c>
      <c r="F629" s="3" t="n">
        <v>-2867.09</v>
      </c>
      <c r="G629" s="3" t="n">
        <v>17202.57</v>
      </c>
    </row>
    <row r="630">
      <c r="A630" s="3" t="inlineStr">
        <is>
          <t>Heron Fields (Pty) Ltd</t>
        </is>
      </c>
      <c r="B630" s="4" t="n">
        <v>44592</v>
      </c>
      <c r="C630" s="3" t="inlineStr">
        <is>
          <t>Assets</t>
        </is>
      </c>
      <c r="D630" s="3" t="inlineStr">
        <is>
          <t>8200/200</t>
        </is>
      </c>
      <c r="E630" s="3" t="inlineStr">
        <is>
          <t>Sundry Debtor - Quinate</t>
        </is>
      </c>
      <c r="F630" s="3" t="n">
        <v>0</v>
      </c>
      <c r="G630" s="3" t="n">
        <v>300000</v>
      </c>
    </row>
    <row r="631">
      <c r="A631" s="3" t="inlineStr">
        <is>
          <t>Heron Fields (Pty) Ltd</t>
        </is>
      </c>
      <c r="B631" s="4" t="n">
        <v>44592</v>
      </c>
      <c r="C631" s="3" t="inlineStr">
        <is>
          <t>Assets</t>
        </is>
      </c>
      <c r="D631" s="3" t="inlineStr">
        <is>
          <t>8400/000</t>
        </is>
      </c>
      <c r="E631" s="3" t="inlineStr">
        <is>
          <t>RMB - 62882379087</t>
        </is>
      </c>
      <c r="F631" s="3" t="n">
        <v>-6494.83</v>
      </c>
      <c r="G631" s="3" t="n">
        <v>39591.37</v>
      </c>
    </row>
    <row r="632">
      <c r="A632" s="3" t="inlineStr">
        <is>
          <t>Cape Projects Construction (Pty) Ltd</t>
        </is>
      </c>
      <c r="B632" s="4" t="n">
        <v>44592</v>
      </c>
      <c r="C632" s="3" t="inlineStr">
        <is>
          <t>Assets</t>
        </is>
      </c>
      <c r="D632" s="3" t="inlineStr">
        <is>
          <t>8400/000</t>
        </is>
      </c>
      <c r="E632" s="3" t="inlineStr">
        <is>
          <t>RMB 62275138470</t>
        </is>
      </c>
      <c r="F632" s="3" t="n">
        <v>-26733.06</v>
      </c>
      <c r="G632" s="3" t="n">
        <v>12870.84</v>
      </c>
    </row>
    <row r="633">
      <c r="A633" s="3" t="inlineStr">
        <is>
          <t>Cape Projects Construction (Pty) Ltd</t>
        </is>
      </c>
      <c r="B633" s="4" t="n">
        <v>44592</v>
      </c>
      <c r="C633" s="3" t="inlineStr">
        <is>
          <t>Assets</t>
        </is>
      </c>
      <c r="D633" s="3" t="inlineStr">
        <is>
          <t>8410/000</t>
        </is>
      </c>
      <c r="E633" s="3" t="inlineStr">
        <is>
          <t>Petty Cash</t>
        </is>
      </c>
      <c r="F633" s="3" t="n">
        <v>960.1</v>
      </c>
      <c r="G633" s="3" t="n">
        <v>1006.8</v>
      </c>
    </row>
    <row r="634">
      <c r="A634" s="3" t="inlineStr">
        <is>
          <t>Cape Projects Construction (Pty) Ltd</t>
        </is>
      </c>
      <c r="B634" s="4" t="n">
        <v>44592</v>
      </c>
      <c r="C634" s="3" t="inlineStr">
        <is>
          <t>Assets</t>
        </is>
      </c>
      <c r="D634" s="3" t="inlineStr">
        <is>
          <t>8420/000</t>
        </is>
      </c>
      <c r="E634" s="3" t="inlineStr">
        <is>
          <t>Momentum Priv Acc RU502230981</t>
        </is>
      </c>
      <c r="F634" s="3" t="n">
        <v>1.98</v>
      </c>
      <c r="G634" s="3" t="n">
        <v>507.84</v>
      </c>
    </row>
    <row r="635">
      <c r="A635" s="3" t="inlineStr">
        <is>
          <t>Heron Fields (Pty) Ltd</t>
        </is>
      </c>
      <c r="B635" s="4" t="n">
        <v>44592</v>
      </c>
      <c r="C635" s="3" t="inlineStr">
        <is>
          <t>Assets</t>
        </is>
      </c>
      <c r="D635" s="3" t="inlineStr">
        <is>
          <t>8430/000</t>
        </is>
      </c>
      <c r="E635" s="3" t="inlineStr">
        <is>
          <t>Momentum Private Account RU502230151</t>
        </is>
      </c>
      <c r="F635" s="3" t="n">
        <v>-0.38</v>
      </c>
      <c r="G635" s="3" t="n">
        <v>779.47</v>
      </c>
    </row>
    <row r="636">
      <c r="A636" s="3" t="inlineStr">
        <is>
          <t>Heron Fields (Pty) Ltd</t>
        </is>
      </c>
      <c r="B636" s="4" t="n">
        <v>44592</v>
      </c>
      <c r="C636" s="3" t="inlineStr">
        <is>
          <t>Assets</t>
        </is>
      </c>
      <c r="D636" s="3" t="inlineStr">
        <is>
          <t>8440/000</t>
        </is>
      </c>
      <c r="E636" s="3" t="inlineStr">
        <is>
          <t>Momentum Investors Account RU502229930</t>
        </is>
      </c>
      <c r="F636" s="3" t="n">
        <v>-1677679.31</v>
      </c>
      <c r="G636" s="3" t="n">
        <v>7502655.8</v>
      </c>
    </row>
    <row r="637">
      <c r="A637" s="3" t="inlineStr">
        <is>
          <t>Cape Projects Construction (Pty) Ltd</t>
        </is>
      </c>
      <c r="B637" s="4" t="n">
        <v>44592</v>
      </c>
      <c r="C637" s="3" t="inlineStr">
        <is>
          <t>Liabilities</t>
        </is>
      </c>
      <c r="D637" s="3" t="inlineStr">
        <is>
          <t>860</t>
        </is>
      </c>
      <c r="E637" s="3" t="inlineStr">
        <is>
          <t>Rounding</t>
        </is>
      </c>
      <c r="F637" s="3" t="n">
        <v>0.01</v>
      </c>
      <c r="G637" s="3" t="n">
        <v>-0.01</v>
      </c>
    </row>
    <row r="638">
      <c r="A638" s="3" t="inlineStr">
        <is>
          <t>Heron Fields (Pty) Ltd</t>
        </is>
      </c>
      <c r="B638" s="4" t="n">
        <v>44592</v>
      </c>
      <c r="C638" s="3" t="inlineStr">
        <is>
          <t>Liabilities</t>
        </is>
      </c>
      <c r="D638" s="3" t="inlineStr">
        <is>
          <t>860</t>
        </is>
      </c>
      <c r="E638" s="3" t="inlineStr">
        <is>
          <t>Rounding</t>
        </is>
      </c>
      <c r="F638" s="3" t="n">
        <v>0</v>
      </c>
      <c r="G638" s="3" t="n">
        <v>0.01</v>
      </c>
    </row>
    <row r="639">
      <c r="A639" s="3" t="inlineStr">
        <is>
          <t>Cape Projects Construction (Pty) Ltd</t>
        </is>
      </c>
      <c r="B639" s="4" t="n">
        <v>44592</v>
      </c>
      <c r="C639" s="3" t="inlineStr">
        <is>
          <t>Liabilities</t>
        </is>
      </c>
      <c r="D639" s="3" t="inlineStr">
        <is>
          <t>9000/000</t>
        </is>
      </c>
      <c r="E639" s="3" t="inlineStr">
        <is>
          <t>Supplier Control Account</t>
        </is>
      </c>
      <c r="F639" s="3" t="n">
        <v>32778.03</v>
      </c>
      <c r="G639" s="3" t="n">
        <v>-1341008.76</v>
      </c>
    </row>
    <row r="640">
      <c r="A640" s="3" t="inlineStr">
        <is>
          <t>Heron Fields (Pty) Ltd</t>
        </is>
      </c>
      <c r="B640" s="4" t="n">
        <v>44592</v>
      </c>
      <c r="C640" s="3" t="inlineStr">
        <is>
          <t>Liabilities</t>
        </is>
      </c>
      <c r="D640" s="3" t="inlineStr">
        <is>
          <t>9000/000</t>
        </is>
      </c>
      <c r="E640" s="3" t="inlineStr">
        <is>
          <t>Supplier Control Account</t>
        </is>
      </c>
      <c r="F640" s="3" t="n">
        <v>728773</v>
      </c>
      <c r="G640" s="3" t="n">
        <v>-45827170.33</v>
      </c>
    </row>
    <row r="641">
      <c r="A641" s="3" t="inlineStr">
        <is>
          <t>Cape Projects Construction (Pty) Ltd</t>
        </is>
      </c>
      <c r="B641" s="4" t="n">
        <v>44592</v>
      </c>
      <c r="C641" s="3" t="inlineStr">
        <is>
          <t>Liabilities</t>
        </is>
      </c>
      <c r="D641" s="3" t="inlineStr">
        <is>
          <t>9250/010</t>
        </is>
      </c>
      <c r="E641" s="3" t="inlineStr">
        <is>
          <t>SALARY CONTROL</t>
        </is>
      </c>
      <c r="F641" s="3" t="n">
        <v>-5336.82</v>
      </c>
      <c r="G641" s="3" t="n">
        <v>-2336.82</v>
      </c>
    </row>
    <row r="642">
      <c r="A642" s="3" t="inlineStr">
        <is>
          <t>Cape Projects Construction (Pty) Ltd</t>
        </is>
      </c>
      <c r="B642" s="4" t="n">
        <v>44592</v>
      </c>
      <c r="C642" s="3" t="inlineStr">
        <is>
          <t>Liabilities</t>
        </is>
      </c>
      <c r="D642" s="3" t="inlineStr">
        <is>
          <t>9250/020</t>
        </is>
      </c>
      <c r="E642" s="3" t="inlineStr">
        <is>
          <t>PAYE, UIF AND SDL CONTROL</t>
        </is>
      </c>
      <c r="F642" s="3" t="n">
        <v>-4332.29</v>
      </c>
      <c r="G642" s="3" t="n">
        <v>-35960.62</v>
      </c>
    </row>
    <row r="643">
      <c r="A643" s="3" t="inlineStr">
        <is>
          <t>Cape Projects Construction (Pty) Ltd</t>
        </is>
      </c>
      <c r="B643" s="4" t="n">
        <v>44592</v>
      </c>
      <c r="C643" s="3" t="inlineStr">
        <is>
          <t>Liabilities</t>
        </is>
      </c>
      <c r="D643" s="3" t="inlineStr">
        <is>
          <t>9250/030</t>
        </is>
      </c>
      <c r="E643" s="3" t="inlineStr">
        <is>
          <t>BIBC CONTROL</t>
        </is>
      </c>
      <c r="F643" s="3" t="n">
        <v>-204.56</v>
      </c>
      <c r="G643" s="3" t="n">
        <v>-204.56</v>
      </c>
    </row>
    <row r="644">
      <c r="A644" s="3" t="inlineStr">
        <is>
          <t>Cape Projects Construction (Pty) Ltd</t>
        </is>
      </c>
      <c r="B644" s="4" t="n">
        <v>44592</v>
      </c>
      <c r="C644" s="3" t="inlineStr">
        <is>
          <t>Liabilities</t>
        </is>
      </c>
      <c r="D644" s="3" t="inlineStr">
        <is>
          <t>9500/000</t>
        </is>
      </c>
      <c r="E644" s="3" t="inlineStr">
        <is>
          <t>VAT Control Account</t>
        </is>
      </c>
      <c r="F644" s="3" t="n">
        <v>-47934.75</v>
      </c>
      <c r="G644" s="3" t="n">
        <v>-739830.77</v>
      </c>
    </row>
    <row r="645">
      <c r="A645" s="3" t="inlineStr">
        <is>
          <t>Heron Fields (Pty) Ltd</t>
        </is>
      </c>
      <c r="B645" s="4" t="n">
        <v>44592</v>
      </c>
      <c r="C645" s="3" t="inlineStr">
        <is>
          <t>Liabilities</t>
        </is>
      </c>
      <c r="D645" s="3" t="inlineStr">
        <is>
          <t>9500/000</t>
        </is>
      </c>
      <c r="E645" s="3" t="inlineStr">
        <is>
          <t>Vat / Tax Control Account</t>
        </is>
      </c>
      <c r="F645" s="3" t="n">
        <v>-193835.89</v>
      </c>
      <c r="G645" s="3" t="n">
        <v>785539.05</v>
      </c>
    </row>
    <row r="646">
      <c r="A646" s="3" t="inlineStr">
        <is>
          <t>Cape Projects Construction (Pty) Ltd</t>
        </is>
      </c>
      <c r="B646" s="4" t="n">
        <v>44592</v>
      </c>
      <c r="C646" s="3" t="inlineStr">
        <is>
          <t>Liabilities</t>
        </is>
      </c>
      <c r="D646" s="3" t="inlineStr">
        <is>
          <t>B/S</t>
        </is>
      </c>
      <c r="E646" s="3" t="inlineStr">
        <is>
          <t>Taxation Payable</t>
        </is>
      </c>
      <c r="F646" s="3" t="n">
        <v>-5260.33</v>
      </c>
      <c r="G646" s="3" t="n">
        <v>2487.82</v>
      </c>
    </row>
    <row r="647">
      <c r="A647" s="3" t="inlineStr">
        <is>
          <t>Cape Projects Construction (Pty) Ltd</t>
        </is>
      </c>
      <c r="B647" s="4" t="n">
        <v>44592</v>
      </c>
      <c r="C647" s="3" t="inlineStr">
        <is>
          <t>Liabilities</t>
        </is>
      </c>
      <c r="D647" s="3" t="inlineStr">
        <is>
          <t>TEMP/ACC</t>
        </is>
      </c>
      <c r="E647" s="3" t="inlineStr">
        <is>
          <t>Conversion Account</t>
        </is>
      </c>
      <c r="F647" s="3" t="n">
        <v>0</v>
      </c>
      <c r="G647" s="3" t="n">
        <v>-254.99</v>
      </c>
    </row>
    <row r="648">
      <c r="A648" s="3" t="inlineStr">
        <is>
          <t>Cape Projects Construction (Pty) Ltd</t>
        </is>
      </c>
      <c r="B648" s="4" t="n">
        <v>44620</v>
      </c>
      <c r="C648" s="3" t="inlineStr">
        <is>
          <t>Revenue</t>
        </is>
      </c>
      <c r="D648" s="3" t="inlineStr">
        <is>
          <t>1040/100</t>
        </is>
      </c>
      <c r="E648" s="3" t="inlineStr">
        <is>
          <t>Fees - Construction - Heron</t>
        </is>
      </c>
      <c r="F648" s="3" t="n">
        <v>-86725.09</v>
      </c>
      <c r="G648" s="3" t="n">
        <v>-160638.13</v>
      </c>
    </row>
    <row r="649">
      <c r="A649" s="3" t="inlineStr">
        <is>
          <t>Cape Projects Construction (Pty) Ltd</t>
        </is>
      </c>
      <c r="B649" s="4" t="n">
        <v>44620</v>
      </c>
      <c r="C649" s="3" t="inlineStr">
        <is>
          <t>Revenue</t>
        </is>
      </c>
      <c r="D649" s="3" t="inlineStr">
        <is>
          <t>1050/030</t>
        </is>
      </c>
      <c r="E649" s="3" t="inlineStr">
        <is>
          <t>Fees - Construction - Endulini</t>
        </is>
      </c>
      <c r="F649" s="3" t="n">
        <v>-2841528.05</v>
      </c>
      <c r="G649" s="3" t="n">
        <v>-17741366.12</v>
      </c>
    </row>
    <row r="650">
      <c r="A650" s="3" t="inlineStr">
        <is>
          <t>Cape Projects Construction (Pty) Ltd</t>
        </is>
      </c>
      <c r="B650" s="4" t="n">
        <v>44620</v>
      </c>
      <c r="C650" s="3" t="inlineStr">
        <is>
          <t>Revenue</t>
        </is>
      </c>
      <c r="D650" s="3" t="inlineStr">
        <is>
          <t>1050/032</t>
        </is>
      </c>
      <c r="E650" s="3" t="inlineStr">
        <is>
          <t>Fees - Construction - Endulini P and G</t>
        </is>
      </c>
      <c r="F650" s="3" t="n">
        <v>-483764.47</v>
      </c>
      <c r="G650" s="3" t="n">
        <v>-2966308.21</v>
      </c>
    </row>
    <row r="651">
      <c r="A651" s="3" t="inlineStr">
        <is>
          <t>Cape Projects Construction (Pty) Ltd</t>
        </is>
      </c>
      <c r="B651" s="4" t="n">
        <v>44620</v>
      </c>
      <c r="C651" s="3" t="inlineStr">
        <is>
          <t>Revenue</t>
        </is>
      </c>
      <c r="D651" s="3" t="inlineStr">
        <is>
          <t>1060/000</t>
        </is>
      </c>
      <c r="E651" s="3" t="inlineStr">
        <is>
          <t>Insurance recovery</t>
        </is>
      </c>
      <c r="F651" s="3" t="n">
        <v>0</v>
      </c>
      <c r="G651" s="3" t="n">
        <v>387.08</v>
      </c>
    </row>
    <row r="652">
      <c r="A652" s="3" t="inlineStr">
        <is>
          <t>Cape Projects Construction (Pty) Ltd</t>
        </is>
      </c>
      <c r="B652" s="4" t="n">
        <v>44620</v>
      </c>
      <c r="C652" s="3" t="inlineStr">
        <is>
          <t>Revenue</t>
        </is>
      </c>
      <c r="D652" s="3" t="inlineStr">
        <is>
          <t>1070/000</t>
        </is>
      </c>
      <c r="E652" s="3" t="inlineStr">
        <is>
          <t>Rent - CT Office</t>
        </is>
      </c>
      <c r="F652" s="3" t="n">
        <v>-3490.94</v>
      </c>
      <c r="G652" s="3" t="n">
        <v>-10472.82</v>
      </c>
    </row>
    <row r="653">
      <c r="A653" s="3" t="inlineStr">
        <is>
          <t>Heron Fields (Pty) Ltd</t>
        </is>
      </c>
      <c r="B653" s="4" t="n">
        <v>44620</v>
      </c>
      <c r="C653" s="3" t="inlineStr">
        <is>
          <t>Revenue</t>
        </is>
      </c>
      <c r="D653" s="3" t="inlineStr">
        <is>
          <t>1500/001</t>
        </is>
      </c>
      <c r="E653" s="3" t="inlineStr">
        <is>
          <t>Revaluation of Land</t>
        </is>
      </c>
      <c r="F653" s="3" t="n">
        <v>2150682.83</v>
      </c>
      <c r="G653" s="3" t="n">
        <v>-17562360.85</v>
      </c>
    </row>
    <row r="654">
      <c r="A654" s="3" t="inlineStr">
        <is>
          <t>Heron Fields (Pty) Ltd</t>
        </is>
      </c>
      <c r="B654" s="4" t="n">
        <v>44620</v>
      </c>
      <c r="C654" s="3" t="inlineStr">
        <is>
          <t>Expenses</t>
        </is>
      </c>
      <c r="D654" s="3" t="inlineStr">
        <is>
          <t>2000/020</t>
        </is>
      </c>
      <c r="E654" s="3" t="inlineStr">
        <is>
          <t>COS - Heron sales office</t>
        </is>
      </c>
      <c r="F654" s="3" t="n">
        <v>0</v>
      </c>
      <c r="G654" s="3" t="n">
        <v>9814</v>
      </c>
    </row>
    <row r="655">
      <c r="A655" s="3" t="inlineStr">
        <is>
          <t>Cape Projects Construction (Pty) Ltd</t>
        </is>
      </c>
      <c r="B655" s="4" t="n">
        <v>44620</v>
      </c>
      <c r="C655" s="3" t="inlineStr">
        <is>
          <t>Expenses</t>
        </is>
      </c>
      <c r="D655" s="3" t="inlineStr">
        <is>
          <t>2001/043</t>
        </is>
      </c>
      <c r="E655" s="3" t="inlineStr">
        <is>
          <t>COS - Site Establishment - Consumables</t>
        </is>
      </c>
      <c r="F655" s="3" t="n">
        <v>0</v>
      </c>
      <c r="G655" s="3" t="n">
        <v>1207.35</v>
      </c>
    </row>
    <row r="656">
      <c r="A656" s="3" t="inlineStr">
        <is>
          <t>Cape Projects Construction (Pty) Ltd</t>
        </is>
      </c>
      <c r="B656" s="4" t="n">
        <v>44620</v>
      </c>
      <c r="C656" s="3" t="inlineStr">
        <is>
          <t>Expenses</t>
        </is>
      </c>
      <c r="D656" s="3" t="inlineStr">
        <is>
          <t>2001/048</t>
        </is>
      </c>
      <c r="E656" s="3" t="inlineStr">
        <is>
          <t>COS - Site Establishment Water Pump</t>
        </is>
      </c>
      <c r="F656" s="3" t="n">
        <v>0</v>
      </c>
      <c r="G656" s="3" t="n">
        <v>4850</v>
      </c>
    </row>
    <row r="657">
      <c r="A657" s="3" t="inlineStr">
        <is>
          <t>Cape Projects Construction (Pty) Ltd</t>
        </is>
      </c>
      <c r="B657" s="4" t="n">
        <v>44620</v>
      </c>
      <c r="C657" s="3" t="inlineStr">
        <is>
          <t>Expenses</t>
        </is>
      </c>
      <c r="D657" s="3" t="inlineStr">
        <is>
          <t>2001/109</t>
        </is>
      </c>
      <c r="E657" s="3" t="inlineStr">
        <is>
          <t>COS - Site Labour Labourers</t>
        </is>
      </c>
      <c r="F657" s="3" t="n">
        <v>0</v>
      </c>
      <c r="G657" s="3" t="n">
        <v>3900</v>
      </c>
    </row>
    <row r="658">
      <c r="A658" s="3" t="inlineStr">
        <is>
          <t>Cape Projects Construction (Pty) Ltd</t>
        </is>
      </c>
      <c r="B658" s="4" t="n">
        <v>44620</v>
      </c>
      <c r="C658" s="3" t="inlineStr">
        <is>
          <t>Expenses</t>
        </is>
      </c>
      <c r="D658" s="3" t="inlineStr">
        <is>
          <t>2005/200</t>
        </is>
      </c>
      <c r="E658" s="3" t="inlineStr">
        <is>
          <t>COS - External Works</t>
        </is>
      </c>
      <c r="F658" s="3" t="n">
        <v>9290</v>
      </c>
      <c r="G658" s="3" t="n">
        <v>9290</v>
      </c>
    </row>
    <row r="659">
      <c r="A659" s="3" t="inlineStr">
        <is>
          <t>Cape Projects Construction (Pty) Ltd</t>
        </is>
      </c>
      <c r="B659" s="4" t="n">
        <v>44620</v>
      </c>
      <c r="C659" s="3" t="inlineStr">
        <is>
          <t>Expenses</t>
        </is>
      </c>
      <c r="D659" s="3" t="inlineStr">
        <is>
          <t>2006/000</t>
        </is>
      </c>
      <c r="E659" s="3" t="inlineStr">
        <is>
          <t>COS - Endulini Construction</t>
        </is>
      </c>
      <c r="F659" s="3" t="n">
        <v>2059518.81</v>
      </c>
      <c r="G659" s="3" t="n">
        <v>15328368.1</v>
      </c>
    </row>
    <row r="660">
      <c r="A660" s="3" t="inlineStr">
        <is>
          <t>Cape Projects Construction (Pty) Ltd</t>
        </is>
      </c>
      <c r="B660" s="4" t="n">
        <v>44620</v>
      </c>
      <c r="C660" s="3" t="inlineStr">
        <is>
          <t>Expenses</t>
        </is>
      </c>
      <c r="D660" s="3" t="inlineStr">
        <is>
          <t>2006/100</t>
        </is>
      </c>
      <c r="E660" s="3" t="inlineStr">
        <is>
          <t>COS - Endulini P and G</t>
        </is>
      </c>
      <c r="F660" s="3" t="n">
        <v>49740.59</v>
      </c>
      <c r="G660" s="3" t="n">
        <v>399319.19</v>
      </c>
    </row>
    <row r="661">
      <c r="A661" s="3" t="inlineStr">
        <is>
          <t>Cape Projects Construction (Pty) Ltd</t>
        </is>
      </c>
      <c r="B661" s="4" t="n">
        <v>44620</v>
      </c>
      <c r="C661" s="3" t="inlineStr">
        <is>
          <t>Expenses</t>
        </is>
      </c>
      <c r="D661" s="3" t="inlineStr">
        <is>
          <t>2006/200</t>
        </is>
      </c>
      <c r="E661" s="3" t="inlineStr">
        <is>
          <t>COS - Insurance</t>
        </is>
      </c>
      <c r="F661" s="3" t="n">
        <v>2867.1</v>
      </c>
      <c r="G661" s="3" t="n">
        <v>20069.65</v>
      </c>
    </row>
    <row r="662">
      <c r="A662" s="3" t="inlineStr">
        <is>
          <t>Cape Projects Construction (Pty) Ltd</t>
        </is>
      </c>
      <c r="B662" s="4" t="n">
        <v>44620</v>
      </c>
      <c r="C662" s="3" t="inlineStr">
        <is>
          <t>Expenses</t>
        </is>
      </c>
      <c r="D662" s="3" t="inlineStr">
        <is>
          <t>2006/300</t>
        </is>
      </c>
      <c r="E662" s="3" t="inlineStr">
        <is>
          <t>COS - Endulini - Printing &amp; Stationary</t>
        </is>
      </c>
      <c r="F662" s="3" t="n">
        <v>292.58</v>
      </c>
      <c r="G662" s="3" t="n">
        <v>1121.02</v>
      </c>
    </row>
    <row r="663">
      <c r="A663" s="3" t="inlineStr">
        <is>
          <t>Cape Projects Construction (Pty) Ltd</t>
        </is>
      </c>
      <c r="B663" s="4" t="n">
        <v>44620</v>
      </c>
      <c r="C663" s="3" t="inlineStr">
        <is>
          <t>Expenses</t>
        </is>
      </c>
      <c r="D663" s="3" t="inlineStr">
        <is>
          <t>2006/350</t>
        </is>
      </c>
      <c r="E663" s="3" t="inlineStr">
        <is>
          <t>COS - Endulini - Security</t>
        </is>
      </c>
      <c r="F663" s="3" t="n">
        <v>42509.65</v>
      </c>
      <c r="G663" s="3" t="n">
        <v>92009.64999999999</v>
      </c>
    </row>
    <row r="664">
      <c r="A664" s="3" t="inlineStr">
        <is>
          <t>Cape Projects Construction (Pty) Ltd</t>
        </is>
      </c>
      <c r="B664" s="4" t="n">
        <v>44620</v>
      </c>
      <c r="C664" s="3" t="inlineStr">
        <is>
          <t>Expenses</t>
        </is>
      </c>
      <c r="D664" s="3" t="inlineStr">
        <is>
          <t>2006/400</t>
        </is>
      </c>
      <c r="E664" s="3" t="inlineStr">
        <is>
          <t>COS - Endulini - Health &amp; Safety</t>
        </is>
      </c>
      <c r="F664" s="3" t="n">
        <v>3655</v>
      </c>
      <c r="G664" s="3" t="n">
        <v>38828.36</v>
      </c>
    </row>
    <row r="665">
      <c r="A665" s="3" t="inlineStr">
        <is>
          <t>Cape Projects Construction (Pty) Ltd</t>
        </is>
      </c>
      <c r="B665" s="4" t="n">
        <v>44620</v>
      </c>
      <c r="C665" s="3" t="inlineStr">
        <is>
          <t>Expenses</t>
        </is>
      </c>
      <c r="D665" s="3" t="inlineStr">
        <is>
          <t>2006/500</t>
        </is>
      </c>
      <c r="E665" s="3" t="inlineStr">
        <is>
          <t>COS - Endulini - Small Assets</t>
        </is>
      </c>
      <c r="F665" s="3" t="n">
        <v>1951.3</v>
      </c>
      <c r="G665" s="3" t="n">
        <v>15796.19</v>
      </c>
    </row>
    <row r="666">
      <c r="A666" s="3" t="inlineStr">
        <is>
          <t>Cape Projects Construction (Pty) Ltd</t>
        </is>
      </c>
      <c r="B666" s="4" t="n">
        <v>44620</v>
      </c>
      <c r="C666" s="3" t="inlineStr">
        <is>
          <t>Expenses</t>
        </is>
      </c>
      <c r="D666" s="3" t="inlineStr">
        <is>
          <t>2006/550</t>
        </is>
      </c>
      <c r="E666" s="3" t="inlineStr">
        <is>
          <t>COS - Endulini - Cleaning</t>
        </is>
      </c>
      <c r="F666" s="3" t="n">
        <v>0</v>
      </c>
      <c r="G666" s="3" t="n">
        <v>15000</v>
      </c>
    </row>
    <row r="667">
      <c r="A667" s="3" t="inlineStr">
        <is>
          <t>Cape Projects Construction (Pty) Ltd</t>
        </is>
      </c>
      <c r="B667" s="4" t="n">
        <v>44620</v>
      </c>
      <c r="C667" s="3" t="inlineStr">
        <is>
          <t>Expenses</t>
        </is>
      </c>
      <c r="D667" s="3" t="inlineStr">
        <is>
          <t>2006/600</t>
        </is>
      </c>
      <c r="E667" s="3" t="inlineStr">
        <is>
          <t>COS - Endulini - Consumables</t>
        </is>
      </c>
      <c r="F667" s="3" t="n">
        <v>0</v>
      </c>
      <c r="G667" s="3" t="n">
        <v>691.29</v>
      </c>
    </row>
    <row r="668">
      <c r="A668" s="3" t="inlineStr">
        <is>
          <t>Cape Projects Construction (Pty) Ltd</t>
        </is>
      </c>
      <c r="B668" s="4" t="n">
        <v>44620</v>
      </c>
      <c r="C668" s="3" t="inlineStr">
        <is>
          <t>Expenses</t>
        </is>
      </c>
      <c r="D668" s="3" t="inlineStr">
        <is>
          <t>2006/700</t>
        </is>
      </c>
      <c r="E668" s="3" t="inlineStr">
        <is>
          <t>COS - Endulini - Fuel</t>
        </is>
      </c>
      <c r="F668" s="3" t="n">
        <v>6701.2</v>
      </c>
      <c r="G668" s="3" t="n">
        <v>27618.92</v>
      </c>
    </row>
    <row r="669">
      <c r="A669" s="3" t="inlineStr">
        <is>
          <t>Cape Projects Construction (Pty) Ltd</t>
        </is>
      </c>
      <c r="B669" s="4" t="n">
        <v>44620</v>
      </c>
      <c r="C669" s="3" t="inlineStr">
        <is>
          <t>Expenses</t>
        </is>
      </c>
      <c r="D669" s="3" t="inlineStr">
        <is>
          <t>2006/800</t>
        </is>
      </c>
      <c r="E669" s="3" t="inlineStr">
        <is>
          <t>COS - Endulini - Telephone &amp; Internet</t>
        </is>
      </c>
      <c r="F669" s="3" t="n">
        <v>3763.85</v>
      </c>
      <c r="G669" s="3" t="n">
        <v>10101.06</v>
      </c>
    </row>
    <row r="670">
      <c r="A670" s="3" t="inlineStr">
        <is>
          <t>Cape Projects Construction (Pty) Ltd</t>
        </is>
      </c>
      <c r="B670" s="4" t="n">
        <v>44620</v>
      </c>
      <c r="C670" s="3" t="inlineStr">
        <is>
          <t>Expenses</t>
        </is>
      </c>
      <c r="D670" s="3" t="inlineStr">
        <is>
          <t>2006/900</t>
        </is>
      </c>
      <c r="E670" s="3" t="inlineStr">
        <is>
          <t>COS - Endulini - Site Labour</t>
        </is>
      </c>
      <c r="F670" s="3" t="n">
        <v>0</v>
      </c>
      <c r="G670" s="3" t="n">
        <v>24820</v>
      </c>
    </row>
    <row r="671">
      <c r="A671" s="3" t="inlineStr">
        <is>
          <t>Cape Projects Construction (Pty) Ltd</t>
        </is>
      </c>
      <c r="B671" s="4" t="n">
        <v>44620</v>
      </c>
      <c r="C671" s="3" t="inlineStr">
        <is>
          <t>Expenses</t>
        </is>
      </c>
      <c r="D671" s="3" t="inlineStr">
        <is>
          <t>2007/000</t>
        </is>
      </c>
      <c r="E671" s="3" t="inlineStr">
        <is>
          <t>COS - Repairs &amp; Maintenance - SW Southwark</t>
        </is>
      </c>
      <c r="F671" s="3" t="n">
        <v>0</v>
      </c>
      <c r="G671" s="3" t="n">
        <v>24889.96</v>
      </c>
    </row>
    <row r="672">
      <c r="A672" s="3" t="inlineStr">
        <is>
          <t>Cape Projects Construction (Pty) Ltd</t>
        </is>
      </c>
      <c r="B672" s="4" t="n">
        <v>44620</v>
      </c>
      <c r="C672" s="3" t="inlineStr">
        <is>
          <t>Expenses</t>
        </is>
      </c>
      <c r="D672" s="3" t="inlineStr">
        <is>
          <t>2009/000</t>
        </is>
      </c>
      <c r="E672" s="3" t="inlineStr">
        <is>
          <t>COS - Repairs &amp; Maintenance - Endulini Sales Office</t>
        </is>
      </c>
      <c r="F672" s="3" t="n">
        <v>0</v>
      </c>
      <c r="G672" s="3" t="n">
        <v>2783.31</v>
      </c>
    </row>
    <row r="673">
      <c r="A673" s="3" t="inlineStr">
        <is>
          <t>Cape Projects Construction (Pty) Ltd</t>
        </is>
      </c>
      <c r="B673" s="4" t="n">
        <v>44620</v>
      </c>
      <c r="C673" s="3" t="inlineStr">
        <is>
          <t>Expenses</t>
        </is>
      </c>
      <c r="D673" s="3" t="inlineStr">
        <is>
          <t>2010/000</t>
        </is>
      </c>
      <c r="E673" s="3" t="inlineStr">
        <is>
          <t>COS - Repairs &amp; Maintenance - Heron Sales Office</t>
        </is>
      </c>
      <c r="F673" s="3" t="n">
        <v>0</v>
      </c>
      <c r="G673" s="3" t="n">
        <v>15997.39</v>
      </c>
    </row>
    <row r="674">
      <c r="A674" s="3" t="inlineStr">
        <is>
          <t>Cape Projects Construction (Pty) Ltd</t>
        </is>
      </c>
      <c r="B674" s="4" t="n">
        <v>44620</v>
      </c>
      <c r="C674" s="3" t="inlineStr">
        <is>
          <t>Expenses</t>
        </is>
      </c>
      <c r="D674" s="3" t="inlineStr">
        <is>
          <t>2011/100</t>
        </is>
      </c>
      <c r="E674" s="3" t="inlineStr">
        <is>
          <t>COS - Heron Fields - Garden Services</t>
        </is>
      </c>
      <c r="F674" s="3" t="n">
        <v>0</v>
      </c>
      <c r="G674" s="3" t="n">
        <v>450</v>
      </c>
    </row>
    <row r="675">
      <c r="A675" s="3" t="inlineStr">
        <is>
          <t>Cape Projects Construction (Pty) Ltd</t>
        </is>
      </c>
      <c r="B675" s="4" t="n">
        <v>44620</v>
      </c>
      <c r="C675" s="3" t="inlineStr">
        <is>
          <t>Expenses</t>
        </is>
      </c>
      <c r="D675" s="3" t="inlineStr">
        <is>
          <t>2011/200</t>
        </is>
      </c>
      <c r="E675" s="3" t="inlineStr">
        <is>
          <t>COS - Heron Fields - Labourers</t>
        </is>
      </c>
      <c r="F675" s="3" t="n">
        <v>4400</v>
      </c>
      <c r="G675" s="3" t="n">
        <v>8350</v>
      </c>
    </row>
    <row r="676">
      <c r="A676" s="3" t="inlineStr">
        <is>
          <t>Cape Projects Construction (Pty) Ltd</t>
        </is>
      </c>
      <c r="B676" s="4" t="n">
        <v>44620</v>
      </c>
      <c r="C676" s="3" t="inlineStr">
        <is>
          <t>Expenses</t>
        </is>
      </c>
      <c r="D676" s="3" t="inlineStr">
        <is>
          <t>2011/300</t>
        </is>
      </c>
      <c r="E676" s="3" t="inlineStr">
        <is>
          <t>COS - Heron Fields - Printing &amp; Stationary</t>
        </is>
      </c>
      <c r="F676" s="3" t="n">
        <v>1793.11</v>
      </c>
      <c r="G676" s="3" t="n">
        <v>2693.11</v>
      </c>
    </row>
    <row r="677">
      <c r="A677" s="3" t="inlineStr">
        <is>
          <t>Cape Projects Construction (Pty) Ltd</t>
        </is>
      </c>
      <c r="B677" s="4" t="n">
        <v>44620</v>
      </c>
      <c r="C677" s="3" t="inlineStr">
        <is>
          <t>Expenses</t>
        </is>
      </c>
      <c r="D677" s="3" t="inlineStr">
        <is>
          <t>2011/400</t>
        </is>
      </c>
      <c r="E677" s="3" t="inlineStr">
        <is>
          <t>COS - Heron - Sales office Staff refreshments</t>
        </is>
      </c>
      <c r="F677" s="3" t="n">
        <v>0</v>
      </c>
      <c r="G677" s="3" t="n">
        <v>2233.79</v>
      </c>
    </row>
    <row r="678">
      <c r="A678" s="3" t="inlineStr">
        <is>
          <t>Cape Projects Construction (Pty) Ltd</t>
        </is>
      </c>
      <c r="B678" s="4" t="n">
        <v>44620</v>
      </c>
      <c r="C678" s="3" t="inlineStr">
        <is>
          <t>Expenses</t>
        </is>
      </c>
      <c r="D678" s="3" t="inlineStr">
        <is>
          <t>2011/500</t>
        </is>
      </c>
      <c r="E678" s="3" t="inlineStr">
        <is>
          <t>COS - Heron Fields - Construction</t>
        </is>
      </c>
      <c r="F678" s="3" t="n">
        <v>124636.84</v>
      </c>
      <c r="G678" s="3" t="n">
        <v>154088.35</v>
      </c>
    </row>
    <row r="679">
      <c r="A679" s="3" t="inlineStr">
        <is>
          <t>Cape Projects Construction (Pty) Ltd</t>
        </is>
      </c>
      <c r="B679" s="4" t="n">
        <v>44620</v>
      </c>
      <c r="C679" s="3" t="inlineStr">
        <is>
          <t>Expenses</t>
        </is>
      </c>
      <c r="D679" s="3" t="inlineStr">
        <is>
          <t>2011/600</t>
        </is>
      </c>
      <c r="E679" s="3" t="inlineStr">
        <is>
          <t>COS - Heron Fields - P &amp; G</t>
        </is>
      </c>
      <c r="F679" s="3" t="n">
        <v>43190.56</v>
      </c>
      <c r="G679" s="3" t="n">
        <v>68008.83</v>
      </c>
    </row>
    <row r="680">
      <c r="A680" s="3" t="inlineStr">
        <is>
          <t>Cape Projects Construction (Pty) Ltd</t>
        </is>
      </c>
      <c r="B680" s="4" t="n">
        <v>44620</v>
      </c>
      <c r="C680" s="3" t="inlineStr">
        <is>
          <t>Expenses</t>
        </is>
      </c>
      <c r="D680" s="3" t="inlineStr">
        <is>
          <t>2011/700</t>
        </is>
      </c>
      <c r="E680" s="3" t="inlineStr">
        <is>
          <t>COS - Heron Fields - Health &amp; Safety</t>
        </is>
      </c>
      <c r="F680" s="3" t="n">
        <v>5331.45</v>
      </c>
      <c r="G680" s="3" t="n">
        <v>8516.610000000001</v>
      </c>
    </row>
    <row r="681">
      <c r="A681" s="3" t="inlineStr">
        <is>
          <t>Cape Projects Construction (Pty) Ltd</t>
        </is>
      </c>
      <c r="B681" s="4" t="n">
        <v>44620</v>
      </c>
      <c r="C681" s="3" t="inlineStr">
        <is>
          <t>Expenses</t>
        </is>
      </c>
      <c r="D681" s="3" t="inlineStr">
        <is>
          <t>2011/900</t>
        </is>
      </c>
      <c r="E681" s="3" t="inlineStr">
        <is>
          <t>COS - Heron - Internet</t>
        </is>
      </c>
      <c r="F681" s="3" t="n">
        <v>1085.22</v>
      </c>
      <c r="G681" s="3" t="n">
        <v>1085.22</v>
      </c>
    </row>
    <row r="682">
      <c r="A682" s="3" t="inlineStr">
        <is>
          <t>Cape Projects Construction (Pty) Ltd</t>
        </is>
      </c>
      <c r="B682" s="4" t="n">
        <v>44620</v>
      </c>
      <c r="C682" s="3" t="inlineStr">
        <is>
          <t>Revenue</t>
        </is>
      </c>
      <c r="D682" s="3" t="inlineStr">
        <is>
          <t>2700/000</t>
        </is>
      </c>
      <c r="E682" s="3" t="inlineStr">
        <is>
          <t>Discount Received for Cash</t>
        </is>
      </c>
      <c r="F682" s="3" t="n">
        <v>0</v>
      </c>
      <c r="G682" s="3" t="n">
        <v>4.36</v>
      </c>
    </row>
    <row r="683">
      <c r="A683" s="3" t="inlineStr">
        <is>
          <t>Cape Projects Construction (Pty) Ltd</t>
        </is>
      </c>
      <c r="B683" s="4" t="n">
        <v>44620</v>
      </c>
      <c r="C683" s="3" t="inlineStr">
        <is>
          <t>Expenses</t>
        </is>
      </c>
      <c r="D683" s="3" t="inlineStr">
        <is>
          <t>2700/100</t>
        </is>
      </c>
      <c r="E683" s="3" t="inlineStr">
        <is>
          <t>COS - Southwark - Printing</t>
        </is>
      </c>
      <c r="F683" s="3" t="n">
        <v>0</v>
      </c>
      <c r="G683" s="3" t="n">
        <v>83.48</v>
      </c>
    </row>
    <row r="684">
      <c r="A684" s="3" t="inlineStr">
        <is>
          <t>Cape Projects Construction (Pty) Ltd</t>
        </is>
      </c>
      <c r="B684" s="4" t="n">
        <v>44620</v>
      </c>
      <c r="C684" s="3" t="inlineStr">
        <is>
          <t>Revenue</t>
        </is>
      </c>
      <c r="D684" s="3" t="inlineStr">
        <is>
          <t>2751/001</t>
        </is>
      </c>
      <c r="E684" s="3" t="inlineStr">
        <is>
          <t>Interest received - Momentum</t>
        </is>
      </c>
      <c r="F684" s="3" t="n">
        <v>-1.8</v>
      </c>
      <c r="G684" s="3" t="n">
        <v>-9.640000000000001</v>
      </c>
    </row>
    <row r="685">
      <c r="A685" s="3" t="inlineStr">
        <is>
          <t>Heron Fields (Pty) Ltd</t>
        </is>
      </c>
      <c r="B685" s="4" t="n">
        <v>44620</v>
      </c>
      <c r="C685" s="3" t="inlineStr">
        <is>
          <t>Revenue</t>
        </is>
      </c>
      <c r="D685" s="3" t="inlineStr">
        <is>
          <t>2753/001</t>
        </is>
      </c>
      <c r="E685" s="3" t="inlineStr">
        <is>
          <t>Interest Received - Deposit Grey Heron</t>
        </is>
      </c>
      <c r="F685" s="3" t="n">
        <v>0</v>
      </c>
      <c r="G685" s="3" t="n">
        <v>-1245</v>
      </c>
    </row>
    <row r="686">
      <c r="A686" s="3" t="inlineStr">
        <is>
          <t>Heron Fields (Pty) Ltd</t>
        </is>
      </c>
      <c r="B686" s="4" t="n">
        <v>44620</v>
      </c>
      <c r="C686" s="3" t="inlineStr">
        <is>
          <t>Revenue</t>
        </is>
      </c>
      <c r="D686" s="3" t="inlineStr">
        <is>
          <t>2754/001</t>
        </is>
      </c>
      <c r="E686" s="3" t="inlineStr">
        <is>
          <t>Interest Received - STBB Trust Account</t>
        </is>
      </c>
      <c r="F686" s="3" t="n">
        <v>0</v>
      </c>
      <c r="G686" s="3" t="n">
        <v>-149149.4</v>
      </c>
    </row>
    <row r="687">
      <c r="A687" s="3" t="inlineStr">
        <is>
          <t>Heron Fields (Pty) Ltd</t>
        </is>
      </c>
      <c r="B687" s="4" t="n">
        <v>44620</v>
      </c>
      <c r="C687" s="3" t="inlineStr">
        <is>
          <t>Revenue</t>
        </is>
      </c>
      <c r="D687" s="3" t="inlineStr">
        <is>
          <t>2755/001</t>
        </is>
      </c>
      <c r="E687" s="3" t="inlineStr">
        <is>
          <t>Interest Received - Momentum</t>
        </is>
      </c>
      <c r="F687" s="3" t="n">
        <v>-17929.61</v>
      </c>
      <c r="G687" s="3" t="n">
        <v>-158992.44</v>
      </c>
    </row>
    <row r="688">
      <c r="A688" s="3" t="inlineStr">
        <is>
          <t>Heron Fields (Pty) Ltd</t>
        </is>
      </c>
      <c r="B688" s="4" t="n">
        <v>44620</v>
      </c>
      <c r="C688" s="3" t="inlineStr">
        <is>
          <t>Expenses</t>
        </is>
      </c>
      <c r="D688" s="3" t="inlineStr">
        <is>
          <t>3000/100</t>
        </is>
      </c>
      <c r="E688" s="3" t="inlineStr">
        <is>
          <t>Accounting - CIPC</t>
        </is>
      </c>
      <c r="F688" s="3" t="n">
        <v>0</v>
      </c>
      <c r="G688" s="3" t="n">
        <v>100</v>
      </c>
    </row>
    <row r="689">
      <c r="A689" s="3" t="inlineStr">
        <is>
          <t>Cape Projects Construction (Pty) Ltd</t>
        </is>
      </c>
      <c r="B689" s="4" t="n">
        <v>44620</v>
      </c>
      <c r="C689" s="3" t="inlineStr">
        <is>
          <t>Expenses</t>
        </is>
      </c>
      <c r="D689" s="3" t="inlineStr">
        <is>
          <t>3001/000</t>
        </is>
      </c>
      <c r="E689" s="3" t="inlineStr">
        <is>
          <t>Accounting Fees - Other</t>
        </is>
      </c>
      <c r="F689" s="3" t="n">
        <v>0</v>
      </c>
      <c r="G689" s="3" t="n">
        <v>2215</v>
      </c>
    </row>
    <row r="690">
      <c r="A690" s="3" t="inlineStr">
        <is>
          <t>Cape Projects Construction (Pty) Ltd</t>
        </is>
      </c>
      <c r="B690" s="4" t="n">
        <v>44620</v>
      </c>
      <c r="C690" s="3" t="inlineStr">
        <is>
          <t>Expenses</t>
        </is>
      </c>
      <c r="D690" s="3" t="inlineStr">
        <is>
          <t>3002/000</t>
        </is>
      </c>
      <c r="E690" s="3" t="inlineStr">
        <is>
          <t>Accounting Fees - Audit</t>
        </is>
      </c>
      <c r="F690" s="3" t="n">
        <v>13870</v>
      </c>
      <c r="G690" s="3" t="n">
        <v>17995</v>
      </c>
    </row>
    <row r="691">
      <c r="A691" s="3" t="inlineStr">
        <is>
          <t>Cape Projects Construction (Pty) Ltd</t>
        </is>
      </c>
      <c r="B691" s="4" t="n">
        <v>44620</v>
      </c>
      <c r="C691" s="3" t="inlineStr">
        <is>
          <t>Expenses</t>
        </is>
      </c>
      <c r="D691" s="3" t="inlineStr">
        <is>
          <t>3002/010</t>
        </is>
      </c>
      <c r="E691" s="3" t="inlineStr">
        <is>
          <t>Accounting Fee - PayrollWorx</t>
        </is>
      </c>
      <c r="F691" s="3" t="n">
        <v>0</v>
      </c>
      <c r="G691" s="3" t="n">
        <v>5575</v>
      </c>
    </row>
    <row r="692">
      <c r="A692" s="3" t="inlineStr">
        <is>
          <t>Cape Projects Construction (Pty) Ltd</t>
        </is>
      </c>
      <c r="B692" s="4" t="n">
        <v>44620</v>
      </c>
      <c r="C692" s="3" t="inlineStr">
        <is>
          <t>Expenses</t>
        </is>
      </c>
      <c r="D692" s="3" t="inlineStr">
        <is>
          <t>3004</t>
        </is>
      </c>
      <c r="E692" s="3" t="inlineStr">
        <is>
          <t>Accounting - Warwick</t>
        </is>
      </c>
      <c r="F692" s="3" t="n">
        <v>0</v>
      </c>
      <c r="G692" s="3" t="n">
        <v>107300</v>
      </c>
    </row>
    <row r="693">
      <c r="A693" s="3" t="inlineStr">
        <is>
          <t>Cape Projects Construction (Pty) Ltd</t>
        </is>
      </c>
      <c r="B693" s="4" t="n">
        <v>44620</v>
      </c>
      <c r="C693" s="3" t="inlineStr">
        <is>
          <t>Expenses</t>
        </is>
      </c>
      <c r="D693" s="3" t="inlineStr">
        <is>
          <t>3004/000</t>
        </is>
      </c>
      <c r="E693" s="3" t="inlineStr">
        <is>
          <t>Accounting Fees - Tax Dept.</t>
        </is>
      </c>
      <c r="F693" s="3" t="n">
        <v>0</v>
      </c>
      <c r="G693" s="3" t="n">
        <v>1847.5</v>
      </c>
    </row>
    <row r="694">
      <c r="A694" s="3" t="inlineStr">
        <is>
          <t>Cape Projects Construction (Pty) Ltd</t>
        </is>
      </c>
      <c r="B694" s="4" t="n">
        <v>44620</v>
      </c>
      <c r="C694" s="3" t="inlineStr">
        <is>
          <t>Expenses</t>
        </is>
      </c>
      <c r="D694" s="3" t="inlineStr">
        <is>
          <t>3005/000</t>
        </is>
      </c>
      <c r="E694" s="3" t="inlineStr">
        <is>
          <t>Accounting - Janine Theart</t>
        </is>
      </c>
      <c r="F694" s="3" t="n">
        <v>0</v>
      </c>
      <c r="G694" s="3" t="n">
        <v>51000</v>
      </c>
    </row>
    <row r="695">
      <c r="A695" s="3" t="inlineStr">
        <is>
          <t>Cape Projects Construction (Pty) Ltd</t>
        </is>
      </c>
      <c r="B695" s="4" t="n">
        <v>44620</v>
      </c>
      <c r="C695" s="3" t="inlineStr">
        <is>
          <t>Expenses</t>
        </is>
      </c>
      <c r="D695" s="3" t="inlineStr">
        <is>
          <t>3006</t>
        </is>
      </c>
      <c r="E695" s="3" t="inlineStr">
        <is>
          <t>Accounting - Deric Dudley</t>
        </is>
      </c>
      <c r="F695" s="3" t="n">
        <v>0</v>
      </c>
      <c r="G695" s="3" t="n">
        <v>190600</v>
      </c>
    </row>
    <row r="696">
      <c r="A696" s="3" t="inlineStr">
        <is>
          <t>Heron Fields (Pty) Ltd</t>
        </is>
      </c>
      <c r="B696" s="4" t="n">
        <v>44620</v>
      </c>
      <c r="C696" s="3" t="inlineStr">
        <is>
          <t>Expenses</t>
        </is>
      </c>
      <c r="D696" s="3" t="inlineStr">
        <is>
          <t>3010/100</t>
        </is>
      </c>
      <c r="E696" s="3" t="inlineStr">
        <is>
          <t>Admin - MBA</t>
        </is>
      </c>
      <c r="F696" s="3" t="n">
        <v>639.13</v>
      </c>
      <c r="G696" s="3" t="n">
        <v>639.13</v>
      </c>
    </row>
    <row r="697">
      <c r="A697" s="3" t="inlineStr">
        <is>
          <t>Cape Projects Construction (Pty) Ltd</t>
        </is>
      </c>
      <c r="B697" s="4" t="n">
        <v>44620</v>
      </c>
      <c r="C697" s="3" t="inlineStr">
        <is>
          <t>Expenses</t>
        </is>
      </c>
      <c r="D697" s="3" t="inlineStr">
        <is>
          <t>3020/100</t>
        </is>
      </c>
      <c r="E697" s="3" t="inlineStr">
        <is>
          <t>Admin - Subcontractors</t>
        </is>
      </c>
      <c r="F697" s="3" t="n">
        <v>3913.04</v>
      </c>
      <c r="G697" s="3" t="n">
        <v>9065.540000000001</v>
      </c>
    </row>
    <row r="698">
      <c r="A698" s="3" t="inlineStr">
        <is>
          <t>Cape Projects Construction (Pty) Ltd</t>
        </is>
      </c>
      <c r="B698" s="4" t="n">
        <v>44620</v>
      </c>
      <c r="C698" s="3" t="inlineStr">
        <is>
          <t>Expenses</t>
        </is>
      </c>
      <c r="D698" s="3" t="inlineStr">
        <is>
          <t>3050/000</t>
        </is>
      </c>
      <c r="E698" s="3" t="inlineStr">
        <is>
          <t>Advertising _AND_ Promotions</t>
        </is>
      </c>
      <c r="F698" s="3" t="n">
        <v>0</v>
      </c>
      <c r="G698" s="3" t="n">
        <v>13699</v>
      </c>
    </row>
    <row r="699">
      <c r="A699" s="3" t="inlineStr">
        <is>
          <t>Heron Fields (Pty) Ltd</t>
        </is>
      </c>
      <c r="B699" s="4" t="n">
        <v>44620</v>
      </c>
      <c r="C699" s="3" t="inlineStr">
        <is>
          <t>Expenses</t>
        </is>
      </c>
      <c r="D699" s="3" t="inlineStr">
        <is>
          <t>3050/000</t>
        </is>
      </c>
      <c r="E699" s="3" t="inlineStr">
        <is>
          <t>Advertising _AND_ Promotions</t>
        </is>
      </c>
      <c r="F699" s="3" t="n">
        <v>10510</v>
      </c>
      <c r="G699" s="3" t="n">
        <v>73880.02</v>
      </c>
    </row>
    <row r="700">
      <c r="A700" s="3" t="inlineStr">
        <is>
          <t>Heron Fields (Pty) Ltd</t>
        </is>
      </c>
      <c r="B700" s="4" t="n">
        <v>44620</v>
      </c>
      <c r="C700" s="3" t="inlineStr">
        <is>
          <t>Expenses</t>
        </is>
      </c>
      <c r="D700" s="3" t="inlineStr">
        <is>
          <t>3050/100</t>
        </is>
      </c>
      <c r="E700" s="3" t="inlineStr">
        <is>
          <t>Advertising - Property24</t>
        </is>
      </c>
      <c r="F700" s="3" t="n">
        <v>10800</v>
      </c>
      <c r="G700" s="3" t="n">
        <v>64800</v>
      </c>
    </row>
    <row r="701">
      <c r="A701" s="3" t="inlineStr">
        <is>
          <t>Cape Projects Construction (Pty) Ltd</t>
        </is>
      </c>
      <c r="B701" s="4" t="n">
        <v>44620</v>
      </c>
      <c r="C701" s="3" t="inlineStr">
        <is>
          <t>Expenses</t>
        </is>
      </c>
      <c r="D701" s="3" t="inlineStr">
        <is>
          <t>3050/450</t>
        </is>
      </c>
      <c r="E701" s="3" t="inlineStr">
        <is>
          <t>Advertising - Other</t>
        </is>
      </c>
      <c r="F701" s="3" t="n">
        <v>0</v>
      </c>
      <c r="G701" s="3" t="n">
        <v>4597</v>
      </c>
    </row>
    <row r="702">
      <c r="A702" s="3" t="inlineStr">
        <is>
          <t>Cape Projects Construction (Pty) Ltd</t>
        </is>
      </c>
      <c r="B702" s="4" t="n">
        <v>44620</v>
      </c>
      <c r="C702" s="3" t="inlineStr">
        <is>
          <t>Expenses</t>
        </is>
      </c>
      <c r="D702" s="3" t="inlineStr">
        <is>
          <t>3200/000</t>
        </is>
      </c>
      <c r="E702" s="3" t="inlineStr">
        <is>
          <t>Bank Charges</t>
        </is>
      </c>
      <c r="F702" s="3" t="n">
        <v>3159.19</v>
      </c>
      <c r="G702" s="3" t="n">
        <v>14247.61</v>
      </c>
    </row>
    <row r="703">
      <c r="A703" s="3" t="inlineStr">
        <is>
          <t>Heron Fields (Pty) Ltd</t>
        </is>
      </c>
      <c r="B703" s="4" t="n">
        <v>44620</v>
      </c>
      <c r="C703" s="3" t="inlineStr">
        <is>
          <t>Expenses</t>
        </is>
      </c>
      <c r="D703" s="3" t="inlineStr">
        <is>
          <t>3200/000</t>
        </is>
      </c>
      <c r="E703" s="3" t="inlineStr">
        <is>
          <t>Bank Charges</t>
        </is>
      </c>
      <c r="F703" s="3" t="n">
        <v>512.54</v>
      </c>
      <c r="G703" s="3" t="n">
        <v>4300.92</v>
      </c>
    </row>
    <row r="704">
      <c r="A704" s="3" t="inlineStr">
        <is>
          <t>Cape Projects Construction (Pty) Ltd</t>
        </is>
      </c>
      <c r="B704" s="4" t="n">
        <v>44620</v>
      </c>
      <c r="C704" s="3" t="inlineStr">
        <is>
          <t>Expenses</t>
        </is>
      </c>
      <c r="D704" s="3" t="inlineStr">
        <is>
          <t>3250/000</t>
        </is>
      </c>
      <c r="E704" s="3" t="inlineStr">
        <is>
          <t>Cleaning</t>
        </is>
      </c>
      <c r="F704" s="3" t="n">
        <v>1223.48</v>
      </c>
      <c r="G704" s="3" t="n">
        <v>9905.65</v>
      </c>
    </row>
    <row r="705">
      <c r="A705" s="3" t="inlineStr">
        <is>
          <t>Cape Projects Construction (Pty) Ltd</t>
        </is>
      </c>
      <c r="B705" s="4" t="n">
        <v>44620</v>
      </c>
      <c r="C705" s="3" t="inlineStr">
        <is>
          <t>Expenses</t>
        </is>
      </c>
      <c r="D705" s="3" t="inlineStr">
        <is>
          <t>3256/000</t>
        </is>
      </c>
      <c r="E705" s="3" t="inlineStr">
        <is>
          <t>Cell Phone - Nick Morgan</t>
        </is>
      </c>
      <c r="F705" s="3" t="n">
        <v>640.1</v>
      </c>
      <c r="G705" s="3" t="n">
        <v>6888.14</v>
      </c>
    </row>
    <row r="706">
      <c r="A706" s="3" t="inlineStr">
        <is>
          <t>Cape Projects Construction (Pty) Ltd</t>
        </is>
      </c>
      <c r="B706" s="4" t="n">
        <v>44620</v>
      </c>
      <c r="C706" s="3" t="inlineStr">
        <is>
          <t>Expenses</t>
        </is>
      </c>
      <c r="D706" s="3" t="inlineStr">
        <is>
          <t>3300/000</t>
        </is>
      </c>
      <c r="E706" s="3" t="inlineStr">
        <is>
          <t>Computer Expenses</t>
        </is>
      </c>
      <c r="F706" s="3" t="n">
        <v>928.6900000000001</v>
      </c>
      <c r="G706" s="3" t="n">
        <v>11533.14</v>
      </c>
    </row>
    <row r="707">
      <c r="A707" s="3" t="inlineStr">
        <is>
          <t>Heron Fields (Pty) Ltd</t>
        </is>
      </c>
      <c r="B707" s="4" t="n">
        <v>44620</v>
      </c>
      <c r="C707" s="3" t="inlineStr">
        <is>
          <t>Expenses</t>
        </is>
      </c>
      <c r="D707" s="3" t="inlineStr">
        <is>
          <t>3301/000</t>
        </is>
      </c>
      <c r="E707" s="3" t="inlineStr">
        <is>
          <t>Computer Expenses - Xero</t>
        </is>
      </c>
      <c r="F707" s="3" t="n">
        <v>0</v>
      </c>
      <c r="G707" s="3" t="n">
        <v>3000</v>
      </c>
    </row>
    <row r="708">
      <c r="A708" s="3" t="inlineStr">
        <is>
          <t>Cape Projects Construction (Pty) Ltd</t>
        </is>
      </c>
      <c r="B708" s="4" t="n">
        <v>44620</v>
      </c>
      <c r="C708" s="3" t="inlineStr">
        <is>
          <t>Expenses</t>
        </is>
      </c>
      <c r="D708" s="3" t="inlineStr">
        <is>
          <t>3350/000</t>
        </is>
      </c>
      <c r="E708" s="3" t="inlineStr">
        <is>
          <t>Consulting Fees</t>
        </is>
      </c>
      <c r="F708" s="3" t="n">
        <v>0</v>
      </c>
      <c r="G708" s="3" t="n">
        <v>2250</v>
      </c>
    </row>
    <row r="709">
      <c r="A709" s="3" t="inlineStr">
        <is>
          <t>Heron Fields (Pty) Ltd</t>
        </is>
      </c>
      <c r="B709" s="4" t="n">
        <v>44620</v>
      </c>
      <c r="C709" s="3" t="inlineStr">
        <is>
          <t>Expenses</t>
        </is>
      </c>
      <c r="D709" s="3" t="inlineStr">
        <is>
          <t>3350/100</t>
        </is>
      </c>
      <c r="E709" s="3" t="inlineStr">
        <is>
          <t>Consulting Fees - Admin and Finance</t>
        </is>
      </c>
      <c r="F709" s="3" t="n">
        <v>71410</v>
      </c>
      <c r="G709" s="3" t="n">
        <v>433308.75</v>
      </c>
    </row>
    <row r="710">
      <c r="A710" s="3" t="inlineStr">
        <is>
          <t>Cape Projects Construction (Pty) Ltd</t>
        </is>
      </c>
      <c r="B710" s="4" t="n">
        <v>44620</v>
      </c>
      <c r="C710" s="3" t="inlineStr">
        <is>
          <t>Expenses</t>
        </is>
      </c>
      <c r="D710" s="3" t="inlineStr">
        <is>
          <t>3350/100</t>
        </is>
      </c>
      <c r="E710" s="3" t="inlineStr">
        <is>
          <t>Consulting fees - Herbert du Plessis</t>
        </is>
      </c>
      <c r="F710" s="3" t="n">
        <v>36000</v>
      </c>
      <c r="G710" s="3" t="n">
        <v>392000</v>
      </c>
    </row>
    <row r="711">
      <c r="A711" s="3" t="inlineStr">
        <is>
          <t>Cape Projects Construction (Pty) Ltd</t>
        </is>
      </c>
      <c r="B711" s="4" t="n">
        <v>44620</v>
      </c>
      <c r="C711" s="3" t="inlineStr">
        <is>
          <t>Expenses</t>
        </is>
      </c>
      <c r="D711" s="3" t="inlineStr">
        <is>
          <t>3350/200</t>
        </is>
      </c>
      <c r="E711" s="3" t="inlineStr">
        <is>
          <t>Consulting fees - Quabeka</t>
        </is>
      </c>
      <c r="F711" s="3" t="n">
        <v>0</v>
      </c>
      <c r="G711" s="3" t="n">
        <v>42899.25</v>
      </c>
    </row>
    <row r="712">
      <c r="A712" s="3" t="inlineStr">
        <is>
          <t>Cape Projects Construction (Pty) Ltd</t>
        </is>
      </c>
      <c r="B712" s="4" t="n">
        <v>44620</v>
      </c>
      <c r="C712" s="3" t="inlineStr">
        <is>
          <t>Expenses</t>
        </is>
      </c>
      <c r="D712" s="3" t="inlineStr">
        <is>
          <t>3350/300</t>
        </is>
      </c>
      <c r="E712" s="3" t="inlineStr">
        <is>
          <t>Consulting Fees - Admin and Finance</t>
        </is>
      </c>
      <c r="F712" s="3" t="n">
        <v>96075</v>
      </c>
      <c r="G712" s="3" t="n">
        <v>533569.54</v>
      </c>
    </row>
    <row r="713">
      <c r="A713" s="3" t="inlineStr">
        <is>
          <t>Heron Fields (Pty) Ltd</t>
        </is>
      </c>
      <c r="B713" s="4" t="n">
        <v>44620</v>
      </c>
      <c r="C713" s="3" t="inlineStr">
        <is>
          <t>Expenses</t>
        </is>
      </c>
      <c r="D713" s="3" t="inlineStr">
        <is>
          <t>3351/000</t>
        </is>
      </c>
      <c r="E713" s="3" t="inlineStr">
        <is>
          <t>Consulting fees - Trustee</t>
        </is>
      </c>
      <c r="F713" s="3" t="n">
        <v>0</v>
      </c>
      <c r="G713" s="3" t="n">
        <v>30692.49</v>
      </c>
    </row>
    <row r="714">
      <c r="A714" s="3" t="inlineStr">
        <is>
          <t>Cape Projects Construction (Pty) Ltd</t>
        </is>
      </c>
      <c r="B714" s="4" t="n">
        <v>44620</v>
      </c>
      <c r="C714" s="3" t="inlineStr">
        <is>
          <t>Expenses</t>
        </is>
      </c>
      <c r="D714" s="3" t="inlineStr">
        <is>
          <t>3400/000</t>
        </is>
      </c>
      <c r="E714" s="3" t="inlineStr">
        <is>
          <t>Courier _AND_ Postage</t>
        </is>
      </c>
      <c r="F714" s="3" t="n">
        <v>0</v>
      </c>
      <c r="G714" s="3" t="n">
        <v>165.83</v>
      </c>
    </row>
    <row r="715">
      <c r="A715" s="3" t="inlineStr">
        <is>
          <t>Cape Projects Construction (Pty) Ltd</t>
        </is>
      </c>
      <c r="B715" s="4" t="n">
        <v>44620</v>
      </c>
      <c r="C715" s="3" t="inlineStr">
        <is>
          <t>Expenses</t>
        </is>
      </c>
      <c r="D715" s="3" t="inlineStr">
        <is>
          <t>3450/001</t>
        </is>
      </c>
      <c r="E715" s="3" t="inlineStr">
        <is>
          <t>Depreciation - Computer Equipment</t>
        </is>
      </c>
      <c r="F715" s="3" t="n">
        <v>667.3</v>
      </c>
      <c r="G715" s="3" t="n">
        <v>5012.09</v>
      </c>
    </row>
    <row r="716">
      <c r="A716" s="3" t="inlineStr">
        <is>
          <t>Cape Projects Construction (Pty) Ltd</t>
        </is>
      </c>
      <c r="B716" s="4" t="n">
        <v>44620</v>
      </c>
      <c r="C716" s="3" t="inlineStr">
        <is>
          <t>Expenses</t>
        </is>
      </c>
      <c r="D716" s="3" t="inlineStr">
        <is>
          <t>3450/002</t>
        </is>
      </c>
      <c r="E716" s="3" t="inlineStr">
        <is>
          <t>Depreciation - Generator Fixed Asset</t>
        </is>
      </c>
      <c r="F716" s="3" t="n">
        <v>32.23</v>
      </c>
      <c r="G716" s="3" t="n">
        <v>805.5599999999999</v>
      </c>
    </row>
    <row r="717">
      <c r="A717" s="3" t="inlineStr">
        <is>
          <t>Cape Projects Construction (Pty) Ltd</t>
        </is>
      </c>
      <c r="B717" s="4" t="n">
        <v>44620</v>
      </c>
      <c r="C717" s="3" t="inlineStr">
        <is>
          <t>Expenses</t>
        </is>
      </c>
      <c r="D717" s="3" t="inlineStr">
        <is>
          <t>3450/003</t>
        </is>
      </c>
      <c r="E717" s="3" t="inlineStr">
        <is>
          <t>Depreciation - Motor vehicle</t>
        </is>
      </c>
      <c r="F717" s="3" t="n">
        <v>43213</v>
      </c>
      <c r="G717" s="3" t="n">
        <v>43213</v>
      </c>
    </row>
    <row r="718">
      <c r="A718" s="3" t="inlineStr">
        <is>
          <t>Cape Projects Construction (Pty) Ltd</t>
        </is>
      </c>
      <c r="B718" s="4" t="n">
        <v>44620</v>
      </c>
      <c r="C718" s="3" t="inlineStr">
        <is>
          <t>Expenses</t>
        </is>
      </c>
      <c r="D718" s="3" t="inlineStr">
        <is>
          <t>3450/030</t>
        </is>
      </c>
      <c r="E718" s="3" t="inlineStr">
        <is>
          <t>Depreciation - Furniture and Fittings</t>
        </is>
      </c>
      <c r="F718" s="3" t="n">
        <v>406.69</v>
      </c>
      <c r="G718" s="3" t="n">
        <v>406.69</v>
      </c>
    </row>
    <row r="719">
      <c r="A719" s="3" t="inlineStr">
        <is>
          <t>Heron Fields (Pty) Ltd</t>
        </is>
      </c>
      <c r="B719" s="4" t="n">
        <v>44620</v>
      </c>
      <c r="C719" s="3" t="inlineStr">
        <is>
          <t>Expenses</t>
        </is>
      </c>
      <c r="D719" s="3" t="inlineStr">
        <is>
          <t>3650/000</t>
        </is>
      </c>
      <c r="E719" s="3" t="inlineStr">
        <is>
          <t>CoCT - Electricity</t>
        </is>
      </c>
      <c r="F719" s="3" t="n">
        <v>2401.53</v>
      </c>
      <c r="G719" s="3" t="n">
        <v>20441.08</v>
      </c>
    </row>
    <row r="720">
      <c r="A720" s="3" t="inlineStr">
        <is>
          <t>Cape Projects Construction (Pty) Ltd</t>
        </is>
      </c>
      <c r="B720" s="4" t="n">
        <v>44620</v>
      </c>
      <c r="C720" s="3" t="inlineStr">
        <is>
          <t>Expenses</t>
        </is>
      </c>
      <c r="D720" s="3" t="inlineStr">
        <is>
          <t>3650/000</t>
        </is>
      </c>
      <c r="E720" s="3" t="inlineStr">
        <is>
          <t>Electricity _AND_ Water</t>
        </is>
      </c>
      <c r="F720" s="3" t="n">
        <v>7584.16</v>
      </c>
      <c r="G720" s="3" t="n">
        <v>39730.77</v>
      </c>
    </row>
    <row r="721">
      <c r="A721" s="3" t="inlineStr">
        <is>
          <t>Heron Fields (Pty) Ltd</t>
        </is>
      </c>
      <c r="B721" s="4" t="n">
        <v>44620</v>
      </c>
      <c r="C721" s="3" t="inlineStr">
        <is>
          <t>Expenses</t>
        </is>
      </c>
      <c r="D721" s="3" t="inlineStr">
        <is>
          <t>3660/000</t>
        </is>
      </c>
      <c r="E721" s="3" t="inlineStr">
        <is>
          <t>CoCT - Water</t>
        </is>
      </c>
      <c r="F721" s="3" t="n">
        <v>856.37</v>
      </c>
      <c r="G721" s="3" t="n">
        <v>3954.02</v>
      </c>
    </row>
    <row r="722">
      <c r="A722" s="3" t="inlineStr">
        <is>
          <t>Cape Projects Construction (Pty) Ltd</t>
        </is>
      </c>
      <c r="B722" s="4" t="n">
        <v>44620</v>
      </c>
      <c r="C722" s="3" t="inlineStr">
        <is>
          <t>Expenses</t>
        </is>
      </c>
      <c r="D722" s="3" t="inlineStr">
        <is>
          <t>3700/000</t>
        </is>
      </c>
      <c r="E722" s="3" t="inlineStr">
        <is>
          <t>Entertainment Expenses</t>
        </is>
      </c>
      <c r="F722" s="3" t="n">
        <v>1000.31</v>
      </c>
      <c r="G722" s="3" t="n">
        <v>11183.99</v>
      </c>
    </row>
    <row r="723">
      <c r="A723" s="3" t="inlineStr">
        <is>
          <t>Heron Fields (Pty) Ltd</t>
        </is>
      </c>
      <c r="B723" s="4" t="n">
        <v>44620</v>
      </c>
      <c r="C723" s="3" t="inlineStr">
        <is>
          <t>Expenses</t>
        </is>
      </c>
      <c r="D723" s="3" t="inlineStr">
        <is>
          <t>3700/000</t>
        </is>
      </c>
      <c r="E723" s="3" t="inlineStr">
        <is>
          <t>Entertainment Expenses</t>
        </is>
      </c>
      <c r="F723" s="3" t="n">
        <v>0</v>
      </c>
      <c r="G723" s="3" t="n">
        <v>250</v>
      </c>
    </row>
    <row r="724">
      <c r="A724" s="3" t="inlineStr">
        <is>
          <t>Cape Projects Construction (Pty) Ltd</t>
        </is>
      </c>
      <c r="B724" s="4" t="n">
        <v>44620</v>
      </c>
      <c r="C724" s="3" t="inlineStr">
        <is>
          <t>Expenses</t>
        </is>
      </c>
      <c r="D724" s="3" t="inlineStr">
        <is>
          <t>3840/001</t>
        </is>
      </c>
      <c r="E724" s="3" t="inlineStr">
        <is>
          <t>Health _AND_ Safety - Labour Department</t>
        </is>
      </c>
      <c r="F724" s="3" t="n">
        <v>0</v>
      </c>
      <c r="G724" s="3" t="n">
        <v>4742.88</v>
      </c>
    </row>
    <row r="725">
      <c r="A725" s="3" t="inlineStr">
        <is>
          <t>Cape Projects Construction (Pty) Ltd</t>
        </is>
      </c>
      <c r="B725" s="4" t="n">
        <v>44620</v>
      </c>
      <c r="C725" s="3" t="inlineStr">
        <is>
          <t>Expenses</t>
        </is>
      </c>
      <c r="D725" s="3" t="inlineStr">
        <is>
          <t>3850/001</t>
        </is>
      </c>
      <c r="E725" s="3" t="inlineStr">
        <is>
          <t>Insurance - Santam</t>
        </is>
      </c>
      <c r="F725" s="3" t="n">
        <v>1072.61</v>
      </c>
      <c r="G725" s="3" t="n">
        <v>12209.23</v>
      </c>
    </row>
    <row r="726">
      <c r="A726" s="3" t="inlineStr">
        <is>
          <t>Cape Projects Construction (Pty) Ltd</t>
        </is>
      </c>
      <c r="B726" s="4" t="n">
        <v>44620</v>
      </c>
      <c r="C726" s="3" t="inlineStr">
        <is>
          <t>Expenses</t>
        </is>
      </c>
      <c r="D726" s="3" t="inlineStr">
        <is>
          <t>3850/002</t>
        </is>
      </c>
      <c r="E726" s="3" t="inlineStr">
        <is>
          <t>Insurance - RBS</t>
        </is>
      </c>
      <c r="F726" s="3" t="n">
        <v>237.57</v>
      </c>
      <c r="G726" s="3" t="n">
        <v>3161.15</v>
      </c>
    </row>
    <row r="727">
      <c r="A727" s="3" t="inlineStr">
        <is>
          <t>Heron Fields (Pty) Ltd</t>
        </is>
      </c>
      <c r="B727" s="4" t="n">
        <v>44620</v>
      </c>
      <c r="C727" s="3" t="inlineStr">
        <is>
          <t>Expenses</t>
        </is>
      </c>
      <c r="D727" s="3" t="inlineStr">
        <is>
          <t>3900/000</t>
        </is>
      </c>
      <c r="E727" s="3" t="inlineStr">
        <is>
          <t>Interest Paid</t>
        </is>
      </c>
      <c r="F727" s="3" t="n">
        <v>0</v>
      </c>
      <c r="G727" s="3" t="n">
        <v>35.37</v>
      </c>
    </row>
    <row r="728">
      <c r="A728" s="3" t="inlineStr">
        <is>
          <t>Cape Projects Construction (Pty) Ltd</t>
        </is>
      </c>
      <c r="B728" s="4" t="n">
        <v>44620</v>
      </c>
      <c r="C728" s="3" t="inlineStr">
        <is>
          <t>Expenses</t>
        </is>
      </c>
      <c r="D728" s="3" t="inlineStr">
        <is>
          <t>3901/000</t>
        </is>
      </c>
      <c r="E728" s="3" t="inlineStr">
        <is>
          <t>Interest Paid - VAF Toyota</t>
        </is>
      </c>
      <c r="F728" s="3" t="n">
        <v>6393.06</v>
      </c>
      <c r="G728" s="3" t="n">
        <v>6393.06</v>
      </c>
    </row>
    <row r="729">
      <c r="A729" s="3" t="inlineStr">
        <is>
          <t>Cape Projects Construction (Pty) Ltd</t>
        </is>
      </c>
      <c r="B729" s="4" t="n">
        <v>44620</v>
      </c>
      <c r="C729" s="3" t="inlineStr">
        <is>
          <t>Expenses</t>
        </is>
      </c>
      <c r="D729" s="3" t="inlineStr">
        <is>
          <t>3902/000</t>
        </is>
      </c>
      <c r="E729" s="3" t="inlineStr">
        <is>
          <t>Interest Paid - Blou Mamba Trust</t>
        </is>
      </c>
      <c r="F729" s="3" t="n">
        <v>2234.78</v>
      </c>
      <c r="G729" s="3" t="n">
        <v>2234.78</v>
      </c>
    </row>
    <row r="730">
      <c r="A730" s="3" t="inlineStr">
        <is>
          <t>Cape Projects Construction (Pty) Ltd</t>
        </is>
      </c>
      <c r="B730" s="4" t="n">
        <v>44620</v>
      </c>
      <c r="C730" s="3" t="inlineStr">
        <is>
          <t>Expenses</t>
        </is>
      </c>
      <c r="D730" s="3" t="inlineStr">
        <is>
          <t>3903/000</t>
        </is>
      </c>
      <c r="E730" s="3" t="inlineStr">
        <is>
          <t>Interest Paid - SARS</t>
        </is>
      </c>
      <c r="F730" s="3" t="n">
        <v>500</v>
      </c>
      <c r="G730" s="3" t="n">
        <v>500</v>
      </c>
    </row>
    <row r="731">
      <c r="A731" s="3" t="inlineStr">
        <is>
          <t>Heron Fields (Pty) Ltd</t>
        </is>
      </c>
      <c r="B731" s="4" t="n">
        <v>44620</v>
      </c>
      <c r="C731" s="3" t="inlineStr">
        <is>
          <t>Expenses</t>
        </is>
      </c>
      <c r="D731" s="3" t="inlineStr">
        <is>
          <t>4100/001</t>
        </is>
      </c>
      <c r="E731" s="3" t="inlineStr">
        <is>
          <t>Momentum Admin Fee</t>
        </is>
      </c>
      <c r="F731" s="3" t="n">
        <v>3965.7</v>
      </c>
      <c r="G731" s="3" t="n">
        <v>90598.36</v>
      </c>
    </row>
    <row r="732">
      <c r="A732" s="3" t="inlineStr">
        <is>
          <t>Cape Projects Construction (Pty) Ltd</t>
        </is>
      </c>
      <c r="B732" s="4" t="n">
        <v>44620</v>
      </c>
      <c r="C732" s="3" t="inlineStr">
        <is>
          <t>Expenses</t>
        </is>
      </c>
      <c r="D732" s="3" t="inlineStr">
        <is>
          <t>4150/010</t>
        </is>
      </c>
      <c r="E732" s="3" t="inlineStr">
        <is>
          <t>Motor Vehicle - Petrol _AND_ Oil</t>
        </is>
      </c>
      <c r="F732" s="3" t="n">
        <v>0</v>
      </c>
      <c r="G732" s="3" t="n">
        <v>500</v>
      </c>
    </row>
    <row r="733">
      <c r="A733" s="3" t="inlineStr">
        <is>
          <t>Cape Projects Construction (Pty) Ltd</t>
        </is>
      </c>
      <c r="B733" s="4" t="n">
        <v>44620</v>
      </c>
      <c r="C733" s="3" t="inlineStr">
        <is>
          <t>Expenses</t>
        </is>
      </c>
      <c r="D733" s="3" t="inlineStr">
        <is>
          <t>4150/020</t>
        </is>
      </c>
      <c r="E733" s="3" t="inlineStr">
        <is>
          <t>Motor Vehicle - Repairs _AND_ Maint.</t>
        </is>
      </c>
      <c r="F733" s="3" t="n">
        <v>0</v>
      </c>
      <c r="G733" s="3" t="n">
        <v>1000</v>
      </c>
    </row>
    <row r="734">
      <c r="A734" s="3" t="inlineStr">
        <is>
          <t>Cape Projects Construction (Pty) Ltd</t>
        </is>
      </c>
      <c r="B734" s="4" t="n">
        <v>44620</v>
      </c>
      <c r="C734" s="3" t="inlineStr">
        <is>
          <t>Expenses</t>
        </is>
      </c>
      <c r="D734" s="3" t="inlineStr">
        <is>
          <t>4150/030</t>
        </is>
      </c>
      <c r="E734" s="3" t="inlineStr">
        <is>
          <t>Motor Vehicle - Insurance _AND_ Licence</t>
        </is>
      </c>
      <c r="F734" s="3" t="n">
        <v>0</v>
      </c>
      <c r="G734" s="3" t="n">
        <v>2277</v>
      </c>
    </row>
    <row r="735">
      <c r="A735" s="3" t="inlineStr">
        <is>
          <t>Cape Projects Construction (Pty) Ltd</t>
        </is>
      </c>
      <c r="B735" s="4" t="n">
        <v>44620</v>
      </c>
      <c r="C735" s="3" t="inlineStr">
        <is>
          <t>Expenses</t>
        </is>
      </c>
      <c r="D735" s="3" t="inlineStr">
        <is>
          <t>4200/000</t>
        </is>
      </c>
      <c r="E735" s="3" t="inlineStr">
        <is>
          <t>Printing _AND_ Stationery</t>
        </is>
      </c>
      <c r="F735" s="3" t="n">
        <v>1508.61</v>
      </c>
      <c r="G735" s="3" t="n">
        <v>17017.21</v>
      </c>
    </row>
    <row r="736">
      <c r="A736" s="3" t="inlineStr">
        <is>
          <t>Heron Fields (Pty) Ltd</t>
        </is>
      </c>
      <c r="B736" s="4" t="n">
        <v>44620</v>
      </c>
      <c r="C736" s="3" t="inlineStr">
        <is>
          <t>Expenses</t>
        </is>
      </c>
      <c r="D736" s="3" t="inlineStr">
        <is>
          <t>4200/000</t>
        </is>
      </c>
      <c r="E736" s="3" t="inlineStr">
        <is>
          <t>Printing _AND_ Stationery</t>
        </is>
      </c>
      <c r="F736" s="3" t="n">
        <v>0</v>
      </c>
      <c r="G736" s="3" t="n">
        <v>765</v>
      </c>
    </row>
    <row r="737">
      <c r="A737" s="3" t="inlineStr">
        <is>
          <t>Cape Projects Construction (Pty) Ltd</t>
        </is>
      </c>
      <c r="B737" s="4" t="n">
        <v>44620</v>
      </c>
      <c r="C737" s="3" t="inlineStr">
        <is>
          <t>Expenses</t>
        </is>
      </c>
      <c r="D737" s="3" t="inlineStr">
        <is>
          <t>4201/000</t>
        </is>
      </c>
      <c r="E737" s="3" t="inlineStr">
        <is>
          <t>Printing - Printer rental</t>
        </is>
      </c>
      <c r="F737" s="3" t="n">
        <v>0</v>
      </c>
      <c r="G737" s="3" t="n">
        <v>1243.42</v>
      </c>
    </row>
    <row r="738">
      <c r="A738" s="3" t="inlineStr">
        <is>
          <t>Cape Projects Construction (Pty) Ltd</t>
        </is>
      </c>
      <c r="B738" s="4" t="n">
        <v>44620</v>
      </c>
      <c r="C738" s="3" t="inlineStr">
        <is>
          <t>Expenses</t>
        </is>
      </c>
      <c r="D738" s="3" t="inlineStr">
        <is>
          <t>4300/000</t>
        </is>
      </c>
      <c r="E738" s="3" t="inlineStr">
        <is>
          <t>Rent Paid</t>
        </is>
      </c>
      <c r="F738" s="3" t="n">
        <v>28087.5</v>
      </c>
      <c r="G738" s="3" t="n">
        <v>167539.67</v>
      </c>
    </row>
    <row r="739">
      <c r="A739" s="3" t="inlineStr">
        <is>
          <t>Cape Projects Construction (Pty) Ltd</t>
        </is>
      </c>
      <c r="B739" s="4" t="n">
        <v>44620</v>
      </c>
      <c r="C739" s="3" t="inlineStr">
        <is>
          <t>Expenses</t>
        </is>
      </c>
      <c r="D739" s="3" t="inlineStr">
        <is>
          <t>4310/000</t>
        </is>
      </c>
      <c r="E739" s="3" t="inlineStr">
        <is>
          <t>Rates</t>
        </is>
      </c>
      <c r="F739" s="3" t="n">
        <v>843.6</v>
      </c>
      <c r="G739" s="3" t="n">
        <v>5216.48</v>
      </c>
    </row>
    <row r="740">
      <c r="A740" s="3" t="inlineStr">
        <is>
          <t>Heron Fields (Pty) Ltd</t>
        </is>
      </c>
      <c r="B740" s="4" t="n">
        <v>44620</v>
      </c>
      <c r="C740" s="3" t="inlineStr">
        <is>
          <t>Expenses</t>
        </is>
      </c>
      <c r="D740" s="3" t="inlineStr">
        <is>
          <t>4310/000</t>
        </is>
      </c>
      <c r="E740" s="3" t="inlineStr">
        <is>
          <t>Rates - Heron</t>
        </is>
      </c>
      <c r="F740" s="3" t="n">
        <v>2965.61</v>
      </c>
      <c r="G740" s="3" t="n">
        <v>27287.26</v>
      </c>
    </row>
    <row r="741">
      <c r="A741" s="3" t="inlineStr">
        <is>
          <t>Cape Projects Construction (Pty) Ltd</t>
        </is>
      </c>
      <c r="B741" s="4" t="n">
        <v>44620</v>
      </c>
      <c r="C741" s="3" t="inlineStr">
        <is>
          <t>Expenses</t>
        </is>
      </c>
      <c r="D741" s="3" t="inlineStr">
        <is>
          <t>4350/000</t>
        </is>
      </c>
      <c r="E741" s="3" t="inlineStr">
        <is>
          <t>Repairs _AND_ Maintenance</t>
        </is>
      </c>
      <c r="F741" s="3" t="n">
        <v>-13101.22</v>
      </c>
      <c r="G741" s="3" t="n">
        <v>89553.61</v>
      </c>
    </row>
    <row r="742">
      <c r="A742" s="3" t="inlineStr">
        <is>
          <t>Heron Fields (Pty) Ltd</t>
        </is>
      </c>
      <c r="B742" s="4" t="n">
        <v>44620</v>
      </c>
      <c r="C742" s="3" t="inlineStr">
        <is>
          <t>Expenses</t>
        </is>
      </c>
      <c r="D742" s="3" t="inlineStr">
        <is>
          <t>4350/000</t>
        </is>
      </c>
      <c r="E742" s="3" t="inlineStr">
        <is>
          <t>Repairs _AND_ Maintenance</t>
        </is>
      </c>
      <c r="F742" s="3" t="n">
        <v>0</v>
      </c>
      <c r="G742" s="3" t="n">
        <v>250</v>
      </c>
    </row>
    <row r="743">
      <c r="A743" s="3" t="inlineStr">
        <is>
          <t>Cape Projects Construction (Pty) Ltd</t>
        </is>
      </c>
      <c r="B743" s="4" t="n">
        <v>44620</v>
      </c>
      <c r="C743" s="3" t="inlineStr">
        <is>
          <t>Expenses</t>
        </is>
      </c>
      <c r="D743" s="3" t="inlineStr">
        <is>
          <t>4400/000</t>
        </is>
      </c>
      <c r="E743" s="3" t="inlineStr">
        <is>
          <t>Salaries _AND_ Wages</t>
        </is>
      </c>
      <c r="F743" s="3" t="n">
        <v>208426.69</v>
      </c>
      <c r="G743" s="3" t="n">
        <v>1701130.08</v>
      </c>
    </row>
    <row r="744">
      <c r="A744" s="3" t="inlineStr">
        <is>
          <t>Cape Projects Construction (Pty) Ltd</t>
        </is>
      </c>
      <c r="B744" s="4" t="n">
        <v>44620</v>
      </c>
      <c r="C744" s="3" t="inlineStr">
        <is>
          <t>Expenses</t>
        </is>
      </c>
      <c r="D744" s="3" t="inlineStr">
        <is>
          <t>4400/100</t>
        </is>
      </c>
      <c r="E744" s="3" t="inlineStr">
        <is>
          <t>Salaries and Wages - Shorty</t>
        </is>
      </c>
      <c r="F744" s="3" t="n">
        <v>0</v>
      </c>
      <c r="G744" s="3" t="n">
        <v>35500</v>
      </c>
    </row>
    <row r="745">
      <c r="A745" s="3" t="inlineStr">
        <is>
          <t>Cape Projects Construction (Pty) Ltd</t>
        </is>
      </c>
      <c r="B745" s="4" t="n">
        <v>44620</v>
      </c>
      <c r="C745" s="3" t="inlineStr">
        <is>
          <t>Expenses</t>
        </is>
      </c>
      <c r="D745" s="3" t="inlineStr">
        <is>
          <t>4402</t>
        </is>
      </c>
      <c r="E745" s="3" t="inlineStr">
        <is>
          <t>Salaries &amp; Wages - WCA</t>
        </is>
      </c>
      <c r="F745" s="3" t="n">
        <v>0</v>
      </c>
      <c r="G745" s="3" t="n">
        <v>1063.2</v>
      </c>
    </row>
    <row r="746">
      <c r="A746" s="3" t="inlineStr">
        <is>
          <t>Heron Fields (Pty) Ltd</t>
        </is>
      </c>
      <c r="B746" s="4" t="n">
        <v>44620</v>
      </c>
      <c r="C746" s="3" t="inlineStr">
        <is>
          <t>Expenses</t>
        </is>
      </c>
      <c r="D746" s="3" t="inlineStr">
        <is>
          <t>4410/000</t>
        </is>
      </c>
      <c r="E746" s="3" t="inlineStr">
        <is>
          <t>Secretarial fees</t>
        </is>
      </c>
      <c r="F746" s="3" t="n">
        <v>0</v>
      </c>
      <c r="G746" s="3" t="n">
        <v>17000</v>
      </c>
    </row>
    <row r="747">
      <c r="A747" s="3" t="inlineStr">
        <is>
          <t>Cape Projects Construction (Pty) Ltd</t>
        </is>
      </c>
      <c r="B747" s="4" t="n">
        <v>44620</v>
      </c>
      <c r="C747" s="3" t="inlineStr">
        <is>
          <t>Expenses</t>
        </is>
      </c>
      <c r="D747" s="3" t="inlineStr">
        <is>
          <t>4420/000</t>
        </is>
      </c>
      <c r="E747" s="3" t="inlineStr">
        <is>
          <t>Small Assets</t>
        </is>
      </c>
      <c r="F747" s="3" t="n">
        <v>9104.73</v>
      </c>
      <c r="G747" s="3" t="n">
        <v>24786.43</v>
      </c>
    </row>
    <row r="748">
      <c r="A748" s="3" t="inlineStr">
        <is>
          <t>Heron Fields (Pty) Ltd</t>
        </is>
      </c>
      <c r="B748" s="4" t="n">
        <v>44620</v>
      </c>
      <c r="C748" s="3" t="inlineStr">
        <is>
          <t>Expenses</t>
        </is>
      </c>
      <c r="D748" s="3" t="inlineStr">
        <is>
          <t>4420/001</t>
        </is>
      </c>
      <c r="E748" s="3" t="inlineStr">
        <is>
          <t>Security - ADT</t>
        </is>
      </c>
      <c r="F748" s="3" t="n">
        <v>285.26</v>
      </c>
      <c r="G748" s="3" t="n">
        <v>4406.31</v>
      </c>
    </row>
    <row r="749">
      <c r="A749" s="3" t="inlineStr">
        <is>
          <t>Cape Projects Construction (Pty) Ltd</t>
        </is>
      </c>
      <c r="B749" s="4" t="n">
        <v>44620</v>
      </c>
      <c r="C749" s="3" t="inlineStr">
        <is>
          <t>Expenses</t>
        </is>
      </c>
      <c r="D749" s="3" t="inlineStr">
        <is>
          <t>4450/000</t>
        </is>
      </c>
      <c r="E749" s="3" t="inlineStr">
        <is>
          <t>Staff Training</t>
        </is>
      </c>
      <c r="F749" s="3" t="n">
        <v>0</v>
      </c>
      <c r="G749" s="3" t="n">
        <v>2000</v>
      </c>
    </row>
    <row r="750">
      <c r="A750" s="3" t="inlineStr">
        <is>
          <t>Cape Projects Construction (Pty) Ltd</t>
        </is>
      </c>
      <c r="B750" s="4" t="n">
        <v>44620</v>
      </c>
      <c r="C750" s="3" t="inlineStr">
        <is>
          <t>Expenses</t>
        </is>
      </c>
      <c r="D750" s="3" t="inlineStr">
        <is>
          <t>4500/000</t>
        </is>
      </c>
      <c r="E750" s="3" t="inlineStr">
        <is>
          <t>Staff Welfare _AND_ Refreshmts</t>
        </is>
      </c>
      <c r="F750" s="3" t="n">
        <v>590.72</v>
      </c>
      <c r="G750" s="3" t="n">
        <v>34301.16</v>
      </c>
    </row>
    <row r="751">
      <c r="A751" s="3" t="inlineStr">
        <is>
          <t>Cape Projects Construction (Pty) Ltd</t>
        </is>
      </c>
      <c r="B751" s="4" t="n">
        <v>44620</v>
      </c>
      <c r="C751" s="3" t="inlineStr">
        <is>
          <t>Expenses</t>
        </is>
      </c>
      <c r="D751" s="3" t="inlineStr">
        <is>
          <t>4550/000</t>
        </is>
      </c>
      <c r="E751" s="3" t="inlineStr">
        <is>
          <t>Subscriptions / Licenses</t>
        </is>
      </c>
      <c r="F751" s="3" t="n">
        <v>461.82</v>
      </c>
      <c r="G751" s="3" t="n">
        <v>988.14</v>
      </c>
    </row>
    <row r="752">
      <c r="A752" s="3" t="inlineStr">
        <is>
          <t>Cape Projects Construction (Pty) Ltd</t>
        </is>
      </c>
      <c r="B752" s="4" t="n">
        <v>44620</v>
      </c>
      <c r="C752" s="3" t="inlineStr">
        <is>
          <t>Expenses</t>
        </is>
      </c>
      <c r="D752" s="3" t="inlineStr">
        <is>
          <t>4550/001</t>
        </is>
      </c>
      <c r="E752" s="3" t="inlineStr">
        <is>
          <t>Subscriptions &amp; Licenses - Sage payroll</t>
        </is>
      </c>
      <c r="F752" s="3" t="n">
        <v>491</v>
      </c>
      <c r="G752" s="3" t="n">
        <v>3704</v>
      </c>
    </row>
    <row r="753">
      <c r="A753" s="3" t="inlineStr">
        <is>
          <t>Cape Projects Construction (Pty) Ltd</t>
        </is>
      </c>
      <c r="B753" s="4" t="n">
        <v>44620</v>
      </c>
      <c r="C753" s="3" t="inlineStr">
        <is>
          <t>Expenses</t>
        </is>
      </c>
      <c r="D753" s="3" t="inlineStr">
        <is>
          <t>4550/002</t>
        </is>
      </c>
      <c r="E753" s="3" t="inlineStr">
        <is>
          <t>Subscriptions &amp; Licenses - Caseware</t>
        </is>
      </c>
      <c r="F753" s="3" t="n">
        <v>0</v>
      </c>
      <c r="G753" s="3" t="n">
        <v>9463.01</v>
      </c>
    </row>
    <row r="754">
      <c r="A754" s="3" t="inlineStr">
        <is>
          <t>Cape Projects Construction (Pty) Ltd</t>
        </is>
      </c>
      <c r="B754" s="4" t="n">
        <v>44620</v>
      </c>
      <c r="C754" s="3" t="inlineStr">
        <is>
          <t>Expenses</t>
        </is>
      </c>
      <c r="D754" s="3" t="inlineStr">
        <is>
          <t>4550/003</t>
        </is>
      </c>
      <c r="E754" s="3" t="inlineStr">
        <is>
          <t>Subscriptions &amp; Licenses - Xero</t>
        </is>
      </c>
      <c r="F754" s="3" t="n">
        <v>600</v>
      </c>
      <c r="G754" s="3" t="n">
        <v>8700</v>
      </c>
    </row>
    <row r="755">
      <c r="A755" s="3" t="inlineStr">
        <is>
          <t>Cape Projects Construction (Pty) Ltd</t>
        </is>
      </c>
      <c r="B755" s="4" t="n">
        <v>44620</v>
      </c>
      <c r="C755" s="3" t="inlineStr">
        <is>
          <t>Expenses</t>
        </is>
      </c>
      <c r="D755" s="3" t="inlineStr">
        <is>
          <t>4550/004</t>
        </is>
      </c>
      <c r="E755" s="3" t="inlineStr">
        <is>
          <t>Subscriptions - Smartsheet</t>
        </is>
      </c>
      <c r="F755" s="3" t="n">
        <v>363</v>
      </c>
      <c r="G755" s="3" t="n">
        <v>2439.41</v>
      </c>
    </row>
    <row r="756">
      <c r="A756" s="3" t="inlineStr">
        <is>
          <t>Cape Projects Construction (Pty) Ltd</t>
        </is>
      </c>
      <c r="B756" s="4" t="n">
        <v>44620</v>
      </c>
      <c r="C756" s="3" t="inlineStr">
        <is>
          <t>Expenses</t>
        </is>
      </c>
      <c r="D756" s="3" t="inlineStr">
        <is>
          <t>4550/005</t>
        </is>
      </c>
      <c r="E756" s="3" t="inlineStr">
        <is>
          <t>Subscriptions - SAIPA</t>
        </is>
      </c>
      <c r="F756" s="3" t="n">
        <v>6661.9</v>
      </c>
      <c r="G756" s="3" t="n">
        <v>6661.9</v>
      </c>
    </row>
    <row r="757">
      <c r="A757" s="3" t="inlineStr">
        <is>
          <t>Heron Fields (Pty) Ltd</t>
        </is>
      </c>
      <c r="B757" s="4" t="n">
        <v>44620</v>
      </c>
      <c r="C757" s="3" t="inlineStr">
        <is>
          <t>Expenses</t>
        </is>
      </c>
      <c r="D757" s="3" t="inlineStr">
        <is>
          <t>4550/100</t>
        </is>
      </c>
      <c r="E757" s="3" t="inlineStr">
        <is>
          <t>Subscriptions - Xero</t>
        </is>
      </c>
      <c r="F757" s="3" t="n">
        <v>600</v>
      </c>
      <c r="G757" s="3" t="n">
        <v>4600</v>
      </c>
    </row>
    <row r="758">
      <c r="A758" s="3" t="inlineStr">
        <is>
          <t>Heron Fields (Pty) Ltd</t>
        </is>
      </c>
      <c r="B758" s="4" t="n">
        <v>44620</v>
      </c>
      <c r="C758" s="3" t="inlineStr">
        <is>
          <t>Expenses</t>
        </is>
      </c>
      <c r="D758" s="3" t="inlineStr">
        <is>
          <t>4550/200</t>
        </is>
      </c>
      <c r="E758" s="3" t="inlineStr">
        <is>
          <t>Subscription - NHBRC</t>
        </is>
      </c>
      <c r="F758" s="3" t="n">
        <v>0</v>
      </c>
      <c r="G758" s="3" t="n">
        <v>1271.93</v>
      </c>
    </row>
    <row r="759">
      <c r="A759" s="3" t="inlineStr">
        <is>
          <t>Cape Projects Construction (Pty) Ltd</t>
        </is>
      </c>
      <c r="B759" s="4" t="n">
        <v>44620</v>
      </c>
      <c r="C759" s="3" t="inlineStr">
        <is>
          <t>Expenses</t>
        </is>
      </c>
      <c r="D759" s="3" t="inlineStr">
        <is>
          <t>4560</t>
        </is>
      </c>
      <c r="E759" s="3" t="inlineStr">
        <is>
          <t>Secretarial fees - CIPC</t>
        </is>
      </c>
      <c r="F759" s="3" t="n">
        <v>0</v>
      </c>
      <c r="G759" s="3" t="n">
        <v>450</v>
      </c>
    </row>
    <row r="760">
      <c r="A760" s="3" t="inlineStr">
        <is>
          <t>Cape Projects Construction (Pty) Ltd</t>
        </is>
      </c>
      <c r="B760" s="4" t="n">
        <v>44620</v>
      </c>
      <c r="C760" s="3" t="inlineStr">
        <is>
          <t>Expenses</t>
        </is>
      </c>
      <c r="D760" s="3" t="inlineStr">
        <is>
          <t>4600/000</t>
        </is>
      </c>
      <c r="E760" s="3" t="inlineStr">
        <is>
          <t>Telephone _AND_ Fax</t>
        </is>
      </c>
      <c r="F760" s="3" t="n">
        <v>352.17</v>
      </c>
      <c r="G760" s="3" t="n">
        <v>10625.73</v>
      </c>
    </row>
    <row r="761">
      <c r="A761" s="3" t="inlineStr">
        <is>
          <t>Cape Projects Construction (Pty) Ltd</t>
        </is>
      </c>
      <c r="B761" s="4" t="n">
        <v>44620</v>
      </c>
      <c r="C761" s="3" t="inlineStr">
        <is>
          <t>Expenses</t>
        </is>
      </c>
      <c r="D761" s="3" t="inlineStr">
        <is>
          <t>4650/010</t>
        </is>
      </c>
      <c r="E761" s="3" t="inlineStr">
        <is>
          <t>Travel - Local</t>
        </is>
      </c>
      <c r="F761" s="3" t="n">
        <v>0</v>
      </c>
      <c r="G761" s="3" t="n">
        <v>1275</v>
      </c>
    </row>
    <row r="762">
      <c r="A762" s="3" t="inlineStr">
        <is>
          <t>Cape Projects Construction (Pty) Ltd</t>
        </is>
      </c>
      <c r="B762" s="4" t="n">
        <v>44620</v>
      </c>
      <c r="C762" s="3" t="inlineStr">
        <is>
          <t>Expenses</t>
        </is>
      </c>
      <c r="D762" s="3" t="inlineStr">
        <is>
          <t>4700/000</t>
        </is>
      </c>
      <c r="E762" s="3" t="inlineStr">
        <is>
          <t>PAYE Contributions</t>
        </is>
      </c>
      <c r="F762" s="3" t="n">
        <v>44762.46</v>
      </c>
      <c r="G762" s="3" t="n">
        <v>429767.12</v>
      </c>
    </row>
    <row r="763">
      <c r="A763" s="3" t="inlineStr">
        <is>
          <t>Cape Projects Construction (Pty) Ltd</t>
        </is>
      </c>
      <c r="B763" s="4" t="n">
        <v>44620</v>
      </c>
      <c r="C763" s="3" t="inlineStr">
        <is>
          <t>Expenses</t>
        </is>
      </c>
      <c r="D763" s="3" t="inlineStr">
        <is>
          <t>4720/000</t>
        </is>
      </c>
      <c r="E763" s="3" t="inlineStr">
        <is>
          <t>SDL Contributions</t>
        </is>
      </c>
      <c r="F763" s="3" t="n">
        <v>2501.62</v>
      </c>
      <c r="G763" s="3" t="n">
        <v>20692.98</v>
      </c>
    </row>
    <row r="764">
      <c r="A764" s="3" t="inlineStr">
        <is>
          <t>Cape Projects Construction (Pty) Ltd</t>
        </is>
      </c>
      <c r="B764" s="4" t="n">
        <v>44620</v>
      </c>
      <c r="C764" s="3" t="inlineStr">
        <is>
          <t>Expenses</t>
        </is>
      </c>
      <c r="D764" s="3" t="inlineStr">
        <is>
          <t>4730/000</t>
        </is>
      </c>
      <c r="E764" s="3" t="inlineStr">
        <is>
          <t>UIF Company Contributions</t>
        </is>
      </c>
      <c r="F764" s="3" t="n">
        <v>1558.73</v>
      </c>
      <c r="G764" s="3" t="n">
        <v>11467.74</v>
      </c>
    </row>
    <row r="765">
      <c r="A765" s="3" t="inlineStr">
        <is>
          <t>Cape Projects Construction (Pty) Ltd</t>
        </is>
      </c>
      <c r="B765" s="4" t="n">
        <v>44620</v>
      </c>
      <c r="C765" s="3" t="inlineStr">
        <is>
          <t>Expenses</t>
        </is>
      </c>
      <c r="D765" s="3" t="inlineStr">
        <is>
          <t>4731/000</t>
        </is>
      </c>
      <c r="E765" s="3" t="inlineStr">
        <is>
          <t>UIF Employee Contribution</t>
        </is>
      </c>
      <c r="F765" s="3" t="n">
        <v>1558.73</v>
      </c>
      <c r="G765" s="3" t="n">
        <v>8195.9</v>
      </c>
    </row>
    <row r="766">
      <c r="A766" s="3" t="inlineStr">
        <is>
          <t>Cape Projects Construction (Pty) Ltd</t>
        </is>
      </c>
      <c r="B766" s="4" t="n">
        <v>44620</v>
      </c>
      <c r="C766" s="3" t="inlineStr">
        <is>
          <t>Expenses</t>
        </is>
      </c>
      <c r="D766" s="3" t="inlineStr">
        <is>
          <t>4740/000</t>
        </is>
      </c>
      <c r="E766" s="3" t="inlineStr">
        <is>
          <t>BIBC Company Contribution</t>
        </is>
      </c>
      <c r="F766" s="3" t="n">
        <v>146.78</v>
      </c>
      <c r="G766" s="3" t="n">
        <v>293.56</v>
      </c>
    </row>
    <row r="767">
      <c r="A767" s="3" t="inlineStr">
        <is>
          <t>Cape Projects Construction (Pty) Ltd</t>
        </is>
      </c>
      <c r="B767" s="4" t="n">
        <v>44620</v>
      </c>
      <c r="C767" s="3" t="inlineStr">
        <is>
          <t>Expenses</t>
        </is>
      </c>
      <c r="D767" s="3" t="inlineStr">
        <is>
          <t>4741/000</t>
        </is>
      </c>
      <c r="E767" s="3" t="inlineStr">
        <is>
          <t>BIBC Employee Contribution</t>
        </is>
      </c>
      <c r="F767" s="3" t="n">
        <v>57.78</v>
      </c>
      <c r="G767" s="3" t="n">
        <v>115.56</v>
      </c>
    </row>
    <row r="768">
      <c r="A768" s="3" t="inlineStr">
        <is>
          <t>Heron Fields (Pty) Ltd</t>
        </is>
      </c>
      <c r="B768" s="4" t="n">
        <v>44620</v>
      </c>
      <c r="C768" s="3" t="inlineStr">
        <is>
          <t>Equity</t>
        </is>
      </c>
      <c r="D768" s="3" t="inlineStr">
        <is>
          <t>5100-000</t>
        </is>
      </c>
      <c r="E768" s="3" t="inlineStr">
        <is>
          <t>Share Capital</t>
        </is>
      </c>
      <c r="F768" s="3" t="n">
        <v>0</v>
      </c>
      <c r="G768" s="3" t="n">
        <v>-100</v>
      </c>
    </row>
    <row r="769">
      <c r="A769" s="3" t="inlineStr">
        <is>
          <t>Cape Projects Construction (Pty) Ltd</t>
        </is>
      </c>
      <c r="B769" s="4" t="n">
        <v>44620</v>
      </c>
      <c r="C769" s="3" t="inlineStr">
        <is>
          <t>Equity</t>
        </is>
      </c>
      <c r="D769" s="3" t="inlineStr">
        <is>
          <t>5100/000</t>
        </is>
      </c>
      <c r="E769" s="3" t="inlineStr">
        <is>
          <t>Share Capital / Members Contribution</t>
        </is>
      </c>
      <c r="F769" s="3" t="n">
        <v>0</v>
      </c>
      <c r="G769" s="3" t="n">
        <v>-120</v>
      </c>
    </row>
    <row r="770">
      <c r="A770" s="3" t="inlineStr">
        <is>
          <t>Cape Projects Construction (Pty) Ltd</t>
        </is>
      </c>
      <c r="B770" s="4" t="n">
        <v>44620</v>
      </c>
      <c r="C770" s="3" t="inlineStr">
        <is>
          <t>Equity</t>
        </is>
      </c>
      <c r="D770" s="3" t="inlineStr">
        <is>
          <t>5200/000</t>
        </is>
      </c>
      <c r="E770" s="3" t="inlineStr">
        <is>
          <t>Retained Earnings / Loss</t>
        </is>
      </c>
      <c r="F770" s="3" t="n">
        <v>0</v>
      </c>
      <c r="G770" s="3" t="n">
        <v>698664.99</v>
      </c>
    </row>
    <row r="771">
      <c r="A771" s="3" t="inlineStr">
        <is>
          <t>Heron Fields (Pty) Ltd</t>
        </is>
      </c>
      <c r="B771" s="4" t="n">
        <v>44620</v>
      </c>
      <c r="C771" s="3" t="inlineStr">
        <is>
          <t>Assets</t>
        </is>
      </c>
      <c r="D771" s="3" t="inlineStr">
        <is>
          <t>5300/001</t>
        </is>
      </c>
      <c r="E771" s="3" t="inlineStr">
        <is>
          <t>Revaluation of Land stock</t>
        </is>
      </c>
      <c r="F771" s="3" t="n">
        <v>-2150682.83</v>
      </c>
      <c r="G771" s="3" t="n">
        <v>17562360.85</v>
      </c>
    </row>
    <row r="772">
      <c r="A772" s="3" t="inlineStr">
        <is>
          <t>Cape Projects Construction (Pty) Ltd</t>
        </is>
      </c>
      <c r="B772" s="4" t="n">
        <v>44620</v>
      </c>
      <c r="C772" s="3" t="inlineStr">
        <is>
          <t>Assets</t>
        </is>
      </c>
      <c r="D772" s="3" t="inlineStr">
        <is>
          <t>5400/100</t>
        </is>
      </c>
      <c r="E772" s="3" t="inlineStr">
        <is>
          <t>Loan - Cape Projects Structuring Dev</t>
        </is>
      </c>
      <c r="F772" s="3" t="n">
        <v>150000</v>
      </c>
      <c r="G772" s="3" t="n">
        <v>-200000</v>
      </c>
    </row>
    <row r="773">
      <c r="A773" s="3" t="inlineStr">
        <is>
          <t>Cape Projects Construction (Pty) Ltd</t>
        </is>
      </c>
      <c r="B773" s="4" t="n">
        <v>44620</v>
      </c>
      <c r="C773" s="3" t="inlineStr">
        <is>
          <t>Assets</t>
        </is>
      </c>
      <c r="D773" s="3" t="inlineStr">
        <is>
          <t>5400/150</t>
        </is>
      </c>
      <c r="E773" s="3" t="inlineStr">
        <is>
          <t>Loan - Quinate</t>
        </is>
      </c>
      <c r="F773" s="3" t="n">
        <v>2850000</v>
      </c>
      <c r="G773" s="3" t="n">
        <v>2850000</v>
      </c>
    </row>
    <row r="774">
      <c r="A774" s="3" t="inlineStr">
        <is>
          <t>Cape Projects Construction (Pty) Ltd</t>
        </is>
      </c>
      <c r="B774" s="4" t="n">
        <v>44620</v>
      </c>
      <c r="C774" s="3" t="inlineStr">
        <is>
          <t>Assets</t>
        </is>
      </c>
      <c r="D774" s="3" t="inlineStr">
        <is>
          <t>5400/200</t>
        </is>
      </c>
      <c r="E774" s="3" t="inlineStr">
        <is>
          <t>Members Loan - Nick Morgan</t>
        </is>
      </c>
      <c r="F774" s="3" t="n">
        <v>0</v>
      </c>
      <c r="G774" s="3" t="n">
        <v>-38862.46</v>
      </c>
    </row>
    <row r="775">
      <c r="A775" s="3" t="inlineStr">
        <is>
          <t>Cape Projects Construction (Pty) Ltd</t>
        </is>
      </c>
      <c r="B775" s="4" t="n">
        <v>44620</v>
      </c>
      <c r="C775" s="3" t="inlineStr">
        <is>
          <t>Assets</t>
        </is>
      </c>
      <c r="D775" s="3" t="inlineStr">
        <is>
          <t>5400/220</t>
        </is>
      </c>
      <c r="E775" s="3" t="inlineStr">
        <is>
          <t>Members Loan - WH</t>
        </is>
      </c>
      <c r="F775" s="3" t="n">
        <v>0</v>
      </c>
      <c r="G775" s="3" t="n">
        <v>4342.5</v>
      </c>
    </row>
    <row r="776">
      <c r="A776" s="3" t="inlineStr">
        <is>
          <t>Cape Projects Construction (Pty) Ltd</t>
        </is>
      </c>
      <c r="B776" s="4" t="n">
        <v>44620</v>
      </c>
      <c r="C776" s="3" t="inlineStr">
        <is>
          <t>Assets</t>
        </is>
      </c>
      <c r="D776" s="3" t="inlineStr">
        <is>
          <t>5400/450</t>
        </is>
      </c>
      <c r="E776" s="3" t="inlineStr">
        <is>
          <t>Loan - Opportunity Investment</t>
        </is>
      </c>
      <c r="F776" s="3" t="n">
        <v>350000</v>
      </c>
      <c r="G776" s="3" t="n">
        <v>-180000</v>
      </c>
    </row>
    <row r="777">
      <c r="A777" s="3" t="inlineStr">
        <is>
          <t>Cape Projects Construction (Pty) Ltd</t>
        </is>
      </c>
      <c r="B777" s="4" t="n">
        <v>44620</v>
      </c>
      <c r="C777" s="3" t="inlineStr">
        <is>
          <t>Assets</t>
        </is>
      </c>
      <c r="D777" s="3" t="inlineStr">
        <is>
          <t>5400/500</t>
        </is>
      </c>
      <c r="E777" s="3" t="inlineStr">
        <is>
          <t>Loan - Blou Mamba Trust</t>
        </is>
      </c>
      <c r="F777" s="3" t="n">
        <v>-2234.78</v>
      </c>
      <c r="G777" s="3" t="n">
        <v>-32031.77</v>
      </c>
    </row>
    <row r="778">
      <c r="A778" s="3" t="inlineStr">
        <is>
          <t>Cape Projects Construction (Pty) Ltd</t>
        </is>
      </c>
      <c r="B778" s="4" t="n">
        <v>44620</v>
      </c>
      <c r="C778" s="3" t="inlineStr">
        <is>
          <t>Assets</t>
        </is>
      </c>
      <c r="D778" s="3" t="inlineStr">
        <is>
          <t>5400/550</t>
        </is>
      </c>
      <c r="E778" s="3" t="inlineStr">
        <is>
          <t>Loan - Trademark</t>
        </is>
      </c>
      <c r="F778" s="3" t="n">
        <v>3800</v>
      </c>
      <c r="G778" s="3" t="n">
        <v>-29400</v>
      </c>
    </row>
    <row r="779">
      <c r="A779" s="3" t="inlineStr">
        <is>
          <t>Cape Projects Construction (Pty) Ltd</t>
        </is>
      </c>
      <c r="B779" s="4" t="n">
        <v>44620</v>
      </c>
      <c r="C779" s="3" t="inlineStr">
        <is>
          <t>Assets</t>
        </is>
      </c>
      <c r="D779" s="3" t="inlineStr">
        <is>
          <t>5400/600</t>
        </is>
      </c>
      <c r="E779" s="3" t="inlineStr">
        <is>
          <t>Loan - Heron Projects</t>
        </is>
      </c>
      <c r="F779" s="3" t="n">
        <v>-3160000</v>
      </c>
      <c r="G779" s="3" t="n">
        <v>-3338000</v>
      </c>
    </row>
    <row r="780">
      <c r="A780" s="3" t="inlineStr">
        <is>
          <t>Cape Projects Construction (Pty) Ltd</t>
        </is>
      </c>
      <c r="B780" s="4" t="n">
        <v>44620</v>
      </c>
      <c r="C780" s="3" t="inlineStr">
        <is>
          <t>Assets</t>
        </is>
      </c>
      <c r="D780" s="3" t="inlineStr">
        <is>
          <t>5400/650</t>
        </is>
      </c>
      <c r="E780" s="3" t="inlineStr">
        <is>
          <t>Loan - Noble Shield</t>
        </is>
      </c>
      <c r="F780" s="3" t="n">
        <v>3800</v>
      </c>
      <c r="G780" s="3" t="n">
        <v>600</v>
      </c>
    </row>
    <row r="781">
      <c r="A781" s="3" t="inlineStr">
        <is>
          <t>Cape Projects Construction (Pty) Ltd</t>
        </is>
      </c>
      <c r="B781" s="4" t="n">
        <v>44620</v>
      </c>
      <c r="C781" s="3" t="inlineStr">
        <is>
          <t>Assets</t>
        </is>
      </c>
      <c r="D781" s="3" t="inlineStr">
        <is>
          <t>5400/800</t>
        </is>
      </c>
      <c r="E781" s="3" t="inlineStr">
        <is>
          <t>Loan - Opportunity Management Holdings</t>
        </is>
      </c>
      <c r="F781" s="3" t="n">
        <v>23766.95</v>
      </c>
      <c r="G781" s="3" t="n">
        <v>-25233.05</v>
      </c>
    </row>
    <row r="782">
      <c r="A782" s="3" t="inlineStr">
        <is>
          <t>Heron Fields (Pty) Ltd</t>
        </is>
      </c>
      <c r="B782" s="4" t="n">
        <v>44620</v>
      </c>
      <c r="C782" s="3" t="inlineStr">
        <is>
          <t>Liabilities</t>
        </is>
      </c>
      <c r="D782" s="3" t="inlineStr">
        <is>
          <t>5500/020</t>
        </is>
      </c>
      <c r="E782" s="3" t="inlineStr">
        <is>
          <t>Loan - Cape Projects Construction</t>
        </is>
      </c>
      <c r="F782" s="3" t="n">
        <v>3160000</v>
      </c>
      <c r="G782" s="3" t="n">
        <v>3338000</v>
      </c>
    </row>
    <row r="783">
      <c r="A783" s="3" t="inlineStr">
        <is>
          <t>Cape Projects Construction (Pty) Ltd</t>
        </is>
      </c>
      <c r="B783" s="4" t="n">
        <v>44620</v>
      </c>
      <c r="C783" s="3" t="inlineStr">
        <is>
          <t>Assets</t>
        </is>
      </c>
      <c r="D783" s="3" t="inlineStr">
        <is>
          <t>5500/200</t>
        </is>
      </c>
      <c r="E783" s="3" t="inlineStr">
        <is>
          <t>Staff loan - Dirk Coetzee</t>
        </is>
      </c>
      <c r="F783" s="3" t="n">
        <v>-120.05</v>
      </c>
      <c r="G783" s="3" t="n">
        <v>0</v>
      </c>
    </row>
    <row r="784">
      <c r="A784" s="3" t="inlineStr">
        <is>
          <t>Cape Projects Construction (Pty) Ltd</t>
        </is>
      </c>
      <c r="B784" s="4" t="n">
        <v>44620</v>
      </c>
      <c r="C784" s="3" t="inlineStr">
        <is>
          <t>Liabilities</t>
        </is>
      </c>
      <c r="D784" s="3" t="inlineStr">
        <is>
          <t>5600/100</t>
        </is>
      </c>
      <c r="E784" s="3" t="inlineStr">
        <is>
          <t>Motor Vehical Car Repaymts - Toyota</t>
        </is>
      </c>
      <c r="F784" s="3" t="n">
        <v>-5557.44</v>
      </c>
      <c r="G784" s="3" t="n">
        <v>0</v>
      </c>
    </row>
    <row r="785">
      <c r="A785" s="3" t="inlineStr">
        <is>
          <t>Cape Projects Construction (Pty) Ltd</t>
        </is>
      </c>
      <c r="B785" s="4" t="n">
        <v>44620</v>
      </c>
      <c r="C785" s="3" t="inlineStr">
        <is>
          <t>Liabilities</t>
        </is>
      </c>
      <c r="D785" s="3" t="inlineStr">
        <is>
          <t>5600/200</t>
        </is>
      </c>
      <c r="E785" s="3" t="inlineStr">
        <is>
          <t>Motor Vehicle Car Repayments - Toyota Shortterm</t>
        </is>
      </c>
      <c r="F785" s="3" t="n">
        <v>3239.9</v>
      </c>
      <c r="G785" s="3" t="n">
        <v>-58920.1</v>
      </c>
    </row>
    <row r="786">
      <c r="A786" s="3" t="inlineStr">
        <is>
          <t>Cape Projects Construction (Pty) Ltd</t>
        </is>
      </c>
      <c r="B786" s="4" t="n">
        <v>44620</v>
      </c>
      <c r="C786" s="3" t="inlineStr">
        <is>
          <t>Assets</t>
        </is>
      </c>
      <c r="D786" s="3" t="inlineStr">
        <is>
          <t>6200/010</t>
        </is>
      </c>
      <c r="E786" s="3" t="inlineStr">
        <is>
          <t>Motor Vehicles - @ Cost</t>
        </is>
      </c>
      <c r="F786" s="3" t="n">
        <v>0</v>
      </c>
      <c r="G786" s="3" t="n">
        <v>216064.1</v>
      </c>
    </row>
    <row r="787">
      <c r="A787" s="3" t="inlineStr">
        <is>
          <t>Cape Projects Construction (Pty) Ltd</t>
        </is>
      </c>
      <c r="B787" s="4" t="n">
        <v>44620</v>
      </c>
      <c r="C787" s="3" t="inlineStr">
        <is>
          <t>Assets</t>
        </is>
      </c>
      <c r="D787" s="3" t="inlineStr">
        <is>
          <t>6200/020</t>
        </is>
      </c>
      <c r="E787" s="3" t="inlineStr">
        <is>
          <t>Motor Vehicles - Accum Depre</t>
        </is>
      </c>
      <c r="F787" s="3" t="n">
        <v>-43213</v>
      </c>
      <c r="G787" s="3" t="n">
        <v>-176453</v>
      </c>
    </row>
    <row r="788">
      <c r="A788" s="3" t="inlineStr">
        <is>
          <t>Cape Projects Construction (Pty) Ltd</t>
        </is>
      </c>
      <c r="B788" s="4" t="n">
        <v>44620</v>
      </c>
      <c r="C788" s="3" t="inlineStr">
        <is>
          <t>Assets</t>
        </is>
      </c>
      <c r="D788" s="3" t="inlineStr">
        <is>
          <t>6250/010</t>
        </is>
      </c>
      <c r="E788" s="3" t="inlineStr">
        <is>
          <t>Computer Equipment - @ Cost</t>
        </is>
      </c>
      <c r="F788" s="3" t="n">
        <v>8723.48</v>
      </c>
      <c r="G788" s="3" t="n">
        <v>62174.35</v>
      </c>
    </row>
    <row r="789">
      <c r="A789" s="3" t="inlineStr">
        <is>
          <t>Cape Projects Construction (Pty) Ltd</t>
        </is>
      </c>
      <c r="B789" s="4" t="n">
        <v>44620</v>
      </c>
      <c r="C789" s="3" t="inlineStr">
        <is>
          <t>Assets</t>
        </is>
      </c>
      <c r="D789" s="3" t="inlineStr">
        <is>
          <t>6250/020</t>
        </is>
      </c>
      <c r="E789" s="3" t="inlineStr">
        <is>
          <t>Computer Equipment - Accum Depre</t>
        </is>
      </c>
      <c r="F789" s="3" t="n">
        <v>-667.3</v>
      </c>
      <c r="G789" s="3" t="n">
        <v>-19141.09</v>
      </c>
    </row>
    <row r="790">
      <c r="A790" s="3" t="inlineStr">
        <is>
          <t>Cape Projects Construction (Pty) Ltd</t>
        </is>
      </c>
      <c r="B790" s="4" t="n">
        <v>44620</v>
      </c>
      <c r="C790" s="3" t="inlineStr">
        <is>
          <t>Assets</t>
        </is>
      </c>
      <c r="D790" s="3" t="inlineStr">
        <is>
          <t>6350/010</t>
        </is>
      </c>
      <c r="E790" s="3" t="inlineStr">
        <is>
          <t>Furniture _AND_ Fittings - @ Cost</t>
        </is>
      </c>
      <c r="F790" s="3" t="n">
        <v>1477.39</v>
      </c>
      <c r="G790" s="3" t="n">
        <v>29281.39</v>
      </c>
    </row>
    <row r="791">
      <c r="A791" s="3" t="inlineStr">
        <is>
          <t>Cape Projects Construction (Pty) Ltd</t>
        </is>
      </c>
      <c r="B791" s="4" t="n">
        <v>44620</v>
      </c>
      <c r="C791" s="3" t="inlineStr">
        <is>
          <t>Assets</t>
        </is>
      </c>
      <c r="D791" s="3" t="inlineStr">
        <is>
          <t>6350/020</t>
        </is>
      </c>
      <c r="E791" s="3" t="inlineStr">
        <is>
          <t>Furniture _AND_ Fittings - Accum Depre</t>
        </is>
      </c>
      <c r="F791" s="3" t="n">
        <v>-406.69</v>
      </c>
      <c r="G791" s="3" t="n">
        <v>-406.69</v>
      </c>
    </row>
    <row r="792">
      <c r="A792" s="3" t="inlineStr">
        <is>
          <t>Cape Projects Construction (Pty) Ltd</t>
        </is>
      </c>
      <c r="B792" s="4" t="n">
        <v>44620</v>
      </c>
      <c r="C792" s="3" t="inlineStr">
        <is>
          <t>Assets</t>
        </is>
      </c>
      <c r="D792" s="3" t="inlineStr">
        <is>
          <t>6600/010</t>
        </is>
      </c>
      <c r="E792" s="3" t="inlineStr">
        <is>
          <t>Generator Fixed Asset - @ Cost</t>
        </is>
      </c>
      <c r="F792" s="3" t="n">
        <v>0</v>
      </c>
      <c r="G792" s="3" t="n">
        <v>11600</v>
      </c>
    </row>
    <row r="793">
      <c r="A793" s="3" t="inlineStr">
        <is>
          <t>Cape Projects Construction (Pty) Ltd</t>
        </is>
      </c>
      <c r="B793" s="4" t="n">
        <v>44620</v>
      </c>
      <c r="C793" s="3" t="inlineStr">
        <is>
          <t>Assets</t>
        </is>
      </c>
      <c r="D793" s="3" t="inlineStr">
        <is>
          <t>6600/020</t>
        </is>
      </c>
      <c r="E793" s="3" t="inlineStr">
        <is>
          <t>Generator Fixed Asset - Accum Depre</t>
        </is>
      </c>
      <c r="F793" s="3" t="n">
        <v>-32.23</v>
      </c>
      <c r="G793" s="3" t="n">
        <v>-805.5599999999999</v>
      </c>
    </row>
    <row r="794">
      <c r="A794" s="3" t="inlineStr">
        <is>
          <t>Heron Fields (Pty) Ltd</t>
        </is>
      </c>
      <c r="B794" s="4" t="n">
        <v>44620</v>
      </c>
      <c r="C794" s="3" t="inlineStr">
        <is>
          <t>Assets</t>
        </is>
      </c>
      <c r="D794" s="3" t="inlineStr">
        <is>
          <t>7610/395</t>
        </is>
      </c>
      <c r="E794" s="3" t="inlineStr">
        <is>
          <t>HF CIP NHBRC</t>
        </is>
      </c>
      <c r="F794" s="3" t="n">
        <v>0</v>
      </c>
      <c r="G794" s="3" t="n">
        <v>261841.5</v>
      </c>
    </row>
    <row r="795">
      <c r="A795" s="3" t="inlineStr">
        <is>
          <t>Heron Fields (Pty) Ltd</t>
        </is>
      </c>
      <c r="B795" s="4" t="n">
        <v>44620</v>
      </c>
      <c r="C795" s="3" t="inlineStr">
        <is>
          <t>Assets</t>
        </is>
      </c>
      <c r="D795" s="3" t="inlineStr">
        <is>
          <t>7620/100</t>
        </is>
      </c>
      <c r="E795" s="3" t="inlineStr">
        <is>
          <t>Heron View Land</t>
        </is>
      </c>
      <c r="F795" s="3" t="n">
        <v>0</v>
      </c>
      <c r="G795" s="3" t="n">
        <v>26200000</v>
      </c>
    </row>
    <row r="796">
      <c r="A796" s="3" t="inlineStr">
        <is>
          <t>Heron Fields (Pty) Ltd</t>
        </is>
      </c>
      <c r="B796" s="4" t="n">
        <v>44620</v>
      </c>
      <c r="C796" s="3" t="inlineStr">
        <is>
          <t>Assets</t>
        </is>
      </c>
      <c r="D796" s="3" t="inlineStr">
        <is>
          <t>7620/101</t>
        </is>
      </c>
      <c r="E796" s="3" t="inlineStr">
        <is>
          <t>HF CIP Bond Registration Fee</t>
        </is>
      </c>
      <c r="F796" s="3" t="n">
        <v>0</v>
      </c>
      <c r="G796" s="3" t="n">
        <v>68427</v>
      </c>
    </row>
    <row r="797">
      <c r="A797" s="3" t="inlineStr">
        <is>
          <t>Heron Fields (Pty) Ltd</t>
        </is>
      </c>
      <c r="B797" s="4" t="n">
        <v>44620</v>
      </c>
      <c r="C797" s="3" t="inlineStr">
        <is>
          <t>Assets</t>
        </is>
      </c>
      <c r="D797" s="3" t="inlineStr">
        <is>
          <t>7620/102</t>
        </is>
      </c>
      <c r="E797" s="3" t="inlineStr">
        <is>
          <t>HF CIP Transfer Fee</t>
        </is>
      </c>
      <c r="F797" s="3" t="n">
        <v>0</v>
      </c>
      <c r="G797" s="3" t="n">
        <v>103812</v>
      </c>
    </row>
    <row r="798">
      <c r="A798" s="3" t="inlineStr">
        <is>
          <t>Heron Fields (Pty) Ltd</t>
        </is>
      </c>
      <c r="B798" s="4" t="n">
        <v>44620</v>
      </c>
      <c r="C798" s="3" t="inlineStr">
        <is>
          <t>Assets</t>
        </is>
      </c>
      <c r="D798" s="3" t="inlineStr">
        <is>
          <t>7620/220</t>
        </is>
      </c>
      <c r="E798" s="3" t="inlineStr">
        <is>
          <t>HF CIP Architectural Designs</t>
        </is>
      </c>
      <c r="F798" s="3" t="n">
        <v>0</v>
      </c>
      <c r="G798" s="3" t="n">
        <v>142000</v>
      </c>
    </row>
    <row r="799">
      <c r="A799" s="3" t="inlineStr">
        <is>
          <t>Heron Fields (Pty) Ltd</t>
        </is>
      </c>
      <c r="B799" s="4" t="n">
        <v>44620</v>
      </c>
      <c r="C799" s="3" t="inlineStr">
        <is>
          <t>Assets</t>
        </is>
      </c>
      <c r="D799" s="3" t="inlineStr">
        <is>
          <t>7620/240</t>
        </is>
      </c>
      <c r="E799" s="3" t="inlineStr">
        <is>
          <t>HF CIP Civil Engineering</t>
        </is>
      </c>
      <c r="F799" s="3" t="n">
        <v>0</v>
      </c>
      <c r="G799" s="3" t="n">
        <v>5052916.5</v>
      </c>
    </row>
    <row r="800">
      <c r="A800" s="3" t="inlineStr">
        <is>
          <t>Heron Fields (Pty) Ltd</t>
        </is>
      </c>
      <c r="B800" s="4" t="n">
        <v>44620</v>
      </c>
      <c r="C800" s="3" t="inlineStr">
        <is>
          <t>Assets</t>
        </is>
      </c>
      <c r="D800" s="3" t="inlineStr">
        <is>
          <t>7620/245</t>
        </is>
      </c>
      <c r="E800" s="3" t="inlineStr">
        <is>
          <t>HF CIP Development fee</t>
        </is>
      </c>
      <c r="F800" s="3" t="n">
        <v>0</v>
      </c>
      <c r="G800" s="3" t="n">
        <v>13807.78</v>
      </c>
    </row>
    <row r="801">
      <c r="A801" s="3" t="inlineStr">
        <is>
          <t>Heron Fields (Pty) Ltd</t>
        </is>
      </c>
      <c r="B801" s="4" t="n">
        <v>44620</v>
      </c>
      <c r="C801" s="3" t="inlineStr">
        <is>
          <t>Assets</t>
        </is>
      </c>
      <c r="D801" s="3" t="inlineStr">
        <is>
          <t>7620/250</t>
        </is>
      </c>
      <c r="E801" s="3" t="inlineStr">
        <is>
          <t>HF CIP Land Surveyor</t>
        </is>
      </c>
      <c r="F801" s="3" t="n">
        <v>0</v>
      </c>
      <c r="G801" s="3" t="n">
        <v>6350</v>
      </c>
    </row>
    <row r="802">
      <c r="A802" s="3" t="inlineStr">
        <is>
          <t>Heron Fields (Pty) Ltd</t>
        </is>
      </c>
      <c r="B802" s="4" t="n">
        <v>44620</v>
      </c>
      <c r="C802" s="3" t="inlineStr">
        <is>
          <t>Assets</t>
        </is>
      </c>
      <c r="D802" s="3" t="inlineStr">
        <is>
          <t>7620/255</t>
        </is>
      </c>
      <c r="E802" s="3" t="inlineStr">
        <is>
          <t>HF CIP Landscaping</t>
        </is>
      </c>
      <c r="F802" s="3" t="n">
        <v>0</v>
      </c>
      <c r="G802" s="3" t="n">
        <v>7500</v>
      </c>
    </row>
    <row r="803">
      <c r="A803" s="3" t="inlineStr">
        <is>
          <t>Heron Fields (Pty) Ltd</t>
        </is>
      </c>
      <c r="B803" s="4" t="n">
        <v>44620</v>
      </c>
      <c r="C803" s="3" t="inlineStr">
        <is>
          <t>Assets</t>
        </is>
      </c>
      <c r="D803" s="3" t="inlineStr">
        <is>
          <t>7620/260</t>
        </is>
      </c>
      <c r="E803" s="3" t="inlineStr">
        <is>
          <t>HF CIP Mechanical Engineers</t>
        </is>
      </c>
      <c r="F803" s="3" t="n">
        <v>0</v>
      </c>
      <c r="G803" s="3" t="n">
        <v>67400</v>
      </c>
    </row>
    <row r="804">
      <c r="A804" s="3" t="inlineStr">
        <is>
          <t>Heron Fields (Pty) Ltd</t>
        </is>
      </c>
      <c r="B804" s="4" t="n">
        <v>44620</v>
      </c>
      <c r="C804" s="3" t="inlineStr">
        <is>
          <t>Assets</t>
        </is>
      </c>
      <c r="D804" s="3" t="inlineStr">
        <is>
          <t>7620/265</t>
        </is>
      </c>
      <c r="E804" s="3" t="inlineStr">
        <is>
          <t>HF CIP Health &amp; Safety</t>
        </is>
      </c>
      <c r="F804" s="3" t="n">
        <v>6600</v>
      </c>
      <c r="G804" s="3" t="n">
        <v>6600</v>
      </c>
    </row>
    <row r="805">
      <c r="A805" s="3" t="inlineStr">
        <is>
          <t>Heron Fields (Pty) Ltd</t>
        </is>
      </c>
      <c r="B805" s="4" t="n">
        <v>44620</v>
      </c>
      <c r="C805" s="3" t="inlineStr">
        <is>
          <t>Assets</t>
        </is>
      </c>
      <c r="D805" s="3" t="inlineStr">
        <is>
          <t>7620/270</t>
        </is>
      </c>
      <c r="E805" s="3" t="inlineStr">
        <is>
          <t>HF CIP Geotechnical</t>
        </is>
      </c>
      <c r="F805" s="3" t="n">
        <v>0</v>
      </c>
      <c r="G805" s="3" t="n">
        <v>15175</v>
      </c>
    </row>
    <row r="806">
      <c r="A806" s="3" t="inlineStr">
        <is>
          <t>Heron Fields (Pty) Ltd</t>
        </is>
      </c>
      <c r="B806" s="4" t="n">
        <v>44620</v>
      </c>
      <c r="C806" s="3" t="inlineStr">
        <is>
          <t>Assets</t>
        </is>
      </c>
      <c r="D806" s="3" t="inlineStr">
        <is>
          <t>7620/280</t>
        </is>
      </c>
      <c r="E806" s="3" t="inlineStr">
        <is>
          <t>HF CIP Site Establishment</t>
        </is>
      </c>
      <c r="F806" s="3" t="n">
        <v>86725.09</v>
      </c>
      <c r="G806" s="3" t="n">
        <v>187359.89</v>
      </c>
    </row>
    <row r="807">
      <c r="A807" s="3" t="inlineStr">
        <is>
          <t>Heron Fields (Pty) Ltd</t>
        </is>
      </c>
      <c r="B807" s="4" t="n">
        <v>44620</v>
      </c>
      <c r="C807" s="3" t="inlineStr">
        <is>
          <t>Assets</t>
        </is>
      </c>
      <c r="D807" s="3" t="inlineStr">
        <is>
          <t>7620/285</t>
        </is>
      </c>
      <c r="E807" s="3" t="inlineStr">
        <is>
          <t>HF CIP Structuring Fee - Invest</t>
        </is>
      </c>
      <c r="F807" s="3" t="n">
        <v>0</v>
      </c>
      <c r="G807" s="3" t="n">
        <v>2331207.06</v>
      </c>
    </row>
    <row r="808">
      <c r="A808" s="3" t="inlineStr">
        <is>
          <t>Heron Fields (Pty) Ltd</t>
        </is>
      </c>
      <c r="B808" s="4" t="n">
        <v>44620</v>
      </c>
      <c r="C808" s="3" t="inlineStr">
        <is>
          <t>Assets</t>
        </is>
      </c>
      <c r="D808" s="3" t="inlineStr">
        <is>
          <t>7620/287</t>
        </is>
      </c>
      <c r="E808" s="3" t="inlineStr">
        <is>
          <t>HF CIP Structuring Fee - Development</t>
        </is>
      </c>
      <c r="F808" s="3" t="n">
        <v>0</v>
      </c>
      <c r="G808" s="3" t="n">
        <v>782608.0699999999</v>
      </c>
    </row>
    <row r="809">
      <c r="A809" s="3" t="inlineStr">
        <is>
          <t>Heron Fields (Pty) Ltd</t>
        </is>
      </c>
      <c r="B809" s="4" t="n">
        <v>44620</v>
      </c>
      <c r="C809" s="3" t="inlineStr">
        <is>
          <t>Assets</t>
        </is>
      </c>
      <c r="D809" s="3" t="inlineStr">
        <is>
          <t>7620/290</t>
        </is>
      </c>
      <c r="E809" s="3" t="inlineStr">
        <is>
          <t>HF CIP Town Planning</t>
        </is>
      </c>
      <c r="F809" s="3" t="n">
        <v>0</v>
      </c>
      <c r="G809" s="3" t="n">
        <v>129550</v>
      </c>
    </row>
    <row r="810">
      <c r="A810" s="3" t="inlineStr">
        <is>
          <t>Heron Fields (Pty) Ltd</t>
        </is>
      </c>
      <c r="B810" s="4" t="n">
        <v>44620</v>
      </c>
      <c r="C810" s="3" t="inlineStr">
        <is>
          <t>Assets</t>
        </is>
      </c>
      <c r="D810" s="3" t="inlineStr">
        <is>
          <t>7620/295</t>
        </is>
      </c>
      <c r="E810" s="3" t="inlineStr">
        <is>
          <t>HF CIP Traffic Planning</t>
        </is>
      </c>
      <c r="F810" s="3" t="n">
        <v>0</v>
      </c>
      <c r="G810" s="3" t="n">
        <v>45000</v>
      </c>
    </row>
    <row r="811">
      <c r="A811" s="3" t="inlineStr">
        <is>
          <t>Heron Fields (Pty) Ltd</t>
        </is>
      </c>
      <c r="B811" s="4" t="n">
        <v>44620</v>
      </c>
      <c r="C811" s="3" t="inlineStr">
        <is>
          <t>Assets</t>
        </is>
      </c>
      <c r="D811" s="3" t="inlineStr">
        <is>
          <t>7620/600</t>
        </is>
      </c>
      <c r="E811" s="3" t="inlineStr">
        <is>
          <t>HF CIP Eco work</t>
        </is>
      </c>
      <c r="F811" s="3" t="n">
        <v>6000</v>
      </c>
      <c r="G811" s="3" t="n">
        <v>54000</v>
      </c>
    </row>
    <row r="812">
      <c r="A812" s="3" t="inlineStr">
        <is>
          <t>Heron Fields (Pty) Ltd</t>
        </is>
      </c>
      <c r="B812" s="4" t="n">
        <v>44620</v>
      </c>
      <c r="C812" s="3" t="inlineStr">
        <is>
          <t>Assets</t>
        </is>
      </c>
      <c r="D812" s="3" t="inlineStr">
        <is>
          <t>7620/630</t>
        </is>
      </c>
      <c r="E812" s="3" t="inlineStr">
        <is>
          <t>HF CIP CoCT development contribution</t>
        </is>
      </c>
      <c r="F812" s="3" t="n">
        <v>112600.7</v>
      </c>
      <c r="G812" s="3" t="n">
        <v>739809.84</v>
      </c>
    </row>
    <row r="813">
      <c r="A813" s="3" t="inlineStr">
        <is>
          <t>Heron Fields (Pty) Ltd</t>
        </is>
      </c>
      <c r="B813" s="4" t="n">
        <v>44620</v>
      </c>
      <c r="C813" s="3" t="inlineStr">
        <is>
          <t>Assets</t>
        </is>
      </c>
      <c r="D813" s="3" t="inlineStr">
        <is>
          <t>7620/640</t>
        </is>
      </c>
      <c r="E813" s="3" t="inlineStr">
        <is>
          <t>HF CIP Project costs</t>
        </is>
      </c>
      <c r="F813" s="3" t="n">
        <v>0</v>
      </c>
      <c r="G813" s="3" t="n">
        <v>622274.51</v>
      </c>
    </row>
    <row r="814">
      <c r="A814" s="3" t="inlineStr">
        <is>
          <t>Cape Projects Construction (Pty) Ltd</t>
        </is>
      </c>
      <c r="B814" s="4" t="n">
        <v>44620</v>
      </c>
      <c r="C814" s="3" t="inlineStr">
        <is>
          <t>Assets</t>
        </is>
      </c>
      <c r="D814" s="3" t="inlineStr">
        <is>
          <t>7800/000</t>
        </is>
      </c>
      <c r="E814" s="3" t="inlineStr">
        <is>
          <t>Deposits paid</t>
        </is>
      </c>
      <c r="F814" s="3" t="n">
        <v>0</v>
      </c>
      <c r="G814" s="3" t="n">
        <v>6875.45</v>
      </c>
    </row>
    <row r="815">
      <c r="A815" s="3" t="inlineStr">
        <is>
          <t>Cape Projects Construction (Pty) Ltd</t>
        </is>
      </c>
      <c r="B815" s="4" t="n">
        <v>44620</v>
      </c>
      <c r="C815" s="3" t="inlineStr">
        <is>
          <t>Assets</t>
        </is>
      </c>
      <c r="D815" s="3" t="inlineStr">
        <is>
          <t>8000/000</t>
        </is>
      </c>
      <c r="E815" s="3" t="inlineStr">
        <is>
          <t>Customer Control Account</t>
        </is>
      </c>
      <c r="F815" s="3" t="n">
        <v>746030</v>
      </c>
      <c r="G815" s="3" t="n">
        <v>3144560.51</v>
      </c>
    </row>
    <row r="816">
      <c r="A816" s="3" t="inlineStr">
        <is>
          <t>Cape Projects Construction (Pty) Ltd</t>
        </is>
      </c>
      <c r="B816" s="4" t="n">
        <v>44620</v>
      </c>
      <c r="C816" s="3" t="inlineStr">
        <is>
          <t>Assets</t>
        </is>
      </c>
      <c r="D816" s="3" t="inlineStr">
        <is>
          <t>8200/010</t>
        </is>
      </c>
      <c r="E816" s="3" t="inlineStr">
        <is>
          <t>Prepayments / Prepaid Expenses</t>
        </is>
      </c>
      <c r="F816" s="3" t="n">
        <v>-2867.1</v>
      </c>
      <c r="G816" s="3" t="n">
        <v>14335.47</v>
      </c>
    </row>
    <row r="817">
      <c r="A817" s="3" t="inlineStr">
        <is>
          <t>Heron Fields (Pty) Ltd</t>
        </is>
      </c>
      <c r="B817" s="4" t="n">
        <v>44620</v>
      </c>
      <c r="C817" s="3" t="inlineStr">
        <is>
          <t>Assets</t>
        </is>
      </c>
      <c r="D817" s="3" t="inlineStr">
        <is>
          <t>8200/200</t>
        </is>
      </c>
      <c r="E817" s="3" t="inlineStr">
        <is>
          <t>Sundry Debtor - Quinate</t>
        </is>
      </c>
      <c r="F817" s="3" t="n">
        <v>0</v>
      </c>
      <c r="G817" s="3" t="n">
        <v>300000</v>
      </c>
    </row>
    <row r="818">
      <c r="A818" s="3" t="inlineStr">
        <is>
          <t>Heron Fields (Pty) Ltd</t>
        </is>
      </c>
      <c r="B818" s="4" t="n">
        <v>44620</v>
      </c>
      <c r="C818" s="3" t="inlineStr">
        <is>
          <t>Assets</t>
        </is>
      </c>
      <c r="D818" s="3" t="inlineStr">
        <is>
          <t>8400/000</t>
        </is>
      </c>
      <c r="E818" s="3" t="inlineStr">
        <is>
          <t>RMB - 62882379087</t>
        </is>
      </c>
      <c r="F818" s="3" t="n">
        <v>-14562.18</v>
      </c>
      <c r="G818" s="3" t="n">
        <v>25029.19</v>
      </c>
    </row>
    <row r="819">
      <c r="A819" s="3" t="inlineStr">
        <is>
          <t>Cape Projects Construction (Pty) Ltd</t>
        </is>
      </c>
      <c r="B819" s="4" t="n">
        <v>44620</v>
      </c>
      <c r="C819" s="3" t="inlineStr">
        <is>
          <t>Assets</t>
        </is>
      </c>
      <c r="D819" s="3" t="inlineStr">
        <is>
          <t>8400/000</t>
        </is>
      </c>
      <c r="E819" s="3" t="inlineStr">
        <is>
          <t>RMB 62275138470</t>
        </is>
      </c>
      <c r="F819" s="3" t="n">
        <v>414749.94</v>
      </c>
      <c r="G819" s="3" t="n">
        <v>427620.78</v>
      </c>
    </row>
    <row r="820">
      <c r="A820" s="3" t="inlineStr">
        <is>
          <t>Cape Projects Construction (Pty) Ltd</t>
        </is>
      </c>
      <c r="B820" s="4" t="n">
        <v>44620</v>
      </c>
      <c r="C820" s="3" t="inlineStr">
        <is>
          <t>Assets</t>
        </is>
      </c>
      <c r="D820" s="3" t="inlineStr">
        <is>
          <t>8410/000</t>
        </is>
      </c>
      <c r="E820" s="3" t="inlineStr">
        <is>
          <t>Petty Cash</t>
        </is>
      </c>
      <c r="F820" s="3" t="n">
        <v>-1006.8</v>
      </c>
      <c r="G820" s="3" t="n">
        <v>0</v>
      </c>
    </row>
    <row r="821">
      <c r="A821" s="3" t="inlineStr">
        <is>
          <t>Cape Projects Construction (Pty) Ltd</t>
        </is>
      </c>
      <c r="B821" s="4" t="n">
        <v>44620</v>
      </c>
      <c r="C821" s="3" t="inlineStr">
        <is>
          <t>Assets</t>
        </is>
      </c>
      <c r="D821" s="3" t="inlineStr">
        <is>
          <t>8420/000</t>
        </is>
      </c>
      <c r="E821" s="3" t="inlineStr">
        <is>
          <t>Momentum Priv Acc RU502230981</t>
        </is>
      </c>
      <c r="F821" s="3" t="n">
        <v>1.8</v>
      </c>
      <c r="G821" s="3" t="n">
        <v>509.64</v>
      </c>
    </row>
    <row r="822">
      <c r="A822" s="3" t="inlineStr">
        <is>
          <t>Heron Fields (Pty) Ltd</t>
        </is>
      </c>
      <c r="B822" s="4" t="n">
        <v>44620</v>
      </c>
      <c r="C822" s="3" t="inlineStr">
        <is>
          <t>Assets</t>
        </is>
      </c>
      <c r="D822" s="3" t="inlineStr">
        <is>
          <t>8430/000</t>
        </is>
      </c>
      <c r="E822" s="3" t="inlineStr">
        <is>
          <t>Momentum Private Account RU502230151</t>
        </is>
      </c>
      <c r="F822" s="3" t="n">
        <v>5.48</v>
      </c>
      <c r="G822" s="3" t="n">
        <v>784.95</v>
      </c>
    </row>
    <row r="823">
      <c r="A823" s="3" t="inlineStr">
        <is>
          <t>Heron Fields (Pty) Ltd</t>
        </is>
      </c>
      <c r="B823" s="4" t="n">
        <v>44620</v>
      </c>
      <c r="C823" s="3" t="inlineStr">
        <is>
          <t>Assets</t>
        </is>
      </c>
      <c r="D823" s="3" t="inlineStr">
        <is>
          <t>8440/000</t>
        </is>
      </c>
      <c r="E823" s="3" t="inlineStr">
        <is>
          <t>Momentum Investors Account RU502229930</t>
        </is>
      </c>
      <c r="F823" s="3" t="n">
        <v>-3086636.43</v>
      </c>
      <c r="G823" s="3" t="n">
        <v>4416019.37</v>
      </c>
    </row>
    <row r="824">
      <c r="A824" s="3" t="inlineStr">
        <is>
          <t>Cape Projects Construction (Pty) Ltd</t>
        </is>
      </c>
      <c r="B824" s="4" t="n">
        <v>44620</v>
      </c>
      <c r="C824" s="3" t="inlineStr">
        <is>
          <t>Liabilities</t>
        </is>
      </c>
      <c r="D824" s="3" t="inlineStr">
        <is>
          <t>860</t>
        </is>
      </c>
      <c r="E824" s="3" t="inlineStr">
        <is>
          <t>Rounding</t>
        </is>
      </c>
      <c r="F824" s="3" t="n">
        <v>0.02</v>
      </c>
      <c r="G824" s="3" t="n">
        <v>0.01</v>
      </c>
    </row>
    <row r="825">
      <c r="A825" s="3" t="inlineStr">
        <is>
          <t>Heron Fields (Pty) Ltd</t>
        </is>
      </c>
      <c r="B825" s="4" t="n">
        <v>44620</v>
      </c>
      <c r="C825" s="3" t="inlineStr">
        <is>
          <t>Liabilities</t>
        </is>
      </c>
      <c r="D825" s="3" t="inlineStr">
        <is>
          <t>860</t>
        </is>
      </c>
      <c r="E825" s="3" t="inlineStr">
        <is>
          <t>Rounding</t>
        </is>
      </c>
      <c r="F825" s="3" t="n">
        <v>0</v>
      </c>
      <c r="G825" s="3" t="n">
        <v>0.01</v>
      </c>
    </row>
    <row r="826">
      <c r="A826" s="3" t="inlineStr">
        <is>
          <t>Cape Projects Construction (Pty) Ltd</t>
        </is>
      </c>
      <c r="B826" s="4" t="n">
        <v>44620</v>
      </c>
      <c r="C826" s="3" t="inlineStr">
        <is>
          <t>Liabilities</t>
        </is>
      </c>
      <c r="D826" s="3" t="inlineStr">
        <is>
          <t>9000/000</t>
        </is>
      </c>
      <c r="E826" s="3" t="inlineStr">
        <is>
          <t>Supplier Control Account</t>
        </is>
      </c>
      <c r="F826" s="3" t="n">
        <v>-599204.17</v>
      </c>
      <c r="G826" s="3" t="n">
        <v>-1940212.93</v>
      </c>
    </row>
    <row r="827">
      <c r="A827" s="3" t="inlineStr">
        <is>
          <t>Heron Fields (Pty) Ltd</t>
        </is>
      </c>
      <c r="B827" s="4" t="n">
        <v>44620</v>
      </c>
      <c r="C827" s="3" t="inlineStr">
        <is>
          <t>Liabilities</t>
        </is>
      </c>
      <c r="D827" s="3" t="inlineStr">
        <is>
          <t>9000/000</t>
        </is>
      </c>
      <c r="E827" s="3" t="inlineStr">
        <is>
          <t>Supplier Control Account</t>
        </is>
      </c>
      <c r="F827" s="3" t="n">
        <v>-396077.7</v>
      </c>
      <c r="G827" s="3" t="n">
        <v>-46223248.03</v>
      </c>
    </row>
    <row r="828">
      <c r="A828" s="3" t="inlineStr">
        <is>
          <t>Cape Projects Construction (Pty) Ltd</t>
        </is>
      </c>
      <c r="B828" s="4" t="n">
        <v>44620</v>
      </c>
      <c r="C828" s="3" t="inlineStr">
        <is>
          <t>Liabilities</t>
        </is>
      </c>
      <c r="D828" s="3" t="inlineStr">
        <is>
          <t>9200/000</t>
        </is>
      </c>
      <c r="E828" s="3" t="inlineStr">
        <is>
          <t>Sundry Suppliers</t>
        </is>
      </c>
      <c r="F828" s="3" t="n">
        <v>1186.13</v>
      </c>
      <c r="G828" s="3" t="n">
        <v>1186.13</v>
      </c>
    </row>
    <row r="829">
      <c r="A829" s="3" t="inlineStr">
        <is>
          <t>Heron Fields (Pty) Ltd</t>
        </is>
      </c>
      <c r="B829" s="4" t="n">
        <v>44620</v>
      </c>
      <c r="C829" s="3" t="inlineStr">
        <is>
          <t>Liabilities</t>
        </is>
      </c>
      <c r="D829" s="3" t="inlineStr">
        <is>
          <t>9210/001</t>
        </is>
      </c>
      <c r="E829" s="3" t="inlineStr">
        <is>
          <t>Accrued Expenses</t>
        </is>
      </c>
      <c r="F829" s="3" t="n">
        <v>-6223.51</v>
      </c>
      <c r="G829" s="3" t="n">
        <v>-6223.51</v>
      </c>
    </row>
    <row r="830">
      <c r="A830" s="3" t="inlineStr">
        <is>
          <t>Cape Projects Construction (Pty) Ltd</t>
        </is>
      </c>
      <c r="B830" s="4" t="n">
        <v>44620</v>
      </c>
      <c r="C830" s="3" t="inlineStr">
        <is>
          <t>Liabilities</t>
        </is>
      </c>
      <c r="D830" s="3" t="inlineStr">
        <is>
          <t>9250/010</t>
        </is>
      </c>
      <c r="E830" s="3" t="inlineStr">
        <is>
          <t>SALARY CONTROL</t>
        </is>
      </c>
      <c r="F830" s="3" t="n">
        <v>2336.82</v>
      </c>
      <c r="G830" s="3" t="n">
        <v>0</v>
      </c>
    </row>
    <row r="831">
      <c r="A831" s="3" t="inlineStr">
        <is>
          <t>Cape Projects Construction (Pty) Ltd</t>
        </is>
      </c>
      <c r="B831" s="4" t="n">
        <v>44620</v>
      </c>
      <c r="C831" s="3" t="inlineStr">
        <is>
          <t>Liabilities</t>
        </is>
      </c>
      <c r="D831" s="3" t="inlineStr">
        <is>
          <t>9250/020</t>
        </is>
      </c>
      <c r="E831" s="3" t="inlineStr">
        <is>
          <t>PAYE, UIF AND SDL CONTROL</t>
        </is>
      </c>
      <c r="F831" s="3" t="n">
        <v>-48598.75</v>
      </c>
      <c r="G831" s="3" t="n">
        <v>-84559.37</v>
      </c>
    </row>
    <row r="832">
      <c r="A832" s="3" t="inlineStr">
        <is>
          <t>Cape Projects Construction (Pty) Ltd</t>
        </is>
      </c>
      <c r="B832" s="4" t="n">
        <v>44620</v>
      </c>
      <c r="C832" s="3" t="inlineStr">
        <is>
          <t>Liabilities</t>
        </is>
      </c>
      <c r="D832" s="3" t="inlineStr">
        <is>
          <t>9250/030</t>
        </is>
      </c>
      <c r="E832" s="3" t="inlineStr">
        <is>
          <t>BIBC CONTROL</t>
        </is>
      </c>
      <c r="F832" s="3" t="n">
        <v>-204.56</v>
      </c>
      <c r="G832" s="3" t="n">
        <v>-409.12</v>
      </c>
    </row>
    <row r="833">
      <c r="A833" s="3" t="inlineStr">
        <is>
          <t>Cape Projects Construction (Pty) Ltd</t>
        </is>
      </c>
      <c r="B833" s="4" t="n">
        <v>44620</v>
      </c>
      <c r="C833" s="3" t="inlineStr">
        <is>
          <t>Liabilities</t>
        </is>
      </c>
      <c r="D833" s="3" t="inlineStr">
        <is>
          <t>9500/000</t>
        </is>
      </c>
      <c r="E833" s="3" t="inlineStr">
        <is>
          <t>VAT Control Account</t>
        </is>
      </c>
      <c r="F833" s="3" t="n">
        <v>-153844.3</v>
      </c>
      <c r="G833" s="3" t="n">
        <v>-893675.0699999999</v>
      </c>
    </row>
    <row r="834">
      <c r="A834" s="3" t="inlineStr">
        <is>
          <t>Heron Fields (Pty) Ltd</t>
        </is>
      </c>
      <c r="B834" s="4" t="n">
        <v>44620</v>
      </c>
      <c r="C834" s="3" t="inlineStr">
        <is>
          <t>Liabilities</t>
        </is>
      </c>
      <c r="D834" s="3" t="inlineStr">
        <is>
          <t>9500/000</t>
        </is>
      </c>
      <c r="E834" s="3" t="inlineStr">
        <is>
          <t>Vat / Tax Control Account</t>
        </is>
      </c>
      <c r="F834" s="3" t="n">
        <v>44552.02</v>
      </c>
      <c r="G834" s="3" t="n">
        <v>830091.0699999999</v>
      </c>
    </row>
    <row r="835">
      <c r="A835" s="3" t="inlineStr">
        <is>
          <t>Cape Projects Construction (Pty) Ltd</t>
        </is>
      </c>
      <c r="B835" s="4" t="n">
        <v>44620</v>
      </c>
      <c r="C835" s="3" t="inlineStr">
        <is>
          <t>Liabilities</t>
        </is>
      </c>
      <c r="D835" s="3" t="inlineStr">
        <is>
          <t>B/S</t>
        </is>
      </c>
      <c r="E835" s="3" t="inlineStr">
        <is>
          <t>Taxation Payable</t>
        </is>
      </c>
      <c r="F835" s="3" t="n">
        <v>-500</v>
      </c>
      <c r="G835" s="3" t="n">
        <v>1987.82</v>
      </c>
    </row>
    <row r="836">
      <c r="A836" s="3" t="inlineStr">
        <is>
          <t>Cape Projects Construction (Pty) Ltd</t>
        </is>
      </c>
      <c r="B836" s="4" t="n">
        <v>44620</v>
      </c>
      <c r="C836" s="3" t="inlineStr">
        <is>
          <t>Liabilities</t>
        </is>
      </c>
      <c r="D836" s="3" t="inlineStr">
        <is>
          <t>TEMP/ACC</t>
        </is>
      </c>
      <c r="E836" s="3" t="inlineStr">
        <is>
          <t>Conversion Account</t>
        </is>
      </c>
      <c r="F836" s="3" t="n">
        <v>0</v>
      </c>
      <c r="G836" s="3" t="n">
        <v>-254.99</v>
      </c>
    </row>
    <row r="837">
      <c r="A837" s="3" t="inlineStr">
        <is>
          <t>Cape Projects Construction (Pty) Ltd</t>
        </is>
      </c>
      <c r="B837" s="4" t="n">
        <v>44651</v>
      </c>
      <c r="C837" s="3" t="inlineStr">
        <is>
          <t>Revenue</t>
        </is>
      </c>
      <c r="D837" s="3" t="inlineStr">
        <is>
          <t>1040/100</t>
        </is>
      </c>
      <c r="E837" s="3" t="inlineStr">
        <is>
          <t>Fees - Construction - Heron</t>
        </is>
      </c>
      <c r="F837" s="3" t="n">
        <v>-1167362.94</v>
      </c>
      <c r="G837" s="3" t="n">
        <v>-1167362.94</v>
      </c>
    </row>
    <row r="838">
      <c r="A838" s="3" t="inlineStr">
        <is>
          <t>Cape Projects Construction (Pty) Ltd</t>
        </is>
      </c>
      <c r="B838" s="4" t="n">
        <v>44651</v>
      </c>
      <c r="C838" s="3" t="inlineStr">
        <is>
          <t>Revenue</t>
        </is>
      </c>
      <c r="D838" s="3" t="inlineStr">
        <is>
          <t>1050/030</t>
        </is>
      </c>
      <c r="E838" s="3" t="inlineStr">
        <is>
          <t>Fees - Construction - Endulini</t>
        </is>
      </c>
      <c r="F838" s="3" t="n">
        <v>-3723478.26</v>
      </c>
      <c r="G838" s="3" t="n">
        <v>-3723478.26</v>
      </c>
    </row>
    <row r="839">
      <c r="A839" s="3" t="inlineStr">
        <is>
          <t>Cape Projects Construction (Pty) Ltd</t>
        </is>
      </c>
      <c r="B839" s="4" t="n">
        <v>44651</v>
      </c>
      <c r="C839" s="3" t="inlineStr">
        <is>
          <t>Revenue</t>
        </is>
      </c>
      <c r="D839" s="3" t="inlineStr">
        <is>
          <t>1070/000</t>
        </is>
      </c>
      <c r="E839" s="3" t="inlineStr">
        <is>
          <t>Rent - CT Office</t>
        </is>
      </c>
      <c r="F839" s="3" t="n">
        <v>-3490.94</v>
      </c>
      <c r="G839" s="3" t="n">
        <v>-3490.94</v>
      </c>
    </row>
    <row r="840">
      <c r="A840" s="3" t="inlineStr">
        <is>
          <t>Cape Projects Construction (Pty) Ltd</t>
        </is>
      </c>
      <c r="B840" s="4" t="n">
        <v>44651</v>
      </c>
      <c r="C840" s="3" t="inlineStr">
        <is>
          <t>Expenses</t>
        </is>
      </c>
      <c r="D840" s="3" t="inlineStr">
        <is>
          <t>2006/000</t>
        </is>
      </c>
      <c r="E840" s="3" t="inlineStr">
        <is>
          <t>COS - Endulini Construction</t>
        </is>
      </c>
      <c r="F840" s="3" t="n">
        <v>3165566.09</v>
      </c>
      <c r="G840" s="3" t="n">
        <v>3165566.09</v>
      </c>
    </row>
    <row r="841">
      <c r="A841" s="3" t="inlineStr">
        <is>
          <t>Cape Projects Construction (Pty) Ltd</t>
        </is>
      </c>
      <c r="B841" s="4" t="n">
        <v>44651</v>
      </c>
      <c r="C841" s="3" t="inlineStr">
        <is>
          <t>Expenses</t>
        </is>
      </c>
      <c r="D841" s="3" t="inlineStr">
        <is>
          <t>2006/100</t>
        </is>
      </c>
      <c r="E841" s="3" t="inlineStr">
        <is>
          <t>COS - Endulini P and G</t>
        </is>
      </c>
      <c r="F841" s="3" t="n">
        <v>166564.88</v>
      </c>
      <c r="G841" s="3" t="n">
        <v>166564.88</v>
      </c>
    </row>
    <row r="842">
      <c r="A842" s="3" t="inlineStr">
        <is>
          <t>Cape Projects Construction (Pty) Ltd</t>
        </is>
      </c>
      <c r="B842" s="4" t="n">
        <v>44651</v>
      </c>
      <c r="C842" s="3" t="inlineStr">
        <is>
          <t>Expenses</t>
        </is>
      </c>
      <c r="D842" s="3" t="inlineStr">
        <is>
          <t>2006/200</t>
        </is>
      </c>
      <c r="E842" s="3" t="inlineStr">
        <is>
          <t>COS - Insurance</t>
        </is>
      </c>
      <c r="F842" s="3" t="n">
        <v>2867.09</v>
      </c>
      <c r="G842" s="3" t="n">
        <v>2867.09</v>
      </c>
    </row>
    <row r="843">
      <c r="A843" s="3" t="inlineStr">
        <is>
          <t>Cape Projects Construction (Pty) Ltd</t>
        </is>
      </c>
      <c r="B843" s="4" t="n">
        <v>44651</v>
      </c>
      <c r="C843" s="3" t="inlineStr">
        <is>
          <t>Expenses</t>
        </is>
      </c>
      <c r="D843" s="3" t="inlineStr">
        <is>
          <t>2006/350</t>
        </is>
      </c>
      <c r="E843" s="3" t="inlineStr">
        <is>
          <t>COS - Endulini - Security</t>
        </is>
      </c>
      <c r="F843" s="3" t="n">
        <v>5500</v>
      </c>
      <c r="G843" s="3" t="n">
        <v>5500</v>
      </c>
    </row>
    <row r="844">
      <c r="A844" s="3" t="inlineStr">
        <is>
          <t>Cape Projects Construction (Pty) Ltd</t>
        </is>
      </c>
      <c r="B844" s="4" t="n">
        <v>44651</v>
      </c>
      <c r="C844" s="3" t="inlineStr">
        <is>
          <t>Expenses</t>
        </is>
      </c>
      <c r="D844" s="3" t="inlineStr">
        <is>
          <t>2006/400</t>
        </is>
      </c>
      <c r="E844" s="3" t="inlineStr">
        <is>
          <t>COS - Endulini - Health &amp; Safety</t>
        </is>
      </c>
      <c r="F844" s="3" t="n">
        <v>4000</v>
      </c>
      <c r="G844" s="3" t="n">
        <v>4000</v>
      </c>
    </row>
    <row r="845">
      <c r="A845" s="3" t="inlineStr">
        <is>
          <t>Cape Projects Construction (Pty) Ltd</t>
        </is>
      </c>
      <c r="B845" s="4" t="n">
        <v>44651</v>
      </c>
      <c r="C845" s="3" t="inlineStr">
        <is>
          <t>Expenses</t>
        </is>
      </c>
      <c r="D845" s="3" t="inlineStr">
        <is>
          <t>2006/800</t>
        </is>
      </c>
      <c r="E845" s="3" t="inlineStr">
        <is>
          <t>COS - Endulini - Telephone &amp; Internet</t>
        </is>
      </c>
      <c r="F845" s="3" t="n">
        <v>416.52</v>
      </c>
      <c r="G845" s="3" t="n">
        <v>416.52</v>
      </c>
    </row>
    <row r="846">
      <c r="A846" s="3" t="inlineStr">
        <is>
          <t>Cape Projects Construction (Pty) Ltd</t>
        </is>
      </c>
      <c r="B846" s="4" t="n">
        <v>44651</v>
      </c>
      <c r="C846" s="3" t="inlineStr">
        <is>
          <t>Expenses</t>
        </is>
      </c>
      <c r="D846" s="3" t="inlineStr">
        <is>
          <t>2011/300</t>
        </is>
      </c>
      <c r="E846" s="3" t="inlineStr">
        <is>
          <t>COS - Heron Fields - Printing &amp; Stationary</t>
        </is>
      </c>
      <c r="F846" s="3" t="n">
        <v>268.05</v>
      </c>
      <c r="G846" s="3" t="n">
        <v>268.05</v>
      </c>
    </row>
    <row r="847">
      <c r="A847" s="3" t="inlineStr">
        <is>
          <t>Cape Projects Construction (Pty) Ltd</t>
        </is>
      </c>
      <c r="B847" s="4" t="n">
        <v>44651</v>
      </c>
      <c r="C847" s="3" t="inlineStr">
        <is>
          <t>Expenses</t>
        </is>
      </c>
      <c r="D847" s="3" t="inlineStr">
        <is>
          <t>2011/500</t>
        </is>
      </c>
      <c r="E847" s="3" t="inlineStr">
        <is>
          <t>COS - Heron Fields - Construction</t>
        </is>
      </c>
      <c r="F847" s="3" t="n">
        <v>967790.23</v>
      </c>
      <c r="G847" s="3" t="n">
        <v>967790.23</v>
      </c>
    </row>
    <row r="848">
      <c r="A848" s="3" t="inlineStr">
        <is>
          <t>Cape Projects Construction (Pty) Ltd</t>
        </is>
      </c>
      <c r="B848" s="4" t="n">
        <v>44651</v>
      </c>
      <c r="C848" s="3" t="inlineStr">
        <is>
          <t>Expenses</t>
        </is>
      </c>
      <c r="D848" s="3" t="inlineStr">
        <is>
          <t>2011/600</t>
        </is>
      </c>
      <c r="E848" s="3" t="inlineStr">
        <is>
          <t>COS - Heron Fields - P &amp; G</t>
        </is>
      </c>
      <c r="F848" s="3" t="n">
        <v>92590.28</v>
      </c>
      <c r="G848" s="3" t="n">
        <v>92590.28</v>
      </c>
    </row>
    <row r="849">
      <c r="A849" s="3" t="inlineStr">
        <is>
          <t>Cape Projects Construction (Pty) Ltd</t>
        </is>
      </c>
      <c r="B849" s="4" t="n">
        <v>44651</v>
      </c>
      <c r="C849" s="3" t="inlineStr">
        <is>
          <t>Expenses</t>
        </is>
      </c>
      <c r="D849" s="3" t="inlineStr">
        <is>
          <t>2011/700</t>
        </is>
      </c>
      <c r="E849" s="3" t="inlineStr">
        <is>
          <t>COS - Heron Fields - Health &amp; Safety</t>
        </is>
      </c>
      <c r="F849" s="3" t="n">
        <v>6286.3</v>
      </c>
      <c r="G849" s="3" t="n">
        <v>6286.3</v>
      </c>
    </row>
    <row r="850">
      <c r="A850" s="3" t="inlineStr">
        <is>
          <t>Cape Projects Construction (Pty) Ltd</t>
        </is>
      </c>
      <c r="B850" s="4" t="n">
        <v>44651</v>
      </c>
      <c r="C850" s="3" t="inlineStr">
        <is>
          <t>Expenses</t>
        </is>
      </c>
      <c r="D850" s="3" t="inlineStr">
        <is>
          <t>2011/900</t>
        </is>
      </c>
      <c r="E850" s="3" t="inlineStr">
        <is>
          <t>COS - Heron - Internet</t>
        </is>
      </c>
      <c r="F850" s="3" t="n">
        <v>545.59</v>
      </c>
      <c r="G850" s="3" t="n">
        <v>545.59</v>
      </c>
    </row>
    <row r="851">
      <c r="A851" s="3" t="inlineStr">
        <is>
          <t>Cape Projects Construction (Pty) Ltd</t>
        </is>
      </c>
      <c r="B851" s="4" t="n">
        <v>44651</v>
      </c>
      <c r="C851" s="3" t="inlineStr">
        <is>
          <t>Revenue</t>
        </is>
      </c>
      <c r="D851" s="3" t="inlineStr">
        <is>
          <t>2751/001</t>
        </is>
      </c>
      <c r="E851" s="3" t="inlineStr">
        <is>
          <t>Interest received - Momentum</t>
        </is>
      </c>
      <c r="F851" s="3" t="n">
        <v>-2.02</v>
      </c>
      <c r="G851" s="3" t="n">
        <v>-2.02</v>
      </c>
    </row>
    <row r="852">
      <c r="A852" s="3" t="inlineStr">
        <is>
          <t>Heron Fields (Pty) Ltd</t>
        </is>
      </c>
      <c r="B852" s="4" t="n">
        <v>44651</v>
      </c>
      <c r="C852" s="3" t="inlineStr">
        <is>
          <t>Revenue</t>
        </is>
      </c>
      <c r="D852" s="3" t="inlineStr">
        <is>
          <t>2755/001</t>
        </is>
      </c>
      <c r="E852" s="3" t="inlineStr">
        <is>
          <t>Interest Received - Momentum</t>
        </is>
      </c>
      <c r="F852" s="3" t="n">
        <v>-7698.07</v>
      </c>
      <c r="G852" s="3" t="n">
        <v>-7698.07</v>
      </c>
    </row>
    <row r="853">
      <c r="A853" s="3" t="inlineStr">
        <is>
          <t>Cape Projects Construction (Pty) Ltd</t>
        </is>
      </c>
      <c r="B853" s="4" t="n">
        <v>44651</v>
      </c>
      <c r="C853" s="3" t="inlineStr">
        <is>
          <t>Expenses</t>
        </is>
      </c>
      <c r="D853" s="3" t="inlineStr">
        <is>
          <t>3050/000</t>
        </is>
      </c>
      <c r="E853" s="3" t="inlineStr">
        <is>
          <t>Advertising _AND_ Promotions</t>
        </is>
      </c>
      <c r="F853" s="3" t="n">
        <v>687.5</v>
      </c>
      <c r="G853" s="3" t="n">
        <v>687.5</v>
      </c>
    </row>
    <row r="854">
      <c r="A854" s="3" t="inlineStr">
        <is>
          <t>Heron Fields (Pty) Ltd</t>
        </is>
      </c>
      <c r="B854" s="4" t="n">
        <v>44651</v>
      </c>
      <c r="C854" s="3" t="inlineStr">
        <is>
          <t>Expenses</t>
        </is>
      </c>
      <c r="D854" s="3" t="inlineStr">
        <is>
          <t>3050/000</t>
        </is>
      </c>
      <c r="E854" s="3" t="inlineStr">
        <is>
          <t>Advertising _AND_ Promotions</t>
        </is>
      </c>
      <c r="F854" s="3" t="n">
        <v>550</v>
      </c>
      <c r="G854" s="3" t="n">
        <v>550</v>
      </c>
    </row>
    <row r="855">
      <c r="A855" s="3" t="inlineStr">
        <is>
          <t>Cape Projects Construction (Pty) Ltd</t>
        </is>
      </c>
      <c r="B855" s="4" t="n">
        <v>44651</v>
      </c>
      <c r="C855" s="3" t="inlineStr">
        <is>
          <t>Expenses</t>
        </is>
      </c>
      <c r="D855" s="3" t="inlineStr">
        <is>
          <t>3200/000</t>
        </is>
      </c>
      <c r="E855" s="3" t="inlineStr">
        <is>
          <t>Bank Charges</t>
        </is>
      </c>
      <c r="F855" s="3" t="n">
        <v>2575.09</v>
      </c>
      <c r="G855" s="3" t="n">
        <v>2575.09</v>
      </c>
    </row>
    <row r="856">
      <c r="A856" s="3" t="inlineStr">
        <is>
          <t>Heron Fields (Pty) Ltd</t>
        </is>
      </c>
      <c r="B856" s="4" t="n">
        <v>44651</v>
      </c>
      <c r="C856" s="3" t="inlineStr">
        <is>
          <t>Expenses</t>
        </is>
      </c>
      <c r="D856" s="3" t="inlineStr">
        <is>
          <t>3200/000</t>
        </is>
      </c>
      <c r="E856" s="3" t="inlineStr">
        <is>
          <t>Bank Charges</t>
        </is>
      </c>
      <c r="F856" s="3" t="n">
        <v>653.7</v>
      </c>
      <c r="G856" s="3" t="n">
        <v>653.7</v>
      </c>
    </row>
    <row r="857">
      <c r="A857" s="3" t="inlineStr">
        <is>
          <t>Cape Projects Construction (Pty) Ltd</t>
        </is>
      </c>
      <c r="B857" s="4" t="n">
        <v>44651</v>
      </c>
      <c r="C857" s="3" t="inlineStr">
        <is>
          <t>Expenses</t>
        </is>
      </c>
      <c r="D857" s="3" t="inlineStr">
        <is>
          <t>3250/000</t>
        </is>
      </c>
      <c r="E857" s="3" t="inlineStr">
        <is>
          <t>Cleaning</t>
        </is>
      </c>
      <c r="F857" s="3" t="n">
        <v>1736.89</v>
      </c>
      <c r="G857" s="3" t="n">
        <v>1736.89</v>
      </c>
    </row>
    <row r="858">
      <c r="A858" s="3" t="inlineStr">
        <is>
          <t>Cape Projects Construction (Pty) Ltd</t>
        </is>
      </c>
      <c r="B858" s="4" t="n">
        <v>44651</v>
      </c>
      <c r="C858" s="3" t="inlineStr">
        <is>
          <t>Expenses</t>
        </is>
      </c>
      <c r="D858" s="3" t="inlineStr">
        <is>
          <t>3256/000</t>
        </is>
      </c>
      <c r="E858" s="3" t="inlineStr">
        <is>
          <t>Cell Phone - Nick Morgan</t>
        </is>
      </c>
      <c r="F858" s="3" t="n">
        <v>621.83</v>
      </c>
      <c r="G858" s="3" t="n">
        <v>621.83</v>
      </c>
    </row>
    <row r="859">
      <c r="A859" s="3" t="inlineStr">
        <is>
          <t>Cape Projects Construction (Pty) Ltd</t>
        </is>
      </c>
      <c r="B859" s="4" t="n">
        <v>44651</v>
      </c>
      <c r="C859" s="3" t="inlineStr">
        <is>
          <t>Expenses</t>
        </is>
      </c>
      <c r="D859" s="3" t="inlineStr">
        <is>
          <t>3300/000</t>
        </is>
      </c>
      <c r="E859" s="3" t="inlineStr">
        <is>
          <t>Computer Expenses</t>
        </is>
      </c>
      <c r="F859" s="3" t="n">
        <v>566.09</v>
      </c>
      <c r="G859" s="3" t="n">
        <v>566.09</v>
      </c>
    </row>
    <row r="860">
      <c r="A860" s="3" t="inlineStr">
        <is>
          <t>Heron Fields (Pty) Ltd</t>
        </is>
      </c>
      <c r="B860" s="4" t="n">
        <v>44651</v>
      </c>
      <c r="C860" s="3" t="inlineStr">
        <is>
          <t>Expenses</t>
        </is>
      </c>
      <c r="D860" s="3" t="inlineStr">
        <is>
          <t>3350/100</t>
        </is>
      </c>
      <c r="E860" s="3" t="inlineStr">
        <is>
          <t>Consulting Fees - Admin and Finance</t>
        </is>
      </c>
      <c r="F860" s="3" t="n">
        <v>67644.03999999999</v>
      </c>
      <c r="G860" s="3" t="n">
        <v>67644.03999999999</v>
      </c>
    </row>
    <row r="861">
      <c r="A861" s="3" t="inlineStr">
        <is>
          <t>Cape Projects Construction (Pty) Ltd</t>
        </is>
      </c>
      <c r="B861" s="4" t="n">
        <v>44651</v>
      </c>
      <c r="C861" s="3" t="inlineStr">
        <is>
          <t>Expenses</t>
        </is>
      </c>
      <c r="D861" s="3" t="inlineStr">
        <is>
          <t>3350/100</t>
        </is>
      </c>
      <c r="E861" s="3" t="inlineStr">
        <is>
          <t>Consulting fees - Herbert du Plessis</t>
        </is>
      </c>
      <c r="F861" s="3" t="n">
        <v>36000</v>
      </c>
      <c r="G861" s="3" t="n">
        <v>36000</v>
      </c>
    </row>
    <row r="862">
      <c r="A862" s="3" t="inlineStr">
        <is>
          <t>Cape Projects Construction (Pty) Ltd</t>
        </is>
      </c>
      <c r="B862" s="4" t="n">
        <v>44651</v>
      </c>
      <c r="C862" s="3" t="inlineStr">
        <is>
          <t>Expenses</t>
        </is>
      </c>
      <c r="D862" s="3" t="inlineStr">
        <is>
          <t>3350/300</t>
        </is>
      </c>
      <c r="E862" s="3" t="inlineStr">
        <is>
          <t>Consulting Fees - Admin and Finance</t>
        </is>
      </c>
      <c r="F862" s="3" t="n">
        <v>94504.52</v>
      </c>
      <c r="G862" s="3" t="n">
        <v>94504.52</v>
      </c>
    </row>
    <row r="863">
      <c r="A863" s="3" t="inlineStr">
        <is>
          <t>Heron Fields (Pty) Ltd</t>
        </is>
      </c>
      <c r="B863" s="4" t="n">
        <v>44651</v>
      </c>
      <c r="C863" s="3" t="inlineStr">
        <is>
          <t>Expenses</t>
        </is>
      </c>
      <c r="D863" s="3" t="inlineStr">
        <is>
          <t>3351/000</t>
        </is>
      </c>
      <c r="E863" s="3" t="inlineStr">
        <is>
          <t>Consulting fees - Trustee</t>
        </is>
      </c>
      <c r="F863" s="3" t="n">
        <v>4000</v>
      </c>
      <c r="G863" s="3" t="n">
        <v>4000</v>
      </c>
    </row>
    <row r="864">
      <c r="A864" s="3" t="inlineStr">
        <is>
          <t>Cape Projects Construction (Pty) Ltd</t>
        </is>
      </c>
      <c r="B864" s="4" t="n">
        <v>44651</v>
      </c>
      <c r="C864" s="3" t="inlineStr">
        <is>
          <t>Expenses</t>
        </is>
      </c>
      <c r="D864" s="3" t="inlineStr">
        <is>
          <t>3450/001</t>
        </is>
      </c>
      <c r="E864" s="3" t="inlineStr">
        <is>
          <t>Depreciation - Computer Equipment</t>
        </is>
      </c>
      <c r="F864" s="3" t="n">
        <v>1334.57</v>
      </c>
      <c r="G864" s="3" t="n">
        <v>1334.57</v>
      </c>
    </row>
    <row r="865">
      <c r="A865" s="3" t="inlineStr">
        <is>
          <t>Cape Projects Construction (Pty) Ltd</t>
        </is>
      </c>
      <c r="B865" s="4" t="n">
        <v>44651</v>
      </c>
      <c r="C865" s="3" t="inlineStr">
        <is>
          <t>Expenses</t>
        </is>
      </c>
      <c r="D865" s="3" t="inlineStr">
        <is>
          <t>3450/002</t>
        </is>
      </c>
      <c r="E865" s="3" t="inlineStr">
        <is>
          <t>Depreciation - Generator Fixed Asset</t>
        </is>
      </c>
      <c r="F865" s="3" t="n">
        <v>193.33</v>
      </c>
      <c r="G865" s="3" t="n">
        <v>193.33</v>
      </c>
    </row>
    <row r="866">
      <c r="A866" s="3" t="inlineStr">
        <is>
          <t>Cape Projects Construction (Pty) Ltd</t>
        </is>
      </c>
      <c r="B866" s="4" t="n">
        <v>44651</v>
      </c>
      <c r="C866" s="3" t="inlineStr">
        <is>
          <t>Expenses</t>
        </is>
      </c>
      <c r="D866" s="3" t="inlineStr">
        <is>
          <t>3450/030</t>
        </is>
      </c>
      <c r="E866" s="3" t="inlineStr">
        <is>
          <t>Depreciation - Furniture and Fittings</t>
        </is>
      </c>
      <c r="F866" s="3" t="n">
        <v>427.21</v>
      </c>
      <c r="G866" s="3" t="n">
        <v>427.21</v>
      </c>
    </row>
    <row r="867">
      <c r="A867" s="3" t="inlineStr">
        <is>
          <t>Heron Fields (Pty) Ltd</t>
        </is>
      </c>
      <c r="B867" s="4" t="n">
        <v>44651</v>
      </c>
      <c r="C867" s="3" t="inlineStr">
        <is>
          <t>Expenses</t>
        </is>
      </c>
      <c r="D867" s="3" t="inlineStr">
        <is>
          <t>3650/000</t>
        </is>
      </c>
      <c r="E867" s="3" t="inlineStr">
        <is>
          <t>CoCT - Electricity</t>
        </is>
      </c>
      <c r="F867" s="3" t="n">
        <v>2215.9</v>
      </c>
      <c r="G867" s="3" t="n">
        <v>2215.9</v>
      </c>
    </row>
    <row r="868">
      <c r="A868" s="3" t="inlineStr">
        <is>
          <t>Heron Fields (Pty) Ltd</t>
        </is>
      </c>
      <c r="B868" s="4" t="n">
        <v>44651</v>
      </c>
      <c r="C868" s="3" t="inlineStr">
        <is>
          <t>Expenses</t>
        </is>
      </c>
      <c r="D868" s="3" t="inlineStr">
        <is>
          <t>3660/000</t>
        </is>
      </c>
      <c r="E868" s="3" t="inlineStr">
        <is>
          <t>CoCT - Water</t>
        </is>
      </c>
      <c r="F868" s="3" t="n">
        <v>10580.4</v>
      </c>
      <c r="G868" s="3" t="n">
        <v>10580.4</v>
      </c>
    </row>
    <row r="869">
      <c r="A869" s="3" t="inlineStr">
        <is>
          <t>Cape Projects Construction (Pty) Ltd</t>
        </is>
      </c>
      <c r="B869" s="4" t="n">
        <v>44651</v>
      </c>
      <c r="C869" s="3" t="inlineStr">
        <is>
          <t>Expenses</t>
        </is>
      </c>
      <c r="D869" s="3" t="inlineStr">
        <is>
          <t>3700/000</t>
        </is>
      </c>
      <c r="E869" s="3" t="inlineStr">
        <is>
          <t>Entertainment Expenses</t>
        </is>
      </c>
      <c r="F869" s="3" t="n">
        <v>1801.52</v>
      </c>
      <c r="G869" s="3" t="n">
        <v>1801.52</v>
      </c>
    </row>
    <row r="870">
      <c r="A870" s="3" t="inlineStr">
        <is>
          <t>Cape Projects Construction (Pty) Ltd</t>
        </is>
      </c>
      <c r="B870" s="4" t="n">
        <v>44651</v>
      </c>
      <c r="C870" s="3" t="inlineStr">
        <is>
          <t>Expenses</t>
        </is>
      </c>
      <c r="D870" s="3" t="inlineStr">
        <is>
          <t>3850/001</t>
        </is>
      </c>
      <c r="E870" s="3" t="inlineStr">
        <is>
          <t>Insurance - Santam</t>
        </is>
      </c>
      <c r="F870" s="3" t="n">
        <v>1051.21</v>
      </c>
      <c r="G870" s="3" t="n">
        <v>1051.21</v>
      </c>
    </row>
    <row r="871">
      <c r="A871" s="3" t="inlineStr">
        <is>
          <t>Cape Projects Construction (Pty) Ltd</t>
        </is>
      </c>
      <c r="B871" s="4" t="n">
        <v>44651</v>
      </c>
      <c r="C871" s="3" t="inlineStr">
        <is>
          <t>Expenses</t>
        </is>
      </c>
      <c r="D871" s="3" t="inlineStr">
        <is>
          <t>3850/002</t>
        </is>
      </c>
      <c r="E871" s="3" t="inlineStr">
        <is>
          <t>Insurance - RBS</t>
        </is>
      </c>
      <c r="F871" s="3" t="n">
        <v>237.57</v>
      </c>
      <c r="G871" s="3" t="n">
        <v>237.57</v>
      </c>
    </row>
    <row r="872">
      <c r="A872" s="3" t="inlineStr">
        <is>
          <t>Heron Fields (Pty) Ltd</t>
        </is>
      </c>
      <c r="B872" s="4" t="n">
        <v>44651</v>
      </c>
      <c r="C872" s="3" t="inlineStr">
        <is>
          <t>Expenses</t>
        </is>
      </c>
      <c r="D872" s="3" t="inlineStr">
        <is>
          <t>3900/000</t>
        </is>
      </c>
      <c r="E872" s="3" t="inlineStr">
        <is>
          <t>Interest Paid</t>
        </is>
      </c>
      <c r="F872" s="3" t="n">
        <v>54.64</v>
      </c>
      <c r="G872" s="3" t="n">
        <v>54.64</v>
      </c>
    </row>
    <row r="873">
      <c r="A873" s="3" t="inlineStr">
        <is>
          <t>Heron Fields (Pty) Ltd</t>
        </is>
      </c>
      <c r="B873" s="4" t="n">
        <v>44651</v>
      </c>
      <c r="C873" s="3" t="inlineStr">
        <is>
          <t>Expenses</t>
        </is>
      </c>
      <c r="D873" s="3" t="inlineStr">
        <is>
          <t>4100/001</t>
        </is>
      </c>
      <c r="E873" s="3" t="inlineStr">
        <is>
          <t>Momentum Admin Fee</t>
        </is>
      </c>
      <c r="F873" s="3" t="n">
        <v>1156.41</v>
      </c>
      <c r="G873" s="3" t="n">
        <v>1156.41</v>
      </c>
    </row>
    <row r="874">
      <c r="A874" s="3" t="inlineStr">
        <is>
          <t>Cape Projects Construction (Pty) Ltd</t>
        </is>
      </c>
      <c r="B874" s="4" t="n">
        <v>44651</v>
      </c>
      <c r="C874" s="3" t="inlineStr">
        <is>
          <t>Expenses</t>
        </is>
      </c>
      <c r="D874" s="3" t="inlineStr">
        <is>
          <t>4150/030</t>
        </is>
      </c>
      <c r="E874" s="3" t="inlineStr">
        <is>
          <t>Motor Vehicle - Insurance _AND_ Licence</t>
        </is>
      </c>
      <c r="F874" s="3" t="n">
        <v>1200</v>
      </c>
      <c r="G874" s="3" t="n">
        <v>1200</v>
      </c>
    </row>
    <row r="875">
      <c r="A875" s="3" t="inlineStr">
        <is>
          <t>Cape Projects Construction (Pty) Ltd</t>
        </is>
      </c>
      <c r="B875" s="4" t="n">
        <v>44651</v>
      </c>
      <c r="C875" s="3" t="inlineStr">
        <is>
          <t>Expenses</t>
        </is>
      </c>
      <c r="D875" s="3" t="inlineStr">
        <is>
          <t>4200/000</t>
        </is>
      </c>
      <c r="E875" s="3" t="inlineStr">
        <is>
          <t>Printing _AND_ Stationery</t>
        </is>
      </c>
      <c r="F875" s="3" t="n">
        <v>2729.89</v>
      </c>
      <c r="G875" s="3" t="n">
        <v>2729.89</v>
      </c>
    </row>
    <row r="876">
      <c r="A876" s="3" t="inlineStr">
        <is>
          <t>Cape Projects Construction (Pty) Ltd</t>
        </is>
      </c>
      <c r="B876" s="4" t="n">
        <v>44651</v>
      </c>
      <c r="C876" s="3" t="inlineStr">
        <is>
          <t>Expenses</t>
        </is>
      </c>
      <c r="D876" s="3" t="inlineStr">
        <is>
          <t>4201/000</t>
        </is>
      </c>
      <c r="E876" s="3" t="inlineStr">
        <is>
          <t>Printing - Printer rental</t>
        </is>
      </c>
      <c r="F876" s="3" t="n">
        <v>1226.2</v>
      </c>
      <c r="G876" s="3" t="n">
        <v>1226.2</v>
      </c>
    </row>
    <row r="877">
      <c r="A877" s="3" t="inlineStr">
        <is>
          <t>Cape Projects Construction (Pty) Ltd</t>
        </is>
      </c>
      <c r="B877" s="4" t="n">
        <v>44651</v>
      </c>
      <c r="C877" s="3" t="inlineStr">
        <is>
          <t>Expenses</t>
        </is>
      </c>
      <c r="D877" s="3" t="inlineStr">
        <is>
          <t>4300/000</t>
        </is>
      </c>
      <c r="E877" s="3" t="inlineStr">
        <is>
          <t>Rent Paid</t>
        </is>
      </c>
      <c r="F877" s="3" t="n">
        <v>28087.5</v>
      </c>
      <c r="G877" s="3" t="n">
        <v>28087.5</v>
      </c>
    </row>
    <row r="878">
      <c r="A878" s="3" t="inlineStr">
        <is>
          <t>Cape Projects Construction (Pty) Ltd</t>
        </is>
      </c>
      <c r="B878" s="4" t="n">
        <v>44651</v>
      </c>
      <c r="C878" s="3" t="inlineStr">
        <is>
          <t>Expenses</t>
        </is>
      </c>
      <c r="D878" s="3" t="inlineStr">
        <is>
          <t>4310/000</t>
        </is>
      </c>
      <c r="E878" s="3" t="inlineStr">
        <is>
          <t>Rates</t>
        </is>
      </c>
      <c r="F878" s="3" t="n">
        <v>843.6</v>
      </c>
      <c r="G878" s="3" t="n">
        <v>843.6</v>
      </c>
    </row>
    <row r="879">
      <c r="A879" s="3" t="inlineStr">
        <is>
          <t>Heron Fields (Pty) Ltd</t>
        </is>
      </c>
      <c r="B879" s="4" t="n">
        <v>44651</v>
      </c>
      <c r="C879" s="3" t="inlineStr">
        <is>
          <t>Expenses</t>
        </is>
      </c>
      <c r="D879" s="3" t="inlineStr">
        <is>
          <t>4310/000</t>
        </is>
      </c>
      <c r="E879" s="3" t="inlineStr">
        <is>
          <t>Rates - Heron</t>
        </is>
      </c>
      <c r="F879" s="3" t="n">
        <v>3170.13</v>
      </c>
      <c r="G879" s="3" t="n">
        <v>3170.13</v>
      </c>
    </row>
    <row r="880">
      <c r="A880" s="3" t="inlineStr">
        <is>
          <t>Cape Projects Construction (Pty) Ltd</t>
        </is>
      </c>
      <c r="B880" s="4" t="n">
        <v>44651</v>
      </c>
      <c r="C880" s="3" t="inlineStr">
        <is>
          <t>Expenses</t>
        </is>
      </c>
      <c r="D880" s="3" t="inlineStr">
        <is>
          <t>4350/000</t>
        </is>
      </c>
      <c r="E880" s="3" t="inlineStr">
        <is>
          <t>Repairs _AND_ Maintenance</t>
        </is>
      </c>
      <c r="F880" s="3" t="n">
        <v>450</v>
      </c>
      <c r="G880" s="3" t="n">
        <v>450</v>
      </c>
    </row>
    <row r="881">
      <c r="A881" s="3" t="inlineStr">
        <is>
          <t>Cape Projects Construction (Pty) Ltd</t>
        </is>
      </c>
      <c r="B881" s="4" t="n">
        <v>44651</v>
      </c>
      <c r="C881" s="3" t="inlineStr">
        <is>
          <t>Expenses</t>
        </is>
      </c>
      <c r="D881" s="3" t="inlineStr">
        <is>
          <t>4400/000</t>
        </is>
      </c>
      <c r="E881" s="3" t="inlineStr">
        <is>
          <t>Salaries _AND_ Wages</t>
        </is>
      </c>
      <c r="F881" s="3" t="n">
        <v>227696.84</v>
      </c>
      <c r="G881" s="3" t="n">
        <v>227696.84</v>
      </c>
    </row>
    <row r="882">
      <c r="A882" s="3" t="inlineStr">
        <is>
          <t>Heron Fields (Pty) Ltd</t>
        </is>
      </c>
      <c r="B882" s="4" t="n">
        <v>44651</v>
      </c>
      <c r="C882" s="3" t="inlineStr">
        <is>
          <t>Expenses</t>
        </is>
      </c>
      <c r="D882" s="3" t="inlineStr">
        <is>
          <t>4420/001</t>
        </is>
      </c>
      <c r="E882" s="3" t="inlineStr">
        <is>
          <t>Security - ADT</t>
        </is>
      </c>
      <c r="F882" s="3" t="n">
        <v>285.26</v>
      </c>
      <c r="G882" s="3" t="n">
        <v>285.26</v>
      </c>
    </row>
    <row r="883">
      <c r="A883" s="3" t="inlineStr">
        <is>
          <t>Cape Projects Construction (Pty) Ltd</t>
        </is>
      </c>
      <c r="B883" s="4" t="n">
        <v>44651</v>
      </c>
      <c r="C883" s="3" t="inlineStr">
        <is>
          <t>Expenses</t>
        </is>
      </c>
      <c r="D883" s="3" t="inlineStr">
        <is>
          <t>4450/000</t>
        </is>
      </c>
      <c r="E883" s="3" t="inlineStr">
        <is>
          <t>Staff Training</t>
        </is>
      </c>
      <c r="F883" s="3" t="n">
        <v>6800</v>
      </c>
      <c r="G883" s="3" t="n">
        <v>6800</v>
      </c>
    </row>
    <row r="884">
      <c r="A884" s="3" t="inlineStr">
        <is>
          <t>Cape Projects Construction (Pty) Ltd</t>
        </is>
      </c>
      <c r="B884" s="4" t="n">
        <v>44651</v>
      </c>
      <c r="C884" s="3" t="inlineStr">
        <is>
          <t>Expenses</t>
        </is>
      </c>
      <c r="D884" s="3" t="inlineStr">
        <is>
          <t>4500/000</t>
        </is>
      </c>
      <c r="E884" s="3" t="inlineStr">
        <is>
          <t>Staff Welfare _AND_ Refreshmts</t>
        </is>
      </c>
      <c r="F884" s="3" t="n">
        <v>1751.65</v>
      </c>
      <c r="G884" s="3" t="n">
        <v>1751.65</v>
      </c>
    </row>
    <row r="885">
      <c r="A885" s="3" t="inlineStr">
        <is>
          <t>Cape Projects Construction (Pty) Ltd</t>
        </is>
      </c>
      <c r="B885" s="4" t="n">
        <v>44651</v>
      </c>
      <c r="C885" s="3" t="inlineStr">
        <is>
          <t>Expenses</t>
        </is>
      </c>
      <c r="D885" s="3" t="inlineStr">
        <is>
          <t>4550/001</t>
        </is>
      </c>
      <c r="E885" s="3" t="inlineStr">
        <is>
          <t>Subscriptions &amp; Licenses - Sage payroll</t>
        </is>
      </c>
      <c r="F885" s="3" t="n">
        <v>491</v>
      </c>
      <c r="G885" s="3" t="n">
        <v>491</v>
      </c>
    </row>
    <row r="886">
      <c r="A886" s="3" t="inlineStr">
        <is>
          <t>Cape Projects Construction (Pty) Ltd</t>
        </is>
      </c>
      <c r="B886" s="4" t="n">
        <v>44651</v>
      </c>
      <c r="C886" s="3" t="inlineStr">
        <is>
          <t>Expenses</t>
        </is>
      </c>
      <c r="D886" s="3" t="inlineStr">
        <is>
          <t>4550/003</t>
        </is>
      </c>
      <c r="E886" s="3" t="inlineStr">
        <is>
          <t>Subscriptions &amp; Licenses - Xero</t>
        </is>
      </c>
      <c r="F886" s="3" t="n">
        <v>600</v>
      </c>
      <c r="G886" s="3" t="n">
        <v>600</v>
      </c>
    </row>
    <row r="887">
      <c r="A887" s="3" t="inlineStr">
        <is>
          <t>Cape Projects Construction (Pty) Ltd</t>
        </is>
      </c>
      <c r="B887" s="4" t="n">
        <v>44651</v>
      </c>
      <c r="C887" s="3" t="inlineStr">
        <is>
          <t>Expenses</t>
        </is>
      </c>
      <c r="D887" s="3" t="inlineStr">
        <is>
          <t>4550/004</t>
        </is>
      </c>
      <c r="E887" s="3" t="inlineStr">
        <is>
          <t>Subscriptions - Smartsheet</t>
        </is>
      </c>
      <c r="F887" s="3" t="n">
        <v>363</v>
      </c>
      <c r="G887" s="3" t="n">
        <v>363</v>
      </c>
    </row>
    <row r="888">
      <c r="A888" s="3" t="inlineStr">
        <is>
          <t>Cape Projects Construction (Pty) Ltd</t>
        </is>
      </c>
      <c r="B888" s="4" t="n">
        <v>44651</v>
      </c>
      <c r="C888" s="3" t="inlineStr">
        <is>
          <t>Expenses</t>
        </is>
      </c>
      <c r="D888" s="3" t="inlineStr">
        <is>
          <t>4550/006</t>
        </is>
      </c>
      <c r="E888" s="3" t="inlineStr">
        <is>
          <t>Subscription - Candy software</t>
        </is>
      </c>
      <c r="F888" s="3" t="n">
        <v>3925</v>
      </c>
      <c r="G888" s="3" t="n">
        <v>3925</v>
      </c>
    </row>
    <row r="889">
      <c r="A889" s="3" t="inlineStr">
        <is>
          <t>Heron Fields (Pty) Ltd</t>
        </is>
      </c>
      <c r="B889" s="4" t="n">
        <v>44651</v>
      </c>
      <c r="C889" s="3" t="inlineStr">
        <is>
          <t>Expenses</t>
        </is>
      </c>
      <c r="D889" s="3" t="inlineStr">
        <is>
          <t>4550/100</t>
        </is>
      </c>
      <c r="E889" s="3" t="inlineStr">
        <is>
          <t>Subscriptions - Xero</t>
        </is>
      </c>
      <c r="F889" s="3" t="n">
        <v>600</v>
      </c>
      <c r="G889" s="3" t="n">
        <v>600</v>
      </c>
    </row>
    <row r="890">
      <c r="A890" s="3" t="inlineStr">
        <is>
          <t>Cape Projects Construction (Pty) Ltd</t>
        </is>
      </c>
      <c r="B890" s="4" t="n">
        <v>44651</v>
      </c>
      <c r="C890" s="3" t="inlineStr">
        <is>
          <t>Expenses</t>
        </is>
      </c>
      <c r="D890" s="3" t="inlineStr">
        <is>
          <t>4700/000</t>
        </is>
      </c>
      <c r="E890" s="3" t="inlineStr">
        <is>
          <t>PAYE Contributions</t>
        </is>
      </c>
      <c r="F890" s="3" t="n">
        <v>45192.76</v>
      </c>
      <c r="G890" s="3" t="n">
        <v>45192.76</v>
      </c>
    </row>
    <row r="891">
      <c r="A891" s="3" t="inlineStr">
        <is>
          <t>Cape Projects Construction (Pty) Ltd</t>
        </is>
      </c>
      <c r="B891" s="4" t="n">
        <v>44651</v>
      </c>
      <c r="C891" s="3" t="inlineStr">
        <is>
          <t>Expenses</t>
        </is>
      </c>
      <c r="D891" s="3" t="inlineStr">
        <is>
          <t>4720/000</t>
        </is>
      </c>
      <c r="E891" s="3" t="inlineStr">
        <is>
          <t>SDL Contributions</t>
        </is>
      </c>
      <c r="F891" s="3" t="n">
        <v>2534.45</v>
      </c>
      <c r="G891" s="3" t="n">
        <v>2534.45</v>
      </c>
    </row>
    <row r="892">
      <c r="A892" s="3" t="inlineStr">
        <is>
          <t>Cape Projects Construction (Pty) Ltd</t>
        </is>
      </c>
      <c r="B892" s="4" t="n">
        <v>44651</v>
      </c>
      <c r="C892" s="3" t="inlineStr">
        <is>
          <t>Expenses</t>
        </is>
      </c>
      <c r="D892" s="3" t="inlineStr">
        <is>
          <t>4730/000</t>
        </is>
      </c>
      <c r="E892" s="3" t="inlineStr">
        <is>
          <t>UIF Company Contributions</t>
        </is>
      </c>
      <c r="F892" s="3" t="n">
        <v>1485.53</v>
      </c>
      <c r="G892" s="3" t="n">
        <v>1485.53</v>
      </c>
    </row>
    <row r="893">
      <c r="A893" s="3" t="inlineStr">
        <is>
          <t>Cape Projects Construction (Pty) Ltd</t>
        </is>
      </c>
      <c r="B893" s="4" t="n">
        <v>44651</v>
      </c>
      <c r="C893" s="3" t="inlineStr">
        <is>
          <t>Expenses</t>
        </is>
      </c>
      <c r="D893" s="3" t="inlineStr">
        <is>
          <t>4731/000</t>
        </is>
      </c>
      <c r="E893" s="3" t="inlineStr">
        <is>
          <t>UIF Employee Contribution</t>
        </is>
      </c>
      <c r="F893" s="3" t="n">
        <v>1485.53</v>
      </c>
      <c r="G893" s="3" t="n">
        <v>1485.53</v>
      </c>
    </row>
    <row r="894">
      <c r="A894" s="3" t="inlineStr">
        <is>
          <t>Cape Projects Construction (Pty) Ltd</t>
        </is>
      </c>
      <c r="B894" s="4" t="n">
        <v>44651</v>
      </c>
      <c r="C894" s="3" t="inlineStr">
        <is>
          <t>Expenses</t>
        </is>
      </c>
      <c r="D894" s="3" t="inlineStr">
        <is>
          <t>4740/000</t>
        </is>
      </c>
      <c r="E894" s="3" t="inlineStr">
        <is>
          <t>BIBC Company Contribution</t>
        </is>
      </c>
      <c r="F894" s="3" t="n">
        <v>146.78</v>
      </c>
      <c r="G894" s="3" t="n">
        <v>146.78</v>
      </c>
    </row>
    <row r="895">
      <c r="A895" s="3" t="inlineStr">
        <is>
          <t>Cape Projects Construction (Pty) Ltd</t>
        </is>
      </c>
      <c r="B895" s="4" t="n">
        <v>44651</v>
      </c>
      <c r="C895" s="3" t="inlineStr">
        <is>
          <t>Expenses</t>
        </is>
      </c>
      <c r="D895" s="3" t="inlineStr">
        <is>
          <t>4741/000</t>
        </is>
      </c>
      <c r="E895" s="3" t="inlineStr">
        <is>
          <t>BIBC Employee Contribution</t>
        </is>
      </c>
      <c r="F895" s="3" t="n">
        <v>57.78</v>
      </c>
      <c r="G895" s="3" t="n">
        <v>57.78</v>
      </c>
    </row>
    <row r="896">
      <c r="A896" s="3" t="inlineStr">
        <is>
          <t>Heron Fields (Pty) Ltd</t>
        </is>
      </c>
      <c r="B896" s="4" t="n">
        <v>44651</v>
      </c>
      <c r="C896" s="3" t="inlineStr">
        <is>
          <t>Equity</t>
        </is>
      </c>
      <c r="D896" s="3" t="inlineStr">
        <is>
          <t>5100-000</t>
        </is>
      </c>
      <c r="E896" s="3" t="inlineStr">
        <is>
          <t>Share Capital</t>
        </is>
      </c>
      <c r="F896" s="3" t="n">
        <v>0</v>
      </c>
      <c r="G896" s="3" t="n">
        <v>-100</v>
      </c>
    </row>
    <row r="897">
      <c r="A897" s="3" t="inlineStr">
        <is>
          <t>Cape Projects Construction (Pty) Ltd</t>
        </is>
      </c>
      <c r="B897" s="4" t="n">
        <v>44651</v>
      </c>
      <c r="C897" s="3" t="inlineStr">
        <is>
          <t>Equity</t>
        </is>
      </c>
      <c r="D897" s="3" t="inlineStr">
        <is>
          <t>5100/000</t>
        </is>
      </c>
      <c r="E897" s="3" t="inlineStr">
        <is>
          <t>Share Capital / Members Contribution</t>
        </is>
      </c>
      <c r="F897" s="3" t="n">
        <v>0</v>
      </c>
      <c r="G897" s="3" t="n">
        <v>-120</v>
      </c>
    </row>
    <row r="898">
      <c r="A898" s="3" t="inlineStr">
        <is>
          <t>Cape Projects Construction (Pty) Ltd</t>
        </is>
      </c>
      <c r="B898" s="4" t="n">
        <v>44651</v>
      </c>
      <c r="C898" s="3" t="inlineStr">
        <is>
          <t>Equity</t>
        </is>
      </c>
      <c r="D898" s="3" t="inlineStr">
        <is>
          <t>5200/000</t>
        </is>
      </c>
      <c r="E898" s="3" t="inlineStr">
        <is>
          <t>Retained Earnings / Loss</t>
        </is>
      </c>
      <c r="F898" s="3" t="n">
        <v>0</v>
      </c>
      <c r="G898" s="3" t="n">
        <v>247347.05</v>
      </c>
    </row>
    <row r="899">
      <c r="A899" s="3" t="inlineStr">
        <is>
          <t>Heron Fields (Pty) Ltd</t>
        </is>
      </c>
      <c r="B899" s="4" t="n">
        <v>44651</v>
      </c>
      <c r="C899" s="3" t="inlineStr">
        <is>
          <t>Equity</t>
        </is>
      </c>
      <c r="D899" s="3" t="inlineStr">
        <is>
          <t>5200/000</t>
        </is>
      </c>
      <c r="E899" s="3" t="inlineStr">
        <is>
          <t>Retained Earnings / Loss</t>
        </is>
      </c>
      <c r="F899" s="3" t="n">
        <v>0</v>
      </c>
      <c r="G899" s="3" t="n">
        <v>-17080353.05</v>
      </c>
    </row>
    <row r="900">
      <c r="A900" s="3" t="inlineStr">
        <is>
          <t>Heron Fields (Pty) Ltd</t>
        </is>
      </c>
      <c r="B900" s="4" t="n">
        <v>44651</v>
      </c>
      <c r="C900" s="3" t="inlineStr">
        <is>
          <t>Assets</t>
        </is>
      </c>
      <c r="D900" s="3" t="inlineStr">
        <is>
          <t>5300/001</t>
        </is>
      </c>
      <c r="E900" s="3" t="inlineStr">
        <is>
          <t>Revaluation of Land stock</t>
        </is>
      </c>
      <c r="F900" s="3" t="n">
        <v>0</v>
      </c>
      <c r="G900" s="3" t="n">
        <v>17562360.85</v>
      </c>
    </row>
    <row r="901">
      <c r="A901" s="3" t="inlineStr">
        <is>
          <t>Cape Projects Construction (Pty) Ltd</t>
        </is>
      </c>
      <c r="B901" s="4" t="n">
        <v>44651</v>
      </c>
      <c r="C901" s="3" t="inlineStr">
        <is>
          <t>Assets</t>
        </is>
      </c>
      <c r="D901" s="3" t="inlineStr">
        <is>
          <t>5400/100</t>
        </is>
      </c>
      <c r="E901" s="3" t="inlineStr">
        <is>
          <t>Loan - Cape Projects Structuring Dev</t>
        </is>
      </c>
      <c r="F901" s="3" t="n">
        <v>200000</v>
      </c>
      <c r="G901" s="3" t="n">
        <v>0</v>
      </c>
    </row>
    <row r="902">
      <c r="A902" s="3" t="inlineStr">
        <is>
          <t>Cape Projects Construction (Pty) Ltd</t>
        </is>
      </c>
      <c r="B902" s="4" t="n">
        <v>44651</v>
      </c>
      <c r="C902" s="3" t="inlineStr">
        <is>
          <t>Assets</t>
        </is>
      </c>
      <c r="D902" s="3" t="inlineStr">
        <is>
          <t>5400/150</t>
        </is>
      </c>
      <c r="E902" s="3" t="inlineStr">
        <is>
          <t>Loan - Quinate</t>
        </is>
      </c>
      <c r="F902" s="3" t="n">
        <v>0</v>
      </c>
      <c r="G902" s="3" t="n">
        <v>2850000</v>
      </c>
    </row>
    <row r="903">
      <c r="A903" s="3" t="inlineStr">
        <is>
          <t>Cape Projects Construction (Pty) Ltd</t>
        </is>
      </c>
      <c r="B903" s="4" t="n">
        <v>44651</v>
      </c>
      <c r="C903" s="3" t="inlineStr">
        <is>
          <t>Assets</t>
        </is>
      </c>
      <c r="D903" s="3" t="inlineStr">
        <is>
          <t>5400/200</t>
        </is>
      </c>
      <c r="E903" s="3" t="inlineStr">
        <is>
          <t>Members Loan - Nick Morgan</t>
        </is>
      </c>
      <c r="F903" s="3" t="n">
        <v>38862.46</v>
      </c>
      <c r="G903" s="3" t="n">
        <v>0</v>
      </c>
    </row>
    <row r="904">
      <c r="A904" s="3" t="inlineStr">
        <is>
          <t>Cape Projects Construction (Pty) Ltd</t>
        </is>
      </c>
      <c r="B904" s="4" t="n">
        <v>44651</v>
      </c>
      <c r="C904" s="3" t="inlineStr">
        <is>
          <t>Assets</t>
        </is>
      </c>
      <c r="D904" s="3" t="inlineStr">
        <is>
          <t>5400/220</t>
        </is>
      </c>
      <c r="E904" s="3" t="inlineStr">
        <is>
          <t>Members Loan - WH</t>
        </is>
      </c>
      <c r="F904" s="3" t="n">
        <v>-4342.5</v>
      </c>
      <c r="G904" s="3" t="n">
        <v>0</v>
      </c>
    </row>
    <row r="905">
      <c r="A905" s="3" t="inlineStr">
        <is>
          <t>Cape Projects Construction (Pty) Ltd</t>
        </is>
      </c>
      <c r="B905" s="4" t="n">
        <v>44651</v>
      </c>
      <c r="C905" s="3" t="inlineStr">
        <is>
          <t>Assets</t>
        </is>
      </c>
      <c r="D905" s="3" t="inlineStr">
        <is>
          <t>5400/450</t>
        </is>
      </c>
      <c r="E905" s="3" t="inlineStr">
        <is>
          <t>Loan - Opportunity Investment</t>
        </is>
      </c>
      <c r="F905" s="3" t="n">
        <v>150000</v>
      </c>
      <c r="G905" s="3" t="n">
        <v>-30000</v>
      </c>
    </row>
    <row r="906">
      <c r="A906" s="3" t="inlineStr">
        <is>
          <t>Cape Projects Construction (Pty) Ltd</t>
        </is>
      </c>
      <c r="B906" s="4" t="n">
        <v>44651</v>
      </c>
      <c r="C906" s="3" t="inlineStr">
        <is>
          <t>Assets</t>
        </is>
      </c>
      <c r="D906" s="3" t="inlineStr">
        <is>
          <t>5400/500</t>
        </is>
      </c>
      <c r="E906" s="3" t="inlineStr">
        <is>
          <t>Loan - Blou Mamba Trust</t>
        </is>
      </c>
      <c r="F906" s="3" t="n">
        <v>32031.77</v>
      </c>
      <c r="G906" s="3" t="n">
        <v>0</v>
      </c>
    </row>
    <row r="907">
      <c r="A907" s="3" t="inlineStr">
        <is>
          <t>Cape Projects Construction (Pty) Ltd</t>
        </is>
      </c>
      <c r="B907" s="4" t="n">
        <v>44651</v>
      </c>
      <c r="C907" s="3" t="inlineStr">
        <is>
          <t>Assets</t>
        </is>
      </c>
      <c r="D907" s="3" t="inlineStr">
        <is>
          <t>5400/550</t>
        </is>
      </c>
      <c r="E907" s="3" t="inlineStr">
        <is>
          <t>Loan - Trademark</t>
        </is>
      </c>
      <c r="F907" s="3" t="n">
        <v>600</v>
      </c>
      <c r="G907" s="3" t="n">
        <v>-28800</v>
      </c>
    </row>
    <row r="908">
      <c r="A908" s="3" t="inlineStr">
        <is>
          <t>Cape Projects Construction (Pty) Ltd</t>
        </is>
      </c>
      <c r="B908" s="4" t="n">
        <v>44651</v>
      </c>
      <c r="C908" s="3" t="inlineStr">
        <is>
          <t>Assets</t>
        </is>
      </c>
      <c r="D908" s="3" t="inlineStr">
        <is>
          <t>5400/600</t>
        </is>
      </c>
      <c r="E908" s="3" t="inlineStr">
        <is>
          <t>Loan - Heron Projects</t>
        </is>
      </c>
      <c r="F908" s="3" t="n">
        <v>-18000</v>
      </c>
      <c r="G908" s="3" t="n">
        <v>-3356000</v>
      </c>
    </row>
    <row r="909">
      <c r="A909" s="3" t="inlineStr">
        <is>
          <t>Cape Projects Construction (Pty) Ltd</t>
        </is>
      </c>
      <c r="B909" s="4" t="n">
        <v>44651</v>
      </c>
      <c r="C909" s="3" t="inlineStr">
        <is>
          <t>Assets</t>
        </is>
      </c>
      <c r="D909" s="3" t="inlineStr">
        <is>
          <t>5400/650</t>
        </is>
      </c>
      <c r="E909" s="3" t="inlineStr">
        <is>
          <t>Loan - Noble Shield</t>
        </is>
      </c>
      <c r="F909" s="3" t="n">
        <v>600</v>
      </c>
      <c r="G909" s="3" t="n">
        <v>1200</v>
      </c>
    </row>
    <row r="910">
      <c r="A910" s="3" t="inlineStr">
        <is>
          <t>Cape Projects Construction (Pty) Ltd</t>
        </is>
      </c>
      <c r="B910" s="4" t="n">
        <v>44651</v>
      </c>
      <c r="C910" s="3" t="inlineStr">
        <is>
          <t>Assets</t>
        </is>
      </c>
      <c r="D910" s="3" t="inlineStr">
        <is>
          <t>5400/800</t>
        </is>
      </c>
      <c r="E910" s="3" t="inlineStr">
        <is>
          <t>Loan - Opportunity Management Holdings</t>
        </is>
      </c>
      <c r="F910" s="3" t="n">
        <v>0</v>
      </c>
      <c r="G910" s="3" t="n">
        <v>-25233.05</v>
      </c>
    </row>
    <row r="911">
      <c r="A911" s="3" t="inlineStr">
        <is>
          <t>Heron View (Pty) Ltd</t>
        </is>
      </c>
      <c r="B911" s="4" t="n">
        <v>44651</v>
      </c>
      <c r="C911" s="3" t="inlineStr">
        <is>
          <t>Liabilities</t>
        </is>
      </c>
      <c r="D911" s="3" t="inlineStr">
        <is>
          <t>5500/001</t>
        </is>
      </c>
      <c r="E911" s="3" t="inlineStr">
        <is>
          <t>Loan - Heron Fields</t>
        </is>
      </c>
      <c r="F911" s="3" t="n">
        <v>-4140</v>
      </c>
      <c r="G911" s="3" t="n">
        <v>-4140</v>
      </c>
    </row>
    <row r="912">
      <c r="A912" s="3" t="inlineStr">
        <is>
          <t>Heron Fields (Pty) Ltd</t>
        </is>
      </c>
      <c r="B912" s="4" t="n">
        <v>44651</v>
      </c>
      <c r="C912" s="3" t="inlineStr">
        <is>
          <t>Liabilities</t>
        </is>
      </c>
      <c r="D912" s="3" t="inlineStr">
        <is>
          <t>5500/020</t>
        </is>
      </c>
      <c r="E912" s="3" t="inlineStr">
        <is>
          <t>Loan - Cape Projects Construction</t>
        </is>
      </c>
      <c r="F912" s="3" t="n">
        <v>18000</v>
      </c>
      <c r="G912" s="3" t="n">
        <v>3356000</v>
      </c>
    </row>
    <row r="913">
      <c r="A913" s="3" t="inlineStr">
        <is>
          <t>Heron Fields (Pty) Ltd</t>
        </is>
      </c>
      <c r="B913" s="4" t="n">
        <v>44651</v>
      </c>
      <c r="C913" s="3" t="inlineStr">
        <is>
          <t>Liabilities</t>
        </is>
      </c>
      <c r="D913" s="3" t="inlineStr">
        <is>
          <t>5500/050</t>
        </is>
      </c>
      <c r="E913" s="3" t="inlineStr">
        <is>
          <t>Loan - Heron View</t>
        </is>
      </c>
      <c r="F913" s="3" t="n">
        <v>4140</v>
      </c>
      <c r="G913" s="3" t="n">
        <v>4140</v>
      </c>
    </row>
    <row r="914">
      <c r="A914" s="3" t="inlineStr">
        <is>
          <t>Cape Projects Construction (Pty) Ltd</t>
        </is>
      </c>
      <c r="B914" s="4" t="n">
        <v>44651</v>
      </c>
      <c r="C914" s="3" t="inlineStr">
        <is>
          <t>Liabilities</t>
        </is>
      </c>
      <c r="D914" s="3" t="inlineStr">
        <is>
          <t>5600/100</t>
        </is>
      </c>
      <c r="E914" s="3" t="inlineStr">
        <is>
          <t>Motor Vehical Car Repaymts - Toyota</t>
        </is>
      </c>
      <c r="F914" s="3" t="n">
        <v>5195.2</v>
      </c>
      <c r="G914" s="3" t="n">
        <v>5195.2</v>
      </c>
    </row>
    <row r="915">
      <c r="A915" s="3" t="inlineStr">
        <is>
          <t>Cape Projects Construction (Pty) Ltd</t>
        </is>
      </c>
      <c r="B915" s="4" t="n">
        <v>44651</v>
      </c>
      <c r="C915" s="3" t="inlineStr">
        <is>
          <t>Liabilities</t>
        </is>
      </c>
      <c r="D915" s="3" t="inlineStr">
        <is>
          <t>5600/200</t>
        </is>
      </c>
      <c r="E915" s="3" t="inlineStr">
        <is>
          <t>Motor Vehicle Car Repayments - Toyota Shortterm</t>
        </is>
      </c>
      <c r="F915" s="3" t="n">
        <v>0</v>
      </c>
      <c r="G915" s="3" t="n">
        <v>-58920.1</v>
      </c>
    </row>
    <row r="916">
      <c r="A916" s="3" t="inlineStr">
        <is>
          <t>Cape Projects Construction (Pty) Ltd</t>
        </is>
      </c>
      <c r="B916" s="4" t="n">
        <v>44651</v>
      </c>
      <c r="C916" s="3" t="inlineStr">
        <is>
          <t>Assets</t>
        </is>
      </c>
      <c r="D916" s="3" t="inlineStr">
        <is>
          <t>6200/010</t>
        </is>
      </c>
      <c r="E916" s="3" t="inlineStr">
        <is>
          <t>Motor Vehicles - @ Cost</t>
        </is>
      </c>
      <c r="F916" s="3" t="n">
        <v>0</v>
      </c>
      <c r="G916" s="3" t="n">
        <v>216064.1</v>
      </c>
    </row>
    <row r="917">
      <c r="A917" s="3" t="inlineStr">
        <is>
          <t>Cape Projects Construction (Pty) Ltd</t>
        </is>
      </c>
      <c r="B917" s="4" t="n">
        <v>44651</v>
      </c>
      <c r="C917" s="3" t="inlineStr">
        <is>
          <t>Assets</t>
        </is>
      </c>
      <c r="D917" s="3" t="inlineStr">
        <is>
          <t>6200/020</t>
        </is>
      </c>
      <c r="E917" s="3" t="inlineStr">
        <is>
          <t>Motor Vehicles - Accum Depre</t>
        </is>
      </c>
      <c r="F917" s="3" t="n">
        <v>0</v>
      </c>
      <c r="G917" s="3" t="n">
        <v>-176453</v>
      </c>
    </row>
    <row r="918">
      <c r="A918" s="3" t="inlineStr">
        <is>
          <t>Cape Projects Construction (Pty) Ltd</t>
        </is>
      </c>
      <c r="B918" s="4" t="n">
        <v>44651</v>
      </c>
      <c r="C918" s="3" t="inlineStr">
        <is>
          <t>Assets</t>
        </is>
      </c>
      <c r="D918" s="3" t="inlineStr">
        <is>
          <t>6250/010</t>
        </is>
      </c>
      <c r="E918" s="3" t="inlineStr">
        <is>
          <t>Computer Equipment - @ Cost</t>
        </is>
      </c>
      <c r="F918" s="3" t="n">
        <v>0</v>
      </c>
      <c r="G918" s="3" t="n">
        <v>62174.35</v>
      </c>
    </row>
    <row r="919">
      <c r="A919" s="3" t="inlineStr">
        <is>
          <t>Cape Projects Construction (Pty) Ltd</t>
        </is>
      </c>
      <c r="B919" s="4" t="n">
        <v>44651</v>
      </c>
      <c r="C919" s="3" t="inlineStr">
        <is>
          <t>Assets</t>
        </is>
      </c>
      <c r="D919" s="3" t="inlineStr">
        <is>
          <t>6250/020</t>
        </is>
      </c>
      <c r="E919" s="3" t="inlineStr">
        <is>
          <t>Computer Equipment - Accum Depre</t>
        </is>
      </c>
      <c r="F919" s="3" t="n">
        <v>-1334.57</v>
      </c>
      <c r="G919" s="3" t="n">
        <v>-20475.66</v>
      </c>
    </row>
    <row r="920">
      <c r="A920" s="3" t="inlineStr">
        <is>
          <t>Cape Projects Construction (Pty) Ltd</t>
        </is>
      </c>
      <c r="B920" s="4" t="n">
        <v>44651</v>
      </c>
      <c r="C920" s="3" t="inlineStr">
        <is>
          <t>Assets</t>
        </is>
      </c>
      <c r="D920" s="3" t="inlineStr">
        <is>
          <t>6350/010</t>
        </is>
      </c>
      <c r="E920" s="3" t="inlineStr">
        <is>
          <t>Furniture _AND_ Fittings - @ Cost</t>
        </is>
      </c>
      <c r="F920" s="3" t="n">
        <v>0</v>
      </c>
      <c r="G920" s="3" t="n">
        <v>29281.39</v>
      </c>
    </row>
    <row r="921">
      <c r="A921" s="3" t="inlineStr">
        <is>
          <t>Cape Projects Construction (Pty) Ltd</t>
        </is>
      </c>
      <c r="B921" s="4" t="n">
        <v>44651</v>
      </c>
      <c r="C921" s="3" t="inlineStr">
        <is>
          <t>Assets</t>
        </is>
      </c>
      <c r="D921" s="3" t="inlineStr">
        <is>
          <t>6350/020</t>
        </is>
      </c>
      <c r="E921" s="3" t="inlineStr">
        <is>
          <t>Furniture _AND_ Fittings - Accum Depre</t>
        </is>
      </c>
      <c r="F921" s="3" t="n">
        <v>-427.21</v>
      </c>
      <c r="G921" s="3" t="n">
        <v>-833.9</v>
      </c>
    </row>
    <row r="922">
      <c r="A922" s="3" t="inlineStr">
        <is>
          <t>Cape Projects Construction (Pty) Ltd</t>
        </is>
      </c>
      <c r="B922" s="4" t="n">
        <v>44651</v>
      </c>
      <c r="C922" s="3" t="inlineStr">
        <is>
          <t>Assets</t>
        </is>
      </c>
      <c r="D922" s="3" t="inlineStr">
        <is>
          <t>6600/010</t>
        </is>
      </c>
      <c r="E922" s="3" t="inlineStr">
        <is>
          <t>Generator Fixed Asset - @ Cost</t>
        </is>
      </c>
      <c r="F922" s="3" t="n">
        <v>0</v>
      </c>
      <c r="G922" s="3" t="n">
        <v>11600</v>
      </c>
    </row>
    <row r="923">
      <c r="A923" s="3" t="inlineStr">
        <is>
          <t>Cape Projects Construction (Pty) Ltd</t>
        </is>
      </c>
      <c r="B923" s="4" t="n">
        <v>44651</v>
      </c>
      <c r="C923" s="3" t="inlineStr">
        <is>
          <t>Assets</t>
        </is>
      </c>
      <c r="D923" s="3" t="inlineStr">
        <is>
          <t>6600/020</t>
        </is>
      </c>
      <c r="E923" s="3" t="inlineStr">
        <is>
          <t>Generator Fixed Asset - Accum Depre</t>
        </is>
      </c>
      <c r="F923" s="3" t="n">
        <v>-193.33</v>
      </c>
      <c r="G923" s="3" t="n">
        <v>-998.89</v>
      </c>
    </row>
    <row r="924">
      <c r="A924" s="3" t="inlineStr">
        <is>
          <t>Heron Fields (Pty) Ltd</t>
        </is>
      </c>
      <c r="B924" s="4" t="n">
        <v>44651</v>
      </c>
      <c r="C924" s="3" t="inlineStr">
        <is>
          <t>Assets</t>
        </is>
      </c>
      <c r="D924" s="3" t="inlineStr">
        <is>
          <t>7610/395</t>
        </is>
      </c>
      <c r="E924" s="3" t="inlineStr">
        <is>
          <t>HF CIP NHBRC</t>
        </is>
      </c>
      <c r="F924" s="3" t="n">
        <v>0</v>
      </c>
      <c r="G924" s="3" t="n">
        <v>261841.5</v>
      </c>
    </row>
    <row r="925">
      <c r="A925" s="3" t="inlineStr">
        <is>
          <t>Heron Fields (Pty) Ltd</t>
        </is>
      </c>
      <c r="B925" s="4" t="n">
        <v>44651</v>
      </c>
      <c r="C925" s="3" t="inlineStr">
        <is>
          <t>Assets</t>
        </is>
      </c>
      <c r="D925" s="3" t="inlineStr">
        <is>
          <t>7620/100</t>
        </is>
      </c>
      <c r="E925" s="3" t="inlineStr">
        <is>
          <t>Heron View Land</t>
        </is>
      </c>
      <c r="F925" s="3" t="n">
        <v>0</v>
      </c>
      <c r="G925" s="3" t="n">
        <v>26200000</v>
      </c>
    </row>
    <row r="926">
      <c r="A926" s="3" t="inlineStr">
        <is>
          <t>Heron Fields (Pty) Ltd</t>
        </is>
      </c>
      <c r="B926" s="4" t="n">
        <v>44651</v>
      </c>
      <c r="C926" s="3" t="inlineStr">
        <is>
          <t>Assets</t>
        </is>
      </c>
      <c r="D926" s="3" t="inlineStr">
        <is>
          <t>7620/101</t>
        </is>
      </c>
      <c r="E926" s="3" t="inlineStr">
        <is>
          <t>HF CIP Bond Registration Fee</t>
        </is>
      </c>
      <c r="F926" s="3" t="n">
        <v>0</v>
      </c>
      <c r="G926" s="3" t="n">
        <v>68427</v>
      </c>
    </row>
    <row r="927">
      <c r="A927" s="3" t="inlineStr">
        <is>
          <t>Heron Fields (Pty) Ltd</t>
        </is>
      </c>
      <c r="B927" s="4" t="n">
        <v>44651</v>
      </c>
      <c r="C927" s="3" t="inlineStr">
        <is>
          <t>Assets</t>
        </is>
      </c>
      <c r="D927" s="3" t="inlineStr">
        <is>
          <t>7620/102</t>
        </is>
      </c>
      <c r="E927" s="3" t="inlineStr">
        <is>
          <t>HF CIP Transfer Fee</t>
        </is>
      </c>
      <c r="F927" s="3" t="n">
        <v>0</v>
      </c>
      <c r="G927" s="3" t="n">
        <v>103812</v>
      </c>
    </row>
    <row r="928">
      <c r="A928" s="3" t="inlineStr">
        <is>
          <t>Heron Fields (Pty) Ltd</t>
        </is>
      </c>
      <c r="B928" s="4" t="n">
        <v>44651</v>
      </c>
      <c r="C928" s="3" t="inlineStr">
        <is>
          <t>Assets</t>
        </is>
      </c>
      <c r="D928" s="3" t="inlineStr">
        <is>
          <t>7620/220</t>
        </is>
      </c>
      <c r="E928" s="3" t="inlineStr">
        <is>
          <t>HF CIP Architectural Designs</t>
        </is>
      </c>
      <c r="F928" s="3" t="n">
        <v>4980</v>
      </c>
      <c r="G928" s="3" t="n">
        <v>146980</v>
      </c>
    </row>
    <row r="929">
      <c r="A929" s="3" t="inlineStr">
        <is>
          <t>Heron Fields (Pty) Ltd</t>
        </is>
      </c>
      <c r="B929" s="4" t="n">
        <v>44651</v>
      </c>
      <c r="C929" s="3" t="inlineStr">
        <is>
          <t>Assets</t>
        </is>
      </c>
      <c r="D929" s="3" t="inlineStr">
        <is>
          <t>7620/230</t>
        </is>
      </c>
      <c r="E929" s="3" t="inlineStr">
        <is>
          <t>HF CIP Construction Management</t>
        </is>
      </c>
      <c r="F929" s="3" t="n">
        <v>16000</v>
      </c>
      <c r="G929" s="3" t="n">
        <v>16000</v>
      </c>
    </row>
    <row r="930">
      <c r="A930" s="3" t="inlineStr">
        <is>
          <t>Heron Fields (Pty) Ltd</t>
        </is>
      </c>
      <c r="B930" s="4" t="n">
        <v>44651</v>
      </c>
      <c r="C930" s="3" t="inlineStr">
        <is>
          <t>Assets</t>
        </is>
      </c>
      <c r="D930" s="3" t="inlineStr">
        <is>
          <t>7620/240</t>
        </is>
      </c>
      <c r="E930" s="3" t="inlineStr">
        <is>
          <t>HF CIP Civil Engineering</t>
        </is>
      </c>
      <c r="F930" s="3" t="n">
        <v>302433</v>
      </c>
      <c r="G930" s="3" t="n">
        <v>5355349.5</v>
      </c>
    </row>
    <row r="931">
      <c r="A931" s="3" t="inlineStr">
        <is>
          <t>Heron Fields (Pty) Ltd</t>
        </is>
      </c>
      <c r="B931" s="4" t="n">
        <v>44651</v>
      </c>
      <c r="C931" s="3" t="inlineStr">
        <is>
          <t>Assets</t>
        </is>
      </c>
      <c r="D931" s="3" t="inlineStr">
        <is>
          <t>7620/245</t>
        </is>
      </c>
      <c r="E931" s="3" t="inlineStr">
        <is>
          <t>HF CIP Development fee</t>
        </is>
      </c>
      <c r="F931" s="3" t="n">
        <v>0</v>
      </c>
      <c r="G931" s="3" t="n">
        <v>13807.78</v>
      </c>
    </row>
    <row r="932">
      <c r="A932" s="3" t="inlineStr">
        <is>
          <t>Heron Fields (Pty) Ltd</t>
        </is>
      </c>
      <c r="B932" s="4" t="n">
        <v>44651</v>
      </c>
      <c r="C932" s="3" t="inlineStr">
        <is>
          <t>Assets</t>
        </is>
      </c>
      <c r="D932" s="3" t="inlineStr">
        <is>
          <t>7620/250</t>
        </is>
      </c>
      <c r="E932" s="3" t="inlineStr">
        <is>
          <t>HF CIP Land Surveyor</t>
        </is>
      </c>
      <c r="F932" s="3" t="n">
        <v>0</v>
      </c>
      <c r="G932" s="3" t="n">
        <v>6350</v>
      </c>
    </row>
    <row r="933">
      <c r="A933" s="3" t="inlineStr">
        <is>
          <t>Heron Fields (Pty) Ltd</t>
        </is>
      </c>
      <c r="B933" s="4" t="n">
        <v>44651</v>
      </c>
      <c r="C933" s="3" t="inlineStr">
        <is>
          <t>Assets</t>
        </is>
      </c>
      <c r="D933" s="3" t="inlineStr">
        <is>
          <t>7620/255</t>
        </is>
      </c>
      <c r="E933" s="3" t="inlineStr">
        <is>
          <t>HF CIP Landscaping</t>
        </is>
      </c>
      <c r="F933" s="3" t="n">
        <v>0</v>
      </c>
      <c r="G933" s="3" t="n">
        <v>7500</v>
      </c>
    </row>
    <row r="934">
      <c r="A934" s="3" t="inlineStr">
        <is>
          <t>Heron Fields (Pty) Ltd</t>
        </is>
      </c>
      <c r="B934" s="4" t="n">
        <v>44651</v>
      </c>
      <c r="C934" s="3" t="inlineStr">
        <is>
          <t>Assets</t>
        </is>
      </c>
      <c r="D934" s="3" t="inlineStr">
        <is>
          <t>7620/260</t>
        </is>
      </c>
      <c r="E934" s="3" t="inlineStr">
        <is>
          <t>HF CIP Mechanical Engineers</t>
        </is>
      </c>
      <c r="F934" s="3" t="n">
        <v>0</v>
      </c>
      <c r="G934" s="3" t="n">
        <v>67400</v>
      </c>
    </row>
    <row r="935">
      <c r="A935" s="3" t="inlineStr">
        <is>
          <t>Heron Fields (Pty) Ltd</t>
        </is>
      </c>
      <c r="B935" s="4" t="n">
        <v>44651</v>
      </c>
      <c r="C935" s="3" t="inlineStr">
        <is>
          <t>Assets</t>
        </is>
      </c>
      <c r="D935" s="3" t="inlineStr">
        <is>
          <t>7620/265</t>
        </is>
      </c>
      <c r="E935" s="3" t="inlineStr">
        <is>
          <t>HF CIP Health &amp; Safety</t>
        </is>
      </c>
      <c r="F935" s="3" t="n">
        <v>1400</v>
      </c>
      <c r="G935" s="3" t="n">
        <v>8000</v>
      </c>
    </row>
    <row r="936">
      <c r="A936" s="3" t="inlineStr">
        <is>
          <t>Heron Fields (Pty) Ltd</t>
        </is>
      </c>
      <c r="B936" s="4" t="n">
        <v>44651</v>
      </c>
      <c r="C936" s="3" t="inlineStr">
        <is>
          <t>Assets</t>
        </is>
      </c>
      <c r="D936" s="3" t="inlineStr">
        <is>
          <t>7620/270</t>
        </is>
      </c>
      <c r="E936" s="3" t="inlineStr">
        <is>
          <t>HF CIP Geotechnical</t>
        </is>
      </c>
      <c r="F936" s="3" t="n">
        <v>0</v>
      </c>
      <c r="G936" s="3" t="n">
        <v>15175</v>
      </c>
    </row>
    <row r="937">
      <c r="A937" s="3" t="inlineStr">
        <is>
          <t>Heron Fields (Pty) Ltd</t>
        </is>
      </c>
      <c r="B937" s="4" t="n">
        <v>44651</v>
      </c>
      <c r="C937" s="3" t="inlineStr">
        <is>
          <t>Assets</t>
        </is>
      </c>
      <c r="D937" s="3" t="inlineStr">
        <is>
          <t>7620/275</t>
        </is>
      </c>
      <c r="E937" s="3" t="inlineStr">
        <is>
          <t>HF CIP Retaining Wall</t>
        </is>
      </c>
      <c r="F937" s="3" t="n">
        <v>446460.38</v>
      </c>
      <c r="G937" s="3" t="n">
        <v>446460.38</v>
      </c>
    </row>
    <row r="938">
      <c r="A938" s="3" t="inlineStr">
        <is>
          <t>Heron Fields (Pty) Ltd</t>
        </is>
      </c>
      <c r="B938" s="4" t="n">
        <v>44651</v>
      </c>
      <c r="C938" s="3" t="inlineStr">
        <is>
          <t>Assets</t>
        </is>
      </c>
      <c r="D938" s="3" t="inlineStr">
        <is>
          <t>7620/280</t>
        </is>
      </c>
      <c r="E938" s="3" t="inlineStr">
        <is>
          <t>HF CIP Site Establishment</t>
        </is>
      </c>
      <c r="F938" s="3" t="n">
        <v>1167362.94</v>
      </c>
      <c r="G938" s="3" t="n">
        <v>1354722.83</v>
      </c>
    </row>
    <row r="939">
      <c r="A939" s="3" t="inlineStr">
        <is>
          <t>Heron Fields (Pty) Ltd</t>
        </is>
      </c>
      <c r="B939" s="4" t="n">
        <v>44651</v>
      </c>
      <c r="C939" s="3" t="inlineStr">
        <is>
          <t>Assets</t>
        </is>
      </c>
      <c r="D939" s="3" t="inlineStr">
        <is>
          <t>7620/285</t>
        </is>
      </c>
      <c r="E939" s="3" t="inlineStr">
        <is>
          <t>HF CIP Structuring Fee - Invest</t>
        </is>
      </c>
      <c r="F939" s="3" t="n">
        <v>45697.93</v>
      </c>
      <c r="G939" s="3" t="n">
        <v>2376904.99</v>
      </c>
    </row>
    <row r="940">
      <c r="A940" s="3" t="inlineStr">
        <is>
          <t>Heron Fields (Pty) Ltd</t>
        </is>
      </c>
      <c r="B940" s="4" t="n">
        <v>44651</v>
      </c>
      <c r="C940" s="3" t="inlineStr">
        <is>
          <t>Assets</t>
        </is>
      </c>
      <c r="D940" s="3" t="inlineStr">
        <is>
          <t>7620/287</t>
        </is>
      </c>
      <c r="E940" s="3" t="inlineStr">
        <is>
          <t>HF CIP Structuring Fee - Development</t>
        </is>
      </c>
      <c r="F940" s="3" t="n">
        <v>0</v>
      </c>
      <c r="G940" s="3" t="n">
        <v>782608.0699999999</v>
      </c>
    </row>
    <row r="941">
      <c r="A941" s="3" t="inlineStr">
        <is>
          <t>Heron Fields (Pty) Ltd</t>
        </is>
      </c>
      <c r="B941" s="4" t="n">
        <v>44651</v>
      </c>
      <c r="C941" s="3" t="inlineStr">
        <is>
          <t>Assets</t>
        </is>
      </c>
      <c r="D941" s="3" t="inlineStr">
        <is>
          <t>7620/290</t>
        </is>
      </c>
      <c r="E941" s="3" t="inlineStr">
        <is>
          <t>HF CIP Town Planning</t>
        </is>
      </c>
      <c r="F941" s="3" t="n">
        <v>0</v>
      </c>
      <c r="G941" s="3" t="n">
        <v>129550</v>
      </c>
    </row>
    <row r="942">
      <c r="A942" s="3" t="inlineStr">
        <is>
          <t>Heron Fields (Pty) Ltd</t>
        </is>
      </c>
      <c r="B942" s="4" t="n">
        <v>44651</v>
      </c>
      <c r="C942" s="3" t="inlineStr">
        <is>
          <t>Assets</t>
        </is>
      </c>
      <c r="D942" s="3" t="inlineStr">
        <is>
          <t>7620/295</t>
        </is>
      </c>
      <c r="E942" s="3" t="inlineStr">
        <is>
          <t>HF CIP Traffic Planning</t>
        </is>
      </c>
      <c r="F942" s="3" t="n">
        <v>0</v>
      </c>
      <c r="G942" s="3" t="n">
        <v>45000</v>
      </c>
    </row>
    <row r="943">
      <c r="A943" s="3" t="inlineStr">
        <is>
          <t>Heron Fields (Pty) Ltd</t>
        </is>
      </c>
      <c r="B943" s="4" t="n">
        <v>44651</v>
      </c>
      <c r="C943" s="3" t="inlineStr">
        <is>
          <t>Assets</t>
        </is>
      </c>
      <c r="D943" s="3" t="inlineStr">
        <is>
          <t>7620/600</t>
        </is>
      </c>
      <c r="E943" s="3" t="inlineStr">
        <is>
          <t>HF CIP Eco work</t>
        </is>
      </c>
      <c r="F943" s="3" t="n">
        <v>6000</v>
      </c>
      <c r="G943" s="3" t="n">
        <v>60000</v>
      </c>
    </row>
    <row r="944">
      <c r="A944" s="3" t="inlineStr">
        <is>
          <t>Heron Fields (Pty) Ltd</t>
        </is>
      </c>
      <c r="B944" s="4" t="n">
        <v>44651</v>
      </c>
      <c r="C944" s="3" t="inlineStr">
        <is>
          <t>Assets</t>
        </is>
      </c>
      <c r="D944" s="3" t="inlineStr">
        <is>
          <t>7620/630</t>
        </is>
      </c>
      <c r="E944" s="3" t="inlineStr">
        <is>
          <t>HF CIP CoCT development contribution</t>
        </is>
      </c>
      <c r="F944" s="3" t="n">
        <v>562.5700000000001</v>
      </c>
      <c r="G944" s="3" t="n">
        <v>740372.41</v>
      </c>
    </row>
    <row r="945">
      <c r="A945" s="3" t="inlineStr">
        <is>
          <t>Heron Fields (Pty) Ltd</t>
        </is>
      </c>
      <c r="B945" s="4" t="n">
        <v>44651</v>
      </c>
      <c r="C945" s="3" t="inlineStr">
        <is>
          <t>Assets</t>
        </is>
      </c>
      <c r="D945" s="3" t="inlineStr">
        <is>
          <t>7620/640</t>
        </is>
      </c>
      <c r="E945" s="3" t="inlineStr">
        <is>
          <t>HF CIP Project costs</t>
        </is>
      </c>
      <c r="F945" s="3" t="n">
        <v>0</v>
      </c>
      <c r="G945" s="3" t="n">
        <v>622274.51</v>
      </c>
    </row>
    <row r="946">
      <c r="A946" s="3" t="inlineStr">
        <is>
          <t>Cape Projects Construction (Pty) Ltd</t>
        </is>
      </c>
      <c r="B946" s="4" t="n">
        <v>44651</v>
      </c>
      <c r="C946" s="3" t="inlineStr">
        <is>
          <t>Assets</t>
        </is>
      </c>
      <c r="D946" s="3" t="inlineStr">
        <is>
          <t>7800/000</t>
        </is>
      </c>
      <c r="E946" s="3" t="inlineStr">
        <is>
          <t>Deposits paid</t>
        </is>
      </c>
      <c r="F946" s="3" t="n">
        <v>0</v>
      </c>
      <c r="G946" s="3" t="n">
        <v>6875.45</v>
      </c>
    </row>
    <row r="947">
      <c r="A947" s="3" t="inlineStr">
        <is>
          <t>Cape Projects Construction (Pty) Ltd</t>
        </is>
      </c>
      <c r="B947" s="4" t="n">
        <v>44651</v>
      </c>
      <c r="C947" s="3" t="inlineStr">
        <is>
          <t>Assets</t>
        </is>
      </c>
      <c r="D947" s="3" t="inlineStr">
        <is>
          <t>8000/000</t>
        </is>
      </c>
      <c r="E947" s="3" t="inlineStr">
        <is>
          <t>Customer Control Account</t>
        </is>
      </c>
      <c r="F947" s="3" t="n">
        <v>1419556.4</v>
      </c>
      <c r="G947" s="3" t="n">
        <v>4564116.91</v>
      </c>
    </row>
    <row r="948">
      <c r="A948" s="3" t="inlineStr">
        <is>
          <t>Cape Projects Construction (Pty) Ltd</t>
        </is>
      </c>
      <c r="B948" s="4" t="n">
        <v>44651</v>
      </c>
      <c r="C948" s="3" t="inlineStr">
        <is>
          <t>Assets</t>
        </is>
      </c>
      <c r="D948" s="3" t="inlineStr">
        <is>
          <t>8200/010</t>
        </is>
      </c>
      <c r="E948" s="3" t="inlineStr">
        <is>
          <t>Prepayments / Prepaid Expenses</t>
        </is>
      </c>
      <c r="F948" s="3" t="n">
        <v>31125.88</v>
      </c>
      <c r="G948" s="3" t="n">
        <v>45461.35</v>
      </c>
    </row>
    <row r="949">
      <c r="A949" s="3" t="inlineStr">
        <is>
          <t>Heron Fields (Pty) Ltd</t>
        </is>
      </c>
      <c r="B949" s="4" t="n">
        <v>44651</v>
      </c>
      <c r="C949" s="3" t="inlineStr">
        <is>
          <t>Assets</t>
        </is>
      </c>
      <c r="D949" s="3" t="inlineStr">
        <is>
          <t>8200/200</t>
        </is>
      </c>
      <c r="E949" s="3" t="inlineStr">
        <is>
          <t>Sundry Debtor - Quinate</t>
        </is>
      </c>
      <c r="F949" s="3" t="n">
        <v>0</v>
      </c>
      <c r="G949" s="3" t="n">
        <v>300000</v>
      </c>
    </row>
    <row r="950">
      <c r="A950" s="3" t="inlineStr">
        <is>
          <t>Heron Fields (Pty) Ltd</t>
        </is>
      </c>
      <c r="B950" s="4" t="n">
        <v>44651</v>
      </c>
      <c r="C950" s="3" t="inlineStr">
        <is>
          <t>Assets</t>
        </is>
      </c>
      <c r="D950" s="3" t="inlineStr">
        <is>
          <t>8400/000</t>
        </is>
      </c>
      <c r="E950" s="3" t="inlineStr">
        <is>
          <t>RMB - 62882379087</t>
        </is>
      </c>
      <c r="F950" s="3" t="n">
        <v>703690.79</v>
      </c>
      <c r="G950" s="3" t="n">
        <v>728719.98</v>
      </c>
    </row>
    <row r="951">
      <c r="A951" s="3" t="inlineStr">
        <is>
          <t>Cape Projects Construction (Pty) Ltd</t>
        </is>
      </c>
      <c r="B951" s="4" t="n">
        <v>44651</v>
      </c>
      <c r="C951" s="3" t="inlineStr">
        <is>
          <t>Assets</t>
        </is>
      </c>
      <c r="D951" s="3" t="inlineStr">
        <is>
          <t>8400/000</t>
        </is>
      </c>
      <c r="E951" s="3" t="inlineStr">
        <is>
          <t>RMB 62275138470</t>
        </is>
      </c>
      <c r="F951" s="3" t="n">
        <v>-381692.36</v>
      </c>
      <c r="G951" s="3" t="n">
        <v>45928.42</v>
      </c>
    </row>
    <row r="952">
      <c r="A952" s="3" t="inlineStr">
        <is>
          <t>Cape Projects Construction (Pty) Ltd</t>
        </is>
      </c>
      <c r="B952" s="4" t="n">
        <v>44651</v>
      </c>
      <c r="C952" s="3" t="inlineStr">
        <is>
          <t>Assets</t>
        </is>
      </c>
      <c r="D952" s="3" t="inlineStr">
        <is>
          <t>8420/000</t>
        </is>
      </c>
      <c r="E952" s="3" t="inlineStr">
        <is>
          <t>Momentum Priv Acc RU502230981</t>
        </is>
      </c>
      <c r="F952" s="3" t="n">
        <v>2.02</v>
      </c>
      <c r="G952" s="3" t="n">
        <v>511.66</v>
      </c>
    </row>
    <row r="953">
      <c r="A953" s="3" t="inlineStr">
        <is>
          <t>Heron Fields (Pty) Ltd</t>
        </is>
      </c>
      <c r="B953" s="4" t="n">
        <v>44651</v>
      </c>
      <c r="C953" s="3" t="inlineStr">
        <is>
          <t>Assets</t>
        </is>
      </c>
      <c r="D953" s="3" t="inlineStr">
        <is>
          <t>8430/000</t>
        </is>
      </c>
      <c r="E953" s="3" t="inlineStr">
        <is>
          <t>Momentum Private Account RU502230151</t>
        </is>
      </c>
      <c r="F953" s="3" t="n">
        <v>3.12</v>
      </c>
      <c r="G953" s="3" t="n">
        <v>788.0700000000001</v>
      </c>
    </row>
    <row r="954">
      <c r="A954" s="3" t="inlineStr">
        <is>
          <t>Heron Fields (Pty) Ltd</t>
        </is>
      </c>
      <c r="B954" s="4" t="n">
        <v>44651</v>
      </c>
      <c r="C954" s="3" t="inlineStr">
        <is>
          <t>Assets</t>
        </is>
      </c>
      <c r="D954" s="3" t="inlineStr">
        <is>
          <t>8440/000</t>
        </is>
      </c>
      <c r="E954" s="3" t="inlineStr">
        <is>
          <t>Momentum Investors Account RU502229930</t>
        </is>
      </c>
      <c r="F954" s="3" t="n">
        <v>-1393634.92</v>
      </c>
      <c r="G954" s="3" t="n">
        <v>3022384.45</v>
      </c>
    </row>
    <row r="955">
      <c r="A955" s="3" t="inlineStr">
        <is>
          <t>Cape Projects Construction (Pty) Ltd</t>
        </is>
      </c>
      <c r="B955" s="4" t="n">
        <v>44651</v>
      </c>
      <c r="C955" s="3" t="inlineStr">
        <is>
          <t>Liabilities</t>
        </is>
      </c>
      <c r="D955" s="3" t="inlineStr">
        <is>
          <t>860</t>
        </is>
      </c>
      <c r="E955" s="3" t="inlineStr">
        <is>
          <t>Rounding</t>
        </is>
      </c>
      <c r="F955" s="3" t="n">
        <v>-0.04</v>
      </c>
      <c r="G955" s="3" t="n">
        <v>-0.03</v>
      </c>
    </row>
    <row r="956">
      <c r="A956" s="3" t="inlineStr">
        <is>
          <t>Heron Fields (Pty) Ltd</t>
        </is>
      </c>
      <c r="B956" s="4" t="n">
        <v>44651</v>
      </c>
      <c r="C956" s="3" t="inlineStr">
        <is>
          <t>Liabilities</t>
        </is>
      </c>
      <c r="D956" s="3" t="inlineStr">
        <is>
          <t>860</t>
        </is>
      </c>
      <c r="E956" s="3" t="inlineStr">
        <is>
          <t>Rounding</t>
        </is>
      </c>
      <c r="F956" s="3" t="n">
        <v>0</v>
      </c>
      <c r="G956" s="3" t="n">
        <v>0.01</v>
      </c>
    </row>
    <row r="957">
      <c r="A957" s="3" t="inlineStr">
        <is>
          <t>Cape Projects Construction (Pty) Ltd</t>
        </is>
      </c>
      <c r="B957" s="4" t="n">
        <v>44651</v>
      </c>
      <c r="C957" s="3" t="inlineStr">
        <is>
          <t>Liabilities</t>
        </is>
      </c>
      <c r="D957" s="3" t="inlineStr">
        <is>
          <t>9000/000</t>
        </is>
      </c>
      <c r="E957" s="3" t="inlineStr">
        <is>
          <t>Supplier Control Account</t>
        </is>
      </c>
      <c r="F957" s="3" t="n">
        <v>-1344321.38</v>
      </c>
      <c r="G957" s="3" t="n">
        <v>-3284534.31</v>
      </c>
    </row>
    <row r="958">
      <c r="A958" s="3" t="inlineStr">
        <is>
          <t>Heron Fields (Pty) Ltd</t>
        </is>
      </c>
      <c r="B958" s="4" t="n">
        <v>44651</v>
      </c>
      <c r="C958" s="3" t="inlineStr">
        <is>
          <t>Liabilities</t>
        </is>
      </c>
      <c r="D958" s="3" t="inlineStr">
        <is>
          <t>9000/000</t>
        </is>
      </c>
      <c r="E958" s="3" t="inlineStr">
        <is>
          <t>Supplier Control Account</t>
        </is>
      </c>
      <c r="F958" s="3" t="n">
        <v>-715169.89</v>
      </c>
      <c r="G958" s="3" t="n">
        <v>-46938417.92</v>
      </c>
    </row>
    <row r="959">
      <c r="A959" s="3" t="inlineStr">
        <is>
          <t>Heron View (Pty) Ltd</t>
        </is>
      </c>
      <c r="B959" s="4" t="n">
        <v>44651</v>
      </c>
      <c r="C959" s="3" t="inlineStr">
        <is>
          <t>Liabilities</t>
        </is>
      </c>
      <c r="D959" s="3" t="inlineStr">
        <is>
          <t>9000/000</t>
        </is>
      </c>
      <c r="E959" s="3" t="inlineStr">
        <is>
          <t>Supplier Control Account</t>
        </is>
      </c>
      <c r="F959" s="3" t="n">
        <v>4140</v>
      </c>
      <c r="G959" s="3" t="n">
        <v>4140</v>
      </c>
    </row>
    <row r="960">
      <c r="A960" s="3" t="inlineStr">
        <is>
          <t>Cape Projects Construction (Pty) Ltd</t>
        </is>
      </c>
      <c r="B960" s="4" t="n">
        <v>44651</v>
      </c>
      <c r="C960" s="3" t="inlineStr">
        <is>
          <t>Liabilities</t>
        </is>
      </c>
      <c r="D960" s="3" t="inlineStr">
        <is>
          <t>9200/000</t>
        </is>
      </c>
      <c r="E960" s="3" t="inlineStr">
        <is>
          <t>Sundry Suppliers</t>
        </is>
      </c>
      <c r="F960" s="3" t="n">
        <v>0</v>
      </c>
      <c r="G960" s="3" t="n">
        <v>1186.13</v>
      </c>
    </row>
    <row r="961">
      <c r="A961" s="3" t="inlineStr">
        <is>
          <t>Heron Fields (Pty) Ltd</t>
        </is>
      </c>
      <c r="B961" s="4" t="n">
        <v>44651</v>
      </c>
      <c r="C961" s="3" t="inlineStr">
        <is>
          <t>Liabilities</t>
        </is>
      </c>
      <c r="D961" s="3" t="inlineStr">
        <is>
          <t>9210/001</t>
        </is>
      </c>
      <c r="E961" s="3" t="inlineStr">
        <is>
          <t>Accrued Expenses</t>
        </is>
      </c>
      <c r="F961" s="3" t="n">
        <v>6223.51</v>
      </c>
      <c r="G961" s="3" t="n">
        <v>0</v>
      </c>
    </row>
    <row r="962">
      <c r="A962" s="3" t="inlineStr">
        <is>
          <t>Cape Projects Construction (Pty) Ltd</t>
        </is>
      </c>
      <c r="B962" s="4" t="n">
        <v>44651</v>
      </c>
      <c r="C962" s="3" t="inlineStr">
        <is>
          <t>Liabilities</t>
        </is>
      </c>
      <c r="D962" s="3" t="inlineStr">
        <is>
          <t>9250/010</t>
        </is>
      </c>
      <c r="E962" s="3" t="inlineStr">
        <is>
          <t>SALARY CONTROL</t>
        </is>
      </c>
      <c r="F962" s="3" t="n">
        <v>5644.75</v>
      </c>
      <c r="G962" s="3" t="n">
        <v>5644.75</v>
      </c>
    </row>
    <row r="963">
      <c r="A963" s="3" t="inlineStr">
        <is>
          <t>Cape Projects Construction (Pty) Ltd</t>
        </is>
      </c>
      <c r="B963" s="4" t="n">
        <v>44651</v>
      </c>
      <c r="C963" s="3" t="inlineStr">
        <is>
          <t>Liabilities</t>
        </is>
      </c>
      <c r="D963" s="3" t="inlineStr">
        <is>
          <t>9250/020</t>
        </is>
      </c>
      <c r="E963" s="3" t="inlineStr">
        <is>
          <t>PAYE, UIF AND SDL CONTROL</t>
        </is>
      </c>
      <c r="F963" s="3" t="n">
        <v>33861.1</v>
      </c>
      <c r="G963" s="3" t="n">
        <v>-50698.27</v>
      </c>
    </row>
    <row r="964">
      <c r="A964" s="3" t="inlineStr">
        <is>
          <t>Cape Projects Construction (Pty) Ltd</t>
        </is>
      </c>
      <c r="B964" s="4" t="n">
        <v>44651</v>
      </c>
      <c r="C964" s="3" t="inlineStr">
        <is>
          <t>Liabilities</t>
        </is>
      </c>
      <c r="D964" s="3" t="inlineStr">
        <is>
          <t>9250/030</t>
        </is>
      </c>
      <c r="E964" s="3" t="inlineStr">
        <is>
          <t>BIBC CONTROL</t>
        </is>
      </c>
      <c r="F964" s="3" t="n">
        <v>-204.56</v>
      </c>
      <c r="G964" s="3" t="n">
        <v>-613.6799999999999</v>
      </c>
    </row>
    <row r="965">
      <c r="A965" s="3" t="inlineStr">
        <is>
          <t>Cape Projects Construction (Pty) Ltd</t>
        </is>
      </c>
      <c r="B965" s="4" t="n">
        <v>44651</v>
      </c>
      <c r="C965" s="3" t="inlineStr">
        <is>
          <t>Liabilities</t>
        </is>
      </c>
      <c r="D965" s="3" t="inlineStr">
        <is>
          <t>9500/000</t>
        </is>
      </c>
      <c r="E965" s="3" t="inlineStr">
        <is>
          <t>VAT Control Account</t>
        </is>
      </c>
      <c r="F965" s="3" t="n">
        <v>-153711.32</v>
      </c>
      <c r="G965" s="3" t="n">
        <v>-1047386.39</v>
      </c>
    </row>
    <row r="966">
      <c r="A966" s="3" t="inlineStr">
        <is>
          <t>Heron Fields (Pty) Ltd</t>
        </is>
      </c>
      <c r="B966" s="4" t="n">
        <v>44651</v>
      </c>
      <c r="C966" s="3" t="inlineStr">
        <is>
          <t>Liabilities</t>
        </is>
      </c>
      <c r="D966" s="3" t="inlineStr">
        <is>
          <t>9500/000</t>
        </is>
      </c>
      <c r="E966" s="3" t="inlineStr">
        <is>
          <t>Vat / Tax Control Account</t>
        </is>
      </c>
      <c r="F966" s="3" t="n">
        <v>-697361.84</v>
      </c>
      <c r="G966" s="3" t="n">
        <v>132729.23</v>
      </c>
    </row>
    <row r="967">
      <c r="A967" s="3" t="inlineStr">
        <is>
          <t>Cape Projects Construction (Pty) Ltd</t>
        </is>
      </c>
      <c r="B967" s="4" t="n">
        <v>44651</v>
      </c>
      <c r="C967" s="3" t="inlineStr">
        <is>
          <t>Liabilities</t>
        </is>
      </c>
      <c r="D967" s="3" t="inlineStr">
        <is>
          <t>B/S</t>
        </is>
      </c>
      <c r="E967" s="3" t="inlineStr">
        <is>
          <t>Taxation Payable</t>
        </is>
      </c>
      <c r="F967" s="3" t="n">
        <v>-118.02</v>
      </c>
      <c r="G967" s="3" t="n">
        <v>1869.8</v>
      </c>
    </row>
    <row r="968">
      <c r="A968" s="3" t="inlineStr">
        <is>
          <t>Cape Projects Construction (Pty) Ltd</t>
        </is>
      </c>
      <c r="B968" s="4" t="n">
        <v>44651</v>
      </c>
      <c r="C968" s="3" t="inlineStr">
        <is>
          <t>Liabilities</t>
        </is>
      </c>
      <c r="D968" s="3" t="inlineStr">
        <is>
          <t>TEMP/ACC</t>
        </is>
      </c>
      <c r="E968" s="3" t="inlineStr">
        <is>
          <t>Conversion Account</t>
        </is>
      </c>
      <c r="F968" s="3" t="n">
        <v>0</v>
      </c>
      <c r="G968" s="3" t="n">
        <v>-254.99</v>
      </c>
    </row>
    <row r="969">
      <c r="A969" s="3" t="inlineStr">
        <is>
          <t>Cape Projects Construction (Pty) Ltd</t>
        </is>
      </c>
      <c r="B969" s="4" t="n">
        <v>44681</v>
      </c>
      <c r="C969" s="3" t="inlineStr">
        <is>
          <t>Revenue</t>
        </is>
      </c>
      <c r="D969" s="3" t="inlineStr">
        <is>
          <t>1040/100</t>
        </is>
      </c>
      <c r="E969" s="3" t="inlineStr">
        <is>
          <t>Fees - Construction - Heron</t>
        </is>
      </c>
      <c r="F969" s="3" t="n">
        <v>-2316900.66</v>
      </c>
      <c r="G969" s="3" t="n">
        <v>-3484263.6</v>
      </c>
    </row>
    <row r="970">
      <c r="A970" s="3" t="inlineStr">
        <is>
          <t>Cape Projects Construction (Pty) Ltd</t>
        </is>
      </c>
      <c r="B970" s="4" t="n">
        <v>44681</v>
      </c>
      <c r="C970" s="3" t="inlineStr">
        <is>
          <t>Revenue</t>
        </is>
      </c>
      <c r="D970" s="3" t="inlineStr">
        <is>
          <t>1050/030</t>
        </is>
      </c>
      <c r="E970" s="3" t="inlineStr">
        <is>
          <t>Fees - Construction - Endulini</t>
        </is>
      </c>
      <c r="F970" s="3" t="n">
        <v>-3823586.17</v>
      </c>
      <c r="G970" s="3" t="n">
        <v>-7547064.43</v>
      </c>
    </row>
    <row r="971">
      <c r="A971" s="3" t="inlineStr">
        <is>
          <t>Cape Projects Construction (Pty) Ltd</t>
        </is>
      </c>
      <c r="B971" s="4" t="n">
        <v>44681</v>
      </c>
      <c r="C971" s="3" t="inlineStr">
        <is>
          <t>Revenue</t>
        </is>
      </c>
      <c r="D971" s="3" t="inlineStr">
        <is>
          <t>1070/000</t>
        </is>
      </c>
      <c r="E971" s="3" t="inlineStr">
        <is>
          <t>Rent - CT Office</t>
        </is>
      </c>
      <c r="F971" s="3" t="n">
        <v>-3490.94</v>
      </c>
      <c r="G971" s="3" t="n">
        <v>-6981.88</v>
      </c>
    </row>
    <row r="972">
      <c r="A972" s="3" t="inlineStr">
        <is>
          <t>Cape Projects Construction (Pty) Ltd</t>
        </is>
      </c>
      <c r="B972" s="4" t="n">
        <v>44681</v>
      </c>
      <c r="C972" s="3" t="inlineStr">
        <is>
          <t>Revenue</t>
        </is>
      </c>
      <c r="D972" s="3" t="inlineStr">
        <is>
          <t>1080/000</t>
        </is>
      </c>
      <c r="E972" s="3" t="inlineStr">
        <is>
          <t>Other income</t>
        </is>
      </c>
      <c r="F972" s="3" t="n">
        <v>-104</v>
      </c>
      <c r="G972" s="3" t="n">
        <v>-104</v>
      </c>
    </row>
    <row r="973">
      <c r="A973" s="3" t="inlineStr">
        <is>
          <t>Cape Projects Construction (Pty) Ltd</t>
        </is>
      </c>
      <c r="B973" s="4" t="n">
        <v>44681</v>
      </c>
      <c r="C973" s="3" t="inlineStr">
        <is>
          <t>Expenses</t>
        </is>
      </c>
      <c r="D973" s="3" t="inlineStr">
        <is>
          <t>2005/200</t>
        </is>
      </c>
      <c r="E973" s="3" t="inlineStr">
        <is>
          <t>COS - External Works</t>
        </is>
      </c>
      <c r="F973" s="3" t="n">
        <v>957.28</v>
      </c>
      <c r="G973" s="3" t="n">
        <v>957.28</v>
      </c>
    </row>
    <row r="974">
      <c r="A974" s="3" t="inlineStr">
        <is>
          <t>Cape Projects Construction (Pty) Ltd</t>
        </is>
      </c>
      <c r="B974" s="4" t="n">
        <v>44681</v>
      </c>
      <c r="C974" s="3" t="inlineStr">
        <is>
          <t>Expenses</t>
        </is>
      </c>
      <c r="D974" s="3" t="inlineStr">
        <is>
          <t>2006/000</t>
        </is>
      </c>
      <c r="E974" s="3" t="inlineStr">
        <is>
          <t>COS - Endulini Construction</t>
        </is>
      </c>
      <c r="F974" s="3" t="n">
        <v>3114643.78</v>
      </c>
      <c r="G974" s="3" t="n">
        <v>6280209.87</v>
      </c>
    </row>
    <row r="975">
      <c r="A975" s="3" t="inlineStr">
        <is>
          <t>Cape Projects Construction (Pty) Ltd</t>
        </is>
      </c>
      <c r="B975" s="4" t="n">
        <v>44681</v>
      </c>
      <c r="C975" s="3" t="inlineStr">
        <is>
          <t>Expenses</t>
        </is>
      </c>
      <c r="D975" s="3" t="inlineStr">
        <is>
          <t>2006/100</t>
        </is>
      </c>
      <c r="E975" s="3" t="inlineStr">
        <is>
          <t>COS - Endulini P and G</t>
        </is>
      </c>
      <c r="F975" s="3" t="n">
        <v>94519</v>
      </c>
      <c r="G975" s="3" t="n">
        <v>261083.88</v>
      </c>
    </row>
    <row r="976">
      <c r="A976" s="3" t="inlineStr">
        <is>
          <t>Cape Projects Construction (Pty) Ltd</t>
        </is>
      </c>
      <c r="B976" s="4" t="n">
        <v>44681</v>
      </c>
      <c r="C976" s="3" t="inlineStr">
        <is>
          <t>Expenses</t>
        </is>
      </c>
      <c r="D976" s="3" t="inlineStr">
        <is>
          <t>2006/200</t>
        </is>
      </c>
      <c r="E976" s="3" t="inlineStr">
        <is>
          <t>COS - Insurance</t>
        </is>
      </c>
      <c r="F976" s="3" t="n">
        <v>6946.25</v>
      </c>
      <c r="G976" s="3" t="n">
        <v>9813.34</v>
      </c>
    </row>
    <row r="977">
      <c r="A977" s="3" t="inlineStr">
        <is>
          <t>Cape Projects Construction (Pty) Ltd</t>
        </is>
      </c>
      <c r="B977" s="4" t="n">
        <v>44681</v>
      </c>
      <c r="C977" s="3" t="inlineStr">
        <is>
          <t>Expenses</t>
        </is>
      </c>
      <c r="D977" s="3" t="inlineStr">
        <is>
          <t>2006/350</t>
        </is>
      </c>
      <c r="E977" s="3" t="inlineStr">
        <is>
          <t>COS - Endulini - Security</t>
        </is>
      </c>
      <c r="F977" s="3" t="n">
        <v>0</v>
      </c>
      <c r="G977" s="3" t="n">
        <v>5500</v>
      </c>
    </row>
    <row r="978">
      <c r="A978" s="3" t="inlineStr">
        <is>
          <t>Cape Projects Construction (Pty) Ltd</t>
        </is>
      </c>
      <c r="B978" s="4" t="n">
        <v>44681</v>
      </c>
      <c r="C978" s="3" t="inlineStr">
        <is>
          <t>Expenses</t>
        </is>
      </c>
      <c r="D978" s="3" t="inlineStr">
        <is>
          <t>2006/400</t>
        </is>
      </c>
      <c r="E978" s="3" t="inlineStr">
        <is>
          <t>COS - Endulini - Health &amp; Safety</t>
        </is>
      </c>
      <c r="F978" s="3" t="n">
        <v>4000</v>
      </c>
      <c r="G978" s="3" t="n">
        <v>8000</v>
      </c>
    </row>
    <row r="979">
      <c r="A979" s="3" t="inlineStr">
        <is>
          <t>Cape Projects Construction (Pty) Ltd</t>
        </is>
      </c>
      <c r="B979" s="4" t="n">
        <v>44681</v>
      </c>
      <c r="C979" s="3" t="inlineStr">
        <is>
          <t>Expenses</t>
        </is>
      </c>
      <c r="D979" s="3" t="inlineStr">
        <is>
          <t>2006/700</t>
        </is>
      </c>
      <c r="E979" s="3" t="inlineStr">
        <is>
          <t>COS - Endulini - Fuel</t>
        </is>
      </c>
      <c r="F979" s="3" t="n">
        <v>2473.65</v>
      </c>
      <c r="G979" s="3" t="n">
        <v>2473.65</v>
      </c>
    </row>
    <row r="980">
      <c r="A980" s="3" t="inlineStr">
        <is>
          <t>Cape Projects Construction (Pty) Ltd</t>
        </is>
      </c>
      <c r="B980" s="4" t="n">
        <v>44681</v>
      </c>
      <c r="C980" s="3" t="inlineStr">
        <is>
          <t>Expenses</t>
        </is>
      </c>
      <c r="D980" s="3" t="inlineStr">
        <is>
          <t>2006/800</t>
        </is>
      </c>
      <c r="E980" s="3" t="inlineStr">
        <is>
          <t>COS - Endulini - Telephone &amp; Internet</t>
        </is>
      </c>
      <c r="F980" s="3" t="n">
        <v>520.87</v>
      </c>
      <c r="G980" s="3" t="n">
        <v>937.39</v>
      </c>
    </row>
    <row r="981">
      <c r="A981" s="3" t="inlineStr">
        <is>
          <t>Cape Projects Construction (Pty) Ltd</t>
        </is>
      </c>
      <c r="B981" s="4" t="n">
        <v>44681</v>
      </c>
      <c r="C981" s="3" t="inlineStr">
        <is>
          <t>Expenses</t>
        </is>
      </c>
      <c r="D981" s="3" t="inlineStr">
        <is>
          <t>2011/300</t>
        </is>
      </c>
      <c r="E981" s="3" t="inlineStr">
        <is>
          <t>COS - Heron Fields - Printing &amp; Stationary</t>
        </is>
      </c>
      <c r="F981" s="3" t="n">
        <v>2415</v>
      </c>
      <c r="G981" s="3" t="n">
        <v>2683.05</v>
      </c>
    </row>
    <row r="982">
      <c r="A982" s="3" t="inlineStr">
        <is>
          <t>Cape Projects Construction (Pty) Ltd</t>
        </is>
      </c>
      <c r="B982" s="4" t="n">
        <v>44681</v>
      </c>
      <c r="C982" s="3" t="inlineStr">
        <is>
          <t>Expenses</t>
        </is>
      </c>
      <c r="D982" s="3" t="inlineStr">
        <is>
          <t>2011/500</t>
        </is>
      </c>
      <c r="E982" s="3" t="inlineStr">
        <is>
          <t>COS - Heron Fields - Construction</t>
        </is>
      </c>
      <c r="F982" s="3" t="n">
        <v>2138785</v>
      </c>
      <c r="G982" s="3" t="n">
        <v>3106575.23</v>
      </c>
    </row>
    <row r="983">
      <c r="A983" s="3" t="inlineStr">
        <is>
          <t>Cape Projects Construction (Pty) Ltd</t>
        </is>
      </c>
      <c r="B983" s="4" t="n">
        <v>44681</v>
      </c>
      <c r="C983" s="3" t="inlineStr">
        <is>
          <t>Expenses</t>
        </is>
      </c>
      <c r="D983" s="3" t="inlineStr">
        <is>
          <t>2011/600</t>
        </is>
      </c>
      <c r="E983" s="3" t="inlineStr">
        <is>
          <t>COS - Heron Fields - P &amp; G</t>
        </is>
      </c>
      <c r="F983" s="3" t="n">
        <v>239884.17</v>
      </c>
      <c r="G983" s="3" t="n">
        <v>332474.45</v>
      </c>
    </row>
    <row r="984">
      <c r="A984" s="3" t="inlineStr">
        <is>
          <t>Cape Projects Construction (Pty) Ltd</t>
        </is>
      </c>
      <c r="B984" s="4" t="n">
        <v>44681</v>
      </c>
      <c r="C984" s="3" t="inlineStr">
        <is>
          <t>Expenses</t>
        </is>
      </c>
      <c r="D984" s="3" t="inlineStr">
        <is>
          <t>2011/700</t>
        </is>
      </c>
      <c r="E984" s="3" t="inlineStr">
        <is>
          <t>COS - Heron Fields - Health &amp; Safety</t>
        </is>
      </c>
      <c r="F984" s="3" t="n">
        <v>4000</v>
      </c>
      <c r="G984" s="3" t="n">
        <v>10286.3</v>
      </c>
    </row>
    <row r="985">
      <c r="A985" s="3" t="inlineStr">
        <is>
          <t>Cape Projects Construction (Pty) Ltd</t>
        </is>
      </c>
      <c r="B985" s="4" t="n">
        <v>44681</v>
      </c>
      <c r="C985" s="3" t="inlineStr">
        <is>
          <t>Expenses</t>
        </is>
      </c>
      <c r="D985" s="3" t="inlineStr">
        <is>
          <t>2011/900</t>
        </is>
      </c>
      <c r="E985" s="3" t="inlineStr">
        <is>
          <t>COS - Heron - Internet</t>
        </is>
      </c>
      <c r="F985" s="3" t="n">
        <v>1085.22</v>
      </c>
      <c r="G985" s="3" t="n">
        <v>1630.81</v>
      </c>
    </row>
    <row r="986">
      <c r="A986" s="3" t="inlineStr">
        <is>
          <t>Cape Projects Construction (Pty) Ltd</t>
        </is>
      </c>
      <c r="B986" s="4" t="n">
        <v>44681</v>
      </c>
      <c r="C986" s="3" t="inlineStr">
        <is>
          <t>Expenses</t>
        </is>
      </c>
      <c r="D986" s="3" t="inlineStr">
        <is>
          <t>2011/950</t>
        </is>
      </c>
      <c r="E986" s="3" t="inlineStr">
        <is>
          <t>COS - Heron Fields - Security</t>
        </is>
      </c>
      <c r="F986" s="3" t="n">
        <v>4782.61</v>
      </c>
      <c r="G986" s="3" t="n">
        <v>4782.61</v>
      </c>
    </row>
    <row r="987">
      <c r="A987" s="3" t="inlineStr">
        <is>
          <t>Cape Projects Construction (Pty) Ltd</t>
        </is>
      </c>
      <c r="B987" s="4" t="n">
        <v>44681</v>
      </c>
      <c r="C987" s="3" t="inlineStr">
        <is>
          <t>Revenue</t>
        </is>
      </c>
      <c r="D987" s="3" t="inlineStr">
        <is>
          <t>2751/001</t>
        </is>
      </c>
      <c r="E987" s="3" t="inlineStr">
        <is>
          <t>Interest received - Momentum</t>
        </is>
      </c>
      <c r="F987" s="3" t="n">
        <v>0</v>
      </c>
      <c r="G987" s="3" t="n">
        <v>-2.02</v>
      </c>
    </row>
    <row r="988">
      <c r="A988" s="3" t="inlineStr">
        <is>
          <t>Heron Fields (Pty) Ltd</t>
        </is>
      </c>
      <c r="B988" s="4" t="n">
        <v>44681</v>
      </c>
      <c r="C988" s="3" t="inlineStr">
        <is>
          <t>Revenue</t>
        </is>
      </c>
      <c r="D988" s="3" t="inlineStr">
        <is>
          <t>2755/001</t>
        </is>
      </c>
      <c r="E988" s="3" t="inlineStr">
        <is>
          <t>Interest Received - Momentum</t>
        </is>
      </c>
      <c r="F988" s="3" t="n">
        <v>-33568.16</v>
      </c>
      <c r="G988" s="3" t="n">
        <v>-41266.23</v>
      </c>
    </row>
    <row r="989">
      <c r="A989" s="3" t="inlineStr">
        <is>
          <t>Cape Projects Construction (Pty) Ltd</t>
        </is>
      </c>
      <c r="B989" s="4" t="n">
        <v>44681</v>
      </c>
      <c r="C989" s="3" t="inlineStr">
        <is>
          <t>Expenses</t>
        </is>
      </c>
      <c r="D989" s="3" t="inlineStr">
        <is>
          <t>3002/000</t>
        </is>
      </c>
      <c r="E989" s="3" t="inlineStr">
        <is>
          <t>Accounting Fees - Audit</t>
        </is>
      </c>
      <c r="F989" s="3" t="n">
        <v>10600</v>
      </c>
      <c r="G989" s="3" t="n">
        <v>10600</v>
      </c>
    </row>
    <row r="990">
      <c r="A990" s="3" t="inlineStr">
        <is>
          <t>Cape Projects Construction (Pty) Ltd</t>
        </is>
      </c>
      <c r="B990" s="4" t="n">
        <v>44681</v>
      </c>
      <c r="C990" s="3" t="inlineStr">
        <is>
          <t>Expenses</t>
        </is>
      </c>
      <c r="D990" s="3" t="inlineStr">
        <is>
          <t>3020/100</t>
        </is>
      </c>
      <c r="E990" s="3" t="inlineStr">
        <is>
          <t>Admin - Subcontractors</t>
        </is>
      </c>
      <c r="F990" s="3" t="n">
        <v>639.13</v>
      </c>
      <c r="G990" s="3" t="n">
        <v>639.13</v>
      </c>
    </row>
    <row r="991">
      <c r="A991" s="3" t="inlineStr">
        <is>
          <t>Cape Projects Construction (Pty) Ltd</t>
        </is>
      </c>
      <c r="B991" s="4" t="n">
        <v>44681</v>
      </c>
      <c r="C991" s="3" t="inlineStr">
        <is>
          <t>Expenses</t>
        </is>
      </c>
      <c r="D991" s="3" t="inlineStr">
        <is>
          <t>3050/000</t>
        </is>
      </c>
      <c r="E991" s="3" t="inlineStr">
        <is>
          <t>Advertising _AND_ Promotions</t>
        </is>
      </c>
      <c r="F991" s="3" t="n">
        <v>0</v>
      </c>
      <c r="G991" s="3" t="n">
        <v>687.5</v>
      </c>
    </row>
    <row r="992">
      <c r="A992" s="3" t="inlineStr">
        <is>
          <t>Heron Fields (Pty) Ltd</t>
        </is>
      </c>
      <c r="B992" s="4" t="n">
        <v>44681</v>
      </c>
      <c r="C992" s="3" t="inlineStr">
        <is>
          <t>Expenses</t>
        </is>
      </c>
      <c r="D992" s="3" t="inlineStr">
        <is>
          <t>3050/000</t>
        </is>
      </c>
      <c r="E992" s="3" t="inlineStr">
        <is>
          <t>Advertising _AND_ Promotions</t>
        </is>
      </c>
      <c r="F992" s="3" t="n">
        <v>55237.86</v>
      </c>
      <c r="G992" s="3" t="n">
        <v>55787.86</v>
      </c>
    </row>
    <row r="993">
      <c r="A993" s="3" t="inlineStr">
        <is>
          <t>Heron Fields (Pty) Ltd</t>
        </is>
      </c>
      <c r="B993" s="4" t="n">
        <v>44681</v>
      </c>
      <c r="C993" s="3" t="inlineStr">
        <is>
          <t>Expenses</t>
        </is>
      </c>
      <c r="D993" s="3" t="inlineStr">
        <is>
          <t>3050/100</t>
        </is>
      </c>
      <c r="E993" s="3" t="inlineStr">
        <is>
          <t>Advertising - Property24</t>
        </is>
      </c>
      <c r="F993" s="3" t="n">
        <v>23112</v>
      </c>
      <c r="G993" s="3" t="n">
        <v>23112</v>
      </c>
    </row>
    <row r="994">
      <c r="A994" s="3" t="inlineStr">
        <is>
          <t>Cape Projects Construction (Pty) Ltd</t>
        </is>
      </c>
      <c r="B994" s="4" t="n">
        <v>44681</v>
      </c>
      <c r="C994" s="3" t="inlineStr">
        <is>
          <t>Expenses</t>
        </is>
      </c>
      <c r="D994" s="3" t="inlineStr">
        <is>
          <t>3200/000</t>
        </is>
      </c>
      <c r="E994" s="3" t="inlineStr">
        <is>
          <t>Bank Charges</t>
        </is>
      </c>
      <c r="F994" s="3" t="n">
        <v>2938.93</v>
      </c>
      <c r="G994" s="3" t="n">
        <v>5514.02</v>
      </c>
    </row>
    <row r="995">
      <c r="A995" s="3" t="inlineStr">
        <is>
          <t>Heron Fields (Pty) Ltd</t>
        </is>
      </c>
      <c r="B995" s="4" t="n">
        <v>44681</v>
      </c>
      <c r="C995" s="3" t="inlineStr">
        <is>
          <t>Expenses</t>
        </is>
      </c>
      <c r="D995" s="3" t="inlineStr">
        <is>
          <t>3200/000</t>
        </is>
      </c>
      <c r="E995" s="3" t="inlineStr">
        <is>
          <t>Bank Charges</t>
        </is>
      </c>
      <c r="F995" s="3" t="n">
        <v>714.16</v>
      </c>
      <c r="G995" s="3" t="n">
        <v>1367.86</v>
      </c>
    </row>
    <row r="996">
      <c r="A996" s="3" t="inlineStr">
        <is>
          <t>Cape Projects Construction (Pty) Ltd</t>
        </is>
      </c>
      <c r="B996" s="4" t="n">
        <v>44681</v>
      </c>
      <c r="C996" s="3" t="inlineStr">
        <is>
          <t>Expenses</t>
        </is>
      </c>
      <c r="D996" s="3" t="inlineStr">
        <is>
          <t>3250/000</t>
        </is>
      </c>
      <c r="E996" s="3" t="inlineStr">
        <is>
          <t>Cleaning</t>
        </is>
      </c>
      <c r="F996" s="3" t="n">
        <v>250</v>
      </c>
      <c r="G996" s="3" t="n">
        <v>1986.89</v>
      </c>
    </row>
    <row r="997">
      <c r="A997" s="3" t="inlineStr">
        <is>
          <t>Cape Projects Construction (Pty) Ltd</t>
        </is>
      </c>
      <c r="B997" s="4" t="n">
        <v>44681</v>
      </c>
      <c r="C997" s="3" t="inlineStr">
        <is>
          <t>Expenses</t>
        </is>
      </c>
      <c r="D997" s="3" t="inlineStr">
        <is>
          <t>3256/000</t>
        </is>
      </c>
      <c r="E997" s="3" t="inlineStr">
        <is>
          <t>Cell Phone - Nick Morgan</t>
        </is>
      </c>
      <c r="F997" s="3" t="n">
        <v>662.7</v>
      </c>
      <c r="G997" s="3" t="n">
        <v>1284.53</v>
      </c>
    </row>
    <row r="998">
      <c r="A998" s="3" t="inlineStr">
        <is>
          <t>Cape Projects Construction (Pty) Ltd</t>
        </is>
      </c>
      <c r="B998" s="4" t="n">
        <v>44681</v>
      </c>
      <c r="C998" s="3" t="inlineStr">
        <is>
          <t>Expenses</t>
        </is>
      </c>
      <c r="D998" s="3" t="inlineStr">
        <is>
          <t>3300/000</t>
        </is>
      </c>
      <c r="E998" s="3" t="inlineStr">
        <is>
          <t>Computer Expenses</t>
        </is>
      </c>
      <c r="F998" s="3" t="n">
        <v>0</v>
      </c>
      <c r="G998" s="3" t="n">
        <v>566.09</v>
      </c>
    </row>
    <row r="999">
      <c r="A999" s="3" t="inlineStr">
        <is>
          <t>Cape Projects Construction (Pty) Ltd</t>
        </is>
      </c>
      <c r="B999" s="4" t="n">
        <v>44681</v>
      </c>
      <c r="C999" s="3" t="inlineStr">
        <is>
          <t>Expenses</t>
        </is>
      </c>
      <c r="D999" s="3" t="inlineStr">
        <is>
          <t>3300/100</t>
        </is>
      </c>
      <c r="E999" s="3" t="inlineStr">
        <is>
          <t>Computer Exp - IT, Internet/Hosting Fee</t>
        </is>
      </c>
      <c r="F999" s="3" t="n">
        <v>3130</v>
      </c>
      <c r="G999" s="3" t="n">
        <v>3130</v>
      </c>
    </row>
    <row r="1000">
      <c r="A1000" s="3" t="inlineStr">
        <is>
          <t>Heron Fields (Pty) Ltd</t>
        </is>
      </c>
      <c r="B1000" s="4" t="n">
        <v>44681</v>
      </c>
      <c r="C1000" s="3" t="inlineStr">
        <is>
          <t>Expenses</t>
        </is>
      </c>
      <c r="D1000" s="3" t="inlineStr">
        <is>
          <t>3350/100</t>
        </is>
      </c>
      <c r="E1000" s="3" t="inlineStr">
        <is>
          <t>Consulting Fees - Admin and Finance</t>
        </is>
      </c>
      <c r="F1000" s="3" t="n">
        <v>78771.64999999999</v>
      </c>
      <c r="G1000" s="3" t="n">
        <v>146415.69</v>
      </c>
    </row>
    <row r="1001">
      <c r="A1001" s="3" t="inlineStr">
        <is>
          <t>Cape Projects Construction (Pty) Ltd</t>
        </is>
      </c>
      <c r="B1001" s="4" t="n">
        <v>44681</v>
      </c>
      <c r="C1001" s="3" t="inlineStr">
        <is>
          <t>Expenses</t>
        </is>
      </c>
      <c r="D1001" s="3" t="inlineStr">
        <is>
          <t>3350/100</t>
        </is>
      </c>
      <c r="E1001" s="3" t="inlineStr">
        <is>
          <t>Consulting fees - Herbert du Plessis</t>
        </is>
      </c>
      <c r="F1001" s="3" t="n">
        <v>36000</v>
      </c>
      <c r="G1001" s="3" t="n">
        <v>72000</v>
      </c>
    </row>
    <row r="1002">
      <c r="A1002" s="3" t="inlineStr">
        <is>
          <t>Cape Projects Construction (Pty) Ltd</t>
        </is>
      </c>
      <c r="B1002" s="4" t="n">
        <v>44681</v>
      </c>
      <c r="C1002" s="3" t="inlineStr">
        <is>
          <t>Expenses</t>
        </is>
      </c>
      <c r="D1002" s="3" t="inlineStr">
        <is>
          <t>3350/300</t>
        </is>
      </c>
      <c r="E1002" s="3" t="inlineStr">
        <is>
          <t>Consulting Fees - Admin and Finance</t>
        </is>
      </c>
      <c r="F1002" s="3" t="n">
        <v>119917.35</v>
      </c>
      <c r="G1002" s="3" t="n">
        <v>214421.87</v>
      </c>
    </row>
    <row r="1003">
      <c r="A1003" s="3" t="inlineStr">
        <is>
          <t>Heron Fields (Pty) Ltd</t>
        </is>
      </c>
      <c r="B1003" s="4" t="n">
        <v>44681</v>
      </c>
      <c r="C1003" s="3" t="inlineStr">
        <is>
          <t>Expenses</t>
        </is>
      </c>
      <c r="D1003" s="3" t="inlineStr">
        <is>
          <t>3351/000</t>
        </is>
      </c>
      <c r="E1003" s="3" t="inlineStr">
        <is>
          <t>Consulting fees - Trustee</t>
        </is>
      </c>
      <c r="F1003" s="3" t="n">
        <v>0</v>
      </c>
      <c r="G1003" s="3" t="n">
        <v>4000</v>
      </c>
    </row>
    <row r="1004">
      <c r="A1004" s="3" t="inlineStr">
        <is>
          <t>Cape Projects Construction (Pty) Ltd</t>
        </is>
      </c>
      <c r="B1004" s="4" t="n">
        <v>44681</v>
      </c>
      <c r="C1004" s="3" t="inlineStr">
        <is>
          <t>Expenses</t>
        </is>
      </c>
      <c r="D1004" s="3" t="inlineStr">
        <is>
          <t>3450/001</t>
        </is>
      </c>
      <c r="E1004" s="3" t="inlineStr">
        <is>
          <t>Depreciation - Computer Equipment</t>
        </is>
      </c>
      <c r="F1004" s="3" t="n">
        <v>1539.82</v>
      </c>
      <c r="G1004" s="3" t="n">
        <v>2874.39</v>
      </c>
    </row>
    <row r="1005">
      <c r="A1005" s="3" t="inlineStr">
        <is>
          <t>Cape Projects Construction (Pty) Ltd</t>
        </is>
      </c>
      <c r="B1005" s="4" t="n">
        <v>44681</v>
      </c>
      <c r="C1005" s="3" t="inlineStr">
        <is>
          <t>Expenses</t>
        </is>
      </c>
      <c r="D1005" s="3" t="inlineStr">
        <is>
          <t>3450/002</t>
        </is>
      </c>
      <c r="E1005" s="3" t="inlineStr">
        <is>
          <t>Depreciation - Generator Fixed Asset</t>
        </is>
      </c>
      <c r="F1005" s="3" t="n">
        <v>193.34</v>
      </c>
      <c r="G1005" s="3" t="n">
        <v>386.67</v>
      </c>
    </row>
    <row r="1006">
      <c r="A1006" s="3" t="inlineStr">
        <is>
          <t>Cape Projects Construction (Pty) Ltd</t>
        </is>
      </c>
      <c r="B1006" s="4" t="n">
        <v>44681</v>
      </c>
      <c r="C1006" s="3" t="inlineStr">
        <is>
          <t>Expenses</t>
        </is>
      </c>
      <c r="D1006" s="3" t="inlineStr">
        <is>
          <t>3450/030</t>
        </is>
      </c>
      <c r="E1006" s="3" t="inlineStr">
        <is>
          <t>Depreciation - Furniture and Fittings</t>
        </is>
      </c>
      <c r="F1006" s="3" t="n">
        <v>427.2</v>
      </c>
      <c r="G1006" s="3" t="n">
        <v>854.41</v>
      </c>
    </row>
    <row r="1007">
      <c r="A1007" s="3" t="inlineStr">
        <is>
          <t>Heron Fields (Pty) Ltd</t>
        </is>
      </c>
      <c r="B1007" s="4" t="n">
        <v>44681</v>
      </c>
      <c r="C1007" s="3" t="inlineStr">
        <is>
          <t>Expenses</t>
        </is>
      </c>
      <c r="D1007" s="3" t="inlineStr">
        <is>
          <t>3650/000</t>
        </is>
      </c>
      <c r="E1007" s="3" t="inlineStr">
        <is>
          <t>CoCT - Electricity</t>
        </is>
      </c>
      <c r="F1007" s="3" t="n">
        <v>0</v>
      </c>
      <c r="G1007" s="3" t="n">
        <v>2215.9</v>
      </c>
    </row>
    <row r="1008">
      <c r="A1008" s="3" t="inlineStr">
        <is>
          <t>Cape Projects Construction (Pty) Ltd</t>
        </is>
      </c>
      <c r="B1008" s="4" t="n">
        <v>44681</v>
      </c>
      <c r="C1008" s="3" t="inlineStr">
        <is>
          <t>Expenses</t>
        </is>
      </c>
      <c r="D1008" s="3" t="inlineStr">
        <is>
          <t>3650/000</t>
        </is>
      </c>
      <c r="E1008" s="3" t="inlineStr">
        <is>
          <t>Electricity _AND_ Water</t>
        </is>
      </c>
      <c r="F1008" s="3" t="n">
        <v>7622.4</v>
      </c>
      <c r="G1008" s="3" t="n">
        <v>7622.4</v>
      </c>
    </row>
    <row r="1009">
      <c r="A1009" s="3" t="inlineStr">
        <is>
          <t>Heron Fields (Pty) Ltd</t>
        </is>
      </c>
      <c r="B1009" s="4" t="n">
        <v>44681</v>
      </c>
      <c r="C1009" s="3" t="inlineStr">
        <is>
          <t>Expenses</t>
        </is>
      </c>
      <c r="D1009" s="3" t="inlineStr">
        <is>
          <t>3660/000</t>
        </is>
      </c>
      <c r="E1009" s="3" t="inlineStr">
        <is>
          <t>CoCT - Water</t>
        </is>
      </c>
      <c r="F1009" s="3" t="n">
        <v>0</v>
      </c>
      <c r="G1009" s="3" t="n">
        <v>10580.4</v>
      </c>
    </row>
    <row r="1010">
      <c r="A1010" s="3" t="inlineStr">
        <is>
          <t>Cape Projects Construction (Pty) Ltd</t>
        </is>
      </c>
      <c r="B1010" s="4" t="n">
        <v>44681</v>
      </c>
      <c r="C1010" s="3" t="inlineStr">
        <is>
          <t>Expenses</t>
        </is>
      </c>
      <c r="D1010" s="3" t="inlineStr">
        <is>
          <t>3700/000</t>
        </is>
      </c>
      <c r="E1010" s="3" t="inlineStr">
        <is>
          <t>Entertainment Expenses</t>
        </is>
      </c>
      <c r="F1010" s="3" t="n">
        <v>0</v>
      </c>
      <c r="G1010" s="3" t="n">
        <v>1801.52</v>
      </c>
    </row>
    <row r="1011">
      <c r="A1011" s="3" t="inlineStr">
        <is>
          <t>Cape Projects Construction (Pty) Ltd</t>
        </is>
      </c>
      <c r="B1011" s="4" t="n">
        <v>44681</v>
      </c>
      <c r="C1011" s="3" t="inlineStr">
        <is>
          <t>Expenses</t>
        </is>
      </c>
      <c r="D1011" s="3" t="inlineStr">
        <is>
          <t>3850/001</t>
        </is>
      </c>
      <c r="E1011" s="3" t="inlineStr">
        <is>
          <t>Insurance - Santam</t>
        </is>
      </c>
      <c r="F1011" s="3" t="n">
        <v>2461.8</v>
      </c>
      <c r="G1011" s="3" t="n">
        <v>3513.01</v>
      </c>
    </row>
    <row r="1012">
      <c r="A1012" s="3" t="inlineStr">
        <is>
          <t>Cape Projects Construction (Pty) Ltd</t>
        </is>
      </c>
      <c r="B1012" s="4" t="n">
        <v>44681</v>
      </c>
      <c r="C1012" s="3" t="inlineStr">
        <is>
          <t>Expenses</t>
        </is>
      </c>
      <c r="D1012" s="3" t="inlineStr">
        <is>
          <t>3850/002</t>
        </is>
      </c>
      <c r="E1012" s="3" t="inlineStr">
        <is>
          <t>Insurance - RBS</t>
        </is>
      </c>
      <c r="F1012" s="3" t="n">
        <v>237.57</v>
      </c>
      <c r="G1012" s="3" t="n">
        <v>475.14</v>
      </c>
    </row>
    <row r="1013">
      <c r="A1013" s="3" t="inlineStr">
        <is>
          <t>Heron Fields (Pty) Ltd</t>
        </is>
      </c>
      <c r="B1013" s="4" t="n">
        <v>44681</v>
      </c>
      <c r="C1013" s="3" t="inlineStr">
        <is>
          <t>Expenses</t>
        </is>
      </c>
      <c r="D1013" s="3" t="inlineStr">
        <is>
          <t>3900/000</t>
        </is>
      </c>
      <c r="E1013" s="3" t="inlineStr">
        <is>
          <t>Interest Paid</t>
        </is>
      </c>
      <c r="F1013" s="3" t="n">
        <v>0</v>
      </c>
      <c r="G1013" s="3" t="n">
        <v>54.64</v>
      </c>
    </row>
    <row r="1014">
      <c r="A1014" s="3" t="inlineStr">
        <is>
          <t>Heron Fields (Pty) Ltd</t>
        </is>
      </c>
      <c r="B1014" s="4" t="n">
        <v>44681</v>
      </c>
      <c r="C1014" s="3" t="inlineStr">
        <is>
          <t>Expenses</t>
        </is>
      </c>
      <c r="D1014" s="3" t="inlineStr">
        <is>
          <t>4100/001</t>
        </is>
      </c>
      <c r="E1014" s="3" t="inlineStr">
        <is>
          <t>Momentum Admin Fee</t>
        </is>
      </c>
      <c r="F1014" s="3" t="n">
        <v>19858.78</v>
      </c>
      <c r="G1014" s="3" t="n">
        <v>21015.19</v>
      </c>
    </row>
    <row r="1015">
      <c r="A1015" s="3" t="inlineStr">
        <is>
          <t>Cape Projects Construction (Pty) Ltd</t>
        </is>
      </c>
      <c r="B1015" s="4" t="n">
        <v>44681</v>
      </c>
      <c r="C1015" s="3" t="inlineStr">
        <is>
          <t>Expenses</t>
        </is>
      </c>
      <c r="D1015" s="3" t="inlineStr">
        <is>
          <t>4150/030</t>
        </is>
      </c>
      <c r="E1015" s="3" t="inlineStr">
        <is>
          <t>Motor Vehicle - Insurance _AND_ Licence</t>
        </is>
      </c>
      <c r="F1015" s="3" t="n">
        <v>0</v>
      </c>
      <c r="G1015" s="3" t="n">
        <v>1200</v>
      </c>
    </row>
    <row r="1016">
      <c r="A1016" s="3" t="inlineStr">
        <is>
          <t>Cape Projects Construction (Pty) Ltd</t>
        </is>
      </c>
      <c r="B1016" s="4" t="n">
        <v>44681</v>
      </c>
      <c r="C1016" s="3" t="inlineStr">
        <is>
          <t>Expenses</t>
        </is>
      </c>
      <c r="D1016" s="3" t="inlineStr">
        <is>
          <t>4200/000</t>
        </is>
      </c>
      <c r="E1016" s="3" t="inlineStr">
        <is>
          <t>Printing _AND_ Stationery</t>
        </is>
      </c>
      <c r="F1016" s="3" t="n">
        <v>768.08</v>
      </c>
      <c r="G1016" s="3" t="n">
        <v>3497.97</v>
      </c>
    </row>
    <row r="1017">
      <c r="A1017" s="3" t="inlineStr">
        <is>
          <t>Cape Projects Construction (Pty) Ltd</t>
        </is>
      </c>
      <c r="B1017" s="4" t="n">
        <v>44681</v>
      </c>
      <c r="C1017" s="3" t="inlineStr">
        <is>
          <t>Expenses</t>
        </is>
      </c>
      <c r="D1017" s="3" t="inlineStr">
        <is>
          <t>4201/000</t>
        </is>
      </c>
      <c r="E1017" s="3" t="inlineStr">
        <is>
          <t>Printing - Printer rental</t>
        </is>
      </c>
      <c r="F1017" s="3" t="n">
        <v>0</v>
      </c>
      <c r="G1017" s="3" t="n">
        <v>1226.2</v>
      </c>
    </row>
    <row r="1018">
      <c r="A1018" s="3" t="inlineStr">
        <is>
          <t>Cape Projects Construction (Pty) Ltd</t>
        </is>
      </c>
      <c r="B1018" s="4" t="n">
        <v>44681</v>
      </c>
      <c r="C1018" s="3" t="inlineStr">
        <is>
          <t>Expenses</t>
        </is>
      </c>
      <c r="D1018" s="3" t="inlineStr">
        <is>
          <t>4300/000</t>
        </is>
      </c>
      <c r="E1018" s="3" t="inlineStr">
        <is>
          <t>Rent Paid</t>
        </is>
      </c>
      <c r="F1018" s="3" t="n">
        <v>28087.5</v>
      </c>
      <c r="G1018" s="3" t="n">
        <v>56175</v>
      </c>
    </row>
    <row r="1019">
      <c r="A1019" s="3" t="inlineStr">
        <is>
          <t>Cape Projects Construction (Pty) Ltd</t>
        </is>
      </c>
      <c r="B1019" s="4" t="n">
        <v>44681</v>
      </c>
      <c r="C1019" s="3" t="inlineStr">
        <is>
          <t>Expenses</t>
        </is>
      </c>
      <c r="D1019" s="3" t="inlineStr">
        <is>
          <t>4310/000</t>
        </is>
      </c>
      <c r="E1019" s="3" t="inlineStr">
        <is>
          <t>Rates</t>
        </is>
      </c>
      <c r="F1019" s="3" t="n">
        <v>843.6</v>
      </c>
      <c r="G1019" s="3" t="n">
        <v>1687.2</v>
      </c>
    </row>
    <row r="1020">
      <c r="A1020" s="3" t="inlineStr">
        <is>
          <t>Heron Fields (Pty) Ltd</t>
        </is>
      </c>
      <c r="B1020" s="4" t="n">
        <v>44681</v>
      </c>
      <c r="C1020" s="3" t="inlineStr">
        <is>
          <t>Expenses</t>
        </is>
      </c>
      <c r="D1020" s="3" t="inlineStr">
        <is>
          <t>4310/000</t>
        </is>
      </c>
      <c r="E1020" s="3" t="inlineStr">
        <is>
          <t>Rates - Heron</t>
        </is>
      </c>
      <c r="F1020" s="3" t="n">
        <v>0</v>
      </c>
      <c r="G1020" s="3" t="n">
        <v>3170.13</v>
      </c>
    </row>
    <row r="1021">
      <c r="A1021" s="3" t="inlineStr">
        <is>
          <t>Cape Projects Construction (Pty) Ltd</t>
        </is>
      </c>
      <c r="B1021" s="4" t="n">
        <v>44681</v>
      </c>
      <c r="C1021" s="3" t="inlineStr">
        <is>
          <t>Expenses</t>
        </is>
      </c>
      <c r="D1021" s="3" t="inlineStr">
        <is>
          <t>4350/000</t>
        </is>
      </c>
      <c r="E1021" s="3" t="inlineStr">
        <is>
          <t>Repairs _AND_ Maintenance</t>
        </is>
      </c>
      <c r="F1021" s="3" t="n">
        <v>0</v>
      </c>
      <c r="G1021" s="3" t="n">
        <v>450</v>
      </c>
    </row>
    <row r="1022">
      <c r="A1022" s="3" t="inlineStr">
        <is>
          <t>Cape Projects Construction (Pty) Ltd</t>
        </is>
      </c>
      <c r="B1022" s="4" t="n">
        <v>44681</v>
      </c>
      <c r="C1022" s="3" t="inlineStr">
        <is>
          <t>Expenses</t>
        </is>
      </c>
      <c r="D1022" s="3" t="inlineStr">
        <is>
          <t>4400/000</t>
        </is>
      </c>
      <c r="E1022" s="3" t="inlineStr">
        <is>
          <t>Salaries _AND_ Wages</t>
        </is>
      </c>
      <c r="F1022" s="3" t="n">
        <v>229998.21</v>
      </c>
      <c r="G1022" s="3" t="n">
        <v>457695.05</v>
      </c>
    </row>
    <row r="1023">
      <c r="A1023" s="3" t="inlineStr">
        <is>
          <t>Heron Fields (Pty) Ltd</t>
        </is>
      </c>
      <c r="B1023" s="4" t="n">
        <v>44681</v>
      </c>
      <c r="C1023" s="3" t="inlineStr">
        <is>
          <t>Expenses</t>
        </is>
      </c>
      <c r="D1023" s="3" t="inlineStr">
        <is>
          <t>4420/001</t>
        </is>
      </c>
      <c r="E1023" s="3" t="inlineStr">
        <is>
          <t>Security - ADT</t>
        </is>
      </c>
      <c r="F1023" s="3" t="n">
        <v>302.65</v>
      </c>
      <c r="G1023" s="3" t="n">
        <v>587.91</v>
      </c>
    </row>
    <row r="1024">
      <c r="A1024" s="3" t="inlineStr">
        <is>
          <t>Cape Projects Construction (Pty) Ltd</t>
        </is>
      </c>
      <c r="B1024" s="4" t="n">
        <v>44681</v>
      </c>
      <c r="C1024" s="3" t="inlineStr">
        <is>
          <t>Expenses</t>
        </is>
      </c>
      <c r="D1024" s="3" t="inlineStr">
        <is>
          <t>4450/000</t>
        </is>
      </c>
      <c r="E1024" s="3" t="inlineStr">
        <is>
          <t>Staff Training</t>
        </is>
      </c>
      <c r="F1024" s="3" t="n">
        <v>0</v>
      </c>
      <c r="G1024" s="3" t="n">
        <v>6800</v>
      </c>
    </row>
    <row r="1025">
      <c r="A1025" s="3" t="inlineStr">
        <is>
          <t>Cape Projects Construction (Pty) Ltd</t>
        </is>
      </c>
      <c r="B1025" s="4" t="n">
        <v>44681</v>
      </c>
      <c r="C1025" s="3" t="inlineStr">
        <is>
          <t>Expenses</t>
        </is>
      </c>
      <c r="D1025" s="3" t="inlineStr">
        <is>
          <t>4500/000</t>
        </is>
      </c>
      <c r="E1025" s="3" t="inlineStr">
        <is>
          <t>Staff Welfare _AND_ Refreshmts</t>
        </is>
      </c>
      <c r="F1025" s="3" t="n">
        <v>0</v>
      </c>
      <c r="G1025" s="3" t="n">
        <v>1751.65</v>
      </c>
    </row>
    <row r="1026">
      <c r="A1026" s="3" t="inlineStr">
        <is>
          <t>Cape Projects Construction (Pty) Ltd</t>
        </is>
      </c>
      <c r="B1026" s="4" t="n">
        <v>44681</v>
      </c>
      <c r="C1026" s="3" t="inlineStr">
        <is>
          <t>Expenses</t>
        </is>
      </c>
      <c r="D1026" s="3" t="inlineStr">
        <is>
          <t>4550/001</t>
        </is>
      </c>
      <c r="E1026" s="3" t="inlineStr">
        <is>
          <t>Subscriptions &amp; Licenses - Sage payroll</t>
        </is>
      </c>
      <c r="F1026" s="3" t="n">
        <v>491</v>
      </c>
      <c r="G1026" s="3" t="n">
        <v>982</v>
      </c>
    </row>
    <row r="1027">
      <c r="A1027" s="3" t="inlineStr">
        <is>
          <t>Cape Projects Construction (Pty) Ltd</t>
        </is>
      </c>
      <c r="B1027" s="4" t="n">
        <v>44681</v>
      </c>
      <c r="C1027" s="3" t="inlineStr">
        <is>
          <t>Expenses</t>
        </is>
      </c>
      <c r="D1027" s="3" t="inlineStr">
        <is>
          <t>4550/003</t>
        </is>
      </c>
      <c r="E1027" s="3" t="inlineStr">
        <is>
          <t>Subscriptions &amp; Licenses - Xero</t>
        </is>
      </c>
      <c r="F1027" s="3" t="n">
        <v>600</v>
      </c>
      <c r="G1027" s="3" t="n">
        <v>1200</v>
      </c>
    </row>
    <row r="1028">
      <c r="A1028" s="3" t="inlineStr">
        <is>
          <t>Cape Projects Construction (Pty) Ltd</t>
        </is>
      </c>
      <c r="B1028" s="4" t="n">
        <v>44681</v>
      </c>
      <c r="C1028" s="3" t="inlineStr">
        <is>
          <t>Expenses</t>
        </is>
      </c>
      <c r="D1028" s="3" t="inlineStr">
        <is>
          <t>4550/004</t>
        </is>
      </c>
      <c r="E1028" s="3" t="inlineStr">
        <is>
          <t>Subscriptions - Smartsheet</t>
        </is>
      </c>
      <c r="F1028" s="3" t="n">
        <v>0</v>
      </c>
      <c r="G1028" s="3" t="n">
        <v>363</v>
      </c>
    </row>
    <row r="1029">
      <c r="A1029" s="3" t="inlineStr">
        <is>
          <t>Cape Projects Construction (Pty) Ltd</t>
        </is>
      </c>
      <c r="B1029" s="4" t="n">
        <v>44681</v>
      </c>
      <c r="C1029" s="3" t="inlineStr">
        <is>
          <t>Expenses</t>
        </is>
      </c>
      <c r="D1029" s="3" t="inlineStr">
        <is>
          <t>4550/006</t>
        </is>
      </c>
      <c r="E1029" s="3" t="inlineStr">
        <is>
          <t>Subscription - Candy software</t>
        </is>
      </c>
      <c r="F1029" s="3" t="n">
        <v>1640</v>
      </c>
      <c r="G1029" s="3" t="n">
        <v>5565</v>
      </c>
    </row>
    <row r="1030">
      <c r="A1030" s="3" t="inlineStr">
        <is>
          <t>Heron Fields (Pty) Ltd</t>
        </is>
      </c>
      <c r="B1030" s="4" t="n">
        <v>44681</v>
      </c>
      <c r="C1030" s="3" t="inlineStr">
        <is>
          <t>Expenses</t>
        </is>
      </c>
      <c r="D1030" s="3" t="inlineStr">
        <is>
          <t>4550/100</t>
        </is>
      </c>
      <c r="E1030" s="3" t="inlineStr">
        <is>
          <t>Subscriptions - Xero</t>
        </is>
      </c>
      <c r="F1030" s="3" t="n">
        <v>600</v>
      </c>
      <c r="G1030" s="3" t="n">
        <v>1200</v>
      </c>
    </row>
    <row r="1031">
      <c r="A1031" s="3" t="inlineStr">
        <is>
          <t>Heron View (Pty) Ltd</t>
        </is>
      </c>
      <c r="B1031" s="4" t="n">
        <v>44681</v>
      </c>
      <c r="C1031" s="3" t="inlineStr">
        <is>
          <t>Expenses</t>
        </is>
      </c>
      <c r="D1031" s="3" t="inlineStr">
        <is>
          <t>4550/100</t>
        </is>
      </c>
      <c r="E1031" s="3" t="inlineStr">
        <is>
          <t>Subscriptions - Xero</t>
        </is>
      </c>
      <c r="F1031" s="3" t="n">
        <v>1200</v>
      </c>
      <c r="G1031" s="3" t="n">
        <v>1200</v>
      </c>
    </row>
    <row r="1032">
      <c r="A1032" s="3" t="inlineStr">
        <is>
          <t>Cape Projects Construction (Pty) Ltd</t>
        </is>
      </c>
      <c r="B1032" s="4" t="n">
        <v>44681</v>
      </c>
      <c r="C1032" s="3" t="inlineStr">
        <is>
          <t>Expenses</t>
        </is>
      </c>
      <c r="D1032" s="3" t="inlineStr">
        <is>
          <t>4700/000</t>
        </is>
      </c>
      <c r="E1032" s="3" t="inlineStr">
        <is>
          <t>PAYE Contributions</t>
        </is>
      </c>
      <c r="F1032" s="3" t="n">
        <v>46961.19</v>
      </c>
      <c r="G1032" s="3" t="n">
        <v>92153.95</v>
      </c>
    </row>
    <row r="1033">
      <c r="A1033" s="3" t="inlineStr">
        <is>
          <t>Cape Projects Construction (Pty) Ltd</t>
        </is>
      </c>
      <c r="B1033" s="4" t="n">
        <v>44681</v>
      </c>
      <c r="C1033" s="3" t="inlineStr">
        <is>
          <t>Expenses</t>
        </is>
      </c>
      <c r="D1033" s="3" t="inlineStr">
        <is>
          <t>4720/000</t>
        </is>
      </c>
      <c r="E1033" s="3" t="inlineStr">
        <is>
          <t>SDL Contributions</t>
        </is>
      </c>
      <c r="F1033" s="3" t="n">
        <v>2714.99</v>
      </c>
      <c r="G1033" s="3" t="n">
        <v>5249.44</v>
      </c>
    </row>
    <row r="1034">
      <c r="A1034" s="3" t="inlineStr">
        <is>
          <t>Cape Projects Construction (Pty) Ltd</t>
        </is>
      </c>
      <c r="B1034" s="4" t="n">
        <v>44681</v>
      </c>
      <c r="C1034" s="3" t="inlineStr">
        <is>
          <t>Expenses</t>
        </is>
      </c>
      <c r="D1034" s="3" t="inlineStr">
        <is>
          <t>4730/000</t>
        </is>
      </c>
      <c r="E1034" s="3" t="inlineStr">
        <is>
          <t>UIF Company Contributions</t>
        </is>
      </c>
      <c r="F1034" s="3" t="n">
        <v>1621.66</v>
      </c>
      <c r="G1034" s="3" t="n">
        <v>3107.19</v>
      </c>
    </row>
    <row r="1035">
      <c r="A1035" s="3" t="inlineStr">
        <is>
          <t>Cape Projects Construction (Pty) Ltd</t>
        </is>
      </c>
      <c r="B1035" s="4" t="n">
        <v>44681</v>
      </c>
      <c r="C1035" s="3" t="inlineStr">
        <is>
          <t>Expenses</t>
        </is>
      </c>
      <c r="D1035" s="3" t="inlineStr">
        <is>
          <t>4731/000</t>
        </is>
      </c>
      <c r="E1035" s="3" t="inlineStr">
        <is>
          <t>UIF Employee Contribution</t>
        </is>
      </c>
      <c r="F1035" s="3" t="n">
        <v>1621.66</v>
      </c>
      <c r="G1035" s="3" t="n">
        <v>3107.19</v>
      </c>
    </row>
    <row r="1036">
      <c r="A1036" s="3" t="inlineStr">
        <is>
          <t>Cape Projects Construction (Pty) Ltd</t>
        </is>
      </c>
      <c r="B1036" s="4" t="n">
        <v>44681</v>
      </c>
      <c r="C1036" s="3" t="inlineStr">
        <is>
          <t>Expenses</t>
        </is>
      </c>
      <c r="D1036" s="3" t="inlineStr">
        <is>
          <t>4740/000</t>
        </is>
      </c>
      <c r="E1036" s="3" t="inlineStr">
        <is>
          <t>BIBC Company Contribution</t>
        </is>
      </c>
      <c r="F1036" s="3" t="n">
        <v>146.78</v>
      </c>
      <c r="G1036" s="3" t="n">
        <v>293.56</v>
      </c>
    </row>
    <row r="1037">
      <c r="A1037" s="3" t="inlineStr">
        <is>
          <t>Cape Projects Construction (Pty) Ltd</t>
        </is>
      </c>
      <c r="B1037" s="4" t="n">
        <v>44681</v>
      </c>
      <c r="C1037" s="3" t="inlineStr">
        <is>
          <t>Expenses</t>
        </is>
      </c>
      <c r="D1037" s="3" t="inlineStr">
        <is>
          <t>4741/000</t>
        </is>
      </c>
      <c r="E1037" s="3" t="inlineStr">
        <is>
          <t>BIBC Employee Contribution</t>
        </is>
      </c>
      <c r="F1037" s="3" t="n">
        <v>57.78</v>
      </c>
      <c r="G1037" s="3" t="n">
        <v>115.56</v>
      </c>
    </row>
    <row r="1038">
      <c r="A1038" s="3" t="inlineStr">
        <is>
          <t>Heron Fields (Pty) Ltd</t>
        </is>
      </c>
      <c r="B1038" s="4" t="n">
        <v>44681</v>
      </c>
      <c r="C1038" s="3" t="inlineStr">
        <is>
          <t>Equity</t>
        </is>
      </c>
      <c r="D1038" s="3" t="inlineStr">
        <is>
          <t>5100-000</t>
        </is>
      </c>
      <c r="E1038" s="3" t="inlineStr">
        <is>
          <t>Share Capital</t>
        </is>
      </c>
      <c r="F1038" s="3" t="n">
        <v>0</v>
      </c>
      <c r="G1038" s="3" t="n">
        <v>-100</v>
      </c>
    </row>
    <row r="1039">
      <c r="A1039" s="3" t="inlineStr">
        <is>
          <t>Cape Projects Construction (Pty) Ltd</t>
        </is>
      </c>
      <c r="B1039" s="4" t="n">
        <v>44681</v>
      </c>
      <c r="C1039" s="3" t="inlineStr">
        <is>
          <t>Equity</t>
        </is>
      </c>
      <c r="D1039" s="3" t="inlineStr">
        <is>
          <t>5100/000</t>
        </is>
      </c>
      <c r="E1039" s="3" t="inlineStr">
        <is>
          <t>Share Capital / Members Contribution</t>
        </is>
      </c>
      <c r="F1039" s="3" t="n">
        <v>0</v>
      </c>
      <c r="G1039" s="3" t="n">
        <v>-120</v>
      </c>
    </row>
    <row r="1040">
      <c r="A1040" s="3" t="inlineStr">
        <is>
          <t>Cape Projects Construction (Pty) Ltd</t>
        </is>
      </c>
      <c r="B1040" s="4" t="n">
        <v>44681</v>
      </c>
      <c r="C1040" s="3" t="inlineStr">
        <is>
          <t>Equity</t>
        </is>
      </c>
      <c r="D1040" s="3" t="inlineStr">
        <is>
          <t>5200/000</t>
        </is>
      </c>
      <c r="E1040" s="3" t="inlineStr">
        <is>
          <t>Retained Earnings / Loss</t>
        </is>
      </c>
      <c r="F1040" s="3" t="n">
        <v>0</v>
      </c>
      <c r="G1040" s="3" t="n">
        <v>247347.05</v>
      </c>
    </row>
    <row r="1041">
      <c r="A1041" s="3" t="inlineStr">
        <is>
          <t>Heron Fields (Pty) Ltd</t>
        </is>
      </c>
      <c r="B1041" s="4" t="n">
        <v>44681</v>
      </c>
      <c r="C1041" s="3" t="inlineStr">
        <is>
          <t>Equity</t>
        </is>
      </c>
      <c r="D1041" s="3" t="inlineStr">
        <is>
          <t>5200/000</t>
        </is>
      </c>
      <c r="E1041" s="3" t="inlineStr">
        <is>
          <t>Retained Earnings / Loss</t>
        </is>
      </c>
      <c r="F1041" s="3" t="n">
        <v>0</v>
      </c>
      <c r="G1041" s="3" t="n">
        <v>-17080353.05</v>
      </c>
    </row>
    <row r="1042">
      <c r="A1042" s="3" t="inlineStr">
        <is>
          <t>Heron Fields (Pty) Ltd</t>
        </is>
      </c>
      <c r="B1042" s="4" t="n">
        <v>44681</v>
      </c>
      <c r="C1042" s="3" t="inlineStr">
        <is>
          <t>Assets</t>
        </is>
      </c>
      <c r="D1042" s="3" t="inlineStr">
        <is>
          <t>5300/001</t>
        </is>
      </c>
      <c r="E1042" s="3" t="inlineStr">
        <is>
          <t>Revaluation of Land stock</t>
        </is>
      </c>
      <c r="F1042" s="3" t="n">
        <v>0</v>
      </c>
      <c r="G1042" s="3" t="n">
        <v>17562360.85</v>
      </c>
    </row>
    <row r="1043">
      <c r="A1043" s="3" t="inlineStr">
        <is>
          <t>Cape Projects Construction (Pty) Ltd</t>
        </is>
      </c>
      <c r="B1043" s="4" t="n">
        <v>44681</v>
      </c>
      <c r="C1043" s="3" t="inlineStr">
        <is>
          <t>Assets</t>
        </is>
      </c>
      <c r="D1043" s="3" t="inlineStr">
        <is>
          <t>5400/150</t>
        </is>
      </c>
      <c r="E1043" s="3" t="inlineStr">
        <is>
          <t>Loan - Quinate</t>
        </is>
      </c>
      <c r="F1043" s="3" t="n">
        <v>0</v>
      </c>
      <c r="G1043" s="3" t="n">
        <v>2850000</v>
      </c>
    </row>
    <row r="1044">
      <c r="A1044" s="3" t="inlineStr">
        <is>
          <t>Cape Projects Construction (Pty) Ltd</t>
        </is>
      </c>
      <c r="B1044" s="4" t="n">
        <v>44681</v>
      </c>
      <c r="C1044" s="3" t="inlineStr">
        <is>
          <t>Assets</t>
        </is>
      </c>
      <c r="D1044" s="3" t="inlineStr">
        <is>
          <t>5400/450</t>
        </is>
      </c>
      <c r="E1044" s="3" t="inlineStr">
        <is>
          <t>Loan - Opportunity Investment</t>
        </is>
      </c>
      <c r="F1044" s="3" t="n">
        <v>-178000</v>
      </c>
      <c r="G1044" s="3" t="n">
        <v>-208000</v>
      </c>
    </row>
    <row r="1045">
      <c r="A1045" s="3" t="inlineStr">
        <is>
          <t>Cape Projects Construction (Pty) Ltd</t>
        </is>
      </c>
      <c r="B1045" s="4" t="n">
        <v>44681</v>
      </c>
      <c r="C1045" s="3" t="inlineStr">
        <is>
          <t>Assets</t>
        </is>
      </c>
      <c r="D1045" s="3" t="inlineStr">
        <is>
          <t>5400/550</t>
        </is>
      </c>
      <c r="E1045" s="3" t="inlineStr">
        <is>
          <t>Loan - Trademark</t>
        </is>
      </c>
      <c r="F1045" s="3" t="n">
        <v>29400</v>
      </c>
      <c r="G1045" s="3" t="n">
        <v>600</v>
      </c>
    </row>
    <row r="1046">
      <c r="A1046" s="3" t="inlineStr">
        <is>
          <t>Cape Projects Construction (Pty) Ltd</t>
        </is>
      </c>
      <c r="B1046" s="4" t="n">
        <v>44681</v>
      </c>
      <c r="C1046" s="3" t="inlineStr">
        <is>
          <t>Assets</t>
        </is>
      </c>
      <c r="D1046" s="3" t="inlineStr">
        <is>
          <t>5400/600</t>
        </is>
      </c>
      <c r="E1046" s="3" t="inlineStr">
        <is>
          <t>Loan - Heron Projects</t>
        </is>
      </c>
      <c r="F1046" s="3" t="n">
        <v>-625000</v>
      </c>
      <c r="G1046" s="3" t="n">
        <v>-3981000</v>
      </c>
    </row>
    <row r="1047">
      <c r="A1047" s="3" t="inlineStr">
        <is>
          <t>Cape Projects Construction (Pty) Ltd</t>
        </is>
      </c>
      <c r="B1047" s="4" t="n">
        <v>44681</v>
      </c>
      <c r="C1047" s="3" t="inlineStr">
        <is>
          <t>Assets</t>
        </is>
      </c>
      <c r="D1047" s="3" t="inlineStr">
        <is>
          <t>5400/650</t>
        </is>
      </c>
      <c r="E1047" s="3" t="inlineStr">
        <is>
          <t>Loan - Noble Shield</t>
        </is>
      </c>
      <c r="F1047" s="3" t="n">
        <v>-600</v>
      </c>
      <c r="G1047" s="3" t="n">
        <v>600</v>
      </c>
    </row>
    <row r="1048">
      <c r="A1048" s="3" t="inlineStr">
        <is>
          <t>Cape Projects Construction (Pty) Ltd</t>
        </is>
      </c>
      <c r="B1048" s="4" t="n">
        <v>44681</v>
      </c>
      <c r="C1048" s="3" t="inlineStr">
        <is>
          <t>Assets</t>
        </is>
      </c>
      <c r="D1048" s="3" t="inlineStr">
        <is>
          <t>5400/800</t>
        </is>
      </c>
      <c r="E1048" s="3" t="inlineStr">
        <is>
          <t>Loan - Opportunity Management Holdings</t>
        </is>
      </c>
      <c r="F1048" s="3" t="n">
        <v>-30000</v>
      </c>
      <c r="G1048" s="3" t="n">
        <v>-55233.05</v>
      </c>
    </row>
    <row r="1049">
      <c r="A1049" s="3" t="inlineStr">
        <is>
          <t>Heron View (Pty) Ltd</t>
        </is>
      </c>
      <c r="B1049" s="4" t="n">
        <v>44681</v>
      </c>
      <c r="C1049" s="3" t="inlineStr">
        <is>
          <t>Liabilities</t>
        </is>
      </c>
      <c r="D1049" s="3" t="inlineStr">
        <is>
          <t>5500/001</t>
        </is>
      </c>
      <c r="E1049" s="3" t="inlineStr">
        <is>
          <t>Loan - Heron Fields</t>
        </is>
      </c>
      <c r="F1049" s="3" t="n">
        <v>-1380</v>
      </c>
      <c r="G1049" s="3" t="n">
        <v>-5520</v>
      </c>
    </row>
    <row r="1050">
      <c r="A1050" s="3" t="inlineStr">
        <is>
          <t>Heron Fields (Pty) Ltd</t>
        </is>
      </c>
      <c r="B1050" s="4" t="n">
        <v>44681</v>
      </c>
      <c r="C1050" s="3" t="inlineStr">
        <is>
          <t>Liabilities</t>
        </is>
      </c>
      <c r="D1050" s="3" t="inlineStr">
        <is>
          <t>5500/020</t>
        </is>
      </c>
      <c r="E1050" s="3" t="inlineStr">
        <is>
          <t>Loan - Cape Projects Construction</t>
        </is>
      </c>
      <c r="F1050" s="3" t="n">
        <v>625000</v>
      </c>
      <c r="G1050" s="3" t="n">
        <v>3981000</v>
      </c>
    </row>
    <row r="1051">
      <c r="A1051" s="3" t="inlineStr">
        <is>
          <t>Heron Fields (Pty) Ltd</t>
        </is>
      </c>
      <c r="B1051" s="4" t="n">
        <v>44681</v>
      </c>
      <c r="C1051" s="3" t="inlineStr">
        <is>
          <t>Liabilities</t>
        </is>
      </c>
      <c r="D1051" s="3" t="inlineStr">
        <is>
          <t>5500/050</t>
        </is>
      </c>
      <c r="E1051" s="3" t="inlineStr">
        <is>
          <t>Loan - Heron View</t>
        </is>
      </c>
      <c r="F1051" s="3" t="n">
        <v>1380</v>
      </c>
      <c r="G1051" s="3" t="n">
        <v>5520</v>
      </c>
    </row>
    <row r="1052">
      <c r="A1052" s="3" t="inlineStr">
        <is>
          <t>Cape Projects Construction (Pty) Ltd</t>
        </is>
      </c>
      <c r="B1052" s="4" t="n">
        <v>44681</v>
      </c>
      <c r="C1052" s="3" t="inlineStr">
        <is>
          <t>Liabilities</t>
        </is>
      </c>
      <c r="D1052" s="3" t="inlineStr">
        <is>
          <t>5600/100</t>
        </is>
      </c>
      <c r="E1052" s="3" t="inlineStr">
        <is>
          <t>Motor Vehical Car Repaymts - Toyota</t>
        </is>
      </c>
      <c r="F1052" s="3" t="n">
        <v>10396.47</v>
      </c>
      <c r="G1052" s="3" t="n">
        <v>15591.67</v>
      </c>
    </row>
    <row r="1053">
      <c r="A1053" s="3" t="inlineStr">
        <is>
          <t>Cape Projects Construction (Pty) Ltd</t>
        </is>
      </c>
      <c r="B1053" s="4" t="n">
        <v>44681</v>
      </c>
      <c r="C1053" s="3" t="inlineStr">
        <is>
          <t>Liabilities</t>
        </is>
      </c>
      <c r="D1053" s="3" t="inlineStr">
        <is>
          <t>5600/200</t>
        </is>
      </c>
      <c r="E1053" s="3" t="inlineStr">
        <is>
          <t>Motor Vehicle Car Repayments - Toyota Shortterm</t>
        </is>
      </c>
      <c r="F1053" s="3" t="n">
        <v>0</v>
      </c>
      <c r="G1053" s="3" t="n">
        <v>-58920.1</v>
      </c>
    </row>
    <row r="1054">
      <c r="A1054" s="3" t="inlineStr">
        <is>
          <t>Cape Projects Construction (Pty) Ltd</t>
        </is>
      </c>
      <c r="B1054" s="4" t="n">
        <v>44681</v>
      </c>
      <c r="C1054" s="3" t="inlineStr">
        <is>
          <t>Assets</t>
        </is>
      </c>
      <c r="D1054" s="3" t="inlineStr">
        <is>
          <t>6200/010</t>
        </is>
      </c>
      <c r="E1054" s="3" t="inlineStr">
        <is>
          <t>Motor Vehicles - @ Cost</t>
        </is>
      </c>
      <c r="F1054" s="3" t="n">
        <v>0</v>
      </c>
      <c r="G1054" s="3" t="n">
        <v>216064.1</v>
      </c>
    </row>
    <row r="1055">
      <c r="A1055" s="3" t="inlineStr">
        <is>
          <t>Cape Projects Construction (Pty) Ltd</t>
        </is>
      </c>
      <c r="B1055" s="4" t="n">
        <v>44681</v>
      </c>
      <c r="C1055" s="3" t="inlineStr">
        <is>
          <t>Assets</t>
        </is>
      </c>
      <c r="D1055" s="3" t="inlineStr">
        <is>
          <t>6200/020</t>
        </is>
      </c>
      <c r="E1055" s="3" t="inlineStr">
        <is>
          <t>Motor Vehicles - Accum Depre</t>
        </is>
      </c>
      <c r="F1055" s="3" t="n">
        <v>0</v>
      </c>
      <c r="G1055" s="3" t="n">
        <v>-176453</v>
      </c>
    </row>
    <row r="1056">
      <c r="A1056" s="3" t="inlineStr">
        <is>
          <t>Cape Projects Construction (Pty) Ltd</t>
        </is>
      </c>
      <c r="B1056" s="4" t="n">
        <v>44681</v>
      </c>
      <c r="C1056" s="3" t="inlineStr">
        <is>
          <t>Assets</t>
        </is>
      </c>
      <c r="D1056" s="3" t="inlineStr">
        <is>
          <t>6250/010</t>
        </is>
      </c>
      <c r="E1056" s="3" t="inlineStr">
        <is>
          <t>Computer Equipment - @ Cost</t>
        </is>
      </c>
      <c r="F1056" s="3" t="n">
        <v>7389.56</v>
      </c>
      <c r="G1056" s="3" t="n">
        <v>69563.91</v>
      </c>
    </row>
    <row r="1057">
      <c r="A1057" s="3" t="inlineStr">
        <is>
          <t>Cape Projects Construction (Pty) Ltd</t>
        </is>
      </c>
      <c r="B1057" s="4" t="n">
        <v>44681</v>
      </c>
      <c r="C1057" s="3" t="inlineStr">
        <is>
          <t>Assets</t>
        </is>
      </c>
      <c r="D1057" s="3" t="inlineStr">
        <is>
          <t>6250/020</t>
        </is>
      </c>
      <c r="E1057" s="3" t="inlineStr">
        <is>
          <t>Computer Equipment - Accum Depre</t>
        </is>
      </c>
      <c r="F1057" s="3" t="n">
        <v>-1539.82</v>
      </c>
      <c r="G1057" s="3" t="n">
        <v>-22015.48</v>
      </c>
    </row>
    <row r="1058">
      <c r="A1058" s="3" t="inlineStr">
        <is>
          <t>Cape Projects Construction (Pty) Ltd</t>
        </is>
      </c>
      <c r="B1058" s="4" t="n">
        <v>44681</v>
      </c>
      <c r="C1058" s="3" t="inlineStr">
        <is>
          <t>Assets</t>
        </is>
      </c>
      <c r="D1058" s="3" t="inlineStr">
        <is>
          <t>6350/010</t>
        </is>
      </c>
      <c r="E1058" s="3" t="inlineStr">
        <is>
          <t>Furniture _AND_ Fittings - @ Cost</t>
        </is>
      </c>
      <c r="F1058" s="3" t="n">
        <v>0</v>
      </c>
      <c r="G1058" s="3" t="n">
        <v>29281.39</v>
      </c>
    </row>
    <row r="1059">
      <c r="A1059" s="3" t="inlineStr">
        <is>
          <t>Cape Projects Construction (Pty) Ltd</t>
        </is>
      </c>
      <c r="B1059" s="4" t="n">
        <v>44681</v>
      </c>
      <c r="C1059" s="3" t="inlineStr">
        <is>
          <t>Assets</t>
        </is>
      </c>
      <c r="D1059" s="3" t="inlineStr">
        <is>
          <t>6350/020</t>
        </is>
      </c>
      <c r="E1059" s="3" t="inlineStr">
        <is>
          <t>Furniture _AND_ Fittings - Accum Depre</t>
        </is>
      </c>
      <c r="F1059" s="3" t="n">
        <v>-427.2</v>
      </c>
      <c r="G1059" s="3" t="n">
        <v>-1261.1</v>
      </c>
    </row>
    <row r="1060">
      <c r="A1060" s="3" t="inlineStr">
        <is>
          <t>Cape Projects Construction (Pty) Ltd</t>
        </is>
      </c>
      <c r="B1060" s="4" t="n">
        <v>44681</v>
      </c>
      <c r="C1060" s="3" t="inlineStr">
        <is>
          <t>Assets</t>
        </is>
      </c>
      <c r="D1060" s="3" t="inlineStr">
        <is>
          <t>6600/010</t>
        </is>
      </c>
      <c r="E1060" s="3" t="inlineStr">
        <is>
          <t>Generator Fixed Asset - @ Cost</t>
        </is>
      </c>
      <c r="F1060" s="3" t="n">
        <v>0</v>
      </c>
      <c r="G1060" s="3" t="n">
        <v>11600</v>
      </c>
    </row>
    <row r="1061">
      <c r="A1061" s="3" t="inlineStr">
        <is>
          <t>Cape Projects Construction (Pty) Ltd</t>
        </is>
      </c>
      <c r="B1061" s="4" t="n">
        <v>44681</v>
      </c>
      <c r="C1061" s="3" t="inlineStr">
        <is>
          <t>Assets</t>
        </is>
      </c>
      <c r="D1061" s="3" t="inlineStr">
        <is>
          <t>6600/020</t>
        </is>
      </c>
      <c r="E1061" s="3" t="inlineStr">
        <is>
          <t>Generator Fixed Asset - Accum Depre</t>
        </is>
      </c>
      <c r="F1061" s="3" t="n">
        <v>-193.34</v>
      </c>
      <c r="G1061" s="3" t="n">
        <v>-1192.23</v>
      </c>
    </row>
    <row r="1062">
      <c r="A1062" s="3" t="inlineStr">
        <is>
          <t>Heron Fields (Pty) Ltd</t>
        </is>
      </c>
      <c r="B1062" s="4" t="n">
        <v>44681</v>
      </c>
      <c r="C1062" s="3" t="inlineStr">
        <is>
          <t>Assets</t>
        </is>
      </c>
      <c r="D1062" s="3" t="inlineStr">
        <is>
          <t>7610/395</t>
        </is>
      </c>
      <c r="E1062" s="3" t="inlineStr">
        <is>
          <t>HF CIP NHBRC</t>
        </is>
      </c>
      <c r="F1062" s="3" t="n">
        <v>612664.25</v>
      </c>
      <c r="G1062" s="3" t="n">
        <v>874505.75</v>
      </c>
    </row>
    <row r="1063">
      <c r="A1063" s="3" t="inlineStr">
        <is>
          <t>Heron Fields (Pty) Ltd</t>
        </is>
      </c>
      <c r="B1063" s="4" t="n">
        <v>44681</v>
      </c>
      <c r="C1063" s="3" t="inlineStr">
        <is>
          <t>Assets</t>
        </is>
      </c>
      <c r="D1063" s="3" t="inlineStr">
        <is>
          <t>7620/100</t>
        </is>
      </c>
      <c r="E1063" s="3" t="inlineStr">
        <is>
          <t>Heron View Land</t>
        </is>
      </c>
      <c r="F1063" s="3" t="n">
        <v>0</v>
      </c>
      <c r="G1063" s="3" t="n">
        <v>26200000</v>
      </c>
    </row>
    <row r="1064">
      <c r="A1064" s="3" t="inlineStr">
        <is>
          <t>Heron Fields (Pty) Ltd</t>
        </is>
      </c>
      <c r="B1064" s="4" t="n">
        <v>44681</v>
      </c>
      <c r="C1064" s="3" t="inlineStr">
        <is>
          <t>Assets</t>
        </is>
      </c>
      <c r="D1064" s="3" t="inlineStr">
        <is>
          <t>7620/101</t>
        </is>
      </c>
      <c r="E1064" s="3" t="inlineStr">
        <is>
          <t>HF CIP Bond Registration Fee</t>
        </is>
      </c>
      <c r="F1064" s="3" t="n">
        <v>0</v>
      </c>
      <c r="G1064" s="3" t="n">
        <v>68427</v>
      </c>
    </row>
    <row r="1065">
      <c r="A1065" s="3" t="inlineStr">
        <is>
          <t>Heron Fields (Pty) Ltd</t>
        </is>
      </c>
      <c r="B1065" s="4" t="n">
        <v>44681</v>
      </c>
      <c r="C1065" s="3" t="inlineStr">
        <is>
          <t>Assets</t>
        </is>
      </c>
      <c r="D1065" s="3" t="inlineStr">
        <is>
          <t>7620/102</t>
        </is>
      </c>
      <c r="E1065" s="3" t="inlineStr">
        <is>
          <t>HF CIP Transfer Fee</t>
        </is>
      </c>
      <c r="F1065" s="3" t="n">
        <v>0</v>
      </c>
      <c r="G1065" s="3" t="n">
        <v>103812</v>
      </c>
    </row>
    <row r="1066">
      <c r="A1066" s="3" t="inlineStr">
        <is>
          <t>Heron Fields (Pty) Ltd</t>
        </is>
      </c>
      <c r="B1066" s="4" t="n">
        <v>44681</v>
      </c>
      <c r="C1066" s="3" t="inlineStr">
        <is>
          <t>Assets</t>
        </is>
      </c>
      <c r="D1066" s="3" t="inlineStr">
        <is>
          <t>7620/220</t>
        </is>
      </c>
      <c r="E1066" s="3" t="inlineStr">
        <is>
          <t>HF CIP Architectural Designs</t>
        </is>
      </c>
      <c r="F1066" s="3" t="n">
        <v>3800</v>
      </c>
      <c r="G1066" s="3" t="n">
        <v>150780</v>
      </c>
    </row>
    <row r="1067">
      <c r="A1067" s="3" t="inlineStr">
        <is>
          <t>Heron Fields (Pty) Ltd</t>
        </is>
      </c>
      <c r="B1067" s="4" t="n">
        <v>44681</v>
      </c>
      <c r="C1067" s="3" t="inlineStr">
        <is>
          <t>Assets</t>
        </is>
      </c>
      <c r="D1067" s="3" t="inlineStr">
        <is>
          <t>7620/230</t>
        </is>
      </c>
      <c r="E1067" s="3" t="inlineStr">
        <is>
          <t>HF CIP Construction Management</t>
        </is>
      </c>
      <c r="F1067" s="3" t="n">
        <v>11000</v>
      </c>
      <c r="G1067" s="3" t="n">
        <v>27000</v>
      </c>
    </row>
    <row r="1068">
      <c r="A1068" s="3" t="inlineStr">
        <is>
          <t>Heron Fields (Pty) Ltd</t>
        </is>
      </c>
      <c r="B1068" s="4" t="n">
        <v>44681</v>
      </c>
      <c r="C1068" s="3" t="inlineStr">
        <is>
          <t>Assets</t>
        </is>
      </c>
      <c r="D1068" s="3" t="inlineStr">
        <is>
          <t>7620/240</t>
        </is>
      </c>
      <c r="E1068" s="3" t="inlineStr">
        <is>
          <t>HF CIP Civil Engineering</t>
        </is>
      </c>
      <c r="F1068" s="3" t="n">
        <v>135158.78</v>
      </c>
      <c r="G1068" s="3" t="n">
        <v>5490508.28</v>
      </c>
    </row>
    <row r="1069">
      <c r="A1069" s="3" t="inlineStr">
        <is>
          <t>Heron Fields (Pty) Ltd</t>
        </is>
      </c>
      <c r="B1069" s="4" t="n">
        <v>44681</v>
      </c>
      <c r="C1069" s="3" t="inlineStr">
        <is>
          <t>Assets</t>
        </is>
      </c>
      <c r="D1069" s="3" t="inlineStr">
        <is>
          <t>7620/245</t>
        </is>
      </c>
      <c r="E1069" s="3" t="inlineStr">
        <is>
          <t>HF CIP Development fee</t>
        </is>
      </c>
      <c r="F1069" s="3" t="n">
        <v>0</v>
      </c>
      <c r="G1069" s="3" t="n">
        <v>13807.78</v>
      </c>
    </row>
    <row r="1070">
      <c r="A1070" s="3" t="inlineStr">
        <is>
          <t>Heron Fields (Pty) Ltd</t>
        </is>
      </c>
      <c r="B1070" s="4" t="n">
        <v>44681</v>
      </c>
      <c r="C1070" s="3" t="inlineStr">
        <is>
          <t>Assets</t>
        </is>
      </c>
      <c r="D1070" s="3" t="inlineStr">
        <is>
          <t>7620/250</t>
        </is>
      </c>
      <c r="E1070" s="3" t="inlineStr">
        <is>
          <t>HF CIP Land Surveyor</t>
        </is>
      </c>
      <c r="F1070" s="3" t="n">
        <v>37676.09</v>
      </c>
      <c r="G1070" s="3" t="n">
        <v>44026.09</v>
      </c>
    </row>
    <row r="1071">
      <c r="A1071" s="3" t="inlineStr">
        <is>
          <t>Heron Fields (Pty) Ltd</t>
        </is>
      </c>
      <c r="B1071" s="4" t="n">
        <v>44681</v>
      </c>
      <c r="C1071" s="3" t="inlineStr">
        <is>
          <t>Assets</t>
        </is>
      </c>
      <c r="D1071" s="3" t="inlineStr">
        <is>
          <t>7620/255</t>
        </is>
      </c>
      <c r="E1071" s="3" t="inlineStr">
        <is>
          <t>HF CIP Landscaping</t>
        </is>
      </c>
      <c r="F1071" s="3" t="n">
        <v>0</v>
      </c>
      <c r="G1071" s="3" t="n">
        <v>7500</v>
      </c>
    </row>
    <row r="1072">
      <c r="A1072" s="3" t="inlineStr">
        <is>
          <t>Heron Fields (Pty) Ltd</t>
        </is>
      </c>
      <c r="B1072" s="4" t="n">
        <v>44681</v>
      </c>
      <c r="C1072" s="3" t="inlineStr">
        <is>
          <t>Assets</t>
        </is>
      </c>
      <c r="D1072" s="3" t="inlineStr">
        <is>
          <t>7620/260</t>
        </is>
      </c>
      <c r="E1072" s="3" t="inlineStr">
        <is>
          <t>HF CIP Mechanical Engineers</t>
        </is>
      </c>
      <c r="F1072" s="3" t="n">
        <v>0</v>
      </c>
      <c r="G1072" s="3" t="n">
        <v>67400</v>
      </c>
    </row>
    <row r="1073">
      <c r="A1073" s="3" t="inlineStr">
        <is>
          <t>Heron Fields (Pty) Ltd</t>
        </is>
      </c>
      <c r="B1073" s="4" t="n">
        <v>44681</v>
      </c>
      <c r="C1073" s="3" t="inlineStr">
        <is>
          <t>Assets</t>
        </is>
      </c>
      <c r="D1073" s="3" t="inlineStr">
        <is>
          <t>7620/265</t>
        </is>
      </c>
      <c r="E1073" s="3" t="inlineStr">
        <is>
          <t>HF CIP Health &amp; Safety</t>
        </is>
      </c>
      <c r="F1073" s="3" t="n">
        <v>1400</v>
      </c>
      <c r="G1073" s="3" t="n">
        <v>9400</v>
      </c>
    </row>
    <row r="1074">
      <c r="A1074" s="3" t="inlineStr">
        <is>
          <t>Heron Fields (Pty) Ltd</t>
        </is>
      </c>
      <c r="B1074" s="4" t="n">
        <v>44681</v>
      </c>
      <c r="C1074" s="3" t="inlineStr">
        <is>
          <t>Assets</t>
        </is>
      </c>
      <c r="D1074" s="3" t="inlineStr">
        <is>
          <t>7620/270</t>
        </is>
      </c>
      <c r="E1074" s="3" t="inlineStr">
        <is>
          <t>HF CIP Geotechnical</t>
        </is>
      </c>
      <c r="F1074" s="3" t="n">
        <v>0</v>
      </c>
      <c r="G1074" s="3" t="n">
        <v>15175</v>
      </c>
    </row>
    <row r="1075">
      <c r="A1075" s="3" t="inlineStr">
        <is>
          <t>Heron Fields (Pty) Ltd</t>
        </is>
      </c>
      <c r="B1075" s="4" t="n">
        <v>44681</v>
      </c>
      <c r="C1075" s="3" t="inlineStr">
        <is>
          <t>Assets</t>
        </is>
      </c>
      <c r="D1075" s="3" t="inlineStr">
        <is>
          <t>7620/275</t>
        </is>
      </c>
      <c r="E1075" s="3" t="inlineStr">
        <is>
          <t>HF CIP Retaining Wall</t>
        </is>
      </c>
      <c r="F1075" s="3" t="n">
        <v>124395.7</v>
      </c>
      <c r="G1075" s="3" t="n">
        <v>570856.08</v>
      </c>
    </row>
    <row r="1076">
      <c r="A1076" s="3" t="inlineStr">
        <is>
          <t>Heron Fields (Pty) Ltd</t>
        </is>
      </c>
      <c r="B1076" s="4" t="n">
        <v>44681</v>
      </c>
      <c r="C1076" s="3" t="inlineStr">
        <is>
          <t>Assets</t>
        </is>
      </c>
      <c r="D1076" s="3" t="inlineStr">
        <is>
          <t>7620/280</t>
        </is>
      </c>
      <c r="E1076" s="3" t="inlineStr">
        <is>
          <t>HF CIP Site Establishment</t>
        </is>
      </c>
      <c r="F1076" s="3" t="n">
        <v>2316900.66</v>
      </c>
      <c r="G1076" s="3" t="n">
        <v>3671623.49</v>
      </c>
    </row>
    <row r="1077">
      <c r="A1077" s="3" t="inlineStr">
        <is>
          <t>Heron Fields (Pty) Ltd</t>
        </is>
      </c>
      <c r="B1077" s="4" t="n">
        <v>44681</v>
      </c>
      <c r="C1077" s="3" t="inlineStr">
        <is>
          <t>Assets</t>
        </is>
      </c>
      <c r="D1077" s="3" t="inlineStr">
        <is>
          <t>7620/285</t>
        </is>
      </c>
      <c r="E1077" s="3" t="inlineStr">
        <is>
          <t>HF CIP Structuring Fee - Invest</t>
        </is>
      </c>
      <c r="F1077" s="3" t="n">
        <v>0</v>
      </c>
      <c r="G1077" s="3" t="n">
        <v>2376904.99</v>
      </c>
    </row>
    <row r="1078">
      <c r="A1078" s="3" t="inlineStr">
        <is>
          <t>Heron Fields (Pty) Ltd</t>
        </is>
      </c>
      <c r="B1078" s="4" t="n">
        <v>44681</v>
      </c>
      <c r="C1078" s="3" t="inlineStr">
        <is>
          <t>Assets</t>
        </is>
      </c>
      <c r="D1078" s="3" t="inlineStr">
        <is>
          <t>7620/287</t>
        </is>
      </c>
      <c r="E1078" s="3" t="inlineStr">
        <is>
          <t>HF CIP Structuring Fee - Development</t>
        </is>
      </c>
      <c r="F1078" s="3" t="n">
        <v>0</v>
      </c>
      <c r="G1078" s="3" t="n">
        <v>782608.0699999999</v>
      </c>
    </row>
    <row r="1079">
      <c r="A1079" s="3" t="inlineStr">
        <is>
          <t>Heron Fields (Pty) Ltd</t>
        </is>
      </c>
      <c r="B1079" s="4" t="n">
        <v>44681</v>
      </c>
      <c r="C1079" s="3" t="inlineStr">
        <is>
          <t>Assets</t>
        </is>
      </c>
      <c r="D1079" s="3" t="inlineStr">
        <is>
          <t>7620/290</t>
        </is>
      </c>
      <c r="E1079" s="3" t="inlineStr">
        <is>
          <t>HF CIP Town Planning</t>
        </is>
      </c>
      <c r="F1079" s="3" t="n">
        <v>0</v>
      </c>
      <c r="G1079" s="3" t="n">
        <v>129550</v>
      </c>
    </row>
    <row r="1080">
      <c r="A1080" s="3" t="inlineStr">
        <is>
          <t>Heron Fields (Pty) Ltd</t>
        </is>
      </c>
      <c r="B1080" s="4" t="n">
        <v>44681</v>
      </c>
      <c r="C1080" s="3" t="inlineStr">
        <is>
          <t>Assets</t>
        </is>
      </c>
      <c r="D1080" s="3" t="inlineStr">
        <is>
          <t>7620/295</t>
        </is>
      </c>
      <c r="E1080" s="3" t="inlineStr">
        <is>
          <t>HF CIP Traffic Planning</t>
        </is>
      </c>
      <c r="F1080" s="3" t="n">
        <v>0</v>
      </c>
      <c r="G1080" s="3" t="n">
        <v>45000</v>
      </c>
    </row>
    <row r="1081">
      <c r="A1081" s="3" t="inlineStr">
        <is>
          <t>Heron Fields (Pty) Ltd</t>
        </is>
      </c>
      <c r="B1081" s="4" t="n">
        <v>44681</v>
      </c>
      <c r="C1081" s="3" t="inlineStr">
        <is>
          <t>Assets</t>
        </is>
      </c>
      <c r="D1081" s="3" t="inlineStr">
        <is>
          <t>7620/600</t>
        </is>
      </c>
      <c r="E1081" s="3" t="inlineStr">
        <is>
          <t>HF CIP Eco work</t>
        </is>
      </c>
      <c r="F1081" s="3" t="n">
        <v>11000</v>
      </c>
      <c r="G1081" s="3" t="n">
        <v>71000</v>
      </c>
    </row>
    <row r="1082">
      <c r="A1082" s="3" t="inlineStr">
        <is>
          <t>Heron Fields (Pty) Ltd</t>
        </is>
      </c>
      <c r="B1082" s="4" t="n">
        <v>44681</v>
      </c>
      <c r="C1082" s="3" t="inlineStr">
        <is>
          <t>Assets</t>
        </is>
      </c>
      <c r="D1082" s="3" t="inlineStr">
        <is>
          <t>7620/630</t>
        </is>
      </c>
      <c r="E1082" s="3" t="inlineStr">
        <is>
          <t>HF CIP CoCT development contribution</t>
        </is>
      </c>
      <c r="F1082" s="3" t="n">
        <v>9600</v>
      </c>
      <c r="G1082" s="3" t="n">
        <v>749972.41</v>
      </c>
    </row>
    <row r="1083">
      <c r="A1083" s="3" t="inlineStr">
        <is>
          <t>Heron Fields (Pty) Ltd</t>
        </is>
      </c>
      <c r="B1083" s="4" t="n">
        <v>44681</v>
      </c>
      <c r="C1083" s="3" t="inlineStr">
        <is>
          <t>Assets</t>
        </is>
      </c>
      <c r="D1083" s="3" t="inlineStr">
        <is>
          <t>7620/640</t>
        </is>
      </c>
      <c r="E1083" s="3" t="inlineStr">
        <is>
          <t>HF CIP Project costs</t>
        </is>
      </c>
      <c r="F1083" s="3" t="n">
        <v>0</v>
      </c>
      <c r="G1083" s="3" t="n">
        <v>622274.51</v>
      </c>
    </row>
    <row r="1084">
      <c r="A1084" s="3" t="inlineStr">
        <is>
          <t>Cape Projects Construction (Pty) Ltd</t>
        </is>
      </c>
      <c r="B1084" s="4" t="n">
        <v>44681</v>
      </c>
      <c r="C1084" s="3" t="inlineStr">
        <is>
          <t>Assets</t>
        </is>
      </c>
      <c r="D1084" s="3" t="inlineStr">
        <is>
          <t>7800/000</t>
        </is>
      </c>
      <c r="E1084" s="3" t="inlineStr">
        <is>
          <t>Deposits paid</t>
        </is>
      </c>
      <c r="F1084" s="3" t="n">
        <v>0</v>
      </c>
      <c r="G1084" s="3" t="n">
        <v>6875.45</v>
      </c>
    </row>
    <row r="1085">
      <c r="A1085" s="3" t="inlineStr">
        <is>
          <t>Cape Projects Construction (Pty) Ltd</t>
        </is>
      </c>
      <c r="B1085" s="4" t="n">
        <v>44681</v>
      </c>
      <c r="C1085" s="3" t="inlineStr">
        <is>
          <t>Assets</t>
        </is>
      </c>
      <c r="D1085" s="3" t="inlineStr">
        <is>
          <t>8000/000</t>
        </is>
      </c>
      <c r="E1085" s="3" t="inlineStr">
        <is>
          <t>Customer Control Account</t>
        </is>
      </c>
      <c r="F1085" s="3" t="n">
        <v>1105559.85</v>
      </c>
      <c r="G1085" s="3" t="n">
        <v>5669676.76</v>
      </c>
    </row>
    <row r="1086">
      <c r="A1086" s="3" t="inlineStr">
        <is>
          <t>Cape Projects Construction (Pty) Ltd</t>
        </is>
      </c>
      <c r="B1086" s="4" t="n">
        <v>44681</v>
      </c>
      <c r="C1086" s="3" t="inlineStr">
        <is>
          <t>Assets</t>
        </is>
      </c>
      <c r="D1086" s="3" t="inlineStr">
        <is>
          <t>8200/010</t>
        </is>
      </c>
      <c r="E1086" s="3" t="inlineStr">
        <is>
          <t>Prepayments / Prepaid Expenses</t>
        </is>
      </c>
      <c r="F1086" s="3" t="n">
        <v>-6946.25</v>
      </c>
      <c r="G1086" s="3" t="n">
        <v>38515.1</v>
      </c>
    </row>
    <row r="1087">
      <c r="A1087" s="3" t="inlineStr">
        <is>
          <t>Heron Fields (Pty) Ltd</t>
        </is>
      </c>
      <c r="B1087" s="4" t="n">
        <v>44681</v>
      </c>
      <c r="C1087" s="3" t="inlineStr">
        <is>
          <t>Assets</t>
        </is>
      </c>
      <c r="D1087" s="3" t="inlineStr">
        <is>
          <t>8200/200</t>
        </is>
      </c>
      <c r="E1087" s="3" t="inlineStr">
        <is>
          <t>Sundry Debtor - Quinate</t>
        </is>
      </c>
      <c r="F1087" s="3" t="n">
        <v>0</v>
      </c>
      <c r="G1087" s="3" t="n">
        <v>300000</v>
      </c>
    </row>
    <row r="1088">
      <c r="A1088" s="3" t="inlineStr">
        <is>
          <t>Heron Fields (Pty) Ltd</t>
        </is>
      </c>
      <c r="B1088" s="4" t="n">
        <v>44681</v>
      </c>
      <c r="C1088" s="3" t="inlineStr">
        <is>
          <t>Assets</t>
        </is>
      </c>
      <c r="D1088" s="3" t="inlineStr">
        <is>
          <t>8400/000</t>
        </is>
      </c>
      <c r="E1088" s="3" t="inlineStr">
        <is>
          <t>RMB - 62882379087</t>
        </is>
      </c>
      <c r="F1088" s="3" t="n">
        <v>-712650.9</v>
      </c>
      <c r="G1088" s="3" t="n">
        <v>16069.08</v>
      </c>
    </row>
    <row r="1089">
      <c r="A1089" s="3" t="inlineStr">
        <is>
          <t>Cape Projects Construction (Pty) Ltd</t>
        </is>
      </c>
      <c r="B1089" s="4" t="n">
        <v>44681</v>
      </c>
      <c r="C1089" s="3" t="inlineStr">
        <is>
          <t>Assets</t>
        </is>
      </c>
      <c r="D1089" s="3" t="inlineStr">
        <is>
          <t>8400/000</t>
        </is>
      </c>
      <c r="E1089" s="3" t="inlineStr">
        <is>
          <t>RMB 62275138470</t>
        </is>
      </c>
      <c r="F1089" s="3" t="n">
        <v>137387.03</v>
      </c>
      <c r="G1089" s="3" t="n">
        <v>183315.45</v>
      </c>
    </row>
    <row r="1090">
      <c r="A1090" s="3" t="inlineStr">
        <is>
          <t>Cape Projects Construction (Pty) Ltd</t>
        </is>
      </c>
      <c r="B1090" s="4" t="n">
        <v>44681</v>
      </c>
      <c r="C1090" s="3" t="inlineStr">
        <is>
          <t>Assets</t>
        </is>
      </c>
      <c r="D1090" s="3" t="inlineStr">
        <is>
          <t>8420/000</t>
        </is>
      </c>
      <c r="E1090" s="3" t="inlineStr">
        <is>
          <t>Momentum Priv Acc RU502230981</t>
        </is>
      </c>
      <c r="F1090" s="3" t="n">
        <v>0</v>
      </c>
      <c r="G1090" s="3" t="n">
        <v>511.66</v>
      </c>
    </row>
    <row r="1091">
      <c r="A1091" s="3" t="inlineStr">
        <is>
          <t>Heron Fields (Pty) Ltd</t>
        </is>
      </c>
      <c r="B1091" s="4" t="n">
        <v>44681</v>
      </c>
      <c r="C1091" s="3" t="inlineStr">
        <is>
          <t>Assets</t>
        </is>
      </c>
      <c r="D1091" s="3" t="inlineStr">
        <is>
          <t>8430/000</t>
        </is>
      </c>
      <c r="E1091" s="3" t="inlineStr">
        <is>
          <t>Momentum Private Account RU502230151</t>
        </is>
      </c>
      <c r="F1091" s="3" t="n">
        <v>2.33</v>
      </c>
      <c r="G1091" s="3" t="n">
        <v>790.4</v>
      </c>
    </row>
    <row r="1092">
      <c r="A1092" s="3" t="inlineStr">
        <is>
          <t>Heron Fields (Pty) Ltd</t>
        </is>
      </c>
      <c r="B1092" s="4" t="n">
        <v>44681</v>
      </c>
      <c r="C1092" s="3" t="inlineStr">
        <is>
          <t>Assets</t>
        </is>
      </c>
      <c r="D1092" s="3" t="inlineStr">
        <is>
          <t>8440/000</t>
        </is>
      </c>
      <c r="E1092" s="3" t="inlineStr">
        <is>
          <t>Momentum Investors Account RU502229930</t>
        </is>
      </c>
      <c r="F1092" s="3" t="n">
        <v>-1255266.78</v>
      </c>
      <c r="G1092" s="3" t="n">
        <v>1767117.67</v>
      </c>
    </row>
    <row r="1093">
      <c r="A1093" s="3" t="inlineStr">
        <is>
          <t>Cape Projects Construction (Pty) Ltd</t>
        </is>
      </c>
      <c r="B1093" s="4" t="n">
        <v>44681</v>
      </c>
      <c r="C1093" s="3" t="inlineStr">
        <is>
          <t>Liabilities</t>
        </is>
      </c>
      <c r="D1093" s="3" t="inlineStr">
        <is>
          <t>860</t>
        </is>
      </c>
      <c r="E1093" s="3" t="inlineStr">
        <is>
          <t>Rounding</t>
        </is>
      </c>
      <c r="F1093" s="3" t="n">
        <v>0</v>
      </c>
      <c r="G1093" s="3" t="n">
        <v>-0.03</v>
      </c>
    </row>
    <row r="1094">
      <c r="A1094" s="3" t="inlineStr">
        <is>
          <t>Heron Fields (Pty) Ltd</t>
        </is>
      </c>
      <c r="B1094" s="4" t="n">
        <v>44681</v>
      </c>
      <c r="C1094" s="3" t="inlineStr">
        <is>
          <t>Liabilities</t>
        </is>
      </c>
      <c r="D1094" s="3" t="inlineStr">
        <is>
          <t>860</t>
        </is>
      </c>
      <c r="E1094" s="3" t="inlineStr">
        <is>
          <t>Rounding</t>
        </is>
      </c>
      <c r="F1094" s="3" t="n">
        <v>0</v>
      </c>
      <c r="G1094" s="3" t="n">
        <v>0.01</v>
      </c>
    </row>
    <row r="1095">
      <c r="A1095" s="3" t="inlineStr">
        <is>
          <t>Cape Projects Construction (Pty) Ltd</t>
        </is>
      </c>
      <c r="B1095" s="4" t="n">
        <v>44681</v>
      </c>
      <c r="C1095" s="3" t="inlineStr">
        <is>
          <t>Liabilities</t>
        </is>
      </c>
      <c r="D1095" s="3" t="inlineStr">
        <is>
          <t>9000/000</t>
        </is>
      </c>
      <c r="E1095" s="3" t="inlineStr">
        <is>
          <t>Supplier Control Account</t>
        </is>
      </c>
      <c r="F1095" s="3" t="n">
        <v>-563883.97</v>
      </c>
      <c r="G1095" s="3" t="n">
        <v>-3848418.28</v>
      </c>
    </row>
    <row r="1096">
      <c r="A1096" s="3" t="inlineStr">
        <is>
          <t>Heron Fields (Pty) Ltd</t>
        </is>
      </c>
      <c r="B1096" s="4" t="n">
        <v>44681</v>
      </c>
      <c r="C1096" s="3" t="inlineStr">
        <is>
          <t>Liabilities</t>
        </is>
      </c>
      <c r="D1096" s="3" t="inlineStr">
        <is>
          <t>9000/000</t>
        </is>
      </c>
      <c r="E1096" s="3" t="inlineStr">
        <is>
          <t>Supplier Control Account</t>
        </is>
      </c>
      <c r="F1096" s="3" t="n">
        <v>-2481281.73</v>
      </c>
      <c r="G1096" s="3" t="n">
        <v>-49419699.65</v>
      </c>
    </row>
    <row r="1097">
      <c r="A1097" s="3" t="inlineStr">
        <is>
          <t>Heron View (Pty) Ltd</t>
        </is>
      </c>
      <c r="B1097" s="4" t="n">
        <v>44681</v>
      </c>
      <c r="C1097" s="3" t="inlineStr">
        <is>
          <t>Liabilities</t>
        </is>
      </c>
      <c r="D1097" s="3" t="inlineStr">
        <is>
          <t>9000/000</t>
        </is>
      </c>
      <c r="E1097" s="3" t="inlineStr">
        <is>
          <t>Supplier Control Account</t>
        </is>
      </c>
      <c r="F1097" s="3" t="n">
        <v>0</v>
      </c>
      <c r="G1097" s="3" t="n">
        <v>4140</v>
      </c>
    </row>
    <row r="1098">
      <c r="A1098" s="3" t="inlineStr">
        <is>
          <t>Cape Projects Construction (Pty) Ltd</t>
        </is>
      </c>
      <c r="B1098" s="4" t="n">
        <v>44681</v>
      </c>
      <c r="C1098" s="3" t="inlineStr">
        <is>
          <t>Liabilities</t>
        </is>
      </c>
      <c r="D1098" s="3" t="inlineStr">
        <is>
          <t>9200/000</t>
        </is>
      </c>
      <c r="E1098" s="3" t="inlineStr">
        <is>
          <t>Sundry Suppliers</t>
        </is>
      </c>
      <c r="F1098" s="3" t="n">
        <v>0</v>
      </c>
      <c r="G1098" s="3" t="n">
        <v>1186.13</v>
      </c>
    </row>
    <row r="1099">
      <c r="A1099" s="3" t="inlineStr">
        <is>
          <t>Cape Projects Construction (Pty) Ltd</t>
        </is>
      </c>
      <c r="B1099" s="4" t="n">
        <v>44681</v>
      </c>
      <c r="C1099" s="3" t="inlineStr">
        <is>
          <t>Liabilities</t>
        </is>
      </c>
      <c r="D1099" s="3" t="inlineStr">
        <is>
          <t>9250/010</t>
        </is>
      </c>
      <c r="E1099" s="3" t="inlineStr">
        <is>
          <t>SALARY CONTROL</t>
        </is>
      </c>
      <c r="F1099" s="3" t="n">
        <v>15113.79</v>
      </c>
      <c r="G1099" s="3" t="n">
        <v>20758.54</v>
      </c>
    </row>
    <row r="1100">
      <c r="A1100" s="3" t="inlineStr">
        <is>
          <t>Cape Projects Construction (Pty) Ltd</t>
        </is>
      </c>
      <c r="B1100" s="4" t="n">
        <v>44681</v>
      </c>
      <c r="C1100" s="3" t="inlineStr">
        <is>
          <t>Liabilities</t>
        </is>
      </c>
      <c r="D1100" s="3" t="inlineStr">
        <is>
          <t>9250/020</t>
        </is>
      </c>
      <c r="E1100" s="3" t="inlineStr">
        <is>
          <t>PAYE, UIF AND SDL CONTROL</t>
        </is>
      </c>
      <c r="F1100" s="3" t="n">
        <v>-510.68</v>
      </c>
      <c r="G1100" s="3" t="n">
        <v>-51208.95</v>
      </c>
    </row>
    <row r="1101">
      <c r="A1101" s="3" t="inlineStr">
        <is>
          <t>Cape Projects Construction (Pty) Ltd</t>
        </is>
      </c>
      <c r="B1101" s="4" t="n">
        <v>44681</v>
      </c>
      <c r="C1101" s="3" t="inlineStr">
        <is>
          <t>Liabilities</t>
        </is>
      </c>
      <c r="D1101" s="3" t="inlineStr">
        <is>
          <t>9250/030</t>
        </is>
      </c>
      <c r="E1101" s="3" t="inlineStr">
        <is>
          <t>BIBC CONTROL</t>
        </is>
      </c>
      <c r="F1101" s="3" t="n">
        <v>-204.56</v>
      </c>
      <c r="G1101" s="3" t="n">
        <v>-818.24</v>
      </c>
    </row>
    <row r="1102">
      <c r="A1102" s="3" t="inlineStr">
        <is>
          <t>Cape Projects Construction (Pty) Ltd</t>
        </is>
      </c>
      <c r="B1102" s="4" t="n">
        <v>44681</v>
      </c>
      <c r="C1102" s="3" t="inlineStr">
        <is>
          <t>Liabilities</t>
        </is>
      </c>
      <c r="D1102" s="3" t="inlineStr">
        <is>
          <t>9500/000</t>
        </is>
      </c>
      <c r="E1102" s="3" t="inlineStr">
        <is>
          <t>VAT Control Account</t>
        </is>
      </c>
      <c r="F1102" s="3" t="n">
        <v>-39490.88</v>
      </c>
      <c r="G1102" s="3" t="n">
        <v>-1086877.27</v>
      </c>
    </row>
    <row r="1103">
      <c r="A1103" s="3" t="inlineStr">
        <is>
          <t>Heron Fields (Pty) Ltd</t>
        </is>
      </c>
      <c r="B1103" s="4" t="n">
        <v>44681</v>
      </c>
      <c r="C1103" s="3" t="inlineStr">
        <is>
          <t>Liabilities</t>
        </is>
      </c>
      <c r="D1103" s="3" t="inlineStr">
        <is>
          <t>9500/000</t>
        </is>
      </c>
      <c r="E1103" s="3" t="inlineStr">
        <is>
          <t>Vat / Tax Control Account</t>
        </is>
      </c>
      <c r="F1103" s="3" t="n">
        <v>414192.66</v>
      </c>
      <c r="G1103" s="3" t="n">
        <v>546921.89</v>
      </c>
    </row>
    <row r="1104">
      <c r="A1104" s="3" t="inlineStr">
        <is>
          <t>Heron View (Pty) Ltd</t>
        </is>
      </c>
      <c r="B1104" s="4" t="n">
        <v>44681</v>
      </c>
      <c r="C1104" s="3" t="inlineStr">
        <is>
          <t>Liabilities</t>
        </is>
      </c>
      <c r="D1104" s="3" t="inlineStr">
        <is>
          <t>9500/000</t>
        </is>
      </c>
      <c r="E1104" s="3" t="inlineStr">
        <is>
          <t>Vat / Tax Control Account</t>
        </is>
      </c>
      <c r="F1104" s="3" t="n">
        <v>180</v>
      </c>
      <c r="G1104" s="3" t="n">
        <v>180</v>
      </c>
    </row>
    <row r="1105">
      <c r="A1105" s="3" t="inlineStr">
        <is>
          <t>Cape Projects Construction (Pty) Ltd</t>
        </is>
      </c>
      <c r="B1105" s="4" t="n">
        <v>44681</v>
      </c>
      <c r="C1105" s="3" t="inlineStr">
        <is>
          <t>Liabilities</t>
        </is>
      </c>
      <c r="D1105" s="3" t="inlineStr">
        <is>
          <t>9990/000</t>
        </is>
      </c>
      <c r="E1105" s="3" t="inlineStr">
        <is>
          <t>Opening Balance / Suspense Account</t>
        </is>
      </c>
      <c r="F1105" s="3" t="n">
        <v>168446.25</v>
      </c>
      <c r="G1105" s="3" t="n">
        <v>168446.25</v>
      </c>
    </row>
    <row r="1106">
      <c r="A1106" s="3" t="inlineStr">
        <is>
          <t>Cape Projects Construction (Pty) Ltd</t>
        </is>
      </c>
      <c r="B1106" s="4" t="n">
        <v>44681</v>
      </c>
      <c r="C1106" s="3" t="inlineStr">
        <is>
          <t>Liabilities</t>
        </is>
      </c>
      <c r="D1106" s="3" t="inlineStr">
        <is>
          <t>B/S</t>
        </is>
      </c>
      <c r="E1106" s="3" t="inlineStr">
        <is>
          <t>Taxation Payable</t>
        </is>
      </c>
      <c r="F1106" s="3" t="n">
        <v>0</v>
      </c>
      <c r="G1106" s="3" t="n">
        <v>1869.8</v>
      </c>
    </row>
    <row r="1107">
      <c r="A1107" s="3" t="inlineStr">
        <is>
          <t>Cape Projects Construction (Pty) Ltd</t>
        </is>
      </c>
      <c r="B1107" s="4" t="n">
        <v>44681</v>
      </c>
      <c r="C1107" s="3" t="inlineStr">
        <is>
          <t>Liabilities</t>
        </is>
      </c>
      <c r="D1107" s="3" t="inlineStr">
        <is>
          <t>TEMP/ACC</t>
        </is>
      </c>
      <c r="E1107" s="3" t="inlineStr">
        <is>
          <t>Conversion Account</t>
        </is>
      </c>
      <c r="F1107" s="3" t="n">
        <v>0</v>
      </c>
      <c r="G1107" s="3" t="n">
        <v>-254.99</v>
      </c>
    </row>
    <row r="1108">
      <c r="A1108" s="3" t="inlineStr">
        <is>
          <t>Cape Projects Construction (Pty) Ltd</t>
        </is>
      </c>
      <c r="B1108" s="4" t="n">
        <v>44712</v>
      </c>
      <c r="C1108" s="3" t="inlineStr">
        <is>
          <t>Revenue</t>
        </is>
      </c>
      <c r="D1108" s="3" t="inlineStr">
        <is>
          <t>1040/100</t>
        </is>
      </c>
      <c r="E1108" s="3" t="inlineStr">
        <is>
          <t>Fees - Construction - Heron</t>
        </is>
      </c>
      <c r="F1108" s="3" t="n">
        <v>-2231250.1</v>
      </c>
      <c r="G1108" s="3" t="n">
        <v>-5715513.7</v>
      </c>
    </row>
    <row r="1109">
      <c r="A1109" s="3" t="inlineStr">
        <is>
          <t>Cape Projects Construction (Pty) Ltd</t>
        </is>
      </c>
      <c r="B1109" s="4" t="n">
        <v>44712</v>
      </c>
      <c r="C1109" s="3" t="inlineStr">
        <is>
          <t>Revenue</t>
        </is>
      </c>
      <c r="D1109" s="3" t="inlineStr">
        <is>
          <t>1050/030</t>
        </is>
      </c>
      <c r="E1109" s="3" t="inlineStr">
        <is>
          <t>Fees - Construction - Endulini</t>
        </is>
      </c>
      <c r="F1109" s="3" t="n">
        <v>-3566047.38</v>
      </c>
      <c r="G1109" s="3" t="n">
        <v>-11113111.81</v>
      </c>
    </row>
    <row r="1110">
      <c r="A1110" s="3" t="inlineStr">
        <is>
          <t>Cape Projects Construction (Pty) Ltd</t>
        </is>
      </c>
      <c r="B1110" s="4" t="n">
        <v>44712</v>
      </c>
      <c r="C1110" s="3" t="inlineStr">
        <is>
          <t>Revenue</t>
        </is>
      </c>
      <c r="D1110" s="3" t="inlineStr">
        <is>
          <t>1051/100</t>
        </is>
      </c>
      <c r="E1110" s="3" t="inlineStr">
        <is>
          <t>Fees - Construction - Heron Fields</t>
        </is>
      </c>
      <c r="F1110" s="3" t="n">
        <v>-1782369.8</v>
      </c>
      <c r="G1110" s="3" t="n">
        <v>-1782369.8</v>
      </c>
    </row>
    <row r="1111">
      <c r="A1111" s="3" t="inlineStr">
        <is>
          <t>Cape Projects Construction (Pty) Ltd</t>
        </is>
      </c>
      <c r="B1111" s="4" t="n">
        <v>44712</v>
      </c>
      <c r="C1111" s="3" t="inlineStr">
        <is>
          <t>Revenue</t>
        </is>
      </c>
      <c r="D1111" s="3" t="inlineStr">
        <is>
          <t>1060/000</t>
        </is>
      </c>
      <c r="E1111" s="3" t="inlineStr">
        <is>
          <t>Insurance recovery</t>
        </is>
      </c>
      <c r="F1111" s="3" t="n">
        <v>-2839.7</v>
      </c>
      <c r="G1111" s="3" t="n">
        <v>-2839.7</v>
      </c>
    </row>
    <row r="1112">
      <c r="A1112" s="3" t="inlineStr">
        <is>
          <t>Cape Projects Construction (Pty) Ltd</t>
        </is>
      </c>
      <c r="B1112" s="4" t="n">
        <v>44712</v>
      </c>
      <c r="C1112" s="3" t="inlineStr">
        <is>
          <t>Revenue</t>
        </is>
      </c>
      <c r="D1112" s="3" t="inlineStr">
        <is>
          <t>1070/000</t>
        </is>
      </c>
      <c r="E1112" s="3" t="inlineStr">
        <is>
          <t>Rent - CT Office</t>
        </is>
      </c>
      <c r="F1112" s="3" t="n">
        <v>-3490.94</v>
      </c>
      <c r="G1112" s="3" t="n">
        <v>-10472.82</v>
      </c>
    </row>
    <row r="1113">
      <c r="A1113" s="3" t="inlineStr">
        <is>
          <t>Cape Projects Construction (Pty) Ltd</t>
        </is>
      </c>
      <c r="B1113" s="4" t="n">
        <v>44712</v>
      </c>
      <c r="C1113" s="3" t="inlineStr">
        <is>
          <t>Revenue</t>
        </is>
      </c>
      <c r="D1113" s="3" t="inlineStr">
        <is>
          <t>1080/000</t>
        </is>
      </c>
      <c r="E1113" s="3" t="inlineStr">
        <is>
          <t>Other income</t>
        </is>
      </c>
      <c r="F1113" s="3" t="n">
        <v>0</v>
      </c>
      <c r="G1113" s="3" t="n">
        <v>-104</v>
      </c>
    </row>
    <row r="1114">
      <c r="A1114" s="3" t="inlineStr">
        <is>
          <t>Cape Projects Construction (Pty) Ltd</t>
        </is>
      </c>
      <c r="B1114" s="4" t="n">
        <v>44712</v>
      </c>
      <c r="C1114" s="3" t="inlineStr">
        <is>
          <t>Expenses</t>
        </is>
      </c>
      <c r="D1114" s="3" t="inlineStr">
        <is>
          <t>2005/200</t>
        </is>
      </c>
      <c r="E1114" s="3" t="inlineStr">
        <is>
          <t>COS - External Works</t>
        </is>
      </c>
      <c r="F1114" s="3" t="n">
        <v>0</v>
      </c>
      <c r="G1114" s="3" t="n">
        <v>957.28</v>
      </c>
    </row>
    <row r="1115">
      <c r="A1115" s="3" t="inlineStr">
        <is>
          <t>Cape Projects Construction (Pty) Ltd</t>
        </is>
      </c>
      <c r="B1115" s="4" t="n">
        <v>44712</v>
      </c>
      <c r="C1115" s="3" t="inlineStr">
        <is>
          <t>Expenses</t>
        </is>
      </c>
      <c r="D1115" s="3" t="inlineStr">
        <is>
          <t>2006/000</t>
        </is>
      </c>
      <c r="E1115" s="3" t="inlineStr">
        <is>
          <t>COS - Endulini Construction</t>
        </is>
      </c>
      <c r="F1115" s="3" t="n">
        <v>2992307.2</v>
      </c>
      <c r="G1115" s="3" t="n">
        <v>9272517.07</v>
      </c>
    </row>
    <row r="1116">
      <c r="A1116" s="3" t="inlineStr">
        <is>
          <t>Cape Projects Construction (Pty) Ltd</t>
        </is>
      </c>
      <c r="B1116" s="4" t="n">
        <v>44712</v>
      </c>
      <c r="C1116" s="3" t="inlineStr">
        <is>
          <t>Expenses</t>
        </is>
      </c>
      <c r="D1116" s="3" t="inlineStr">
        <is>
          <t>2006/100</t>
        </is>
      </c>
      <c r="E1116" s="3" t="inlineStr">
        <is>
          <t>COS - Endulini P and G</t>
        </is>
      </c>
      <c r="F1116" s="3" t="n">
        <v>176708.88</v>
      </c>
      <c r="G1116" s="3" t="n">
        <v>437792.76</v>
      </c>
    </row>
    <row r="1117">
      <c r="A1117" s="3" t="inlineStr">
        <is>
          <t>Cape Projects Construction (Pty) Ltd</t>
        </is>
      </c>
      <c r="B1117" s="4" t="n">
        <v>44712</v>
      </c>
      <c r="C1117" s="3" t="inlineStr">
        <is>
          <t>Expenses</t>
        </is>
      </c>
      <c r="D1117" s="3" t="inlineStr">
        <is>
          <t>2006/200</t>
        </is>
      </c>
      <c r="E1117" s="3" t="inlineStr">
        <is>
          <t>COS - Insurance</t>
        </is>
      </c>
      <c r="F1117" s="3" t="n">
        <v>5586.53</v>
      </c>
      <c r="G1117" s="3" t="n">
        <v>15399.87</v>
      </c>
    </row>
    <row r="1118">
      <c r="A1118" s="3" t="inlineStr">
        <is>
          <t>Cape Projects Construction (Pty) Ltd</t>
        </is>
      </c>
      <c r="B1118" s="4" t="n">
        <v>44712</v>
      </c>
      <c r="C1118" s="3" t="inlineStr">
        <is>
          <t>Expenses</t>
        </is>
      </c>
      <c r="D1118" s="3" t="inlineStr">
        <is>
          <t>2006/300</t>
        </is>
      </c>
      <c r="E1118" s="3" t="inlineStr">
        <is>
          <t>COS - Endulini - Printing &amp; Stationary</t>
        </is>
      </c>
      <c r="F1118" s="3" t="n">
        <v>269.65</v>
      </c>
      <c r="G1118" s="3" t="n">
        <v>269.65</v>
      </c>
    </row>
    <row r="1119">
      <c r="A1119" s="3" t="inlineStr">
        <is>
          <t>Cape Projects Construction (Pty) Ltd</t>
        </is>
      </c>
      <c r="B1119" s="4" t="n">
        <v>44712</v>
      </c>
      <c r="C1119" s="3" t="inlineStr">
        <is>
          <t>Expenses</t>
        </is>
      </c>
      <c r="D1119" s="3" t="inlineStr">
        <is>
          <t>2006/350</t>
        </is>
      </c>
      <c r="E1119" s="3" t="inlineStr">
        <is>
          <t>COS - Endulini - Security</t>
        </is>
      </c>
      <c r="F1119" s="3" t="n">
        <v>5500</v>
      </c>
      <c r="G1119" s="3" t="n">
        <v>11000</v>
      </c>
    </row>
    <row r="1120">
      <c r="A1120" s="3" t="inlineStr">
        <is>
          <t>Cape Projects Construction (Pty) Ltd</t>
        </is>
      </c>
      <c r="B1120" s="4" t="n">
        <v>44712</v>
      </c>
      <c r="C1120" s="3" t="inlineStr">
        <is>
          <t>Expenses</t>
        </is>
      </c>
      <c r="D1120" s="3" t="inlineStr">
        <is>
          <t>2006/400</t>
        </is>
      </c>
      <c r="E1120" s="3" t="inlineStr">
        <is>
          <t>COS - Endulini - Health &amp; Safety</t>
        </is>
      </c>
      <c r="F1120" s="3" t="n">
        <v>4000</v>
      </c>
      <c r="G1120" s="3" t="n">
        <v>12000</v>
      </c>
    </row>
    <row r="1121">
      <c r="A1121" s="3" t="inlineStr">
        <is>
          <t>Cape Projects Construction (Pty) Ltd</t>
        </is>
      </c>
      <c r="B1121" s="4" t="n">
        <v>44712</v>
      </c>
      <c r="C1121" s="3" t="inlineStr">
        <is>
          <t>Expenses</t>
        </is>
      </c>
      <c r="D1121" s="3" t="inlineStr">
        <is>
          <t>2006/700</t>
        </is>
      </c>
      <c r="E1121" s="3" t="inlineStr">
        <is>
          <t>COS - Endulini - Fuel</t>
        </is>
      </c>
      <c r="F1121" s="3" t="n">
        <v>0</v>
      </c>
      <c r="G1121" s="3" t="n">
        <v>2473.65</v>
      </c>
    </row>
    <row r="1122">
      <c r="A1122" s="3" t="inlineStr">
        <is>
          <t>Cape Projects Construction (Pty) Ltd</t>
        </is>
      </c>
      <c r="B1122" s="4" t="n">
        <v>44712</v>
      </c>
      <c r="C1122" s="3" t="inlineStr">
        <is>
          <t>Expenses</t>
        </is>
      </c>
      <c r="D1122" s="3" t="inlineStr">
        <is>
          <t>2006/800</t>
        </is>
      </c>
      <c r="E1122" s="3" t="inlineStr">
        <is>
          <t>COS - Endulini - Telephone &amp; Internet</t>
        </is>
      </c>
      <c r="F1122" s="3" t="n">
        <v>0</v>
      </c>
      <c r="G1122" s="3" t="n">
        <v>937.39</v>
      </c>
    </row>
    <row r="1123">
      <c r="A1123" s="3" t="inlineStr">
        <is>
          <t>Cape Projects Construction (Pty) Ltd</t>
        </is>
      </c>
      <c r="B1123" s="4" t="n">
        <v>44712</v>
      </c>
      <c r="C1123" s="3" t="inlineStr">
        <is>
          <t>Expenses</t>
        </is>
      </c>
      <c r="D1123" s="3" t="inlineStr">
        <is>
          <t>2007/000</t>
        </is>
      </c>
      <c r="E1123" s="3" t="inlineStr">
        <is>
          <t>COS - Repairs &amp; Maintenance - SW Southwark</t>
        </is>
      </c>
      <c r="F1123" s="3" t="n">
        <v>2418.26</v>
      </c>
      <c r="G1123" s="3" t="n">
        <v>2418.26</v>
      </c>
    </row>
    <row r="1124">
      <c r="A1124" s="3" t="inlineStr">
        <is>
          <t>Cape Projects Construction (Pty) Ltd</t>
        </is>
      </c>
      <c r="B1124" s="4" t="n">
        <v>44712</v>
      </c>
      <c r="C1124" s="3" t="inlineStr">
        <is>
          <t>Expenses</t>
        </is>
      </c>
      <c r="D1124" s="3" t="inlineStr">
        <is>
          <t>2011/300</t>
        </is>
      </c>
      <c r="E1124" s="3" t="inlineStr">
        <is>
          <t>COS - Heron Fields - Printing &amp; Stationary</t>
        </is>
      </c>
      <c r="F1124" s="3" t="n">
        <v>269.65</v>
      </c>
      <c r="G1124" s="3" t="n">
        <v>2952.7</v>
      </c>
    </row>
    <row r="1125">
      <c r="A1125" s="3" t="inlineStr">
        <is>
          <t>Cape Projects Construction (Pty) Ltd</t>
        </is>
      </c>
      <c r="B1125" s="4" t="n">
        <v>44712</v>
      </c>
      <c r="C1125" s="3" t="inlineStr">
        <is>
          <t>Expenses</t>
        </is>
      </c>
      <c r="D1125" s="3" t="inlineStr">
        <is>
          <t>2011/500</t>
        </is>
      </c>
      <c r="E1125" s="3" t="inlineStr">
        <is>
          <t>COS - Heron Fields - Construction</t>
        </is>
      </c>
      <c r="F1125" s="3" t="n">
        <v>3587901.07</v>
      </c>
      <c r="G1125" s="3" t="n">
        <v>6694476.3</v>
      </c>
    </row>
    <row r="1126">
      <c r="A1126" s="3" t="inlineStr">
        <is>
          <t>Cape Projects Construction (Pty) Ltd</t>
        </is>
      </c>
      <c r="B1126" s="4" t="n">
        <v>44712</v>
      </c>
      <c r="C1126" s="3" t="inlineStr">
        <is>
          <t>Expenses</t>
        </is>
      </c>
      <c r="D1126" s="3" t="inlineStr">
        <is>
          <t>2011/600</t>
        </is>
      </c>
      <c r="E1126" s="3" t="inlineStr">
        <is>
          <t>COS - Heron Fields - P &amp; G</t>
        </is>
      </c>
      <c r="F1126" s="3" t="n">
        <v>265346.33</v>
      </c>
      <c r="G1126" s="3" t="n">
        <v>597820.78</v>
      </c>
    </row>
    <row r="1127">
      <c r="A1127" s="3" t="inlineStr">
        <is>
          <t>Cape Projects Construction (Pty) Ltd</t>
        </is>
      </c>
      <c r="B1127" s="4" t="n">
        <v>44712</v>
      </c>
      <c r="C1127" s="3" t="inlineStr">
        <is>
          <t>Expenses</t>
        </is>
      </c>
      <c r="D1127" s="3" t="inlineStr">
        <is>
          <t>2011/700</t>
        </is>
      </c>
      <c r="E1127" s="3" t="inlineStr">
        <is>
          <t>COS - Heron Fields - Health &amp; Safety</t>
        </is>
      </c>
      <c r="F1127" s="3" t="n">
        <v>4000</v>
      </c>
      <c r="G1127" s="3" t="n">
        <v>14286.3</v>
      </c>
    </row>
    <row r="1128">
      <c r="A1128" s="3" t="inlineStr">
        <is>
          <t>Cape Projects Construction (Pty) Ltd</t>
        </is>
      </c>
      <c r="B1128" s="4" t="n">
        <v>44712</v>
      </c>
      <c r="C1128" s="3" t="inlineStr">
        <is>
          <t>Expenses</t>
        </is>
      </c>
      <c r="D1128" s="3" t="inlineStr">
        <is>
          <t>2011/900</t>
        </is>
      </c>
      <c r="E1128" s="3" t="inlineStr">
        <is>
          <t>COS - Heron - Internet</t>
        </is>
      </c>
      <c r="F1128" s="3" t="n">
        <v>0</v>
      </c>
      <c r="G1128" s="3" t="n">
        <v>1630.81</v>
      </c>
    </row>
    <row r="1129">
      <c r="A1129" s="3" t="inlineStr">
        <is>
          <t>Cape Projects Construction (Pty) Ltd</t>
        </is>
      </c>
      <c r="B1129" s="4" t="n">
        <v>44712</v>
      </c>
      <c r="C1129" s="3" t="inlineStr">
        <is>
          <t>Expenses</t>
        </is>
      </c>
      <c r="D1129" s="3" t="inlineStr">
        <is>
          <t>2011/950</t>
        </is>
      </c>
      <c r="E1129" s="3" t="inlineStr">
        <is>
          <t>COS - Heron Fields - Security</t>
        </is>
      </c>
      <c r="F1129" s="3" t="n">
        <v>0</v>
      </c>
      <c r="G1129" s="3" t="n">
        <v>4782.61</v>
      </c>
    </row>
    <row r="1130">
      <c r="A1130" s="3" t="inlineStr">
        <is>
          <t>Cape Projects Construction (Pty) Ltd</t>
        </is>
      </c>
      <c r="B1130" s="4" t="n">
        <v>44712</v>
      </c>
      <c r="C1130" s="3" t="inlineStr">
        <is>
          <t>Revenue</t>
        </is>
      </c>
      <c r="D1130" s="3" t="inlineStr">
        <is>
          <t>2750/000</t>
        </is>
      </c>
      <c r="E1130" s="3" t="inlineStr">
        <is>
          <t>Interest Received - FNB</t>
        </is>
      </c>
      <c r="F1130" s="3" t="n">
        <v>-3.49</v>
      </c>
      <c r="G1130" s="3" t="n">
        <v>-3.49</v>
      </c>
    </row>
    <row r="1131">
      <c r="A1131" s="3" t="inlineStr">
        <is>
          <t>Cape Projects Construction (Pty) Ltd</t>
        </is>
      </c>
      <c r="B1131" s="4" t="n">
        <v>44712</v>
      </c>
      <c r="C1131" s="3" t="inlineStr">
        <is>
          <t>Revenue</t>
        </is>
      </c>
      <c r="D1131" s="3" t="inlineStr">
        <is>
          <t>2751/001</t>
        </is>
      </c>
      <c r="E1131" s="3" t="inlineStr">
        <is>
          <t>Interest received - Momentum</t>
        </is>
      </c>
      <c r="F1131" s="3" t="n">
        <v>-4.12</v>
      </c>
      <c r="G1131" s="3" t="n">
        <v>-6.14</v>
      </c>
    </row>
    <row r="1132">
      <c r="A1132" s="3" t="inlineStr">
        <is>
          <t>Heron Fields (Pty) Ltd</t>
        </is>
      </c>
      <c r="B1132" s="4" t="n">
        <v>44712</v>
      </c>
      <c r="C1132" s="3" t="inlineStr">
        <is>
          <t>Revenue</t>
        </is>
      </c>
      <c r="D1132" s="3" t="inlineStr">
        <is>
          <t>2755/001</t>
        </is>
      </c>
      <c r="E1132" s="3" t="inlineStr">
        <is>
          <t>Interest Received - Momentum</t>
        </is>
      </c>
      <c r="F1132" s="3" t="n">
        <v>-19914.54</v>
      </c>
      <c r="G1132" s="3" t="n">
        <v>-61180.77</v>
      </c>
    </row>
    <row r="1133">
      <c r="A1133" s="3" t="inlineStr">
        <is>
          <t>Cape Projects Construction (Pty) Ltd</t>
        </is>
      </c>
      <c r="B1133" s="4" t="n">
        <v>44712</v>
      </c>
      <c r="C1133" s="3" t="inlineStr">
        <is>
          <t>Expenses</t>
        </is>
      </c>
      <c r="D1133" s="3" t="inlineStr">
        <is>
          <t>3002/000</t>
        </is>
      </c>
      <c r="E1133" s="3" t="inlineStr">
        <is>
          <t>Accounting Fees - Audit</t>
        </is>
      </c>
      <c r="F1133" s="3" t="n">
        <v>0</v>
      </c>
      <c r="G1133" s="3" t="n">
        <v>10600</v>
      </c>
    </row>
    <row r="1134">
      <c r="A1134" s="3" t="inlineStr">
        <is>
          <t>Cape Projects Construction (Pty) Ltd</t>
        </is>
      </c>
      <c r="B1134" s="4" t="n">
        <v>44712</v>
      </c>
      <c r="C1134" s="3" t="inlineStr">
        <is>
          <t>Expenses</t>
        </is>
      </c>
      <c r="D1134" s="3" t="inlineStr">
        <is>
          <t>3020/100</t>
        </is>
      </c>
      <c r="E1134" s="3" t="inlineStr">
        <is>
          <t>Admin - Subcontractors</t>
        </is>
      </c>
      <c r="F1134" s="3" t="n">
        <v>13500</v>
      </c>
      <c r="G1134" s="3" t="n">
        <v>14139.13</v>
      </c>
    </row>
    <row r="1135">
      <c r="A1135" s="3" t="inlineStr">
        <is>
          <t>Cape Projects Construction (Pty) Ltd</t>
        </is>
      </c>
      <c r="B1135" s="4" t="n">
        <v>44712</v>
      </c>
      <c r="C1135" s="3" t="inlineStr">
        <is>
          <t>Expenses</t>
        </is>
      </c>
      <c r="D1135" s="3" t="inlineStr">
        <is>
          <t>3050/000</t>
        </is>
      </c>
      <c r="E1135" s="3" t="inlineStr">
        <is>
          <t>Advertising _AND_ Promotions</t>
        </is>
      </c>
      <c r="F1135" s="3" t="n">
        <v>0</v>
      </c>
      <c r="G1135" s="3" t="n">
        <v>687.5</v>
      </c>
    </row>
    <row r="1136">
      <c r="A1136" s="3" t="inlineStr">
        <is>
          <t>Heron Fields (Pty) Ltd</t>
        </is>
      </c>
      <c r="B1136" s="4" t="n">
        <v>44712</v>
      </c>
      <c r="C1136" s="3" t="inlineStr">
        <is>
          <t>Expenses</t>
        </is>
      </c>
      <c r="D1136" s="3" t="inlineStr">
        <is>
          <t>3050/000</t>
        </is>
      </c>
      <c r="E1136" s="3" t="inlineStr">
        <is>
          <t>Advertising _AND_ Promotions</t>
        </is>
      </c>
      <c r="F1136" s="3" t="n">
        <v>7620</v>
      </c>
      <c r="G1136" s="3" t="n">
        <v>63407.86</v>
      </c>
    </row>
    <row r="1137">
      <c r="A1137" s="3" t="inlineStr">
        <is>
          <t>Heron Fields (Pty) Ltd</t>
        </is>
      </c>
      <c r="B1137" s="4" t="n">
        <v>44712</v>
      </c>
      <c r="C1137" s="3" t="inlineStr">
        <is>
          <t>Expenses</t>
        </is>
      </c>
      <c r="D1137" s="3" t="inlineStr">
        <is>
          <t>3050/100</t>
        </is>
      </c>
      <c r="E1137" s="3" t="inlineStr">
        <is>
          <t>Advertising - Property24</t>
        </is>
      </c>
      <c r="F1137" s="3" t="n">
        <v>11556</v>
      </c>
      <c r="G1137" s="3" t="n">
        <v>34668</v>
      </c>
    </row>
    <row r="1138">
      <c r="A1138" s="3" t="inlineStr">
        <is>
          <t>Cape Projects Construction (Pty) Ltd</t>
        </is>
      </c>
      <c r="B1138" s="4" t="n">
        <v>44712</v>
      </c>
      <c r="C1138" s="3" t="inlineStr">
        <is>
          <t>Expenses</t>
        </is>
      </c>
      <c r="D1138" s="3" t="inlineStr">
        <is>
          <t>3050/450</t>
        </is>
      </c>
      <c r="E1138" s="3" t="inlineStr">
        <is>
          <t>Advertising - Other</t>
        </is>
      </c>
      <c r="F1138" s="3" t="n">
        <v>137.5</v>
      </c>
      <c r="G1138" s="3" t="n">
        <v>137.5</v>
      </c>
    </row>
    <row r="1139">
      <c r="A1139" s="3" t="inlineStr">
        <is>
          <t>Cape Projects Construction (Pty) Ltd</t>
        </is>
      </c>
      <c r="B1139" s="4" t="n">
        <v>44712</v>
      </c>
      <c r="C1139" s="3" t="inlineStr">
        <is>
          <t>Expenses</t>
        </is>
      </c>
      <c r="D1139" s="3" t="inlineStr">
        <is>
          <t>3200/000</t>
        </is>
      </c>
      <c r="E1139" s="3" t="inlineStr">
        <is>
          <t>Bank Charges</t>
        </is>
      </c>
      <c r="F1139" s="3" t="n">
        <v>3257.75</v>
      </c>
      <c r="G1139" s="3" t="n">
        <v>8771.77</v>
      </c>
    </row>
    <row r="1140">
      <c r="A1140" s="3" t="inlineStr">
        <is>
          <t>Heron Fields (Pty) Ltd</t>
        </is>
      </c>
      <c r="B1140" s="4" t="n">
        <v>44712</v>
      </c>
      <c r="C1140" s="3" t="inlineStr">
        <is>
          <t>Expenses</t>
        </is>
      </c>
      <c r="D1140" s="3" t="inlineStr">
        <is>
          <t>3200/000</t>
        </is>
      </c>
      <c r="E1140" s="3" t="inlineStr">
        <is>
          <t>Bank Charges</t>
        </is>
      </c>
      <c r="F1140" s="3" t="n">
        <v>698.54</v>
      </c>
      <c r="G1140" s="3" t="n">
        <v>2066.4</v>
      </c>
    </row>
    <row r="1141">
      <c r="A1141" s="3" t="inlineStr">
        <is>
          <t>Cape Projects Construction (Pty) Ltd</t>
        </is>
      </c>
      <c r="B1141" s="4" t="n">
        <v>44712</v>
      </c>
      <c r="C1141" s="3" t="inlineStr">
        <is>
          <t>Expenses</t>
        </is>
      </c>
      <c r="D1141" s="3" t="inlineStr">
        <is>
          <t>3250/000</t>
        </is>
      </c>
      <c r="E1141" s="3" t="inlineStr">
        <is>
          <t>Cleaning</t>
        </is>
      </c>
      <c r="F1141" s="3" t="n">
        <v>0</v>
      </c>
      <c r="G1141" s="3" t="n">
        <v>1986.89</v>
      </c>
    </row>
    <row r="1142">
      <c r="A1142" s="3" t="inlineStr">
        <is>
          <t>Cape Projects Construction (Pty) Ltd</t>
        </is>
      </c>
      <c r="B1142" s="4" t="n">
        <v>44712</v>
      </c>
      <c r="C1142" s="3" t="inlineStr">
        <is>
          <t>Expenses</t>
        </is>
      </c>
      <c r="D1142" s="3" t="inlineStr">
        <is>
          <t>3256/000</t>
        </is>
      </c>
      <c r="E1142" s="3" t="inlineStr">
        <is>
          <t>Cell Phone - Nick Morgan</t>
        </is>
      </c>
      <c r="F1142" s="3" t="n">
        <v>656.62</v>
      </c>
      <c r="G1142" s="3" t="n">
        <v>1941.15</v>
      </c>
    </row>
    <row r="1143">
      <c r="A1143" s="3" t="inlineStr">
        <is>
          <t>Cape Projects Construction (Pty) Ltd</t>
        </is>
      </c>
      <c r="B1143" s="4" t="n">
        <v>44712</v>
      </c>
      <c r="C1143" s="3" t="inlineStr">
        <is>
          <t>Expenses</t>
        </is>
      </c>
      <c r="D1143" s="3" t="inlineStr">
        <is>
          <t>3300/000</t>
        </is>
      </c>
      <c r="E1143" s="3" t="inlineStr">
        <is>
          <t>Computer Expenses</t>
        </is>
      </c>
      <c r="F1143" s="3" t="n">
        <v>0</v>
      </c>
      <c r="G1143" s="3" t="n">
        <v>566.09</v>
      </c>
    </row>
    <row r="1144">
      <c r="A1144" s="3" t="inlineStr">
        <is>
          <t>Cape Projects Construction (Pty) Ltd</t>
        </is>
      </c>
      <c r="B1144" s="4" t="n">
        <v>44712</v>
      </c>
      <c r="C1144" s="3" t="inlineStr">
        <is>
          <t>Expenses</t>
        </is>
      </c>
      <c r="D1144" s="3" t="inlineStr">
        <is>
          <t>3300/100</t>
        </is>
      </c>
      <c r="E1144" s="3" t="inlineStr">
        <is>
          <t>Computer Exp - IT, Internet/Hosting Fee</t>
        </is>
      </c>
      <c r="F1144" s="3" t="n">
        <v>10823</v>
      </c>
      <c r="G1144" s="3" t="n">
        <v>13953</v>
      </c>
    </row>
    <row r="1145">
      <c r="A1145" s="3" t="inlineStr">
        <is>
          <t>Heron Fields (Pty) Ltd</t>
        </is>
      </c>
      <c r="B1145" s="4" t="n">
        <v>44712</v>
      </c>
      <c r="C1145" s="3" t="inlineStr">
        <is>
          <t>Expenses</t>
        </is>
      </c>
      <c r="D1145" s="3" t="inlineStr">
        <is>
          <t>3350/100</t>
        </is>
      </c>
      <c r="E1145" s="3" t="inlineStr">
        <is>
          <t>Consulting Fees - Admin and Finance</t>
        </is>
      </c>
      <c r="F1145" s="3" t="n">
        <v>86424.99000000001</v>
      </c>
      <c r="G1145" s="3" t="n">
        <v>232840.68</v>
      </c>
    </row>
    <row r="1146">
      <c r="A1146" s="3" t="inlineStr">
        <is>
          <t>Cape Projects Construction (Pty) Ltd</t>
        </is>
      </c>
      <c r="B1146" s="4" t="n">
        <v>44712</v>
      </c>
      <c r="C1146" s="3" t="inlineStr">
        <is>
          <t>Expenses</t>
        </is>
      </c>
      <c r="D1146" s="3" t="inlineStr">
        <is>
          <t>3350/100</t>
        </is>
      </c>
      <c r="E1146" s="3" t="inlineStr">
        <is>
          <t>Consulting fees - Herbert du Plessis</t>
        </is>
      </c>
      <c r="F1146" s="3" t="n">
        <v>36000</v>
      </c>
      <c r="G1146" s="3" t="n">
        <v>108000</v>
      </c>
    </row>
    <row r="1147">
      <c r="A1147" s="3" t="inlineStr">
        <is>
          <t>Cape Projects Construction (Pty) Ltd</t>
        </is>
      </c>
      <c r="B1147" s="4" t="n">
        <v>44712</v>
      </c>
      <c r="C1147" s="3" t="inlineStr">
        <is>
          <t>Expenses</t>
        </is>
      </c>
      <c r="D1147" s="3" t="inlineStr">
        <is>
          <t>3350/300</t>
        </is>
      </c>
      <c r="E1147" s="3" t="inlineStr">
        <is>
          <t>Consulting Fees - Admin and Finance</t>
        </is>
      </c>
      <c r="F1147" s="3" t="n">
        <v>132650</v>
      </c>
      <c r="G1147" s="3" t="n">
        <v>347071.87</v>
      </c>
    </row>
    <row r="1148">
      <c r="A1148" s="3" t="inlineStr">
        <is>
          <t>Heron Fields (Pty) Ltd</t>
        </is>
      </c>
      <c r="B1148" s="4" t="n">
        <v>44712</v>
      </c>
      <c r="C1148" s="3" t="inlineStr">
        <is>
          <t>Expenses</t>
        </is>
      </c>
      <c r="D1148" s="3" t="inlineStr">
        <is>
          <t>3351/000</t>
        </is>
      </c>
      <c r="E1148" s="3" t="inlineStr">
        <is>
          <t>Consulting fees - Trustee</t>
        </is>
      </c>
      <c r="F1148" s="3" t="n">
        <v>24000</v>
      </c>
      <c r="G1148" s="3" t="n">
        <v>28000</v>
      </c>
    </row>
    <row r="1149">
      <c r="A1149" s="3" t="inlineStr">
        <is>
          <t>Cape Projects Construction (Pty) Ltd</t>
        </is>
      </c>
      <c r="B1149" s="4" t="n">
        <v>44712</v>
      </c>
      <c r="C1149" s="3" t="inlineStr">
        <is>
          <t>Expenses</t>
        </is>
      </c>
      <c r="D1149" s="3" t="inlineStr">
        <is>
          <t>3450/001</t>
        </is>
      </c>
      <c r="E1149" s="3" t="inlineStr">
        <is>
          <t>Depreciation - Computer Equipment</t>
        </is>
      </c>
      <c r="F1149" s="3" t="n">
        <v>1926.81</v>
      </c>
      <c r="G1149" s="3" t="n">
        <v>4801.2</v>
      </c>
    </row>
    <row r="1150">
      <c r="A1150" s="3" t="inlineStr">
        <is>
          <t>Cape Projects Construction (Pty) Ltd</t>
        </is>
      </c>
      <c r="B1150" s="4" t="n">
        <v>44712</v>
      </c>
      <c r="C1150" s="3" t="inlineStr">
        <is>
          <t>Expenses</t>
        </is>
      </c>
      <c r="D1150" s="3" t="inlineStr">
        <is>
          <t>3450/002</t>
        </is>
      </c>
      <c r="E1150" s="3" t="inlineStr">
        <is>
          <t>Depreciation - Generator Fixed Asset</t>
        </is>
      </c>
      <c r="F1150" s="3" t="n">
        <v>193.33</v>
      </c>
      <c r="G1150" s="3" t="n">
        <v>580</v>
      </c>
    </row>
    <row r="1151">
      <c r="A1151" s="3" t="inlineStr">
        <is>
          <t>Cape Projects Construction (Pty) Ltd</t>
        </is>
      </c>
      <c r="B1151" s="4" t="n">
        <v>44712</v>
      </c>
      <c r="C1151" s="3" t="inlineStr">
        <is>
          <t>Expenses</t>
        </is>
      </c>
      <c r="D1151" s="3" t="inlineStr">
        <is>
          <t>3450/030</t>
        </is>
      </c>
      <c r="E1151" s="3" t="inlineStr">
        <is>
          <t>Depreciation - Furniture and Fittings</t>
        </is>
      </c>
      <c r="F1151" s="3" t="n">
        <v>427.21</v>
      </c>
      <c r="G1151" s="3" t="n">
        <v>1281.62</v>
      </c>
    </row>
    <row r="1152">
      <c r="A1152" s="3" t="inlineStr">
        <is>
          <t>Heron Fields (Pty) Ltd</t>
        </is>
      </c>
      <c r="B1152" s="4" t="n">
        <v>44712</v>
      </c>
      <c r="C1152" s="3" t="inlineStr">
        <is>
          <t>Expenses</t>
        </is>
      </c>
      <c r="D1152" s="3" t="inlineStr">
        <is>
          <t>3650/000</t>
        </is>
      </c>
      <c r="E1152" s="3" t="inlineStr">
        <is>
          <t>CoCT - Electricity</t>
        </is>
      </c>
      <c r="F1152" s="3" t="n">
        <v>4886.73</v>
      </c>
      <c r="G1152" s="3" t="n">
        <v>7102.63</v>
      </c>
    </row>
    <row r="1153">
      <c r="A1153" s="3" t="inlineStr">
        <is>
          <t>Cape Projects Construction (Pty) Ltd</t>
        </is>
      </c>
      <c r="B1153" s="4" t="n">
        <v>44712</v>
      </c>
      <c r="C1153" s="3" t="inlineStr">
        <is>
          <t>Expenses</t>
        </is>
      </c>
      <c r="D1153" s="3" t="inlineStr">
        <is>
          <t>3650/000</t>
        </is>
      </c>
      <c r="E1153" s="3" t="inlineStr">
        <is>
          <t>Electricity _AND_ Water</t>
        </is>
      </c>
      <c r="F1153" s="3" t="n">
        <v>4899.68</v>
      </c>
      <c r="G1153" s="3" t="n">
        <v>12522.08</v>
      </c>
    </row>
    <row r="1154">
      <c r="A1154" s="3" t="inlineStr">
        <is>
          <t>Heron Fields (Pty) Ltd</t>
        </is>
      </c>
      <c r="B1154" s="4" t="n">
        <v>44712</v>
      </c>
      <c r="C1154" s="3" t="inlineStr">
        <is>
          <t>Expenses</t>
        </is>
      </c>
      <c r="D1154" s="3" t="inlineStr">
        <is>
          <t>3660/000</t>
        </is>
      </c>
      <c r="E1154" s="3" t="inlineStr">
        <is>
          <t>CoCT - Water</t>
        </is>
      </c>
      <c r="F1154" s="3" t="n">
        <v>9207.4</v>
      </c>
      <c r="G1154" s="3" t="n">
        <v>19787.8</v>
      </c>
    </row>
    <row r="1155">
      <c r="A1155" s="3" t="inlineStr">
        <is>
          <t>Cape Projects Construction (Pty) Ltd</t>
        </is>
      </c>
      <c r="B1155" s="4" t="n">
        <v>44712</v>
      </c>
      <c r="C1155" s="3" t="inlineStr">
        <is>
          <t>Expenses</t>
        </is>
      </c>
      <c r="D1155" s="3" t="inlineStr">
        <is>
          <t>3700/000</t>
        </is>
      </c>
      <c r="E1155" s="3" t="inlineStr">
        <is>
          <t>Entertainment Expenses</t>
        </is>
      </c>
      <c r="F1155" s="3" t="n">
        <v>0</v>
      </c>
      <c r="G1155" s="3" t="n">
        <v>1801.52</v>
      </c>
    </row>
    <row r="1156">
      <c r="A1156" s="3" t="inlineStr">
        <is>
          <t>Cape Projects Construction (Pty) Ltd</t>
        </is>
      </c>
      <c r="B1156" s="4" t="n">
        <v>44712</v>
      </c>
      <c r="C1156" s="3" t="inlineStr">
        <is>
          <t>Expenses</t>
        </is>
      </c>
      <c r="D1156" s="3" t="inlineStr">
        <is>
          <t>3850/001</t>
        </is>
      </c>
      <c r="E1156" s="3" t="inlineStr">
        <is>
          <t>Insurance - Santam</t>
        </is>
      </c>
      <c r="F1156" s="3" t="n">
        <v>0</v>
      </c>
      <c r="G1156" s="3" t="n">
        <v>3513.01</v>
      </c>
    </row>
    <row r="1157">
      <c r="A1157" s="3" t="inlineStr">
        <is>
          <t>Cape Projects Construction (Pty) Ltd</t>
        </is>
      </c>
      <c r="B1157" s="4" t="n">
        <v>44712</v>
      </c>
      <c r="C1157" s="3" t="inlineStr">
        <is>
          <t>Expenses</t>
        </is>
      </c>
      <c r="D1157" s="3" t="inlineStr">
        <is>
          <t>3850/002</t>
        </is>
      </c>
      <c r="E1157" s="3" t="inlineStr">
        <is>
          <t>Insurance - RBS</t>
        </is>
      </c>
      <c r="F1157" s="3" t="n">
        <v>237.57</v>
      </c>
      <c r="G1157" s="3" t="n">
        <v>712.71</v>
      </c>
    </row>
    <row r="1158">
      <c r="A1158" s="3" t="inlineStr">
        <is>
          <t>Heron Fields (Pty) Ltd</t>
        </is>
      </c>
      <c r="B1158" s="4" t="n">
        <v>44712</v>
      </c>
      <c r="C1158" s="3" t="inlineStr">
        <is>
          <t>Expenses</t>
        </is>
      </c>
      <c r="D1158" s="3" t="inlineStr">
        <is>
          <t>3900/000</t>
        </is>
      </c>
      <c r="E1158" s="3" t="inlineStr">
        <is>
          <t>Interest Paid</t>
        </is>
      </c>
      <c r="F1158" s="3" t="n">
        <v>0</v>
      </c>
      <c r="G1158" s="3" t="n">
        <v>54.64</v>
      </c>
    </row>
    <row r="1159">
      <c r="A1159" s="3" t="inlineStr">
        <is>
          <t>Heron Fields (Pty) Ltd</t>
        </is>
      </c>
      <c r="B1159" s="4" t="n">
        <v>44712</v>
      </c>
      <c r="C1159" s="3" t="inlineStr">
        <is>
          <t>Expenses</t>
        </is>
      </c>
      <c r="D1159" s="3" t="inlineStr">
        <is>
          <t>4100/001</t>
        </is>
      </c>
      <c r="E1159" s="3" t="inlineStr">
        <is>
          <t>Momentum Admin Fee</t>
        </is>
      </c>
      <c r="F1159" s="3" t="n">
        <v>49434.6</v>
      </c>
      <c r="G1159" s="3" t="n">
        <v>70449.78999999999</v>
      </c>
    </row>
    <row r="1160">
      <c r="A1160" s="3" t="inlineStr">
        <is>
          <t>Cape Projects Construction (Pty) Ltd</t>
        </is>
      </c>
      <c r="B1160" s="4" t="n">
        <v>44712</v>
      </c>
      <c r="C1160" s="3" t="inlineStr">
        <is>
          <t>Expenses</t>
        </is>
      </c>
      <c r="D1160" s="3" t="inlineStr">
        <is>
          <t>4150/030</t>
        </is>
      </c>
      <c r="E1160" s="3" t="inlineStr">
        <is>
          <t>Motor Vehicle - Insurance _AND_ Licence</t>
        </is>
      </c>
      <c r="F1160" s="3" t="n">
        <v>0</v>
      </c>
      <c r="G1160" s="3" t="n">
        <v>1200</v>
      </c>
    </row>
    <row r="1161">
      <c r="A1161" s="3" t="inlineStr">
        <is>
          <t>Cape Projects Construction (Pty) Ltd</t>
        </is>
      </c>
      <c r="B1161" s="4" t="n">
        <v>44712</v>
      </c>
      <c r="C1161" s="3" t="inlineStr">
        <is>
          <t>Expenses</t>
        </is>
      </c>
      <c r="D1161" s="3" t="inlineStr">
        <is>
          <t>4200/000</t>
        </is>
      </c>
      <c r="E1161" s="3" t="inlineStr">
        <is>
          <t>Printing _AND_ Stationery</t>
        </is>
      </c>
      <c r="F1161" s="3" t="n">
        <v>1164.19</v>
      </c>
      <c r="G1161" s="3" t="n">
        <v>4662.16</v>
      </c>
    </row>
    <row r="1162">
      <c r="A1162" s="3" t="inlineStr">
        <is>
          <t>Cape Projects Construction (Pty) Ltd</t>
        </is>
      </c>
      <c r="B1162" s="4" t="n">
        <v>44712</v>
      </c>
      <c r="C1162" s="3" t="inlineStr">
        <is>
          <t>Expenses</t>
        </is>
      </c>
      <c r="D1162" s="3" t="inlineStr">
        <is>
          <t>4201/000</t>
        </is>
      </c>
      <c r="E1162" s="3" t="inlineStr">
        <is>
          <t>Printing - Printer rental</t>
        </is>
      </c>
      <c r="F1162" s="3" t="n">
        <v>616.23</v>
      </c>
      <c r="G1162" s="3" t="n">
        <v>1842.43</v>
      </c>
    </row>
    <row r="1163">
      <c r="A1163" s="3" t="inlineStr">
        <is>
          <t>Cape Projects Construction (Pty) Ltd</t>
        </is>
      </c>
      <c r="B1163" s="4" t="n">
        <v>44712</v>
      </c>
      <c r="C1163" s="3" t="inlineStr">
        <is>
          <t>Expenses</t>
        </is>
      </c>
      <c r="D1163" s="3" t="inlineStr">
        <is>
          <t>4300/000</t>
        </is>
      </c>
      <c r="E1163" s="3" t="inlineStr">
        <is>
          <t>Rent Paid</t>
        </is>
      </c>
      <c r="F1163" s="3" t="n">
        <v>28087.5</v>
      </c>
      <c r="G1163" s="3" t="n">
        <v>84262.5</v>
      </c>
    </row>
    <row r="1164">
      <c r="A1164" s="3" t="inlineStr">
        <is>
          <t>Cape Projects Construction (Pty) Ltd</t>
        </is>
      </c>
      <c r="B1164" s="4" t="n">
        <v>44712</v>
      </c>
      <c r="C1164" s="3" t="inlineStr">
        <is>
          <t>Expenses</t>
        </is>
      </c>
      <c r="D1164" s="3" t="inlineStr">
        <is>
          <t>4310/000</t>
        </is>
      </c>
      <c r="E1164" s="3" t="inlineStr">
        <is>
          <t>Rates</t>
        </is>
      </c>
      <c r="F1164" s="3" t="n">
        <v>843.6</v>
      </c>
      <c r="G1164" s="3" t="n">
        <v>2530.8</v>
      </c>
    </row>
    <row r="1165">
      <c r="A1165" s="3" t="inlineStr">
        <is>
          <t>Heron Fields (Pty) Ltd</t>
        </is>
      </c>
      <c r="B1165" s="4" t="n">
        <v>44712</v>
      </c>
      <c r="C1165" s="3" t="inlineStr">
        <is>
          <t>Expenses</t>
        </is>
      </c>
      <c r="D1165" s="3" t="inlineStr">
        <is>
          <t>4310/000</t>
        </is>
      </c>
      <c r="E1165" s="3" t="inlineStr">
        <is>
          <t>Rates - Heron</t>
        </is>
      </c>
      <c r="F1165" s="3" t="n">
        <v>6340.26</v>
      </c>
      <c r="G1165" s="3" t="n">
        <v>9510.389999999999</v>
      </c>
    </row>
    <row r="1166">
      <c r="A1166" s="3" t="inlineStr">
        <is>
          <t>Cape Projects Construction (Pty) Ltd</t>
        </is>
      </c>
      <c r="B1166" s="4" t="n">
        <v>44712</v>
      </c>
      <c r="C1166" s="3" t="inlineStr">
        <is>
          <t>Expenses</t>
        </is>
      </c>
      <c r="D1166" s="3" t="inlineStr">
        <is>
          <t>4350/000</t>
        </is>
      </c>
      <c r="E1166" s="3" t="inlineStr">
        <is>
          <t>Repairs _AND_ Maintenance</t>
        </is>
      </c>
      <c r="F1166" s="3" t="n">
        <v>0</v>
      </c>
      <c r="G1166" s="3" t="n">
        <v>450</v>
      </c>
    </row>
    <row r="1167">
      <c r="A1167" s="3" t="inlineStr">
        <is>
          <t>Cape Projects Construction (Pty) Ltd</t>
        </is>
      </c>
      <c r="B1167" s="4" t="n">
        <v>44712</v>
      </c>
      <c r="C1167" s="3" t="inlineStr">
        <is>
          <t>Expenses</t>
        </is>
      </c>
      <c r="D1167" s="3" t="inlineStr">
        <is>
          <t>4400/000</t>
        </is>
      </c>
      <c r="E1167" s="3" t="inlineStr">
        <is>
          <t>Salaries _AND_ Wages</t>
        </is>
      </c>
      <c r="F1167" s="3" t="n">
        <v>231061.89</v>
      </c>
      <c r="G1167" s="3" t="n">
        <v>688756.9399999999</v>
      </c>
    </row>
    <row r="1168">
      <c r="A1168" s="3" t="inlineStr">
        <is>
          <t>Cape Projects Construction (Pty) Ltd</t>
        </is>
      </c>
      <c r="B1168" s="4" t="n">
        <v>44712</v>
      </c>
      <c r="C1168" s="3" t="inlineStr">
        <is>
          <t>Expenses</t>
        </is>
      </c>
      <c r="D1168" s="3" t="inlineStr">
        <is>
          <t>4403/000</t>
        </is>
      </c>
      <c r="E1168" s="3" t="inlineStr">
        <is>
          <t>Security</t>
        </is>
      </c>
      <c r="F1168" s="3" t="n">
        <v>328.7</v>
      </c>
      <c r="G1168" s="3" t="n">
        <v>328.7</v>
      </c>
    </row>
    <row r="1169">
      <c r="A1169" s="3" t="inlineStr">
        <is>
          <t>Cape Projects Construction (Pty) Ltd</t>
        </is>
      </c>
      <c r="B1169" s="4" t="n">
        <v>44712</v>
      </c>
      <c r="C1169" s="3" t="inlineStr">
        <is>
          <t>Expenses</t>
        </is>
      </c>
      <c r="D1169" s="3" t="inlineStr">
        <is>
          <t>4420/000</t>
        </is>
      </c>
      <c r="E1169" s="3" t="inlineStr">
        <is>
          <t>Small Assets</t>
        </is>
      </c>
      <c r="F1169" s="3" t="n">
        <v>898</v>
      </c>
      <c r="G1169" s="3" t="n">
        <v>898</v>
      </c>
    </row>
    <row r="1170">
      <c r="A1170" s="3" t="inlineStr">
        <is>
          <t>Heron Fields (Pty) Ltd</t>
        </is>
      </c>
      <c r="B1170" s="4" t="n">
        <v>44712</v>
      </c>
      <c r="C1170" s="3" t="inlineStr">
        <is>
          <t>Expenses</t>
        </is>
      </c>
      <c r="D1170" s="3" t="inlineStr">
        <is>
          <t>4420/001</t>
        </is>
      </c>
      <c r="E1170" s="3" t="inlineStr">
        <is>
          <t>Security - ADT</t>
        </is>
      </c>
      <c r="F1170" s="3" t="n">
        <v>302.65</v>
      </c>
      <c r="G1170" s="3" t="n">
        <v>890.5599999999999</v>
      </c>
    </row>
    <row r="1171">
      <c r="A1171" s="3" t="inlineStr">
        <is>
          <t>Cape Projects Construction (Pty) Ltd</t>
        </is>
      </c>
      <c r="B1171" s="4" t="n">
        <v>44712</v>
      </c>
      <c r="C1171" s="3" t="inlineStr">
        <is>
          <t>Expenses</t>
        </is>
      </c>
      <c r="D1171" s="3" t="inlineStr">
        <is>
          <t>4450/000</t>
        </is>
      </c>
      <c r="E1171" s="3" t="inlineStr">
        <is>
          <t>Staff Training</t>
        </is>
      </c>
      <c r="F1171" s="3" t="n">
        <v>0</v>
      </c>
      <c r="G1171" s="3" t="n">
        <v>6800</v>
      </c>
    </row>
    <row r="1172">
      <c r="A1172" s="3" t="inlineStr">
        <is>
          <t>Cape Projects Construction (Pty) Ltd</t>
        </is>
      </c>
      <c r="B1172" s="4" t="n">
        <v>44712</v>
      </c>
      <c r="C1172" s="3" t="inlineStr">
        <is>
          <t>Expenses</t>
        </is>
      </c>
      <c r="D1172" s="3" t="inlineStr">
        <is>
          <t>4500/000</t>
        </is>
      </c>
      <c r="E1172" s="3" t="inlineStr">
        <is>
          <t>Staff Welfare _AND_ Refreshmts</t>
        </is>
      </c>
      <c r="F1172" s="3" t="n">
        <v>922.85</v>
      </c>
      <c r="G1172" s="3" t="n">
        <v>2674.5</v>
      </c>
    </row>
    <row r="1173">
      <c r="A1173" s="3" t="inlineStr">
        <is>
          <t>Cape Projects Construction (Pty) Ltd</t>
        </is>
      </c>
      <c r="B1173" s="4" t="n">
        <v>44712</v>
      </c>
      <c r="C1173" s="3" t="inlineStr">
        <is>
          <t>Expenses</t>
        </is>
      </c>
      <c r="D1173" s="3" t="inlineStr">
        <is>
          <t>4550/001</t>
        </is>
      </c>
      <c r="E1173" s="3" t="inlineStr">
        <is>
          <t>Subscriptions &amp; Licenses - Sage payroll</t>
        </is>
      </c>
      <c r="F1173" s="3" t="n">
        <v>491</v>
      </c>
      <c r="G1173" s="3" t="n">
        <v>1473</v>
      </c>
    </row>
    <row r="1174">
      <c r="A1174" s="3" t="inlineStr">
        <is>
          <t>Cape Projects Construction (Pty) Ltd</t>
        </is>
      </c>
      <c r="B1174" s="4" t="n">
        <v>44712</v>
      </c>
      <c r="C1174" s="3" t="inlineStr">
        <is>
          <t>Expenses</t>
        </is>
      </c>
      <c r="D1174" s="3" t="inlineStr">
        <is>
          <t>4550/003</t>
        </is>
      </c>
      <c r="E1174" s="3" t="inlineStr">
        <is>
          <t>Subscriptions &amp; Licenses - Xero</t>
        </is>
      </c>
      <c r="F1174" s="3" t="n">
        <v>600</v>
      </c>
      <c r="G1174" s="3" t="n">
        <v>1800</v>
      </c>
    </row>
    <row r="1175">
      <c r="A1175" s="3" t="inlineStr">
        <is>
          <t>Cape Projects Construction (Pty) Ltd</t>
        </is>
      </c>
      <c r="B1175" s="4" t="n">
        <v>44712</v>
      </c>
      <c r="C1175" s="3" t="inlineStr">
        <is>
          <t>Expenses</t>
        </is>
      </c>
      <c r="D1175" s="3" t="inlineStr">
        <is>
          <t>4550/004</t>
        </is>
      </c>
      <c r="E1175" s="3" t="inlineStr">
        <is>
          <t>Subscriptions - Smartsheet</t>
        </is>
      </c>
      <c r="F1175" s="3" t="n">
        <v>726</v>
      </c>
      <c r="G1175" s="3" t="n">
        <v>1089</v>
      </c>
    </row>
    <row r="1176">
      <c r="A1176" s="3" t="inlineStr">
        <is>
          <t>Cape Projects Construction (Pty) Ltd</t>
        </is>
      </c>
      <c r="B1176" s="4" t="n">
        <v>44712</v>
      </c>
      <c r="C1176" s="3" t="inlineStr">
        <is>
          <t>Expenses</t>
        </is>
      </c>
      <c r="D1176" s="3" t="inlineStr">
        <is>
          <t>4550/006</t>
        </is>
      </c>
      <c r="E1176" s="3" t="inlineStr">
        <is>
          <t>Subscription - Candy software</t>
        </is>
      </c>
      <c r="F1176" s="3" t="n">
        <v>1640</v>
      </c>
      <c r="G1176" s="3" t="n">
        <v>7205</v>
      </c>
    </row>
    <row r="1177">
      <c r="A1177" s="3" t="inlineStr">
        <is>
          <t>Heron Fields (Pty) Ltd</t>
        </is>
      </c>
      <c r="B1177" s="4" t="n">
        <v>44712</v>
      </c>
      <c r="C1177" s="3" t="inlineStr">
        <is>
          <t>Expenses</t>
        </is>
      </c>
      <c r="D1177" s="3" t="inlineStr">
        <is>
          <t>4550/100</t>
        </is>
      </c>
      <c r="E1177" s="3" t="inlineStr">
        <is>
          <t>Subscriptions - Xero</t>
        </is>
      </c>
      <c r="F1177" s="3" t="n">
        <v>600</v>
      </c>
      <c r="G1177" s="3" t="n">
        <v>1800</v>
      </c>
    </row>
    <row r="1178">
      <c r="A1178" s="3" t="inlineStr">
        <is>
          <t>Heron View (Pty) Ltd</t>
        </is>
      </c>
      <c r="B1178" s="4" t="n">
        <v>44712</v>
      </c>
      <c r="C1178" s="3" t="inlineStr">
        <is>
          <t>Expenses</t>
        </is>
      </c>
      <c r="D1178" s="3" t="inlineStr">
        <is>
          <t>4550/100</t>
        </is>
      </c>
      <c r="E1178" s="3" t="inlineStr">
        <is>
          <t>Subscriptions - Xero</t>
        </is>
      </c>
      <c r="F1178" s="3" t="n">
        <v>600</v>
      </c>
      <c r="G1178" s="3" t="n">
        <v>1800</v>
      </c>
    </row>
    <row r="1179">
      <c r="A1179" s="3" t="inlineStr">
        <is>
          <t>Cape Projects Construction (Pty) Ltd</t>
        </is>
      </c>
      <c r="B1179" s="4" t="n">
        <v>44712</v>
      </c>
      <c r="C1179" s="3" t="inlineStr">
        <is>
          <t>Expenses</t>
        </is>
      </c>
      <c r="D1179" s="3" t="inlineStr">
        <is>
          <t>4700/000</t>
        </is>
      </c>
      <c r="E1179" s="3" t="inlineStr">
        <is>
          <t>PAYE Contributions</t>
        </is>
      </c>
      <c r="F1179" s="3" t="n">
        <v>36200.89</v>
      </c>
      <c r="G1179" s="3" t="n">
        <v>128354.84</v>
      </c>
    </row>
    <row r="1180">
      <c r="A1180" s="3" t="inlineStr">
        <is>
          <t>Cape Projects Construction (Pty) Ltd</t>
        </is>
      </c>
      <c r="B1180" s="4" t="n">
        <v>44712</v>
      </c>
      <c r="C1180" s="3" t="inlineStr">
        <is>
          <t>Expenses</t>
        </is>
      </c>
      <c r="D1180" s="3" t="inlineStr">
        <is>
          <t>4720/000</t>
        </is>
      </c>
      <c r="E1180" s="3" t="inlineStr">
        <is>
          <t>SDL Contributions</t>
        </is>
      </c>
      <c r="F1180" s="3" t="n">
        <v>2541.99</v>
      </c>
      <c r="G1180" s="3" t="n">
        <v>7791.43</v>
      </c>
    </row>
    <row r="1181">
      <c r="A1181" s="3" t="inlineStr">
        <is>
          <t>Cape Projects Construction (Pty) Ltd</t>
        </is>
      </c>
      <c r="B1181" s="4" t="n">
        <v>44712</v>
      </c>
      <c r="C1181" s="3" t="inlineStr">
        <is>
          <t>Expenses</t>
        </is>
      </c>
      <c r="D1181" s="3" t="inlineStr">
        <is>
          <t>4730/000</t>
        </is>
      </c>
      <c r="E1181" s="3" t="inlineStr">
        <is>
          <t>UIF Company Contributions</t>
        </is>
      </c>
      <c r="F1181" s="3" t="n">
        <v>1802.24</v>
      </c>
      <c r="G1181" s="3" t="n">
        <v>4909.43</v>
      </c>
    </row>
    <row r="1182">
      <c r="A1182" s="3" t="inlineStr">
        <is>
          <t>Cape Projects Construction (Pty) Ltd</t>
        </is>
      </c>
      <c r="B1182" s="4" t="n">
        <v>44712</v>
      </c>
      <c r="C1182" s="3" t="inlineStr">
        <is>
          <t>Expenses</t>
        </is>
      </c>
      <c r="D1182" s="3" t="inlineStr">
        <is>
          <t>4731/000</t>
        </is>
      </c>
      <c r="E1182" s="3" t="inlineStr">
        <is>
          <t>UIF Employee Contribution</t>
        </is>
      </c>
      <c r="F1182" s="3" t="n">
        <v>1802.24</v>
      </c>
      <c r="G1182" s="3" t="n">
        <v>4909.43</v>
      </c>
    </row>
    <row r="1183">
      <c r="A1183" s="3" t="inlineStr">
        <is>
          <t>Cape Projects Construction (Pty) Ltd</t>
        </is>
      </c>
      <c r="B1183" s="4" t="n">
        <v>44712</v>
      </c>
      <c r="C1183" s="3" t="inlineStr">
        <is>
          <t>Expenses</t>
        </is>
      </c>
      <c r="D1183" s="3" t="inlineStr">
        <is>
          <t>4740/000</t>
        </is>
      </c>
      <c r="E1183" s="3" t="inlineStr">
        <is>
          <t>BIBC Company Contribution</t>
        </is>
      </c>
      <c r="F1183" s="3" t="n">
        <v>2579.79</v>
      </c>
      <c r="G1183" s="3" t="n">
        <v>2873.35</v>
      </c>
    </row>
    <row r="1184">
      <c r="A1184" s="3" t="inlineStr">
        <is>
          <t>Cape Projects Construction (Pty) Ltd</t>
        </is>
      </c>
      <c r="B1184" s="4" t="n">
        <v>44712</v>
      </c>
      <c r="C1184" s="3" t="inlineStr">
        <is>
          <t>Expenses</t>
        </is>
      </c>
      <c r="D1184" s="3" t="inlineStr">
        <is>
          <t>4741/000</t>
        </is>
      </c>
      <c r="E1184" s="3" t="inlineStr">
        <is>
          <t>BIBC Employee Contribution</t>
        </is>
      </c>
      <c r="F1184" s="3" t="n">
        <v>2579.79</v>
      </c>
      <c r="G1184" s="3" t="n">
        <v>2695.35</v>
      </c>
    </row>
    <row r="1185">
      <c r="A1185" s="3" t="inlineStr">
        <is>
          <t>Heron Fields (Pty) Ltd</t>
        </is>
      </c>
      <c r="B1185" s="4" t="n">
        <v>44712</v>
      </c>
      <c r="C1185" s="3" t="inlineStr">
        <is>
          <t>Equity</t>
        </is>
      </c>
      <c r="D1185" s="3" t="inlineStr">
        <is>
          <t>5100-000</t>
        </is>
      </c>
      <c r="E1185" s="3" t="inlineStr">
        <is>
          <t>Share Capital</t>
        </is>
      </c>
      <c r="F1185" s="3" t="n">
        <v>0</v>
      </c>
      <c r="G1185" s="3" t="n">
        <v>-100</v>
      </c>
    </row>
    <row r="1186">
      <c r="A1186" s="3" t="inlineStr">
        <is>
          <t>Cape Projects Construction (Pty) Ltd</t>
        </is>
      </c>
      <c r="B1186" s="4" t="n">
        <v>44712</v>
      </c>
      <c r="C1186" s="3" t="inlineStr">
        <is>
          <t>Equity</t>
        </is>
      </c>
      <c r="D1186" s="3" t="inlineStr">
        <is>
          <t>5100/000</t>
        </is>
      </c>
      <c r="E1186" s="3" t="inlineStr">
        <is>
          <t>Share Capital / Members Contribution</t>
        </is>
      </c>
      <c r="F1186" s="3" t="n">
        <v>0</v>
      </c>
      <c r="G1186" s="3" t="n">
        <v>-120</v>
      </c>
    </row>
    <row r="1187">
      <c r="A1187" s="3" t="inlineStr">
        <is>
          <t>Cape Projects Construction (Pty) Ltd</t>
        </is>
      </c>
      <c r="B1187" s="4" t="n">
        <v>44712</v>
      </c>
      <c r="C1187" s="3" t="inlineStr">
        <is>
          <t>Equity</t>
        </is>
      </c>
      <c r="D1187" s="3" t="inlineStr">
        <is>
          <t>5200/000</t>
        </is>
      </c>
      <c r="E1187" s="3" t="inlineStr">
        <is>
          <t>Retained Earnings / Loss</t>
        </is>
      </c>
      <c r="F1187" s="3" t="n">
        <v>0</v>
      </c>
      <c r="G1187" s="3" t="n">
        <v>247347.05</v>
      </c>
    </row>
    <row r="1188">
      <c r="A1188" s="3" t="inlineStr">
        <is>
          <t>Heron Fields (Pty) Ltd</t>
        </is>
      </c>
      <c r="B1188" s="4" t="n">
        <v>44712</v>
      </c>
      <c r="C1188" s="3" t="inlineStr">
        <is>
          <t>Equity</t>
        </is>
      </c>
      <c r="D1188" s="3" t="inlineStr">
        <is>
          <t>5200/000</t>
        </is>
      </c>
      <c r="E1188" s="3" t="inlineStr">
        <is>
          <t>Retained Earnings / Loss</t>
        </is>
      </c>
      <c r="F1188" s="3" t="n">
        <v>0</v>
      </c>
      <c r="G1188" s="3" t="n">
        <v>-17080353.05</v>
      </c>
    </row>
    <row r="1189">
      <c r="A1189" s="3" t="inlineStr">
        <is>
          <t>Heron Fields (Pty) Ltd</t>
        </is>
      </c>
      <c r="B1189" s="4" t="n">
        <v>44712</v>
      </c>
      <c r="C1189" s="3" t="inlineStr">
        <is>
          <t>Assets</t>
        </is>
      </c>
      <c r="D1189" s="3" t="inlineStr">
        <is>
          <t>5300/001</t>
        </is>
      </c>
      <c r="E1189" s="3" t="inlineStr">
        <is>
          <t>Revaluation of Land stock</t>
        </is>
      </c>
      <c r="F1189" s="3" t="n">
        <v>0</v>
      </c>
      <c r="G1189" s="3" t="n">
        <v>17562360.85</v>
      </c>
    </row>
    <row r="1190">
      <c r="A1190" s="3" t="inlineStr">
        <is>
          <t>Cape Projects Construction (Pty) Ltd</t>
        </is>
      </c>
      <c r="B1190" s="4" t="n">
        <v>44712</v>
      </c>
      <c r="C1190" s="3" t="inlineStr">
        <is>
          <t>Assets</t>
        </is>
      </c>
      <c r="D1190" s="3" t="inlineStr">
        <is>
          <t>5400/150</t>
        </is>
      </c>
      <c r="E1190" s="3" t="inlineStr">
        <is>
          <t>Loan - Quinate</t>
        </is>
      </c>
      <c r="F1190" s="3" t="n">
        <v>0</v>
      </c>
      <c r="G1190" s="3" t="n">
        <v>2850000</v>
      </c>
    </row>
    <row r="1191">
      <c r="A1191" s="3" t="inlineStr">
        <is>
          <t>Cape Projects Construction (Pty) Ltd</t>
        </is>
      </c>
      <c r="B1191" s="4" t="n">
        <v>44712</v>
      </c>
      <c r="C1191" s="3" t="inlineStr">
        <is>
          <t>Assets</t>
        </is>
      </c>
      <c r="D1191" s="3" t="inlineStr">
        <is>
          <t>5400/450</t>
        </is>
      </c>
      <c r="E1191" s="3" t="inlineStr">
        <is>
          <t>Loan - Opportunity Investment</t>
        </is>
      </c>
      <c r="F1191" s="3" t="n">
        <v>-115000</v>
      </c>
      <c r="G1191" s="3" t="n">
        <v>-323000</v>
      </c>
    </row>
    <row r="1192">
      <c r="A1192" s="3" t="inlineStr">
        <is>
          <t>Cape Projects Construction (Pty) Ltd</t>
        </is>
      </c>
      <c r="B1192" s="4" t="n">
        <v>44712</v>
      </c>
      <c r="C1192" s="3" t="inlineStr">
        <is>
          <t>Assets</t>
        </is>
      </c>
      <c r="D1192" s="3" t="inlineStr">
        <is>
          <t>5400/550</t>
        </is>
      </c>
      <c r="E1192" s="3" t="inlineStr">
        <is>
          <t>Loan - Trademark</t>
        </is>
      </c>
      <c r="F1192" s="3" t="n">
        <v>-600</v>
      </c>
      <c r="G1192" s="3" t="n">
        <v>0</v>
      </c>
    </row>
    <row r="1193">
      <c r="A1193" s="3" t="inlineStr">
        <is>
          <t>Cape Projects Construction (Pty) Ltd</t>
        </is>
      </c>
      <c r="B1193" s="4" t="n">
        <v>44712</v>
      </c>
      <c r="C1193" s="3" t="inlineStr">
        <is>
          <t>Assets</t>
        </is>
      </c>
      <c r="D1193" s="3" t="inlineStr">
        <is>
          <t>5400/600</t>
        </is>
      </c>
      <c r="E1193" s="3" t="inlineStr">
        <is>
          <t>Loan - Heron Projects</t>
        </is>
      </c>
      <c r="F1193" s="3" t="n">
        <v>270000</v>
      </c>
      <c r="G1193" s="3" t="n">
        <v>-3711000</v>
      </c>
    </row>
    <row r="1194">
      <c r="A1194" s="3" t="inlineStr">
        <is>
          <t>Cape Projects Construction (Pty) Ltd</t>
        </is>
      </c>
      <c r="B1194" s="4" t="n">
        <v>44712</v>
      </c>
      <c r="C1194" s="3" t="inlineStr">
        <is>
          <t>Assets</t>
        </is>
      </c>
      <c r="D1194" s="3" t="inlineStr">
        <is>
          <t>5400/650</t>
        </is>
      </c>
      <c r="E1194" s="3" t="inlineStr">
        <is>
          <t>Loan - Noble Shield</t>
        </is>
      </c>
      <c r="F1194" s="3" t="n">
        <v>-600</v>
      </c>
      <c r="G1194" s="3" t="n">
        <v>0</v>
      </c>
    </row>
    <row r="1195">
      <c r="A1195" s="3" t="inlineStr">
        <is>
          <t>Cape Projects Construction (Pty) Ltd</t>
        </is>
      </c>
      <c r="B1195" s="4" t="n">
        <v>44712</v>
      </c>
      <c r="C1195" s="3" t="inlineStr">
        <is>
          <t>Assets</t>
        </is>
      </c>
      <c r="D1195" s="3" t="inlineStr">
        <is>
          <t>5400/750</t>
        </is>
      </c>
      <c r="E1195" s="3" t="inlineStr">
        <is>
          <t>Loan - Endulini</t>
        </is>
      </c>
      <c r="F1195" s="3" t="n">
        <v>-162675.54</v>
      </c>
      <c r="G1195" s="3" t="n">
        <v>-162675.54</v>
      </c>
    </row>
    <row r="1196">
      <c r="A1196" s="3" t="inlineStr">
        <is>
          <t>Cape Projects Construction (Pty) Ltd</t>
        </is>
      </c>
      <c r="B1196" s="4" t="n">
        <v>44712</v>
      </c>
      <c r="C1196" s="3" t="inlineStr">
        <is>
          <t>Assets</t>
        </is>
      </c>
      <c r="D1196" s="3" t="inlineStr">
        <is>
          <t>5400/800</t>
        </is>
      </c>
      <c r="E1196" s="3" t="inlineStr">
        <is>
          <t>Loan - Opportunity Management Holdings</t>
        </is>
      </c>
      <c r="F1196" s="3" t="n">
        <v>5233.05</v>
      </c>
      <c r="G1196" s="3" t="n">
        <v>-50000</v>
      </c>
    </row>
    <row r="1197">
      <c r="A1197" s="3" t="inlineStr">
        <is>
          <t>Heron View (Pty) Ltd</t>
        </is>
      </c>
      <c r="B1197" s="4" t="n">
        <v>44712</v>
      </c>
      <c r="C1197" s="3" t="inlineStr">
        <is>
          <t>Liabilities</t>
        </is>
      </c>
      <c r="D1197" s="3" t="inlineStr">
        <is>
          <t>5500/001</t>
        </is>
      </c>
      <c r="E1197" s="3" t="inlineStr">
        <is>
          <t>Loan - Heron Fields</t>
        </is>
      </c>
      <c r="F1197" s="3" t="n">
        <v>-5200</v>
      </c>
      <c r="G1197" s="3" t="n">
        <v>-10720</v>
      </c>
    </row>
    <row r="1198">
      <c r="A1198" s="3" t="inlineStr">
        <is>
          <t>Heron Fields (Pty) Ltd</t>
        </is>
      </c>
      <c r="B1198" s="4" t="n">
        <v>44712</v>
      </c>
      <c r="C1198" s="3" t="inlineStr">
        <is>
          <t>Liabilities</t>
        </is>
      </c>
      <c r="D1198" s="3" t="inlineStr">
        <is>
          <t>5500/020</t>
        </is>
      </c>
      <c r="E1198" s="3" t="inlineStr">
        <is>
          <t>Loan - Cape Projects Construction</t>
        </is>
      </c>
      <c r="F1198" s="3" t="n">
        <v>-270000</v>
      </c>
      <c r="G1198" s="3" t="n">
        <v>3711000</v>
      </c>
    </row>
    <row r="1199">
      <c r="A1199" s="3" t="inlineStr">
        <is>
          <t>Heron Fields (Pty) Ltd</t>
        </is>
      </c>
      <c r="B1199" s="4" t="n">
        <v>44712</v>
      </c>
      <c r="C1199" s="3" t="inlineStr">
        <is>
          <t>Liabilities</t>
        </is>
      </c>
      <c r="D1199" s="3" t="inlineStr">
        <is>
          <t>5500/050</t>
        </is>
      </c>
      <c r="E1199" s="3" t="inlineStr">
        <is>
          <t>Loan - Heron View</t>
        </is>
      </c>
      <c r="F1199" s="3" t="n">
        <v>5200</v>
      </c>
      <c r="G1199" s="3" t="n">
        <v>10720</v>
      </c>
    </row>
    <row r="1200">
      <c r="A1200" s="3" t="inlineStr">
        <is>
          <t>Cape Projects Construction (Pty) Ltd</t>
        </is>
      </c>
      <c r="B1200" s="4" t="n">
        <v>44712</v>
      </c>
      <c r="C1200" s="3" t="inlineStr">
        <is>
          <t>Liabilities</t>
        </is>
      </c>
      <c r="D1200" s="3" t="inlineStr">
        <is>
          <t>5600/100</t>
        </is>
      </c>
      <c r="E1200" s="3" t="inlineStr">
        <is>
          <t>Motor Vehical Car Repaymts - Toyota</t>
        </is>
      </c>
      <c r="F1200" s="3" t="n">
        <v>0</v>
      </c>
      <c r="G1200" s="3" t="n">
        <v>15591.67</v>
      </c>
    </row>
    <row r="1201">
      <c r="A1201" s="3" t="inlineStr">
        <is>
          <t>Cape Projects Construction (Pty) Ltd</t>
        </is>
      </c>
      <c r="B1201" s="4" t="n">
        <v>44712</v>
      </c>
      <c r="C1201" s="3" t="inlineStr">
        <is>
          <t>Liabilities</t>
        </is>
      </c>
      <c r="D1201" s="3" t="inlineStr">
        <is>
          <t>5600/200</t>
        </is>
      </c>
      <c r="E1201" s="3" t="inlineStr">
        <is>
          <t>Motor Vehicle Car Repayments - Toyota Shortterm</t>
        </is>
      </c>
      <c r="F1201" s="3" t="n">
        <v>0</v>
      </c>
      <c r="G1201" s="3" t="n">
        <v>-58920.1</v>
      </c>
    </row>
    <row r="1202">
      <c r="A1202" s="3" t="inlineStr">
        <is>
          <t>Cape Projects Construction (Pty) Ltd</t>
        </is>
      </c>
      <c r="B1202" s="4" t="n">
        <v>44712</v>
      </c>
      <c r="C1202" s="3" t="inlineStr">
        <is>
          <t>Assets</t>
        </is>
      </c>
      <c r="D1202" s="3" t="inlineStr">
        <is>
          <t>6200/010</t>
        </is>
      </c>
      <c r="E1202" s="3" t="inlineStr">
        <is>
          <t>Motor Vehicles - @ Cost</t>
        </is>
      </c>
      <c r="F1202" s="3" t="n">
        <v>0</v>
      </c>
      <c r="G1202" s="3" t="n">
        <v>216064.1</v>
      </c>
    </row>
    <row r="1203">
      <c r="A1203" s="3" t="inlineStr">
        <is>
          <t>Cape Projects Construction (Pty) Ltd</t>
        </is>
      </c>
      <c r="B1203" s="4" t="n">
        <v>44712</v>
      </c>
      <c r="C1203" s="3" t="inlineStr">
        <is>
          <t>Assets</t>
        </is>
      </c>
      <c r="D1203" s="3" t="inlineStr">
        <is>
          <t>6200/020</t>
        </is>
      </c>
      <c r="E1203" s="3" t="inlineStr">
        <is>
          <t>Motor Vehicles - Accum Depre</t>
        </is>
      </c>
      <c r="F1203" s="3" t="n">
        <v>0</v>
      </c>
      <c r="G1203" s="3" t="n">
        <v>-176453</v>
      </c>
    </row>
    <row r="1204">
      <c r="A1204" s="3" t="inlineStr">
        <is>
          <t>Cape Projects Construction (Pty) Ltd</t>
        </is>
      </c>
      <c r="B1204" s="4" t="n">
        <v>44712</v>
      </c>
      <c r="C1204" s="3" t="inlineStr">
        <is>
          <t>Assets</t>
        </is>
      </c>
      <c r="D1204" s="3" t="inlineStr">
        <is>
          <t>6250/010</t>
        </is>
      </c>
      <c r="E1204" s="3" t="inlineStr">
        <is>
          <t>Computer Equipment - @ Cost</t>
        </is>
      </c>
      <c r="F1204" s="3" t="n">
        <v>13931</v>
      </c>
      <c r="G1204" s="3" t="n">
        <v>83494.91</v>
      </c>
    </row>
    <row r="1205">
      <c r="A1205" s="3" t="inlineStr">
        <is>
          <t>Cape Projects Construction (Pty) Ltd</t>
        </is>
      </c>
      <c r="B1205" s="4" t="n">
        <v>44712</v>
      </c>
      <c r="C1205" s="3" t="inlineStr">
        <is>
          <t>Assets</t>
        </is>
      </c>
      <c r="D1205" s="3" t="inlineStr">
        <is>
          <t>6250/020</t>
        </is>
      </c>
      <c r="E1205" s="3" t="inlineStr">
        <is>
          <t>Computer Equipment - Accum Depre</t>
        </is>
      </c>
      <c r="F1205" s="3" t="n">
        <v>-1926.81</v>
      </c>
      <c r="G1205" s="3" t="n">
        <v>-23942.29</v>
      </c>
    </row>
    <row r="1206">
      <c r="A1206" s="3" t="inlineStr">
        <is>
          <t>Cape Projects Construction (Pty) Ltd</t>
        </is>
      </c>
      <c r="B1206" s="4" t="n">
        <v>44712</v>
      </c>
      <c r="C1206" s="3" t="inlineStr">
        <is>
          <t>Assets</t>
        </is>
      </c>
      <c r="D1206" s="3" t="inlineStr">
        <is>
          <t>6350/010</t>
        </is>
      </c>
      <c r="E1206" s="3" t="inlineStr">
        <is>
          <t>Furniture _AND_ Fittings - @ Cost</t>
        </is>
      </c>
      <c r="F1206" s="3" t="n">
        <v>0</v>
      </c>
      <c r="G1206" s="3" t="n">
        <v>29281.39</v>
      </c>
    </row>
    <row r="1207">
      <c r="A1207" s="3" t="inlineStr">
        <is>
          <t>Cape Projects Construction (Pty) Ltd</t>
        </is>
      </c>
      <c r="B1207" s="4" t="n">
        <v>44712</v>
      </c>
      <c r="C1207" s="3" t="inlineStr">
        <is>
          <t>Assets</t>
        </is>
      </c>
      <c r="D1207" s="3" t="inlineStr">
        <is>
          <t>6350/020</t>
        </is>
      </c>
      <c r="E1207" s="3" t="inlineStr">
        <is>
          <t>Furniture _AND_ Fittings - Accum Depre</t>
        </is>
      </c>
      <c r="F1207" s="3" t="n">
        <v>-427.21</v>
      </c>
      <c r="G1207" s="3" t="n">
        <v>-1688.31</v>
      </c>
    </row>
    <row r="1208">
      <c r="A1208" s="3" t="inlineStr">
        <is>
          <t>Cape Projects Construction (Pty) Ltd</t>
        </is>
      </c>
      <c r="B1208" s="4" t="n">
        <v>44712</v>
      </c>
      <c r="C1208" s="3" t="inlineStr">
        <is>
          <t>Assets</t>
        </is>
      </c>
      <c r="D1208" s="3" t="inlineStr">
        <is>
          <t>6600/010</t>
        </is>
      </c>
      <c r="E1208" s="3" t="inlineStr">
        <is>
          <t>Generator Fixed Asset - @ Cost</t>
        </is>
      </c>
      <c r="F1208" s="3" t="n">
        <v>0</v>
      </c>
      <c r="G1208" s="3" t="n">
        <v>11600</v>
      </c>
    </row>
    <row r="1209">
      <c r="A1209" s="3" t="inlineStr">
        <is>
          <t>Cape Projects Construction (Pty) Ltd</t>
        </is>
      </c>
      <c r="B1209" s="4" t="n">
        <v>44712</v>
      </c>
      <c r="C1209" s="3" t="inlineStr">
        <is>
          <t>Assets</t>
        </is>
      </c>
      <c r="D1209" s="3" t="inlineStr">
        <is>
          <t>6600/020</t>
        </is>
      </c>
      <c r="E1209" s="3" t="inlineStr">
        <is>
          <t>Generator Fixed Asset - Accum Depre</t>
        </is>
      </c>
      <c r="F1209" s="3" t="n">
        <v>-193.33</v>
      </c>
      <c r="G1209" s="3" t="n">
        <v>-1385.56</v>
      </c>
    </row>
    <row r="1210">
      <c r="A1210" s="3" t="inlineStr">
        <is>
          <t>Heron Fields (Pty) Ltd</t>
        </is>
      </c>
      <c r="B1210" s="4" t="n">
        <v>44712</v>
      </c>
      <c r="C1210" s="3" t="inlineStr">
        <is>
          <t>Assets</t>
        </is>
      </c>
      <c r="D1210" s="3" t="inlineStr">
        <is>
          <t>7610/395</t>
        </is>
      </c>
      <c r="E1210" s="3" t="inlineStr">
        <is>
          <t>HF CIP NHBRC</t>
        </is>
      </c>
      <c r="F1210" s="3" t="n">
        <v>0</v>
      </c>
      <c r="G1210" s="3" t="n">
        <v>874505.75</v>
      </c>
    </row>
    <row r="1211">
      <c r="A1211" s="3" t="inlineStr">
        <is>
          <t>Heron Fields (Pty) Ltd</t>
        </is>
      </c>
      <c r="B1211" s="4" t="n">
        <v>44712</v>
      </c>
      <c r="C1211" s="3" t="inlineStr">
        <is>
          <t>Assets</t>
        </is>
      </c>
      <c r="D1211" s="3" t="inlineStr">
        <is>
          <t>7620/100</t>
        </is>
      </c>
      <c r="E1211" s="3" t="inlineStr">
        <is>
          <t>Heron View Land</t>
        </is>
      </c>
      <c r="F1211" s="3" t="n">
        <v>0</v>
      </c>
      <c r="G1211" s="3" t="n">
        <v>26200000</v>
      </c>
    </row>
    <row r="1212">
      <c r="A1212" s="3" t="inlineStr">
        <is>
          <t>Heron Fields (Pty) Ltd</t>
        </is>
      </c>
      <c r="B1212" s="4" t="n">
        <v>44712</v>
      </c>
      <c r="C1212" s="3" t="inlineStr">
        <is>
          <t>Assets</t>
        </is>
      </c>
      <c r="D1212" s="3" t="inlineStr">
        <is>
          <t>7620/101</t>
        </is>
      </c>
      <c r="E1212" s="3" t="inlineStr">
        <is>
          <t>HF CIP Bond Registration Fee</t>
        </is>
      </c>
      <c r="F1212" s="3" t="n">
        <v>0</v>
      </c>
      <c r="G1212" s="3" t="n">
        <v>68427</v>
      </c>
    </row>
    <row r="1213">
      <c r="A1213" s="3" t="inlineStr">
        <is>
          <t>Heron Fields (Pty) Ltd</t>
        </is>
      </c>
      <c r="B1213" s="4" t="n">
        <v>44712</v>
      </c>
      <c r="C1213" s="3" t="inlineStr">
        <is>
          <t>Assets</t>
        </is>
      </c>
      <c r="D1213" s="3" t="inlineStr">
        <is>
          <t>7620/102</t>
        </is>
      </c>
      <c r="E1213" s="3" t="inlineStr">
        <is>
          <t>HF CIP Transfer Fee</t>
        </is>
      </c>
      <c r="F1213" s="3" t="n">
        <v>0</v>
      </c>
      <c r="G1213" s="3" t="n">
        <v>103812</v>
      </c>
    </row>
    <row r="1214">
      <c r="A1214" s="3" t="inlineStr">
        <is>
          <t>Heron Fields (Pty) Ltd</t>
        </is>
      </c>
      <c r="B1214" s="4" t="n">
        <v>44712</v>
      </c>
      <c r="C1214" s="3" t="inlineStr">
        <is>
          <t>Assets</t>
        </is>
      </c>
      <c r="D1214" s="3" t="inlineStr">
        <is>
          <t>7620/220</t>
        </is>
      </c>
      <c r="E1214" s="3" t="inlineStr">
        <is>
          <t>HF CIP Architectural Designs</t>
        </is>
      </c>
      <c r="F1214" s="3" t="n">
        <v>0</v>
      </c>
      <c r="G1214" s="3" t="n">
        <v>150780</v>
      </c>
    </row>
    <row r="1215">
      <c r="A1215" s="3" t="inlineStr">
        <is>
          <t>Heron Fields (Pty) Ltd</t>
        </is>
      </c>
      <c r="B1215" s="4" t="n">
        <v>44712</v>
      </c>
      <c r="C1215" s="3" t="inlineStr">
        <is>
          <t>Assets</t>
        </is>
      </c>
      <c r="D1215" s="3" t="inlineStr">
        <is>
          <t>7620/230</t>
        </is>
      </c>
      <c r="E1215" s="3" t="inlineStr">
        <is>
          <t>HF CIP Construction Management</t>
        </is>
      </c>
      <c r="F1215" s="3" t="n">
        <v>11000</v>
      </c>
      <c r="G1215" s="3" t="n">
        <v>38000</v>
      </c>
    </row>
    <row r="1216">
      <c r="A1216" s="3" t="inlineStr">
        <is>
          <t>Heron Fields (Pty) Ltd</t>
        </is>
      </c>
      <c r="B1216" s="4" t="n">
        <v>44712</v>
      </c>
      <c r="C1216" s="3" t="inlineStr">
        <is>
          <t>Assets</t>
        </is>
      </c>
      <c r="D1216" s="3" t="inlineStr">
        <is>
          <t>7620/240</t>
        </is>
      </c>
      <c r="E1216" s="3" t="inlineStr">
        <is>
          <t>HF CIP Civil Engineering</t>
        </is>
      </c>
      <c r="F1216" s="3" t="n">
        <v>272866.52</v>
      </c>
      <c r="G1216" s="3" t="n">
        <v>5763374.8</v>
      </c>
    </row>
    <row r="1217">
      <c r="A1217" s="3" t="inlineStr">
        <is>
          <t>Heron Fields (Pty) Ltd</t>
        </is>
      </c>
      <c r="B1217" s="4" t="n">
        <v>44712</v>
      </c>
      <c r="C1217" s="3" t="inlineStr">
        <is>
          <t>Assets</t>
        </is>
      </c>
      <c r="D1217" s="3" t="inlineStr">
        <is>
          <t>7620/245</t>
        </is>
      </c>
      <c r="E1217" s="3" t="inlineStr">
        <is>
          <t>HF CIP Development fee</t>
        </is>
      </c>
      <c r="F1217" s="3" t="n">
        <v>0</v>
      </c>
      <c r="G1217" s="3" t="n">
        <v>13807.78</v>
      </c>
    </row>
    <row r="1218">
      <c r="A1218" s="3" t="inlineStr">
        <is>
          <t>Heron Fields (Pty) Ltd</t>
        </is>
      </c>
      <c r="B1218" s="4" t="n">
        <v>44712</v>
      </c>
      <c r="C1218" s="3" t="inlineStr">
        <is>
          <t>Assets</t>
        </is>
      </c>
      <c r="D1218" s="3" t="inlineStr">
        <is>
          <t>7620/250</t>
        </is>
      </c>
      <c r="E1218" s="3" t="inlineStr">
        <is>
          <t>HF CIP Land Surveyor</t>
        </is>
      </c>
      <c r="F1218" s="3" t="n">
        <v>0</v>
      </c>
      <c r="G1218" s="3" t="n">
        <v>44026.09</v>
      </c>
    </row>
    <row r="1219">
      <c r="A1219" s="3" t="inlineStr">
        <is>
          <t>Heron Fields (Pty) Ltd</t>
        </is>
      </c>
      <c r="B1219" s="4" t="n">
        <v>44712</v>
      </c>
      <c r="C1219" s="3" t="inlineStr">
        <is>
          <t>Assets</t>
        </is>
      </c>
      <c r="D1219" s="3" t="inlineStr">
        <is>
          <t>7620/255</t>
        </is>
      </c>
      <c r="E1219" s="3" t="inlineStr">
        <is>
          <t>HF CIP Landscaping</t>
        </is>
      </c>
      <c r="F1219" s="3" t="n">
        <v>0</v>
      </c>
      <c r="G1219" s="3" t="n">
        <v>7500</v>
      </c>
    </row>
    <row r="1220">
      <c r="A1220" s="3" t="inlineStr">
        <is>
          <t>Heron Fields (Pty) Ltd</t>
        </is>
      </c>
      <c r="B1220" s="4" t="n">
        <v>44712</v>
      </c>
      <c r="C1220" s="3" t="inlineStr">
        <is>
          <t>Assets</t>
        </is>
      </c>
      <c r="D1220" s="3" t="inlineStr">
        <is>
          <t>7620/260</t>
        </is>
      </c>
      <c r="E1220" s="3" t="inlineStr">
        <is>
          <t>HF CIP Mechanical Engineers</t>
        </is>
      </c>
      <c r="F1220" s="3" t="n">
        <v>0</v>
      </c>
      <c r="G1220" s="3" t="n">
        <v>67400</v>
      </c>
    </row>
    <row r="1221">
      <c r="A1221" s="3" t="inlineStr">
        <is>
          <t>Heron Fields (Pty) Ltd</t>
        </is>
      </c>
      <c r="B1221" s="4" t="n">
        <v>44712</v>
      </c>
      <c r="C1221" s="3" t="inlineStr">
        <is>
          <t>Assets</t>
        </is>
      </c>
      <c r="D1221" s="3" t="inlineStr">
        <is>
          <t>7620/265</t>
        </is>
      </c>
      <c r="E1221" s="3" t="inlineStr">
        <is>
          <t>HF CIP Health &amp; Safety</t>
        </is>
      </c>
      <c r="F1221" s="3" t="n">
        <v>1400</v>
      </c>
      <c r="G1221" s="3" t="n">
        <v>10800</v>
      </c>
    </row>
    <row r="1222">
      <c r="A1222" s="3" t="inlineStr">
        <is>
          <t>Heron Fields (Pty) Ltd</t>
        </is>
      </c>
      <c r="B1222" s="4" t="n">
        <v>44712</v>
      </c>
      <c r="C1222" s="3" t="inlineStr">
        <is>
          <t>Assets</t>
        </is>
      </c>
      <c r="D1222" s="3" t="inlineStr">
        <is>
          <t>7620/270</t>
        </is>
      </c>
      <c r="E1222" s="3" t="inlineStr">
        <is>
          <t>HF CIP Geotechnical</t>
        </is>
      </c>
      <c r="F1222" s="3" t="n">
        <v>0</v>
      </c>
      <c r="G1222" s="3" t="n">
        <v>15175</v>
      </c>
    </row>
    <row r="1223">
      <c r="A1223" s="3" t="inlineStr">
        <is>
          <t>Heron Fields (Pty) Ltd</t>
        </is>
      </c>
      <c r="B1223" s="4" t="n">
        <v>44712</v>
      </c>
      <c r="C1223" s="3" t="inlineStr">
        <is>
          <t>Assets</t>
        </is>
      </c>
      <c r="D1223" s="3" t="inlineStr">
        <is>
          <t>7620/275</t>
        </is>
      </c>
      <c r="E1223" s="3" t="inlineStr">
        <is>
          <t>HF CIP Retaining Wall</t>
        </is>
      </c>
      <c r="F1223" s="3" t="n">
        <v>0</v>
      </c>
      <c r="G1223" s="3" t="n">
        <v>570856.08</v>
      </c>
    </row>
    <row r="1224">
      <c r="A1224" s="3" t="inlineStr">
        <is>
          <t>Heron Fields (Pty) Ltd</t>
        </is>
      </c>
      <c r="B1224" s="4" t="n">
        <v>44712</v>
      </c>
      <c r="C1224" s="3" t="inlineStr">
        <is>
          <t>Assets</t>
        </is>
      </c>
      <c r="D1224" s="3" t="inlineStr">
        <is>
          <t>7620/280</t>
        </is>
      </c>
      <c r="E1224" s="3" t="inlineStr">
        <is>
          <t>HF CIP Site Establishment</t>
        </is>
      </c>
      <c r="F1224" s="3" t="n">
        <v>4013619.9</v>
      </c>
      <c r="G1224" s="3" t="n">
        <v>7685243.39</v>
      </c>
    </row>
    <row r="1225">
      <c r="A1225" s="3" t="inlineStr">
        <is>
          <t>Heron Fields (Pty) Ltd</t>
        </is>
      </c>
      <c r="B1225" s="4" t="n">
        <v>44712</v>
      </c>
      <c r="C1225" s="3" t="inlineStr">
        <is>
          <t>Assets</t>
        </is>
      </c>
      <c r="D1225" s="3" t="inlineStr">
        <is>
          <t>7620/285</t>
        </is>
      </c>
      <c r="E1225" s="3" t="inlineStr">
        <is>
          <t>HF CIP Structuring Fee - Invest</t>
        </is>
      </c>
      <c r="F1225" s="3" t="n">
        <v>0</v>
      </c>
      <c r="G1225" s="3" t="n">
        <v>2376904.99</v>
      </c>
    </row>
    <row r="1226">
      <c r="A1226" s="3" t="inlineStr">
        <is>
          <t>Heron Fields (Pty) Ltd</t>
        </is>
      </c>
      <c r="B1226" s="4" t="n">
        <v>44712</v>
      </c>
      <c r="C1226" s="3" t="inlineStr">
        <is>
          <t>Assets</t>
        </is>
      </c>
      <c r="D1226" s="3" t="inlineStr">
        <is>
          <t>7620/287</t>
        </is>
      </c>
      <c r="E1226" s="3" t="inlineStr">
        <is>
          <t>HF CIP Structuring Fee - Development</t>
        </is>
      </c>
      <c r="F1226" s="3" t="n">
        <v>0</v>
      </c>
      <c r="G1226" s="3" t="n">
        <v>782608.0699999999</v>
      </c>
    </row>
    <row r="1227">
      <c r="A1227" s="3" t="inlineStr">
        <is>
          <t>Heron Fields (Pty) Ltd</t>
        </is>
      </c>
      <c r="B1227" s="4" t="n">
        <v>44712</v>
      </c>
      <c r="C1227" s="3" t="inlineStr">
        <is>
          <t>Assets</t>
        </is>
      </c>
      <c r="D1227" s="3" t="inlineStr">
        <is>
          <t>7620/290</t>
        </is>
      </c>
      <c r="E1227" s="3" t="inlineStr">
        <is>
          <t>HF CIP Town Planning</t>
        </is>
      </c>
      <c r="F1227" s="3" t="n">
        <v>0</v>
      </c>
      <c r="G1227" s="3" t="n">
        <v>129550</v>
      </c>
    </row>
    <row r="1228">
      <c r="A1228" s="3" t="inlineStr">
        <is>
          <t>Heron Fields (Pty) Ltd</t>
        </is>
      </c>
      <c r="B1228" s="4" t="n">
        <v>44712</v>
      </c>
      <c r="C1228" s="3" t="inlineStr">
        <is>
          <t>Assets</t>
        </is>
      </c>
      <c r="D1228" s="3" t="inlineStr">
        <is>
          <t>7620/295</t>
        </is>
      </c>
      <c r="E1228" s="3" t="inlineStr">
        <is>
          <t>HF CIP Traffic Planning</t>
        </is>
      </c>
      <c r="F1228" s="3" t="n">
        <v>0</v>
      </c>
      <c r="G1228" s="3" t="n">
        <v>45000</v>
      </c>
    </row>
    <row r="1229">
      <c r="A1229" s="3" t="inlineStr">
        <is>
          <t>Heron Fields (Pty) Ltd</t>
        </is>
      </c>
      <c r="B1229" s="4" t="n">
        <v>44712</v>
      </c>
      <c r="C1229" s="3" t="inlineStr">
        <is>
          <t>Assets</t>
        </is>
      </c>
      <c r="D1229" s="3" t="inlineStr">
        <is>
          <t>7620/600</t>
        </is>
      </c>
      <c r="E1229" s="3" t="inlineStr">
        <is>
          <t>HF CIP Eco work</t>
        </is>
      </c>
      <c r="F1229" s="3" t="n">
        <v>6000</v>
      </c>
      <c r="G1229" s="3" t="n">
        <v>77000</v>
      </c>
    </row>
    <row r="1230">
      <c r="A1230" s="3" t="inlineStr">
        <is>
          <t>Heron Fields (Pty) Ltd</t>
        </is>
      </c>
      <c r="B1230" s="4" t="n">
        <v>44712</v>
      </c>
      <c r="C1230" s="3" t="inlineStr">
        <is>
          <t>Assets</t>
        </is>
      </c>
      <c r="D1230" s="3" t="inlineStr">
        <is>
          <t>7620/630</t>
        </is>
      </c>
      <c r="E1230" s="3" t="inlineStr">
        <is>
          <t>HF CIP CoCT development contribution</t>
        </is>
      </c>
      <c r="F1230" s="3" t="n">
        <v>0</v>
      </c>
      <c r="G1230" s="3" t="n">
        <v>749972.41</v>
      </c>
    </row>
    <row r="1231">
      <c r="A1231" s="3" t="inlineStr">
        <is>
          <t>Heron Fields (Pty) Ltd</t>
        </is>
      </c>
      <c r="B1231" s="4" t="n">
        <v>44712</v>
      </c>
      <c r="C1231" s="3" t="inlineStr">
        <is>
          <t>Assets</t>
        </is>
      </c>
      <c r="D1231" s="3" t="inlineStr">
        <is>
          <t>7620/640</t>
        </is>
      </c>
      <c r="E1231" s="3" t="inlineStr">
        <is>
          <t>HF CIP Project costs</t>
        </is>
      </c>
      <c r="F1231" s="3" t="n">
        <v>0</v>
      </c>
      <c r="G1231" s="3" t="n">
        <v>622274.51</v>
      </c>
    </row>
    <row r="1232">
      <c r="A1232" s="3" t="inlineStr">
        <is>
          <t>Cape Projects Construction (Pty) Ltd</t>
        </is>
      </c>
      <c r="B1232" s="4" t="n">
        <v>44712</v>
      </c>
      <c r="C1232" s="3" t="inlineStr">
        <is>
          <t>Assets</t>
        </is>
      </c>
      <c r="D1232" s="3" t="inlineStr">
        <is>
          <t>7800/000</t>
        </is>
      </c>
      <c r="E1232" s="3" t="inlineStr">
        <is>
          <t>Deposits paid</t>
        </is>
      </c>
      <c r="F1232" s="3" t="n">
        <v>0</v>
      </c>
      <c r="G1232" s="3" t="n">
        <v>6875.45</v>
      </c>
    </row>
    <row r="1233">
      <c r="A1233" s="3" t="inlineStr">
        <is>
          <t>Cape Projects Construction (Pty) Ltd</t>
        </is>
      </c>
      <c r="B1233" s="4" t="n">
        <v>44712</v>
      </c>
      <c r="C1233" s="3" t="inlineStr">
        <is>
          <t>Assets</t>
        </is>
      </c>
      <c r="D1233" s="3" t="inlineStr">
        <is>
          <t>8000/000</t>
        </is>
      </c>
      <c r="E1233" s="3" t="inlineStr">
        <is>
          <t>Customer Control Account</t>
        </is>
      </c>
      <c r="F1233" s="3" t="n">
        <v>1985117.36</v>
      </c>
      <c r="G1233" s="3" t="n">
        <v>7654794.12</v>
      </c>
    </row>
    <row r="1234">
      <c r="A1234" s="3" t="inlineStr">
        <is>
          <t>Cape Projects Construction (Pty) Ltd</t>
        </is>
      </c>
      <c r="B1234" s="4" t="n">
        <v>44712</v>
      </c>
      <c r="C1234" s="3" t="inlineStr">
        <is>
          <t>Assets</t>
        </is>
      </c>
      <c r="D1234" s="3" t="inlineStr">
        <is>
          <t>8200/010</t>
        </is>
      </c>
      <c r="E1234" s="3" t="inlineStr">
        <is>
          <t>Prepayments / Prepaid Expenses</t>
        </is>
      </c>
      <c r="F1234" s="3" t="n">
        <v>-5586.53</v>
      </c>
      <c r="G1234" s="3" t="n">
        <v>32928.57</v>
      </c>
    </row>
    <row r="1235">
      <c r="A1235" s="3" t="inlineStr">
        <is>
          <t>Heron Fields (Pty) Ltd</t>
        </is>
      </c>
      <c r="B1235" s="4" t="n">
        <v>44712</v>
      </c>
      <c r="C1235" s="3" t="inlineStr">
        <is>
          <t>Assets</t>
        </is>
      </c>
      <c r="D1235" s="3" t="inlineStr">
        <is>
          <t>8200/200</t>
        </is>
      </c>
      <c r="E1235" s="3" t="inlineStr">
        <is>
          <t>Sundry Debtor - Quinate</t>
        </is>
      </c>
      <c r="F1235" s="3" t="n">
        <v>-300000</v>
      </c>
      <c r="G1235" s="3" t="n">
        <v>0</v>
      </c>
    </row>
    <row r="1236">
      <c r="A1236" s="3" t="inlineStr">
        <is>
          <t>Heron Fields (Pty) Ltd</t>
        </is>
      </c>
      <c r="B1236" s="4" t="n">
        <v>44712</v>
      </c>
      <c r="C1236" s="3" t="inlineStr">
        <is>
          <t>Assets</t>
        </is>
      </c>
      <c r="D1236" s="3" t="inlineStr">
        <is>
          <t>8400/000</t>
        </is>
      </c>
      <c r="E1236" s="3" t="inlineStr">
        <is>
          <t>RMB - 62882379087</t>
        </is>
      </c>
      <c r="F1236" s="3" t="n">
        <v>1373413.49</v>
      </c>
      <c r="G1236" s="3" t="n">
        <v>1389482.57</v>
      </c>
    </row>
    <row r="1237">
      <c r="A1237" s="3" t="inlineStr">
        <is>
          <t>Cape Projects Construction (Pty) Ltd</t>
        </is>
      </c>
      <c r="B1237" s="4" t="n">
        <v>44712</v>
      </c>
      <c r="C1237" s="3" t="inlineStr">
        <is>
          <t>Assets</t>
        </is>
      </c>
      <c r="D1237" s="3" t="inlineStr">
        <is>
          <t>8400/000</t>
        </is>
      </c>
      <c r="E1237" s="3" t="inlineStr">
        <is>
          <t>RMB 62275138470</t>
        </is>
      </c>
      <c r="F1237" s="3" t="n">
        <v>-135598.42</v>
      </c>
      <c r="G1237" s="3" t="n">
        <v>47717.03</v>
      </c>
    </row>
    <row r="1238">
      <c r="A1238" s="3" t="inlineStr">
        <is>
          <t>Cape Projects Construction (Pty) Ltd</t>
        </is>
      </c>
      <c r="B1238" s="4" t="n">
        <v>44712</v>
      </c>
      <c r="C1238" s="3" t="inlineStr">
        <is>
          <t>Assets</t>
        </is>
      </c>
      <c r="D1238" s="3" t="inlineStr">
        <is>
          <t>8420/000</t>
        </is>
      </c>
      <c r="E1238" s="3" t="inlineStr">
        <is>
          <t>Momentum Priv Acc RU502230981</t>
        </is>
      </c>
      <c r="F1238" s="3" t="n">
        <v>4.12</v>
      </c>
      <c r="G1238" s="3" t="n">
        <v>515.78</v>
      </c>
    </row>
    <row r="1239">
      <c r="A1239" s="3" t="inlineStr">
        <is>
          <t>Heron Fields (Pty) Ltd</t>
        </is>
      </c>
      <c r="B1239" s="4" t="n">
        <v>44712</v>
      </c>
      <c r="C1239" s="3" t="inlineStr">
        <is>
          <t>Assets</t>
        </is>
      </c>
      <c r="D1239" s="3" t="inlineStr">
        <is>
          <t>8430/000</t>
        </is>
      </c>
      <c r="E1239" s="3" t="inlineStr">
        <is>
          <t>Momentum Private Account RU502230151</t>
        </is>
      </c>
      <c r="F1239" s="3" t="n">
        <v>2.88</v>
      </c>
      <c r="G1239" s="3" t="n">
        <v>793.28</v>
      </c>
    </row>
    <row r="1240">
      <c r="A1240" s="3" t="inlineStr">
        <is>
          <t>Heron Fields (Pty) Ltd</t>
        </is>
      </c>
      <c r="B1240" s="4" t="n">
        <v>44712</v>
      </c>
      <c r="C1240" s="3" t="inlineStr">
        <is>
          <t>Assets</t>
        </is>
      </c>
      <c r="D1240" s="3" t="inlineStr">
        <is>
          <t>8440/000</t>
        </is>
      </c>
      <c r="E1240" s="3" t="inlineStr">
        <is>
          <t>Momentum Investors Account RU502229930</t>
        </is>
      </c>
      <c r="F1240" s="3" t="n">
        <v>6595964.96</v>
      </c>
      <c r="G1240" s="3" t="n">
        <v>8363082.63</v>
      </c>
    </row>
    <row r="1241">
      <c r="A1241" s="3" t="inlineStr">
        <is>
          <t>Cape Projects Construction (Pty) Ltd</t>
        </is>
      </c>
      <c r="B1241" s="4" t="n">
        <v>44712</v>
      </c>
      <c r="C1241" s="3" t="inlineStr">
        <is>
          <t>Liabilities</t>
        </is>
      </c>
      <c r="D1241" s="3" t="inlineStr">
        <is>
          <t>860</t>
        </is>
      </c>
      <c r="E1241" s="3" t="inlineStr">
        <is>
          <t>Rounding</t>
        </is>
      </c>
      <c r="F1241" s="3" t="n">
        <v>0</v>
      </c>
      <c r="G1241" s="3" t="n">
        <v>-0.03</v>
      </c>
    </row>
    <row r="1242">
      <c r="A1242" s="3" t="inlineStr">
        <is>
          <t>Heron Fields (Pty) Ltd</t>
        </is>
      </c>
      <c r="B1242" s="4" t="n">
        <v>44712</v>
      </c>
      <c r="C1242" s="3" t="inlineStr">
        <is>
          <t>Liabilities</t>
        </is>
      </c>
      <c r="D1242" s="3" t="inlineStr">
        <is>
          <t>860</t>
        </is>
      </c>
      <c r="E1242" s="3" t="inlineStr">
        <is>
          <t>Rounding</t>
        </is>
      </c>
      <c r="F1242" s="3" t="n">
        <v>0</v>
      </c>
      <c r="G1242" s="3" t="n">
        <v>0.01</v>
      </c>
    </row>
    <row r="1243">
      <c r="A1243" s="3" t="inlineStr">
        <is>
          <t>Cape Projects Construction (Pty) Ltd</t>
        </is>
      </c>
      <c r="B1243" s="4" t="n">
        <v>44712</v>
      </c>
      <c r="C1243" s="3" t="inlineStr">
        <is>
          <t>Liabilities</t>
        </is>
      </c>
      <c r="D1243" s="3" t="inlineStr">
        <is>
          <t>9000/000</t>
        </is>
      </c>
      <c r="E1243" s="3" t="inlineStr">
        <is>
          <t>Supplier Control Account</t>
        </is>
      </c>
      <c r="F1243" s="3" t="n">
        <v>-1431977.96</v>
      </c>
      <c r="G1243" s="3" t="n">
        <v>-5280396.24</v>
      </c>
    </row>
    <row r="1244">
      <c r="A1244" s="3" t="inlineStr">
        <is>
          <t>Heron Fields (Pty) Ltd</t>
        </is>
      </c>
      <c r="B1244" s="4" t="n">
        <v>44712</v>
      </c>
      <c r="C1244" s="3" t="inlineStr">
        <is>
          <t>Liabilities</t>
        </is>
      </c>
      <c r="D1244" s="3" t="inlineStr">
        <is>
          <t>9000/000</t>
        </is>
      </c>
      <c r="E1244" s="3" t="inlineStr">
        <is>
          <t>Supplier Control Account</t>
        </is>
      </c>
      <c r="F1244" s="3" t="n">
        <v>-12561963.99</v>
      </c>
      <c r="G1244" s="3" t="n">
        <v>-61981663.64</v>
      </c>
    </row>
    <row r="1245">
      <c r="A1245" s="3" t="inlineStr">
        <is>
          <t>Heron View (Pty) Ltd</t>
        </is>
      </c>
      <c r="B1245" s="4" t="n">
        <v>44712</v>
      </c>
      <c r="C1245" s="3" t="inlineStr">
        <is>
          <t>Liabilities</t>
        </is>
      </c>
      <c r="D1245" s="3" t="inlineStr">
        <is>
          <t>9000/000</t>
        </is>
      </c>
      <c r="E1245" s="3" t="inlineStr">
        <is>
          <t>Supplier Control Account</t>
        </is>
      </c>
      <c r="F1245" s="3" t="n">
        <v>4510</v>
      </c>
      <c r="G1245" s="3" t="n">
        <v>8650</v>
      </c>
    </row>
    <row r="1246">
      <c r="A1246" s="3" t="inlineStr">
        <is>
          <t>Cape Projects Construction (Pty) Ltd</t>
        </is>
      </c>
      <c r="B1246" s="4" t="n">
        <v>44712</v>
      </c>
      <c r="C1246" s="3" t="inlineStr">
        <is>
          <t>Liabilities</t>
        </is>
      </c>
      <c r="D1246" s="3" t="inlineStr">
        <is>
          <t>9200/000</t>
        </is>
      </c>
      <c r="E1246" s="3" t="inlineStr">
        <is>
          <t>Sundry Suppliers</t>
        </is>
      </c>
      <c r="F1246" s="3" t="n">
        <v>0</v>
      </c>
      <c r="G1246" s="3" t="n">
        <v>1186.13</v>
      </c>
    </row>
    <row r="1247">
      <c r="A1247" s="3" t="inlineStr">
        <is>
          <t>Cape Projects Construction (Pty) Ltd</t>
        </is>
      </c>
      <c r="B1247" s="4" t="n">
        <v>44712</v>
      </c>
      <c r="C1247" s="3" t="inlineStr">
        <is>
          <t>Liabilities</t>
        </is>
      </c>
      <c r="D1247" s="3" t="inlineStr">
        <is>
          <t>9250/010</t>
        </is>
      </c>
      <c r="E1247" s="3" t="inlineStr">
        <is>
          <t>SALARY CONTROL</t>
        </is>
      </c>
      <c r="F1247" s="3" t="n">
        <v>0</v>
      </c>
      <c r="G1247" s="3" t="n">
        <v>20758.54</v>
      </c>
    </row>
    <row r="1248">
      <c r="A1248" s="3" t="inlineStr">
        <is>
          <t>Cape Projects Construction (Pty) Ltd</t>
        </is>
      </c>
      <c r="B1248" s="4" t="n">
        <v>44712</v>
      </c>
      <c r="C1248" s="3" t="inlineStr">
        <is>
          <t>Liabilities</t>
        </is>
      </c>
      <c r="D1248" s="3" t="inlineStr">
        <is>
          <t>9250/020</t>
        </is>
      </c>
      <c r="E1248" s="3" t="inlineStr">
        <is>
          <t>PAYE, UIF AND SDL CONTROL</t>
        </is>
      </c>
      <c r="F1248" s="3" t="n">
        <v>10572.14</v>
      </c>
      <c r="G1248" s="3" t="n">
        <v>-40636.81</v>
      </c>
    </row>
    <row r="1249">
      <c r="A1249" s="3" t="inlineStr">
        <is>
          <t>Cape Projects Construction (Pty) Ltd</t>
        </is>
      </c>
      <c r="B1249" s="4" t="n">
        <v>44712</v>
      </c>
      <c r="C1249" s="3" t="inlineStr">
        <is>
          <t>Liabilities</t>
        </is>
      </c>
      <c r="D1249" s="3" t="inlineStr">
        <is>
          <t>9250/030</t>
        </is>
      </c>
      <c r="E1249" s="3" t="inlineStr">
        <is>
          <t>BIBC CONTROL</t>
        </is>
      </c>
      <c r="F1249" s="3" t="n">
        <v>-5159.58</v>
      </c>
      <c r="G1249" s="3" t="n">
        <v>-5977.82</v>
      </c>
    </row>
    <row r="1250">
      <c r="A1250" s="3" t="inlineStr">
        <is>
          <t>Cape Projects Construction (Pty) Ltd</t>
        </is>
      </c>
      <c r="B1250" s="4" t="n">
        <v>44712</v>
      </c>
      <c r="C1250" s="3" t="inlineStr">
        <is>
          <t>Liabilities</t>
        </is>
      </c>
      <c r="D1250" s="3" t="inlineStr">
        <is>
          <t>9500/000</t>
        </is>
      </c>
      <c r="E1250" s="3" t="inlineStr">
        <is>
          <t>VAT Control Account</t>
        </is>
      </c>
      <c r="F1250" s="3" t="n">
        <v>-234644.45</v>
      </c>
      <c r="G1250" s="3" t="n">
        <v>-1321521.72</v>
      </c>
    </row>
    <row r="1251">
      <c r="A1251" s="3" t="inlineStr">
        <is>
          <t>Heron Fields (Pty) Ltd</t>
        </is>
      </c>
      <c r="B1251" s="4" t="n">
        <v>44712</v>
      </c>
      <c r="C1251" s="3" t="inlineStr">
        <is>
          <t>Liabilities</t>
        </is>
      </c>
      <c r="D1251" s="3" t="inlineStr">
        <is>
          <t>9500/000</t>
        </is>
      </c>
      <c r="E1251" s="3" t="inlineStr">
        <is>
          <t>Vat / Tax Control Account</t>
        </is>
      </c>
      <c r="F1251" s="3" t="n">
        <v>671339.61</v>
      </c>
      <c r="G1251" s="3" t="n">
        <v>1218261.5</v>
      </c>
    </row>
    <row r="1252">
      <c r="A1252" s="3" t="inlineStr">
        <is>
          <t>Heron View (Pty) Ltd</t>
        </is>
      </c>
      <c r="B1252" s="4" t="n">
        <v>44712</v>
      </c>
      <c r="C1252" s="3" t="inlineStr">
        <is>
          <t>Liabilities</t>
        </is>
      </c>
      <c r="D1252" s="3" t="inlineStr">
        <is>
          <t>9500/000</t>
        </is>
      </c>
      <c r="E1252" s="3" t="inlineStr">
        <is>
          <t>Vat / Tax Control Account</t>
        </is>
      </c>
      <c r="F1252" s="3" t="n">
        <v>90</v>
      </c>
      <c r="G1252" s="3" t="n">
        <v>270</v>
      </c>
    </row>
    <row r="1253">
      <c r="A1253" s="3" t="inlineStr">
        <is>
          <t>Cape Projects Construction (Pty) Ltd</t>
        </is>
      </c>
      <c r="B1253" s="4" t="n">
        <v>44712</v>
      </c>
      <c r="C1253" s="3" t="inlineStr">
        <is>
          <t>Liabilities</t>
        </is>
      </c>
      <c r="D1253" s="3" t="inlineStr">
        <is>
          <t>9990/000</t>
        </is>
      </c>
      <c r="E1253" s="3" t="inlineStr">
        <is>
          <t>Opening Balance / Suspense Account</t>
        </is>
      </c>
      <c r="F1253" s="3" t="n">
        <v>-168366.25</v>
      </c>
      <c r="G1253" s="3" t="n">
        <v>80</v>
      </c>
    </row>
    <row r="1254">
      <c r="A1254" s="3" t="inlineStr">
        <is>
          <t>Cape Projects Construction (Pty) Ltd</t>
        </is>
      </c>
      <c r="B1254" s="4" t="n">
        <v>44712</v>
      </c>
      <c r="C1254" s="3" t="inlineStr">
        <is>
          <t>Liabilities</t>
        </is>
      </c>
      <c r="D1254" s="3" t="inlineStr">
        <is>
          <t>B/S</t>
        </is>
      </c>
      <c r="E1254" s="3" t="inlineStr">
        <is>
          <t>Taxation Payable</t>
        </is>
      </c>
      <c r="F1254" s="3" t="n">
        <v>0</v>
      </c>
      <c r="G1254" s="3" t="n">
        <v>1869.8</v>
      </c>
    </row>
    <row r="1255">
      <c r="A1255" s="3" t="inlineStr">
        <is>
          <t>Cape Projects Construction (Pty) Ltd</t>
        </is>
      </c>
      <c r="B1255" s="4" t="n">
        <v>44712</v>
      </c>
      <c r="C1255" s="3" t="inlineStr">
        <is>
          <t>Liabilities</t>
        </is>
      </c>
      <c r="D1255" s="3" t="inlineStr">
        <is>
          <t>TEMP/ACC</t>
        </is>
      </c>
      <c r="E1255" s="3" t="inlineStr">
        <is>
          <t>Conversion Account</t>
        </is>
      </c>
      <c r="F1255" s="3" t="n">
        <v>0</v>
      </c>
      <c r="G1255" s="3" t="n">
        <v>-254.99</v>
      </c>
    </row>
    <row r="1256">
      <c r="A1256" s="3" t="inlineStr">
        <is>
          <t>Cape Projects Construction (Pty) Ltd</t>
        </is>
      </c>
      <c r="B1256" s="4" t="n">
        <v>44742</v>
      </c>
      <c r="C1256" s="3" t="inlineStr">
        <is>
          <t>Revenue</t>
        </is>
      </c>
      <c r="D1256" s="3" t="inlineStr">
        <is>
          <t>1040/100</t>
        </is>
      </c>
      <c r="E1256" s="3" t="inlineStr">
        <is>
          <t>Fees - Construction - Heron</t>
        </is>
      </c>
      <c r="F1256" s="3" t="n">
        <v>-5468173.62</v>
      </c>
      <c r="G1256" s="3" t="n">
        <v>-11183687.32</v>
      </c>
    </row>
    <row r="1257">
      <c r="A1257" s="3" t="inlineStr">
        <is>
          <t>Cape Projects Construction (Pty) Ltd</t>
        </is>
      </c>
      <c r="B1257" s="4" t="n">
        <v>44742</v>
      </c>
      <c r="C1257" s="3" t="inlineStr">
        <is>
          <t>Revenue</t>
        </is>
      </c>
      <c r="D1257" s="3" t="inlineStr">
        <is>
          <t>1050/030</t>
        </is>
      </c>
      <c r="E1257" s="3" t="inlineStr">
        <is>
          <t>Fees - Construction - Endulini</t>
        </is>
      </c>
      <c r="F1257" s="3" t="n">
        <v>-11339330.6</v>
      </c>
      <c r="G1257" s="3" t="n">
        <v>-22452442.41</v>
      </c>
    </row>
    <row r="1258">
      <c r="A1258" s="3" t="inlineStr">
        <is>
          <t>Cape Projects Construction (Pty) Ltd</t>
        </is>
      </c>
      <c r="B1258" s="4" t="n">
        <v>44742</v>
      </c>
      <c r="C1258" s="3" t="inlineStr">
        <is>
          <t>Revenue</t>
        </is>
      </c>
      <c r="D1258" s="3" t="inlineStr">
        <is>
          <t>1051/100</t>
        </is>
      </c>
      <c r="E1258" s="3" t="inlineStr">
        <is>
          <t>Fees - Construction - Heron Fields</t>
        </is>
      </c>
      <c r="F1258" s="3" t="n">
        <v>0</v>
      </c>
      <c r="G1258" s="3" t="n">
        <v>-1782369.8</v>
      </c>
    </row>
    <row r="1259">
      <c r="A1259" s="3" t="inlineStr">
        <is>
          <t>Cape Projects Construction (Pty) Ltd</t>
        </is>
      </c>
      <c r="B1259" s="4" t="n">
        <v>44742</v>
      </c>
      <c r="C1259" s="3" t="inlineStr">
        <is>
          <t>Revenue</t>
        </is>
      </c>
      <c r="D1259" s="3" t="inlineStr">
        <is>
          <t>1060/000</t>
        </is>
      </c>
      <c r="E1259" s="3" t="inlineStr">
        <is>
          <t>Insurance recovery</t>
        </is>
      </c>
      <c r="F1259" s="3" t="n">
        <v>0</v>
      </c>
      <c r="G1259" s="3" t="n">
        <v>-2839.7</v>
      </c>
    </row>
    <row r="1260">
      <c r="A1260" s="3" t="inlineStr">
        <is>
          <t>Cape Projects Construction (Pty) Ltd</t>
        </is>
      </c>
      <c r="B1260" s="4" t="n">
        <v>44742</v>
      </c>
      <c r="C1260" s="3" t="inlineStr">
        <is>
          <t>Revenue</t>
        </is>
      </c>
      <c r="D1260" s="3" t="inlineStr">
        <is>
          <t>1070/000</t>
        </is>
      </c>
      <c r="E1260" s="3" t="inlineStr">
        <is>
          <t>Rent - CT Office</t>
        </is>
      </c>
      <c r="F1260" s="3" t="n">
        <v>-3490.94</v>
      </c>
      <c r="G1260" s="3" t="n">
        <v>-13963.76</v>
      </c>
    </row>
    <row r="1261">
      <c r="A1261" s="3" t="inlineStr">
        <is>
          <t>Cape Projects Construction (Pty) Ltd</t>
        </is>
      </c>
      <c r="B1261" s="4" t="n">
        <v>44742</v>
      </c>
      <c r="C1261" s="3" t="inlineStr">
        <is>
          <t>Revenue</t>
        </is>
      </c>
      <c r="D1261" s="3" t="inlineStr">
        <is>
          <t>1080/000</t>
        </is>
      </c>
      <c r="E1261" s="3" t="inlineStr">
        <is>
          <t>Other income</t>
        </is>
      </c>
      <c r="F1261" s="3" t="n">
        <v>104</v>
      </c>
      <c r="G1261" s="3" t="n">
        <v>0</v>
      </c>
    </row>
    <row r="1262">
      <c r="A1262" s="3" t="inlineStr">
        <is>
          <t>Heron Fields (Pty) Ltd</t>
        </is>
      </c>
      <c r="B1262" s="4" t="n">
        <v>44742</v>
      </c>
      <c r="C1262" s="3" t="inlineStr">
        <is>
          <t>Expenses</t>
        </is>
      </c>
      <c r="D1262" s="3" t="inlineStr">
        <is>
          <t>2000/030</t>
        </is>
      </c>
      <c r="E1262" s="3" t="inlineStr">
        <is>
          <t>COS - Commission Heron Fields investors</t>
        </is>
      </c>
      <c r="F1262" s="3" t="n">
        <v>86956.52</v>
      </c>
      <c r="G1262" s="3" t="n">
        <v>86956.52</v>
      </c>
    </row>
    <row r="1263">
      <c r="A1263" s="3" t="inlineStr">
        <is>
          <t>Cape Projects Construction (Pty) Ltd</t>
        </is>
      </c>
      <c r="B1263" s="4" t="n">
        <v>44742</v>
      </c>
      <c r="C1263" s="3" t="inlineStr">
        <is>
          <t>Expenses</t>
        </is>
      </c>
      <c r="D1263" s="3" t="inlineStr">
        <is>
          <t>2005/200</t>
        </is>
      </c>
      <c r="E1263" s="3" t="inlineStr">
        <is>
          <t>COS - External Works</t>
        </is>
      </c>
      <c r="F1263" s="3" t="n">
        <v>0</v>
      </c>
      <c r="G1263" s="3" t="n">
        <v>957.28</v>
      </c>
    </row>
    <row r="1264">
      <c r="A1264" s="3" t="inlineStr">
        <is>
          <t>Cape Projects Construction (Pty) Ltd</t>
        </is>
      </c>
      <c r="B1264" s="4" t="n">
        <v>44742</v>
      </c>
      <c r="C1264" s="3" t="inlineStr">
        <is>
          <t>Expenses</t>
        </is>
      </c>
      <c r="D1264" s="3" t="inlineStr">
        <is>
          <t>2006/000</t>
        </is>
      </c>
      <c r="E1264" s="3" t="inlineStr">
        <is>
          <t>COS - Endulini Construction</t>
        </is>
      </c>
      <c r="F1264" s="3" t="n">
        <v>2300399.51</v>
      </c>
      <c r="G1264" s="3" t="n">
        <v>11572916.58</v>
      </c>
    </row>
    <row r="1265">
      <c r="A1265" s="3" t="inlineStr">
        <is>
          <t>Cape Projects Construction (Pty) Ltd</t>
        </is>
      </c>
      <c r="B1265" s="4" t="n">
        <v>44742</v>
      </c>
      <c r="C1265" s="3" t="inlineStr">
        <is>
          <t>Expenses</t>
        </is>
      </c>
      <c r="D1265" s="3" t="inlineStr">
        <is>
          <t>2006/100</t>
        </is>
      </c>
      <c r="E1265" s="3" t="inlineStr">
        <is>
          <t>COS - Endulini P and G</t>
        </is>
      </c>
      <c r="F1265" s="3" t="n">
        <v>141455.83</v>
      </c>
      <c r="G1265" s="3" t="n">
        <v>579248.59</v>
      </c>
    </row>
    <row r="1266">
      <c r="A1266" s="3" t="inlineStr">
        <is>
          <t>Cape Projects Construction (Pty) Ltd</t>
        </is>
      </c>
      <c r="B1266" s="4" t="n">
        <v>44742</v>
      </c>
      <c r="C1266" s="3" t="inlineStr">
        <is>
          <t>Expenses</t>
        </is>
      </c>
      <c r="D1266" s="3" t="inlineStr">
        <is>
          <t>2006/200</t>
        </is>
      </c>
      <c r="E1266" s="3" t="inlineStr">
        <is>
          <t>COS - Insurance</t>
        </is>
      </c>
      <c r="F1266" s="3" t="n">
        <v>5586.53</v>
      </c>
      <c r="G1266" s="3" t="n">
        <v>20986.4</v>
      </c>
    </row>
    <row r="1267">
      <c r="A1267" s="3" t="inlineStr">
        <is>
          <t>Cape Projects Construction (Pty) Ltd</t>
        </is>
      </c>
      <c r="B1267" s="4" t="n">
        <v>44742</v>
      </c>
      <c r="C1267" s="3" t="inlineStr">
        <is>
          <t>Expenses</t>
        </is>
      </c>
      <c r="D1267" s="3" t="inlineStr">
        <is>
          <t>2006/300</t>
        </is>
      </c>
      <c r="E1267" s="3" t="inlineStr">
        <is>
          <t>COS - Endulini - Printing &amp; Stationary</t>
        </is>
      </c>
      <c r="F1267" s="3" t="n">
        <v>0</v>
      </c>
      <c r="G1267" s="3" t="n">
        <v>269.65</v>
      </c>
    </row>
    <row r="1268">
      <c r="A1268" s="3" t="inlineStr">
        <is>
          <t>Cape Projects Construction (Pty) Ltd</t>
        </is>
      </c>
      <c r="B1268" s="4" t="n">
        <v>44742</v>
      </c>
      <c r="C1268" s="3" t="inlineStr">
        <is>
          <t>Expenses</t>
        </is>
      </c>
      <c r="D1268" s="3" t="inlineStr">
        <is>
          <t>2006/350</t>
        </is>
      </c>
      <c r="E1268" s="3" t="inlineStr">
        <is>
          <t>COS - Endulini - Security</t>
        </is>
      </c>
      <c r="F1268" s="3" t="n">
        <v>0</v>
      </c>
      <c r="G1268" s="3" t="n">
        <v>11000</v>
      </c>
    </row>
    <row r="1269">
      <c r="A1269" s="3" t="inlineStr">
        <is>
          <t>Cape Projects Construction (Pty) Ltd</t>
        </is>
      </c>
      <c r="B1269" s="4" t="n">
        <v>44742</v>
      </c>
      <c r="C1269" s="3" t="inlineStr">
        <is>
          <t>Expenses</t>
        </is>
      </c>
      <c r="D1269" s="3" t="inlineStr">
        <is>
          <t>2006/400</t>
        </is>
      </c>
      <c r="E1269" s="3" t="inlineStr">
        <is>
          <t>COS - Endulini - Health &amp; Safety</t>
        </is>
      </c>
      <c r="F1269" s="3" t="n">
        <v>4000</v>
      </c>
      <c r="G1269" s="3" t="n">
        <v>16000</v>
      </c>
    </row>
    <row r="1270">
      <c r="A1270" s="3" t="inlineStr">
        <is>
          <t>Cape Projects Construction (Pty) Ltd</t>
        </is>
      </c>
      <c r="B1270" s="4" t="n">
        <v>44742</v>
      </c>
      <c r="C1270" s="3" t="inlineStr">
        <is>
          <t>Expenses</t>
        </is>
      </c>
      <c r="D1270" s="3" t="inlineStr">
        <is>
          <t>2006/700</t>
        </is>
      </c>
      <c r="E1270" s="3" t="inlineStr">
        <is>
          <t>COS - Endulini - Fuel</t>
        </is>
      </c>
      <c r="F1270" s="3" t="n">
        <v>0</v>
      </c>
      <c r="G1270" s="3" t="n">
        <v>2473.65</v>
      </c>
    </row>
    <row r="1271">
      <c r="A1271" s="3" t="inlineStr">
        <is>
          <t>Cape Projects Construction (Pty) Ltd</t>
        </is>
      </c>
      <c r="B1271" s="4" t="n">
        <v>44742</v>
      </c>
      <c r="C1271" s="3" t="inlineStr">
        <is>
          <t>Expenses</t>
        </is>
      </c>
      <c r="D1271" s="3" t="inlineStr">
        <is>
          <t>2006/800</t>
        </is>
      </c>
      <c r="E1271" s="3" t="inlineStr">
        <is>
          <t>COS - Endulini - Telephone &amp; Internet</t>
        </is>
      </c>
      <c r="F1271" s="3" t="n">
        <v>0</v>
      </c>
      <c r="G1271" s="3" t="n">
        <v>937.39</v>
      </c>
    </row>
    <row r="1272">
      <c r="A1272" s="3" t="inlineStr">
        <is>
          <t>Cape Projects Construction (Pty) Ltd</t>
        </is>
      </c>
      <c r="B1272" s="4" t="n">
        <v>44742</v>
      </c>
      <c r="C1272" s="3" t="inlineStr">
        <is>
          <t>Expenses</t>
        </is>
      </c>
      <c r="D1272" s="3" t="inlineStr">
        <is>
          <t>2007/000</t>
        </is>
      </c>
      <c r="E1272" s="3" t="inlineStr">
        <is>
          <t>COS - Repairs &amp; Maintenance - SW Southwark</t>
        </is>
      </c>
      <c r="F1272" s="3" t="n">
        <v>0</v>
      </c>
      <c r="G1272" s="3" t="n">
        <v>2418.26</v>
      </c>
    </row>
    <row r="1273">
      <c r="A1273" s="3" t="inlineStr">
        <is>
          <t>Cape Projects Construction (Pty) Ltd</t>
        </is>
      </c>
      <c r="B1273" s="4" t="n">
        <v>44742</v>
      </c>
      <c r="C1273" s="3" t="inlineStr">
        <is>
          <t>Expenses</t>
        </is>
      </c>
      <c r="D1273" s="3" t="inlineStr">
        <is>
          <t>2011/300</t>
        </is>
      </c>
      <c r="E1273" s="3" t="inlineStr">
        <is>
          <t>COS - Heron Fields - Printing &amp; Stationary</t>
        </is>
      </c>
      <c r="F1273" s="3" t="n">
        <v>0</v>
      </c>
      <c r="G1273" s="3" t="n">
        <v>2952.7</v>
      </c>
    </row>
    <row r="1274">
      <c r="A1274" s="3" t="inlineStr">
        <is>
          <t>Cape Projects Construction (Pty) Ltd</t>
        </is>
      </c>
      <c r="B1274" s="4" t="n">
        <v>44742</v>
      </c>
      <c r="C1274" s="3" t="inlineStr">
        <is>
          <t>Expenses</t>
        </is>
      </c>
      <c r="D1274" s="3" t="inlineStr">
        <is>
          <t>2011/500</t>
        </is>
      </c>
      <c r="E1274" s="3" t="inlineStr">
        <is>
          <t>COS - Heron Fields - Construction</t>
        </is>
      </c>
      <c r="F1274" s="3" t="n">
        <v>2326102.06</v>
      </c>
      <c r="G1274" s="3" t="n">
        <v>9020578.359999999</v>
      </c>
    </row>
    <row r="1275">
      <c r="A1275" s="3" t="inlineStr">
        <is>
          <t>Cape Projects Construction (Pty) Ltd</t>
        </is>
      </c>
      <c r="B1275" s="4" t="n">
        <v>44742</v>
      </c>
      <c r="C1275" s="3" t="inlineStr">
        <is>
          <t>Expenses</t>
        </is>
      </c>
      <c r="D1275" s="3" t="inlineStr">
        <is>
          <t>2011/600</t>
        </is>
      </c>
      <c r="E1275" s="3" t="inlineStr">
        <is>
          <t>COS - Heron Fields - P &amp; G</t>
        </is>
      </c>
      <c r="F1275" s="3" t="n">
        <v>246746.39</v>
      </c>
      <c r="G1275" s="3" t="n">
        <v>844567.17</v>
      </c>
    </row>
    <row r="1276">
      <c r="A1276" s="3" t="inlineStr">
        <is>
          <t>Cape Projects Construction (Pty) Ltd</t>
        </is>
      </c>
      <c r="B1276" s="4" t="n">
        <v>44742</v>
      </c>
      <c r="C1276" s="3" t="inlineStr">
        <is>
          <t>Expenses</t>
        </is>
      </c>
      <c r="D1276" s="3" t="inlineStr">
        <is>
          <t>2011/700</t>
        </is>
      </c>
      <c r="E1276" s="3" t="inlineStr">
        <is>
          <t>COS - Heron Fields - Health &amp; Safety</t>
        </is>
      </c>
      <c r="F1276" s="3" t="n">
        <v>4000</v>
      </c>
      <c r="G1276" s="3" t="n">
        <v>18286.3</v>
      </c>
    </row>
    <row r="1277">
      <c r="A1277" s="3" t="inlineStr">
        <is>
          <t>Cape Projects Construction (Pty) Ltd</t>
        </is>
      </c>
      <c r="B1277" s="4" t="n">
        <v>44742</v>
      </c>
      <c r="C1277" s="3" t="inlineStr">
        <is>
          <t>Expenses</t>
        </is>
      </c>
      <c r="D1277" s="3" t="inlineStr">
        <is>
          <t>2011/900</t>
        </is>
      </c>
      <c r="E1277" s="3" t="inlineStr">
        <is>
          <t>COS - Heron - Internet</t>
        </is>
      </c>
      <c r="F1277" s="3" t="n">
        <v>607.83</v>
      </c>
      <c r="G1277" s="3" t="n">
        <v>2238.64</v>
      </c>
    </row>
    <row r="1278">
      <c r="A1278" s="3" t="inlineStr">
        <is>
          <t>Cape Projects Construction (Pty) Ltd</t>
        </is>
      </c>
      <c r="B1278" s="4" t="n">
        <v>44742</v>
      </c>
      <c r="C1278" s="3" t="inlineStr">
        <is>
          <t>Expenses</t>
        </is>
      </c>
      <c r="D1278" s="3" t="inlineStr">
        <is>
          <t>2011/950</t>
        </is>
      </c>
      <c r="E1278" s="3" t="inlineStr">
        <is>
          <t>COS - Heron Fields - Security</t>
        </is>
      </c>
      <c r="F1278" s="3" t="n">
        <v>4782.61</v>
      </c>
      <c r="G1278" s="3" t="n">
        <v>9565.219999999999</v>
      </c>
    </row>
    <row r="1279">
      <c r="A1279" s="3" t="inlineStr">
        <is>
          <t>Cape Projects Construction (Pty) Ltd</t>
        </is>
      </c>
      <c r="B1279" s="4" t="n">
        <v>44742</v>
      </c>
      <c r="C1279" s="3" t="inlineStr">
        <is>
          <t>Revenue</t>
        </is>
      </c>
      <c r="D1279" s="3" t="inlineStr">
        <is>
          <t>2750/000</t>
        </is>
      </c>
      <c r="E1279" s="3" t="inlineStr">
        <is>
          <t>Interest Received - FNB</t>
        </is>
      </c>
      <c r="F1279" s="3" t="n">
        <v>0</v>
      </c>
      <c r="G1279" s="3" t="n">
        <v>-3.49</v>
      </c>
    </row>
    <row r="1280">
      <c r="A1280" s="3" t="inlineStr">
        <is>
          <t>Cape Projects Construction (Pty) Ltd</t>
        </is>
      </c>
      <c r="B1280" s="4" t="n">
        <v>44742</v>
      </c>
      <c r="C1280" s="3" t="inlineStr">
        <is>
          <t>Revenue</t>
        </is>
      </c>
      <c r="D1280" s="3" t="inlineStr">
        <is>
          <t>2751/001</t>
        </is>
      </c>
      <c r="E1280" s="3" t="inlineStr">
        <is>
          <t>Interest received - Momentum</t>
        </is>
      </c>
      <c r="F1280" s="3" t="n">
        <v>-2.15</v>
      </c>
      <c r="G1280" s="3" t="n">
        <v>-8.289999999999999</v>
      </c>
    </row>
    <row r="1281">
      <c r="A1281" s="3" t="inlineStr">
        <is>
          <t>Heron Fields (Pty) Ltd</t>
        </is>
      </c>
      <c r="B1281" s="4" t="n">
        <v>44742</v>
      </c>
      <c r="C1281" s="3" t="inlineStr">
        <is>
          <t>Revenue</t>
        </is>
      </c>
      <c r="D1281" s="3" t="inlineStr">
        <is>
          <t>2755/001</t>
        </is>
      </c>
      <c r="E1281" s="3" t="inlineStr">
        <is>
          <t>Interest Received - Momentum</t>
        </is>
      </c>
      <c r="F1281" s="3" t="n">
        <v>-59954.34</v>
      </c>
      <c r="G1281" s="3" t="n">
        <v>-121135.11</v>
      </c>
    </row>
    <row r="1282">
      <c r="A1282" s="3" t="inlineStr">
        <is>
          <t>Cape Projects Construction (Pty) Ltd</t>
        </is>
      </c>
      <c r="B1282" s="4" t="n">
        <v>44742</v>
      </c>
      <c r="C1282" s="3" t="inlineStr">
        <is>
          <t>Expenses</t>
        </is>
      </c>
      <c r="D1282" s="3" t="inlineStr">
        <is>
          <t>3002/000</t>
        </is>
      </c>
      <c r="E1282" s="3" t="inlineStr">
        <is>
          <t>Accounting Fees - Audit</t>
        </is>
      </c>
      <c r="F1282" s="3" t="n">
        <v>0</v>
      </c>
      <c r="G1282" s="3" t="n">
        <v>10600</v>
      </c>
    </row>
    <row r="1283">
      <c r="A1283" s="3" t="inlineStr">
        <is>
          <t>Cape Projects Construction (Pty) Ltd</t>
        </is>
      </c>
      <c r="B1283" s="4" t="n">
        <v>44742</v>
      </c>
      <c r="C1283" s="3" t="inlineStr">
        <is>
          <t>Expenses</t>
        </is>
      </c>
      <c r="D1283" s="3" t="inlineStr">
        <is>
          <t>3020/100</t>
        </is>
      </c>
      <c r="E1283" s="3" t="inlineStr">
        <is>
          <t>Admin - Subcontractors</t>
        </is>
      </c>
      <c r="F1283" s="3" t="n">
        <v>0</v>
      </c>
      <c r="G1283" s="3" t="n">
        <v>14139.13</v>
      </c>
    </row>
    <row r="1284">
      <c r="A1284" s="3" t="inlineStr">
        <is>
          <t>Cape Projects Construction (Pty) Ltd</t>
        </is>
      </c>
      <c r="B1284" s="4" t="n">
        <v>44742</v>
      </c>
      <c r="C1284" s="3" t="inlineStr">
        <is>
          <t>Expenses</t>
        </is>
      </c>
      <c r="D1284" s="3" t="inlineStr">
        <is>
          <t>3050/000</t>
        </is>
      </c>
      <c r="E1284" s="3" t="inlineStr">
        <is>
          <t>Advertising _AND_ Promotions</t>
        </is>
      </c>
      <c r="F1284" s="3" t="n">
        <v>0</v>
      </c>
      <c r="G1284" s="3" t="n">
        <v>687.5</v>
      </c>
    </row>
    <row r="1285">
      <c r="A1285" s="3" t="inlineStr">
        <is>
          <t>Heron Fields (Pty) Ltd</t>
        </is>
      </c>
      <c r="B1285" s="4" t="n">
        <v>44742</v>
      </c>
      <c r="C1285" s="3" t="inlineStr">
        <is>
          <t>Expenses</t>
        </is>
      </c>
      <c r="D1285" s="3" t="inlineStr">
        <is>
          <t>3050/000</t>
        </is>
      </c>
      <c r="E1285" s="3" t="inlineStr">
        <is>
          <t>Advertising _AND_ Promotions</t>
        </is>
      </c>
      <c r="F1285" s="3" t="n">
        <v>0</v>
      </c>
      <c r="G1285" s="3" t="n">
        <v>63407.86</v>
      </c>
    </row>
    <row r="1286">
      <c r="A1286" s="3" t="inlineStr">
        <is>
          <t>Heron Fields (Pty) Ltd</t>
        </is>
      </c>
      <c r="B1286" s="4" t="n">
        <v>44742</v>
      </c>
      <c r="C1286" s="3" t="inlineStr">
        <is>
          <t>Expenses</t>
        </is>
      </c>
      <c r="D1286" s="3" t="inlineStr">
        <is>
          <t>3050/100</t>
        </is>
      </c>
      <c r="E1286" s="3" t="inlineStr">
        <is>
          <t>Advertising - Property24</t>
        </is>
      </c>
      <c r="F1286" s="3" t="n">
        <v>11556</v>
      </c>
      <c r="G1286" s="3" t="n">
        <v>46224</v>
      </c>
    </row>
    <row r="1287">
      <c r="A1287" s="3" t="inlineStr">
        <is>
          <t>Cape Projects Construction (Pty) Ltd</t>
        </is>
      </c>
      <c r="B1287" s="4" t="n">
        <v>44742</v>
      </c>
      <c r="C1287" s="3" t="inlineStr">
        <is>
          <t>Expenses</t>
        </is>
      </c>
      <c r="D1287" s="3" t="inlineStr">
        <is>
          <t>3050/450</t>
        </is>
      </c>
      <c r="E1287" s="3" t="inlineStr">
        <is>
          <t>Advertising - Other</t>
        </is>
      </c>
      <c r="F1287" s="3" t="n">
        <v>0</v>
      </c>
      <c r="G1287" s="3" t="n">
        <v>137.5</v>
      </c>
    </row>
    <row r="1288">
      <c r="A1288" s="3" t="inlineStr">
        <is>
          <t>Cape Projects Construction (Pty) Ltd</t>
        </is>
      </c>
      <c r="B1288" s="4" t="n">
        <v>44742</v>
      </c>
      <c r="C1288" s="3" t="inlineStr">
        <is>
          <t>Expenses</t>
        </is>
      </c>
      <c r="D1288" s="3" t="inlineStr">
        <is>
          <t>3200/000</t>
        </is>
      </c>
      <c r="E1288" s="3" t="inlineStr">
        <is>
          <t>Bank Charges</t>
        </is>
      </c>
      <c r="F1288" s="3" t="n">
        <v>3186.59</v>
      </c>
      <c r="G1288" s="3" t="n">
        <v>11958.36</v>
      </c>
    </row>
    <row r="1289">
      <c r="A1289" s="3" t="inlineStr">
        <is>
          <t>Heron Fields (Pty) Ltd</t>
        </is>
      </c>
      <c r="B1289" s="4" t="n">
        <v>44742</v>
      </c>
      <c r="C1289" s="3" t="inlineStr">
        <is>
          <t>Expenses</t>
        </is>
      </c>
      <c r="D1289" s="3" t="inlineStr">
        <is>
          <t>3200/000</t>
        </is>
      </c>
      <c r="E1289" s="3" t="inlineStr">
        <is>
          <t>Bank Charges</t>
        </is>
      </c>
      <c r="F1289" s="3" t="n">
        <v>633.27</v>
      </c>
      <c r="G1289" s="3" t="n">
        <v>2699.67</v>
      </c>
    </row>
    <row r="1290">
      <c r="A1290" s="3" t="inlineStr">
        <is>
          <t>Cape Projects Construction (Pty) Ltd</t>
        </is>
      </c>
      <c r="B1290" s="4" t="n">
        <v>44742</v>
      </c>
      <c r="C1290" s="3" t="inlineStr">
        <is>
          <t>Expenses</t>
        </is>
      </c>
      <c r="D1290" s="3" t="inlineStr">
        <is>
          <t>3250/000</t>
        </is>
      </c>
      <c r="E1290" s="3" t="inlineStr">
        <is>
          <t>Cleaning</t>
        </is>
      </c>
      <c r="F1290" s="3" t="n">
        <v>0</v>
      </c>
      <c r="G1290" s="3" t="n">
        <v>1986.89</v>
      </c>
    </row>
    <row r="1291">
      <c r="A1291" s="3" t="inlineStr">
        <is>
          <t>Cape Projects Construction (Pty) Ltd</t>
        </is>
      </c>
      <c r="B1291" s="4" t="n">
        <v>44742</v>
      </c>
      <c r="C1291" s="3" t="inlineStr">
        <is>
          <t>Expenses</t>
        </is>
      </c>
      <c r="D1291" s="3" t="inlineStr">
        <is>
          <t>3256/000</t>
        </is>
      </c>
      <c r="E1291" s="3" t="inlineStr">
        <is>
          <t>Cell Phone - Nick Morgan</t>
        </is>
      </c>
      <c r="F1291" s="3" t="n">
        <v>662.7</v>
      </c>
      <c r="G1291" s="3" t="n">
        <v>2603.85</v>
      </c>
    </row>
    <row r="1292">
      <c r="A1292" s="3" t="inlineStr">
        <is>
          <t>Cape Projects Construction (Pty) Ltd</t>
        </is>
      </c>
      <c r="B1292" s="4" t="n">
        <v>44742</v>
      </c>
      <c r="C1292" s="3" t="inlineStr">
        <is>
          <t>Expenses</t>
        </is>
      </c>
      <c r="D1292" s="3" t="inlineStr">
        <is>
          <t>3300/000</t>
        </is>
      </c>
      <c r="E1292" s="3" t="inlineStr">
        <is>
          <t>Computer Expenses</t>
        </is>
      </c>
      <c r="F1292" s="3" t="n">
        <v>742.6</v>
      </c>
      <c r="G1292" s="3" t="n">
        <v>1308.69</v>
      </c>
    </row>
    <row r="1293">
      <c r="A1293" s="3" t="inlineStr">
        <is>
          <t>Cape Projects Construction (Pty) Ltd</t>
        </is>
      </c>
      <c r="B1293" s="4" t="n">
        <v>44742</v>
      </c>
      <c r="C1293" s="3" t="inlineStr">
        <is>
          <t>Expenses</t>
        </is>
      </c>
      <c r="D1293" s="3" t="inlineStr">
        <is>
          <t>3300/100</t>
        </is>
      </c>
      <c r="E1293" s="3" t="inlineStr">
        <is>
          <t>Computer Exp - IT, Internet/Hosting Fee</t>
        </is>
      </c>
      <c r="F1293" s="3" t="n">
        <v>4430</v>
      </c>
      <c r="G1293" s="3" t="n">
        <v>18383</v>
      </c>
    </row>
    <row r="1294">
      <c r="A1294" s="3" t="inlineStr">
        <is>
          <t>Heron Fields (Pty) Ltd</t>
        </is>
      </c>
      <c r="B1294" s="4" t="n">
        <v>44742</v>
      </c>
      <c r="C1294" s="3" t="inlineStr">
        <is>
          <t>Expenses</t>
        </is>
      </c>
      <c r="D1294" s="3" t="inlineStr">
        <is>
          <t>3350/100</t>
        </is>
      </c>
      <c r="E1294" s="3" t="inlineStr">
        <is>
          <t>Consulting Fees - Admin and Finance</t>
        </is>
      </c>
      <c r="F1294" s="3" t="n">
        <v>86425</v>
      </c>
      <c r="G1294" s="3" t="n">
        <v>319265.68</v>
      </c>
    </row>
    <row r="1295">
      <c r="A1295" s="3" t="inlineStr">
        <is>
          <t>Cape Projects Construction (Pty) Ltd</t>
        </is>
      </c>
      <c r="B1295" s="4" t="n">
        <v>44742</v>
      </c>
      <c r="C1295" s="3" t="inlineStr">
        <is>
          <t>Expenses</t>
        </is>
      </c>
      <c r="D1295" s="3" t="inlineStr">
        <is>
          <t>3350/100</t>
        </is>
      </c>
      <c r="E1295" s="3" t="inlineStr">
        <is>
          <t>Consulting fees - Herbert du Plessis</t>
        </is>
      </c>
      <c r="F1295" s="3" t="n">
        <v>36000</v>
      </c>
      <c r="G1295" s="3" t="n">
        <v>144000</v>
      </c>
    </row>
    <row r="1296">
      <c r="A1296" s="3" t="inlineStr">
        <is>
          <t>Cape Projects Construction (Pty) Ltd</t>
        </is>
      </c>
      <c r="B1296" s="4" t="n">
        <v>44742</v>
      </c>
      <c r="C1296" s="3" t="inlineStr">
        <is>
          <t>Expenses</t>
        </is>
      </c>
      <c r="D1296" s="3" t="inlineStr">
        <is>
          <t>3350/300</t>
        </is>
      </c>
      <c r="E1296" s="3" t="inlineStr">
        <is>
          <t>Consulting Fees - Admin and Finance</t>
        </is>
      </c>
      <c r="F1296" s="3" t="n">
        <v>132650</v>
      </c>
      <c r="G1296" s="3" t="n">
        <v>479721.87</v>
      </c>
    </row>
    <row r="1297">
      <c r="A1297" s="3" t="inlineStr">
        <is>
          <t>Heron Fields (Pty) Ltd</t>
        </is>
      </c>
      <c r="B1297" s="4" t="n">
        <v>44742</v>
      </c>
      <c r="C1297" s="3" t="inlineStr">
        <is>
          <t>Expenses</t>
        </is>
      </c>
      <c r="D1297" s="3" t="inlineStr">
        <is>
          <t>3351/000</t>
        </is>
      </c>
      <c r="E1297" s="3" t="inlineStr">
        <is>
          <t>Consulting fees - Trustee</t>
        </is>
      </c>
      <c r="F1297" s="3" t="n">
        <v>4000</v>
      </c>
      <c r="G1297" s="3" t="n">
        <v>32000</v>
      </c>
    </row>
    <row r="1298">
      <c r="A1298" s="3" t="inlineStr">
        <is>
          <t>Cape Projects Construction (Pty) Ltd</t>
        </is>
      </c>
      <c r="B1298" s="4" t="n">
        <v>44742</v>
      </c>
      <c r="C1298" s="3" t="inlineStr">
        <is>
          <t>Expenses</t>
        </is>
      </c>
      <c r="D1298" s="3" t="inlineStr">
        <is>
          <t>3400/000</t>
        </is>
      </c>
      <c r="E1298" s="3" t="inlineStr">
        <is>
          <t>Courier _AND_ Postage</t>
        </is>
      </c>
      <c r="F1298" s="3" t="n">
        <v>160.87</v>
      </c>
      <c r="G1298" s="3" t="n">
        <v>160.87</v>
      </c>
    </row>
    <row r="1299">
      <c r="A1299" s="3" t="inlineStr">
        <is>
          <t>Cape Projects Construction (Pty) Ltd</t>
        </is>
      </c>
      <c r="B1299" s="4" t="n">
        <v>44742</v>
      </c>
      <c r="C1299" s="3" t="inlineStr">
        <is>
          <t>Expenses</t>
        </is>
      </c>
      <c r="D1299" s="3" t="inlineStr">
        <is>
          <t>3450/001</t>
        </is>
      </c>
      <c r="E1299" s="3" t="inlineStr">
        <is>
          <t>Depreciation - Computer Equipment</t>
        </is>
      </c>
      <c r="F1299" s="3" t="n">
        <v>1926.8</v>
      </c>
      <c r="G1299" s="3" t="n">
        <v>6728</v>
      </c>
    </row>
    <row r="1300">
      <c r="A1300" s="3" t="inlineStr">
        <is>
          <t>Cape Projects Construction (Pty) Ltd</t>
        </is>
      </c>
      <c r="B1300" s="4" t="n">
        <v>44742</v>
      </c>
      <c r="C1300" s="3" t="inlineStr">
        <is>
          <t>Expenses</t>
        </is>
      </c>
      <c r="D1300" s="3" t="inlineStr">
        <is>
          <t>3450/002</t>
        </is>
      </c>
      <c r="E1300" s="3" t="inlineStr">
        <is>
          <t>Depreciation - Generator Fixed Asset</t>
        </is>
      </c>
      <c r="F1300" s="3" t="n">
        <v>193.33</v>
      </c>
      <c r="G1300" s="3" t="n">
        <v>773.33</v>
      </c>
    </row>
    <row r="1301">
      <c r="A1301" s="3" t="inlineStr">
        <is>
          <t>Cape Projects Construction (Pty) Ltd</t>
        </is>
      </c>
      <c r="B1301" s="4" t="n">
        <v>44742</v>
      </c>
      <c r="C1301" s="3" t="inlineStr">
        <is>
          <t>Expenses</t>
        </is>
      </c>
      <c r="D1301" s="3" t="inlineStr">
        <is>
          <t>3450/030</t>
        </is>
      </c>
      <c r="E1301" s="3" t="inlineStr">
        <is>
          <t>Depreciation - Furniture and Fittings</t>
        </is>
      </c>
      <c r="F1301" s="3" t="n">
        <v>427.2</v>
      </c>
      <c r="G1301" s="3" t="n">
        <v>1708.82</v>
      </c>
    </row>
    <row r="1302">
      <c r="A1302" s="3" t="inlineStr">
        <is>
          <t>Heron Fields (Pty) Ltd</t>
        </is>
      </c>
      <c r="B1302" s="4" t="n">
        <v>44742</v>
      </c>
      <c r="C1302" s="3" t="inlineStr">
        <is>
          <t>Expenses</t>
        </is>
      </c>
      <c r="D1302" s="3" t="inlineStr">
        <is>
          <t>3650/000</t>
        </is>
      </c>
      <c r="E1302" s="3" t="inlineStr">
        <is>
          <t>CoCT - Electricity</t>
        </is>
      </c>
      <c r="F1302" s="3" t="n">
        <v>2619.62</v>
      </c>
      <c r="G1302" s="3" t="n">
        <v>9722.25</v>
      </c>
    </row>
    <row r="1303">
      <c r="A1303" s="3" t="inlineStr">
        <is>
          <t>Cape Projects Construction (Pty) Ltd</t>
        </is>
      </c>
      <c r="B1303" s="4" t="n">
        <v>44742</v>
      </c>
      <c r="C1303" s="3" t="inlineStr">
        <is>
          <t>Expenses</t>
        </is>
      </c>
      <c r="D1303" s="3" t="inlineStr">
        <is>
          <t>3650/000</t>
        </is>
      </c>
      <c r="E1303" s="3" t="inlineStr">
        <is>
          <t>Electricity _AND_ Water</t>
        </is>
      </c>
      <c r="F1303" s="3" t="n">
        <v>5224.15</v>
      </c>
      <c r="G1303" s="3" t="n">
        <v>17746.23</v>
      </c>
    </row>
    <row r="1304">
      <c r="A1304" s="3" t="inlineStr">
        <is>
          <t>Heron Fields (Pty) Ltd</t>
        </is>
      </c>
      <c r="B1304" s="4" t="n">
        <v>44742</v>
      </c>
      <c r="C1304" s="3" t="inlineStr">
        <is>
          <t>Expenses</t>
        </is>
      </c>
      <c r="D1304" s="3" t="inlineStr">
        <is>
          <t>3660/000</t>
        </is>
      </c>
      <c r="E1304" s="3" t="inlineStr">
        <is>
          <t>CoCT - Water</t>
        </is>
      </c>
      <c r="F1304" s="3" t="n">
        <v>4339.57</v>
      </c>
      <c r="G1304" s="3" t="n">
        <v>24127.37</v>
      </c>
    </row>
    <row r="1305">
      <c r="A1305" s="3" t="inlineStr">
        <is>
          <t>Cape Projects Construction (Pty) Ltd</t>
        </is>
      </c>
      <c r="B1305" s="4" t="n">
        <v>44742</v>
      </c>
      <c r="C1305" s="3" t="inlineStr">
        <is>
          <t>Expenses</t>
        </is>
      </c>
      <c r="D1305" s="3" t="inlineStr">
        <is>
          <t>3700/000</t>
        </is>
      </c>
      <c r="E1305" s="3" t="inlineStr">
        <is>
          <t>Entertainment Expenses</t>
        </is>
      </c>
      <c r="F1305" s="3" t="n">
        <v>0</v>
      </c>
      <c r="G1305" s="3" t="n">
        <v>1801.52</v>
      </c>
    </row>
    <row r="1306">
      <c r="A1306" s="3" t="inlineStr">
        <is>
          <t>Cape Projects Construction (Pty) Ltd</t>
        </is>
      </c>
      <c r="B1306" s="4" t="n">
        <v>44742</v>
      </c>
      <c r="C1306" s="3" t="inlineStr">
        <is>
          <t>Expenses</t>
        </is>
      </c>
      <c r="D1306" s="3" t="inlineStr">
        <is>
          <t>3850/001</t>
        </is>
      </c>
      <c r="E1306" s="3" t="inlineStr">
        <is>
          <t>Insurance - Santam</t>
        </is>
      </c>
      <c r="F1306" s="3" t="n">
        <v>1194.15</v>
      </c>
      <c r="G1306" s="3" t="n">
        <v>4707.16</v>
      </c>
    </row>
    <row r="1307">
      <c r="A1307" s="3" t="inlineStr">
        <is>
          <t>Cape Projects Construction (Pty) Ltd</t>
        </is>
      </c>
      <c r="B1307" s="4" t="n">
        <v>44742</v>
      </c>
      <c r="C1307" s="3" t="inlineStr">
        <is>
          <t>Expenses</t>
        </is>
      </c>
      <c r="D1307" s="3" t="inlineStr">
        <is>
          <t>3850/002</t>
        </is>
      </c>
      <c r="E1307" s="3" t="inlineStr">
        <is>
          <t>Insurance - RBS</t>
        </is>
      </c>
      <c r="F1307" s="3" t="n">
        <v>237.57</v>
      </c>
      <c r="G1307" s="3" t="n">
        <v>950.28</v>
      </c>
    </row>
    <row r="1308">
      <c r="A1308" s="3" t="inlineStr">
        <is>
          <t>Heron Fields (Pty) Ltd</t>
        </is>
      </c>
      <c r="B1308" s="4" t="n">
        <v>44742</v>
      </c>
      <c r="C1308" s="3" t="inlineStr">
        <is>
          <t>Expenses</t>
        </is>
      </c>
      <c r="D1308" s="3" t="inlineStr">
        <is>
          <t>3900/000</t>
        </is>
      </c>
      <c r="E1308" s="3" t="inlineStr">
        <is>
          <t>Interest Paid</t>
        </is>
      </c>
      <c r="F1308" s="3" t="n">
        <v>158.56</v>
      </c>
      <c r="G1308" s="3" t="n">
        <v>213.2</v>
      </c>
    </row>
    <row r="1309">
      <c r="A1309" s="3" t="inlineStr">
        <is>
          <t>Heron Fields (Pty) Ltd</t>
        </is>
      </c>
      <c r="B1309" s="4" t="n">
        <v>44742</v>
      </c>
      <c r="C1309" s="3" t="inlineStr">
        <is>
          <t>Expenses</t>
        </is>
      </c>
      <c r="D1309" s="3" t="inlineStr">
        <is>
          <t>4100/001</t>
        </is>
      </c>
      <c r="E1309" s="3" t="inlineStr">
        <is>
          <t>Momentum Admin Fee</t>
        </is>
      </c>
      <c r="F1309" s="3" t="n">
        <v>73214.48</v>
      </c>
      <c r="G1309" s="3" t="n">
        <v>143664.27</v>
      </c>
    </row>
    <row r="1310">
      <c r="A1310" s="3" t="inlineStr">
        <is>
          <t>Cape Projects Construction (Pty) Ltd</t>
        </is>
      </c>
      <c r="B1310" s="4" t="n">
        <v>44742</v>
      </c>
      <c r="C1310" s="3" t="inlineStr">
        <is>
          <t>Expenses</t>
        </is>
      </c>
      <c r="D1310" s="3" t="inlineStr">
        <is>
          <t>4150/030</t>
        </is>
      </c>
      <c r="E1310" s="3" t="inlineStr">
        <is>
          <t>Motor Vehicle - Insurance _AND_ Licence</t>
        </is>
      </c>
      <c r="F1310" s="3" t="n">
        <v>0</v>
      </c>
      <c r="G1310" s="3" t="n">
        <v>1200</v>
      </c>
    </row>
    <row r="1311">
      <c r="A1311" s="3" t="inlineStr">
        <is>
          <t>Cape Projects Construction (Pty) Ltd</t>
        </is>
      </c>
      <c r="B1311" s="4" t="n">
        <v>44742</v>
      </c>
      <c r="C1311" s="3" t="inlineStr">
        <is>
          <t>Expenses</t>
        </is>
      </c>
      <c r="D1311" s="3" t="inlineStr">
        <is>
          <t>4200/000</t>
        </is>
      </c>
      <c r="E1311" s="3" t="inlineStr">
        <is>
          <t>Printing _AND_ Stationery</t>
        </is>
      </c>
      <c r="F1311" s="3" t="n">
        <v>927.52</v>
      </c>
      <c r="G1311" s="3" t="n">
        <v>5589.68</v>
      </c>
    </row>
    <row r="1312">
      <c r="A1312" s="3" t="inlineStr">
        <is>
          <t>Cape Projects Construction (Pty) Ltd</t>
        </is>
      </c>
      <c r="B1312" s="4" t="n">
        <v>44742</v>
      </c>
      <c r="C1312" s="3" t="inlineStr">
        <is>
          <t>Expenses</t>
        </is>
      </c>
      <c r="D1312" s="3" t="inlineStr">
        <is>
          <t>4201/000</t>
        </is>
      </c>
      <c r="E1312" s="3" t="inlineStr">
        <is>
          <t>Printing - Printer rental</t>
        </is>
      </c>
      <c r="F1312" s="3" t="n">
        <v>1232.46</v>
      </c>
      <c r="G1312" s="3" t="n">
        <v>3074.89</v>
      </c>
    </row>
    <row r="1313">
      <c r="A1313" s="3" t="inlineStr">
        <is>
          <t>Cape Projects Construction (Pty) Ltd</t>
        </is>
      </c>
      <c r="B1313" s="4" t="n">
        <v>44742</v>
      </c>
      <c r="C1313" s="3" t="inlineStr">
        <is>
          <t>Expenses</t>
        </is>
      </c>
      <c r="D1313" s="3" t="inlineStr">
        <is>
          <t>4300/000</t>
        </is>
      </c>
      <c r="E1313" s="3" t="inlineStr">
        <is>
          <t>Rent Paid</t>
        </is>
      </c>
      <c r="F1313" s="3" t="n">
        <v>28087.5</v>
      </c>
      <c r="G1313" s="3" t="n">
        <v>112350</v>
      </c>
    </row>
    <row r="1314">
      <c r="A1314" s="3" t="inlineStr">
        <is>
          <t>Cape Projects Construction (Pty) Ltd</t>
        </is>
      </c>
      <c r="B1314" s="4" t="n">
        <v>44742</v>
      </c>
      <c r="C1314" s="3" t="inlineStr">
        <is>
          <t>Expenses</t>
        </is>
      </c>
      <c r="D1314" s="3" t="inlineStr">
        <is>
          <t>4310/000</t>
        </is>
      </c>
      <c r="E1314" s="3" t="inlineStr">
        <is>
          <t>Rates</t>
        </is>
      </c>
      <c r="F1314" s="3" t="n">
        <v>843.6</v>
      </c>
      <c r="G1314" s="3" t="n">
        <v>3374.4</v>
      </c>
    </row>
    <row r="1315">
      <c r="A1315" s="3" t="inlineStr">
        <is>
          <t>Heron Fields (Pty) Ltd</t>
        </is>
      </c>
      <c r="B1315" s="4" t="n">
        <v>44742</v>
      </c>
      <c r="C1315" s="3" t="inlineStr">
        <is>
          <t>Expenses</t>
        </is>
      </c>
      <c r="D1315" s="3" t="inlineStr">
        <is>
          <t>4310/000</t>
        </is>
      </c>
      <c r="E1315" s="3" t="inlineStr">
        <is>
          <t>Rates - Heron</t>
        </is>
      </c>
      <c r="F1315" s="3" t="n">
        <v>3067.87</v>
      </c>
      <c r="G1315" s="3" t="n">
        <v>12578.26</v>
      </c>
    </row>
    <row r="1316">
      <c r="A1316" s="3" t="inlineStr">
        <is>
          <t>Cape Projects Construction (Pty) Ltd</t>
        </is>
      </c>
      <c r="B1316" s="4" t="n">
        <v>44742</v>
      </c>
      <c r="C1316" s="3" t="inlineStr">
        <is>
          <t>Expenses</t>
        </is>
      </c>
      <c r="D1316" s="3" t="inlineStr">
        <is>
          <t>4350/000</t>
        </is>
      </c>
      <c r="E1316" s="3" t="inlineStr">
        <is>
          <t>Repairs _AND_ Maintenance</t>
        </is>
      </c>
      <c r="F1316" s="3" t="n">
        <v>2250</v>
      </c>
      <c r="G1316" s="3" t="n">
        <v>2700</v>
      </c>
    </row>
    <row r="1317">
      <c r="A1317" s="3" t="inlineStr">
        <is>
          <t>Cape Projects Construction (Pty) Ltd</t>
        </is>
      </c>
      <c r="B1317" s="4" t="n">
        <v>44742</v>
      </c>
      <c r="C1317" s="3" t="inlineStr">
        <is>
          <t>Expenses</t>
        </is>
      </c>
      <c r="D1317" s="3" t="inlineStr">
        <is>
          <t>4400/000</t>
        </is>
      </c>
      <c r="E1317" s="3" t="inlineStr">
        <is>
          <t>Salaries _AND_ Wages</t>
        </is>
      </c>
      <c r="F1317" s="3" t="n">
        <v>162299.9</v>
      </c>
      <c r="G1317" s="3" t="n">
        <v>851056.84</v>
      </c>
    </row>
    <row r="1318">
      <c r="A1318" s="3" t="inlineStr">
        <is>
          <t>Cape Projects Construction (Pty) Ltd</t>
        </is>
      </c>
      <c r="B1318" s="4" t="n">
        <v>44742</v>
      </c>
      <c r="C1318" s="3" t="inlineStr">
        <is>
          <t>Expenses</t>
        </is>
      </c>
      <c r="D1318" s="3" t="inlineStr">
        <is>
          <t>4403/000</t>
        </is>
      </c>
      <c r="E1318" s="3" t="inlineStr">
        <is>
          <t>Security</t>
        </is>
      </c>
      <c r="F1318" s="3" t="n">
        <v>164.35</v>
      </c>
      <c r="G1318" s="3" t="n">
        <v>493.05</v>
      </c>
    </row>
    <row r="1319">
      <c r="A1319" s="3" t="inlineStr">
        <is>
          <t>Cape Projects Construction (Pty) Ltd</t>
        </is>
      </c>
      <c r="B1319" s="4" t="n">
        <v>44742</v>
      </c>
      <c r="C1319" s="3" t="inlineStr">
        <is>
          <t>Expenses</t>
        </is>
      </c>
      <c r="D1319" s="3" t="inlineStr">
        <is>
          <t>4420/000</t>
        </is>
      </c>
      <c r="E1319" s="3" t="inlineStr">
        <is>
          <t>Small Assets</t>
        </is>
      </c>
      <c r="F1319" s="3" t="n">
        <v>638.96</v>
      </c>
      <c r="G1319" s="3" t="n">
        <v>1536.96</v>
      </c>
    </row>
    <row r="1320">
      <c r="A1320" s="3" t="inlineStr">
        <is>
          <t>Heron Fields (Pty) Ltd</t>
        </is>
      </c>
      <c r="B1320" s="4" t="n">
        <v>44742</v>
      </c>
      <c r="C1320" s="3" t="inlineStr">
        <is>
          <t>Expenses</t>
        </is>
      </c>
      <c r="D1320" s="3" t="inlineStr">
        <is>
          <t>4420/001</t>
        </is>
      </c>
      <c r="E1320" s="3" t="inlineStr">
        <is>
          <t>Security - ADT</t>
        </is>
      </c>
      <c r="F1320" s="3" t="n">
        <v>1723.38</v>
      </c>
      <c r="G1320" s="3" t="n">
        <v>2613.94</v>
      </c>
    </row>
    <row r="1321">
      <c r="A1321" s="3" t="inlineStr">
        <is>
          <t>Cape Projects Construction (Pty) Ltd</t>
        </is>
      </c>
      <c r="B1321" s="4" t="n">
        <v>44742</v>
      </c>
      <c r="C1321" s="3" t="inlineStr">
        <is>
          <t>Expenses</t>
        </is>
      </c>
      <c r="D1321" s="3" t="inlineStr">
        <is>
          <t>4450/000</t>
        </is>
      </c>
      <c r="E1321" s="3" t="inlineStr">
        <is>
          <t>Staff Training</t>
        </is>
      </c>
      <c r="F1321" s="3" t="n">
        <v>0</v>
      </c>
      <c r="G1321" s="3" t="n">
        <v>6800</v>
      </c>
    </row>
    <row r="1322">
      <c r="A1322" s="3" t="inlineStr">
        <is>
          <t>Cape Projects Construction (Pty) Ltd</t>
        </is>
      </c>
      <c r="B1322" s="4" t="n">
        <v>44742</v>
      </c>
      <c r="C1322" s="3" t="inlineStr">
        <is>
          <t>Expenses</t>
        </is>
      </c>
      <c r="D1322" s="3" t="inlineStr">
        <is>
          <t>4500/000</t>
        </is>
      </c>
      <c r="E1322" s="3" t="inlineStr">
        <is>
          <t>Staff Welfare _AND_ Refreshmts</t>
        </is>
      </c>
      <c r="F1322" s="3" t="n">
        <v>0</v>
      </c>
      <c r="G1322" s="3" t="n">
        <v>2674.5</v>
      </c>
    </row>
    <row r="1323">
      <c r="A1323" s="3" t="inlineStr">
        <is>
          <t>Cape Projects Construction (Pty) Ltd</t>
        </is>
      </c>
      <c r="B1323" s="4" t="n">
        <v>44742</v>
      </c>
      <c r="C1323" s="3" t="inlineStr">
        <is>
          <t>Expenses</t>
        </is>
      </c>
      <c r="D1323" s="3" t="inlineStr">
        <is>
          <t>4550/000</t>
        </is>
      </c>
      <c r="E1323" s="3" t="inlineStr">
        <is>
          <t>Subscriptions / Licenses</t>
        </is>
      </c>
      <c r="F1323" s="3" t="n">
        <v>526.3200000000001</v>
      </c>
      <c r="G1323" s="3" t="n">
        <v>526.3200000000001</v>
      </c>
    </row>
    <row r="1324">
      <c r="A1324" s="3" t="inlineStr">
        <is>
          <t>Cape Projects Construction (Pty) Ltd</t>
        </is>
      </c>
      <c r="B1324" s="4" t="n">
        <v>44742</v>
      </c>
      <c r="C1324" s="3" t="inlineStr">
        <is>
          <t>Expenses</t>
        </is>
      </c>
      <c r="D1324" s="3" t="inlineStr">
        <is>
          <t>4550/001</t>
        </is>
      </c>
      <c r="E1324" s="3" t="inlineStr">
        <is>
          <t>Subscriptions &amp; Licenses - Sage payroll</t>
        </is>
      </c>
      <c r="F1324" s="3" t="n">
        <v>491</v>
      </c>
      <c r="G1324" s="3" t="n">
        <v>1964</v>
      </c>
    </row>
    <row r="1325">
      <c r="A1325" s="3" t="inlineStr">
        <is>
          <t>Cape Projects Construction (Pty) Ltd</t>
        </is>
      </c>
      <c r="B1325" s="4" t="n">
        <v>44742</v>
      </c>
      <c r="C1325" s="3" t="inlineStr">
        <is>
          <t>Expenses</t>
        </is>
      </c>
      <c r="D1325" s="3" t="inlineStr">
        <is>
          <t>4550/003</t>
        </is>
      </c>
      <c r="E1325" s="3" t="inlineStr">
        <is>
          <t>Subscriptions &amp; Licenses - Xero</t>
        </is>
      </c>
      <c r="F1325" s="3" t="n">
        <v>600</v>
      </c>
      <c r="G1325" s="3" t="n">
        <v>2400</v>
      </c>
    </row>
    <row r="1326">
      <c r="A1326" s="3" t="inlineStr">
        <is>
          <t>Cape Projects Construction (Pty) Ltd</t>
        </is>
      </c>
      <c r="B1326" s="4" t="n">
        <v>44742</v>
      </c>
      <c r="C1326" s="3" t="inlineStr">
        <is>
          <t>Expenses</t>
        </is>
      </c>
      <c r="D1326" s="3" t="inlineStr">
        <is>
          <t>4550/004</t>
        </is>
      </c>
      <c r="E1326" s="3" t="inlineStr">
        <is>
          <t>Subscriptions - Smartsheet</t>
        </is>
      </c>
      <c r="F1326" s="3" t="n">
        <v>363</v>
      </c>
      <c r="G1326" s="3" t="n">
        <v>1452</v>
      </c>
    </row>
    <row r="1327">
      <c r="A1327" s="3" t="inlineStr">
        <is>
          <t>Cape Projects Construction (Pty) Ltd</t>
        </is>
      </c>
      <c r="B1327" s="4" t="n">
        <v>44742</v>
      </c>
      <c r="C1327" s="3" t="inlineStr">
        <is>
          <t>Expenses</t>
        </is>
      </c>
      <c r="D1327" s="3" t="inlineStr">
        <is>
          <t>4550/006</t>
        </is>
      </c>
      <c r="E1327" s="3" t="inlineStr">
        <is>
          <t>Subscription - Candy software</t>
        </is>
      </c>
      <c r="F1327" s="3" t="n">
        <v>1640</v>
      </c>
      <c r="G1327" s="3" t="n">
        <v>8845</v>
      </c>
    </row>
    <row r="1328">
      <c r="A1328" s="3" t="inlineStr">
        <is>
          <t>Heron Fields (Pty) Ltd</t>
        </is>
      </c>
      <c r="B1328" s="4" t="n">
        <v>44742</v>
      </c>
      <c r="C1328" s="3" t="inlineStr">
        <is>
          <t>Expenses</t>
        </is>
      </c>
      <c r="D1328" s="3" t="inlineStr">
        <is>
          <t>4550/100</t>
        </is>
      </c>
      <c r="E1328" s="3" t="inlineStr">
        <is>
          <t>Subscriptions - Xero</t>
        </is>
      </c>
      <c r="F1328" s="3" t="n">
        <v>600</v>
      </c>
      <c r="G1328" s="3" t="n">
        <v>2400</v>
      </c>
    </row>
    <row r="1329">
      <c r="A1329" s="3" t="inlineStr">
        <is>
          <t>Heron View (Pty) Ltd</t>
        </is>
      </c>
      <c r="B1329" s="4" t="n">
        <v>44742</v>
      </c>
      <c r="C1329" s="3" t="inlineStr">
        <is>
          <t>Expenses</t>
        </is>
      </c>
      <c r="D1329" s="3" t="inlineStr">
        <is>
          <t>4550/100</t>
        </is>
      </c>
      <c r="E1329" s="3" t="inlineStr">
        <is>
          <t>Subscriptions - Xero</t>
        </is>
      </c>
      <c r="F1329" s="3" t="n">
        <v>600</v>
      </c>
      <c r="G1329" s="3" t="n">
        <v>2400</v>
      </c>
    </row>
    <row r="1330">
      <c r="A1330" s="3" t="inlineStr">
        <is>
          <t>Cape Projects Construction (Pty) Ltd</t>
        </is>
      </c>
      <c r="B1330" s="4" t="n">
        <v>44742</v>
      </c>
      <c r="C1330" s="3" t="inlineStr">
        <is>
          <t>Expenses</t>
        </is>
      </c>
      <c r="D1330" s="3" t="inlineStr">
        <is>
          <t>4560</t>
        </is>
      </c>
      <c r="E1330" s="3" t="inlineStr">
        <is>
          <t>Secretarial fees - CIPC</t>
        </is>
      </c>
      <c r="F1330" s="3" t="n">
        <v>2500</v>
      </c>
      <c r="G1330" s="3" t="n">
        <v>2500</v>
      </c>
    </row>
    <row r="1331">
      <c r="A1331" s="3" t="inlineStr">
        <is>
          <t>Cape Projects Construction (Pty) Ltd</t>
        </is>
      </c>
      <c r="B1331" s="4" t="n">
        <v>44742</v>
      </c>
      <c r="C1331" s="3" t="inlineStr">
        <is>
          <t>Expenses</t>
        </is>
      </c>
      <c r="D1331" s="3" t="inlineStr">
        <is>
          <t>4700/000</t>
        </is>
      </c>
      <c r="E1331" s="3" t="inlineStr">
        <is>
          <t>PAYE Contributions</t>
        </is>
      </c>
      <c r="F1331" s="3" t="n">
        <v>21588.6</v>
      </c>
      <c r="G1331" s="3" t="n">
        <v>149943.44</v>
      </c>
    </row>
    <row r="1332">
      <c r="A1332" s="3" t="inlineStr">
        <is>
          <t>Cape Projects Construction (Pty) Ltd</t>
        </is>
      </c>
      <c r="B1332" s="4" t="n">
        <v>44742</v>
      </c>
      <c r="C1332" s="3" t="inlineStr">
        <is>
          <t>Expenses</t>
        </is>
      </c>
      <c r="D1332" s="3" t="inlineStr">
        <is>
          <t>4720/000</t>
        </is>
      </c>
      <c r="E1332" s="3" t="inlineStr">
        <is>
          <t>SDL Contributions</t>
        </is>
      </c>
      <c r="F1332" s="3" t="n">
        <v>1747.83</v>
      </c>
      <c r="G1332" s="3" t="n">
        <v>9539.26</v>
      </c>
    </row>
    <row r="1333">
      <c r="A1333" s="3" t="inlineStr">
        <is>
          <t>Cape Projects Construction (Pty) Ltd</t>
        </is>
      </c>
      <c r="B1333" s="4" t="n">
        <v>44742</v>
      </c>
      <c r="C1333" s="3" t="inlineStr">
        <is>
          <t>Expenses</t>
        </is>
      </c>
      <c r="D1333" s="3" t="inlineStr">
        <is>
          <t>4730/000</t>
        </is>
      </c>
      <c r="E1333" s="3" t="inlineStr">
        <is>
          <t>UIF Company Contributions</t>
        </is>
      </c>
      <c r="F1333" s="3" t="n">
        <v>1446.19</v>
      </c>
      <c r="G1333" s="3" t="n">
        <v>6355.62</v>
      </c>
    </row>
    <row r="1334">
      <c r="A1334" s="3" t="inlineStr">
        <is>
          <t>Cape Projects Construction (Pty) Ltd</t>
        </is>
      </c>
      <c r="B1334" s="4" t="n">
        <v>44742</v>
      </c>
      <c r="C1334" s="3" t="inlineStr">
        <is>
          <t>Expenses</t>
        </is>
      </c>
      <c r="D1334" s="3" t="inlineStr">
        <is>
          <t>4731/000</t>
        </is>
      </c>
      <c r="E1334" s="3" t="inlineStr">
        <is>
          <t>UIF Employee Contribution</t>
        </is>
      </c>
      <c r="F1334" s="3" t="n">
        <v>1446.19</v>
      </c>
      <c r="G1334" s="3" t="n">
        <v>6355.62</v>
      </c>
    </row>
    <row r="1335">
      <c r="A1335" s="3" t="inlineStr">
        <is>
          <t>Cape Projects Construction (Pty) Ltd</t>
        </is>
      </c>
      <c r="B1335" s="4" t="n">
        <v>44742</v>
      </c>
      <c r="C1335" s="3" t="inlineStr">
        <is>
          <t>Expenses</t>
        </is>
      </c>
      <c r="D1335" s="3" t="inlineStr">
        <is>
          <t>4740/000</t>
        </is>
      </c>
      <c r="E1335" s="3" t="inlineStr">
        <is>
          <t>BIBC Company Contribution</t>
        </is>
      </c>
      <c r="F1335" s="3" t="n">
        <v>3717.96</v>
      </c>
      <c r="G1335" s="3" t="n">
        <v>6591.31</v>
      </c>
    </row>
    <row r="1336">
      <c r="A1336" s="3" t="inlineStr">
        <is>
          <t>Cape Projects Construction (Pty) Ltd</t>
        </is>
      </c>
      <c r="B1336" s="4" t="n">
        <v>44742</v>
      </c>
      <c r="C1336" s="3" t="inlineStr">
        <is>
          <t>Expenses</t>
        </is>
      </c>
      <c r="D1336" s="3" t="inlineStr">
        <is>
          <t>4741/000</t>
        </is>
      </c>
      <c r="E1336" s="3" t="inlineStr">
        <is>
          <t>BIBC Employee Contribution</t>
        </is>
      </c>
      <c r="F1336" s="3" t="n">
        <v>3717.96</v>
      </c>
      <c r="G1336" s="3" t="n">
        <v>6413.31</v>
      </c>
    </row>
    <row r="1337">
      <c r="A1337" s="3" t="inlineStr">
        <is>
          <t>Heron Fields (Pty) Ltd</t>
        </is>
      </c>
      <c r="B1337" s="4" t="n">
        <v>44742</v>
      </c>
      <c r="C1337" s="3" t="inlineStr">
        <is>
          <t>Equity</t>
        </is>
      </c>
      <c r="D1337" s="3" t="inlineStr">
        <is>
          <t>5100-000</t>
        </is>
      </c>
      <c r="E1337" s="3" t="inlineStr">
        <is>
          <t>Share Capital</t>
        </is>
      </c>
      <c r="F1337" s="3" t="n">
        <v>0</v>
      </c>
      <c r="G1337" s="3" t="n">
        <v>-100</v>
      </c>
    </row>
    <row r="1338">
      <c r="A1338" s="3" t="inlineStr">
        <is>
          <t>Cape Projects Construction (Pty) Ltd</t>
        </is>
      </c>
      <c r="B1338" s="4" t="n">
        <v>44742</v>
      </c>
      <c r="C1338" s="3" t="inlineStr">
        <is>
          <t>Equity</t>
        </is>
      </c>
      <c r="D1338" s="3" t="inlineStr">
        <is>
          <t>5100/000</t>
        </is>
      </c>
      <c r="E1338" s="3" t="inlineStr">
        <is>
          <t>Share Capital / Members Contribution</t>
        </is>
      </c>
      <c r="F1338" s="3" t="n">
        <v>0</v>
      </c>
      <c r="G1338" s="3" t="n">
        <v>-120</v>
      </c>
    </row>
    <row r="1339">
      <c r="A1339" s="3" t="inlineStr">
        <is>
          <t>Cape Projects Construction (Pty) Ltd</t>
        </is>
      </c>
      <c r="B1339" s="4" t="n">
        <v>44742</v>
      </c>
      <c r="C1339" s="3" t="inlineStr">
        <is>
          <t>Equity</t>
        </is>
      </c>
      <c r="D1339" s="3" t="inlineStr">
        <is>
          <t>5200/000</t>
        </is>
      </c>
      <c r="E1339" s="3" t="inlineStr">
        <is>
          <t>Retained Earnings / Loss</t>
        </is>
      </c>
      <c r="F1339" s="3" t="n">
        <v>0</v>
      </c>
      <c r="G1339" s="3" t="n">
        <v>247347.05</v>
      </c>
    </row>
    <row r="1340">
      <c r="A1340" s="3" t="inlineStr">
        <is>
          <t>Heron Fields (Pty) Ltd</t>
        </is>
      </c>
      <c r="B1340" s="4" t="n">
        <v>44742</v>
      </c>
      <c r="C1340" s="3" t="inlineStr">
        <is>
          <t>Equity</t>
        </is>
      </c>
      <c r="D1340" s="3" t="inlineStr">
        <is>
          <t>5200/000</t>
        </is>
      </c>
      <c r="E1340" s="3" t="inlineStr">
        <is>
          <t>Retained Earnings / Loss</t>
        </is>
      </c>
      <c r="F1340" s="3" t="n">
        <v>0</v>
      </c>
      <c r="G1340" s="3" t="n">
        <v>-17080353.05</v>
      </c>
    </row>
    <row r="1341">
      <c r="A1341" s="3" t="inlineStr">
        <is>
          <t>Heron Fields (Pty) Ltd</t>
        </is>
      </c>
      <c r="B1341" s="4" t="n">
        <v>44742</v>
      </c>
      <c r="C1341" s="3" t="inlineStr">
        <is>
          <t>Assets</t>
        </is>
      </c>
      <c r="D1341" s="3" t="inlineStr">
        <is>
          <t>5300/001</t>
        </is>
      </c>
      <c r="E1341" s="3" t="inlineStr">
        <is>
          <t>Revaluation of Land stock</t>
        </is>
      </c>
      <c r="F1341" s="3" t="n">
        <v>0</v>
      </c>
      <c r="G1341" s="3" t="n">
        <v>17562360.85</v>
      </c>
    </row>
    <row r="1342">
      <c r="A1342" s="3" t="inlineStr">
        <is>
          <t>Cape Projects Construction (Pty) Ltd</t>
        </is>
      </c>
      <c r="B1342" s="4" t="n">
        <v>44742</v>
      </c>
      <c r="C1342" s="3" t="inlineStr">
        <is>
          <t>Assets</t>
        </is>
      </c>
      <c r="D1342" s="3" t="inlineStr">
        <is>
          <t>5400/150</t>
        </is>
      </c>
      <c r="E1342" s="3" t="inlineStr">
        <is>
          <t>Loan - Quinate</t>
        </is>
      </c>
      <c r="F1342" s="3" t="n">
        <v>0</v>
      </c>
      <c r="G1342" s="3" t="n">
        <v>2850000</v>
      </c>
    </row>
    <row r="1343">
      <c r="A1343" s="3" t="inlineStr">
        <is>
          <t>Cape Projects Construction (Pty) Ltd</t>
        </is>
      </c>
      <c r="B1343" s="4" t="n">
        <v>44742</v>
      </c>
      <c r="C1343" s="3" t="inlineStr">
        <is>
          <t>Assets</t>
        </is>
      </c>
      <c r="D1343" s="3" t="inlineStr">
        <is>
          <t>5400/450</t>
        </is>
      </c>
      <c r="E1343" s="3" t="inlineStr">
        <is>
          <t>Loan - Opportunity Investment</t>
        </is>
      </c>
      <c r="F1343" s="3" t="n">
        <v>313000</v>
      </c>
      <c r="G1343" s="3" t="n">
        <v>-10000</v>
      </c>
    </row>
    <row r="1344">
      <c r="A1344" s="3" t="inlineStr">
        <is>
          <t>Cape Projects Construction (Pty) Ltd</t>
        </is>
      </c>
      <c r="B1344" s="4" t="n">
        <v>44742</v>
      </c>
      <c r="C1344" s="3" t="inlineStr">
        <is>
          <t>Assets</t>
        </is>
      </c>
      <c r="D1344" s="3" t="inlineStr">
        <is>
          <t>5400/550</t>
        </is>
      </c>
      <c r="E1344" s="3" t="inlineStr">
        <is>
          <t>Loan - Trademark</t>
        </is>
      </c>
      <c r="F1344" s="3" t="n">
        <v>600</v>
      </c>
      <c r="G1344" s="3" t="n">
        <v>600</v>
      </c>
    </row>
    <row r="1345">
      <c r="A1345" s="3" t="inlineStr">
        <is>
          <t>Cape Projects Construction (Pty) Ltd</t>
        </is>
      </c>
      <c r="B1345" s="4" t="n">
        <v>44742</v>
      </c>
      <c r="C1345" s="3" t="inlineStr">
        <is>
          <t>Assets</t>
        </is>
      </c>
      <c r="D1345" s="3" t="inlineStr">
        <is>
          <t>5400/600</t>
        </is>
      </c>
      <c r="E1345" s="3" t="inlineStr">
        <is>
          <t>Loan - Heron Projects</t>
        </is>
      </c>
      <c r="F1345" s="3" t="n">
        <v>551000</v>
      </c>
      <c r="G1345" s="3" t="n">
        <v>-3160000</v>
      </c>
    </row>
    <row r="1346">
      <c r="A1346" s="3" t="inlineStr">
        <is>
          <t>Cape Projects Construction (Pty) Ltd</t>
        </is>
      </c>
      <c r="B1346" s="4" t="n">
        <v>44742</v>
      </c>
      <c r="C1346" s="3" t="inlineStr">
        <is>
          <t>Assets</t>
        </is>
      </c>
      <c r="D1346" s="3" t="inlineStr">
        <is>
          <t>5400/650</t>
        </is>
      </c>
      <c r="E1346" s="3" t="inlineStr">
        <is>
          <t>Loan - Noble Shield</t>
        </is>
      </c>
      <c r="F1346" s="3" t="n">
        <v>600</v>
      </c>
      <c r="G1346" s="3" t="n">
        <v>600</v>
      </c>
    </row>
    <row r="1347">
      <c r="A1347" s="3" t="inlineStr">
        <is>
          <t>Cape Projects Construction (Pty) Ltd</t>
        </is>
      </c>
      <c r="B1347" s="4" t="n">
        <v>44742</v>
      </c>
      <c r="C1347" s="3" t="inlineStr">
        <is>
          <t>Assets</t>
        </is>
      </c>
      <c r="D1347" s="3" t="inlineStr">
        <is>
          <t>5400/750</t>
        </is>
      </c>
      <c r="E1347" s="3" t="inlineStr">
        <is>
          <t>Loan - Endulini</t>
        </is>
      </c>
      <c r="F1347" s="3" t="n">
        <v>162675.54</v>
      </c>
      <c r="G1347" s="3" t="n">
        <v>0</v>
      </c>
    </row>
    <row r="1348">
      <c r="A1348" s="3" t="inlineStr">
        <is>
          <t>Cape Projects Construction (Pty) Ltd</t>
        </is>
      </c>
      <c r="B1348" s="4" t="n">
        <v>44742</v>
      </c>
      <c r="C1348" s="3" t="inlineStr">
        <is>
          <t>Assets</t>
        </is>
      </c>
      <c r="D1348" s="3" t="inlineStr">
        <is>
          <t>5400/800</t>
        </is>
      </c>
      <c r="E1348" s="3" t="inlineStr">
        <is>
          <t>Loan - Opportunity Management Holdings</t>
        </is>
      </c>
      <c r="F1348" s="3" t="n">
        <v>50000</v>
      </c>
      <c r="G1348" s="3" t="n">
        <v>0</v>
      </c>
    </row>
    <row r="1349">
      <c r="A1349" s="3" t="inlineStr">
        <is>
          <t>Heron View (Pty) Ltd</t>
        </is>
      </c>
      <c r="B1349" s="4" t="n">
        <v>44742</v>
      </c>
      <c r="C1349" s="3" t="inlineStr">
        <is>
          <t>Liabilities</t>
        </is>
      </c>
      <c r="D1349" s="3" t="inlineStr">
        <is>
          <t>5500/001</t>
        </is>
      </c>
      <c r="E1349" s="3" t="inlineStr">
        <is>
          <t>Loan - Heron Fields</t>
        </is>
      </c>
      <c r="F1349" s="3" t="n">
        <v>-1420041.22</v>
      </c>
      <c r="G1349" s="3" t="n">
        <v>-1430761.22</v>
      </c>
    </row>
    <row r="1350">
      <c r="A1350" s="3" t="inlineStr">
        <is>
          <t>Heron Fields (Pty) Ltd</t>
        </is>
      </c>
      <c r="B1350" s="4" t="n">
        <v>44742</v>
      </c>
      <c r="C1350" s="3" t="inlineStr">
        <is>
          <t>Liabilities</t>
        </is>
      </c>
      <c r="D1350" s="3" t="inlineStr">
        <is>
          <t>5500/010</t>
        </is>
      </c>
      <c r="E1350" s="3" t="inlineStr">
        <is>
          <t>Loan - Quinate</t>
        </is>
      </c>
      <c r="F1350" s="3" t="n">
        <v>-420000</v>
      </c>
      <c r="G1350" s="3" t="n">
        <v>-420000</v>
      </c>
    </row>
    <row r="1351">
      <c r="A1351" s="3" t="inlineStr">
        <is>
          <t>Heron Fields (Pty) Ltd</t>
        </is>
      </c>
      <c r="B1351" s="4" t="n">
        <v>44742</v>
      </c>
      <c r="C1351" s="3" t="inlineStr">
        <is>
          <t>Liabilities</t>
        </is>
      </c>
      <c r="D1351" s="3" t="inlineStr">
        <is>
          <t>5500/020</t>
        </is>
      </c>
      <c r="E1351" s="3" t="inlineStr">
        <is>
          <t>Loan - Cape Projects Construction</t>
        </is>
      </c>
      <c r="F1351" s="3" t="n">
        <v>-551000</v>
      </c>
      <c r="G1351" s="3" t="n">
        <v>3160000</v>
      </c>
    </row>
    <row r="1352">
      <c r="A1352" s="3" t="inlineStr">
        <is>
          <t>Heron Fields (Pty) Ltd</t>
        </is>
      </c>
      <c r="B1352" s="4" t="n">
        <v>44742</v>
      </c>
      <c r="C1352" s="3" t="inlineStr">
        <is>
          <t>Liabilities</t>
        </is>
      </c>
      <c r="D1352" s="3" t="inlineStr">
        <is>
          <t>5500/030</t>
        </is>
      </c>
      <c r="E1352" s="3" t="inlineStr">
        <is>
          <t>Loan - Opportunity Global Investments</t>
        </is>
      </c>
      <c r="F1352" s="3" t="n">
        <v>-127000</v>
      </c>
      <c r="G1352" s="3" t="n">
        <v>-127000</v>
      </c>
    </row>
    <row r="1353">
      <c r="A1353" s="3" t="inlineStr">
        <is>
          <t>Heron Fields (Pty) Ltd</t>
        </is>
      </c>
      <c r="B1353" s="4" t="n">
        <v>44742</v>
      </c>
      <c r="C1353" s="3" t="inlineStr">
        <is>
          <t>Liabilities</t>
        </is>
      </c>
      <c r="D1353" s="3" t="inlineStr">
        <is>
          <t>5500/040</t>
        </is>
      </c>
      <c r="E1353" s="3" t="inlineStr">
        <is>
          <t>Loan - Trademark</t>
        </is>
      </c>
      <c r="F1353" s="3" t="n">
        <v>-45000</v>
      </c>
      <c r="G1353" s="3" t="n">
        <v>-45000</v>
      </c>
    </row>
    <row r="1354">
      <c r="A1354" s="3" t="inlineStr">
        <is>
          <t>Heron Fields (Pty) Ltd</t>
        </is>
      </c>
      <c r="B1354" s="4" t="n">
        <v>44742</v>
      </c>
      <c r="C1354" s="3" t="inlineStr">
        <is>
          <t>Liabilities</t>
        </is>
      </c>
      <c r="D1354" s="3" t="inlineStr">
        <is>
          <t>5500/050</t>
        </is>
      </c>
      <c r="E1354" s="3" t="inlineStr">
        <is>
          <t>Loan - Heron View</t>
        </is>
      </c>
      <c r="F1354" s="3" t="n">
        <v>1420041.22</v>
      </c>
      <c r="G1354" s="3" t="n">
        <v>1430761.22</v>
      </c>
    </row>
    <row r="1355">
      <c r="A1355" s="3" t="inlineStr">
        <is>
          <t>Heron Fields (Pty) Ltd</t>
        </is>
      </c>
      <c r="B1355" s="4" t="n">
        <v>44742</v>
      </c>
      <c r="C1355" s="3" t="inlineStr">
        <is>
          <t>Liabilities</t>
        </is>
      </c>
      <c r="D1355" s="3" t="inlineStr">
        <is>
          <t>5500/060</t>
        </is>
      </c>
      <c r="E1355" s="3" t="inlineStr">
        <is>
          <t>Loan - Opportunity Management Holdings</t>
        </is>
      </c>
      <c r="F1355" s="3" t="n">
        <v>-127000</v>
      </c>
      <c r="G1355" s="3" t="n">
        <v>-127000</v>
      </c>
    </row>
    <row r="1356">
      <c r="A1356" s="3" t="inlineStr">
        <is>
          <t>Heron Fields (Pty) Ltd</t>
        </is>
      </c>
      <c r="B1356" s="4" t="n">
        <v>44742</v>
      </c>
      <c r="C1356" s="3" t="inlineStr">
        <is>
          <t>Liabilities</t>
        </is>
      </c>
      <c r="D1356" s="3" t="inlineStr">
        <is>
          <t>5500/070</t>
        </is>
      </c>
      <c r="E1356" s="3" t="inlineStr">
        <is>
          <t>Loan - Noble Shield</t>
        </is>
      </c>
      <c r="F1356" s="3" t="n">
        <v>-11000</v>
      </c>
      <c r="G1356" s="3" t="n">
        <v>-11000</v>
      </c>
    </row>
    <row r="1357">
      <c r="A1357" s="3" t="inlineStr">
        <is>
          <t>Cape Projects Construction (Pty) Ltd</t>
        </is>
      </c>
      <c r="B1357" s="4" t="n">
        <v>44742</v>
      </c>
      <c r="C1357" s="3" t="inlineStr">
        <is>
          <t>Liabilities</t>
        </is>
      </c>
      <c r="D1357" s="3" t="inlineStr">
        <is>
          <t>5600/100</t>
        </is>
      </c>
      <c r="E1357" s="3" t="inlineStr">
        <is>
          <t>Motor Vehical Car Repaymts - Toyota</t>
        </is>
      </c>
      <c r="F1357" s="3" t="n">
        <v>5201.27</v>
      </c>
      <c r="G1357" s="3" t="n">
        <v>20792.94</v>
      </c>
    </row>
    <row r="1358">
      <c r="A1358" s="3" t="inlineStr">
        <is>
          <t>Cape Projects Construction (Pty) Ltd</t>
        </is>
      </c>
      <c r="B1358" s="4" t="n">
        <v>44742</v>
      </c>
      <c r="C1358" s="3" t="inlineStr">
        <is>
          <t>Liabilities</t>
        </is>
      </c>
      <c r="D1358" s="3" t="inlineStr">
        <is>
          <t>5600/200</t>
        </is>
      </c>
      <c r="E1358" s="3" t="inlineStr">
        <is>
          <t>Motor Vehicle Car Repayments - Toyota Shortterm</t>
        </is>
      </c>
      <c r="F1358" s="3" t="n">
        <v>0</v>
      </c>
      <c r="G1358" s="3" t="n">
        <v>-58920.1</v>
      </c>
    </row>
    <row r="1359">
      <c r="A1359" s="3" t="inlineStr">
        <is>
          <t>Cape Projects Construction (Pty) Ltd</t>
        </is>
      </c>
      <c r="B1359" s="4" t="n">
        <v>44742</v>
      </c>
      <c r="C1359" s="3" t="inlineStr">
        <is>
          <t>Assets</t>
        </is>
      </c>
      <c r="D1359" s="3" t="inlineStr">
        <is>
          <t>6200/010</t>
        </is>
      </c>
      <c r="E1359" s="3" t="inlineStr">
        <is>
          <t>Motor Vehicles - @ Cost</t>
        </is>
      </c>
      <c r="F1359" s="3" t="n">
        <v>0</v>
      </c>
      <c r="G1359" s="3" t="n">
        <v>216064.1</v>
      </c>
    </row>
    <row r="1360">
      <c r="A1360" s="3" t="inlineStr">
        <is>
          <t>Cape Projects Construction (Pty) Ltd</t>
        </is>
      </c>
      <c r="B1360" s="4" t="n">
        <v>44742</v>
      </c>
      <c r="C1360" s="3" t="inlineStr">
        <is>
          <t>Assets</t>
        </is>
      </c>
      <c r="D1360" s="3" t="inlineStr">
        <is>
          <t>6200/020</t>
        </is>
      </c>
      <c r="E1360" s="3" t="inlineStr">
        <is>
          <t>Motor Vehicles - Accum Depre</t>
        </is>
      </c>
      <c r="F1360" s="3" t="n">
        <v>0</v>
      </c>
      <c r="G1360" s="3" t="n">
        <v>-176453</v>
      </c>
    </row>
    <row r="1361">
      <c r="A1361" s="3" t="inlineStr">
        <is>
          <t>Cape Projects Construction (Pty) Ltd</t>
        </is>
      </c>
      <c r="B1361" s="4" t="n">
        <v>44742</v>
      </c>
      <c r="C1361" s="3" t="inlineStr">
        <is>
          <t>Assets</t>
        </is>
      </c>
      <c r="D1361" s="3" t="inlineStr">
        <is>
          <t>6250/010</t>
        </is>
      </c>
      <c r="E1361" s="3" t="inlineStr">
        <is>
          <t>Computer Equipment - @ Cost</t>
        </is>
      </c>
      <c r="F1361" s="3" t="n">
        <v>0</v>
      </c>
      <c r="G1361" s="3" t="n">
        <v>83494.91</v>
      </c>
    </row>
    <row r="1362">
      <c r="A1362" s="3" t="inlineStr">
        <is>
          <t>Cape Projects Construction (Pty) Ltd</t>
        </is>
      </c>
      <c r="B1362" s="4" t="n">
        <v>44742</v>
      </c>
      <c r="C1362" s="3" t="inlineStr">
        <is>
          <t>Assets</t>
        </is>
      </c>
      <c r="D1362" s="3" t="inlineStr">
        <is>
          <t>6250/020</t>
        </is>
      </c>
      <c r="E1362" s="3" t="inlineStr">
        <is>
          <t>Computer Equipment - Accum Depre</t>
        </is>
      </c>
      <c r="F1362" s="3" t="n">
        <v>-1926.8</v>
      </c>
      <c r="G1362" s="3" t="n">
        <v>-25869.09</v>
      </c>
    </row>
    <row r="1363">
      <c r="A1363" s="3" t="inlineStr">
        <is>
          <t>Cape Projects Construction (Pty) Ltd</t>
        </is>
      </c>
      <c r="B1363" s="4" t="n">
        <v>44742</v>
      </c>
      <c r="C1363" s="3" t="inlineStr">
        <is>
          <t>Assets</t>
        </is>
      </c>
      <c r="D1363" s="3" t="inlineStr">
        <is>
          <t>6350/010</t>
        </is>
      </c>
      <c r="E1363" s="3" t="inlineStr">
        <is>
          <t>Furniture _AND_ Fittings - @ Cost</t>
        </is>
      </c>
      <c r="F1363" s="3" t="n">
        <v>0</v>
      </c>
      <c r="G1363" s="3" t="n">
        <v>29281.39</v>
      </c>
    </row>
    <row r="1364">
      <c r="A1364" s="3" t="inlineStr">
        <is>
          <t>Cape Projects Construction (Pty) Ltd</t>
        </is>
      </c>
      <c r="B1364" s="4" t="n">
        <v>44742</v>
      </c>
      <c r="C1364" s="3" t="inlineStr">
        <is>
          <t>Assets</t>
        </is>
      </c>
      <c r="D1364" s="3" t="inlineStr">
        <is>
          <t>6350/020</t>
        </is>
      </c>
      <c r="E1364" s="3" t="inlineStr">
        <is>
          <t>Furniture _AND_ Fittings - Accum Depre</t>
        </is>
      </c>
      <c r="F1364" s="3" t="n">
        <v>-427.2</v>
      </c>
      <c r="G1364" s="3" t="n">
        <v>-2115.51</v>
      </c>
    </row>
    <row r="1365">
      <c r="A1365" s="3" t="inlineStr">
        <is>
          <t>Cape Projects Construction (Pty) Ltd</t>
        </is>
      </c>
      <c r="B1365" s="4" t="n">
        <v>44742</v>
      </c>
      <c r="C1365" s="3" t="inlineStr">
        <is>
          <t>Assets</t>
        </is>
      </c>
      <c r="D1365" s="3" t="inlineStr">
        <is>
          <t>6600/010</t>
        </is>
      </c>
      <c r="E1365" s="3" t="inlineStr">
        <is>
          <t>Generator Fixed Asset - @ Cost</t>
        </is>
      </c>
      <c r="F1365" s="3" t="n">
        <v>0</v>
      </c>
      <c r="G1365" s="3" t="n">
        <v>11600</v>
      </c>
    </row>
    <row r="1366">
      <c r="A1366" s="3" t="inlineStr">
        <is>
          <t>Cape Projects Construction (Pty) Ltd</t>
        </is>
      </c>
      <c r="B1366" s="4" t="n">
        <v>44742</v>
      </c>
      <c r="C1366" s="3" t="inlineStr">
        <is>
          <t>Assets</t>
        </is>
      </c>
      <c r="D1366" s="3" t="inlineStr">
        <is>
          <t>6600/020</t>
        </is>
      </c>
      <c r="E1366" s="3" t="inlineStr">
        <is>
          <t>Generator Fixed Asset - Accum Depre</t>
        </is>
      </c>
      <c r="F1366" s="3" t="n">
        <v>-193.33</v>
      </c>
      <c r="G1366" s="3" t="n">
        <v>-1578.89</v>
      </c>
    </row>
    <row r="1367">
      <c r="A1367" s="3" t="inlineStr">
        <is>
          <t>Heron Fields (Pty) Ltd</t>
        </is>
      </c>
      <c r="B1367" s="4" t="n">
        <v>44742</v>
      </c>
      <c r="C1367" s="3" t="inlineStr">
        <is>
          <t>Assets</t>
        </is>
      </c>
      <c r="D1367" s="3" t="inlineStr">
        <is>
          <t>7610/395</t>
        </is>
      </c>
      <c r="E1367" s="3" t="inlineStr">
        <is>
          <t>HF CIP NHBRC</t>
        </is>
      </c>
      <c r="F1367" s="3" t="n">
        <v>0</v>
      </c>
      <c r="G1367" s="3" t="n">
        <v>874505.75</v>
      </c>
    </row>
    <row r="1368">
      <c r="A1368" s="3" t="inlineStr">
        <is>
          <t>Heron Fields (Pty) Ltd</t>
        </is>
      </c>
      <c r="B1368" s="4" t="n">
        <v>44742</v>
      </c>
      <c r="C1368" s="3" t="inlineStr">
        <is>
          <t>Assets</t>
        </is>
      </c>
      <c r="D1368" s="3" t="inlineStr">
        <is>
          <t>7620/100</t>
        </is>
      </c>
      <c r="E1368" s="3" t="inlineStr">
        <is>
          <t>Heron View Land</t>
        </is>
      </c>
      <c r="F1368" s="3" t="n">
        <v>0</v>
      </c>
      <c r="G1368" s="3" t="n">
        <v>26200000</v>
      </c>
    </row>
    <row r="1369">
      <c r="A1369" s="3" t="inlineStr">
        <is>
          <t>Heron Fields (Pty) Ltd</t>
        </is>
      </c>
      <c r="B1369" s="4" t="n">
        <v>44742</v>
      </c>
      <c r="C1369" s="3" t="inlineStr">
        <is>
          <t>Assets</t>
        </is>
      </c>
      <c r="D1369" s="3" t="inlineStr">
        <is>
          <t>7620/101</t>
        </is>
      </c>
      <c r="E1369" s="3" t="inlineStr">
        <is>
          <t>HF CIP Bond Registration Fee</t>
        </is>
      </c>
      <c r="F1369" s="3" t="n">
        <v>0</v>
      </c>
      <c r="G1369" s="3" t="n">
        <v>68427</v>
      </c>
    </row>
    <row r="1370">
      <c r="A1370" s="3" t="inlineStr">
        <is>
          <t>Heron Fields (Pty) Ltd</t>
        </is>
      </c>
      <c r="B1370" s="4" t="n">
        <v>44742</v>
      </c>
      <c r="C1370" s="3" t="inlineStr">
        <is>
          <t>Assets</t>
        </is>
      </c>
      <c r="D1370" s="3" t="inlineStr">
        <is>
          <t>7620/102</t>
        </is>
      </c>
      <c r="E1370" s="3" t="inlineStr">
        <is>
          <t>HF CIP Transfer Fee</t>
        </is>
      </c>
      <c r="F1370" s="3" t="n">
        <v>0</v>
      </c>
      <c r="G1370" s="3" t="n">
        <v>103812</v>
      </c>
    </row>
    <row r="1371">
      <c r="A1371" s="3" t="inlineStr">
        <is>
          <t>Heron Fields (Pty) Ltd</t>
        </is>
      </c>
      <c r="B1371" s="4" t="n">
        <v>44742</v>
      </c>
      <c r="C1371" s="3" t="inlineStr">
        <is>
          <t>Assets</t>
        </is>
      </c>
      <c r="D1371" s="3" t="inlineStr">
        <is>
          <t>7620/220</t>
        </is>
      </c>
      <c r="E1371" s="3" t="inlineStr">
        <is>
          <t>HF CIP Architectural Designs</t>
        </is>
      </c>
      <c r="F1371" s="3" t="n">
        <v>0</v>
      </c>
      <c r="G1371" s="3" t="n">
        <v>150780</v>
      </c>
    </row>
    <row r="1372">
      <c r="A1372" s="3" t="inlineStr">
        <is>
          <t>Heron Fields (Pty) Ltd</t>
        </is>
      </c>
      <c r="B1372" s="4" t="n">
        <v>44742</v>
      </c>
      <c r="C1372" s="3" t="inlineStr">
        <is>
          <t>Assets</t>
        </is>
      </c>
      <c r="D1372" s="3" t="inlineStr">
        <is>
          <t>7620/230</t>
        </is>
      </c>
      <c r="E1372" s="3" t="inlineStr">
        <is>
          <t>HF CIP Construction Management</t>
        </is>
      </c>
      <c r="F1372" s="3" t="n">
        <v>11000</v>
      </c>
      <c r="G1372" s="3" t="n">
        <v>49000</v>
      </c>
    </row>
    <row r="1373">
      <c r="A1373" s="3" t="inlineStr">
        <is>
          <t>Heron Fields (Pty) Ltd</t>
        </is>
      </c>
      <c r="B1373" s="4" t="n">
        <v>44742</v>
      </c>
      <c r="C1373" s="3" t="inlineStr">
        <is>
          <t>Assets</t>
        </is>
      </c>
      <c r="D1373" s="3" t="inlineStr">
        <is>
          <t>7620/240</t>
        </is>
      </c>
      <c r="E1373" s="3" t="inlineStr">
        <is>
          <t>HF CIP Civil Engineering</t>
        </is>
      </c>
      <c r="F1373" s="3" t="n">
        <v>425220</v>
      </c>
      <c r="G1373" s="3" t="n">
        <v>6188594.8</v>
      </c>
    </row>
    <row r="1374">
      <c r="A1374" s="3" t="inlineStr">
        <is>
          <t>Heron Fields (Pty) Ltd</t>
        </is>
      </c>
      <c r="B1374" s="4" t="n">
        <v>44742</v>
      </c>
      <c r="C1374" s="3" t="inlineStr">
        <is>
          <t>Assets</t>
        </is>
      </c>
      <c r="D1374" s="3" t="inlineStr">
        <is>
          <t>7620/245</t>
        </is>
      </c>
      <c r="E1374" s="3" t="inlineStr">
        <is>
          <t>HF CIP Development fee</t>
        </is>
      </c>
      <c r="F1374" s="3" t="n">
        <v>0</v>
      </c>
      <c r="G1374" s="3" t="n">
        <v>13807.78</v>
      </c>
    </row>
    <row r="1375">
      <c r="A1375" s="3" t="inlineStr">
        <is>
          <t>Heron Fields (Pty) Ltd</t>
        </is>
      </c>
      <c r="B1375" s="4" t="n">
        <v>44742</v>
      </c>
      <c r="C1375" s="3" t="inlineStr">
        <is>
          <t>Assets</t>
        </is>
      </c>
      <c r="D1375" s="3" t="inlineStr">
        <is>
          <t>7620/250</t>
        </is>
      </c>
      <c r="E1375" s="3" t="inlineStr">
        <is>
          <t>HF CIP Land Surveyor</t>
        </is>
      </c>
      <c r="F1375" s="3" t="n">
        <v>0</v>
      </c>
      <c r="G1375" s="3" t="n">
        <v>44026.09</v>
      </c>
    </row>
    <row r="1376">
      <c r="A1376" s="3" t="inlineStr">
        <is>
          <t>Heron Fields (Pty) Ltd</t>
        </is>
      </c>
      <c r="B1376" s="4" t="n">
        <v>44742</v>
      </c>
      <c r="C1376" s="3" t="inlineStr">
        <is>
          <t>Assets</t>
        </is>
      </c>
      <c r="D1376" s="3" t="inlineStr">
        <is>
          <t>7620/255</t>
        </is>
      </c>
      <c r="E1376" s="3" t="inlineStr">
        <is>
          <t>HF CIP Landscaping</t>
        </is>
      </c>
      <c r="F1376" s="3" t="n">
        <v>0</v>
      </c>
      <c r="G1376" s="3" t="n">
        <v>7500</v>
      </c>
    </row>
    <row r="1377">
      <c r="A1377" s="3" t="inlineStr">
        <is>
          <t>Heron Fields (Pty) Ltd</t>
        </is>
      </c>
      <c r="B1377" s="4" t="n">
        <v>44742</v>
      </c>
      <c r="C1377" s="3" t="inlineStr">
        <is>
          <t>Assets</t>
        </is>
      </c>
      <c r="D1377" s="3" t="inlineStr">
        <is>
          <t>7620/260</t>
        </is>
      </c>
      <c r="E1377" s="3" t="inlineStr">
        <is>
          <t>HF CIP Mechanical Engineers</t>
        </is>
      </c>
      <c r="F1377" s="3" t="n">
        <v>0</v>
      </c>
      <c r="G1377" s="3" t="n">
        <v>67400</v>
      </c>
    </row>
    <row r="1378">
      <c r="A1378" s="3" t="inlineStr">
        <is>
          <t>Heron Fields (Pty) Ltd</t>
        </is>
      </c>
      <c r="B1378" s="4" t="n">
        <v>44742</v>
      </c>
      <c r="C1378" s="3" t="inlineStr">
        <is>
          <t>Assets</t>
        </is>
      </c>
      <c r="D1378" s="3" t="inlineStr">
        <is>
          <t>7620/265</t>
        </is>
      </c>
      <c r="E1378" s="3" t="inlineStr">
        <is>
          <t>HF CIP Health &amp; Safety</t>
        </is>
      </c>
      <c r="F1378" s="3" t="n">
        <v>1400</v>
      </c>
      <c r="G1378" s="3" t="n">
        <v>12200</v>
      </c>
    </row>
    <row r="1379">
      <c r="A1379" s="3" t="inlineStr">
        <is>
          <t>Heron Fields (Pty) Ltd</t>
        </is>
      </c>
      <c r="B1379" s="4" t="n">
        <v>44742</v>
      </c>
      <c r="C1379" s="3" t="inlineStr">
        <is>
          <t>Assets</t>
        </is>
      </c>
      <c r="D1379" s="3" t="inlineStr">
        <is>
          <t>7620/270</t>
        </is>
      </c>
      <c r="E1379" s="3" t="inlineStr">
        <is>
          <t>HF CIP Geotechnical</t>
        </is>
      </c>
      <c r="F1379" s="3" t="n">
        <v>0</v>
      </c>
      <c r="G1379" s="3" t="n">
        <v>15175</v>
      </c>
    </row>
    <row r="1380">
      <c r="A1380" s="3" t="inlineStr">
        <is>
          <t>Heron Fields (Pty) Ltd</t>
        </is>
      </c>
      <c r="B1380" s="4" t="n">
        <v>44742</v>
      </c>
      <c r="C1380" s="3" t="inlineStr">
        <is>
          <t>Assets</t>
        </is>
      </c>
      <c r="D1380" s="3" t="inlineStr">
        <is>
          <t>7620/275</t>
        </is>
      </c>
      <c r="E1380" s="3" t="inlineStr">
        <is>
          <t>HF CIP Retaining Wall</t>
        </is>
      </c>
      <c r="F1380" s="3" t="n">
        <v>0</v>
      </c>
      <c r="G1380" s="3" t="n">
        <v>570856.08</v>
      </c>
    </row>
    <row r="1381">
      <c r="A1381" s="3" t="inlineStr">
        <is>
          <t>Heron Fields (Pty) Ltd</t>
        </is>
      </c>
      <c r="B1381" s="4" t="n">
        <v>44742</v>
      </c>
      <c r="C1381" s="3" t="inlineStr">
        <is>
          <t>Assets</t>
        </is>
      </c>
      <c r="D1381" s="3" t="inlineStr">
        <is>
          <t>7620/280</t>
        </is>
      </c>
      <c r="E1381" s="3" t="inlineStr">
        <is>
          <t>HF CIP Site Establishment</t>
        </is>
      </c>
      <c r="F1381" s="3" t="n">
        <v>5855130.14</v>
      </c>
      <c r="G1381" s="3" t="n">
        <v>13540373.53</v>
      </c>
    </row>
    <row r="1382">
      <c r="A1382" s="3" t="inlineStr">
        <is>
          <t>Heron Fields (Pty) Ltd</t>
        </is>
      </c>
      <c r="B1382" s="4" t="n">
        <v>44742</v>
      </c>
      <c r="C1382" s="3" t="inlineStr">
        <is>
          <t>Assets</t>
        </is>
      </c>
      <c r="D1382" s="3" t="inlineStr">
        <is>
          <t>7620/285</t>
        </is>
      </c>
      <c r="E1382" s="3" t="inlineStr">
        <is>
          <t>HF CIP Structuring Fee - Invest</t>
        </is>
      </c>
      <c r="F1382" s="3" t="n">
        <v>0</v>
      </c>
      <c r="G1382" s="3" t="n">
        <v>2376904.99</v>
      </c>
    </row>
    <row r="1383">
      <c r="A1383" s="3" t="inlineStr">
        <is>
          <t>Heron Fields (Pty) Ltd</t>
        </is>
      </c>
      <c r="B1383" s="4" t="n">
        <v>44742</v>
      </c>
      <c r="C1383" s="3" t="inlineStr">
        <is>
          <t>Assets</t>
        </is>
      </c>
      <c r="D1383" s="3" t="inlineStr">
        <is>
          <t>7620/287</t>
        </is>
      </c>
      <c r="E1383" s="3" t="inlineStr">
        <is>
          <t>HF CIP Structuring Fee - Development</t>
        </is>
      </c>
      <c r="F1383" s="3" t="n">
        <v>0</v>
      </c>
      <c r="G1383" s="3" t="n">
        <v>782608.0699999999</v>
      </c>
    </row>
    <row r="1384">
      <c r="A1384" s="3" t="inlineStr">
        <is>
          <t>Heron Fields (Pty) Ltd</t>
        </is>
      </c>
      <c r="B1384" s="4" t="n">
        <v>44742</v>
      </c>
      <c r="C1384" s="3" t="inlineStr">
        <is>
          <t>Assets</t>
        </is>
      </c>
      <c r="D1384" s="3" t="inlineStr">
        <is>
          <t>7620/290</t>
        </is>
      </c>
      <c r="E1384" s="3" t="inlineStr">
        <is>
          <t>HF CIP Town Planning</t>
        </is>
      </c>
      <c r="F1384" s="3" t="n">
        <v>34000</v>
      </c>
      <c r="G1384" s="3" t="n">
        <v>163550</v>
      </c>
    </row>
    <row r="1385">
      <c r="A1385" s="3" t="inlineStr">
        <is>
          <t>Heron Fields (Pty) Ltd</t>
        </is>
      </c>
      <c r="B1385" s="4" t="n">
        <v>44742</v>
      </c>
      <c r="C1385" s="3" t="inlineStr">
        <is>
          <t>Assets</t>
        </is>
      </c>
      <c r="D1385" s="3" t="inlineStr">
        <is>
          <t>7620/295</t>
        </is>
      </c>
      <c r="E1385" s="3" t="inlineStr">
        <is>
          <t>HF CIP Traffic Planning</t>
        </is>
      </c>
      <c r="F1385" s="3" t="n">
        <v>0</v>
      </c>
      <c r="G1385" s="3" t="n">
        <v>45000</v>
      </c>
    </row>
    <row r="1386">
      <c r="A1386" s="3" t="inlineStr">
        <is>
          <t>Heron Fields (Pty) Ltd</t>
        </is>
      </c>
      <c r="B1386" s="4" t="n">
        <v>44742</v>
      </c>
      <c r="C1386" s="3" t="inlineStr">
        <is>
          <t>Assets</t>
        </is>
      </c>
      <c r="D1386" s="3" t="inlineStr">
        <is>
          <t>7620/600</t>
        </is>
      </c>
      <c r="E1386" s="3" t="inlineStr">
        <is>
          <t>HF CIP Eco work</t>
        </is>
      </c>
      <c r="F1386" s="3" t="n">
        <v>6000</v>
      </c>
      <c r="G1386" s="3" t="n">
        <v>83000</v>
      </c>
    </row>
    <row r="1387">
      <c r="A1387" s="3" t="inlineStr">
        <is>
          <t>Heron Fields (Pty) Ltd</t>
        </is>
      </c>
      <c r="B1387" s="4" t="n">
        <v>44742</v>
      </c>
      <c r="C1387" s="3" t="inlineStr">
        <is>
          <t>Assets</t>
        </is>
      </c>
      <c r="D1387" s="3" t="inlineStr">
        <is>
          <t>7620/630</t>
        </is>
      </c>
      <c r="E1387" s="3" t="inlineStr">
        <is>
          <t>HF CIP CoCT development contribution</t>
        </is>
      </c>
      <c r="F1387" s="3" t="n">
        <v>223707.3</v>
      </c>
      <c r="G1387" s="3" t="n">
        <v>973679.71</v>
      </c>
    </row>
    <row r="1388">
      <c r="A1388" s="3" t="inlineStr">
        <is>
          <t>Heron View (Pty) Ltd</t>
        </is>
      </c>
      <c r="B1388" s="4" t="n">
        <v>44742</v>
      </c>
      <c r="C1388" s="3" t="inlineStr">
        <is>
          <t>Assets</t>
        </is>
      </c>
      <c r="D1388" s="3" t="inlineStr">
        <is>
          <t>7620/630</t>
        </is>
      </c>
      <c r="E1388" s="3" t="inlineStr">
        <is>
          <t>Heron CIP - CoCT development contribution</t>
        </is>
      </c>
      <c r="F1388" s="3" t="n">
        <v>1233261.93</v>
      </c>
      <c r="G1388" s="3" t="n">
        <v>1233261.93</v>
      </c>
    </row>
    <row r="1389">
      <c r="A1389" s="3" t="inlineStr">
        <is>
          <t>Heron Fields (Pty) Ltd</t>
        </is>
      </c>
      <c r="B1389" s="4" t="n">
        <v>44742</v>
      </c>
      <c r="C1389" s="3" t="inlineStr">
        <is>
          <t>Assets</t>
        </is>
      </c>
      <c r="D1389" s="3" t="inlineStr">
        <is>
          <t>7620/640</t>
        </is>
      </c>
      <c r="E1389" s="3" t="inlineStr">
        <is>
          <t>HF CIP Project costs</t>
        </is>
      </c>
      <c r="F1389" s="3" t="n">
        <v>0</v>
      </c>
      <c r="G1389" s="3" t="n">
        <v>622274.51</v>
      </c>
    </row>
    <row r="1390">
      <c r="A1390" s="3" t="inlineStr">
        <is>
          <t>Heron Fields (Pty) Ltd</t>
        </is>
      </c>
      <c r="B1390" s="4" t="n">
        <v>44742</v>
      </c>
      <c r="C1390" s="3" t="inlineStr">
        <is>
          <t>Assets</t>
        </is>
      </c>
      <c r="D1390" s="3" t="inlineStr">
        <is>
          <t>7620/650</t>
        </is>
      </c>
      <c r="E1390" s="3" t="inlineStr">
        <is>
          <t>HF CIP Electrical</t>
        </is>
      </c>
      <c r="F1390" s="3" t="n">
        <v>475734.17</v>
      </c>
      <c r="G1390" s="3" t="n">
        <v>475734.17</v>
      </c>
    </row>
    <row r="1391">
      <c r="A1391" s="3" t="inlineStr">
        <is>
          <t>Heron View (Pty) Ltd</t>
        </is>
      </c>
      <c r="B1391" s="4" t="n">
        <v>44742</v>
      </c>
      <c r="C1391" s="3" t="inlineStr">
        <is>
          <t>Assets</t>
        </is>
      </c>
      <c r="D1391" s="3" t="inlineStr">
        <is>
          <t>7620/660</t>
        </is>
      </c>
      <c r="E1391" s="3" t="inlineStr">
        <is>
          <t>HV CIP Health &amp; Safety</t>
        </is>
      </c>
      <c r="F1391" s="3" t="n">
        <v>1100</v>
      </c>
      <c r="G1391" s="3" t="n">
        <v>1100</v>
      </c>
    </row>
    <row r="1392">
      <c r="A1392" s="3" t="inlineStr">
        <is>
          <t>Cape Projects Construction (Pty) Ltd</t>
        </is>
      </c>
      <c r="B1392" s="4" t="n">
        <v>44742</v>
      </c>
      <c r="C1392" s="3" t="inlineStr">
        <is>
          <t>Assets</t>
        </is>
      </c>
      <c r="D1392" s="3" t="inlineStr">
        <is>
          <t>7800/000</t>
        </is>
      </c>
      <c r="E1392" s="3" t="inlineStr">
        <is>
          <t>Deposits paid</t>
        </is>
      </c>
      <c r="F1392" s="3" t="n">
        <v>0</v>
      </c>
      <c r="G1392" s="3" t="n">
        <v>6875.45</v>
      </c>
    </row>
    <row r="1393">
      <c r="A1393" s="3" t="inlineStr">
        <is>
          <t>Cape Projects Construction (Pty) Ltd</t>
        </is>
      </c>
      <c r="B1393" s="4" t="n">
        <v>44742</v>
      </c>
      <c r="C1393" s="3" t="inlineStr">
        <is>
          <t>Assets</t>
        </is>
      </c>
      <c r="D1393" s="3" t="inlineStr">
        <is>
          <t>8000/000</t>
        </is>
      </c>
      <c r="E1393" s="3" t="inlineStr">
        <is>
          <t>Customer Control Account</t>
        </is>
      </c>
      <c r="F1393" s="3" t="n">
        <v>11920629.86</v>
      </c>
      <c r="G1393" s="3" t="n">
        <v>19575423.98</v>
      </c>
    </row>
    <row r="1394">
      <c r="A1394" s="3" t="inlineStr">
        <is>
          <t>Cape Projects Construction (Pty) Ltd</t>
        </is>
      </c>
      <c r="B1394" s="4" t="n">
        <v>44742</v>
      </c>
      <c r="C1394" s="3" t="inlineStr">
        <is>
          <t>Assets</t>
        </is>
      </c>
      <c r="D1394" s="3" t="inlineStr">
        <is>
          <t>8200/010</t>
        </is>
      </c>
      <c r="E1394" s="3" t="inlineStr">
        <is>
          <t>Prepayments / Prepaid Expenses</t>
        </is>
      </c>
      <c r="F1394" s="3" t="n">
        <v>-5586.53</v>
      </c>
      <c r="G1394" s="3" t="n">
        <v>27342.04</v>
      </c>
    </row>
    <row r="1395">
      <c r="A1395" s="3" t="inlineStr">
        <is>
          <t>Heron Fields (Pty) Ltd</t>
        </is>
      </c>
      <c r="B1395" s="4" t="n">
        <v>44742</v>
      </c>
      <c r="C1395" s="3" t="inlineStr">
        <is>
          <t>Assets</t>
        </is>
      </c>
      <c r="D1395" s="3" t="inlineStr">
        <is>
          <t>8400/000</t>
        </is>
      </c>
      <c r="E1395" s="3" t="inlineStr">
        <is>
          <t>RMB - 62882379087</t>
        </is>
      </c>
      <c r="F1395" s="3" t="n">
        <v>3796064.73</v>
      </c>
      <c r="G1395" s="3" t="n">
        <v>5185547.3</v>
      </c>
    </row>
    <row r="1396">
      <c r="A1396" s="3" t="inlineStr">
        <is>
          <t>Cape Projects Construction (Pty) Ltd</t>
        </is>
      </c>
      <c r="B1396" s="4" t="n">
        <v>44742</v>
      </c>
      <c r="C1396" s="3" t="inlineStr">
        <is>
          <t>Assets</t>
        </is>
      </c>
      <c r="D1396" s="3" t="inlineStr">
        <is>
          <t>8400/000</t>
        </is>
      </c>
      <c r="E1396" s="3" t="inlineStr">
        <is>
          <t>RMB 62275138470</t>
        </is>
      </c>
      <c r="F1396" s="3" t="n">
        <v>-31615.39</v>
      </c>
      <c r="G1396" s="3" t="n">
        <v>16101.64</v>
      </c>
    </row>
    <row r="1397">
      <c r="A1397" s="3" t="inlineStr">
        <is>
          <t>Cape Projects Construction (Pty) Ltd</t>
        </is>
      </c>
      <c r="B1397" s="4" t="n">
        <v>44742</v>
      </c>
      <c r="C1397" s="3" t="inlineStr">
        <is>
          <t>Assets</t>
        </is>
      </c>
      <c r="D1397" s="3" t="inlineStr">
        <is>
          <t>8420/000</t>
        </is>
      </c>
      <c r="E1397" s="3" t="inlineStr">
        <is>
          <t>Momentum Priv Acc RU502230981</t>
        </is>
      </c>
      <c r="F1397" s="3" t="n">
        <v>2.15</v>
      </c>
      <c r="G1397" s="3" t="n">
        <v>517.9299999999999</v>
      </c>
    </row>
    <row r="1398">
      <c r="A1398" s="3" t="inlineStr">
        <is>
          <t>Heron Fields (Pty) Ltd</t>
        </is>
      </c>
      <c r="B1398" s="4" t="n">
        <v>44742</v>
      </c>
      <c r="C1398" s="3" t="inlineStr">
        <is>
          <t>Assets</t>
        </is>
      </c>
      <c r="D1398" s="3" t="inlineStr">
        <is>
          <t>8430/000</t>
        </is>
      </c>
      <c r="E1398" s="3" t="inlineStr">
        <is>
          <t>Momentum Private Account RU502230151</t>
        </is>
      </c>
      <c r="F1398" s="3" t="n">
        <v>2.92</v>
      </c>
      <c r="G1398" s="3" t="n">
        <v>796.2</v>
      </c>
    </row>
    <row r="1399">
      <c r="A1399" s="3" t="inlineStr">
        <is>
          <t>Heron Fields (Pty) Ltd</t>
        </is>
      </c>
      <c r="B1399" s="4" t="n">
        <v>44742</v>
      </c>
      <c r="C1399" s="3" t="inlineStr">
        <is>
          <t>Assets</t>
        </is>
      </c>
      <c r="D1399" s="3" t="inlineStr">
        <is>
          <t>8440/000</t>
        </is>
      </c>
      <c r="E1399" s="3" t="inlineStr">
        <is>
          <t>Momentum Investors Account RU502229930</t>
        </is>
      </c>
      <c r="F1399" s="3" t="n">
        <v>1659015.12</v>
      </c>
      <c r="G1399" s="3" t="n">
        <v>10022097.75</v>
      </c>
    </row>
    <row r="1400">
      <c r="A1400" s="3" t="inlineStr">
        <is>
          <t>Heron Fields (Pty) Ltd</t>
        </is>
      </c>
      <c r="B1400" s="4" t="n">
        <v>44742</v>
      </c>
      <c r="C1400" s="3" t="inlineStr">
        <is>
          <t>Assets</t>
        </is>
      </c>
      <c r="D1400" s="3" t="inlineStr">
        <is>
          <t>8500/000</t>
        </is>
      </c>
      <c r="E1400" s="3" t="inlineStr">
        <is>
          <t>Laas and Scholtz - Funds in transit</t>
        </is>
      </c>
      <c r="F1400" s="3" t="n">
        <v>500000</v>
      </c>
      <c r="G1400" s="3" t="n">
        <v>500000</v>
      </c>
    </row>
    <row r="1401">
      <c r="A1401" s="3" t="inlineStr">
        <is>
          <t>Cape Projects Construction (Pty) Ltd</t>
        </is>
      </c>
      <c r="B1401" s="4" t="n">
        <v>44742</v>
      </c>
      <c r="C1401" s="3" t="inlineStr">
        <is>
          <t>Liabilities</t>
        </is>
      </c>
      <c r="D1401" s="3" t="inlineStr">
        <is>
          <t>860</t>
        </is>
      </c>
      <c r="E1401" s="3" t="inlineStr">
        <is>
          <t>Rounding</t>
        </is>
      </c>
      <c r="F1401" s="3" t="n">
        <v>-0.01</v>
      </c>
      <c r="G1401" s="3" t="n">
        <v>-0.04</v>
      </c>
    </row>
    <row r="1402">
      <c r="A1402" s="3" t="inlineStr">
        <is>
          <t>Heron Fields (Pty) Ltd</t>
        </is>
      </c>
      <c r="B1402" s="4" t="n">
        <v>44742</v>
      </c>
      <c r="C1402" s="3" t="inlineStr">
        <is>
          <t>Liabilities</t>
        </is>
      </c>
      <c r="D1402" s="3" t="inlineStr">
        <is>
          <t>860</t>
        </is>
      </c>
      <c r="E1402" s="3" t="inlineStr">
        <is>
          <t>Rounding</t>
        </is>
      </c>
      <c r="F1402" s="3" t="n">
        <v>-0.01</v>
      </c>
      <c r="G1402" s="3" t="n">
        <v>0</v>
      </c>
    </row>
    <row r="1403">
      <c r="A1403" s="3" t="inlineStr">
        <is>
          <t>Cape Projects Construction (Pty) Ltd</t>
        </is>
      </c>
      <c r="B1403" s="4" t="n">
        <v>44742</v>
      </c>
      <c r="C1403" s="3" t="inlineStr">
        <is>
          <t>Liabilities</t>
        </is>
      </c>
      <c r="D1403" s="3" t="inlineStr">
        <is>
          <t>9000/000</t>
        </is>
      </c>
      <c r="E1403" s="3" t="inlineStr">
        <is>
          <t>Supplier Control Account</t>
        </is>
      </c>
      <c r="F1403" s="3" t="n">
        <v>246690.54</v>
      </c>
      <c r="G1403" s="3" t="n">
        <v>-5033705.7</v>
      </c>
    </row>
    <row r="1404">
      <c r="A1404" s="3" t="inlineStr">
        <is>
          <t>Heron Fields (Pty) Ltd</t>
        </is>
      </c>
      <c r="B1404" s="4" t="n">
        <v>44742</v>
      </c>
      <c r="C1404" s="3" t="inlineStr">
        <is>
          <t>Liabilities</t>
        </is>
      </c>
      <c r="D1404" s="3" t="inlineStr">
        <is>
          <t>9000/000</t>
        </is>
      </c>
      <c r="E1404" s="3" t="inlineStr">
        <is>
          <t>Supplier Control Account</t>
        </is>
      </c>
      <c r="F1404" s="3" t="n">
        <v>-14434834.46</v>
      </c>
      <c r="G1404" s="3" t="n">
        <v>-76416498.09999999</v>
      </c>
    </row>
    <row r="1405">
      <c r="A1405" s="3" t="inlineStr">
        <is>
          <t>Heron View (Pty) Ltd</t>
        </is>
      </c>
      <c r="B1405" s="4" t="n">
        <v>44742</v>
      </c>
      <c r="C1405" s="3" t="inlineStr">
        <is>
          <t>Liabilities</t>
        </is>
      </c>
      <c r="D1405" s="3" t="inlineStr">
        <is>
          <t>9000/000</t>
        </is>
      </c>
      <c r="E1405" s="3" t="inlineStr">
        <is>
          <t>Supplier Control Account</t>
        </is>
      </c>
      <c r="F1405" s="3" t="n">
        <v>0</v>
      </c>
      <c r="G1405" s="3" t="n">
        <v>8650</v>
      </c>
    </row>
    <row r="1406">
      <c r="A1406" s="3" t="inlineStr">
        <is>
          <t>Cape Projects Construction (Pty) Ltd</t>
        </is>
      </c>
      <c r="B1406" s="4" t="n">
        <v>44742</v>
      </c>
      <c r="C1406" s="3" t="inlineStr">
        <is>
          <t>Liabilities</t>
        </is>
      </c>
      <c r="D1406" s="3" t="inlineStr">
        <is>
          <t>9200/000</t>
        </is>
      </c>
      <c r="E1406" s="3" t="inlineStr">
        <is>
          <t>Sundry Suppliers</t>
        </is>
      </c>
      <c r="F1406" s="3" t="n">
        <v>0</v>
      </c>
      <c r="G1406" s="3" t="n">
        <v>1186.13</v>
      </c>
    </row>
    <row r="1407">
      <c r="A1407" s="3" t="inlineStr">
        <is>
          <t>Cape Projects Construction (Pty) Ltd</t>
        </is>
      </c>
      <c r="B1407" s="4" t="n">
        <v>44742</v>
      </c>
      <c r="C1407" s="3" t="inlineStr">
        <is>
          <t>Liabilities</t>
        </is>
      </c>
      <c r="D1407" s="3" t="inlineStr">
        <is>
          <t>9250/010</t>
        </is>
      </c>
      <c r="E1407" s="3" t="inlineStr">
        <is>
          <t>SALARY CONTROL</t>
        </is>
      </c>
      <c r="F1407" s="3" t="n">
        <v>0.01</v>
      </c>
      <c r="G1407" s="3" t="n">
        <v>20758.55</v>
      </c>
    </row>
    <row r="1408">
      <c r="A1408" s="3" t="inlineStr">
        <is>
          <t>Cape Projects Construction (Pty) Ltd</t>
        </is>
      </c>
      <c r="B1408" s="4" t="n">
        <v>44742</v>
      </c>
      <c r="C1408" s="3" t="inlineStr">
        <is>
          <t>Liabilities</t>
        </is>
      </c>
      <c r="D1408" s="3" t="inlineStr">
        <is>
          <t>9250/020</t>
        </is>
      </c>
      <c r="E1408" s="3" t="inlineStr">
        <is>
          <t>PAYE, UIF AND SDL CONTROL</t>
        </is>
      </c>
      <c r="F1408" s="3" t="n">
        <v>16118.55</v>
      </c>
      <c r="G1408" s="3" t="n">
        <v>-24518.26</v>
      </c>
    </row>
    <row r="1409">
      <c r="A1409" s="3" t="inlineStr">
        <is>
          <t>Cape Projects Construction (Pty) Ltd</t>
        </is>
      </c>
      <c r="B1409" s="4" t="n">
        <v>44742</v>
      </c>
      <c r="C1409" s="3" t="inlineStr">
        <is>
          <t>Liabilities</t>
        </is>
      </c>
      <c r="D1409" s="3" t="inlineStr">
        <is>
          <t>9250/030</t>
        </is>
      </c>
      <c r="E1409" s="3" t="inlineStr">
        <is>
          <t>BIBC CONTROL</t>
        </is>
      </c>
      <c r="F1409" s="3" t="n">
        <v>-7435.92</v>
      </c>
      <c r="G1409" s="3" t="n">
        <v>-13413.74</v>
      </c>
    </row>
    <row r="1410">
      <c r="A1410" s="3" t="inlineStr">
        <is>
          <t>Cape Projects Construction (Pty) Ltd</t>
        </is>
      </c>
      <c r="B1410" s="4" t="n">
        <v>44742</v>
      </c>
      <c r="C1410" s="3" t="inlineStr">
        <is>
          <t>Liabilities</t>
        </is>
      </c>
      <c r="D1410" s="3" t="inlineStr">
        <is>
          <t>9500/000</t>
        </is>
      </c>
      <c r="E1410" s="3" t="inlineStr">
        <is>
          <t>VAT Control Account</t>
        </is>
      </c>
      <c r="F1410" s="3" t="n">
        <v>-1865385.49</v>
      </c>
      <c r="G1410" s="3" t="n">
        <v>-3186907.21</v>
      </c>
    </row>
    <row r="1411">
      <c r="A1411" s="3" t="inlineStr">
        <is>
          <t>Heron Fields (Pty) Ltd</t>
        </is>
      </c>
      <c r="B1411" s="4" t="n">
        <v>44742</v>
      </c>
      <c r="C1411" s="3" t="inlineStr">
        <is>
          <t>Liabilities</t>
        </is>
      </c>
      <c r="D1411" s="3" t="inlineStr">
        <is>
          <t>9500/000</t>
        </is>
      </c>
      <c r="E1411" s="3" t="inlineStr">
        <is>
          <t>Vat / Tax Control Account</t>
        </is>
      </c>
      <c r="F1411" s="3" t="n">
        <v>1093178.94</v>
      </c>
      <c r="G1411" s="3" t="n">
        <v>2311440.44</v>
      </c>
    </row>
    <row r="1412">
      <c r="A1412" s="3" t="inlineStr">
        <is>
          <t>Heron View (Pty) Ltd</t>
        </is>
      </c>
      <c r="B1412" s="4" t="n">
        <v>44742</v>
      </c>
      <c r="C1412" s="3" t="inlineStr">
        <is>
          <t>Liabilities</t>
        </is>
      </c>
      <c r="D1412" s="3" t="inlineStr">
        <is>
          <t>9500/000</t>
        </is>
      </c>
      <c r="E1412" s="3" t="inlineStr">
        <is>
          <t>Vat / Tax Control Account</t>
        </is>
      </c>
      <c r="F1412" s="3" t="n">
        <v>185079.29</v>
      </c>
      <c r="G1412" s="3" t="n">
        <v>185349.29</v>
      </c>
    </row>
    <row r="1413">
      <c r="A1413" s="3" t="inlineStr">
        <is>
          <t>Cape Projects Construction (Pty) Ltd</t>
        </is>
      </c>
      <c r="B1413" s="4" t="n">
        <v>44742</v>
      </c>
      <c r="C1413" s="3" t="inlineStr">
        <is>
          <t>Liabilities</t>
        </is>
      </c>
      <c r="D1413" s="3" t="inlineStr">
        <is>
          <t>9990/000</t>
        </is>
      </c>
      <c r="E1413" s="3" t="inlineStr">
        <is>
          <t>Opening Balance / Suspense Account</t>
        </is>
      </c>
      <c r="F1413" s="3" t="n">
        <v>0</v>
      </c>
      <c r="G1413" s="3" t="n">
        <v>80</v>
      </c>
    </row>
    <row r="1414">
      <c r="A1414" s="3" t="inlineStr">
        <is>
          <t>Cape Projects Construction (Pty) Ltd</t>
        </is>
      </c>
      <c r="B1414" s="4" t="n">
        <v>44742</v>
      </c>
      <c r="C1414" s="3" t="inlineStr">
        <is>
          <t>Liabilities</t>
        </is>
      </c>
      <c r="D1414" s="3" t="inlineStr">
        <is>
          <t>B/S</t>
        </is>
      </c>
      <c r="E1414" s="3" t="inlineStr">
        <is>
          <t>Taxation Payable</t>
        </is>
      </c>
      <c r="F1414" s="3" t="n">
        <v>0</v>
      </c>
      <c r="G1414" s="3" t="n">
        <v>1869.8</v>
      </c>
    </row>
    <row r="1415">
      <c r="A1415" s="3" t="inlineStr">
        <is>
          <t>Cape Projects Construction (Pty) Ltd</t>
        </is>
      </c>
      <c r="B1415" s="4" t="n">
        <v>44742</v>
      </c>
      <c r="C1415" s="3" t="inlineStr">
        <is>
          <t>Liabilities</t>
        </is>
      </c>
      <c r="D1415" s="3" t="inlineStr">
        <is>
          <t>TEMP/ACC</t>
        </is>
      </c>
      <c r="E1415" s="3" t="inlineStr">
        <is>
          <t>Conversion Account</t>
        </is>
      </c>
      <c r="F1415" s="3" t="n">
        <v>0</v>
      </c>
      <c r="G1415" s="3" t="n">
        <v>-254.99</v>
      </c>
    </row>
    <row r="1416">
      <c r="A1416" s="3" t="inlineStr">
        <is>
          <t>Cape Projects Construction (Pty) Ltd</t>
        </is>
      </c>
      <c r="B1416" s="4" t="n">
        <v>44773</v>
      </c>
      <c r="C1416" s="3" t="inlineStr">
        <is>
          <t>Revenue</t>
        </is>
      </c>
      <c r="D1416" s="3" t="inlineStr">
        <is>
          <t>1040/100</t>
        </is>
      </c>
      <c r="E1416" s="3" t="inlineStr">
        <is>
          <t>Fees - Construction - Heron</t>
        </is>
      </c>
      <c r="F1416" s="3" t="n">
        <v>-6000215.88</v>
      </c>
      <c r="G1416" s="3" t="n">
        <v>-17183903.2</v>
      </c>
    </row>
    <row r="1417">
      <c r="A1417" s="3" t="inlineStr">
        <is>
          <t>Cape Projects Construction (Pty) Ltd</t>
        </is>
      </c>
      <c r="B1417" s="4" t="n">
        <v>44773</v>
      </c>
      <c r="C1417" s="3" t="inlineStr">
        <is>
          <t>Revenue</t>
        </is>
      </c>
      <c r="D1417" s="3" t="inlineStr">
        <is>
          <t>1050/030</t>
        </is>
      </c>
      <c r="E1417" s="3" t="inlineStr">
        <is>
          <t>Fees - Construction - Endulini</t>
        </is>
      </c>
      <c r="F1417" s="3" t="n">
        <v>10393543.48</v>
      </c>
      <c r="G1417" s="3" t="n">
        <v>-12058898.93</v>
      </c>
    </row>
    <row r="1418">
      <c r="A1418" s="3" t="inlineStr">
        <is>
          <t>Cape Projects Construction (Pty) Ltd</t>
        </is>
      </c>
      <c r="B1418" s="4" t="n">
        <v>44773</v>
      </c>
      <c r="C1418" s="3" t="inlineStr">
        <is>
          <t>Revenue</t>
        </is>
      </c>
      <c r="D1418" s="3" t="inlineStr">
        <is>
          <t>1051/100</t>
        </is>
      </c>
      <c r="E1418" s="3" t="inlineStr">
        <is>
          <t>Fees - Construction - Heron Fields</t>
        </is>
      </c>
      <c r="F1418" s="3" t="n">
        <v>0</v>
      </c>
      <c r="G1418" s="3" t="n">
        <v>-1782369.8</v>
      </c>
    </row>
    <row r="1419">
      <c r="A1419" s="3" t="inlineStr">
        <is>
          <t>Cape Projects Construction (Pty) Ltd</t>
        </is>
      </c>
      <c r="B1419" s="4" t="n">
        <v>44773</v>
      </c>
      <c r="C1419" s="3" t="inlineStr">
        <is>
          <t>Revenue</t>
        </is>
      </c>
      <c r="D1419" s="3" t="inlineStr">
        <is>
          <t>1051/200</t>
        </is>
      </c>
      <c r="E1419" s="3" t="inlineStr">
        <is>
          <t>Fees - Construction - Heron Fields P&amp;G</t>
        </is>
      </c>
      <c r="F1419" s="3" t="n">
        <v>1616.91</v>
      </c>
      <c r="G1419" s="3" t="n">
        <v>1616.91</v>
      </c>
    </row>
    <row r="1420">
      <c r="A1420" s="3" t="inlineStr">
        <is>
          <t>Cape Projects Construction (Pty) Ltd</t>
        </is>
      </c>
      <c r="B1420" s="4" t="n">
        <v>44773</v>
      </c>
      <c r="C1420" s="3" t="inlineStr">
        <is>
          <t>Revenue</t>
        </is>
      </c>
      <c r="D1420" s="3" t="inlineStr">
        <is>
          <t>1060/000</t>
        </is>
      </c>
      <c r="E1420" s="3" t="inlineStr">
        <is>
          <t>Insurance recovery</t>
        </is>
      </c>
      <c r="F1420" s="3" t="n">
        <v>0</v>
      </c>
      <c r="G1420" s="3" t="n">
        <v>-2839.7</v>
      </c>
    </row>
    <row r="1421">
      <c r="A1421" s="3" t="inlineStr">
        <is>
          <t>Cape Projects Construction (Pty) Ltd</t>
        </is>
      </c>
      <c r="B1421" s="4" t="n">
        <v>44773</v>
      </c>
      <c r="C1421" s="3" t="inlineStr">
        <is>
          <t>Revenue</t>
        </is>
      </c>
      <c r="D1421" s="3" t="inlineStr">
        <is>
          <t>1070/000</t>
        </is>
      </c>
      <c r="E1421" s="3" t="inlineStr">
        <is>
          <t>Rent - CT Office</t>
        </is>
      </c>
      <c r="F1421" s="3" t="n">
        <v>-3490.94</v>
      </c>
      <c r="G1421" s="3" t="n">
        <v>-17454.7</v>
      </c>
    </row>
    <row r="1422">
      <c r="A1422" s="3" t="inlineStr">
        <is>
          <t>Heron Fields (Pty) Ltd</t>
        </is>
      </c>
      <c r="B1422" s="4" t="n">
        <v>44773</v>
      </c>
      <c r="C1422" s="3" t="inlineStr">
        <is>
          <t>Expenses</t>
        </is>
      </c>
      <c r="D1422" s="3" t="inlineStr">
        <is>
          <t>2000/030</t>
        </is>
      </c>
      <c r="E1422" s="3" t="inlineStr">
        <is>
          <t>COS - Commission Heron Fields investors</t>
        </is>
      </c>
      <c r="F1422" s="3" t="n">
        <v>0</v>
      </c>
      <c r="G1422" s="3" t="n">
        <v>86956.52</v>
      </c>
    </row>
    <row r="1423">
      <c r="A1423" s="3" t="inlineStr">
        <is>
          <t>Cape Projects Construction (Pty) Ltd</t>
        </is>
      </c>
      <c r="B1423" s="4" t="n">
        <v>44773</v>
      </c>
      <c r="C1423" s="3" t="inlineStr">
        <is>
          <t>Expenses</t>
        </is>
      </c>
      <c r="D1423" s="3" t="inlineStr">
        <is>
          <t>2005/200</t>
        </is>
      </c>
      <c r="E1423" s="3" t="inlineStr">
        <is>
          <t>COS - External Works</t>
        </is>
      </c>
      <c r="F1423" s="3" t="n">
        <v>0</v>
      </c>
      <c r="G1423" s="3" t="n">
        <v>957.28</v>
      </c>
    </row>
    <row r="1424">
      <c r="A1424" s="3" t="inlineStr">
        <is>
          <t>Cape Projects Construction (Pty) Ltd</t>
        </is>
      </c>
      <c r="B1424" s="4" t="n">
        <v>44773</v>
      </c>
      <c r="C1424" s="3" t="inlineStr">
        <is>
          <t>Expenses</t>
        </is>
      </c>
      <c r="D1424" s="3" t="inlineStr">
        <is>
          <t>2006/000</t>
        </is>
      </c>
      <c r="E1424" s="3" t="inlineStr">
        <is>
          <t>COS - Endulini Construction</t>
        </is>
      </c>
      <c r="F1424" s="3" t="n">
        <v>2144043.98</v>
      </c>
      <c r="G1424" s="3" t="n">
        <v>13716960.56</v>
      </c>
    </row>
    <row r="1425">
      <c r="A1425" s="3" t="inlineStr">
        <is>
          <t>Cape Projects Construction (Pty) Ltd</t>
        </is>
      </c>
      <c r="B1425" s="4" t="n">
        <v>44773</v>
      </c>
      <c r="C1425" s="3" t="inlineStr">
        <is>
          <t>Expenses</t>
        </is>
      </c>
      <c r="D1425" s="3" t="inlineStr">
        <is>
          <t>2006/100</t>
        </is>
      </c>
      <c r="E1425" s="3" t="inlineStr">
        <is>
          <t>COS - Endulini P and G</t>
        </is>
      </c>
      <c r="F1425" s="3" t="n">
        <v>151471.52</v>
      </c>
      <c r="G1425" s="3" t="n">
        <v>730720.11</v>
      </c>
    </row>
    <row r="1426">
      <c r="A1426" s="3" t="inlineStr">
        <is>
          <t>Cape Projects Construction (Pty) Ltd</t>
        </is>
      </c>
      <c r="B1426" s="4" t="n">
        <v>44773</v>
      </c>
      <c r="C1426" s="3" t="inlineStr">
        <is>
          <t>Expenses</t>
        </is>
      </c>
      <c r="D1426" s="3" t="inlineStr">
        <is>
          <t>2006/200</t>
        </is>
      </c>
      <c r="E1426" s="3" t="inlineStr">
        <is>
          <t>COS - Insurance</t>
        </is>
      </c>
      <c r="F1426" s="3" t="n">
        <v>5586.53</v>
      </c>
      <c r="G1426" s="3" t="n">
        <v>26572.93</v>
      </c>
    </row>
    <row r="1427">
      <c r="A1427" s="3" t="inlineStr">
        <is>
          <t>Cape Projects Construction (Pty) Ltd</t>
        </is>
      </c>
      <c r="B1427" s="4" t="n">
        <v>44773</v>
      </c>
      <c r="C1427" s="3" t="inlineStr">
        <is>
          <t>Expenses</t>
        </is>
      </c>
      <c r="D1427" s="3" t="inlineStr">
        <is>
          <t>2006/300</t>
        </is>
      </c>
      <c r="E1427" s="3" t="inlineStr">
        <is>
          <t>COS - Endulini - Printing &amp; Stationary</t>
        </is>
      </c>
      <c r="F1427" s="3" t="n">
        <v>0</v>
      </c>
      <c r="G1427" s="3" t="n">
        <v>269.65</v>
      </c>
    </row>
    <row r="1428">
      <c r="A1428" s="3" t="inlineStr">
        <is>
          <t>Cape Projects Construction (Pty) Ltd</t>
        </is>
      </c>
      <c r="B1428" s="4" t="n">
        <v>44773</v>
      </c>
      <c r="C1428" s="3" t="inlineStr">
        <is>
          <t>Expenses</t>
        </is>
      </c>
      <c r="D1428" s="3" t="inlineStr">
        <is>
          <t>2006/350</t>
        </is>
      </c>
      <c r="E1428" s="3" t="inlineStr">
        <is>
          <t>COS - Endulini - Security</t>
        </is>
      </c>
      <c r="F1428" s="3" t="n">
        <v>0</v>
      </c>
      <c r="G1428" s="3" t="n">
        <v>11000</v>
      </c>
    </row>
    <row r="1429">
      <c r="A1429" s="3" t="inlineStr">
        <is>
          <t>Cape Projects Construction (Pty) Ltd</t>
        </is>
      </c>
      <c r="B1429" s="4" t="n">
        <v>44773</v>
      </c>
      <c r="C1429" s="3" t="inlineStr">
        <is>
          <t>Expenses</t>
        </is>
      </c>
      <c r="D1429" s="3" t="inlineStr">
        <is>
          <t>2006/400</t>
        </is>
      </c>
      <c r="E1429" s="3" t="inlineStr">
        <is>
          <t>COS - Endulini - Health &amp; Safety</t>
        </is>
      </c>
      <c r="F1429" s="3" t="n">
        <v>4000</v>
      </c>
      <c r="G1429" s="3" t="n">
        <v>20000</v>
      </c>
    </row>
    <row r="1430">
      <c r="A1430" s="3" t="inlineStr">
        <is>
          <t>Cape Projects Construction (Pty) Ltd</t>
        </is>
      </c>
      <c r="B1430" s="4" t="n">
        <v>44773</v>
      </c>
      <c r="C1430" s="3" t="inlineStr">
        <is>
          <t>Expenses</t>
        </is>
      </c>
      <c r="D1430" s="3" t="inlineStr">
        <is>
          <t>2006/700</t>
        </is>
      </c>
      <c r="E1430" s="3" t="inlineStr">
        <is>
          <t>COS - Endulini - Fuel</t>
        </is>
      </c>
      <c r="F1430" s="3" t="n">
        <v>0</v>
      </c>
      <c r="G1430" s="3" t="n">
        <v>2473.65</v>
      </c>
    </row>
    <row r="1431">
      <c r="A1431" s="3" t="inlineStr">
        <is>
          <t>Cape Projects Construction (Pty) Ltd</t>
        </is>
      </c>
      <c r="B1431" s="4" t="n">
        <v>44773</v>
      </c>
      <c r="C1431" s="3" t="inlineStr">
        <is>
          <t>Expenses</t>
        </is>
      </c>
      <c r="D1431" s="3" t="inlineStr">
        <is>
          <t>2006/800</t>
        </is>
      </c>
      <c r="E1431" s="3" t="inlineStr">
        <is>
          <t>COS - Endulini - Telephone &amp; Internet</t>
        </is>
      </c>
      <c r="F1431" s="3" t="n">
        <v>0</v>
      </c>
      <c r="G1431" s="3" t="n">
        <v>937.39</v>
      </c>
    </row>
    <row r="1432">
      <c r="A1432" s="3" t="inlineStr">
        <is>
          <t>Cape Projects Construction (Pty) Ltd</t>
        </is>
      </c>
      <c r="B1432" s="4" t="n">
        <v>44773</v>
      </c>
      <c r="C1432" s="3" t="inlineStr">
        <is>
          <t>Expenses</t>
        </is>
      </c>
      <c r="D1432" s="3" t="inlineStr">
        <is>
          <t>2007/000</t>
        </is>
      </c>
      <c r="E1432" s="3" t="inlineStr">
        <is>
          <t>COS - Repairs &amp; Maintenance - SW Southwark</t>
        </is>
      </c>
      <c r="F1432" s="3" t="n">
        <v>0</v>
      </c>
      <c r="G1432" s="3" t="n">
        <v>2418.26</v>
      </c>
    </row>
    <row r="1433">
      <c r="A1433" s="3" t="inlineStr">
        <is>
          <t>Cape Projects Construction (Pty) Ltd</t>
        </is>
      </c>
      <c r="B1433" s="4" t="n">
        <v>44773</v>
      </c>
      <c r="C1433" s="3" t="inlineStr">
        <is>
          <t>Expenses</t>
        </is>
      </c>
      <c r="D1433" s="3" t="inlineStr">
        <is>
          <t>2011/300</t>
        </is>
      </c>
      <c r="E1433" s="3" t="inlineStr">
        <is>
          <t>COS - Heron Fields - Printing &amp; Stationary</t>
        </is>
      </c>
      <c r="F1433" s="3" t="n">
        <v>0</v>
      </c>
      <c r="G1433" s="3" t="n">
        <v>2952.7</v>
      </c>
    </row>
    <row r="1434">
      <c r="A1434" s="3" t="inlineStr">
        <is>
          <t>Cape Projects Construction (Pty) Ltd</t>
        </is>
      </c>
      <c r="B1434" s="4" t="n">
        <v>44773</v>
      </c>
      <c r="C1434" s="3" t="inlineStr">
        <is>
          <t>Expenses</t>
        </is>
      </c>
      <c r="D1434" s="3" t="inlineStr">
        <is>
          <t>2011/500</t>
        </is>
      </c>
      <c r="E1434" s="3" t="inlineStr">
        <is>
          <t>COS - Heron Fields - Construction</t>
        </is>
      </c>
      <c r="F1434" s="3" t="n">
        <v>3666477.2</v>
      </c>
      <c r="G1434" s="3" t="n">
        <v>12687055.56</v>
      </c>
    </row>
    <row r="1435">
      <c r="A1435" s="3" t="inlineStr">
        <is>
          <t>Cape Projects Construction (Pty) Ltd</t>
        </is>
      </c>
      <c r="B1435" s="4" t="n">
        <v>44773</v>
      </c>
      <c r="C1435" s="3" t="inlineStr">
        <is>
          <t>Expenses</t>
        </is>
      </c>
      <c r="D1435" s="3" t="inlineStr">
        <is>
          <t>2011/600</t>
        </is>
      </c>
      <c r="E1435" s="3" t="inlineStr">
        <is>
          <t>COS - Heron Fields - P &amp; G</t>
        </is>
      </c>
      <c r="F1435" s="3" t="n">
        <v>355948.88</v>
      </c>
      <c r="G1435" s="3" t="n">
        <v>1200516.05</v>
      </c>
    </row>
    <row r="1436">
      <c r="A1436" s="3" t="inlineStr">
        <is>
          <t>Cape Projects Construction (Pty) Ltd</t>
        </is>
      </c>
      <c r="B1436" s="4" t="n">
        <v>44773</v>
      </c>
      <c r="C1436" s="3" t="inlineStr">
        <is>
          <t>Expenses</t>
        </is>
      </c>
      <c r="D1436" s="3" t="inlineStr">
        <is>
          <t>2011/700</t>
        </is>
      </c>
      <c r="E1436" s="3" t="inlineStr">
        <is>
          <t>COS - Heron Fields - Health &amp; Safety</t>
        </is>
      </c>
      <c r="F1436" s="3" t="n">
        <v>4000</v>
      </c>
      <c r="G1436" s="3" t="n">
        <v>22286.3</v>
      </c>
    </row>
    <row r="1437">
      <c r="A1437" s="3" t="inlineStr">
        <is>
          <t>Cape Projects Construction (Pty) Ltd</t>
        </is>
      </c>
      <c r="B1437" s="4" t="n">
        <v>44773</v>
      </c>
      <c r="C1437" s="3" t="inlineStr">
        <is>
          <t>Expenses</t>
        </is>
      </c>
      <c r="D1437" s="3" t="inlineStr">
        <is>
          <t>2011/900</t>
        </is>
      </c>
      <c r="E1437" s="3" t="inlineStr">
        <is>
          <t>COS - Heron - Internet</t>
        </is>
      </c>
      <c r="F1437" s="3" t="n">
        <v>607.83</v>
      </c>
      <c r="G1437" s="3" t="n">
        <v>2846.47</v>
      </c>
    </row>
    <row r="1438">
      <c r="A1438" s="3" t="inlineStr">
        <is>
          <t>Cape Projects Construction (Pty) Ltd</t>
        </is>
      </c>
      <c r="B1438" s="4" t="n">
        <v>44773</v>
      </c>
      <c r="C1438" s="3" t="inlineStr">
        <is>
          <t>Expenses</t>
        </is>
      </c>
      <c r="D1438" s="3" t="inlineStr">
        <is>
          <t>2011/950</t>
        </is>
      </c>
      <c r="E1438" s="3" t="inlineStr">
        <is>
          <t>COS - Heron Fields - Security</t>
        </is>
      </c>
      <c r="F1438" s="3" t="n">
        <v>11000</v>
      </c>
      <c r="G1438" s="3" t="n">
        <v>20565.22</v>
      </c>
    </row>
    <row r="1439">
      <c r="A1439" s="3" t="inlineStr">
        <is>
          <t>Cape Projects Construction (Pty) Ltd</t>
        </is>
      </c>
      <c r="B1439" s="4" t="n">
        <v>44773</v>
      </c>
      <c r="C1439" s="3" t="inlineStr">
        <is>
          <t>Expenses</t>
        </is>
      </c>
      <c r="D1439" s="3" t="inlineStr">
        <is>
          <t>2012/003</t>
        </is>
      </c>
      <c r="E1439" s="3" t="inlineStr">
        <is>
          <t>COS - Heron View - P&amp;G</t>
        </is>
      </c>
      <c r="F1439" s="3" t="n">
        <v>5914.78</v>
      </c>
      <c r="G1439" s="3" t="n">
        <v>5914.78</v>
      </c>
    </row>
    <row r="1440">
      <c r="A1440" s="3" t="inlineStr">
        <is>
          <t>Cape Projects Construction (Pty) Ltd</t>
        </is>
      </c>
      <c r="B1440" s="4" t="n">
        <v>44773</v>
      </c>
      <c r="C1440" s="3" t="inlineStr">
        <is>
          <t>Revenue</t>
        </is>
      </c>
      <c r="D1440" s="3" t="inlineStr">
        <is>
          <t>2750/000</t>
        </is>
      </c>
      <c r="E1440" s="3" t="inlineStr">
        <is>
          <t>Interest Received - FNB</t>
        </is>
      </c>
      <c r="F1440" s="3" t="n">
        <v>-79.29000000000001</v>
      </c>
      <c r="G1440" s="3" t="n">
        <v>-82.78</v>
      </c>
    </row>
    <row r="1441">
      <c r="A1441" s="3" t="inlineStr">
        <is>
          <t>Cape Projects Construction (Pty) Ltd</t>
        </is>
      </c>
      <c r="B1441" s="4" t="n">
        <v>44773</v>
      </c>
      <c r="C1441" s="3" t="inlineStr">
        <is>
          <t>Revenue</t>
        </is>
      </c>
      <c r="D1441" s="3" t="inlineStr">
        <is>
          <t>2751/001</t>
        </is>
      </c>
      <c r="E1441" s="3" t="inlineStr">
        <is>
          <t>Interest received - Momentum</t>
        </is>
      </c>
      <c r="F1441" s="3" t="n">
        <v>-2.28</v>
      </c>
      <c r="G1441" s="3" t="n">
        <v>-10.57</v>
      </c>
    </row>
    <row r="1442">
      <c r="A1442" s="3" t="inlineStr">
        <is>
          <t>Heron Fields (Pty) Ltd</t>
        </is>
      </c>
      <c r="B1442" s="4" t="n">
        <v>44773</v>
      </c>
      <c r="C1442" s="3" t="inlineStr">
        <is>
          <t>Revenue</t>
        </is>
      </c>
      <c r="D1442" s="3" t="inlineStr">
        <is>
          <t>2755/001</t>
        </is>
      </c>
      <c r="E1442" s="3" t="inlineStr">
        <is>
          <t>Interest Received - Momentum</t>
        </is>
      </c>
      <c r="F1442" s="3" t="n">
        <v>-50001.11</v>
      </c>
      <c r="G1442" s="3" t="n">
        <v>-171136.22</v>
      </c>
    </row>
    <row r="1443">
      <c r="A1443" s="3" t="inlineStr">
        <is>
          <t>Cape Projects Construction (Pty) Ltd</t>
        </is>
      </c>
      <c r="B1443" s="4" t="n">
        <v>44773</v>
      </c>
      <c r="C1443" s="3" t="inlineStr">
        <is>
          <t>Expenses</t>
        </is>
      </c>
      <c r="D1443" s="3" t="inlineStr">
        <is>
          <t>3002/000</t>
        </is>
      </c>
      <c r="E1443" s="3" t="inlineStr">
        <is>
          <t>Accounting Fees - Audit</t>
        </is>
      </c>
      <c r="F1443" s="3" t="n">
        <v>0</v>
      </c>
      <c r="G1443" s="3" t="n">
        <v>10600</v>
      </c>
    </row>
    <row r="1444">
      <c r="A1444" s="3" t="inlineStr">
        <is>
          <t>Cape Projects Construction (Pty) Ltd</t>
        </is>
      </c>
      <c r="B1444" s="4" t="n">
        <v>44773</v>
      </c>
      <c r="C1444" s="3" t="inlineStr">
        <is>
          <t>Expenses</t>
        </is>
      </c>
      <c r="D1444" s="3" t="inlineStr">
        <is>
          <t>3020/100</t>
        </is>
      </c>
      <c r="E1444" s="3" t="inlineStr">
        <is>
          <t>Admin - Subcontractors</t>
        </is>
      </c>
      <c r="F1444" s="3" t="n">
        <v>0</v>
      </c>
      <c r="G1444" s="3" t="n">
        <v>14139.13</v>
      </c>
    </row>
    <row r="1445">
      <c r="A1445" s="3" t="inlineStr">
        <is>
          <t>Cape Projects Construction (Pty) Ltd</t>
        </is>
      </c>
      <c r="B1445" s="4" t="n">
        <v>44773</v>
      </c>
      <c r="C1445" s="3" t="inlineStr">
        <is>
          <t>Expenses</t>
        </is>
      </c>
      <c r="D1445" s="3" t="inlineStr">
        <is>
          <t>3050/000</t>
        </is>
      </c>
      <c r="E1445" s="3" t="inlineStr">
        <is>
          <t>Advertising _AND_ Promotions</t>
        </is>
      </c>
      <c r="F1445" s="3" t="n">
        <v>0</v>
      </c>
      <c r="G1445" s="3" t="n">
        <v>687.5</v>
      </c>
    </row>
    <row r="1446">
      <c r="A1446" s="3" t="inlineStr">
        <is>
          <t>Heron Fields (Pty) Ltd</t>
        </is>
      </c>
      <c r="B1446" s="4" t="n">
        <v>44773</v>
      </c>
      <c r="C1446" s="3" t="inlineStr">
        <is>
          <t>Expenses</t>
        </is>
      </c>
      <c r="D1446" s="3" t="inlineStr">
        <is>
          <t>3050/000</t>
        </is>
      </c>
      <c r="E1446" s="3" t="inlineStr">
        <is>
          <t>Advertising _AND_ Promotions</t>
        </is>
      </c>
      <c r="F1446" s="3" t="n">
        <v>0</v>
      </c>
      <c r="G1446" s="3" t="n">
        <v>63407.86</v>
      </c>
    </row>
    <row r="1447">
      <c r="A1447" s="3" t="inlineStr">
        <is>
          <t>Heron Fields (Pty) Ltd</t>
        </is>
      </c>
      <c r="B1447" s="4" t="n">
        <v>44773</v>
      </c>
      <c r="C1447" s="3" t="inlineStr">
        <is>
          <t>Expenses</t>
        </is>
      </c>
      <c r="D1447" s="3" t="inlineStr">
        <is>
          <t>3050/100</t>
        </is>
      </c>
      <c r="E1447" s="3" t="inlineStr">
        <is>
          <t>Advertising - Property24</t>
        </is>
      </c>
      <c r="F1447" s="3" t="n">
        <v>11556</v>
      </c>
      <c r="G1447" s="3" t="n">
        <v>57780</v>
      </c>
    </row>
    <row r="1448">
      <c r="A1448" s="3" t="inlineStr">
        <is>
          <t>Cape Projects Construction (Pty) Ltd</t>
        </is>
      </c>
      <c r="B1448" s="4" t="n">
        <v>44773</v>
      </c>
      <c r="C1448" s="3" t="inlineStr">
        <is>
          <t>Expenses</t>
        </is>
      </c>
      <c r="D1448" s="3" t="inlineStr">
        <is>
          <t>3050/450</t>
        </is>
      </c>
      <c r="E1448" s="3" t="inlineStr">
        <is>
          <t>Advertising - Other</t>
        </is>
      </c>
      <c r="F1448" s="3" t="n">
        <v>0</v>
      </c>
      <c r="G1448" s="3" t="n">
        <v>137.5</v>
      </c>
    </row>
    <row r="1449">
      <c r="A1449" s="3" t="inlineStr">
        <is>
          <t>Cape Projects Construction (Pty) Ltd</t>
        </is>
      </c>
      <c r="B1449" s="4" t="n">
        <v>44773</v>
      </c>
      <c r="C1449" s="3" t="inlineStr">
        <is>
          <t>Expenses</t>
        </is>
      </c>
      <c r="D1449" s="3" t="inlineStr">
        <is>
          <t>3200/000</t>
        </is>
      </c>
      <c r="E1449" s="3" t="inlineStr">
        <is>
          <t>Bank Charges</t>
        </is>
      </c>
      <c r="F1449" s="3" t="n">
        <v>2943.31</v>
      </c>
      <c r="G1449" s="3" t="n">
        <v>14901.67</v>
      </c>
    </row>
    <row r="1450">
      <c r="A1450" s="3" t="inlineStr">
        <is>
          <t>Heron Fields (Pty) Ltd</t>
        </is>
      </c>
      <c r="B1450" s="4" t="n">
        <v>44773</v>
      </c>
      <c r="C1450" s="3" t="inlineStr">
        <is>
          <t>Expenses</t>
        </is>
      </c>
      <c r="D1450" s="3" t="inlineStr">
        <is>
          <t>3200/000</t>
        </is>
      </c>
      <c r="E1450" s="3" t="inlineStr">
        <is>
          <t>Bank Charges</t>
        </is>
      </c>
      <c r="F1450" s="3" t="n">
        <v>1218.08</v>
      </c>
      <c r="G1450" s="3" t="n">
        <v>3917.75</v>
      </c>
    </row>
    <row r="1451">
      <c r="A1451" s="3" t="inlineStr">
        <is>
          <t>Cape Projects Construction (Pty) Ltd</t>
        </is>
      </c>
      <c r="B1451" s="4" t="n">
        <v>44773</v>
      </c>
      <c r="C1451" s="3" t="inlineStr">
        <is>
          <t>Expenses</t>
        </is>
      </c>
      <c r="D1451" s="3" t="inlineStr">
        <is>
          <t>3250/000</t>
        </is>
      </c>
      <c r="E1451" s="3" t="inlineStr">
        <is>
          <t>Cleaning</t>
        </is>
      </c>
      <c r="F1451" s="3" t="n">
        <v>0</v>
      </c>
      <c r="G1451" s="3" t="n">
        <v>1986.89</v>
      </c>
    </row>
    <row r="1452">
      <c r="A1452" s="3" t="inlineStr">
        <is>
          <t>Cape Projects Construction (Pty) Ltd</t>
        </is>
      </c>
      <c r="B1452" s="4" t="n">
        <v>44773</v>
      </c>
      <c r="C1452" s="3" t="inlineStr">
        <is>
          <t>Expenses</t>
        </is>
      </c>
      <c r="D1452" s="3" t="inlineStr">
        <is>
          <t>3256/000</t>
        </is>
      </c>
      <c r="E1452" s="3" t="inlineStr">
        <is>
          <t>Cell Phone - Nick Morgan</t>
        </is>
      </c>
      <c r="F1452" s="3" t="n">
        <v>656.62</v>
      </c>
      <c r="G1452" s="3" t="n">
        <v>3260.47</v>
      </c>
    </row>
    <row r="1453">
      <c r="A1453" s="3" t="inlineStr">
        <is>
          <t>Cape Projects Construction (Pty) Ltd</t>
        </is>
      </c>
      <c r="B1453" s="4" t="n">
        <v>44773</v>
      </c>
      <c r="C1453" s="3" t="inlineStr">
        <is>
          <t>Expenses</t>
        </is>
      </c>
      <c r="D1453" s="3" t="inlineStr">
        <is>
          <t>3300/000</t>
        </is>
      </c>
      <c r="E1453" s="3" t="inlineStr">
        <is>
          <t>Computer Expenses</t>
        </is>
      </c>
      <c r="F1453" s="3" t="n">
        <v>0</v>
      </c>
      <c r="G1453" s="3" t="n">
        <v>1308.69</v>
      </c>
    </row>
    <row r="1454">
      <c r="A1454" s="3" t="inlineStr">
        <is>
          <t>Cape Projects Construction (Pty) Ltd</t>
        </is>
      </c>
      <c r="B1454" s="4" t="n">
        <v>44773</v>
      </c>
      <c r="C1454" s="3" t="inlineStr">
        <is>
          <t>Expenses</t>
        </is>
      </c>
      <c r="D1454" s="3" t="inlineStr">
        <is>
          <t>3300/100</t>
        </is>
      </c>
      <c r="E1454" s="3" t="inlineStr">
        <is>
          <t>Computer Exp - IT, Internet/Hosting Fee</t>
        </is>
      </c>
      <c r="F1454" s="3" t="n">
        <v>396</v>
      </c>
      <c r="G1454" s="3" t="n">
        <v>18779</v>
      </c>
    </row>
    <row r="1455">
      <c r="A1455" s="3" t="inlineStr">
        <is>
          <t>Heron Fields (Pty) Ltd</t>
        </is>
      </c>
      <c r="B1455" s="4" t="n">
        <v>44773</v>
      </c>
      <c r="C1455" s="3" t="inlineStr">
        <is>
          <t>Expenses</t>
        </is>
      </c>
      <c r="D1455" s="3" t="inlineStr">
        <is>
          <t>3350/100</t>
        </is>
      </c>
      <c r="E1455" s="3" t="inlineStr">
        <is>
          <t>Consulting Fees - Admin and Finance</t>
        </is>
      </c>
      <c r="F1455" s="3" t="n">
        <v>86425</v>
      </c>
      <c r="G1455" s="3" t="n">
        <v>405690.68</v>
      </c>
    </row>
    <row r="1456">
      <c r="A1456" s="3" t="inlineStr">
        <is>
          <t>Cape Projects Construction (Pty) Ltd</t>
        </is>
      </c>
      <c r="B1456" s="4" t="n">
        <v>44773</v>
      </c>
      <c r="C1456" s="3" t="inlineStr">
        <is>
          <t>Expenses</t>
        </is>
      </c>
      <c r="D1456" s="3" t="inlineStr">
        <is>
          <t>3350/100</t>
        </is>
      </c>
      <c r="E1456" s="3" t="inlineStr">
        <is>
          <t>Consulting fees - Herbert du Plessis</t>
        </is>
      </c>
      <c r="F1456" s="3" t="n">
        <v>36000</v>
      </c>
      <c r="G1456" s="3" t="n">
        <v>180000</v>
      </c>
    </row>
    <row r="1457">
      <c r="A1457" s="3" t="inlineStr">
        <is>
          <t>Cape Projects Construction (Pty) Ltd</t>
        </is>
      </c>
      <c r="B1457" s="4" t="n">
        <v>44773</v>
      </c>
      <c r="C1457" s="3" t="inlineStr">
        <is>
          <t>Expenses</t>
        </is>
      </c>
      <c r="D1457" s="3" t="inlineStr">
        <is>
          <t>3350/300</t>
        </is>
      </c>
      <c r="E1457" s="3" t="inlineStr">
        <is>
          <t>Consulting Fees - Admin and Finance</t>
        </is>
      </c>
      <c r="F1457" s="3" t="n">
        <v>132650</v>
      </c>
      <c r="G1457" s="3" t="n">
        <v>612371.87</v>
      </c>
    </row>
    <row r="1458">
      <c r="A1458" s="3" t="inlineStr">
        <is>
          <t>Heron Fields (Pty) Ltd</t>
        </is>
      </c>
      <c r="B1458" s="4" t="n">
        <v>44773</v>
      </c>
      <c r="C1458" s="3" t="inlineStr">
        <is>
          <t>Expenses</t>
        </is>
      </c>
      <c r="D1458" s="3" t="inlineStr">
        <is>
          <t>3351/000</t>
        </is>
      </c>
      <c r="E1458" s="3" t="inlineStr">
        <is>
          <t>Consulting fees - Trustee</t>
        </is>
      </c>
      <c r="F1458" s="3" t="n">
        <v>4000</v>
      </c>
      <c r="G1458" s="3" t="n">
        <v>36000</v>
      </c>
    </row>
    <row r="1459">
      <c r="A1459" s="3" t="inlineStr">
        <is>
          <t>Cape Projects Construction (Pty) Ltd</t>
        </is>
      </c>
      <c r="B1459" s="4" t="n">
        <v>44773</v>
      </c>
      <c r="C1459" s="3" t="inlineStr">
        <is>
          <t>Expenses</t>
        </is>
      </c>
      <c r="D1459" s="3" t="inlineStr">
        <is>
          <t>3400/000</t>
        </is>
      </c>
      <c r="E1459" s="3" t="inlineStr">
        <is>
          <t>Courier _AND_ Postage</t>
        </is>
      </c>
      <c r="F1459" s="3" t="n">
        <v>0</v>
      </c>
      <c r="G1459" s="3" t="n">
        <v>160.87</v>
      </c>
    </row>
    <row r="1460">
      <c r="A1460" s="3" t="inlineStr">
        <is>
          <t>Cape Projects Construction (Pty) Ltd</t>
        </is>
      </c>
      <c r="B1460" s="4" t="n">
        <v>44773</v>
      </c>
      <c r="C1460" s="3" t="inlineStr">
        <is>
          <t>Expenses</t>
        </is>
      </c>
      <c r="D1460" s="3" t="inlineStr">
        <is>
          <t>3450/001</t>
        </is>
      </c>
      <c r="E1460" s="3" t="inlineStr">
        <is>
          <t>Depreciation - Computer Equipment</t>
        </is>
      </c>
      <c r="F1460" s="3" t="n">
        <v>1926.81</v>
      </c>
      <c r="G1460" s="3" t="n">
        <v>8654.809999999999</v>
      </c>
    </row>
    <row r="1461">
      <c r="A1461" s="3" t="inlineStr">
        <is>
          <t>Cape Projects Construction (Pty) Ltd</t>
        </is>
      </c>
      <c r="B1461" s="4" t="n">
        <v>44773</v>
      </c>
      <c r="C1461" s="3" t="inlineStr">
        <is>
          <t>Expenses</t>
        </is>
      </c>
      <c r="D1461" s="3" t="inlineStr">
        <is>
          <t>3450/002</t>
        </is>
      </c>
      <c r="E1461" s="3" t="inlineStr">
        <is>
          <t>Depreciation - Generator Fixed Asset</t>
        </is>
      </c>
      <c r="F1461" s="3" t="n">
        <v>193.34</v>
      </c>
      <c r="G1461" s="3" t="n">
        <v>966.67</v>
      </c>
    </row>
    <row r="1462">
      <c r="A1462" s="3" t="inlineStr">
        <is>
          <t>Cape Projects Construction (Pty) Ltd</t>
        </is>
      </c>
      <c r="B1462" s="4" t="n">
        <v>44773</v>
      </c>
      <c r="C1462" s="3" t="inlineStr">
        <is>
          <t>Expenses</t>
        </is>
      </c>
      <c r="D1462" s="3" t="inlineStr">
        <is>
          <t>3450/003</t>
        </is>
      </c>
      <c r="E1462" s="3" t="inlineStr">
        <is>
          <t>Depreciation - Motor vehicle</t>
        </is>
      </c>
      <c r="F1462" s="3" t="n">
        <v>39610.1</v>
      </c>
      <c r="G1462" s="3" t="n">
        <v>39610.1</v>
      </c>
    </row>
    <row r="1463">
      <c r="A1463" s="3" t="inlineStr">
        <is>
          <t>Cape Projects Construction (Pty) Ltd</t>
        </is>
      </c>
      <c r="B1463" s="4" t="n">
        <v>44773</v>
      </c>
      <c r="C1463" s="3" t="inlineStr">
        <is>
          <t>Expenses</t>
        </is>
      </c>
      <c r="D1463" s="3" t="inlineStr">
        <is>
          <t>3450/030</t>
        </is>
      </c>
      <c r="E1463" s="3" t="inlineStr">
        <is>
          <t>Depreciation - Furniture and Fittings</t>
        </is>
      </c>
      <c r="F1463" s="3" t="n">
        <v>427.21</v>
      </c>
      <c r="G1463" s="3" t="n">
        <v>2136.03</v>
      </c>
    </row>
    <row r="1464">
      <c r="A1464" s="3" t="inlineStr">
        <is>
          <t>Heron Fields (Pty) Ltd</t>
        </is>
      </c>
      <c r="B1464" s="4" t="n">
        <v>44773</v>
      </c>
      <c r="C1464" s="3" t="inlineStr">
        <is>
          <t>Expenses</t>
        </is>
      </c>
      <c r="D1464" s="3" t="inlineStr">
        <is>
          <t>3650/000</t>
        </is>
      </c>
      <c r="E1464" s="3" t="inlineStr">
        <is>
          <t>CoCT - Electricity</t>
        </is>
      </c>
      <c r="F1464" s="3" t="n">
        <v>3534.69</v>
      </c>
      <c r="G1464" s="3" t="n">
        <v>13256.94</v>
      </c>
    </row>
    <row r="1465">
      <c r="A1465" s="3" t="inlineStr">
        <is>
          <t>Cape Projects Construction (Pty) Ltd</t>
        </is>
      </c>
      <c r="B1465" s="4" t="n">
        <v>44773</v>
      </c>
      <c r="C1465" s="3" t="inlineStr">
        <is>
          <t>Expenses</t>
        </is>
      </c>
      <c r="D1465" s="3" t="inlineStr">
        <is>
          <t>3650/000</t>
        </is>
      </c>
      <c r="E1465" s="3" t="inlineStr">
        <is>
          <t>Electricity _AND_ Water</t>
        </is>
      </c>
      <c r="F1465" s="3" t="n">
        <v>5172.63</v>
      </c>
      <c r="G1465" s="3" t="n">
        <v>22918.86</v>
      </c>
    </row>
    <row r="1466">
      <c r="A1466" s="3" t="inlineStr">
        <is>
          <t>Heron Fields (Pty) Ltd</t>
        </is>
      </c>
      <c r="B1466" s="4" t="n">
        <v>44773</v>
      </c>
      <c r="C1466" s="3" t="inlineStr">
        <is>
          <t>Expenses</t>
        </is>
      </c>
      <c r="D1466" s="3" t="inlineStr">
        <is>
          <t>3660/000</t>
        </is>
      </c>
      <c r="E1466" s="3" t="inlineStr">
        <is>
          <t>CoCT - Water</t>
        </is>
      </c>
      <c r="F1466" s="3" t="n">
        <v>4380.79</v>
      </c>
      <c r="G1466" s="3" t="n">
        <v>28508.16</v>
      </c>
    </row>
    <row r="1467">
      <c r="A1467" s="3" t="inlineStr">
        <is>
          <t>Cape Projects Construction (Pty) Ltd</t>
        </is>
      </c>
      <c r="B1467" s="4" t="n">
        <v>44773</v>
      </c>
      <c r="C1467" s="3" t="inlineStr">
        <is>
          <t>Expenses</t>
        </is>
      </c>
      <c r="D1467" s="3" t="inlineStr">
        <is>
          <t>3700/000</t>
        </is>
      </c>
      <c r="E1467" s="3" t="inlineStr">
        <is>
          <t>Entertainment Expenses</t>
        </is>
      </c>
      <c r="F1467" s="3" t="n">
        <v>0</v>
      </c>
      <c r="G1467" s="3" t="n">
        <v>1801.52</v>
      </c>
    </row>
    <row r="1468">
      <c r="A1468" s="3" t="inlineStr">
        <is>
          <t>Cape Projects Construction (Pty) Ltd</t>
        </is>
      </c>
      <c r="B1468" s="4" t="n">
        <v>44773</v>
      </c>
      <c r="C1468" s="3" t="inlineStr">
        <is>
          <t>Expenses</t>
        </is>
      </c>
      <c r="D1468" s="3" t="inlineStr">
        <is>
          <t>3850/001</t>
        </is>
      </c>
      <c r="E1468" s="3" t="inlineStr">
        <is>
          <t>Insurance - Santam</t>
        </is>
      </c>
      <c r="F1468" s="3" t="n">
        <v>1194.15</v>
      </c>
      <c r="G1468" s="3" t="n">
        <v>5901.31</v>
      </c>
    </row>
    <row r="1469">
      <c r="A1469" s="3" t="inlineStr">
        <is>
          <t>Cape Projects Construction (Pty) Ltd</t>
        </is>
      </c>
      <c r="B1469" s="4" t="n">
        <v>44773</v>
      </c>
      <c r="C1469" s="3" t="inlineStr">
        <is>
          <t>Expenses</t>
        </is>
      </c>
      <c r="D1469" s="3" t="inlineStr">
        <is>
          <t>3850/002</t>
        </is>
      </c>
      <c r="E1469" s="3" t="inlineStr">
        <is>
          <t>Insurance - RBS</t>
        </is>
      </c>
      <c r="F1469" s="3" t="n">
        <v>237.57</v>
      </c>
      <c r="G1469" s="3" t="n">
        <v>1187.85</v>
      </c>
    </row>
    <row r="1470">
      <c r="A1470" s="3" t="inlineStr">
        <is>
          <t>Heron Fields (Pty) Ltd</t>
        </is>
      </c>
      <c r="B1470" s="4" t="n">
        <v>44773</v>
      </c>
      <c r="C1470" s="3" t="inlineStr">
        <is>
          <t>Expenses</t>
        </is>
      </c>
      <c r="D1470" s="3" t="inlineStr">
        <is>
          <t>3900/000</t>
        </is>
      </c>
      <c r="E1470" s="3" t="inlineStr">
        <is>
          <t>Interest Paid</t>
        </is>
      </c>
      <c r="F1470" s="3" t="n">
        <v>11.22</v>
      </c>
      <c r="G1470" s="3" t="n">
        <v>224.42</v>
      </c>
    </row>
    <row r="1471">
      <c r="A1471" s="3" t="inlineStr">
        <is>
          <t>Heron Fields (Pty) Ltd</t>
        </is>
      </c>
      <c r="B1471" s="4" t="n">
        <v>44773</v>
      </c>
      <c r="C1471" s="3" t="inlineStr">
        <is>
          <t>Expenses</t>
        </is>
      </c>
      <c r="D1471" s="3" t="inlineStr">
        <is>
          <t>4100/001</t>
        </is>
      </c>
      <c r="E1471" s="3" t="inlineStr">
        <is>
          <t>Momentum Admin Fee</t>
        </is>
      </c>
      <c r="F1471" s="3" t="n">
        <v>52251.97</v>
      </c>
      <c r="G1471" s="3" t="n">
        <v>195916.24</v>
      </c>
    </row>
    <row r="1472">
      <c r="A1472" s="3" t="inlineStr">
        <is>
          <t>Cape Projects Construction (Pty) Ltd</t>
        </is>
      </c>
      <c r="B1472" s="4" t="n">
        <v>44773</v>
      </c>
      <c r="C1472" s="3" t="inlineStr">
        <is>
          <t>Expenses</t>
        </is>
      </c>
      <c r="D1472" s="3" t="inlineStr">
        <is>
          <t>4150/030</t>
        </is>
      </c>
      <c r="E1472" s="3" t="inlineStr">
        <is>
          <t>Motor Vehicle - Insurance _AND_ Licence</t>
        </is>
      </c>
      <c r="F1472" s="3" t="n">
        <v>0</v>
      </c>
      <c r="G1472" s="3" t="n">
        <v>1200</v>
      </c>
    </row>
    <row r="1473">
      <c r="A1473" s="3" t="inlineStr">
        <is>
          <t>Cape Projects Construction (Pty) Ltd</t>
        </is>
      </c>
      <c r="B1473" s="4" t="n">
        <v>44773</v>
      </c>
      <c r="C1473" s="3" t="inlineStr">
        <is>
          <t>Expenses</t>
        </is>
      </c>
      <c r="D1473" s="3" t="inlineStr">
        <is>
          <t>4200/000</t>
        </is>
      </c>
      <c r="E1473" s="3" t="inlineStr">
        <is>
          <t>Printing _AND_ Stationery</t>
        </is>
      </c>
      <c r="F1473" s="3" t="n">
        <v>1174.09</v>
      </c>
      <c r="G1473" s="3" t="n">
        <v>6763.77</v>
      </c>
    </row>
    <row r="1474">
      <c r="A1474" s="3" t="inlineStr">
        <is>
          <t>Cape Projects Construction (Pty) Ltd</t>
        </is>
      </c>
      <c r="B1474" s="4" t="n">
        <v>44773</v>
      </c>
      <c r="C1474" s="3" t="inlineStr">
        <is>
          <t>Expenses</t>
        </is>
      </c>
      <c r="D1474" s="3" t="inlineStr">
        <is>
          <t>4201/000</t>
        </is>
      </c>
      <c r="E1474" s="3" t="inlineStr">
        <is>
          <t>Printing - Printer rental</t>
        </is>
      </c>
      <c r="F1474" s="3" t="n">
        <v>620.28</v>
      </c>
      <c r="G1474" s="3" t="n">
        <v>3695.17</v>
      </c>
    </row>
    <row r="1475">
      <c r="A1475" s="3" t="inlineStr">
        <is>
          <t>Cape Projects Construction (Pty) Ltd</t>
        </is>
      </c>
      <c r="B1475" s="4" t="n">
        <v>44773</v>
      </c>
      <c r="C1475" s="3" t="inlineStr">
        <is>
          <t>Expenses</t>
        </is>
      </c>
      <c r="D1475" s="3" t="inlineStr">
        <is>
          <t>4300/000</t>
        </is>
      </c>
      <c r="E1475" s="3" t="inlineStr">
        <is>
          <t>Rent Paid</t>
        </is>
      </c>
      <c r="F1475" s="3" t="n">
        <v>28087.5</v>
      </c>
      <c r="G1475" s="3" t="n">
        <v>140437.5</v>
      </c>
    </row>
    <row r="1476">
      <c r="A1476" s="3" t="inlineStr">
        <is>
          <t>Cape Projects Construction (Pty) Ltd</t>
        </is>
      </c>
      <c r="B1476" s="4" t="n">
        <v>44773</v>
      </c>
      <c r="C1476" s="3" t="inlineStr">
        <is>
          <t>Expenses</t>
        </is>
      </c>
      <c r="D1476" s="3" t="inlineStr">
        <is>
          <t>4310/000</t>
        </is>
      </c>
      <c r="E1476" s="3" t="inlineStr">
        <is>
          <t>Rates</t>
        </is>
      </c>
      <c r="F1476" s="3" t="n">
        <v>843.6</v>
      </c>
      <c r="G1476" s="3" t="n">
        <v>4218</v>
      </c>
    </row>
    <row r="1477">
      <c r="A1477" s="3" t="inlineStr">
        <is>
          <t>Heron Fields (Pty) Ltd</t>
        </is>
      </c>
      <c r="B1477" s="4" t="n">
        <v>44773</v>
      </c>
      <c r="C1477" s="3" t="inlineStr">
        <is>
          <t>Expenses</t>
        </is>
      </c>
      <c r="D1477" s="3" t="inlineStr">
        <is>
          <t>4310/000</t>
        </is>
      </c>
      <c r="E1477" s="3" t="inlineStr">
        <is>
          <t>Rates - Heron</t>
        </is>
      </c>
      <c r="F1477" s="3" t="n">
        <v>3114.7</v>
      </c>
      <c r="G1477" s="3" t="n">
        <v>15692.96</v>
      </c>
    </row>
    <row r="1478">
      <c r="A1478" s="3" t="inlineStr">
        <is>
          <t>Cape Projects Construction (Pty) Ltd</t>
        </is>
      </c>
      <c r="B1478" s="4" t="n">
        <v>44773</v>
      </c>
      <c r="C1478" s="3" t="inlineStr">
        <is>
          <t>Expenses</t>
        </is>
      </c>
      <c r="D1478" s="3" t="inlineStr">
        <is>
          <t>4350/000</t>
        </is>
      </c>
      <c r="E1478" s="3" t="inlineStr">
        <is>
          <t>Repairs _AND_ Maintenance</t>
        </is>
      </c>
      <c r="F1478" s="3" t="n">
        <v>871.72</v>
      </c>
      <c r="G1478" s="3" t="n">
        <v>3571.72</v>
      </c>
    </row>
    <row r="1479">
      <c r="A1479" s="3" t="inlineStr">
        <is>
          <t>Cape Projects Construction (Pty) Ltd</t>
        </is>
      </c>
      <c r="B1479" s="4" t="n">
        <v>44773</v>
      </c>
      <c r="C1479" s="3" t="inlineStr">
        <is>
          <t>Expenses</t>
        </is>
      </c>
      <c r="D1479" s="3" t="inlineStr">
        <is>
          <t>4400/000</t>
        </is>
      </c>
      <c r="E1479" s="3" t="inlineStr">
        <is>
          <t>Salaries _AND_ Wages</t>
        </is>
      </c>
      <c r="F1479" s="3" t="n">
        <v>226304.8</v>
      </c>
      <c r="G1479" s="3" t="n">
        <v>1077361.64</v>
      </c>
    </row>
    <row r="1480">
      <c r="A1480" s="3" t="inlineStr">
        <is>
          <t>Cape Projects Construction (Pty) Ltd</t>
        </is>
      </c>
      <c r="B1480" s="4" t="n">
        <v>44773</v>
      </c>
      <c r="C1480" s="3" t="inlineStr">
        <is>
          <t>Expenses</t>
        </is>
      </c>
      <c r="D1480" s="3" t="inlineStr">
        <is>
          <t>4402</t>
        </is>
      </c>
      <c r="E1480" s="3" t="inlineStr">
        <is>
          <t>Salaries &amp; Wages - WCA</t>
        </is>
      </c>
      <c r="F1480" s="3" t="n">
        <v>3746.27</v>
      </c>
      <c r="G1480" s="3" t="n">
        <v>3746.27</v>
      </c>
    </row>
    <row r="1481">
      <c r="A1481" s="3" t="inlineStr">
        <is>
          <t>Cape Projects Construction (Pty) Ltd</t>
        </is>
      </c>
      <c r="B1481" s="4" t="n">
        <v>44773</v>
      </c>
      <c r="C1481" s="3" t="inlineStr">
        <is>
          <t>Expenses</t>
        </is>
      </c>
      <c r="D1481" s="3" t="inlineStr">
        <is>
          <t>4403/000</t>
        </is>
      </c>
      <c r="E1481" s="3" t="inlineStr">
        <is>
          <t>Security</t>
        </is>
      </c>
      <c r="F1481" s="3" t="n">
        <v>164.35</v>
      </c>
      <c r="G1481" s="3" t="n">
        <v>657.4</v>
      </c>
    </row>
    <row r="1482">
      <c r="A1482" s="3" t="inlineStr">
        <is>
          <t>Cape Projects Construction (Pty) Ltd</t>
        </is>
      </c>
      <c r="B1482" s="4" t="n">
        <v>44773</v>
      </c>
      <c r="C1482" s="3" t="inlineStr">
        <is>
          <t>Expenses</t>
        </is>
      </c>
      <c r="D1482" s="3" t="inlineStr">
        <is>
          <t>4420/000</t>
        </is>
      </c>
      <c r="E1482" s="3" t="inlineStr">
        <is>
          <t>Small Assets</t>
        </is>
      </c>
      <c r="F1482" s="3" t="n">
        <v>0</v>
      </c>
      <c r="G1482" s="3" t="n">
        <v>1536.96</v>
      </c>
    </row>
    <row r="1483">
      <c r="A1483" s="3" t="inlineStr">
        <is>
          <t>Heron Fields (Pty) Ltd</t>
        </is>
      </c>
      <c r="B1483" s="4" t="n">
        <v>44773</v>
      </c>
      <c r="C1483" s="3" t="inlineStr">
        <is>
          <t>Expenses</t>
        </is>
      </c>
      <c r="D1483" s="3" t="inlineStr">
        <is>
          <t>4420/001</t>
        </is>
      </c>
      <c r="E1483" s="3" t="inlineStr">
        <is>
          <t>Security - ADT</t>
        </is>
      </c>
      <c r="F1483" s="3" t="n">
        <v>328.38</v>
      </c>
      <c r="G1483" s="3" t="n">
        <v>2942.32</v>
      </c>
    </row>
    <row r="1484">
      <c r="A1484" s="3" t="inlineStr">
        <is>
          <t>Cape Projects Construction (Pty) Ltd</t>
        </is>
      </c>
      <c r="B1484" s="4" t="n">
        <v>44773</v>
      </c>
      <c r="C1484" s="3" t="inlineStr">
        <is>
          <t>Expenses</t>
        </is>
      </c>
      <c r="D1484" s="3" t="inlineStr">
        <is>
          <t>4450/000</t>
        </is>
      </c>
      <c r="E1484" s="3" t="inlineStr">
        <is>
          <t>Staff Training</t>
        </is>
      </c>
      <c r="F1484" s="3" t="n">
        <v>0</v>
      </c>
      <c r="G1484" s="3" t="n">
        <v>6800</v>
      </c>
    </row>
    <row r="1485">
      <c r="A1485" s="3" t="inlineStr">
        <is>
          <t>Cape Projects Construction (Pty) Ltd</t>
        </is>
      </c>
      <c r="B1485" s="4" t="n">
        <v>44773</v>
      </c>
      <c r="C1485" s="3" t="inlineStr">
        <is>
          <t>Expenses</t>
        </is>
      </c>
      <c r="D1485" s="3" t="inlineStr">
        <is>
          <t>4500/000</t>
        </is>
      </c>
      <c r="E1485" s="3" t="inlineStr">
        <is>
          <t>Staff Welfare _AND_ Refreshmts</t>
        </is>
      </c>
      <c r="F1485" s="3" t="n">
        <v>0</v>
      </c>
      <c r="G1485" s="3" t="n">
        <v>2674.5</v>
      </c>
    </row>
    <row r="1486">
      <c r="A1486" s="3" t="inlineStr">
        <is>
          <t>Cape Projects Construction (Pty) Ltd</t>
        </is>
      </c>
      <c r="B1486" s="4" t="n">
        <v>44773</v>
      </c>
      <c r="C1486" s="3" t="inlineStr">
        <is>
          <t>Expenses</t>
        </is>
      </c>
      <c r="D1486" s="3" t="inlineStr">
        <is>
          <t>4550/000</t>
        </is>
      </c>
      <c r="E1486" s="3" t="inlineStr">
        <is>
          <t>Subscriptions / Licenses</t>
        </is>
      </c>
      <c r="F1486" s="3" t="n">
        <v>0</v>
      </c>
      <c r="G1486" s="3" t="n">
        <v>526.3200000000001</v>
      </c>
    </row>
    <row r="1487">
      <c r="A1487" s="3" t="inlineStr">
        <is>
          <t>Cape Projects Construction (Pty) Ltd</t>
        </is>
      </c>
      <c r="B1487" s="4" t="n">
        <v>44773</v>
      </c>
      <c r="C1487" s="3" t="inlineStr">
        <is>
          <t>Expenses</t>
        </is>
      </c>
      <c r="D1487" s="3" t="inlineStr">
        <is>
          <t>4550/001</t>
        </is>
      </c>
      <c r="E1487" s="3" t="inlineStr">
        <is>
          <t>Subscriptions &amp; Licenses - Sage payroll</t>
        </is>
      </c>
      <c r="F1487" s="3" t="n">
        <v>686</v>
      </c>
      <c r="G1487" s="3" t="n">
        <v>2650</v>
      </c>
    </row>
    <row r="1488">
      <c r="A1488" s="3" t="inlineStr">
        <is>
          <t>Cape Projects Construction (Pty) Ltd</t>
        </is>
      </c>
      <c r="B1488" s="4" t="n">
        <v>44773</v>
      </c>
      <c r="C1488" s="3" t="inlineStr">
        <is>
          <t>Expenses</t>
        </is>
      </c>
      <c r="D1488" s="3" t="inlineStr">
        <is>
          <t>4550/003</t>
        </is>
      </c>
      <c r="E1488" s="3" t="inlineStr">
        <is>
          <t>Subscriptions &amp; Licenses - Xero</t>
        </is>
      </c>
      <c r="F1488" s="3" t="n">
        <v>600</v>
      </c>
      <c r="G1488" s="3" t="n">
        <v>3000</v>
      </c>
    </row>
    <row r="1489">
      <c r="A1489" s="3" t="inlineStr">
        <is>
          <t>Cape Projects Construction (Pty) Ltd</t>
        </is>
      </c>
      <c r="B1489" s="4" t="n">
        <v>44773</v>
      </c>
      <c r="C1489" s="3" t="inlineStr">
        <is>
          <t>Expenses</t>
        </is>
      </c>
      <c r="D1489" s="3" t="inlineStr">
        <is>
          <t>4550/004</t>
        </is>
      </c>
      <c r="E1489" s="3" t="inlineStr">
        <is>
          <t>Subscriptions - Smartsheet</t>
        </is>
      </c>
      <c r="F1489" s="3" t="n">
        <v>363</v>
      </c>
      <c r="G1489" s="3" t="n">
        <v>1815</v>
      </c>
    </row>
    <row r="1490">
      <c r="A1490" s="3" t="inlineStr">
        <is>
          <t>Cape Projects Construction (Pty) Ltd</t>
        </is>
      </c>
      <c r="B1490" s="4" t="n">
        <v>44773</v>
      </c>
      <c r="C1490" s="3" t="inlineStr">
        <is>
          <t>Expenses</t>
        </is>
      </c>
      <c r="D1490" s="3" t="inlineStr">
        <is>
          <t>4550/006</t>
        </is>
      </c>
      <c r="E1490" s="3" t="inlineStr">
        <is>
          <t>Subscription - Candy software</t>
        </is>
      </c>
      <c r="F1490" s="3" t="n">
        <v>1640</v>
      </c>
      <c r="G1490" s="3" t="n">
        <v>10485</v>
      </c>
    </row>
    <row r="1491">
      <c r="A1491" s="3" t="inlineStr">
        <is>
          <t>Heron Fields (Pty) Ltd</t>
        </is>
      </c>
      <c r="B1491" s="4" t="n">
        <v>44773</v>
      </c>
      <c r="C1491" s="3" t="inlineStr">
        <is>
          <t>Expenses</t>
        </is>
      </c>
      <c r="D1491" s="3" t="inlineStr">
        <is>
          <t>4550/100</t>
        </is>
      </c>
      <c r="E1491" s="3" t="inlineStr">
        <is>
          <t>Subscriptions - Xero</t>
        </is>
      </c>
      <c r="F1491" s="3" t="n">
        <v>600</v>
      </c>
      <c r="G1491" s="3" t="n">
        <v>3000</v>
      </c>
    </row>
    <row r="1492">
      <c r="A1492" s="3" t="inlineStr">
        <is>
          <t>Heron View (Pty) Ltd</t>
        </is>
      </c>
      <c r="B1492" s="4" t="n">
        <v>44773</v>
      </c>
      <c r="C1492" s="3" t="inlineStr">
        <is>
          <t>Expenses</t>
        </is>
      </c>
      <c r="D1492" s="3" t="inlineStr">
        <is>
          <t>4550/100</t>
        </is>
      </c>
      <c r="E1492" s="3" t="inlineStr">
        <is>
          <t>Subscriptions - Xero</t>
        </is>
      </c>
      <c r="F1492" s="3" t="n">
        <v>600</v>
      </c>
      <c r="G1492" s="3" t="n">
        <v>3000</v>
      </c>
    </row>
    <row r="1493">
      <c r="A1493" s="3" t="inlineStr">
        <is>
          <t>Cape Projects Construction (Pty) Ltd</t>
        </is>
      </c>
      <c r="B1493" s="4" t="n">
        <v>44773</v>
      </c>
      <c r="C1493" s="3" t="inlineStr">
        <is>
          <t>Expenses</t>
        </is>
      </c>
      <c r="D1493" s="3" t="inlineStr">
        <is>
          <t>4560</t>
        </is>
      </c>
      <c r="E1493" s="3" t="inlineStr">
        <is>
          <t>Secretarial fees - CIPC</t>
        </is>
      </c>
      <c r="F1493" s="3" t="n">
        <v>0</v>
      </c>
      <c r="G1493" s="3" t="n">
        <v>2500</v>
      </c>
    </row>
    <row r="1494">
      <c r="A1494" s="3" t="inlineStr">
        <is>
          <t>Cape Projects Construction (Pty) Ltd</t>
        </is>
      </c>
      <c r="B1494" s="4" t="n">
        <v>44773</v>
      </c>
      <c r="C1494" s="3" t="inlineStr">
        <is>
          <t>Expenses</t>
        </is>
      </c>
      <c r="D1494" s="3" t="inlineStr">
        <is>
          <t>4700/000</t>
        </is>
      </c>
      <c r="E1494" s="3" t="inlineStr">
        <is>
          <t>PAYE Contributions</t>
        </is>
      </c>
      <c r="F1494" s="3" t="n">
        <v>29871.62</v>
      </c>
      <c r="G1494" s="3" t="n">
        <v>179815.06</v>
      </c>
    </row>
    <row r="1495">
      <c r="A1495" s="3" t="inlineStr">
        <is>
          <t>Cape Projects Construction (Pty) Ltd</t>
        </is>
      </c>
      <c r="B1495" s="4" t="n">
        <v>44773</v>
      </c>
      <c r="C1495" s="3" t="inlineStr">
        <is>
          <t>Expenses</t>
        </is>
      </c>
      <c r="D1495" s="3" t="inlineStr">
        <is>
          <t>4720/000</t>
        </is>
      </c>
      <c r="E1495" s="3" t="inlineStr">
        <is>
          <t>SDL Contributions</t>
        </is>
      </c>
      <c r="F1495" s="3" t="n">
        <v>2475.61</v>
      </c>
      <c r="G1495" s="3" t="n">
        <v>12014.87</v>
      </c>
    </row>
    <row r="1496">
      <c r="A1496" s="3" t="inlineStr">
        <is>
          <t>Cape Projects Construction (Pty) Ltd</t>
        </is>
      </c>
      <c r="B1496" s="4" t="n">
        <v>44773</v>
      </c>
      <c r="C1496" s="3" t="inlineStr">
        <is>
          <t>Expenses</t>
        </is>
      </c>
      <c r="D1496" s="3" t="inlineStr">
        <is>
          <t>4730/000</t>
        </is>
      </c>
      <c r="E1496" s="3" t="inlineStr">
        <is>
          <t>UIF Company Contributions</t>
        </is>
      </c>
      <c r="F1496" s="3" t="n">
        <v>1968.41</v>
      </c>
      <c r="G1496" s="3" t="n">
        <v>8324.030000000001</v>
      </c>
    </row>
    <row r="1497">
      <c r="A1497" s="3" t="inlineStr">
        <is>
          <t>Cape Projects Construction (Pty) Ltd</t>
        </is>
      </c>
      <c r="B1497" s="4" t="n">
        <v>44773</v>
      </c>
      <c r="C1497" s="3" t="inlineStr">
        <is>
          <t>Expenses</t>
        </is>
      </c>
      <c r="D1497" s="3" t="inlineStr">
        <is>
          <t>4731/000</t>
        </is>
      </c>
      <c r="E1497" s="3" t="inlineStr">
        <is>
          <t>UIF Employee Contribution</t>
        </is>
      </c>
      <c r="F1497" s="3" t="n">
        <v>1968.41</v>
      </c>
      <c r="G1497" s="3" t="n">
        <v>8324.030000000001</v>
      </c>
    </row>
    <row r="1498">
      <c r="A1498" s="3" t="inlineStr">
        <is>
          <t>Cape Projects Construction (Pty) Ltd</t>
        </is>
      </c>
      <c r="B1498" s="4" t="n">
        <v>44773</v>
      </c>
      <c r="C1498" s="3" t="inlineStr">
        <is>
          <t>Expenses</t>
        </is>
      </c>
      <c r="D1498" s="3" t="inlineStr">
        <is>
          <t>4740/000</t>
        </is>
      </c>
      <c r="E1498" s="3" t="inlineStr">
        <is>
          <t>BIBC Company Contribution</t>
        </is>
      </c>
      <c r="F1498" s="3" t="n">
        <v>9644.5</v>
      </c>
      <c r="G1498" s="3" t="n">
        <v>16235.81</v>
      </c>
    </row>
    <row r="1499">
      <c r="A1499" s="3" t="inlineStr">
        <is>
          <t>Cape Projects Construction (Pty) Ltd</t>
        </is>
      </c>
      <c r="B1499" s="4" t="n">
        <v>44773</v>
      </c>
      <c r="C1499" s="3" t="inlineStr">
        <is>
          <t>Expenses</t>
        </is>
      </c>
      <c r="D1499" s="3" t="inlineStr">
        <is>
          <t>4741/000</t>
        </is>
      </c>
      <c r="E1499" s="3" t="inlineStr">
        <is>
          <t>BIBC Employee Contribution</t>
        </is>
      </c>
      <c r="F1499" s="3" t="n">
        <v>3347.72</v>
      </c>
      <c r="G1499" s="3" t="n">
        <v>9761.030000000001</v>
      </c>
    </row>
    <row r="1500">
      <c r="A1500" s="3" t="inlineStr">
        <is>
          <t>Heron Fields (Pty) Ltd</t>
        </is>
      </c>
      <c r="B1500" s="4" t="n">
        <v>44773</v>
      </c>
      <c r="C1500" s="3" t="inlineStr">
        <is>
          <t>Equity</t>
        </is>
      </c>
      <c r="D1500" s="3" t="inlineStr">
        <is>
          <t>5100-000</t>
        </is>
      </c>
      <c r="E1500" s="3" t="inlineStr">
        <is>
          <t>Share Capital</t>
        </is>
      </c>
      <c r="F1500" s="3" t="n">
        <v>0</v>
      </c>
      <c r="G1500" s="3" t="n">
        <v>-100</v>
      </c>
    </row>
    <row r="1501">
      <c r="A1501" s="3" t="inlineStr">
        <is>
          <t>Cape Projects Construction (Pty) Ltd</t>
        </is>
      </c>
      <c r="B1501" s="4" t="n">
        <v>44773</v>
      </c>
      <c r="C1501" s="3" t="inlineStr">
        <is>
          <t>Equity</t>
        </is>
      </c>
      <c r="D1501" s="3" t="inlineStr">
        <is>
          <t>5100/000</t>
        </is>
      </c>
      <c r="E1501" s="3" t="inlineStr">
        <is>
          <t>Share Capital / Members Contribution</t>
        </is>
      </c>
      <c r="F1501" s="3" t="n">
        <v>0</v>
      </c>
      <c r="G1501" s="3" t="n">
        <v>-120</v>
      </c>
    </row>
    <row r="1502">
      <c r="A1502" s="3" t="inlineStr">
        <is>
          <t>Cape Projects Construction (Pty) Ltd</t>
        </is>
      </c>
      <c r="B1502" s="4" t="n">
        <v>44773</v>
      </c>
      <c r="C1502" s="3" t="inlineStr">
        <is>
          <t>Equity</t>
        </is>
      </c>
      <c r="D1502" s="3" t="inlineStr">
        <is>
          <t>5200/000</t>
        </is>
      </c>
      <c r="E1502" s="3" t="inlineStr">
        <is>
          <t>Retained Earnings / Loss</t>
        </is>
      </c>
      <c r="F1502" s="3" t="n">
        <v>0</v>
      </c>
      <c r="G1502" s="3" t="n">
        <v>247347.05</v>
      </c>
    </row>
    <row r="1503">
      <c r="A1503" s="3" t="inlineStr">
        <is>
          <t>Heron Fields (Pty) Ltd</t>
        </is>
      </c>
      <c r="B1503" s="4" t="n">
        <v>44773</v>
      </c>
      <c r="C1503" s="3" t="inlineStr">
        <is>
          <t>Equity</t>
        </is>
      </c>
      <c r="D1503" s="3" t="inlineStr">
        <is>
          <t>5200/000</t>
        </is>
      </c>
      <c r="E1503" s="3" t="inlineStr">
        <is>
          <t>Retained Earnings / Loss</t>
        </is>
      </c>
      <c r="F1503" s="3" t="n">
        <v>0</v>
      </c>
      <c r="G1503" s="3" t="n">
        <v>-17080353.05</v>
      </c>
    </row>
    <row r="1504">
      <c r="A1504" s="3" t="inlineStr">
        <is>
          <t>Heron Fields (Pty) Ltd</t>
        </is>
      </c>
      <c r="B1504" s="4" t="n">
        <v>44773</v>
      </c>
      <c r="C1504" s="3" t="inlineStr">
        <is>
          <t>Assets</t>
        </is>
      </c>
      <c r="D1504" s="3" t="inlineStr">
        <is>
          <t>5300/001</t>
        </is>
      </c>
      <c r="E1504" s="3" t="inlineStr">
        <is>
          <t>Revaluation of Land stock</t>
        </is>
      </c>
      <c r="F1504" s="3" t="n">
        <v>0</v>
      </c>
      <c r="G1504" s="3" t="n">
        <v>17562360.85</v>
      </c>
    </row>
    <row r="1505">
      <c r="A1505" s="3" t="inlineStr">
        <is>
          <t>Cape Projects Construction (Pty) Ltd</t>
        </is>
      </c>
      <c r="B1505" s="4" t="n">
        <v>44773</v>
      </c>
      <c r="C1505" s="3" t="inlineStr">
        <is>
          <t>Assets</t>
        </is>
      </c>
      <c r="D1505" s="3" t="inlineStr">
        <is>
          <t>5400/150</t>
        </is>
      </c>
      <c r="E1505" s="3" t="inlineStr">
        <is>
          <t>Loan - Quinate</t>
        </is>
      </c>
      <c r="F1505" s="3" t="n">
        <v>200000</v>
      </c>
      <c r="G1505" s="3" t="n">
        <v>3050000</v>
      </c>
    </row>
    <row r="1506">
      <c r="A1506" s="3" t="inlineStr">
        <is>
          <t>Cape Projects Construction (Pty) Ltd</t>
        </is>
      </c>
      <c r="B1506" s="4" t="n">
        <v>44773</v>
      </c>
      <c r="C1506" s="3" t="inlineStr">
        <is>
          <t>Assets</t>
        </is>
      </c>
      <c r="D1506" s="3" t="inlineStr">
        <is>
          <t>5400/450</t>
        </is>
      </c>
      <c r="E1506" s="3" t="inlineStr">
        <is>
          <t>Loan - Opportunity Investment</t>
        </is>
      </c>
      <c r="F1506" s="3" t="n">
        <v>75000</v>
      </c>
      <c r="G1506" s="3" t="n">
        <v>65000</v>
      </c>
    </row>
    <row r="1507">
      <c r="A1507" s="3" t="inlineStr">
        <is>
          <t>Cape Projects Construction (Pty) Ltd</t>
        </is>
      </c>
      <c r="B1507" s="4" t="n">
        <v>44773</v>
      </c>
      <c r="C1507" s="3" t="inlineStr">
        <is>
          <t>Assets</t>
        </is>
      </c>
      <c r="D1507" s="3" t="inlineStr">
        <is>
          <t>5400/550</t>
        </is>
      </c>
      <c r="E1507" s="3" t="inlineStr">
        <is>
          <t>Loan - Trademark</t>
        </is>
      </c>
      <c r="F1507" s="3" t="n">
        <v>0</v>
      </c>
      <c r="G1507" s="3" t="n">
        <v>600</v>
      </c>
    </row>
    <row r="1508">
      <c r="A1508" s="3" t="inlineStr">
        <is>
          <t>Cape Projects Construction (Pty) Ltd</t>
        </is>
      </c>
      <c r="B1508" s="4" t="n">
        <v>44773</v>
      </c>
      <c r="C1508" s="3" t="inlineStr">
        <is>
          <t>Assets</t>
        </is>
      </c>
      <c r="D1508" s="3" t="inlineStr">
        <is>
          <t>5400/600</t>
        </is>
      </c>
      <c r="E1508" s="3" t="inlineStr">
        <is>
          <t>Loan - Heron Projects</t>
        </is>
      </c>
      <c r="F1508" s="3" t="n">
        <v>-321000</v>
      </c>
      <c r="G1508" s="3" t="n">
        <v>-3481000</v>
      </c>
    </row>
    <row r="1509">
      <c r="A1509" s="3" t="inlineStr">
        <is>
          <t>Cape Projects Construction (Pty) Ltd</t>
        </is>
      </c>
      <c r="B1509" s="4" t="n">
        <v>44773</v>
      </c>
      <c r="C1509" s="3" t="inlineStr">
        <is>
          <t>Assets</t>
        </is>
      </c>
      <c r="D1509" s="3" t="inlineStr">
        <is>
          <t>5400/650</t>
        </is>
      </c>
      <c r="E1509" s="3" t="inlineStr">
        <is>
          <t>Loan - Noble Shield</t>
        </is>
      </c>
      <c r="F1509" s="3" t="n">
        <v>0</v>
      </c>
      <c r="G1509" s="3" t="n">
        <v>600</v>
      </c>
    </row>
    <row r="1510">
      <c r="A1510" s="3" t="inlineStr">
        <is>
          <t>Cape Projects Construction (Pty) Ltd</t>
        </is>
      </c>
      <c r="B1510" s="4" t="n">
        <v>44773</v>
      </c>
      <c r="C1510" s="3" t="inlineStr">
        <is>
          <t>Assets</t>
        </is>
      </c>
      <c r="D1510" s="3" t="inlineStr">
        <is>
          <t>5400/750</t>
        </is>
      </c>
      <c r="E1510" s="3" t="inlineStr">
        <is>
          <t>Loan - Endulini</t>
        </is>
      </c>
      <c r="F1510" s="3" t="n">
        <v>210000</v>
      </c>
      <c r="G1510" s="3" t="n">
        <v>210000</v>
      </c>
    </row>
    <row r="1511">
      <c r="A1511" s="3" t="inlineStr">
        <is>
          <t>Cape Projects Construction (Pty) Ltd</t>
        </is>
      </c>
      <c r="B1511" s="4" t="n">
        <v>44773</v>
      </c>
      <c r="C1511" s="3" t="inlineStr">
        <is>
          <t>Assets</t>
        </is>
      </c>
      <c r="D1511" s="3" t="inlineStr">
        <is>
          <t>5400/800</t>
        </is>
      </c>
      <c r="E1511" s="3" t="inlineStr">
        <is>
          <t>Loan - Opportunity Management Holdings</t>
        </is>
      </c>
      <c r="F1511" s="3" t="n">
        <v>-115000</v>
      </c>
      <c r="G1511" s="3" t="n">
        <v>-115000</v>
      </c>
    </row>
    <row r="1512">
      <c r="A1512" s="3" t="inlineStr">
        <is>
          <t>Heron View (Pty) Ltd</t>
        </is>
      </c>
      <c r="B1512" s="4" t="n">
        <v>44773</v>
      </c>
      <c r="C1512" s="3" t="inlineStr">
        <is>
          <t>Liabilities</t>
        </is>
      </c>
      <c r="D1512" s="3" t="inlineStr">
        <is>
          <t>5500/001</t>
        </is>
      </c>
      <c r="E1512" s="3" t="inlineStr">
        <is>
          <t>Loan - Heron Fields</t>
        </is>
      </c>
      <c r="F1512" s="3" t="n">
        <v>-690</v>
      </c>
      <c r="G1512" s="3" t="n">
        <v>-1431451.22</v>
      </c>
    </row>
    <row r="1513">
      <c r="A1513" s="3" t="inlineStr">
        <is>
          <t>Heron Fields (Pty) Ltd</t>
        </is>
      </c>
      <c r="B1513" s="4" t="n">
        <v>44773</v>
      </c>
      <c r="C1513" s="3" t="inlineStr">
        <is>
          <t>Liabilities</t>
        </is>
      </c>
      <c r="D1513" s="3" t="inlineStr">
        <is>
          <t>5500/010</t>
        </is>
      </c>
      <c r="E1513" s="3" t="inlineStr">
        <is>
          <t>Loan - Quinate</t>
        </is>
      </c>
      <c r="F1513" s="3" t="n">
        <v>420000</v>
      </c>
      <c r="G1513" s="3" t="n">
        <v>0</v>
      </c>
    </row>
    <row r="1514">
      <c r="A1514" s="3" t="inlineStr">
        <is>
          <t>Heron Fields (Pty) Ltd</t>
        </is>
      </c>
      <c r="B1514" s="4" t="n">
        <v>44773</v>
      </c>
      <c r="C1514" s="3" t="inlineStr">
        <is>
          <t>Liabilities</t>
        </is>
      </c>
      <c r="D1514" s="3" t="inlineStr">
        <is>
          <t>5500/020</t>
        </is>
      </c>
      <c r="E1514" s="3" t="inlineStr">
        <is>
          <t>Loan - Cape Projects Construction</t>
        </is>
      </c>
      <c r="F1514" s="3" t="n">
        <v>321000</v>
      </c>
      <c r="G1514" s="3" t="n">
        <v>3481000</v>
      </c>
    </row>
    <row r="1515">
      <c r="A1515" s="3" t="inlineStr">
        <is>
          <t>Heron Fields (Pty) Ltd</t>
        </is>
      </c>
      <c r="B1515" s="4" t="n">
        <v>44773</v>
      </c>
      <c r="C1515" s="3" t="inlineStr">
        <is>
          <t>Liabilities</t>
        </is>
      </c>
      <c r="D1515" s="3" t="inlineStr">
        <is>
          <t>5500/030</t>
        </is>
      </c>
      <c r="E1515" s="3" t="inlineStr">
        <is>
          <t>Loan - Opportunity Global Investments</t>
        </is>
      </c>
      <c r="F1515" s="3" t="n">
        <v>127000</v>
      </c>
      <c r="G1515" s="3" t="n">
        <v>0</v>
      </c>
    </row>
    <row r="1516">
      <c r="A1516" s="3" t="inlineStr">
        <is>
          <t>Heron Fields (Pty) Ltd</t>
        </is>
      </c>
      <c r="B1516" s="4" t="n">
        <v>44773</v>
      </c>
      <c r="C1516" s="3" t="inlineStr">
        <is>
          <t>Liabilities</t>
        </is>
      </c>
      <c r="D1516" s="3" t="inlineStr">
        <is>
          <t>5500/040</t>
        </is>
      </c>
      <c r="E1516" s="3" t="inlineStr">
        <is>
          <t>Loan - Trademark</t>
        </is>
      </c>
      <c r="F1516" s="3" t="n">
        <v>45000</v>
      </c>
      <c r="G1516" s="3" t="n">
        <v>0</v>
      </c>
    </row>
    <row r="1517">
      <c r="A1517" s="3" t="inlineStr">
        <is>
          <t>Heron Fields (Pty) Ltd</t>
        </is>
      </c>
      <c r="B1517" s="4" t="n">
        <v>44773</v>
      </c>
      <c r="C1517" s="3" t="inlineStr">
        <is>
          <t>Liabilities</t>
        </is>
      </c>
      <c r="D1517" s="3" t="inlineStr">
        <is>
          <t>5500/050</t>
        </is>
      </c>
      <c r="E1517" s="3" t="inlineStr">
        <is>
          <t>Loan - Heron View</t>
        </is>
      </c>
      <c r="F1517" s="3" t="n">
        <v>690</v>
      </c>
      <c r="G1517" s="3" t="n">
        <v>1431451.22</v>
      </c>
    </row>
    <row r="1518">
      <c r="A1518" s="3" t="inlineStr">
        <is>
          <t>Heron Fields (Pty) Ltd</t>
        </is>
      </c>
      <c r="B1518" s="4" t="n">
        <v>44773</v>
      </c>
      <c r="C1518" s="3" t="inlineStr">
        <is>
          <t>Liabilities</t>
        </is>
      </c>
      <c r="D1518" s="3" t="inlineStr">
        <is>
          <t>5500/060</t>
        </is>
      </c>
      <c r="E1518" s="3" t="inlineStr">
        <is>
          <t>Loan - Opportunity Management Holdings</t>
        </is>
      </c>
      <c r="F1518" s="3" t="n">
        <v>127000</v>
      </c>
      <c r="G1518" s="3" t="n">
        <v>0</v>
      </c>
    </row>
    <row r="1519">
      <c r="A1519" s="3" t="inlineStr">
        <is>
          <t>Heron Fields (Pty) Ltd</t>
        </is>
      </c>
      <c r="B1519" s="4" t="n">
        <v>44773</v>
      </c>
      <c r="C1519" s="3" t="inlineStr">
        <is>
          <t>Liabilities</t>
        </is>
      </c>
      <c r="D1519" s="3" t="inlineStr">
        <is>
          <t>5500/070</t>
        </is>
      </c>
      <c r="E1519" s="3" t="inlineStr">
        <is>
          <t>Loan - Noble Shield</t>
        </is>
      </c>
      <c r="F1519" s="3" t="n">
        <v>11000</v>
      </c>
      <c r="G1519" s="3" t="n">
        <v>0</v>
      </c>
    </row>
    <row r="1520">
      <c r="A1520" s="3" t="inlineStr">
        <is>
          <t>Cape Projects Construction (Pty) Ltd</t>
        </is>
      </c>
      <c r="B1520" s="4" t="n">
        <v>44773</v>
      </c>
      <c r="C1520" s="3" t="inlineStr">
        <is>
          <t>Liabilities</t>
        </is>
      </c>
      <c r="D1520" s="3" t="inlineStr">
        <is>
          <t>5600/100</t>
        </is>
      </c>
      <c r="E1520" s="3" t="inlineStr">
        <is>
          <t>Motor Vehical Car Repaymts - Toyota</t>
        </is>
      </c>
      <c r="F1520" s="3" t="n">
        <v>5211.74</v>
      </c>
      <c r="G1520" s="3" t="n">
        <v>26004.68</v>
      </c>
    </row>
    <row r="1521">
      <c r="A1521" s="3" t="inlineStr">
        <is>
          <t>Cape Projects Construction (Pty) Ltd</t>
        </is>
      </c>
      <c r="B1521" s="4" t="n">
        <v>44773</v>
      </c>
      <c r="C1521" s="3" t="inlineStr">
        <is>
          <t>Liabilities</t>
        </is>
      </c>
      <c r="D1521" s="3" t="inlineStr">
        <is>
          <t>5600/200</t>
        </is>
      </c>
      <c r="E1521" s="3" t="inlineStr">
        <is>
          <t>Motor Vehicle Car Repayments - Toyota Shortterm</t>
        </is>
      </c>
      <c r="F1521" s="3" t="n">
        <v>0</v>
      </c>
      <c r="G1521" s="3" t="n">
        <v>-58920.1</v>
      </c>
    </row>
    <row r="1522">
      <c r="A1522" s="3" t="inlineStr">
        <is>
          <t>Cape Projects Construction (Pty) Ltd</t>
        </is>
      </c>
      <c r="B1522" s="4" t="n">
        <v>44773</v>
      </c>
      <c r="C1522" s="3" t="inlineStr">
        <is>
          <t>Assets</t>
        </is>
      </c>
      <c r="D1522" s="3" t="inlineStr">
        <is>
          <t>6200/010</t>
        </is>
      </c>
      <c r="E1522" s="3" t="inlineStr">
        <is>
          <t>Motor Vehicles - @ Cost</t>
        </is>
      </c>
      <c r="F1522" s="3" t="n">
        <v>0</v>
      </c>
      <c r="G1522" s="3" t="n">
        <v>216064.1</v>
      </c>
    </row>
    <row r="1523">
      <c r="A1523" s="3" t="inlineStr">
        <is>
          <t>Cape Projects Construction (Pty) Ltd</t>
        </is>
      </c>
      <c r="B1523" s="4" t="n">
        <v>44773</v>
      </c>
      <c r="C1523" s="3" t="inlineStr">
        <is>
          <t>Assets</t>
        </is>
      </c>
      <c r="D1523" s="3" t="inlineStr">
        <is>
          <t>6200/020</t>
        </is>
      </c>
      <c r="E1523" s="3" t="inlineStr">
        <is>
          <t>Motor Vehicles - Accum Depre</t>
        </is>
      </c>
      <c r="F1523" s="3" t="n">
        <v>-39610.1</v>
      </c>
      <c r="G1523" s="3" t="n">
        <v>-216063.1</v>
      </c>
    </row>
    <row r="1524">
      <c r="A1524" s="3" t="inlineStr">
        <is>
          <t>Cape Projects Construction (Pty) Ltd</t>
        </is>
      </c>
      <c r="B1524" s="4" t="n">
        <v>44773</v>
      </c>
      <c r="C1524" s="3" t="inlineStr">
        <is>
          <t>Assets</t>
        </is>
      </c>
      <c r="D1524" s="3" t="inlineStr">
        <is>
          <t>6250/010</t>
        </is>
      </c>
      <c r="E1524" s="3" t="inlineStr">
        <is>
          <t>Computer Equipment - @ Cost</t>
        </is>
      </c>
      <c r="F1524" s="3" t="n">
        <v>0</v>
      </c>
      <c r="G1524" s="3" t="n">
        <v>83494.91</v>
      </c>
    </row>
    <row r="1525">
      <c r="A1525" s="3" t="inlineStr">
        <is>
          <t>Cape Projects Construction (Pty) Ltd</t>
        </is>
      </c>
      <c r="B1525" s="4" t="n">
        <v>44773</v>
      </c>
      <c r="C1525" s="3" t="inlineStr">
        <is>
          <t>Assets</t>
        </is>
      </c>
      <c r="D1525" s="3" t="inlineStr">
        <is>
          <t>6250/020</t>
        </is>
      </c>
      <c r="E1525" s="3" t="inlineStr">
        <is>
          <t>Computer Equipment - Accum Depre</t>
        </is>
      </c>
      <c r="F1525" s="3" t="n">
        <v>-1926.81</v>
      </c>
      <c r="G1525" s="3" t="n">
        <v>-27795.9</v>
      </c>
    </row>
    <row r="1526">
      <c r="A1526" s="3" t="inlineStr">
        <is>
          <t>Cape Projects Construction (Pty) Ltd</t>
        </is>
      </c>
      <c r="B1526" s="4" t="n">
        <v>44773</v>
      </c>
      <c r="C1526" s="3" t="inlineStr">
        <is>
          <t>Assets</t>
        </is>
      </c>
      <c r="D1526" s="3" t="inlineStr">
        <is>
          <t>6350/010</t>
        </is>
      </c>
      <c r="E1526" s="3" t="inlineStr">
        <is>
          <t>Furniture _AND_ Fittings - @ Cost</t>
        </is>
      </c>
      <c r="F1526" s="3" t="n">
        <v>0</v>
      </c>
      <c r="G1526" s="3" t="n">
        <v>29281.39</v>
      </c>
    </row>
    <row r="1527">
      <c r="A1527" s="3" t="inlineStr">
        <is>
          <t>Cape Projects Construction (Pty) Ltd</t>
        </is>
      </c>
      <c r="B1527" s="4" t="n">
        <v>44773</v>
      </c>
      <c r="C1527" s="3" t="inlineStr">
        <is>
          <t>Assets</t>
        </is>
      </c>
      <c r="D1527" s="3" t="inlineStr">
        <is>
          <t>6350/020</t>
        </is>
      </c>
      <c r="E1527" s="3" t="inlineStr">
        <is>
          <t>Furniture _AND_ Fittings - Accum Depre</t>
        </is>
      </c>
      <c r="F1527" s="3" t="n">
        <v>-427.21</v>
      </c>
      <c r="G1527" s="3" t="n">
        <v>-2542.72</v>
      </c>
    </row>
    <row r="1528">
      <c r="A1528" s="3" t="inlineStr">
        <is>
          <t>Cape Projects Construction (Pty) Ltd</t>
        </is>
      </c>
      <c r="B1528" s="4" t="n">
        <v>44773</v>
      </c>
      <c r="C1528" s="3" t="inlineStr">
        <is>
          <t>Assets</t>
        </is>
      </c>
      <c r="D1528" s="3" t="inlineStr">
        <is>
          <t>6600/010</t>
        </is>
      </c>
      <c r="E1528" s="3" t="inlineStr">
        <is>
          <t>Generator Fixed Asset - @ Cost</t>
        </is>
      </c>
      <c r="F1528" s="3" t="n">
        <v>0</v>
      </c>
      <c r="G1528" s="3" t="n">
        <v>11600</v>
      </c>
    </row>
    <row r="1529">
      <c r="A1529" s="3" t="inlineStr">
        <is>
          <t>Cape Projects Construction (Pty) Ltd</t>
        </is>
      </c>
      <c r="B1529" s="4" t="n">
        <v>44773</v>
      </c>
      <c r="C1529" s="3" t="inlineStr">
        <is>
          <t>Assets</t>
        </is>
      </c>
      <c r="D1529" s="3" t="inlineStr">
        <is>
          <t>6600/020</t>
        </is>
      </c>
      <c r="E1529" s="3" t="inlineStr">
        <is>
          <t>Generator Fixed Asset - Accum Depre</t>
        </is>
      </c>
      <c r="F1529" s="3" t="n">
        <v>-193.34</v>
      </c>
      <c r="G1529" s="3" t="n">
        <v>-1772.23</v>
      </c>
    </row>
    <row r="1530">
      <c r="A1530" s="3" t="inlineStr">
        <is>
          <t>Heron Fields (Pty) Ltd</t>
        </is>
      </c>
      <c r="B1530" s="4" t="n">
        <v>44773</v>
      </c>
      <c r="C1530" s="3" t="inlineStr">
        <is>
          <t>Assets</t>
        </is>
      </c>
      <c r="D1530" s="3" t="inlineStr">
        <is>
          <t>7610/395</t>
        </is>
      </c>
      <c r="E1530" s="3" t="inlineStr">
        <is>
          <t>HF CIP NHBRC</t>
        </is>
      </c>
      <c r="F1530" s="3" t="n">
        <v>0</v>
      </c>
      <c r="G1530" s="3" t="n">
        <v>874505.75</v>
      </c>
    </row>
    <row r="1531">
      <c r="A1531" s="3" t="inlineStr">
        <is>
          <t>Heron Fields (Pty) Ltd</t>
        </is>
      </c>
      <c r="B1531" s="4" t="n">
        <v>44773</v>
      </c>
      <c r="C1531" s="3" t="inlineStr">
        <is>
          <t>Assets</t>
        </is>
      </c>
      <c r="D1531" s="3" t="inlineStr">
        <is>
          <t>7620/100</t>
        </is>
      </c>
      <c r="E1531" s="3" t="inlineStr">
        <is>
          <t>Heron View Land</t>
        </is>
      </c>
      <c r="F1531" s="3" t="n">
        <v>0</v>
      </c>
      <c r="G1531" s="3" t="n">
        <v>26200000</v>
      </c>
    </row>
    <row r="1532">
      <c r="A1532" s="3" t="inlineStr">
        <is>
          <t>Heron Fields (Pty) Ltd</t>
        </is>
      </c>
      <c r="B1532" s="4" t="n">
        <v>44773</v>
      </c>
      <c r="C1532" s="3" t="inlineStr">
        <is>
          <t>Assets</t>
        </is>
      </c>
      <c r="D1532" s="3" t="inlineStr">
        <is>
          <t>7620/101</t>
        </is>
      </c>
      <c r="E1532" s="3" t="inlineStr">
        <is>
          <t>HF CIP Bond Registration Fee</t>
        </is>
      </c>
      <c r="F1532" s="3" t="n">
        <v>0</v>
      </c>
      <c r="G1532" s="3" t="n">
        <v>68427</v>
      </c>
    </row>
    <row r="1533">
      <c r="A1533" s="3" t="inlineStr">
        <is>
          <t>Heron Fields (Pty) Ltd</t>
        </is>
      </c>
      <c r="B1533" s="4" t="n">
        <v>44773</v>
      </c>
      <c r="C1533" s="3" t="inlineStr">
        <is>
          <t>Assets</t>
        </is>
      </c>
      <c r="D1533" s="3" t="inlineStr">
        <is>
          <t>7620/102</t>
        </is>
      </c>
      <c r="E1533" s="3" t="inlineStr">
        <is>
          <t>HF CIP Transfer Fee</t>
        </is>
      </c>
      <c r="F1533" s="3" t="n">
        <v>0</v>
      </c>
      <c r="G1533" s="3" t="n">
        <v>103812</v>
      </c>
    </row>
    <row r="1534">
      <c r="A1534" s="3" t="inlineStr">
        <is>
          <t>Heron Fields (Pty) Ltd</t>
        </is>
      </c>
      <c r="B1534" s="4" t="n">
        <v>44773</v>
      </c>
      <c r="C1534" s="3" t="inlineStr">
        <is>
          <t>Assets</t>
        </is>
      </c>
      <c r="D1534" s="3" t="inlineStr">
        <is>
          <t>7620/220</t>
        </is>
      </c>
      <c r="E1534" s="3" t="inlineStr">
        <is>
          <t>HF CIP Architectural Designs</t>
        </is>
      </c>
      <c r="F1534" s="3" t="n">
        <v>0</v>
      </c>
      <c r="G1534" s="3" t="n">
        <v>150780</v>
      </c>
    </row>
    <row r="1535">
      <c r="A1535" s="3" t="inlineStr">
        <is>
          <t>Heron Fields (Pty) Ltd</t>
        </is>
      </c>
      <c r="B1535" s="4" t="n">
        <v>44773</v>
      </c>
      <c r="C1535" s="3" t="inlineStr">
        <is>
          <t>Assets</t>
        </is>
      </c>
      <c r="D1535" s="3" t="inlineStr">
        <is>
          <t>7620/230</t>
        </is>
      </c>
      <c r="E1535" s="3" t="inlineStr">
        <is>
          <t>HF CIP Construction Management</t>
        </is>
      </c>
      <c r="F1535" s="3" t="n">
        <v>11000</v>
      </c>
      <c r="G1535" s="3" t="n">
        <v>60000</v>
      </c>
    </row>
    <row r="1536">
      <c r="A1536" s="3" t="inlineStr">
        <is>
          <t>Heron Fields (Pty) Ltd</t>
        </is>
      </c>
      <c r="B1536" s="4" t="n">
        <v>44773</v>
      </c>
      <c r="C1536" s="3" t="inlineStr">
        <is>
          <t>Assets</t>
        </is>
      </c>
      <c r="D1536" s="3" t="inlineStr">
        <is>
          <t>7620/240</t>
        </is>
      </c>
      <c r="E1536" s="3" t="inlineStr">
        <is>
          <t>HF CIP Civil Engineering</t>
        </is>
      </c>
      <c r="F1536" s="3" t="n">
        <v>452354</v>
      </c>
      <c r="G1536" s="3" t="n">
        <v>6640948.8</v>
      </c>
    </row>
    <row r="1537">
      <c r="A1537" s="3" t="inlineStr">
        <is>
          <t>Heron Fields (Pty) Ltd</t>
        </is>
      </c>
      <c r="B1537" s="4" t="n">
        <v>44773</v>
      </c>
      <c r="C1537" s="3" t="inlineStr">
        <is>
          <t>Assets</t>
        </is>
      </c>
      <c r="D1537" s="3" t="inlineStr">
        <is>
          <t>7620/245</t>
        </is>
      </c>
      <c r="E1537" s="3" t="inlineStr">
        <is>
          <t>HF CIP Development fee</t>
        </is>
      </c>
      <c r="F1537" s="3" t="n">
        <v>0</v>
      </c>
      <c r="G1537" s="3" t="n">
        <v>13807.78</v>
      </c>
    </row>
    <row r="1538">
      <c r="A1538" s="3" t="inlineStr">
        <is>
          <t>Heron Fields (Pty) Ltd</t>
        </is>
      </c>
      <c r="B1538" s="4" t="n">
        <v>44773</v>
      </c>
      <c r="C1538" s="3" t="inlineStr">
        <is>
          <t>Assets</t>
        </is>
      </c>
      <c r="D1538" s="3" t="inlineStr">
        <is>
          <t>7620/250</t>
        </is>
      </c>
      <c r="E1538" s="3" t="inlineStr">
        <is>
          <t>HF CIP Land Surveyor</t>
        </is>
      </c>
      <c r="F1538" s="3" t="n">
        <v>0</v>
      </c>
      <c r="G1538" s="3" t="n">
        <v>44026.09</v>
      </c>
    </row>
    <row r="1539">
      <c r="A1539" s="3" t="inlineStr">
        <is>
          <t>Heron Fields (Pty) Ltd</t>
        </is>
      </c>
      <c r="B1539" s="4" t="n">
        <v>44773</v>
      </c>
      <c r="C1539" s="3" t="inlineStr">
        <is>
          <t>Assets</t>
        </is>
      </c>
      <c r="D1539" s="3" t="inlineStr">
        <is>
          <t>7620/255</t>
        </is>
      </c>
      <c r="E1539" s="3" t="inlineStr">
        <is>
          <t>HF CIP Landscaping</t>
        </is>
      </c>
      <c r="F1539" s="3" t="n">
        <v>0</v>
      </c>
      <c r="G1539" s="3" t="n">
        <v>7500</v>
      </c>
    </row>
    <row r="1540">
      <c r="A1540" s="3" t="inlineStr">
        <is>
          <t>Heron Fields (Pty) Ltd</t>
        </is>
      </c>
      <c r="B1540" s="4" t="n">
        <v>44773</v>
      </c>
      <c r="C1540" s="3" t="inlineStr">
        <is>
          <t>Assets</t>
        </is>
      </c>
      <c r="D1540" s="3" t="inlineStr">
        <is>
          <t>7620/260</t>
        </is>
      </c>
      <c r="E1540" s="3" t="inlineStr">
        <is>
          <t>HF CIP Mechanical Engineers</t>
        </is>
      </c>
      <c r="F1540" s="3" t="n">
        <v>0</v>
      </c>
      <c r="G1540" s="3" t="n">
        <v>67400</v>
      </c>
    </row>
    <row r="1541">
      <c r="A1541" s="3" t="inlineStr">
        <is>
          <t>Heron Fields (Pty) Ltd</t>
        </is>
      </c>
      <c r="B1541" s="4" t="n">
        <v>44773</v>
      </c>
      <c r="C1541" s="3" t="inlineStr">
        <is>
          <t>Assets</t>
        </is>
      </c>
      <c r="D1541" s="3" t="inlineStr">
        <is>
          <t>7620/265</t>
        </is>
      </c>
      <c r="E1541" s="3" t="inlineStr">
        <is>
          <t>HF CIP Health &amp; Safety</t>
        </is>
      </c>
      <c r="F1541" s="3" t="n">
        <v>1400</v>
      </c>
      <c r="G1541" s="3" t="n">
        <v>13600</v>
      </c>
    </row>
    <row r="1542">
      <c r="A1542" s="3" t="inlineStr">
        <is>
          <t>Heron Fields (Pty) Ltd</t>
        </is>
      </c>
      <c r="B1542" s="4" t="n">
        <v>44773</v>
      </c>
      <c r="C1542" s="3" t="inlineStr">
        <is>
          <t>Assets</t>
        </is>
      </c>
      <c r="D1542" s="3" t="inlineStr">
        <is>
          <t>7620/270</t>
        </is>
      </c>
      <c r="E1542" s="3" t="inlineStr">
        <is>
          <t>HF CIP Geotechnical</t>
        </is>
      </c>
      <c r="F1542" s="3" t="n">
        <v>0</v>
      </c>
      <c r="G1542" s="3" t="n">
        <v>15175</v>
      </c>
    </row>
    <row r="1543">
      <c r="A1543" s="3" t="inlineStr">
        <is>
          <t>Heron Fields (Pty) Ltd</t>
        </is>
      </c>
      <c r="B1543" s="4" t="n">
        <v>44773</v>
      </c>
      <c r="C1543" s="3" t="inlineStr">
        <is>
          <t>Assets</t>
        </is>
      </c>
      <c r="D1543" s="3" t="inlineStr">
        <is>
          <t>7620/275</t>
        </is>
      </c>
      <c r="E1543" s="3" t="inlineStr">
        <is>
          <t>HF CIP Retaining Wall</t>
        </is>
      </c>
      <c r="F1543" s="3" t="n">
        <v>0</v>
      </c>
      <c r="G1543" s="3" t="n">
        <v>570856.08</v>
      </c>
    </row>
    <row r="1544">
      <c r="A1544" s="3" t="inlineStr">
        <is>
          <t>Heron Fields (Pty) Ltd</t>
        </is>
      </c>
      <c r="B1544" s="4" t="n">
        <v>44773</v>
      </c>
      <c r="C1544" s="3" t="inlineStr">
        <is>
          <t>Assets</t>
        </is>
      </c>
      <c r="D1544" s="3" t="inlineStr">
        <is>
          <t>7620/280</t>
        </is>
      </c>
      <c r="E1544" s="3" t="inlineStr">
        <is>
          <t>HF CIP Site Establishment</t>
        </is>
      </c>
      <c r="F1544" s="3" t="n">
        <v>6000215.88</v>
      </c>
      <c r="G1544" s="3" t="n">
        <v>19540589.41</v>
      </c>
    </row>
    <row r="1545">
      <c r="A1545" s="3" t="inlineStr">
        <is>
          <t>Heron Fields (Pty) Ltd</t>
        </is>
      </c>
      <c r="B1545" s="4" t="n">
        <v>44773</v>
      </c>
      <c r="C1545" s="3" t="inlineStr">
        <is>
          <t>Assets</t>
        </is>
      </c>
      <c r="D1545" s="3" t="inlineStr">
        <is>
          <t>7620/285</t>
        </is>
      </c>
      <c r="E1545" s="3" t="inlineStr">
        <is>
          <t>HF CIP Structuring Fee - Invest</t>
        </is>
      </c>
      <c r="F1545" s="3" t="n">
        <v>256521.74</v>
      </c>
      <c r="G1545" s="3" t="n">
        <v>2633426.73</v>
      </c>
    </row>
    <row r="1546">
      <c r="A1546" s="3" t="inlineStr">
        <is>
          <t>Heron Fields (Pty) Ltd</t>
        </is>
      </c>
      <c r="B1546" s="4" t="n">
        <v>44773</v>
      </c>
      <c r="C1546" s="3" t="inlineStr">
        <is>
          <t>Assets</t>
        </is>
      </c>
      <c r="D1546" s="3" t="inlineStr">
        <is>
          <t>7620/287</t>
        </is>
      </c>
      <c r="E1546" s="3" t="inlineStr">
        <is>
          <t>HF CIP Structuring Fee - Development</t>
        </is>
      </c>
      <c r="F1546" s="3" t="n">
        <v>0</v>
      </c>
      <c r="G1546" s="3" t="n">
        <v>782608.0699999999</v>
      </c>
    </row>
    <row r="1547">
      <c r="A1547" s="3" t="inlineStr">
        <is>
          <t>Heron Fields (Pty) Ltd</t>
        </is>
      </c>
      <c r="B1547" s="4" t="n">
        <v>44773</v>
      </c>
      <c r="C1547" s="3" t="inlineStr">
        <is>
          <t>Assets</t>
        </is>
      </c>
      <c r="D1547" s="3" t="inlineStr">
        <is>
          <t>7620/290</t>
        </is>
      </c>
      <c r="E1547" s="3" t="inlineStr">
        <is>
          <t>HF CIP Town Planning</t>
        </is>
      </c>
      <c r="F1547" s="3" t="n">
        <v>0</v>
      </c>
      <c r="G1547" s="3" t="n">
        <v>163550</v>
      </c>
    </row>
    <row r="1548">
      <c r="A1548" s="3" t="inlineStr">
        <is>
          <t>Heron Fields (Pty) Ltd</t>
        </is>
      </c>
      <c r="B1548" s="4" t="n">
        <v>44773</v>
      </c>
      <c r="C1548" s="3" t="inlineStr">
        <is>
          <t>Assets</t>
        </is>
      </c>
      <c r="D1548" s="3" t="inlineStr">
        <is>
          <t>7620/295</t>
        </is>
      </c>
      <c r="E1548" s="3" t="inlineStr">
        <is>
          <t>HF CIP Traffic Planning</t>
        </is>
      </c>
      <c r="F1548" s="3" t="n">
        <v>0</v>
      </c>
      <c r="G1548" s="3" t="n">
        <v>45000</v>
      </c>
    </row>
    <row r="1549">
      <c r="A1549" s="3" t="inlineStr">
        <is>
          <t>Heron Fields (Pty) Ltd</t>
        </is>
      </c>
      <c r="B1549" s="4" t="n">
        <v>44773</v>
      </c>
      <c r="C1549" s="3" t="inlineStr">
        <is>
          <t>Assets</t>
        </is>
      </c>
      <c r="D1549" s="3" t="inlineStr">
        <is>
          <t>7620/600</t>
        </is>
      </c>
      <c r="E1549" s="3" t="inlineStr">
        <is>
          <t>HF CIP Eco work</t>
        </is>
      </c>
      <c r="F1549" s="3" t="n">
        <v>6000</v>
      </c>
      <c r="G1549" s="3" t="n">
        <v>89000</v>
      </c>
    </row>
    <row r="1550">
      <c r="A1550" s="3" t="inlineStr">
        <is>
          <t>Heron Fields (Pty) Ltd</t>
        </is>
      </c>
      <c r="B1550" s="4" t="n">
        <v>44773</v>
      </c>
      <c r="C1550" s="3" t="inlineStr">
        <is>
          <t>Assets</t>
        </is>
      </c>
      <c r="D1550" s="3" t="inlineStr">
        <is>
          <t>7620/630</t>
        </is>
      </c>
      <c r="E1550" s="3" t="inlineStr">
        <is>
          <t>HF CIP CoCT development contribution</t>
        </is>
      </c>
      <c r="F1550" s="3" t="n">
        <v>28086.78</v>
      </c>
      <c r="G1550" s="3" t="n">
        <v>1001766.49</v>
      </c>
    </row>
    <row r="1551">
      <c r="A1551" s="3" t="inlineStr">
        <is>
          <t>Heron View (Pty) Ltd</t>
        </is>
      </c>
      <c r="B1551" s="4" t="n">
        <v>44773</v>
      </c>
      <c r="C1551" s="3" t="inlineStr">
        <is>
          <t>Assets</t>
        </is>
      </c>
      <c r="D1551" s="3" t="inlineStr">
        <is>
          <t>7620/630</t>
        </is>
      </c>
      <c r="E1551" s="3" t="inlineStr">
        <is>
          <t>Heron CIP - CoCT development contribution</t>
        </is>
      </c>
      <c r="F1551" s="3" t="n">
        <v>0</v>
      </c>
      <c r="G1551" s="3" t="n">
        <v>1233261.93</v>
      </c>
    </row>
    <row r="1552">
      <c r="A1552" s="3" t="inlineStr">
        <is>
          <t>Heron Fields (Pty) Ltd</t>
        </is>
      </c>
      <c r="B1552" s="4" t="n">
        <v>44773</v>
      </c>
      <c r="C1552" s="3" t="inlineStr">
        <is>
          <t>Assets</t>
        </is>
      </c>
      <c r="D1552" s="3" t="inlineStr">
        <is>
          <t>7620/640</t>
        </is>
      </c>
      <c r="E1552" s="3" t="inlineStr">
        <is>
          <t>HF CIP Project costs</t>
        </is>
      </c>
      <c r="F1552" s="3" t="n">
        <v>0</v>
      </c>
      <c r="G1552" s="3" t="n">
        <v>622274.51</v>
      </c>
    </row>
    <row r="1553">
      <c r="A1553" s="3" t="inlineStr">
        <is>
          <t>Heron Fields (Pty) Ltd</t>
        </is>
      </c>
      <c r="B1553" s="4" t="n">
        <v>44773</v>
      </c>
      <c r="C1553" s="3" t="inlineStr">
        <is>
          <t>Assets</t>
        </is>
      </c>
      <c r="D1553" s="3" t="inlineStr">
        <is>
          <t>7620/650</t>
        </is>
      </c>
      <c r="E1553" s="3" t="inlineStr">
        <is>
          <t>HF CIP Electrical</t>
        </is>
      </c>
      <c r="F1553" s="3" t="n">
        <v>222074.07</v>
      </c>
      <c r="G1553" s="3" t="n">
        <v>697808.24</v>
      </c>
    </row>
    <row r="1554">
      <c r="A1554" s="3" t="inlineStr">
        <is>
          <t>Heron View (Pty) Ltd</t>
        </is>
      </c>
      <c r="B1554" s="4" t="n">
        <v>44773</v>
      </c>
      <c r="C1554" s="3" t="inlineStr">
        <is>
          <t>Assets</t>
        </is>
      </c>
      <c r="D1554" s="3" t="inlineStr">
        <is>
          <t>7620/660</t>
        </is>
      </c>
      <c r="E1554" s="3" t="inlineStr">
        <is>
          <t>HV CIP Health &amp; Safety</t>
        </is>
      </c>
      <c r="F1554" s="3" t="n">
        <v>7400</v>
      </c>
      <c r="G1554" s="3" t="n">
        <v>8500</v>
      </c>
    </row>
    <row r="1555">
      <c r="A1555" s="3" t="inlineStr">
        <is>
          <t>Heron Fields (Pty) Ltd</t>
        </is>
      </c>
      <c r="B1555" s="4" t="n">
        <v>44773</v>
      </c>
      <c r="C1555" s="3" t="inlineStr">
        <is>
          <t>Assets</t>
        </is>
      </c>
      <c r="D1555" s="3" t="inlineStr">
        <is>
          <t>7620/700</t>
        </is>
      </c>
      <c r="E1555" s="3" t="inlineStr">
        <is>
          <t>HF CIP - P&amp;G recoveries - Endulini&amp;Heron Fields/View</t>
        </is>
      </c>
      <c r="F1555" s="3" t="n">
        <v>3023829.42</v>
      </c>
      <c r="G1555" s="3" t="n">
        <v>3023829.42</v>
      </c>
    </row>
    <row r="1556">
      <c r="A1556" s="3" t="inlineStr">
        <is>
          <t>Cape Projects Construction (Pty) Ltd</t>
        </is>
      </c>
      <c r="B1556" s="4" t="n">
        <v>44773</v>
      </c>
      <c r="C1556" s="3" t="inlineStr">
        <is>
          <t>Assets</t>
        </is>
      </c>
      <c r="D1556" s="3" t="inlineStr">
        <is>
          <t>7800/000</t>
        </is>
      </c>
      <c r="E1556" s="3" t="inlineStr">
        <is>
          <t>Deposits paid</t>
        </is>
      </c>
      <c r="F1556" s="3" t="n">
        <v>0</v>
      </c>
      <c r="G1556" s="3" t="n">
        <v>6875.45</v>
      </c>
    </row>
    <row r="1557">
      <c r="A1557" s="3" t="inlineStr">
        <is>
          <t>Cape Projects Construction (Pty) Ltd</t>
        </is>
      </c>
      <c r="B1557" s="4" t="n">
        <v>44773</v>
      </c>
      <c r="C1557" s="3" t="inlineStr">
        <is>
          <t>Assets</t>
        </is>
      </c>
      <c r="D1557" s="3" t="inlineStr">
        <is>
          <t>8000/000</t>
        </is>
      </c>
      <c r="E1557" s="3" t="inlineStr">
        <is>
          <t>Customer Control Account</t>
        </is>
      </c>
      <c r="F1557" s="3" t="n">
        <v>-14232326.73</v>
      </c>
      <c r="G1557" s="3" t="n">
        <v>5343097.25</v>
      </c>
    </row>
    <row r="1558">
      <c r="A1558" s="3" t="inlineStr">
        <is>
          <t>Cape Projects Construction (Pty) Ltd</t>
        </is>
      </c>
      <c r="B1558" s="4" t="n">
        <v>44773</v>
      </c>
      <c r="C1558" s="3" t="inlineStr">
        <is>
          <t>Assets</t>
        </is>
      </c>
      <c r="D1558" s="3" t="inlineStr">
        <is>
          <t>8200/010</t>
        </is>
      </c>
      <c r="E1558" s="3" t="inlineStr">
        <is>
          <t>Prepayments / Prepaid Expenses</t>
        </is>
      </c>
      <c r="F1558" s="3" t="n">
        <v>-5586.53</v>
      </c>
      <c r="G1558" s="3" t="n">
        <v>21755.51</v>
      </c>
    </row>
    <row r="1559">
      <c r="A1559" s="3" t="inlineStr">
        <is>
          <t>Heron Fields (Pty) Ltd</t>
        </is>
      </c>
      <c r="B1559" s="4" t="n">
        <v>44773</v>
      </c>
      <c r="C1559" s="3" t="inlineStr">
        <is>
          <t>Assets</t>
        </is>
      </c>
      <c r="D1559" s="3" t="inlineStr">
        <is>
          <t>8400/000</t>
        </is>
      </c>
      <c r="E1559" s="3" t="inlineStr">
        <is>
          <t>RMB - 62882379087</t>
        </is>
      </c>
      <c r="F1559" s="3" t="n">
        <v>-5169262.11</v>
      </c>
      <c r="G1559" s="3" t="n">
        <v>16285.19</v>
      </c>
    </row>
    <row r="1560">
      <c r="A1560" s="3" t="inlineStr">
        <is>
          <t>Cape Projects Construction (Pty) Ltd</t>
        </is>
      </c>
      <c r="B1560" s="4" t="n">
        <v>44773</v>
      </c>
      <c r="C1560" s="3" t="inlineStr">
        <is>
          <t>Assets</t>
        </is>
      </c>
      <c r="D1560" s="3" t="inlineStr">
        <is>
          <t>8400/000</t>
        </is>
      </c>
      <c r="E1560" s="3" t="inlineStr">
        <is>
          <t>RMB 62275138470</t>
        </is>
      </c>
      <c r="F1560" s="3" t="n">
        <v>104808.67</v>
      </c>
      <c r="G1560" s="3" t="n">
        <v>120910.31</v>
      </c>
    </row>
    <row r="1561">
      <c r="A1561" s="3" t="inlineStr">
        <is>
          <t>Cape Projects Construction (Pty) Ltd</t>
        </is>
      </c>
      <c r="B1561" s="4" t="n">
        <v>44773</v>
      </c>
      <c r="C1561" s="3" t="inlineStr">
        <is>
          <t>Assets</t>
        </is>
      </c>
      <c r="D1561" s="3" t="inlineStr">
        <is>
          <t>8420/000</t>
        </is>
      </c>
      <c r="E1561" s="3" t="inlineStr">
        <is>
          <t>Momentum Priv Acc RU502230981</t>
        </is>
      </c>
      <c r="F1561" s="3" t="n">
        <v>2.28</v>
      </c>
      <c r="G1561" s="3" t="n">
        <v>520.21</v>
      </c>
    </row>
    <row r="1562">
      <c r="A1562" s="3" t="inlineStr">
        <is>
          <t>Heron Fields (Pty) Ltd</t>
        </is>
      </c>
      <c r="B1562" s="4" t="n">
        <v>44773</v>
      </c>
      <c r="C1562" s="3" t="inlineStr">
        <is>
          <t>Assets</t>
        </is>
      </c>
      <c r="D1562" s="3" t="inlineStr">
        <is>
          <t>8430/000</t>
        </is>
      </c>
      <c r="E1562" s="3" t="inlineStr">
        <is>
          <t>Momentum Private Account RU502230151</t>
        </is>
      </c>
      <c r="F1562" s="3" t="n">
        <v>3.12</v>
      </c>
      <c r="G1562" s="3" t="n">
        <v>799.3200000000001</v>
      </c>
    </row>
    <row r="1563">
      <c r="A1563" s="3" t="inlineStr">
        <is>
          <t>Heron Fields (Pty) Ltd</t>
        </is>
      </c>
      <c r="B1563" s="4" t="n">
        <v>44773</v>
      </c>
      <c r="C1563" s="3" t="inlineStr">
        <is>
          <t>Assets</t>
        </is>
      </c>
      <c r="D1563" s="3" t="inlineStr">
        <is>
          <t>8440/000</t>
        </is>
      </c>
      <c r="E1563" s="3" t="inlineStr">
        <is>
          <t>Momentum Investors Account RU502229930</t>
        </is>
      </c>
      <c r="F1563" s="3" t="n">
        <v>2702937.81</v>
      </c>
      <c r="G1563" s="3" t="n">
        <v>12725035.56</v>
      </c>
    </row>
    <row r="1564">
      <c r="A1564" s="3" t="inlineStr">
        <is>
          <t>Heron Fields (Pty) Ltd</t>
        </is>
      </c>
      <c r="B1564" s="4" t="n">
        <v>44773</v>
      </c>
      <c r="C1564" s="3" t="inlineStr">
        <is>
          <t>Assets</t>
        </is>
      </c>
      <c r="D1564" s="3" t="inlineStr">
        <is>
          <t>8500/000</t>
        </is>
      </c>
      <c r="E1564" s="3" t="inlineStr">
        <is>
          <t>Laas and Scholtz - Funds in transit</t>
        </is>
      </c>
      <c r="F1564" s="3" t="n">
        <v>-500000</v>
      </c>
      <c r="G1564" s="3" t="n">
        <v>0</v>
      </c>
    </row>
    <row r="1565">
      <c r="A1565" s="3" t="inlineStr">
        <is>
          <t>Cape Projects Construction (Pty) Ltd</t>
        </is>
      </c>
      <c r="B1565" s="4" t="n">
        <v>44773</v>
      </c>
      <c r="C1565" s="3" t="inlineStr">
        <is>
          <t>Liabilities</t>
        </is>
      </c>
      <c r="D1565" s="3" t="inlineStr">
        <is>
          <t>860</t>
        </is>
      </c>
      <c r="E1565" s="3" t="inlineStr">
        <is>
          <t>Rounding</t>
        </is>
      </c>
      <c r="F1565" s="3" t="n">
        <v>0</v>
      </c>
      <c r="G1565" s="3" t="n">
        <v>-0.04</v>
      </c>
    </row>
    <row r="1566">
      <c r="A1566" s="3" t="inlineStr">
        <is>
          <t>Cape Projects Construction (Pty) Ltd</t>
        </is>
      </c>
      <c r="B1566" s="4" t="n">
        <v>44773</v>
      </c>
      <c r="C1566" s="3" t="inlineStr">
        <is>
          <t>Liabilities</t>
        </is>
      </c>
      <c r="D1566" s="3" t="inlineStr">
        <is>
          <t>9000/000</t>
        </is>
      </c>
      <c r="E1566" s="3" t="inlineStr">
        <is>
          <t>Supplier Control Account</t>
        </is>
      </c>
      <c r="F1566" s="3" t="n">
        <v>1427893.15</v>
      </c>
      <c r="G1566" s="3" t="n">
        <v>-3605812.55</v>
      </c>
    </row>
    <row r="1567">
      <c r="A1567" s="3" t="inlineStr">
        <is>
          <t>Heron Fields (Pty) Ltd</t>
        </is>
      </c>
      <c r="B1567" s="4" t="n">
        <v>44773</v>
      </c>
      <c r="C1567" s="3" t="inlineStr">
        <is>
          <t>Liabilities</t>
        </is>
      </c>
      <c r="D1567" s="3" t="inlineStr">
        <is>
          <t>9000/000</t>
        </is>
      </c>
      <c r="E1567" s="3" t="inlineStr">
        <is>
          <t>Supplier Control Account</t>
        </is>
      </c>
      <c r="F1567" s="3" t="n">
        <v>-9726676.970000001</v>
      </c>
      <c r="G1567" s="3" t="n">
        <v>-86143175.06999999</v>
      </c>
    </row>
    <row r="1568">
      <c r="A1568" s="3" t="inlineStr">
        <is>
          <t>Heron View (Pty) Ltd</t>
        </is>
      </c>
      <c r="B1568" s="4" t="n">
        <v>44773</v>
      </c>
      <c r="C1568" s="3" t="inlineStr">
        <is>
          <t>Liabilities</t>
        </is>
      </c>
      <c r="D1568" s="3" t="inlineStr">
        <is>
          <t>9000/000</t>
        </is>
      </c>
      <c r="E1568" s="3" t="inlineStr">
        <is>
          <t>Supplier Control Account</t>
        </is>
      </c>
      <c r="F1568" s="3" t="n">
        <v>-7400</v>
      </c>
      <c r="G1568" s="3" t="n">
        <v>1250</v>
      </c>
    </row>
    <row r="1569">
      <c r="A1569" s="3" t="inlineStr">
        <is>
          <t>Cape Projects Construction (Pty) Ltd</t>
        </is>
      </c>
      <c r="B1569" s="4" t="n">
        <v>44773</v>
      </c>
      <c r="C1569" s="3" t="inlineStr">
        <is>
          <t>Liabilities</t>
        </is>
      </c>
      <c r="D1569" s="3" t="inlineStr">
        <is>
          <t>9200/000</t>
        </is>
      </c>
      <c r="E1569" s="3" t="inlineStr">
        <is>
          <t>Sundry Suppliers</t>
        </is>
      </c>
      <c r="F1569" s="3" t="n">
        <v>0</v>
      </c>
      <c r="G1569" s="3" t="n">
        <v>1186.13</v>
      </c>
    </row>
    <row r="1570">
      <c r="A1570" s="3" t="inlineStr">
        <is>
          <t>Cape Projects Construction (Pty) Ltd</t>
        </is>
      </c>
      <c r="B1570" s="4" t="n">
        <v>44773</v>
      </c>
      <c r="C1570" s="3" t="inlineStr">
        <is>
          <t>Liabilities</t>
        </is>
      </c>
      <c r="D1570" s="3" t="inlineStr">
        <is>
          <t>9250/010</t>
        </is>
      </c>
      <c r="E1570" s="3" t="inlineStr">
        <is>
          <t>SALARY CONTROL</t>
        </is>
      </c>
      <c r="F1570" s="3" t="n">
        <v>0</v>
      </c>
      <c r="G1570" s="3" t="n">
        <v>20758.55</v>
      </c>
    </row>
    <row r="1571">
      <c r="A1571" s="3" t="inlineStr">
        <is>
          <t>Cape Projects Construction (Pty) Ltd</t>
        </is>
      </c>
      <c r="B1571" s="4" t="n">
        <v>44773</v>
      </c>
      <c r="C1571" s="3" t="inlineStr">
        <is>
          <t>Liabilities</t>
        </is>
      </c>
      <c r="D1571" s="3" t="inlineStr">
        <is>
          <t>9250/020</t>
        </is>
      </c>
      <c r="E1571" s="3" t="inlineStr">
        <is>
          <t>PAYE, UIF AND SDL CONTROL</t>
        </is>
      </c>
      <c r="F1571" s="3" t="n">
        <v>11600.01</v>
      </c>
      <c r="G1571" s="3" t="n">
        <v>-12918.25</v>
      </c>
    </row>
    <row r="1572">
      <c r="A1572" s="3" t="inlineStr">
        <is>
          <t>Cape Projects Construction (Pty) Ltd</t>
        </is>
      </c>
      <c r="B1572" s="4" t="n">
        <v>44773</v>
      </c>
      <c r="C1572" s="3" t="inlineStr">
        <is>
          <t>Liabilities</t>
        </is>
      </c>
      <c r="D1572" s="3" t="inlineStr">
        <is>
          <t>9250/030</t>
        </is>
      </c>
      <c r="E1572" s="3" t="inlineStr">
        <is>
          <t>BIBC CONTROL</t>
        </is>
      </c>
      <c r="F1572" s="3" t="n">
        <v>-12992.22</v>
      </c>
      <c r="G1572" s="3" t="n">
        <v>-26405.96</v>
      </c>
    </row>
    <row r="1573">
      <c r="A1573" s="3" t="inlineStr">
        <is>
          <t>Cape Projects Construction (Pty) Ltd</t>
        </is>
      </c>
      <c r="B1573" s="4" t="n">
        <v>44773</v>
      </c>
      <c r="C1573" s="3" t="inlineStr">
        <is>
          <t>Liabilities</t>
        </is>
      </c>
      <c r="D1573" s="3" t="inlineStr">
        <is>
          <t>9500/000</t>
        </is>
      </c>
      <c r="E1573" s="3" t="inlineStr">
        <is>
          <t>VAT Control Account</t>
        </is>
      </c>
      <c r="F1573" s="3" t="n">
        <v>1418338.75</v>
      </c>
      <c r="G1573" s="3" t="n">
        <v>-1768568.46</v>
      </c>
    </row>
    <row r="1574">
      <c r="A1574" s="3" t="inlineStr">
        <is>
          <t>Heron Fields (Pty) Ltd</t>
        </is>
      </c>
      <c r="B1574" s="4" t="n">
        <v>44773</v>
      </c>
      <c r="C1574" s="3" t="inlineStr">
        <is>
          <t>Liabilities</t>
        </is>
      </c>
      <c r="D1574" s="3" t="inlineStr">
        <is>
          <t>9500/000</t>
        </is>
      </c>
      <c r="E1574" s="3" t="inlineStr">
        <is>
          <t>Vat / Tax Control Account</t>
        </is>
      </c>
      <c r="F1574" s="3" t="n">
        <v>1522406.54</v>
      </c>
      <c r="G1574" s="3" t="n">
        <v>3833846.98</v>
      </c>
    </row>
    <row r="1575">
      <c r="A1575" s="3" t="inlineStr">
        <is>
          <t>Heron View (Pty) Ltd</t>
        </is>
      </c>
      <c r="B1575" s="4" t="n">
        <v>44773</v>
      </c>
      <c r="C1575" s="3" t="inlineStr">
        <is>
          <t>Liabilities</t>
        </is>
      </c>
      <c r="D1575" s="3" t="inlineStr">
        <is>
          <t>9500/000</t>
        </is>
      </c>
      <c r="E1575" s="3" t="inlineStr">
        <is>
          <t>Vat / Tax Control Account</t>
        </is>
      </c>
      <c r="F1575" s="3" t="n">
        <v>90</v>
      </c>
      <c r="G1575" s="3" t="n">
        <v>185439.29</v>
      </c>
    </row>
    <row r="1576">
      <c r="A1576" s="3" t="inlineStr">
        <is>
          <t>Cape Projects Construction (Pty) Ltd</t>
        </is>
      </c>
      <c r="B1576" s="4" t="n">
        <v>44773</v>
      </c>
      <c r="C1576" s="3" t="inlineStr">
        <is>
          <t>Liabilities</t>
        </is>
      </c>
      <c r="D1576" s="3" t="inlineStr">
        <is>
          <t>9990/000</t>
        </is>
      </c>
      <c r="E1576" s="3" t="inlineStr">
        <is>
          <t>Opening Balance / Suspense Account</t>
        </is>
      </c>
      <c r="F1576" s="3" t="n">
        <v>0</v>
      </c>
      <c r="G1576" s="3" t="n">
        <v>80</v>
      </c>
    </row>
    <row r="1577">
      <c r="A1577" s="3" t="inlineStr">
        <is>
          <t>Cape Projects Construction (Pty) Ltd</t>
        </is>
      </c>
      <c r="B1577" s="4" t="n">
        <v>44773</v>
      </c>
      <c r="C1577" s="3" t="inlineStr">
        <is>
          <t>Liabilities</t>
        </is>
      </c>
      <c r="D1577" s="3" t="inlineStr">
        <is>
          <t>B/S</t>
        </is>
      </c>
      <c r="E1577" s="3" t="inlineStr">
        <is>
          <t>Taxation Payable</t>
        </is>
      </c>
      <c r="F1577" s="3" t="n">
        <v>0</v>
      </c>
      <c r="G1577" s="3" t="n">
        <v>1869.8</v>
      </c>
    </row>
    <row r="1578">
      <c r="A1578" s="3" t="inlineStr">
        <is>
          <t>Cape Projects Construction (Pty) Ltd</t>
        </is>
      </c>
      <c r="B1578" s="4" t="n">
        <v>44773</v>
      </c>
      <c r="C1578" s="3" t="inlineStr">
        <is>
          <t>Liabilities</t>
        </is>
      </c>
      <c r="D1578" s="3" t="inlineStr">
        <is>
          <t>TEMP/ACC</t>
        </is>
      </c>
      <c r="E1578" s="3" t="inlineStr">
        <is>
          <t>Conversion Account</t>
        </is>
      </c>
      <c r="F1578" s="3" t="n">
        <v>0</v>
      </c>
      <c r="G1578" s="3" t="n">
        <v>-254.99</v>
      </c>
    </row>
    <row r="1579">
      <c r="A1579" s="3" t="inlineStr">
        <is>
          <t>Cape Projects Construction (Pty) Ltd</t>
        </is>
      </c>
      <c r="B1579" s="4" t="n">
        <v>44804</v>
      </c>
      <c r="C1579" s="3" t="inlineStr">
        <is>
          <t>Revenue</t>
        </is>
      </c>
      <c r="D1579" s="3" t="inlineStr">
        <is>
          <t>1040/100</t>
        </is>
      </c>
      <c r="E1579" s="3" t="inlineStr">
        <is>
          <t>Fees - Construction - Heron</t>
        </is>
      </c>
      <c r="F1579" s="3" t="n">
        <v>-7577926.33</v>
      </c>
      <c r="G1579" s="3" t="n">
        <v>-24761829.53</v>
      </c>
    </row>
    <row r="1580">
      <c r="A1580" s="3" t="inlineStr">
        <is>
          <t>Cape Projects Construction (Pty) Ltd</t>
        </is>
      </c>
      <c r="B1580" s="4" t="n">
        <v>44804</v>
      </c>
      <c r="C1580" s="3" t="inlineStr">
        <is>
          <t>Revenue</t>
        </is>
      </c>
      <c r="D1580" s="3" t="inlineStr">
        <is>
          <t>1050/030</t>
        </is>
      </c>
      <c r="E1580" s="3" t="inlineStr">
        <is>
          <t>Fees - Construction - Endulini</t>
        </is>
      </c>
      <c r="F1580" s="3" t="n">
        <v>12260.87</v>
      </c>
      <c r="G1580" s="3" t="n">
        <v>-12046638.06</v>
      </c>
    </row>
    <row r="1581">
      <c r="A1581" s="3" t="inlineStr">
        <is>
          <t>Cape Projects Construction (Pty) Ltd</t>
        </is>
      </c>
      <c r="B1581" s="4" t="n">
        <v>44804</v>
      </c>
      <c r="C1581" s="3" t="inlineStr">
        <is>
          <t>Revenue</t>
        </is>
      </c>
      <c r="D1581" s="3" t="inlineStr">
        <is>
          <t>1051/100</t>
        </is>
      </c>
      <c r="E1581" s="3" t="inlineStr">
        <is>
          <t>Fees - Construction - Heron Fields</t>
        </is>
      </c>
      <c r="F1581" s="3" t="n">
        <v>0</v>
      </c>
      <c r="G1581" s="3" t="n">
        <v>-1782369.8</v>
      </c>
    </row>
    <row r="1582">
      <c r="A1582" s="3" t="inlineStr">
        <is>
          <t>Cape Projects Construction (Pty) Ltd</t>
        </is>
      </c>
      <c r="B1582" s="4" t="n">
        <v>44804</v>
      </c>
      <c r="C1582" s="3" t="inlineStr">
        <is>
          <t>Revenue</t>
        </is>
      </c>
      <c r="D1582" s="3" t="inlineStr">
        <is>
          <t>1051/200</t>
        </is>
      </c>
      <c r="E1582" s="3" t="inlineStr">
        <is>
          <t>Fees - Construction - Heron Fields P&amp;G</t>
        </is>
      </c>
      <c r="F1582" s="3" t="n">
        <v>0</v>
      </c>
      <c r="G1582" s="3" t="n">
        <v>1616.91</v>
      </c>
    </row>
    <row r="1583">
      <c r="A1583" s="3" t="inlineStr">
        <is>
          <t>Cape Projects Construction (Pty) Ltd</t>
        </is>
      </c>
      <c r="B1583" s="4" t="n">
        <v>44804</v>
      </c>
      <c r="C1583" s="3" t="inlineStr">
        <is>
          <t>Revenue</t>
        </is>
      </c>
      <c r="D1583" s="3" t="inlineStr">
        <is>
          <t>1060/000</t>
        </is>
      </c>
      <c r="E1583" s="3" t="inlineStr">
        <is>
          <t>Insurance recovery</t>
        </is>
      </c>
      <c r="F1583" s="3" t="n">
        <v>0</v>
      </c>
      <c r="G1583" s="3" t="n">
        <v>-2839.7</v>
      </c>
    </row>
    <row r="1584">
      <c r="A1584" s="3" t="inlineStr">
        <is>
          <t>Cape Projects Construction (Pty) Ltd</t>
        </is>
      </c>
      <c r="B1584" s="4" t="n">
        <v>44804</v>
      </c>
      <c r="C1584" s="3" t="inlineStr">
        <is>
          <t>Revenue</t>
        </is>
      </c>
      <c r="D1584" s="3" t="inlineStr">
        <is>
          <t>1070/000</t>
        </is>
      </c>
      <c r="E1584" s="3" t="inlineStr">
        <is>
          <t>Rent - CT Office</t>
        </is>
      </c>
      <c r="F1584" s="3" t="n">
        <v>-3490.94</v>
      </c>
      <c r="G1584" s="3" t="n">
        <v>-20945.64</v>
      </c>
    </row>
    <row r="1585">
      <c r="A1585" s="3" t="inlineStr">
        <is>
          <t>Heron Fields (Pty) Ltd</t>
        </is>
      </c>
      <c r="B1585" s="4" t="n">
        <v>44804</v>
      </c>
      <c r="C1585" s="3" t="inlineStr">
        <is>
          <t>Expenses</t>
        </is>
      </c>
      <c r="D1585" s="3" t="inlineStr">
        <is>
          <t>2000/030</t>
        </is>
      </c>
      <c r="E1585" s="3" t="inlineStr">
        <is>
          <t>COS - Commission Heron Fields investors</t>
        </is>
      </c>
      <c r="F1585" s="3" t="n">
        <v>0</v>
      </c>
      <c r="G1585" s="3" t="n">
        <v>86956.52</v>
      </c>
    </row>
    <row r="1586">
      <c r="A1586" s="3" t="inlineStr">
        <is>
          <t>Heron Fields (Pty) Ltd</t>
        </is>
      </c>
      <c r="B1586" s="4" t="n">
        <v>44804</v>
      </c>
      <c r="C1586" s="3" t="inlineStr">
        <is>
          <t>Expenses</t>
        </is>
      </c>
      <c r="D1586" s="3" t="inlineStr">
        <is>
          <t>2000/040</t>
        </is>
      </c>
      <c r="E1586" s="3" t="inlineStr">
        <is>
          <t>COS - Legal Fees</t>
        </is>
      </c>
      <c r="F1586" s="3" t="n">
        <v>20693</v>
      </c>
      <c r="G1586" s="3" t="n">
        <v>20693</v>
      </c>
    </row>
    <row r="1587">
      <c r="A1587" s="3" t="inlineStr">
        <is>
          <t>Cape Projects Construction (Pty) Ltd</t>
        </is>
      </c>
      <c r="B1587" s="4" t="n">
        <v>44804</v>
      </c>
      <c r="C1587" s="3" t="inlineStr">
        <is>
          <t>Expenses</t>
        </is>
      </c>
      <c r="D1587" s="3" t="inlineStr">
        <is>
          <t>2005/200</t>
        </is>
      </c>
      <c r="E1587" s="3" t="inlineStr">
        <is>
          <t>COS - External Works</t>
        </is>
      </c>
      <c r="F1587" s="3" t="n">
        <v>0</v>
      </c>
      <c r="G1587" s="3" t="n">
        <v>957.28</v>
      </c>
    </row>
    <row r="1588">
      <c r="A1588" s="3" t="inlineStr">
        <is>
          <t>Cape Projects Construction (Pty) Ltd</t>
        </is>
      </c>
      <c r="B1588" s="4" t="n">
        <v>44804</v>
      </c>
      <c r="C1588" s="3" t="inlineStr">
        <is>
          <t>Expenses</t>
        </is>
      </c>
      <c r="D1588" s="3" t="inlineStr">
        <is>
          <t>2006/000</t>
        </is>
      </c>
      <c r="E1588" s="3" t="inlineStr">
        <is>
          <t>COS - Endulini Construction</t>
        </is>
      </c>
      <c r="F1588" s="3" t="n">
        <v>2141181.43</v>
      </c>
      <c r="G1588" s="3" t="n">
        <v>15858141.99</v>
      </c>
    </row>
    <row r="1589">
      <c r="A1589" s="3" t="inlineStr">
        <is>
          <t>Cape Projects Construction (Pty) Ltd</t>
        </is>
      </c>
      <c r="B1589" s="4" t="n">
        <v>44804</v>
      </c>
      <c r="C1589" s="3" t="inlineStr">
        <is>
          <t>Expenses</t>
        </is>
      </c>
      <c r="D1589" s="3" t="inlineStr">
        <is>
          <t>2006/100</t>
        </is>
      </c>
      <c r="E1589" s="3" t="inlineStr">
        <is>
          <t>COS - Endulini P and G</t>
        </is>
      </c>
      <c r="F1589" s="3" t="n">
        <v>106945.95</v>
      </c>
      <c r="G1589" s="3" t="n">
        <v>837666.0600000001</v>
      </c>
    </row>
    <row r="1590">
      <c r="A1590" s="3" t="inlineStr">
        <is>
          <t>Cape Projects Construction (Pty) Ltd</t>
        </is>
      </c>
      <c r="B1590" s="4" t="n">
        <v>44804</v>
      </c>
      <c r="C1590" s="3" t="inlineStr">
        <is>
          <t>Expenses</t>
        </is>
      </c>
      <c r="D1590" s="3" t="inlineStr">
        <is>
          <t>2006/200</t>
        </is>
      </c>
      <c r="E1590" s="3" t="inlineStr">
        <is>
          <t>COS - Insurance</t>
        </is>
      </c>
      <c r="F1590" s="3" t="n">
        <v>2719.44</v>
      </c>
      <c r="G1590" s="3" t="n">
        <v>29292.37</v>
      </c>
    </row>
    <row r="1591">
      <c r="A1591" s="3" t="inlineStr">
        <is>
          <t>Cape Projects Construction (Pty) Ltd</t>
        </is>
      </c>
      <c r="B1591" s="4" t="n">
        <v>44804</v>
      </c>
      <c r="C1591" s="3" t="inlineStr">
        <is>
          <t>Expenses</t>
        </is>
      </c>
      <c r="D1591" s="3" t="inlineStr">
        <is>
          <t>2006/300</t>
        </is>
      </c>
      <c r="E1591" s="3" t="inlineStr">
        <is>
          <t>COS - Endulini - Printing &amp; Stationary</t>
        </is>
      </c>
      <c r="F1591" s="3" t="n">
        <v>0</v>
      </c>
      <c r="G1591" s="3" t="n">
        <v>269.65</v>
      </c>
    </row>
    <row r="1592">
      <c r="A1592" s="3" t="inlineStr">
        <is>
          <t>Cape Projects Construction (Pty) Ltd</t>
        </is>
      </c>
      <c r="B1592" s="4" t="n">
        <v>44804</v>
      </c>
      <c r="C1592" s="3" t="inlineStr">
        <is>
          <t>Expenses</t>
        </is>
      </c>
      <c r="D1592" s="3" t="inlineStr">
        <is>
          <t>2006/350</t>
        </is>
      </c>
      <c r="E1592" s="3" t="inlineStr">
        <is>
          <t>COS - Endulini - Security</t>
        </is>
      </c>
      <c r="F1592" s="3" t="n">
        <v>0</v>
      </c>
      <c r="G1592" s="3" t="n">
        <v>11000</v>
      </c>
    </row>
    <row r="1593">
      <c r="A1593" s="3" t="inlineStr">
        <is>
          <t>Cape Projects Construction (Pty) Ltd</t>
        </is>
      </c>
      <c r="B1593" s="4" t="n">
        <v>44804</v>
      </c>
      <c r="C1593" s="3" t="inlineStr">
        <is>
          <t>Expenses</t>
        </is>
      </c>
      <c r="D1593" s="3" t="inlineStr">
        <is>
          <t>2006/400</t>
        </is>
      </c>
      <c r="E1593" s="3" t="inlineStr">
        <is>
          <t>COS - Endulini - Health &amp; Safety</t>
        </is>
      </c>
      <c r="F1593" s="3" t="n">
        <v>0</v>
      </c>
      <c r="G1593" s="3" t="n">
        <v>20000</v>
      </c>
    </row>
    <row r="1594">
      <c r="A1594" s="3" t="inlineStr">
        <is>
          <t>Cape Projects Construction (Pty) Ltd</t>
        </is>
      </c>
      <c r="B1594" s="4" t="n">
        <v>44804</v>
      </c>
      <c r="C1594" s="3" t="inlineStr">
        <is>
          <t>Expenses</t>
        </is>
      </c>
      <c r="D1594" s="3" t="inlineStr">
        <is>
          <t>2006/700</t>
        </is>
      </c>
      <c r="E1594" s="3" t="inlineStr">
        <is>
          <t>COS - Endulini - Fuel</t>
        </is>
      </c>
      <c r="F1594" s="3" t="n">
        <v>0</v>
      </c>
      <c r="G1594" s="3" t="n">
        <v>2473.65</v>
      </c>
    </row>
    <row r="1595">
      <c r="A1595" s="3" t="inlineStr">
        <is>
          <t>Cape Projects Construction (Pty) Ltd</t>
        </is>
      </c>
      <c r="B1595" s="4" t="n">
        <v>44804</v>
      </c>
      <c r="C1595" s="3" t="inlineStr">
        <is>
          <t>Expenses</t>
        </is>
      </c>
      <c r="D1595" s="3" t="inlineStr">
        <is>
          <t>2006/800</t>
        </is>
      </c>
      <c r="E1595" s="3" t="inlineStr">
        <is>
          <t>COS - Endulini - Telephone &amp; Internet</t>
        </is>
      </c>
      <c r="F1595" s="3" t="n">
        <v>0</v>
      </c>
      <c r="G1595" s="3" t="n">
        <v>937.39</v>
      </c>
    </row>
    <row r="1596">
      <c r="A1596" s="3" t="inlineStr">
        <is>
          <t>Cape Projects Construction (Pty) Ltd</t>
        </is>
      </c>
      <c r="B1596" s="4" t="n">
        <v>44804</v>
      </c>
      <c r="C1596" s="3" t="inlineStr">
        <is>
          <t>Expenses</t>
        </is>
      </c>
      <c r="D1596" s="3" t="inlineStr">
        <is>
          <t>2007/000</t>
        </is>
      </c>
      <c r="E1596" s="3" t="inlineStr">
        <is>
          <t>COS - Repairs &amp; Maintenance - SW Southwark</t>
        </is>
      </c>
      <c r="F1596" s="3" t="n">
        <v>1539.13</v>
      </c>
      <c r="G1596" s="3" t="n">
        <v>3957.39</v>
      </c>
    </row>
    <row r="1597">
      <c r="A1597" s="3" t="inlineStr">
        <is>
          <t>Cape Projects Construction (Pty) Ltd</t>
        </is>
      </c>
      <c r="B1597" s="4" t="n">
        <v>44804</v>
      </c>
      <c r="C1597" s="3" t="inlineStr">
        <is>
          <t>Expenses</t>
        </is>
      </c>
      <c r="D1597" s="3" t="inlineStr">
        <is>
          <t>2011/300</t>
        </is>
      </c>
      <c r="E1597" s="3" t="inlineStr">
        <is>
          <t>COS - Heron Fields - Printing &amp; Stationary</t>
        </is>
      </c>
      <c r="F1597" s="3" t="n">
        <v>0</v>
      </c>
      <c r="G1597" s="3" t="n">
        <v>2952.7</v>
      </c>
    </row>
    <row r="1598">
      <c r="A1598" s="3" t="inlineStr">
        <is>
          <t>Cape Projects Construction (Pty) Ltd</t>
        </is>
      </c>
      <c r="B1598" s="4" t="n">
        <v>44804</v>
      </c>
      <c r="C1598" s="3" t="inlineStr">
        <is>
          <t>Expenses</t>
        </is>
      </c>
      <c r="D1598" s="3" t="inlineStr">
        <is>
          <t>2011/500</t>
        </is>
      </c>
      <c r="E1598" s="3" t="inlineStr">
        <is>
          <t>COS - Heron Fields - Construction</t>
        </is>
      </c>
      <c r="F1598" s="3" t="n">
        <v>4430835.97</v>
      </c>
      <c r="G1598" s="3" t="n">
        <v>17117891.53</v>
      </c>
    </row>
    <row r="1599">
      <c r="A1599" s="3" t="inlineStr">
        <is>
          <t>Cape Projects Construction (Pty) Ltd</t>
        </is>
      </c>
      <c r="B1599" s="4" t="n">
        <v>44804</v>
      </c>
      <c r="C1599" s="3" t="inlineStr">
        <is>
          <t>Expenses</t>
        </is>
      </c>
      <c r="D1599" s="3" t="inlineStr">
        <is>
          <t>2011/600</t>
        </is>
      </c>
      <c r="E1599" s="3" t="inlineStr">
        <is>
          <t>COS - Heron Fields - P &amp; G</t>
        </is>
      </c>
      <c r="F1599" s="3" t="n">
        <v>195931.27</v>
      </c>
      <c r="G1599" s="3" t="n">
        <v>1396447.32</v>
      </c>
    </row>
    <row r="1600">
      <c r="A1600" s="3" t="inlineStr">
        <is>
          <t>Cape Projects Construction (Pty) Ltd</t>
        </is>
      </c>
      <c r="B1600" s="4" t="n">
        <v>44804</v>
      </c>
      <c r="C1600" s="3" t="inlineStr">
        <is>
          <t>Expenses</t>
        </is>
      </c>
      <c r="D1600" s="3" t="inlineStr">
        <is>
          <t>2011/700</t>
        </is>
      </c>
      <c r="E1600" s="3" t="inlineStr">
        <is>
          <t>COS - Heron Fields - Health &amp; Safety</t>
        </is>
      </c>
      <c r="F1600" s="3" t="n">
        <v>0</v>
      </c>
      <c r="G1600" s="3" t="n">
        <v>22286.3</v>
      </c>
    </row>
    <row r="1601">
      <c r="A1601" s="3" t="inlineStr">
        <is>
          <t>Cape Projects Construction (Pty) Ltd</t>
        </is>
      </c>
      <c r="B1601" s="4" t="n">
        <v>44804</v>
      </c>
      <c r="C1601" s="3" t="inlineStr">
        <is>
          <t>Expenses</t>
        </is>
      </c>
      <c r="D1601" s="3" t="inlineStr">
        <is>
          <t>2011/900</t>
        </is>
      </c>
      <c r="E1601" s="3" t="inlineStr">
        <is>
          <t>COS - Heron - Internet</t>
        </is>
      </c>
      <c r="F1601" s="3" t="n">
        <v>607.83</v>
      </c>
      <c r="G1601" s="3" t="n">
        <v>3454.3</v>
      </c>
    </row>
    <row r="1602">
      <c r="A1602" s="3" t="inlineStr">
        <is>
          <t>Cape Projects Construction (Pty) Ltd</t>
        </is>
      </c>
      <c r="B1602" s="4" t="n">
        <v>44804</v>
      </c>
      <c r="C1602" s="3" t="inlineStr">
        <is>
          <t>Expenses</t>
        </is>
      </c>
      <c r="D1602" s="3" t="inlineStr">
        <is>
          <t>2011/950</t>
        </is>
      </c>
      <c r="E1602" s="3" t="inlineStr">
        <is>
          <t>COS - Heron Fields - Security</t>
        </is>
      </c>
      <c r="F1602" s="3" t="n">
        <v>0</v>
      </c>
      <c r="G1602" s="3" t="n">
        <v>20565.22</v>
      </c>
    </row>
    <row r="1603">
      <c r="A1603" s="3" t="inlineStr">
        <is>
          <t>Cape Projects Construction (Pty) Ltd</t>
        </is>
      </c>
      <c r="B1603" s="4" t="n">
        <v>44804</v>
      </c>
      <c r="C1603" s="3" t="inlineStr">
        <is>
          <t>Expenses</t>
        </is>
      </c>
      <c r="D1603" s="3" t="inlineStr">
        <is>
          <t>2012/003</t>
        </is>
      </c>
      <c r="E1603" s="3" t="inlineStr">
        <is>
          <t>COS - Heron View - P&amp;G</t>
        </is>
      </c>
      <c r="F1603" s="3" t="n">
        <v>13772.72</v>
      </c>
      <c r="G1603" s="3" t="n">
        <v>19687.5</v>
      </c>
    </row>
    <row r="1604">
      <c r="A1604" s="3" t="inlineStr">
        <is>
          <t>Cape Projects Construction (Pty) Ltd</t>
        </is>
      </c>
      <c r="B1604" s="4" t="n">
        <v>44804</v>
      </c>
      <c r="C1604" s="3" t="inlineStr">
        <is>
          <t>Revenue</t>
        </is>
      </c>
      <c r="D1604" s="3" t="inlineStr">
        <is>
          <t>2750/000</t>
        </is>
      </c>
      <c r="E1604" s="3" t="inlineStr">
        <is>
          <t>Interest Received - FNB</t>
        </is>
      </c>
      <c r="F1604" s="3" t="n">
        <v>-107.93</v>
      </c>
      <c r="G1604" s="3" t="n">
        <v>-190.71</v>
      </c>
    </row>
    <row r="1605">
      <c r="A1605" s="3" t="inlineStr">
        <is>
          <t>Cape Projects Construction (Pty) Ltd</t>
        </is>
      </c>
      <c r="B1605" s="4" t="n">
        <v>44804</v>
      </c>
      <c r="C1605" s="3" t="inlineStr">
        <is>
          <t>Revenue</t>
        </is>
      </c>
      <c r="D1605" s="3" t="inlineStr">
        <is>
          <t>2751/001</t>
        </is>
      </c>
      <c r="E1605" s="3" t="inlineStr">
        <is>
          <t>Interest received - Momentum</t>
        </is>
      </c>
      <c r="F1605" s="3" t="n">
        <v>-2.39</v>
      </c>
      <c r="G1605" s="3" t="n">
        <v>-12.96</v>
      </c>
    </row>
    <row r="1606">
      <c r="A1606" s="3" t="inlineStr">
        <is>
          <t>Heron Fields (Pty) Ltd</t>
        </is>
      </c>
      <c r="B1606" s="4" t="n">
        <v>44804</v>
      </c>
      <c r="C1606" s="3" t="inlineStr">
        <is>
          <t>Revenue</t>
        </is>
      </c>
      <c r="D1606" s="3" t="inlineStr">
        <is>
          <t>2755/001</t>
        </is>
      </c>
      <c r="E1606" s="3" t="inlineStr">
        <is>
          <t>Interest Received - Momentum</t>
        </is>
      </c>
      <c r="F1606" s="3" t="n">
        <v>-49013.7</v>
      </c>
      <c r="G1606" s="3" t="n">
        <v>-220149.92</v>
      </c>
    </row>
    <row r="1607">
      <c r="A1607" s="3" t="inlineStr">
        <is>
          <t>Cape Projects Construction (Pty) Ltd</t>
        </is>
      </c>
      <c r="B1607" s="4" t="n">
        <v>44804</v>
      </c>
      <c r="C1607" s="3" t="inlineStr">
        <is>
          <t>Expenses</t>
        </is>
      </c>
      <c r="D1607" s="3" t="inlineStr">
        <is>
          <t>3002/000</t>
        </is>
      </c>
      <c r="E1607" s="3" t="inlineStr">
        <is>
          <t>Accounting Fees - Audit</t>
        </is>
      </c>
      <c r="F1607" s="3" t="n">
        <v>0</v>
      </c>
      <c r="G1607" s="3" t="n">
        <v>10600</v>
      </c>
    </row>
    <row r="1608">
      <c r="A1608" s="3" t="inlineStr">
        <is>
          <t>Cape Projects Construction (Pty) Ltd</t>
        </is>
      </c>
      <c r="B1608" s="4" t="n">
        <v>44804</v>
      </c>
      <c r="C1608" s="3" t="inlineStr">
        <is>
          <t>Expenses</t>
        </is>
      </c>
      <c r="D1608" s="3" t="inlineStr">
        <is>
          <t>3020/100</t>
        </is>
      </c>
      <c r="E1608" s="3" t="inlineStr">
        <is>
          <t>Admin - Subcontractors</t>
        </is>
      </c>
      <c r="F1608" s="3" t="n">
        <v>0</v>
      </c>
      <c r="G1608" s="3" t="n">
        <v>14139.13</v>
      </c>
    </row>
    <row r="1609">
      <c r="A1609" s="3" t="inlineStr">
        <is>
          <t>Cape Projects Construction (Pty) Ltd</t>
        </is>
      </c>
      <c r="B1609" s="4" t="n">
        <v>44804</v>
      </c>
      <c r="C1609" s="3" t="inlineStr">
        <is>
          <t>Expenses</t>
        </is>
      </c>
      <c r="D1609" s="3" t="inlineStr">
        <is>
          <t>3050/000</t>
        </is>
      </c>
      <c r="E1609" s="3" t="inlineStr">
        <is>
          <t>Advertising _AND_ Promotions</t>
        </is>
      </c>
      <c r="F1609" s="3" t="n">
        <v>0</v>
      </c>
      <c r="G1609" s="3" t="n">
        <v>687.5</v>
      </c>
    </row>
    <row r="1610">
      <c r="A1610" s="3" t="inlineStr">
        <is>
          <t>Heron Fields (Pty) Ltd</t>
        </is>
      </c>
      <c r="B1610" s="4" t="n">
        <v>44804</v>
      </c>
      <c r="C1610" s="3" t="inlineStr">
        <is>
          <t>Expenses</t>
        </is>
      </c>
      <c r="D1610" s="3" t="inlineStr">
        <is>
          <t>3050/000</t>
        </is>
      </c>
      <c r="E1610" s="3" t="inlineStr">
        <is>
          <t>Advertising _AND_ Promotions</t>
        </is>
      </c>
      <c r="F1610" s="3" t="n">
        <v>31550</v>
      </c>
      <c r="G1610" s="3" t="n">
        <v>94957.86</v>
      </c>
    </row>
    <row r="1611">
      <c r="A1611" s="3" t="inlineStr">
        <is>
          <t>Heron Fields (Pty) Ltd</t>
        </is>
      </c>
      <c r="B1611" s="4" t="n">
        <v>44804</v>
      </c>
      <c r="C1611" s="3" t="inlineStr">
        <is>
          <t>Expenses</t>
        </is>
      </c>
      <c r="D1611" s="3" t="inlineStr">
        <is>
          <t>3050/100</t>
        </is>
      </c>
      <c r="E1611" s="3" t="inlineStr">
        <is>
          <t>Advertising - Property24</t>
        </is>
      </c>
      <c r="F1611" s="3" t="n">
        <v>11556</v>
      </c>
      <c r="G1611" s="3" t="n">
        <v>69336</v>
      </c>
    </row>
    <row r="1612">
      <c r="A1612" s="3" t="inlineStr">
        <is>
          <t>Cape Projects Construction (Pty) Ltd</t>
        </is>
      </c>
      <c r="B1612" s="4" t="n">
        <v>44804</v>
      </c>
      <c r="C1612" s="3" t="inlineStr">
        <is>
          <t>Expenses</t>
        </is>
      </c>
      <c r="D1612" s="3" t="inlineStr">
        <is>
          <t>3050/450</t>
        </is>
      </c>
      <c r="E1612" s="3" t="inlineStr">
        <is>
          <t>Advertising - Other</t>
        </is>
      </c>
      <c r="F1612" s="3" t="n">
        <v>0</v>
      </c>
      <c r="G1612" s="3" t="n">
        <v>137.5</v>
      </c>
    </row>
    <row r="1613">
      <c r="A1613" s="3" t="inlineStr">
        <is>
          <t>Cape Projects Construction (Pty) Ltd</t>
        </is>
      </c>
      <c r="B1613" s="4" t="n">
        <v>44804</v>
      </c>
      <c r="C1613" s="3" t="inlineStr">
        <is>
          <t>Expenses</t>
        </is>
      </c>
      <c r="D1613" s="3" t="inlineStr">
        <is>
          <t>3200/000</t>
        </is>
      </c>
      <c r="E1613" s="3" t="inlineStr">
        <is>
          <t>Bank Charges</t>
        </is>
      </c>
      <c r="F1613" s="3" t="n">
        <v>2660.91</v>
      </c>
      <c r="G1613" s="3" t="n">
        <v>17562.58</v>
      </c>
    </row>
    <row r="1614">
      <c r="A1614" s="3" t="inlineStr">
        <is>
          <t>Heron Fields (Pty) Ltd</t>
        </is>
      </c>
      <c r="B1614" s="4" t="n">
        <v>44804</v>
      </c>
      <c r="C1614" s="3" t="inlineStr">
        <is>
          <t>Expenses</t>
        </is>
      </c>
      <c r="D1614" s="3" t="inlineStr">
        <is>
          <t>3200/000</t>
        </is>
      </c>
      <c r="E1614" s="3" t="inlineStr">
        <is>
          <t>Bank Charges</t>
        </is>
      </c>
      <c r="F1614" s="3" t="n">
        <v>832.4299999999999</v>
      </c>
      <c r="G1614" s="3" t="n">
        <v>4750.18</v>
      </c>
    </row>
    <row r="1615">
      <c r="A1615" s="3" t="inlineStr">
        <is>
          <t>Cape Projects Construction (Pty) Ltd</t>
        </is>
      </c>
      <c r="B1615" s="4" t="n">
        <v>44804</v>
      </c>
      <c r="C1615" s="3" t="inlineStr">
        <is>
          <t>Expenses</t>
        </is>
      </c>
      <c r="D1615" s="3" t="inlineStr">
        <is>
          <t>3250/000</t>
        </is>
      </c>
      <c r="E1615" s="3" t="inlineStr">
        <is>
          <t>Cleaning</t>
        </is>
      </c>
      <c r="F1615" s="3" t="n">
        <v>0</v>
      </c>
      <c r="G1615" s="3" t="n">
        <v>1986.89</v>
      </c>
    </row>
    <row r="1616">
      <c r="A1616" s="3" t="inlineStr">
        <is>
          <t>Cape Projects Construction (Pty) Ltd</t>
        </is>
      </c>
      <c r="B1616" s="4" t="n">
        <v>44804</v>
      </c>
      <c r="C1616" s="3" t="inlineStr">
        <is>
          <t>Expenses</t>
        </is>
      </c>
      <c r="D1616" s="3" t="inlineStr">
        <is>
          <t>3256/000</t>
        </is>
      </c>
      <c r="E1616" s="3" t="inlineStr">
        <is>
          <t>Cell Phone - Nick Morgan</t>
        </is>
      </c>
      <c r="F1616" s="3" t="n">
        <v>662.7</v>
      </c>
      <c r="G1616" s="3" t="n">
        <v>3923.17</v>
      </c>
    </row>
    <row r="1617">
      <c r="A1617" s="3" t="inlineStr">
        <is>
          <t>Cape Projects Construction (Pty) Ltd</t>
        </is>
      </c>
      <c r="B1617" s="4" t="n">
        <v>44804</v>
      </c>
      <c r="C1617" s="3" t="inlineStr">
        <is>
          <t>Expenses</t>
        </is>
      </c>
      <c r="D1617" s="3" t="inlineStr">
        <is>
          <t>3300/000</t>
        </is>
      </c>
      <c r="E1617" s="3" t="inlineStr">
        <is>
          <t>Computer Expenses</t>
        </is>
      </c>
      <c r="F1617" s="3" t="n">
        <v>550</v>
      </c>
      <c r="G1617" s="3" t="n">
        <v>1858.69</v>
      </c>
    </row>
    <row r="1618">
      <c r="A1618" s="3" t="inlineStr">
        <is>
          <t>Cape Projects Construction (Pty) Ltd</t>
        </is>
      </c>
      <c r="B1618" s="4" t="n">
        <v>44804</v>
      </c>
      <c r="C1618" s="3" t="inlineStr">
        <is>
          <t>Expenses</t>
        </is>
      </c>
      <c r="D1618" s="3" t="inlineStr">
        <is>
          <t>3300/100</t>
        </is>
      </c>
      <c r="E1618" s="3" t="inlineStr">
        <is>
          <t>Computer Exp - IT, Internet/Hosting Fee</t>
        </is>
      </c>
      <c r="F1618" s="3" t="n">
        <v>6930</v>
      </c>
      <c r="G1618" s="3" t="n">
        <v>25709</v>
      </c>
    </row>
    <row r="1619">
      <c r="A1619" s="3" t="inlineStr">
        <is>
          <t>Heron Fields (Pty) Ltd</t>
        </is>
      </c>
      <c r="B1619" s="4" t="n">
        <v>44804</v>
      </c>
      <c r="C1619" s="3" t="inlineStr">
        <is>
          <t>Expenses</t>
        </is>
      </c>
      <c r="D1619" s="3" t="inlineStr">
        <is>
          <t>3350/100</t>
        </is>
      </c>
      <c r="E1619" s="3" t="inlineStr">
        <is>
          <t>Consulting Fees - Admin and Finance</t>
        </is>
      </c>
      <c r="F1619" s="3" t="n">
        <v>83750</v>
      </c>
      <c r="G1619" s="3" t="n">
        <v>489440.68</v>
      </c>
    </row>
    <row r="1620">
      <c r="A1620" s="3" t="inlineStr">
        <is>
          <t>Cape Projects Construction (Pty) Ltd</t>
        </is>
      </c>
      <c r="B1620" s="4" t="n">
        <v>44804</v>
      </c>
      <c r="C1620" s="3" t="inlineStr">
        <is>
          <t>Expenses</t>
        </is>
      </c>
      <c r="D1620" s="3" t="inlineStr">
        <is>
          <t>3350/100</t>
        </is>
      </c>
      <c r="E1620" s="3" t="inlineStr">
        <is>
          <t>Consulting fees - Herbert du Plessis</t>
        </is>
      </c>
      <c r="F1620" s="3" t="n">
        <v>36000</v>
      </c>
      <c r="G1620" s="3" t="n">
        <v>216000</v>
      </c>
    </row>
    <row r="1621">
      <c r="A1621" s="3" t="inlineStr">
        <is>
          <t>Cape Projects Construction (Pty) Ltd</t>
        </is>
      </c>
      <c r="B1621" s="4" t="n">
        <v>44804</v>
      </c>
      <c r="C1621" s="3" t="inlineStr">
        <is>
          <t>Expenses</t>
        </is>
      </c>
      <c r="D1621" s="3" t="inlineStr">
        <is>
          <t>3350/300</t>
        </is>
      </c>
      <c r="E1621" s="3" t="inlineStr">
        <is>
          <t>Consulting Fees - Admin and Finance</t>
        </is>
      </c>
      <c r="F1621" s="3" t="n">
        <v>128150</v>
      </c>
      <c r="G1621" s="3" t="n">
        <v>740521.87</v>
      </c>
    </row>
    <row r="1622">
      <c r="A1622" s="3" t="inlineStr">
        <is>
          <t>Heron Fields (Pty) Ltd</t>
        </is>
      </c>
      <c r="B1622" s="4" t="n">
        <v>44804</v>
      </c>
      <c r="C1622" s="3" t="inlineStr">
        <is>
          <t>Expenses</t>
        </is>
      </c>
      <c r="D1622" s="3" t="inlineStr">
        <is>
          <t>3351/000</t>
        </is>
      </c>
      <c r="E1622" s="3" t="inlineStr">
        <is>
          <t>Consulting fees - Trustee</t>
        </is>
      </c>
      <c r="F1622" s="3" t="n">
        <v>4000</v>
      </c>
      <c r="G1622" s="3" t="n">
        <v>40000</v>
      </c>
    </row>
    <row r="1623">
      <c r="A1623" s="3" t="inlineStr">
        <is>
          <t>Cape Projects Construction (Pty) Ltd</t>
        </is>
      </c>
      <c r="B1623" s="4" t="n">
        <v>44804</v>
      </c>
      <c r="C1623" s="3" t="inlineStr">
        <is>
          <t>Expenses</t>
        </is>
      </c>
      <c r="D1623" s="3" t="inlineStr">
        <is>
          <t>3400/000</t>
        </is>
      </c>
      <c r="E1623" s="3" t="inlineStr">
        <is>
          <t>Courier _AND_ Postage</t>
        </is>
      </c>
      <c r="F1623" s="3" t="n">
        <v>0</v>
      </c>
      <c r="G1623" s="3" t="n">
        <v>160.87</v>
      </c>
    </row>
    <row r="1624">
      <c r="A1624" s="3" t="inlineStr">
        <is>
          <t>Cape Projects Construction (Pty) Ltd</t>
        </is>
      </c>
      <c r="B1624" s="4" t="n">
        <v>44804</v>
      </c>
      <c r="C1624" s="3" t="inlineStr">
        <is>
          <t>Expenses</t>
        </is>
      </c>
      <c r="D1624" s="3" t="inlineStr">
        <is>
          <t>3450/001</t>
        </is>
      </c>
      <c r="E1624" s="3" t="inlineStr">
        <is>
          <t>Depreciation - Computer Equipment</t>
        </is>
      </c>
      <c r="F1624" s="3" t="n">
        <v>2132.06</v>
      </c>
      <c r="G1624" s="3" t="n">
        <v>10786.87</v>
      </c>
    </row>
    <row r="1625">
      <c r="A1625" s="3" t="inlineStr">
        <is>
          <t>Cape Projects Construction (Pty) Ltd</t>
        </is>
      </c>
      <c r="B1625" s="4" t="n">
        <v>44804</v>
      </c>
      <c r="C1625" s="3" t="inlineStr">
        <is>
          <t>Expenses</t>
        </is>
      </c>
      <c r="D1625" s="3" t="inlineStr">
        <is>
          <t>3450/002</t>
        </is>
      </c>
      <c r="E1625" s="3" t="inlineStr">
        <is>
          <t>Depreciation - Generator Fixed Asset</t>
        </is>
      </c>
      <c r="F1625" s="3" t="n">
        <v>193.33</v>
      </c>
      <c r="G1625" s="3" t="n">
        <v>1160</v>
      </c>
    </row>
    <row r="1626">
      <c r="A1626" s="3" t="inlineStr">
        <is>
          <t>Cape Projects Construction (Pty) Ltd</t>
        </is>
      </c>
      <c r="B1626" s="4" t="n">
        <v>44804</v>
      </c>
      <c r="C1626" s="3" t="inlineStr">
        <is>
          <t>Expenses</t>
        </is>
      </c>
      <c r="D1626" s="3" t="inlineStr">
        <is>
          <t>3450/003</t>
        </is>
      </c>
      <c r="E1626" s="3" t="inlineStr">
        <is>
          <t>Depreciation - Motor vehicle</t>
        </is>
      </c>
      <c r="F1626" s="3" t="n">
        <v>0</v>
      </c>
      <c r="G1626" s="3" t="n">
        <v>39610.1</v>
      </c>
    </row>
    <row r="1627">
      <c r="A1627" s="3" t="inlineStr">
        <is>
          <t>Cape Projects Construction (Pty) Ltd</t>
        </is>
      </c>
      <c r="B1627" s="4" t="n">
        <v>44804</v>
      </c>
      <c r="C1627" s="3" t="inlineStr">
        <is>
          <t>Expenses</t>
        </is>
      </c>
      <c r="D1627" s="3" t="inlineStr">
        <is>
          <t>3450/030</t>
        </is>
      </c>
      <c r="E1627" s="3" t="inlineStr">
        <is>
          <t>Depreciation - Furniture and Fittings</t>
        </is>
      </c>
      <c r="F1627" s="3" t="n">
        <v>427.2</v>
      </c>
      <c r="G1627" s="3" t="n">
        <v>2563.23</v>
      </c>
    </row>
    <row r="1628">
      <c r="A1628" s="3" t="inlineStr">
        <is>
          <t>Heron Fields (Pty) Ltd</t>
        </is>
      </c>
      <c r="B1628" s="4" t="n">
        <v>44804</v>
      </c>
      <c r="C1628" s="3" t="inlineStr">
        <is>
          <t>Expenses</t>
        </is>
      </c>
      <c r="D1628" s="3" t="inlineStr">
        <is>
          <t>3650/000</t>
        </is>
      </c>
      <c r="E1628" s="3" t="inlineStr">
        <is>
          <t>CoCT - Electricity</t>
        </is>
      </c>
      <c r="F1628" s="3" t="n">
        <v>4119.96</v>
      </c>
      <c r="G1628" s="3" t="n">
        <v>17376.9</v>
      </c>
    </row>
    <row r="1629">
      <c r="A1629" s="3" t="inlineStr">
        <is>
          <t>Cape Projects Construction (Pty) Ltd</t>
        </is>
      </c>
      <c r="B1629" s="4" t="n">
        <v>44804</v>
      </c>
      <c r="C1629" s="3" t="inlineStr">
        <is>
          <t>Expenses</t>
        </is>
      </c>
      <c r="D1629" s="3" t="inlineStr">
        <is>
          <t>3650/000</t>
        </is>
      </c>
      <c r="E1629" s="3" t="inlineStr">
        <is>
          <t>Electricity _AND_ Water</t>
        </is>
      </c>
      <c r="F1629" s="3" t="n">
        <v>5391.92</v>
      </c>
      <c r="G1629" s="3" t="n">
        <v>28310.78</v>
      </c>
    </row>
    <row r="1630">
      <c r="A1630" s="3" t="inlineStr">
        <is>
          <t>Heron Fields (Pty) Ltd</t>
        </is>
      </c>
      <c r="B1630" s="4" t="n">
        <v>44804</v>
      </c>
      <c r="C1630" s="3" t="inlineStr">
        <is>
          <t>Expenses</t>
        </is>
      </c>
      <c r="D1630" s="3" t="inlineStr">
        <is>
          <t>3660/000</t>
        </is>
      </c>
      <c r="E1630" s="3" t="inlineStr">
        <is>
          <t>CoCT - Water</t>
        </is>
      </c>
      <c r="F1630" s="3" t="n">
        <v>4775.06</v>
      </c>
      <c r="G1630" s="3" t="n">
        <v>33283.22</v>
      </c>
    </row>
    <row r="1631">
      <c r="A1631" s="3" t="inlineStr">
        <is>
          <t>Cape Projects Construction (Pty) Ltd</t>
        </is>
      </c>
      <c r="B1631" s="4" t="n">
        <v>44804</v>
      </c>
      <c r="C1631" s="3" t="inlineStr">
        <is>
          <t>Expenses</t>
        </is>
      </c>
      <c r="D1631" s="3" t="inlineStr">
        <is>
          <t>3700/000</t>
        </is>
      </c>
      <c r="E1631" s="3" t="inlineStr">
        <is>
          <t>Entertainment Expenses</t>
        </is>
      </c>
      <c r="F1631" s="3" t="n">
        <v>5850</v>
      </c>
      <c r="G1631" s="3" t="n">
        <v>7651.52</v>
      </c>
    </row>
    <row r="1632">
      <c r="A1632" s="3" t="inlineStr">
        <is>
          <t>Cape Projects Construction (Pty) Ltd</t>
        </is>
      </c>
      <c r="B1632" s="4" t="n">
        <v>44804</v>
      </c>
      <c r="C1632" s="3" t="inlineStr">
        <is>
          <t>Expenses</t>
        </is>
      </c>
      <c r="D1632" s="3" t="inlineStr">
        <is>
          <t>3850/001</t>
        </is>
      </c>
      <c r="E1632" s="3" t="inlineStr">
        <is>
          <t>Insurance - Santam</t>
        </is>
      </c>
      <c r="F1632" s="3" t="n">
        <v>1194.15</v>
      </c>
      <c r="G1632" s="3" t="n">
        <v>7095.46</v>
      </c>
    </row>
    <row r="1633">
      <c r="A1633" s="3" t="inlineStr">
        <is>
          <t>Cape Projects Construction (Pty) Ltd</t>
        </is>
      </c>
      <c r="B1633" s="4" t="n">
        <v>44804</v>
      </c>
      <c r="C1633" s="3" t="inlineStr">
        <is>
          <t>Expenses</t>
        </is>
      </c>
      <c r="D1633" s="3" t="inlineStr">
        <is>
          <t>3850/002</t>
        </is>
      </c>
      <c r="E1633" s="3" t="inlineStr">
        <is>
          <t>Insurance - RBS</t>
        </is>
      </c>
      <c r="F1633" s="3" t="n">
        <v>237.57</v>
      </c>
      <c r="G1633" s="3" t="n">
        <v>1425.42</v>
      </c>
    </row>
    <row r="1634">
      <c r="A1634" s="3" t="inlineStr">
        <is>
          <t>Heron Fields (Pty) Ltd</t>
        </is>
      </c>
      <c r="B1634" s="4" t="n">
        <v>44804</v>
      </c>
      <c r="C1634" s="3" t="inlineStr">
        <is>
          <t>Expenses</t>
        </is>
      </c>
      <c r="D1634" s="3" t="inlineStr">
        <is>
          <t>3900/000</t>
        </is>
      </c>
      <c r="E1634" s="3" t="inlineStr">
        <is>
          <t>Interest Paid</t>
        </is>
      </c>
      <c r="F1634" s="3" t="n">
        <v>92.64</v>
      </c>
      <c r="G1634" s="3" t="n">
        <v>317.06</v>
      </c>
    </row>
    <row r="1635">
      <c r="A1635" s="3" t="inlineStr">
        <is>
          <t>Heron Fields (Pty) Ltd</t>
        </is>
      </c>
      <c r="B1635" s="4" t="n">
        <v>44804</v>
      </c>
      <c r="C1635" s="3" t="inlineStr">
        <is>
          <t>Expenses</t>
        </is>
      </c>
      <c r="D1635" s="3" t="inlineStr">
        <is>
          <t>4100/001</t>
        </is>
      </c>
      <c r="E1635" s="3" t="inlineStr">
        <is>
          <t>Momentum Admin Fee</t>
        </is>
      </c>
      <c r="F1635" s="3" t="n">
        <v>30848.71</v>
      </c>
      <c r="G1635" s="3" t="n">
        <v>226764.95</v>
      </c>
    </row>
    <row r="1636">
      <c r="A1636" s="3" t="inlineStr">
        <is>
          <t>Cape Projects Construction (Pty) Ltd</t>
        </is>
      </c>
      <c r="B1636" s="4" t="n">
        <v>44804</v>
      </c>
      <c r="C1636" s="3" t="inlineStr">
        <is>
          <t>Expenses</t>
        </is>
      </c>
      <c r="D1636" s="3" t="inlineStr">
        <is>
          <t>4150/020</t>
        </is>
      </c>
      <c r="E1636" s="3" t="inlineStr">
        <is>
          <t>Motor Vehicle - Repairs _AND_ Maint.</t>
        </is>
      </c>
      <c r="F1636" s="3" t="n">
        <v>4033.01</v>
      </c>
      <c r="G1636" s="3" t="n">
        <v>4033.01</v>
      </c>
    </row>
    <row r="1637">
      <c r="A1637" s="3" t="inlineStr">
        <is>
          <t>Cape Projects Construction (Pty) Ltd</t>
        </is>
      </c>
      <c r="B1637" s="4" t="n">
        <v>44804</v>
      </c>
      <c r="C1637" s="3" t="inlineStr">
        <is>
          <t>Expenses</t>
        </is>
      </c>
      <c r="D1637" s="3" t="inlineStr">
        <is>
          <t>4150/030</t>
        </is>
      </c>
      <c r="E1637" s="3" t="inlineStr">
        <is>
          <t>Motor Vehicle - Insurance _AND_ Licence</t>
        </is>
      </c>
      <c r="F1637" s="3" t="n">
        <v>0</v>
      </c>
      <c r="G1637" s="3" t="n">
        <v>1200</v>
      </c>
    </row>
    <row r="1638">
      <c r="A1638" s="3" t="inlineStr">
        <is>
          <t>Cape Projects Construction (Pty) Ltd</t>
        </is>
      </c>
      <c r="B1638" s="4" t="n">
        <v>44804</v>
      </c>
      <c r="C1638" s="3" t="inlineStr">
        <is>
          <t>Expenses</t>
        </is>
      </c>
      <c r="D1638" s="3" t="inlineStr">
        <is>
          <t>4200/000</t>
        </is>
      </c>
      <c r="E1638" s="3" t="inlineStr">
        <is>
          <t>Printing _AND_ Stationery</t>
        </is>
      </c>
      <c r="F1638" s="3" t="n">
        <v>1009.43</v>
      </c>
      <c r="G1638" s="3" t="n">
        <v>7773.2</v>
      </c>
    </row>
    <row r="1639">
      <c r="A1639" s="3" t="inlineStr">
        <is>
          <t>Cape Projects Construction (Pty) Ltd</t>
        </is>
      </c>
      <c r="B1639" s="4" t="n">
        <v>44804</v>
      </c>
      <c r="C1639" s="3" t="inlineStr">
        <is>
          <t>Expenses</t>
        </is>
      </c>
      <c r="D1639" s="3" t="inlineStr">
        <is>
          <t>4201/000</t>
        </is>
      </c>
      <c r="E1639" s="3" t="inlineStr">
        <is>
          <t>Printing - Printer rental</t>
        </is>
      </c>
      <c r="F1639" s="3" t="n">
        <v>620.28</v>
      </c>
      <c r="G1639" s="3" t="n">
        <v>4315.45</v>
      </c>
    </row>
    <row r="1640">
      <c r="A1640" s="3" t="inlineStr">
        <is>
          <t>Cape Projects Construction (Pty) Ltd</t>
        </is>
      </c>
      <c r="B1640" s="4" t="n">
        <v>44804</v>
      </c>
      <c r="C1640" s="3" t="inlineStr">
        <is>
          <t>Expenses</t>
        </is>
      </c>
      <c r="D1640" s="3" t="inlineStr">
        <is>
          <t>4300/000</t>
        </is>
      </c>
      <c r="E1640" s="3" t="inlineStr">
        <is>
          <t>Rent Paid</t>
        </is>
      </c>
      <c r="F1640" s="3" t="n">
        <v>28087.5</v>
      </c>
      <c r="G1640" s="3" t="n">
        <v>168525</v>
      </c>
    </row>
    <row r="1641">
      <c r="A1641" s="3" t="inlineStr">
        <is>
          <t>Cape Projects Construction (Pty) Ltd</t>
        </is>
      </c>
      <c r="B1641" s="4" t="n">
        <v>44804</v>
      </c>
      <c r="C1641" s="3" t="inlineStr">
        <is>
          <t>Expenses</t>
        </is>
      </c>
      <c r="D1641" s="3" t="inlineStr">
        <is>
          <t>4310/000</t>
        </is>
      </c>
      <c r="E1641" s="3" t="inlineStr">
        <is>
          <t>Rates</t>
        </is>
      </c>
      <c r="F1641" s="3" t="n">
        <v>843.6</v>
      </c>
      <c r="G1641" s="3" t="n">
        <v>5061.6</v>
      </c>
    </row>
    <row r="1642">
      <c r="A1642" s="3" t="inlineStr">
        <is>
          <t>Heron Fields (Pty) Ltd</t>
        </is>
      </c>
      <c r="B1642" s="4" t="n">
        <v>44804</v>
      </c>
      <c r="C1642" s="3" t="inlineStr">
        <is>
          <t>Expenses</t>
        </is>
      </c>
      <c r="D1642" s="3" t="inlineStr">
        <is>
          <t>4310/000</t>
        </is>
      </c>
      <c r="E1642" s="3" t="inlineStr">
        <is>
          <t>Rates - Heron</t>
        </is>
      </c>
      <c r="F1642" s="3" t="n">
        <v>3442.8</v>
      </c>
      <c r="G1642" s="3" t="n">
        <v>19135.76</v>
      </c>
    </row>
    <row r="1643">
      <c r="A1643" s="3" t="inlineStr">
        <is>
          <t>Cape Projects Construction (Pty) Ltd</t>
        </is>
      </c>
      <c r="B1643" s="4" t="n">
        <v>44804</v>
      </c>
      <c r="C1643" s="3" t="inlineStr">
        <is>
          <t>Expenses</t>
        </is>
      </c>
      <c r="D1643" s="3" t="inlineStr">
        <is>
          <t>4350/000</t>
        </is>
      </c>
      <c r="E1643" s="3" t="inlineStr">
        <is>
          <t>Repairs _AND_ Maintenance</t>
        </is>
      </c>
      <c r="F1643" s="3" t="n">
        <v>-0.01</v>
      </c>
      <c r="G1643" s="3" t="n">
        <v>3571.71</v>
      </c>
    </row>
    <row r="1644">
      <c r="A1644" s="3" t="inlineStr">
        <is>
          <t>Cape Projects Construction (Pty) Ltd</t>
        </is>
      </c>
      <c r="B1644" s="4" t="n">
        <v>44804</v>
      </c>
      <c r="C1644" s="3" t="inlineStr">
        <is>
          <t>Expenses</t>
        </is>
      </c>
      <c r="D1644" s="3" t="inlineStr">
        <is>
          <t>4400/000</t>
        </is>
      </c>
      <c r="E1644" s="3" t="inlineStr">
        <is>
          <t>Salaries _AND_ Wages</t>
        </is>
      </c>
      <c r="F1644" s="3" t="n">
        <v>231881.26</v>
      </c>
      <c r="G1644" s="3" t="n">
        <v>1309242.9</v>
      </c>
    </row>
    <row r="1645">
      <c r="A1645" s="3" t="inlineStr">
        <is>
          <t>Cape Projects Construction (Pty) Ltd</t>
        </is>
      </c>
      <c r="B1645" s="4" t="n">
        <v>44804</v>
      </c>
      <c r="C1645" s="3" t="inlineStr">
        <is>
          <t>Expenses</t>
        </is>
      </c>
      <c r="D1645" s="3" t="inlineStr">
        <is>
          <t>4402</t>
        </is>
      </c>
      <c r="E1645" s="3" t="inlineStr">
        <is>
          <t>Salaries &amp; Wages - WCA</t>
        </is>
      </c>
      <c r="F1645" s="3" t="n">
        <v>0</v>
      </c>
      <c r="G1645" s="3" t="n">
        <v>3746.27</v>
      </c>
    </row>
    <row r="1646">
      <c r="A1646" s="3" t="inlineStr">
        <is>
          <t>Cape Projects Construction (Pty) Ltd</t>
        </is>
      </c>
      <c r="B1646" s="4" t="n">
        <v>44804</v>
      </c>
      <c r="C1646" s="3" t="inlineStr">
        <is>
          <t>Expenses</t>
        </is>
      </c>
      <c r="D1646" s="3" t="inlineStr">
        <is>
          <t>4403/000</t>
        </is>
      </c>
      <c r="E1646" s="3" t="inlineStr">
        <is>
          <t>Security</t>
        </is>
      </c>
      <c r="F1646" s="3" t="n">
        <v>164.35</v>
      </c>
      <c r="G1646" s="3" t="n">
        <v>821.75</v>
      </c>
    </row>
    <row r="1647">
      <c r="A1647" s="3" t="inlineStr">
        <is>
          <t>Cape Projects Construction (Pty) Ltd</t>
        </is>
      </c>
      <c r="B1647" s="4" t="n">
        <v>44804</v>
      </c>
      <c r="C1647" s="3" t="inlineStr">
        <is>
          <t>Expenses</t>
        </is>
      </c>
      <c r="D1647" s="3" t="inlineStr">
        <is>
          <t>4420/000</t>
        </is>
      </c>
      <c r="E1647" s="3" t="inlineStr">
        <is>
          <t>Small Assets</t>
        </is>
      </c>
      <c r="F1647" s="3" t="n">
        <v>0</v>
      </c>
      <c r="G1647" s="3" t="n">
        <v>1536.96</v>
      </c>
    </row>
    <row r="1648">
      <c r="A1648" s="3" t="inlineStr">
        <is>
          <t>Heron Fields (Pty) Ltd</t>
        </is>
      </c>
      <c r="B1648" s="4" t="n">
        <v>44804</v>
      </c>
      <c r="C1648" s="3" t="inlineStr">
        <is>
          <t>Expenses</t>
        </is>
      </c>
      <c r="D1648" s="3" t="inlineStr">
        <is>
          <t>4420/001</t>
        </is>
      </c>
      <c r="E1648" s="3" t="inlineStr">
        <is>
          <t>Security - ADT</t>
        </is>
      </c>
      <c r="F1648" s="3" t="n">
        <v>328.38</v>
      </c>
      <c r="G1648" s="3" t="n">
        <v>3270.7</v>
      </c>
    </row>
    <row r="1649">
      <c r="A1649" s="3" t="inlineStr">
        <is>
          <t>Cape Projects Construction (Pty) Ltd</t>
        </is>
      </c>
      <c r="B1649" s="4" t="n">
        <v>44804</v>
      </c>
      <c r="C1649" s="3" t="inlineStr">
        <is>
          <t>Expenses</t>
        </is>
      </c>
      <c r="D1649" s="3" t="inlineStr">
        <is>
          <t>4450/000</t>
        </is>
      </c>
      <c r="E1649" s="3" t="inlineStr">
        <is>
          <t>Staff Training</t>
        </is>
      </c>
      <c r="F1649" s="3" t="n">
        <v>0</v>
      </c>
      <c r="G1649" s="3" t="n">
        <v>6800</v>
      </c>
    </row>
    <row r="1650">
      <c r="A1650" s="3" t="inlineStr">
        <is>
          <t>Cape Projects Construction (Pty) Ltd</t>
        </is>
      </c>
      <c r="B1650" s="4" t="n">
        <v>44804</v>
      </c>
      <c r="C1650" s="3" t="inlineStr">
        <is>
          <t>Expenses</t>
        </is>
      </c>
      <c r="D1650" s="3" t="inlineStr">
        <is>
          <t>4500/000</t>
        </is>
      </c>
      <c r="E1650" s="3" t="inlineStr">
        <is>
          <t>Staff Welfare _AND_ Refreshmts</t>
        </is>
      </c>
      <c r="F1650" s="3" t="n">
        <v>844.6</v>
      </c>
      <c r="G1650" s="3" t="n">
        <v>3519.1</v>
      </c>
    </row>
    <row r="1651">
      <c r="A1651" s="3" t="inlineStr">
        <is>
          <t>Cape Projects Construction (Pty) Ltd</t>
        </is>
      </c>
      <c r="B1651" s="4" t="n">
        <v>44804</v>
      </c>
      <c r="C1651" s="3" t="inlineStr">
        <is>
          <t>Expenses</t>
        </is>
      </c>
      <c r="D1651" s="3" t="inlineStr">
        <is>
          <t>4550/000</t>
        </is>
      </c>
      <c r="E1651" s="3" t="inlineStr">
        <is>
          <t>Subscriptions / Licenses</t>
        </is>
      </c>
      <c r="F1651" s="3" t="n">
        <v>0</v>
      </c>
      <c r="G1651" s="3" t="n">
        <v>526.3200000000001</v>
      </c>
    </row>
    <row r="1652">
      <c r="A1652" s="3" t="inlineStr">
        <is>
          <t>Cape Projects Construction (Pty) Ltd</t>
        </is>
      </c>
      <c r="B1652" s="4" t="n">
        <v>44804</v>
      </c>
      <c r="C1652" s="3" t="inlineStr">
        <is>
          <t>Expenses</t>
        </is>
      </c>
      <c r="D1652" s="3" t="inlineStr">
        <is>
          <t>4550/001</t>
        </is>
      </c>
      <c r="E1652" s="3" t="inlineStr">
        <is>
          <t>Subscriptions &amp; Licenses - Sage payroll</t>
        </is>
      </c>
      <c r="F1652" s="3" t="n">
        <v>686</v>
      </c>
      <c r="G1652" s="3" t="n">
        <v>3336</v>
      </c>
    </row>
    <row r="1653">
      <c r="A1653" s="3" t="inlineStr">
        <is>
          <t>Cape Projects Construction (Pty) Ltd</t>
        </is>
      </c>
      <c r="B1653" s="4" t="n">
        <v>44804</v>
      </c>
      <c r="C1653" s="3" t="inlineStr">
        <is>
          <t>Expenses</t>
        </is>
      </c>
      <c r="D1653" s="3" t="inlineStr">
        <is>
          <t>4550/003</t>
        </is>
      </c>
      <c r="E1653" s="3" t="inlineStr">
        <is>
          <t>Subscriptions &amp; Licenses - Xero</t>
        </is>
      </c>
      <c r="F1653" s="3" t="n">
        <v>600</v>
      </c>
      <c r="G1653" s="3" t="n">
        <v>3600</v>
      </c>
    </row>
    <row r="1654">
      <c r="A1654" s="3" t="inlineStr">
        <is>
          <t>Cape Projects Construction (Pty) Ltd</t>
        </is>
      </c>
      <c r="B1654" s="4" t="n">
        <v>44804</v>
      </c>
      <c r="C1654" s="3" t="inlineStr">
        <is>
          <t>Expenses</t>
        </is>
      </c>
      <c r="D1654" s="3" t="inlineStr">
        <is>
          <t>4550/004</t>
        </is>
      </c>
      <c r="E1654" s="3" t="inlineStr">
        <is>
          <t>Subscriptions - Smartsheet</t>
        </is>
      </c>
      <c r="F1654" s="3" t="n">
        <v>535.6</v>
      </c>
      <c r="G1654" s="3" t="n">
        <v>2350.6</v>
      </c>
    </row>
    <row r="1655">
      <c r="A1655" s="3" t="inlineStr">
        <is>
          <t>Cape Projects Construction (Pty) Ltd</t>
        </is>
      </c>
      <c r="B1655" s="4" t="n">
        <v>44804</v>
      </c>
      <c r="C1655" s="3" t="inlineStr">
        <is>
          <t>Expenses</t>
        </is>
      </c>
      <c r="D1655" s="3" t="inlineStr">
        <is>
          <t>4550/006</t>
        </is>
      </c>
      <c r="E1655" s="3" t="inlineStr">
        <is>
          <t>Subscription - Candy software</t>
        </is>
      </c>
      <c r="F1655" s="3" t="n">
        <v>1640</v>
      </c>
      <c r="G1655" s="3" t="n">
        <v>12125</v>
      </c>
    </row>
    <row r="1656">
      <c r="A1656" s="3" t="inlineStr">
        <is>
          <t>Heron Fields (Pty) Ltd</t>
        </is>
      </c>
      <c r="B1656" s="4" t="n">
        <v>44804</v>
      </c>
      <c r="C1656" s="3" t="inlineStr">
        <is>
          <t>Expenses</t>
        </is>
      </c>
      <c r="D1656" s="3" t="inlineStr">
        <is>
          <t>4550/100</t>
        </is>
      </c>
      <c r="E1656" s="3" t="inlineStr">
        <is>
          <t>Subscriptions - Xero</t>
        </is>
      </c>
      <c r="F1656" s="3" t="n">
        <v>600</v>
      </c>
      <c r="G1656" s="3" t="n">
        <v>3600</v>
      </c>
    </row>
    <row r="1657">
      <c r="A1657" s="3" t="inlineStr">
        <is>
          <t>Heron View (Pty) Ltd</t>
        </is>
      </c>
      <c r="B1657" s="4" t="n">
        <v>44804</v>
      </c>
      <c r="C1657" s="3" t="inlineStr">
        <is>
          <t>Expenses</t>
        </is>
      </c>
      <c r="D1657" s="3" t="inlineStr">
        <is>
          <t>4550/100</t>
        </is>
      </c>
      <c r="E1657" s="3" t="inlineStr">
        <is>
          <t>Subscriptions - Xero</t>
        </is>
      </c>
      <c r="F1657" s="3" t="n">
        <v>4200</v>
      </c>
      <c r="G1657" s="3" t="n">
        <v>7200</v>
      </c>
    </row>
    <row r="1658">
      <c r="A1658" s="3" t="inlineStr">
        <is>
          <t>Cape Projects Construction (Pty) Ltd</t>
        </is>
      </c>
      <c r="B1658" s="4" t="n">
        <v>44804</v>
      </c>
      <c r="C1658" s="3" t="inlineStr">
        <is>
          <t>Expenses</t>
        </is>
      </c>
      <c r="D1658" s="3" t="inlineStr">
        <is>
          <t>4560</t>
        </is>
      </c>
      <c r="E1658" s="3" t="inlineStr">
        <is>
          <t>Secretarial fees - CIPC</t>
        </is>
      </c>
      <c r="F1658" s="3" t="n">
        <v>0</v>
      </c>
      <c r="G1658" s="3" t="n">
        <v>2500</v>
      </c>
    </row>
    <row r="1659">
      <c r="A1659" s="3" t="inlineStr">
        <is>
          <t>Cape Projects Construction (Pty) Ltd</t>
        </is>
      </c>
      <c r="B1659" s="4" t="n">
        <v>44804</v>
      </c>
      <c r="C1659" s="3" t="inlineStr">
        <is>
          <t>Expenses</t>
        </is>
      </c>
      <c r="D1659" s="3" t="inlineStr">
        <is>
          <t>4650/010</t>
        </is>
      </c>
      <c r="E1659" s="3" t="inlineStr">
        <is>
          <t>Travel - Local</t>
        </is>
      </c>
      <c r="F1659" s="3" t="n">
        <v>13.04</v>
      </c>
      <c r="G1659" s="3" t="n">
        <v>13.04</v>
      </c>
    </row>
    <row r="1660">
      <c r="A1660" s="3" t="inlineStr">
        <is>
          <t>Cape Projects Construction (Pty) Ltd</t>
        </is>
      </c>
      <c r="B1660" s="4" t="n">
        <v>44804</v>
      </c>
      <c r="C1660" s="3" t="inlineStr">
        <is>
          <t>Expenses</t>
        </is>
      </c>
      <c r="D1660" s="3" t="inlineStr">
        <is>
          <t>4700/000</t>
        </is>
      </c>
      <c r="E1660" s="3" t="inlineStr">
        <is>
          <t>PAYE Contributions</t>
        </is>
      </c>
      <c r="F1660" s="3" t="n">
        <v>30579.19</v>
      </c>
      <c r="G1660" s="3" t="n">
        <v>210394.25</v>
      </c>
    </row>
    <row r="1661">
      <c r="A1661" s="3" t="inlineStr">
        <is>
          <t>Cape Projects Construction (Pty) Ltd</t>
        </is>
      </c>
      <c r="B1661" s="4" t="n">
        <v>44804</v>
      </c>
      <c r="C1661" s="3" t="inlineStr">
        <is>
          <t>Expenses</t>
        </is>
      </c>
      <c r="D1661" s="3" t="inlineStr">
        <is>
          <t>4720/000</t>
        </is>
      </c>
      <c r="E1661" s="3" t="inlineStr">
        <is>
          <t>SDL Contributions</t>
        </is>
      </c>
      <c r="F1661" s="3" t="n">
        <v>2538.58</v>
      </c>
      <c r="G1661" s="3" t="n">
        <v>14553.45</v>
      </c>
    </row>
    <row r="1662">
      <c r="A1662" s="3" t="inlineStr">
        <is>
          <t>Cape Projects Construction (Pty) Ltd</t>
        </is>
      </c>
      <c r="B1662" s="4" t="n">
        <v>44804</v>
      </c>
      <c r="C1662" s="3" t="inlineStr">
        <is>
          <t>Expenses</t>
        </is>
      </c>
      <c r="D1662" s="3" t="inlineStr">
        <is>
          <t>4730/000</t>
        </is>
      </c>
      <c r="E1662" s="3" t="inlineStr">
        <is>
          <t>UIF Company Contributions</t>
        </is>
      </c>
      <c r="F1662" s="3" t="n">
        <v>1987.03</v>
      </c>
      <c r="G1662" s="3" t="n">
        <v>10311.06</v>
      </c>
    </row>
    <row r="1663">
      <c r="A1663" s="3" t="inlineStr">
        <is>
          <t>Cape Projects Construction (Pty) Ltd</t>
        </is>
      </c>
      <c r="B1663" s="4" t="n">
        <v>44804</v>
      </c>
      <c r="C1663" s="3" t="inlineStr">
        <is>
          <t>Expenses</t>
        </is>
      </c>
      <c r="D1663" s="3" t="inlineStr">
        <is>
          <t>4731/000</t>
        </is>
      </c>
      <c r="E1663" s="3" t="inlineStr">
        <is>
          <t>UIF Employee Contribution</t>
        </is>
      </c>
      <c r="F1663" s="3" t="n">
        <v>1987.03</v>
      </c>
      <c r="G1663" s="3" t="n">
        <v>10311.06</v>
      </c>
    </row>
    <row r="1664">
      <c r="A1664" s="3" t="inlineStr">
        <is>
          <t>Cape Projects Construction (Pty) Ltd</t>
        </is>
      </c>
      <c r="B1664" s="4" t="n">
        <v>44804</v>
      </c>
      <c r="C1664" s="3" t="inlineStr">
        <is>
          <t>Expenses</t>
        </is>
      </c>
      <c r="D1664" s="3" t="inlineStr">
        <is>
          <t>4740/000</t>
        </is>
      </c>
      <c r="E1664" s="3" t="inlineStr">
        <is>
          <t>BIBC Company Contribution</t>
        </is>
      </c>
      <c r="F1664" s="3" t="n">
        <v>9644.5</v>
      </c>
      <c r="G1664" s="3" t="n">
        <v>25880.31</v>
      </c>
    </row>
    <row r="1665">
      <c r="A1665" s="3" t="inlineStr">
        <is>
          <t>Cape Projects Construction (Pty) Ltd</t>
        </is>
      </c>
      <c r="B1665" s="4" t="n">
        <v>44804</v>
      </c>
      <c r="C1665" s="3" t="inlineStr">
        <is>
          <t>Expenses</t>
        </is>
      </c>
      <c r="D1665" s="3" t="inlineStr">
        <is>
          <t>4741/000</t>
        </is>
      </c>
      <c r="E1665" s="3" t="inlineStr">
        <is>
          <t>BIBC Employee Contribution</t>
        </is>
      </c>
      <c r="F1665" s="3" t="n">
        <v>3344.31</v>
      </c>
      <c r="G1665" s="3" t="n">
        <v>13105.34</v>
      </c>
    </row>
    <row r="1666">
      <c r="A1666" s="3" t="inlineStr">
        <is>
          <t>Heron Fields (Pty) Ltd</t>
        </is>
      </c>
      <c r="B1666" s="4" t="n">
        <v>44804</v>
      </c>
      <c r="C1666" s="3" t="inlineStr">
        <is>
          <t>Equity</t>
        </is>
      </c>
      <c r="D1666" s="3" t="inlineStr">
        <is>
          <t>5100-000</t>
        </is>
      </c>
      <c r="E1666" s="3" t="inlineStr">
        <is>
          <t>Share Capital</t>
        </is>
      </c>
      <c r="F1666" s="3" t="n">
        <v>0</v>
      </c>
      <c r="G1666" s="3" t="n">
        <v>-100</v>
      </c>
    </row>
    <row r="1667">
      <c r="A1667" s="3" t="inlineStr">
        <is>
          <t>Cape Projects Construction (Pty) Ltd</t>
        </is>
      </c>
      <c r="B1667" s="4" t="n">
        <v>44804</v>
      </c>
      <c r="C1667" s="3" t="inlineStr">
        <is>
          <t>Equity</t>
        </is>
      </c>
      <c r="D1667" s="3" t="inlineStr">
        <is>
          <t>5100/000</t>
        </is>
      </c>
      <c r="E1667" s="3" t="inlineStr">
        <is>
          <t>Share Capital / Members Contribution</t>
        </is>
      </c>
      <c r="F1667" s="3" t="n">
        <v>0</v>
      </c>
      <c r="G1667" s="3" t="n">
        <v>-120</v>
      </c>
    </row>
    <row r="1668">
      <c r="A1668" s="3" t="inlineStr">
        <is>
          <t>Cape Projects Construction (Pty) Ltd</t>
        </is>
      </c>
      <c r="B1668" s="4" t="n">
        <v>44804</v>
      </c>
      <c r="C1668" s="3" t="inlineStr">
        <is>
          <t>Equity</t>
        </is>
      </c>
      <c r="D1668" s="3" t="inlineStr">
        <is>
          <t>5200/000</t>
        </is>
      </c>
      <c r="E1668" s="3" t="inlineStr">
        <is>
          <t>Retained Earnings / Loss</t>
        </is>
      </c>
      <c r="F1668" s="3" t="n">
        <v>0</v>
      </c>
      <c r="G1668" s="3" t="n">
        <v>247347.05</v>
      </c>
    </row>
    <row r="1669">
      <c r="A1669" s="3" t="inlineStr">
        <is>
          <t>Heron Fields (Pty) Ltd</t>
        </is>
      </c>
      <c r="B1669" s="4" t="n">
        <v>44804</v>
      </c>
      <c r="C1669" s="3" t="inlineStr">
        <is>
          <t>Equity</t>
        </is>
      </c>
      <c r="D1669" s="3" t="inlineStr">
        <is>
          <t>5200/000</t>
        </is>
      </c>
      <c r="E1669" s="3" t="inlineStr">
        <is>
          <t>Retained Earnings / Loss</t>
        </is>
      </c>
      <c r="F1669" s="3" t="n">
        <v>0</v>
      </c>
      <c r="G1669" s="3" t="n">
        <v>-17080353.05</v>
      </c>
    </row>
    <row r="1670">
      <c r="A1670" s="3" t="inlineStr">
        <is>
          <t>Heron Fields (Pty) Ltd</t>
        </is>
      </c>
      <c r="B1670" s="4" t="n">
        <v>44804</v>
      </c>
      <c r="C1670" s="3" t="inlineStr">
        <is>
          <t>Assets</t>
        </is>
      </c>
      <c r="D1670" s="3" t="inlineStr">
        <is>
          <t>5300/001</t>
        </is>
      </c>
      <c r="E1670" s="3" t="inlineStr">
        <is>
          <t>Revaluation of Land stock</t>
        </is>
      </c>
      <c r="F1670" s="3" t="n">
        <v>0</v>
      </c>
      <c r="G1670" s="3" t="n">
        <v>17562360.85</v>
      </c>
    </row>
    <row r="1671">
      <c r="A1671" s="3" t="inlineStr">
        <is>
          <t>Cape Projects Construction (Pty) Ltd</t>
        </is>
      </c>
      <c r="B1671" s="4" t="n">
        <v>44804</v>
      </c>
      <c r="C1671" s="3" t="inlineStr">
        <is>
          <t>Assets</t>
        </is>
      </c>
      <c r="D1671" s="3" t="inlineStr">
        <is>
          <t>5400/150</t>
        </is>
      </c>
      <c r="E1671" s="3" t="inlineStr">
        <is>
          <t>Loan - Quinate</t>
        </is>
      </c>
      <c r="F1671" s="3" t="n">
        <v>0</v>
      </c>
      <c r="G1671" s="3" t="n">
        <v>3050000</v>
      </c>
    </row>
    <row r="1672">
      <c r="A1672" s="3" t="inlineStr">
        <is>
          <t>Cape Projects Construction (Pty) Ltd</t>
        </is>
      </c>
      <c r="B1672" s="4" t="n">
        <v>44804</v>
      </c>
      <c r="C1672" s="3" t="inlineStr">
        <is>
          <t>Assets</t>
        </is>
      </c>
      <c r="D1672" s="3" t="inlineStr">
        <is>
          <t>5400/450</t>
        </is>
      </c>
      <c r="E1672" s="3" t="inlineStr">
        <is>
          <t>Loan - Opportunity Investment</t>
        </is>
      </c>
      <c r="F1672" s="3" t="n">
        <v>-65000</v>
      </c>
      <c r="G1672" s="3" t="n">
        <v>0</v>
      </c>
    </row>
    <row r="1673">
      <c r="A1673" s="3" t="inlineStr">
        <is>
          <t>Cape Projects Construction (Pty) Ltd</t>
        </is>
      </c>
      <c r="B1673" s="4" t="n">
        <v>44804</v>
      </c>
      <c r="C1673" s="3" t="inlineStr">
        <is>
          <t>Assets</t>
        </is>
      </c>
      <c r="D1673" s="3" t="inlineStr">
        <is>
          <t>5400/550</t>
        </is>
      </c>
      <c r="E1673" s="3" t="inlineStr">
        <is>
          <t>Loan - Trademark</t>
        </is>
      </c>
      <c r="F1673" s="3" t="n">
        <v>-600</v>
      </c>
      <c r="G1673" s="3" t="n">
        <v>0</v>
      </c>
    </row>
    <row r="1674">
      <c r="A1674" s="3" t="inlineStr">
        <is>
          <t>Cape Projects Construction (Pty) Ltd</t>
        </is>
      </c>
      <c r="B1674" s="4" t="n">
        <v>44804</v>
      </c>
      <c r="C1674" s="3" t="inlineStr">
        <is>
          <t>Assets</t>
        </is>
      </c>
      <c r="D1674" s="3" t="inlineStr">
        <is>
          <t>5400/600</t>
        </is>
      </c>
      <c r="E1674" s="3" t="inlineStr">
        <is>
          <t>Loan - Heron Projects</t>
        </is>
      </c>
      <c r="F1674" s="3" t="n">
        <v>-465000</v>
      </c>
      <c r="G1674" s="3" t="n">
        <v>-3946000</v>
      </c>
    </row>
    <row r="1675">
      <c r="A1675" s="3" t="inlineStr">
        <is>
          <t>Cape Projects Construction (Pty) Ltd</t>
        </is>
      </c>
      <c r="B1675" s="4" t="n">
        <v>44804</v>
      </c>
      <c r="C1675" s="3" t="inlineStr">
        <is>
          <t>Assets</t>
        </is>
      </c>
      <c r="D1675" s="3" t="inlineStr">
        <is>
          <t>5400/650</t>
        </is>
      </c>
      <c r="E1675" s="3" t="inlineStr">
        <is>
          <t>Loan - Noble Shield</t>
        </is>
      </c>
      <c r="F1675" s="3" t="n">
        <v>-600</v>
      </c>
      <c r="G1675" s="3" t="n">
        <v>0</v>
      </c>
    </row>
    <row r="1676">
      <c r="A1676" s="3" t="inlineStr">
        <is>
          <t>Cape Projects Construction (Pty) Ltd</t>
        </is>
      </c>
      <c r="B1676" s="4" t="n">
        <v>44804</v>
      </c>
      <c r="C1676" s="3" t="inlineStr">
        <is>
          <t>Assets</t>
        </is>
      </c>
      <c r="D1676" s="3" t="inlineStr">
        <is>
          <t>5400/750</t>
        </is>
      </c>
      <c r="E1676" s="3" t="inlineStr">
        <is>
          <t>Loan - Endulini</t>
        </is>
      </c>
      <c r="F1676" s="3" t="n">
        <v>1139000</v>
      </c>
      <c r="G1676" s="3" t="n">
        <v>1349000</v>
      </c>
    </row>
    <row r="1677">
      <c r="A1677" s="3" t="inlineStr">
        <is>
          <t>Cape Projects Construction (Pty) Ltd</t>
        </is>
      </c>
      <c r="B1677" s="4" t="n">
        <v>44804</v>
      </c>
      <c r="C1677" s="3" t="inlineStr">
        <is>
          <t>Assets</t>
        </is>
      </c>
      <c r="D1677" s="3" t="inlineStr">
        <is>
          <t>5400/800</t>
        </is>
      </c>
      <c r="E1677" s="3" t="inlineStr">
        <is>
          <t>Loan - Opportunity Management Holdings</t>
        </is>
      </c>
      <c r="F1677" s="3" t="n">
        <v>115000</v>
      </c>
      <c r="G1677" s="3" t="n">
        <v>0</v>
      </c>
    </row>
    <row r="1678">
      <c r="A1678" s="3" t="inlineStr">
        <is>
          <t>Heron View (Pty) Ltd</t>
        </is>
      </c>
      <c r="B1678" s="4" t="n">
        <v>44804</v>
      </c>
      <c r="C1678" s="3" t="inlineStr">
        <is>
          <t>Liabilities</t>
        </is>
      </c>
      <c r="D1678" s="3" t="inlineStr">
        <is>
          <t>5500/001</t>
        </is>
      </c>
      <c r="E1678" s="3" t="inlineStr">
        <is>
          <t>Loan - Heron Fields</t>
        </is>
      </c>
      <c r="F1678" s="3" t="n">
        <v>-290390</v>
      </c>
      <c r="G1678" s="3" t="n">
        <v>-1721841.22</v>
      </c>
    </row>
    <row r="1679">
      <c r="A1679" s="3" t="inlineStr">
        <is>
          <t>Heron Fields (Pty) Ltd</t>
        </is>
      </c>
      <c r="B1679" s="4" t="n">
        <v>44804</v>
      </c>
      <c r="C1679" s="3" t="inlineStr">
        <is>
          <t>Liabilities</t>
        </is>
      </c>
      <c r="D1679" s="3" t="inlineStr">
        <is>
          <t>5500/020</t>
        </is>
      </c>
      <c r="E1679" s="3" t="inlineStr">
        <is>
          <t>Loan - Cape Projects Construction</t>
        </is>
      </c>
      <c r="F1679" s="3" t="n">
        <v>465000</v>
      </c>
      <c r="G1679" s="3" t="n">
        <v>3946000</v>
      </c>
    </row>
    <row r="1680">
      <c r="A1680" s="3" t="inlineStr">
        <is>
          <t>Heron Fields (Pty) Ltd</t>
        </is>
      </c>
      <c r="B1680" s="4" t="n">
        <v>44804</v>
      </c>
      <c r="C1680" s="3" t="inlineStr">
        <is>
          <t>Liabilities</t>
        </is>
      </c>
      <c r="D1680" s="3" t="inlineStr">
        <is>
          <t>5500/050</t>
        </is>
      </c>
      <c r="E1680" s="3" t="inlineStr">
        <is>
          <t>Loan - Heron View</t>
        </is>
      </c>
      <c r="F1680" s="3" t="n">
        <v>290390</v>
      </c>
      <c r="G1680" s="3" t="n">
        <v>1721841.22</v>
      </c>
    </row>
    <row r="1681">
      <c r="A1681" s="3" t="inlineStr">
        <is>
          <t>Cape Projects Construction (Pty) Ltd</t>
        </is>
      </c>
      <c r="B1681" s="4" t="n">
        <v>44804</v>
      </c>
      <c r="C1681" s="3" t="inlineStr">
        <is>
          <t>Liabilities</t>
        </is>
      </c>
      <c r="D1681" s="3" t="inlineStr">
        <is>
          <t>5600/100</t>
        </is>
      </c>
      <c r="E1681" s="3" t="inlineStr">
        <is>
          <t>Motor Vehical Car Repaymts - Toyota</t>
        </is>
      </c>
      <c r="F1681" s="3" t="n">
        <v>5211.74</v>
      </c>
      <c r="G1681" s="3" t="n">
        <v>31216.42</v>
      </c>
    </row>
    <row r="1682">
      <c r="A1682" s="3" t="inlineStr">
        <is>
          <t>Cape Projects Construction (Pty) Ltd</t>
        </is>
      </c>
      <c r="B1682" s="4" t="n">
        <v>44804</v>
      </c>
      <c r="C1682" s="3" t="inlineStr">
        <is>
          <t>Liabilities</t>
        </is>
      </c>
      <c r="D1682" s="3" t="inlineStr">
        <is>
          <t>5600/200</t>
        </is>
      </c>
      <c r="E1682" s="3" t="inlineStr">
        <is>
          <t>Motor Vehicle Car Repayments - Toyota Shortterm</t>
        </is>
      </c>
      <c r="F1682" s="3" t="n">
        <v>0</v>
      </c>
      <c r="G1682" s="3" t="n">
        <v>-58920.1</v>
      </c>
    </row>
    <row r="1683">
      <c r="A1683" s="3" t="inlineStr">
        <is>
          <t>Cape Projects Construction (Pty) Ltd</t>
        </is>
      </c>
      <c r="B1683" s="4" t="n">
        <v>44804</v>
      </c>
      <c r="C1683" s="3" t="inlineStr">
        <is>
          <t>Assets</t>
        </is>
      </c>
      <c r="D1683" s="3" t="inlineStr">
        <is>
          <t>6200/010</t>
        </is>
      </c>
      <c r="E1683" s="3" t="inlineStr">
        <is>
          <t>Motor Vehicles - @ Cost</t>
        </is>
      </c>
      <c r="F1683" s="3" t="n">
        <v>0</v>
      </c>
      <c r="G1683" s="3" t="n">
        <v>216064.1</v>
      </c>
    </row>
    <row r="1684">
      <c r="A1684" s="3" t="inlineStr">
        <is>
          <t>Cape Projects Construction (Pty) Ltd</t>
        </is>
      </c>
      <c r="B1684" s="4" t="n">
        <v>44804</v>
      </c>
      <c r="C1684" s="3" t="inlineStr">
        <is>
          <t>Assets</t>
        </is>
      </c>
      <c r="D1684" s="3" t="inlineStr">
        <is>
          <t>6200/020</t>
        </is>
      </c>
      <c r="E1684" s="3" t="inlineStr">
        <is>
          <t>Motor Vehicles - Accum Depre</t>
        </is>
      </c>
      <c r="F1684" s="3" t="n">
        <v>0</v>
      </c>
      <c r="G1684" s="3" t="n">
        <v>-216063.1</v>
      </c>
    </row>
    <row r="1685">
      <c r="A1685" s="3" t="inlineStr">
        <is>
          <t>Cape Projects Construction (Pty) Ltd</t>
        </is>
      </c>
      <c r="B1685" s="4" t="n">
        <v>44804</v>
      </c>
      <c r="C1685" s="3" t="inlineStr">
        <is>
          <t>Assets</t>
        </is>
      </c>
      <c r="D1685" s="3" t="inlineStr">
        <is>
          <t>6250/010</t>
        </is>
      </c>
      <c r="E1685" s="3" t="inlineStr">
        <is>
          <t>Computer Equipment - @ Cost</t>
        </is>
      </c>
      <c r="F1685" s="3" t="n">
        <v>8605.219999999999</v>
      </c>
      <c r="G1685" s="3" t="n">
        <v>92100.13</v>
      </c>
    </row>
    <row r="1686">
      <c r="A1686" s="3" t="inlineStr">
        <is>
          <t>Cape Projects Construction (Pty) Ltd</t>
        </is>
      </c>
      <c r="B1686" s="4" t="n">
        <v>44804</v>
      </c>
      <c r="C1686" s="3" t="inlineStr">
        <is>
          <t>Assets</t>
        </is>
      </c>
      <c r="D1686" s="3" t="inlineStr">
        <is>
          <t>6250/020</t>
        </is>
      </c>
      <c r="E1686" s="3" t="inlineStr">
        <is>
          <t>Computer Equipment - Accum Depre</t>
        </is>
      </c>
      <c r="F1686" s="3" t="n">
        <v>-2132.06</v>
      </c>
      <c r="G1686" s="3" t="n">
        <v>-29927.96</v>
      </c>
    </row>
    <row r="1687">
      <c r="A1687" s="3" t="inlineStr">
        <is>
          <t>Cape Projects Construction (Pty) Ltd</t>
        </is>
      </c>
      <c r="B1687" s="4" t="n">
        <v>44804</v>
      </c>
      <c r="C1687" s="3" t="inlineStr">
        <is>
          <t>Assets</t>
        </is>
      </c>
      <c r="D1687" s="3" t="inlineStr">
        <is>
          <t>6350/010</t>
        </is>
      </c>
      <c r="E1687" s="3" t="inlineStr">
        <is>
          <t>Furniture _AND_ Fittings - @ Cost</t>
        </is>
      </c>
      <c r="F1687" s="3" t="n">
        <v>0</v>
      </c>
      <c r="G1687" s="3" t="n">
        <v>29281.39</v>
      </c>
    </row>
    <row r="1688">
      <c r="A1688" s="3" t="inlineStr">
        <is>
          <t>Cape Projects Construction (Pty) Ltd</t>
        </is>
      </c>
      <c r="B1688" s="4" t="n">
        <v>44804</v>
      </c>
      <c r="C1688" s="3" t="inlineStr">
        <is>
          <t>Assets</t>
        </is>
      </c>
      <c r="D1688" s="3" t="inlineStr">
        <is>
          <t>6350/020</t>
        </is>
      </c>
      <c r="E1688" s="3" t="inlineStr">
        <is>
          <t>Furniture _AND_ Fittings - Accum Depre</t>
        </is>
      </c>
      <c r="F1688" s="3" t="n">
        <v>-427.2</v>
      </c>
      <c r="G1688" s="3" t="n">
        <v>-2969.92</v>
      </c>
    </row>
    <row r="1689">
      <c r="A1689" s="3" t="inlineStr">
        <is>
          <t>Cape Projects Construction (Pty) Ltd</t>
        </is>
      </c>
      <c r="B1689" s="4" t="n">
        <v>44804</v>
      </c>
      <c r="C1689" s="3" t="inlineStr">
        <is>
          <t>Assets</t>
        </is>
      </c>
      <c r="D1689" s="3" t="inlineStr">
        <is>
          <t>6600/010</t>
        </is>
      </c>
      <c r="E1689" s="3" t="inlineStr">
        <is>
          <t>Generator Fixed Asset - @ Cost</t>
        </is>
      </c>
      <c r="F1689" s="3" t="n">
        <v>0</v>
      </c>
      <c r="G1689" s="3" t="n">
        <v>11600</v>
      </c>
    </row>
    <row r="1690">
      <c r="A1690" s="3" t="inlineStr">
        <is>
          <t>Cape Projects Construction (Pty) Ltd</t>
        </is>
      </c>
      <c r="B1690" s="4" t="n">
        <v>44804</v>
      </c>
      <c r="C1690" s="3" t="inlineStr">
        <is>
          <t>Assets</t>
        </is>
      </c>
      <c r="D1690" s="3" t="inlineStr">
        <is>
          <t>6600/020</t>
        </is>
      </c>
      <c r="E1690" s="3" t="inlineStr">
        <is>
          <t>Generator Fixed Asset - Accum Depre</t>
        </is>
      </c>
      <c r="F1690" s="3" t="n">
        <v>-193.33</v>
      </c>
      <c r="G1690" s="3" t="n">
        <v>-1965.56</v>
      </c>
    </row>
    <row r="1691">
      <c r="A1691" s="3" t="inlineStr">
        <is>
          <t>Heron Fields (Pty) Ltd</t>
        </is>
      </c>
      <c r="B1691" s="4" t="n">
        <v>44804</v>
      </c>
      <c r="C1691" s="3" t="inlineStr">
        <is>
          <t>Assets</t>
        </is>
      </c>
      <c r="D1691" s="3" t="inlineStr">
        <is>
          <t>7610/395</t>
        </is>
      </c>
      <c r="E1691" s="3" t="inlineStr">
        <is>
          <t>HF CIP NHBRC</t>
        </is>
      </c>
      <c r="F1691" s="3" t="n">
        <v>0</v>
      </c>
      <c r="G1691" s="3" t="n">
        <v>874505.75</v>
      </c>
    </row>
    <row r="1692">
      <c r="A1692" s="3" t="inlineStr">
        <is>
          <t>Heron View (Pty) Ltd</t>
        </is>
      </c>
      <c r="B1692" s="4" t="n">
        <v>44804</v>
      </c>
      <c r="C1692" s="3" t="inlineStr">
        <is>
          <t>Assets</t>
        </is>
      </c>
      <c r="D1692" s="3" t="inlineStr">
        <is>
          <t>7610/395</t>
        </is>
      </c>
      <c r="E1692" s="3" t="inlineStr">
        <is>
          <t>Heron CIP NHBRC</t>
        </is>
      </c>
      <c r="F1692" s="3" t="n">
        <v>284986.5</v>
      </c>
      <c r="G1692" s="3" t="n">
        <v>284986.5</v>
      </c>
    </row>
    <row r="1693">
      <c r="A1693" s="3" t="inlineStr">
        <is>
          <t>Heron Fields (Pty) Ltd</t>
        </is>
      </c>
      <c r="B1693" s="4" t="n">
        <v>44804</v>
      </c>
      <c r="C1693" s="3" t="inlineStr">
        <is>
          <t>Assets</t>
        </is>
      </c>
      <c r="D1693" s="3" t="inlineStr">
        <is>
          <t>7620/100</t>
        </is>
      </c>
      <c r="E1693" s="3" t="inlineStr">
        <is>
          <t>Heron View Land</t>
        </is>
      </c>
      <c r="F1693" s="3" t="n">
        <v>0</v>
      </c>
      <c r="G1693" s="3" t="n">
        <v>26200000</v>
      </c>
    </row>
    <row r="1694">
      <c r="A1694" s="3" t="inlineStr">
        <is>
          <t>Heron Fields (Pty) Ltd</t>
        </is>
      </c>
      <c r="B1694" s="4" t="n">
        <v>44804</v>
      </c>
      <c r="C1694" s="3" t="inlineStr">
        <is>
          <t>Assets</t>
        </is>
      </c>
      <c r="D1694" s="3" t="inlineStr">
        <is>
          <t>7620/101</t>
        </is>
      </c>
      <c r="E1694" s="3" t="inlineStr">
        <is>
          <t>HF CIP Bond Registration Fee</t>
        </is>
      </c>
      <c r="F1694" s="3" t="n">
        <v>0</v>
      </c>
      <c r="G1694" s="3" t="n">
        <v>68427</v>
      </c>
    </row>
    <row r="1695">
      <c r="A1695" s="3" t="inlineStr">
        <is>
          <t>Heron Fields (Pty) Ltd</t>
        </is>
      </c>
      <c r="B1695" s="4" t="n">
        <v>44804</v>
      </c>
      <c r="C1695" s="3" t="inlineStr">
        <is>
          <t>Assets</t>
        </is>
      </c>
      <c r="D1695" s="3" t="inlineStr">
        <is>
          <t>7620/102</t>
        </is>
      </c>
      <c r="E1695" s="3" t="inlineStr">
        <is>
          <t>HF CIP Transfer Fee</t>
        </is>
      </c>
      <c r="F1695" s="3" t="n">
        <v>0</v>
      </c>
      <c r="G1695" s="3" t="n">
        <v>103812</v>
      </c>
    </row>
    <row r="1696">
      <c r="A1696" s="3" t="inlineStr">
        <is>
          <t>Heron Fields (Pty) Ltd</t>
        </is>
      </c>
      <c r="B1696" s="4" t="n">
        <v>44804</v>
      </c>
      <c r="C1696" s="3" t="inlineStr">
        <is>
          <t>Assets</t>
        </is>
      </c>
      <c r="D1696" s="3" t="inlineStr">
        <is>
          <t>7620/220</t>
        </is>
      </c>
      <c r="E1696" s="3" t="inlineStr">
        <is>
          <t>HF CIP Architectural Designs</t>
        </is>
      </c>
      <c r="F1696" s="3" t="n">
        <v>0</v>
      </c>
      <c r="G1696" s="3" t="n">
        <v>150780</v>
      </c>
    </row>
    <row r="1697">
      <c r="A1697" s="3" t="inlineStr">
        <is>
          <t>Heron Fields (Pty) Ltd</t>
        </is>
      </c>
      <c r="B1697" s="4" t="n">
        <v>44804</v>
      </c>
      <c r="C1697" s="3" t="inlineStr">
        <is>
          <t>Assets</t>
        </is>
      </c>
      <c r="D1697" s="3" t="inlineStr">
        <is>
          <t>7620/230</t>
        </is>
      </c>
      <c r="E1697" s="3" t="inlineStr">
        <is>
          <t>HF CIP Construction Management</t>
        </is>
      </c>
      <c r="F1697" s="3" t="n">
        <v>16500</v>
      </c>
      <c r="G1697" s="3" t="n">
        <v>76500</v>
      </c>
    </row>
    <row r="1698">
      <c r="A1698" s="3" t="inlineStr">
        <is>
          <t>Heron Fields (Pty) Ltd</t>
        </is>
      </c>
      <c r="B1698" s="4" t="n">
        <v>44804</v>
      </c>
      <c r="C1698" s="3" t="inlineStr">
        <is>
          <t>Assets</t>
        </is>
      </c>
      <c r="D1698" s="3" t="inlineStr">
        <is>
          <t>7620/240</t>
        </is>
      </c>
      <c r="E1698" s="3" t="inlineStr">
        <is>
          <t>HF CIP Civil Engineering</t>
        </is>
      </c>
      <c r="F1698" s="3" t="n">
        <v>44276</v>
      </c>
      <c r="G1698" s="3" t="n">
        <v>6685224.8</v>
      </c>
    </row>
    <row r="1699">
      <c r="A1699" s="3" t="inlineStr">
        <is>
          <t>Heron Fields (Pty) Ltd</t>
        </is>
      </c>
      <c r="B1699" s="4" t="n">
        <v>44804</v>
      </c>
      <c r="C1699" s="3" t="inlineStr">
        <is>
          <t>Assets</t>
        </is>
      </c>
      <c r="D1699" s="3" t="inlineStr">
        <is>
          <t>7620/245</t>
        </is>
      </c>
      <c r="E1699" s="3" t="inlineStr">
        <is>
          <t>HF CIP Development fee</t>
        </is>
      </c>
      <c r="F1699" s="3" t="n">
        <v>0</v>
      </c>
      <c r="G1699" s="3" t="n">
        <v>13807.78</v>
      </c>
    </row>
    <row r="1700">
      <c r="A1700" s="3" t="inlineStr">
        <is>
          <t>Heron Fields (Pty) Ltd</t>
        </is>
      </c>
      <c r="B1700" s="4" t="n">
        <v>44804</v>
      </c>
      <c r="C1700" s="3" t="inlineStr">
        <is>
          <t>Assets</t>
        </is>
      </c>
      <c r="D1700" s="3" t="inlineStr">
        <is>
          <t>7620/250</t>
        </is>
      </c>
      <c r="E1700" s="3" t="inlineStr">
        <is>
          <t>HF CIP Land Surveyor</t>
        </is>
      </c>
      <c r="F1700" s="3" t="n">
        <v>59620</v>
      </c>
      <c r="G1700" s="3" t="n">
        <v>103646.09</v>
      </c>
    </row>
    <row r="1701">
      <c r="A1701" s="3" t="inlineStr">
        <is>
          <t>Heron Fields (Pty) Ltd</t>
        </is>
      </c>
      <c r="B1701" s="4" t="n">
        <v>44804</v>
      </c>
      <c r="C1701" s="3" t="inlineStr">
        <is>
          <t>Assets</t>
        </is>
      </c>
      <c r="D1701" s="3" t="inlineStr">
        <is>
          <t>7620/255</t>
        </is>
      </c>
      <c r="E1701" s="3" t="inlineStr">
        <is>
          <t>HF CIP Landscaping</t>
        </is>
      </c>
      <c r="F1701" s="3" t="n">
        <v>0</v>
      </c>
      <c r="G1701" s="3" t="n">
        <v>7500</v>
      </c>
    </row>
    <row r="1702">
      <c r="A1702" s="3" t="inlineStr">
        <is>
          <t>Heron Fields (Pty) Ltd</t>
        </is>
      </c>
      <c r="B1702" s="4" t="n">
        <v>44804</v>
      </c>
      <c r="C1702" s="3" t="inlineStr">
        <is>
          <t>Assets</t>
        </is>
      </c>
      <c r="D1702" s="3" t="inlineStr">
        <is>
          <t>7620/260</t>
        </is>
      </c>
      <c r="E1702" s="3" t="inlineStr">
        <is>
          <t>HF CIP Mechanical Engineers</t>
        </is>
      </c>
      <c r="F1702" s="3" t="n">
        <v>0</v>
      </c>
      <c r="G1702" s="3" t="n">
        <v>67400</v>
      </c>
    </row>
    <row r="1703">
      <c r="A1703" s="3" t="inlineStr">
        <is>
          <t>Heron Fields (Pty) Ltd</t>
        </is>
      </c>
      <c r="B1703" s="4" t="n">
        <v>44804</v>
      </c>
      <c r="C1703" s="3" t="inlineStr">
        <is>
          <t>Assets</t>
        </is>
      </c>
      <c r="D1703" s="3" t="inlineStr">
        <is>
          <t>7620/265</t>
        </is>
      </c>
      <c r="E1703" s="3" t="inlineStr">
        <is>
          <t>HF CIP Health &amp; Safety</t>
        </is>
      </c>
      <c r="F1703" s="3" t="n">
        <v>1400</v>
      </c>
      <c r="G1703" s="3" t="n">
        <v>15000</v>
      </c>
    </row>
    <row r="1704">
      <c r="A1704" s="3" t="inlineStr">
        <is>
          <t>Heron Fields (Pty) Ltd</t>
        </is>
      </c>
      <c r="B1704" s="4" t="n">
        <v>44804</v>
      </c>
      <c r="C1704" s="3" t="inlineStr">
        <is>
          <t>Assets</t>
        </is>
      </c>
      <c r="D1704" s="3" t="inlineStr">
        <is>
          <t>7620/270</t>
        </is>
      </c>
      <c r="E1704" s="3" t="inlineStr">
        <is>
          <t>HF CIP Geotechnical</t>
        </is>
      </c>
      <c r="F1704" s="3" t="n">
        <v>0</v>
      </c>
      <c r="G1704" s="3" t="n">
        <v>15175</v>
      </c>
    </row>
    <row r="1705">
      <c r="A1705" s="3" t="inlineStr">
        <is>
          <t>Heron Fields (Pty) Ltd</t>
        </is>
      </c>
      <c r="B1705" s="4" t="n">
        <v>44804</v>
      </c>
      <c r="C1705" s="3" t="inlineStr">
        <is>
          <t>Assets</t>
        </is>
      </c>
      <c r="D1705" s="3" t="inlineStr">
        <is>
          <t>7620/275</t>
        </is>
      </c>
      <c r="E1705" s="3" t="inlineStr">
        <is>
          <t>HF CIP Retaining Wall</t>
        </is>
      </c>
      <c r="F1705" s="3" t="n">
        <v>0</v>
      </c>
      <c r="G1705" s="3" t="n">
        <v>570856.08</v>
      </c>
    </row>
    <row r="1706">
      <c r="A1706" s="3" t="inlineStr">
        <is>
          <t>Heron Fields (Pty) Ltd</t>
        </is>
      </c>
      <c r="B1706" s="4" t="n">
        <v>44804</v>
      </c>
      <c r="C1706" s="3" t="inlineStr">
        <is>
          <t>Assets</t>
        </is>
      </c>
      <c r="D1706" s="3" t="inlineStr">
        <is>
          <t>7620/280</t>
        </is>
      </c>
      <c r="E1706" s="3" t="inlineStr">
        <is>
          <t>HF CIP Site Establishment</t>
        </is>
      </c>
      <c r="F1706" s="3" t="n">
        <v>4932297.09</v>
      </c>
      <c r="G1706" s="3" t="n">
        <v>24472886.5</v>
      </c>
    </row>
    <row r="1707">
      <c r="A1707" s="3" t="inlineStr">
        <is>
          <t>Heron Fields (Pty) Ltd</t>
        </is>
      </c>
      <c r="B1707" s="4" t="n">
        <v>44804</v>
      </c>
      <c r="C1707" s="3" t="inlineStr">
        <is>
          <t>Assets</t>
        </is>
      </c>
      <c r="D1707" s="3" t="inlineStr">
        <is>
          <t>7620/285</t>
        </is>
      </c>
      <c r="E1707" s="3" t="inlineStr">
        <is>
          <t>HF CIP Structuring Fee - Invest</t>
        </is>
      </c>
      <c r="F1707" s="3" t="n">
        <v>382608.7</v>
      </c>
      <c r="G1707" s="3" t="n">
        <v>3016035.43</v>
      </c>
    </row>
    <row r="1708">
      <c r="A1708" s="3" t="inlineStr">
        <is>
          <t>Heron Fields (Pty) Ltd</t>
        </is>
      </c>
      <c r="B1708" s="4" t="n">
        <v>44804</v>
      </c>
      <c r="C1708" s="3" t="inlineStr">
        <is>
          <t>Assets</t>
        </is>
      </c>
      <c r="D1708" s="3" t="inlineStr">
        <is>
          <t>7620/287</t>
        </is>
      </c>
      <c r="E1708" s="3" t="inlineStr">
        <is>
          <t>HF CIP Structuring Fee - Development</t>
        </is>
      </c>
      <c r="F1708" s="3" t="n">
        <v>0</v>
      </c>
      <c r="G1708" s="3" t="n">
        <v>782608.0699999999</v>
      </c>
    </row>
    <row r="1709">
      <c r="A1709" s="3" t="inlineStr">
        <is>
          <t>Heron Fields (Pty) Ltd</t>
        </is>
      </c>
      <c r="B1709" s="4" t="n">
        <v>44804</v>
      </c>
      <c r="C1709" s="3" t="inlineStr">
        <is>
          <t>Assets</t>
        </is>
      </c>
      <c r="D1709" s="3" t="inlineStr">
        <is>
          <t>7620/290</t>
        </is>
      </c>
      <c r="E1709" s="3" t="inlineStr">
        <is>
          <t>HF CIP Town Planning</t>
        </is>
      </c>
      <c r="F1709" s="3" t="n">
        <v>0</v>
      </c>
      <c r="G1709" s="3" t="n">
        <v>163550</v>
      </c>
    </row>
    <row r="1710">
      <c r="A1710" s="3" t="inlineStr">
        <is>
          <t>Heron Fields (Pty) Ltd</t>
        </is>
      </c>
      <c r="B1710" s="4" t="n">
        <v>44804</v>
      </c>
      <c r="C1710" s="3" t="inlineStr">
        <is>
          <t>Assets</t>
        </is>
      </c>
      <c r="D1710" s="3" t="inlineStr">
        <is>
          <t>7620/295</t>
        </is>
      </c>
      <c r="E1710" s="3" t="inlineStr">
        <is>
          <t>HF CIP Traffic Planning</t>
        </is>
      </c>
      <c r="F1710" s="3" t="n">
        <v>0</v>
      </c>
      <c r="G1710" s="3" t="n">
        <v>45000</v>
      </c>
    </row>
    <row r="1711">
      <c r="A1711" s="3" t="inlineStr">
        <is>
          <t>Heron Fields (Pty) Ltd</t>
        </is>
      </c>
      <c r="B1711" s="4" t="n">
        <v>44804</v>
      </c>
      <c r="C1711" s="3" t="inlineStr">
        <is>
          <t>Assets</t>
        </is>
      </c>
      <c r="D1711" s="3" t="inlineStr">
        <is>
          <t>7620/600</t>
        </is>
      </c>
      <c r="E1711" s="3" t="inlineStr">
        <is>
          <t>HF CIP Eco work</t>
        </is>
      </c>
      <c r="F1711" s="3" t="n">
        <v>6000</v>
      </c>
      <c r="G1711" s="3" t="n">
        <v>95000</v>
      </c>
    </row>
    <row r="1712">
      <c r="A1712" s="3" t="inlineStr">
        <is>
          <t>Heron Fields (Pty) Ltd</t>
        </is>
      </c>
      <c r="B1712" s="4" t="n">
        <v>44804</v>
      </c>
      <c r="C1712" s="3" t="inlineStr">
        <is>
          <t>Assets</t>
        </is>
      </c>
      <c r="D1712" s="3" t="inlineStr">
        <is>
          <t>7620/630</t>
        </is>
      </c>
      <c r="E1712" s="3" t="inlineStr">
        <is>
          <t>HF CIP CoCT development contribution</t>
        </is>
      </c>
      <c r="F1712" s="3" t="n">
        <v>18933.05</v>
      </c>
      <c r="G1712" s="3" t="n">
        <v>1020699.54</v>
      </c>
    </row>
    <row r="1713">
      <c r="A1713" s="3" t="inlineStr">
        <is>
          <t>Heron View (Pty) Ltd</t>
        </is>
      </c>
      <c r="B1713" s="4" t="n">
        <v>44804</v>
      </c>
      <c r="C1713" s="3" t="inlineStr">
        <is>
          <t>Assets</t>
        </is>
      </c>
      <c r="D1713" s="3" t="inlineStr">
        <is>
          <t>7620/630</t>
        </is>
      </c>
      <c r="E1713" s="3" t="inlineStr">
        <is>
          <t>Heron CIP - CoCT development contribution</t>
        </is>
      </c>
      <c r="F1713" s="3" t="n">
        <v>0</v>
      </c>
      <c r="G1713" s="3" t="n">
        <v>1233261.93</v>
      </c>
    </row>
    <row r="1714">
      <c r="A1714" s="3" t="inlineStr">
        <is>
          <t>Heron Fields (Pty) Ltd</t>
        </is>
      </c>
      <c r="B1714" s="4" t="n">
        <v>44804</v>
      </c>
      <c r="C1714" s="3" t="inlineStr">
        <is>
          <t>Assets</t>
        </is>
      </c>
      <c r="D1714" s="3" t="inlineStr">
        <is>
          <t>7620/640</t>
        </is>
      </c>
      <c r="E1714" s="3" t="inlineStr">
        <is>
          <t>HF CIP Project costs</t>
        </is>
      </c>
      <c r="F1714" s="3" t="n">
        <v>0</v>
      </c>
      <c r="G1714" s="3" t="n">
        <v>622274.51</v>
      </c>
    </row>
    <row r="1715">
      <c r="A1715" s="3" t="inlineStr">
        <is>
          <t>Heron Fields (Pty) Ltd</t>
        </is>
      </c>
      <c r="B1715" s="4" t="n">
        <v>44804</v>
      </c>
      <c r="C1715" s="3" t="inlineStr">
        <is>
          <t>Assets</t>
        </is>
      </c>
      <c r="D1715" s="3" t="inlineStr">
        <is>
          <t>7620/650</t>
        </is>
      </c>
      <c r="E1715" s="3" t="inlineStr">
        <is>
          <t>HF CIP Electrical</t>
        </is>
      </c>
      <c r="F1715" s="3" t="n">
        <v>240274.17</v>
      </c>
      <c r="G1715" s="3" t="n">
        <v>938082.41</v>
      </c>
    </row>
    <row r="1716">
      <c r="A1716" s="3" t="inlineStr">
        <is>
          <t>Heron View (Pty) Ltd</t>
        </is>
      </c>
      <c r="B1716" s="4" t="n">
        <v>44804</v>
      </c>
      <c r="C1716" s="3" t="inlineStr">
        <is>
          <t>Assets</t>
        </is>
      </c>
      <c r="D1716" s="3" t="inlineStr">
        <is>
          <t>7620/660</t>
        </is>
      </c>
      <c r="E1716" s="3" t="inlineStr">
        <is>
          <t>HV CIP Health &amp; Safety</t>
        </is>
      </c>
      <c r="F1716" s="3" t="n">
        <v>0</v>
      </c>
      <c r="G1716" s="3" t="n">
        <v>8500</v>
      </c>
    </row>
    <row r="1717">
      <c r="A1717" s="3" t="inlineStr">
        <is>
          <t>Heron View (Pty) Ltd</t>
        </is>
      </c>
      <c r="B1717" s="4" t="n">
        <v>44804</v>
      </c>
      <c r="C1717" s="3" t="inlineStr">
        <is>
          <t>Assets</t>
        </is>
      </c>
      <c r="D1717" s="3" t="inlineStr">
        <is>
          <t>7620/670</t>
        </is>
      </c>
      <c r="E1717" s="3" t="inlineStr">
        <is>
          <t>HV CIP - Project costs CPSD</t>
        </is>
      </c>
      <c r="F1717" s="3" t="n">
        <v>250000</v>
      </c>
      <c r="G1717" s="3" t="n">
        <v>250000</v>
      </c>
    </row>
    <row r="1718">
      <c r="A1718" s="3" t="inlineStr">
        <is>
          <t>Heron Fields (Pty) Ltd</t>
        </is>
      </c>
      <c r="B1718" s="4" t="n">
        <v>44804</v>
      </c>
      <c r="C1718" s="3" t="inlineStr">
        <is>
          <t>Assets</t>
        </is>
      </c>
      <c r="D1718" s="3" t="inlineStr">
        <is>
          <t>7620/700</t>
        </is>
      </c>
      <c r="E1718" s="3" t="inlineStr">
        <is>
          <t>HF CIP - P&amp;G recoveries - Endulini&amp;Heron Fields/View</t>
        </is>
      </c>
      <c r="F1718" s="3" t="n">
        <v>0</v>
      </c>
      <c r="G1718" s="3" t="n">
        <v>3023829.42</v>
      </c>
    </row>
    <row r="1719">
      <c r="A1719" s="3" t="inlineStr">
        <is>
          <t>Heron Fields (Pty) Ltd</t>
        </is>
      </c>
      <c r="B1719" s="4" t="n">
        <v>44804</v>
      </c>
      <c r="C1719" s="3" t="inlineStr">
        <is>
          <t>Assets</t>
        </is>
      </c>
      <c r="D1719" s="3" t="inlineStr">
        <is>
          <t>7620/750</t>
        </is>
      </c>
      <c r="E1719" s="3" t="inlineStr">
        <is>
          <t>HF CIP Project costs CPSD</t>
        </is>
      </c>
      <c r="F1719" s="3" t="n">
        <v>850000</v>
      </c>
      <c r="G1719" s="3" t="n">
        <v>850000</v>
      </c>
    </row>
    <row r="1720">
      <c r="A1720" s="3" t="inlineStr">
        <is>
          <t>Cape Projects Construction (Pty) Ltd</t>
        </is>
      </c>
      <c r="B1720" s="4" t="n">
        <v>44804</v>
      </c>
      <c r="C1720" s="3" t="inlineStr">
        <is>
          <t>Assets</t>
        </is>
      </c>
      <c r="D1720" s="3" t="inlineStr">
        <is>
          <t>7800/000</t>
        </is>
      </c>
      <c r="E1720" s="3" t="inlineStr">
        <is>
          <t>Deposits paid</t>
        </is>
      </c>
      <c r="F1720" s="3" t="n">
        <v>0</v>
      </c>
      <c r="G1720" s="3" t="n">
        <v>6875.45</v>
      </c>
    </row>
    <row r="1721">
      <c r="A1721" s="3" t="inlineStr">
        <is>
          <t>Cape Projects Construction (Pty) Ltd</t>
        </is>
      </c>
      <c r="B1721" s="4" t="n">
        <v>44804</v>
      </c>
      <c r="C1721" s="3" t="inlineStr">
        <is>
          <t>Assets</t>
        </is>
      </c>
      <c r="D1721" s="3" t="inlineStr">
        <is>
          <t>8000/000</t>
        </is>
      </c>
      <c r="E1721" s="3" t="inlineStr">
        <is>
          <t>Customer Control Account</t>
        </is>
      </c>
      <c r="F1721" s="3" t="n">
        <v>2993943.68</v>
      </c>
      <c r="G1721" s="3" t="n">
        <v>8337040.93</v>
      </c>
    </row>
    <row r="1722">
      <c r="A1722" s="3" t="inlineStr">
        <is>
          <t>Cape Projects Construction (Pty) Ltd</t>
        </is>
      </c>
      <c r="B1722" s="4" t="n">
        <v>44804</v>
      </c>
      <c r="C1722" s="3" t="inlineStr">
        <is>
          <t>Assets</t>
        </is>
      </c>
      <c r="D1722" s="3" t="inlineStr">
        <is>
          <t>8200/010</t>
        </is>
      </c>
      <c r="E1722" s="3" t="inlineStr">
        <is>
          <t>Prepayments / Prepaid Expenses</t>
        </is>
      </c>
      <c r="F1722" s="3" t="n">
        <v>-2719.44</v>
      </c>
      <c r="G1722" s="3" t="n">
        <v>19036.07</v>
      </c>
    </row>
    <row r="1723">
      <c r="A1723" s="3" t="inlineStr">
        <is>
          <t>Cape Projects Construction (Pty) Ltd</t>
        </is>
      </c>
      <c r="B1723" s="4" t="n">
        <v>44804</v>
      </c>
      <c r="C1723" s="3" t="inlineStr">
        <is>
          <t>Assets</t>
        </is>
      </c>
      <c r="D1723" s="3" t="inlineStr">
        <is>
          <t>8300/000</t>
        </is>
      </c>
      <c r="E1723" s="3" t="inlineStr">
        <is>
          <t>FNB Credit Card 8812 7100 446 6006</t>
        </is>
      </c>
      <c r="F1723" s="3" t="n">
        <v>25</v>
      </c>
      <c r="G1723" s="3" t="n">
        <v>25</v>
      </c>
    </row>
    <row r="1724">
      <c r="A1724" s="3" t="inlineStr">
        <is>
          <t>Heron Fields (Pty) Ltd</t>
        </is>
      </c>
      <c r="B1724" s="4" t="n">
        <v>44804</v>
      </c>
      <c r="C1724" s="3" t="inlineStr">
        <is>
          <t>Assets</t>
        </is>
      </c>
      <c r="D1724" s="3" t="inlineStr">
        <is>
          <t>8400/000</t>
        </is>
      </c>
      <c r="E1724" s="3" t="inlineStr">
        <is>
          <t>RMB - 62882379087</t>
        </is>
      </c>
      <c r="F1724" s="3" t="n">
        <v>1018319</v>
      </c>
      <c r="G1724" s="3" t="n">
        <v>1034604.19</v>
      </c>
    </row>
    <row r="1725">
      <c r="A1725" s="3" t="inlineStr">
        <is>
          <t>Cape Projects Construction (Pty) Ltd</t>
        </is>
      </c>
      <c r="B1725" s="4" t="n">
        <v>44804</v>
      </c>
      <c r="C1725" s="3" t="inlineStr">
        <is>
          <t>Assets</t>
        </is>
      </c>
      <c r="D1725" s="3" t="inlineStr">
        <is>
          <t>8400/000</t>
        </is>
      </c>
      <c r="E1725" s="3" t="inlineStr">
        <is>
          <t>RMB 62275138470</t>
        </is>
      </c>
      <c r="F1725" s="3" t="n">
        <v>828644.26</v>
      </c>
      <c r="G1725" s="3" t="n">
        <v>949554.5699999999</v>
      </c>
    </row>
    <row r="1726">
      <c r="A1726" s="3" t="inlineStr">
        <is>
          <t>Cape Projects Construction (Pty) Ltd</t>
        </is>
      </c>
      <c r="B1726" s="4" t="n">
        <v>44804</v>
      </c>
      <c r="C1726" s="3" t="inlineStr">
        <is>
          <t>Assets</t>
        </is>
      </c>
      <c r="D1726" s="3" t="inlineStr">
        <is>
          <t>8420/000</t>
        </is>
      </c>
      <c r="E1726" s="3" t="inlineStr">
        <is>
          <t>Momentum Priv Acc RU502230981</t>
        </is>
      </c>
      <c r="F1726" s="3" t="n">
        <v>2.39</v>
      </c>
      <c r="G1726" s="3" t="n">
        <v>522.6</v>
      </c>
    </row>
    <row r="1727">
      <c r="A1727" s="3" t="inlineStr">
        <is>
          <t>Heron Fields (Pty) Ltd</t>
        </is>
      </c>
      <c r="B1727" s="4" t="n">
        <v>44804</v>
      </c>
      <c r="C1727" s="3" t="inlineStr">
        <is>
          <t>Assets</t>
        </is>
      </c>
      <c r="D1727" s="3" t="inlineStr">
        <is>
          <t>8430/000</t>
        </is>
      </c>
      <c r="E1727" s="3" t="inlineStr">
        <is>
          <t>Momentum Private Account RU502230151</t>
        </is>
      </c>
      <c r="F1727" s="3" t="n">
        <v>3.3</v>
      </c>
      <c r="G1727" s="3" t="n">
        <v>802.62</v>
      </c>
    </row>
    <row r="1728">
      <c r="A1728" s="3" t="inlineStr">
        <is>
          <t>Heron Fields (Pty) Ltd</t>
        </is>
      </c>
      <c r="B1728" s="4" t="n">
        <v>44804</v>
      </c>
      <c r="C1728" s="3" t="inlineStr">
        <is>
          <t>Assets</t>
        </is>
      </c>
      <c r="D1728" s="3" t="inlineStr">
        <is>
          <t>8440/000</t>
        </is>
      </c>
      <c r="E1728" s="3" t="inlineStr">
        <is>
          <t>Momentum Investors Account RU502229930</t>
        </is>
      </c>
      <c r="F1728" s="3" t="n">
        <v>-1710365.74</v>
      </c>
      <c r="G1728" s="3" t="n">
        <v>11014669.82</v>
      </c>
    </row>
    <row r="1729">
      <c r="A1729" s="3" t="inlineStr">
        <is>
          <t>Cape Projects Construction (Pty) Ltd</t>
        </is>
      </c>
      <c r="B1729" s="4" t="n">
        <v>44804</v>
      </c>
      <c r="C1729" s="3" t="inlineStr">
        <is>
          <t>Liabilities</t>
        </is>
      </c>
      <c r="D1729" s="3" t="inlineStr">
        <is>
          <t>860</t>
        </is>
      </c>
      <c r="E1729" s="3" t="inlineStr">
        <is>
          <t>Rounding</t>
        </is>
      </c>
      <c r="F1729" s="3" t="n">
        <v>0</v>
      </c>
      <c r="G1729" s="3" t="n">
        <v>-0.04</v>
      </c>
    </row>
    <row r="1730">
      <c r="A1730" s="3" t="inlineStr">
        <is>
          <t>Cape Projects Construction (Pty) Ltd</t>
        </is>
      </c>
      <c r="B1730" s="4" t="n">
        <v>44804</v>
      </c>
      <c r="C1730" s="3" t="inlineStr">
        <is>
          <t>Liabilities</t>
        </is>
      </c>
      <c r="D1730" s="3" t="inlineStr">
        <is>
          <t>9000/000</t>
        </is>
      </c>
      <c r="E1730" s="3" t="inlineStr">
        <is>
          <t>Supplier Control Account</t>
        </is>
      </c>
      <c r="F1730" s="3" t="n">
        <v>-4163853.79</v>
      </c>
      <c r="G1730" s="3" t="n">
        <v>-7769666.34</v>
      </c>
    </row>
    <row r="1731">
      <c r="A1731" s="3" t="inlineStr">
        <is>
          <t>Heron Fields (Pty) Ltd</t>
        </is>
      </c>
      <c r="B1731" s="4" t="n">
        <v>44804</v>
      </c>
      <c r="C1731" s="3" t="inlineStr">
        <is>
          <t>Liabilities</t>
        </is>
      </c>
      <c r="D1731" s="3" t="inlineStr">
        <is>
          <t>9000/000</t>
        </is>
      </c>
      <c r="E1731" s="3" t="inlineStr">
        <is>
          <t>Supplier Control Account</t>
        </is>
      </c>
      <c r="F1731" s="3" t="n">
        <v>-5457017.23</v>
      </c>
      <c r="G1731" s="3" t="n">
        <v>-91600192.3</v>
      </c>
    </row>
    <row r="1732">
      <c r="A1732" s="3" t="inlineStr">
        <is>
          <t>Heron View (Pty) Ltd</t>
        </is>
      </c>
      <c r="B1732" s="4" t="n">
        <v>44804</v>
      </c>
      <c r="C1732" s="3" t="inlineStr">
        <is>
          <t>Liabilities</t>
        </is>
      </c>
      <c r="D1732" s="3" t="inlineStr">
        <is>
          <t>9000/000</t>
        </is>
      </c>
      <c r="E1732" s="3" t="inlineStr">
        <is>
          <t>Supplier Control Account</t>
        </is>
      </c>
      <c r="F1732" s="3" t="n">
        <v>-286926.5</v>
      </c>
      <c r="G1732" s="3" t="n">
        <v>-285676.5</v>
      </c>
    </row>
    <row r="1733">
      <c r="A1733" s="3" t="inlineStr">
        <is>
          <t>Cape Projects Construction (Pty) Ltd</t>
        </is>
      </c>
      <c r="B1733" s="4" t="n">
        <v>44804</v>
      </c>
      <c r="C1733" s="3" t="inlineStr">
        <is>
          <t>Liabilities</t>
        </is>
      </c>
      <c r="D1733" s="3" t="inlineStr">
        <is>
          <t>9200/000</t>
        </is>
      </c>
      <c r="E1733" s="3" t="inlineStr">
        <is>
          <t>Sundry Suppliers</t>
        </is>
      </c>
      <c r="F1733" s="3" t="n">
        <v>0</v>
      </c>
      <c r="G1733" s="3" t="n">
        <v>1186.13</v>
      </c>
    </row>
    <row r="1734">
      <c r="A1734" s="3" t="inlineStr">
        <is>
          <t>Cape Projects Construction (Pty) Ltd</t>
        </is>
      </c>
      <c r="B1734" s="4" t="n">
        <v>44804</v>
      </c>
      <c r="C1734" s="3" t="inlineStr">
        <is>
          <t>Liabilities</t>
        </is>
      </c>
      <c r="D1734" s="3" t="inlineStr">
        <is>
          <t>9250/010</t>
        </is>
      </c>
      <c r="E1734" s="3" t="inlineStr">
        <is>
          <t>SALARY CONTROL</t>
        </is>
      </c>
      <c r="F1734" s="3" t="n">
        <v>0</v>
      </c>
      <c r="G1734" s="3" t="n">
        <v>20758.55</v>
      </c>
    </row>
    <row r="1735">
      <c r="A1735" s="3" t="inlineStr">
        <is>
          <t>Cape Projects Construction (Pty) Ltd</t>
        </is>
      </c>
      <c r="B1735" s="4" t="n">
        <v>44804</v>
      </c>
      <c r="C1735" s="3" t="inlineStr">
        <is>
          <t>Liabilities</t>
        </is>
      </c>
      <c r="D1735" s="3" t="inlineStr">
        <is>
          <t>9250/020</t>
        </is>
      </c>
      <c r="E1735" s="3" t="inlineStr">
        <is>
          <t>PAYE, UIF AND SDL CONTROL</t>
        </is>
      </c>
      <c r="F1735" s="3" t="n">
        <v>-807.78</v>
      </c>
      <c r="G1735" s="3" t="n">
        <v>-13726.03</v>
      </c>
    </row>
    <row r="1736">
      <c r="A1736" s="3" t="inlineStr">
        <is>
          <t>Cape Projects Construction (Pty) Ltd</t>
        </is>
      </c>
      <c r="B1736" s="4" t="n">
        <v>44804</v>
      </c>
      <c r="C1736" s="3" t="inlineStr">
        <is>
          <t>Liabilities</t>
        </is>
      </c>
      <c r="D1736" s="3" t="inlineStr">
        <is>
          <t>9250/030</t>
        </is>
      </c>
      <c r="E1736" s="3" t="inlineStr">
        <is>
          <t>BIBC CONTROL</t>
        </is>
      </c>
      <c r="F1736" s="3" t="n">
        <v>-12988.81</v>
      </c>
      <c r="G1736" s="3" t="n">
        <v>-39394.77</v>
      </c>
    </row>
    <row r="1737">
      <c r="A1737" s="3" t="inlineStr">
        <is>
          <t>Cape Projects Construction (Pty) Ltd</t>
        </is>
      </c>
      <c r="B1737" s="4" t="n">
        <v>44804</v>
      </c>
      <c r="C1737" s="3" t="inlineStr">
        <is>
          <t>Liabilities</t>
        </is>
      </c>
      <c r="D1737" s="3" t="inlineStr">
        <is>
          <t>9500/000</t>
        </is>
      </c>
      <c r="E1737" s="3" t="inlineStr">
        <is>
          <t>VAT Control Account</t>
        </is>
      </c>
      <c r="F1737" s="3" t="n">
        <v>-211796.04</v>
      </c>
      <c r="G1737" s="3" t="n">
        <v>-1980364.5</v>
      </c>
    </row>
    <row r="1738">
      <c r="A1738" s="3" t="inlineStr">
        <is>
          <t>Heron Fields (Pty) Ltd</t>
        </is>
      </c>
      <c r="B1738" s="4" t="n">
        <v>44804</v>
      </c>
      <c r="C1738" s="3" t="inlineStr">
        <is>
          <t>Liabilities</t>
        </is>
      </c>
      <c r="D1738" s="3" t="inlineStr">
        <is>
          <t>9500/000</t>
        </is>
      </c>
      <c r="E1738" s="3" t="inlineStr">
        <is>
          <t>Vat / Tax Control Account</t>
        </is>
      </c>
      <c r="F1738" s="3" t="n">
        <v>-1305813.62</v>
      </c>
      <c r="G1738" s="3" t="n">
        <v>2528033.36</v>
      </c>
    </row>
    <row r="1739">
      <c r="A1739" s="3" t="inlineStr">
        <is>
          <t>Heron View (Pty) Ltd</t>
        </is>
      </c>
      <c r="B1739" s="4" t="n">
        <v>44804</v>
      </c>
      <c r="C1739" s="3" t="inlineStr">
        <is>
          <t>Liabilities</t>
        </is>
      </c>
      <c r="D1739" s="3" t="inlineStr">
        <is>
          <t>9500/000</t>
        </is>
      </c>
      <c r="E1739" s="3" t="inlineStr">
        <is>
          <t>Vat / Tax Control Account</t>
        </is>
      </c>
      <c r="F1739" s="3" t="n">
        <v>38130</v>
      </c>
      <c r="G1739" s="3" t="n">
        <v>223569.29</v>
      </c>
    </row>
    <row r="1740">
      <c r="A1740" s="3" t="inlineStr">
        <is>
          <t>Cape Projects Construction (Pty) Ltd</t>
        </is>
      </c>
      <c r="B1740" s="4" t="n">
        <v>44804</v>
      </c>
      <c r="C1740" s="3" t="inlineStr">
        <is>
          <t>Liabilities</t>
        </is>
      </c>
      <c r="D1740" s="3" t="inlineStr">
        <is>
          <t>9990/000</t>
        </is>
      </c>
      <c r="E1740" s="3" t="inlineStr">
        <is>
          <t>Opening Balance / Suspense Account</t>
        </is>
      </c>
      <c r="F1740" s="3" t="n">
        <v>0</v>
      </c>
      <c r="G1740" s="3" t="n">
        <v>80</v>
      </c>
    </row>
    <row r="1741">
      <c r="A1741" s="3" t="inlineStr">
        <is>
          <t>Cape Projects Construction (Pty) Ltd</t>
        </is>
      </c>
      <c r="B1741" s="4" t="n">
        <v>44804</v>
      </c>
      <c r="C1741" s="3" t="inlineStr">
        <is>
          <t>Liabilities</t>
        </is>
      </c>
      <c r="D1741" s="3" t="inlineStr">
        <is>
          <t>B/S</t>
        </is>
      </c>
      <c r="E1741" s="3" t="inlineStr">
        <is>
          <t>Taxation Payable</t>
        </is>
      </c>
      <c r="F1741" s="3" t="n">
        <v>0</v>
      </c>
      <c r="G1741" s="3" t="n">
        <v>1869.8</v>
      </c>
    </row>
    <row r="1742">
      <c r="A1742" s="3" t="inlineStr">
        <is>
          <t>Cape Projects Construction (Pty) Ltd</t>
        </is>
      </c>
      <c r="B1742" s="4" t="n">
        <v>44804</v>
      </c>
      <c r="C1742" s="3" t="inlineStr">
        <is>
          <t>Liabilities</t>
        </is>
      </c>
      <c r="D1742" s="3" t="inlineStr">
        <is>
          <t>TEMP/ACC</t>
        </is>
      </c>
      <c r="E1742" s="3" t="inlineStr">
        <is>
          <t>Conversion Account</t>
        </is>
      </c>
      <c r="F1742" s="3" t="n">
        <v>0</v>
      </c>
      <c r="G1742" s="3" t="n">
        <v>-254.99</v>
      </c>
    </row>
    <row r="1743">
      <c r="A1743" s="3" t="inlineStr">
        <is>
          <t>Cape Projects Construction (Pty) Ltd</t>
        </is>
      </c>
      <c r="B1743" s="4" t="n">
        <v>44834</v>
      </c>
      <c r="C1743" s="3" t="inlineStr">
        <is>
          <t>Revenue</t>
        </is>
      </c>
      <c r="D1743" s="3" t="inlineStr">
        <is>
          <t>1040/100</t>
        </is>
      </c>
      <c r="E1743" s="3" t="inlineStr">
        <is>
          <t>Fees - Construction - Heron</t>
        </is>
      </c>
      <c r="F1743" s="3" t="n">
        <v>-7124921.12</v>
      </c>
      <c r="G1743" s="3" t="n">
        <v>-31886750.65</v>
      </c>
    </row>
    <row r="1744">
      <c r="A1744" s="3" t="inlineStr">
        <is>
          <t>Cape Projects Construction (Pty) Ltd</t>
        </is>
      </c>
      <c r="B1744" s="4" t="n">
        <v>44834</v>
      </c>
      <c r="C1744" s="3" t="inlineStr">
        <is>
          <t>Revenue</t>
        </is>
      </c>
      <c r="D1744" s="3" t="inlineStr">
        <is>
          <t>1050/030</t>
        </is>
      </c>
      <c r="E1744" s="3" t="inlineStr">
        <is>
          <t>Fees - Construction - Endulini</t>
        </is>
      </c>
      <c r="F1744" s="3" t="n">
        <v>0</v>
      </c>
      <c r="G1744" s="3" t="n">
        <v>-12046638.06</v>
      </c>
    </row>
    <row r="1745">
      <c r="A1745" s="3" t="inlineStr">
        <is>
          <t>Cape Projects Construction (Pty) Ltd</t>
        </is>
      </c>
      <c r="B1745" s="4" t="n">
        <v>44834</v>
      </c>
      <c r="C1745" s="3" t="inlineStr">
        <is>
          <t>Revenue</t>
        </is>
      </c>
      <c r="D1745" s="3" t="inlineStr">
        <is>
          <t>1051/100</t>
        </is>
      </c>
      <c r="E1745" s="3" t="inlineStr">
        <is>
          <t>Fees - Construction - Heron Fields</t>
        </is>
      </c>
      <c r="F1745" s="3" t="n">
        <v>0</v>
      </c>
      <c r="G1745" s="3" t="n">
        <v>-1782369.8</v>
      </c>
    </row>
    <row r="1746">
      <c r="A1746" s="3" t="inlineStr">
        <is>
          <t>Cape Projects Construction (Pty) Ltd</t>
        </is>
      </c>
      <c r="B1746" s="4" t="n">
        <v>44834</v>
      </c>
      <c r="C1746" s="3" t="inlineStr">
        <is>
          <t>Revenue</t>
        </is>
      </c>
      <c r="D1746" s="3" t="inlineStr">
        <is>
          <t>1051/200</t>
        </is>
      </c>
      <c r="E1746" s="3" t="inlineStr">
        <is>
          <t>Fees - Construction - Heron Fields P&amp;G</t>
        </is>
      </c>
      <c r="F1746" s="3" t="n">
        <v>0</v>
      </c>
      <c r="G1746" s="3" t="n">
        <v>1616.91</v>
      </c>
    </row>
    <row r="1747">
      <c r="A1747" s="3" t="inlineStr">
        <is>
          <t>Cape Projects Construction (Pty) Ltd</t>
        </is>
      </c>
      <c r="B1747" s="4" t="n">
        <v>44834</v>
      </c>
      <c r="C1747" s="3" t="inlineStr">
        <is>
          <t>Revenue</t>
        </is>
      </c>
      <c r="D1747" s="3" t="inlineStr">
        <is>
          <t>1060/000</t>
        </is>
      </c>
      <c r="E1747" s="3" t="inlineStr">
        <is>
          <t>Insurance recovery</t>
        </is>
      </c>
      <c r="F1747" s="3" t="n">
        <v>0</v>
      </c>
      <c r="G1747" s="3" t="n">
        <v>-2839.7</v>
      </c>
    </row>
    <row r="1748">
      <c r="A1748" s="3" t="inlineStr">
        <is>
          <t>Cape Projects Construction (Pty) Ltd</t>
        </is>
      </c>
      <c r="B1748" s="4" t="n">
        <v>44834</v>
      </c>
      <c r="C1748" s="3" t="inlineStr">
        <is>
          <t>Revenue</t>
        </is>
      </c>
      <c r="D1748" s="3" t="inlineStr">
        <is>
          <t>1070/000</t>
        </is>
      </c>
      <c r="E1748" s="3" t="inlineStr">
        <is>
          <t>Rent - CT Office</t>
        </is>
      </c>
      <c r="F1748" s="3" t="n">
        <v>-3490.94</v>
      </c>
      <c r="G1748" s="3" t="n">
        <v>-24436.58</v>
      </c>
    </row>
    <row r="1749">
      <c r="A1749" s="3" t="inlineStr">
        <is>
          <t>Heron View (Pty) Ltd</t>
        </is>
      </c>
      <c r="B1749" s="4" t="n">
        <v>44834</v>
      </c>
      <c r="C1749" s="3" t="inlineStr">
        <is>
          <t>Expenses</t>
        </is>
      </c>
      <c r="D1749" s="3" t="inlineStr">
        <is>
          <t>2000/010</t>
        </is>
      </c>
      <c r="E1749" s="3" t="inlineStr">
        <is>
          <t>COS - Heron View</t>
        </is>
      </c>
      <c r="F1749" s="3" t="n">
        <v>678.59</v>
      </c>
      <c r="G1749" s="3" t="n">
        <v>678.59</v>
      </c>
    </row>
    <row r="1750">
      <c r="A1750" s="3" t="inlineStr">
        <is>
          <t>Heron Fields (Pty) Ltd</t>
        </is>
      </c>
      <c r="B1750" s="4" t="n">
        <v>44834</v>
      </c>
      <c r="C1750" s="3" t="inlineStr">
        <is>
          <t>Expenses</t>
        </is>
      </c>
      <c r="D1750" s="3" t="inlineStr">
        <is>
          <t>2000/030</t>
        </is>
      </c>
      <c r="E1750" s="3" t="inlineStr">
        <is>
          <t>COS - Commission Heron Fields investors</t>
        </is>
      </c>
      <c r="F1750" s="3" t="n">
        <v>0</v>
      </c>
      <c r="G1750" s="3" t="n">
        <v>86956.52</v>
      </c>
    </row>
    <row r="1751">
      <c r="A1751" s="3" t="inlineStr">
        <is>
          <t>Heron Fields (Pty) Ltd</t>
        </is>
      </c>
      <c r="B1751" s="4" t="n">
        <v>44834</v>
      </c>
      <c r="C1751" s="3" t="inlineStr">
        <is>
          <t>Expenses</t>
        </is>
      </c>
      <c r="D1751" s="3" t="inlineStr">
        <is>
          <t>2000/040</t>
        </is>
      </c>
      <c r="E1751" s="3" t="inlineStr">
        <is>
          <t>COS - Legal Fees</t>
        </is>
      </c>
      <c r="F1751" s="3" t="n">
        <v>0</v>
      </c>
      <c r="G1751" s="3" t="n">
        <v>20693</v>
      </c>
    </row>
    <row r="1752">
      <c r="A1752" s="3" t="inlineStr">
        <is>
          <t>Heron Fields (Pty) Ltd</t>
        </is>
      </c>
      <c r="B1752" s="4" t="n">
        <v>44834</v>
      </c>
      <c r="C1752" s="3" t="inlineStr">
        <is>
          <t>Expenses</t>
        </is>
      </c>
      <c r="D1752" s="3" t="inlineStr">
        <is>
          <t>2000/050</t>
        </is>
      </c>
      <c r="E1752" s="3" t="inlineStr">
        <is>
          <t>COS - Rates clearance</t>
        </is>
      </c>
      <c r="F1752" s="3" t="n">
        <v>9738.91</v>
      </c>
      <c r="G1752" s="3" t="n">
        <v>9738.91</v>
      </c>
    </row>
    <row r="1753">
      <c r="A1753" s="3" t="inlineStr">
        <is>
          <t>Cape Projects Construction (Pty) Ltd</t>
        </is>
      </c>
      <c r="B1753" s="4" t="n">
        <v>44834</v>
      </c>
      <c r="C1753" s="3" t="inlineStr">
        <is>
          <t>Expenses</t>
        </is>
      </c>
      <c r="D1753" s="3" t="inlineStr">
        <is>
          <t>2005/200</t>
        </is>
      </c>
      <c r="E1753" s="3" t="inlineStr">
        <is>
          <t>COS - External Works</t>
        </is>
      </c>
      <c r="F1753" s="3" t="n">
        <v>0</v>
      </c>
      <c r="G1753" s="3" t="n">
        <v>957.28</v>
      </c>
    </row>
    <row r="1754">
      <c r="A1754" s="3" t="inlineStr">
        <is>
          <t>Cape Projects Construction (Pty) Ltd</t>
        </is>
      </c>
      <c r="B1754" s="4" t="n">
        <v>44834</v>
      </c>
      <c r="C1754" s="3" t="inlineStr">
        <is>
          <t>Expenses</t>
        </is>
      </c>
      <c r="D1754" s="3" t="inlineStr">
        <is>
          <t>2006/000</t>
        </is>
      </c>
      <c r="E1754" s="3" t="inlineStr">
        <is>
          <t>COS - Endulini Construction</t>
        </is>
      </c>
      <c r="F1754" s="3" t="n">
        <v>210268.29</v>
      </c>
      <c r="G1754" s="3" t="n">
        <v>16068410.28</v>
      </c>
    </row>
    <row r="1755">
      <c r="A1755" s="3" t="inlineStr">
        <is>
          <t>Cape Projects Construction (Pty) Ltd</t>
        </is>
      </c>
      <c r="B1755" s="4" t="n">
        <v>44834</v>
      </c>
      <c r="C1755" s="3" t="inlineStr">
        <is>
          <t>Expenses</t>
        </is>
      </c>
      <c r="D1755" s="3" t="inlineStr">
        <is>
          <t>2006/100</t>
        </is>
      </c>
      <c r="E1755" s="3" t="inlineStr">
        <is>
          <t>COS - Endulini P and G</t>
        </is>
      </c>
      <c r="F1755" s="3" t="n">
        <v>28359.61</v>
      </c>
      <c r="G1755" s="3" t="n">
        <v>866025.67</v>
      </c>
    </row>
    <row r="1756">
      <c r="A1756" s="3" t="inlineStr">
        <is>
          <t>Cape Projects Construction (Pty) Ltd</t>
        </is>
      </c>
      <c r="B1756" s="4" t="n">
        <v>44834</v>
      </c>
      <c r="C1756" s="3" t="inlineStr">
        <is>
          <t>Expenses</t>
        </is>
      </c>
      <c r="D1756" s="3" t="inlineStr">
        <is>
          <t>2006/200</t>
        </is>
      </c>
      <c r="E1756" s="3" t="inlineStr">
        <is>
          <t>COS - Insurance</t>
        </is>
      </c>
      <c r="F1756" s="3" t="n">
        <v>2719.44</v>
      </c>
      <c r="G1756" s="3" t="n">
        <v>32011.81</v>
      </c>
    </row>
    <row r="1757">
      <c r="A1757" s="3" t="inlineStr">
        <is>
          <t>Cape Projects Construction (Pty) Ltd</t>
        </is>
      </c>
      <c r="B1757" s="4" t="n">
        <v>44834</v>
      </c>
      <c r="C1757" s="3" t="inlineStr">
        <is>
          <t>Expenses</t>
        </is>
      </c>
      <c r="D1757" s="3" t="inlineStr">
        <is>
          <t>2006/300</t>
        </is>
      </c>
      <c r="E1757" s="3" t="inlineStr">
        <is>
          <t>COS - Endulini - Printing &amp; Stationary</t>
        </is>
      </c>
      <c r="F1757" s="3" t="n">
        <v>0</v>
      </c>
      <c r="G1757" s="3" t="n">
        <v>269.65</v>
      </c>
    </row>
    <row r="1758">
      <c r="A1758" s="3" t="inlineStr">
        <is>
          <t>Cape Projects Construction (Pty) Ltd</t>
        </is>
      </c>
      <c r="B1758" s="4" t="n">
        <v>44834</v>
      </c>
      <c r="C1758" s="3" t="inlineStr">
        <is>
          <t>Expenses</t>
        </is>
      </c>
      <c r="D1758" s="3" t="inlineStr">
        <is>
          <t>2006/350</t>
        </is>
      </c>
      <c r="E1758" s="3" t="inlineStr">
        <is>
          <t>COS - Endulini - Security</t>
        </is>
      </c>
      <c r="F1758" s="3" t="n">
        <v>0</v>
      </c>
      <c r="G1758" s="3" t="n">
        <v>11000</v>
      </c>
    </row>
    <row r="1759">
      <c r="A1759" s="3" t="inlineStr">
        <is>
          <t>Cape Projects Construction (Pty) Ltd</t>
        </is>
      </c>
      <c r="B1759" s="4" t="n">
        <v>44834</v>
      </c>
      <c r="C1759" s="3" t="inlineStr">
        <is>
          <t>Expenses</t>
        </is>
      </c>
      <c r="D1759" s="3" t="inlineStr">
        <is>
          <t>2006/400</t>
        </is>
      </c>
      <c r="E1759" s="3" t="inlineStr">
        <is>
          <t>COS - Endulini - Health &amp; Safety</t>
        </is>
      </c>
      <c r="F1759" s="3" t="n">
        <v>-400</v>
      </c>
      <c r="G1759" s="3" t="n">
        <v>19600</v>
      </c>
    </row>
    <row r="1760">
      <c r="A1760" s="3" t="inlineStr">
        <is>
          <t>Cape Projects Construction (Pty) Ltd</t>
        </is>
      </c>
      <c r="B1760" s="4" t="n">
        <v>44834</v>
      </c>
      <c r="C1760" s="3" t="inlineStr">
        <is>
          <t>Expenses</t>
        </is>
      </c>
      <c r="D1760" s="3" t="inlineStr">
        <is>
          <t>2006/700</t>
        </is>
      </c>
      <c r="E1760" s="3" t="inlineStr">
        <is>
          <t>COS - Endulini - Fuel</t>
        </is>
      </c>
      <c r="F1760" s="3" t="n">
        <v>0</v>
      </c>
      <c r="G1760" s="3" t="n">
        <v>2473.65</v>
      </c>
    </row>
    <row r="1761">
      <c r="A1761" s="3" t="inlineStr">
        <is>
          <t>Cape Projects Construction (Pty) Ltd</t>
        </is>
      </c>
      <c r="B1761" s="4" t="n">
        <v>44834</v>
      </c>
      <c r="C1761" s="3" t="inlineStr">
        <is>
          <t>Expenses</t>
        </is>
      </c>
      <c r="D1761" s="3" t="inlineStr">
        <is>
          <t>2006/800</t>
        </is>
      </c>
      <c r="E1761" s="3" t="inlineStr">
        <is>
          <t>COS - Endulini - Telephone &amp; Internet</t>
        </is>
      </c>
      <c r="F1761" s="3" t="n">
        <v>0</v>
      </c>
      <c r="G1761" s="3" t="n">
        <v>937.39</v>
      </c>
    </row>
    <row r="1762">
      <c r="A1762" s="3" t="inlineStr">
        <is>
          <t>Cape Projects Construction (Pty) Ltd</t>
        </is>
      </c>
      <c r="B1762" s="4" t="n">
        <v>44834</v>
      </c>
      <c r="C1762" s="3" t="inlineStr">
        <is>
          <t>Expenses</t>
        </is>
      </c>
      <c r="D1762" s="3" t="inlineStr">
        <is>
          <t>2007/000</t>
        </is>
      </c>
      <c r="E1762" s="3" t="inlineStr">
        <is>
          <t>COS - Repairs &amp; Maintenance - SW Southwark</t>
        </is>
      </c>
      <c r="F1762" s="3" t="n">
        <v>704.35</v>
      </c>
      <c r="G1762" s="3" t="n">
        <v>4661.74</v>
      </c>
    </row>
    <row r="1763">
      <c r="A1763" s="3" t="inlineStr">
        <is>
          <t>Cape Projects Construction (Pty) Ltd</t>
        </is>
      </c>
      <c r="B1763" s="4" t="n">
        <v>44834</v>
      </c>
      <c r="C1763" s="3" t="inlineStr">
        <is>
          <t>Expenses</t>
        </is>
      </c>
      <c r="D1763" s="3" t="inlineStr">
        <is>
          <t>2011/300</t>
        </is>
      </c>
      <c r="E1763" s="3" t="inlineStr">
        <is>
          <t>COS - Heron Fields - Printing &amp; Stationary</t>
        </is>
      </c>
      <c r="F1763" s="3" t="n">
        <v>0</v>
      </c>
      <c r="G1763" s="3" t="n">
        <v>2952.7</v>
      </c>
    </row>
    <row r="1764">
      <c r="A1764" s="3" t="inlineStr">
        <is>
          <t>Cape Projects Construction (Pty) Ltd</t>
        </is>
      </c>
      <c r="B1764" s="4" t="n">
        <v>44834</v>
      </c>
      <c r="C1764" s="3" t="inlineStr">
        <is>
          <t>Expenses</t>
        </is>
      </c>
      <c r="D1764" s="3" t="inlineStr">
        <is>
          <t>2011/500</t>
        </is>
      </c>
      <c r="E1764" s="3" t="inlineStr">
        <is>
          <t>COS - Heron Fields - Construction</t>
        </is>
      </c>
      <c r="F1764" s="3" t="n">
        <v>5226462.46</v>
      </c>
      <c r="G1764" s="3" t="n">
        <v>22344353.99</v>
      </c>
    </row>
    <row r="1765">
      <c r="A1765" s="3" t="inlineStr">
        <is>
          <t>Cape Projects Construction (Pty) Ltd</t>
        </is>
      </c>
      <c r="B1765" s="4" t="n">
        <v>44834</v>
      </c>
      <c r="C1765" s="3" t="inlineStr">
        <is>
          <t>Expenses</t>
        </is>
      </c>
      <c r="D1765" s="3" t="inlineStr">
        <is>
          <t>2011/600</t>
        </is>
      </c>
      <c r="E1765" s="3" t="inlineStr">
        <is>
          <t>COS - Heron Fields - P &amp; G</t>
        </is>
      </c>
      <c r="F1765" s="3" t="n">
        <v>408108.91</v>
      </c>
      <c r="G1765" s="3" t="n">
        <v>1804556.23</v>
      </c>
    </row>
    <row r="1766">
      <c r="A1766" s="3" t="inlineStr">
        <is>
          <t>Cape Projects Construction (Pty) Ltd</t>
        </is>
      </c>
      <c r="B1766" s="4" t="n">
        <v>44834</v>
      </c>
      <c r="C1766" s="3" t="inlineStr">
        <is>
          <t>Expenses</t>
        </is>
      </c>
      <c r="D1766" s="3" t="inlineStr">
        <is>
          <t>2011/700</t>
        </is>
      </c>
      <c r="E1766" s="3" t="inlineStr">
        <is>
          <t>COS - Heron Fields - Health &amp; Safety</t>
        </is>
      </c>
      <c r="F1766" s="3" t="n">
        <v>0</v>
      </c>
      <c r="G1766" s="3" t="n">
        <v>22286.3</v>
      </c>
    </row>
    <row r="1767">
      <c r="A1767" s="3" t="inlineStr">
        <is>
          <t>Cape Projects Construction (Pty) Ltd</t>
        </is>
      </c>
      <c r="B1767" s="4" t="n">
        <v>44834</v>
      </c>
      <c r="C1767" s="3" t="inlineStr">
        <is>
          <t>Expenses</t>
        </is>
      </c>
      <c r="D1767" s="3" t="inlineStr">
        <is>
          <t>2011/900</t>
        </is>
      </c>
      <c r="E1767" s="3" t="inlineStr">
        <is>
          <t>COS - Heron - Internet</t>
        </is>
      </c>
      <c r="F1767" s="3" t="n">
        <v>607.83</v>
      </c>
      <c r="G1767" s="3" t="n">
        <v>4062.13</v>
      </c>
    </row>
    <row r="1768">
      <c r="A1768" s="3" t="inlineStr">
        <is>
          <t>Cape Projects Construction (Pty) Ltd</t>
        </is>
      </c>
      <c r="B1768" s="4" t="n">
        <v>44834</v>
      </c>
      <c r="C1768" s="3" t="inlineStr">
        <is>
          <t>Expenses</t>
        </is>
      </c>
      <c r="D1768" s="3" t="inlineStr">
        <is>
          <t>2011/950</t>
        </is>
      </c>
      <c r="E1768" s="3" t="inlineStr">
        <is>
          <t>COS - Heron Fields - Security</t>
        </is>
      </c>
      <c r="F1768" s="3" t="n">
        <v>0</v>
      </c>
      <c r="G1768" s="3" t="n">
        <v>20565.22</v>
      </c>
    </row>
    <row r="1769">
      <c r="A1769" s="3" t="inlineStr">
        <is>
          <t>Cape Projects Construction (Pty) Ltd</t>
        </is>
      </c>
      <c r="B1769" s="4" t="n">
        <v>44834</v>
      </c>
      <c r="C1769" s="3" t="inlineStr">
        <is>
          <t>Expenses</t>
        </is>
      </c>
      <c r="D1769" s="3" t="inlineStr">
        <is>
          <t>2012/002</t>
        </is>
      </c>
      <c r="E1769" s="3" t="inlineStr">
        <is>
          <t>COS - Heron View - Construction</t>
        </is>
      </c>
      <c r="F1769" s="3" t="n">
        <v>512835.64</v>
      </c>
      <c r="G1769" s="3" t="n">
        <v>512835.64</v>
      </c>
    </row>
    <row r="1770">
      <c r="A1770" s="3" t="inlineStr">
        <is>
          <t>Cape Projects Construction (Pty) Ltd</t>
        </is>
      </c>
      <c r="B1770" s="4" t="n">
        <v>44834</v>
      </c>
      <c r="C1770" s="3" t="inlineStr">
        <is>
          <t>Expenses</t>
        </is>
      </c>
      <c r="D1770" s="3" t="inlineStr">
        <is>
          <t>2012/003</t>
        </is>
      </c>
      <c r="E1770" s="3" t="inlineStr">
        <is>
          <t>COS - Heron View - P&amp;G</t>
        </is>
      </c>
      <c r="F1770" s="3" t="n">
        <v>72905.28</v>
      </c>
      <c r="G1770" s="3" t="n">
        <v>92592.78</v>
      </c>
    </row>
    <row r="1771">
      <c r="A1771" s="3" t="inlineStr">
        <is>
          <t>Cape Projects Construction (Pty) Ltd</t>
        </is>
      </c>
      <c r="B1771" s="4" t="n">
        <v>44834</v>
      </c>
      <c r="C1771" s="3" t="inlineStr">
        <is>
          <t>Revenue</t>
        </is>
      </c>
      <c r="D1771" s="3" t="inlineStr">
        <is>
          <t>2750/000</t>
        </is>
      </c>
      <c r="E1771" s="3" t="inlineStr">
        <is>
          <t>Interest Received - FNB</t>
        </is>
      </c>
      <c r="F1771" s="3" t="n">
        <v>-134.57</v>
      </c>
      <c r="G1771" s="3" t="n">
        <v>-325.28</v>
      </c>
    </row>
    <row r="1772">
      <c r="A1772" s="3" t="inlineStr">
        <is>
          <t>Cape Projects Construction (Pty) Ltd</t>
        </is>
      </c>
      <c r="B1772" s="4" t="n">
        <v>44834</v>
      </c>
      <c r="C1772" s="3" t="inlineStr">
        <is>
          <t>Revenue</t>
        </is>
      </c>
      <c r="D1772" s="3" t="inlineStr">
        <is>
          <t>2751/001</t>
        </is>
      </c>
      <c r="E1772" s="3" t="inlineStr">
        <is>
          <t>Interest received - Momentum</t>
        </is>
      </c>
      <c r="F1772" s="3" t="n">
        <v>0</v>
      </c>
      <c r="G1772" s="3" t="n">
        <v>-12.96</v>
      </c>
    </row>
    <row r="1773">
      <c r="A1773" s="3" t="inlineStr">
        <is>
          <t>Heron Fields (Pty) Ltd</t>
        </is>
      </c>
      <c r="B1773" s="4" t="n">
        <v>44834</v>
      </c>
      <c r="C1773" s="3" t="inlineStr">
        <is>
          <t>Revenue</t>
        </is>
      </c>
      <c r="D1773" s="3" t="inlineStr">
        <is>
          <t>2755/001</t>
        </is>
      </c>
      <c r="E1773" s="3" t="inlineStr">
        <is>
          <t>Interest Received - Momentum</t>
        </is>
      </c>
      <c r="F1773" s="3" t="n">
        <v>-30938.77</v>
      </c>
      <c r="G1773" s="3" t="n">
        <v>-251088.69</v>
      </c>
    </row>
    <row r="1774">
      <c r="A1774" s="3" t="inlineStr">
        <is>
          <t>Cape Projects Construction (Pty) Ltd</t>
        </is>
      </c>
      <c r="B1774" s="4" t="n">
        <v>44834</v>
      </c>
      <c r="C1774" s="3" t="inlineStr">
        <is>
          <t>Expenses</t>
        </is>
      </c>
      <c r="D1774" s="3" t="inlineStr">
        <is>
          <t>3002/000</t>
        </is>
      </c>
      <c r="E1774" s="3" t="inlineStr">
        <is>
          <t>Accounting Fees - Audit</t>
        </is>
      </c>
      <c r="F1774" s="3" t="n">
        <v>0</v>
      </c>
      <c r="G1774" s="3" t="n">
        <v>10600</v>
      </c>
    </row>
    <row r="1775">
      <c r="A1775" s="3" t="inlineStr">
        <is>
          <t>Cape Projects Construction (Pty) Ltd</t>
        </is>
      </c>
      <c r="B1775" s="4" t="n">
        <v>44834</v>
      </c>
      <c r="C1775" s="3" t="inlineStr">
        <is>
          <t>Expenses</t>
        </is>
      </c>
      <c r="D1775" s="3" t="inlineStr">
        <is>
          <t>3020/100</t>
        </is>
      </c>
      <c r="E1775" s="3" t="inlineStr">
        <is>
          <t>Admin - Subcontractors</t>
        </is>
      </c>
      <c r="F1775" s="3" t="n">
        <v>0</v>
      </c>
      <c r="G1775" s="3" t="n">
        <v>14139.13</v>
      </c>
    </row>
    <row r="1776">
      <c r="A1776" s="3" t="inlineStr">
        <is>
          <t>Cape Projects Construction (Pty) Ltd</t>
        </is>
      </c>
      <c r="B1776" s="4" t="n">
        <v>44834</v>
      </c>
      <c r="C1776" s="3" t="inlineStr">
        <is>
          <t>Expenses</t>
        </is>
      </c>
      <c r="D1776" s="3" t="inlineStr">
        <is>
          <t>3050/000</t>
        </is>
      </c>
      <c r="E1776" s="3" t="inlineStr">
        <is>
          <t>Advertising _AND_ Promotions</t>
        </is>
      </c>
      <c r="F1776" s="3" t="n">
        <v>0</v>
      </c>
      <c r="G1776" s="3" t="n">
        <v>687.5</v>
      </c>
    </row>
    <row r="1777">
      <c r="A1777" s="3" t="inlineStr">
        <is>
          <t>Heron Fields (Pty) Ltd</t>
        </is>
      </c>
      <c r="B1777" s="4" t="n">
        <v>44834</v>
      </c>
      <c r="C1777" s="3" t="inlineStr">
        <is>
          <t>Expenses</t>
        </is>
      </c>
      <c r="D1777" s="3" t="inlineStr">
        <is>
          <t>3050/000</t>
        </is>
      </c>
      <c r="E1777" s="3" t="inlineStr">
        <is>
          <t>Advertising _AND_ Promotions</t>
        </is>
      </c>
      <c r="F1777" s="3" t="n">
        <v>4746</v>
      </c>
      <c r="G1777" s="3" t="n">
        <v>99703.86</v>
      </c>
    </row>
    <row r="1778">
      <c r="A1778" s="3" t="inlineStr">
        <is>
          <t>Heron View (Pty) Ltd</t>
        </is>
      </c>
      <c r="B1778" s="4" t="n">
        <v>44834</v>
      </c>
      <c r="C1778" s="3" t="inlineStr">
        <is>
          <t>Expenses</t>
        </is>
      </c>
      <c r="D1778" s="3" t="inlineStr">
        <is>
          <t>3050/000</t>
        </is>
      </c>
      <c r="E1778" s="3" t="inlineStr">
        <is>
          <t>Advertising _AND_ Promotions</t>
        </is>
      </c>
      <c r="F1778" s="3" t="n">
        <v>2500</v>
      </c>
      <c r="G1778" s="3" t="n">
        <v>2500</v>
      </c>
    </row>
    <row r="1779">
      <c r="A1779" s="3" t="inlineStr">
        <is>
          <t>Heron Fields (Pty) Ltd</t>
        </is>
      </c>
      <c r="B1779" s="4" t="n">
        <v>44834</v>
      </c>
      <c r="C1779" s="3" t="inlineStr">
        <is>
          <t>Expenses</t>
        </is>
      </c>
      <c r="D1779" s="3" t="inlineStr">
        <is>
          <t>3050/100</t>
        </is>
      </c>
      <c r="E1779" s="3" t="inlineStr">
        <is>
          <t>Advertising - Property24</t>
        </is>
      </c>
      <c r="F1779" s="3" t="n">
        <v>11556</v>
      </c>
      <c r="G1779" s="3" t="n">
        <v>80892</v>
      </c>
    </row>
    <row r="1780">
      <c r="A1780" s="3" t="inlineStr">
        <is>
          <t>Cape Projects Construction (Pty) Ltd</t>
        </is>
      </c>
      <c r="B1780" s="4" t="n">
        <v>44834</v>
      </c>
      <c r="C1780" s="3" t="inlineStr">
        <is>
          <t>Expenses</t>
        </is>
      </c>
      <c r="D1780" s="3" t="inlineStr">
        <is>
          <t>3050/450</t>
        </is>
      </c>
      <c r="E1780" s="3" t="inlineStr">
        <is>
          <t>Advertising - Other</t>
        </is>
      </c>
      <c r="F1780" s="3" t="n">
        <v>0</v>
      </c>
      <c r="G1780" s="3" t="n">
        <v>137.5</v>
      </c>
    </row>
    <row r="1781">
      <c r="A1781" s="3" t="inlineStr">
        <is>
          <t>Cape Projects Construction (Pty) Ltd</t>
        </is>
      </c>
      <c r="B1781" s="4" t="n">
        <v>44834</v>
      </c>
      <c r="C1781" s="3" t="inlineStr">
        <is>
          <t>Expenses</t>
        </is>
      </c>
      <c r="D1781" s="3" t="inlineStr">
        <is>
          <t>3200/000</t>
        </is>
      </c>
      <c r="E1781" s="3" t="inlineStr">
        <is>
          <t>Bank Charges</t>
        </is>
      </c>
      <c r="F1781" s="3" t="n">
        <v>2627.89</v>
      </c>
      <c r="G1781" s="3" t="n">
        <v>20190.47</v>
      </c>
    </row>
    <row r="1782">
      <c r="A1782" s="3" t="inlineStr">
        <is>
          <t>Heron Fields (Pty) Ltd</t>
        </is>
      </c>
      <c r="B1782" s="4" t="n">
        <v>44834</v>
      </c>
      <c r="C1782" s="3" t="inlineStr">
        <is>
          <t>Expenses</t>
        </is>
      </c>
      <c r="D1782" s="3" t="inlineStr">
        <is>
          <t>3200/000</t>
        </is>
      </c>
      <c r="E1782" s="3" t="inlineStr">
        <is>
          <t>Bank Charges</t>
        </is>
      </c>
      <c r="F1782" s="3" t="n">
        <v>726.9</v>
      </c>
      <c r="G1782" s="3" t="n">
        <v>5477.08</v>
      </c>
    </row>
    <row r="1783">
      <c r="A1783" s="3" t="inlineStr">
        <is>
          <t>Cape Projects Construction (Pty) Ltd</t>
        </is>
      </c>
      <c r="B1783" s="4" t="n">
        <v>44834</v>
      </c>
      <c r="C1783" s="3" t="inlineStr">
        <is>
          <t>Expenses</t>
        </is>
      </c>
      <c r="D1783" s="3" t="inlineStr">
        <is>
          <t>3250/000</t>
        </is>
      </c>
      <c r="E1783" s="3" t="inlineStr">
        <is>
          <t>Cleaning</t>
        </is>
      </c>
      <c r="F1783" s="3" t="n">
        <v>0</v>
      </c>
      <c r="G1783" s="3" t="n">
        <v>1986.89</v>
      </c>
    </row>
    <row r="1784">
      <c r="A1784" s="3" t="inlineStr">
        <is>
          <t>Cape Projects Construction (Pty) Ltd</t>
        </is>
      </c>
      <c r="B1784" s="4" t="n">
        <v>44834</v>
      </c>
      <c r="C1784" s="3" t="inlineStr">
        <is>
          <t>Expenses</t>
        </is>
      </c>
      <c r="D1784" s="3" t="inlineStr">
        <is>
          <t>3256/000</t>
        </is>
      </c>
      <c r="E1784" s="3" t="inlineStr">
        <is>
          <t>Cell Phone - Nick Morgan</t>
        </is>
      </c>
      <c r="F1784" s="3" t="n">
        <v>662.7</v>
      </c>
      <c r="G1784" s="3" t="n">
        <v>4585.87</v>
      </c>
    </row>
    <row r="1785">
      <c r="A1785" s="3" t="inlineStr">
        <is>
          <t>Cape Projects Construction (Pty) Ltd</t>
        </is>
      </c>
      <c r="B1785" s="4" t="n">
        <v>44834</v>
      </c>
      <c r="C1785" s="3" t="inlineStr">
        <is>
          <t>Expenses</t>
        </is>
      </c>
      <c r="D1785" s="3" t="inlineStr">
        <is>
          <t>3300/000</t>
        </is>
      </c>
      <c r="E1785" s="3" t="inlineStr">
        <is>
          <t>Computer Expenses</t>
        </is>
      </c>
      <c r="F1785" s="3" t="n">
        <v>1449</v>
      </c>
      <c r="G1785" s="3" t="n">
        <v>3307.69</v>
      </c>
    </row>
    <row r="1786">
      <c r="A1786" s="3" t="inlineStr">
        <is>
          <t>Cape Projects Construction (Pty) Ltd</t>
        </is>
      </c>
      <c r="B1786" s="4" t="n">
        <v>44834</v>
      </c>
      <c r="C1786" s="3" t="inlineStr">
        <is>
          <t>Expenses</t>
        </is>
      </c>
      <c r="D1786" s="3" t="inlineStr">
        <is>
          <t>3300/100</t>
        </is>
      </c>
      <c r="E1786" s="3" t="inlineStr">
        <is>
          <t>Computer Exp - IT, Internet/Hosting Fee</t>
        </is>
      </c>
      <c r="F1786" s="3" t="n">
        <v>3130</v>
      </c>
      <c r="G1786" s="3" t="n">
        <v>28839</v>
      </c>
    </row>
    <row r="1787">
      <c r="A1787" s="3" t="inlineStr">
        <is>
          <t>Heron Fields (Pty) Ltd</t>
        </is>
      </c>
      <c r="B1787" s="4" t="n">
        <v>44834</v>
      </c>
      <c r="C1787" s="3" t="inlineStr">
        <is>
          <t>Expenses</t>
        </is>
      </c>
      <c r="D1787" s="3" t="inlineStr">
        <is>
          <t>3350/100</t>
        </is>
      </c>
      <c r="E1787" s="3" t="inlineStr">
        <is>
          <t>Consulting Fees - Admin and Finance</t>
        </is>
      </c>
      <c r="F1787" s="3" t="n">
        <v>90550</v>
      </c>
      <c r="G1787" s="3" t="n">
        <v>579990.6800000001</v>
      </c>
    </row>
    <row r="1788">
      <c r="A1788" s="3" t="inlineStr">
        <is>
          <t>Cape Projects Construction (Pty) Ltd</t>
        </is>
      </c>
      <c r="B1788" s="4" t="n">
        <v>44834</v>
      </c>
      <c r="C1788" s="3" t="inlineStr">
        <is>
          <t>Expenses</t>
        </is>
      </c>
      <c r="D1788" s="3" t="inlineStr">
        <is>
          <t>3350/100</t>
        </is>
      </c>
      <c r="E1788" s="3" t="inlineStr">
        <is>
          <t>Consulting fees - Herbert du Plessis</t>
        </is>
      </c>
      <c r="F1788" s="3" t="n">
        <v>36000</v>
      </c>
      <c r="G1788" s="3" t="n">
        <v>252000</v>
      </c>
    </row>
    <row r="1789">
      <c r="A1789" s="3" t="inlineStr">
        <is>
          <t>Cape Projects Construction (Pty) Ltd</t>
        </is>
      </c>
      <c r="B1789" s="4" t="n">
        <v>44834</v>
      </c>
      <c r="C1789" s="3" t="inlineStr">
        <is>
          <t>Expenses</t>
        </is>
      </c>
      <c r="D1789" s="3" t="inlineStr">
        <is>
          <t>3350/300</t>
        </is>
      </c>
      <c r="E1789" s="3" t="inlineStr">
        <is>
          <t>Consulting Fees - Admin and Finance</t>
        </is>
      </c>
      <c r="F1789" s="3" t="n">
        <v>131550</v>
      </c>
      <c r="G1789" s="3" t="n">
        <v>872071.87</v>
      </c>
    </row>
    <row r="1790">
      <c r="A1790" s="3" t="inlineStr">
        <is>
          <t>Heron Fields (Pty) Ltd</t>
        </is>
      </c>
      <c r="B1790" s="4" t="n">
        <v>44834</v>
      </c>
      <c r="C1790" s="3" t="inlineStr">
        <is>
          <t>Expenses</t>
        </is>
      </c>
      <c r="D1790" s="3" t="inlineStr">
        <is>
          <t>3351/000</t>
        </is>
      </c>
      <c r="E1790" s="3" t="inlineStr">
        <is>
          <t>Consulting fees - Trustee</t>
        </is>
      </c>
      <c r="F1790" s="3" t="n">
        <v>8000</v>
      </c>
      <c r="G1790" s="3" t="n">
        <v>48000</v>
      </c>
    </row>
    <row r="1791">
      <c r="A1791" s="3" t="inlineStr">
        <is>
          <t>Cape Projects Construction (Pty) Ltd</t>
        </is>
      </c>
      <c r="B1791" s="4" t="n">
        <v>44834</v>
      </c>
      <c r="C1791" s="3" t="inlineStr">
        <is>
          <t>Expenses</t>
        </is>
      </c>
      <c r="D1791" s="3" t="inlineStr">
        <is>
          <t>3400/000</t>
        </is>
      </c>
      <c r="E1791" s="3" t="inlineStr">
        <is>
          <t>Courier _AND_ Postage</t>
        </is>
      </c>
      <c r="F1791" s="3" t="n">
        <v>0</v>
      </c>
      <c r="G1791" s="3" t="n">
        <v>160.87</v>
      </c>
    </row>
    <row r="1792">
      <c r="A1792" s="3" t="inlineStr">
        <is>
          <t>Cape Projects Construction (Pty) Ltd</t>
        </is>
      </c>
      <c r="B1792" s="4" t="n">
        <v>44834</v>
      </c>
      <c r="C1792" s="3" t="inlineStr">
        <is>
          <t>Expenses</t>
        </is>
      </c>
      <c r="D1792" s="3" t="inlineStr">
        <is>
          <t>3450/001</t>
        </is>
      </c>
      <c r="E1792" s="3" t="inlineStr">
        <is>
          <t>Depreciation - Computer Equipment</t>
        </is>
      </c>
      <c r="F1792" s="3" t="n">
        <v>2165.83</v>
      </c>
      <c r="G1792" s="3" t="n">
        <v>12952.7</v>
      </c>
    </row>
    <row r="1793">
      <c r="A1793" s="3" t="inlineStr">
        <is>
          <t>Cape Projects Construction (Pty) Ltd</t>
        </is>
      </c>
      <c r="B1793" s="4" t="n">
        <v>44834</v>
      </c>
      <c r="C1793" s="3" t="inlineStr">
        <is>
          <t>Expenses</t>
        </is>
      </c>
      <c r="D1793" s="3" t="inlineStr">
        <is>
          <t>3450/002</t>
        </is>
      </c>
      <c r="E1793" s="3" t="inlineStr">
        <is>
          <t>Depreciation - Generator Fixed Asset</t>
        </is>
      </c>
      <c r="F1793" s="3" t="n">
        <v>193.33</v>
      </c>
      <c r="G1793" s="3" t="n">
        <v>1353.33</v>
      </c>
    </row>
    <row r="1794">
      <c r="A1794" s="3" t="inlineStr">
        <is>
          <t>Cape Projects Construction (Pty) Ltd</t>
        </is>
      </c>
      <c r="B1794" s="4" t="n">
        <v>44834</v>
      </c>
      <c r="C1794" s="3" t="inlineStr">
        <is>
          <t>Expenses</t>
        </is>
      </c>
      <c r="D1794" s="3" t="inlineStr">
        <is>
          <t>3450/003</t>
        </is>
      </c>
      <c r="E1794" s="3" t="inlineStr">
        <is>
          <t>Depreciation - Motor vehicle</t>
        </is>
      </c>
      <c r="F1794" s="3" t="n">
        <v>0</v>
      </c>
      <c r="G1794" s="3" t="n">
        <v>39610.1</v>
      </c>
    </row>
    <row r="1795">
      <c r="A1795" s="3" t="inlineStr">
        <is>
          <t>Cape Projects Construction (Pty) Ltd</t>
        </is>
      </c>
      <c r="B1795" s="4" t="n">
        <v>44834</v>
      </c>
      <c r="C1795" s="3" t="inlineStr">
        <is>
          <t>Expenses</t>
        </is>
      </c>
      <c r="D1795" s="3" t="inlineStr">
        <is>
          <t>3450/030</t>
        </is>
      </c>
      <c r="E1795" s="3" t="inlineStr">
        <is>
          <t>Depreciation - Furniture and Fittings</t>
        </is>
      </c>
      <c r="F1795" s="3" t="n">
        <v>427.21</v>
      </c>
      <c r="G1795" s="3" t="n">
        <v>2990.44</v>
      </c>
    </row>
    <row r="1796">
      <c r="A1796" s="3" t="inlineStr">
        <is>
          <t>Heron Fields (Pty) Ltd</t>
        </is>
      </c>
      <c r="B1796" s="4" t="n">
        <v>44834</v>
      </c>
      <c r="C1796" s="3" t="inlineStr">
        <is>
          <t>Expenses</t>
        </is>
      </c>
      <c r="D1796" s="3" t="inlineStr">
        <is>
          <t>3650/000</t>
        </is>
      </c>
      <c r="E1796" s="3" t="inlineStr">
        <is>
          <t>CoCT - Electricity</t>
        </is>
      </c>
      <c r="F1796" s="3" t="n">
        <v>3237.68</v>
      </c>
      <c r="G1796" s="3" t="n">
        <v>20614.58</v>
      </c>
    </row>
    <row r="1797">
      <c r="A1797" s="3" t="inlineStr">
        <is>
          <t>Cape Projects Construction (Pty) Ltd</t>
        </is>
      </c>
      <c r="B1797" s="4" t="n">
        <v>44834</v>
      </c>
      <c r="C1797" s="3" t="inlineStr">
        <is>
          <t>Expenses</t>
        </is>
      </c>
      <c r="D1797" s="3" t="inlineStr">
        <is>
          <t>3650/000</t>
        </is>
      </c>
      <c r="E1797" s="3" t="inlineStr">
        <is>
          <t>Electricity _AND_ Water</t>
        </is>
      </c>
      <c r="F1797" s="3" t="n">
        <v>5559.83</v>
      </c>
      <c r="G1797" s="3" t="n">
        <v>33870.61</v>
      </c>
    </row>
    <row r="1798">
      <c r="A1798" s="3" t="inlineStr">
        <is>
          <t>Heron Fields (Pty) Ltd</t>
        </is>
      </c>
      <c r="B1798" s="4" t="n">
        <v>44834</v>
      </c>
      <c r="C1798" s="3" t="inlineStr">
        <is>
          <t>Expenses</t>
        </is>
      </c>
      <c r="D1798" s="3" t="inlineStr">
        <is>
          <t>3660/000</t>
        </is>
      </c>
      <c r="E1798" s="3" t="inlineStr">
        <is>
          <t>CoCT - Water</t>
        </is>
      </c>
      <c r="F1798" s="3" t="n">
        <v>4998.5</v>
      </c>
      <c r="G1798" s="3" t="n">
        <v>38281.72</v>
      </c>
    </row>
    <row r="1799">
      <c r="A1799" s="3" t="inlineStr">
        <is>
          <t>Cape Projects Construction (Pty) Ltd</t>
        </is>
      </c>
      <c r="B1799" s="4" t="n">
        <v>44834</v>
      </c>
      <c r="C1799" s="3" t="inlineStr">
        <is>
          <t>Expenses</t>
        </is>
      </c>
      <c r="D1799" s="3" t="inlineStr">
        <is>
          <t>3700/000</t>
        </is>
      </c>
      <c r="E1799" s="3" t="inlineStr">
        <is>
          <t>Entertainment Expenses</t>
        </is>
      </c>
      <c r="F1799" s="3" t="n">
        <v>0</v>
      </c>
      <c r="G1799" s="3" t="n">
        <v>7651.52</v>
      </c>
    </row>
    <row r="1800">
      <c r="A1800" s="3" t="inlineStr">
        <is>
          <t>Cape Projects Construction (Pty) Ltd</t>
        </is>
      </c>
      <c r="B1800" s="4" t="n">
        <v>44834</v>
      </c>
      <c r="C1800" s="3" t="inlineStr">
        <is>
          <t>Expenses</t>
        </is>
      </c>
      <c r="D1800" s="3" t="inlineStr">
        <is>
          <t>3850/000</t>
        </is>
      </c>
      <c r="E1800" s="3" t="inlineStr">
        <is>
          <t>Insurance</t>
        </is>
      </c>
      <c r="F1800" s="3" t="n">
        <v>273.21</v>
      </c>
      <c r="G1800" s="3" t="n">
        <v>273.21</v>
      </c>
    </row>
    <row r="1801">
      <c r="A1801" s="3" t="inlineStr">
        <is>
          <t>Heron Fields (Pty) Ltd</t>
        </is>
      </c>
      <c r="B1801" s="4" t="n">
        <v>44834</v>
      </c>
      <c r="C1801" s="3" t="inlineStr">
        <is>
          <t>Expenses</t>
        </is>
      </c>
      <c r="D1801" s="3" t="inlineStr">
        <is>
          <t>3850/000</t>
        </is>
      </c>
      <c r="E1801" s="3" t="inlineStr">
        <is>
          <t>Insurance</t>
        </is>
      </c>
      <c r="F1801" s="3" t="n">
        <v>4142.3</v>
      </c>
      <c r="G1801" s="3" t="n">
        <v>4142.3</v>
      </c>
    </row>
    <row r="1802">
      <c r="A1802" s="3" t="inlineStr">
        <is>
          <t>Cape Projects Construction (Pty) Ltd</t>
        </is>
      </c>
      <c r="B1802" s="4" t="n">
        <v>44834</v>
      </c>
      <c r="C1802" s="3" t="inlineStr">
        <is>
          <t>Expenses</t>
        </is>
      </c>
      <c r="D1802" s="3" t="inlineStr">
        <is>
          <t>3850/001</t>
        </is>
      </c>
      <c r="E1802" s="3" t="inlineStr">
        <is>
          <t>Insurance - Santam</t>
        </is>
      </c>
      <c r="F1802" s="3" t="n">
        <v>1194.15</v>
      </c>
      <c r="G1802" s="3" t="n">
        <v>8289.610000000001</v>
      </c>
    </row>
    <row r="1803">
      <c r="A1803" s="3" t="inlineStr">
        <is>
          <t>Cape Projects Construction (Pty) Ltd</t>
        </is>
      </c>
      <c r="B1803" s="4" t="n">
        <v>44834</v>
      </c>
      <c r="C1803" s="3" t="inlineStr">
        <is>
          <t>Expenses</t>
        </is>
      </c>
      <c r="D1803" s="3" t="inlineStr">
        <is>
          <t>3850/002</t>
        </is>
      </c>
      <c r="E1803" s="3" t="inlineStr">
        <is>
          <t>Insurance - RBS</t>
        </is>
      </c>
      <c r="F1803" s="3" t="n">
        <v>0</v>
      </c>
      <c r="G1803" s="3" t="n">
        <v>1425.42</v>
      </c>
    </row>
    <row r="1804">
      <c r="A1804" s="3" t="inlineStr">
        <is>
          <t>Heron Fields (Pty) Ltd</t>
        </is>
      </c>
      <c r="B1804" s="4" t="n">
        <v>44834</v>
      </c>
      <c r="C1804" s="3" t="inlineStr">
        <is>
          <t>Expenses</t>
        </is>
      </c>
      <c r="D1804" s="3" t="inlineStr">
        <is>
          <t>3900/000</t>
        </is>
      </c>
      <c r="E1804" s="3" t="inlineStr">
        <is>
          <t>Interest Paid</t>
        </is>
      </c>
      <c r="F1804" s="3" t="n">
        <v>89.72</v>
      </c>
      <c r="G1804" s="3" t="n">
        <v>406.78</v>
      </c>
    </row>
    <row r="1805">
      <c r="A1805" s="3" t="inlineStr">
        <is>
          <t>Heron Fields (Pty) Ltd</t>
        </is>
      </c>
      <c r="B1805" s="4" t="n">
        <v>44834</v>
      </c>
      <c r="C1805" s="3" t="inlineStr">
        <is>
          <t>Expenses</t>
        </is>
      </c>
      <c r="D1805" s="3" t="inlineStr">
        <is>
          <t>4100/001</t>
        </is>
      </c>
      <c r="E1805" s="3" t="inlineStr">
        <is>
          <t>Momentum Admin Fee</t>
        </is>
      </c>
      <c r="F1805" s="3" t="n">
        <v>11978.61</v>
      </c>
      <c r="G1805" s="3" t="n">
        <v>238743.56</v>
      </c>
    </row>
    <row r="1806">
      <c r="A1806" s="3" t="inlineStr">
        <is>
          <t>Cape Projects Construction (Pty) Ltd</t>
        </is>
      </c>
      <c r="B1806" s="4" t="n">
        <v>44834</v>
      </c>
      <c r="C1806" s="3" t="inlineStr">
        <is>
          <t>Expenses</t>
        </is>
      </c>
      <c r="D1806" s="3" t="inlineStr">
        <is>
          <t>4150/020</t>
        </is>
      </c>
      <c r="E1806" s="3" t="inlineStr">
        <is>
          <t>Motor Vehicle - Repairs _AND_ Maint.</t>
        </is>
      </c>
      <c r="F1806" s="3" t="n">
        <v>0</v>
      </c>
      <c r="G1806" s="3" t="n">
        <v>4033.01</v>
      </c>
    </row>
    <row r="1807">
      <c r="A1807" s="3" t="inlineStr">
        <is>
          <t>Cape Projects Construction (Pty) Ltd</t>
        </is>
      </c>
      <c r="B1807" s="4" t="n">
        <v>44834</v>
      </c>
      <c r="C1807" s="3" t="inlineStr">
        <is>
          <t>Expenses</t>
        </is>
      </c>
      <c r="D1807" s="3" t="inlineStr">
        <is>
          <t>4150/030</t>
        </is>
      </c>
      <c r="E1807" s="3" t="inlineStr">
        <is>
          <t>Motor Vehicle - Insurance _AND_ Licence</t>
        </is>
      </c>
      <c r="F1807" s="3" t="n">
        <v>0</v>
      </c>
      <c r="G1807" s="3" t="n">
        <v>1200</v>
      </c>
    </row>
    <row r="1808">
      <c r="A1808" s="3" t="inlineStr">
        <is>
          <t>Cape Projects Construction (Pty) Ltd</t>
        </is>
      </c>
      <c r="B1808" s="4" t="n">
        <v>44834</v>
      </c>
      <c r="C1808" s="3" t="inlineStr">
        <is>
          <t>Expenses</t>
        </is>
      </c>
      <c r="D1808" s="3" t="inlineStr">
        <is>
          <t>4200/000</t>
        </is>
      </c>
      <c r="E1808" s="3" t="inlineStr">
        <is>
          <t>Printing _AND_ Stationery</t>
        </is>
      </c>
      <c r="F1808" s="3" t="n">
        <v>899.5700000000001</v>
      </c>
      <c r="G1808" s="3" t="n">
        <v>8672.77</v>
      </c>
    </row>
    <row r="1809">
      <c r="A1809" s="3" t="inlineStr">
        <is>
          <t>Heron View (Pty) Ltd</t>
        </is>
      </c>
      <c r="B1809" s="4" t="n">
        <v>44834</v>
      </c>
      <c r="C1809" s="3" t="inlineStr">
        <is>
          <t>Expenses</t>
        </is>
      </c>
      <c r="D1809" s="3" t="inlineStr">
        <is>
          <t>4200/000</t>
        </is>
      </c>
      <c r="E1809" s="3" t="inlineStr">
        <is>
          <t>Printing _AND_ Stationery</t>
        </is>
      </c>
      <c r="F1809" s="3" t="n">
        <v>3404.62</v>
      </c>
      <c r="G1809" s="3" t="n">
        <v>3404.62</v>
      </c>
    </row>
    <row r="1810">
      <c r="A1810" s="3" t="inlineStr">
        <is>
          <t>Cape Projects Construction (Pty) Ltd</t>
        </is>
      </c>
      <c r="B1810" s="4" t="n">
        <v>44834</v>
      </c>
      <c r="C1810" s="3" t="inlineStr">
        <is>
          <t>Expenses</t>
        </is>
      </c>
      <c r="D1810" s="3" t="inlineStr">
        <is>
          <t>4201/000</t>
        </is>
      </c>
      <c r="E1810" s="3" t="inlineStr">
        <is>
          <t>Printing - Printer rental</t>
        </is>
      </c>
      <c r="F1810" s="3" t="n">
        <v>626.01</v>
      </c>
      <c r="G1810" s="3" t="n">
        <v>4941.46</v>
      </c>
    </row>
    <row r="1811">
      <c r="A1811" s="3" t="inlineStr">
        <is>
          <t>Cape Projects Construction (Pty) Ltd</t>
        </is>
      </c>
      <c r="B1811" s="4" t="n">
        <v>44834</v>
      </c>
      <c r="C1811" s="3" t="inlineStr">
        <is>
          <t>Expenses</t>
        </is>
      </c>
      <c r="D1811" s="3" t="inlineStr">
        <is>
          <t>4300/000</t>
        </is>
      </c>
      <c r="E1811" s="3" t="inlineStr">
        <is>
          <t>Rent Paid</t>
        </is>
      </c>
      <c r="F1811" s="3" t="n">
        <v>28087.5</v>
      </c>
      <c r="G1811" s="3" t="n">
        <v>196612.5</v>
      </c>
    </row>
    <row r="1812">
      <c r="A1812" s="3" t="inlineStr">
        <is>
          <t>Cape Projects Construction (Pty) Ltd</t>
        </is>
      </c>
      <c r="B1812" s="4" t="n">
        <v>44834</v>
      </c>
      <c r="C1812" s="3" t="inlineStr">
        <is>
          <t>Expenses</t>
        </is>
      </c>
      <c r="D1812" s="3" t="inlineStr">
        <is>
          <t>4310/000</t>
        </is>
      </c>
      <c r="E1812" s="3" t="inlineStr">
        <is>
          <t>Rates</t>
        </is>
      </c>
      <c r="F1812" s="3" t="n">
        <v>843.6</v>
      </c>
      <c r="G1812" s="3" t="n">
        <v>5905.2</v>
      </c>
    </row>
    <row r="1813">
      <c r="A1813" s="3" t="inlineStr">
        <is>
          <t>Heron Fields (Pty) Ltd</t>
        </is>
      </c>
      <c r="B1813" s="4" t="n">
        <v>44834</v>
      </c>
      <c r="C1813" s="3" t="inlineStr">
        <is>
          <t>Expenses</t>
        </is>
      </c>
      <c r="D1813" s="3" t="inlineStr">
        <is>
          <t>4310/000</t>
        </is>
      </c>
      <c r="E1813" s="3" t="inlineStr">
        <is>
          <t>Rates - Heron</t>
        </is>
      </c>
      <c r="F1813" s="3" t="n">
        <v>3227.61</v>
      </c>
      <c r="G1813" s="3" t="n">
        <v>22363.37</v>
      </c>
    </row>
    <row r="1814">
      <c r="A1814" s="3" t="inlineStr">
        <is>
          <t>Cape Projects Construction (Pty) Ltd</t>
        </is>
      </c>
      <c r="B1814" s="4" t="n">
        <v>44834</v>
      </c>
      <c r="C1814" s="3" t="inlineStr">
        <is>
          <t>Expenses</t>
        </is>
      </c>
      <c r="D1814" s="3" t="inlineStr">
        <is>
          <t>4350/000</t>
        </is>
      </c>
      <c r="E1814" s="3" t="inlineStr">
        <is>
          <t>Repairs _AND_ Maintenance</t>
        </is>
      </c>
      <c r="F1814" s="3" t="n">
        <v>6950</v>
      </c>
      <c r="G1814" s="3" t="n">
        <v>10521.71</v>
      </c>
    </row>
    <row r="1815">
      <c r="A1815" s="3" t="inlineStr">
        <is>
          <t>Heron Fields (Pty) Ltd</t>
        </is>
      </c>
      <c r="B1815" s="4" t="n">
        <v>44834</v>
      </c>
      <c r="C1815" s="3" t="inlineStr">
        <is>
          <t>Expenses</t>
        </is>
      </c>
      <c r="D1815" s="3" t="inlineStr">
        <is>
          <t>4350/000</t>
        </is>
      </c>
      <c r="E1815" s="3" t="inlineStr">
        <is>
          <t>Repairs _AND_ Maintenance</t>
        </is>
      </c>
      <c r="F1815" s="3" t="n">
        <v>4347.83</v>
      </c>
      <c r="G1815" s="3" t="n">
        <v>4347.83</v>
      </c>
    </row>
    <row r="1816">
      <c r="A1816" s="3" t="inlineStr">
        <is>
          <t>Cape Projects Construction (Pty) Ltd</t>
        </is>
      </c>
      <c r="B1816" s="4" t="n">
        <v>44834</v>
      </c>
      <c r="C1816" s="3" t="inlineStr">
        <is>
          <t>Expenses</t>
        </is>
      </c>
      <c r="D1816" s="3" t="inlineStr">
        <is>
          <t>4400/000</t>
        </is>
      </c>
      <c r="E1816" s="3" t="inlineStr">
        <is>
          <t>Salaries _AND_ Wages</t>
        </is>
      </c>
      <c r="F1816" s="3" t="n">
        <v>231137.91</v>
      </c>
      <c r="G1816" s="3" t="n">
        <v>1540380.81</v>
      </c>
    </row>
    <row r="1817">
      <c r="A1817" s="3" t="inlineStr">
        <is>
          <t>Cape Projects Construction (Pty) Ltd</t>
        </is>
      </c>
      <c r="B1817" s="4" t="n">
        <v>44834</v>
      </c>
      <c r="C1817" s="3" t="inlineStr">
        <is>
          <t>Expenses</t>
        </is>
      </c>
      <c r="D1817" s="3" t="inlineStr">
        <is>
          <t>4402</t>
        </is>
      </c>
      <c r="E1817" s="3" t="inlineStr">
        <is>
          <t>Salaries &amp; Wages - WCA</t>
        </is>
      </c>
      <c r="F1817" s="3" t="n">
        <v>0</v>
      </c>
      <c r="G1817" s="3" t="n">
        <v>3746.27</v>
      </c>
    </row>
    <row r="1818">
      <c r="A1818" s="3" t="inlineStr">
        <is>
          <t>Cape Projects Construction (Pty) Ltd</t>
        </is>
      </c>
      <c r="B1818" s="4" t="n">
        <v>44834</v>
      </c>
      <c r="C1818" s="3" t="inlineStr">
        <is>
          <t>Expenses</t>
        </is>
      </c>
      <c r="D1818" s="3" t="inlineStr">
        <is>
          <t>4403/000</t>
        </is>
      </c>
      <c r="E1818" s="3" t="inlineStr">
        <is>
          <t>Security</t>
        </is>
      </c>
      <c r="F1818" s="3" t="n">
        <v>164.35</v>
      </c>
      <c r="G1818" s="3" t="n">
        <v>986.1</v>
      </c>
    </row>
    <row r="1819">
      <c r="A1819" s="3" t="inlineStr">
        <is>
          <t>Cape Projects Construction (Pty) Ltd</t>
        </is>
      </c>
      <c r="B1819" s="4" t="n">
        <v>44834</v>
      </c>
      <c r="C1819" s="3" t="inlineStr">
        <is>
          <t>Expenses</t>
        </is>
      </c>
      <c r="D1819" s="3" t="inlineStr">
        <is>
          <t>4420/000</t>
        </is>
      </c>
      <c r="E1819" s="3" t="inlineStr">
        <is>
          <t>Small Assets</t>
        </is>
      </c>
      <c r="F1819" s="3" t="n">
        <v>6086.96</v>
      </c>
      <c r="G1819" s="3" t="n">
        <v>7623.92</v>
      </c>
    </row>
    <row r="1820">
      <c r="A1820" s="3" t="inlineStr">
        <is>
          <t>Heron Fields (Pty) Ltd</t>
        </is>
      </c>
      <c r="B1820" s="4" t="n">
        <v>44834</v>
      </c>
      <c r="C1820" s="3" t="inlineStr">
        <is>
          <t>Expenses</t>
        </is>
      </c>
      <c r="D1820" s="3" t="inlineStr">
        <is>
          <t>4420/001</t>
        </is>
      </c>
      <c r="E1820" s="3" t="inlineStr">
        <is>
          <t>Security - ADT</t>
        </is>
      </c>
      <c r="F1820" s="3" t="n">
        <v>328.38</v>
      </c>
      <c r="G1820" s="3" t="n">
        <v>3599.08</v>
      </c>
    </row>
    <row r="1821">
      <c r="A1821" s="3" t="inlineStr">
        <is>
          <t>Cape Projects Construction (Pty) Ltd</t>
        </is>
      </c>
      <c r="B1821" s="4" t="n">
        <v>44834</v>
      </c>
      <c r="C1821" s="3" t="inlineStr">
        <is>
          <t>Expenses</t>
        </is>
      </c>
      <c r="D1821" s="3" t="inlineStr">
        <is>
          <t>4450/000</t>
        </is>
      </c>
      <c r="E1821" s="3" t="inlineStr">
        <is>
          <t>Staff Training</t>
        </is>
      </c>
      <c r="F1821" s="3" t="n">
        <v>0</v>
      </c>
      <c r="G1821" s="3" t="n">
        <v>6800</v>
      </c>
    </row>
    <row r="1822">
      <c r="A1822" s="3" t="inlineStr">
        <is>
          <t>Cape Projects Construction (Pty) Ltd</t>
        </is>
      </c>
      <c r="B1822" s="4" t="n">
        <v>44834</v>
      </c>
      <c r="C1822" s="3" t="inlineStr">
        <is>
          <t>Expenses</t>
        </is>
      </c>
      <c r="D1822" s="3" t="inlineStr">
        <is>
          <t>4500/000</t>
        </is>
      </c>
      <c r="E1822" s="3" t="inlineStr">
        <is>
          <t>Staff Welfare _AND_ Refreshmts</t>
        </is>
      </c>
      <c r="F1822" s="3" t="n">
        <v>0</v>
      </c>
      <c r="G1822" s="3" t="n">
        <v>3519.1</v>
      </c>
    </row>
    <row r="1823">
      <c r="A1823" s="3" t="inlineStr">
        <is>
          <t>Cape Projects Construction (Pty) Ltd</t>
        </is>
      </c>
      <c r="B1823" s="4" t="n">
        <v>44834</v>
      </c>
      <c r="C1823" s="3" t="inlineStr">
        <is>
          <t>Expenses</t>
        </is>
      </c>
      <c r="D1823" s="3" t="inlineStr">
        <is>
          <t>4550/000</t>
        </is>
      </c>
      <c r="E1823" s="3" t="inlineStr">
        <is>
          <t>Subscriptions / Licenses</t>
        </is>
      </c>
      <c r="F1823" s="3" t="n">
        <v>0</v>
      </c>
      <c r="G1823" s="3" t="n">
        <v>526.3200000000001</v>
      </c>
    </row>
    <row r="1824">
      <c r="A1824" s="3" t="inlineStr">
        <is>
          <t>Cape Projects Construction (Pty) Ltd</t>
        </is>
      </c>
      <c r="B1824" s="4" t="n">
        <v>44834</v>
      </c>
      <c r="C1824" s="3" t="inlineStr">
        <is>
          <t>Expenses</t>
        </is>
      </c>
      <c r="D1824" s="3" t="inlineStr">
        <is>
          <t>4550/001</t>
        </is>
      </c>
      <c r="E1824" s="3" t="inlineStr">
        <is>
          <t>Subscriptions &amp; Licenses - Sage payroll</t>
        </is>
      </c>
      <c r="F1824" s="3" t="n">
        <v>686</v>
      </c>
      <c r="G1824" s="3" t="n">
        <v>4022</v>
      </c>
    </row>
    <row r="1825">
      <c r="A1825" s="3" t="inlineStr">
        <is>
          <t>Cape Projects Construction (Pty) Ltd</t>
        </is>
      </c>
      <c r="B1825" s="4" t="n">
        <v>44834</v>
      </c>
      <c r="C1825" s="3" t="inlineStr">
        <is>
          <t>Expenses</t>
        </is>
      </c>
      <c r="D1825" s="3" t="inlineStr">
        <is>
          <t>4550/003</t>
        </is>
      </c>
      <c r="E1825" s="3" t="inlineStr">
        <is>
          <t>Subscriptions &amp; Licenses - Xero</t>
        </is>
      </c>
      <c r="F1825" s="3" t="n">
        <v>600</v>
      </c>
      <c r="G1825" s="3" t="n">
        <v>4200</v>
      </c>
    </row>
    <row r="1826">
      <c r="A1826" s="3" t="inlineStr">
        <is>
          <t>Cape Projects Construction (Pty) Ltd</t>
        </is>
      </c>
      <c r="B1826" s="4" t="n">
        <v>44834</v>
      </c>
      <c r="C1826" s="3" t="inlineStr">
        <is>
          <t>Expenses</t>
        </is>
      </c>
      <c r="D1826" s="3" t="inlineStr">
        <is>
          <t>4550/004</t>
        </is>
      </c>
      <c r="E1826" s="3" t="inlineStr">
        <is>
          <t>Subscriptions - Smartsheet</t>
        </is>
      </c>
      <c r="F1826" s="3" t="n">
        <v>484</v>
      </c>
      <c r="G1826" s="3" t="n">
        <v>2834.6</v>
      </c>
    </row>
    <row r="1827">
      <c r="A1827" s="3" t="inlineStr">
        <is>
          <t>Cape Projects Construction (Pty) Ltd</t>
        </is>
      </c>
      <c r="B1827" s="4" t="n">
        <v>44834</v>
      </c>
      <c r="C1827" s="3" t="inlineStr">
        <is>
          <t>Expenses</t>
        </is>
      </c>
      <c r="D1827" s="3" t="inlineStr">
        <is>
          <t>4550/006</t>
        </is>
      </c>
      <c r="E1827" s="3" t="inlineStr">
        <is>
          <t>Subscription - Candy software</t>
        </is>
      </c>
      <c r="F1827" s="3" t="n">
        <v>1640</v>
      </c>
      <c r="G1827" s="3" t="n">
        <v>13765</v>
      </c>
    </row>
    <row r="1828">
      <c r="A1828" s="3" t="inlineStr">
        <is>
          <t>Heron Fields (Pty) Ltd</t>
        </is>
      </c>
      <c r="B1828" s="4" t="n">
        <v>44834</v>
      </c>
      <c r="C1828" s="3" t="inlineStr">
        <is>
          <t>Expenses</t>
        </is>
      </c>
      <c r="D1828" s="3" t="inlineStr">
        <is>
          <t>4550/100</t>
        </is>
      </c>
      <c r="E1828" s="3" t="inlineStr">
        <is>
          <t>Subscriptions - Xero</t>
        </is>
      </c>
      <c r="F1828" s="3" t="n">
        <v>600</v>
      </c>
      <c r="G1828" s="3" t="n">
        <v>4200</v>
      </c>
    </row>
    <row r="1829">
      <c r="A1829" s="3" t="inlineStr">
        <is>
          <t>Heron View (Pty) Ltd</t>
        </is>
      </c>
      <c r="B1829" s="4" t="n">
        <v>44834</v>
      </c>
      <c r="C1829" s="3" t="inlineStr">
        <is>
          <t>Expenses</t>
        </is>
      </c>
      <c r="D1829" s="3" t="inlineStr">
        <is>
          <t>4550/100</t>
        </is>
      </c>
      <c r="E1829" s="3" t="inlineStr">
        <is>
          <t>Subscriptions - Xero</t>
        </is>
      </c>
      <c r="F1829" s="3" t="n">
        <v>600</v>
      </c>
      <c r="G1829" s="3" t="n">
        <v>7800</v>
      </c>
    </row>
    <row r="1830">
      <c r="A1830" s="3" t="inlineStr">
        <is>
          <t>Cape Projects Construction (Pty) Ltd</t>
        </is>
      </c>
      <c r="B1830" s="4" t="n">
        <v>44834</v>
      </c>
      <c r="C1830" s="3" t="inlineStr">
        <is>
          <t>Expenses</t>
        </is>
      </c>
      <c r="D1830" s="3" t="inlineStr">
        <is>
          <t>4560</t>
        </is>
      </c>
      <c r="E1830" s="3" t="inlineStr">
        <is>
          <t>Secretarial fees - CIPC</t>
        </is>
      </c>
      <c r="F1830" s="3" t="n">
        <v>0</v>
      </c>
      <c r="G1830" s="3" t="n">
        <v>2500</v>
      </c>
    </row>
    <row r="1831">
      <c r="A1831" s="3" t="inlineStr">
        <is>
          <t>Cape Projects Construction (Pty) Ltd</t>
        </is>
      </c>
      <c r="B1831" s="4" t="n">
        <v>44834</v>
      </c>
      <c r="C1831" s="3" t="inlineStr">
        <is>
          <t>Expenses</t>
        </is>
      </c>
      <c r="D1831" s="3" t="inlineStr">
        <is>
          <t>4650/010</t>
        </is>
      </c>
      <c r="E1831" s="3" t="inlineStr">
        <is>
          <t>Travel - Local</t>
        </is>
      </c>
      <c r="F1831" s="3" t="n">
        <v>0</v>
      </c>
      <c r="G1831" s="3" t="n">
        <v>13.04</v>
      </c>
    </row>
    <row r="1832">
      <c r="A1832" s="3" t="inlineStr">
        <is>
          <t>Cape Projects Construction (Pty) Ltd</t>
        </is>
      </c>
      <c r="B1832" s="4" t="n">
        <v>44834</v>
      </c>
      <c r="C1832" s="3" t="inlineStr">
        <is>
          <t>Expenses</t>
        </is>
      </c>
      <c r="D1832" s="3" t="inlineStr">
        <is>
          <t>4700/000</t>
        </is>
      </c>
      <c r="E1832" s="3" t="inlineStr">
        <is>
          <t>PAYE Contributions</t>
        </is>
      </c>
      <c r="F1832" s="3" t="n">
        <v>31349.25</v>
      </c>
      <c r="G1832" s="3" t="n">
        <v>241743.5</v>
      </c>
    </row>
    <row r="1833">
      <c r="A1833" s="3" t="inlineStr">
        <is>
          <t>Cape Projects Construction (Pty) Ltd</t>
        </is>
      </c>
      <c r="B1833" s="4" t="n">
        <v>44834</v>
      </c>
      <c r="C1833" s="3" t="inlineStr">
        <is>
          <t>Expenses</t>
        </is>
      </c>
      <c r="D1833" s="3" t="inlineStr">
        <is>
          <t>4720/000</t>
        </is>
      </c>
      <c r="E1833" s="3" t="inlineStr">
        <is>
          <t>SDL Contributions</t>
        </is>
      </c>
      <c r="F1833" s="3" t="n">
        <v>2530.56</v>
      </c>
      <c r="G1833" s="3" t="n">
        <v>17084.01</v>
      </c>
    </row>
    <row r="1834">
      <c r="A1834" s="3" t="inlineStr">
        <is>
          <t>Cape Projects Construction (Pty) Ltd</t>
        </is>
      </c>
      <c r="B1834" s="4" t="n">
        <v>44834</v>
      </c>
      <c r="C1834" s="3" t="inlineStr">
        <is>
          <t>Expenses</t>
        </is>
      </c>
      <c r="D1834" s="3" t="inlineStr">
        <is>
          <t>4730/000</t>
        </is>
      </c>
      <c r="E1834" s="3" t="inlineStr">
        <is>
          <t>UIF Company Contributions</t>
        </is>
      </c>
      <c r="F1834" s="3" t="n">
        <v>1906.52</v>
      </c>
      <c r="G1834" s="3" t="n">
        <v>12217.58</v>
      </c>
    </row>
    <row r="1835">
      <c r="A1835" s="3" t="inlineStr">
        <is>
          <t>Cape Projects Construction (Pty) Ltd</t>
        </is>
      </c>
      <c r="B1835" s="4" t="n">
        <v>44834</v>
      </c>
      <c r="C1835" s="3" t="inlineStr">
        <is>
          <t>Expenses</t>
        </is>
      </c>
      <c r="D1835" s="3" t="inlineStr">
        <is>
          <t>4731/000</t>
        </is>
      </c>
      <c r="E1835" s="3" t="inlineStr">
        <is>
          <t>UIF Employee Contribution</t>
        </is>
      </c>
      <c r="F1835" s="3" t="n">
        <v>1906.52</v>
      </c>
      <c r="G1835" s="3" t="n">
        <v>12217.58</v>
      </c>
    </row>
    <row r="1836">
      <c r="A1836" s="3" t="inlineStr">
        <is>
          <t>Cape Projects Construction (Pty) Ltd</t>
        </is>
      </c>
      <c r="B1836" s="4" t="n">
        <v>44834</v>
      </c>
      <c r="C1836" s="3" t="inlineStr">
        <is>
          <t>Expenses</t>
        </is>
      </c>
      <c r="D1836" s="3" t="inlineStr">
        <is>
          <t>4740/000</t>
        </is>
      </c>
      <c r="E1836" s="3" t="inlineStr">
        <is>
          <t>BIBC Company Contribution</t>
        </is>
      </c>
      <c r="F1836" s="3" t="n">
        <v>9644.5</v>
      </c>
      <c r="G1836" s="3" t="n">
        <v>35524.81</v>
      </c>
    </row>
    <row r="1837">
      <c r="A1837" s="3" t="inlineStr">
        <is>
          <t>Cape Projects Construction (Pty) Ltd</t>
        </is>
      </c>
      <c r="B1837" s="4" t="n">
        <v>44834</v>
      </c>
      <c r="C1837" s="3" t="inlineStr">
        <is>
          <t>Expenses</t>
        </is>
      </c>
      <c r="D1837" s="3" t="inlineStr">
        <is>
          <t>4741/000</t>
        </is>
      </c>
      <c r="E1837" s="3" t="inlineStr">
        <is>
          <t>BIBC Employee Contribution</t>
        </is>
      </c>
      <c r="F1837" s="3" t="n">
        <v>3344.31</v>
      </c>
      <c r="G1837" s="3" t="n">
        <v>16449.65</v>
      </c>
    </row>
    <row r="1838">
      <c r="A1838" s="3" t="inlineStr">
        <is>
          <t>Heron Fields (Pty) Ltd</t>
        </is>
      </c>
      <c r="B1838" s="4" t="n">
        <v>44834</v>
      </c>
      <c r="C1838" s="3" t="inlineStr">
        <is>
          <t>Equity</t>
        </is>
      </c>
      <c r="D1838" s="3" t="inlineStr">
        <is>
          <t>5100-000</t>
        </is>
      </c>
      <c r="E1838" s="3" t="inlineStr">
        <is>
          <t>Share Capital</t>
        </is>
      </c>
      <c r="F1838" s="3" t="n">
        <v>0</v>
      </c>
      <c r="G1838" s="3" t="n">
        <v>-100</v>
      </c>
    </row>
    <row r="1839">
      <c r="A1839" s="3" t="inlineStr">
        <is>
          <t>Cape Projects Construction (Pty) Ltd</t>
        </is>
      </c>
      <c r="B1839" s="4" t="n">
        <v>44834</v>
      </c>
      <c r="C1839" s="3" t="inlineStr">
        <is>
          <t>Equity</t>
        </is>
      </c>
      <c r="D1839" s="3" t="inlineStr">
        <is>
          <t>5100/000</t>
        </is>
      </c>
      <c r="E1839" s="3" t="inlineStr">
        <is>
          <t>Share Capital / Members Contribution</t>
        </is>
      </c>
      <c r="F1839" s="3" t="n">
        <v>0</v>
      </c>
      <c r="G1839" s="3" t="n">
        <v>-120</v>
      </c>
    </row>
    <row r="1840">
      <c r="A1840" s="3" t="inlineStr">
        <is>
          <t>Cape Projects Construction (Pty) Ltd</t>
        </is>
      </c>
      <c r="B1840" s="4" t="n">
        <v>44834</v>
      </c>
      <c r="C1840" s="3" t="inlineStr">
        <is>
          <t>Equity</t>
        </is>
      </c>
      <c r="D1840" s="3" t="inlineStr">
        <is>
          <t>5200/000</t>
        </is>
      </c>
      <c r="E1840" s="3" t="inlineStr">
        <is>
          <t>Retained Earnings / Loss</t>
        </is>
      </c>
      <c r="F1840" s="3" t="n">
        <v>0</v>
      </c>
      <c r="G1840" s="3" t="n">
        <v>247347.05</v>
      </c>
    </row>
    <row r="1841">
      <c r="A1841" s="3" t="inlineStr">
        <is>
          <t>Heron Fields (Pty) Ltd</t>
        </is>
      </c>
      <c r="B1841" s="4" t="n">
        <v>44834</v>
      </c>
      <c r="C1841" s="3" t="inlineStr">
        <is>
          <t>Equity</t>
        </is>
      </c>
      <c r="D1841" s="3" t="inlineStr">
        <is>
          <t>5200/000</t>
        </is>
      </c>
      <c r="E1841" s="3" t="inlineStr">
        <is>
          <t>Retained Earnings / Loss</t>
        </is>
      </c>
      <c r="F1841" s="3" t="n">
        <v>0</v>
      </c>
      <c r="G1841" s="3" t="n">
        <v>-17080353.05</v>
      </c>
    </row>
    <row r="1842">
      <c r="A1842" s="3" t="inlineStr">
        <is>
          <t>Heron Fields (Pty) Ltd</t>
        </is>
      </c>
      <c r="B1842" s="4" t="n">
        <v>44834</v>
      </c>
      <c r="C1842" s="3" t="inlineStr">
        <is>
          <t>Assets</t>
        </is>
      </c>
      <c r="D1842" s="3" t="inlineStr">
        <is>
          <t>5300/001</t>
        </is>
      </c>
      <c r="E1842" s="3" t="inlineStr">
        <is>
          <t>Revaluation of Land stock</t>
        </is>
      </c>
      <c r="F1842" s="3" t="n">
        <v>0</v>
      </c>
      <c r="G1842" s="3" t="n">
        <v>17562360.85</v>
      </c>
    </row>
    <row r="1843">
      <c r="A1843" s="3" t="inlineStr">
        <is>
          <t>Cape Projects Construction (Pty) Ltd</t>
        </is>
      </c>
      <c r="B1843" s="4" t="n">
        <v>44834</v>
      </c>
      <c r="C1843" s="3" t="inlineStr">
        <is>
          <t>Assets</t>
        </is>
      </c>
      <c r="D1843" s="3" t="inlineStr">
        <is>
          <t>5400/100</t>
        </is>
      </c>
      <c r="E1843" s="3" t="inlineStr">
        <is>
          <t>Loan - Cape Projects Structuring Dev</t>
        </is>
      </c>
      <c r="F1843" s="3" t="n">
        <v>-420000</v>
      </c>
      <c r="G1843" s="3" t="n">
        <v>-420000</v>
      </c>
    </row>
    <row r="1844">
      <c r="A1844" s="3" t="inlineStr">
        <is>
          <t>Cape Projects Construction (Pty) Ltd</t>
        </is>
      </c>
      <c r="B1844" s="4" t="n">
        <v>44834</v>
      </c>
      <c r="C1844" s="3" t="inlineStr">
        <is>
          <t>Assets</t>
        </is>
      </c>
      <c r="D1844" s="3" t="inlineStr">
        <is>
          <t>5400/150</t>
        </is>
      </c>
      <c r="E1844" s="3" t="inlineStr">
        <is>
          <t>Loan - Quinate</t>
        </is>
      </c>
      <c r="F1844" s="3" t="n">
        <v>0</v>
      </c>
      <c r="G1844" s="3" t="n">
        <v>3050000</v>
      </c>
    </row>
    <row r="1845">
      <c r="A1845" s="3" t="inlineStr">
        <is>
          <t>Cape Projects Construction (Pty) Ltd</t>
        </is>
      </c>
      <c r="B1845" s="4" t="n">
        <v>44834</v>
      </c>
      <c r="C1845" s="3" t="inlineStr">
        <is>
          <t>Assets</t>
        </is>
      </c>
      <c r="D1845" s="3" t="inlineStr">
        <is>
          <t>5400/550</t>
        </is>
      </c>
      <c r="E1845" s="3" t="inlineStr">
        <is>
          <t>Loan - Trademark</t>
        </is>
      </c>
      <c r="F1845" s="3" t="n">
        <v>600</v>
      </c>
      <c r="G1845" s="3" t="n">
        <v>600</v>
      </c>
    </row>
    <row r="1846">
      <c r="A1846" s="3" t="inlineStr">
        <is>
          <t>Cape Projects Construction (Pty) Ltd</t>
        </is>
      </c>
      <c r="B1846" s="4" t="n">
        <v>44834</v>
      </c>
      <c r="C1846" s="3" t="inlineStr">
        <is>
          <t>Assets</t>
        </is>
      </c>
      <c r="D1846" s="3" t="inlineStr">
        <is>
          <t>5400/600</t>
        </is>
      </c>
      <c r="E1846" s="3" t="inlineStr">
        <is>
          <t>Loan - Heron Projects</t>
        </is>
      </c>
      <c r="F1846" s="3" t="n">
        <v>-600000</v>
      </c>
      <c r="G1846" s="3" t="n">
        <v>-4546000</v>
      </c>
    </row>
    <row r="1847">
      <c r="A1847" s="3" t="inlineStr">
        <is>
          <t>Cape Projects Construction (Pty) Ltd</t>
        </is>
      </c>
      <c r="B1847" s="4" t="n">
        <v>44834</v>
      </c>
      <c r="C1847" s="3" t="inlineStr">
        <is>
          <t>Assets</t>
        </is>
      </c>
      <c r="D1847" s="3" t="inlineStr">
        <is>
          <t>5400/650</t>
        </is>
      </c>
      <c r="E1847" s="3" t="inlineStr">
        <is>
          <t>Loan - Noble Shield</t>
        </is>
      </c>
      <c r="F1847" s="3" t="n">
        <v>600</v>
      </c>
      <c r="G1847" s="3" t="n">
        <v>600</v>
      </c>
    </row>
    <row r="1848">
      <c r="A1848" s="3" t="inlineStr">
        <is>
          <t>Cape Projects Construction (Pty) Ltd</t>
        </is>
      </c>
      <c r="B1848" s="4" t="n">
        <v>44834</v>
      </c>
      <c r="C1848" s="3" t="inlineStr">
        <is>
          <t>Assets</t>
        </is>
      </c>
      <c r="D1848" s="3" t="inlineStr">
        <is>
          <t>5400/750</t>
        </is>
      </c>
      <c r="E1848" s="3" t="inlineStr">
        <is>
          <t>Loan - Endulini</t>
        </is>
      </c>
      <c r="F1848" s="3" t="n">
        <v>18000</v>
      </c>
      <c r="G1848" s="3" t="n">
        <v>1367000</v>
      </c>
    </row>
    <row r="1849">
      <c r="A1849" s="3" t="inlineStr">
        <is>
          <t>Heron View (Pty) Ltd</t>
        </is>
      </c>
      <c r="B1849" s="4" t="n">
        <v>44834</v>
      </c>
      <c r="C1849" s="3" t="inlineStr">
        <is>
          <t>Liabilities</t>
        </is>
      </c>
      <c r="D1849" s="3" t="inlineStr">
        <is>
          <t>5500/001</t>
        </is>
      </c>
      <c r="E1849" s="3" t="inlineStr">
        <is>
          <t>Loan - Heron Fields</t>
        </is>
      </c>
      <c r="F1849" s="3" t="n">
        <v>-288776.5</v>
      </c>
      <c r="G1849" s="3" t="n">
        <v>-2010617.72</v>
      </c>
    </row>
    <row r="1850">
      <c r="A1850" s="3" t="inlineStr">
        <is>
          <t>Heron Fields (Pty) Ltd</t>
        </is>
      </c>
      <c r="B1850" s="4" t="n">
        <v>44834</v>
      </c>
      <c r="C1850" s="3" t="inlineStr">
        <is>
          <t>Liabilities</t>
        </is>
      </c>
      <c r="D1850" s="3" t="inlineStr">
        <is>
          <t>5500/020</t>
        </is>
      </c>
      <c r="E1850" s="3" t="inlineStr">
        <is>
          <t>Loan - Cape Projects Construction</t>
        </is>
      </c>
      <c r="F1850" s="3" t="n">
        <v>600000</v>
      </c>
      <c r="G1850" s="3" t="n">
        <v>4546000</v>
      </c>
    </row>
    <row r="1851">
      <c r="A1851" s="3" t="inlineStr">
        <is>
          <t>Heron Fields (Pty) Ltd</t>
        </is>
      </c>
      <c r="B1851" s="4" t="n">
        <v>44834</v>
      </c>
      <c r="C1851" s="3" t="inlineStr">
        <is>
          <t>Liabilities</t>
        </is>
      </c>
      <c r="D1851" s="3" t="inlineStr">
        <is>
          <t>5500/050</t>
        </is>
      </c>
      <c r="E1851" s="3" t="inlineStr">
        <is>
          <t>Loan - Heron View</t>
        </is>
      </c>
      <c r="F1851" s="3" t="n">
        <v>288776.5</v>
      </c>
      <c r="G1851" s="3" t="n">
        <v>2010617.72</v>
      </c>
    </row>
    <row r="1852">
      <c r="A1852" s="3" t="inlineStr">
        <is>
          <t>Heron Fields (Pty) Ltd</t>
        </is>
      </c>
      <c r="B1852" s="4" t="n">
        <v>44834</v>
      </c>
      <c r="C1852" s="3" t="inlineStr">
        <is>
          <t>Liabilities</t>
        </is>
      </c>
      <c r="D1852" s="3" t="inlineStr">
        <is>
          <t>5500/060</t>
        </is>
      </c>
      <c r="E1852" s="3" t="inlineStr">
        <is>
          <t>Loan - Opportunity Management Holdings</t>
        </is>
      </c>
      <c r="F1852" s="3" t="n">
        <v>-30000</v>
      </c>
      <c r="G1852" s="3" t="n">
        <v>-30000</v>
      </c>
    </row>
    <row r="1853">
      <c r="A1853" s="3" t="inlineStr">
        <is>
          <t>Cape Projects Construction (Pty) Ltd</t>
        </is>
      </c>
      <c r="B1853" s="4" t="n">
        <v>44834</v>
      </c>
      <c r="C1853" s="3" t="inlineStr">
        <is>
          <t>Liabilities</t>
        </is>
      </c>
      <c r="D1853" s="3" t="inlineStr">
        <is>
          <t>5600/100</t>
        </is>
      </c>
      <c r="E1853" s="3" t="inlineStr">
        <is>
          <t>Motor Vehical Car Repaymts - Toyota</t>
        </is>
      </c>
      <c r="F1853" s="3" t="n">
        <v>5224.15</v>
      </c>
      <c r="G1853" s="3" t="n">
        <v>36440.57</v>
      </c>
    </row>
    <row r="1854">
      <c r="A1854" s="3" t="inlineStr">
        <is>
          <t>Cape Projects Construction (Pty) Ltd</t>
        </is>
      </c>
      <c r="B1854" s="4" t="n">
        <v>44834</v>
      </c>
      <c r="C1854" s="3" t="inlineStr">
        <is>
          <t>Liabilities</t>
        </is>
      </c>
      <c r="D1854" s="3" t="inlineStr">
        <is>
          <t>5600/200</t>
        </is>
      </c>
      <c r="E1854" s="3" t="inlineStr">
        <is>
          <t>Motor Vehicle Car Repayments - Toyota Shortterm</t>
        </is>
      </c>
      <c r="F1854" s="3" t="n">
        <v>0</v>
      </c>
      <c r="G1854" s="3" t="n">
        <v>-58920.1</v>
      </c>
    </row>
    <row r="1855">
      <c r="A1855" s="3" t="inlineStr">
        <is>
          <t>Cape Projects Construction (Pty) Ltd</t>
        </is>
      </c>
      <c r="B1855" s="4" t="n">
        <v>44834</v>
      </c>
      <c r="C1855" s="3" t="inlineStr">
        <is>
          <t>Assets</t>
        </is>
      </c>
      <c r="D1855" s="3" t="inlineStr">
        <is>
          <t>6200/010</t>
        </is>
      </c>
      <c r="E1855" s="3" t="inlineStr">
        <is>
          <t>Motor Vehicles - @ Cost</t>
        </is>
      </c>
      <c r="F1855" s="3" t="n">
        <v>0</v>
      </c>
      <c r="G1855" s="3" t="n">
        <v>216064.1</v>
      </c>
    </row>
    <row r="1856">
      <c r="A1856" s="3" t="inlineStr">
        <is>
          <t>Cape Projects Construction (Pty) Ltd</t>
        </is>
      </c>
      <c r="B1856" s="4" t="n">
        <v>44834</v>
      </c>
      <c r="C1856" s="3" t="inlineStr">
        <is>
          <t>Assets</t>
        </is>
      </c>
      <c r="D1856" s="3" t="inlineStr">
        <is>
          <t>6200/020</t>
        </is>
      </c>
      <c r="E1856" s="3" t="inlineStr">
        <is>
          <t>Motor Vehicles - Accum Depre</t>
        </is>
      </c>
      <c r="F1856" s="3" t="n">
        <v>0</v>
      </c>
      <c r="G1856" s="3" t="n">
        <v>-216063.1</v>
      </c>
    </row>
    <row r="1857">
      <c r="A1857" s="3" t="inlineStr">
        <is>
          <t>Cape Projects Construction (Pty) Ltd</t>
        </is>
      </c>
      <c r="B1857" s="4" t="n">
        <v>44834</v>
      </c>
      <c r="C1857" s="3" t="inlineStr">
        <is>
          <t>Assets</t>
        </is>
      </c>
      <c r="D1857" s="3" t="inlineStr">
        <is>
          <t>6250/010</t>
        </is>
      </c>
      <c r="E1857" s="3" t="inlineStr">
        <is>
          <t>Computer Equipment - @ Cost</t>
        </is>
      </c>
      <c r="F1857" s="3" t="n">
        <v>0</v>
      </c>
      <c r="G1857" s="3" t="n">
        <v>92100.13</v>
      </c>
    </row>
    <row r="1858">
      <c r="A1858" s="3" t="inlineStr">
        <is>
          <t>Cape Projects Construction (Pty) Ltd</t>
        </is>
      </c>
      <c r="B1858" s="4" t="n">
        <v>44834</v>
      </c>
      <c r="C1858" s="3" t="inlineStr">
        <is>
          <t>Assets</t>
        </is>
      </c>
      <c r="D1858" s="3" t="inlineStr">
        <is>
          <t>6250/020</t>
        </is>
      </c>
      <c r="E1858" s="3" t="inlineStr">
        <is>
          <t>Computer Equipment - Accum Depre</t>
        </is>
      </c>
      <c r="F1858" s="3" t="n">
        <v>-2165.83</v>
      </c>
      <c r="G1858" s="3" t="n">
        <v>-32093.79</v>
      </c>
    </row>
    <row r="1859">
      <c r="A1859" s="3" t="inlineStr">
        <is>
          <t>Cape Projects Construction (Pty) Ltd</t>
        </is>
      </c>
      <c r="B1859" s="4" t="n">
        <v>44834</v>
      </c>
      <c r="C1859" s="3" t="inlineStr">
        <is>
          <t>Assets</t>
        </is>
      </c>
      <c r="D1859" s="3" t="inlineStr">
        <is>
          <t>6350/010</t>
        </is>
      </c>
      <c r="E1859" s="3" t="inlineStr">
        <is>
          <t>Furniture _AND_ Fittings - @ Cost</t>
        </is>
      </c>
      <c r="F1859" s="3" t="n">
        <v>0</v>
      </c>
      <c r="G1859" s="3" t="n">
        <v>29281.39</v>
      </c>
    </row>
    <row r="1860">
      <c r="A1860" s="3" t="inlineStr">
        <is>
          <t>Cape Projects Construction (Pty) Ltd</t>
        </is>
      </c>
      <c r="B1860" s="4" t="n">
        <v>44834</v>
      </c>
      <c r="C1860" s="3" t="inlineStr">
        <is>
          <t>Assets</t>
        </is>
      </c>
      <c r="D1860" s="3" t="inlineStr">
        <is>
          <t>6350/020</t>
        </is>
      </c>
      <c r="E1860" s="3" t="inlineStr">
        <is>
          <t>Furniture _AND_ Fittings - Accum Depre</t>
        </is>
      </c>
      <c r="F1860" s="3" t="n">
        <v>-427.21</v>
      </c>
      <c r="G1860" s="3" t="n">
        <v>-3397.13</v>
      </c>
    </row>
    <row r="1861">
      <c r="A1861" s="3" t="inlineStr">
        <is>
          <t>Cape Projects Construction (Pty) Ltd</t>
        </is>
      </c>
      <c r="B1861" s="4" t="n">
        <v>44834</v>
      </c>
      <c r="C1861" s="3" t="inlineStr">
        <is>
          <t>Assets</t>
        </is>
      </c>
      <c r="D1861" s="3" t="inlineStr">
        <is>
          <t>6600/010</t>
        </is>
      </c>
      <c r="E1861" s="3" t="inlineStr">
        <is>
          <t>Generator Fixed Asset - @ Cost</t>
        </is>
      </c>
      <c r="F1861" s="3" t="n">
        <v>0</v>
      </c>
      <c r="G1861" s="3" t="n">
        <v>11600</v>
      </c>
    </row>
    <row r="1862">
      <c r="A1862" s="3" t="inlineStr">
        <is>
          <t>Cape Projects Construction (Pty) Ltd</t>
        </is>
      </c>
      <c r="B1862" s="4" t="n">
        <v>44834</v>
      </c>
      <c r="C1862" s="3" t="inlineStr">
        <is>
          <t>Assets</t>
        </is>
      </c>
      <c r="D1862" s="3" t="inlineStr">
        <is>
          <t>6600/020</t>
        </is>
      </c>
      <c r="E1862" s="3" t="inlineStr">
        <is>
          <t>Generator Fixed Asset - Accum Depre</t>
        </is>
      </c>
      <c r="F1862" s="3" t="n">
        <v>-193.33</v>
      </c>
      <c r="G1862" s="3" t="n">
        <v>-2158.89</v>
      </c>
    </row>
    <row r="1863">
      <c r="A1863" s="3" t="inlineStr">
        <is>
          <t>Heron Fields (Pty) Ltd</t>
        </is>
      </c>
      <c r="B1863" s="4" t="n">
        <v>44834</v>
      </c>
      <c r="C1863" s="3" t="inlineStr">
        <is>
          <t>Assets</t>
        </is>
      </c>
      <c r="D1863" s="3" t="inlineStr">
        <is>
          <t>7610/395</t>
        </is>
      </c>
      <c r="E1863" s="3" t="inlineStr">
        <is>
          <t>HF CIP NHBRC</t>
        </is>
      </c>
      <c r="F1863" s="3" t="n">
        <v>0</v>
      </c>
      <c r="G1863" s="3" t="n">
        <v>874505.75</v>
      </c>
    </row>
    <row r="1864">
      <c r="A1864" s="3" t="inlineStr">
        <is>
          <t>Heron View (Pty) Ltd</t>
        </is>
      </c>
      <c r="B1864" s="4" t="n">
        <v>44834</v>
      </c>
      <c r="C1864" s="3" t="inlineStr">
        <is>
          <t>Assets</t>
        </is>
      </c>
      <c r="D1864" s="3" t="inlineStr">
        <is>
          <t>7610/395</t>
        </is>
      </c>
      <c r="E1864" s="3" t="inlineStr">
        <is>
          <t>Heron CIP NHBRC</t>
        </is>
      </c>
      <c r="F1864" s="3" t="n">
        <v>0</v>
      </c>
      <c r="G1864" s="3" t="n">
        <v>284986.5</v>
      </c>
    </row>
    <row r="1865">
      <c r="A1865" s="3" t="inlineStr">
        <is>
          <t>Heron Fields (Pty) Ltd</t>
        </is>
      </c>
      <c r="B1865" s="4" t="n">
        <v>44834</v>
      </c>
      <c r="C1865" s="3" t="inlineStr">
        <is>
          <t>Assets</t>
        </is>
      </c>
      <c r="D1865" s="3" t="inlineStr">
        <is>
          <t>7620/100</t>
        </is>
      </c>
      <c r="E1865" s="3" t="inlineStr">
        <is>
          <t>Heron View Land</t>
        </is>
      </c>
      <c r="F1865" s="3" t="n">
        <v>0</v>
      </c>
      <c r="G1865" s="3" t="n">
        <v>26200000</v>
      </c>
    </row>
    <row r="1866">
      <c r="A1866" s="3" t="inlineStr">
        <is>
          <t>Heron Fields (Pty) Ltd</t>
        </is>
      </c>
      <c r="B1866" s="4" t="n">
        <v>44834</v>
      </c>
      <c r="C1866" s="3" t="inlineStr">
        <is>
          <t>Assets</t>
        </is>
      </c>
      <c r="D1866" s="3" t="inlineStr">
        <is>
          <t>7620/101</t>
        </is>
      </c>
      <c r="E1866" s="3" t="inlineStr">
        <is>
          <t>HF CIP Bond Registration Fee</t>
        </is>
      </c>
      <c r="F1866" s="3" t="n">
        <v>0</v>
      </c>
      <c r="G1866" s="3" t="n">
        <v>68427</v>
      </c>
    </row>
    <row r="1867">
      <c r="A1867" s="3" t="inlineStr">
        <is>
          <t>Heron Fields (Pty) Ltd</t>
        </is>
      </c>
      <c r="B1867" s="4" t="n">
        <v>44834</v>
      </c>
      <c r="C1867" s="3" t="inlineStr">
        <is>
          <t>Assets</t>
        </is>
      </c>
      <c r="D1867" s="3" t="inlineStr">
        <is>
          <t>7620/102</t>
        </is>
      </c>
      <c r="E1867" s="3" t="inlineStr">
        <is>
          <t>HF CIP Transfer Fee</t>
        </is>
      </c>
      <c r="F1867" s="3" t="n">
        <v>0</v>
      </c>
      <c r="G1867" s="3" t="n">
        <v>103812</v>
      </c>
    </row>
    <row r="1868">
      <c r="A1868" s="3" t="inlineStr">
        <is>
          <t>Heron Fields (Pty) Ltd</t>
        </is>
      </c>
      <c r="B1868" s="4" t="n">
        <v>44834</v>
      </c>
      <c r="C1868" s="3" t="inlineStr">
        <is>
          <t>Assets</t>
        </is>
      </c>
      <c r="D1868" s="3" t="inlineStr">
        <is>
          <t>7620/220</t>
        </is>
      </c>
      <c r="E1868" s="3" t="inlineStr">
        <is>
          <t>HF CIP Architectural Designs</t>
        </is>
      </c>
      <c r="F1868" s="3" t="n">
        <v>0</v>
      </c>
      <c r="G1868" s="3" t="n">
        <v>150780</v>
      </c>
    </row>
    <row r="1869">
      <c r="A1869" s="3" t="inlineStr">
        <is>
          <t>Heron Fields (Pty) Ltd</t>
        </is>
      </c>
      <c r="B1869" s="4" t="n">
        <v>44834</v>
      </c>
      <c r="C1869" s="3" t="inlineStr">
        <is>
          <t>Assets</t>
        </is>
      </c>
      <c r="D1869" s="3" t="inlineStr">
        <is>
          <t>7620/230</t>
        </is>
      </c>
      <c r="E1869" s="3" t="inlineStr">
        <is>
          <t>HF CIP Construction Management</t>
        </is>
      </c>
      <c r="F1869" s="3" t="n">
        <v>15000</v>
      </c>
      <c r="G1869" s="3" t="n">
        <v>91500</v>
      </c>
    </row>
    <row r="1870">
      <c r="A1870" s="3" t="inlineStr">
        <is>
          <t>Heron Fields (Pty) Ltd</t>
        </is>
      </c>
      <c r="B1870" s="4" t="n">
        <v>44834</v>
      </c>
      <c r="C1870" s="3" t="inlineStr">
        <is>
          <t>Assets</t>
        </is>
      </c>
      <c r="D1870" s="3" t="inlineStr">
        <is>
          <t>7620/240</t>
        </is>
      </c>
      <c r="E1870" s="3" t="inlineStr">
        <is>
          <t>HF CIP Civil Engineering</t>
        </is>
      </c>
      <c r="F1870" s="3" t="n">
        <v>0</v>
      </c>
      <c r="G1870" s="3" t="n">
        <v>6685224.8</v>
      </c>
    </row>
    <row r="1871">
      <c r="A1871" s="3" t="inlineStr">
        <is>
          <t>Heron Fields (Pty) Ltd</t>
        </is>
      </c>
      <c r="B1871" s="4" t="n">
        <v>44834</v>
      </c>
      <c r="C1871" s="3" t="inlineStr">
        <is>
          <t>Assets</t>
        </is>
      </c>
      <c r="D1871" s="3" t="inlineStr">
        <is>
          <t>7620/245</t>
        </is>
      </c>
      <c r="E1871" s="3" t="inlineStr">
        <is>
          <t>HF CIP Development fee</t>
        </is>
      </c>
      <c r="F1871" s="3" t="n">
        <v>0</v>
      </c>
      <c r="G1871" s="3" t="n">
        <v>13807.78</v>
      </c>
    </row>
    <row r="1872">
      <c r="A1872" s="3" t="inlineStr">
        <is>
          <t>Heron Fields (Pty) Ltd</t>
        </is>
      </c>
      <c r="B1872" s="4" t="n">
        <v>44834</v>
      </c>
      <c r="C1872" s="3" t="inlineStr">
        <is>
          <t>Assets</t>
        </is>
      </c>
      <c r="D1872" s="3" t="inlineStr">
        <is>
          <t>7620/250</t>
        </is>
      </c>
      <c r="E1872" s="3" t="inlineStr">
        <is>
          <t>HF CIP Land Surveyor</t>
        </is>
      </c>
      <c r="F1872" s="3" t="n">
        <v>0</v>
      </c>
      <c r="G1872" s="3" t="n">
        <v>103646.09</v>
      </c>
    </row>
    <row r="1873">
      <c r="A1873" s="3" t="inlineStr">
        <is>
          <t>Heron Fields (Pty) Ltd</t>
        </is>
      </c>
      <c r="B1873" s="4" t="n">
        <v>44834</v>
      </c>
      <c r="C1873" s="3" t="inlineStr">
        <is>
          <t>Assets</t>
        </is>
      </c>
      <c r="D1873" s="3" t="inlineStr">
        <is>
          <t>7620/255</t>
        </is>
      </c>
      <c r="E1873" s="3" t="inlineStr">
        <is>
          <t>HF CIP Landscaping</t>
        </is>
      </c>
      <c r="F1873" s="3" t="n">
        <v>0</v>
      </c>
      <c r="G1873" s="3" t="n">
        <v>7500</v>
      </c>
    </row>
    <row r="1874">
      <c r="A1874" s="3" t="inlineStr">
        <is>
          <t>Heron Fields (Pty) Ltd</t>
        </is>
      </c>
      <c r="B1874" s="4" t="n">
        <v>44834</v>
      </c>
      <c r="C1874" s="3" t="inlineStr">
        <is>
          <t>Assets</t>
        </is>
      </c>
      <c r="D1874" s="3" t="inlineStr">
        <is>
          <t>7620/260</t>
        </is>
      </c>
      <c r="E1874" s="3" t="inlineStr">
        <is>
          <t>HF CIP Mechanical Engineers</t>
        </is>
      </c>
      <c r="F1874" s="3" t="n">
        <v>0</v>
      </c>
      <c r="G1874" s="3" t="n">
        <v>67400</v>
      </c>
    </row>
    <row r="1875">
      <c r="A1875" s="3" t="inlineStr">
        <is>
          <t>Heron Fields (Pty) Ltd</t>
        </is>
      </c>
      <c r="B1875" s="4" t="n">
        <v>44834</v>
      </c>
      <c r="C1875" s="3" t="inlineStr">
        <is>
          <t>Assets</t>
        </is>
      </c>
      <c r="D1875" s="3" t="inlineStr">
        <is>
          <t>7620/265</t>
        </is>
      </c>
      <c r="E1875" s="3" t="inlineStr">
        <is>
          <t>HF CIP Health &amp; Safety</t>
        </is>
      </c>
      <c r="F1875" s="3" t="n">
        <v>1400</v>
      </c>
      <c r="G1875" s="3" t="n">
        <v>16400</v>
      </c>
    </row>
    <row r="1876">
      <c r="A1876" s="3" t="inlineStr">
        <is>
          <t>Heron Fields (Pty) Ltd</t>
        </is>
      </c>
      <c r="B1876" s="4" t="n">
        <v>44834</v>
      </c>
      <c r="C1876" s="3" t="inlineStr">
        <is>
          <t>Assets</t>
        </is>
      </c>
      <c r="D1876" s="3" t="inlineStr">
        <is>
          <t>7620/270</t>
        </is>
      </c>
      <c r="E1876" s="3" t="inlineStr">
        <is>
          <t>HF CIP Geotechnical</t>
        </is>
      </c>
      <c r="F1876" s="3" t="n">
        <v>0</v>
      </c>
      <c r="G1876" s="3" t="n">
        <v>15175</v>
      </c>
    </row>
    <row r="1877">
      <c r="A1877" s="3" t="inlineStr">
        <is>
          <t>Heron Fields (Pty) Ltd</t>
        </is>
      </c>
      <c r="B1877" s="4" t="n">
        <v>44834</v>
      </c>
      <c r="C1877" s="3" t="inlineStr">
        <is>
          <t>Assets</t>
        </is>
      </c>
      <c r="D1877" s="3" t="inlineStr">
        <is>
          <t>7620/275</t>
        </is>
      </c>
      <c r="E1877" s="3" t="inlineStr">
        <is>
          <t>HF CIP Retaining Wall</t>
        </is>
      </c>
      <c r="F1877" s="3" t="n">
        <v>0</v>
      </c>
      <c r="G1877" s="3" t="n">
        <v>570856.08</v>
      </c>
    </row>
    <row r="1878">
      <c r="A1878" s="3" t="inlineStr">
        <is>
          <t>Heron Fields (Pty) Ltd</t>
        </is>
      </c>
      <c r="B1878" s="4" t="n">
        <v>44834</v>
      </c>
      <c r="C1878" s="3" t="inlineStr">
        <is>
          <t>Assets</t>
        </is>
      </c>
      <c r="D1878" s="3" t="inlineStr">
        <is>
          <t>7620/280</t>
        </is>
      </c>
      <c r="E1878" s="3" t="inlineStr">
        <is>
          <t>HF CIP Site Establishment</t>
        </is>
      </c>
      <c r="F1878" s="3" t="n">
        <v>9770550.359999999</v>
      </c>
      <c r="G1878" s="3" t="n">
        <v>34243436.86</v>
      </c>
    </row>
    <row r="1879">
      <c r="A1879" s="3" t="inlineStr">
        <is>
          <t>Heron Fields (Pty) Ltd</t>
        </is>
      </c>
      <c r="B1879" s="4" t="n">
        <v>44834</v>
      </c>
      <c r="C1879" s="3" t="inlineStr">
        <is>
          <t>Assets</t>
        </is>
      </c>
      <c r="D1879" s="3" t="inlineStr">
        <is>
          <t>7620/285</t>
        </is>
      </c>
      <c r="E1879" s="3" t="inlineStr">
        <is>
          <t>HF CIP Structuring Fee - Invest</t>
        </is>
      </c>
      <c r="F1879" s="3" t="n">
        <v>380869.57</v>
      </c>
      <c r="G1879" s="3" t="n">
        <v>3396905</v>
      </c>
    </row>
    <row r="1880">
      <c r="A1880" s="3" t="inlineStr">
        <is>
          <t>Heron Fields (Pty) Ltd</t>
        </is>
      </c>
      <c r="B1880" s="4" t="n">
        <v>44834</v>
      </c>
      <c r="C1880" s="3" t="inlineStr">
        <is>
          <t>Assets</t>
        </is>
      </c>
      <c r="D1880" s="3" t="inlineStr">
        <is>
          <t>7620/287</t>
        </is>
      </c>
      <c r="E1880" s="3" t="inlineStr">
        <is>
          <t>HF CIP Structuring Fee - Development</t>
        </is>
      </c>
      <c r="F1880" s="3" t="n">
        <v>0</v>
      </c>
      <c r="G1880" s="3" t="n">
        <v>782608.0699999999</v>
      </c>
    </row>
    <row r="1881">
      <c r="A1881" s="3" t="inlineStr">
        <is>
          <t>Heron Fields (Pty) Ltd</t>
        </is>
      </c>
      <c r="B1881" s="4" t="n">
        <v>44834</v>
      </c>
      <c r="C1881" s="3" t="inlineStr">
        <is>
          <t>Assets</t>
        </is>
      </c>
      <c r="D1881" s="3" t="inlineStr">
        <is>
          <t>7620/290</t>
        </is>
      </c>
      <c r="E1881" s="3" t="inlineStr">
        <is>
          <t>HF CIP Town Planning</t>
        </is>
      </c>
      <c r="F1881" s="3" t="n">
        <v>0</v>
      </c>
      <c r="G1881" s="3" t="n">
        <v>163550</v>
      </c>
    </row>
    <row r="1882">
      <c r="A1882" s="3" t="inlineStr">
        <is>
          <t>Heron Fields (Pty) Ltd</t>
        </is>
      </c>
      <c r="B1882" s="4" t="n">
        <v>44834</v>
      </c>
      <c r="C1882" s="3" t="inlineStr">
        <is>
          <t>Assets</t>
        </is>
      </c>
      <c r="D1882" s="3" t="inlineStr">
        <is>
          <t>7620/295</t>
        </is>
      </c>
      <c r="E1882" s="3" t="inlineStr">
        <is>
          <t>HF CIP Traffic Planning</t>
        </is>
      </c>
      <c r="F1882" s="3" t="n">
        <v>0</v>
      </c>
      <c r="G1882" s="3" t="n">
        <v>45000</v>
      </c>
    </row>
    <row r="1883">
      <c r="A1883" s="3" t="inlineStr">
        <is>
          <t>Heron Fields (Pty) Ltd</t>
        </is>
      </c>
      <c r="B1883" s="4" t="n">
        <v>44834</v>
      </c>
      <c r="C1883" s="3" t="inlineStr">
        <is>
          <t>Assets</t>
        </is>
      </c>
      <c r="D1883" s="3" t="inlineStr">
        <is>
          <t>7620/600</t>
        </is>
      </c>
      <c r="E1883" s="3" t="inlineStr">
        <is>
          <t>HF CIP Eco work</t>
        </is>
      </c>
      <c r="F1883" s="3" t="n">
        <v>6000</v>
      </c>
      <c r="G1883" s="3" t="n">
        <v>101000</v>
      </c>
    </row>
    <row r="1884">
      <c r="A1884" s="3" t="inlineStr">
        <is>
          <t>Heron Fields (Pty) Ltd</t>
        </is>
      </c>
      <c r="B1884" s="4" t="n">
        <v>44834</v>
      </c>
      <c r="C1884" s="3" t="inlineStr">
        <is>
          <t>Assets</t>
        </is>
      </c>
      <c r="D1884" s="3" t="inlineStr">
        <is>
          <t>7620/630</t>
        </is>
      </c>
      <c r="E1884" s="3" t="inlineStr">
        <is>
          <t>HF CIP CoCT development contribution</t>
        </is>
      </c>
      <c r="F1884" s="3" t="n">
        <v>626.09</v>
      </c>
      <c r="G1884" s="3" t="n">
        <v>1021325.63</v>
      </c>
    </row>
    <row r="1885">
      <c r="A1885" s="3" t="inlineStr">
        <is>
          <t>Heron View (Pty) Ltd</t>
        </is>
      </c>
      <c r="B1885" s="4" t="n">
        <v>44834</v>
      </c>
      <c r="C1885" s="3" t="inlineStr">
        <is>
          <t>Assets</t>
        </is>
      </c>
      <c r="D1885" s="3" t="inlineStr">
        <is>
          <t>7620/630</t>
        </is>
      </c>
      <c r="E1885" s="3" t="inlineStr">
        <is>
          <t>Heron CIP - CoCT development contribution</t>
        </is>
      </c>
      <c r="F1885" s="3" t="n">
        <v>0</v>
      </c>
      <c r="G1885" s="3" t="n">
        <v>1233261.93</v>
      </c>
    </row>
    <row r="1886">
      <c r="A1886" s="3" t="inlineStr">
        <is>
          <t>Heron Fields (Pty) Ltd</t>
        </is>
      </c>
      <c r="B1886" s="4" t="n">
        <v>44834</v>
      </c>
      <c r="C1886" s="3" t="inlineStr">
        <is>
          <t>Assets</t>
        </is>
      </c>
      <c r="D1886" s="3" t="inlineStr">
        <is>
          <t>7620/640</t>
        </is>
      </c>
      <c r="E1886" s="3" t="inlineStr">
        <is>
          <t>HF CIP Project costs</t>
        </is>
      </c>
      <c r="F1886" s="3" t="n">
        <v>0</v>
      </c>
      <c r="G1886" s="3" t="n">
        <v>622274.51</v>
      </c>
    </row>
    <row r="1887">
      <c r="A1887" s="3" t="inlineStr">
        <is>
          <t>Heron Fields (Pty) Ltd</t>
        </is>
      </c>
      <c r="B1887" s="4" t="n">
        <v>44834</v>
      </c>
      <c r="C1887" s="3" t="inlineStr">
        <is>
          <t>Assets</t>
        </is>
      </c>
      <c r="D1887" s="3" t="inlineStr">
        <is>
          <t>7620/650</t>
        </is>
      </c>
      <c r="E1887" s="3" t="inlineStr">
        <is>
          <t>HF CIP Electrical</t>
        </is>
      </c>
      <c r="F1887" s="3" t="n">
        <v>0</v>
      </c>
      <c r="G1887" s="3" t="n">
        <v>938082.41</v>
      </c>
    </row>
    <row r="1888">
      <c r="A1888" s="3" t="inlineStr">
        <is>
          <t>Heron View (Pty) Ltd</t>
        </is>
      </c>
      <c r="B1888" s="4" t="n">
        <v>44834</v>
      </c>
      <c r="C1888" s="3" t="inlineStr">
        <is>
          <t>Assets</t>
        </is>
      </c>
      <c r="D1888" s="3" t="inlineStr">
        <is>
          <t>7620/660</t>
        </is>
      </c>
      <c r="E1888" s="3" t="inlineStr">
        <is>
          <t>HV CIP Health &amp; Safety</t>
        </is>
      </c>
      <c r="F1888" s="3" t="n">
        <v>1100</v>
      </c>
      <c r="G1888" s="3" t="n">
        <v>9600</v>
      </c>
    </row>
    <row r="1889">
      <c r="A1889" s="3" t="inlineStr">
        <is>
          <t>Heron View (Pty) Ltd</t>
        </is>
      </c>
      <c r="B1889" s="4" t="n">
        <v>44834</v>
      </c>
      <c r="C1889" s="3" t="inlineStr">
        <is>
          <t>Assets</t>
        </is>
      </c>
      <c r="D1889" s="3" t="inlineStr">
        <is>
          <t>7620/670</t>
        </is>
      </c>
      <c r="E1889" s="3" t="inlineStr">
        <is>
          <t>HV CIP - Project costs CPSD</t>
        </is>
      </c>
      <c r="F1889" s="3" t="n">
        <v>0</v>
      </c>
      <c r="G1889" s="3" t="n">
        <v>250000</v>
      </c>
    </row>
    <row r="1890">
      <c r="A1890" s="3" t="inlineStr">
        <is>
          <t>Heron Fields (Pty) Ltd</t>
        </is>
      </c>
      <c r="B1890" s="4" t="n">
        <v>44834</v>
      </c>
      <c r="C1890" s="3" t="inlineStr">
        <is>
          <t>Assets</t>
        </is>
      </c>
      <c r="D1890" s="3" t="inlineStr">
        <is>
          <t>7620/700</t>
        </is>
      </c>
      <c r="E1890" s="3" t="inlineStr">
        <is>
          <t>HF CIP - P&amp;G recoveries - Endulini&amp;Heron Fields/View</t>
        </is>
      </c>
      <c r="F1890" s="3" t="n">
        <v>0</v>
      </c>
      <c r="G1890" s="3" t="n">
        <v>3023829.42</v>
      </c>
    </row>
    <row r="1891">
      <c r="A1891" s="3" t="inlineStr">
        <is>
          <t>Heron Fields (Pty) Ltd</t>
        </is>
      </c>
      <c r="B1891" s="4" t="n">
        <v>44834</v>
      </c>
      <c r="C1891" s="3" t="inlineStr">
        <is>
          <t>Assets</t>
        </is>
      </c>
      <c r="D1891" s="3" t="inlineStr">
        <is>
          <t>7620/750</t>
        </is>
      </c>
      <c r="E1891" s="3" t="inlineStr">
        <is>
          <t>HF CIP Project costs CPSD</t>
        </is>
      </c>
      <c r="F1891" s="3" t="n">
        <v>0</v>
      </c>
      <c r="G1891" s="3" t="n">
        <v>850000</v>
      </c>
    </row>
    <row r="1892">
      <c r="A1892" s="3" t="inlineStr">
        <is>
          <t>Cape Projects Construction (Pty) Ltd</t>
        </is>
      </c>
      <c r="B1892" s="4" t="n">
        <v>44834</v>
      </c>
      <c r="C1892" s="3" t="inlineStr">
        <is>
          <t>Assets</t>
        </is>
      </c>
      <c r="D1892" s="3" t="inlineStr">
        <is>
          <t>7800/000</t>
        </is>
      </c>
      <c r="E1892" s="3" t="inlineStr">
        <is>
          <t>Deposits paid</t>
        </is>
      </c>
      <c r="F1892" s="3" t="n">
        <v>0</v>
      </c>
      <c r="G1892" s="3" t="n">
        <v>6875.45</v>
      </c>
    </row>
    <row r="1893">
      <c r="A1893" s="3" t="inlineStr">
        <is>
          <t>Cape Projects Construction (Pty) Ltd</t>
        </is>
      </c>
      <c r="B1893" s="4" t="n">
        <v>44834</v>
      </c>
      <c r="C1893" s="3" t="inlineStr">
        <is>
          <t>Assets</t>
        </is>
      </c>
      <c r="D1893" s="3" t="inlineStr">
        <is>
          <t>8000/000</t>
        </is>
      </c>
      <c r="E1893" s="3" t="inlineStr">
        <is>
          <t>Customer Control Account</t>
        </is>
      </c>
      <c r="F1893" s="3" t="n">
        <v>-2462629.79</v>
      </c>
      <c r="G1893" s="3" t="n">
        <v>5874411.14</v>
      </c>
    </row>
    <row r="1894">
      <c r="A1894" s="3" t="inlineStr">
        <is>
          <t>Cape Projects Construction (Pty) Ltd</t>
        </is>
      </c>
      <c r="B1894" s="4" t="n">
        <v>44834</v>
      </c>
      <c r="C1894" s="3" t="inlineStr">
        <is>
          <t>Assets</t>
        </is>
      </c>
      <c r="D1894" s="3" t="inlineStr">
        <is>
          <t>8200/010</t>
        </is>
      </c>
      <c r="E1894" s="3" t="inlineStr">
        <is>
          <t>Prepayments / Prepaid Expenses</t>
        </is>
      </c>
      <c r="F1894" s="3" t="n">
        <v>-2719.44</v>
      </c>
      <c r="G1894" s="3" t="n">
        <v>16316.63</v>
      </c>
    </row>
    <row r="1895">
      <c r="A1895" s="3" t="inlineStr">
        <is>
          <t>Cape Projects Construction (Pty) Ltd</t>
        </is>
      </c>
      <c r="B1895" s="4" t="n">
        <v>44834</v>
      </c>
      <c r="C1895" s="3" t="inlineStr">
        <is>
          <t>Assets</t>
        </is>
      </c>
      <c r="D1895" s="3" t="inlineStr">
        <is>
          <t>8300/000</t>
        </is>
      </c>
      <c r="E1895" s="3" t="inlineStr">
        <is>
          <t>FNB Credit Card 8812 7100 446 6006</t>
        </is>
      </c>
      <c r="F1895" s="3" t="n">
        <v>19</v>
      </c>
      <c r="G1895" s="3" t="n">
        <v>44</v>
      </c>
    </row>
    <row r="1896">
      <c r="A1896" s="3" t="inlineStr">
        <is>
          <t>Heron Fields (Pty) Ltd</t>
        </is>
      </c>
      <c r="B1896" s="4" t="n">
        <v>44834</v>
      </c>
      <c r="C1896" s="3" t="inlineStr">
        <is>
          <t>Assets</t>
        </is>
      </c>
      <c r="D1896" s="3" t="inlineStr">
        <is>
          <t>8400/000</t>
        </is>
      </c>
      <c r="E1896" s="3" t="inlineStr">
        <is>
          <t>RMB - 62882379087</t>
        </is>
      </c>
      <c r="F1896" s="3" t="n">
        <v>-540090.5699999999</v>
      </c>
      <c r="G1896" s="3" t="n">
        <v>494513.62</v>
      </c>
    </row>
    <row r="1897">
      <c r="A1897" s="3" t="inlineStr">
        <is>
          <t>Cape Projects Construction (Pty) Ltd</t>
        </is>
      </c>
      <c r="B1897" s="4" t="n">
        <v>44834</v>
      </c>
      <c r="C1897" s="3" t="inlineStr">
        <is>
          <t>Assets</t>
        </is>
      </c>
      <c r="D1897" s="3" t="inlineStr">
        <is>
          <t>8400/000</t>
        </is>
      </c>
      <c r="E1897" s="3" t="inlineStr">
        <is>
          <t>RMB 62275138470</t>
        </is>
      </c>
      <c r="F1897" s="3" t="n">
        <v>-292575.03</v>
      </c>
      <c r="G1897" s="3" t="n">
        <v>656979.54</v>
      </c>
    </row>
    <row r="1898">
      <c r="A1898" s="3" t="inlineStr">
        <is>
          <t>Cape Projects Construction (Pty) Ltd</t>
        </is>
      </c>
      <c r="B1898" s="4" t="n">
        <v>44834</v>
      </c>
      <c r="C1898" s="3" t="inlineStr">
        <is>
          <t>Assets</t>
        </is>
      </c>
      <c r="D1898" s="3" t="inlineStr">
        <is>
          <t>8420/000</t>
        </is>
      </c>
      <c r="E1898" s="3" t="inlineStr">
        <is>
          <t>Momentum Priv Acc RU502230981</t>
        </is>
      </c>
      <c r="F1898" s="3" t="n">
        <v>0</v>
      </c>
      <c r="G1898" s="3" t="n">
        <v>522.6</v>
      </c>
    </row>
    <row r="1899">
      <c r="A1899" s="3" t="inlineStr">
        <is>
          <t>Heron Fields (Pty) Ltd</t>
        </is>
      </c>
      <c r="B1899" s="4" t="n">
        <v>44834</v>
      </c>
      <c r="C1899" s="3" t="inlineStr">
        <is>
          <t>Assets</t>
        </is>
      </c>
      <c r="D1899" s="3" t="inlineStr">
        <is>
          <t>8430/000</t>
        </is>
      </c>
      <c r="E1899" s="3" t="inlineStr">
        <is>
          <t>Momentum Private Account RU502230151</t>
        </is>
      </c>
      <c r="F1899" s="3" t="n">
        <v>0</v>
      </c>
      <c r="G1899" s="3" t="n">
        <v>802.62</v>
      </c>
    </row>
    <row r="1900">
      <c r="A1900" s="3" t="inlineStr">
        <is>
          <t>Heron Fields (Pty) Ltd</t>
        </is>
      </c>
      <c r="B1900" s="4" t="n">
        <v>44834</v>
      </c>
      <c r="C1900" s="3" t="inlineStr">
        <is>
          <t>Assets</t>
        </is>
      </c>
      <c r="D1900" s="3" t="inlineStr">
        <is>
          <t>8440/000</t>
        </is>
      </c>
      <c r="E1900" s="3" t="inlineStr">
        <is>
          <t>Momentum Investors Account RU502229930</t>
        </is>
      </c>
      <c r="F1900" s="3" t="n">
        <v>-8621078.15</v>
      </c>
      <c r="G1900" s="3" t="n">
        <v>2393591.67</v>
      </c>
    </row>
    <row r="1901">
      <c r="A1901" s="3" t="inlineStr">
        <is>
          <t>Cape Projects Construction (Pty) Ltd</t>
        </is>
      </c>
      <c r="B1901" s="4" t="n">
        <v>44834</v>
      </c>
      <c r="C1901" s="3" t="inlineStr">
        <is>
          <t>Liabilities</t>
        </is>
      </c>
      <c r="D1901" s="3" t="inlineStr">
        <is>
          <t>860</t>
        </is>
      </c>
      <c r="E1901" s="3" t="inlineStr">
        <is>
          <t>Rounding</t>
        </is>
      </c>
      <c r="F1901" s="3" t="n">
        <v>-0.26</v>
      </c>
      <c r="G1901" s="3" t="n">
        <v>-0.3</v>
      </c>
    </row>
    <row r="1902">
      <c r="A1902" s="3" t="inlineStr">
        <is>
          <t>Cape Projects Construction (Pty) Ltd</t>
        </is>
      </c>
      <c r="B1902" s="4" t="n">
        <v>44834</v>
      </c>
      <c r="C1902" s="3" t="inlineStr">
        <is>
          <t>Liabilities</t>
        </is>
      </c>
      <c r="D1902" s="3" t="inlineStr">
        <is>
          <t>9000/000</t>
        </is>
      </c>
      <c r="E1902" s="3" t="inlineStr">
        <is>
          <t>Supplier Control Account</t>
        </is>
      </c>
      <c r="F1902" s="3" t="n">
        <v>4200902.49</v>
      </c>
      <c r="G1902" s="3" t="n">
        <v>-3568763.85</v>
      </c>
    </row>
    <row r="1903">
      <c r="A1903" s="3" t="inlineStr">
        <is>
          <t>Heron Fields (Pty) Ltd</t>
        </is>
      </c>
      <c r="B1903" s="4" t="n">
        <v>44834</v>
      </c>
      <c r="C1903" s="3" t="inlineStr">
        <is>
          <t>Liabilities</t>
        </is>
      </c>
      <c r="D1903" s="3" t="inlineStr">
        <is>
          <t>9000/000</t>
        </is>
      </c>
      <c r="E1903" s="3" t="inlineStr">
        <is>
          <t>Supplier Control Account</t>
        </is>
      </c>
      <c r="F1903" s="3" t="n">
        <v>-3544042.71</v>
      </c>
      <c r="G1903" s="3" t="n">
        <v>-95144235.01000001</v>
      </c>
    </row>
    <row r="1904">
      <c r="A1904" s="3" t="inlineStr">
        <is>
          <t>Heron View (Pty) Ltd</t>
        </is>
      </c>
      <c r="B1904" s="4" t="n">
        <v>44834</v>
      </c>
      <c r="C1904" s="3" t="inlineStr">
        <is>
          <t>Liabilities</t>
        </is>
      </c>
      <c r="D1904" s="3" t="inlineStr">
        <is>
          <t>9000/000</t>
        </is>
      </c>
      <c r="E1904" s="3" t="inlineStr">
        <is>
          <t>Supplier Control Account</t>
        </is>
      </c>
      <c r="F1904" s="3" t="n">
        <v>279880.81</v>
      </c>
      <c r="G1904" s="3" t="n">
        <v>-5795.69</v>
      </c>
    </row>
    <row r="1905">
      <c r="A1905" s="3" t="inlineStr">
        <is>
          <t>Cape Projects Construction (Pty) Ltd</t>
        </is>
      </c>
      <c r="B1905" s="4" t="n">
        <v>44834</v>
      </c>
      <c r="C1905" s="3" t="inlineStr">
        <is>
          <t>Liabilities</t>
        </is>
      </c>
      <c r="D1905" s="3" t="inlineStr">
        <is>
          <t>9200/000</t>
        </is>
      </c>
      <c r="E1905" s="3" t="inlineStr">
        <is>
          <t>Sundry Suppliers</t>
        </is>
      </c>
      <c r="F1905" s="3" t="n">
        <v>0</v>
      </c>
      <c r="G1905" s="3" t="n">
        <v>1186.13</v>
      </c>
    </row>
    <row r="1906">
      <c r="A1906" s="3" t="inlineStr">
        <is>
          <t>Cape Projects Construction (Pty) Ltd</t>
        </is>
      </c>
      <c r="B1906" s="4" t="n">
        <v>44834</v>
      </c>
      <c r="C1906" s="3" t="inlineStr">
        <is>
          <t>Liabilities</t>
        </is>
      </c>
      <c r="D1906" s="3" t="inlineStr">
        <is>
          <t>9250/010</t>
        </is>
      </c>
      <c r="E1906" s="3" t="inlineStr">
        <is>
          <t>SALARY CONTROL</t>
        </is>
      </c>
      <c r="F1906" s="3" t="n">
        <v>0</v>
      </c>
      <c r="G1906" s="3" t="n">
        <v>20758.55</v>
      </c>
    </row>
    <row r="1907">
      <c r="A1907" s="3" t="inlineStr">
        <is>
          <t>Cape Projects Construction (Pty) Ltd</t>
        </is>
      </c>
      <c r="B1907" s="4" t="n">
        <v>44834</v>
      </c>
      <c r="C1907" s="3" t="inlineStr">
        <is>
          <t>Liabilities</t>
        </is>
      </c>
      <c r="D1907" s="3" t="inlineStr">
        <is>
          <t>9250/020</t>
        </is>
      </c>
      <c r="E1907" s="3" t="inlineStr">
        <is>
          <t>PAYE, UIF AND SDL CONTROL</t>
        </is>
      </c>
      <c r="F1907" s="3" t="n">
        <v>-25578.97</v>
      </c>
      <c r="G1907" s="3" t="n">
        <v>-39305</v>
      </c>
    </row>
    <row r="1908">
      <c r="A1908" s="3" t="inlineStr">
        <is>
          <t>Cape Projects Construction (Pty) Ltd</t>
        </is>
      </c>
      <c r="B1908" s="4" t="n">
        <v>44834</v>
      </c>
      <c r="C1908" s="3" t="inlineStr">
        <is>
          <t>Liabilities</t>
        </is>
      </c>
      <c r="D1908" s="3" t="inlineStr">
        <is>
          <t>9250/030</t>
        </is>
      </c>
      <c r="E1908" s="3" t="inlineStr">
        <is>
          <t>BIBC CONTROL</t>
        </is>
      </c>
      <c r="F1908" s="3" t="n">
        <v>-12988.81</v>
      </c>
      <c r="G1908" s="3" t="n">
        <v>-52383.58</v>
      </c>
    </row>
    <row r="1909">
      <c r="A1909" s="3" t="inlineStr">
        <is>
          <t>Cape Projects Construction (Pty) Ltd</t>
        </is>
      </c>
      <c r="B1909" s="4" t="n">
        <v>44834</v>
      </c>
      <c r="C1909" s="3" t="inlineStr">
        <is>
          <t>Liabilities</t>
        </is>
      </c>
      <c r="D1909" s="3" t="inlineStr">
        <is>
          <t>9500/000</t>
        </is>
      </c>
      <c r="E1909" s="3" t="inlineStr">
        <is>
          <t>VAT Control Account</t>
        </is>
      </c>
      <c r="F1909" s="3" t="n">
        <v>-254212.86</v>
      </c>
      <c r="G1909" s="3" t="n">
        <v>-2234577.36</v>
      </c>
    </row>
    <row r="1910">
      <c r="A1910" s="3" t="inlineStr">
        <is>
          <t>Heron Fields (Pty) Ltd</t>
        </is>
      </c>
      <c r="B1910" s="4" t="n">
        <v>44834</v>
      </c>
      <c r="C1910" s="3" t="inlineStr">
        <is>
          <t>Liabilities</t>
        </is>
      </c>
      <c r="D1910" s="3" t="inlineStr">
        <is>
          <t>9500/000</t>
        </is>
      </c>
      <c r="E1910" s="3" t="inlineStr">
        <is>
          <t>Vat / Tax Control Account</t>
        </is>
      </c>
      <c r="F1910" s="3" t="n">
        <v>1544659.24</v>
      </c>
      <c r="G1910" s="3" t="n">
        <v>4072692.6</v>
      </c>
    </row>
    <row r="1911">
      <c r="A1911" s="3" t="inlineStr">
        <is>
          <t>Heron View (Pty) Ltd</t>
        </is>
      </c>
      <c r="B1911" s="4" t="n">
        <v>44834</v>
      </c>
      <c r="C1911" s="3" t="inlineStr">
        <is>
          <t>Liabilities</t>
        </is>
      </c>
      <c r="D1911" s="3" t="inlineStr">
        <is>
          <t>9500/000</t>
        </is>
      </c>
      <c r="E1911" s="3" t="inlineStr">
        <is>
          <t>Vat / Tax Control Account</t>
        </is>
      </c>
      <c r="F1911" s="3" t="n">
        <v>612.48</v>
      </c>
      <c r="G1911" s="3" t="n">
        <v>224181.77</v>
      </c>
    </row>
    <row r="1912">
      <c r="A1912" s="3" t="inlineStr">
        <is>
          <t>Cape Projects Construction (Pty) Ltd</t>
        </is>
      </c>
      <c r="B1912" s="4" t="n">
        <v>44834</v>
      </c>
      <c r="C1912" s="3" t="inlineStr">
        <is>
          <t>Liabilities</t>
        </is>
      </c>
      <c r="D1912" s="3" t="inlineStr">
        <is>
          <t>9990/000</t>
        </is>
      </c>
      <c r="E1912" s="3" t="inlineStr">
        <is>
          <t>Opening Balance / Suspense Account</t>
        </is>
      </c>
      <c r="F1912" s="3" t="n">
        <v>0</v>
      </c>
      <c r="G1912" s="3" t="n">
        <v>80</v>
      </c>
    </row>
    <row r="1913">
      <c r="A1913" s="3" t="inlineStr">
        <is>
          <t>Cape Projects Construction (Pty) Ltd</t>
        </is>
      </c>
      <c r="B1913" s="4" t="n">
        <v>44834</v>
      </c>
      <c r="C1913" s="3" t="inlineStr">
        <is>
          <t>Liabilities</t>
        </is>
      </c>
      <c r="D1913" s="3" t="inlineStr">
        <is>
          <t>B/S</t>
        </is>
      </c>
      <c r="E1913" s="3" t="inlineStr">
        <is>
          <t>Taxation Payable</t>
        </is>
      </c>
      <c r="F1913" s="3" t="n">
        <v>0</v>
      </c>
      <c r="G1913" s="3" t="n">
        <v>1869.8</v>
      </c>
    </row>
    <row r="1914">
      <c r="A1914" s="3" t="inlineStr">
        <is>
          <t>Cape Projects Construction (Pty) Ltd</t>
        </is>
      </c>
      <c r="B1914" s="4" t="n">
        <v>44834</v>
      </c>
      <c r="C1914" s="3" t="inlineStr">
        <is>
          <t>Liabilities</t>
        </is>
      </c>
      <c r="D1914" s="3" t="inlineStr">
        <is>
          <t>TEMP/ACC</t>
        </is>
      </c>
      <c r="E1914" s="3" t="inlineStr">
        <is>
          <t>Conversion Account</t>
        </is>
      </c>
      <c r="F1914" s="3" t="n">
        <v>0</v>
      </c>
      <c r="G1914" s="3" t="n">
        <v>-254.99</v>
      </c>
    </row>
    <row r="1915">
      <c r="A1915" s="3" t="inlineStr">
        <is>
          <t>Cape Projects Construction (Pty) Ltd</t>
        </is>
      </c>
      <c r="B1915" s="4" t="n">
        <v>44865</v>
      </c>
      <c r="C1915" s="3" t="inlineStr">
        <is>
          <t>Revenue</t>
        </is>
      </c>
      <c r="D1915" s="3" t="inlineStr">
        <is>
          <t>1040/100</t>
        </is>
      </c>
      <c r="E1915" s="3" t="inlineStr">
        <is>
          <t>Fees - Construction - Heron</t>
        </is>
      </c>
      <c r="F1915" s="3" t="n">
        <v>-4763644.96</v>
      </c>
      <c r="G1915" s="3" t="n">
        <v>-36650395.61</v>
      </c>
    </row>
    <row r="1916">
      <c r="A1916" s="3" t="inlineStr">
        <is>
          <t>Cape Projects Construction (Pty) Ltd</t>
        </is>
      </c>
      <c r="B1916" s="4" t="n">
        <v>44865</v>
      </c>
      <c r="C1916" s="3" t="inlineStr">
        <is>
          <t>Revenue</t>
        </is>
      </c>
      <c r="D1916" s="3" t="inlineStr">
        <is>
          <t>1050/030</t>
        </is>
      </c>
      <c r="E1916" s="3" t="inlineStr">
        <is>
          <t>Fees - Construction - Endulini</t>
        </is>
      </c>
      <c r="F1916" s="3" t="n">
        <v>0</v>
      </c>
      <c r="G1916" s="3" t="n">
        <v>-12046638.06</v>
      </c>
    </row>
    <row r="1917">
      <c r="A1917" s="3" t="inlineStr">
        <is>
          <t>Cape Projects Construction (Pty) Ltd</t>
        </is>
      </c>
      <c r="B1917" s="4" t="n">
        <v>44865</v>
      </c>
      <c r="C1917" s="3" t="inlineStr">
        <is>
          <t>Revenue</t>
        </is>
      </c>
      <c r="D1917" s="3" t="inlineStr">
        <is>
          <t>1051/100</t>
        </is>
      </c>
      <c r="E1917" s="3" t="inlineStr">
        <is>
          <t>Fees - Construction - Heron Fields</t>
        </is>
      </c>
      <c r="F1917" s="3" t="n">
        <v>0</v>
      </c>
      <c r="G1917" s="3" t="n">
        <v>-1782369.8</v>
      </c>
    </row>
    <row r="1918">
      <c r="A1918" s="3" t="inlineStr">
        <is>
          <t>Cape Projects Construction (Pty) Ltd</t>
        </is>
      </c>
      <c r="B1918" s="4" t="n">
        <v>44865</v>
      </c>
      <c r="C1918" s="3" t="inlineStr">
        <is>
          <t>Revenue</t>
        </is>
      </c>
      <c r="D1918" s="3" t="inlineStr">
        <is>
          <t>1051/200</t>
        </is>
      </c>
      <c r="E1918" s="3" t="inlineStr">
        <is>
          <t>Fees - Construction - Heron Fields P&amp;G</t>
        </is>
      </c>
      <c r="F1918" s="3" t="n">
        <v>0</v>
      </c>
      <c r="G1918" s="3" t="n">
        <v>1616.91</v>
      </c>
    </row>
    <row r="1919">
      <c r="A1919" s="3" t="inlineStr">
        <is>
          <t>Cape Projects Construction (Pty) Ltd</t>
        </is>
      </c>
      <c r="B1919" s="4" t="n">
        <v>44865</v>
      </c>
      <c r="C1919" s="3" t="inlineStr">
        <is>
          <t>Revenue</t>
        </is>
      </c>
      <c r="D1919" s="3" t="inlineStr">
        <is>
          <t>1060/000</t>
        </is>
      </c>
      <c r="E1919" s="3" t="inlineStr">
        <is>
          <t>Insurance recovery</t>
        </is>
      </c>
      <c r="F1919" s="3" t="n">
        <v>0</v>
      </c>
      <c r="G1919" s="3" t="n">
        <v>-2839.7</v>
      </c>
    </row>
    <row r="1920">
      <c r="A1920" s="3" t="inlineStr">
        <is>
          <t>Cape Projects Construction (Pty) Ltd</t>
        </is>
      </c>
      <c r="B1920" s="4" t="n">
        <v>44865</v>
      </c>
      <c r="C1920" s="3" t="inlineStr">
        <is>
          <t>Revenue</t>
        </is>
      </c>
      <c r="D1920" s="3" t="inlineStr">
        <is>
          <t>1070/000</t>
        </is>
      </c>
      <c r="E1920" s="3" t="inlineStr">
        <is>
          <t>Rent - CT Office</t>
        </is>
      </c>
      <c r="F1920" s="3" t="n">
        <v>-3490.94</v>
      </c>
      <c r="G1920" s="3" t="n">
        <v>-27927.52</v>
      </c>
    </row>
    <row r="1921">
      <c r="A1921" s="3" t="inlineStr">
        <is>
          <t>Heron View (Pty) Ltd</t>
        </is>
      </c>
      <c r="B1921" s="4" t="n">
        <v>44865</v>
      </c>
      <c r="C1921" s="3" t="inlineStr">
        <is>
          <t>Expenses</t>
        </is>
      </c>
      <c r="D1921" s="3" t="inlineStr">
        <is>
          <t>2000/010</t>
        </is>
      </c>
      <c r="E1921" s="3" t="inlineStr">
        <is>
          <t>COS - Heron View</t>
        </is>
      </c>
      <c r="F1921" s="3" t="n">
        <v>0</v>
      </c>
      <c r="G1921" s="3" t="n">
        <v>678.59</v>
      </c>
    </row>
    <row r="1922">
      <c r="A1922" s="3" t="inlineStr">
        <is>
          <t>Heron Fields (Pty) Ltd</t>
        </is>
      </c>
      <c r="B1922" s="4" t="n">
        <v>44865</v>
      </c>
      <c r="C1922" s="3" t="inlineStr">
        <is>
          <t>Expenses</t>
        </is>
      </c>
      <c r="D1922" s="3" t="inlineStr">
        <is>
          <t>2000/030</t>
        </is>
      </c>
      <c r="E1922" s="3" t="inlineStr">
        <is>
          <t>COS - Commission Heron Fields investors</t>
        </is>
      </c>
      <c r="F1922" s="3" t="n">
        <v>0</v>
      </c>
      <c r="G1922" s="3" t="n">
        <v>86956.52</v>
      </c>
    </row>
    <row r="1923">
      <c r="A1923" s="3" t="inlineStr">
        <is>
          <t>Heron Fields (Pty) Ltd</t>
        </is>
      </c>
      <c r="B1923" s="4" t="n">
        <v>44865</v>
      </c>
      <c r="C1923" s="3" t="inlineStr">
        <is>
          <t>Expenses</t>
        </is>
      </c>
      <c r="D1923" s="3" t="inlineStr">
        <is>
          <t>2000/040</t>
        </is>
      </c>
      <c r="E1923" s="3" t="inlineStr">
        <is>
          <t>COS - Legal Fees</t>
        </is>
      </c>
      <c r="F1923" s="3" t="n">
        <v>37150.94</v>
      </c>
      <c r="G1923" s="3" t="n">
        <v>57843.94</v>
      </c>
    </row>
    <row r="1924">
      <c r="A1924" s="3" t="inlineStr">
        <is>
          <t>Heron Fields (Pty) Ltd</t>
        </is>
      </c>
      <c r="B1924" s="4" t="n">
        <v>44865</v>
      </c>
      <c r="C1924" s="3" t="inlineStr">
        <is>
          <t>Expenses</t>
        </is>
      </c>
      <c r="D1924" s="3" t="inlineStr">
        <is>
          <t>2000/050</t>
        </is>
      </c>
      <c r="E1924" s="3" t="inlineStr">
        <is>
          <t>COS - Rates clearance</t>
        </is>
      </c>
      <c r="F1924" s="3" t="n">
        <v>0</v>
      </c>
      <c r="G1924" s="3" t="n">
        <v>9738.91</v>
      </c>
    </row>
    <row r="1925">
      <c r="A1925" s="3" t="inlineStr">
        <is>
          <t>Cape Projects Construction (Pty) Ltd</t>
        </is>
      </c>
      <c r="B1925" s="4" t="n">
        <v>44865</v>
      </c>
      <c r="C1925" s="3" t="inlineStr">
        <is>
          <t>Expenses</t>
        </is>
      </c>
      <c r="D1925" s="3" t="inlineStr">
        <is>
          <t>2005/000</t>
        </is>
      </c>
      <c r="E1925" s="3" t="inlineStr">
        <is>
          <t>Cost of Sales</t>
        </is>
      </c>
      <c r="F1925" s="3" t="n">
        <v>-762078.59</v>
      </c>
      <c r="G1925" s="3" t="n">
        <v>-762078.59</v>
      </c>
    </row>
    <row r="1926">
      <c r="A1926" s="3" t="inlineStr">
        <is>
          <t>Cape Projects Construction (Pty) Ltd</t>
        </is>
      </c>
      <c r="B1926" s="4" t="n">
        <v>44865</v>
      </c>
      <c r="C1926" s="3" t="inlineStr">
        <is>
          <t>Expenses</t>
        </is>
      </c>
      <c r="D1926" s="3" t="inlineStr">
        <is>
          <t>2005/200</t>
        </is>
      </c>
      <c r="E1926" s="3" t="inlineStr">
        <is>
          <t>COS - External Works</t>
        </is>
      </c>
      <c r="F1926" s="3" t="n">
        <v>0</v>
      </c>
      <c r="G1926" s="3" t="n">
        <v>957.28</v>
      </c>
    </row>
    <row r="1927">
      <c r="A1927" s="3" t="inlineStr">
        <is>
          <t>Cape Projects Construction (Pty) Ltd</t>
        </is>
      </c>
      <c r="B1927" s="4" t="n">
        <v>44865</v>
      </c>
      <c r="C1927" s="3" t="inlineStr">
        <is>
          <t>Expenses</t>
        </is>
      </c>
      <c r="D1927" s="3" t="inlineStr">
        <is>
          <t>2006/000</t>
        </is>
      </c>
      <c r="E1927" s="3" t="inlineStr">
        <is>
          <t>COS - Endulini Construction</t>
        </is>
      </c>
      <c r="F1927" s="3" t="n">
        <v>248550.49</v>
      </c>
      <c r="G1927" s="3" t="n">
        <v>16316960.77</v>
      </c>
    </row>
    <row r="1928">
      <c r="A1928" s="3" t="inlineStr">
        <is>
          <t>Cape Projects Construction (Pty) Ltd</t>
        </is>
      </c>
      <c r="B1928" s="4" t="n">
        <v>44865</v>
      </c>
      <c r="C1928" s="3" t="inlineStr">
        <is>
          <t>Expenses</t>
        </is>
      </c>
      <c r="D1928" s="3" t="inlineStr">
        <is>
          <t>2006/100</t>
        </is>
      </c>
      <c r="E1928" s="3" t="inlineStr">
        <is>
          <t>COS - Endulini P and G</t>
        </is>
      </c>
      <c r="F1928" s="3" t="n">
        <v>22861.32</v>
      </c>
      <c r="G1928" s="3" t="n">
        <v>888886.99</v>
      </c>
    </row>
    <row r="1929">
      <c r="A1929" s="3" t="inlineStr">
        <is>
          <t>Cape Projects Construction (Pty) Ltd</t>
        </is>
      </c>
      <c r="B1929" s="4" t="n">
        <v>44865</v>
      </c>
      <c r="C1929" s="3" t="inlineStr">
        <is>
          <t>Expenses</t>
        </is>
      </c>
      <c r="D1929" s="3" t="inlineStr">
        <is>
          <t>2006/200</t>
        </is>
      </c>
      <c r="E1929" s="3" t="inlineStr">
        <is>
          <t>COS - Insurance</t>
        </is>
      </c>
      <c r="F1929" s="3" t="n">
        <v>2719.44</v>
      </c>
      <c r="G1929" s="3" t="n">
        <v>34731.25</v>
      </c>
    </row>
    <row r="1930">
      <c r="A1930" s="3" t="inlineStr">
        <is>
          <t>Cape Projects Construction (Pty) Ltd</t>
        </is>
      </c>
      <c r="B1930" s="4" t="n">
        <v>44865</v>
      </c>
      <c r="C1930" s="3" t="inlineStr">
        <is>
          <t>Expenses</t>
        </is>
      </c>
      <c r="D1930" s="3" t="inlineStr">
        <is>
          <t>2006/300</t>
        </is>
      </c>
      <c r="E1930" s="3" t="inlineStr">
        <is>
          <t>COS - Endulini - Printing &amp; Stationary</t>
        </is>
      </c>
      <c r="F1930" s="3" t="n">
        <v>0</v>
      </c>
      <c r="G1930" s="3" t="n">
        <v>269.65</v>
      </c>
    </row>
    <row r="1931">
      <c r="A1931" s="3" t="inlineStr">
        <is>
          <t>Cape Projects Construction (Pty) Ltd</t>
        </is>
      </c>
      <c r="B1931" s="4" t="n">
        <v>44865</v>
      </c>
      <c r="C1931" s="3" t="inlineStr">
        <is>
          <t>Expenses</t>
        </is>
      </c>
      <c r="D1931" s="3" t="inlineStr">
        <is>
          <t>2006/350</t>
        </is>
      </c>
      <c r="E1931" s="3" t="inlineStr">
        <is>
          <t>COS - Endulini - Security</t>
        </is>
      </c>
      <c r="F1931" s="3" t="n">
        <v>0</v>
      </c>
      <c r="G1931" s="3" t="n">
        <v>11000</v>
      </c>
    </row>
    <row r="1932">
      <c r="A1932" s="3" t="inlineStr">
        <is>
          <t>Cape Projects Construction (Pty) Ltd</t>
        </is>
      </c>
      <c r="B1932" s="4" t="n">
        <v>44865</v>
      </c>
      <c r="C1932" s="3" t="inlineStr">
        <is>
          <t>Expenses</t>
        </is>
      </c>
      <c r="D1932" s="3" t="inlineStr">
        <is>
          <t>2006/400</t>
        </is>
      </c>
      <c r="E1932" s="3" t="inlineStr">
        <is>
          <t>COS - Endulini - Health &amp; Safety</t>
        </is>
      </c>
      <c r="F1932" s="3" t="n">
        <v>0</v>
      </c>
      <c r="G1932" s="3" t="n">
        <v>19600</v>
      </c>
    </row>
    <row r="1933">
      <c r="A1933" s="3" t="inlineStr">
        <is>
          <t>Cape Projects Construction (Pty) Ltd</t>
        </is>
      </c>
      <c r="B1933" s="4" t="n">
        <v>44865</v>
      </c>
      <c r="C1933" s="3" t="inlineStr">
        <is>
          <t>Expenses</t>
        </is>
      </c>
      <c r="D1933" s="3" t="inlineStr">
        <is>
          <t>2006/700</t>
        </is>
      </c>
      <c r="E1933" s="3" t="inlineStr">
        <is>
          <t>COS - Endulini - Fuel</t>
        </is>
      </c>
      <c r="F1933" s="3" t="n">
        <v>0</v>
      </c>
      <c r="G1933" s="3" t="n">
        <v>2473.65</v>
      </c>
    </row>
    <row r="1934">
      <c r="A1934" s="3" t="inlineStr">
        <is>
          <t>Cape Projects Construction (Pty) Ltd</t>
        </is>
      </c>
      <c r="B1934" s="4" t="n">
        <v>44865</v>
      </c>
      <c r="C1934" s="3" t="inlineStr">
        <is>
          <t>Expenses</t>
        </is>
      </c>
      <c r="D1934" s="3" t="inlineStr">
        <is>
          <t>2006/800</t>
        </is>
      </c>
      <c r="E1934" s="3" t="inlineStr">
        <is>
          <t>COS - Endulini - Telephone &amp; Internet</t>
        </is>
      </c>
      <c r="F1934" s="3" t="n">
        <v>0</v>
      </c>
      <c r="G1934" s="3" t="n">
        <v>937.39</v>
      </c>
    </row>
    <row r="1935">
      <c r="A1935" s="3" t="inlineStr">
        <is>
          <t>Cape Projects Construction (Pty) Ltd</t>
        </is>
      </c>
      <c r="B1935" s="4" t="n">
        <v>44865</v>
      </c>
      <c r="C1935" s="3" t="inlineStr">
        <is>
          <t>Expenses</t>
        </is>
      </c>
      <c r="D1935" s="3" t="inlineStr">
        <is>
          <t>2007/000</t>
        </is>
      </c>
      <c r="E1935" s="3" t="inlineStr">
        <is>
          <t>COS - Repairs &amp; Maintenance - SW Southwark</t>
        </is>
      </c>
      <c r="F1935" s="3" t="n">
        <v>0</v>
      </c>
      <c r="G1935" s="3" t="n">
        <v>4661.74</v>
      </c>
    </row>
    <row r="1936">
      <c r="A1936" s="3" t="inlineStr">
        <is>
          <t>Cape Projects Construction (Pty) Ltd</t>
        </is>
      </c>
      <c r="B1936" s="4" t="n">
        <v>44865</v>
      </c>
      <c r="C1936" s="3" t="inlineStr">
        <is>
          <t>Expenses</t>
        </is>
      </c>
      <c r="D1936" s="3" t="inlineStr">
        <is>
          <t>2011/300</t>
        </is>
      </c>
      <c r="E1936" s="3" t="inlineStr">
        <is>
          <t>COS - Heron Fields - Printing &amp; Stationary</t>
        </is>
      </c>
      <c r="F1936" s="3" t="n">
        <v>0</v>
      </c>
      <c r="G1936" s="3" t="n">
        <v>2952.7</v>
      </c>
    </row>
    <row r="1937">
      <c r="A1937" s="3" t="inlineStr">
        <is>
          <t>Cape Projects Construction (Pty) Ltd</t>
        </is>
      </c>
      <c r="B1937" s="4" t="n">
        <v>44865</v>
      </c>
      <c r="C1937" s="3" t="inlineStr">
        <is>
          <t>Expenses</t>
        </is>
      </c>
      <c r="D1937" s="3" t="inlineStr">
        <is>
          <t>2011/500</t>
        </is>
      </c>
      <c r="E1937" s="3" t="inlineStr">
        <is>
          <t>COS - Heron Fields - Construction</t>
        </is>
      </c>
      <c r="F1937" s="3" t="n">
        <v>3132835.75</v>
      </c>
      <c r="G1937" s="3" t="n">
        <v>25477189.74</v>
      </c>
    </row>
    <row r="1938">
      <c r="A1938" s="3" t="inlineStr">
        <is>
          <t>Cape Projects Construction (Pty) Ltd</t>
        </is>
      </c>
      <c r="B1938" s="4" t="n">
        <v>44865</v>
      </c>
      <c r="C1938" s="3" t="inlineStr">
        <is>
          <t>Expenses</t>
        </is>
      </c>
      <c r="D1938" s="3" t="inlineStr">
        <is>
          <t>2011/600</t>
        </is>
      </c>
      <c r="E1938" s="3" t="inlineStr">
        <is>
          <t>COS - Heron Fields - P &amp; G</t>
        </is>
      </c>
      <c r="F1938" s="3" t="n">
        <v>281083.21</v>
      </c>
      <c r="G1938" s="3" t="n">
        <v>2085639.44</v>
      </c>
    </row>
    <row r="1939">
      <c r="A1939" s="3" t="inlineStr">
        <is>
          <t>Cape Projects Construction (Pty) Ltd</t>
        </is>
      </c>
      <c r="B1939" s="4" t="n">
        <v>44865</v>
      </c>
      <c r="C1939" s="3" t="inlineStr">
        <is>
          <t>Expenses</t>
        </is>
      </c>
      <c r="D1939" s="3" t="inlineStr">
        <is>
          <t>2011/700</t>
        </is>
      </c>
      <c r="E1939" s="3" t="inlineStr">
        <is>
          <t>COS - Heron Fields - Health &amp; Safety</t>
        </is>
      </c>
      <c r="F1939" s="3" t="n">
        <v>0</v>
      </c>
      <c r="G1939" s="3" t="n">
        <v>22286.3</v>
      </c>
    </row>
    <row r="1940">
      <c r="A1940" s="3" t="inlineStr">
        <is>
          <t>Cape Projects Construction (Pty) Ltd</t>
        </is>
      </c>
      <c r="B1940" s="4" t="n">
        <v>44865</v>
      </c>
      <c r="C1940" s="3" t="inlineStr">
        <is>
          <t>Expenses</t>
        </is>
      </c>
      <c r="D1940" s="3" t="inlineStr">
        <is>
          <t>2011/900</t>
        </is>
      </c>
      <c r="E1940" s="3" t="inlineStr">
        <is>
          <t>COS - Heron - Internet</t>
        </is>
      </c>
      <c r="F1940" s="3" t="n">
        <v>607.83</v>
      </c>
      <c r="G1940" s="3" t="n">
        <v>4669.96</v>
      </c>
    </row>
    <row r="1941">
      <c r="A1941" s="3" t="inlineStr">
        <is>
          <t>Cape Projects Construction (Pty) Ltd</t>
        </is>
      </c>
      <c r="B1941" s="4" t="n">
        <v>44865</v>
      </c>
      <c r="C1941" s="3" t="inlineStr">
        <is>
          <t>Expenses</t>
        </is>
      </c>
      <c r="D1941" s="3" t="inlineStr">
        <is>
          <t>2011/950</t>
        </is>
      </c>
      <c r="E1941" s="3" t="inlineStr">
        <is>
          <t>COS - Heron Fields - Security</t>
        </is>
      </c>
      <c r="F1941" s="3" t="n">
        <v>0</v>
      </c>
      <c r="G1941" s="3" t="n">
        <v>20565.22</v>
      </c>
    </row>
    <row r="1942">
      <c r="A1942" s="3" t="inlineStr">
        <is>
          <t>Cape Projects Construction (Pty) Ltd</t>
        </is>
      </c>
      <c r="B1942" s="4" t="n">
        <v>44865</v>
      </c>
      <c r="C1942" s="3" t="inlineStr">
        <is>
          <t>Expenses</t>
        </is>
      </c>
      <c r="D1942" s="3" t="inlineStr">
        <is>
          <t>2012/002</t>
        </is>
      </c>
      <c r="E1942" s="3" t="inlineStr">
        <is>
          <t>COS - Heron View - Construction</t>
        </is>
      </c>
      <c r="F1942" s="3" t="n">
        <v>1211819.46</v>
      </c>
      <c r="G1942" s="3" t="n">
        <v>1724655.1</v>
      </c>
    </row>
    <row r="1943">
      <c r="A1943" s="3" t="inlineStr">
        <is>
          <t>Cape Projects Construction (Pty) Ltd</t>
        </is>
      </c>
      <c r="B1943" s="4" t="n">
        <v>44865</v>
      </c>
      <c r="C1943" s="3" t="inlineStr">
        <is>
          <t>Expenses</t>
        </is>
      </c>
      <c r="D1943" s="3" t="inlineStr">
        <is>
          <t>2012/003</t>
        </is>
      </c>
      <c r="E1943" s="3" t="inlineStr">
        <is>
          <t>COS - Heron View - P&amp;G</t>
        </is>
      </c>
      <c r="F1943" s="3" t="n">
        <v>18460.65</v>
      </c>
      <c r="G1943" s="3" t="n">
        <v>111053.43</v>
      </c>
    </row>
    <row r="1944">
      <c r="A1944" s="3" t="inlineStr">
        <is>
          <t>Cape Projects Construction (Pty) Ltd</t>
        </is>
      </c>
      <c r="B1944" s="4" t="n">
        <v>44865</v>
      </c>
      <c r="C1944" s="3" t="inlineStr">
        <is>
          <t>Revenue</t>
        </is>
      </c>
      <c r="D1944" s="3" t="inlineStr">
        <is>
          <t>2750/000</t>
        </is>
      </c>
      <c r="E1944" s="3" t="inlineStr">
        <is>
          <t>Interest Received - FNB</t>
        </is>
      </c>
      <c r="F1944" s="3" t="n">
        <v>-373.57</v>
      </c>
      <c r="G1944" s="3" t="n">
        <v>-698.85</v>
      </c>
    </row>
    <row r="1945">
      <c r="A1945" s="3" t="inlineStr">
        <is>
          <t>Cape Projects Construction (Pty) Ltd</t>
        </is>
      </c>
      <c r="B1945" s="4" t="n">
        <v>44865</v>
      </c>
      <c r="C1945" s="3" t="inlineStr">
        <is>
          <t>Revenue</t>
        </is>
      </c>
      <c r="D1945" s="3" t="inlineStr">
        <is>
          <t>2751/001</t>
        </is>
      </c>
      <c r="E1945" s="3" t="inlineStr">
        <is>
          <t>Interest received - Momentum</t>
        </is>
      </c>
      <c r="F1945" s="3" t="n">
        <v>-5.26</v>
      </c>
      <c r="G1945" s="3" t="n">
        <v>-18.22</v>
      </c>
    </row>
    <row r="1946">
      <c r="A1946" s="3" t="inlineStr">
        <is>
          <t>Heron Fields (Pty) Ltd</t>
        </is>
      </c>
      <c r="B1946" s="4" t="n">
        <v>44865</v>
      </c>
      <c r="C1946" s="3" t="inlineStr">
        <is>
          <t>Revenue</t>
        </is>
      </c>
      <c r="D1946" s="3" t="inlineStr">
        <is>
          <t>2755/001</t>
        </is>
      </c>
      <c r="E1946" s="3" t="inlineStr">
        <is>
          <t>Interest Received - Momentum</t>
        </is>
      </c>
      <c r="F1946" s="3" t="n">
        <v>-31863.87</v>
      </c>
      <c r="G1946" s="3" t="n">
        <v>-282952.56</v>
      </c>
    </row>
    <row r="1947">
      <c r="A1947" s="3" t="inlineStr">
        <is>
          <t>Heron Fields (Pty) Ltd</t>
        </is>
      </c>
      <c r="B1947" s="4" t="n">
        <v>44865</v>
      </c>
      <c r="C1947" s="3" t="inlineStr">
        <is>
          <t>Expenses</t>
        </is>
      </c>
      <c r="D1947" s="3" t="inlineStr">
        <is>
          <t>3000/100</t>
        </is>
      </c>
      <c r="E1947" s="3" t="inlineStr">
        <is>
          <t>Accounting - CIPC</t>
        </is>
      </c>
      <c r="F1947" s="3" t="n">
        <v>150</v>
      </c>
      <c r="G1947" s="3" t="n">
        <v>150</v>
      </c>
    </row>
    <row r="1948">
      <c r="A1948" s="3" t="inlineStr">
        <is>
          <t>Cape Projects Construction (Pty) Ltd</t>
        </is>
      </c>
      <c r="B1948" s="4" t="n">
        <v>44865</v>
      </c>
      <c r="C1948" s="3" t="inlineStr">
        <is>
          <t>Expenses</t>
        </is>
      </c>
      <c r="D1948" s="3" t="inlineStr">
        <is>
          <t>3002/000</t>
        </is>
      </c>
      <c r="E1948" s="3" t="inlineStr">
        <is>
          <t>Accounting Fees - Audit</t>
        </is>
      </c>
      <c r="F1948" s="3" t="n">
        <v>0</v>
      </c>
      <c r="G1948" s="3" t="n">
        <v>10600</v>
      </c>
    </row>
    <row r="1949">
      <c r="A1949" s="3" t="inlineStr">
        <is>
          <t>Cape Projects Construction (Pty) Ltd</t>
        </is>
      </c>
      <c r="B1949" s="4" t="n">
        <v>44865</v>
      </c>
      <c r="C1949" s="3" t="inlineStr">
        <is>
          <t>Expenses</t>
        </is>
      </c>
      <c r="D1949" s="3" t="inlineStr">
        <is>
          <t>3020/100</t>
        </is>
      </c>
      <c r="E1949" s="3" t="inlineStr">
        <is>
          <t>Admin - Subcontractors</t>
        </is>
      </c>
      <c r="F1949" s="3" t="n">
        <v>0</v>
      </c>
      <c r="G1949" s="3" t="n">
        <v>14139.13</v>
      </c>
    </row>
    <row r="1950">
      <c r="A1950" s="3" t="inlineStr">
        <is>
          <t>Cape Projects Construction (Pty) Ltd</t>
        </is>
      </c>
      <c r="B1950" s="4" t="n">
        <v>44865</v>
      </c>
      <c r="C1950" s="3" t="inlineStr">
        <is>
          <t>Expenses</t>
        </is>
      </c>
      <c r="D1950" s="3" t="inlineStr">
        <is>
          <t>3050/000</t>
        </is>
      </c>
      <c r="E1950" s="3" t="inlineStr">
        <is>
          <t>Advertising _AND_ Promotions</t>
        </is>
      </c>
      <c r="F1950" s="3" t="n">
        <v>0</v>
      </c>
      <c r="G1950" s="3" t="n">
        <v>687.5</v>
      </c>
    </row>
    <row r="1951">
      <c r="A1951" s="3" t="inlineStr">
        <is>
          <t>Heron Fields (Pty) Ltd</t>
        </is>
      </c>
      <c r="B1951" s="4" t="n">
        <v>44865</v>
      </c>
      <c r="C1951" s="3" t="inlineStr">
        <is>
          <t>Expenses</t>
        </is>
      </c>
      <c r="D1951" s="3" t="inlineStr">
        <is>
          <t>3050/000</t>
        </is>
      </c>
      <c r="E1951" s="3" t="inlineStr">
        <is>
          <t>Advertising _AND_ Promotions</t>
        </is>
      </c>
      <c r="F1951" s="3" t="n">
        <v>375</v>
      </c>
      <c r="G1951" s="3" t="n">
        <v>100078.86</v>
      </c>
    </row>
    <row r="1952">
      <c r="A1952" s="3" t="inlineStr">
        <is>
          <t>Heron View (Pty) Ltd</t>
        </is>
      </c>
      <c r="B1952" s="4" t="n">
        <v>44865</v>
      </c>
      <c r="C1952" s="3" t="inlineStr">
        <is>
          <t>Expenses</t>
        </is>
      </c>
      <c r="D1952" s="3" t="inlineStr">
        <is>
          <t>3050/000</t>
        </is>
      </c>
      <c r="E1952" s="3" t="inlineStr">
        <is>
          <t>Advertising _AND_ Promotions</t>
        </is>
      </c>
      <c r="F1952" s="3" t="n">
        <v>0</v>
      </c>
      <c r="G1952" s="3" t="n">
        <v>2500</v>
      </c>
    </row>
    <row r="1953">
      <c r="A1953" s="3" t="inlineStr">
        <is>
          <t>Heron Fields (Pty) Ltd</t>
        </is>
      </c>
      <c r="B1953" s="4" t="n">
        <v>44865</v>
      </c>
      <c r="C1953" s="3" t="inlineStr">
        <is>
          <t>Expenses</t>
        </is>
      </c>
      <c r="D1953" s="3" t="inlineStr">
        <is>
          <t>3050/100</t>
        </is>
      </c>
      <c r="E1953" s="3" t="inlineStr">
        <is>
          <t>Advertising - Property24</t>
        </is>
      </c>
      <c r="F1953" s="3" t="n">
        <v>11556</v>
      </c>
      <c r="G1953" s="3" t="n">
        <v>92448</v>
      </c>
    </row>
    <row r="1954">
      <c r="A1954" s="3" t="inlineStr">
        <is>
          <t>Cape Projects Construction (Pty) Ltd</t>
        </is>
      </c>
      <c r="B1954" s="4" t="n">
        <v>44865</v>
      </c>
      <c r="C1954" s="3" t="inlineStr">
        <is>
          <t>Expenses</t>
        </is>
      </c>
      <c r="D1954" s="3" t="inlineStr">
        <is>
          <t>3050/450</t>
        </is>
      </c>
      <c r="E1954" s="3" t="inlineStr">
        <is>
          <t>Advertising - Other</t>
        </is>
      </c>
      <c r="F1954" s="3" t="n">
        <v>0</v>
      </c>
      <c r="G1954" s="3" t="n">
        <v>137.5</v>
      </c>
    </row>
    <row r="1955">
      <c r="A1955" s="3" t="inlineStr">
        <is>
          <t>Cape Projects Construction (Pty) Ltd</t>
        </is>
      </c>
      <c r="B1955" s="4" t="n">
        <v>44865</v>
      </c>
      <c r="C1955" s="3" t="inlineStr">
        <is>
          <t>Expenses</t>
        </is>
      </c>
      <c r="D1955" s="3" t="inlineStr">
        <is>
          <t>3200/000</t>
        </is>
      </c>
      <c r="E1955" s="3" t="inlineStr">
        <is>
          <t>Bank Charges</t>
        </is>
      </c>
      <c r="F1955" s="3" t="n">
        <v>2630.23</v>
      </c>
      <c r="G1955" s="3" t="n">
        <v>22820.7</v>
      </c>
    </row>
    <row r="1956">
      <c r="A1956" s="3" t="inlineStr">
        <is>
          <t>Heron Fields (Pty) Ltd</t>
        </is>
      </c>
      <c r="B1956" s="4" t="n">
        <v>44865</v>
      </c>
      <c r="C1956" s="3" t="inlineStr">
        <is>
          <t>Expenses</t>
        </is>
      </c>
      <c r="D1956" s="3" t="inlineStr">
        <is>
          <t>3200/000</t>
        </is>
      </c>
      <c r="E1956" s="3" t="inlineStr">
        <is>
          <t>Bank Charges</t>
        </is>
      </c>
      <c r="F1956" s="3" t="n">
        <v>261.49</v>
      </c>
      <c r="G1956" s="3" t="n">
        <v>5738.57</v>
      </c>
    </row>
    <row r="1957">
      <c r="A1957" s="3" t="inlineStr">
        <is>
          <t>Cape Projects Construction (Pty) Ltd</t>
        </is>
      </c>
      <c r="B1957" s="4" t="n">
        <v>44865</v>
      </c>
      <c r="C1957" s="3" t="inlineStr">
        <is>
          <t>Expenses</t>
        </is>
      </c>
      <c r="D1957" s="3" t="inlineStr">
        <is>
          <t>3250/000</t>
        </is>
      </c>
      <c r="E1957" s="3" t="inlineStr">
        <is>
          <t>Cleaning</t>
        </is>
      </c>
      <c r="F1957" s="3" t="n">
        <v>0</v>
      </c>
      <c r="G1957" s="3" t="n">
        <v>1986.89</v>
      </c>
    </row>
    <row r="1958">
      <c r="A1958" s="3" t="inlineStr">
        <is>
          <t>Cape Projects Construction (Pty) Ltd</t>
        </is>
      </c>
      <c r="B1958" s="4" t="n">
        <v>44865</v>
      </c>
      <c r="C1958" s="3" t="inlineStr">
        <is>
          <t>Expenses</t>
        </is>
      </c>
      <c r="D1958" s="3" t="inlineStr">
        <is>
          <t>3256/000</t>
        </is>
      </c>
      <c r="E1958" s="3" t="inlineStr">
        <is>
          <t>Cell Phone - Nick Morgan</t>
        </is>
      </c>
      <c r="F1958" s="3" t="n">
        <v>790.53</v>
      </c>
      <c r="G1958" s="3" t="n">
        <v>5376.4</v>
      </c>
    </row>
    <row r="1959">
      <c r="A1959" s="3" t="inlineStr">
        <is>
          <t>Cape Projects Construction (Pty) Ltd</t>
        </is>
      </c>
      <c r="B1959" s="4" t="n">
        <v>44865</v>
      </c>
      <c r="C1959" s="3" t="inlineStr">
        <is>
          <t>Expenses</t>
        </is>
      </c>
      <c r="D1959" s="3" t="inlineStr">
        <is>
          <t>3300/000</t>
        </is>
      </c>
      <c r="E1959" s="3" t="inlineStr">
        <is>
          <t>Computer Expenses</t>
        </is>
      </c>
      <c r="F1959" s="3" t="n">
        <v>956.52</v>
      </c>
      <c r="G1959" s="3" t="n">
        <v>4264.21</v>
      </c>
    </row>
    <row r="1960">
      <c r="A1960" s="3" t="inlineStr">
        <is>
          <t>Cape Projects Construction (Pty) Ltd</t>
        </is>
      </c>
      <c r="B1960" s="4" t="n">
        <v>44865</v>
      </c>
      <c r="C1960" s="3" t="inlineStr">
        <is>
          <t>Expenses</t>
        </is>
      </c>
      <c r="D1960" s="3" t="inlineStr">
        <is>
          <t>3300/100</t>
        </is>
      </c>
      <c r="E1960" s="3" t="inlineStr">
        <is>
          <t>Computer Exp - IT, Internet/Hosting Fee</t>
        </is>
      </c>
      <c r="F1960" s="3" t="n">
        <v>3130</v>
      </c>
      <c r="G1960" s="3" t="n">
        <v>31969</v>
      </c>
    </row>
    <row r="1961">
      <c r="A1961" s="3" t="inlineStr">
        <is>
          <t>Heron Fields (Pty) Ltd</t>
        </is>
      </c>
      <c r="B1961" s="4" t="n">
        <v>44865</v>
      </c>
      <c r="C1961" s="3" t="inlineStr">
        <is>
          <t>Expenses</t>
        </is>
      </c>
      <c r="D1961" s="3" t="inlineStr">
        <is>
          <t>3350/100</t>
        </is>
      </c>
      <c r="E1961" s="3" t="inlineStr">
        <is>
          <t>Consulting Fees - Admin and Finance</t>
        </is>
      </c>
      <c r="F1961" s="3" t="n">
        <v>90550</v>
      </c>
      <c r="G1961" s="3" t="n">
        <v>670540.6800000001</v>
      </c>
    </row>
    <row r="1962">
      <c r="A1962" s="3" t="inlineStr">
        <is>
          <t>Cape Projects Construction (Pty) Ltd</t>
        </is>
      </c>
      <c r="B1962" s="4" t="n">
        <v>44865</v>
      </c>
      <c r="C1962" s="3" t="inlineStr">
        <is>
          <t>Expenses</t>
        </is>
      </c>
      <c r="D1962" s="3" t="inlineStr">
        <is>
          <t>3350/100</t>
        </is>
      </c>
      <c r="E1962" s="3" t="inlineStr">
        <is>
          <t>Consulting fees - Herbert du Plessis</t>
        </is>
      </c>
      <c r="F1962" s="3" t="n">
        <v>36000</v>
      </c>
      <c r="G1962" s="3" t="n">
        <v>288000</v>
      </c>
    </row>
    <row r="1963">
      <c r="A1963" s="3" t="inlineStr">
        <is>
          <t>Cape Projects Construction (Pty) Ltd</t>
        </is>
      </c>
      <c r="B1963" s="4" t="n">
        <v>44865</v>
      </c>
      <c r="C1963" s="3" t="inlineStr">
        <is>
          <t>Expenses</t>
        </is>
      </c>
      <c r="D1963" s="3" t="inlineStr">
        <is>
          <t>3350/300</t>
        </is>
      </c>
      <c r="E1963" s="3" t="inlineStr">
        <is>
          <t>Consulting Fees - Admin and Finance</t>
        </is>
      </c>
      <c r="F1963" s="3" t="n">
        <v>131550</v>
      </c>
      <c r="G1963" s="3" t="n">
        <v>1003621.87</v>
      </c>
    </row>
    <row r="1964">
      <c r="A1964" s="3" t="inlineStr">
        <is>
          <t>Heron Fields (Pty) Ltd</t>
        </is>
      </c>
      <c r="B1964" s="4" t="n">
        <v>44865</v>
      </c>
      <c r="C1964" s="3" t="inlineStr">
        <is>
          <t>Expenses</t>
        </is>
      </c>
      <c r="D1964" s="3" t="inlineStr">
        <is>
          <t>3351/000</t>
        </is>
      </c>
      <c r="E1964" s="3" t="inlineStr">
        <is>
          <t>Consulting fees - Trustee</t>
        </is>
      </c>
      <c r="F1964" s="3" t="n">
        <v>4000</v>
      </c>
      <c r="G1964" s="3" t="n">
        <v>52000</v>
      </c>
    </row>
    <row r="1965">
      <c r="A1965" s="3" t="inlineStr">
        <is>
          <t>Cape Projects Construction (Pty) Ltd</t>
        </is>
      </c>
      <c r="B1965" s="4" t="n">
        <v>44865</v>
      </c>
      <c r="C1965" s="3" t="inlineStr">
        <is>
          <t>Expenses</t>
        </is>
      </c>
      <c r="D1965" s="3" t="inlineStr">
        <is>
          <t>3400/000</t>
        </is>
      </c>
      <c r="E1965" s="3" t="inlineStr">
        <is>
          <t>Courier _AND_ Postage</t>
        </is>
      </c>
      <c r="F1965" s="3" t="n">
        <v>0</v>
      </c>
      <c r="G1965" s="3" t="n">
        <v>160.87</v>
      </c>
    </row>
    <row r="1966">
      <c r="A1966" s="3" t="inlineStr">
        <is>
          <t>Cape Projects Construction (Pty) Ltd</t>
        </is>
      </c>
      <c r="B1966" s="4" t="n">
        <v>44865</v>
      </c>
      <c r="C1966" s="3" t="inlineStr">
        <is>
          <t>Expenses</t>
        </is>
      </c>
      <c r="D1966" s="3" t="inlineStr">
        <is>
          <t>3450/001</t>
        </is>
      </c>
      <c r="E1966" s="3" t="inlineStr">
        <is>
          <t>Depreciation - Computer Equipment</t>
        </is>
      </c>
      <c r="F1966" s="3" t="n">
        <v>2165.84</v>
      </c>
      <c r="G1966" s="3" t="n">
        <v>15118.54</v>
      </c>
    </row>
    <row r="1967">
      <c r="A1967" s="3" t="inlineStr">
        <is>
          <t>Cape Projects Construction (Pty) Ltd</t>
        </is>
      </c>
      <c r="B1967" s="4" t="n">
        <v>44865</v>
      </c>
      <c r="C1967" s="3" t="inlineStr">
        <is>
          <t>Expenses</t>
        </is>
      </c>
      <c r="D1967" s="3" t="inlineStr">
        <is>
          <t>3450/002</t>
        </is>
      </c>
      <c r="E1967" s="3" t="inlineStr">
        <is>
          <t>Depreciation - Generator Fixed Asset</t>
        </is>
      </c>
      <c r="F1967" s="3" t="n">
        <v>193.34</v>
      </c>
      <c r="G1967" s="3" t="n">
        <v>1546.67</v>
      </c>
    </row>
    <row r="1968">
      <c r="A1968" s="3" t="inlineStr">
        <is>
          <t>Cape Projects Construction (Pty) Ltd</t>
        </is>
      </c>
      <c r="B1968" s="4" t="n">
        <v>44865</v>
      </c>
      <c r="C1968" s="3" t="inlineStr">
        <is>
          <t>Expenses</t>
        </is>
      </c>
      <c r="D1968" s="3" t="inlineStr">
        <is>
          <t>3450/003</t>
        </is>
      </c>
      <c r="E1968" s="3" t="inlineStr">
        <is>
          <t>Depreciation - Motor vehicle</t>
        </is>
      </c>
      <c r="F1968" s="3" t="n">
        <v>0</v>
      </c>
      <c r="G1968" s="3" t="n">
        <v>39610.1</v>
      </c>
    </row>
    <row r="1969">
      <c r="A1969" s="3" t="inlineStr">
        <is>
          <t>Cape Projects Construction (Pty) Ltd</t>
        </is>
      </c>
      <c r="B1969" s="4" t="n">
        <v>44865</v>
      </c>
      <c r="C1969" s="3" t="inlineStr">
        <is>
          <t>Expenses</t>
        </is>
      </c>
      <c r="D1969" s="3" t="inlineStr">
        <is>
          <t>3450/030</t>
        </is>
      </c>
      <c r="E1969" s="3" t="inlineStr">
        <is>
          <t>Depreciation - Furniture and Fittings</t>
        </is>
      </c>
      <c r="F1969" s="3" t="n">
        <v>427.21</v>
      </c>
      <c r="G1969" s="3" t="n">
        <v>3417.65</v>
      </c>
    </row>
    <row r="1970">
      <c r="A1970" s="3" t="inlineStr">
        <is>
          <t>Heron Fields (Pty) Ltd</t>
        </is>
      </c>
      <c r="B1970" s="4" t="n">
        <v>44865</v>
      </c>
      <c r="C1970" s="3" t="inlineStr">
        <is>
          <t>Expenses</t>
        </is>
      </c>
      <c r="D1970" s="3" t="inlineStr">
        <is>
          <t>3650/000</t>
        </is>
      </c>
      <c r="E1970" s="3" t="inlineStr">
        <is>
          <t>CoCT - Electricity</t>
        </is>
      </c>
      <c r="F1970" s="3" t="n">
        <v>3022.39</v>
      </c>
      <c r="G1970" s="3" t="n">
        <v>23636.97</v>
      </c>
    </row>
    <row r="1971">
      <c r="A1971" s="3" t="inlineStr">
        <is>
          <t>Cape Projects Construction (Pty) Ltd</t>
        </is>
      </c>
      <c r="B1971" s="4" t="n">
        <v>44865</v>
      </c>
      <c r="C1971" s="3" t="inlineStr">
        <is>
          <t>Expenses</t>
        </is>
      </c>
      <c r="D1971" s="3" t="inlineStr">
        <is>
          <t>3650/000</t>
        </is>
      </c>
      <c r="E1971" s="3" t="inlineStr">
        <is>
          <t>Electricity _AND_ Water</t>
        </is>
      </c>
      <c r="F1971" s="3" t="n">
        <v>5377.37</v>
      </c>
      <c r="G1971" s="3" t="n">
        <v>39247.98</v>
      </c>
    </row>
    <row r="1972">
      <c r="A1972" s="3" t="inlineStr">
        <is>
          <t>Heron Fields (Pty) Ltd</t>
        </is>
      </c>
      <c r="B1972" s="4" t="n">
        <v>44865</v>
      </c>
      <c r="C1972" s="3" t="inlineStr">
        <is>
          <t>Expenses</t>
        </is>
      </c>
      <c r="D1972" s="3" t="inlineStr">
        <is>
          <t>3660/000</t>
        </is>
      </c>
      <c r="E1972" s="3" t="inlineStr">
        <is>
          <t>CoCT - Water</t>
        </is>
      </c>
      <c r="F1972" s="3" t="n">
        <v>4972.63</v>
      </c>
      <c r="G1972" s="3" t="n">
        <v>43254.35</v>
      </c>
    </row>
    <row r="1973">
      <c r="A1973" s="3" t="inlineStr">
        <is>
          <t>Cape Projects Construction (Pty) Ltd</t>
        </is>
      </c>
      <c r="B1973" s="4" t="n">
        <v>44865</v>
      </c>
      <c r="C1973" s="3" t="inlineStr">
        <is>
          <t>Expenses</t>
        </is>
      </c>
      <c r="D1973" s="3" t="inlineStr">
        <is>
          <t>3700/000</t>
        </is>
      </c>
      <c r="E1973" s="3" t="inlineStr">
        <is>
          <t>Entertainment Expenses</t>
        </is>
      </c>
      <c r="F1973" s="3" t="n">
        <v>0</v>
      </c>
      <c r="G1973" s="3" t="n">
        <v>7651.52</v>
      </c>
    </row>
    <row r="1974">
      <c r="A1974" s="3" t="inlineStr">
        <is>
          <t>Cape Projects Construction (Pty) Ltd</t>
        </is>
      </c>
      <c r="B1974" s="4" t="n">
        <v>44865</v>
      </c>
      <c r="C1974" s="3" t="inlineStr">
        <is>
          <t>Expenses</t>
        </is>
      </c>
      <c r="D1974" s="3" t="inlineStr">
        <is>
          <t>3850/000</t>
        </is>
      </c>
      <c r="E1974" s="3" t="inlineStr">
        <is>
          <t>Insurance</t>
        </is>
      </c>
      <c r="F1974" s="3" t="n">
        <v>273.21</v>
      </c>
      <c r="G1974" s="3" t="n">
        <v>546.42</v>
      </c>
    </row>
    <row r="1975">
      <c r="A1975" s="3" t="inlineStr">
        <is>
          <t>Heron Fields (Pty) Ltd</t>
        </is>
      </c>
      <c r="B1975" s="4" t="n">
        <v>44865</v>
      </c>
      <c r="C1975" s="3" t="inlineStr">
        <is>
          <t>Expenses</t>
        </is>
      </c>
      <c r="D1975" s="3" t="inlineStr">
        <is>
          <t>3850/000</t>
        </is>
      </c>
      <c r="E1975" s="3" t="inlineStr">
        <is>
          <t>Insurance</t>
        </is>
      </c>
      <c r="F1975" s="3" t="n">
        <v>0</v>
      </c>
      <c r="G1975" s="3" t="n">
        <v>4142.3</v>
      </c>
    </row>
    <row r="1976">
      <c r="A1976" s="3" t="inlineStr">
        <is>
          <t>Cape Projects Construction (Pty) Ltd</t>
        </is>
      </c>
      <c r="B1976" s="4" t="n">
        <v>44865</v>
      </c>
      <c r="C1976" s="3" t="inlineStr">
        <is>
          <t>Expenses</t>
        </is>
      </c>
      <c r="D1976" s="3" t="inlineStr">
        <is>
          <t>3850/001</t>
        </is>
      </c>
      <c r="E1976" s="3" t="inlineStr">
        <is>
          <t>Insurance - Santam</t>
        </is>
      </c>
      <c r="F1976" s="3" t="n">
        <v>1194.15</v>
      </c>
      <c r="G1976" s="3" t="n">
        <v>9483.76</v>
      </c>
    </row>
    <row r="1977">
      <c r="A1977" s="3" t="inlineStr">
        <is>
          <t>Cape Projects Construction (Pty) Ltd</t>
        </is>
      </c>
      <c r="B1977" s="4" t="n">
        <v>44865</v>
      </c>
      <c r="C1977" s="3" t="inlineStr">
        <is>
          <t>Expenses</t>
        </is>
      </c>
      <c r="D1977" s="3" t="inlineStr">
        <is>
          <t>3850/002</t>
        </is>
      </c>
      <c r="E1977" s="3" t="inlineStr">
        <is>
          <t>Insurance - RBS</t>
        </is>
      </c>
      <c r="F1977" s="3" t="n">
        <v>0</v>
      </c>
      <c r="G1977" s="3" t="n">
        <v>1425.42</v>
      </c>
    </row>
    <row r="1978">
      <c r="A1978" s="3" t="inlineStr">
        <is>
          <t>Heron Fields (Pty) Ltd</t>
        </is>
      </c>
      <c r="B1978" s="4" t="n">
        <v>44865</v>
      </c>
      <c r="C1978" s="3" t="inlineStr">
        <is>
          <t>Expenses</t>
        </is>
      </c>
      <c r="D1978" s="3" t="inlineStr">
        <is>
          <t>3900/000</t>
        </is>
      </c>
      <c r="E1978" s="3" t="inlineStr">
        <is>
          <t>Interest Paid</t>
        </is>
      </c>
      <c r="F1978" s="3" t="n">
        <v>181.66</v>
      </c>
      <c r="G1978" s="3" t="n">
        <v>588.4400000000001</v>
      </c>
    </row>
    <row r="1979">
      <c r="A1979" s="3" t="inlineStr">
        <is>
          <t>Cape Projects Construction (Pty) Ltd</t>
        </is>
      </c>
      <c r="B1979" s="4" t="n">
        <v>44865</v>
      </c>
      <c r="C1979" s="3" t="inlineStr">
        <is>
          <t>Expenses</t>
        </is>
      </c>
      <c r="D1979" s="3" t="inlineStr">
        <is>
          <t>3904/000</t>
        </is>
      </c>
      <c r="E1979" s="3" t="inlineStr">
        <is>
          <t>Interest Paid - BIBC</t>
        </is>
      </c>
      <c r="F1979" s="3" t="n">
        <v>849.05</v>
      </c>
      <c r="G1979" s="3" t="n">
        <v>849.05</v>
      </c>
    </row>
    <row r="1980">
      <c r="A1980" s="3" t="inlineStr">
        <is>
          <t>Heron Fields (Pty) Ltd</t>
        </is>
      </c>
      <c r="B1980" s="4" t="n">
        <v>44865</v>
      </c>
      <c r="C1980" s="3" t="inlineStr">
        <is>
          <t>Expenses</t>
        </is>
      </c>
      <c r="D1980" s="3" t="inlineStr">
        <is>
          <t>4070/000</t>
        </is>
      </c>
      <c r="E1980" s="3" t="inlineStr">
        <is>
          <t>Management fees - OMH</t>
        </is>
      </c>
      <c r="F1980" s="3" t="n">
        <v>400000</v>
      </c>
      <c r="G1980" s="3" t="n">
        <v>400000</v>
      </c>
    </row>
    <row r="1981">
      <c r="A1981" s="3" t="inlineStr">
        <is>
          <t>Heron Fields (Pty) Ltd</t>
        </is>
      </c>
      <c r="B1981" s="4" t="n">
        <v>44865</v>
      </c>
      <c r="C1981" s="3" t="inlineStr">
        <is>
          <t>Expenses</t>
        </is>
      </c>
      <c r="D1981" s="3" t="inlineStr">
        <is>
          <t>4100/001</t>
        </is>
      </c>
      <c r="E1981" s="3" t="inlineStr">
        <is>
          <t>Momentum Admin Fee</t>
        </is>
      </c>
      <c r="F1981" s="3" t="n">
        <v>1185.34</v>
      </c>
      <c r="G1981" s="3" t="n">
        <v>239928.9</v>
      </c>
    </row>
    <row r="1982">
      <c r="A1982" s="3" t="inlineStr">
        <is>
          <t>Cape Projects Construction (Pty) Ltd</t>
        </is>
      </c>
      <c r="B1982" s="4" t="n">
        <v>44865</v>
      </c>
      <c r="C1982" s="3" t="inlineStr">
        <is>
          <t>Expenses</t>
        </is>
      </c>
      <c r="D1982" s="3" t="inlineStr">
        <is>
          <t>4150/020</t>
        </is>
      </c>
      <c r="E1982" s="3" t="inlineStr">
        <is>
          <t>Motor Vehicle - Repairs _AND_ Maint.</t>
        </is>
      </c>
      <c r="F1982" s="3" t="n">
        <v>0</v>
      </c>
      <c r="G1982" s="3" t="n">
        <v>4033.01</v>
      </c>
    </row>
    <row r="1983">
      <c r="A1983" s="3" t="inlineStr">
        <is>
          <t>Cape Projects Construction (Pty) Ltd</t>
        </is>
      </c>
      <c r="B1983" s="4" t="n">
        <v>44865</v>
      </c>
      <c r="C1983" s="3" t="inlineStr">
        <is>
          <t>Expenses</t>
        </is>
      </c>
      <c r="D1983" s="3" t="inlineStr">
        <is>
          <t>4150/030</t>
        </is>
      </c>
      <c r="E1983" s="3" t="inlineStr">
        <is>
          <t>Motor Vehicle - Insurance _AND_ Licence</t>
        </is>
      </c>
      <c r="F1983" s="3" t="n">
        <v>0</v>
      </c>
      <c r="G1983" s="3" t="n">
        <v>1200</v>
      </c>
    </row>
    <row r="1984">
      <c r="A1984" s="3" t="inlineStr">
        <is>
          <t>Cape Projects Construction (Pty) Ltd</t>
        </is>
      </c>
      <c r="B1984" s="4" t="n">
        <v>44865</v>
      </c>
      <c r="C1984" s="3" t="inlineStr">
        <is>
          <t>Expenses</t>
        </is>
      </c>
      <c r="D1984" s="3" t="inlineStr">
        <is>
          <t>4200/000</t>
        </is>
      </c>
      <c r="E1984" s="3" t="inlineStr">
        <is>
          <t>Printing _AND_ Stationery</t>
        </is>
      </c>
      <c r="F1984" s="3" t="n">
        <v>922.4299999999999</v>
      </c>
      <c r="G1984" s="3" t="n">
        <v>9595.200000000001</v>
      </c>
    </row>
    <row r="1985">
      <c r="A1985" s="3" t="inlineStr">
        <is>
          <t>Heron View (Pty) Ltd</t>
        </is>
      </c>
      <c r="B1985" s="4" t="n">
        <v>44865</v>
      </c>
      <c r="C1985" s="3" t="inlineStr">
        <is>
          <t>Expenses</t>
        </is>
      </c>
      <c r="D1985" s="3" t="inlineStr">
        <is>
          <t>4200/000</t>
        </is>
      </c>
      <c r="E1985" s="3" t="inlineStr">
        <is>
          <t>Printing _AND_ Stationery</t>
        </is>
      </c>
      <c r="F1985" s="3" t="n">
        <v>0</v>
      </c>
      <c r="G1985" s="3" t="n">
        <v>3404.62</v>
      </c>
    </row>
    <row r="1986">
      <c r="A1986" s="3" t="inlineStr">
        <is>
          <t>Cape Projects Construction (Pty) Ltd</t>
        </is>
      </c>
      <c r="B1986" s="4" t="n">
        <v>44865</v>
      </c>
      <c r="C1986" s="3" t="inlineStr">
        <is>
          <t>Expenses</t>
        </is>
      </c>
      <c r="D1986" s="3" t="inlineStr">
        <is>
          <t>4201/000</t>
        </is>
      </c>
      <c r="E1986" s="3" t="inlineStr">
        <is>
          <t>Printing - Printer rental</t>
        </is>
      </c>
      <c r="F1986" s="3" t="n">
        <v>626.01</v>
      </c>
      <c r="G1986" s="3" t="n">
        <v>5567.47</v>
      </c>
    </row>
    <row r="1987">
      <c r="A1987" s="3" t="inlineStr">
        <is>
          <t>Cape Projects Construction (Pty) Ltd</t>
        </is>
      </c>
      <c r="B1987" s="4" t="n">
        <v>44865</v>
      </c>
      <c r="C1987" s="3" t="inlineStr">
        <is>
          <t>Expenses</t>
        </is>
      </c>
      <c r="D1987" s="3" t="inlineStr">
        <is>
          <t>4300/000</t>
        </is>
      </c>
      <c r="E1987" s="3" t="inlineStr">
        <is>
          <t>Rent Paid</t>
        </is>
      </c>
      <c r="F1987" s="3" t="n">
        <v>28087.5</v>
      </c>
      <c r="G1987" s="3" t="n">
        <v>224700</v>
      </c>
    </row>
    <row r="1988">
      <c r="A1988" s="3" t="inlineStr">
        <is>
          <t>Cape Projects Construction (Pty) Ltd</t>
        </is>
      </c>
      <c r="B1988" s="4" t="n">
        <v>44865</v>
      </c>
      <c r="C1988" s="3" t="inlineStr">
        <is>
          <t>Expenses</t>
        </is>
      </c>
      <c r="D1988" s="3" t="inlineStr">
        <is>
          <t>4310/000</t>
        </is>
      </c>
      <c r="E1988" s="3" t="inlineStr">
        <is>
          <t>Rates</t>
        </is>
      </c>
      <c r="F1988" s="3" t="n">
        <v>843.6</v>
      </c>
      <c r="G1988" s="3" t="n">
        <v>6748.8</v>
      </c>
    </row>
    <row r="1989">
      <c r="A1989" s="3" t="inlineStr">
        <is>
          <t>Heron Fields (Pty) Ltd</t>
        </is>
      </c>
      <c r="B1989" s="4" t="n">
        <v>44865</v>
      </c>
      <c r="C1989" s="3" t="inlineStr">
        <is>
          <t>Expenses</t>
        </is>
      </c>
      <c r="D1989" s="3" t="inlineStr">
        <is>
          <t>4310/000</t>
        </is>
      </c>
      <c r="E1989" s="3" t="inlineStr">
        <is>
          <t>Rates - Heron</t>
        </is>
      </c>
      <c r="F1989" s="3" t="n">
        <v>3406.21</v>
      </c>
      <c r="G1989" s="3" t="n">
        <v>25769.58</v>
      </c>
    </row>
    <row r="1990">
      <c r="A1990" s="3" t="inlineStr">
        <is>
          <t>Cape Projects Construction (Pty) Ltd</t>
        </is>
      </c>
      <c r="B1990" s="4" t="n">
        <v>44865</v>
      </c>
      <c r="C1990" s="3" t="inlineStr">
        <is>
          <t>Expenses</t>
        </is>
      </c>
      <c r="D1990" s="3" t="inlineStr">
        <is>
          <t>4350/000</t>
        </is>
      </c>
      <c r="E1990" s="3" t="inlineStr">
        <is>
          <t>Repairs _AND_ Maintenance</t>
        </is>
      </c>
      <c r="F1990" s="3" t="n">
        <v>0</v>
      </c>
      <c r="G1990" s="3" t="n">
        <v>10521.71</v>
      </c>
    </row>
    <row r="1991">
      <c r="A1991" s="3" t="inlineStr">
        <is>
          <t>Heron Fields (Pty) Ltd</t>
        </is>
      </c>
      <c r="B1991" s="4" t="n">
        <v>44865</v>
      </c>
      <c r="C1991" s="3" t="inlineStr">
        <is>
          <t>Expenses</t>
        </is>
      </c>
      <c r="D1991" s="3" t="inlineStr">
        <is>
          <t>4350/000</t>
        </is>
      </c>
      <c r="E1991" s="3" t="inlineStr">
        <is>
          <t>Repairs _AND_ Maintenance</t>
        </is>
      </c>
      <c r="F1991" s="3" t="n">
        <v>18372.16</v>
      </c>
      <c r="G1991" s="3" t="n">
        <v>22719.99</v>
      </c>
    </row>
    <row r="1992">
      <c r="A1992" s="3" t="inlineStr">
        <is>
          <t>Cape Projects Construction (Pty) Ltd</t>
        </is>
      </c>
      <c r="B1992" s="4" t="n">
        <v>44865</v>
      </c>
      <c r="C1992" s="3" t="inlineStr">
        <is>
          <t>Expenses</t>
        </is>
      </c>
      <c r="D1992" s="3" t="inlineStr">
        <is>
          <t>4400/000</t>
        </is>
      </c>
      <c r="E1992" s="3" t="inlineStr">
        <is>
          <t>Salaries _AND_ Wages</t>
        </is>
      </c>
      <c r="F1992" s="3" t="n">
        <v>220560.99</v>
      </c>
      <c r="G1992" s="3" t="n">
        <v>1760941.8</v>
      </c>
    </row>
    <row r="1993">
      <c r="A1993" s="3" t="inlineStr">
        <is>
          <t>Cape Projects Construction (Pty) Ltd</t>
        </is>
      </c>
      <c r="B1993" s="4" t="n">
        <v>44865</v>
      </c>
      <c r="C1993" s="3" t="inlineStr">
        <is>
          <t>Expenses</t>
        </is>
      </c>
      <c r="D1993" s="3" t="inlineStr">
        <is>
          <t>4402</t>
        </is>
      </c>
      <c r="E1993" s="3" t="inlineStr">
        <is>
          <t>Salaries &amp; Wages - WCA</t>
        </is>
      </c>
      <c r="F1993" s="3" t="n">
        <v>0</v>
      </c>
      <c r="G1993" s="3" t="n">
        <v>3746.27</v>
      </c>
    </row>
    <row r="1994">
      <c r="A1994" s="3" t="inlineStr">
        <is>
          <t>Cape Projects Construction (Pty) Ltd</t>
        </is>
      </c>
      <c r="B1994" s="4" t="n">
        <v>44865</v>
      </c>
      <c r="C1994" s="3" t="inlineStr">
        <is>
          <t>Expenses</t>
        </is>
      </c>
      <c r="D1994" s="3" t="inlineStr">
        <is>
          <t>4403/000</t>
        </is>
      </c>
      <c r="E1994" s="3" t="inlineStr">
        <is>
          <t>Security</t>
        </is>
      </c>
      <c r="F1994" s="3" t="n">
        <v>177.33</v>
      </c>
      <c r="G1994" s="3" t="n">
        <v>1163.43</v>
      </c>
    </row>
    <row r="1995">
      <c r="A1995" s="3" t="inlineStr">
        <is>
          <t>Cape Projects Construction (Pty) Ltd</t>
        </is>
      </c>
      <c r="B1995" s="4" t="n">
        <v>44865</v>
      </c>
      <c r="C1995" s="3" t="inlineStr">
        <is>
          <t>Expenses</t>
        </is>
      </c>
      <c r="D1995" s="3" t="inlineStr">
        <is>
          <t>4420/000</t>
        </is>
      </c>
      <c r="E1995" s="3" t="inlineStr">
        <is>
          <t>Small Assets</t>
        </is>
      </c>
      <c r="F1995" s="3" t="n">
        <v>0</v>
      </c>
      <c r="G1995" s="3" t="n">
        <v>7623.92</v>
      </c>
    </row>
    <row r="1996">
      <c r="A1996" s="3" t="inlineStr">
        <is>
          <t>Heron Fields (Pty) Ltd</t>
        </is>
      </c>
      <c r="B1996" s="4" t="n">
        <v>44865</v>
      </c>
      <c r="C1996" s="3" t="inlineStr">
        <is>
          <t>Expenses</t>
        </is>
      </c>
      <c r="D1996" s="3" t="inlineStr">
        <is>
          <t>4420/001</t>
        </is>
      </c>
      <c r="E1996" s="3" t="inlineStr">
        <is>
          <t>Security - ADT</t>
        </is>
      </c>
      <c r="F1996" s="3" t="n">
        <v>328.38</v>
      </c>
      <c r="G1996" s="3" t="n">
        <v>3927.46</v>
      </c>
    </row>
    <row r="1997">
      <c r="A1997" s="3" t="inlineStr">
        <is>
          <t>Cape Projects Construction (Pty) Ltd</t>
        </is>
      </c>
      <c r="B1997" s="4" t="n">
        <v>44865</v>
      </c>
      <c r="C1997" s="3" t="inlineStr">
        <is>
          <t>Expenses</t>
        </is>
      </c>
      <c r="D1997" s="3" t="inlineStr">
        <is>
          <t>4450/000</t>
        </is>
      </c>
      <c r="E1997" s="3" t="inlineStr">
        <is>
          <t>Staff Training</t>
        </is>
      </c>
      <c r="F1997" s="3" t="n">
        <v>0</v>
      </c>
      <c r="G1997" s="3" t="n">
        <v>6800</v>
      </c>
    </row>
    <row r="1998">
      <c r="A1998" s="3" t="inlineStr">
        <is>
          <t>Cape Projects Construction (Pty) Ltd</t>
        </is>
      </c>
      <c r="B1998" s="4" t="n">
        <v>44865</v>
      </c>
      <c r="C1998" s="3" t="inlineStr">
        <is>
          <t>Expenses</t>
        </is>
      </c>
      <c r="D1998" s="3" t="inlineStr">
        <is>
          <t>4500/000</t>
        </is>
      </c>
      <c r="E1998" s="3" t="inlineStr">
        <is>
          <t>Staff Welfare _AND_ Refreshmts</t>
        </is>
      </c>
      <c r="F1998" s="3" t="n">
        <v>0</v>
      </c>
      <c r="G1998" s="3" t="n">
        <v>3519.1</v>
      </c>
    </row>
    <row r="1999">
      <c r="A1999" s="3" t="inlineStr">
        <is>
          <t>Cape Projects Construction (Pty) Ltd</t>
        </is>
      </c>
      <c r="B1999" s="4" t="n">
        <v>44865</v>
      </c>
      <c r="C1999" s="3" t="inlineStr">
        <is>
          <t>Expenses</t>
        </is>
      </c>
      <c r="D1999" s="3" t="inlineStr">
        <is>
          <t>4550/000</t>
        </is>
      </c>
      <c r="E1999" s="3" t="inlineStr">
        <is>
          <t>Subscriptions / Licenses</t>
        </is>
      </c>
      <c r="F1999" s="3" t="n">
        <v>0</v>
      </c>
      <c r="G1999" s="3" t="n">
        <v>526.3200000000001</v>
      </c>
    </row>
    <row r="2000">
      <c r="A2000" s="3" t="inlineStr">
        <is>
          <t>Cape Projects Construction (Pty) Ltd</t>
        </is>
      </c>
      <c r="B2000" s="4" t="n">
        <v>44865</v>
      </c>
      <c r="C2000" s="3" t="inlineStr">
        <is>
          <t>Expenses</t>
        </is>
      </c>
      <c r="D2000" s="3" t="inlineStr">
        <is>
          <t>4550/001</t>
        </is>
      </c>
      <c r="E2000" s="3" t="inlineStr">
        <is>
          <t>Subscriptions &amp; Licenses - Sage payroll</t>
        </is>
      </c>
      <c r="F2000" s="3" t="n">
        <v>686</v>
      </c>
      <c r="G2000" s="3" t="n">
        <v>4708</v>
      </c>
    </row>
    <row r="2001">
      <c r="A2001" s="3" t="inlineStr">
        <is>
          <t>Cape Projects Construction (Pty) Ltd</t>
        </is>
      </c>
      <c r="B2001" s="4" t="n">
        <v>44865</v>
      </c>
      <c r="C2001" s="3" t="inlineStr">
        <is>
          <t>Expenses</t>
        </is>
      </c>
      <c r="D2001" s="3" t="inlineStr">
        <is>
          <t>4550/003</t>
        </is>
      </c>
      <c r="E2001" s="3" t="inlineStr">
        <is>
          <t>Subscriptions &amp; Licenses - Xero</t>
        </is>
      </c>
      <c r="F2001" s="3" t="n">
        <v>600</v>
      </c>
      <c r="G2001" s="3" t="n">
        <v>4800</v>
      </c>
    </row>
    <row r="2002">
      <c r="A2002" s="3" t="inlineStr">
        <is>
          <t>Cape Projects Construction (Pty) Ltd</t>
        </is>
      </c>
      <c r="B2002" s="4" t="n">
        <v>44865</v>
      </c>
      <c r="C2002" s="3" t="inlineStr">
        <is>
          <t>Expenses</t>
        </is>
      </c>
      <c r="D2002" s="3" t="inlineStr">
        <is>
          <t>4550/004</t>
        </is>
      </c>
      <c r="E2002" s="3" t="inlineStr">
        <is>
          <t>Subscriptions - Smartsheet</t>
        </is>
      </c>
      <c r="F2002" s="3" t="n">
        <v>484</v>
      </c>
      <c r="G2002" s="3" t="n">
        <v>3318.6</v>
      </c>
    </row>
    <row r="2003">
      <c r="A2003" s="3" t="inlineStr">
        <is>
          <t>Cape Projects Construction (Pty) Ltd</t>
        </is>
      </c>
      <c r="B2003" s="4" t="n">
        <v>44865</v>
      </c>
      <c r="C2003" s="3" t="inlineStr">
        <is>
          <t>Expenses</t>
        </is>
      </c>
      <c r="D2003" s="3" t="inlineStr">
        <is>
          <t>4550/006</t>
        </is>
      </c>
      <c r="E2003" s="3" t="inlineStr">
        <is>
          <t>Subscription - Candy software</t>
        </is>
      </c>
      <c r="F2003" s="3" t="n">
        <v>0</v>
      </c>
      <c r="G2003" s="3" t="n">
        <v>13765</v>
      </c>
    </row>
    <row r="2004">
      <c r="A2004" s="3" t="inlineStr">
        <is>
          <t>Heron Fields (Pty) Ltd</t>
        </is>
      </c>
      <c r="B2004" s="4" t="n">
        <v>44865</v>
      </c>
      <c r="C2004" s="3" t="inlineStr">
        <is>
          <t>Expenses</t>
        </is>
      </c>
      <c r="D2004" s="3" t="inlineStr">
        <is>
          <t>4550/100</t>
        </is>
      </c>
      <c r="E2004" s="3" t="inlineStr">
        <is>
          <t>Subscriptions - Xero</t>
        </is>
      </c>
      <c r="F2004" s="3" t="n">
        <v>600</v>
      </c>
      <c r="G2004" s="3" t="n">
        <v>4800</v>
      </c>
    </row>
    <row r="2005">
      <c r="A2005" s="3" t="inlineStr">
        <is>
          <t>Heron View (Pty) Ltd</t>
        </is>
      </c>
      <c r="B2005" s="4" t="n">
        <v>44865</v>
      </c>
      <c r="C2005" s="3" t="inlineStr">
        <is>
          <t>Expenses</t>
        </is>
      </c>
      <c r="D2005" s="3" t="inlineStr">
        <is>
          <t>4550/100</t>
        </is>
      </c>
      <c r="E2005" s="3" t="inlineStr">
        <is>
          <t>Subscriptions - Xero</t>
        </is>
      </c>
      <c r="F2005" s="3" t="n">
        <v>600</v>
      </c>
      <c r="G2005" s="3" t="n">
        <v>8400</v>
      </c>
    </row>
    <row r="2006">
      <c r="A2006" s="3" t="inlineStr">
        <is>
          <t>Heron Fields (Pty) Ltd</t>
        </is>
      </c>
      <c r="B2006" s="4" t="n">
        <v>44865</v>
      </c>
      <c r="C2006" s="3" t="inlineStr">
        <is>
          <t>Expenses</t>
        </is>
      </c>
      <c r="D2006" s="3" t="inlineStr">
        <is>
          <t>4550/200</t>
        </is>
      </c>
      <c r="E2006" s="3" t="inlineStr">
        <is>
          <t>Subscription - NHBRC</t>
        </is>
      </c>
      <c r="F2006" s="3" t="n">
        <v>526.3200000000001</v>
      </c>
      <c r="G2006" s="3" t="n">
        <v>526.3200000000001</v>
      </c>
    </row>
    <row r="2007">
      <c r="A2007" s="3" t="inlineStr">
        <is>
          <t>Cape Projects Construction (Pty) Ltd</t>
        </is>
      </c>
      <c r="B2007" s="4" t="n">
        <v>44865</v>
      </c>
      <c r="C2007" s="3" t="inlineStr">
        <is>
          <t>Expenses</t>
        </is>
      </c>
      <c r="D2007" s="3" t="inlineStr">
        <is>
          <t>4560</t>
        </is>
      </c>
      <c r="E2007" s="3" t="inlineStr">
        <is>
          <t>Secretarial fees - CIPC</t>
        </is>
      </c>
      <c r="F2007" s="3" t="n">
        <v>0</v>
      </c>
      <c r="G2007" s="3" t="n">
        <v>2500</v>
      </c>
    </row>
    <row r="2008">
      <c r="A2008" s="3" t="inlineStr">
        <is>
          <t>Cape Projects Construction (Pty) Ltd</t>
        </is>
      </c>
      <c r="B2008" s="4" t="n">
        <v>44865</v>
      </c>
      <c r="C2008" s="3" t="inlineStr">
        <is>
          <t>Expenses</t>
        </is>
      </c>
      <c r="D2008" s="3" t="inlineStr">
        <is>
          <t>4650/010</t>
        </is>
      </c>
      <c r="E2008" s="3" t="inlineStr">
        <is>
          <t>Travel - Local</t>
        </is>
      </c>
      <c r="F2008" s="3" t="n">
        <v>0</v>
      </c>
      <c r="G2008" s="3" t="n">
        <v>13.04</v>
      </c>
    </row>
    <row r="2009">
      <c r="A2009" s="3" t="inlineStr">
        <is>
          <t>Cape Projects Construction (Pty) Ltd</t>
        </is>
      </c>
      <c r="B2009" s="4" t="n">
        <v>44865</v>
      </c>
      <c r="C2009" s="3" t="inlineStr">
        <is>
          <t>Expenses</t>
        </is>
      </c>
      <c r="D2009" s="3" t="inlineStr">
        <is>
          <t>4700/000</t>
        </is>
      </c>
      <c r="E2009" s="3" t="inlineStr">
        <is>
          <t>PAYE Contributions</t>
        </is>
      </c>
      <c r="F2009" s="3" t="n">
        <v>30120.69</v>
      </c>
      <c r="G2009" s="3" t="n">
        <v>271864.19</v>
      </c>
    </row>
    <row r="2010">
      <c r="A2010" s="3" t="inlineStr">
        <is>
          <t>Cape Projects Construction (Pty) Ltd</t>
        </is>
      </c>
      <c r="B2010" s="4" t="n">
        <v>44865</v>
      </c>
      <c r="C2010" s="3" t="inlineStr">
        <is>
          <t>Expenses</t>
        </is>
      </c>
      <c r="D2010" s="3" t="inlineStr">
        <is>
          <t>4720/000</t>
        </is>
      </c>
      <c r="E2010" s="3" t="inlineStr">
        <is>
          <t>SDL Contributions</t>
        </is>
      </c>
      <c r="F2010" s="3" t="n">
        <v>2411.72</v>
      </c>
      <c r="G2010" s="3" t="n">
        <v>19495.73</v>
      </c>
    </row>
    <row r="2011">
      <c r="A2011" s="3" t="inlineStr">
        <is>
          <t>Cape Projects Construction (Pty) Ltd</t>
        </is>
      </c>
      <c r="B2011" s="4" t="n">
        <v>44865</v>
      </c>
      <c r="C2011" s="3" t="inlineStr">
        <is>
          <t>Expenses</t>
        </is>
      </c>
      <c r="D2011" s="3" t="inlineStr">
        <is>
          <t>4730/000</t>
        </is>
      </c>
      <c r="E2011" s="3" t="inlineStr">
        <is>
          <t>UIF Company Contributions</t>
        </is>
      </c>
      <c r="F2011" s="3" t="n">
        <v>1814.48</v>
      </c>
      <c r="G2011" s="3" t="n">
        <v>14032.06</v>
      </c>
    </row>
    <row r="2012">
      <c r="A2012" s="3" t="inlineStr">
        <is>
          <t>Cape Projects Construction (Pty) Ltd</t>
        </is>
      </c>
      <c r="B2012" s="4" t="n">
        <v>44865</v>
      </c>
      <c r="C2012" s="3" t="inlineStr">
        <is>
          <t>Expenses</t>
        </is>
      </c>
      <c r="D2012" s="3" t="inlineStr">
        <is>
          <t>4731/000</t>
        </is>
      </c>
      <c r="E2012" s="3" t="inlineStr">
        <is>
          <t>UIF Employee Contribution</t>
        </is>
      </c>
      <c r="F2012" s="3" t="n">
        <v>1814.48</v>
      </c>
      <c r="G2012" s="3" t="n">
        <v>14032.06</v>
      </c>
    </row>
    <row r="2013">
      <c r="A2013" s="3" t="inlineStr">
        <is>
          <t>Cape Projects Construction (Pty) Ltd</t>
        </is>
      </c>
      <c r="B2013" s="4" t="n">
        <v>44865</v>
      </c>
      <c r="C2013" s="3" t="inlineStr">
        <is>
          <t>Expenses</t>
        </is>
      </c>
      <c r="D2013" s="3" t="inlineStr">
        <is>
          <t>4740/000</t>
        </is>
      </c>
      <c r="E2013" s="3" t="inlineStr">
        <is>
          <t>BIBC Company Contribution</t>
        </is>
      </c>
      <c r="F2013" s="3" t="n">
        <v>21491.08</v>
      </c>
      <c r="G2013" s="3" t="n">
        <v>57015.89</v>
      </c>
    </row>
    <row r="2014">
      <c r="A2014" s="3" t="inlineStr">
        <is>
          <t>Cape Projects Construction (Pty) Ltd</t>
        </is>
      </c>
      <c r="B2014" s="4" t="n">
        <v>44865</v>
      </c>
      <c r="C2014" s="3" t="inlineStr">
        <is>
          <t>Expenses</t>
        </is>
      </c>
      <c r="D2014" s="3" t="inlineStr">
        <is>
          <t>4741/000</t>
        </is>
      </c>
      <c r="E2014" s="3" t="inlineStr">
        <is>
          <t>BIBC Employee Contribution</t>
        </is>
      </c>
      <c r="F2014" s="3" t="n">
        <v>3257.15</v>
      </c>
      <c r="G2014" s="3" t="n">
        <v>19706.8</v>
      </c>
    </row>
    <row r="2015">
      <c r="A2015" s="3" t="inlineStr">
        <is>
          <t>Heron Fields (Pty) Ltd</t>
        </is>
      </c>
      <c r="B2015" s="4" t="n">
        <v>44865</v>
      </c>
      <c r="C2015" s="3" t="inlineStr">
        <is>
          <t>Equity</t>
        </is>
      </c>
      <c r="D2015" s="3" t="inlineStr">
        <is>
          <t>5100-000</t>
        </is>
      </c>
      <c r="E2015" s="3" t="inlineStr">
        <is>
          <t>Share Capital</t>
        </is>
      </c>
      <c r="F2015" s="3" t="n">
        <v>0</v>
      </c>
      <c r="G2015" s="3" t="n">
        <v>-100</v>
      </c>
    </row>
    <row r="2016">
      <c r="A2016" s="3" t="inlineStr">
        <is>
          <t>Cape Projects Construction (Pty) Ltd</t>
        </is>
      </c>
      <c r="B2016" s="4" t="n">
        <v>44865</v>
      </c>
      <c r="C2016" s="3" t="inlineStr">
        <is>
          <t>Equity</t>
        </is>
      </c>
      <c r="D2016" s="3" t="inlineStr">
        <is>
          <t>5100/000</t>
        </is>
      </c>
      <c r="E2016" s="3" t="inlineStr">
        <is>
          <t>Share Capital / Members Contribution</t>
        </is>
      </c>
      <c r="F2016" s="3" t="n">
        <v>0</v>
      </c>
      <c r="G2016" s="3" t="n">
        <v>-120</v>
      </c>
    </row>
    <row r="2017">
      <c r="A2017" s="3" t="inlineStr">
        <is>
          <t>Cape Projects Construction (Pty) Ltd</t>
        </is>
      </c>
      <c r="B2017" s="4" t="n">
        <v>44865</v>
      </c>
      <c r="C2017" s="3" t="inlineStr">
        <is>
          <t>Equity</t>
        </is>
      </c>
      <c r="D2017" s="3" t="inlineStr">
        <is>
          <t>5200/000</t>
        </is>
      </c>
      <c r="E2017" s="3" t="inlineStr">
        <is>
          <t>Retained Earnings / Loss</t>
        </is>
      </c>
      <c r="F2017" s="3" t="n">
        <v>0</v>
      </c>
      <c r="G2017" s="3" t="n">
        <v>247347.05</v>
      </c>
    </row>
    <row r="2018">
      <c r="A2018" s="3" t="inlineStr">
        <is>
          <t>Heron Fields (Pty) Ltd</t>
        </is>
      </c>
      <c r="B2018" s="4" t="n">
        <v>44865</v>
      </c>
      <c r="C2018" s="3" t="inlineStr">
        <is>
          <t>Equity</t>
        </is>
      </c>
      <c r="D2018" s="3" t="inlineStr">
        <is>
          <t>5200/000</t>
        </is>
      </c>
      <c r="E2018" s="3" t="inlineStr">
        <is>
          <t>Retained Earnings / Loss</t>
        </is>
      </c>
      <c r="F2018" s="3" t="n">
        <v>0</v>
      </c>
      <c r="G2018" s="3" t="n">
        <v>-17080353.05</v>
      </c>
    </row>
    <row r="2019">
      <c r="A2019" s="3" t="inlineStr">
        <is>
          <t>Heron Fields (Pty) Ltd</t>
        </is>
      </c>
      <c r="B2019" s="4" t="n">
        <v>44865</v>
      </c>
      <c r="C2019" s="3" t="inlineStr">
        <is>
          <t>Assets</t>
        </is>
      </c>
      <c r="D2019" s="3" t="inlineStr">
        <is>
          <t>5300/001</t>
        </is>
      </c>
      <c r="E2019" s="3" t="inlineStr">
        <is>
          <t>Revaluation of Land stock</t>
        </is>
      </c>
      <c r="F2019" s="3" t="n">
        <v>0</v>
      </c>
      <c r="G2019" s="3" t="n">
        <v>17562360.85</v>
      </c>
    </row>
    <row r="2020">
      <c r="A2020" s="3" t="inlineStr">
        <is>
          <t>Cape Projects Construction (Pty) Ltd</t>
        </is>
      </c>
      <c r="B2020" s="4" t="n">
        <v>44865</v>
      </c>
      <c r="C2020" s="3" t="inlineStr">
        <is>
          <t>Assets</t>
        </is>
      </c>
      <c r="D2020" s="3" t="inlineStr">
        <is>
          <t>5400/100</t>
        </is>
      </c>
      <c r="E2020" s="3" t="inlineStr">
        <is>
          <t>Loan - Cape Projects Structuring Dev</t>
        </is>
      </c>
      <c r="F2020" s="3" t="n">
        <v>150000</v>
      </c>
      <c r="G2020" s="3" t="n">
        <v>-270000</v>
      </c>
    </row>
    <row r="2021">
      <c r="A2021" s="3" t="inlineStr">
        <is>
          <t>Cape Projects Construction (Pty) Ltd</t>
        </is>
      </c>
      <c r="B2021" s="4" t="n">
        <v>44865</v>
      </c>
      <c r="C2021" s="3" t="inlineStr">
        <is>
          <t>Assets</t>
        </is>
      </c>
      <c r="D2021" s="3" t="inlineStr">
        <is>
          <t>5400/150</t>
        </is>
      </c>
      <c r="E2021" s="3" t="inlineStr">
        <is>
          <t>Loan - Quinate</t>
        </is>
      </c>
      <c r="F2021" s="3" t="n">
        <v>0</v>
      </c>
      <c r="G2021" s="3" t="n">
        <v>3050000</v>
      </c>
    </row>
    <row r="2022">
      <c r="A2022" s="3" t="inlineStr">
        <is>
          <t>Cape Projects Construction (Pty) Ltd</t>
        </is>
      </c>
      <c r="B2022" s="4" t="n">
        <v>44865</v>
      </c>
      <c r="C2022" s="3" t="inlineStr">
        <is>
          <t>Assets</t>
        </is>
      </c>
      <c r="D2022" s="3" t="inlineStr">
        <is>
          <t>5400/550</t>
        </is>
      </c>
      <c r="E2022" s="3" t="inlineStr">
        <is>
          <t>Loan - Trademark</t>
        </is>
      </c>
      <c r="F2022" s="3" t="n">
        <v>600</v>
      </c>
      <c r="G2022" s="3" t="n">
        <v>1200</v>
      </c>
    </row>
    <row r="2023">
      <c r="A2023" s="3" t="inlineStr">
        <is>
          <t>Cape Projects Construction (Pty) Ltd</t>
        </is>
      </c>
      <c r="B2023" s="4" t="n">
        <v>44865</v>
      </c>
      <c r="C2023" s="3" t="inlineStr">
        <is>
          <t>Assets</t>
        </is>
      </c>
      <c r="D2023" s="3" t="inlineStr">
        <is>
          <t>5400/600</t>
        </is>
      </c>
      <c r="E2023" s="3" t="inlineStr">
        <is>
          <t>Loan - Heron Projects</t>
        </is>
      </c>
      <c r="F2023" s="3" t="n">
        <v>46000</v>
      </c>
      <c r="G2023" s="3" t="n">
        <v>-4500000</v>
      </c>
    </row>
    <row r="2024">
      <c r="A2024" s="3" t="inlineStr">
        <is>
          <t>Cape Projects Construction (Pty) Ltd</t>
        </is>
      </c>
      <c r="B2024" s="4" t="n">
        <v>44865</v>
      </c>
      <c r="C2024" s="3" t="inlineStr">
        <is>
          <t>Assets</t>
        </is>
      </c>
      <c r="D2024" s="3" t="inlineStr">
        <is>
          <t>5400/650</t>
        </is>
      </c>
      <c r="E2024" s="3" t="inlineStr">
        <is>
          <t>Loan - Noble Shield</t>
        </is>
      </c>
      <c r="F2024" s="3" t="n">
        <v>600</v>
      </c>
      <c r="G2024" s="3" t="n">
        <v>1200</v>
      </c>
    </row>
    <row r="2025">
      <c r="A2025" s="3" t="inlineStr">
        <is>
          <t>Cape Projects Construction (Pty) Ltd</t>
        </is>
      </c>
      <c r="B2025" s="4" t="n">
        <v>44865</v>
      </c>
      <c r="C2025" s="3" t="inlineStr">
        <is>
          <t>Assets</t>
        </is>
      </c>
      <c r="D2025" s="3" t="inlineStr">
        <is>
          <t>5400/750</t>
        </is>
      </c>
      <c r="E2025" s="3" t="inlineStr">
        <is>
          <t>Loan - Endulini</t>
        </is>
      </c>
      <c r="F2025" s="3" t="n">
        <v>0</v>
      </c>
      <c r="G2025" s="3" t="n">
        <v>1367000</v>
      </c>
    </row>
    <row r="2026">
      <c r="A2026" s="3" t="inlineStr">
        <is>
          <t>Heron View (Pty) Ltd</t>
        </is>
      </c>
      <c r="B2026" s="4" t="n">
        <v>44865</v>
      </c>
      <c r="C2026" s="3" t="inlineStr">
        <is>
          <t>Liabilities</t>
        </is>
      </c>
      <c r="D2026" s="3" t="inlineStr">
        <is>
          <t>5500/001</t>
        </is>
      </c>
      <c r="E2026" s="3" t="inlineStr">
        <is>
          <t>Loan - Heron Fields</t>
        </is>
      </c>
      <c r="F2026" s="3" t="n">
        <v>-18695.29</v>
      </c>
      <c r="G2026" s="3" t="n">
        <v>-2029313.01</v>
      </c>
    </row>
    <row r="2027">
      <c r="A2027" s="3" t="inlineStr">
        <is>
          <t>Heron Fields (Pty) Ltd</t>
        </is>
      </c>
      <c r="B2027" s="4" t="n">
        <v>44865</v>
      </c>
      <c r="C2027" s="3" t="inlineStr">
        <is>
          <t>Liabilities</t>
        </is>
      </c>
      <c r="D2027" s="3" t="inlineStr">
        <is>
          <t>5500/010</t>
        </is>
      </c>
      <c r="E2027" s="3" t="inlineStr">
        <is>
          <t>Loan - Quinate</t>
        </is>
      </c>
      <c r="F2027" s="3" t="n">
        <v>-4240.63</v>
      </c>
      <c r="G2027" s="3" t="n">
        <v>-4240.63</v>
      </c>
    </row>
    <row r="2028">
      <c r="A2028" s="3" t="inlineStr">
        <is>
          <t>Heron Fields (Pty) Ltd</t>
        </is>
      </c>
      <c r="B2028" s="4" t="n">
        <v>44865</v>
      </c>
      <c r="C2028" s="3" t="inlineStr">
        <is>
          <t>Liabilities</t>
        </is>
      </c>
      <c r="D2028" s="3" t="inlineStr">
        <is>
          <t>5500/020</t>
        </is>
      </c>
      <c r="E2028" s="3" t="inlineStr">
        <is>
          <t>Loan - Cape Projects Construction</t>
        </is>
      </c>
      <c r="F2028" s="3" t="n">
        <v>-46000</v>
      </c>
      <c r="G2028" s="3" t="n">
        <v>4500000</v>
      </c>
    </row>
    <row r="2029">
      <c r="A2029" s="3" t="inlineStr">
        <is>
          <t>Heron Fields (Pty) Ltd</t>
        </is>
      </c>
      <c r="B2029" s="4" t="n">
        <v>44865</v>
      </c>
      <c r="C2029" s="3" t="inlineStr">
        <is>
          <t>Liabilities</t>
        </is>
      </c>
      <c r="D2029" s="3" t="inlineStr">
        <is>
          <t>5500/050</t>
        </is>
      </c>
      <c r="E2029" s="3" t="inlineStr">
        <is>
          <t>Loan - Heron View</t>
        </is>
      </c>
      <c r="F2029" s="3" t="n">
        <v>18695.29</v>
      </c>
      <c r="G2029" s="3" t="n">
        <v>2029313.01</v>
      </c>
    </row>
    <row r="2030">
      <c r="A2030" s="3" t="inlineStr">
        <is>
          <t>Heron Fields (Pty) Ltd</t>
        </is>
      </c>
      <c r="B2030" s="4" t="n">
        <v>44865</v>
      </c>
      <c r="C2030" s="3" t="inlineStr">
        <is>
          <t>Liabilities</t>
        </is>
      </c>
      <c r="D2030" s="3" t="inlineStr">
        <is>
          <t>5500/060</t>
        </is>
      </c>
      <c r="E2030" s="3" t="inlineStr">
        <is>
          <t>Loan - Opportunity Management Holdings</t>
        </is>
      </c>
      <c r="F2030" s="3" t="n">
        <v>0</v>
      </c>
      <c r="G2030" s="3" t="n">
        <v>-30000</v>
      </c>
    </row>
    <row r="2031">
      <c r="A2031" s="3" t="inlineStr">
        <is>
          <t>Cape Projects Construction (Pty) Ltd</t>
        </is>
      </c>
      <c r="B2031" s="4" t="n">
        <v>44865</v>
      </c>
      <c r="C2031" s="3" t="inlineStr">
        <is>
          <t>Liabilities</t>
        </is>
      </c>
      <c r="D2031" s="3" t="inlineStr">
        <is>
          <t>5600/100</t>
        </is>
      </c>
      <c r="E2031" s="3" t="inlineStr">
        <is>
          <t>Motor Vehical Car Repaymts - Toyota</t>
        </is>
      </c>
      <c r="F2031" s="3" t="n">
        <v>5224.15</v>
      </c>
      <c r="G2031" s="3" t="n">
        <v>41664.72</v>
      </c>
    </row>
    <row r="2032">
      <c r="A2032" s="3" t="inlineStr">
        <is>
          <t>Cape Projects Construction (Pty) Ltd</t>
        </is>
      </c>
      <c r="B2032" s="4" t="n">
        <v>44865</v>
      </c>
      <c r="C2032" s="3" t="inlineStr">
        <is>
          <t>Liabilities</t>
        </is>
      </c>
      <c r="D2032" s="3" t="inlineStr">
        <is>
          <t>5600/200</t>
        </is>
      </c>
      <c r="E2032" s="3" t="inlineStr">
        <is>
          <t>Motor Vehicle Car Repayments - Toyota Shortterm</t>
        </is>
      </c>
      <c r="F2032" s="3" t="n">
        <v>0</v>
      </c>
      <c r="G2032" s="3" t="n">
        <v>-58920.1</v>
      </c>
    </row>
    <row r="2033">
      <c r="A2033" s="3" t="inlineStr">
        <is>
          <t>Cape Projects Construction (Pty) Ltd</t>
        </is>
      </c>
      <c r="B2033" s="4" t="n">
        <v>44865</v>
      </c>
      <c r="C2033" s="3" t="inlineStr">
        <is>
          <t>Assets</t>
        </is>
      </c>
      <c r="D2033" s="3" t="inlineStr">
        <is>
          <t>6200/010</t>
        </is>
      </c>
      <c r="E2033" s="3" t="inlineStr">
        <is>
          <t>Motor Vehicles - @ Cost</t>
        </is>
      </c>
      <c r="F2033" s="3" t="n">
        <v>0</v>
      </c>
      <c r="G2033" s="3" t="n">
        <v>216064.1</v>
      </c>
    </row>
    <row r="2034">
      <c r="A2034" s="3" t="inlineStr">
        <is>
          <t>Cape Projects Construction (Pty) Ltd</t>
        </is>
      </c>
      <c r="B2034" s="4" t="n">
        <v>44865</v>
      </c>
      <c r="C2034" s="3" t="inlineStr">
        <is>
          <t>Assets</t>
        </is>
      </c>
      <c r="D2034" s="3" t="inlineStr">
        <is>
          <t>6200/020</t>
        </is>
      </c>
      <c r="E2034" s="3" t="inlineStr">
        <is>
          <t>Motor Vehicles - Accum Depre</t>
        </is>
      </c>
      <c r="F2034" s="3" t="n">
        <v>0</v>
      </c>
      <c r="G2034" s="3" t="n">
        <v>-216063.1</v>
      </c>
    </row>
    <row r="2035">
      <c r="A2035" s="3" t="inlineStr">
        <is>
          <t>Cape Projects Construction (Pty) Ltd</t>
        </is>
      </c>
      <c r="B2035" s="4" t="n">
        <v>44865</v>
      </c>
      <c r="C2035" s="3" t="inlineStr">
        <is>
          <t>Assets</t>
        </is>
      </c>
      <c r="D2035" s="3" t="inlineStr">
        <is>
          <t>6250/010</t>
        </is>
      </c>
      <c r="E2035" s="3" t="inlineStr">
        <is>
          <t>Computer Equipment - @ Cost</t>
        </is>
      </c>
      <c r="F2035" s="3" t="n">
        <v>0</v>
      </c>
      <c r="G2035" s="3" t="n">
        <v>92100.13</v>
      </c>
    </row>
    <row r="2036">
      <c r="A2036" s="3" t="inlineStr">
        <is>
          <t>Cape Projects Construction (Pty) Ltd</t>
        </is>
      </c>
      <c r="B2036" s="4" t="n">
        <v>44865</v>
      </c>
      <c r="C2036" s="3" t="inlineStr">
        <is>
          <t>Assets</t>
        </is>
      </c>
      <c r="D2036" s="3" t="inlineStr">
        <is>
          <t>6250/020</t>
        </is>
      </c>
      <c r="E2036" s="3" t="inlineStr">
        <is>
          <t>Computer Equipment - Accum Depre</t>
        </is>
      </c>
      <c r="F2036" s="3" t="n">
        <v>-2165.84</v>
      </c>
      <c r="G2036" s="3" t="n">
        <v>-34259.63</v>
      </c>
    </row>
    <row r="2037">
      <c r="A2037" s="3" t="inlineStr">
        <is>
          <t>Cape Projects Construction (Pty) Ltd</t>
        </is>
      </c>
      <c r="B2037" s="4" t="n">
        <v>44865</v>
      </c>
      <c r="C2037" s="3" t="inlineStr">
        <is>
          <t>Assets</t>
        </is>
      </c>
      <c r="D2037" s="3" t="inlineStr">
        <is>
          <t>6350/010</t>
        </is>
      </c>
      <c r="E2037" s="3" t="inlineStr">
        <is>
          <t>Furniture _AND_ Fittings - @ Cost</t>
        </is>
      </c>
      <c r="F2037" s="3" t="n">
        <v>0</v>
      </c>
      <c r="G2037" s="3" t="n">
        <v>29281.39</v>
      </c>
    </row>
    <row r="2038">
      <c r="A2038" s="3" t="inlineStr">
        <is>
          <t>Cape Projects Construction (Pty) Ltd</t>
        </is>
      </c>
      <c r="B2038" s="4" t="n">
        <v>44865</v>
      </c>
      <c r="C2038" s="3" t="inlineStr">
        <is>
          <t>Assets</t>
        </is>
      </c>
      <c r="D2038" s="3" t="inlineStr">
        <is>
          <t>6350/020</t>
        </is>
      </c>
      <c r="E2038" s="3" t="inlineStr">
        <is>
          <t>Furniture _AND_ Fittings - Accum Depre</t>
        </is>
      </c>
      <c r="F2038" s="3" t="n">
        <v>-427.21</v>
      </c>
      <c r="G2038" s="3" t="n">
        <v>-3824.34</v>
      </c>
    </row>
    <row r="2039">
      <c r="A2039" s="3" t="inlineStr">
        <is>
          <t>Cape Projects Construction (Pty) Ltd</t>
        </is>
      </c>
      <c r="B2039" s="4" t="n">
        <v>44865</v>
      </c>
      <c r="C2039" s="3" t="inlineStr">
        <is>
          <t>Assets</t>
        </is>
      </c>
      <c r="D2039" s="3" t="inlineStr">
        <is>
          <t>6600/010</t>
        </is>
      </c>
      <c r="E2039" s="3" t="inlineStr">
        <is>
          <t>Generator Fixed Asset - @ Cost</t>
        </is>
      </c>
      <c r="F2039" s="3" t="n">
        <v>0</v>
      </c>
      <c r="G2039" s="3" t="n">
        <v>11600</v>
      </c>
    </row>
    <row r="2040">
      <c r="A2040" s="3" t="inlineStr">
        <is>
          <t>Cape Projects Construction (Pty) Ltd</t>
        </is>
      </c>
      <c r="B2040" s="4" t="n">
        <v>44865</v>
      </c>
      <c r="C2040" s="3" t="inlineStr">
        <is>
          <t>Assets</t>
        </is>
      </c>
      <c r="D2040" s="3" t="inlineStr">
        <is>
          <t>6600/020</t>
        </is>
      </c>
      <c r="E2040" s="3" t="inlineStr">
        <is>
          <t>Generator Fixed Asset - Accum Depre</t>
        </is>
      </c>
      <c r="F2040" s="3" t="n">
        <v>-193.34</v>
      </c>
      <c r="G2040" s="3" t="n">
        <v>-2352.23</v>
      </c>
    </row>
    <row r="2041">
      <c r="A2041" s="3" t="inlineStr">
        <is>
          <t>Heron Fields (Pty) Ltd</t>
        </is>
      </c>
      <c r="B2041" s="4" t="n">
        <v>44865</v>
      </c>
      <c r="C2041" s="3" t="inlineStr">
        <is>
          <t>Assets</t>
        </is>
      </c>
      <c r="D2041" s="3" t="inlineStr">
        <is>
          <t>7610/395</t>
        </is>
      </c>
      <c r="E2041" s="3" t="inlineStr">
        <is>
          <t>HF CIP NHBRC</t>
        </is>
      </c>
      <c r="F2041" s="3" t="n">
        <v>0</v>
      </c>
      <c r="G2041" s="3" t="n">
        <v>874505.75</v>
      </c>
    </row>
    <row r="2042">
      <c r="A2042" s="3" t="inlineStr">
        <is>
          <t>Heron View (Pty) Ltd</t>
        </is>
      </c>
      <c r="B2042" s="4" t="n">
        <v>44865</v>
      </c>
      <c r="C2042" s="3" t="inlineStr">
        <is>
          <t>Assets</t>
        </is>
      </c>
      <c r="D2042" s="3" t="inlineStr">
        <is>
          <t>7610/395</t>
        </is>
      </c>
      <c r="E2042" s="3" t="inlineStr">
        <is>
          <t>Heron CIP NHBRC</t>
        </is>
      </c>
      <c r="F2042" s="3" t="n">
        <v>0</v>
      </c>
      <c r="G2042" s="3" t="n">
        <v>284986.5</v>
      </c>
    </row>
    <row r="2043">
      <c r="A2043" s="3" t="inlineStr">
        <is>
          <t>Heron Fields (Pty) Ltd</t>
        </is>
      </c>
      <c r="B2043" s="4" t="n">
        <v>44865</v>
      </c>
      <c r="C2043" s="3" t="inlineStr">
        <is>
          <t>Assets</t>
        </is>
      </c>
      <c r="D2043" s="3" t="inlineStr">
        <is>
          <t>7620/100</t>
        </is>
      </c>
      <c r="E2043" s="3" t="inlineStr">
        <is>
          <t>Heron View Land</t>
        </is>
      </c>
      <c r="F2043" s="3" t="n">
        <v>0</v>
      </c>
      <c r="G2043" s="3" t="n">
        <v>26200000</v>
      </c>
    </row>
    <row r="2044">
      <c r="A2044" s="3" t="inlineStr">
        <is>
          <t>Heron Fields (Pty) Ltd</t>
        </is>
      </c>
      <c r="B2044" s="4" t="n">
        <v>44865</v>
      </c>
      <c r="C2044" s="3" t="inlineStr">
        <is>
          <t>Assets</t>
        </is>
      </c>
      <c r="D2044" s="3" t="inlineStr">
        <is>
          <t>7620/101</t>
        </is>
      </c>
      <c r="E2044" s="3" t="inlineStr">
        <is>
          <t>HF CIP Bond Registration Fee</t>
        </is>
      </c>
      <c r="F2044" s="3" t="n">
        <v>0</v>
      </c>
      <c r="G2044" s="3" t="n">
        <v>68427</v>
      </c>
    </row>
    <row r="2045">
      <c r="A2045" s="3" t="inlineStr">
        <is>
          <t>Heron Fields (Pty) Ltd</t>
        </is>
      </c>
      <c r="B2045" s="4" t="n">
        <v>44865</v>
      </c>
      <c r="C2045" s="3" t="inlineStr">
        <is>
          <t>Assets</t>
        </is>
      </c>
      <c r="D2045" s="3" t="inlineStr">
        <is>
          <t>7620/102</t>
        </is>
      </c>
      <c r="E2045" s="3" t="inlineStr">
        <is>
          <t>HF CIP Transfer Fee</t>
        </is>
      </c>
      <c r="F2045" s="3" t="n">
        <v>0</v>
      </c>
      <c r="G2045" s="3" t="n">
        <v>103812</v>
      </c>
    </row>
    <row r="2046">
      <c r="A2046" s="3" t="inlineStr">
        <is>
          <t>Heron Fields (Pty) Ltd</t>
        </is>
      </c>
      <c r="B2046" s="4" t="n">
        <v>44865</v>
      </c>
      <c r="C2046" s="3" t="inlineStr">
        <is>
          <t>Assets</t>
        </is>
      </c>
      <c r="D2046" s="3" t="inlineStr">
        <is>
          <t>7620/220</t>
        </is>
      </c>
      <c r="E2046" s="3" t="inlineStr">
        <is>
          <t>HF CIP Architectural Designs</t>
        </is>
      </c>
      <c r="F2046" s="3" t="n">
        <v>0</v>
      </c>
      <c r="G2046" s="3" t="n">
        <v>150780</v>
      </c>
    </row>
    <row r="2047">
      <c r="A2047" s="3" t="inlineStr">
        <is>
          <t>Heron View (Pty) Ltd</t>
        </is>
      </c>
      <c r="B2047" s="4" t="n">
        <v>44865</v>
      </c>
      <c r="C2047" s="3" t="inlineStr">
        <is>
          <t>Assets</t>
        </is>
      </c>
      <c r="D2047" s="3" t="inlineStr">
        <is>
          <t>7620/220</t>
        </is>
      </c>
      <c r="E2047" s="3" t="inlineStr">
        <is>
          <t>Heron View CIP Architectural Designs</t>
        </is>
      </c>
      <c r="F2047" s="3" t="n">
        <v>149217.23</v>
      </c>
      <c r="G2047" s="3" t="n">
        <v>149217.23</v>
      </c>
    </row>
    <row r="2048">
      <c r="A2048" s="3" t="inlineStr">
        <is>
          <t>Heron Fields (Pty) Ltd</t>
        </is>
      </c>
      <c r="B2048" s="4" t="n">
        <v>44865</v>
      </c>
      <c r="C2048" s="3" t="inlineStr">
        <is>
          <t>Assets</t>
        </is>
      </c>
      <c r="D2048" s="3" t="inlineStr">
        <is>
          <t>7620/230</t>
        </is>
      </c>
      <c r="E2048" s="3" t="inlineStr">
        <is>
          <t>HF CIP Construction Management</t>
        </is>
      </c>
      <c r="F2048" s="3" t="n">
        <v>13750</v>
      </c>
      <c r="G2048" s="3" t="n">
        <v>105250</v>
      </c>
    </row>
    <row r="2049">
      <c r="A2049" s="3" t="inlineStr">
        <is>
          <t>Heron Fields (Pty) Ltd</t>
        </is>
      </c>
      <c r="B2049" s="4" t="n">
        <v>44865</v>
      </c>
      <c r="C2049" s="3" t="inlineStr">
        <is>
          <t>Assets</t>
        </is>
      </c>
      <c r="D2049" s="3" t="inlineStr">
        <is>
          <t>7620/240</t>
        </is>
      </c>
      <c r="E2049" s="3" t="inlineStr">
        <is>
          <t>HF CIP Civil Engineering</t>
        </is>
      </c>
      <c r="F2049" s="3" t="n">
        <v>1442417</v>
      </c>
      <c r="G2049" s="3" t="n">
        <v>8127641.8</v>
      </c>
    </row>
    <row r="2050">
      <c r="A2050" s="3" t="inlineStr">
        <is>
          <t>Heron Fields (Pty) Ltd</t>
        </is>
      </c>
      <c r="B2050" s="4" t="n">
        <v>44865</v>
      </c>
      <c r="C2050" s="3" t="inlineStr">
        <is>
          <t>Assets</t>
        </is>
      </c>
      <c r="D2050" s="3" t="inlineStr">
        <is>
          <t>7620/245</t>
        </is>
      </c>
      <c r="E2050" s="3" t="inlineStr">
        <is>
          <t>HF CIP Development fee</t>
        </is>
      </c>
      <c r="F2050" s="3" t="n">
        <v>0</v>
      </c>
      <c r="G2050" s="3" t="n">
        <v>13807.78</v>
      </c>
    </row>
    <row r="2051">
      <c r="A2051" s="3" t="inlineStr">
        <is>
          <t>Heron Fields (Pty) Ltd</t>
        </is>
      </c>
      <c r="B2051" s="4" t="n">
        <v>44865</v>
      </c>
      <c r="C2051" s="3" t="inlineStr">
        <is>
          <t>Assets</t>
        </is>
      </c>
      <c r="D2051" s="3" t="inlineStr">
        <is>
          <t>7620/250</t>
        </is>
      </c>
      <c r="E2051" s="3" t="inlineStr">
        <is>
          <t>HF CIP Land Surveyor</t>
        </is>
      </c>
      <c r="F2051" s="3" t="n">
        <v>44642</v>
      </c>
      <c r="G2051" s="3" t="n">
        <v>148288.09</v>
      </c>
    </row>
    <row r="2052">
      <c r="A2052" s="3" t="inlineStr">
        <is>
          <t>Heron Fields (Pty) Ltd</t>
        </is>
      </c>
      <c r="B2052" s="4" t="n">
        <v>44865</v>
      </c>
      <c r="C2052" s="3" t="inlineStr">
        <is>
          <t>Assets</t>
        </is>
      </c>
      <c r="D2052" s="3" t="inlineStr">
        <is>
          <t>7620/255</t>
        </is>
      </c>
      <c r="E2052" s="3" t="inlineStr">
        <is>
          <t>HF CIP Landscaping</t>
        </is>
      </c>
      <c r="F2052" s="3" t="n">
        <v>0</v>
      </c>
      <c r="G2052" s="3" t="n">
        <v>7500</v>
      </c>
    </row>
    <row r="2053">
      <c r="A2053" s="3" t="inlineStr">
        <is>
          <t>Heron Fields (Pty) Ltd</t>
        </is>
      </c>
      <c r="B2053" s="4" t="n">
        <v>44865</v>
      </c>
      <c r="C2053" s="3" t="inlineStr">
        <is>
          <t>Assets</t>
        </is>
      </c>
      <c r="D2053" s="3" t="inlineStr">
        <is>
          <t>7620/260</t>
        </is>
      </c>
      <c r="E2053" s="3" t="inlineStr">
        <is>
          <t>HF CIP Mechanical Engineers</t>
        </is>
      </c>
      <c r="F2053" s="3" t="n">
        <v>0</v>
      </c>
      <c r="G2053" s="3" t="n">
        <v>67400</v>
      </c>
    </row>
    <row r="2054">
      <c r="A2054" s="3" t="inlineStr">
        <is>
          <t>Heron Fields (Pty) Ltd</t>
        </is>
      </c>
      <c r="B2054" s="4" t="n">
        <v>44865</v>
      </c>
      <c r="C2054" s="3" t="inlineStr">
        <is>
          <t>Assets</t>
        </is>
      </c>
      <c r="D2054" s="3" t="inlineStr">
        <is>
          <t>7620/265</t>
        </is>
      </c>
      <c r="E2054" s="3" t="inlineStr">
        <is>
          <t>HF CIP Health &amp; Safety</t>
        </is>
      </c>
      <c r="F2054" s="3" t="n">
        <v>1400</v>
      </c>
      <c r="G2054" s="3" t="n">
        <v>17800</v>
      </c>
    </row>
    <row r="2055">
      <c r="A2055" s="3" t="inlineStr">
        <is>
          <t>Heron Fields (Pty) Ltd</t>
        </is>
      </c>
      <c r="B2055" s="4" t="n">
        <v>44865</v>
      </c>
      <c r="C2055" s="3" t="inlineStr">
        <is>
          <t>Assets</t>
        </is>
      </c>
      <c r="D2055" s="3" t="inlineStr">
        <is>
          <t>7620/270</t>
        </is>
      </c>
      <c r="E2055" s="3" t="inlineStr">
        <is>
          <t>HF CIP Geotechnical</t>
        </is>
      </c>
      <c r="F2055" s="3" t="n">
        <v>0</v>
      </c>
      <c r="G2055" s="3" t="n">
        <v>15175</v>
      </c>
    </row>
    <row r="2056">
      <c r="A2056" s="3" t="inlineStr">
        <is>
          <t>Heron Fields (Pty) Ltd</t>
        </is>
      </c>
      <c r="B2056" s="4" t="n">
        <v>44865</v>
      </c>
      <c r="C2056" s="3" t="inlineStr">
        <is>
          <t>Assets</t>
        </is>
      </c>
      <c r="D2056" s="3" t="inlineStr">
        <is>
          <t>7620/275</t>
        </is>
      </c>
      <c r="E2056" s="3" t="inlineStr">
        <is>
          <t>HF CIP Retaining Wall</t>
        </is>
      </c>
      <c r="F2056" s="3" t="n">
        <v>0</v>
      </c>
      <c r="G2056" s="3" t="n">
        <v>570856.08</v>
      </c>
    </row>
    <row r="2057">
      <c r="A2057" s="3" t="inlineStr">
        <is>
          <t>Heron Fields (Pty) Ltd</t>
        </is>
      </c>
      <c r="B2057" s="4" t="n">
        <v>44865</v>
      </c>
      <c r="C2057" s="3" t="inlineStr">
        <is>
          <t>Assets</t>
        </is>
      </c>
      <c r="D2057" s="3" t="inlineStr">
        <is>
          <t>7620/280</t>
        </is>
      </c>
      <c r="E2057" s="3" t="inlineStr">
        <is>
          <t>HF CIP Site Establishment</t>
        </is>
      </c>
      <c r="F2057" s="3" t="n">
        <v>4763644.96</v>
      </c>
      <c r="G2057" s="3" t="n">
        <v>39007081.82</v>
      </c>
    </row>
    <row r="2058">
      <c r="A2058" s="3" t="inlineStr">
        <is>
          <t>Heron Fields (Pty) Ltd</t>
        </is>
      </c>
      <c r="B2058" s="4" t="n">
        <v>44865</v>
      </c>
      <c r="C2058" s="3" t="inlineStr">
        <is>
          <t>Assets</t>
        </is>
      </c>
      <c r="D2058" s="3" t="inlineStr">
        <is>
          <t>7620/285</t>
        </is>
      </c>
      <c r="E2058" s="3" t="inlineStr">
        <is>
          <t>HF CIP Structuring Fee - Invest</t>
        </is>
      </c>
      <c r="F2058" s="3" t="n">
        <v>0</v>
      </c>
      <c r="G2058" s="3" t="n">
        <v>3396905</v>
      </c>
    </row>
    <row r="2059">
      <c r="A2059" s="3" t="inlineStr">
        <is>
          <t>Heron Fields (Pty) Ltd</t>
        </is>
      </c>
      <c r="B2059" s="4" t="n">
        <v>44865</v>
      </c>
      <c r="C2059" s="3" t="inlineStr">
        <is>
          <t>Assets</t>
        </is>
      </c>
      <c r="D2059" s="3" t="inlineStr">
        <is>
          <t>7620/287</t>
        </is>
      </c>
      <c r="E2059" s="3" t="inlineStr">
        <is>
          <t>HF CIP Structuring Fee - Development</t>
        </is>
      </c>
      <c r="F2059" s="3" t="n">
        <v>0</v>
      </c>
      <c r="G2059" s="3" t="n">
        <v>782608.0699999999</v>
      </c>
    </row>
    <row r="2060">
      <c r="A2060" s="3" t="inlineStr">
        <is>
          <t>Heron Fields (Pty) Ltd</t>
        </is>
      </c>
      <c r="B2060" s="4" t="n">
        <v>44865</v>
      </c>
      <c r="C2060" s="3" t="inlineStr">
        <is>
          <t>Assets</t>
        </is>
      </c>
      <c r="D2060" s="3" t="inlineStr">
        <is>
          <t>7620/290</t>
        </is>
      </c>
      <c r="E2060" s="3" t="inlineStr">
        <is>
          <t>HF CIP Town Planning</t>
        </is>
      </c>
      <c r="F2060" s="3" t="n">
        <v>0</v>
      </c>
      <c r="G2060" s="3" t="n">
        <v>163550</v>
      </c>
    </row>
    <row r="2061">
      <c r="A2061" s="3" t="inlineStr">
        <is>
          <t>Heron Fields (Pty) Ltd</t>
        </is>
      </c>
      <c r="B2061" s="4" t="n">
        <v>44865</v>
      </c>
      <c r="C2061" s="3" t="inlineStr">
        <is>
          <t>Assets</t>
        </is>
      </c>
      <c r="D2061" s="3" t="inlineStr">
        <is>
          <t>7620/295</t>
        </is>
      </c>
      <c r="E2061" s="3" t="inlineStr">
        <is>
          <t>HF CIP Traffic Planning</t>
        </is>
      </c>
      <c r="F2061" s="3" t="n">
        <v>0</v>
      </c>
      <c r="G2061" s="3" t="n">
        <v>45000</v>
      </c>
    </row>
    <row r="2062">
      <c r="A2062" s="3" t="inlineStr">
        <is>
          <t>Heron Fields (Pty) Ltd</t>
        </is>
      </c>
      <c r="B2062" s="4" t="n">
        <v>44865</v>
      </c>
      <c r="C2062" s="3" t="inlineStr">
        <is>
          <t>Assets</t>
        </is>
      </c>
      <c r="D2062" s="3" t="inlineStr">
        <is>
          <t>7620/600</t>
        </is>
      </c>
      <c r="E2062" s="3" t="inlineStr">
        <is>
          <t>HF CIP Eco work</t>
        </is>
      </c>
      <c r="F2062" s="3" t="n">
        <v>6000</v>
      </c>
      <c r="G2062" s="3" t="n">
        <v>107000</v>
      </c>
    </row>
    <row r="2063">
      <c r="A2063" s="3" t="inlineStr">
        <is>
          <t>Heron Fields (Pty) Ltd</t>
        </is>
      </c>
      <c r="B2063" s="4" t="n">
        <v>44865</v>
      </c>
      <c r="C2063" s="3" t="inlineStr">
        <is>
          <t>Assets</t>
        </is>
      </c>
      <c r="D2063" s="3" t="inlineStr">
        <is>
          <t>7620/630</t>
        </is>
      </c>
      <c r="E2063" s="3" t="inlineStr">
        <is>
          <t>HF CIP CoCT development contribution</t>
        </is>
      </c>
      <c r="F2063" s="3" t="n">
        <v>0</v>
      </c>
      <c r="G2063" s="3" t="n">
        <v>1021325.63</v>
      </c>
    </row>
    <row r="2064">
      <c r="A2064" s="3" t="inlineStr">
        <is>
          <t>Heron View (Pty) Ltd</t>
        </is>
      </c>
      <c r="B2064" s="4" t="n">
        <v>44865</v>
      </c>
      <c r="C2064" s="3" t="inlineStr">
        <is>
          <t>Assets</t>
        </is>
      </c>
      <c r="D2064" s="3" t="inlineStr">
        <is>
          <t>7620/630</t>
        </is>
      </c>
      <c r="E2064" s="3" t="inlineStr">
        <is>
          <t>Heron CIP - CoCT development contribution</t>
        </is>
      </c>
      <c r="F2064" s="3" t="n">
        <v>5104</v>
      </c>
      <c r="G2064" s="3" t="n">
        <v>1238365.93</v>
      </c>
    </row>
    <row r="2065">
      <c r="A2065" s="3" t="inlineStr">
        <is>
          <t>Heron Fields (Pty) Ltd</t>
        </is>
      </c>
      <c r="B2065" s="4" t="n">
        <v>44865</v>
      </c>
      <c r="C2065" s="3" t="inlineStr">
        <is>
          <t>Assets</t>
        </is>
      </c>
      <c r="D2065" s="3" t="inlineStr">
        <is>
          <t>7620/640</t>
        </is>
      </c>
      <c r="E2065" s="3" t="inlineStr">
        <is>
          <t>HF CIP Project costs</t>
        </is>
      </c>
      <c r="F2065" s="3" t="n">
        <v>0</v>
      </c>
      <c r="G2065" s="3" t="n">
        <v>622274.51</v>
      </c>
    </row>
    <row r="2066">
      <c r="A2066" s="3" t="inlineStr">
        <is>
          <t>Heron View (Pty) Ltd</t>
        </is>
      </c>
      <c r="B2066" s="4" t="n">
        <v>44865</v>
      </c>
      <c r="C2066" s="3" t="inlineStr">
        <is>
          <t>Assets</t>
        </is>
      </c>
      <c r="D2066" s="3" t="inlineStr">
        <is>
          <t>7620/650</t>
        </is>
      </c>
      <c r="E2066" s="3" t="inlineStr">
        <is>
          <t>CIP - Construction Management</t>
        </is>
      </c>
      <c r="F2066" s="3" t="n">
        <v>7530</v>
      </c>
      <c r="G2066" s="3" t="n">
        <v>7530</v>
      </c>
    </row>
    <row r="2067">
      <c r="A2067" s="3" t="inlineStr">
        <is>
          <t>Heron Fields (Pty) Ltd</t>
        </is>
      </c>
      <c r="B2067" s="4" t="n">
        <v>44865</v>
      </c>
      <c r="C2067" s="3" t="inlineStr">
        <is>
          <t>Assets</t>
        </is>
      </c>
      <c r="D2067" s="3" t="inlineStr">
        <is>
          <t>7620/650</t>
        </is>
      </c>
      <c r="E2067" s="3" t="inlineStr">
        <is>
          <t>HF CIP Electrical</t>
        </is>
      </c>
      <c r="F2067" s="3" t="n">
        <v>46967.27</v>
      </c>
      <c r="G2067" s="3" t="n">
        <v>985049.6800000001</v>
      </c>
    </row>
    <row r="2068">
      <c r="A2068" s="3" t="inlineStr">
        <is>
          <t>Heron View (Pty) Ltd</t>
        </is>
      </c>
      <c r="B2068" s="4" t="n">
        <v>44865</v>
      </c>
      <c r="C2068" s="3" t="inlineStr">
        <is>
          <t>Assets</t>
        </is>
      </c>
      <c r="D2068" s="3" t="inlineStr">
        <is>
          <t>7620/660</t>
        </is>
      </c>
      <c r="E2068" s="3" t="inlineStr">
        <is>
          <t>HV CIP Health &amp; Safety</t>
        </is>
      </c>
      <c r="F2068" s="3" t="n">
        <v>1100</v>
      </c>
      <c r="G2068" s="3" t="n">
        <v>10700</v>
      </c>
    </row>
    <row r="2069">
      <c r="A2069" s="3" t="inlineStr">
        <is>
          <t>Heron View (Pty) Ltd</t>
        </is>
      </c>
      <c r="B2069" s="4" t="n">
        <v>44865</v>
      </c>
      <c r="C2069" s="3" t="inlineStr">
        <is>
          <t>Assets</t>
        </is>
      </c>
      <c r="D2069" s="3" t="inlineStr">
        <is>
          <t>7620/670</t>
        </is>
      </c>
      <c r="E2069" s="3" t="inlineStr">
        <is>
          <t>HV CIP - Project costs CPSD</t>
        </is>
      </c>
      <c r="F2069" s="3" t="n">
        <v>0</v>
      </c>
      <c r="G2069" s="3" t="n">
        <v>250000</v>
      </c>
    </row>
    <row r="2070">
      <c r="A2070" s="3" t="inlineStr">
        <is>
          <t>Heron Fields (Pty) Ltd</t>
        </is>
      </c>
      <c r="B2070" s="4" t="n">
        <v>44865</v>
      </c>
      <c r="C2070" s="3" t="inlineStr">
        <is>
          <t>Assets</t>
        </is>
      </c>
      <c r="D2070" s="3" t="inlineStr">
        <is>
          <t>7620/700</t>
        </is>
      </c>
      <c r="E2070" s="3" t="inlineStr">
        <is>
          <t>HF CIP - P&amp;G recoveries - Endulini&amp;Heron Fields/View</t>
        </is>
      </c>
      <c r="F2070" s="3" t="n">
        <v>0</v>
      </c>
      <c r="G2070" s="3" t="n">
        <v>3023829.42</v>
      </c>
    </row>
    <row r="2071">
      <c r="A2071" s="3" t="inlineStr">
        <is>
          <t>Heron Fields (Pty) Ltd</t>
        </is>
      </c>
      <c r="B2071" s="4" t="n">
        <v>44865</v>
      </c>
      <c r="C2071" s="3" t="inlineStr">
        <is>
          <t>Assets</t>
        </is>
      </c>
      <c r="D2071" s="3" t="inlineStr">
        <is>
          <t>7620/750</t>
        </is>
      </c>
      <c r="E2071" s="3" t="inlineStr">
        <is>
          <t>HF CIP Project costs CPSD</t>
        </is>
      </c>
      <c r="F2071" s="3" t="n">
        <v>0</v>
      </c>
      <c r="G2071" s="3" t="n">
        <v>850000</v>
      </c>
    </row>
    <row r="2072">
      <c r="A2072" s="3" t="inlineStr">
        <is>
          <t>Cape Projects Construction (Pty) Ltd</t>
        </is>
      </c>
      <c r="B2072" s="4" t="n">
        <v>44865</v>
      </c>
      <c r="C2072" s="3" t="inlineStr">
        <is>
          <t>Assets</t>
        </is>
      </c>
      <c r="D2072" s="3" t="inlineStr">
        <is>
          <t>7800/000</t>
        </is>
      </c>
      <c r="E2072" s="3" t="inlineStr">
        <is>
          <t>Deposits paid</t>
        </is>
      </c>
      <c r="F2072" s="3" t="n">
        <v>1512.5</v>
      </c>
      <c r="G2072" s="3" t="n">
        <v>8387.950000000001</v>
      </c>
    </row>
    <row r="2073">
      <c r="A2073" s="3" t="inlineStr">
        <is>
          <t>Cape Projects Construction (Pty) Ltd</t>
        </is>
      </c>
      <c r="B2073" s="4" t="n">
        <v>44865</v>
      </c>
      <c r="C2073" s="3" t="inlineStr">
        <is>
          <t>Assets</t>
        </is>
      </c>
      <c r="D2073" s="3" t="inlineStr">
        <is>
          <t>8000/000</t>
        </is>
      </c>
      <c r="E2073" s="3" t="inlineStr">
        <is>
          <t>Customer Control Account</t>
        </is>
      </c>
      <c r="F2073" s="3" t="n">
        <v>-1787136.69</v>
      </c>
      <c r="G2073" s="3" t="n">
        <v>4087274.45</v>
      </c>
    </row>
    <row r="2074">
      <c r="A2074" s="3" t="inlineStr">
        <is>
          <t>Cape Projects Construction (Pty) Ltd</t>
        </is>
      </c>
      <c r="B2074" s="4" t="n">
        <v>44865</v>
      </c>
      <c r="C2074" s="3" t="inlineStr">
        <is>
          <t>Assets</t>
        </is>
      </c>
      <c r="D2074" s="3" t="inlineStr">
        <is>
          <t>8200/010</t>
        </is>
      </c>
      <c r="E2074" s="3" t="inlineStr">
        <is>
          <t>Prepayments / Prepaid Expenses</t>
        </is>
      </c>
      <c r="F2074" s="3" t="n">
        <v>-2719.44</v>
      </c>
      <c r="G2074" s="3" t="n">
        <v>13597.19</v>
      </c>
    </row>
    <row r="2075">
      <c r="A2075" s="3" t="inlineStr">
        <is>
          <t>Cape Projects Construction (Pty) Ltd</t>
        </is>
      </c>
      <c r="B2075" s="4" t="n">
        <v>44865</v>
      </c>
      <c r="C2075" s="3" t="inlineStr">
        <is>
          <t>Assets</t>
        </is>
      </c>
      <c r="D2075" s="3" t="inlineStr">
        <is>
          <t>8300/000</t>
        </is>
      </c>
      <c r="E2075" s="3" t="inlineStr">
        <is>
          <t>FNB Credit Card 8812 7100 446 6006</t>
        </is>
      </c>
      <c r="F2075" s="3" t="n">
        <v>-44</v>
      </c>
      <c r="G2075" s="3" t="n">
        <v>0</v>
      </c>
    </row>
    <row r="2076">
      <c r="A2076" s="3" t="inlineStr">
        <is>
          <t>Heron Fields (Pty) Ltd</t>
        </is>
      </c>
      <c r="B2076" s="4" t="n">
        <v>44865</v>
      </c>
      <c r="C2076" s="3" t="inlineStr">
        <is>
          <t>Assets</t>
        </is>
      </c>
      <c r="D2076" s="3" t="inlineStr">
        <is>
          <t>8400/000</t>
        </is>
      </c>
      <c r="E2076" s="3" t="inlineStr">
        <is>
          <t>RMB - 62882379087</t>
        </is>
      </c>
      <c r="F2076" s="3" t="n">
        <v>-173634.53</v>
      </c>
      <c r="G2076" s="3" t="n">
        <v>320879.09</v>
      </c>
    </row>
    <row r="2077">
      <c r="A2077" s="3" t="inlineStr">
        <is>
          <t>Cape Projects Construction (Pty) Ltd</t>
        </is>
      </c>
      <c r="B2077" s="4" t="n">
        <v>44865</v>
      </c>
      <c r="C2077" s="3" t="inlineStr">
        <is>
          <t>Assets</t>
        </is>
      </c>
      <c r="D2077" s="3" t="inlineStr">
        <is>
          <t>8400/000</t>
        </is>
      </c>
      <c r="E2077" s="3" t="inlineStr">
        <is>
          <t>RMB 62275138470</t>
        </is>
      </c>
      <c r="F2077" s="3" t="n">
        <v>-552421.9</v>
      </c>
      <c r="G2077" s="3" t="n">
        <v>104557.64</v>
      </c>
    </row>
    <row r="2078">
      <c r="A2078" s="3" t="inlineStr">
        <is>
          <t>Cape Projects Construction (Pty) Ltd</t>
        </is>
      </c>
      <c r="B2078" s="4" t="n">
        <v>44865</v>
      </c>
      <c r="C2078" s="3" t="inlineStr">
        <is>
          <t>Assets</t>
        </is>
      </c>
      <c r="D2078" s="3" t="inlineStr">
        <is>
          <t>8420/000</t>
        </is>
      </c>
      <c r="E2078" s="3" t="inlineStr">
        <is>
          <t>Momentum Priv Acc RU502230981</t>
        </is>
      </c>
      <c r="F2078" s="3" t="n">
        <v>5.26</v>
      </c>
      <c r="G2078" s="3" t="n">
        <v>527.86</v>
      </c>
    </row>
    <row r="2079">
      <c r="A2079" s="3" t="inlineStr">
        <is>
          <t>Heron Fields (Pty) Ltd</t>
        </is>
      </c>
      <c r="B2079" s="4" t="n">
        <v>44865</v>
      </c>
      <c r="C2079" s="3" t="inlineStr">
        <is>
          <t>Assets</t>
        </is>
      </c>
      <c r="D2079" s="3" t="inlineStr">
        <is>
          <t>8430/000</t>
        </is>
      </c>
      <c r="E2079" s="3" t="inlineStr">
        <is>
          <t>Momentum Private Account RU502230151</t>
        </is>
      </c>
      <c r="F2079" s="3" t="n">
        <v>7.29</v>
      </c>
      <c r="G2079" s="3" t="n">
        <v>809.91</v>
      </c>
    </row>
    <row r="2080">
      <c r="A2080" s="3" t="inlineStr">
        <is>
          <t>Heron Fields (Pty) Ltd</t>
        </is>
      </c>
      <c r="B2080" s="4" t="n">
        <v>44865</v>
      </c>
      <c r="C2080" s="3" t="inlineStr">
        <is>
          <t>Assets</t>
        </is>
      </c>
      <c r="D2080" s="3" t="inlineStr">
        <is>
          <t>8440/000</t>
        </is>
      </c>
      <c r="E2080" s="3" t="inlineStr">
        <is>
          <t>Momentum Investors Account RU502229930</t>
        </is>
      </c>
      <c r="F2080" s="3" t="n">
        <v>6452832.21</v>
      </c>
      <c r="G2080" s="3" t="n">
        <v>8846423.880000001</v>
      </c>
    </row>
    <row r="2081">
      <c r="A2081" s="3" t="inlineStr">
        <is>
          <t>Cape Projects Construction (Pty) Ltd</t>
        </is>
      </c>
      <c r="B2081" s="4" t="n">
        <v>44865</v>
      </c>
      <c r="C2081" s="3" t="inlineStr">
        <is>
          <t>Liabilities</t>
        </is>
      </c>
      <c r="D2081" s="3" t="inlineStr">
        <is>
          <t>860</t>
        </is>
      </c>
      <c r="E2081" s="3" t="inlineStr">
        <is>
          <t>Rounding</t>
        </is>
      </c>
      <c r="F2081" s="3" t="n">
        <v>-0.02</v>
      </c>
      <c r="G2081" s="3" t="n">
        <v>-0.32</v>
      </c>
    </row>
    <row r="2082">
      <c r="A2082" s="3" t="inlineStr">
        <is>
          <t>Cape Projects Construction (Pty) Ltd</t>
        </is>
      </c>
      <c r="B2082" s="4" t="n">
        <v>44865</v>
      </c>
      <c r="C2082" s="3" t="inlineStr">
        <is>
          <t>Liabilities</t>
        </is>
      </c>
      <c r="D2082" s="3" t="inlineStr">
        <is>
          <t>9000/000</t>
        </is>
      </c>
      <c r="E2082" s="3" t="inlineStr">
        <is>
          <t>Supplier Control Account</t>
        </is>
      </c>
      <c r="F2082" s="3" t="n">
        <v>52414.3</v>
      </c>
      <c r="G2082" s="3" t="n">
        <v>-3516349.55</v>
      </c>
    </row>
    <row r="2083">
      <c r="A2083" s="3" t="inlineStr">
        <is>
          <t>Heron Fields (Pty) Ltd</t>
        </is>
      </c>
      <c r="B2083" s="4" t="n">
        <v>44865</v>
      </c>
      <c r="C2083" s="3" t="inlineStr">
        <is>
          <t>Liabilities</t>
        </is>
      </c>
      <c r="D2083" s="3" t="inlineStr">
        <is>
          <t>9000/000</t>
        </is>
      </c>
      <c r="E2083" s="3" t="inlineStr">
        <is>
          <t>Supplier Control Account</t>
        </is>
      </c>
      <c r="F2083" s="3" t="n">
        <v>-14139634.61</v>
      </c>
      <c r="G2083" s="3" t="n">
        <v>-109283869.62</v>
      </c>
    </row>
    <row r="2084">
      <c r="A2084" s="3" t="inlineStr">
        <is>
          <t>Heron View (Pty) Ltd</t>
        </is>
      </c>
      <c r="B2084" s="4" t="n">
        <v>44865</v>
      </c>
      <c r="C2084" s="3" t="inlineStr">
        <is>
          <t>Liabilities</t>
        </is>
      </c>
      <c r="D2084" s="3" t="inlineStr">
        <is>
          <t>9000/000</t>
        </is>
      </c>
      <c r="E2084" s="3" t="inlineStr">
        <is>
          <t>Supplier Control Account</t>
        </is>
      </c>
      <c r="F2084" s="3" t="n">
        <v>-168004.12</v>
      </c>
      <c r="G2084" s="3" t="n">
        <v>-173799.81</v>
      </c>
    </row>
    <row r="2085">
      <c r="A2085" s="3" t="inlineStr">
        <is>
          <t>Cape Projects Construction (Pty) Ltd</t>
        </is>
      </c>
      <c r="B2085" s="4" t="n">
        <v>44865</v>
      </c>
      <c r="C2085" s="3" t="inlineStr">
        <is>
          <t>Liabilities</t>
        </is>
      </c>
      <c r="D2085" s="3" t="inlineStr">
        <is>
          <t>9200/000</t>
        </is>
      </c>
      <c r="E2085" s="3" t="inlineStr">
        <is>
          <t>Sundry Suppliers</t>
        </is>
      </c>
      <c r="F2085" s="3" t="n">
        <v>0</v>
      </c>
      <c r="G2085" s="3" t="n">
        <v>1186.13</v>
      </c>
    </row>
    <row r="2086">
      <c r="A2086" s="3" t="inlineStr">
        <is>
          <t>Cape Projects Construction (Pty) Ltd</t>
        </is>
      </c>
      <c r="B2086" s="4" t="n">
        <v>44865</v>
      </c>
      <c r="C2086" s="3" t="inlineStr">
        <is>
          <t>Liabilities</t>
        </is>
      </c>
      <c r="D2086" s="3" t="inlineStr">
        <is>
          <t>9250/010</t>
        </is>
      </c>
      <c r="E2086" s="3" t="inlineStr">
        <is>
          <t>SALARY CONTROL</t>
        </is>
      </c>
      <c r="F2086" s="3" t="n">
        <v>0</v>
      </c>
      <c r="G2086" s="3" t="n">
        <v>20758.55</v>
      </c>
    </row>
    <row r="2087">
      <c r="A2087" s="3" t="inlineStr">
        <is>
          <t>Cape Projects Construction (Pty) Ltd</t>
        </is>
      </c>
      <c r="B2087" s="4" t="n">
        <v>44865</v>
      </c>
      <c r="C2087" s="3" t="inlineStr">
        <is>
          <t>Liabilities</t>
        </is>
      </c>
      <c r="D2087" s="3" t="inlineStr">
        <is>
          <t>9250/020</t>
        </is>
      </c>
      <c r="E2087" s="3" t="inlineStr">
        <is>
          <t>PAYE, UIF AND SDL CONTROL</t>
        </is>
      </c>
      <c r="F2087" s="3" t="n">
        <v>1531.48</v>
      </c>
      <c r="G2087" s="3" t="n">
        <v>-37773.52</v>
      </c>
    </row>
    <row r="2088">
      <c r="A2088" s="3" t="inlineStr">
        <is>
          <t>Cape Projects Construction (Pty) Ltd</t>
        </is>
      </c>
      <c r="B2088" s="4" t="n">
        <v>44865</v>
      </c>
      <c r="C2088" s="3" t="inlineStr">
        <is>
          <t>Liabilities</t>
        </is>
      </c>
      <c r="D2088" s="3" t="inlineStr">
        <is>
          <t>9250/030</t>
        </is>
      </c>
      <c r="E2088" s="3" t="inlineStr">
        <is>
          <t>BIBC CONTROL</t>
        </is>
      </c>
      <c r="F2088" s="3" t="n">
        <v>38471.88</v>
      </c>
      <c r="G2088" s="3" t="n">
        <v>-13911.7</v>
      </c>
    </row>
    <row r="2089">
      <c r="A2089" s="3" t="inlineStr">
        <is>
          <t>Cape Projects Construction (Pty) Ltd</t>
        </is>
      </c>
      <c r="B2089" s="4" t="n">
        <v>44865</v>
      </c>
      <c r="C2089" s="3" t="inlineStr">
        <is>
          <t>Liabilities</t>
        </is>
      </c>
      <c r="D2089" s="3" t="inlineStr">
        <is>
          <t>9500/000</t>
        </is>
      </c>
      <c r="E2089" s="3" t="inlineStr">
        <is>
          <t>VAT Control Account</t>
        </is>
      </c>
      <c r="F2089" s="3" t="n">
        <v>2160049.13</v>
      </c>
      <c r="G2089" s="3" t="n">
        <v>-74528.23</v>
      </c>
    </row>
    <row r="2090">
      <c r="A2090" s="3" t="inlineStr">
        <is>
          <t>Heron Fields (Pty) Ltd</t>
        </is>
      </c>
      <c r="B2090" s="4" t="n">
        <v>44865</v>
      </c>
      <c r="C2090" s="3" t="inlineStr">
        <is>
          <t>Liabilities</t>
        </is>
      </c>
      <c r="D2090" s="3" t="inlineStr">
        <is>
          <t>9500/000</t>
        </is>
      </c>
      <c r="E2090" s="3" t="inlineStr">
        <is>
          <t>Vat / Tax Control Account</t>
        </is>
      </c>
      <c r="F2090" s="3" t="n">
        <v>1028379.1</v>
      </c>
      <c r="G2090" s="3" t="n">
        <v>5101071.7</v>
      </c>
    </row>
    <row r="2091">
      <c r="A2091" s="3" t="inlineStr">
        <is>
          <t>Heron View (Pty) Ltd</t>
        </is>
      </c>
      <c r="B2091" s="4" t="n">
        <v>44865</v>
      </c>
      <c r="C2091" s="3" t="inlineStr">
        <is>
          <t>Liabilities</t>
        </is>
      </c>
      <c r="D2091" s="3" t="inlineStr">
        <is>
          <t>9500/000</t>
        </is>
      </c>
      <c r="E2091" s="3" t="inlineStr">
        <is>
          <t>Vat / Tax Control Account</t>
        </is>
      </c>
      <c r="F2091" s="3" t="n">
        <v>23148.18</v>
      </c>
      <c r="G2091" s="3" t="n">
        <v>247329.95</v>
      </c>
    </row>
    <row r="2092">
      <c r="A2092" s="3" t="inlineStr">
        <is>
          <t>Cape Projects Construction (Pty) Ltd</t>
        </is>
      </c>
      <c r="B2092" s="4" t="n">
        <v>44865</v>
      </c>
      <c r="C2092" s="3" t="inlineStr">
        <is>
          <t>Liabilities</t>
        </is>
      </c>
      <c r="D2092" s="3" t="inlineStr">
        <is>
          <t>9990/000</t>
        </is>
      </c>
      <c r="E2092" s="3" t="inlineStr">
        <is>
          <t>Opening Balance / Suspense Account</t>
        </is>
      </c>
      <c r="F2092" s="3" t="n">
        <v>-80</v>
      </c>
      <c r="G2092" s="3" t="n">
        <v>0</v>
      </c>
    </row>
    <row r="2093">
      <c r="A2093" s="3" t="inlineStr">
        <is>
          <t>Cape Projects Construction (Pty) Ltd</t>
        </is>
      </c>
      <c r="B2093" s="4" t="n">
        <v>44865</v>
      </c>
      <c r="C2093" s="3" t="inlineStr">
        <is>
          <t>Liabilities</t>
        </is>
      </c>
      <c r="D2093" s="3" t="inlineStr">
        <is>
          <t>B/S</t>
        </is>
      </c>
      <c r="E2093" s="3" t="inlineStr">
        <is>
          <t>Taxation Payable</t>
        </is>
      </c>
      <c r="F2093" s="3" t="n">
        <v>0</v>
      </c>
      <c r="G2093" s="3" t="n">
        <v>1869.8</v>
      </c>
    </row>
    <row r="2094">
      <c r="A2094" s="3" t="inlineStr">
        <is>
          <t>Cape Projects Construction (Pty) Ltd</t>
        </is>
      </c>
      <c r="B2094" s="4" t="n">
        <v>44865</v>
      </c>
      <c r="C2094" s="3" t="inlineStr">
        <is>
          <t>Liabilities</t>
        </is>
      </c>
      <c r="D2094" s="3" t="inlineStr">
        <is>
          <t>TEMP/ACC</t>
        </is>
      </c>
      <c r="E2094" s="3" t="inlineStr">
        <is>
          <t>Conversion Account</t>
        </is>
      </c>
      <c r="F2094" s="3" t="n">
        <v>0</v>
      </c>
      <c r="G2094" s="3" t="n">
        <v>-254.99</v>
      </c>
    </row>
    <row r="2095">
      <c r="A2095" s="3" t="inlineStr">
        <is>
          <t>Heron Fields (Pty) Ltd</t>
        </is>
      </c>
      <c r="B2095" s="4" t="n">
        <v>44895</v>
      </c>
      <c r="C2095" s="3" t="inlineStr">
        <is>
          <t>Revenue</t>
        </is>
      </c>
      <c r="D2095" s="3" t="inlineStr">
        <is>
          <t>1000/100</t>
        </is>
      </c>
      <c r="E2095" s="3" t="inlineStr">
        <is>
          <t>Sales - Heron Fields</t>
        </is>
      </c>
      <c r="F2095" s="3" t="n">
        <v>-13825130.44</v>
      </c>
      <c r="G2095" s="3" t="n">
        <v>-13825130.44</v>
      </c>
    </row>
    <row r="2096">
      <c r="A2096" s="3" t="inlineStr">
        <is>
          <t>Heron Fields (Pty) Ltd</t>
        </is>
      </c>
      <c r="B2096" s="4" t="n">
        <v>44895</v>
      </c>
      <c r="C2096" s="3" t="inlineStr">
        <is>
          <t>Revenue</t>
        </is>
      </c>
      <c r="D2096" s="3" t="inlineStr">
        <is>
          <t>1000/101</t>
        </is>
      </c>
      <c r="E2096" s="3" t="inlineStr">
        <is>
          <t>Sales - Heron Fields occupational rent</t>
        </is>
      </c>
      <c r="F2096" s="3" t="n">
        <v>-66591.39999999999</v>
      </c>
      <c r="G2096" s="3" t="n">
        <v>-66591.39999999999</v>
      </c>
    </row>
    <row r="2097">
      <c r="A2097" s="3" t="inlineStr">
        <is>
          <t>Cape Projects Construction (Pty) Ltd</t>
        </is>
      </c>
      <c r="B2097" s="4" t="n">
        <v>44895</v>
      </c>
      <c r="C2097" s="3" t="inlineStr">
        <is>
          <t>Revenue</t>
        </is>
      </c>
      <c r="D2097" s="3" t="inlineStr">
        <is>
          <t>1040/100</t>
        </is>
      </c>
      <c r="E2097" s="3" t="inlineStr">
        <is>
          <t>Fees - Construction - Heron</t>
        </is>
      </c>
      <c r="F2097" s="3" t="n">
        <v>-4324809.2</v>
      </c>
      <c r="G2097" s="3" t="n">
        <v>-40975204.81</v>
      </c>
    </row>
    <row r="2098">
      <c r="A2098" s="3" t="inlineStr">
        <is>
          <t>Cape Projects Construction (Pty) Ltd</t>
        </is>
      </c>
      <c r="B2098" s="4" t="n">
        <v>44895</v>
      </c>
      <c r="C2098" s="3" t="inlineStr">
        <is>
          <t>Revenue</t>
        </is>
      </c>
      <c r="D2098" s="3" t="inlineStr">
        <is>
          <t>1050/030</t>
        </is>
      </c>
      <c r="E2098" s="3" t="inlineStr">
        <is>
          <t>Fees - Construction - Endulini</t>
        </is>
      </c>
      <c r="F2098" s="3" t="n">
        <v>0</v>
      </c>
      <c r="G2098" s="3" t="n">
        <v>-12046638.06</v>
      </c>
    </row>
    <row r="2099">
      <c r="A2099" s="3" t="inlineStr">
        <is>
          <t>Cape Projects Construction (Pty) Ltd</t>
        </is>
      </c>
      <c r="B2099" s="4" t="n">
        <v>44895</v>
      </c>
      <c r="C2099" s="3" t="inlineStr">
        <is>
          <t>Revenue</t>
        </is>
      </c>
      <c r="D2099" s="3" t="inlineStr">
        <is>
          <t>1051/100</t>
        </is>
      </c>
      <c r="E2099" s="3" t="inlineStr">
        <is>
          <t>Fees - Construction - Heron Fields</t>
        </is>
      </c>
      <c r="F2099" s="3" t="n">
        <v>0</v>
      </c>
      <c r="G2099" s="3" t="n">
        <v>-1782369.8</v>
      </c>
    </row>
    <row r="2100">
      <c r="A2100" s="3" t="inlineStr">
        <is>
          <t>Cape Projects Construction (Pty) Ltd</t>
        </is>
      </c>
      <c r="B2100" s="4" t="n">
        <v>44895</v>
      </c>
      <c r="C2100" s="3" t="inlineStr">
        <is>
          <t>Revenue</t>
        </is>
      </c>
      <c r="D2100" s="3" t="inlineStr">
        <is>
          <t>1051/200</t>
        </is>
      </c>
      <c r="E2100" s="3" t="inlineStr">
        <is>
          <t>Fees - Construction - Heron Fields P&amp;G</t>
        </is>
      </c>
      <c r="F2100" s="3" t="n">
        <v>0</v>
      </c>
      <c r="G2100" s="3" t="n">
        <v>1616.91</v>
      </c>
    </row>
    <row r="2101">
      <c r="A2101" s="3" t="inlineStr">
        <is>
          <t>Cape Projects Construction (Pty) Ltd</t>
        </is>
      </c>
      <c r="B2101" s="4" t="n">
        <v>44895</v>
      </c>
      <c r="C2101" s="3" t="inlineStr">
        <is>
          <t>Revenue</t>
        </is>
      </c>
      <c r="D2101" s="3" t="inlineStr">
        <is>
          <t>1060/000</t>
        </is>
      </c>
      <c r="E2101" s="3" t="inlineStr">
        <is>
          <t>Insurance recovery</t>
        </is>
      </c>
      <c r="F2101" s="3" t="n">
        <v>0</v>
      </c>
      <c r="G2101" s="3" t="n">
        <v>-2839.7</v>
      </c>
    </row>
    <row r="2102">
      <c r="A2102" s="3" t="inlineStr">
        <is>
          <t>Cape Projects Construction (Pty) Ltd</t>
        </is>
      </c>
      <c r="B2102" s="4" t="n">
        <v>44895</v>
      </c>
      <c r="C2102" s="3" t="inlineStr">
        <is>
          <t>Revenue</t>
        </is>
      </c>
      <c r="D2102" s="3" t="inlineStr">
        <is>
          <t>1070/000</t>
        </is>
      </c>
      <c r="E2102" s="3" t="inlineStr">
        <is>
          <t>Rent - CT Office</t>
        </is>
      </c>
      <c r="F2102" s="3" t="n">
        <v>-3490.94</v>
      </c>
      <c r="G2102" s="3" t="n">
        <v>-31418.46</v>
      </c>
    </row>
    <row r="2103">
      <c r="A2103" s="3" t="inlineStr">
        <is>
          <t>Heron View (Pty) Ltd</t>
        </is>
      </c>
      <c r="B2103" s="4" t="n">
        <v>44895</v>
      </c>
      <c r="C2103" s="3" t="inlineStr">
        <is>
          <t>Expenses</t>
        </is>
      </c>
      <c r="D2103" s="3" t="inlineStr">
        <is>
          <t>2000/010</t>
        </is>
      </c>
      <c r="E2103" s="3" t="inlineStr">
        <is>
          <t>COS - Heron View</t>
        </is>
      </c>
      <c r="F2103" s="3" t="n">
        <v>0</v>
      </c>
      <c r="G2103" s="3" t="n">
        <v>678.59</v>
      </c>
    </row>
    <row r="2104">
      <c r="A2104" s="3" t="inlineStr">
        <is>
          <t>Heron Fields (Pty) Ltd</t>
        </is>
      </c>
      <c r="B2104" s="4" t="n">
        <v>44895</v>
      </c>
      <c r="C2104" s="3" t="inlineStr">
        <is>
          <t>Expenses</t>
        </is>
      </c>
      <c r="D2104" s="3" t="inlineStr">
        <is>
          <t>2000/030</t>
        </is>
      </c>
      <c r="E2104" s="3" t="inlineStr">
        <is>
          <t>COS - Commission Heron Fields investors</t>
        </is>
      </c>
      <c r="F2104" s="3" t="n">
        <v>0</v>
      </c>
      <c r="G2104" s="3" t="n">
        <v>86956.52</v>
      </c>
    </row>
    <row r="2105">
      <c r="A2105" s="3" t="inlineStr">
        <is>
          <t>Heron Fields (Pty) Ltd</t>
        </is>
      </c>
      <c r="B2105" s="4" t="n">
        <v>44895</v>
      </c>
      <c r="C2105" s="3" t="inlineStr">
        <is>
          <t>Expenses</t>
        </is>
      </c>
      <c r="D2105" s="3" t="inlineStr">
        <is>
          <t>2000/040</t>
        </is>
      </c>
      <c r="E2105" s="3" t="inlineStr">
        <is>
          <t>COS - Legal Fees</t>
        </is>
      </c>
      <c r="F2105" s="3" t="n">
        <v>375272.82</v>
      </c>
      <c r="G2105" s="3" t="n">
        <v>433116.76</v>
      </c>
    </row>
    <row r="2106">
      <c r="A2106" s="3" t="inlineStr">
        <is>
          <t>Heron Fields (Pty) Ltd</t>
        </is>
      </c>
      <c r="B2106" s="4" t="n">
        <v>44895</v>
      </c>
      <c r="C2106" s="3" t="inlineStr">
        <is>
          <t>Expenses</t>
        </is>
      </c>
      <c r="D2106" s="3" t="inlineStr">
        <is>
          <t>2000/050</t>
        </is>
      </c>
      <c r="E2106" s="3" t="inlineStr">
        <is>
          <t>COS - Rates clearance</t>
        </is>
      </c>
      <c r="F2106" s="3" t="n">
        <v>0</v>
      </c>
      <c r="G2106" s="3" t="n">
        <v>9738.91</v>
      </c>
    </row>
    <row r="2107">
      <c r="A2107" s="3" t="inlineStr">
        <is>
          <t>Heron Fields (Pty) Ltd</t>
        </is>
      </c>
      <c r="B2107" s="4" t="n">
        <v>44895</v>
      </c>
      <c r="C2107" s="3" t="inlineStr">
        <is>
          <t>Expenses</t>
        </is>
      </c>
      <c r="D2107" s="3" t="inlineStr">
        <is>
          <t>2000/060</t>
        </is>
      </c>
      <c r="E2107" s="3" t="inlineStr">
        <is>
          <t>COS - Levies</t>
        </is>
      </c>
      <c r="F2107" s="3" t="n">
        <v>27473.64</v>
      </c>
      <c r="G2107" s="3" t="n">
        <v>27473.64</v>
      </c>
    </row>
    <row r="2108">
      <c r="A2108" s="3" t="inlineStr">
        <is>
          <t>Heron Fields (Pty) Ltd</t>
        </is>
      </c>
      <c r="B2108" s="4" t="n">
        <v>44895</v>
      </c>
      <c r="C2108" s="3" t="inlineStr">
        <is>
          <t>Expenses</t>
        </is>
      </c>
      <c r="D2108" s="3" t="inlineStr">
        <is>
          <t>2000/070</t>
        </is>
      </c>
      <c r="E2108" s="3" t="inlineStr">
        <is>
          <t>COS - Commission HF Units</t>
        </is>
      </c>
      <c r="F2108" s="3" t="n">
        <v>123904.35</v>
      </c>
      <c r="G2108" s="3" t="n">
        <v>123904.35</v>
      </c>
    </row>
    <row r="2109">
      <c r="A2109" s="3" t="inlineStr">
        <is>
          <t>Cape Projects Construction (Pty) Ltd</t>
        </is>
      </c>
      <c r="B2109" s="4" t="n">
        <v>44895</v>
      </c>
      <c r="C2109" s="3" t="inlineStr">
        <is>
          <t>Expenses</t>
        </is>
      </c>
      <c r="D2109" s="3" t="inlineStr">
        <is>
          <t>2005/000</t>
        </is>
      </c>
      <c r="E2109" s="3" t="inlineStr">
        <is>
          <t>Cost of Sales</t>
        </is>
      </c>
      <c r="F2109" s="3" t="n">
        <v>0</v>
      </c>
      <c r="G2109" s="3" t="n">
        <v>-762078.59</v>
      </c>
    </row>
    <row r="2110">
      <c r="A2110" s="3" t="inlineStr">
        <is>
          <t>Cape Projects Construction (Pty) Ltd</t>
        </is>
      </c>
      <c r="B2110" s="4" t="n">
        <v>44895</v>
      </c>
      <c r="C2110" s="3" t="inlineStr">
        <is>
          <t>Expenses</t>
        </is>
      </c>
      <c r="D2110" s="3" t="inlineStr">
        <is>
          <t>2005/200</t>
        </is>
      </c>
      <c r="E2110" s="3" t="inlineStr">
        <is>
          <t>COS - External Works</t>
        </is>
      </c>
      <c r="F2110" s="3" t="n">
        <v>0</v>
      </c>
      <c r="G2110" s="3" t="n">
        <v>957.28</v>
      </c>
    </row>
    <row r="2111">
      <c r="A2111" s="3" t="inlineStr">
        <is>
          <t>Cape Projects Construction (Pty) Ltd</t>
        </is>
      </c>
      <c r="B2111" s="4" t="n">
        <v>44895</v>
      </c>
      <c r="C2111" s="3" t="inlineStr">
        <is>
          <t>Expenses</t>
        </is>
      </c>
      <c r="D2111" s="3" t="inlineStr">
        <is>
          <t>2006/000</t>
        </is>
      </c>
      <c r="E2111" s="3" t="inlineStr">
        <is>
          <t>COS - Endulini Construction</t>
        </is>
      </c>
      <c r="F2111" s="3" t="n">
        <v>69498.75</v>
      </c>
      <c r="G2111" s="3" t="n">
        <v>16386459.52</v>
      </c>
    </row>
    <row r="2112">
      <c r="A2112" s="3" t="inlineStr">
        <is>
          <t>Cape Projects Construction (Pty) Ltd</t>
        </is>
      </c>
      <c r="B2112" s="4" t="n">
        <v>44895</v>
      </c>
      <c r="C2112" s="3" t="inlineStr">
        <is>
          <t>Expenses</t>
        </is>
      </c>
      <c r="D2112" s="3" t="inlineStr">
        <is>
          <t>2006/100</t>
        </is>
      </c>
      <c r="E2112" s="3" t="inlineStr">
        <is>
          <t>COS - Endulini P and G</t>
        </is>
      </c>
      <c r="F2112" s="3" t="n">
        <v>62857.36</v>
      </c>
      <c r="G2112" s="3" t="n">
        <v>951744.35</v>
      </c>
    </row>
    <row r="2113">
      <c r="A2113" s="3" t="inlineStr">
        <is>
          <t>Cape Projects Construction (Pty) Ltd</t>
        </is>
      </c>
      <c r="B2113" s="4" t="n">
        <v>44895</v>
      </c>
      <c r="C2113" s="3" t="inlineStr">
        <is>
          <t>Expenses</t>
        </is>
      </c>
      <c r="D2113" s="3" t="inlineStr">
        <is>
          <t>2006/200</t>
        </is>
      </c>
      <c r="E2113" s="3" t="inlineStr">
        <is>
          <t>COS - Insurance</t>
        </is>
      </c>
      <c r="F2113" s="3" t="n">
        <v>2719.44</v>
      </c>
      <c r="G2113" s="3" t="n">
        <v>37450.69</v>
      </c>
    </row>
    <row r="2114">
      <c r="A2114" s="3" t="inlineStr">
        <is>
          <t>Cape Projects Construction (Pty) Ltd</t>
        </is>
      </c>
      <c r="B2114" s="4" t="n">
        <v>44895</v>
      </c>
      <c r="C2114" s="3" t="inlineStr">
        <is>
          <t>Expenses</t>
        </is>
      </c>
      <c r="D2114" s="3" t="inlineStr">
        <is>
          <t>2006/300</t>
        </is>
      </c>
      <c r="E2114" s="3" t="inlineStr">
        <is>
          <t>COS - Endulini - Printing &amp; Stationary</t>
        </is>
      </c>
      <c r="F2114" s="3" t="n">
        <v>0</v>
      </c>
      <c r="G2114" s="3" t="n">
        <v>269.65</v>
      </c>
    </row>
    <row r="2115">
      <c r="A2115" s="3" t="inlineStr">
        <is>
          <t>Cape Projects Construction (Pty) Ltd</t>
        </is>
      </c>
      <c r="B2115" s="4" t="n">
        <v>44895</v>
      </c>
      <c r="C2115" s="3" t="inlineStr">
        <is>
          <t>Expenses</t>
        </is>
      </c>
      <c r="D2115" s="3" t="inlineStr">
        <is>
          <t>2006/350</t>
        </is>
      </c>
      <c r="E2115" s="3" t="inlineStr">
        <is>
          <t>COS - Endulini - Security</t>
        </is>
      </c>
      <c r="F2115" s="3" t="n">
        <v>0</v>
      </c>
      <c r="G2115" s="3" t="n">
        <v>11000</v>
      </c>
    </row>
    <row r="2116">
      <c r="A2116" s="3" t="inlineStr">
        <is>
          <t>Cape Projects Construction (Pty) Ltd</t>
        </is>
      </c>
      <c r="B2116" s="4" t="n">
        <v>44895</v>
      </c>
      <c r="C2116" s="3" t="inlineStr">
        <is>
          <t>Expenses</t>
        </is>
      </c>
      <c r="D2116" s="3" t="inlineStr">
        <is>
          <t>2006/400</t>
        </is>
      </c>
      <c r="E2116" s="3" t="inlineStr">
        <is>
          <t>COS - Endulini - Health &amp; Safety</t>
        </is>
      </c>
      <c r="F2116" s="3" t="n">
        <v>0</v>
      </c>
      <c r="G2116" s="3" t="n">
        <v>19600</v>
      </c>
    </row>
    <row r="2117">
      <c r="A2117" s="3" t="inlineStr">
        <is>
          <t>Cape Projects Construction (Pty) Ltd</t>
        </is>
      </c>
      <c r="B2117" s="4" t="n">
        <v>44895</v>
      </c>
      <c r="C2117" s="3" t="inlineStr">
        <is>
          <t>Expenses</t>
        </is>
      </c>
      <c r="D2117" s="3" t="inlineStr">
        <is>
          <t>2006/700</t>
        </is>
      </c>
      <c r="E2117" s="3" t="inlineStr">
        <is>
          <t>COS - Endulini - Fuel</t>
        </is>
      </c>
      <c r="F2117" s="3" t="n">
        <v>0</v>
      </c>
      <c r="G2117" s="3" t="n">
        <v>2473.65</v>
      </c>
    </row>
    <row r="2118">
      <c r="A2118" s="3" t="inlineStr">
        <is>
          <t>Cape Projects Construction (Pty) Ltd</t>
        </is>
      </c>
      <c r="B2118" s="4" t="n">
        <v>44895</v>
      </c>
      <c r="C2118" s="3" t="inlineStr">
        <is>
          <t>Expenses</t>
        </is>
      </c>
      <c r="D2118" s="3" t="inlineStr">
        <is>
          <t>2006/800</t>
        </is>
      </c>
      <c r="E2118" s="3" t="inlineStr">
        <is>
          <t>COS - Endulini - Telephone &amp; Internet</t>
        </is>
      </c>
      <c r="F2118" s="3" t="n">
        <v>0</v>
      </c>
      <c r="G2118" s="3" t="n">
        <v>937.39</v>
      </c>
    </row>
    <row r="2119">
      <c r="A2119" s="3" t="inlineStr">
        <is>
          <t>Cape Projects Construction (Pty) Ltd</t>
        </is>
      </c>
      <c r="B2119" s="4" t="n">
        <v>44895</v>
      </c>
      <c r="C2119" s="3" t="inlineStr">
        <is>
          <t>Expenses</t>
        </is>
      </c>
      <c r="D2119" s="3" t="inlineStr">
        <is>
          <t>2007/000</t>
        </is>
      </c>
      <c r="E2119" s="3" t="inlineStr">
        <is>
          <t>COS - Repairs &amp; Maintenance - SW Southwark</t>
        </is>
      </c>
      <c r="F2119" s="3" t="n">
        <v>0</v>
      </c>
      <c r="G2119" s="3" t="n">
        <v>4661.74</v>
      </c>
    </row>
    <row r="2120">
      <c r="A2120" s="3" t="inlineStr">
        <is>
          <t>Cape Projects Construction (Pty) Ltd</t>
        </is>
      </c>
      <c r="B2120" s="4" t="n">
        <v>44895</v>
      </c>
      <c r="C2120" s="3" t="inlineStr">
        <is>
          <t>Expenses</t>
        </is>
      </c>
      <c r="D2120" s="3" t="inlineStr">
        <is>
          <t>2011/300</t>
        </is>
      </c>
      <c r="E2120" s="3" t="inlineStr">
        <is>
          <t>COS - Heron Fields - Printing &amp; Stationary</t>
        </is>
      </c>
      <c r="F2120" s="3" t="n">
        <v>0</v>
      </c>
      <c r="G2120" s="3" t="n">
        <v>2952.7</v>
      </c>
    </row>
    <row r="2121">
      <c r="A2121" s="3" t="inlineStr">
        <is>
          <t>Cape Projects Construction (Pty) Ltd</t>
        </is>
      </c>
      <c r="B2121" s="4" t="n">
        <v>44895</v>
      </c>
      <c r="C2121" s="3" t="inlineStr">
        <is>
          <t>Expenses</t>
        </is>
      </c>
      <c r="D2121" s="3" t="inlineStr">
        <is>
          <t>2011/500</t>
        </is>
      </c>
      <c r="E2121" s="3" t="inlineStr">
        <is>
          <t>COS - Heron Fields - Construction</t>
        </is>
      </c>
      <c r="F2121" s="3" t="n">
        <v>2296557.57</v>
      </c>
      <c r="G2121" s="3" t="n">
        <v>27773747.31</v>
      </c>
    </row>
    <row r="2122">
      <c r="A2122" s="3" t="inlineStr">
        <is>
          <t>Cape Projects Construction (Pty) Ltd</t>
        </is>
      </c>
      <c r="B2122" s="4" t="n">
        <v>44895</v>
      </c>
      <c r="C2122" s="3" t="inlineStr">
        <is>
          <t>Expenses</t>
        </is>
      </c>
      <c r="D2122" s="3" t="inlineStr">
        <is>
          <t>2011/600</t>
        </is>
      </c>
      <c r="E2122" s="3" t="inlineStr">
        <is>
          <t>COS - Heron Fields - P &amp; G</t>
        </is>
      </c>
      <c r="F2122" s="3" t="n">
        <v>274149.5</v>
      </c>
      <c r="G2122" s="3" t="n">
        <v>2359788.94</v>
      </c>
    </row>
    <row r="2123">
      <c r="A2123" s="3" t="inlineStr">
        <is>
          <t>Cape Projects Construction (Pty) Ltd</t>
        </is>
      </c>
      <c r="B2123" s="4" t="n">
        <v>44895</v>
      </c>
      <c r="C2123" s="3" t="inlineStr">
        <is>
          <t>Expenses</t>
        </is>
      </c>
      <c r="D2123" s="3" t="inlineStr">
        <is>
          <t>2011/700</t>
        </is>
      </c>
      <c r="E2123" s="3" t="inlineStr">
        <is>
          <t>COS - Heron Fields - Health &amp; Safety</t>
        </is>
      </c>
      <c r="F2123" s="3" t="n">
        <v>0</v>
      </c>
      <c r="G2123" s="3" t="n">
        <v>22286.3</v>
      </c>
    </row>
    <row r="2124">
      <c r="A2124" s="3" t="inlineStr">
        <is>
          <t>Cape Projects Construction (Pty) Ltd</t>
        </is>
      </c>
      <c r="B2124" s="4" t="n">
        <v>44895</v>
      </c>
      <c r="C2124" s="3" t="inlineStr">
        <is>
          <t>Expenses</t>
        </is>
      </c>
      <c r="D2124" s="3" t="inlineStr">
        <is>
          <t>2011/900</t>
        </is>
      </c>
      <c r="E2124" s="3" t="inlineStr">
        <is>
          <t>COS - Heron - Internet</t>
        </is>
      </c>
      <c r="F2124" s="3" t="n">
        <v>607.83</v>
      </c>
      <c r="G2124" s="3" t="n">
        <v>5277.79</v>
      </c>
    </row>
    <row r="2125">
      <c r="A2125" s="3" t="inlineStr">
        <is>
          <t>Cape Projects Construction (Pty) Ltd</t>
        </is>
      </c>
      <c r="B2125" s="4" t="n">
        <v>44895</v>
      </c>
      <c r="C2125" s="3" t="inlineStr">
        <is>
          <t>Expenses</t>
        </is>
      </c>
      <c r="D2125" s="3" t="inlineStr">
        <is>
          <t>2011/950</t>
        </is>
      </c>
      <c r="E2125" s="3" t="inlineStr">
        <is>
          <t>COS - Heron Fields - Security</t>
        </is>
      </c>
      <c r="F2125" s="3" t="n">
        <v>0</v>
      </c>
      <c r="G2125" s="3" t="n">
        <v>20565.22</v>
      </c>
    </row>
    <row r="2126">
      <c r="A2126" s="3" t="inlineStr">
        <is>
          <t>Cape Projects Construction (Pty) Ltd</t>
        </is>
      </c>
      <c r="B2126" s="4" t="n">
        <v>44895</v>
      </c>
      <c r="C2126" s="3" t="inlineStr">
        <is>
          <t>Expenses</t>
        </is>
      </c>
      <c r="D2126" s="3" t="inlineStr">
        <is>
          <t>2012/002</t>
        </is>
      </c>
      <c r="E2126" s="3" t="inlineStr">
        <is>
          <t>COS - Heron View - Construction</t>
        </is>
      </c>
      <c r="F2126" s="3" t="n">
        <v>1000578.69</v>
      </c>
      <c r="G2126" s="3" t="n">
        <v>2725233.79</v>
      </c>
    </row>
    <row r="2127">
      <c r="A2127" s="3" t="inlineStr">
        <is>
          <t>Cape Projects Construction (Pty) Ltd</t>
        </is>
      </c>
      <c r="B2127" s="4" t="n">
        <v>44895</v>
      </c>
      <c r="C2127" s="3" t="inlineStr">
        <is>
          <t>Expenses</t>
        </is>
      </c>
      <c r="D2127" s="3" t="inlineStr">
        <is>
          <t>2012/003</t>
        </is>
      </c>
      <c r="E2127" s="3" t="inlineStr">
        <is>
          <t>COS - Heron View - P&amp;G</t>
        </is>
      </c>
      <c r="F2127" s="3" t="n">
        <v>74859.36</v>
      </c>
      <c r="G2127" s="3" t="n">
        <v>185912.79</v>
      </c>
    </row>
    <row r="2128">
      <c r="A2128" s="3" t="inlineStr">
        <is>
          <t>Cape Projects Construction (Pty) Ltd</t>
        </is>
      </c>
      <c r="B2128" s="4" t="n">
        <v>44895</v>
      </c>
      <c r="C2128" s="3" t="inlineStr">
        <is>
          <t>Expenses</t>
        </is>
      </c>
      <c r="D2128" s="3" t="inlineStr">
        <is>
          <t>2013/000</t>
        </is>
      </c>
      <c r="E2128" s="3" t="inlineStr">
        <is>
          <t>COS - Bakhoven</t>
        </is>
      </c>
      <c r="F2128" s="3" t="n">
        <v>32261.99</v>
      </c>
      <c r="G2128" s="3" t="n">
        <v>32261.99</v>
      </c>
    </row>
    <row r="2129">
      <c r="A2129" s="3" t="inlineStr">
        <is>
          <t>Cape Projects Construction (Pty) Ltd</t>
        </is>
      </c>
      <c r="B2129" s="4" t="n">
        <v>44895</v>
      </c>
      <c r="C2129" s="3" t="inlineStr">
        <is>
          <t>Expenses</t>
        </is>
      </c>
      <c r="D2129" s="3" t="inlineStr">
        <is>
          <t>2014/000</t>
        </is>
      </c>
      <c r="E2129" s="3" t="inlineStr">
        <is>
          <t>COS - Heron Projects insurance</t>
        </is>
      </c>
      <c r="F2129" s="3" t="n">
        <v>11169.12</v>
      </c>
      <c r="G2129" s="3" t="n">
        <v>11169.12</v>
      </c>
    </row>
    <row r="2130">
      <c r="A2130" s="3" t="inlineStr">
        <is>
          <t>Cape Projects Construction (Pty) Ltd</t>
        </is>
      </c>
      <c r="B2130" s="4" t="n">
        <v>44895</v>
      </c>
      <c r="C2130" s="3" t="inlineStr">
        <is>
          <t>Revenue</t>
        </is>
      </c>
      <c r="D2130" s="3" t="inlineStr">
        <is>
          <t>2750/000</t>
        </is>
      </c>
      <c r="E2130" s="3" t="inlineStr">
        <is>
          <t>Interest Received - FNB</t>
        </is>
      </c>
      <c r="F2130" s="3" t="n">
        <v>-300.55</v>
      </c>
      <c r="G2130" s="3" t="n">
        <v>-999.4</v>
      </c>
    </row>
    <row r="2131">
      <c r="A2131" s="3" t="inlineStr">
        <is>
          <t>Cape Projects Construction (Pty) Ltd</t>
        </is>
      </c>
      <c r="B2131" s="4" t="n">
        <v>44895</v>
      </c>
      <c r="C2131" s="3" t="inlineStr">
        <is>
          <t>Revenue</t>
        </is>
      </c>
      <c r="D2131" s="3" t="inlineStr">
        <is>
          <t>2751/001</t>
        </is>
      </c>
      <c r="E2131" s="3" t="inlineStr">
        <is>
          <t>Interest received - Momentum</t>
        </is>
      </c>
      <c r="F2131" s="3" t="n">
        <v>0</v>
      </c>
      <c r="G2131" s="3" t="n">
        <v>-18.22</v>
      </c>
    </row>
    <row r="2132">
      <c r="A2132" s="3" t="inlineStr">
        <is>
          <t>Heron Fields (Pty) Ltd</t>
        </is>
      </c>
      <c r="B2132" s="4" t="n">
        <v>44895</v>
      </c>
      <c r="C2132" s="3" t="inlineStr">
        <is>
          <t>Revenue</t>
        </is>
      </c>
      <c r="D2132" s="3" t="inlineStr">
        <is>
          <t>2755/001</t>
        </is>
      </c>
      <c r="E2132" s="3" t="inlineStr">
        <is>
          <t>Interest Received - Momentum</t>
        </is>
      </c>
      <c r="F2132" s="3" t="n">
        <v>-58002.69</v>
      </c>
      <c r="G2132" s="3" t="n">
        <v>-340955.25</v>
      </c>
    </row>
    <row r="2133">
      <c r="A2133" s="3" t="inlineStr">
        <is>
          <t>Heron Fields (Pty) Ltd</t>
        </is>
      </c>
      <c r="B2133" s="4" t="n">
        <v>44895</v>
      </c>
      <c r="C2133" s="3" t="inlineStr">
        <is>
          <t>Expenses</t>
        </is>
      </c>
      <c r="D2133" s="3" t="inlineStr">
        <is>
          <t>3000/100</t>
        </is>
      </c>
      <c r="E2133" s="3" t="inlineStr">
        <is>
          <t>Accounting - CIPC</t>
        </is>
      </c>
      <c r="F2133" s="3" t="n">
        <v>0</v>
      </c>
      <c r="G2133" s="3" t="n">
        <v>150</v>
      </c>
    </row>
    <row r="2134">
      <c r="A2134" s="3" t="inlineStr">
        <is>
          <t>Cape Projects Construction (Pty) Ltd</t>
        </is>
      </c>
      <c r="B2134" s="4" t="n">
        <v>44895</v>
      </c>
      <c r="C2134" s="3" t="inlineStr">
        <is>
          <t>Expenses</t>
        </is>
      </c>
      <c r="D2134" s="3" t="inlineStr">
        <is>
          <t>3002/000</t>
        </is>
      </c>
      <c r="E2134" s="3" t="inlineStr">
        <is>
          <t>Accounting Fees - Audit</t>
        </is>
      </c>
      <c r="F2134" s="3" t="n">
        <v>0</v>
      </c>
      <c r="G2134" s="3" t="n">
        <v>10600</v>
      </c>
    </row>
    <row r="2135">
      <c r="A2135" s="3" t="inlineStr">
        <is>
          <t>Cape Projects Construction (Pty) Ltd</t>
        </is>
      </c>
      <c r="B2135" s="4" t="n">
        <v>44895</v>
      </c>
      <c r="C2135" s="3" t="inlineStr">
        <is>
          <t>Expenses</t>
        </is>
      </c>
      <c r="D2135" s="3" t="inlineStr">
        <is>
          <t>3020/100</t>
        </is>
      </c>
      <c r="E2135" s="3" t="inlineStr">
        <is>
          <t>Admin - Subcontractors</t>
        </is>
      </c>
      <c r="F2135" s="3" t="n">
        <v>0</v>
      </c>
      <c r="G2135" s="3" t="n">
        <v>14139.13</v>
      </c>
    </row>
    <row r="2136">
      <c r="A2136" s="3" t="inlineStr">
        <is>
          <t>Cape Projects Construction (Pty) Ltd</t>
        </is>
      </c>
      <c r="B2136" s="4" t="n">
        <v>44895</v>
      </c>
      <c r="C2136" s="3" t="inlineStr">
        <is>
          <t>Expenses</t>
        </is>
      </c>
      <c r="D2136" s="3" t="inlineStr">
        <is>
          <t>3050/000</t>
        </is>
      </c>
      <c r="E2136" s="3" t="inlineStr">
        <is>
          <t>Advertising _AND_ Promotions</t>
        </is>
      </c>
      <c r="F2136" s="3" t="n">
        <v>2990</v>
      </c>
      <c r="G2136" s="3" t="n">
        <v>3677.5</v>
      </c>
    </row>
    <row r="2137">
      <c r="A2137" s="3" t="inlineStr">
        <is>
          <t>Heron Fields (Pty) Ltd</t>
        </is>
      </c>
      <c r="B2137" s="4" t="n">
        <v>44895</v>
      </c>
      <c r="C2137" s="3" t="inlineStr">
        <is>
          <t>Expenses</t>
        </is>
      </c>
      <c r="D2137" s="3" t="inlineStr">
        <is>
          <t>3050/000</t>
        </is>
      </c>
      <c r="E2137" s="3" t="inlineStr">
        <is>
          <t>Advertising _AND_ Promotions</t>
        </is>
      </c>
      <c r="F2137" s="3" t="n">
        <v>6705</v>
      </c>
      <c r="G2137" s="3" t="n">
        <v>106783.86</v>
      </c>
    </row>
    <row r="2138">
      <c r="A2138" s="3" t="inlineStr">
        <is>
          <t>Heron View (Pty) Ltd</t>
        </is>
      </c>
      <c r="B2138" s="4" t="n">
        <v>44895</v>
      </c>
      <c r="C2138" s="3" t="inlineStr">
        <is>
          <t>Expenses</t>
        </is>
      </c>
      <c r="D2138" s="3" t="inlineStr">
        <is>
          <t>3050/000</t>
        </is>
      </c>
      <c r="E2138" s="3" t="inlineStr">
        <is>
          <t>Advertising _AND_ Promotions</t>
        </is>
      </c>
      <c r="F2138" s="3" t="n">
        <v>7000</v>
      </c>
      <c r="G2138" s="3" t="n">
        <v>9500</v>
      </c>
    </row>
    <row r="2139">
      <c r="A2139" s="3" t="inlineStr">
        <is>
          <t>Heron Fields (Pty) Ltd</t>
        </is>
      </c>
      <c r="B2139" s="4" t="n">
        <v>44895</v>
      </c>
      <c r="C2139" s="3" t="inlineStr">
        <is>
          <t>Expenses</t>
        </is>
      </c>
      <c r="D2139" s="3" t="inlineStr">
        <is>
          <t>3050/100</t>
        </is>
      </c>
      <c r="E2139" s="3" t="inlineStr">
        <is>
          <t>Advertising - Property24</t>
        </is>
      </c>
      <c r="F2139" s="3" t="n">
        <v>11556</v>
      </c>
      <c r="G2139" s="3" t="n">
        <v>104004</v>
      </c>
    </row>
    <row r="2140">
      <c r="A2140" s="3" t="inlineStr">
        <is>
          <t>Cape Projects Construction (Pty) Ltd</t>
        </is>
      </c>
      <c r="B2140" s="4" t="n">
        <v>44895</v>
      </c>
      <c r="C2140" s="3" t="inlineStr">
        <is>
          <t>Expenses</t>
        </is>
      </c>
      <c r="D2140" s="3" t="inlineStr">
        <is>
          <t>3050/450</t>
        </is>
      </c>
      <c r="E2140" s="3" t="inlineStr">
        <is>
          <t>Advertising - Other</t>
        </is>
      </c>
      <c r="F2140" s="3" t="n">
        <v>0</v>
      </c>
      <c r="G2140" s="3" t="n">
        <v>137.5</v>
      </c>
    </row>
    <row r="2141">
      <c r="A2141" s="3" t="inlineStr">
        <is>
          <t>Cape Projects Construction (Pty) Ltd</t>
        </is>
      </c>
      <c r="B2141" s="4" t="n">
        <v>44895</v>
      </c>
      <c r="C2141" s="3" t="inlineStr">
        <is>
          <t>Expenses</t>
        </is>
      </c>
      <c r="D2141" s="3" t="inlineStr">
        <is>
          <t>3200/000</t>
        </is>
      </c>
      <c r="E2141" s="3" t="inlineStr">
        <is>
          <t>Bank Charges</t>
        </is>
      </c>
      <c r="F2141" s="3" t="n">
        <v>18474.81</v>
      </c>
      <c r="G2141" s="3" t="n">
        <v>41295.51</v>
      </c>
    </row>
    <row r="2142">
      <c r="A2142" s="3" t="inlineStr">
        <is>
          <t>Heron Fields (Pty) Ltd</t>
        </is>
      </c>
      <c r="B2142" s="4" t="n">
        <v>44895</v>
      </c>
      <c r="C2142" s="3" t="inlineStr">
        <is>
          <t>Expenses</t>
        </is>
      </c>
      <c r="D2142" s="3" t="inlineStr">
        <is>
          <t>3200/000</t>
        </is>
      </c>
      <c r="E2142" s="3" t="inlineStr">
        <is>
          <t>Bank Charges</t>
        </is>
      </c>
      <c r="F2142" s="3" t="n">
        <v>290.78</v>
      </c>
      <c r="G2142" s="3" t="n">
        <v>6029.35</v>
      </c>
    </row>
    <row r="2143">
      <c r="A2143" s="3" t="inlineStr">
        <is>
          <t>Cape Projects Construction (Pty) Ltd</t>
        </is>
      </c>
      <c r="B2143" s="4" t="n">
        <v>44895</v>
      </c>
      <c r="C2143" s="3" t="inlineStr">
        <is>
          <t>Expenses</t>
        </is>
      </c>
      <c r="D2143" s="3" t="inlineStr">
        <is>
          <t>3250/000</t>
        </is>
      </c>
      <c r="E2143" s="3" t="inlineStr">
        <is>
          <t>Cleaning</t>
        </is>
      </c>
      <c r="F2143" s="3" t="n">
        <v>0</v>
      </c>
      <c r="G2143" s="3" t="n">
        <v>1986.89</v>
      </c>
    </row>
    <row r="2144">
      <c r="A2144" s="3" t="inlineStr">
        <is>
          <t>Cape Projects Construction (Pty) Ltd</t>
        </is>
      </c>
      <c r="B2144" s="4" t="n">
        <v>44895</v>
      </c>
      <c r="C2144" s="3" t="inlineStr">
        <is>
          <t>Expenses</t>
        </is>
      </c>
      <c r="D2144" s="3" t="inlineStr">
        <is>
          <t>3256/000</t>
        </is>
      </c>
      <c r="E2144" s="3" t="inlineStr">
        <is>
          <t>Cell Phone - Nick Morgan</t>
        </is>
      </c>
      <c r="F2144" s="3" t="n">
        <v>811.48</v>
      </c>
      <c r="G2144" s="3" t="n">
        <v>6187.88</v>
      </c>
    </row>
    <row r="2145">
      <c r="A2145" s="3" t="inlineStr">
        <is>
          <t>Cape Projects Construction (Pty) Ltd</t>
        </is>
      </c>
      <c r="B2145" s="4" t="n">
        <v>44895</v>
      </c>
      <c r="C2145" s="3" t="inlineStr">
        <is>
          <t>Expenses</t>
        </is>
      </c>
      <c r="D2145" s="3" t="inlineStr">
        <is>
          <t>3300/000</t>
        </is>
      </c>
      <c r="E2145" s="3" t="inlineStr">
        <is>
          <t>Computer Expenses</t>
        </is>
      </c>
      <c r="F2145" s="3" t="n">
        <v>584.35</v>
      </c>
      <c r="G2145" s="3" t="n">
        <v>4848.56</v>
      </c>
    </row>
    <row r="2146">
      <c r="A2146" s="3" t="inlineStr">
        <is>
          <t>Cape Projects Construction (Pty) Ltd</t>
        </is>
      </c>
      <c r="B2146" s="4" t="n">
        <v>44895</v>
      </c>
      <c r="C2146" s="3" t="inlineStr">
        <is>
          <t>Expenses</t>
        </is>
      </c>
      <c r="D2146" s="3" t="inlineStr">
        <is>
          <t>3300/100</t>
        </is>
      </c>
      <c r="E2146" s="3" t="inlineStr">
        <is>
          <t>Computer Exp - IT, Internet/Hosting Fee</t>
        </is>
      </c>
      <c r="F2146" s="3" t="n">
        <v>3480</v>
      </c>
      <c r="G2146" s="3" t="n">
        <v>35449</v>
      </c>
    </row>
    <row r="2147">
      <c r="A2147" s="3" t="inlineStr">
        <is>
          <t>Heron Fields (Pty) Ltd</t>
        </is>
      </c>
      <c r="B2147" s="4" t="n">
        <v>44895</v>
      </c>
      <c r="C2147" s="3" t="inlineStr">
        <is>
          <t>Expenses</t>
        </is>
      </c>
      <c r="D2147" s="3" t="inlineStr">
        <is>
          <t>3350/100</t>
        </is>
      </c>
      <c r="E2147" s="3" t="inlineStr">
        <is>
          <t>Consulting Fees - Admin and Finance</t>
        </is>
      </c>
      <c r="F2147" s="3" t="n">
        <v>81000</v>
      </c>
      <c r="G2147" s="3" t="n">
        <v>751540.6800000001</v>
      </c>
    </row>
    <row r="2148">
      <c r="A2148" s="3" t="inlineStr">
        <is>
          <t>Cape Projects Construction (Pty) Ltd</t>
        </is>
      </c>
      <c r="B2148" s="4" t="n">
        <v>44895</v>
      </c>
      <c r="C2148" s="3" t="inlineStr">
        <is>
          <t>Expenses</t>
        </is>
      </c>
      <c r="D2148" s="3" t="inlineStr">
        <is>
          <t>3350/100</t>
        </is>
      </c>
      <c r="E2148" s="3" t="inlineStr">
        <is>
          <t>Consulting fees - Herbert du Plessis</t>
        </is>
      </c>
      <c r="F2148" s="3" t="n">
        <v>30572.45</v>
      </c>
      <c r="G2148" s="3" t="n">
        <v>318572.45</v>
      </c>
    </row>
    <row r="2149">
      <c r="A2149" s="3" t="inlineStr">
        <is>
          <t>Cape Projects Construction (Pty) Ltd</t>
        </is>
      </c>
      <c r="B2149" s="4" t="n">
        <v>44895</v>
      </c>
      <c r="C2149" s="3" t="inlineStr">
        <is>
          <t>Expenses</t>
        </is>
      </c>
      <c r="D2149" s="3" t="inlineStr">
        <is>
          <t>3350/300</t>
        </is>
      </c>
      <c r="E2149" s="3" t="inlineStr">
        <is>
          <t>Consulting Fees - Admin and Finance</t>
        </is>
      </c>
      <c r="F2149" s="3" t="n">
        <v>124600</v>
      </c>
      <c r="G2149" s="3" t="n">
        <v>1128221.87</v>
      </c>
    </row>
    <row r="2150">
      <c r="A2150" s="3" t="inlineStr">
        <is>
          <t>Heron Fields (Pty) Ltd</t>
        </is>
      </c>
      <c r="B2150" s="4" t="n">
        <v>44895</v>
      </c>
      <c r="C2150" s="3" t="inlineStr">
        <is>
          <t>Expenses</t>
        </is>
      </c>
      <c r="D2150" s="3" t="inlineStr">
        <is>
          <t>3351/000</t>
        </is>
      </c>
      <c r="E2150" s="3" t="inlineStr">
        <is>
          <t>Consulting fees - Trustee</t>
        </is>
      </c>
      <c r="F2150" s="3" t="n">
        <v>4000</v>
      </c>
      <c r="G2150" s="3" t="n">
        <v>56000</v>
      </c>
    </row>
    <row r="2151">
      <c r="A2151" s="3" t="inlineStr">
        <is>
          <t>Cape Projects Construction (Pty) Ltd</t>
        </is>
      </c>
      <c r="B2151" s="4" t="n">
        <v>44895</v>
      </c>
      <c r="C2151" s="3" t="inlineStr">
        <is>
          <t>Expenses</t>
        </is>
      </c>
      <c r="D2151" s="3" t="inlineStr">
        <is>
          <t>3400/000</t>
        </is>
      </c>
      <c r="E2151" s="3" t="inlineStr">
        <is>
          <t>Courier _AND_ Postage</t>
        </is>
      </c>
      <c r="F2151" s="3" t="n">
        <v>1217.39</v>
      </c>
      <c r="G2151" s="3" t="n">
        <v>1378.26</v>
      </c>
    </row>
    <row r="2152">
      <c r="A2152" s="3" t="inlineStr">
        <is>
          <t>Cape Projects Construction (Pty) Ltd</t>
        </is>
      </c>
      <c r="B2152" s="4" t="n">
        <v>44895</v>
      </c>
      <c r="C2152" s="3" t="inlineStr">
        <is>
          <t>Expenses</t>
        </is>
      </c>
      <c r="D2152" s="3" t="inlineStr">
        <is>
          <t>3450/001</t>
        </is>
      </c>
      <c r="E2152" s="3" t="inlineStr">
        <is>
          <t>Depreciation - Computer Equipment</t>
        </is>
      </c>
      <c r="F2152" s="3" t="n">
        <v>2165.84</v>
      </c>
      <c r="G2152" s="3" t="n">
        <v>17284.38</v>
      </c>
    </row>
    <row r="2153">
      <c r="A2153" s="3" t="inlineStr">
        <is>
          <t>Cape Projects Construction (Pty) Ltd</t>
        </is>
      </c>
      <c r="B2153" s="4" t="n">
        <v>44895</v>
      </c>
      <c r="C2153" s="3" t="inlineStr">
        <is>
          <t>Expenses</t>
        </is>
      </c>
      <c r="D2153" s="3" t="inlineStr">
        <is>
          <t>3450/002</t>
        </is>
      </c>
      <c r="E2153" s="3" t="inlineStr">
        <is>
          <t>Depreciation - Generator Fixed Asset</t>
        </is>
      </c>
      <c r="F2153" s="3" t="n">
        <v>193.33</v>
      </c>
      <c r="G2153" s="3" t="n">
        <v>1740</v>
      </c>
    </row>
    <row r="2154">
      <c r="A2154" s="3" t="inlineStr">
        <is>
          <t>Cape Projects Construction (Pty) Ltd</t>
        </is>
      </c>
      <c r="B2154" s="4" t="n">
        <v>44895</v>
      </c>
      <c r="C2154" s="3" t="inlineStr">
        <is>
          <t>Expenses</t>
        </is>
      </c>
      <c r="D2154" s="3" t="inlineStr">
        <is>
          <t>3450/003</t>
        </is>
      </c>
      <c r="E2154" s="3" t="inlineStr">
        <is>
          <t>Depreciation - Motor vehicle</t>
        </is>
      </c>
      <c r="F2154" s="3" t="n">
        <v>0</v>
      </c>
      <c r="G2154" s="3" t="n">
        <v>39610.1</v>
      </c>
    </row>
    <row r="2155">
      <c r="A2155" s="3" t="inlineStr">
        <is>
          <t>Cape Projects Construction (Pty) Ltd</t>
        </is>
      </c>
      <c r="B2155" s="4" t="n">
        <v>44895</v>
      </c>
      <c r="C2155" s="3" t="inlineStr">
        <is>
          <t>Expenses</t>
        </is>
      </c>
      <c r="D2155" s="3" t="inlineStr">
        <is>
          <t>3450/030</t>
        </is>
      </c>
      <c r="E2155" s="3" t="inlineStr">
        <is>
          <t>Depreciation - Furniture and Fittings</t>
        </is>
      </c>
      <c r="F2155" s="3" t="n">
        <v>427.2</v>
      </c>
      <c r="G2155" s="3" t="n">
        <v>3844.85</v>
      </c>
    </row>
    <row r="2156">
      <c r="A2156" s="3" t="inlineStr">
        <is>
          <t>Heron Fields (Pty) Ltd</t>
        </is>
      </c>
      <c r="B2156" s="4" t="n">
        <v>44895</v>
      </c>
      <c r="C2156" s="3" t="inlineStr">
        <is>
          <t>Expenses</t>
        </is>
      </c>
      <c r="D2156" s="3" t="inlineStr">
        <is>
          <t>3650/000</t>
        </is>
      </c>
      <c r="E2156" s="3" t="inlineStr">
        <is>
          <t>CoCT - Electricity</t>
        </is>
      </c>
      <c r="F2156" s="3" t="n">
        <v>3070.69</v>
      </c>
      <c r="G2156" s="3" t="n">
        <v>26707.66</v>
      </c>
    </row>
    <row r="2157">
      <c r="A2157" s="3" t="inlineStr">
        <is>
          <t>Cape Projects Construction (Pty) Ltd</t>
        </is>
      </c>
      <c r="B2157" s="4" t="n">
        <v>44895</v>
      </c>
      <c r="C2157" s="3" t="inlineStr">
        <is>
          <t>Expenses</t>
        </is>
      </c>
      <c r="D2157" s="3" t="inlineStr">
        <is>
          <t>3650/000</t>
        </is>
      </c>
      <c r="E2157" s="3" t="inlineStr">
        <is>
          <t>Electricity _AND_ Water</t>
        </is>
      </c>
      <c r="F2157" s="3" t="n">
        <v>5605.63</v>
      </c>
      <c r="G2157" s="3" t="n">
        <v>44853.61</v>
      </c>
    </row>
    <row r="2158">
      <c r="A2158" s="3" t="inlineStr">
        <is>
          <t>Heron Fields (Pty) Ltd</t>
        </is>
      </c>
      <c r="B2158" s="4" t="n">
        <v>44895</v>
      </c>
      <c r="C2158" s="3" t="inlineStr">
        <is>
          <t>Expenses</t>
        </is>
      </c>
      <c r="D2158" s="3" t="inlineStr">
        <is>
          <t>3660/000</t>
        </is>
      </c>
      <c r="E2158" s="3" t="inlineStr">
        <is>
          <t>CoCT - Water</t>
        </is>
      </c>
      <c r="F2158" s="3" t="n">
        <v>8627.120000000001</v>
      </c>
      <c r="G2158" s="3" t="n">
        <v>51881.47</v>
      </c>
    </row>
    <row r="2159">
      <c r="A2159" s="3" t="inlineStr">
        <is>
          <t>Heron Fields (Pty) Ltd</t>
        </is>
      </c>
      <c r="B2159" s="4" t="n">
        <v>44895</v>
      </c>
      <c r="C2159" s="3" t="inlineStr">
        <is>
          <t>Expenses</t>
        </is>
      </c>
      <c r="D2159" s="3" t="inlineStr">
        <is>
          <t>3670/000</t>
        </is>
      </c>
      <c r="E2159" s="3" t="inlineStr">
        <is>
          <t>CoCT - Refuse</t>
        </is>
      </c>
      <c r="F2159" s="3" t="n">
        <v>3563.4</v>
      </c>
      <c r="G2159" s="3" t="n">
        <v>3563.4</v>
      </c>
    </row>
    <row r="2160">
      <c r="A2160" s="3" t="inlineStr">
        <is>
          <t>Cape Projects Construction (Pty) Ltd</t>
        </is>
      </c>
      <c r="B2160" s="4" t="n">
        <v>44895</v>
      </c>
      <c r="C2160" s="3" t="inlineStr">
        <is>
          <t>Expenses</t>
        </is>
      </c>
      <c r="D2160" s="3" t="inlineStr">
        <is>
          <t>3700/000</t>
        </is>
      </c>
      <c r="E2160" s="3" t="inlineStr">
        <is>
          <t>Entertainment Expenses</t>
        </is>
      </c>
      <c r="F2160" s="3" t="n">
        <v>0</v>
      </c>
      <c r="G2160" s="3" t="n">
        <v>7651.52</v>
      </c>
    </row>
    <row r="2161">
      <c r="A2161" s="3" t="inlineStr">
        <is>
          <t>Cape Projects Construction (Pty) Ltd</t>
        </is>
      </c>
      <c r="B2161" s="4" t="n">
        <v>44895</v>
      </c>
      <c r="C2161" s="3" t="inlineStr">
        <is>
          <t>Expenses</t>
        </is>
      </c>
      <c r="D2161" s="3" t="inlineStr">
        <is>
          <t>3850/000</t>
        </is>
      </c>
      <c r="E2161" s="3" t="inlineStr">
        <is>
          <t>Insurance</t>
        </is>
      </c>
      <c r="F2161" s="3" t="n">
        <v>273.21</v>
      </c>
      <c r="G2161" s="3" t="n">
        <v>819.63</v>
      </c>
    </row>
    <row r="2162">
      <c r="A2162" s="3" t="inlineStr">
        <is>
          <t>Heron Fields (Pty) Ltd</t>
        </is>
      </c>
      <c r="B2162" s="4" t="n">
        <v>44895</v>
      </c>
      <c r="C2162" s="3" t="inlineStr">
        <is>
          <t>Expenses</t>
        </is>
      </c>
      <c r="D2162" s="3" t="inlineStr">
        <is>
          <t>3850/000</t>
        </is>
      </c>
      <c r="E2162" s="3" t="inlineStr">
        <is>
          <t>Insurance</t>
        </is>
      </c>
      <c r="F2162" s="3" t="n">
        <v>4092.56</v>
      </c>
      <c r="G2162" s="3" t="n">
        <v>8234.860000000001</v>
      </c>
    </row>
    <row r="2163">
      <c r="A2163" s="3" t="inlineStr">
        <is>
          <t>Cape Projects Construction (Pty) Ltd</t>
        </is>
      </c>
      <c r="B2163" s="4" t="n">
        <v>44895</v>
      </c>
      <c r="C2163" s="3" t="inlineStr">
        <is>
          <t>Expenses</t>
        </is>
      </c>
      <c r="D2163" s="3" t="inlineStr">
        <is>
          <t>3850/001</t>
        </is>
      </c>
      <c r="E2163" s="3" t="inlineStr">
        <is>
          <t>Insurance - Santam</t>
        </is>
      </c>
      <c r="F2163" s="3" t="n">
        <v>1474.21</v>
      </c>
      <c r="G2163" s="3" t="n">
        <v>10957.97</v>
      </c>
    </row>
    <row r="2164">
      <c r="A2164" s="3" t="inlineStr">
        <is>
          <t>Cape Projects Construction (Pty) Ltd</t>
        </is>
      </c>
      <c r="B2164" s="4" t="n">
        <v>44895</v>
      </c>
      <c r="C2164" s="3" t="inlineStr">
        <is>
          <t>Expenses</t>
        </is>
      </c>
      <c r="D2164" s="3" t="inlineStr">
        <is>
          <t>3850/002</t>
        </is>
      </c>
      <c r="E2164" s="3" t="inlineStr">
        <is>
          <t>Insurance - RBS</t>
        </is>
      </c>
      <c r="F2164" s="3" t="n">
        <v>0</v>
      </c>
      <c r="G2164" s="3" t="n">
        <v>1425.42</v>
      </c>
    </row>
    <row r="2165">
      <c r="A2165" s="3" t="inlineStr">
        <is>
          <t>Heron Fields (Pty) Ltd</t>
        </is>
      </c>
      <c r="B2165" s="4" t="n">
        <v>44895</v>
      </c>
      <c r="C2165" s="3" t="inlineStr">
        <is>
          <t>Expenses</t>
        </is>
      </c>
      <c r="D2165" s="3" t="inlineStr">
        <is>
          <t>3900/000</t>
        </is>
      </c>
      <c r="E2165" s="3" t="inlineStr">
        <is>
          <t>Interest Paid</t>
        </is>
      </c>
      <c r="F2165" s="3" t="n">
        <v>0</v>
      </c>
      <c r="G2165" s="3" t="n">
        <v>588.4400000000001</v>
      </c>
    </row>
    <row r="2166">
      <c r="A2166" s="3" t="inlineStr">
        <is>
          <t>Heron Fields (Pty) Ltd</t>
        </is>
      </c>
      <c r="B2166" s="4" t="n">
        <v>44895</v>
      </c>
      <c r="C2166" s="3" t="inlineStr">
        <is>
          <t>Expenses</t>
        </is>
      </c>
      <c r="D2166" s="3" t="inlineStr">
        <is>
          <t>3900/111</t>
        </is>
      </c>
      <c r="E2166" s="3" t="inlineStr">
        <is>
          <t>Interest Paid - Investors @ 6.25%</t>
        </is>
      </c>
      <c r="F2166" s="3" t="n">
        <v>218305.31</v>
      </c>
      <c r="G2166" s="3" t="n">
        <v>218305.31</v>
      </c>
    </row>
    <row r="2167">
      <c r="A2167" s="3" t="inlineStr">
        <is>
          <t>Heron Fields (Pty) Ltd</t>
        </is>
      </c>
      <c r="B2167" s="4" t="n">
        <v>44895</v>
      </c>
      <c r="C2167" s="3" t="inlineStr">
        <is>
          <t>Expenses</t>
        </is>
      </c>
      <c r="D2167" s="3" t="inlineStr">
        <is>
          <t>3900/115</t>
        </is>
      </c>
      <c r="E2167" s="3" t="inlineStr">
        <is>
          <t>Interest Paid - Investors @ 6.5%</t>
        </is>
      </c>
      <c r="F2167" s="3" t="n">
        <v>29312.34</v>
      </c>
      <c r="G2167" s="3" t="n">
        <v>29312.34</v>
      </c>
    </row>
    <row r="2168">
      <c r="A2168" s="3" t="inlineStr">
        <is>
          <t>Heron Fields (Pty) Ltd</t>
        </is>
      </c>
      <c r="B2168" s="4" t="n">
        <v>44895</v>
      </c>
      <c r="C2168" s="3" t="inlineStr">
        <is>
          <t>Expenses</t>
        </is>
      </c>
      <c r="D2168" s="3" t="inlineStr">
        <is>
          <t>3900/117</t>
        </is>
      </c>
      <c r="E2168" s="3" t="inlineStr">
        <is>
          <t>Interest Paid - Investors @ 6.75%</t>
        </is>
      </c>
      <c r="F2168" s="3" t="n">
        <v>560.97</v>
      </c>
      <c r="G2168" s="3" t="n">
        <v>560.97</v>
      </c>
    </row>
    <row r="2169">
      <c r="A2169" s="3" t="inlineStr">
        <is>
          <t>Heron Fields (Pty) Ltd</t>
        </is>
      </c>
      <c r="B2169" s="4" t="n">
        <v>44895</v>
      </c>
      <c r="C2169" s="3" t="inlineStr">
        <is>
          <t>Expenses</t>
        </is>
      </c>
      <c r="D2169" s="3" t="inlineStr">
        <is>
          <t>3900/190</t>
        </is>
      </c>
      <c r="E2169" s="3" t="inlineStr">
        <is>
          <t>Interest Paid - Investors @ 14%</t>
        </is>
      </c>
      <c r="F2169" s="3" t="n">
        <v>10317.81</v>
      </c>
      <c r="G2169" s="3" t="n">
        <v>10317.81</v>
      </c>
    </row>
    <row r="2170">
      <c r="A2170" s="3" t="inlineStr">
        <is>
          <t>Heron Fields (Pty) Ltd</t>
        </is>
      </c>
      <c r="B2170" s="4" t="n">
        <v>44895</v>
      </c>
      <c r="C2170" s="3" t="inlineStr">
        <is>
          <t>Expenses</t>
        </is>
      </c>
      <c r="D2170" s="3" t="inlineStr">
        <is>
          <t>3900/200</t>
        </is>
      </c>
      <c r="E2170" s="3" t="inlineStr">
        <is>
          <t>Interest Paid - Investors @ 15%</t>
        </is>
      </c>
      <c r="F2170" s="3" t="n">
        <v>376726.01</v>
      </c>
      <c r="G2170" s="3" t="n">
        <v>376726.01</v>
      </c>
    </row>
    <row r="2171">
      <c r="A2171" s="3" t="inlineStr">
        <is>
          <t>Heron Fields (Pty) Ltd</t>
        </is>
      </c>
      <c r="B2171" s="4" t="n">
        <v>44895</v>
      </c>
      <c r="C2171" s="3" t="inlineStr">
        <is>
          <t>Expenses</t>
        </is>
      </c>
      <c r="D2171" s="3" t="inlineStr">
        <is>
          <t>3900/230</t>
        </is>
      </c>
      <c r="E2171" s="3" t="inlineStr">
        <is>
          <t>Interest Paid - Investors @ 18%</t>
        </is>
      </c>
      <c r="F2171" s="3" t="n">
        <v>2035109.56</v>
      </c>
      <c r="G2171" s="3" t="n">
        <v>2035109.56</v>
      </c>
    </row>
    <row r="2172">
      <c r="A2172" s="3" t="inlineStr">
        <is>
          <t>Cape Projects Construction (Pty) Ltd</t>
        </is>
      </c>
      <c r="B2172" s="4" t="n">
        <v>44895</v>
      </c>
      <c r="C2172" s="3" t="inlineStr">
        <is>
          <t>Expenses</t>
        </is>
      </c>
      <c r="D2172" s="3" t="inlineStr">
        <is>
          <t>3904/000</t>
        </is>
      </c>
      <c r="E2172" s="3" t="inlineStr">
        <is>
          <t>Interest Paid - BIBC</t>
        </is>
      </c>
      <c r="F2172" s="3" t="n">
        <v>360.82</v>
      </c>
      <c r="G2172" s="3" t="n">
        <v>1209.87</v>
      </c>
    </row>
    <row r="2173">
      <c r="A2173" s="3" t="inlineStr">
        <is>
          <t>Heron Fields (Pty) Ltd</t>
        </is>
      </c>
      <c r="B2173" s="4" t="n">
        <v>44895</v>
      </c>
      <c r="C2173" s="3" t="inlineStr">
        <is>
          <t>Expenses</t>
        </is>
      </c>
      <c r="D2173" s="3" t="inlineStr">
        <is>
          <t>4070/000</t>
        </is>
      </c>
      <c r="E2173" s="3" t="inlineStr">
        <is>
          <t>Management fees - OMH</t>
        </is>
      </c>
      <c r="F2173" s="3" t="n">
        <v>0</v>
      </c>
      <c r="G2173" s="3" t="n">
        <v>400000</v>
      </c>
    </row>
    <row r="2174">
      <c r="A2174" s="3" t="inlineStr">
        <is>
          <t>Heron Fields (Pty) Ltd</t>
        </is>
      </c>
      <c r="B2174" s="4" t="n">
        <v>44895</v>
      </c>
      <c r="C2174" s="3" t="inlineStr">
        <is>
          <t>Expenses</t>
        </is>
      </c>
      <c r="D2174" s="3" t="inlineStr">
        <is>
          <t>4100/001</t>
        </is>
      </c>
      <c r="E2174" s="3" t="inlineStr">
        <is>
          <t>Momentum Admin Fee</t>
        </is>
      </c>
      <c r="F2174" s="3" t="n">
        <v>3173.36</v>
      </c>
      <c r="G2174" s="3" t="n">
        <v>243102.26</v>
      </c>
    </row>
    <row r="2175">
      <c r="A2175" s="3" t="inlineStr">
        <is>
          <t>Cape Projects Construction (Pty) Ltd</t>
        </is>
      </c>
      <c r="B2175" s="4" t="n">
        <v>44895</v>
      </c>
      <c r="C2175" s="3" t="inlineStr">
        <is>
          <t>Expenses</t>
        </is>
      </c>
      <c r="D2175" s="3" t="inlineStr">
        <is>
          <t>4150/020</t>
        </is>
      </c>
      <c r="E2175" s="3" t="inlineStr">
        <is>
          <t>Motor Vehicle - Repairs _AND_ Maint.</t>
        </is>
      </c>
      <c r="F2175" s="3" t="n">
        <v>0</v>
      </c>
      <c r="G2175" s="3" t="n">
        <v>4033.01</v>
      </c>
    </row>
    <row r="2176">
      <c r="A2176" s="3" t="inlineStr">
        <is>
          <t>Cape Projects Construction (Pty) Ltd</t>
        </is>
      </c>
      <c r="B2176" s="4" t="n">
        <v>44895</v>
      </c>
      <c r="C2176" s="3" t="inlineStr">
        <is>
          <t>Expenses</t>
        </is>
      </c>
      <c r="D2176" s="3" t="inlineStr">
        <is>
          <t>4150/030</t>
        </is>
      </c>
      <c r="E2176" s="3" t="inlineStr">
        <is>
          <t>Motor Vehicle - Insurance _AND_ Licence</t>
        </is>
      </c>
      <c r="F2176" s="3" t="n">
        <v>0</v>
      </c>
      <c r="G2176" s="3" t="n">
        <v>1200</v>
      </c>
    </row>
    <row r="2177">
      <c r="A2177" s="3" t="inlineStr">
        <is>
          <t>Cape Projects Construction (Pty) Ltd</t>
        </is>
      </c>
      <c r="B2177" s="4" t="n">
        <v>44895</v>
      </c>
      <c r="C2177" s="3" t="inlineStr">
        <is>
          <t>Expenses</t>
        </is>
      </c>
      <c r="D2177" s="3" t="inlineStr">
        <is>
          <t>4200/000</t>
        </is>
      </c>
      <c r="E2177" s="3" t="inlineStr">
        <is>
          <t>Printing _AND_ Stationery</t>
        </is>
      </c>
      <c r="F2177" s="3" t="n">
        <v>2252.09</v>
      </c>
      <c r="G2177" s="3" t="n">
        <v>11847.29</v>
      </c>
    </row>
    <row r="2178">
      <c r="A2178" s="3" t="inlineStr">
        <is>
          <t>Heron View (Pty) Ltd</t>
        </is>
      </c>
      <c r="B2178" s="4" t="n">
        <v>44895</v>
      </c>
      <c r="C2178" s="3" t="inlineStr">
        <is>
          <t>Expenses</t>
        </is>
      </c>
      <c r="D2178" s="3" t="inlineStr">
        <is>
          <t>4200/000</t>
        </is>
      </c>
      <c r="E2178" s="3" t="inlineStr">
        <is>
          <t>Printing _AND_ Stationery</t>
        </is>
      </c>
      <c r="F2178" s="3" t="n">
        <v>0</v>
      </c>
      <c r="G2178" s="3" t="n">
        <v>3404.62</v>
      </c>
    </row>
    <row r="2179">
      <c r="A2179" s="3" t="inlineStr">
        <is>
          <t>Cape Projects Construction (Pty) Ltd</t>
        </is>
      </c>
      <c r="B2179" s="4" t="n">
        <v>44895</v>
      </c>
      <c r="C2179" s="3" t="inlineStr">
        <is>
          <t>Expenses</t>
        </is>
      </c>
      <c r="D2179" s="3" t="inlineStr">
        <is>
          <t>4201/000</t>
        </is>
      </c>
      <c r="E2179" s="3" t="inlineStr">
        <is>
          <t>Printing - Printer rental</t>
        </is>
      </c>
      <c r="F2179" s="3" t="n">
        <v>631.42</v>
      </c>
      <c r="G2179" s="3" t="n">
        <v>6198.89</v>
      </c>
    </row>
    <row r="2180">
      <c r="A2180" s="3" t="inlineStr">
        <is>
          <t>Cape Projects Construction (Pty) Ltd</t>
        </is>
      </c>
      <c r="B2180" s="4" t="n">
        <v>44895</v>
      </c>
      <c r="C2180" s="3" t="inlineStr">
        <is>
          <t>Expenses</t>
        </is>
      </c>
      <c r="D2180" s="3" t="inlineStr">
        <is>
          <t>4300/000</t>
        </is>
      </c>
      <c r="E2180" s="3" t="inlineStr">
        <is>
          <t>Rent Paid</t>
        </is>
      </c>
      <c r="F2180" s="3" t="n">
        <v>28591.67</v>
      </c>
      <c r="G2180" s="3" t="n">
        <v>253291.67</v>
      </c>
    </row>
    <row r="2181">
      <c r="A2181" s="3" t="inlineStr">
        <is>
          <t>Cape Projects Construction (Pty) Ltd</t>
        </is>
      </c>
      <c r="B2181" s="4" t="n">
        <v>44895</v>
      </c>
      <c r="C2181" s="3" t="inlineStr">
        <is>
          <t>Expenses</t>
        </is>
      </c>
      <c r="D2181" s="3" t="inlineStr">
        <is>
          <t>4310/000</t>
        </is>
      </c>
      <c r="E2181" s="3" t="inlineStr">
        <is>
          <t>Rates</t>
        </is>
      </c>
      <c r="F2181" s="3" t="n">
        <v>843.6</v>
      </c>
      <c r="G2181" s="3" t="n">
        <v>7592.4</v>
      </c>
    </row>
    <row r="2182">
      <c r="A2182" s="3" t="inlineStr">
        <is>
          <t>Heron Fields (Pty) Ltd</t>
        </is>
      </c>
      <c r="B2182" s="4" t="n">
        <v>44895</v>
      </c>
      <c r="C2182" s="3" t="inlineStr">
        <is>
          <t>Expenses</t>
        </is>
      </c>
      <c r="D2182" s="3" t="inlineStr">
        <is>
          <t>4310/000</t>
        </is>
      </c>
      <c r="E2182" s="3" t="inlineStr">
        <is>
          <t>Rates - Heron</t>
        </is>
      </c>
      <c r="F2182" s="3" t="n">
        <v>3335.21</v>
      </c>
      <c r="G2182" s="3" t="n">
        <v>29104.79</v>
      </c>
    </row>
    <row r="2183">
      <c r="A2183" s="3" t="inlineStr">
        <is>
          <t>Cape Projects Construction (Pty) Ltd</t>
        </is>
      </c>
      <c r="B2183" s="4" t="n">
        <v>44895</v>
      </c>
      <c r="C2183" s="3" t="inlineStr">
        <is>
          <t>Expenses</t>
        </is>
      </c>
      <c r="D2183" s="3" t="inlineStr">
        <is>
          <t>4350/000</t>
        </is>
      </c>
      <c r="E2183" s="3" t="inlineStr">
        <is>
          <t>Repairs _AND_ Maintenance</t>
        </is>
      </c>
      <c r="F2183" s="3" t="n">
        <v>10511.3</v>
      </c>
      <c r="G2183" s="3" t="n">
        <v>21033.01</v>
      </c>
    </row>
    <row r="2184">
      <c r="A2184" s="3" t="inlineStr">
        <is>
          <t>Heron Fields (Pty) Ltd</t>
        </is>
      </c>
      <c r="B2184" s="4" t="n">
        <v>44895</v>
      </c>
      <c r="C2184" s="3" t="inlineStr">
        <is>
          <t>Expenses</t>
        </is>
      </c>
      <c r="D2184" s="3" t="inlineStr">
        <is>
          <t>4350/000</t>
        </is>
      </c>
      <c r="E2184" s="3" t="inlineStr">
        <is>
          <t>Repairs _AND_ Maintenance</t>
        </is>
      </c>
      <c r="F2184" s="3" t="n">
        <v>0</v>
      </c>
      <c r="G2184" s="3" t="n">
        <v>22719.99</v>
      </c>
    </row>
    <row r="2185">
      <c r="A2185" s="3" t="inlineStr">
        <is>
          <t>Cape Projects Construction (Pty) Ltd</t>
        </is>
      </c>
      <c r="B2185" s="4" t="n">
        <v>44895</v>
      </c>
      <c r="C2185" s="3" t="inlineStr">
        <is>
          <t>Expenses</t>
        </is>
      </c>
      <c r="D2185" s="3" t="inlineStr">
        <is>
          <t>4400/000</t>
        </is>
      </c>
      <c r="E2185" s="3" t="inlineStr">
        <is>
          <t>Salaries _AND_ Wages</t>
        </is>
      </c>
      <c r="F2185" s="3" t="n">
        <v>176711.56</v>
      </c>
      <c r="G2185" s="3" t="n">
        <v>1937653.36</v>
      </c>
    </row>
    <row r="2186">
      <c r="A2186" s="3" t="inlineStr">
        <is>
          <t>Cape Projects Construction (Pty) Ltd</t>
        </is>
      </c>
      <c r="B2186" s="4" t="n">
        <v>44895</v>
      </c>
      <c r="C2186" s="3" t="inlineStr">
        <is>
          <t>Expenses</t>
        </is>
      </c>
      <c r="D2186" s="3" t="inlineStr">
        <is>
          <t>4402</t>
        </is>
      </c>
      <c r="E2186" s="3" t="inlineStr">
        <is>
          <t>Salaries &amp; Wages - WCA</t>
        </is>
      </c>
      <c r="F2186" s="3" t="n">
        <v>0</v>
      </c>
      <c r="G2186" s="3" t="n">
        <v>3746.27</v>
      </c>
    </row>
    <row r="2187">
      <c r="A2187" s="3" t="inlineStr">
        <is>
          <t>Cape Projects Construction (Pty) Ltd</t>
        </is>
      </c>
      <c r="B2187" s="4" t="n">
        <v>44895</v>
      </c>
      <c r="C2187" s="3" t="inlineStr">
        <is>
          <t>Expenses</t>
        </is>
      </c>
      <c r="D2187" s="3" t="inlineStr">
        <is>
          <t>4403/000</t>
        </is>
      </c>
      <c r="E2187" s="3" t="inlineStr">
        <is>
          <t>Security</t>
        </is>
      </c>
      <c r="F2187" s="3" t="n">
        <v>177.33</v>
      </c>
      <c r="G2187" s="3" t="n">
        <v>1340.76</v>
      </c>
    </row>
    <row r="2188">
      <c r="A2188" s="3" t="inlineStr">
        <is>
          <t>Cape Projects Construction (Pty) Ltd</t>
        </is>
      </c>
      <c r="B2188" s="4" t="n">
        <v>44895</v>
      </c>
      <c r="C2188" s="3" t="inlineStr">
        <is>
          <t>Expenses</t>
        </is>
      </c>
      <c r="D2188" s="3" t="inlineStr">
        <is>
          <t>4420/000</t>
        </is>
      </c>
      <c r="E2188" s="3" t="inlineStr">
        <is>
          <t>Small Assets</t>
        </is>
      </c>
      <c r="F2188" s="3" t="n">
        <v>1389.56</v>
      </c>
      <c r="G2188" s="3" t="n">
        <v>9013.48</v>
      </c>
    </row>
    <row r="2189">
      <c r="A2189" s="3" t="inlineStr">
        <is>
          <t>Heron Fields (Pty) Ltd</t>
        </is>
      </c>
      <c r="B2189" s="4" t="n">
        <v>44895</v>
      </c>
      <c r="C2189" s="3" t="inlineStr">
        <is>
          <t>Expenses</t>
        </is>
      </c>
      <c r="D2189" s="3" t="inlineStr">
        <is>
          <t>4420/001</t>
        </is>
      </c>
      <c r="E2189" s="3" t="inlineStr">
        <is>
          <t>Security - ADT</t>
        </is>
      </c>
      <c r="F2189" s="3" t="n">
        <v>328.38</v>
      </c>
      <c r="G2189" s="3" t="n">
        <v>4255.84</v>
      </c>
    </row>
    <row r="2190">
      <c r="A2190" s="3" t="inlineStr">
        <is>
          <t>Cape Projects Construction (Pty) Ltd</t>
        </is>
      </c>
      <c r="B2190" s="4" t="n">
        <v>44895</v>
      </c>
      <c r="C2190" s="3" t="inlineStr">
        <is>
          <t>Expenses</t>
        </is>
      </c>
      <c r="D2190" s="3" t="inlineStr">
        <is>
          <t>4450/000</t>
        </is>
      </c>
      <c r="E2190" s="3" t="inlineStr">
        <is>
          <t>Staff Training</t>
        </is>
      </c>
      <c r="F2190" s="3" t="n">
        <v>0</v>
      </c>
      <c r="G2190" s="3" t="n">
        <v>6800</v>
      </c>
    </row>
    <row r="2191">
      <c r="A2191" s="3" t="inlineStr">
        <is>
          <t>Cape Projects Construction (Pty) Ltd</t>
        </is>
      </c>
      <c r="B2191" s="4" t="n">
        <v>44895</v>
      </c>
      <c r="C2191" s="3" t="inlineStr">
        <is>
          <t>Expenses</t>
        </is>
      </c>
      <c r="D2191" s="3" t="inlineStr">
        <is>
          <t>4500/000</t>
        </is>
      </c>
      <c r="E2191" s="3" t="inlineStr">
        <is>
          <t>Staff Welfare _AND_ Refreshmts</t>
        </is>
      </c>
      <c r="F2191" s="3" t="n">
        <v>1251.56</v>
      </c>
      <c r="G2191" s="3" t="n">
        <v>4770.66</v>
      </c>
    </row>
    <row r="2192">
      <c r="A2192" s="3" t="inlineStr">
        <is>
          <t>Cape Projects Construction (Pty) Ltd</t>
        </is>
      </c>
      <c r="B2192" s="4" t="n">
        <v>44895</v>
      </c>
      <c r="C2192" s="3" t="inlineStr">
        <is>
          <t>Expenses</t>
        </is>
      </c>
      <c r="D2192" s="3" t="inlineStr">
        <is>
          <t>4550/000</t>
        </is>
      </c>
      <c r="E2192" s="3" t="inlineStr">
        <is>
          <t>Subscriptions / Licenses</t>
        </is>
      </c>
      <c r="F2192" s="3" t="n">
        <v>0</v>
      </c>
      <c r="G2192" s="3" t="n">
        <v>526.3200000000001</v>
      </c>
    </row>
    <row r="2193">
      <c r="A2193" s="3" t="inlineStr">
        <is>
          <t>Cape Projects Construction (Pty) Ltd</t>
        </is>
      </c>
      <c r="B2193" s="4" t="n">
        <v>44895</v>
      </c>
      <c r="C2193" s="3" t="inlineStr">
        <is>
          <t>Expenses</t>
        </is>
      </c>
      <c r="D2193" s="3" t="inlineStr">
        <is>
          <t>4550/001</t>
        </is>
      </c>
      <c r="E2193" s="3" t="inlineStr">
        <is>
          <t>Subscriptions &amp; Licenses - Sage payroll</t>
        </is>
      </c>
      <c r="F2193" s="3" t="n">
        <v>686</v>
      </c>
      <c r="G2193" s="3" t="n">
        <v>5394</v>
      </c>
    </row>
    <row r="2194">
      <c r="A2194" s="3" t="inlineStr">
        <is>
          <t>Cape Projects Construction (Pty) Ltd</t>
        </is>
      </c>
      <c r="B2194" s="4" t="n">
        <v>44895</v>
      </c>
      <c r="C2194" s="3" t="inlineStr">
        <is>
          <t>Expenses</t>
        </is>
      </c>
      <c r="D2194" s="3" t="inlineStr">
        <is>
          <t>4550/003</t>
        </is>
      </c>
      <c r="E2194" s="3" t="inlineStr">
        <is>
          <t>Subscriptions &amp; Licenses - Xero</t>
        </is>
      </c>
      <c r="F2194" s="3" t="n">
        <v>600</v>
      </c>
      <c r="G2194" s="3" t="n">
        <v>5400</v>
      </c>
    </row>
    <row r="2195">
      <c r="A2195" s="3" t="inlineStr">
        <is>
          <t>Cape Projects Construction (Pty) Ltd</t>
        </is>
      </c>
      <c r="B2195" s="4" t="n">
        <v>44895</v>
      </c>
      <c r="C2195" s="3" t="inlineStr">
        <is>
          <t>Expenses</t>
        </is>
      </c>
      <c r="D2195" s="3" t="inlineStr">
        <is>
          <t>4550/004</t>
        </is>
      </c>
      <c r="E2195" s="3" t="inlineStr">
        <is>
          <t>Subscriptions - Smartsheet</t>
        </is>
      </c>
      <c r="F2195" s="3" t="n">
        <v>484</v>
      </c>
      <c r="G2195" s="3" t="n">
        <v>3802.6</v>
      </c>
    </row>
    <row r="2196">
      <c r="A2196" s="3" t="inlineStr">
        <is>
          <t>Cape Projects Construction (Pty) Ltd</t>
        </is>
      </c>
      <c r="B2196" s="4" t="n">
        <v>44895</v>
      </c>
      <c r="C2196" s="3" t="inlineStr">
        <is>
          <t>Expenses</t>
        </is>
      </c>
      <c r="D2196" s="3" t="inlineStr">
        <is>
          <t>4550/006</t>
        </is>
      </c>
      <c r="E2196" s="3" t="inlineStr">
        <is>
          <t>Subscription - Candy software</t>
        </is>
      </c>
      <c r="F2196" s="3" t="n">
        <v>0</v>
      </c>
      <c r="G2196" s="3" t="n">
        <v>13765</v>
      </c>
    </row>
    <row r="2197">
      <c r="A2197" s="3" t="inlineStr">
        <is>
          <t>Heron Fields (Pty) Ltd</t>
        </is>
      </c>
      <c r="B2197" s="4" t="n">
        <v>44895</v>
      </c>
      <c r="C2197" s="3" t="inlineStr">
        <is>
          <t>Expenses</t>
        </is>
      </c>
      <c r="D2197" s="3" t="inlineStr">
        <is>
          <t>4550/100</t>
        </is>
      </c>
      <c r="E2197" s="3" t="inlineStr">
        <is>
          <t>Subscriptions - Xero</t>
        </is>
      </c>
      <c r="F2197" s="3" t="n">
        <v>600</v>
      </c>
      <c r="G2197" s="3" t="n">
        <v>5400</v>
      </c>
    </row>
    <row r="2198">
      <c r="A2198" s="3" t="inlineStr">
        <is>
          <t>Heron View (Pty) Ltd</t>
        </is>
      </c>
      <c r="B2198" s="4" t="n">
        <v>44895</v>
      </c>
      <c r="C2198" s="3" t="inlineStr">
        <is>
          <t>Expenses</t>
        </is>
      </c>
      <c r="D2198" s="3" t="inlineStr">
        <is>
          <t>4550/100</t>
        </is>
      </c>
      <c r="E2198" s="3" t="inlineStr">
        <is>
          <t>Subscriptions - Xero</t>
        </is>
      </c>
      <c r="F2198" s="3" t="n">
        <v>600</v>
      </c>
      <c r="G2198" s="3" t="n">
        <v>9000</v>
      </c>
    </row>
    <row r="2199">
      <c r="A2199" s="3" t="inlineStr">
        <is>
          <t>Heron Fields (Pty) Ltd</t>
        </is>
      </c>
      <c r="B2199" s="4" t="n">
        <v>44895</v>
      </c>
      <c r="C2199" s="3" t="inlineStr">
        <is>
          <t>Expenses</t>
        </is>
      </c>
      <c r="D2199" s="3" t="inlineStr">
        <is>
          <t>4550/200</t>
        </is>
      </c>
      <c r="E2199" s="3" t="inlineStr">
        <is>
          <t>Subscription - NHBRC</t>
        </is>
      </c>
      <c r="F2199" s="3" t="n">
        <v>262.11</v>
      </c>
      <c r="G2199" s="3" t="n">
        <v>788.4299999999999</v>
      </c>
    </row>
    <row r="2200">
      <c r="A2200" s="3" t="inlineStr">
        <is>
          <t>Cape Projects Construction (Pty) Ltd</t>
        </is>
      </c>
      <c r="B2200" s="4" t="n">
        <v>44895</v>
      </c>
      <c r="C2200" s="3" t="inlineStr">
        <is>
          <t>Expenses</t>
        </is>
      </c>
      <c r="D2200" s="3" t="inlineStr">
        <is>
          <t>4560</t>
        </is>
      </c>
      <c r="E2200" s="3" t="inlineStr">
        <is>
          <t>Secretarial fees - CIPC</t>
        </is>
      </c>
      <c r="F2200" s="3" t="n">
        <v>0</v>
      </c>
      <c r="G2200" s="3" t="n">
        <v>2500</v>
      </c>
    </row>
    <row r="2201">
      <c r="A2201" s="3" t="inlineStr">
        <is>
          <t>Cape Projects Construction (Pty) Ltd</t>
        </is>
      </c>
      <c r="B2201" s="4" t="n">
        <v>44895</v>
      </c>
      <c r="C2201" s="3" t="inlineStr">
        <is>
          <t>Expenses</t>
        </is>
      </c>
      <c r="D2201" s="3" t="inlineStr">
        <is>
          <t>4650/010</t>
        </is>
      </c>
      <c r="E2201" s="3" t="inlineStr">
        <is>
          <t>Travel - Local</t>
        </is>
      </c>
      <c r="F2201" s="3" t="n">
        <v>0</v>
      </c>
      <c r="G2201" s="3" t="n">
        <v>13.04</v>
      </c>
    </row>
    <row r="2202">
      <c r="A2202" s="3" t="inlineStr">
        <is>
          <t>Cape Projects Construction (Pty) Ltd</t>
        </is>
      </c>
      <c r="B2202" s="4" t="n">
        <v>44895</v>
      </c>
      <c r="C2202" s="3" t="inlineStr">
        <is>
          <t>Expenses</t>
        </is>
      </c>
      <c r="D2202" s="3" t="inlineStr">
        <is>
          <t>4700/000</t>
        </is>
      </c>
      <c r="E2202" s="3" t="inlineStr">
        <is>
          <t>PAYE Contributions</t>
        </is>
      </c>
      <c r="F2202" s="3" t="n">
        <v>23576.11</v>
      </c>
      <c r="G2202" s="3" t="n">
        <v>295440.3</v>
      </c>
    </row>
    <row r="2203">
      <c r="A2203" s="3" t="inlineStr">
        <is>
          <t>Cape Projects Construction (Pty) Ltd</t>
        </is>
      </c>
      <c r="B2203" s="4" t="n">
        <v>44895</v>
      </c>
      <c r="C2203" s="3" t="inlineStr">
        <is>
          <t>Expenses</t>
        </is>
      </c>
      <c r="D2203" s="3" t="inlineStr">
        <is>
          <t>4720/000</t>
        </is>
      </c>
      <c r="E2203" s="3" t="inlineStr">
        <is>
          <t>SDL Contributions</t>
        </is>
      </c>
      <c r="F2203" s="3" t="n">
        <v>1902.99</v>
      </c>
      <c r="G2203" s="3" t="n">
        <v>21398.72</v>
      </c>
    </row>
    <row r="2204">
      <c r="A2204" s="3" t="inlineStr">
        <is>
          <t>Cape Projects Construction (Pty) Ltd</t>
        </is>
      </c>
      <c r="B2204" s="4" t="n">
        <v>44895</v>
      </c>
      <c r="C2204" s="3" t="inlineStr">
        <is>
          <t>Expenses</t>
        </is>
      </c>
      <c r="D2204" s="3" t="inlineStr">
        <is>
          <t>4730/000</t>
        </is>
      </c>
      <c r="E2204" s="3" t="inlineStr">
        <is>
          <t>UIF Company Contributions</t>
        </is>
      </c>
      <c r="F2204" s="3" t="n">
        <v>1432.65</v>
      </c>
      <c r="G2204" s="3" t="n">
        <v>15464.71</v>
      </c>
    </row>
    <row r="2205">
      <c r="A2205" s="3" t="inlineStr">
        <is>
          <t>Cape Projects Construction (Pty) Ltd</t>
        </is>
      </c>
      <c r="B2205" s="4" t="n">
        <v>44895</v>
      </c>
      <c r="C2205" s="3" t="inlineStr">
        <is>
          <t>Expenses</t>
        </is>
      </c>
      <c r="D2205" s="3" t="inlineStr">
        <is>
          <t>4731/000</t>
        </is>
      </c>
      <c r="E2205" s="3" t="inlineStr">
        <is>
          <t>UIF Employee Contribution</t>
        </is>
      </c>
      <c r="F2205" s="3" t="n">
        <v>1432.65</v>
      </c>
      <c r="G2205" s="3" t="n">
        <v>15464.71</v>
      </c>
    </row>
    <row r="2206">
      <c r="A2206" s="3" t="inlineStr">
        <is>
          <t>Cape Projects Construction (Pty) Ltd</t>
        </is>
      </c>
      <c r="B2206" s="4" t="n">
        <v>44895</v>
      </c>
      <c r="C2206" s="3" t="inlineStr">
        <is>
          <t>Expenses</t>
        </is>
      </c>
      <c r="D2206" s="3" t="inlineStr">
        <is>
          <t>4740/000</t>
        </is>
      </c>
      <c r="E2206" s="3" t="inlineStr">
        <is>
          <t>BIBC Company Contribution</t>
        </is>
      </c>
      <c r="F2206" s="3" t="n">
        <v>8981.75</v>
      </c>
      <c r="G2206" s="3" t="n">
        <v>65997.64</v>
      </c>
    </row>
    <row r="2207">
      <c r="A2207" s="3" t="inlineStr">
        <is>
          <t>Cape Projects Construction (Pty) Ltd</t>
        </is>
      </c>
      <c r="B2207" s="4" t="n">
        <v>44895</v>
      </c>
      <c r="C2207" s="3" t="inlineStr">
        <is>
          <t>Expenses</t>
        </is>
      </c>
      <c r="D2207" s="3" t="inlineStr">
        <is>
          <t>4741/000</t>
        </is>
      </c>
      <c r="E2207" s="3" t="inlineStr">
        <is>
          <t>BIBC Employee Contribution</t>
        </is>
      </c>
      <c r="F2207" s="3" t="n">
        <v>2367</v>
      </c>
      <c r="G2207" s="3" t="n">
        <v>22073.8</v>
      </c>
    </row>
    <row r="2208">
      <c r="A2208" s="3" t="inlineStr">
        <is>
          <t>Heron Fields (Pty) Ltd</t>
        </is>
      </c>
      <c r="B2208" s="4" t="n">
        <v>44895</v>
      </c>
      <c r="C2208" s="3" t="inlineStr">
        <is>
          <t>Equity</t>
        </is>
      </c>
      <c r="D2208" s="3" t="inlineStr">
        <is>
          <t>5100-000</t>
        </is>
      </c>
      <c r="E2208" s="3" t="inlineStr">
        <is>
          <t>Share Capital</t>
        </is>
      </c>
      <c r="F2208" s="3" t="n">
        <v>0</v>
      </c>
      <c r="G2208" s="3" t="n">
        <v>-100</v>
      </c>
    </row>
    <row r="2209">
      <c r="A2209" s="3" t="inlineStr">
        <is>
          <t>Cape Projects Construction (Pty) Ltd</t>
        </is>
      </c>
      <c r="B2209" s="4" t="n">
        <v>44895</v>
      </c>
      <c r="C2209" s="3" t="inlineStr">
        <is>
          <t>Equity</t>
        </is>
      </c>
      <c r="D2209" s="3" t="inlineStr">
        <is>
          <t>5100/000</t>
        </is>
      </c>
      <c r="E2209" s="3" t="inlineStr">
        <is>
          <t>Share Capital / Members Contribution</t>
        </is>
      </c>
      <c r="F2209" s="3" t="n">
        <v>0</v>
      </c>
      <c r="G2209" s="3" t="n">
        <v>-120</v>
      </c>
    </row>
    <row r="2210">
      <c r="A2210" s="3" t="inlineStr">
        <is>
          <t>Cape Projects Construction (Pty) Ltd</t>
        </is>
      </c>
      <c r="B2210" s="4" t="n">
        <v>44895</v>
      </c>
      <c r="C2210" s="3" t="inlineStr">
        <is>
          <t>Equity</t>
        </is>
      </c>
      <c r="D2210" s="3" t="inlineStr">
        <is>
          <t>5200/000</t>
        </is>
      </c>
      <c r="E2210" s="3" t="inlineStr">
        <is>
          <t>Retained Earnings / Loss</t>
        </is>
      </c>
      <c r="F2210" s="3" t="n">
        <v>0</v>
      </c>
      <c r="G2210" s="3" t="n">
        <v>247347.05</v>
      </c>
    </row>
    <row r="2211">
      <c r="A2211" s="3" t="inlineStr">
        <is>
          <t>Heron Fields (Pty) Ltd</t>
        </is>
      </c>
      <c r="B2211" s="4" t="n">
        <v>44895</v>
      </c>
      <c r="C2211" s="3" t="inlineStr">
        <is>
          <t>Equity</t>
        </is>
      </c>
      <c r="D2211" s="3" t="inlineStr">
        <is>
          <t>5200/000</t>
        </is>
      </c>
      <c r="E2211" s="3" t="inlineStr">
        <is>
          <t>Retained Earnings / Loss</t>
        </is>
      </c>
      <c r="F2211" s="3" t="n">
        <v>0</v>
      </c>
      <c r="G2211" s="3" t="n">
        <v>-17080353.05</v>
      </c>
    </row>
    <row r="2212">
      <c r="A2212" s="3" t="inlineStr">
        <is>
          <t>Heron Fields (Pty) Ltd</t>
        </is>
      </c>
      <c r="B2212" s="4" t="n">
        <v>44895</v>
      </c>
      <c r="C2212" s="3" t="inlineStr">
        <is>
          <t>Assets</t>
        </is>
      </c>
      <c r="D2212" s="3" t="inlineStr">
        <is>
          <t>5300/001</t>
        </is>
      </c>
      <c r="E2212" s="3" t="inlineStr">
        <is>
          <t>Revaluation of Land stock</t>
        </is>
      </c>
      <c r="F2212" s="3" t="n">
        <v>0</v>
      </c>
      <c r="G2212" s="3" t="n">
        <v>17562360.85</v>
      </c>
    </row>
    <row r="2213">
      <c r="A2213" s="3" t="inlineStr">
        <is>
          <t>Cape Projects Construction (Pty) Ltd</t>
        </is>
      </c>
      <c r="B2213" s="4" t="n">
        <v>44895</v>
      </c>
      <c r="C2213" s="3" t="inlineStr">
        <is>
          <t>Assets</t>
        </is>
      </c>
      <c r="D2213" s="3" t="inlineStr">
        <is>
          <t>5400/100</t>
        </is>
      </c>
      <c r="E2213" s="3" t="inlineStr">
        <is>
          <t>Loan - Cape Projects Structuring Dev</t>
        </is>
      </c>
      <c r="F2213" s="3" t="n">
        <v>270000</v>
      </c>
      <c r="G2213" s="3" t="n">
        <v>0</v>
      </c>
    </row>
    <row r="2214">
      <c r="A2214" s="3" t="inlineStr">
        <is>
          <t>Cape Projects Construction (Pty) Ltd</t>
        </is>
      </c>
      <c r="B2214" s="4" t="n">
        <v>44895</v>
      </c>
      <c r="C2214" s="3" t="inlineStr">
        <is>
          <t>Assets</t>
        </is>
      </c>
      <c r="D2214" s="3" t="inlineStr">
        <is>
          <t>5400/150</t>
        </is>
      </c>
      <c r="E2214" s="3" t="inlineStr">
        <is>
          <t>Loan - Quinate</t>
        </is>
      </c>
      <c r="F2214" s="3" t="n">
        <v>3521187.4</v>
      </c>
      <c r="G2214" s="3" t="n">
        <v>6571187.4</v>
      </c>
    </row>
    <row r="2215">
      <c r="A2215" s="3" t="inlineStr">
        <is>
          <t>Cape Projects Construction (Pty) Ltd</t>
        </is>
      </c>
      <c r="B2215" s="4" t="n">
        <v>44895</v>
      </c>
      <c r="C2215" s="3" t="inlineStr">
        <is>
          <t>Assets</t>
        </is>
      </c>
      <c r="D2215" s="3" t="inlineStr">
        <is>
          <t>5400/550</t>
        </is>
      </c>
      <c r="E2215" s="3" t="inlineStr">
        <is>
          <t>Loan - Trademark</t>
        </is>
      </c>
      <c r="F2215" s="3" t="n">
        <v>-1200</v>
      </c>
      <c r="G2215" s="3" t="n">
        <v>0</v>
      </c>
    </row>
    <row r="2216">
      <c r="A2216" s="3" t="inlineStr">
        <is>
          <t>Cape Projects Construction (Pty) Ltd</t>
        </is>
      </c>
      <c r="B2216" s="4" t="n">
        <v>44895</v>
      </c>
      <c r="C2216" s="3" t="inlineStr">
        <is>
          <t>Assets</t>
        </is>
      </c>
      <c r="D2216" s="3" t="inlineStr">
        <is>
          <t>5400/600</t>
        </is>
      </c>
      <c r="E2216" s="3" t="inlineStr">
        <is>
          <t>Loan - Heron Projects</t>
        </is>
      </c>
      <c r="F2216" s="3" t="n">
        <v>-3726138.5</v>
      </c>
      <c r="G2216" s="3" t="n">
        <v>-8226138.5</v>
      </c>
    </row>
    <row r="2217">
      <c r="A2217" s="3" t="inlineStr">
        <is>
          <t>Cape Projects Construction (Pty) Ltd</t>
        </is>
      </c>
      <c r="B2217" s="4" t="n">
        <v>44895</v>
      </c>
      <c r="C2217" s="3" t="inlineStr">
        <is>
          <t>Assets</t>
        </is>
      </c>
      <c r="D2217" s="3" t="inlineStr">
        <is>
          <t>5400/650</t>
        </is>
      </c>
      <c r="E2217" s="3" t="inlineStr">
        <is>
          <t>Loan - Noble Shield</t>
        </is>
      </c>
      <c r="F2217" s="3" t="n">
        <v>-1200</v>
      </c>
      <c r="G2217" s="3" t="n">
        <v>0</v>
      </c>
    </row>
    <row r="2218">
      <c r="A2218" s="3" t="inlineStr">
        <is>
          <t>Cape Projects Construction (Pty) Ltd</t>
        </is>
      </c>
      <c r="B2218" s="4" t="n">
        <v>44895</v>
      </c>
      <c r="C2218" s="3" t="inlineStr">
        <is>
          <t>Assets</t>
        </is>
      </c>
      <c r="D2218" s="3" t="inlineStr">
        <is>
          <t>5400/750</t>
        </is>
      </c>
      <c r="E2218" s="3" t="inlineStr">
        <is>
          <t>Loan - Endulini</t>
        </is>
      </c>
      <c r="F2218" s="3" t="n">
        <v>0</v>
      </c>
      <c r="G2218" s="3" t="n">
        <v>1367000</v>
      </c>
    </row>
    <row r="2219">
      <c r="A2219" s="3" t="inlineStr">
        <is>
          <t>Heron View (Pty) Ltd</t>
        </is>
      </c>
      <c r="B2219" s="4" t="n">
        <v>44895</v>
      </c>
      <c r="C2219" s="3" t="inlineStr">
        <is>
          <t>Liabilities</t>
        </is>
      </c>
      <c r="D2219" s="3" t="inlineStr">
        <is>
          <t>5500/001</t>
        </is>
      </c>
      <c r="E2219" s="3" t="inlineStr">
        <is>
          <t>Loan - Heron Fields</t>
        </is>
      </c>
      <c r="F2219" s="3" t="n">
        <v>-600</v>
      </c>
      <c r="G2219" s="3" t="n">
        <v>-2029913.01</v>
      </c>
    </row>
    <row r="2220">
      <c r="A2220" s="3" t="inlineStr">
        <is>
          <t>Heron Fields (Pty) Ltd</t>
        </is>
      </c>
      <c r="B2220" s="4" t="n">
        <v>44895</v>
      </c>
      <c r="C2220" s="3" t="inlineStr">
        <is>
          <t>Liabilities</t>
        </is>
      </c>
      <c r="D2220" s="3" t="inlineStr">
        <is>
          <t>5500/010</t>
        </is>
      </c>
      <c r="E2220" s="3" t="inlineStr">
        <is>
          <t>Loan - Quinate</t>
        </is>
      </c>
      <c r="F2220" s="3" t="n">
        <v>4240.63</v>
      </c>
      <c r="G2220" s="3" t="n">
        <v>0</v>
      </c>
    </row>
    <row r="2221">
      <c r="A2221" s="3" t="inlineStr">
        <is>
          <t>Heron Fields (Pty) Ltd</t>
        </is>
      </c>
      <c r="B2221" s="4" t="n">
        <v>44895</v>
      </c>
      <c r="C2221" s="3" t="inlineStr">
        <is>
          <t>Liabilities</t>
        </is>
      </c>
      <c r="D2221" s="3" t="inlineStr">
        <is>
          <t>5500/020</t>
        </is>
      </c>
      <c r="E2221" s="3" t="inlineStr">
        <is>
          <t>Loan - Cape Projects Construction</t>
        </is>
      </c>
      <c r="F2221" s="3" t="n">
        <v>3726138.5</v>
      </c>
      <c r="G2221" s="3" t="n">
        <v>8226138.5</v>
      </c>
    </row>
    <row r="2222">
      <c r="A2222" s="3" t="inlineStr">
        <is>
          <t>Heron Fields (Pty) Ltd</t>
        </is>
      </c>
      <c r="B2222" s="4" t="n">
        <v>44895</v>
      </c>
      <c r="C2222" s="3" t="inlineStr">
        <is>
          <t>Liabilities</t>
        </is>
      </c>
      <c r="D2222" s="3" t="inlineStr">
        <is>
          <t>5500/050</t>
        </is>
      </c>
      <c r="E2222" s="3" t="inlineStr">
        <is>
          <t>Loan - Heron View</t>
        </is>
      </c>
      <c r="F2222" s="3" t="n">
        <v>600</v>
      </c>
      <c r="G2222" s="3" t="n">
        <v>2029913.01</v>
      </c>
    </row>
    <row r="2223">
      <c r="A2223" s="3" t="inlineStr">
        <is>
          <t>Heron Fields (Pty) Ltd</t>
        </is>
      </c>
      <c r="B2223" s="4" t="n">
        <v>44895</v>
      </c>
      <c r="C2223" s="3" t="inlineStr">
        <is>
          <t>Liabilities</t>
        </is>
      </c>
      <c r="D2223" s="3" t="inlineStr">
        <is>
          <t>5500/060</t>
        </is>
      </c>
      <c r="E2223" s="3" t="inlineStr">
        <is>
          <t>Loan - Opportunity Management Holdings</t>
        </is>
      </c>
      <c r="F2223" s="3" t="n">
        <v>30000</v>
      </c>
      <c r="G2223" s="3" t="n">
        <v>0</v>
      </c>
    </row>
    <row r="2224">
      <c r="A2224" s="3" t="inlineStr">
        <is>
          <t>Cape Projects Construction (Pty) Ltd</t>
        </is>
      </c>
      <c r="B2224" s="4" t="n">
        <v>44895</v>
      </c>
      <c r="C2224" s="3" t="inlineStr">
        <is>
          <t>Liabilities</t>
        </is>
      </c>
      <c r="D2224" s="3" t="inlineStr">
        <is>
          <t>5600/100</t>
        </is>
      </c>
      <c r="E2224" s="3" t="inlineStr">
        <is>
          <t>Motor Vehical Car Repaymts - Toyota</t>
        </is>
      </c>
      <c r="F2224" s="3" t="n">
        <v>5233.24</v>
      </c>
      <c r="G2224" s="3" t="n">
        <v>46897.96</v>
      </c>
    </row>
    <row r="2225">
      <c r="A2225" s="3" t="inlineStr">
        <is>
          <t>Cape Projects Construction (Pty) Ltd</t>
        </is>
      </c>
      <c r="B2225" s="4" t="n">
        <v>44895</v>
      </c>
      <c r="C2225" s="3" t="inlineStr">
        <is>
          <t>Liabilities</t>
        </is>
      </c>
      <c r="D2225" s="3" t="inlineStr">
        <is>
          <t>5600/200</t>
        </is>
      </c>
      <c r="E2225" s="3" t="inlineStr">
        <is>
          <t>Motor Vehicle Car Repayments - Toyota Shortterm</t>
        </is>
      </c>
      <c r="F2225" s="3" t="n">
        <v>0</v>
      </c>
      <c r="G2225" s="3" t="n">
        <v>-58920.1</v>
      </c>
    </row>
    <row r="2226">
      <c r="A2226" s="3" t="inlineStr">
        <is>
          <t>Cape Projects Construction (Pty) Ltd</t>
        </is>
      </c>
      <c r="B2226" s="4" t="n">
        <v>44895</v>
      </c>
      <c r="C2226" s="3" t="inlineStr">
        <is>
          <t>Assets</t>
        </is>
      </c>
      <c r="D2226" s="3" t="inlineStr">
        <is>
          <t>6200/010</t>
        </is>
      </c>
      <c r="E2226" s="3" t="inlineStr">
        <is>
          <t>Motor Vehicles - @ Cost</t>
        </is>
      </c>
      <c r="F2226" s="3" t="n">
        <v>0</v>
      </c>
      <c r="G2226" s="3" t="n">
        <v>216064.1</v>
      </c>
    </row>
    <row r="2227">
      <c r="A2227" s="3" t="inlineStr">
        <is>
          <t>Cape Projects Construction (Pty) Ltd</t>
        </is>
      </c>
      <c r="B2227" s="4" t="n">
        <v>44895</v>
      </c>
      <c r="C2227" s="3" t="inlineStr">
        <is>
          <t>Assets</t>
        </is>
      </c>
      <c r="D2227" s="3" t="inlineStr">
        <is>
          <t>6200/020</t>
        </is>
      </c>
      <c r="E2227" s="3" t="inlineStr">
        <is>
          <t>Motor Vehicles - Accum Depre</t>
        </is>
      </c>
      <c r="F2227" s="3" t="n">
        <v>0</v>
      </c>
      <c r="G2227" s="3" t="n">
        <v>-216063.1</v>
      </c>
    </row>
    <row r="2228">
      <c r="A2228" s="3" t="inlineStr">
        <is>
          <t>Cape Projects Construction (Pty) Ltd</t>
        </is>
      </c>
      <c r="B2228" s="4" t="n">
        <v>44895</v>
      </c>
      <c r="C2228" s="3" t="inlineStr">
        <is>
          <t>Assets</t>
        </is>
      </c>
      <c r="D2228" s="3" t="inlineStr">
        <is>
          <t>6250/010</t>
        </is>
      </c>
      <c r="E2228" s="3" t="inlineStr">
        <is>
          <t>Computer Equipment - @ Cost</t>
        </is>
      </c>
      <c r="F2228" s="3" t="n">
        <v>0</v>
      </c>
      <c r="G2228" s="3" t="n">
        <v>92100.13</v>
      </c>
    </row>
    <row r="2229">
      <c r="A2229" s="3" t="inlineStr">
        <is>
          <t>Cape Projects Construction (Pty) Ltd</t>
        </is>
      </c>
      <c r="B2229" s="4" t="n">
        <v>44895</v>
      </c>
      <c r="C2229" s="3" t="inlineStr">
        <is>
          <t>Assets</t>
        </is>
      </c>
      <c r="D2229" s="3" t="inlineStr">
        <is>
          <t>6250/020</t>
        </is>
      </c>
      <c r="E2229" s="3" t="inlineStr">
        <is>
          <t>Computer Equipment - Accum Depre</t>
        </is>
      </c>
      <c r="F2229" s="3" t="n">
        <v>-2165.84</v>
      </c>
      <c r="G2229" s="3" t="n">
        <v>-36425.47</v>
      </c>
    </row>
    <row r="2230">
      <c r="A2230" s="3" t="inlineStr">
        <is>
          <t>Cape Projects Construction (Pty) Ltd</t>
        </is>
      </c>
      <c r="B2230" s="4" t="n">
        <v>44895</v>
      </c>
      <c r="C2230" s="3" t="inlineStr">
        <is>
          <t>Assets</t>
        </is>
      </c>
      <c r="D2230" s="3" t="inlineStr">
        <is>
          <t>6350/010</t>
        </is>
      </c>
      <c r="E2230" s="3" t="inlineStr">
        <is>
          <t>Furniture _AND_ Fittings - @ Cost</t>
        </is>
      </c>
      <c r="F2230" s="3" t="n">
        <v>8673.91</v>
      </c>
      <c r="G2230" s="3" t="n">
        <v>37955.3</v>
      </c>
    </row>
    <row r="2231">
      <c r="A2231" s="3" t="inlineStr">
        <is>
          <t>Cape Projects Construction (Pty) Ltd</t>
        </is>
      </c>
      <c r="B2231" s="4" t="n">
        <v>44895</v>
      </c>
      <c r="C2231" s="3" t="inlineStr">
        <is>
          <t>Assets</t>
        </is>
      </c>
      <c r="D2231" s="3" t="inlineStr">
        <is>
          <t>6350/020</t>
        </is>
      </c>
      <c r="E2231" s="3" t="inlineStr">
        <is>
          <t>Furniture _AND_ Fittings - Accum Depre</t>
        </is>
      </c>
      <c r="F2231" s="3" t="n">
        <v>-427.2</v>
      </c>
      <c r="G2231" s="3" t="n">
        <v>-4251.54</v>
      </c>
    </row>
    <row r="2232">
      <c r="A2232" s="3" t="inlineStr">
        <is>
          <t>Cape Projects Construction (Pty) Ltd</t>
        </is>
      </c>
      <c r="B2232" s="4" t="n">
        <v>44895</v>
      </c>
      <c r="C2232" s="3" t="inlineStr">
        <is>
          <t>Assets</t>
        </is>
      </c>
      <c r="D2232" s="3" t="inlineStr">
        <is>
          <t>6600/010</t>
        </is>
      </c>
      <c r="E2232" s="3" t="inlineStr">
        <is>
          <t>Generator Fixed Asset - @ Cost</t>
        </is>
      </c>
      <c r="F2232" s="3" t="n">
        <v>0</v>
      </c>
      <c r="G2232" s="3" t="n">
        <v>11600</v>
      </c>
    </row>
    <row r="2233">
      <c r="A2233" s="3" t="inlineStr">
        <is>
          <t>Cape Projects Construction (Pty) Ltd</t>
        </is>
      </c>
      <c r="B2233" s="4" t="n">
        <v>44895</v>
      </c>
      <c r="C2233" s="3" t="inlineStr">
        <is>
          <t>Assets</t>
        </is>
      </c>
      <c r="D2233" s="3" t="inlineStr">
        <is>
          <t>6600/020</t>
        </is>
      </c>
      <c r="E2233" s="3" t="inlineStr">
        <is>
          <t>Generator Fixed Asset - Accum Depre</t>
        </is>
      </c>
      <c r="F2233" s="3" t="n">
        <v>-193.33</v>
      </c>
      <c r="G2233" s="3" t="n">
        <v>-2545.56</v>
      </c>
    </row>
    <row r="2234">
      <c r="A2234" s="3" t="inlineStr">
        <is>
          <t>Heron Fields (Pty) Ltd</t>
        </is>
      </c>
      <c r="B2234" s="4" t="n">
        <v>44895</v>
      </c>
      <c r="C2234" s="3" t="inlineStr">
        <is>
          <t>Assets</t>
        </is>
      </c>
      <c r="D2234" s="3" t="inlineStr">
        <is>
          <t>7610/395</t>
        </is>
      </c>
      <c r="E2234" s="3" t="inlineStr">
        <is>
          <t>HF CIP NHBRC</t>
        </is>
      </c>
      <c r="F2234" s="3" t="n">
        <v>0</v>
      </c>
      <c r="G2234" s="3" t="n">
        <v>874505.75</v>
      </c>
    </row>
    <row r="2235">
      <c r="A2235" s="3" t="inlineStr">
        <is>
          <t>Heron View (Pty) Ltd</t>
        </is>
      </c>
      <c r="B2235" s="4" t="n">
        <v>44895</v>
      </c>
      <c r="C2235" s="3" t="inlineStr">
        <is>
          <t>Assets</t>
        </is>
      </c>
      <c r="D2235" s="3" t="inlineStr">
        <is>
          <t>7610/395</t>
        </is>
      </c>
      <c r="E2235" s="3" t="inlineStr">
        <is>
          <t>Heron CIP NHBRC</t>
        </is>
      </c>
      <c r="F2235" s="3" t="n">
        <v>154268.25</v>
      </c>
      <c r="G2235" s="3" t="n">
        <v>439254.75</v>
      </c>
    </row>
    <row r="2236">
      <c r="A2236" s="3" t="inlineStr">
        <is>
          <t>Heron Fields (Pty) Ltd</t>
        </is>
      </c>
      <c r="B2236" s="4" t="n">
        <v>44895</v>
      </c>
      <c r="C2236" s="3" t="inlineStr">
        <is>
          <t>Assets</t>
        </is>
      </c>
      <c r="D2236" s="3" t="inlineStr">
        <is>
          <t>7620/100</t>
        </is>
      </c>
      <c r="E2236" s="3" t="inlineStr">
        <is>
          <t>Heron View Land</t>
        </is>
      </c>
      <c r="F2236" s="3" t="n">
        <v>0</v>
      </c>
      <c r="G2236" s="3" t="n">
        <v>26200000</v>
      </c>
    </row>
    <row r="2237">
      <c r="A2237" s="3" t="inlineStr">
        <is>
          <t>Heron Fields (Pty) Ltd</t>
        </is>
      </c>
      <c r="B2237" s="4" t="n">
        <v>44895</v>
      </c>
      <c r="C2237" s="3" t="inlineStr">
        <is>
          <t>Assets</t>
        </is>
      </c>
      <c r="D2237" s="3" t="inlineStr">
        <is>
          <t>7620/101</t>
        </is>
      </c>
      <c r="E2237" s="3" t="inlineStr">
        <is>
          <t>HF CIP Bond Registration Fee</t>
        </is>
      </c>
      <c r="F2237" s="3" t="n">
        <v>0</v>
      </c>
      <c r="G2237" s="3" t="n">
        <v>68427</v>
      </c>
    </row>
    <row r="2238">
      <c r="A2238" s="3" t="inlineStr">
        <is>
          <t>Heron Fields (Pty) Ltd</t>
        </is>
      </c>
      <c r="B2238" s="4" t="n">
        <v>44895</v>
      </c>
      <c r="C2238" s="3" t="inlineStr">
        <is>
          <t>Assets</t>
        </is>
      </c>
      <c r="D2238" s="3" t="inlineStr">
        <is>
          <t>7620/102</t>
        </is>
      </c>
      <c r="E2238" s="3" t="inlineStr">
        <is>
          <t>HF CIP Transfer Fee</t>
        </is>
      </c>
      <c r="F2238" s="3" t="n">
        <v>0</v>
      </c>
      <c r="G2238" s="3" t="n">
        <v>103812</v>
      </c>
    </row>
    <row r="2239">
      <c r="A2239" s="3" t="inlineStr">
        <is>
          <t>Heron Fields (Pty) Ltd</t>
        </is>
      </c>
      <c r="B2239" s="4" t="n">
        <v>44895</v>
      </c>
      <c r="C2239" s="3" t="inlineStr">
        <is>
          <t>Assets</t>
        </is>
      </c>
      <c r="D2239" s="3" t="inlineStr">
        <is>
          <t>7620/220</t>
        </is>
      </c>
      <c r="E2239" s="3" t="inlineStr">
        <is>
          <t>HF CIP Architectural Designs</t>
        </is>
      </c>
      <c r="F2239" s="3" t="n">
        <v>694158</v>
      </c>
      <c r="G2239" s="3" t="n">
        <v>844938</v>
      </c>
    </row>
    <row r="2240">
      <c r="A2240" s="3" t="inlineStr">
        <is>
          <t>Heron View (Pty) Ltd</t>
        </is>
      </c>
      <c r="B2240" s="4" t="n">
        <v>44895</v>
      </c>
      <c r="C2240" s="3" t="inlineStr">
        <is>
          <t>Assets</t>
        </is>
      </c>
      <c r="D2240" s="3" t="inlineStr">
        <is>
          <t>7620/220</t>
        </is>
      </c>
      <c r="E2240" s="3" t="inlineStr">
        <is>
          <t>Heron View CIP Architectural Designs</t>
        </is>
      </c>
      <c r="F2240" s="3" t="n">
        <v>249703.77</v>
      </c>
      <c r="G2240" s="3" t="n">
        <v>398921</v>
      </c>
    </row>
    <row r="2241">
      <c r="A2241" s="3" t="inlineStr">
        <is>
          <t>Heron Fields (Pty) Ltd</t>
        </is>
      </c>
      <c r="B2241" s="4" t="n">
        <v>44895</v>
      </c>
      <c r="C2241" s="3" t="inlineStr">
        <is>
          <t>Assets</t>
        </is>
      </c>
      <c r="D2241" s="3" t="inlineStr">
        <is>
          <t>7620/230</t>
        </is>
      </c>
      <c r="E2241" s="3" t="inlineStr">
        <is>
          <t>HF CIP Construction Management</t>
        </is>
      </c>
      <c r="F2241" s="3" t="n">
        <v>15000</v>
      </c>
      <c r="G2241" s="3" t="n">
        <v>120250</v>
      </c>
    </row>
    <row r="2242">
      <c r="A2242" s="3" t="inlineStr">
        <is>
          <t>Heron Fields (Pty) Ltd</t>
        </is>
      </c>
      <c r="B2242" s="4" t="n">
        <v>44895</v>
      </c>
      <c r="C2242" s="3" t="inlineStr">
        <is>
          <t>Assets</t>
        </is>
      </c>
      <c r="D2242" s="3" t="inlineStr">
        <is>
          <t>7620/240</t>
        </is>
      </c>
      <c r="E2242" s="3" t="inlineStr">
        <is>
          <t>HF CIP Civil Engineering</t>
        </is>
      </c>
      <c r="F2242" s="3" t="n">
        <v>0</v>
      </c>
      <c r="G2242" s="3" t="n">
        <v>8127641.8</v>
      </c>
    </row>
    <row r="2243">
      <c r="A2243" s="3" t="inlineStr">
        <is>
          <t>Heron Fields (Pty) Ltd</t>
        </is>
      </c>
      <c r="B2243" s="4" t="n">
        <v>44895</v>
      </c>
      <c r="C2243" s="3" t="inlineStr">
        <is>
          <t>Assets</t>
        </is>
      </c>
      <c r="D2243" s="3" t="inlineStr">
        <is>
          <t>7620/245</t>
        </is>
      </c>
      <c r="E2243" s="3" t="inlineStr">
        <is>
          <t>HF CIP Development fee</t>
        </is>
      </c>
      <c r="F2243" s="3" t="n">
        <v>0</v>
      </c>
      <c r="G2243" s="3" t="n">
        <v>13807.78</v>
      </c>
    </row>
    <row r="2244">
      <c r="A2244" s="3" t="inlineStr">
        <is>
          <t>Heron Fields (Pty) Ltd</t>
        </is>
      </c>
      <c r="B2244" s="4" t="n">
        <v>44895</v>
      </c>
      <c r="C2244" s="3" t="inlineStr">
        <is>
          <t>Assets</t>
        </is>
      </c>
      <c r="D2244" s="3" t="inlineStr">
        <is>
          <t>7620/250</t>
        </is>
      </c>
      <c r="E2244" s="3" t="inlineStr">
        <is>
          <t>HF CIP Land Surveyor</t>
        </is>
      </c>
      <c r="F2244" s="3" t="n">
        <v>3835</v>
      </c>
      <c r="G2244" s="3" t="n">
        <v>152123.09</v>
      </c>
    </row>
    <row r="2245">
      <c r="A2245" s="3" t="inlineStr">
        <is>
          <t>Heron View (Pty) Ltd</t>
        </is>
      </c>
      <c r="B2245" s="4" t="n">
        <v>44895</v>
      </c>
      <c r="C2245" s="3" t="inlineStr">
        <is>
          <t>Assets</t>
        </is>
      </c>
      <c r="D2245" s="3" t="inlineStr">
        <is>
          <t>7620/250</t>
        </is>
      </c>
      <c r="E2245" s="3" t="inlineStr">
        <is>
          <t>Heron View CIP Land Surveyor</t>
        </is>
      </c>
      <c r="F2245" s="3" t="n">
        <v>11650</v>
      </c>
      <c r="G2245" s="3" t="n">
        <v>11650</v>
      </c>
    </row>
    <row r="2246">
      <c r="A2246" s="3" t="inlineStr">
        <is>
          <t>Heron Fields (Pty) Ltd</t>
        </is>
      </c>
      <c r="B2246" s="4" t="n">
        <v>44895</v>
      </c>
      <c r="C2246" s="3" t="inlineStr">
        <is>
          <t>Assets</t>
        </is>
      </c>
      <c r="D2246" s="3" t="inlineStr">
        <is>
          <t>7620/255</t>
        </is>
      </c>
      <c r="E2246" s="3" t="inlineStr">
        <is>
          <t>HF CIP Landscaping</t>
        </is>
      </c>
      <c r="F2246" s="3" t="n">
        <v>0</v>
      </c>
      <c r="G2246" s="3" t="n">
        <v>7500</v>
      </c>
    </row>
    <row r="2247">
      <c r="A2247" s="3" t="inlineStr">
        <is>
          <t>Heron Fields (Pty) Ltd</t>
        </is>
      </c>
      <c r="B2247" s="4" t="n">
        <v>44895</v>
      </c>
      <c r="C2247" s="3" t="inlineStr">
        <is>
          <t>Assets</t>
        </is>
      </c>
      <c r="D2247" s="3" t="inlineStr">
        <is>
          <t>7620/260</t>
        </is>
      </c>
      <c r="E2247" s="3" t="inlineStr">
        <is>
          <t>HF CIP Mechanical Engineers</t>
        </is>
      </c>
      <c r="F2247" s="3" t="n">
        <v>0</v>
      </c>
      <c r="G2247" s="3" t="n">
        <v>67400</v>
      </c>
    </row>
    <row r="2248">
      <c r="A2248" s="3" t="inlineStr">
        <is>
          <t>Heron Fields (Pty) Ltd</t>
        </is>
      </c>
      <c r="B2248" s="4" t="n">
        <v>44895</v>
      </c>
      <c r="C2248" s="3" t="inlineStr">
        <is>
          <t>Assets</t>
        </is>
      </c>
      <c r="D2248" s="3" t="inlineStr">
        <is>
          <t>7620/265</t>
        </is>
      </c>
      <c r="E2248" s="3" t="inlineStr">
        <is>
          <t>HF CIP Health &amp; Safety</t>
        </is>
      </c>
      <c r="F2248" s="3" t="n">
        <v>1400</v>
      </c>
      <c r="G2248" s="3" t="n">
        <v>19200</v>
      </c>
    </row>
    <row r="2249">
      <c r="A2249" s="3" t="inlineStr">
        <is>
          <t>Heron Fields (Pty) Ltd</t>
        </is>
      </c>
      <c r="B2249" s="4" t="n">
        <v>44895</v>
      </c>
      <c r="C2249" s="3" t="inlineStr">
        <is>
          <t>Assets</t>
        </is>
      </c>
      <c r="D2249" s="3" t="inlineStr">
        <is>
          <t>7620/270</t>
        </is>
      </c>
      <c r="E2249" s="3" t="inlineStr">
        <is>
          <t>HF CIP Geotechnical</t>
        </is>
      </c>
      <c r="F2249" s="3" t="n">
        <v>0</v>
      </c>
      <c r="G2249" s="3" t="n">
        <v>15175</v>
      </c>
    </row>
    <row r="2250">
      <c r="A2250" s="3" t="inlineStr">
        <is>
          <t>Heron Fields (Pty) Ltd</t>
        </is>
      </c>
      <c r="B2250" s="4" t="n">
        <v>44895</v>
      </c>
      <c r="C2250" s="3" t="inlineStr">
        <is>
          <t>Assets</t>
        </is>
      </c>
      <c r="D2250" s="3" t="inlineStr">
        <is>
          <t>7620/275</t>
        </is>
      </c>
      <c r="E2250" s="3" t="inlineStr">
        <is>
          <t>HF CIP Retaining Wall</t>
        </is>
      </c>
      <c r="F2250" s="3" t="n">
        <v>0</v>
      </c>
      <c r="G2250" s="3" t="n">
        <v>570856.08</v>
      </c>
    </row>
    <row r="2251">
      <c r="A2251" s="3" t="inlineStr">
        <is>
          <t>Heron Fields (Pty) Ltd</t>
        </is>
      </c>
      <c r="B2251" s="4" t="n">
        <v>44895</v>
      </c>
      <c r="C2251" s="3" t="inlineStr">
        <is>
          <t>Assets</t>
        </is>
      </c>
      <c r="D2251" s="3" t="inlineStr">
        <is>
          <t>7620/280</t>
        </is>
      </c>
      <c r="E2251" s="3" t="inlineStr">
        <is>
          <t>HF CIP Site Establishment</t>
        </is>
      </c>
      <c r="F2251" s="3" t="n">
        <v>4324809.2</v>
      </c>
      <c r="G2251" s="3" t="n">
        <v>43331891.02</v>
      </c>
    </row>
    <row r="2252">
      <c r="A2252" s="3" t="inlineStr">
        <is>
          <t>Heron Fields (Pty) Ltd</t>
        </is>
      </c>
      <c r="B2252" s="4" t="n">
        <v>44895</v>
      </c>
      <c r="C2252" s="3" t="inlineStr">
        <is>
          <t>Assets</t>
        </is>
      </c>
      <c r="D2252" s="3" t="inlineStr">
        <is>
          <t>7620/285</t>
        </is>
      </c>
      <c r="E2252" s="3" t="inlineStr">
        <is>
          <t>HF CIP Structuring Fee - Invest</t>
        </is>
      </c>
      <c r="F2252" s="3" t="n">
        <v>0</v>
      </c>
      <c r="G2252" s="3" t="n">
        <v>3396905</v>
      </c>
    </row>
    <row r="2253">
      <c r="A2253" s="3" t="inlineStr">
        <is>
          <t>Heron Fields (Pty) Ltd</t>
        </is>
      </c>
      <c r="B2253" s="4" t="n">
        <v>44895</v>
      </c>
      <c r="C2253" s="3" t="inlineStr">
        <is>
          <t>Assets</t>
        </is>
      </c>
      <c r="D2253" s="3" t="inlineStr">
        <is>
          <t>7620/287</t>
        </is>
      </c>
      <c r="E2253" s="3" t="inlineStr">
        <is>
          <t>HF CIP Structuring Fee - Development</t>
        </is>
      </c>
      <c r="F2253" s="3" t="n">
        <v>0</v>
      </c>
      <c r="G2253" s="3" t="n">
        <v>782608.0699999999</v>
      </c>
    </row>
    <row r="2254">
      <c r="A2254" s="3" t="inlineStr">
        <is>
          <t>Heron Fields (Pty) Ltd</t>
        </is>
      </c>
      <c r="B2254" s="4" t="n">
        <v>44895</v>
      </c>
      <c r="C2254" s="3" t="inlineStr">
        <is>
          <t>Assets</t>
        </is>
      </c>
      <c r="D2254" s="3" t="inlineStr">
        <is>
          <t>7620/290</t>
        </is>
      </c>
      <c r="E2254" s="3" t="inlineStr">
        <is>
          <t>HF CIP Town Planning</t>
        </is>
      </c>
      <c r="F2254" s="3" t="n">
        <v>3000</v>
      </c>
      <c r="G2254" s="3" t="n">
        <v>166550</v>
      </c>
    </row>
    <row r="2255">
      <c r="A2255" s="3" t="inlineStr">
        <is>
          <t>Heron Fields (Pty) Ltd</t>
        </is>
      </c>
      <c r="B2255" s="4" t="n">
        <v>44895</v>
      </c>
      <c r="C2255" s="3" t="inlineStr">
        <is>
          <t>Assets</t>
        </is>
      </c>
      <c r="D2255" s="3" t="inlineStr">
        <is>
          <t>7620/295</t>
        </is>
      </c>
      <c r="E2255" s="3" t="inlineStr">
        <is>
          <t>HF CIP Traffic Planning</t>
        </is>
      </c>
      <c r="F2255" s="3" t="n">
        <v>0</v>
      </c>
      <c r="G2255" s="3" t="n">
        <v>45000</v>
      </c>
    </row>
    <row r="2256">
      <c r="A2256" s="3" t="inlineStr">
        <is>
          <t>Heron Fields (Pty) Ltd</t>
        </is>
      </c>
      <c r="B2256" s="4" t="n">
        <v>44895</v>
      </c>
      <c r="C2256" s="3" t="inlineStr">
        <is>
          <t>Assets</t>
        </is>
      </c>
      <c r="D2256" s="3" t="inlineStr">
        <is>
          <t>7620/600</t>
        </is>
      </c>
      <c r="E2256" s="3" t="inlineStr">
        <is>
          <t>HF CIP Eco work</t>
        </is>
      </c>
      <c r="F2256" s="3" t="n">
        <v>6000</v>
      </c>
      <c r="G2256" s="3" t="n">
        <v>113000</v>
      </c>
    </row>
    <row r="2257">
      <c r="A2257" s="3" t="inlineStr">
        <is>
          <t>Heron View (Pty) Ltd</t>
        </is>
      </c>
      <c r="B2257" s="4" t="n">
        <v>44895</v>
      </c>
      <c r="C2257" s="3" t="inlineStr">
        <is>
          <t>Assets</t>
        </is>
      </c>
      <c r="D2257" s="3" t="inlineStr">
        <is>
          <t>7620/610</t>
        </is>
      </c>
      <c r="E2257" s="3" t="inlineStr">
        <is>
          <t>HV CIP Retaining wall</t>
        </is>
      </c>
      <c r="F2257" s="3" t="n">
        <v>66190.11</v>
      </c>
      <c r="G2257" s="3" t="n">
        <v>66190.11</v>
      </c>
    </row>
    <row r="2258">
      <c r="A2258" s="3" t="inlineStr">
        <is>
          <t>Heron Fields (Pty) Ltd</t>
        </is>
      </c>
      <c r="B2258" s="4" t="n">
        <v>44895</v>
      </c>
      <c r="C2258" s="3" t="inlineStr">
        <is>
          <t>Assets</t>
        </is>
      </c>
      <c r="D2258" s="3" t="inlineStr">
        <is>
          <t>7620/630</t>
        </is>
      </c>
      <c r="E2258" s="3" t="inlineStr">
        <is>
          <t>HF CIP CoCT development contribution</t>
        </is>
      </c>
      <c r="F2258" s="3" t="n">
        <v>0</v>
      </c>
      <c r="G2258" s="3" t="n">
        <v>1021325.63</v>
      </c>
    </row>
    <row r="2259">
      <c r="A2259" s="3" t="inlineStr">
        <is>
          <t>Heron View (Pty) Ltd</t>
        </is>
      </c>
      <c r="B2259" s="4" t="n">
        <v>44895</v>
      </c>
      <c r="C2259" s="3" t="inlineStr">
        <is>
          <t>Assets</t>
        </is>
      </c>
      <c r="D2259" s="3" t="inlineStr">
        <is>
          <t>7620/630</t>
        </is>
      </c>
      <c r="E2259" s="3" t="inlineStr">
        <is>
          <t>Heron CIP - CoCT development contribution</t>
        </is>
      </c>
      <c r="F2259" s="3" t="n">
        <v>0</v>
      </c>
      <c r="G2259" s="3" t="n">
        <v>1238365.93</v>
      </c>
    </row>
    <row r="2260">
      <c r="A2260" s="3" t="inlineStr">
        <is>
          <t>Heron Fields (Pty) Ltd</t>
        </is>
      </c>
      <c r="B2260" s="4" t="n">
        <v>44895</v>
      </c>
      <c r="C2260" s="3" t="inlineStr">
        <is>
          <t>Assets</t>
        </is>
      </c>
      <c r="D2260" s="3" t="inlineStr">
        <is>
          <t>7620/640</t>
        </is>
      </c>
      <c r="E2260" s="3" t="inlineStr">
        <is>
          <t>HF CIP Project costs</t>
        </is>
      </c>
      <c r="F2260" s="3" t="n">
        <v>0</v>
      </c>
      <c r="G2260" s="3" t="n">
        <v>622274.51</v>
      </c>
    </row>
    <row r="2261">
      <c r="A2261" s="3" t="inlineStr">
        <is>
          <t>Heron View (Pty) Ltd</t>
        </is>
      </c>
      <c r="B2261" s="4" t="n">
        <v>44895</v>
      </c>
      <c r="C2261" s="3" t="inlineStr">
        <is>
          <t>Assets</t>
        </is>
      </c>
      <c r="D2261" s="3" t="inlineStr">
        <is>
          <t>7620/650</t>
        </is>
      </c>
      <c r="E2261" s="3" t="inlineStr">
        <is>
          <t>CIP - Construction Management</t>
        </is>
      </c>
      <c r="F2261" s="3" t="n">
        <v>4500</v>
      </c>
      <c r="G2261" s="3" t="n">
        <v>12030</v>
      </c>
    </row>
    <row r="2262">
      <c r="A2262" s="3" t="inlineStr">
        <is>
          <t>Heron Fields (Pty) Ltd</t>
        </is>
      </c>
      <c r="B2262" s="4" t="n">
        <v>44895</v>
      </c>
      <c r="C2262" s="3" t="inlineStr">
        <is>
          <t>Assets</t>
        </is>
      </c>
      <c r="D2262" s="3" t="inlineStr">
        <is>
          <t>7620/650</t>
        </is>
      </c>
      <c r="E2262" s="3" t="inlineStr">
        <is>
          <t>HF CIP Electrical</t>
        </is>
      </c>
      <c r="F2262" s="3" t="n">
        <v>0</v>
      </c>
      <c r="G2262" s="3" t="n">
        <v>985049.6800000001</v>
      </c>
    </row>
    <row r="2263">
      <c r="A2263" s="3" t="inlineStr">
        <is>
          <t>Heron View (Pty) Ltd</t>
        </is>
      </c>
      <c r="B2263" s="4" t="n">
        <v>44895</v>
      </c>
      <c r="C2263" s="3" t="inlineStr">
        <is>
          <t>Assets</t>
        </is>
      </c>
      <c r="D2263" s="3" t="inlineStr">
        <is>
          <t>7620/660</t>
        </is>
      </c>
      <c r="E2263" s="3" t="inlineStr">
        <is>
          <t>HV CIP Health &amp; Safety</t>
        </is>
      </c>
      <c r="F2263" s="3" t="n">
        <v>1100</v>
      </c>
      <c r="G2263" s="3" t="n">
        <v>11800</v>
      </c>
    </row>
    <row r="2264">
      <c r="A2264" s="3" t="inlineStr">
        <is>
          <t>Heron View (Pty) Ltd</t>
        </is>
      </c>
      <c r="B2264" s="4" t="n">
        <v>44895</v>
      </c>
      <c r="C2264" s="3" t="inlineStr">
        <is>
          <t>Assets</t>
        </is>
      </c>
      <c r="D2264" s="3" t="inlineStr">
        <is>
          <t>7620/670</t>
        </is>
      </c>
      <c r="E2264" s="3" t="inlineStr">
        <is>
          <t>HV CIP - Project costs CPSD</t>
        </is>
      </c>
      <c r="F2264" s="3" t="n">
        <v>0</v>
      </c>
      <c r="G2264" s="3" t="n">
        <v>250000</v>
      </c>
    </row>
    <row r="2265">
      <c r="A2265" s="3" t="inlineStr">
        <is>
          <t>Heron Fields (Pty) Ltd</t>
        </is>
      </c>
      <c r="B2265" s="4" t="n">
        <v>44895</v>
      </c>
      <c r="C2265" s="3" t="inlineStr">
        <is>
          <t>Assets</t>
        </is>
      </c>
      <c r="D2265" s="3" t="inlineStr">
        <is>
          <t>7620/700</t>
        </is>
      </c>
      <c r="E2265" s="3" t="inlineStr">
        <is>
          <t>HF CIP - P&amp;G recoveries - Endulini&amp;Heron Fields/View</t>
        </is>
      </c>
      <c r="F2265" s="3" t="n">
        <v>0</v>
      </c>
      <c r="G2265" s="3" t="n">
        <v>3023829.42</v>
      </c>
    </row>
    <row r="2266">
      <c r="A2266" s="3" t="inlineStr">
        <is>
          <t>Heron Fields (Pty) Ltd</t>
        </is>
      </c>
      <c r="B2266" s="4" t="n">
        <v>44895</v>
      </c>
      <c r="C2266" s="3" t="inlineStr">
        <is>
          <t>Assets</t>
        </is>
      </c>
      <c r="D2266" s="3" t="inlineStr">
        <is>
          <t>7620/750</t>
        </is>
      </c>
      <c r="E2266" s="3" t="inlineStr">
        <is>
          <t>HF CIP Project costs CPSD</t>
        </is>
      </c>
      <c r="F2266" s="3" t="n">
        <v>0</v>
      </c>
      <c r="G2266" s="3" t="n">
        <v>850000</v>
      </c>
    </row>
    <row r="2267">
      <c r="A2267" s="3" t="inlineStr">
        <is>
          <t>Cape Projects Construction (Pty) Ltd</t>
        </is>
      </c>
      <c r="B2267" s="4" t="n">
        <v>44895</v>
      </c>
      <c r="C2267" s="3" t="inlineStr">
        <is>
          <t>Assets</t>
        </is>
      </c>
      <c r="D2267" s="3" t="inlineStr">
        <is>
          <t>7800/000</t>
        </is>
      </c>
      <c r="E2267" s="3" t="inlineStr">
        <is>
          <t>Deposits paid</t>
        </is>
      </c>
      <c r="F2267" s="3" t="n">
        <v>0</v>
      </c>
      <c r="G2267" s="3" t="n">
        <v>8387.950000000001</v>
      </c>
    </row>
    <row r="2268">
      <c r="A2268" s="3" t="inlineStr">
        <is>
          <t>Cape Projects Construction (Pty) Ltd</t>
        </is>
      </c>
      <c r="B2268" s="4" t="n">
        <v>44895</v>
      </c>
      <c r="C2268" s="3" t="inlineStr">
        <is>
          <t>Assets</t>
        </is>
      </c>
      <c r="D2268" s="3" t="inlineStr">
        <is>
          <t>8000/000</t>
        </is>
      </c>
      <c r="E2268" s="3" t="inlineStr">
        <is>
          <t>Customer Control Account</t>
        </is>
      </c>
      <c r="F2268" s="3" t="n">
        <v>-373642.24</v>
      </c>
      <c r="G2268" s="3" t="n">
        <v>3713632.21</v>
      </c>
    </row>
    <row r="2269">
      <c r="A2269" s="3" t="inlineStr">
        <is>
          <t>Heron Fields (Pty) Ltd</t>
        </is>
      </c>
      <c r="B2269" s="4" t="n">
        <v>44895</v>
      </c>
      <c r="C2269" s="3" t="inlineStr">
        <is>
          <t>Assets</t>
        </is>
      </c>
      <c r="D2269" s="3" t="inlineStr">
        <is>
          <t>8000/000</t>
        </is>
      </c>
      <c r="E2269" s="3" t="inlineStr">
        <is>
          <t>Customer Control Account</t>
        </is>
      </c>
      <c r="F2269" s="3" t="n">
        <v>10000</v>
      </c>
      <c r="G2269" s="3" t="n">
        <v>10000</v>
      </c>
    </row>
    <row r="2270">
      <c r="A2270" s="3" t="inlineStr">
        <is>
          <t>Cape Projects Construction (Pty) Ltd</t>
        </is>
      </c>
      <c r="B2270" s="4" t="n">
        <v>44895</v>
      </c>
      <c r="C2270" s="3" t="inlineStr">
        <is>
          <t>Assets</t>
        </is>
      </c>
      <c r="D2270" s="3" t="inlineStr">
        <is>
          <t>8200/010</t>
        </is>
      </c>
      <c r="E2270" s="3" t="inlineStr">
        <is>
          <t>Prepayments / Prepaid Expenses</t>
        </is>
      </c>
      <c r="F2270" s="3" t="n">
        <v>-2719.44</v>
      </c>
      <c r="G2270" s="3" t="n">
        <v>10877.75</v>
      </c>
    </row>
    <row r="2271">
      <c r="A2271" s="3" t="inlineStr">
        <is>
          <t>Heron Fields (Pty) Ltd</t>
        </is>
      </c>
      <c r="B2271" s="4" t="n">
        <v>44895</v>
      </c>
      <c r="C2271" s="3" t="inlineStr">
        <is>
          <t>Assets</t>
        </is>
      </c>
      <c r="D2271" s="3" t="inlineStr">
        <is>
          <t>8400/000</t>
        </is>
      </c>
      <c r="E2271" s="3" t="inlineStr">
        <is>
          <t>RMB - 62882379087</t>
        </is>
      </c>
      <c r="F2271" s="3" t="n">
        <v>1348338.4</v>
      </c>
      <c r="G2271" s="3" t="n">
        <v>1669217.49</v>
      </c>
    </row>
    <row r="2272">
      <c r="A2272" s="3" t="inlineStr">
        <is>
          <t>Cape Projects Construction (Pty) Ltd</t>
        </is>
      </c>
      <c r="B2272" s="4" t="n">
        <v>44895</v>
      </c>
      <c r="C2272" s="3" t="inlineStr">
        <is>
          <t>Assets</t>
        </is>
      </c>
      <c r="D2272" s="3" t="inlineStr">
        <is>
          <t>8400/000</t>
        </is>
      </c>
      <c r="E2272" s="3" t="inlineStr">
        <is>
          <t>RMB 62275138470</t>
        </is>
      </c>
      <c r="F2272" s="3" t="n">
        <v>1709176.01</v>
      </c>
      <c r="G2272" s="3" t="n">
        <v>1813733.65</v>
      </c>
    </row>
    <row r="2273">
      <c r="A2273" s="3" t="inlineStr">
        <is>
          <t>Cape Projects Construction (Pty) Ltd</t>
        </is>
      </c>
      <c r="B2273" s="4" t="n">
        <v>44895</v>
      </c>
      <c r="C2273" s="3" t="inlineStr">
        <is>
          <t>Assets</t>
        </is>
      </c>
      <c r="D2273" s="3" t="inlineStr">
        <is>
          <t>8420/000</t>
        </is>
      </c>
      <c r="E2273" s="3" t="inlineStr">
        <is>
          <t>Momentum Priv Acc RU502230981</t>
        </is>
      </c>
      <c r="F2273" s="3" t="n">
        <v>0</v>
      </c>
      <c r="G2273" s="3" t="n">
        <v>527.86</v>
      </c>
    </row>
    <row r="2274">
      <c r="A2274" s="3" t="inlineStr">
        <is>
          <t>Heron Fields (Pty) Ltd</t>
        </is>
      </c>
      <c r="B2274" s="4" t="n">
        <v>44895</v>
      </c>
      <c r="C2274" s="3" t="inlineStr">
        <is>
          <t>Assets</t>
        </is>
      </c>
      <c r="D2274" s="3" t="inlineStr">
        <is>
          <t>8430/000</t>
        </is>
      </c>
      <c r="E2274" s="3" t="inlineStr">
        <is>
          <t>Momentum Private Account RU502230151</t>
        </is>
      </c>
      <c r="F2274" s="3" t="n">
        <v>4.03</v>
      </c>
      <c r="G2274" s="3" t="n">
        <v>813.9400000000001</v>
      </c>
    </row>
    <row r="2275">
      <c r="A2275" s="3" t="inlineStr">
        <is>
          <t>Heron Fields (Pty) Ltd</t>
        </is>
      </c>
      <c r="B2275" s="4" t="n">
        <v>44895</v>
      </c>
      <c r="C2275" s="3" t="inlineStr">
        <is>
          <t>Assets</t>
        </is>
      </c>
      <c r="D2275" s="3" t="inlineStr">
        <is>
          <t>8440/000</t>
        </is>
      </c>
      <c r="E2275" s="3" t="inlineStr">
        <is>
          <t>Momentum Investors Account RU502229930</t>
        </is>
      </c>
      <c r="F2275" s="3" t="n">
        <v>869537.73</v>
      </c>
      <c r="G2275" s="3" t="n">
        <v>9715961.609999999</v>
      </c>
    </row>
    <row r="2276">
      <c r="A2276" s="3" t="inlineStr">
        <is>
          <t>Cape Projects Construction (Pty) Ltd</t>
        </is>
      </c>
      <c r="B2276" s="4" t="n">
        <v>44895</v>
      </c>
      <c r="C2276" s="3" t="inlineStr">
        <is>
          <t>Liabilities</t>
        </is>
      </c>
      <c r="D2276" s="3" t="inlineStr">
        <is>
          <t>860</t>
        </is>
      </c>
      <c r="E2276" s="3" t="inlineStr">
        <is>
          <t>Rounding</t>
        </is>
      </c>
      <c r="F2276" s="3" t="n">
        <v>-0.17</v>
      </c>
      <c r="G2276" s="3" t="n">
        <v>-0.49</v>
      </c>
    </row>
    <row r="2277">
      <c r="A2277" s="3" t="inlineStr">
        <is>
          <t>Cape Projects Construction (Pty) Ltd</t>
        </is>
      </c>
      <c r="B2277" s="4" t="n">
        <v>44895</v>
      </c>
      <c r="C2277" s="3" t="inlineStr">
        <is>
          <t>Liabilities</t>
        </is>
      </c>
      <c r="D2277" s="3" t="inlineStr">
        <is>
          <t>9000/000</t>
        </is>
      </c>
      <c r="E2277" s="3" t="inlineStr">
        <is>
          <t>Supplier Control Account</t>
        </is>
      </c>
      <c r="F2277" s="3" t="n">
        <v>-1189280.17</v>
      </c>
      <c r="G2277" s="3" t="n">
        <v>-4705629.72</v>
      </c>
    </row>
    <row r="2278">
      <c r="A2278" s="3" t="inlineStr">
        <is>
          <t>Heron Fields (Pty) Ltd</t>
        </is>
      </c>
      <c r="B2278" s="4" t="n">
        <v>44895</v>
      </c>
      <c r="C2278" s="3" t="inlineStr">
        <is>
          <t>Liabilities</t>
        </is>
      </c>
      <c r="D2278" s="3" t="inlineStr">
        <is>
          <t>9000/000</t>
        </is>
      </c>
      <c r="E2278" s="3" t="inlineStr">
        <is>
          <t>Supplier Control Account</t>
        </is>
      </c>
      <c r="F2278" s="3" t="n">
        <v>5520573.29</v>
      </c>
      <c r="G2278" s="3" t="n">
        <v>-103763296.33</v>
      </c>
    </row>
    <row r="2279">
      <c r="A2279" s="3" t="inlineStr">
        <is>
          <t>Heron View (Pty) Ltd</t>
        </is>
      </c>
      <c r="B2279" s="4" t="n">
        <v>44895</v>
      </c>
      <c r="C2279" s="3" t="inlineStr">
        <is>
          <t>Liabilities</t>
        </is>
      </c>
      <c r="D2279" s="3" t="inlineStr">
        <is>
          <t>9000/000</t>
        </is>
      </c>
      <c r="E2279" s="3" t="inlineStr">
        <is>
          <t>Supplier Control Account</t>
        </is>
      </c>
      <c r="F2279" s="3" t="n">
        <v>-542058.72</v>
      </c>
      <c r="G2279" s="3" t="n">
        <v>-715858.53</v>
      </c>
    </row>
    <row r="2280">
      <c r="A2280" s="3" t="inlineStr">
        <is>
          <t>Cape Projects Construction (Pty) Ltd</t>
        </is>
      </c>
      <c r="B2280" s="4" t="n">
        <v>44895</v>
      </c>
      <c r="C2280" s="3" t="inlineStr">
        <is>
          <t>Liabilities</t>
        </is>
      </c>
      <c r="D2280" s="3" t="inlineStr">
        <is>
          <t>9200/000</t>
        </is>
      </c>
      <c r="E2280" s="3" t="inlineStr">
        <is>
          <t>Sundry Suppliers</t>
        </is>
      </c>
      <c r="F2280" s="3" t="n">
        <v>0</v>
      </c>
      <c r="G2280" s="3" t="n">
        <v>1186.13</v>
      </c>
    </row>
    <row r="2281">
      <c r="A2281" s="3" t="inlineStr">
        <is>
          <t>Cape Projects Construction (Pty) Ltd</t>
        </is>
      </c>
      <c r="B2281" s="4" t="n">
        <v>44895</v>
      </c>
      <c r="C2281" s="3" t="inlineStr">
        <is>
          <t>Liabilities</t>
        </is>
      </c>
      <c r="D2281" s="3" t="inlineStr">
        <is>
          <t>9250/010</t>
        </is>
      </c>
      <c r="E2281" s="3" t="inlineStr">
        <is>
          <t>SALARY CONTROL</t>
        </is>
      </c>
      <c r="F2281" s="3" t="n">
        <v>0</v>
      </c>
      <c r="G2281" s="3" t="n">
        <v>20758.55</v>
      </c>
    </row>
    <row r="2282">
      <c r="A2282" s="3" t="inlineStr">
        <is>
          <t>Cape Projects Construction (Pty) Ltd</t>
        </is>
      </c>
      <c r="B2282" s="4" t="n">
        <v>44895</v>
      </c>
      <c r="C2282" s="3" t="inlineStr">
        <is>
          <t>Liabilities</t>
        </is>
      </c>
      <c r="D2282" s="3" t="inlineStr">
        <is>
          <t>9250/020</t>
        </is>
      </c>
      <c r="E2282" s="3" t="inlineStr">
        <is>
          <t>PAYE, UIF AND SDL CONTROL</t>
        </is>
      </c>
      <c r="F2282" s="3" t="n">
        <v>7816.97</v>
      </c>
      <c r="G2282" s="3" t="n">
        <v>-29956.55</v>
      </c>
    </row>
    <row r="2283">
      <c r="A2283" s="3" t="inlineStr">
        <is>
          <t>Cape Projects Construction (Pty) Ltd</t>
        </is>
      </c>
      <c r="B2283" s="4" t="n">
        <v>44895</v>
      </c>
      <c r="C2283" s="3" t="inlineStr">
        <is>
          <t>Liabilities</t>
        </is>
      </c>
      <c r="D2283" s="3" t="inlineStr">
        <is>
          <t>9250/030</t>
        </is>
      </c>
      <c r="E2283" s="3" t="inlineStr">
        <is>
          <t>BIBC CONTROL</t>
        </is>
      </c>
      <c r="F2283" s="3" t="n">
        <v>2562.95</v>
      </c>
      <c r="G2283" s="3" t="n">
        <v>-11348.75</v>
      </c>
    </row>
    <row r="2284">
      <c r="A2284" s="3" t="inlineStr">
        <is>
          <t>Cape Projects Construction (Pty) Ltd</t>
        </is>
      </c>
      <c r="B2284" s="4" t="n">
        <v>44895</v>
      </c>
      <c r="C2284" s="3" t="inlineStr">
        <is>
          <t>Liabilities</t>
        </is>
      </c>
      <c r="D2284" s="3" t="inlineStr">
        <is>
          <t>9500/000</t>
        </is>
      </c>
      <c r="E2284" s="3" t="inlineStr">
        <is>
          <t>VAT Control Account</t>
        </is>
      </c>
      <c r="F2284" s="3" t="n">
        <v>-181396.47</v>
      </c>
      <c r="G2284" s="3" t="n">
        <v>-255924.7</v>
      </c>
    </row>
    <row r="2285">
      <c r="A2285" s="3" t="inlineStr">
        <is>
          <t>Heron Fields (Pty) Ltd</t>
        </is>
      </c>
      <c r="B2285" s="4" t="n">
        <v>44895</v>
      </c>
      <c r="C2285" s="3" t="inlineStr">
        <is>
          <t>Liabilities</t>
        </is>
      </c>
      <c r="D2285" s="3" t="inlineStr">
        <is>
          <t>9500/000</t>
        </is>
      </c>
      <c r="E2285" s="3" t="inlineStr">
        <is>
          <t>Vat / Tax Control Account</t>
        </is>
      </c>
      <c r="F2285" s="3" t="n">
        <v>-6589202.67</v>
      </c>
      <c r="G2285" s="3" t="n">
        <v>-1488130.97</v>
      </c>
    </row>
    <row r="2286">
      <c r="A2286" s="3" t="inlineStr">
        <is>
          <t>Heron View (Pty) Ltd</t>
        </is>
      </c>
      <c r="B2286" s="4" t="n">
        <v>44895</v>
      </c>
      <c r="C2286" s="3" t="inlineStr">
        <is>
          <t>Liabilities</t>
        </is>
      </c>
      <c r="D2286" s="3" t="inlineStr">
        <is>
          <t>9500/000</t>
        </is>
      </c>
      <c r="E2286" s="3" t="inlineStr">
        <is>
          <t>Vat / Tax Control Account</t>
        </is>
      </c>
      <c r="F2286" s="3" t="n">
        <v>47646.59</v>
      </c>
      <c r="G2286" s="3" t="n">
        <v>294976.54</v>
      </c>
    </row>
    <row r="2287">
      <c r="A2287" s="3" t="inlineStr">
        <is>
          <t>Heron Fields (Pty) Ltd</t>
        </is>
      </c>
      <c r="B2287" s="4" t="n">
        <v>44895</v>
      </c>
      <c r="C2287" s="3" t="inlineStr">
        <is>
          <t>Liabilities</t>
        </is>
      </c>
      <c r="D2287" s="3" t="inlineStr">
        <is>
          <t>9899/A101</t>
        </is>
      </c>
      <c r="E2287" s="3" t="inlineStr">
        <is>
          <t>Sales - Unit Reg Control A101</t>
        </is>
      </c>
      <c r="F2287" s="3" t="n">
        <v>74995</v>
      </c>
      <c r="G2287" s="3" t="n">
        <v>74995</v>
      </c>
    </row>
    <row r="2288">
      <c r="A2288" s="3" t="inlineStr">
        <is>
          <t>Heron Fields (Pty) Ltd</t>
        </is>
      </c>
      <c r="B2288" s="4" t="n">
        <v>44895</v>
      </c>
      <c r="C2288" s="3" t="inlineStr">
        <is>
          <t>Liabilities</t>
        </is>
      </c>
      <c r="D2288" s="3" t="inlineStr">
        <is>
          <t>9899/A102</t>
        </is>
      </c>
      <c r="E2288" s="3" t="inlineStr">
        <is>
          <t>Sales - Unit Reg Control A102</t>
        </is>
      </c>
      <c r="F2288" s="3" t="n">
        <v>74995</v>
      </c>
      <c r="G2288" s="3" t="n">
        <v>74995</v>
      </c>
    </row>
    <row r="2289">
      <c r="A2289" s="3" t="inlineStr">
        <is>
          <t>Heron Fields (Pty) Ltd</t>
        </is>
      </c>
      <c r="B2289" s="4" t="n">
        <v>44895</v>
      </c>
      <c r="C2289" s="3" t="inlineStr">
        <is>
          <t>Liabilities</t>
        </is>
      </c>
      <c r="D2289" s="3" t="inlineStr">
        <is>
          <t>9899/A103</t>
        </is>
      </c>
      <c r="E2289" s="3" t="inlineStr">
        <is>
          <t>Sales - Unit Reg Control A103</t>
        </is>
      </c>
      <c r="F2289" s="3" t="n">
        <v>77495</v>
      </c>
      <c r="G2289" s="3" t="n">
        <v>77495</v>
      </c>
    </row>
    <row r="2290">
      <c r="A2290" s="3" t="inlineStr">
        <is>
          <t>Heron Fields (Pty) Ltd</t>
        </is>
      </c>
      <c r="B2290" s="4" t="n">
        <v>44895</v>
      </c>
      <c r="C2290" s="3" t="inlineStr">
        <is>
          <t>Liabilities</t>
        </is>
      </c>
      <c r="D2290" s="3" t="inlineStr">
        <is>
          <t>9899/A105</t>
        </is>
      </c>
      <c r="E2290" s="3" t="inlineStr">
        <is>
          <t>Sales - Unit Reg Control A105</t>
        </is>
      </c>
      <c r="F2290" s="3" t="n">
        <v>76995</v>
      </c>
      <c r="G2290" s="3" t="n">
        <v>76995</v>
      </c>
    </row>
    <row r="2291">
      <c r="A2291" s="3" t="inlineStr">
        <is>
          <t>Heron Fields (Pty) Ltd</t>
        </is>
      </c>
      <c r="B2291" s="4" t="n">
        <v>44895</v>
      </c>
      <c r="C2291" s="3" t="inlineStr">
        <is>
          <t>Liabilities</t>
        </is>
      </c>
      <c r="D2291" s="3" t="inlineStr">
        <is>
          <t>9899/A106</t>
        </is>
      </c>
      <c r="E2291" s="3" t="inlineStr">
        <is>
          <t>Sales - Unit Reg Control A106</t>
        </is>
      </c>
      <c r="F2291" s="3" t="n">
        <v>77495</v>
      </c>
      <c r="G2291" s="3" t="n">
        <v>77495</v>
      </c>
    </row>
    <row r="2292">
      <c r="A2292" s="3" t="inlineStr">
        <is>
          <t>Heron Fields (Pty) Ltd</t>
        </is>
      </c>
      <c r="B2292" s="4" t="n">
        <v>44895</v>
      </c>
      <c r="C2292" s="3" t="inlineStr">
        <is>
          <t>Liabilities</t>
        </is>
      </c>
      <c r="D2292" s="3" t="inlineStr">
        <is>
          <t>9899/A201</t>
        </is>
      </c>
      <c r="E2292" s="3" t="inlineStr">
        <is>
          <t>Sales - Unit Reg Control A201</t>
        </is>
      </c>
      <c r="F2292" s="3" t="n">
        <v>62495</v>
      </c>
      <c r="G2292" s="3" t="n">
        <v>62495</v>
      </c>
    </row>
    <row r="2293">
      <c r="A2293" s="3" t="inlineStr">
        <is>
          <t>Heron Fields (Pty) Ltd</t>
        </is>
      </c>
      <c r="B2293" s="4" t="n">
        <v>44895</v>
      </c>
      <c r="C2293" s="3" t="inlineStr">
        <is>
          <t>Liabilities</t>
        </is>
      </c>
      <c r="D2293" s="3" t="inlineStr">
        <is>
          <t>9899/A204</t>
        </is>
      </c>
      <c r="E2293" s="3" t="inlineStr">
        <is>
          <t>Sales - Unit Reg Control A204</t>
        </is>
      </c>
      <c r="F2293" s="3" t="n">
        <v>64995</v>
      </c>
      <c r="G2293" s="3" t="n">
        <v>64995</v>
      </c>
    </row>
    <row r="2294">
      <c r="A2294" s="3" t="inlineStr">
        <is>
          <t>Heron Fields (Pty) Ltd</t>
        </is>
      </c>
      <c r="B2294" s="4" t="n">
        <v>44895</v>
      </c>
      <c r="C2294" s="3" t="inlineStr">
        <is>
          <t>Liabilities</t>
        </is>
      </c>
      <c r="D2294" s="3" t="inlineStr">
        <is>
          <t>9899/A206</t>
        </is>
      </c>
      <c r="E2294" s="3" t="inlineStr">
        <is>
          <t>Sales - Unit Reg Control A206</t>
        </is>
      </c>
      <c r="F2294" s="3" t="n">
        <v>67495</v>
      </c>
      <c r="G2294" s="3" t="n">
        <v>67495</v>
      </c>
    </row>
    <row r="2295">
      <c r="A2295" s="3" t="inlineStr">
        <is>
          <t>Heron Fields (Pty) Ltd</t>
        </is>
      </c>
      <c r="B2295" s="4" t="n">
        <v>44895</v>
      </c>
      <c r="C2295" s="3" t="inlineStr">
        <is>
          <t>Liabilities</t>
        </is>
      </c>
      <c r="D2295" s="3" t="inlineStr">
        <is>
          <t>9899/B103</t>
        </is>
      </c>
      <c r="E2295" s="3" t="inlineStr">
        <is>
          <t>Sales - Unit Reg Control B103</t>
        </is>
      </c>
      <c r="F2295" s="3" t="n">
        <v>76745</v>
      </c>
      <c r="G2295" s="3" t="n">
        <v>76745</v>
      </c>
    </row>
    <row r="2296">
      <c r="A2296" s="3" t="inlineStr">
        <is>
          <t>Cape Projects Construction (Pty) Ltd</t>
        </is>
      </c>
      <c r="B2296" s="4" t="n">
        <v>44895</v>
      </c>
      <c r="C2296" s="3" t="inlineStr">
        <is>
          <t>Liabilities</t>
        </is>
      </c>
      <c r="D2296" s="3" t="inlineStr">
        <is>
          <t>B/S</t>
        </is>
      </c>
      <c r="E2296" s="3" t="inlineStr">
        <is>
          <t>Taxation Payable</t>
        </is>
      </c>
      <c r="F2296" s="3" t="n">
        <v>0</v>
      </c>
      <c r="G2296" s="3" t="n">
        <v>1869.8</v>
      </c>
    </row>
    <row r="2297">
      <c r="A2297" s="3" t="inlineStr">
        <is>
          <t>Cape Projects Construction (Pty) Ltd</t>
        </is>
      </c>
      <c r="B2297" s="4" t="n">
        <v>44895</v>
      </c>
      <c r="C2297" s="3" t="inlineStr">
        <is>
          <t>Liabilities</t>
        </is>
      </c>
      <c r="D2297" s="3" t="inlineStr">
        <is>
          <t>TEMP/ACC</t>
        </is>
      </c>
      <c r="E2297" s="3" t="inlineStr">
        <is>
          <t>Conversion Account</t>
        </is>
      </c>
      <c r="F2297" s="3" t="n">
        <v>0</v>
      </c>
      <c r="G2297" s="3" t="n">
        <v>-254.99</v>
      </c>
    </row>
    <row r="2298">
      <c r="A2298" s="3" t="inlineStr">
        <is>
          <t>Heron Fields (Pty) Ltd</t>
        </is>
      </c>
      <c r="B2298" s="4" t="n">
        <v>44926</v>
      </c>
      <c r="C2298" s="3" t="inlineStr">
        <is>
          <t>Revenue</t>
        </is>
      </c>
      <c r="D2298" s="3" t="inlineStr">
        <is>
          <t>1000/100</t>
        </is>
      </c>
      <c r="E2298" s="3" t="inlineStr">
        <is>
          <t>Sales - Heron Fields</t>
        </is>
      </c>
      <c r="F2298" s="3" t="n">
        <v>-8891565.23</v>
      </c>
      <c r="G2298" s="3" t="n">
        <v>-22716695.67</v>
      </c>
    </row>
    <row r="2299">
      <c r="A2299" s="3" t="inlineStr">
        <is>
          <t>Heron Fields (Pty) Ltd</t>
        </is>
      </c>
      <c r="B2299" s="4" t="n">
        <v>44926</v>
      </c>
      <c r="C2299" s="3" t="inlineStr">
        <is>
          <t>Revenue</t>
        </is>
      </c>
      <c r="D2299" s="3" t="inlineStr">
        <is>
          <t>1000/101</t>
        </is>
      </c>
      <c r="E2299" s="3" t="inlineStr">
        <is>
          <t>Sales - Heron Fields occupational rent</t>
        </is>
      </c>
      <c r="F2299" s="3" t="n">
        <v>-22499.99</v>
      </c>
      <c r="G2299" s="3" t="n">
        <v>-89091.39</v>
      </c>
    </row>
    <row r="2300">
      <c r="A2300" s="3" t="inlineStr">
        <is>
          <t>Cape Projects Construction (Pty) Ltd</t>
        </is>
      </c>
      <c r="B2300" s="4" t="n">
        <v>44926</v>
      </c>
      <c r="C2300" s="3" t="inlineStr">
        <is>
          <t>Revenue</t>
        </is>
      </c>
      <c r="D2300" s="3" t="inlineStr">
        <is>
          <t>1040/100</t>
        </is>
      </c>
      <c r="E2300" s="3" t="inlineStr">
        <is>
          <t>Fees - Construction - Heron</t>
        </is>
      </c>
      <c r="F2300" s="3" t="n">
        <v>-4857562.08</v>
      </c>
      <c r="G2300" s="3" t="n">
        <v>-45832766.89</v>
      </c>
    </row>
    <row r="2301">
      <c r="A2301" s="3" t="inlineStr">
        <is>
          <t>Cape Projects Construction (Pty) Ltd</t>
        </is>
      </c>
      <c r="B2301" s="4" t="n">
        <v>44926</v>
      </c>
      <c r="C2301" s="3" t="inlineStr">
        <is>
          <t>Revenue</t>
        </is>
      </c>
      <c r="D2301" s="3" t="inlineStr">
        <is>
          <t>1050/030</t>
        </is>
      </c>
      <c r="E2301" s="3" t="inlineStr">
        <is>
          <t>Fees - Construction - Endulini</t>
        </is>
      </c>
      <c r="F2301" s="3" t="n">
        <v>0</v>
      </c>
      <c r="G2301" s="3" t="n">
        <v>-12046638.06</v>
      </c>
    </row>
    <row r="2302">
      <c r="A2302" s="3" t="inlineStr">
        <is>
          <t>Cape Projects Construction (Pty) Ltd</t>
        </is>
      </c>
      <c r="B2302" s="4" t="n">
        <v>44926</v>
      </c>
      <c r="C2302" s="3" t="inlineStr">
        <is>
          <t>Revenue</t>
        </is>
      </c>
      <c r="D2302" s="3" t="inlineStr">
        <is>
          <t>1051/100</t>
        </is>
      </c>
      <c r="E2302" s="3" t="inlineStr">
        <is>
          <t>Fees - Construction - Heron Fields</t>
        </is>
      </c>
      <c r="F2302" s="3" t="n">
        <v>0</v>
      </c>
      <c r="G2302" s="3" t="n">
        <v>-1782369.8</v>
      </c>
    </row>
    <row r="2303">
      <c r="A2303" s="3" t="inlineStr">
        <is>
          <t>Cape Projects Construction (Pty) Ltd</t>
        </is>
      </c>
      <c r="B2303" s="4" t="n">
        <v>44926</v>
      </c>
      <c r="C2303" s="3" t="inlineStr">
        <is>
          <t>Revenue</t>
        </is>
      </c>
      <c r="D2303" s="3" t="inlineStr">
        <is>
          <t>1051/200</t>
        </is>
      </c>
      <c r="E2303" s="3" t="inlineStr">
        <is>
          <t>Fees - Construction - Heron Fields P&amp;G</t>
        </is>
      </c>
      <c r="F2303" s="3" t="n">
        <v>0</v>
      </c>
      <c r="G2303" s="3" t="n">
        <v>1616.91</v>
      </c>
    </row>
    <row r="2304">
      <c r="A2304" s="3" t="inlineStr">
        <is>
          <t>Cape Projects Construction (Pty) Ltd</t>
        </is>
      </c>
      <c r="B2304" s="4" t="n">
        <v>44926</v>
      </c>
      <c r="C2304" s="3" t="inlineStr">
        <is>
          <t>Revenue</t>
        </is>
      </c>
      <c r="D2304" s="3" t="inlineStr">
        <is>
          <t>1060/000</t>
        </is>
      </c>
      <c r="E2304" s="3" t="inlineStr">
        <is>
          <t>Insurance recovery</t>
        </is>
      </c>
      <c r="F2304" s="3" t="n">
        <v>0</v>
      </c>
      <c r="G2304" s="3" t="n">
        <v>-2839.7</v>
      </c>
    </row>
    <row r="2305">
      <c r="A2305" s="3" t="inlineStr">
        <is>
          <t>Cape Projects Construction (Pty) Ltd</t>
        </is>
      </c>
      <c r="B2305" s="4" t="n">
        <v>44926</v>
      </c>
      <c r="C2305" s="3" t="inlineStr">
        <is>
          <t>Revenue</t>
        </is>
      </c>
      <c r="D2305" s="3" t="inlineStr">
        <is>
          <t>1070/000</t>
        </is>
      </c>
      <c r="E2305" s="3" t="inlineStr">
        <is>
          <t>Rent - CT Office</t>
        </is>
      </c>
      <c r="F2305" s="3" t="n">
        <v>0</v>
      </c>
      <c r="G2305" s="3" t="n">
        <v>-31418.46</v>
      </c>
    </row>
    <row r="2306">
      <c r="A2306" s="3" t="inlineStr">
        <is>
          <t>Heron View (Pty) Ltd</t>
        </is>
      </c>
      <c r="B2306" s="4" t="n">
        <v>44926</v>
      </c>
      <c r="C2306" s="3" t="inlineStr">
        <is>
          <t>Expenses</t>
        </is>
      </c>
      <c r="D2306" s="3" t="inlineStr">
        <is>
          <t>2000/010</t>
        </is>
      </c>
      <c r="E2306" s="3" t="inlineStr">
        <is>
          <t>COS - Heron View</t>
        </is>
      </c>
      <c r="F2306" s="3" t="n">
        <v>0</v>
      </c>
      <c r="G2306" s="3" t="n">
        <v>678.59</v>
      </c>
    </row>
    <row r="2307">
      <c r="A2307" s="3" t="inlineStr">
        <is>
          <t>Heron Fields (Pty) Ltd</t>
        </is>
      </c>
      <c r="B2307" s="4" t="n">
        <v>44926</v>
      </c>
      <c r="C2307" s="3" t="inlineStr">
        <is>
          <t>Expenses</t>
        </is>
      </c>
      <c r="D2307" s="3" t="inlineStr">
        <is>
          <t>2000/030</t>
        </is>
      </c>
      <c r="E2307" s="3" t="inlineStr">
        <is>
          <t>COS - Commission Heron Fields investors</t>
        </is>
      </c>
      <c r="F2307" s="3" t="n">
        <v>0</v>
      </c>
      <c r="G2307" s="3" t="n">
        <v>86956.52</v>
      </c>
    </row>
    <row r="2308">
      <c r="A2308" s="3" t="inlineStr">
        <is>
          <t>Heron Fields (Pty) Ltd</t>
        </is>
      </c>
      <c r="B2308" s="4" t="n">
        <v>44926</v>
      </c>
      <c r="C2308" s="3" t="inlineStr">
        <is>
          <t>Expenses</t>
        </is>
      </c>
      <c r="D2308" s="3" t="inlineStr">
        <is>
          <t>2000/040</t>
        </is>
      </c>
      <c r="E2308" s="3" t="inlineStr">
        <is>
          <t>COS - Legal Fees</t>
        </is>
      </c>
      <c r="F2308" s="3" t="n">
        <v>157031.19</v>
      </c>
      <c r="G2308" s="3" t="n">
        <v>590147.95</v>
      </c>
    </row>
    <row r="2309">
      <c r="A2309" s="3" t="inlineStr">
        <is>
          <t>Heron Fields (Pty) Ltd</t>
        </is>
      </c>
      <c r="B2309" s="4" t="n">
        <v>44926</v>
      </c>
      <c r="C2309" s="3" t="inlineStr">
        <is>
          <t>Expenses</t>
        </is>
      </c>
      <c r="D2309" s="3" t="inlineStr">
        <is>
          <t>2000/050</t>
        </is>
      </c>
      <c r="E2309" s="3" t="inlineStr">
        <is>
          <t>COS - Rates clearance</t>
        </is>
      </c>
      <c r="F2309" s="3" t="n">
        <v>0</v>
      </c>
      <c r="G2309" s="3" t="n">
        <v>9738.91</v>
      </c>
    </row>
    <row r="2310">
      <c r="A2310" s="3" t="inlineStr">
        <is>
          <t>Heron Fields (Pty) Ltd</t>
        </is>
      </c>
      <c r="B2310" s="4" t="n">
        <v>44926</v>
      </c>
      <c r="C2310" s="3" t="inlineStr">
        <is>
          <t>Expenses</t>
        </is>
      </c>
      <c r="D2310" s="3" t="inlineStr">
        <is>
          <t>2000/060</t>
        </is>
      </c>
      <c r="E2310" s="3" t="inlineStr">
        <is>
          <t>COS - Levies</t>
        </is>
      </c>
      <c r="F2310" s="3" t="n">
        <v>175176.84</v>
      </c>
      <c r="G2310" s="3" t="n">
        <v>202650.48</v>
      </c>
    </row>
    <row r="2311">
      <c r="A2311" s="3" t="inlineStr">
        <is>
          <t>Heron Fields (Pty) Ltd</t>
        </is>
      </c>
      <c r="B2311" s="4" t="n">
        <v>44926</v>
      </c>
      <c r="C2311" s="3" t="inlineStr">
        <is>
          <t>Expenses</t>
        </is>
      </c>
      <c r="D2311" s="3" t="inlineStr">
        <is>
          <t>2000/070</t>
        </is>
      </c>
      <c r="E2311" s="3" t="inlineStr">
        <is>
          <t>COS - Commission HF Units</t>
        </is>
      </c>
      <c r="F2311" s="3" t="n">
        <v>257634.78</v>
      </c>
      <c r="G2311" s="3" t="n">
        <v>381539.13</v>
      </c>
    </row>
    <row r="2312">
      <c r="A2312" s="3" t="inlineStr">
        <is>
          <t>Cape Projects Construction (Pty) Ltd</t>
        </is>
      </c>
      <c r="B2312" s="4" t="n">
        <v>44926</v>
      </c>
      <c r="C2312" s="3" t="inlineStr">
        <is>
          <t>Expenses</t>
        </is>
      </c>
      <c r="D2312" s="3" t="inlineStr">
        <is>
          <t>2001/054</t>
        </is>
      </c>
      <c r="E2312" s="3" t="inlineStr">
        <is>
          <t>COS - Units - Cement</t>
        </is>
      </c>
      <c r="F2312" s="3" t="n">
        <v>6160.34</v>
      </c>
      <c r="G2312" s="3" t="n">
        <v>6160.34</v>
      </c>
    </row>
    <row r="2313">
      <c r="A2313" s="3" t="inlineStr">
        <is>
          <t>Cape Projects Construction (Pty) Ltd</t>
        </is>
      </c>
      <c r="B2313" s="4" t="n">
        <v>44926</v>
      </c>
      <c r="C2313" s="3" t="inlineStr">
        <is>
          <t>Expenses</t>
        </is>
      </c>
      <c r="D2313" s="3" t="inlineStr">
        <is>
          <t>2001/063</t>
        </is>
      </c>
      <c r="E2313" s="3" t="inlineStr">
        <is>
          <t>COS - Units Plumbing Supply_AND_Fit</t>
        </is>
      </c>
      <c r="F2313" s="3" t="n">
        <v>250</v>
      </c>
      <c r="G2313" s="3" t="n">
        <v>250</v>
      </c>
    </row>
    <row r="2314">
      <c r="A2314" s="3" t="inlineStr">
        <is>
          <t>Cape Projects Construction (Pty) Ltd</t>
        </is>
      </c>
      <c r="B2314" s="4" t="n">
        <v>44926</v>
      </c>
      <c r="C2314" s="3" t="inlineStr">
        <is>
          <t>Expenses</t>
        </is>
      </c>
      <c r="D2314" s="3" t="inlineStr">
        <is>
          <t>2001/064</t>
        </is>
      </c>
      <c r="E2314" s="3" t="inlineStr">
        <is>
          <t>COS - Plumbing Sanware</t>
        </is>
      </c>
      <c r="F2314" s="3" t="n">
        <v>1876.17</v>
      </c>
      <c r="G2314" s="3" t="n">
        <v>1876.17</v>
      </c>
    </row>
    <row r="2315">
      <c r="A2315" s="3" t="inlineStr">
        <is>
          <t>Cape Projects Construction (Pty) Ltd</t>
        </is>
      </c>
      <c r="B2315" s="4" t="n">
        <v>44926</v>
      </c>
      <c r="C2315" s="3" t="inlineStr">
        <is>
          <t>Expenses</t>
        </is>
      </c>
      <c r="D2315" s="3" t="inlineStr">
        <is>
          <t>2001/085</t>
        </is>
      </c>
      <c r="E2315" s="3" t="inlineStr">
        <is>
          <t>COS - Units - Outside work - Paving</t>
        </is>
      </c>
      <c r="F2315" s="3" t="n">
        <v>4440.61</v>
      </c>
      <c r="G2315" s="3" t="n">
        <v>4440.61</v>
      </c>
    </row>
    <row r="2316">
      <c r="A2316" s="3" t="inlineStr">
        <is>
          <t>Cape Projects Construction (Pty) Ltd</t>
        </is>
      </c>
      <c r="B2316" s="4" t="n">
        <v>44926</v>
      </c>
      <c r="C2316" s="3" t="inlineStr">
        <is>
          <t>Expenses</t>
        </is>
      </c>
      <c r="D2316" s="3" t="inlineStr">
        <is>
          <t>2003/081</t>
        </is>
      </c>
      <c r="E2316" s="3" t="inlineStr">
        <is>
          <t>COS - Internet - Fibre SUPPLY _AND_ FIT</t>
        </is>
      </c>
      <c r="F2316" s="3" t="n">
        <v>31736.5</v>
      </c>
      <c r="G2316" s="3" t="n">
        <v>31736.5</v>
      </c>
    </row>
    <row r="2317">
      <c r="A2317" s="3" t="inlineStr">
        <is>
          <t>Cape Projects Construction (Pty) Ltd</t>
        </is>
      </c>
      <c r="B2317" s="4" t="n">
        <v>44926</v>
      </c>
      <c r="C2317" s="3" t="inlineStr">
        <is>
          <t>Expenses</t>
        </is>
      </c>
      <c r="D2317" s="3" t="inlineStr">
        <is>
          <t>2005/000</t>
        </is>
      </c>
      <c r="E2317" s="3" t="inlineStr">
        <is>
          <t>Cost of Sales</t>
        </is>
      </c>
      <c r="F2317" s="3" t="n">
        <v>0</v>
      </c>
      <c r="G2317" s="3" t="n">
        <v>-762078.59</v>
      </c>
    </row>
    <row r="2318">
      <c r="A2318" s="3" t="inlineStr">
        <is>
          <t>Cape Projects Construction (Pty) Ltd</t>
        </is>
      </c>
      <c r="B2318" s="4" t="n">
        <v>44926</v>
      </c>
      <c r="C2318" s="3" t="inlineStr">
        <is>
          <t>Expenses</t>
        </is>
      </c>
      <c r="D2318" s="3" t="inlineStr">
        <is>
          <t>2005/200</t>
        </is>
      </c>
      <c r="E2318" s="3" t="inlineStr">
        <is>
          <t>COS - External Works</t>
        </is>
      </c>
      <c r="F2318" s="3" t="n">
        <v>0</v>
      </c>
      <c r="G2318" s="3" t="n">
        <v>957.28</v>
      </c>
    </row>
    <row r="2319">
      <c r="A2319" s="3" t="inlineStr">
        <is>
          <t>Cape Projects Construction (Pty) Ltd</t>
        </is>
      </c>
      <c r="B2319" s="4" t="n">
        <v>44926</v>
      </c>
      <c r="C2319" s="3" t="inlineStr">
        <is>
          <t>Expenses</t>
        </is>
      </c>
      <c r="D2319" s="3" t="inlineStr">
        <is>
          <t>2006/000</t>
        </is>
      </c>
      <c r="E2319" s="3" t="inlineStr">
        <is>
          <t>COS - Endulini Construction</t>
        </is>
      </c>
      <c r="F2319" s="3" t="n">
        <v>74843.46000000001</v>
      </c>
      <c r="G2319" s="3" t="n">
        <v>16461302.98</v>
      </c>
    </row>
    <row r="2320">
      <c r="A2320" s="3" t="inlineStr">
        <is>
          <t>Cape Projects Construction (Pty) Ltd</t>
        </is>
      </c>
      <c r="B2320" s="4" t="n">
        <v>44926</v>
      </c>
      <c r="C2320" s="3" t="inlineStr">
        <is>
          <t>Expenses</t>
        </is>
      </c>
      <c r="D2320" s="3" t="inlineStr">
        <is>
          <t>2006/100</t>
        </is>
      </c>
      <c r="E2320" s="3" t="inlineStr">
        <is>
          <t>COS - Endulini P and G</t>
        </is>
      </c>
      <c r="F2320" s="3" t="n">
        <v>38000</v>
      </c>
      <c r="G2320" s="3" t="n">
        <v>989744.35</v>
      </c>
    </row>
    <row r="2321">
      <c r="A2321" s="3" t="inlineStr">
        <is>
          <t>Cape Projects Construction (Pty) Ltd</t>
        </is>
      </c>
      <c r="B2321" s="4" t="n">
        <v>44926</v>
      </c>
      <c r="C2321" s="3" t="inlineStr">
        <is>
          <t>Expenses</t>
        </is>
      </c>
      <c r="D2321" s="3" t="inlineStr">
        <is>
          <t>2006/200</t>
        </is>
      </c>
      <c r="E2321" s="3" t="inlineStr">
        <is>
          <t>COS - Insurance</t>
        </is>
      </c>
      <c r="F2321" s="3" t="n">
        <v>2719.44</v>
      </c>
      <c r="G2321" s="3" t="n">
        <v>40170.13</v>
      </c>
    </row>
    <row r="2322">
      <c r="A2322" s="3" t="inlineStr">
        <is>
          <t>Cape Projects Construction (Pty) Ltd</t>
        </is>
      </c>
      <c r="B2322" s="4" t="n">
        <v>44926</v>
      </c>
      <c r="C2322" s="3" t="inlineStr">
        <is>
          <t>Expenses</t>
        </is>
      </c>
      <c r="D2322" s="3" t="inlineStr">
        <is>
          <t>2006/300</t>
        </is>
      </c>
      <c r="E2322" s="3" t="inlineStr">
        <is>
          <t>COS - Endulini - Printing &amp; Stationary</t>
        </is>
      </c>
      <c r="F2322" s="3" t="n">
        <v>0</v>
      </c>
      <c r="G2322" s="3" t="n">
        <v>269.65</v>
      </c>
    </row>
    <row r="2323">
      <c r="A2323" s="3" t="inlineStr">
        <is>
          <t>Cape Projects Construction (Pty) Ltd</t>
        </is>
      </c>
      <c r="B2323" s="4" t="n">
        <v>44926</v>
      </c>
      <c r="C2323" s="3" t="inlineStr">
        <is>
          <t>Expenses</t>
        </is>
      </c>
      <c r="D2323" s="3" t="inlineStr">
        <is>
          <t>2006/350</t>
        </is>
      </c>
      <c r="E2323" s="3" t="inlineStr">
        <is>
          <t>COS - Endulini - Security</t>
        </is>
      </c>
      <c r="F2323" s="3" t="n">
        <v>0</v>
      </c>
      <c r="G2323" s="3" t="n">
        <v>11000</v>
      </c>
    </row>
    <row r="2324">
      <c r="A2324" s="3" t="inlineStr">
        <is>
          <t>Cape Projects Construction (Pty) Ltd</t>
        </is>
      </c>
      <c r="B2324" s="4" t="n">
        <v>44926</v>
      </c>
      <c r="C2324" s="3" t="inlineStr">
        <is>
          <t>Expenses</t>
        </is>
      </c>
      <c r="D2324" s="3" t="inlineStr">
        <is>
          <t>2006/400</t>
        </is>
      </c>
      <c r="E2324" s="3" t="inlineStr">
        <is>
          <t>COS - Endulini - Health &amp; Safety</t>
        </is>
      </c>
      <c r="F2324" s="3" t="n">
        <v>0</v>
      </c>
      <c r="G2324" s="3" t="n">
        <v>19600</v>
      </c>
    </row>
    <row r="2325">
      <c r="A2325" s="3" t="inlineStr">
        <is>
          <t>Cape Projects Construction (Pty) Ltd</t>
        </is>
      </c>
      <c r="B2325" s="4" t="n">
        <v>44926</v>
      </c>
      <c r="C2325" s="3" t="inlineStr">
        <is>
          <t>Expenses</t>
        </is>
      </c>
      <c r="D2325" s="3" t="inlineStr">
        <is>
          <t>2006/700</t>
        </is>
      </c>
      <c r="E2325" s="3" t="inlineStr">
        <is>
          <t>COS - Endulini - Fuel</t>
        </is>
      </c>
      <c r="F2325" s="3" t="n">
        <v>0</v>
      </c>
      <c r="G2325" s="3" t="n">
        <v>2473.65</v>
      </c>
    </row>
    <row r="2326">
      <c r="A2326" s="3" t="inlineStr">
        <is>
          <t>Cape Projects Construction (Pty) Ltd</t>
        </is>
      </c>
      <c r="B2326" s="4" t="n">
        <v>44926</v>
      </c>
      <c r="C2326" s="3" t="inlineStr">
        <is>
          <t>Expenses</t>
        </is>
      </c>
      <c r="D2326" s="3" t="inlineStr">
        <is>
          <t>2006/800</t>
        </is>
      </c>
      <c r="E2326" s="3" t="inlineStr">
        <is>
          <t>COS - Endulini - Telephone &amp; Internet</t>
        </is>
      </c>
      <c r="F2326" s="3" t="n">
        <v>0</v>
      </c>
      <c r="G2326" s="3" t="n">
        <v>937.39</v>
      </c>
    </row>
    <row r="2327">
      <c r="A2327" s="3" t="inlineStr">
        <is>
          <t>Cape Projects Construction (Pty) Ltd</t>
        </is>
      </c>
      <c r="B2327" s="4" t="n">
        <v>44926</v>
      </c>
      <c r="C2327" s="3" t="inlineStr">
        <is>
          <t>Expenses</t>
        </is>
      </c>
      <c r="D2327" s="3" t="inlineStr">
        <is>
          <t>2007/000</t>
        </is>
      </c>
      <c r="E2327" s="3" t="inlineStr">
        <is>
          <t>COS - Repairs &amp; Maintenance - SW Southwark</t>
        </is>
      </c>
      <c r="F2327" s="3" t="n">
        <v>0</v>
      </c>
      <c r="G2327" s="3" t="n">
        <v>4661.74</v>
      </c>
    </row>
    <row r="2328">
      <c r="A2328" s="3" t="inlineStr">
        <is>
          <t>Cape Projects Construction (Pty) Ltd</t>
        </is>
      </c>
      <c r="B2328" s="4" t="n">
        <v>44926</v>
      </c>
      <c r="C2328" s="3" t="inlineStr">
        <is>
          <t>Expenses</t>
        </is>
      </c>
      <c r="D2328" s="3" t="inlineStr">
        <is>
          <t>2011/300</t>
        </is>
      </c>
      <c r="E2328" s="3" t="inlineStr">
        <is>
          <t>COS - Heron Fields - Printing &amp; Stationary</t>
        </is>
      </c>
      <c r="F2328" s="3" t="n">
        <v>0</v>
      </c>
      <c r="G2328" s="3" t="n">
        <v>2952.7</v>
      </c>
    </row>
    <row r="2329">
      <c r="A2329" s="3" t="inlineStr">
        <is>
          <t>Cape Projects Construction (Pty) Ltd</t>
        </is>
      </c>
      <c r="B2329" s="4" t="n">
        <v>44926</v>
      </c>
      <c r="C2329" s="3" t="inlineStr">
        <is>
          <t>Expenses</t>
        </is>
      </c>
      <c r="D2329" s="3" t="inlineStr">
        <is>
          <t>2011/500</t>
        </is>
      </c>
      <c r="E2329" s="3" t="inlineStr">
        <is>
          <t>COS - Heron Fields - Construction</t>
        </is>
      </c>
      <c r="F2329" s="3" t="n">
        <v>2454778.69</v>
      </c>
      <c r="G2329" s="3" t="n">
        <v>30228526</v>
      </c>
    </row>
    <row r="2330">
      <c r="A2330" s="3" t="inlineStr">
        <is>
          <t>Cape Projects Construction (Pty) Ltd</t>
        </is>
      </c>
      <c r="B2330" s="4" t="n">
        <v>44926</v>
      </c>
      <c r="C2330" s="3" t="inlineStr">
        <is>
          <t>Expenses</t>
        </is>
      </c>
      <c r="D2330" s="3" t="inlineStr">
        <is>
          <t>2011/600</t>
        </is>
      </c>
      <c r="E2330" s="3" t="inlineStr">
        <is>
          <t>COS - Heron Fields - P &amp; G</t>
        </is>
      </c>
      <c r="F2330" s="3" t="n">
        <v>313402.61</v>
      </c>
      <c r="G2330" s="3" t="n">
        <v>2673191.55</v>
      </c>
    </row>
    <row r="2331">
      <c r="A2331" s="3" t="inlineStr">
        <is>
          <t>Cape Projects Construction (Pty) Ltd</t>
        </is>
      </c>
      <c r="B2331" s="4" t="n">
        <v>44926</v>
      </c>
      <c r="C2331" s="3" t="inlineStr">
        <is>
          <t>Expenses</t>
        </is>
      </c>
      <c r="D2331" s="3" t="inlineStr">
        <is>
          <t>2011/700</t>
        </is>
      </c>
      <c r="E2331" s="3" t="inlineStr">
        <is>
          <t>COS - Heron Fields - Health &amp; Safety</t>
        </is>
      </c>
      <c r="F2331" s="3" t="n">
        <v>0</v>
      </c>
      <c r="G2331" s="3" t="n">
        <v>22286.3</v>
      </c>
    </row>
    <row r="2332">
      <c r="A2332" s="3" t="inlineStr">
        <is>
          <t>Cape Projects Construction (Pty) Ltd</t>
        </is>
      </c>
      <c r="B2332" s="4" t="n">
        <v>44926</v>
      </c>
      <c r="C2332" s="3" t="inlineStr">
        <is>
          <t>Expenses</t>
        </is>
      </c>
      <c r="D2332" s="3" t="inlineStr">
        <is>
          <t>2011/900</t>
        </is>
      </c>
      <c r="E2332" s="3" t="inlineStr">
        <is>
          <t>COS - Heron - Internet</t>
        </is>
      </c>
      <c r="F2332" s="3" t="n">
        <v>607.83</v>
      </c>
      <c r="G2332" s="3" t="n">
        <v>5885.62</v>
      </c>
    </row>
    <row r="2333">
      <c r="A2333" s="3" t="inlineStr">
        <is>
          <t>Cape Projects Construction (Pty) Ltd</t>
        </is>
      </c>
      <c r="B2333" s="4" t="n">
        <v>44926</v>
      </c>
      <c r="C2333" s="3" t="inlineStr">
        <is>
          <t>Expenses</t>
        </is>
      </c>
      <c r="D2333" s="3" t="inlineStr">
        <is>
          <t>2011/950</t>
        </is>
      </c>
      <c r="E2333" s="3" t="inlineStr">
        <is>
          <t>COS - Heron Fields - Security</t>
        </is>
      </c>
      <c r="F2333" s="3" t="n">
        <v>0</v>
      </c>
      <c r="G2333" s="3" t="n">
        <v>20565.22</v>
      </c>
    </row>
    <row r="2334">
      <c r="A2334" s="3" t="inlineStr">
        <is>
          <t>Cape Projects Construction (Pty) Ltd</t>
        </is>
      </c>
      <c r="B2334" s="4" t="n">
        <v>44926</v>
      </c>
      <c r="C2334" s="3" t="inlineStr">
        <is>
          <t>Expenses</t>
        </is>
      </c>
      <c r="D2334" s="3" t="inlineStr">
        <is>
          <t>2012/002</t>
        </is>
      </c>
      <c r="E2334" s="3" t="inlineStr">
        <is>
          <t>COS - Heron View - Construction</t>
        </is>
      </c>
      <c r="F2334" s="3" t="n">
        <v>1439041.06</v>
      </c>
      <c r="G2334" s="3" t="n">
        <v>4164274.85</v>
      </c>
    </row>
    <row r="2335">
      <c r="A2335" s="3" t="inlineStr">
        <is>
          <t>Cape Projects Construction (Pty) Ltd</t>
        </is>
      </c>
      <c r="B2335" s="4" t="n">
        <v>44926</v>
      </c>
      <c r="C2335" s="3" t="inlineStr">
        <is>
          <t>Expenses</t>
        </is>
      </c>
      <c r="D2335" s="3" t="inlineStr">
        <is>
          <t>2012/003</t>
        </is>
      </c>
      <c r="E2335" s="3" t="inlineStr">
        <is>
          <t>COS - Heron View - P&amp;G</t>
        </is>
      </c>
      <c r="F2335" s="3" t="n">
        <v>10636.8</v>
      </c>
      <c r="G2335" s="3" t="n">
        <v>196549.59</v>
      </c>
    </row>
    <row r="2336">
      <c r="A2336" s="3" t="inlineStr">
        <is>
          <t>Cape Projects Construction (Pty) Ltd</t>
        </is>
      </c>
      <c r="B2336" s="4" t="n">
        <v>44926</v>
      </c>
      <c r="C2336" s="3" t="inlineStr">
        <is>
          <t>Expenses</t>
        </is>
      </c>
      <c r="D2336" s="3" t="inlineStr">
        <is>
          <t>2013/000</t>
        </is>
      </c>
      <c r="E2336" s="3" t="inlineStr">
        <is>
          <t>COS - Bakhoven</t>
        </is>
      </c>
      <c r="F2336" s="3" t="n">
        <v>0</v>
      </c>
      <c r="G2336" s="3" t="n">
        <v>32261.99</v>
      </c>
    </row>
    <row r="2337">
      <c r="A2337" s="3" t="inlineStr">
        <is>
          <t>Cape Projects Construction (Pty) Ltd</t>
        </is>
      </c>
      <c r="B2337" s="4" t="n">
        <v>44926</v>
      </c>
      <c r="C2337" s="3" t="inlineStr">
        <is>
          <t>Expenses</t>
        </is>
      </c>
      <c r="D2337" s="3" t="inlineStr">
        <is>
          <t>2014/000</t>
        </is>
      </c>
      <c r="E2337" s="3" t="inlineStr">
        <is>
          <t>COS - Heron Projects insurance</t>
        </is>
      </c>
      <c r="F2337" s="3" t="n">
        <v>0</v>
      </c>
      <c r="G2337" s="3" t="n">
        <v>11169.12</v>
      </c>
    </row>
    <row r="2338">
      <c r="A2338" s="3" t="inlineStr">
        <is>
          <t>Cape Projects Construction (Pty) Ltd</t>
        </is>
      </c>
      <c r="B2338" s="4" t="n">
        <v>44926</v>
      </c>
      <c r="C2338" s="3" t="inlineStr">
        <is>
          <t>Revenue</t>
        </is>
      </c>
      <c r="D2338" s="3" t="inlineStr">
        <is>
          <t>2750/000</t>
        </is>
      </c>
      <c r="E2338" s="3" t="inlineStr">
        <is>
          <t>Interest Received - FNB</t>
        </is>
      </c>
      <c r="F2338" s="3" t="n">
        <v>-705.27</v>
      </c>
      <c r="G2338" s="3" t="n">
        <v>-1704.67</v>
      </c>
    </row>
    <row r="2339">
      <c r="A2339" s="3" t="inlineStr">
        <is>
          <t>Cape Projects Construction (Pty) Ltd</t>
        </is>
      </c>
      <c r="B2339" s="4" t="n">
        <v>44926</v>
      </c>
      <c r="C2339" s="3" t="inlineStr">
        <is>
          <t>Revenue</t>
        </is>
      </c>
      <c r="D2339" s="3" t="inlineStr">
        <is>
          <t>2751/001</t>
        </is>
      </c>
      <c r="E2339" s="3" t="inlineStr">
        <is>
          <t>Interest received - Momentum</t>
        </is>
      </c>
      <c r="F2339" s="3" t="n">
        <v>0</v>
      </c>
      <c r="G2339" s="3" t="n">
        <v>-18.22</v>
      </c>
    </row>
    <row r="2340">
      <c r="A2340" s="3" t="inlineStr">
        <is>
          <t>Heron Fields (Pty) Ltd</t>
        </is>
      </c>
      <c r="B2340" s="4" t="n">
        <v>44926</v>
      </c>
      <c r="C2340" s="3" t="inlineStr">
        <is>
          <t>Revenue</t>
        </is>
      </c>
      <c r="D2340" s="3" t="inlineStr">
        <is>
          <t>2755/001</t>
        </is>
      </c>
      <c r="E2340" s="3" t="inlineStr">
        <is>
          <t>Interest Received - Momentum</t>
        </is>
      </c>
      <c r="F2340" s="3" t="n">
        <v>-49646.57</v>
      </c>
      <c r="G2340" s="3" t="n">
        <v>-390601.82</v>
      </c>
    </row>
    <row r="2341">
      <c r="A2341" s="3" t="inlineStr">
        <is>
          <t>Heron Fields (Pty) Ltd</t>
        </is>
      </c>
      <c r="B2341" s="4" t="n">
        <v>44926</v>
      </c>
      <c r="C2341" s="3" t="inlineStr">
        <is>
          <t>Expenses</t>
        </is>
      </c>
      <c r="D2341" s="3" t="inlineStr">
        <is>
          <t>3000/100</t>
        </is>
      </c>
      <c r="E2341" s="3" t="inlineStr">
        <is>
          <t>Accounting - CIPC</t>
        </is>
      </c>
      <c r="F2341" s="3" t="n">
        <v>0</v>
      </c>
      <c r="G2341" s="3" t="n">
        <v>150</v>
      </c>
    </row>
    <row r="2342">
      <c r="A2342" s="3" t="inlineStr">
        <is>
          <t>Cape Projects Construction (Pty) Ltd</t>
        </is>
      </c>
      <c r="B2342" s="4" t="n">
        <v>44926</v>
      </c>
      <c r="C2342" s="3" t="inlineStr">
        <is>
          <t>Expenses</t>
        </is>
      </c>
      <c r="D2342" s="3" t="inlineStr">
        <is>
          <t>3002/000</t>
        </is>
      </c>
      <c r="E2342" s="3" t="inlineStr">
        <is>
          <t>Accounting Fees - Audit</t>
        </is>
      </c>
      <c r="F2342" s="3" t="n">
        <v>0</v>
      </c>
      <c r="G2342" s="3" t="n">
        <v>10600</v>
      </c>
    </row>
    <row r="2343">
      <c r="A2343" s="3" t="inlineStr">
        <is>
          <t>Cape Projects Construction (Pty) Ltd</t>
        </is>
      </c>
      <c r="B2343" s="4" t="n">
        <v>44926</v>
      </c>
      <c r="C2343" s="3" t="inlineStr">
        <is>
          <t>Expenses</t>
        </is>
      </c>
      <c r="D2343" s="3" t="inlineStr">
        <is>
          <t>3020/100</t>
        </is>
      </c>
      <c r="E2343" s="3" t="inlineStr">
        <is>
          <t>Admin - Subcontractors</t>
        </is>
      </c>
      <c r="F2343" s="3" t="n">
        <v>0</v>
      </c>
      <c r="G2343" s="3" t="n">
        <v>14139.13</v>
      </c>
    </row>
    <row r="2344">
      <c r="A2344" s="3" t="inlineStr">
        <is>
          <t>Cape Projects Construction (Pty) Ltd</t>
        </is>
      </c>
      <c r="B2344" s="4" t="n">
        <v>44926</v>
      </c>
      <c r="C2344" s="3" t="inlineStr">
        <is>
          <t>Expenses</t>
        </is>
      </c>
      <c r="D2344" s="3" t="inlineStr">
        <is>
          <t>3050/000</t>
        </is>
      </c>
      <c r="E2344" s="3" t="inlineStr">
        <is>
          <t>Advertising _AND_ Promotions</t>
        </is>
      </c>
      <c r="F2344" s="3" t="n">
        <v>20519.53</v>
      </c>
      <c r="G2344" s="3" t="n">
        <v>24197.03</v>
      </c>
    </row>
    <row r="2345">
      <c r="A2345" s="3" t="inlineStr">
        <is>
          <t>Heron Fields (Pty) Ltd</t>
        </is>
      </c>
      <c r="B2345" s="4" t="n">
        <v>44926</v>
      </c>
      <c r="C2345" s="3" t="inlineStr">
        <is>
          <t>Expenses</t>
        </is>
      </c>
      <c r="D2345" s="3" t="inlineStr">
        <is>
          <t>3050/000</t>
        </is>
      </c>
      <c r="E2345" s="3" t="inlineStr">
        <is>
          <t>Advertising _AND_ Promotions</t>
        </is>
      </c>
      <c r="F2345" s="3" t="n">
        <v>550</v>
      </c>
      <c r="G2345" s="3" t="n">
        <v>107333.86</v>
      </c>
    </row>
    <row r="2346">
      <c r="A2346" s="3" t="inlineStr">
        <is>
          <t>Heron View (Pty) Ltd</t>
        </is>
      </c>
      <c r="B2346" s="4" t="n">
        <v>44926</v>
      </c>
      <c r="C2346" s="3" t="inlineStr">
        <is>
          <t>Expenses</t>
        </is>
      </c>
      <c r="D2346" s="3" t="inlineStr">
        <is>
          <t>3050/000</t>
        </is>
      </c>
      <c r="E2346" s="3" t="inlineStr">
        <is>
          <t>Advertising _AND_ Promotions</t>
        </is>
      </c>
      <c r="F2346" s="3" t="n">
        <v>5750</v>
      </c>
      <c r="G2346" s="3" t="n">
        <v>15250</v>
      </c>
    </row>
    <row r="2347">
      <c r="A2347" s="3" t="inlineStr">
        <is>
          <t>Heron Fields (Pty) Ltd</t>
        </is>
      </c>
      <c r="B2347" s="4" t="n">
        <v>44926</v>
      </c>
      <c r="C2347" s="3" t="inlineStr">
        <is>
          <t>Expenses</t>
        </is>
      </c>
      <c r="D2347" s="3" t="inlineStr">
        <is>
          <t>3050/100</t>
        </is>
      </c>
      <c r="E2347" s="3" t="inlineStr">
        <is>
          <t>Advertising - Property24</t>
        </is>
      </c>
      <c r="F2347" s="3" t="n">
        <v>11556</v>
      </c>
      <c r="G2347" s="3" t="n">
        <v>115560</v>
      </c>
    </row>
    <row r="2348">
      <c r="A2348" s="3" t="inlineStr">
        <is>
          <t>Cape Projects Construction (Pty) Ltd</t>
        </is>
      </c>
      <c r="B2348" s="4" t="n">
        <v>44926</v>
      </c>
      <c r="C2348" s="3" t="inlineStr">
        <is>
          <t>Expenses</t>
        </is>
      </c>
      <c r="D2348" s="3" t="inlineStr">
        <is>
          <t>3050/450</t>
        </is>
      </c>
      <c r="E2348" s="3" t="inlineStr">
        <is>
          <t>Advertising - Other</t>
        </is>
      </c>
      <c r="F2348" s="3" t="n">
        <v>0</v>
      </c>
      <c r="G2348" s="3" t="n">
        <v>137.5</v>
      </c>
    </row>
    <row r="2349">
      <c r="A2349" s="3" t="inlineStr">
        <is>
          <t>Cape Projects Construction (Pty) Ltd</t>
        </is>
      </c>
      <c r="B2349" s="4" t="n">
        <v>44926</v>
      </c>
      <c r="C2349" s="3" t="inlineStr">
        <is>
          <t>Expenses</t>
        </is>
      </c>
      <c r="D2349" s="3" t="inlineStr">
        <is>
          <t>3200/000</t>
        </is>
      </c>
      <c r="E2349" s="3" t="inlineStr">
        <is>
          <t>Bank Charges</t>
        </is>
      </c>
      <c r="F2349" s="3" t="n">
        <v>-14064.1</v>
      </c>
      <c r="G2349" s="3" t="n">
        <v>27231.41</v>
      </c>
    </row>
    <row r="2350">
      <c r="A2350" s="3" t="inlineStr">
        <is>
          <t>Heron Fields (Pty) Ltd</t>
        </is>
      </c>
      <c r="B2350" s="4" t="n">
        <v>44926</v>
      </c>
      <c r="C2350" s="3" t="inlineStr">
        <is>
          <t>Expenses</t>
        </is>
      </c>
      <c r="D2350" s="3" t="inlineStr">
        <is>
          <t>3200/000</t>
        </is>
      </c>
      <c r="E2350" s="3" t="inlineStr">
        <is>
          <t>Bank Charges</t>
        </is>
      </c>
      <c r="F2350" s="3" t="n">
        <v>242.38</v>
      </c>
      <c r="G2350" s="3" t="n">
        <v>6271.73</v>
      </c>
    </row>
    <row r="2351">
      <c r="A2351" s="3" t="inlineStr">
        <is>
          <t>Cape Projects Construction (Pty) Ltd</t>
        </is>
      </c>
      <c r="B2351" s="4" t="n">
        <v>44926</v>
      </c>
      <c r="C2351" s="3" t="inlineStr">
        <is>
          <t>Expenses</t>
        </is>
      </c>
      <c r="D2351" s="3" t="inlineStr">
        <is>
          <t>3250/000</t>
        </is>
      </c>
      <c r="E2351" s="3" t="inlineStr">
        <is>
          <t>Cleaning</t>
        </is>
      </c>
      <c r="F2351" s="3" t="n">
        <v>366.9</v>
      </c>
      <c r="G2351" s="3" t="n">
        <v>2353.79</v>
      </c>
    </row>
    <row r="2352">
      <c r="A2352" s="3" t="inlineStr">
        <is>
          <t>Cape Projects Construction (Pty) Ltd</t>
        </is>
      </c>
      <c r="B2352" s="4" t="n">
        <v>44926</v>
      </c>
      <c r="C2352" s="3" t="inlineStr">
        <is>
          <t>Expenses</t>
        </is>
      </c>
      <c r="D2352" s="3" t="inlineStr">
        <is>
          <t>3256/000</t>
        </is>
      </c>
      <c r="E2352" s="3" t="inlineStr">
        <is>
          <t>Cell Phone - Nick Morgan</t>
        </is>
      </c>
      <c r="F2352" s="3" t="n">
        <v>956.25</v>
      </c>
      <c r="G2352" s="3" t="n">
        <v>7144.13</v>
      </c>
    </row>
    <row r="2353">
      <c r="A2353" s="3" t="inlineStr">
        <is>
          <t>Cape Projects Construction (Pty) Ltd</t>
        </is>
      </c>
      <c r="B2353" s="4" t="n">
        <v>44926</v>
      </c>
      <c r="C2353" s="3" t="inlineStr">
        <is>
          <t>Expenses</t>
        </is>
      </c>
      <c r="D2353" s="3" t="inlineStr">
        <is>
          <t>3300/000</t>
        </is>
      </c>
      <c r="E2353" s="3" t="inlineStr">
        <is>
          <t>Computer Expenses</t>
        </is>
      </c>
      <c r="F2353" s="3" t="n">
        <v>0</v>
      </c>
      <c r="G2353" s="3" t="n">
        <v>4848.56</v>
      </c>
    </row>
    <row r="2354">
      <c r="A2354" s="3" t="inlineStr">
        <is>
          <t>Cape Projects Construction (Pty) Ltd</t>
        </is>
      </c>
      <c r="B2354" s="4" t="n">
        <v>44926</v>
      </c>
      <c r="C2354" s="3" t="inlineStr">
        <is>
          <t>Expenses</t>
        </is>
      </c>
      <c r="D2354" s="3" t="inlineStr">
        <is>
          <t>3300/100</t>
        </is>
      </c>
      <c r="E2354" s="3" t="inlineStr">
        <is>
          <t>Computer Exp - IT, Internet/Hosting Fee</t>
        </is>
      </c>
      <c r="F2354" s="3" t="n">
        <v>3130</v>
      </c>
      <c r="G2354" s="3" t="n">
        <v>38579</v>
      </c>
    </row>
    <row r="2355">
      <c r="A2355" s="3" t="inlineStr">
        <is>
          <t>Heron Fields (Pty) Ltd</t>
        </is>
      </c>
      <c r="B2355" s="4" t="n">
        <v>44926</v>
      </c>
      <c r="C2355" s="3" t="inlineStr">
        <is>
          <t>Expenses</t>
        </is>
      </c>
      <c r="D2355" s="3" t="inlineStr">
        <is>
          <t>3350/100</t>
        </is>
      </c>
      <c r="E2355" s="3" t="inlineStr">
        <is>
          <t>Consulting Fees - Admin and Finance</t>
        </is>
      </c>
      <c r="F2355" s="3" t="n">
        <v>102812.43</v>
      </c>
      <c r="G2355" s="3" t="n">
        <v>854353.11</v>
      </c>
    </row>
    <row r="2356">
      <c r="A2356" s="3" t="inlineStr">
        <is>
          <t>Cape Projects Construction (Pty) Ltd</t>
        </is>
      </c>
      <c r="B2356" s="4" t="n">
        <v>44926</v>
      </c>
      <c r="C2356" s="3" t="inlineStr">
        <is>
          <t>Expenses</t>
        </is>
      </c>
      <c r="D2356" s="3" t="inlineStr">
        <is>
          <t>3350/100</t>
        </is>
      </c>
      <c r="E2356" s="3" t="inlineStr">
        <is>
          <t>Consulting fees - Herbert du Plessis</t>
        </is>
      </c>
      <c r="F2356" s="3" t="n">
        <v>0</v>
      </c>
      <c r="G2356" s="3" t="n">
        <v>318572.45</v>
      </c>
    </row>
    <row r="2357">
      <c r="A2357" s="3" t="inlineStr">
        <is>
          <t>Cape Projects Construction (Pty) Ltd</t>
        </is>
      </c>
      <c r="B2357" s="4" t="n">
        <v>44926</v>
      </c>
      <c r="C2357" s="3" t="inlineStr">
        <is>
          <t>Expenses</t>
        </is>
      </c>
      <c r="D2357" s="3" t="inlineStr">
        <is>
          <t>3350/300</t>
        </is>
      </c>
      <c r="E2357" s="3" t="inlineStr">
        <is>
          <t>Consulting Fees - Admin and Finance</t>
        </is>
      </c>
      <c r="F2357" s="3" t="n">
        <v>145076.46</v>
      </c>
      <c r="G2357" s="3" t="n">
        <v>1273298.33</v>
      </c>
    </row>
    <row r="2358">
      <c r="A2358" s="3" t="inlineStr">
        <is>
          <t>Heron Fields (Pty) Ltd</t>
        </is>
      </c>
      <c r="B2358" s="4" t="n">
        <v>44926</v>
      </c>
      <c r="C2358" s="3" t="inlineStr">
        <is>
          <t>Expenses</t>
        </is>
      </c>
      <c r="D2358" s="3" t="inlineStr">
        <is>
          <t>3351/000</t>
        </is>
      </c>
      <c r="E2358" s="3" t="inlineStr">
        <is>
          <t>Consulting fees - Trustee</t>
        </is>
      </c>
      <c r="F2358" s="3" t="n">
        <v>4000</v>
      </c>
      <c r="G2358" s="3" t="n">
        <v>60000</v>
      </c>
    </row>
    <row r="2359">
      <c r="A2359" s="3" t="inlineStr">
        <is>
          <t>Cape Projects Construction (Pty) Ltd</t>
        </is>
      </c>
      <c r="B2359" s="4" t="n">
        <v>44926</v>
      </c>
      <c r="C2359" s="3" t="inlineStr">
        <is>
          <t>Expenses</t>
        </is>
      </c>
      <c r="D2359" s="3" t="inlineStr">
        <is>
          <t>3400/000</t>
        </is>
      </c>
      <c r="E2359" s="3" t="inlineStr">
        <is>
          <t>Courier _AND_ Postage</t>
        </is>
      </c>
      <c r="F2359" s="3" t="n">
        <v>0</v>
      </c>
      <c r="G2359" s="3" t="n">
        <v>1378.26</v>
      </c>
    </row>
    <row r="2360">
      <c r="A2360" s="3" t="inlineStr">
        <is>
          <t>Cape Projects Construction (Pty) Ltd</t>
        </is>
      </c>
      <c r="B2360" s="4" t="n">
        <v>44926</v>
      </c>
      <c r="C2360" s="3" t="inlineStr">
        <is>
          <t>Expenses</t>
        </is>
      </c>
      <c r="D2360" s="3" t="inlineStr">
        <is>
          <t>3450/001</t>
        </is>
      </c>
      <c r="E2360" s="3" t="inlineStr">
        <is>
          <t>Depreciation - Computer Equipment</t>
        </is>
      </c>
      <c r="F2360" s="3" t="n">
        <v>2165.83</v>
      </c>
      <c r="G2360" s="3" t="n">
        <v>19450.21</v>
      </c>
    </row>
    <row r="2361">
      <c r="A2361" s="3" t="inlineStr">
        <is>
          <t>Cape Projects Construction (Pty) Ltd</t>
        </is>
      </c>
      <c r="B2361" s="4" t="n">
        <v>44926</v>
      </c>
      <c r="C2361" s="3" t="inlineStr">
        <is>
          <t>Expenses</t>
        </is>
      </c>
      <c r="D2361" s="3" t="inlineStr">
        <is>
          <t>3450/002</t>
        </is>
      </c>
      <c r="E2361" s="3" t="inlineStr">
        <is>
          <t>Depreciation - Generator Fixed Asset</t>
        </is>
      </c>
      <c r="F2361" s="3" t="n">
        <v>193.33</v>
      </c>
      <c r="G2361" s="3" t="n">
        <v>1933.33</v>
      </c>
    </row>
    <row r="2362">
      <c r="A2362" s="3" t="inlineStr">
        <is>
          <t>Cape Projects Construction (Pty) Ltd</t>
        </is>
      </c>
      <c r="B2362" s="4" t="n">
        <v>44926</v>
      </c>
      <c r="C2362" s="3" t="inlineStr">
        <is>
          <t>Expenses</t>
        </is>
      </c>
      <c r="D2362" s="3" t="inlineStr">
        <is>
          <t>3450/003</t>
        </is>
      </c>
      <c r="E2362" s="3" t="inlineStr">
        <is>
          <t>Depreciation - Motor vehicle</t>
        </is>
      </c>
      <c r="F2362" s="3" t="n">
        <v>0</v>
      </c>
      <c r="G2362" s="3" t="n">
        <v>39610.1</v>
      </c>
    </row>
    <row r="2363">
      <c r="A2363" s="3" t="inlineStr">
        <is>
          <t>Cape Projects Construction (Pty) Ltd</t>
        </is>
      </c>
      <c r="B2363" s="4" t="n">
        <v>44926</v>
      </c>
      <c r="C2363" s="3" t="inlineStr">
        <is>
          <t>Expenses</t>
        </is>
      </c>
      <c r="D2363" s="3" t="inlineStr">
        <is>
          <t>3450/030</t>
        </is>
      </c>
      <c r="E2363" s="3" t="inlineStr">
        <is>
          <t>Depreciation - Furniture and Fittings</t>
        </is>
      </c>
      <c r="F2363" s="3" t="n">
        <v>547.6799999999999</v>
      </c>
      <c r="G2363" s="3" t="n">
        <v>4392.53</v>
      </c>
    </row>
    <row r="2364">
      <c r="A2364" s="3" t="inlineStr">
        <is>
          <t>Heron Fields (Pty) Ltd</t>
        </is>
      </c>
      <c r="B2364" s="4" t="n">
        <v>44926</v>
      </c>
      <c r="C2364" s="3" t="inlineStr">
        <is>
          <t>Expenses</t>
        </is>
      </c>
      <c r="D2364" s="3" t="inlineStr">
        <is>
          <t>3650/000</t>
        </is>
      </c>
      <c r="E2364" s="3" t="inlineStr">
        <is>
          <t>CoCT - Electricity</t>
        </is>
      </c>
      <c r="F2364" s="3" t="n">
        <v>0</v>
      </c>
      <c r="G2364" s="3" t="n">
        <v>26707.66</v>
      </c>
    </row>
    <row r="2365">
      <c r="A2365" s="3" t="inlineStr">
        <is>
          <t>Cape Projects Construction (Pty) Ltd</t>
        </is>
      </c>
      <c r="B2365" s="4" t="n">
        <v>44926</v>
      </c>
      <c r="C2365" s="3" t="inlineStr">
        <is>
          <t>Expenses</t>
        </is>
      </c>
      <c r="D2365" s="3" t="inlineStr">
        <is>
          <t>3650/000</t>
        </is>
      </c>
      <c r="E2365" s="3" t="inlineStr">
        <is>
          <t>Electricity _AND_ Water</t>
        </is>
      </c>
      <c r="F2365" s="3" t="n">
        <v>5575.9</v>
      </c>
      <c r="G2365" s="3" t="n">
        <v>50429.51</v>
      </c>
    </row>
    <row r="2366">
      <c r="A2366" s="3" t="inlineStr">
        <is>
          <t>Heron Fields (Pty) Ltd</t>
        </is>
      </c>
      <c r="B2366" s="4" t="n">
        <v>44926</v>
      </c>
      <c r="C2366" s="3" t="inlineStr">
        <is>
          <t>Expenses</t>
        </is>
      </c>
      <c r="D2366" s="3" t="inlineStr">
        <is>
          <t>3660/000</t>
        </is>
      </c>
      <c r="E2366" s="3" t="inlineStr">
        <is>
          <t>CoCT - Water</t>
        </is>
      </c>
      <c r="F2366" s="3" t="n">
        <v>0</v>
      </c>
      <c r="G2366" s="3" t="n">
        <v>51881.47</v>
      </c>
    </row>
    <row r="2367">
      <c r="A2367" s="3" t="inlineStr">
        <is>
          <t>Heron Fields (Pty) Ltd</t>
        </is>
      </c>
      <c r="B2367" s="4" t="n">
        <v>44926</v>
      </c>
      <c r="C2367" s="3" t="inlineStr">
        <is>
          <t>Expenses</t>
        </is>
      </c>
      <c r="D2367" s="3" t="inlineStr">
        <is>
          <t>3670/000</t>
        </is>
      </c>
      <c r="E2367" s="3" t="inlineStr">
        <is>
          <t>CoCT - Refuse</t>
        </is>
      </c>
      <c r="F2367" s="3" t="n">
        <v>0</v>
      </c>
      <c r="G2367" s="3" t="n">
        <v>3563.4</v>
      </c>
    </row>
    <row r="2368">
      <c r="A2368" s="3" t="inlineStr">
        <is>
          <t>Cape Projects Construction (Pty) Ltd</t>
        </is>
      </c>
      <c r="B2368" s="4" t="n">
        <v>44926</v>
      </c>
      <c r="C2368" s="3" t="inlineStr">
        <is>
          <t>Expenses</t>
        </is>
      </c>
      <c r="D2368" s="3" t="inlineStr">
        <is>
          <t>3700/000</t>
        </is>
      </c>
      <c r="E2368" s="3" t="inlineStr">
        <is>
          <t>Entertainment Expenses</t>
        </is>
      </c>
      <c r="F2368" s="3" t="n">
        <v>0</v>
      </c>
      <c r="G2368" s="3" t="n">
        <v>7651.52</v>
      </c>
    </row>
    <row r="2369">
      <c r="A2369" s="3" t="inlineStr">
        <is>
          <t>Cape Projects Construction (Pty) Ltd</t>
        </is>
      </c>
      <c r="B2369" s="4" t="n">
        <v>44926</v>
      </c>
      <c r="C2369" s="3" t="inlineStr">
        <is>
          <t>Expenses</t>
        </is>
      </c>
      <c r="D2369" s="3" t="inlineStr">
        <is>
          <t>3850/000</t>
        </is>
      </c>
      <c r="E2369" s="3" t="inlineStr">
        <is>
          <t>Insurance</t>
        </is>
      </c>
      <c r="F2369" s="3" t="n">
        <v>0</v>
      </c>
      <c r="G2369" s="3" t="n">
        <v>819.63</v>
      </c>
    </row>
    <row r="2370">
      <c r="A2370" s="3" t="inlineStr">
        <is>
          <t>Heron Fields (Pty) Ltd</t>
        </is>
      </c>
      <c r="B2370" s="4" t="n">
        <v>44926</v>
      </c>
      <c r="C2370" s="3" t="inlineStr">
        <is>
          <t>Expenses</t>
        </is>
      </c>
      <c r="D2370" s="3" t="inlineStr">
        <is>
          <t>3850/000</t>
        </is>
      </c>
      <c r="E2370" s="3" t="inlineStr">
        <is>
          <t>Insurance</t>
        </is>
      </c>
      <c r="F2370" s="3" t="n">
        <v>4467.96</v>
      </c>
      <c r="G2370" s="3" t="n">
        <v>12702.82</v>
      </c>
    </row>
    <row r="2371">
      <c r="A2371" s="3" t="inlineStr">
        <is>
          <t>Cape Projects Construction (Pty) Ltd</t>
        </is>
      </c>
      <c r="B2371" s="4" t="n">
        <v>44926</v>
      </c>
      <c r="C2371" s="3" t="inlineStr">
        <is>
          <t>Expenses</t>
        </is>
      </c>
      <c r="D2371" s="3" t="inlineStr">
        <is>
          <t>3850/001</t>
        </is>
      </c>
      <c r="E2371" s="3" t="inlineStr">
        <is>
          <t>Insurance - Santam</t>
        </is>
      </c>
      <c r="F2371" s="3" t="n">
        <v>2668.36</v>
      </c>
      <c r="G2371" s="3" t="n">
        <v>13626.33</v>
      </c>
    </row>
    <row r="2372">
      <c r="A2372" s="3" t="inlineStr">
        <is>
          <t>Cape Projects Construction (Pty) Ltd</t>
        </is>
      </c>
      <c r="B2372" s="4" t="n">
        <v>44926</v>
      </c>
      <c r="C2372" s="3" t="inlineStr">
        <is>
          <t>Expenses</t>
        </is>
      </c>
      <c r="D2372" s="3" t="inlineStr">
        <is>
          <t>3850/002</t>
        </is>
      </c>
      <c r="E2372" s="3" t="inlineStr">
        <is>
          <t>Insurance - RBS</t>
        </is>
      </c>
      <c r="F2372" s="3" t="n">
        <v>0</v>
      </c>
      <c r="G2372" s="3" t="n">
        <v>1425.42</v>
      </c>
    </row>
    <row r="2373">
      <c r="A2373" s="3" t="inlineStr">
        <is>
          <t>Heron Fields (Pty) Ltd</t>
        </is>
      </c>
      <c r="B2373" s="4" t="n">
        <v>44926</v>
      </c>
      <c r="C2373" s="3" t="inlineStr">
        <is>
          <t>Expenses</t>
        </is>
      </c>
      <c r="D2373" s="3" t="inlineStr">
        <is>
          <t>3900/000</t>
        </is>
      </c>
      <c r="E2373" s="3" t="inlineStr">
        <is>
          <t>Interest Paid</t>
        </is>
      </c>
      <c r="F2373" s="3" t="n">
        <v>0</v>
      </c>
      <c r="G2373" s="3" t="n">
        <v>588.4400000000001</v>
      </c>
    </row>
    <row r="2374">
      <c r="A2374" s="3" t="inlineStr">
        <is>
          <t>Heron Fields (Pty) Ltd</t>
        </is>
      </c>
      <c r="B2374" s="4" t="n">
        <v>44926</v>
      </c>
      <c r="C2374" s="3" t="inlineStr">
        <is>
          <t>Expenses</t>
        </is>
      </c>
      <c r="D2374" s="3" t="inlineStr">
        <is>
          <t>3900/111</t>
        </is>
      </c>
      <c r="E2374" s="3" t="inlineStr">
        <is>
          <t>Interest Paid - Investors @ 6.25%</t>
        </is>
      </c>
      <c r="F2374" s="3" t="n">
        <v>146097.55</v>
      </c>
      <c r="G2374" s="3" t="n">
        <v>364402.86</v>
      </c>
    </row>
    <row r="2375">
      <c r="A2375" s="3" t="inlineStr">
        <is>
          <t>Heron Fields (Pty) Ltd</t>
        </is>
      </c>
      <c r="B2375" s="4" t="n">
        <v>44926</v>
      </c>
      <c r="C2375" s="3" t="inlineStr">
        <is>
          <t>Expenses</t>
        </is>
      </c>
      <c r="D2375" s="3" t="inlineStr">
        <is>
          <t>3900/115</t>
        </is>
      </c>
      <c r="E2375" s="3" t="inlineStr">
        <is>
          <t>Interest Paid - Investors @ 6.5%</t>
        </is>
      </c>
      <c r="F2375" s="3" t="n">
        <v>2920.55</v>
      </c>
      <c r="G2375" s="3" t="n">
        <v>32232.89</v>
      </c>
    </row>
    <row r="2376">
      <c r="A2376" s="3" t="inlineStr">
        <is>
          <t>Heron Fields (Pty) Ltd</t>
        </is>
      </c>
      <c r="B2376" s="4" t="n">
        <v>44926</v>
      </c>
      <c r="C2376" s="3" t="inlineStr">
        <is>
          <t>Expenses</t>
        </is>
      </c>
      <c r="D2376" s="3" t="inlineStr">
        <is>
          <t>3900/117</t>
        </is>
      </c>
      <c r="E2376" s="3" t="inlineStr">
        <is>
          <t>Interest Paid - Investors @ 6.75%</t>
        </is>
      </c>
      <c r="F2376" s="3" t="n">
        <v>1091.1</v>
      </c>
      <c r="G2376" s="3" t="n">
        <v>1652.07</v>
      </c>
    </row>
    <row r="2377">
      <c r="A2377" s="3" t="inlineStr">
        <is>
          <t>Heron Fields (Pty) Ltd</t>
        </is>
      </c>
      <c r="B2377" s="4" t="n">
        <v>44926</v>
      </c>
      <c r="C2377" s="3" t="inlineStr">
        <is>
          <t>Expenses</t>
        </is>
      </c>
      <c r="D2377" s="3" t="inlineStr">
        <is>
          <t>3900/120</t>
        </is>
      </c>
      <c r="E2377" s="3" t="inlineStr">
        <is>
          <t>Interest Paid - Investors @ 7%</t>
        </is>
      </c>
      <c r="F2377" s="3" t="n">
        <v>249.32</v>
      </c>
      <c r="G2377" s="3" t="n">
        <v>249.32</v>
      </c>
    </row>
    <row r="2378">
      <c r="A2378" s="3" t="inlineStr">
        <is>
          <t>Heron Fields (Pty) Ltd</t>
        </is>
      </c>
      <c r="B2378" s="4" t="n">
        <v>44926</v>
      </c>
      <c r="C2378" s="3" t="inlineStr">
        <is>
          <t>Expenses</t>
        </is>
      </c>
      <c r="D2378" s="3" t="inlineStr">
        <is>
          <t>3900/190</t>
        </is>
      </c>
      <c r="E2378" s="3" t="inlineStr">
        <is>
          <t>Interest Paid - Investors @ 14%</t>
        </is>
      </c>
      <c r="F2378" s="3" t="n">
        <v>53315.08</v>
      </c>
      <c r="G2378" s="3" t="n">
        <v>63632.89</v>
      </c>
    </row>
    <row r="2379">
      <c r="A2379" s="3" t="inlineStr">
        <is>
          <t>Heron Fields (Pty) Ltd</t>
        </is>
      </c>
      <c r="B2379" s="4" t="n">
        <v>44926</v>
      </c>
      <c r="C2379" s="3" t="inlineStr">
        <is>
          <t>Expenses</t>
        </is>
      </c>
      <c r="D2379" s="3" t="inlineStr">
        <is>
          <t>3900/200</t>
        </is>
      </c>
      <c r="E2379" s="3" t="inlineStr">
        <is>
          <t>Interest Paid - Investors @ 15%</t>
        </is>
      </c>
      <c r="F2379" s="3" t="n">
        <v>324986.28</v>
      </c>
      <c r="G2379" s="3" t="n">
        <v>701712.29</v>
      </c>
    </row>
    <row r="2380">
      <c r="A2380" s="3" t="inlineStr">
        <is>
          <t>Heron Fields (Pty) Ltd</t>
        </is>
      </c>
      <c r="B2380" s="4" t="n">
        <v>44926</v>
      </c>
      <c r="C2380" s="3" t="inlineStr">
        <is>
          <t>Expenses</t>
        </is>
      </c>
      <c r="D2380" s="3" t="inlineStr">
        <is>
          <t>3900/230</t>
        </is>
      </c>
      <c r="E2380" s="3" t="inlineStr">
        <is>
          <t>Interest Paid - Investors @ 18%</t>
        </is>
      </c>
      <c r="F2380" s="3" t="n">
        <v>1199211.5</v>
      </c>
      <c r="G2380" s="3" t="n">
        <v>3234321.06</v>
      </c>
    </row>
    <row r="2381">
      <c r="A2381" s="3" t="inlineStr">
        <is>
          <t>Cape Projects Construction (Pty) Ltd</t>
        </is>
      </c>
      <c r="B2381" s="4" t="n">
        <v>44926</v>
      </c>
      <c r="C2381" s="3" t="inlineStr">
        <is>
          <t>Expenses</t>
        </is>
      </c>
      <c r="D2381" s="3" t="inlineStr">
        <is>
          <t>3904/000</t>
        </is>
      </c>
      <c r="E2381" s="3" t="inlineStr">
        <is>
          <t>Interest Paid - BIBC</t>
        </is>
      </c>
      <c r="F2381" s="3" t="n">
        <v>0</v>
      </c>
      <c r="G2381" s="3" t="n">
        <v>1209.87</v>
      </c>
    </row>
    <row r="2382">
      <c r="A2382" s="3" t="inlineStr">
        <is>
          <t>Heron Fields (Pty) Ltd</t>
        </is>
      </c>
      <c r="B2382" s="4" t="n">
        <v>44926</v>
      </c>
      <c r="C2382" s="3" t="inlineStr">
        <is>
          <t>Expenses</t>
        </is>
      </c>
      <c r="D2382" s="3" t="inlineStr">
        <is>
          <t>4070/000</t>
        </is>
      </c>
      <c r="E2382" s="3" t="inlineStr">
        <is>
          <t>Management fees - OMH</t>
        </is>
      </c>
      <c r="F2382" s="3" t="n">
        <v>0</v>
      </c>
      <c r="G2382" s="3" t="n">
        <v>400000</v>
      </c>
    </row>
    <row r="2383">
      <c r="A2383" s="3" t="inlineStr">
        <is>
          <t>Heron Fields (Pty) Ltd</t>
        </is>
      </c>
      <c r="B2383" s="4" t="n">
        <v>44926</v>
      </c>
      <c r="C2383" s="3" t="inlineStr">
        <is>
          <t>Expenses</t>
        </is>
      </c>
      <c r="D2383" s="3" t="inlineStr">
        <is>
          <t>4100/001</t>
        </is>
      </c>
      <c r="E2383" s="3" t="inlineStr">
        <is>
          <t>Momentum Admin Fee</t>
        </is>
      </c>
      <c r="F2383" s="3" t="n">
        <v>2354.45</v>
      </c>
      <c r="G2383" s="3" t="n">
        <v>245456.71</v>
      </c>
    </row>
    <row r="2384">
      <c r="A2384" s="3" t="inlineStr">
        <is>
          <t>Cape Projects Construction (Pty) Ltd</t>
        </is>
      </c>
      <c r="B2384" s="4" t="n">
        <v>44926</v>
      </c>
      <c r="C2384" s="3" t="inlineStr">
        <is>
          <t>Expenses</t>
        </is>
      </c>
      <c r="D2384" s="3" t="inlineStr">
        <is>
          <t>4150/020</t>
        </is>
      </c>
      <c r="E2384" s="3" t="inlineStr">
        <is>
          <t>Motor Vehicle - Repairs _AND_ Maint.</t>
        </is>
      </c>
      <c r="F2384" s="3" t="n">
        <v>0</v>
      </c>
      <c r="G2384" s="3" t="n">
        <v>4033.01</v>
      </c>
    </row>
    <row r="2385">
      <c r="A2385" s="3" t="inlineStr">
        <is>
          <t>Cape Projects Construction (Pty) Ltd</t>
        </is>
      </c>
      <c r="B2385" s="4" t="n">
        <v>44926</v>
      </c>
      <c r="C2385" s="3" t="inlineStr">
        <is>
          <t>Expenses</t>
        </is>
      </c>
      <c r="D2385" s="3" t="inlineStr">
        <is>
          <t>4150/030</t>
        </is>
      </c>
      <c r="E2385" s="3" t="inlineStr">
        <is>
          <t>Motor Vehicle - Insurance _AND_ Licence</t>
        </is>
      </c>
      <c r="F2385" s="3" t="n">
        <v>0</v>
      </c>
      <c r="G2385" s="3" t="n">
        <v>1200</v>
      </c>
    </row>
    <row r="2386">
      <c r="A2386" s="3" t="inlineStr">
        <is>
          <t>Cape Projects Construction (Pty) Ltd</t>
        </is>
      </c>
      <c r="B2386" s="4" t="n">
        <v>44926</v>
      </c>
      <c r="C2386" s="3" t="inlineStr">
        <is>
          <t>Expenses</t>
        </is>
      </c>
      <c r="D2386" s="3" t="inlineStr">
        <is>
          <t>4200/000</t>
        </is>
      </c>
      <c r="E2386" s="3" t="inlineStr">
        <is>
          <t>Printing _AND_ Stationery</t>
        </is>
      </c>
      <c r="F2386" s="3" t="n">
        <v>736.17</v>
      </c>
      <c r="G2386" s="3" t="n">
        <v>12583.46</v>
      </c>
    </row>
    <row r="2387">
      <c r="A2387" s="3" t="inlineStr">
        <is>
          <t>Heron View (Pty) Ltd</t>
        </is>
      </c>
      <c r="B2387" s="4" t="n">
        <v>44926</v>
      </c>
      <c r="C2387" s="3" t="inlineStr">
        <is>
          <t>Expenses</t>
        </is>
      </c>
      <c r="D2387" s="3" t="inlineStr">
        <is>
          <t>4200/000</t>
        </is>
      </c>
      <c r="E2387" s="3" t="inlineStr">
        <is>
          <t>Printing _AND_ Stationery</t>
        </is>
      </c>
      <c r="F2387" s="3" t="n">
        <v>0</v>
      </c>
      <c r="G2387" s="3" t="n">
        <v>3404.62</v>
      </c>
    </row>
    <row r="2388">
      <c r="A2388" s="3" t="inlineStr">
        <is>
          <t>Cape Projects Construction (Pty) Ltd</t>
        </is>
      </c>
      <c r="B2388" s="4" t="n">
        <v>44926</v>
      </c>
      <c r="C2388" s="3" t="inlineStr">
        <is>
          <t>Expenses</t>
        </is>
      </c>
      <c r="D2388" s="3" t="inlineStr">
        <is>
          <t>4201/000</t>
        </is>
      </c>
      <c r="E2388" s="3" t="inlineStr">
        <is>
          <t>Printing - Printer rental</t>
        </is>
      </c>
      <c r="F2388" s="3" t="n">
        <v>0</v>
      </c>
      <c r="G2388" s="3" t="n">
        <v>6198.89</v>
      </c>
    </row>
    <row r="2389">
      <c r="A2389" s="3" t="inlineStr">
        <is>
          <t>Cape Projects Construction (Pty) Ltd</t>
        </is>
      </c>
      <c r="B2389" s="4" t="n">
        <v>44926</v>
      </c>
      <c r="C2389" s="3" t="inlineStr">
        <is>
          <t>Expenses</t>
        </is>
      </c>
      <c r="D2389" s="3" t="inlineStr">
        <is>
          <t>4300/000</t>
        </is>
      </c>
      <c r="E2389" s="3" t="inlineStr">
        <is>
          <t>Rent Paid</t>
        </is>
      </c>
      <c r="F2389" s="3" t="n">
        <v>29600</v>
      </c>
      <c r="G2389" s="3" t="n">
        <v>282891.67</v>
      </c>
    </row>
    <row r="2390">
      <c r="A2390" s="3" t="inlineStr">
        <is>
          <t>Cape Projects Construction (Pty) Ltd</t>
        </is>
      </c>
      <c r="B2390" s="4" t="n">
        <v>44926</v>
      </c>
      <c r="C2390" s="3" t="inlineStr">
        <is>
          <t>Expenses</t>
        </is>
      </c>
      <c r="D2390" s="3" t="inlineStr">
        <is>
          <t>4310/000</t>
        </is>
      </c>
      <c r="E2390" s="3" t="inlineStr">
        <is>
          <t>Rates</t>
        </is>
      </c>
      <c r="F2390" s="3" t="n">
        <v>843.6</v>
      </c>
      <c r="G2390" s="3" t="n">
        <v>8436</v>
      </c>
    </row>
    <row r="2391">
      <c r="A2391" s="3" t="inlineStr">
        <is>
          <t>Heron Fields (Pty) Ltd</t>
        </is>
      </c>
      <c r="B2391" s="4" t="n">
        <v>44926</v>
      </c>
      <c r="C2391" s="3" t="inlineStr">
        <is>
          <t>Expenses</t>
        </is>
      </c>
      <c r="D2391" s="3" t="inlineStr">
        <is>
          <t>4310/000</t>
        </is>
      </c>
      <c r="E2391" s="3" t="inlineStr">
        <is>
          <t>Rates - Heron</t>
        </is>
      </c>
      <c r="F2391" s="3" t="n">
        <v>0</v>
      </c>
      <c r="G2391" s="3" t="n">
        <v>29104.79</v>
      </c>
    </row>
    <row r="2392">
      <c r="A2392" s="3" t="inlineStr">
        <is>
          <t>Cape Projects Construction (Pty) Ltd</t>
        </is>
      </c>
      <c r="B2392" s="4" t="n">
        <v>44926</v>
      </c>
      <c r="C2392" s="3" t="inlineStr">
        <is>
          <t>Expenses</t>
        </is>
      </c>
      <c r="D2392" s="3" t="inlineStr">
        <is>
          <t>4350/000</t>
        </is>
      </c>
      <c r="E2392" s="3" t="inlineStr">
        <is>
          <t>Repairs _AND_ Maintenance</t>
        </is>
      </c>
      <c r="F2392" s="3" t="n">
        <v>3390</v>
      </c>
      <c r="G2392" s="3" t="n">
        <v>24423.01</v>
      </c>
    </row>
    <row r="2393">
      <c r="A2393" s="3" t="inlineStr">
        <is>
          <t>Heron Fields (Pty) Ltd</t>
        </is>
      </c>
      <c r="B2393" s="4" t="n">
        <v>44926</v>
      </c>
      <c r="C2393" s="3" t="inlineStr">
        <is>
          <t>Expenses</t>
        </is>
      </c>
      <c r="D2393" s="3" t="inlineStr">
        <is>
          <t>4350/000</t>
        </is>
      </c>
      <c r="E2393" s="3" t="inlineStr">
        <is>
          <t>Repairs _AND_ Maintenance</t>
        </is>
      </c>
      <c r="F2393" s="3" t="n">
        <v>0</v>
      </c>
      <c r="G2393" s="3" t="n">
        <v>22719.99</v>
      </c>
    </row>
    <row r="2394">
      <c r="A2394" s="3" t="inlineStr">
        <is>
          <t>Cape Projects Construction (Pty) Ltd</t>
        </is>
      </c>
      <c r="B2394" s="4" t="n">
        <v>44926</v>
      </c>
      <c r="C2394" s="3" t="inlineStr">
        <is>
          <t>Expenses</t>
        </is>
      </c>
      <c r="D2394" s="3" t="inlineStr">
        <is>
          <t>4400/000</t>
        </is>
      </c>
      <c r="E2394" s="3" t="inlineStr">
        <is>
          <t>Salaries _AND_ Wages</t>
        </is>
      </c>
      <c r="F2394" s="3" t="n">
        <v>193482.22</v>
      </c>
      <c r="G2394" s="3" t="n">
        <v>2131135.58</v>
      </c>
    </row>
    <row r="2395">
      <c r="A2395" s="3" t="inlineStr">
        <is>
          <t>Cape Projects Construction (Pty) Ltd</t>
        </is>
      </c>
      <c r="B2395" s="4" t="n">
        <v>44926</v>
      </c>
      <c r="C2395" s="3" t="inlineStr">
        <is>
          <t>Expenses</t>
        </is>
      </c>
      <c r="D2395" s="3" t="inlineStr">
        <is>
          <t>4402</t>
        </is>
      </c>
      <c r="E2395" s="3" t="inlineStr">
        <is>
          <t>Salaries &amp; Wages - WCA</t>
        </is>
      </c>
      <c r="F2395" s="3" t="n">
        <v>0</v>
      </c>
      <c r="G2395" s="3" t="n">
        <v>3746.27</v>
      </c>
    </row>
    <row r="2396">
      <c r="A2396" s="3" t="inlineStr">
        <is>
          <t>Cape Projects Construction (Pty) Ltd</t>
        </is>
      </c>
      <c r="B2396" s="4" t="n">
        <v>44926</v>
      </c>
      <c r="C2396" s="3" t="inlineStr">
        <is>
          <t>Expenses</t>
        </is>
      </c>
      <c r="D2396" s="3" t="inlineStr">
        <is>
          <t>4403/000</t>
        </is>
      </c>
      <c r="E2396" s="3" t="inlineStr">
        <is>
          <t>Security</t>
        </is>
      </c>
      <c r="F2396" s="3" t="n">
        <v>177.33</v>
      </c>
      <c r="G2396" s="3" t="n">
        <v>1518.09</v>
      </c>
    </row>
    <row r="2397">
      <c r="A2397" s="3" t="inlineStr">
        <is>
          <t>Cape Projects Construction (Pty) Ltd</t>
        </is>
      </c>
      <c r="B2397" s="4" t="n">
        <v>44926</v>
      </c>
      <c r="C2397" s="3" t="inlineStr">
        <is>
          <t>Expenses</t>
        </is>
      </c>
      <c r="D2397" s="3" t="inlineStr">
        <is>
          <t>4420/000</t>
        </is>
      </c>
      <c r="E2397" s="3" t="inlineStr">
        <is>
          <t>Small Assets</t>
        </is>
      </c>
      <c r="F2397" s="3" t="n">
        <v>0</v>
      </c>
      <c r="G2397" s="3" t="n">
        <v>9013.48</v>
      </c>
    </row>
    <row r="2398">
      <c r="A2398" s="3" t="inlineStr">
        <is>
          <t>Heron Fields (Pty) Ltd</t>
        </is>
      </c>
      <c r="B2398" s="4" t="n">
        <v>44926</v>
      </c>
      <c r="C2398" s="3" t="inlineStr">
        <is>
          <t>Expenses</t>
        </is>
      </c>
      <c r="D2398" s="3" t="inlineStr">
        <is>
          <t>4420/001</t>
        </is>
      </c>
      <c r="E2398" s="3" t="inlineStr">
        <is>
          <t>Security - ADT</t>
        </is>
      </c>
      <c r="F2398" s="3" t="n">
        <v>665.1900000000001</v>
      </c>
      <c r="G2398" s="3" t="n">
        <v>4921.03</v>
      </c>
    </row>
    <row r="2399">
      <c r="A2399" s="3" t="inlineStr">
        <is>
          <t>Cape Projects Construction (Pty) Ltd</t>
        </is>
      </c>
      <c r="B2399" s="4" t="n">
        <v>44926</v>
      </c>
      <c r="C2399" s="3" t="inlineStr">
        <is>
          <t>Expenses</t>
        </is>
      </c>
      <c r="D2399" s="3" t="inlineStr">
        <is>
          <t>4450/000</t>
        </is>
      </c>
      <c r="E2399" s="3" t="inlineStr">
        <is>
          <t>Staff Training</t>
        </is>
      </c>
      <c r="F2399" s="3" t="n">
        <v>0</v>
      </c>
      <c r="G2399" s="3" t="n">
        <v>6800</v>
      </c>
    </row>
    <row r="2400">
      <c r="A2400" s="3" t="inlineStr">
        <is>
          <t>Cape Projects Construction (Pty) Ltd</t>
        </is>
      </c>
      <c r="B2400" s="4" t="n">
        <v>44926</v>
      </c>
      <c r="C2400" s="3" t="inlineStr">
        <is>
          <t>Expenses</t>
        </is>
      </c>
      <c r="D2400" s="3" t="inlineStr">
        <is>
          <t>4500/000</t>
        </is>
      </c>
      <c r="E2400" s="3" t="inlineStr">
        <is>
          <t>Staff Welfare _AND_ Refreshmts</t>
        </is>
      </c>
      <c r="F2400" s="3" t="n">
        <v>0</v>
      </c>
      <c r="G2400" s="3" t="n">
        <v>4770.66</v>
      </c>
    </row>
    <row r="2401">
      <c r="A2401" s="3" t="inlineStr">
        <is>
          <t>Cape Projects Construction (Pty) Ltd</t>
        </is>
      </c>
      <c r="B2401" s="4" t="n">
        <v>44926</v>
      </c>
      <c r="C2401" s="3" t="inlineStr">
        <is>
          <t>Expenses</t>
        </is>
      </c>
      <c r="D2401" s="3" t="inlineStr">
        <is>
          <t>4550/000</t>
        </is>
      </c>
      <c r="E2401" s="3" t="inlineStr">
        <is>
          <t>Subscriptions / Licenses</t>
        </is>
      </c>
      <c r="F2401" s="3" t="n">
        <v>0</v>
      </c>
      <c r="G2401" s="3" t="n">
        <v>526.3200000000001</v>
      </c>
    </row>
    <row r="2402">
      <c r="A2402" s="3" t="inlineStr">
        <is>
          <t>Cape Projects Construction (Pty) Ltd</t>
        </is>
      </c>
      <c r="B2402" s="4" t="n">
        <v>44926</v>
      </c>
      <c r="C2402" s="3" t="inlineStr">
        <is>
          <t>Expenses</t>
        </is>
      </c>
      <c r="D2402" s="3" t="inlineStr">
        <is>
          <t>4550/001</t>
        </is>
      </c>
      <c r="E2402" s="3" t="inlineStr">
        <is>
          <t>Subscriptions &amp; Licenses - Sage payroll</t>
        </is>
      </c>
      <c r="F2402" s="3" t="n">
        <v>686</v>
      </c>
      <c r="G2402" s="3" t="n">
        <v>6080</v>
      </c>
    </row>
    <row r="2403">
      <c r="A2403" s="3" t="inlineStr">
        <is>
          <t>Cape Projects Construction (Pty) Ltd</t>
        </is>
      </c>
      <c r="B2403" s="4" t="n">
        <v>44926</v>
      </c>
      <c r="C2403" s="3" t="inlineStr">
        <is>
          <t>Expenses</t>
        </is>
      </c>
      <c r="D2403" s="3" t="inlineStr">
        <is>
          <t>4550/003</t>
        </is>
      </c>
      <c r="E2403" s="3" t="inlineStr">
        <is>
          <t>Subscriptions &amp; Licenses - Xero</t>
        </is>
      </c>
      <c r="F2403" s="3" t="n">
        <v>600</v>
      </c>
      <c r="G2403" s="3" t="n">
        <v>6000</v>
      </c>
    </row>
    <row r="2404">
      <c r="A2404" s="3" t="inlineStr">
        <is>
          <t>Cape Projects Construction (Pty) Ltd</t>
        </is>
      </c>
      <c r="B2404" s="4" t="n">
        <v>44926</v>
      </c>
      <c r="C2404" s="3" t="inlineStr">
        <is>
          <t>Expenses</t>
        </is>
      </c>
      <c r="D2404" s="3" t="inlineStr">
        <is>
          <t>4550/004</t>
        </is>
      </c>
      <c r="E2404" s="3" t="inlineStr">
        <is>
          <t>Subscriptions - Smartsheet</t>
        </is>
      </c>
      <c r="F2404" s="3" t="n">
        <v>484</v>
      </c>
      <c r="G2404" s="3" t="n">
        <v>4286.6</v>
      </c>
    </row>
    <row r="2405">
      <c r="A2405" s="3" t="inlineStr">
        <is>
          <t>Cape Projects Construction (Pty) Ltd</t>
        </is>
      </c>
      <c r="B2405" s="4" t="n">
        <v>44926</v>
      </c>
      <c r="C2405" s="3" t="inlineStr">
        <is>
          <t>Expenses</t>
        </is>
      </c>
      <c r="D2405" s="3" t="inlineStr">
        <is>
          <t>4550/006</t>
        </is>
      </c>
      <c r="E2405" s="3" t="inlineStr">
        <is>
          <t>Subscription - Candy software</t>
        </is>
      </c>
      <c r="F2405" s="3" t="n">
        <v>0</v>
      </c>
      <c r="G2405" s="3" t="n">
        <v>13765</v>
      </c>
    </row>
    <row r="2406">
      <c r="A2406" s="3" t="inlineStr">
        <is>
          <t>Heron Fields (Pty) Ltd</t>
        </is>
      </c>
      <c r="B2406" s="4" t="n">
        <v>44926</v>
      </c>
      <c r="C2406" s="3" t="inlineStr">
        <is>
          <t>Expenses</t>
        </is>
      </c>
      <c r="D2406" s="3" t="inlineStr">
        <is>
          <t>4550/100</t>
        </is>
      </c>
      <c r="E2406" s="3" t="inlineStr">
        <is>
          <t>Subscriptions - Xero</t>
        </is>
      </c>
      <c r="F2406" s="3" t="n">
        <v>600</v>
      </c>
      <c r="G2406" s="3" t="n">
        <v>6000</v>
      </c>
    </row>
    <row r="2407">
      <c r="A2407" s="3" t="inlineStr">
        <is>
          <t>Heron View (Pty) Ltd</t>
        </is>
      </c>
      <c r="B2407" s="4" t="n">
        <v>44926</v>
      </c>
      <c r="C2407" s="3" t="inlineStr">
        <is>
          <t>Expenses</t>
        </is>
      </c>
      <c r="D2407" s="3" t="inlineStr">
        <is>
          <t>4550/100</t>
        </is>
      </c>
      <c r="E2407" s="3" t="inlineStr">
        <is>
          <t>Subscriptions - Xero</t>
        </is>
      </c>
      <c r="F2407" s="3" t="n">
        <v>600</v>
      </c>
      <c r="G2407" s="3" t="n">
        <v>9600</v>
      </c>
    </row>
    <row r="2408">
      <c r="A2408" s="3" t="inlineStr">
        <is>
          <t>Heron Fields (Pty) Ltd</t>
        </is>
      </c>
      <c r="B2408" s="4" t="n">
        <v>44926</v>
      </c>
      <c r="C2408" s="3" t="inlineStr">
        <is>
          <t>Expenses</t>
        </is>
      </c>
      <c r="D2408" s="3" t="inlineStr">
        <is>
          <t>4550/200</t>
        </is>
      </c>
      <c r="E2408" s="3" t="inlineStr">
        <is>
          <t>Subscription - NHBRC</t>
        </is>
      </c>
      <c r="F2408" s="3" t="n">
        <v>0</v>
      </c>
      <c r="G2408" s="3" t="n">
        <v>788.4299999999999</v>
      </c>
    </row>
    <row r="2409">
      <c r="A2409" s="3" t="inlineStr">
        <is>
          <t>Cape Projects Construction (Pty) Ltd</t>
        </is>
      </c>
      <c r="B2409" s="4" t="n">
        <v>44926</v>
      </c>
      <c r="C2409" s="3" t="inlineStr">
        <is>
          <t>Expenses</t>
        </is>
      </c>
      <c r="D2409" s="3" t="inlineStr">
        <is>
          <t>4560</t>
        </is>
      </c>
      <c r="E2409" s="3" t="inlineStr">
        <is>
          <t>Secretarial fees - CIPC</t>
        </is>
      </c>
      <c r="F2409" s="3" t="n">
        <v>0</v>
      </c>
      <c r="G2409" s="3" t="n">
        <v>2500</v>
      </c>
    </row>
    <row r="2410">
      <c r="A2410" s="3" t="inlineStr">
        <is>
          <t>Cape Projects Construction (Pty) Ltd</t>
        </is>
      </c>
      <c r="B2410" s="4" t="n">
        <v>44926</v>
      </c>
      <c r="C2410" s="3" t="inlineStr">
        <is>
          <t>Expenses</t>
        </is>
      </c>
      <c r="D2410" s="3" t="inlineStr">
        <is>
          <t>4650/010</t>
        </is>
      </c>
      <c r="E2410" s="3" t="inlineStr">
        <is>
          <t>Travel - Local</t>
        </is>
      </c>
      <c r="F2410" s="3" t="n">
        <v>0</v>
      </c>
      <c r="G2410" s="3" t="n">
        <v>13.04</v>
      </c>
    </row>
    <row r="2411">
      <c r="A2411" s="3" t="inlineStr">
        <is>
          <t>Cape Projects Construction (Pty) Ltd</t>
        </is>
      </c>
      <c r="B2411" s="4" t="n">
        <v>44926</v>
      </c>
      <c r="C2411" s="3" t="inlineStr">
        <is>
          <t>Expenses</t>
        </is>
      </c>
      <c r="D2411" s="3" t="inlineStr">
        <is>
          <t>4700/000</t>
        </is>
      </c>
      <c r="E2411" s="3" t="inlineStr">
        <is>
          <t>PAYE Contributions</t>
        </is>
      </c>
      <c r="F2411" s="3" t="n">
        <v>23916.38</v>
      </c>
      <c r="G2411" s="3" t="n">
        <v>319356.68</v>
      </c>
    </row>
    <row r="2412">
      <c r="A2412" s="3" t="inlineStr">
        <is>
          <t>Cape Projects Construction (Pty) Ltd</t>
        </is>
      </c>
      <c r="B2412" s="4" t="n">
        <v>44926</v>
      </c>
      <c r="C2412" s="3" t="inlineStr">
        <is>
          <t>Expenses</t>
        </is>
      </c>
      <c r="D2412" s="3" t="inlineStr">
        <is>
          <t>4720/000</t>
        </is>
      </c>
      <c r="E2412" s="3" t="inlineStr">
        <is>
          <t>SDL Contributions</t>
        </is>
      </c>
      <c r="F2412" s="3" t="n">
        <v>1953.67</v>
      </c>
      <c r="G2412" s="3" t="n">
        <v>23352.39</v>
      </c>
    </row>
    <row r="2413">
      <c r="A2413" s="3" t="inlineStr">
        <is>
          <t>Cape Projects Construction (Pty) Ltd</t>
        </is>
      </c>
      <c r="B2413" s="4" t="n">
        <v>44926</v>
      </c>
      <c r="C2413" s="3" t="inlineStr">
        <is>
          <t>Expenses</t>
        </is>
      </c>
      <c r="D2413" s="3" t="inlineStr">
        <is>
          <t>4730/000</t>
        </is>
      </c>
      <c r="E2413" s="3" t="inlineStr">
        <is>
          <t>UIF Company Contributions</t>
        </is>
      </c>
      <c r="F2413" s="3" t="n">
        <v>1473.9</v>
      </c>
      <c r="G2413" s="3" t="n">
        <v>16938.61</v>
      </c>
    </row>
    <row r="2414">
      <c r="A2414" s="3" t="inlineStr">
        <is>
          <t>Cape Projects Construction (Pty) Ltd</t>
        </is>
      </c>
      <c r="B2414" s="4" t="n">
        <v>44926</v>
      </c>
      <c r="C2414" s="3" t="inlineStr">
        <is>
          <t>Expenses</t>
        </is>
      </c>
      <c r="D2414" s="3" t="inlineStr">
        <is>
          <t>4731/000</t>
        </is>
      </c>
      <c r="E2414" s="3" t="inlineStr">
        <is>
          <t>UIF Employee Contribution</t>
        </is>
      </c>
      <c r="F2414" s="3" t="n">
        <v>1473.9</v>
      </c>
      <c r="G2414" s="3" t="n">
        <v>16938.61</v>
      </c>
    </row>
    <row r="2415">
      <c r="A2415" s="3" t="inlineStr">
        <is>
          <t>Cape Projects Construction (Pty) Ltd</t>
        </is>
      </c>
      <c r="B2415" s="4" t="n">
        <v>44926</v>
      </c>
      <c r="C2415" s="3" t="inlineStr">
        <is>
          <t>Expenses</t>
        </is>
      </c>
      <c r="D2415" s="3" t="inlineStr">
        <is>
          <t>4740/000</t>
        </is>
      </c>
      <c r="E2415" s="3" t="inlineStr">
        <is>
          <t>BIBC Company Contribution</t>
        </is>
      </c>
      <c r="F2415" s="3" t="n">
        <v>5034</v>
      </c>
      <c r="G2415" s="3" t="n">
        <v>71031.64</v>
      </c>
    </row>
    <row r="2416">
      <c r="A2416" s="3" t="inlineStr">
        <is>
          <t>Cape Projects Construction (Pty) Ltd</t>
        </is>
      </c>
      <c r="B2416" s="4" t="n">
        <v>44926</v>
      </c>
      <c r="C2416" s="3" t="inlineStr">
        <is>
          <t>Expenses</t>
        </is>
      </c>
      <c r="D2416" s="3" t="inlineStr">
        <is>
          <t>4741/000</t>
        </is>
      </c>
      <c r="E2416" s="3" t="inlineStr">
        <is>
          <t>BIBC Employee Contribution</t>
        </is>
      </c>
      <c r="F2416" s="3" t="n">
        <v>1775.25</v>
      </c>
      <c r="G2416" s="3" t="n">
        <v>23849.05</v>
      </c>
    </row>
    <row r="2417">
      <c r="A2417" s="3" t="inlineStr">
        <is>
          <t>Heron Fields (Pty) Ltd</t>
        </is>
      </c>
      <c r="B2417" s="4" t="n">
        <v>44926</v>
      </c>
      <c r="C2417" s="3" t="inlineStr">
        <is>
          <t>Equity</t>
        </is>
      </c>
      <c r="D2417" s="3" t="inlineStr">
        <is>
          <t>5100-000</t>
        </is>
      </c>
      <c r="E2417" s="3" t="inlineStr">
        <is>
          <t>Share Capital</t>
        </is>
      </c>
      <c r="F2417" s="3" t="n">
        <v>0</v>
      </c>
      <c r="G2417" s="3" t="n">
        <v>-100</v>
      </c>
    </row>
    <row r="2418">
      <c r="A2418" s="3" t="inlineStr">
        <is>
          <t>Cape Projects Construction (Pty) Ltd</t>
        </is>
      </c>
      <c r="B2418" s="4" t="n">
        <v>44926</v>
      </c>
      <c r="C2418" s="3" t="inlineStr">
        <is>
          <t>Equity</t>
        </is>
      </c>
      <c r="D2418" s="3" t="inlineStr">
        <is>
          <t>5100/000</t>
        </is>
      </c>
      <c r="E2418" s="3" t="inlineStr">
        <is>
          <t>Share Capital / Members Contribution</t>
        </is>
      </c>
      <c r="F2418" s="3" t="n">
        <v>0</v>
      </c>
      <c r="G2418" s="3" t="n">
        <v>-120</v>
      </c>
    </row>
    <row r="2419">
      <c r="A2419" s="3" t="inlineStr">
        <is>
          <t>Cape Projects Construction (Pty) Ltd</t>
        </is>
      </c>
      <c r="B2419" s="4" t="n">
        <v>44926</v>
      </c>
      <c r="C2419" s="3" t="inlineStr">
        <is>
          <t>Equity</t>
        </is>
      </c>
      <c r="D2419" s="3" t="inlineStr">
        <is>
          <t>5200/000</t>
        </is>
      </c>
      <c r="E2419" s="3" t="inlineStr">
        <is>
          <t>Retained Earnings / Loss</t>
        </is>
      </c>
      <c r="F2419" s="3" t="n">
        <v>0</v>
      </c>
      <c r="G2419" s="3" t="n">
        <v>247347.05</v>
      </c>
    </row>
    <row r="2420">
      <c r="A2420" s="3" t="inlineStr">
        <is>
          <t>Heron Fields (Pty) Ltd</t>
        </is>
      </c>
      <c r="B2420" s="4" t="n">
        <v>44926</v>
      </c>
      <c r="C2420" s="3" t="inlineStr">
        <is>
          <t>Equity</t>
        </is>
      </c>
      <c r="D2420" s="3" t="inlineStr">
        <is>
          <t>5200/000</t>
        </is>
      </c>
      <c r="E2420" s="3" t="inlineStr">
        <is>
          <t>Retained Earnings / Loss</t>
        </is>
      </c>
      <c r="F2420" s="3" t="n">
        <v>0</v>
      </c>
      <c r="G2420" s="3" t="n">
        <v>-17080353.05</v>
      </c>
    </row>
    <row r="2421">
      <c r="A2421" s="3" t="inlineStr">
        <is>
          <t>Heron Fields (Pty) Ltd</t>
        </is>
      </c>
      <c r="B2421" s="4" t="n">
        <v>44926</v>
      </c>
      <c r="C2421" s="3" t="inlineStr">
        <is>
          <t>Assets</t>
        </is>
      </c>
      <c r="D2421" s="3" t="inlineStr">
        <is>
          <t>5300/001</t>
        </is>
      </c>
      <c r="E2421" s="3" t="inlineStr">
        <is>
          <t>Revaluation of Land stock</t>
        </is>
      </c>
      <c r="F2421" s="3" t="n">
        <v>0</v>
      </c>
      <c r="G2421" s="3" t="n">
        <v>17562360.85</v>
      </c>
    </row>
    <row r="2422">
      <c r="A2422" s="3" t="inlineStr">
        <is>
          <t>Cape Projects Construction (Pty) Ltd</t>
        </is>
      </c>
      <c r="B2422" s="4" t="n">
        <v>44926</v>
      </c>
      <c r="C2422" s="3" t="inlineStr">
        <is>
          <t>Assets</t>
        </is>
      </c>
      <c r="D2422" s="3" t="inlineStr">
        <is>
          <t>5400/150</t>
        </is>
      </c>
      <c r="E2422" s="3" t="inlineStr">
        <is>
          <t>Loan - Quinate</t>
        </is>
      </c>
      <c r="F2422" s="3" t="n">
        <v>225000</v>
      </c>
      <c r="G2422" s="3" t="n">
        <v>6796187.4</v>
      </c>
    </row>
    <row r="2423">
      <c r="A2423" s="3" t="inlineStr">
        <is>
          <t>Cape Projects Construction (Pty) Ltd</t>
        </is>
      </c>
      <c r="B2423" s="4" t="n">
        <v>44926</v>
      </c>
      <c r="C2423" s="3" t="inlineStr">
        <is>
          <t>Assets</t>
        </is>
      </c>
      <c r="D2423" s="3" t="inlineStr">
        <is>
          <t>5400/450</t>
        </is>
      </c>
      <c r="E2423" s="3" t="inlineStr">
        <is>
          <t>Loan - Opportunity Investment</t>
        </is>
      </c>
      <c r="F2423" s="3" t="n">
        <v>-271000</v>
      </c>
      <c r="G2423" s="3" t="n">
        <v>-271000</v>
      </c>
    </row>
    <row r="2424">
      <c r="A2424" s="3" t="inlineStr">
        <is>
          <t>Cape Projects Construction (Pty) Ltd</t>
        </is>
      </c>
      <c r="B2424" s="4" t="n">
        <v>44926</v>
      </c>
      <c r="C2424" s="3" t="inlineStr">
        <is>
          <t>Assets</t>
        </is>
      </c>
      <c r="D2424" s="3" t="inlineStr">
        <is>
          <t>5400/550</t>
        </is>
      </c>
      <c r="E2424" s="3" t="inlineStr">
        <is>
          <t>Loan - Trademark</t>
        </is>
      </c>
      <c r="F2424" s="3" t="n">
        <v>600</v>
      </c>
      <c r="G2424" s="3" t="n">
        <v>600</v>
      </c>
    </row>
    <row r="2425">
      <c r="A2425" s="3" t="inlineStr">
        <is>
          <t>Cape Projects Construction (Pty) Ltd</t>
        </is>
      </c>
      <c r="B2425" s="4" t="n">
        <v>44926</v>
      </c>
      <c r="C2425" s="3" t="inlineStr">
        <is>
          <t>Assets</t>
        </is>
      </c>
      <c r="D2425" s="3" t="inlineStr">
        <is>
          <t>5400/600</t>
        </is>
      </c>
      <c r="E2425" s="3" t="inlineStr">
        <is>
          <t>Loan - Heron Projects</t>
        </is>
      </c>
      <c r="F2425" s="3" t="n">
        <v>0</v>
      </c>
      <c r="G2425" s="3" t="n">
        <v>-8226138.5</v>
      </c>
    </row>
    <row r="2426">
      <c r="A2426" s="3" t="inlineStr">
        <is>
          <t>Cape Projects Construction (Pty) Ltd</t>
        </is>
      </c>
      <c r="B2426" s="4" t="n">
        <v>44926</v>
      </c>
      <c r="C2426" s="3" t="inlineStr">
        <is>
          <t>Assets</t>
        </is>
      </c>
      <c r="D2426" s="3" t="inlineStr">
        <is>
          <t>5400/650</t>
        </is>
      </c>
      <c r="E2426" s="3" t="inlineStr">
        <is>
          <t>Loan - Noble Shield</t>
        </is>
      </c>
      <c r="F2426" s="3" t="n">
        <v>600</v>
      </c>
      <c r="G2426" s="3" t="n">
        <v>600</v>
      </c>
    </row>
    <row r="2427">
      <c r="A2427" s="3" t="inlineStr">
        <is>
          <t>Cape Projects Construction (Pty) Ltd</t>
        </is>
      </c>
      <c r="B2427" s="4" t="n">
        <v>44926</v>
      </c>
      <c r="C2427" s="3" t="inlineStr">
        <is>
          <t>Assets</t>
        </is>
      </c>
      <c r="D2427" s="3" t="inlineStr">
        <is>
          <t>5400/750</t>
        </is>
      </c>
      <c r="E2427" s="3" t="inlineStr">
        <is>
          <t>Loan - Endulini</t>
        </is>
      </c>
      <c r="F2427" s="3" t="n">
        <v>4692000</v>
      </c>
      <c r="G2427" s="3" t="n">
        <v>6059000</v>
      </c>
    </row>
    <row r="2428">
      <c r="A2428" s="3" t="inlineStr">
        <is>
          <t>Cape Projects Construction (Pty) Ltd</t>
        </is>
      </c>
      <c r="B2428" s="4" t="n">
        <v>44926</v>
      </c>
      <c r="C2428" s="3" t="inlineStr">
        <is>
          <t>Assets</t>
        </is>
      </c>
      <c r="D2428" s="3" t="inlineStr">
        <is>
          <t>5400/800</t>
        </is>
      </c>
      <c r="E2428" s="3" t="inlineStr">
        <is>
          <t>Loan - Opportunity Management Holdings</t>
        </is>
      </c>
      <c r="F2428" s="3" t="n">
        <v>-120000</v>
      </c>
      <c r="G2428" s="3" t="n">
        <v>-120000</v>
      </c>
    </row>
    <row r="2429">
      <c r="A2429" s="3" t="inlineStr">
        <is>
          <t>Heron View (Pty) Ltd</t>
        </is>
      </c>
      <c r="B2429" s="4" t="n">
        <v>44926</v>
      </c>
      <c r="C2429" s="3" t="inlineStr">
        <is>
          <t>Liabilities</t>
        </is>
      </c>
      <c r="D2429" s="3" t="inlineStr">
        <is>
          <t>5500/001</t>
        </is>
      </c>
      <c r="E2429" s="3" t="inlineStr">
        <is>
          <t>Loan - Heron Fields</t>
        </is>
      </c>
      <c r="F2429" s="3" t="n">
        <v>-269534.38</v>
      </c>
      <c r="G2429" s="3" t="n">
        <v>-2299447.39</v>
      </c>
    </row>
    <row r="2430">
      <c r="A2430" s="3" t="inlineStr">
        <is>
          <t>Heron Fields (Pty) Ltd</t>
        </is>
      </c>
      <c r="B2430" s="4" t="n">
        <v>44926</v>
      </c>
      <c r="C2430" s="3" t="inlineStr">
        <is>
          <t>Liabilities</t>
        </is>
      </c>
      <c r="D2430" s="3" t="inlineStr">
        <is>
          <t>5500/020</t>
        </is>
      </c>
      <c r="E2430" s="3" t="inlineStr">
        <is>
          <t>Loan - Cape Projects Construction</t>
        </is>
      </c>
      <c r="F2430" s="3" t="n">
        <v>0</v>
      </c>
      <c r="G2430" s="3" t="n">
        <v>8226138.5</v>
      </c>
    </row>
    <row r="2431">
      <c r="A2431" s="3" t="inlineStr">
        <is>
          <t>Heron Fields (Pty) Ltd</t>
        </is>
      </c>
      <c r="B2431" s="4" t="n">
        <v>44926</v>
      </c>
      <c r="C2431" s="3" t="inlineStr">
        <is>
          <t>Liabilities</t>
        </is>
      </c>
      <c r="D2431" s="3" t="inlineStr">
        <is>
          <t>5500/030</t>
        </is>
      </c>
      <c r="E2431" s="3" t="inlineStr">
        <is>
          <t>Loan - Opportunity Global Investments</t>
        </is>
      </c>
      <c r="F2431" s="3" t="n">
        <v>-60000</v>
      </c>
      <c r="G2431" s="3" t="n">
        <v>-60000</v>
      </c>
    </row>
    <row r="2432">
      <c r="A2432" s="3" t="inlineStr">
        <is>
          <t>Heron Fields (Pty) Ltd</t>
        </is>
      </c>
      <c r="B2432" s="4" t="n">
        <v>44926</v>
      </c>
      <c r="C2432" s="3" t="inlineStr">
        <is>
          <t>Liabilities</t>
        </is>
      </c>
      <c r="D2432" s="3" t="inlineStr">
        <is>
          <t>5500/050</t>
        </is>
      </c>
      <c r="E2432" s="3" t="inlineStr">
        <is>
          <t>Loan - Heron View</t>
        </is>
      </c>
      <c r="F2432" s="3" t="n">
        <v>6186594.55</v>
      </c>
      <c r="G2432" s="3" t="n">
        <v>8216507.56</v>
      </c>
    </row>
    <row r="2433">
      <c r="A2433" s="3" t="inlineStr">
        <is>
          <t>Cape Projects Construction (Pty) Ltd</t>
        </is>
      </c>
      <c r="B2433" s="4" t="n">
        <v>44926</v>
      </c>
      <c r="C2433" s="3" t="inlineStr">
        <is>
          <t>Liabilities</t>
        </is>
      </c>
      <c r="D2433" s="3" t="inlineStr">
        <is>
          <t>5600/100</t>
        </is>
      </c>
      <c r="E2433" s="3" t="inlineStr">
        <is>
          <t>Motor Vehical Car Repaymts - Toyota</t>
        </is>
      </c>
      <c r="F2433" s="3" t="n">
        <v>5233.24</v>
      </c>
      <c r="G2433" s="3" t="n">
        <v>52131.2</v>
      </c>
    </row>
    <row r="2434">
      <c r="A2434" s="3" t="inlineStr">
        <is>
          <t>Cape Projects Construction (Pty) Ltd</t>
        </is>
      </c>
      <c r="B2434" s="4" t="n">
        <v>44926</v>
      </c>
      <c r="C2434" s="3" t="inlineStr">
        <is>
          <t>Liabilities</t>
        </is>
      </c>
      <c r="D2434" s="3" t="inlineStr">
        <is>
          <t>5600/200</t>
        </is>
      </c>
      <c r="E2434" s="3" t="inlineStr">
        <is>
          <t>Motor Vehicle Car Repayments - Toyota Shortterm</t>
        </is>
      </c>
      <c r="F2434" s="3" t="n">
        <v>0</v>
      </c>
      <c r="G2434" s="3" t="n">
        <v>-58920.1</v>
      </c>
    </row>
    <row r="2435">
      <c r="A2435" s="3" t="inlineStr">
        <is>
          <t>Cape Projects Construction (Pty) Ltd</t>
        </is>
      </c>
      <c r="B2435" s="4" t="n">
        <v>44926</v>
      </c>
      <c r="C2435" s="3" t="inlineStr">
        <is>
          <t>Assets</t>
        </is>
      </c>
      <c r="D2435" s="3" t="inlineStr">
        <is>
          <t>6200/010</t>
        </is>
      </c>
      <c r="E2435" s="3" t="inlineStr">
        <is>
          <t>Motor Vehicles - @ Cost</t>
        </is>
      </c>
      <c r="F2435" s="3" t="n">
        <v>0</v>
      </c>
      <c r="G2435" s="3" t="n">
        <v>216064.1</v>
      </c>
    </row>
    <row r="2436">
      <c r="A2436" s="3" t="inlineStr">
        <is>
          <t>Cape Projects Construction (Pty) Ltd</t>
        </is>
      </c>
      <c r="B2436" s="4" t="n">
        <v>44926</v>
      </c>
      <c r="C2436" s="3" t="inlineStr">
        <is>
          <t>Assets</t>
        </is>
      </c>
      <c r="D2436" s="3" t="inlineStr">
        <is>
          <t>6200/020</t>
        </is>
      </c>
      <c r="E2436" s="3" t="inlineStr">
        <is>
          <t>Motor Vehicles - Accum Depre</t>
        </is>
      </c>
      <c r="F2436" s="3" t="n">
        <v>0</v>
      </c>
      <c r="G2436" s="3" t="n">
        <v>-216063.1</v>
      </c>
    </row>
    <row r="2437">
      <c r="A2437" s="3" t="inlineStr">
        <is>
          <t>Cape Projects Construction (Pty) Ltd</t>
        </is>
      </c>
      <c r="B2437" s="4" t="n">
        <v>44926</v>
      </c>
      <c r="C2437" s="3" t="inlineStr">
        <is>
          <t>Assets</t>
        </is>
      </c>
      <c r="D2437" s="3" t="inlineStr">
        <is>
          <t>6250/010</t>
        </is>
      </c>
      <c r="E2437" s="3" t="inlineStr">
        <is>
          <t>Computer Equipment - @ Cost</t>
        </is>
      </c>
      <c r="F2437" s="3" t="n">
        <v>0</v>
      </c>
      <c r="G2437" s="3" t="n">
        <v>92100.13</v>
      </c>
    </row>
    <row r="2438">
      <c r="A2438" s="3" t="inlineStr">
        <is>
          <t>Cape Projects Construction (Pty) Ltd</t>
        </is>
      </c>
      <c r="B2438" s="4" t="n">
        <v>44926</v>
      </c>
      <c r="C2438" s="3" t="inlineStr">
        <is>
          <t>Assets</t>
        </is>
      </c>
      <c r="D2438" s="3" t="inlineStr">
        <is>
          <t>6250/020</t>
        </is>
      </c>
      <c r="E2438" s="3" t="inlineStr">
        <is>
          <t>Computer Equipment - Accum Depre</t>
        </is>
      </c>
      <c r="F2438" s="3" t="n">
        <v>-2165.83</v>
      </c>
      <c r="G2438" s="3" t="n">
        <v>-38591.3</v>
      </c>
    </row>
    <row r="2439">
      <c r="A2439" s="3" t="inlineStr">
        <is>
          <t>Cape Projects Construction (Pty) Ltd</t>
        </is>
      </c>
      <c r="B2439" s="4" t="n">
        <v>44926</v>
      </c>
      <c r="C2439" s="3" t="inlineStr">
        <is>
          <t>Assets</t>
        </is>
      </c>
      <c r="D2439" s="3" t="inlineStr">
        <is>
          <t>6350/010</t>
        </is>
      </c>
      <c r="E2439" s="3" t="inlineStr">
        <is>
          <t>Furniture _AND_ Fittings - @ Cost</t>
        </is>
      </c>
      <c r="F2439" s="3" t="n">
        <v>0</v>
      </c>
      <c r="G2439" s="3" t="n">
        <v>37955.3</v>
      </c>
    </row>
    <row r="2440">
      <c r="A2440" s="3" t="inlineStr">
        <is>
          <t>Cape Projects Construction (Pty) Ltd</t>
        </is>
      </c>
      <c r="B2440" s="4" t="n">
        <v>44926</v>
      </c>
      <c r="C2440" s="3" t="inlineStr">
        <is>
          <t>Assets</t>
        </is>
      </c>
      <c r="D2440" s="3" t="inlineStr">
        <is>
          <t>6350/020</t>
        </is>
      </c>
      <c r="E2440" s="3" t="inlineStr">
        <is>
          <t>Furniture _AND_ Fittings - Accum Depre</t>
        </is>
      </c>
      <c r="F2440" s="3" t="n">
        <v>-547.6799999999999</v>
      </c>
      <c r="G2440" s="3" t="n">
        <v>-4799.22</v>
      </c>
    </row>
    <row r="2441">
      <c r="A2441" s="3" t="inlineStr">
        <is>
          <t>Cape Projects Construction (Pty) Ltd</t>
        </is>
      </c>
      <c r="B2441" s="4" t="n">
        <v>44926</v>
      </c>
      <c r="C2441" s="3" t="inlineStr">
        <is>
          <t>Assets</t>
        </is>
      </c>
      <c r="D2441" s="3" t="inlineStr">
        <is>
          <t>6600/010</t>
        </is>
      </c>
      <c r="E2441" s="3" t="inlineStr">
        <is>
          <t>Generator Fixed Asset - @ Cost</t>
        </is>
      </c>
      <c r="F2441" s="3" t="n">
        <v>0</v>
      </c>
      <c r="G2441" s="3" t="n">
        <v>11600</v>
      </c>
    </row>
    <row r="2442">
      <c r="A2442" s="3" t="inlineStr">
        <is>
          <t>Cape Projects Construction (Pty) Ltd</t>
        </is>
      </c>
      <c r="B2442" s="4" t="n">
        <v>44926</v>
      </c>
      <c r="C2442" s="3" t="inlineStr">
        <is>
          <t>Assets</t>
        </is>
      </c>
      <c r="D2442" s="3" t="inlineStr">
        <is>
          <t>6600/020</t>
        </is>
      </c>
      <c r="E2442" s="3" t="inlineStr">
        <is>
          <t>Generator Fixed Asset - Accum Depre</t>
        </is>
      </c>
      <c r="F2442" s="3" t="n">
        <v>-193.33</v>
      </c>
      <c r="G2442" s="3" t="n">
        <v>-2738.89</v>
      </c>
    </row>
    <row r="2443">
      <c r="A2443" s="3" t="inlineStr">
        <is>
          <t>Heron Fields (Pty) Ltd</t>
        </is>
      </c>
      <c r="B2443" s="4" t="n">
        <v>44926</v>
      </c>
      <c r="C2443" s="3" t="inlineStr">
        <is>
          <t>Assets</t>
        </is>
      </c>
      <c r="D2443" s="3" t="inlineStr">
        <is>
          <t>7610/395</t>
        </is>
      </c>
      <c r="E2443" s="3" t="inlineStr">
        <is>
          <t>HF CIP NHBRC</t>
        </is>
      </c>
      <c r="F2443" s="3" t="n">
        <v>0</v>
      </c>
      <c r="G2443" s="3" t="n">
        <v>874505.75</v>
      </c>
    </row>
    <row r="2444">
      <c r="A2444" s="3" t="inlineStr">
        <is>
          <t>Heron View (Pty) Ltd</t>
        </is>
      </c>
      <c r="B2444" s="4" t="n">
        <v>44926</v>
      </c>
      <c r="C2444" s="3" t="inlineStr">
        <is>
          <t>Assets</t>
        </is>
      </c>
      <c r="D2444" s="3" t="inlineStr">
        <is>
          <t>7610/395</t>
        </is>
      </c>
      <c r="E2444" s="3" t="inlineStr">
        <is>
          <t>Heron CIP NHBRC</t>
        </is>
      </c>
      <c r="F2444" s="3" t="n">
        <v>0</v>
      </c>
      <c r="G2444" s="3" t="n">
        <v>439254.75</v>
      </c>
    </row>
    <row r="2445">
      <c r="A2445" s="3" t="inlineStr">
        <is>
          <t>Heron Fields (Pty) Ltd</t>
        </is>
      </c>
      <c r="B2445" s="4" t="n">
        <v>44926</v>
      </c>
      <c r="C2445" s="3" t="inlineStr">
        <is>
          <t>Assets</t>
        </is>
      </c>
      <c r="D2445" s="3" t="inlineStr">
        <is>
          <t>7620/100</t>
        </is>
      </c>
      <c r="E2445" s="3" t="inlineStr">
        <is>
          <t>Heron View Land</t>
        </is>
      </c>
      <c r="F2445" s="3" t="n">
        <v>0</v>
      </c>
      <c r="G2445" s="3" t="n">
        <v>26200000</v>
      </c>
    </row>
    <row r="2446">
      <c r="A2446" s="3" t="inlineStr">
        <is>
          <t>Heron Fields (Pty) Ltd</t>
        </is>
      </c>
      <c r="B2446" s="4" t="n">
        <v>44926</v>
      </c>
      <c r="C2446" s="3" t="inlineStr">
        <is>
          <t>Assets</t>
        </is>
      </c>
      <c r="D2446" s="3" t="inlineStr">
        <is>
          <t>7620/101</t>
        </is>
      </c>
      <c r="E2446" s="3" t="inlineStr">
        <is>
          <t>HF CIP Bond Registration Fee</t>
        </is>
      </c>
      <c r="F2446" s="3" t="n">
        <v>0</v>
      </c>
      <c r="G2446" s="3" t="n">
        <v>68427</v>
      </c>
    </row>
    <row r="2447">
      <c r="A2447" s="3" t="inlineStr">
        <is>
          <t>Heron Fields (Pty) Ltd</t>
        </is>
      </c>
      <c r="B2447" s="4" t="n">
        <v>44926</v>
      </c>
      <c r="C2447" s="3" t="inlineStr">
        <is>
          <t>Assets</t>
        </is>
      </c>
      <c r="D2447" s="3" t="inlineStr">
        <is>
          <t>7620/102</t>
        </is>
      </c>
      <c r="E2447" s="3" t="inlineStr">
        <is>
          <t>HF CIP Transfer Fee</t>
        </is>
      </c>
      <c r="F2447" s="3" t="n">
        <v>0</v>
      </c>
      <c r="G2447" s="3" t="n">
        <v>103812</v>
      </c>
    </row>
    <row r="2448">
      <c r="A2448" s="3" t="inlineStr">
        <is>
          <t>Heron Fields (Pty) Ltd</t>
        </is>
      </c>
      <c r="B2448" s="4" t="n">
        <v>44926</v>
      </c>
      <c r="C2448" s="3" t="inlineStr">
        <is>
          <t>Assets</t>
        </is>
      </c>
      <c r="D2448" s="3" t="inlineStr">
        <is>
          <t>7620/220</t>
        </is>
      </c>
      <c r="E2448" s="3" t="inlineStr">
        <is>
          <t>HF CIP Architectural Designs</t>
        </is>
      </c>
      <c r="F2448" s="3" t="n">
        <v>2500</v>
      </c>
      <c r="G2448" s="3" t="n">
        <v>847438</v>
      </c>
    </row>
    <row r="2449">
      <c r="A2449" s="3" t="inlineStr">
        <is>
          <t>Heron View (Pty) Ltd</t>
        </is>
      </c>
      <c r="B2449" s="4" t="n">
        <v>44926</v>
      </c>
      <c r="C2449" s="3" t="inlineStr">
        <is>
          <t>Assets</t>
        </is>
      </c>
      <c r="D2449" s="3" t="inlineStr">
        <is>
          <t>7620/220</t>
        </is>
      </c>
      <c r="E2449" s="3" t="inlineStr">
        <is>
          <t>Heron View CIP Architectural Designs</t>
        </is>
      </c>
      <c r="F2449" s="3" t="n">
        <v>0</v>
      </c>
      <c r="G2449" s="3" t="n">
        <v>398921</v>
      </c>
    </row>
    <row r="2450">
      <c r="A2450" s="3" t="inlineStr">
        <is>
          <t>Heron Fields (Pty) Ltd</t>
        </is>
      </c>
      <c r="B2450" s="4" t="n">
        <v>44926</v>
      </c>
      <c r="C2450" s="3" t="inlineStr">
        <is>
          <t>Assets</t>
        </is>
      </c>
      <c r="D2450" s="3" t="inlineStr">
        <is>
          <t>7620/230</t>
        </is>
      </c>
      <c r="E2450" s="3" t="inlineStr">
        <is>
          <t>HF CIP Construction Management</t>
        </is>
      </c>
      <c r="F2450" s="3" t="n">
        <v>12250</v>
      </c>
      <c r="G2450" s="3" t="n">
        <v>132500</v>
      </c>
    </row>
    <row r="2451">
      <c r="A2451" s="3" t="inlineStr">
        <is>
          <t>Heron Fields (Pty) Ltd</t>
        </is>
      </c>
      <c r="B2451" s="4" t="n">
        <v>44926</v>
      </c>
      <c r="C2451" s="3" t="inlineStr">
        <is>
          <t>Assets</t>
        </is>
      </c>
      <c r="D2451" s="3" t="inlineStr">
        <is>
          <t>7620/240</t>
        </is>
      </c>
      <c r="E2451" s="3" t="inlineStr">
        <is>
          <t>HF CIP Civil Engineering</t>
        </is>
      </c>
      <c r="F2451" s="3" t="n">
        <v>430000</v>
      </c>
      <c r="G2451" s="3" t="n">
        <v>8557641.800000001</v>
      </c>
    </row>
    <row r="2452">
      <c r="A2452" s="3" t="inlineStr">
        <is>
          <t>Heron Fields (Pty) Ltd</t>
        </is>
      </c>
      <c r="B2452" s="4" t="n">
        <v>44926</v>
      </c>
      <c r="C2452" s="3" t="inlineStr">
        <is>
          <t>Assets</t>
        </is>
      </c>
      <c r="D2452" s="3" t="inlineStr">
        <is>
          <t>7620/245</t>
        </is>
      </c>
      <c r="E2452" s="3" t="inlineStr">
        <is>
          <t>HF CIP Development fee</t>
        </is>
      </c>
      <c r="F2452" s="3" t="n">
        <v>0</v>
      </c>
      <c r="G2452" s="3" t="n">
        <v>13807.78</v>
      </c>
    </row>
    <row r="2453">
      <c r="A2453" s="3" t="inlineStr">
        <is>
          <t>Heron Fields (Pty) Ltd</t>
        </is>
      </c>
      <c r="B2453" s="4" t="n">
        <v>44926</v>
      </c>
      <c r="C2453" s="3" t="inlineStr">
        <is>
          <t>Assets</t>
        </is>
      </c>
      <c r="D2453" s="3" t="inlineStr">
        <is>
          <t>7620/250</t>
        </is>
      </c>
      <c r="E2453" s="3" t="inlineStr">
        <is>
          <t>HF CIP Land Surveyor</t>
        </is>
      </c>
      <c r="F2453" s="3" t="n">
        <v>0</v>
      </c>
      <c r="G2453" s="3" t="n">
        <v>152123.09</v>
      </c>
    </row>
    <row r="2454">
      <c r="A2454" s="3" t="inlineStr">
        <is>
          <t>Heron View (Pty) Ltd</t>
        </is>
      </c>
      <c r="B2454" s="4" t="n">
        <v>44926</v>
      </c>
      <c r="C2454" s="3" t="inlineStr">
        <is>
          <t>Assets</t>
        </is>
      </c>
      <c r="D2454" s="3" t="inlineStr">
        <is>
          <t>7620/250</t>
        </is>
      </c>
      <c r="E2454" s="3" t="inlineStr">
        <is>
          <t>Heron View CIP Land Surveyor</t>
        </is>
      </c>
      <c r="F2454" s="3" t="n">
        <v>0</v>
      </c>
      <c r="G2454" s="3" t="n">
        <v>11650</v>
      </c>
    </row>
    <row r="2455">
      <c r="A2455" s="3" t="inlineStr">
        <is>
          <t>Heron Fields (Pty) Ltd</t>
        </is>
      </c>
      <c r="B2455" s="4" t="n">
        <v>44926</v>
      </c>
      <c r="C2455" s="3" t="inlineStr">
        <is>
          <t>Assets</t>
        </is>
      </c>
      <c r="D2455" s="3" t="inlineStr">
        <is>
          <t>7620/255</t>
        </is>
      </c>
      <c r="E2455" s="3" t="inlineStr">
        <is>
          <t>HF CIP Landscaping</t>
        </is>
      </c>
      <c r="F2455" s="3" t="n">
        <v>0</v>
      </c>
      <c r="G2455" s="3" t="n">
        <v>7500</v>
      </c>
    </row>
    <row r="2456">
      <c r="A2456" s="3" t="inlineStr">
        <is>
          <t>Heron Fields (Pty) Ltd</t>
        </is>
      </c>
      <c r="B2456" s="4" t="n">
        <v>44926</v>
      </c>
      <c r="C2456" s="3" t="inlineStr">
        <is>
          <t>Assets</t>
        </is>
      </c>
      <c r="D2456" s="3" t="inlineStr">
        <is>
          <t>7620/260</t>
        </is>
      </c>
      <c r="E2456" s="3" t="inlineStr">
        <is>
          <t>HF CIP Mechanical Engineers</t>
        </is>
      </c>
      <c r="F2456" s="3" t="n">
        <v>0</v>
      </c>
      <c r="G2456" s="3" t="n">
        <v>67400</v>
      </c>
    </row>
    <row r="2457">
      <c r="A2457" s="3" t="inlineStr">
        <is>
          <t>Heron Fields (Pty) Ltd</t>
        </is>
      </c>
      <c r="B2457" s="4" t="n">
        <v>44926</v>
      </c>
      <c r="C2457" s="3" t="inlineStr">
        <is>
          <t>Assets</t>
        </is>
      </c>
      <c r="D2457" s="3" t="inlineStr">
        <is>
          <t>7620/265</t>
        </is>
      </c>
      <c r="E2457" s="3" t="inlineStr">
        <is>
          <t>HF CIP Health &amp; Safety</t>
        </is>
      </c>
      <c r="F2457" s="3" t="n">
        <v>0</v>
      </c>
      <c r="G2457" s="3" t="n">
        <v>19200</v>
      </c>
    </row>
    <row r="2458">
      <c r="A2458" s="3" t="inlineStr">
        <is>
          <t>Heron Fields (Pty) Ltd</t>
        </is>
      </c>
      <c r="B2458" s="4" t="n">
        <v>44926</v>
      </c>
      <c r="C2458" s="3" t="inlineStr">
        <is>
          <t>Assets</t>
        </is>
      </c>
      <c r="D2458" s="3" t="inlineStr">
        <is>
          <t>7620/270</t>
        </is>
      </c>
      <c r="E2458" s="3" t="inlineStr">
        <is>
          <t>HF CIP Geotechnical</t>
        </is>
      </c>
      <c r="F2458" s="3" t="n">
        <v>0</v>
      </c>
      <c r="G2458" s="3" t="n">
        <v>15175</v>
      </c>
    </row>
    <row r="2459">
      <c r="A2459" s="3" t="inlineStr">
        <is>
          <t>Heron Fields (Pty) Ltd</t>
        </is>
      </c>
      <c r="B2459" s="4" t="n">
        <v>44926</v>
      </c>
      <c r="C2459" s="3" t="inlineStr">
        <is>
          <t>Assets</t>
        </is>
      </c>
      <c r="D2459" s="3" t="inlineStr">
        <is>
          <t>7620/275</t>
        </is>
      </c>
      <c r="E2459" s="3" t="inlineStr">
        <is>
          <t>HF CIP Retaining Wall</t>
        </is>
      </c>
      <c r="F2459" s="3" t="n">
        <v>0</v>
      </c>
      <c r="G2459" s="3" t="n">
        <v>570856.08</v>
      </c>
    </row>
    <row r="2460">
      <c r="A2460" s="3" t="inlineStr">
        <is>
          <t>Heron Fields (Pty) Ltd</t>
        </is>
      </c>
      <c r="B2460" s="4" t="n">
        <v>44926</v>
      </c>
      <c r="C2460" s="3" t="inlineStr">
        <is>
          <t>Assets</t>
        </is>
      </c>
      <c r="D2460" s="3" t="inlineStr">
        <is>
          <t>7620/280</t>
        </is>
      </c>
      <c r="E2460" s="3" t="inlineStr">
        <is>
          <t>HF CIP Site Establishment</t>
        </is>
      </c>
      <c r="F2460" s="3" t="n">
        <v>4857562.08</v>
      </c>
      <c r="G2460" s="3" t="n">
        <v>48189453.1</v>
      </c>
    </row>
    <row r="2461">
      <c r="A2461" s="3" t="inlineStr">
        <is>
          <t>Heron Fields (Pty) Ltd</t>
        </is>
      </c>
      <c r="B2461" s="4" t="n">
        <v>44926</v>
      </c>
      <c r="C2461" s="3" t="inlineStr">
        <is>
          <t>Assets</t>
        </is>
      </c>
      <c r="D2461" s="3" t="inlineStr">
        <is>
          <t>7620/285</t>
        </is>
      </c>
      <c r="E2461" s="3" t="inlineStr">
        <is>
          <t>HF CIP Structuring Fee - Invest</t>
        </is>
      </c>
      <c r="F2461" s="3" t="n">
        <v>280000</v>
      </c>
      <c r="G2461" s="3" t="n">
        <v>3676905</v>
      </c>
    </row>
    <row r="2462">
      <c r="A2462" s="3" t="inlineStr">
        <is>
          <t>Heron Fields (Pty) Ltd</t>
        </is>
      </c>
      <c r="B2462" s="4" t="n">
        <v>44926</v>
      </c>
      <c r="C2462" s="3" t="inlineStr">
        <is>
          <t>Assets</t>
        </is>
      </c>
      <c r="D2462" s="3" t="inlineStr">
        <is>
          <t>7620/287</t>
        </is>
      </c>
      <c r="E2462" s="3" t="inlineStr">
        <is>
          <t>HF CIP Structuring Fee - Development</t>
        </is>
      </c>
      <c r="F2462" s="3" t="n">
        <v>0</v>
      </c>
      <c r="G2462" s="3" t="n">
        <v>782608.0699999999</v>
      </c>
    </row>
    <row r="2463">
      <c r="A2463" s="3" t="inlineStr">
        <is>
          <t>Heron Fields (Pty) Ltd</t>
        </is>
      </c>
      <c r="B2463" s="4" t="n">
        <v>44926</v>
      </c>
      <c r="C2463" s="3" t="inlineStr">
        <is>
          <t>Assets</t>
        </is>
      </c>
      <c r="D2463" s="3" t="inlineStr">
        <is>
          <t>7620/290</t>
        </is>
      </c>
      <c r="E2463" s="3" t="inlineStr">
        <is>
          <t>HF CIP Town Planning</t>
        </is>
      </c>
      <c r="F2463" s="3" t="n">
        <v>0</v>
      </c>
      <c r="G2463" s="3" t="n">
        <v>166550</v>
      </c>
    </row>
    <row r="2464">
      <c r="A2464" s="3" t="inlineStr">
        <is>
          <t>Heron Fields (Pty) Ltd</t>
        </is>
      </c>
      <c r="B2464" s="4" t="n">
        <v>44926</v>
      </c>
      <c r="C2464" s="3" t="inlineStr">
        <is>
          <t>Assets</t>
        </is>
      </c>
      <c r="D2464" s="3" t="inlineStr">
        <is>
          <t>7620/295</t>
        </is>
      </c>
      <c r="E2464" s="3" t="inlineStr">
        <is>
          <t>HF CIP Traffic Planning</t>
        </is>
      </c>
      <c r="F2464" s="3" t="n">
        <v>0</v>
      </c>
      <c r="G2464" s="3" t="n">
        <v>45000</v>
      </c>
    </row>
    <row r="2465">
      <c r="A2465" s="3" t="inlineStr">
        <is>
          <t>Heron Fields (Pty) Ltd</t>
        </is>
      </c>
      <c r="B2465" s="4" t="n">
        <v>44926</v>
      </c>
      <c r="C2465" s="3" t="inlineStr">
        <is>
          <t>Assets</t>
        </is>
      </c>
      <c r="D2465" s="3" t="inlineStr">
        <is>
          <t>7620/600</t>
        </is>
      </c>
      <c r="E2465" s="3" t="inlineStr">
        <is>
          <t>HF CIP Eco work</t>
        </is>
      </c>
      <c r="F2465" s="3" t="n">
        <v>6000</v>
      </c>
      <c r="G2465" s="3" t="n">
        <v>119000</v>
      </c>
    </row>
    <row r="2466">
      <c r="A2466" s="3" t="inlineStr">
        <is>
          <t>Heron View (Pty) Ltd</t>
        </is>
      </c>
      <c r="B2466" s="4" t="n">
        <v>44926</v>
      </c>
      <c r="C2466" s="3" t="inlineStr">
        <is>
          <t>Assets</t>
        </is>
      </c>
      <c r="D2466" s="3" t="inlineStr">
        <is>
          <t>7620/610</t>
        </is>
      </c>
      <c r="E2466" s="3" t="inlineStr">
        <is>
          <t>HV CIP Retaining wall</t>
        </is>
      </c>
      <c r="F2466" s="3" t="n">
        <v>0</v>
      </c>
      <c r="G2466" s="3" t="n">
        <v>66190.11</v>
      </c>
    </row>
    <row r="2467">
      <c r="A2467" s="3" t="inlineStr">
        <is>
          <t>Heron Fields (Pty) Ltd</t>
        </is>
      </c>
      <c r="B2467" s="4" t="n">
        <v>44926</v>
      </c>
      <c r="C2467" s="3" t="inlineStr">
        <is>
          <t>Assets</t>
        </is>
      </c>
      <c r="D2467" s="3" t="inlineStr">
        <is>
          <t>7620/630</t>
        </is>
      </c>
      <c r="E2467" s="3" t="inlineStr">
        <is>
          <t>HF CIP CoCT development contribution</t>
        </is>
      </c>
      <c r="F2467" s="3" t="n">
        <v>0</v>
      </c>
      <c r="G2467" s="3" t="n">
        <v>1021325.63</v>
      </c>
    </row>
    <row r="2468">
      <c r="A2468" s="3" t="inlineStr">
        <is>
          <t>Heron View (Pty) Ltd</t>
        </is>
      </c>
      <c r="B2468" s="4" t="n">
        <v>44926</v>
      </c>
      <c r="C2468" s="3" t="inlineStr">
        <is>
          <t>Assets</t>
        </is>
      </c>
      <c r="D2468" s="3" t="inlineStr">
        <is>
          <t>7620/630</t>
        </is>
      </c>
      <c r="E2468" s="3" t="inlineStr">
        <is>
          <t>Heron CIP - CoCT development contribution</t>
        </is>
      </c>
      <c r="F2468" s="3" t="n">
        <v>0</v>
      </c>
      <c r="G2468" s="3" t="n">
        <v>1238365.93</v>
      </c>
    </row>
    <row r="2469">
      <c r="A2469" s="3" t="inlineStr">
        <is>
          <t>Heron Fields (Pty) Ltd</t>
        </is>
      </c>
      <c r="B2469" s="4" t="n">
        <v>44926</v>
      </c>
      <c r="C2469" s="3" t="inlineStr">
        <is>
          <t>Assets</t>
        </is>
      </c>
      <c r="D2469" s="3" t="inlineStr">
        <is>
          <t>7620/640</t>
        </is>
      </c>
      <c r="E2469" s="3" t="inlineStr">
        <is>
          <t>HF CIP Project costs</t>
        </is>
      </c>
      <c r="F2469" s="3" t="n">
        <v>0</v>
      </c>
      <c r="G2469" s="3" t="n">
        <v>622274.51</v>
      </c>
    </row>
    <row r="2470">
      <c r="A2470" s="3" t="inlineStr">
        <is>
          <t>Heron View (Pty) Ltd</t>
        </is>
      </c>
      <c r="B2470" s="4" t="n">
        <v>44926</v>
      </c>
      <c r="C2470" s="3" t="inlineStr">
        <is>
          <t>Assets</t>
        </is>
      </c>
      <c r="D2470" s="3" t="inlineStr">
        <is>
          <t>7620/650</t>
        </is>
      </c>
      <c r="E2470" s="3" t="inlineStr">
        <is>
          <t>CIP - Construction Management</t>
        </is>
      </c>
      <c r="F2470" s="3" t="n">
        <v>3750</v>
      </c>
      <c r="G2470" s="3" t="n">
        <v>15780</v>
      </c>
    </row>
    <row r="2471">
      <c r="A2471" s="3" t="inlineStr">
        <is>
          <t>Heron Fields (Pty) Ltd</t>
        </is>
      </c>
      <c r="B2471" s="4" t="n">
        <v>44926</v>
      </c>
      <c r="C2471" s="3" t="inlineStr">
        <is>
          <t>Assets</t>
        </is>
      </c>
      <c r="D2471" s="3" t="inlineStr">
        <is>
          <t>7620/650</t>
        </is>
      </c>
      <c r="E2471" s="3" t="inlineStr">
        <is>
          <t>HF CIP Electrical</t>
        </is>
      </c>
      <c r="F2471" s="3" t="n">
        <v>0</v>
      </c>
      <c r="G2471" s="3" t="n">
        <v>985049.6800000001</v>
      </c>
    </row>
    <row r="2472">
      <c r="A2472" s="3" t="inlineStr">
        <is>
          <t>Heron View (Pty) Ltd</t>
        </is>
      </c>
      <c r="B2472" s="4" t="n">
        <v>44926</v>
      </c>
      <c r="C2472" s="3" t="inlineStr">
        <is>
          <t>Assets</t>
        </is>
      </c>
      <c r="D2472" s="3" t="inlineStr">
        <is>
          <t>7620/660</t>
        </is>
      </c>
      <c r="E2472" s="3" t="inlineStr">
        <is>
          <t>HV CIP Health &amp; Safety</t>
        </is>
      </c>
      <c r="F2472" s="3" t="n">
        <v>0</v>
      </c>
      <c r="G2472" s="3" t="n">
        <v>11800</v>
      </c>
    </row>
    <row r="2473">
      <c r="A2473" s="3" t="inlineStr">
        <is>
          <t>Heron View (Pty) Ltd</t>
        </is>
      </c>
      <c r="B2473" s="4" t="n">
        <v>44926</v>
      </c>
      <c r="C2473" s="3" t="inlineStr">
        <is>
          <t>Assets</t>
        </is>
      </c>
      <c r="D2473" s="3" t="inlineStr">
        <is>
          <t>7620/670</t>
        </is>
      </c>
      <c r="E2473" s="3" t="inlineStr">
        <is>
          <t>HV CIP - Project costs CPSD</t>
        </is>
      </c>
      <c r="F2473" s="3" t="n">
        <v>0</v>
      </c>
      <c r="G2473" s="3" t="n">
        <v>250000</v>
      </c>
    </row>
    <row r="2474">
      <c r="A2474" s="3" t="inlineStr">
        <is>
          <t>Heron View (Pty) Ltd</t>
        </is>
      </c>
      <c r="B2474" s="4" t="n">
        <v>44926</v>
      </c>
      <c r="C2474" s="3" t="inlineStr">
        <is>
          <t>Assets</t>
        </is>
      </c>
      <c r="D2474" s="3" t="inlineStr">
        <is>
          <t>7620/680</t>
        </is>
      </c>
      <c r="E2474" s="3" t="inlineStr">
        <is>
          <t>HV CIP Elextrical</t>
        </is>
      </c>
      <c r="F2474" s="3" t="n">
        <v>812587.84</v>
      </c>
      <c r="G2474" s="3" t="n">
        <v>812587.84</v>
      </c>
    </row>
    <row r="2475">
      <c r="A2475" s="3" t="inlineStr">
        <is>
          <t>Heron Fields (Pty) Ltd</t>
        </is>
      </c>
      <c r="B2475" s="4" t="n">
        <v>44926</v>
      </c>
      <c r="C2475" s="3" t="inlineStr">
        <is>
          <t>Assets</t>
        </is>
      </c>
      <c r="D2475" s="3" t="inlineStr">
        <is>
          <t>7620/700</t>
        </is>
      </c>
      <c r="E2475" s="3" t="inlineStr">
        <is>
          <t>HF CIP - P&amp;G recoveries - Endulini&amp;Heron Fields/View</t>
        </is>
      </c>
      <c r="F2475" s="3" t="n">
        <v>0</v>
      </c>
      <c r="G2475" s="3" t="n">
        <v>3023829.42</v>
      </c>
    </row>
    <row r="2476">
      <c r="A2476" s="3" t="inlineStr">
        <is>
          <t>Heron Fields (Pty) Ltd</t>
        </is>
      </c>
      <c r="B2476" s="4" t="n">
        <v>44926</v>
      </c>
      <c r="C2476" s="3" t="inlineStr">
        <is>
          <t>Assets</t>
        </is>
      </c>
      <c r="D2476" s="3" t="inlineStr">
        <is>
          <t>7620/750</t>
        </is>
      </c>
      <c r="E2476" s="3" t="inlineStr">
        <is>
          <t>HF CIP Project costs CPSD</t>
        </is>
      </c>
      <c r="F2476" s="3" t="n">
        <v>400000</v>
      </c>
      <c r="G2476" s="3" t="n">
        <v>1250000</v>
      </c>
    </row>
    <row r="2477">
      <c r="A2477" s="3" t="inlineStr">
        <is>
          <t>Cape Projects Construction (Pty) Ltd</t>
        </is>
      </c>
      <c r="B2477" s="4" t="n">
        <v>44926</v>
      </c>
      <c r="C2477" s="3" t="inlineStr">
        <is>
          <t>Assets</t>
        </is>
      </c>
      <c r="D2477" s="3" t="inlineStr">
        <is>
          <t>7800/000</t>
        </is>
      </c>
      <c r="E2477" s="3" t="inlineStr">
        <is>
          <t>Deposits paid</t>
        </is>
      </c>
      <c r="F2477" s="3" t="n">
        <v>0</v>
      </c>
      <c r="G2477" s="3" t="n">
        <v>8387.950000000001</v>
      </c>
    </row>
    <row r="2478">
      <c r="A2478" s="3" t="inlineStr">
        <is>
          <t>Cape Projects Construction (Pty) Ltd</t>
        </is>
      </c>
      <c r="B2478" s="4" t="n">
        <v>44926</v>
      </c>
      <c r="C2478" s="3" t="inlineStr">
        <is>
          <t>Assets</t>
        </is>
      </c>
      <c r="D2478" s="3" t="inlineStr">
        <is>
          <t>8000/000</t>
        </is>
      </c>
      <c r="E2478" s="3" t="inlineStr">
        <is>
          <t>Customer Control Account</t>
        </is>
      </c>
      <c r="F2478" s="3" t="n">
        <v>-6868531.61</v>
      </c>
      <c r="G2478" s="3" t="n">
        <v>-3154899.4</v>
      </c>
    </row>
    <row r="2479">
      <c r="A2479" s="3" t="inlineStr">
        <is>
          <t>Heron Fields (Pty) Ltd</t>
        </is>
      </c>
      <c r="B2479" s="4" t="n">
        <v>44926</v>
      </c>
      <c r="C2479" s="3" t="inlineStr">
        <is>
          <t>Assets</t>
        </is>
      </c>
      <c r="D2479" s="3" t="inlineStr">
        <is>
          <t>8000/000</t>
        </is>
      </c>
      <c r="E2479" s="3" t="inlineStr">
        <is>
          <t>Customer Control Account</t>
        </is>
      </c>
      <c r="F2479" s="3" t="n">
        <v>-10000</v>
      </c>
      <c r="G2479" s="3" t="n">
        <v>0</v>
      </c>
    </row>
    <row r="2480">
      <c r="A2480" s="3" t="inlineStr">
        <is>
          <t>Cape Projects Construction (Pty) Ltd</t>
        </is>
      </c>
      <c r="B2480" s="4" t="n">
        <v>44926</v>
      </c>
      <c r="C2480" s="3" t="inlineStr">
        <is>
          <t>Assets</t>
        </is>
      </c>
      <c r="D2480" s="3" t="inlineStr">
        <is>
          <t>8200/010</t>
        </is>
      </c>
      <c r="E2480" s="3" t="inlineStr">
        <is>
          <t>Prepayments / Prepaid Expenses</t>
        </is>
      </c>
      <c r="F2480" s="3" t="n">
        <v>-2719.44</v>
      </c>
      <c r="G2480" s="3" t="n">
        <v>8158.31</v>
      </c>
    </row>
    <row r="2481">
      <c r="A2481" s="3" t="inlineStr">
        <is>
          <t>Heron Fields (Pty) Ltd</t>
        </is>
      </c>
      <c r="B2481" s="4" t="n">
        <v>44926</v>
      </c>
      <c r="C2481" s="3" t="inlineStr">
        <is>
          <t>Assets</t>
        </is>
      </c>
      <c r="D2481" s="3" t="inlineStr">
        <is>
          <t>8400/000</t>
        </is>
      </c>
      <c r="E2481" s="3" t="inlineStr">
        <is>
          <t>RMB - 62882379087</t>
        </is>
      </c>
      <c r="F2481" s="3" t="n">
        <v>-632783.25</v>
      </c>
      <c r="G2481" s="3" t="n">
        <v>1036434.24</v>
      </c>
    </row>
    <row r="2482">
      <c r="A2482" s="3" t="inlineStr">
        <is>
          <t>Cape Projects Construction (Pty) Ltd</t>
        </is>
      </c>
      <c r="B2482" s="4" t="n">
        <v>44926</v>
      </c>
      <c r="C2482" s="3" t="inlineStr">
        <is>
          <t>Assets</t>
        </is>
      </c>
      <c r="D2482" s="3" t="inlineStr">
        <is>
          <t>8400/000</t>
        </is>
      </c>
      <c r="E2482" s="3" t="inlineStr">
        <is>
          <t>RMB 62275138470</t>
        </is>
      </c>
      <c r="F2482" s="3" t="n">
        <v>-907077.23</v>
      </c>
      <c r="G2482" s="3" t="n">
        <v>906656.42</v>
      </c>
    </row>
    <row r="2483">
      <c r="A2483" s="3" t="inlineStr">
        <is>
          <t>Cape Projects Construction (Pty) Ltd</t>
        </is>
      </c>
      <c r="B2483" s="4" t="n">
        <v>44926</v>
      </c>
      <c r="C2483" s="3" t="inlineStr">
        <is>
          <t>Assets</t>
        </is>
      </c>
      <c r="D2483" s="3" t="inlineStr">
        <is>
          <t>8420/000</t>
        </is>
      </c>
      <c r="E2483" s="3" t="inlineStr">
        <is>
          <t>Momentum Priv Acc RU502230981</t>
        </is>
      </c>
      <c r="F2483" s="3" t="n">
        <v>0</v>
      </c>
      <c r="G2483" s="3" t="n">
        <v>527.86</v>
      </c>
    </row>
    <row r="2484">
      <c r="A2484" s="3" t="inlineStr">
        <is>
          <t>Heron Fields (Pty) Ltd</t>
        </is>
      </c>
      <c r="B2484" s="4" t="n">
        <v>44926</v>
      </c>
      <c r="C2484" s="3" t="inlineStr">
        <is>
          <t>Assets</t>
        </is>
      </c>
      <c r="D2484" s="3" t="inlineStr">
        <is>
          <t>8430/000</t>
        </is>
      </c>
      <c r="E2484" s="3" t="inlineStr">
        <is>
          <t>Momentum Private Account RU502230151</t>
        </is>
      </c>
      <c r="F2484" s="3" t="n">
        <v>4.53</v>
      </c>
      <c r="G2484" s="3" t="n">
        <v>818.47</v>
      </c>
    </row>
    <row r="2485">
      <c r="A2485" s="3" t="inlineStr">
        <is>
          <t>Heron Fields (Pty) Ltd</t>
        </is>
      </c>
      <c r="B2485" s="4" t="n">
        <v>44926</v>
      </c>
      <c r="C2485" s="3" t="inlineStr">
        <is>
          <t>Assets</t>
        </is>
      </c>
      <c r="D2485" s="3" t="inlineStr">
        <is>
          <t>8440/000</t>
        </is>
      </c>
      <c r="E2485" s="3" t="inlineStr">
        <is>
          <t>Momentum Investors Account RU502229930</t>
        </is>
      </c>
      <c r="F2485" s="3" t="n">
        <v>40316.31</v>
      </c>
      <c r="G2485" s="3" t="n">
        <v>9756277.92</v>
      </c>
    </row>
    <row r="2486">
      <c r="A2486" s="3" t="inlineStr">
        <is>
          <t>Cape Projects Construction (Pty) Ltd</t>
        </is>
      </c>
      <c r="B2486" s="4" t="n">
        <v>44926</v>
      </c>
      <c r="C2486" s="3" t="inlineStr">
        <is>
          <t>Liabilities</t>
        </is>
      </c>
      <c r="D2486" s="3" t="inlineStr">
        <is>
          <t>860</t>
        </is>
      </c>
      <c r="E2486" s="3" t="inlineStr">
        <is>
          <t>Rounding</t>
        </is>
      </c>
      <c r="F2486" s="3" t="n">
        <v>123.93</v>
      </c>
      <c r="G2486" s="3" t="n">
        <v>123.44</v>
      </c>
    </row>
    <row r="2487">
      <c r="A2487" s="3" t="inlineStr">
        <is>
          <t>Heron Fields (Pty) Ltd</t>
        </is>
      </c>
      <c r="B2487" s="4" t="n">
        <v>44926</v>
      </c>
      <c r="C2487" s="3" t="inlineStr">
        <is>
          <t>Liabilities</t>
        </is>
      </c>
      <c r="D2487" s="3" t="inlineStr">
        <is>
          <t>860</t>
        </is>
      </c>
      <c r="E2487" s="3" t="inlineStr">
        <is>
          <t>Rounding</t>
        </is>
      </c>
      <c r="F2487" s="3" t="n">
        <v>0.03</v>
      </c>
      <c r="G2487" s="3" t="n">
        <v>0.03</v>
      </c>
    </row>
    <row r="2488">
      <c r="A2488" s="3" t="inlineStr">
        <is>
          <t>Cape Projects Construction (Pty) Ltd</t>
        </is>
      </c>
      <c r="B2488" s="4" t="n">
        <v>44926</v>
      </c>
      <c r="C2488" s="3" t="inlineStr">
        <is>
          <t>Liabilities</t>
        </is>
      </c>
      <c r="D2488" s="3" t="inlineStr">
        <is>
          <t>9000/000</t>
        </is>
      </c>
      <c r="E2488" s="3" t="inlineStr">
        <is>
          <t>Supplier Control Account</t>
        </is>
      </c>
      <c r="F2488" s="3" t="n">
        <v>3238614.62</v>
      </c>
      <c r="G2488" s="3" t="n">
        <v>-1467015.1</v>
      </c>
    </row>
    <row r="2489">
      <c r="A2489" s="3" t="inlineStr">
        <is>
          <t>Heron Fields (Pty) Ltd</t>
        </is>
      </c>
      <c r="B2489" s="4" t="n">
        <v>44926</v>
      </c>
      <c r="C2489" s="3" t="inlineStr">
        <is>
          <t>Liabilities</t>
        </is>
      </c>
      <c r="D2489" s="3" t="inlineStr">
        <is>
          <t>9000/000</t>
        </is>
      </c>
      <c r="E2489" s="3" t="inlineStr">
        <is>
          <t>Supplier Control Account</t>
        </is>
      </c>
      <c r="F2489" s="3" t="n">
        <v>-4846247.79</v>
      </c>
      <c r="G2489" s="3" t="n">
        <v>-108609544.12</v>
      </c>
    </row>
    <row r="2490">
      <c r="A2490" s="3" t="inlineStr">
        <is>
          <t>Heron View (Pty) Ltd</t>
        </is>
      </c>
      <c r="B2490" s="4" t="n">
        <v>44926</v>
      </c>
      <c r="C2490" s="3" t="inlineStr">
        <is>
          <t>Liabilities</t>
        </is>
      </c>
      <c r="D2490" s="3" t="inlineStr">
        <is>
          <t>9000/000</t>
        </is>
      </c>
      <c r="E2490" s="3" t="inlineStr">
        <is>
          <t>Supplier Control Account</t>
        </is>
      </c>
      <c r="F2490" s="3" t="n">
        <v>-675041.64</v>
      </c>
      <c r="G2490" s="3" t="n">
        <v>-1390900.17</v>
      </c>
    </row>
    <row r="2491">
      <c r="A2491" s="3" t="inlineStr">
        <is>
          <t>Cape Projects Construction (Pty) Ltd</t>
        </is>
      </c>
      <c r="B2491" s="4" t="n">
        <v>44926</v>
      </c>
      <c r="C2491" s="3" t="inlineStr">
        <is>
          <t>Liabilities</t>
        </is>
      </c>
      <c r="D2491" s="3" t="inlineStr">
        <is>
          <t>9200/000</t>
        </is>
      </c>
      <c r="E2491" s="3" t="inlineStr">
        <is>
          <t>Sundry Suppliers</t>
        </is>
      </c>
      <c r="F2491" s="3" t="n">
        <v>0</v>
      </c>
      <c r="G2491" s="3" t="n">
        <v>1186.13</v>
      </c>
    </row>
    <row r="2492">
      <c r="A2492" s="3" t="inlineStr">
        <is>
          <t>Cape Projects Construction (Pty) Ltd</t>
        </is>
      </c>
      <c r="B2492" s="4" t="n">
        <v>44926</v>
      </c>
      <c r="C2492" s="3" t="inlineStr">
        <is>
          <t>Liabilities</t>
        </is>
      </c>
      <c r="D2492" s="3" t="inlineStr">
        <is>
          <t>9250/010</t>
        </is>
      </c>
      <c r="E2492" s="3" t="inlineStr">
        <is>
          <t>SALARY CONTROL</t>
        </is>
      </c>
      <c r="F2492" s="3" t="n">
        <v>0</v>
      </c>
      <c r="G2492" s="3" t="n">
        <v>20758.55</v>
      </c>
    </row>
    <row r="2493">
      <c r="A2493" s="3" t="inlineStr">
        <is>
          <t>Cape Projects Construction (Pty) Ltd</t>
        </is>
      </c>
      <c r="B2493" s="4" t="n">
        <v>44926</v>
      </c>
      <c r="C2493" s="3" t="inlineStr">
        <is>
          <t>Liabilities</t>
        </is>
      </c>
      <c r="D2493" s="3" t="inlineStr">
        <is>
          <t>9250/020</t>
        </is>
      </c>
      <c r="E2493" s="3" t="inlineStr">
        <is>
          <t>PAYE, UIF AND SDL CONTROL</t>
        </is>
      </c>
      <c r="F2493" s="3" t="n">
        <v>-473.45</v>
      </c>
      <c r="G2493" s="3" t="n">
        <v>-30430</v>
      </c>
    </row>
    <row r="2494">
      <c r="A2494" s="3" t="inlineStr">
        <is>
          <t>Cape Projects Construction (Pty) Ltd</t>
        </is>
      </c>
      <c r="B2494" s="4" t="n">
        <v>44926</v>
      </c>
      <c r="C2494" s="3" t="inlineStr">
        <is>
          <t>Liabilities</t>
        </is>
      </c>
      <c r="D2494" s="3" t="inlineStr">
        <is>
          <t>9250/030</t>
        </is>
      </c>
      <c r="E2494" s="3" t="inlineStr">
        <is>
          <t>BIBC CONTROL</t>
        </is>
      </c>
      <c r="F2494" s="3" t="n">
        <v>-6809.25</v>
      </c>
      <c r="G2494" s="3" t="n">
        <v>-18158</v>
      </c>
    </row>
    <row r="2495">
      <c r="A2495" s="3" t="inlineStr">
        <is>
          <t>Cape Projects Construction (Pty) Ltd</t>
        </is>
      </c>
      <c r="B2495" s="4" t="n">
        <v>44926</v>
      </c>
      <c r="C2495" s="3" t="inlineStr">
        <is>
          <t>Liabilities</t>
        </is>
      </c>
      <c r="D2495" s="3" t="inlineStr">
        <is>
          <t>9500/000</t>
        </is>
      </c>
      <c r="E2495" s="3" t="inlineStr">
        <is>
          <t>VAT Control Account</t>
        </is>
      </c>
      <c r="F2495" s="3" t="n">
        <v>64357.31</v>
      </c>
      <c r="G2495" s="3" t="n">
        <v>-191567.39</v>
      </c>
    </row>
    <row r="2496">
      <c r="A2496" s="3" t="inlineStr">
        <is>
          <t>Heron Fields (Pty) Ltd</t>
        </is>
      </c>
      <c r="B2496" s="4" t="n">
        <v>44926</v>
      </c>
      <c r="C2496" s="3" t="inlineStr">
        <is>
          <t>Liabilities</t>
        </is>
      </c>
      <c r="D2496" s="3" t="inlineStr">
        <is>
          <t>9500/000</t>
        </is>
      </c>
      <c r="E2496" s="3" t="inlineStr">
        <is>
          <t>Vat / Tax Control Account</t>
        </is>
      </c>
      <c r="F2496" s="3" t="n">
        <v>-362432.27</v>
      </c>
      <c r="G2496" s="3" t="n">
        <v>-1850563.24</v>
      </c>
    </row>
    <row r="2497">
      <c r="A2497" s="3" t="inlineStr">
        <is>
          <t>Heron View (Pty) Ltd</t>
        </is>
      </c>
      <c r="B2497" s="4" t="n">
        <v>44926</v>
      </c>
      <c r="C2497" s="3" t="inlineStr">
        <is>
          <t>Liabilities</t>
        </is>
      </c>
      <c r="D2497" s="3" t="inlineStr">
        <is>
          <t>9500/000</t>
        </is>
      </c>
      <c r="E2497" s="3" t="inlineStr">
        <is>
          <t>Vat / Tax Control Account</t>
        </is>
      </c>
      <c r="F2497" s="3" t="n">
        <v>121888.18</v>
      </c>
      <c r="G2497" s="3" t="n">
        <v>416864.72</v>
      </c>
    </row>
    <row r="2498">
      <c r="A2498" s="3" t="inlineStr">
        <is>
          <t>Heron Fields (Pty) Ltd</t>
        </is>
      </c>
      <c r="B2498" s="4" t="n">
        <v>44926</v>
      </c>
      <c r="C2498" s="3" t="inlineStr">
        <is>
          <t>Liabilities</t>
        </is>
      </c>
      <c r="D2498" s="3" t="inlineStr">
        <is>
          <t>9899/A101</t>
        </is>
      </c>
      <c r="E2498" s="3" t="inlineStr">
        <is>
          <t>Sales - Unit Reg Control A101</t>
        </is>
      </c>
      <c r="F2498" s="3" t="n">
        <v>0</v>
      </c>
      <c r="G2498" s="3" t="n">
        <v>74995</v>
      </c>
    </row>
    <row r="2499">
      <c r="A2499" s="3" t="inlineStr">
        <is>
          <t>Heron Fields (Pty) Ltd</t>
        </is>
      </c>
      <c r="B2499" s="4" t="n">
        <v>44926</v>
      </c>
      <c r="C2499" s="3" t="inlineStr">
        <is>
          <t>Liabilities</t>
        </is>
      </c>
      <c r="D2499" s="3" t="inlineStr">
        <is>
          <t>9899/A102</t>
        </is>
      </c>
      <c r="E2499" s="3" t="inlineStr">
        <is>
          <t>Sales - Unit Reg Control A102</t>
        </is>
      </c>
      <c r="F2499" s="3" t="n">
        <v>0</v>
      </c>
      <c r="G2499" s="3" t="n">
        <v>74995</v>
      </c>
    </row>
    <row r="2500">
      <c r="A2500" s="3" t="inlineStr">
        <is>
          <t>Heron Fields (Pty) Ltd</t>
        </is>
      </c>
      <c r="B2500" s="4" t="n">
        <v>44926</v>
      </c>
      <c r="C2500" s="3" t="inlineStr">
        <is>
          <t>Liabilities</t>
        </is>
      </c>
      <c r="D2500" s="3" t="inlineStr">
        <is>
          <t>9899/A103</t>
        </is>
      </c>
      <c r="E2500" s="3" t="inlineStr">
        <is>
          <t>Sales - Unit Reg Control A103</t>
        </is>
      </c>
      <c r="F2500" s="3" t="n">
        <v>0</v>
      </c>
      <c r="G2500" s="3" t="n">
        <v>77495</v>
      </c>
    </row>
    <row r="2501">
      <c r="A2501" s="3" t="inlineStr">
        <is>
          <t>Heron Fields (Pty) Ltd</t>
        </is>
      </c>
      <c r="B2501" s="4" t="n">
        <v>44926</v>
      </c>
      <c r="C2501" s="3" t="inlineStr">
        <is>
          <t>Liabilities</t>
        </is>
      </c>
      <c r="D2501" s="3" t="inlineStr">
        <is>
          <t>9899/A105</t>
        </is>
      </c>
      <c r="E2501" s="3" t="inlineStr">
        <is>
          <t>Sales - Unit Reg Control A105</t>
        </is>
      </c>
      <c r="F2501" s="3" t="n">
        <v>0</v>
      </c>
      <c r="G2501" s="3" t="n">
        <v>76995</v>
      </c>
    </row>
    <row r="2502">
      <c r="A2502" s="3" t="inlineStr">
        <is>
          <t>Heron Fields (Pty) Ltd</t>
        </is>
      </c>
      <c r="B2502" s="4" t="n">
        <v>44926</v>
      </c>
      <c r="C2502" s="3" t="inlineStr">
        <is>
          <t>Liabilities</t>
        </is>
      </c>
      <c r="D2502" s="3" t="inlineStr">
        <is>
          <t>9899/A106</t>
        </is>
      </c>
      <c r="E2502" s="3" t="inlineStr">
        <is>
          <t>Sales - Unit Reg Control A106</t>
        </is>
      </c>
      <c r="F2502" s="3" t="n">
        <v>0</v>
      </c>
      <c r="G2502" s="3" t="n">
        <v>77495</v>
      </c>
    </row>
    <row r="2503">
      <c r="A2503" s="3" t="inlineStr">
        <is>
          <t>Heron Fields (Pty) Ltd</t>
        </is>
      </c>
      <c r="B2503" s="4" t="n">
        <v>44926</v>
      </c>
      <c r="C2503" s="3" t="inlineStr">
        <is>
          <t>Liabilities</t>
        </is>
      </c>
      <c r="D2503" s="3" t="inlineStr">
        <is>
          <t>9899/A201</t>
        </is>
      </c>
      <c r="E2503" s="3" t="inlineStr">
        <is>
          <t>Sales - Unit Reg Control A201</t>
        </is>
      </c>
      <c r="F2503" s="3" t="n">
        <v>0</v>
      </c>
      <c r="G2503" s="3" t="n">
        <v>62495</v>
      </c>
    </row>
    <row r="2504">
      <c r="A2504" s="3" t="inlineStr">
        <is>
          <t>Heron Fields (Pty) Ltd</t>
        </is>
      </c>
      <c r="B2504" s="4" t="n">
        <v>44926</v>
      </c>
      <c r="C2504" s="3" t="inlineStr">
        <is>
          <t>Liabilities</t>
        </is>
      </c>
      <c r="D2504" s="3" t="inlineStr">
        <is>
          <t>9899/A204</t>
        </is>
      </c>
      <c r="E2504" s="3" t="inlineStr">
        <is>
          <t>Sales - Unit Reg Control A204</t>
        </is>
      </c>
      <c r="F2504" s="3" t="n">
        <v>0</v>
      </c>
      <c r="G2504" s="3" t="n">
        <v>64995</v>
      </c>
    </row>
    <row r="2505">
      <c r="A2505" s="3" t="inlineStr">
        <is>
          <t>Heron Fields (Pty) Ltd</t>
        </is>
      </c>
      <c r="B2505" s="4" t="n">
        <v>44926</v>
      </c>
      <c r="C2505" s="3" t="inlineStr">
        <is>
          <t>Liabilities</t>
        </is>
      </c>
      <c r="D2505" s="3" t="inlineStr">
        <is>
          <t>9899/A206</t>
        </is>
      </c>
      <c r="E2505" s="3" t="inlineStr">
        <is>
          <t>Sales - Unit Reg Control A206</t>
        </is>
      </c>
      <c r="F2505" s="3" t="n">
        <v>0</v>
      </c>
      <c r="G2505" s="3" t="n">
        <v>67495</v>
      </c>
    </row>
    <row r="2506">
      <c r="A2506" s="3" t="inlineStr">
        <is>
          <t>Heron Fields (Pty) Ltd</t>
        </is>
      </c>
      <c r="B2506" s="4" t="n">
        <v>44926</v>
      </c>
      <c r="C2506" s="3" t="inlineStr">
        <is>
          <t>Liabilities</t>
        </is>
      </c>
      <c r="D2506" s="3" t="inlineStr">
        <is>
          <t>9899/A303</t>
        </is>
      </c>
      <c r="E2506" s="3" t="inlineStr">
        <is>
          <t>Sales - Unit Reg Control A303</t>
        </is>
      </c>
      <c r="F2506" s="3" t="n">
        <v>67495</v>
      </c>
      <c r="G2506" s="3" t="n">
        <v>67495</v>
      </c>
    </row>
    <row r="2507">
      <c r="A2507" s="3" t="inlineStr">
        <is>
          <t>Heron Fields (Pty) Ltd</t>
        </is>
      </c>
      <c r="B2507" s="4" t="n">
        <v>44926</v>
      </c>
      <c r="C2507" s="3" t="inlineStr">
        <is>
          <t>Liabilities</t>
        </is>
      </c>
      <c r="D2507" s="3" t="inlineStr">
        <is>
          <t>9899/A306</t>
        </is>
      </c>
      <c r="E2507" s="3" t="inlineStr">
        <is>
          <t>Sales - Unit Reg Control A306</t>
        </is>
      </c>
      <c r="F2507" s="3" t="n">
        <v>69495</v>
      </c>
      <c r="G2507" s="3" t="n">
        <v>69495</v>
      </c>
    </row>
    <row r="2508">
      <c r="A2508" s="3" t="inlineStr">
        <is>
          <t>Heron Fields (Pty) Ltd</t>
        </is>
      </c>
      <c r="B2508" s="4" t="n">
        <v>44926</v>
      </c>
      <c r="C2508" s="3" t="inlineStr">
        <is>
          <t>Liabilities</t>
        </is>
      </c>
      <c r="D2508" s="3" t="inlineStr">
        <is>
          <t>9899/B102</t>
        </is>
      </c>
      <c r="E2508" s="3" t="inlineStr">
        <is>
          <t>Sales - Unit Reg Control B102</t>
        </is>
      </c>
      <c r="F2508" s="3" t="n">
        <v>77995</v>
      </c>
      <c r="G2508" s="3" t="n">
        <v>77995</v>
      </c>
    </row>
    <row r="2509">
      <c r="A2509" s="3" t="inlineStr">
        <is>
          <t>Heron Fields (Pty) Ltd</t>
        </is>
      </c>
      <c r="B2509" s="4" t="n">
        <v>44926</v>
      </c>
      <c r="C2509" s="3" t="inlineStr">
        <is>
          <t>Liabilities</t>
        </is>
      </c>
      <c r="D2509" s="3" t="inlineStr">
        <is>
          <t>9899/B103</t>
        </is>
      </c>
      <c r="E2509" s="3" t="inlineStr">
        <is>
          <t>Sales - Unit Reg Control B103</t>
        </is>
      </c>
      <c r="F2509" s="3" t="n">
        <v>0</v>
      </c>
      <c r="G2509" s="3" t="n">
        <v>76745</v>
      </c>
    </row>
    <row r="2510">
      <c r="A2510" s="3" t="inlineStr">
        <is>
          <t>Cape Projects Construction (Pty) Ltd</t>
        </is>
      </c>
      <c r="B2510" s="4" t="n">
        <v>44926</v>
      </c>
      <c r="C2510" s="3" t="inlineStr">
        <is>
          <t>Liabilities</t>
        </is>
      </c>
      <c r="D2510" s="3" t="inlineStr">
        <is>
          <t>B/S</t>
        </is>
      </c>
      <c r="E2510" s="3" t="inlineStr">
        <is>
          <t>Taxation Payable</t>
        </is>
      </c>
      <c r="F2510" s="3" t="n">
        <v>0</v>
      </c>
      <c r="G2510" s="3" t="n">
        <v>1869.8</v>
      </c>
    </row>
    <row r="2511">
      <c r="A2511" s="3" t="inlineStr">
        <is>
          <t>Cape Projects Construction (Pty) Ltd</t>
        </is>
      </c>
      <c r="B2511" s="4" t="n">
        <v>44926</v>
      </c>
      <c r="C2511" s="3" t="inlineStr">
        <is>
          <t>Liabilities</t>
        </is>
      </c>
      <c r="D2511" s="3" t="inlineStr">
        <is>
          <t>TEMP/ACC</t>
        </is>
      </c>
      <c r="E2511" s="3" t="inlineStr">
        <is>
          <t>Conversion Account</t>
        </is>
      </c>
      <c r="F2511" s="3" t="n">
        <v>0</v>
      </c>
      <c r="G2511" s="3" t="n">
        <v>-254.99</v>
      </c>
    </row>
    <row r="2512">
      <c r="A2512" s="3" t="inlineStr">
        <is>
          <t>Heron Fields (Pty) Ltd</t>
        </is>
      </c>
      <c r="B2512" s="4" t="n">
        <v>44957</v>
      </c>
      <c r="C2512" s="3" t="inlineStr">
        <is>
          <t>Revenue</t>
        </is>
      </c>
      <c r="D2512" s="3" t="inlineStr">
        <is>
          <t>1000/100</t>
        </is>
      </c>
      <c r="E2512" s="3" t="inlineStr">
        <is>
          <t>Sales - Heron Fields</t>
        </is>
      </c>
      <c r="F2512" s="3" t="n">
        <v>-10938347.82</v>
      </c>
      <c r="G2512" s="3" t="n">
        <v>-33655043.49</v>
      </c>
    </row>
    <row r="2513">
      <c r="A2513" s="3" t="inlineStr">
        <is>
          <t>Heron Fields (Pty) Ltd</t>
        </is>
      </c>
      <c r="B2513" s="4" t="n">
        <v>44957</v>
      </c>
      <c r="C2513" s="3" t="inlineStr">
        <is>
          <t>Revenue</t>
        </is>
      </c>
      <c r="D2513" s="3" t="inlineStr">
        <is>
          <t>1000/101</t>
        </is>
      </c>
      <c r="E2513" s="3" t="inlineStr">
        <is>
          <t>Sales - Heron Fields occupational rent</t>
        </is>
      </c>
      <c r="F2513" s="3" t="n">
        <v>-23741.94</v>
      </c>
      <c r="G2513" s="3" t="n">
        <v>-112833.33</v>
      </c>
    </row>
    <row r="2514">
      <c r="A2514" s="3" t="inlineStr">
        <is>
          <t>Heron Fields (Pty) Ltd</t>
        </is>
      </c>
      <c r="B2514" s="4" t="n">
        <v>44957</v>
      </c>
      <c r="C2514" s="3" t="inlineStr">
        <is>
          <t>Revenue</t>
        </is>
      </c>
      <c r="D2514" s="3" t="inlineStr">
        <is>
          <t>1005/100</t>
        </is>
      </c>
      <c r="E2514" s="3" t="inlineStr">
        <is>
          <t>Bond Origination</t>
        </is>
      </c>
      <c r="F2514" s="3" t="n">
        <v>-35916.78</v>
      </c>
      <c r="G2514" s="3" t="n">
        <v>-35916.78</v>
      </c>
    </row>
    <row r="2515">
      <c r="A2515" s="3" t="inlineStr">
        <is>
          <t>Cape Projects Construction (Pty) Ltd</t>
        </is>
      </c>
      <c r="B2515" s="4" t="n">
        <v>44957</v>
      </c>
      <c r="C2515" s="3" t="inlineStr">
        <is>
          <t>Revenue</t>
        </is>
      </c>
      <c r="D2515" s="3" t="inlineStr">
        <is>
          <t>1040/100</t>
        </is>
      </c>
      <c r="E2515" s="3" t="inlineStr">
        <is>
          <t>Fees - Construction - Heron</t>
        </is>
      </c>
      <c r="F2515" s="3" t="n">
        <v>-1980000</v>
      </c>
      <c r="G2515" s="3" t="n">
        <v>-47812766.89</v>
      </c>
    </row>
    <row r="2516">
      <c r="A2516" s="3" t="inlineStr">
        <is>
          <t>Cape Projects Construction (Pty) Ltd</t>
        </is>
      </c>
      <c r="B2516" s="4" t="n">
        <v>44957</v>
      </c>
      <c r="C2516" s="3" t="inlineStr">
        <is>
          <t>Revenue</t>
        </is>
      </c>
      <c r="D2516" s="3" t="inlineStr">
        <is>
          <t>1050/030</t>
        </is>
      </c>
      <c r="E2516" s="3" t="inlineStr">
        <is>
          <t>Fees - Construction - Endulini</t>
        </is>
      </c>
      <c r="F2516" s="3" t="n">
        <v>0</v>
      </c>
      <c r="G2516" s="3" t="n">
        <v>-12046638.06</v>
      </c>
    </row>
    <row r="2517">
      <c r="A2517" s="3" t="inlineStr">
        <is>
          <t>Cape Projects Construction (Pty) Ltd</t>
        </is>
      </c>
      <c r="B2517" s="4" t="n">
        <v>44957</v>
      </c>
      <c r="C2517" s="3" t="inlineStr">
        <is>
          <t>Revenue</t>
        </is>
      </c>
      <c r="D2517" s="3" t="inlineStr">
        <is>
          <t>1051/100</t>
        </is>
      </c>
      <c r="E2517" s="3" t="inlineStr">
        <is>
          <t>Fees - Construction - Heron Fields</t>
        </is>
      </c>
      <c r="F2517" s="3" t="n">
        <v>0</v>
      </c>
      <c r="G2517" s="3" t="n">
        <v>-1782369.8</v>
      </c>
    </row>
    <row r="2518">
      <c r="A2518" s="3" t="inlineStr">
        <is>
          <t>Cape Projects Construction (Pty) Ltd</t>
        </is>
      </c>
      <c r="B2518" s="4" t="n">
        <v>44957</v>
      </c>
      <c r="C2518" s="3" t="inlineStr">
        <is>
          <t>Revenue</t>
        </is>
      </c>
      <c r="D2518" s="3" t="inlineStr">
        <is>
          <t>1051/200</t>
        </is>
      </c>
      <c r="E2518" s="3" t="inlineStr">
        <is>
          <t>Fees - Construction - Heron Fields P&amp;G</t>
        </is>
      </c>
      <c r="F2518" s="3" t="n">
        <v>0</v>
      </c>
      <c r="G2518" s="3" t="n">
        <v>1616.91</v>
      </c>
    </row>
    <row r="2519">
      <c r="A2519" s="3" t="inlineStr">
        <is>
          <t>Cape Projects Construction (Pty) Ltd</t>
        </is>
      </c>
      <c r="B2519" s="4" t="n">
        <v>44957</v>
      </c>
      <c r="C2519" s="3" t="inlineStr">
        <is>
          <t>Revenue</t>
        </is>
      </c>
      <c r="D2519" s="3" t="inlineStr">
        <is>
          <t>1060/000</t>
        </is>
      </c>
      <c r="E2519" s="3" t="inlineStr">
        <is>
          <t>Insurance recovery</t>
        </is>
      </c>
      <c r="F2519" s="3" t="n">
        <v>0</v>
      </c>
      <c r="G2519" s="3" t="n">
        <v>-2839.7</v>
      </c>
    </row>
    <row r="2520">
      <c r="A2520" s="3" t="inlineStr">
        <is>
          <t>Cape Projects Construction (Pty) Ltd</t>
        </is>
      </c>
      <c r="B2520" s="4" t="n">
        <v>44957</v>
      </c>
      <c r="C2520" s="3" t="inlineStr">
        <is>
          <t>Revenue</t>
        </is>
      </c>
      <c r="D2520" s="3" t="inlineStr">
        <is>
          <t>1070/000</t>
        </is>
      </c>
      <c r="E2520" s="3" t="inlineStr">
        <is>
          <t>Rent - CT Office</t>
        </is>
      </c>
      <c r="F2520" s="3" t="n">
        <v>0</v>
      </c>
      <c r="G2520" s="3" t="n">
        <v>-31418.46</v>
      </c>
    </row>
    <row r="2521">
      <c r="A2521" s="3" t="inlineStr">
        <is>
          <t>Heron View (Pty) Ltd</t>
        </is>
      </c>
      <c r="B2521" s="4" t="n">
        <v>44957</v>
      </c>
      <c r="C2521" s="3" t="inlineStr">
        <is>
          <t>Expenses</t>
        </is>
      </c>
      <c r="D2521" s="3" t="inlineStr">
        <is>
          <t>2000/010</t>
        </is>
      </c>
      <c r="E2521" s="3" t="inlineStr">
        <is>
          <t>COS - Heron View</t>
        </is>
      </c>
      <c r="F2521" s="3" t="n">
        <v>0</v>
      </c>
      <c r="G2521" s="3" t="n">
        <v>678.59</v>
      </c>
    </row>
    <row r="2522">
      <c r="A2522" s="3" t="inlineStr">
        <is>
          <t>Heron Fields (Pty) Ltd</t>
        </is>
      </c>
      <c r="B2522" s="4" t="n">
        <v>44957</v>
      </c>
      <c r="C2522" s="3" t="inlineStr">
        <is>
          <t>Expenses</t>
        </is>
      </c>
      <c r="D2522" s="3" t="inlineStr">
        <is>
          <t>2000/030</t>
        </is>
      </c>
      <c r="E2522" s="3" t="inlineStr">
        <is>
          <t>COS - Commission Heron Fields investors</t>
        </is>
      </c>
      <c r="F2522" s="3" t="n">
        <v>0</v>
      </c>
      <c r="G2522" s="3" t="n">
        <v>86956.52</v>
      </c>
    </row>
    <row r="2523">
      <c r="A2523" s="3" t="inlineStr">
        <is>
          <t>Heron Fields (Pty) Ltd</t>
        </is>
      </c>
      <c r="B2523" s="4" t="n">
        <v>44957</v>
      </c>
      <c r="C2523" s="3" t="inlineStr">
        <is>
          <t>Expenses</t>
        </is>
      </c>
      <c r="D2523" s="3" t="inlineStr">
        <is>
          <t>2000/040</t>
        </is>
      </c>
      <c r="E2523" s="3" t="inlineStr">
        <is>
          <t>COS - Legal Fees</t>
        </is>
      </c>
      <c r="F2523" s="3" t="n">
        <v>190695.35</v>
      </c>
      <c r="G2523" s="3" t="n">
        <v>780843.3</v>
      </c>
    </row>
    <row r="2524">
      <c r="A2524" s="3" t="inlineStr">
        <is>
          <t>Heron Fields (Pty) Ltd</t>
        </is>
      </c>
      <c r="B2524" s="4" t="n">
        <v>44957</v>
      </c>
      <c r="C2524" s="3" t="inlineStr">
        <is>
          <t>Expenses</t>
        </is>
      </c>
      <c r="D2524" s="3" t="inlineStr">
        <is>
          <t>2000/050</t>
        </is>
      </c>
      <c r="E2524" s="3" t="inlineStr">
        <is>
          <t>COS - Rates clearance</t>
        </is>
      </c>
      <c r="F2524" s="3" t="n">
        <v>0</v>
      </c>
      <c r="G2524" s="3" t="n">
        <v>9738.91</v>
      </c>
    </row>
    <row r="2525">
      <c r="A2525" s="3" t="inlineStr">
        <is>
          <t>Heron Fields (Pty) Ltd</t>
        </is>
      </c>
      <c r="B2525" s="4" t="n">
        <v>44957</v>
      </c>
      <c r="C2525" s="3" t="inlineStr">
        <is>
          <t>Expenses</t>
        </is>
      </c>
      <c r="D2525" s="3" t="inlineStr">
        <is>
          <t>2000/060</t>
        </is>
      </c>
      <c r="E2525" s="3" t="inlineStr">
        <is>
          <t>COS - Levies</t>
        </is>
      </c>
      <c r="F2525" s="3" t="n">
        <v>14453.64</v>
      </c>
      <c r="G2525" s="3" t="n">
        <v>217104.12</v>
      </c>
    </row>
    <row r="2526">
      <c r="A2526" s="3" t="inlineStr">
        <is>
          <t>Heron Fields (Pty) Ltd</t>
        </is>
      </c>
      <c r="B2526" s="4" t="n">
        <v>44957</v>
      </c>
      <c r="C2526" s="3" t="inlineStr">
        <is>
          <t>Expenses</t>
        </is>
      </c>
      <c r="D2526" s="3" t="inlineStr">
        <is>
          <t>2000/070</t>
        </is>
      </c>
      <c r="E2526" s="3" t="inlineStr">
        <is>
          <t>COS - Commission HF Units</t>
        </is>
      </c>
      <c r="F2526" s="3" t="n">
        <v>974495.64</v>
      </c>
      <c r="G2526" s="3" t="n">
        <v>1356034.77</v>
      </c>
    </row>
    <row r="2527">
      <c r="A2527" s="3" t="inlineStr">
        <is>
          <t>Cape Projects Construction (Pty) Ltd</t>
        </is>
      </c>
      <c r="B2527" s="4" t="n">
        <v>44957</v>
      </c>
      <c r="C2527" s="3" t="inlineStr">
        <is>
          <t>Expenses</t>
        </is>
      </c>
      <c r="D2527" s="3" t="inlineStr">
        <is>
          <t>2001/054</t>
        </is>
      </c>
      <c r="E2527" s="3" t="inlineStr">
        <is>
          <t>COS - Units - Cement</t>
        </is>
      </c>
      <c r="F2527" s="3" t="n">
        <v>0</v>
      </c>
      <c r="G2527" s="3" t="n">
        <v>6160.34</v>
      </c>
    </row>
    <row r="2528">
      <c r="A2528" s="3" t="inlineStr">
        <is>
          <t>Cape Projects Construction (Pty) Ltd</t>
        </is>
      </c>
      <c r="B2528" s="4" t="n">
        <v>44957</v>
      </c>
      <c r="C2528" s="3" t="inlineStr">
        <is>
          <t>Expenses</t>
        </is>
      </c>
      <c r="D2528" s="3" t="inlineStr">
        <is>
          <t>2001/063</t>
        </is>
      </c>
      <c r="E2528" s="3" t="inlineStr">
        <is>
          <t>COS - Units Plumbing Supply_AND_Fit</t>
        </is>
      </c>
      <c r="F2528" s="3" t="n">
        <v>0</v>
      </c>
      <c r="G2528" s="3" t="n">
        <v>250</v>
      </c>
    </row>
    <row r="2529">
      <c r="A2529" s="3" t="inlineStr">
        <is>
          <t>Cape Projects Construction (Pty) Ltd</t>
        </is>
      </c>
      <c r="B2529" s="4" t="n">
        <v>44957</v>
      </c>
      <c r="C2529" s="3" t="inlineStr">
        <is>
          <t>Expenses</t>
        </is>
      </c>
      <c r="D2529" s="3" t="inlineStr">
        <is>
          <t>2001/064</t>
        </is>
      </c>
      <c r="E2529" s="3" t="inlineStr">
        <is>
          <t>COS - Plumbing Sanware</t>
        </is>
      </c>
      <c r="F2529" s="3" t="n">
        <v>0</v>
      </c>
      <c r="G2529" s="3" t="n">
        <v>1876.17</v>
      </c>
    </row>
    <row r="2530">
      <c r="A2530" s="3" t="inlineStr">
        <is>
          <t>Cape Projects Construction (Pty) Ltd</t>
        </is>
      </c>
      <c r="B2530" s="4" t="n">
        <v>44957</v>
      </c>
      <c r="C2530" s="3" t="inlineStr">
        <is>
          <t>Expenses</t>
        </is>
      </c>
      <c r="D2530" s="3" t="inlineStr">
        <is>
          <t>2001/085</t>
        </is>
      </c>
      <c r="E2530" s="3" t="inlineStr">
        <is>
          <t>COS - Units - Outside work - Paving</t>
        </is>
      </c>
      <c r="F2530" s="3" t="n">
        <v>0</v>
      </c>
      <c r="G2530" s="3" t="n">
        <v>4440.61</v>
      </c>
    </row>
    <row r="2531">
      <c r="A2531" s="3" t="inlineStr">
        <is>
          <t>Cape Projects Construction (Pty) Ltd</t>
        </is>
      </c>
      <c r="B2531" s="4" t="n">
        <v>44957</v>
      </c>
      <c r="C2531" s="3" t="inlineStr">
        <is>
          <t>Expenses</t>
        </is>
      </c>
      <c r="D2531" s="3" t="inlineStr">
        <is>
          <t>2003/081</t>
        </is>
      </c>
      <c r="E2531" s="3" t="inlineStr">
        <is>
          <t>COS - Internet - Fibre SUPPLY _AND_ FIT</t>
        </is>
      </c>
      <c r="F2531" s="3" t="n">
        <v>0</v>
      </c>
      <c r="G2531" s="3" t="n">
        <v>31736.5</v>
      </c>
    </row>
    <row r="2532">
      <c r="A2532" s="3" t="inlineStr">
        <is>
          <t>Cape Projects Construction (Pty) Ltd</t>
        </is>
      </c>
      <c r="B2532" s="4" t="n">
        <v>44957</v>
      </c>
      <c r="C2532" s="3" t="inlineStr">
        <is>
          <t>Expenses</t>
        </is>
      </c>
      <c r="D2532" s="3" t="inlineStr">
        <is>
          <t>2005/000</t>
        </is>
      </c>
      <c r="E2532" s="3" t="inlineStr">
        <is>
          <t>Cost of Sales</t>
        </is>
      </c>
      <c r="F2532" s="3" t="n">
        <v>0</v>
      </c>
      <c r="G2532" s="3" t="n">
        <v>-762078.59</v>
      </c>
    </row>
    <row r="2533">
      <c r="A2533" s="3" t="inlineStr">
        <is>
          <t>Cape Projects Construction (Pty) Ltd</t>
        </is>
      </c>
      <c r="B2533" s="4" t="n">
        <v>44957</v>
      </c>
      <c r="C2533" s="3" t="inlineStr">
        <is>
          <t>Expenses</t>
        </is>
      </c>
      <c r="D2533" s="3" t="inlineStr">
        <is>
          <t>2005/200</t>
        </is>
      </c>
      <c r="E2533" s="3" t="inlineStr">
        <is>
          <t>COS - External Works</t>
        </is>
      </c>
      <c r="F2533" s="3" t="n">
        <v>0</v>
      </c>
      <c r="G2533" s="3" t="n">
        <v>957.28</v>
      </c>
    </row>
    <row r="2534">
      <c r="A2534" s="3" t="inlineStr">
        <is>
          <t>Cape Projects Construction (Pty) Ltd</t>
        </is>
      </c>
      <c r="B2534" s="4" t="n">
        <v>44957</v>
      </c>
      <c r="C2534" s="3" t="inlineStr">
        <is>
          <t>Expenses</t>
        </is>
      </c>
      <c r="D2534" s="3" t="inlineStr">
        <is>
          <t>2006/000</t>
        </is>
      </c>
      <c r="E2534" s="3" t="inlineStr">
        <is>
          <t>COS - Endulini Construction</t>
        </is>
      </c>
      <c r="F2534" s="3" t="n">
        <v>287574.43</v>
      </c>
      <c r="G2534" s="3" t="n">
        <v>16748877.41</v>
      </c>
    </row>
    <row r="2535">
      <c r="A2535" s="3" t="inlineStr">
        <is>
          <t>Cape Projects Construction (Pty) Ltd</t>
        </is>
      </c>
      <c r="B2535" s="4" t="n">
        <v>44957</v>
      </c>
      <c r="C2535" s="3" t="inlineStr">
        <is>
          <t>Expenses</t>
        </is>
      </c>
      <c r="D2535" s="3" t="inlineStr">
        <is>
          <t>2006/100</t>
        </is>
      </c>
      <c r="E2535" s="3" t="inlineStr">
        <is>
          <t>COS - Endulini P and G</t>
        </is>
      </c>
      <c r="F2535" s="3" t="n">
        <v>4500</v>
      </c>
      <c r="G2535" s="3" t="n">
        <v>994244.35</v>
      </c>
    </row>
    <row r="2536">
      <c r="A2536" s="3" t="inlineStr">
        <is>
          <t>Cape Projects Construction (Pty) Ltd</t>
        </is>
      </c>
      <c r="B2536" s="4" t="n">
        <v>44957</v>
      </c>
      <c r="C2536" s="3" t="inlineStr">
        <is>
          <t>Expenses</t>
        </is>
      </c>
      <c r="D2536" s="3" t="inlineStr">
        <is>
          <t>2006/200</t>
        </is>
      </c>
      <c r="E2536" s="3" t="inlineStr">
        <is>
          <t>COS - Insurance</t>
        </is>
      </c>
      <c r="F2536" s="3" t="n">
        <v>2719.44</v>
      </c>
      <c r="G2536" s="3" t="n">
        <v>42889.57</v>
      </c>
    </row>
    <row r="2537">
      <c r="A2537" s="3" t="inlineStr">
        <is>
          <t>Cape Projects Construction (Pty) Ltd</t>
        </is>
      </c>
      <c r="B2537" s="4" t="n">
        <v>44957</v>
      </c>
      <c r="C2537" s="3" t="inlineStr">
        <is>
          <t>Expenses</t>
        </is>
      </c>
      <c r="D2537" s="3" t="inlineStr">
        <is>
          <t>2006/300</t>
        </is>
      </c>
      <c r="E2537" s="3" t="inlineStr">
        <is>
          <t>COS - Endulini - Printing &amp; Stationary</t>
        </is>
      </c>
      <c r="F2537" s="3" t="n">
        <v>0</v>
      </c>
      <c r="G2537" s="3" t="n">
        <v>269.65</v>
      </c>
    </row>
    <row r="2538">
      <c r="A2538" s="3" t="inlineStr">
        <is>
          <t>Cape Projects Construction (Pty) Ltd</t>
        </is>
      </c>
      <c r="B2538" s="4" t="n">
        <v>44957</v>
      </c>
      <c r="C2538" s="3" t="inlineStr">
        <is>
          <t>Expenses</t>
        </is>
      </c>
      <c r="D2538" s="3" t="inlineStr">
        <is>
          <t>2006/350</t>
        </is>
      </c>
      <c r="E2538" s="3" t="inlineStr">
        <is>
          <t>COS - Endulini - Security</t>
        </is>
      </c>
      <c r="F2538" s="3" t="n">
        <v>0</v>
      </c>
      <c r="G2538" s="3" t="n">
        <v>11000</v>
      </c>
    </row>
    <row r="2539">
      <c r="A2539" s="3" t="inlineStr">
        <is>
          <t>Cape Projects Construction (Pty) Ltd</t>
        </is>
      </c>
      <c r="B2539" s="4" t="n">
        <v>44957</v>
      </c>
      <c r="C2539" s="3" t="inlineStr">
        <is>
          <t>Expenses</t>
        </is>
      </c>
      <c r="D2539" s="3" t="inlineStr">
        <is>
          <t>2006/400</t>
        </is>
      </c>
      <c r="E2539" s="3" t="inlineStr">
        <is>
          <t>COS - Endulini - Health &amp; Safety</t>
        </is>
      </c>
      <c r="F2539" s="3" t="n">
        <v>0</v>
      </c>
      <c r="G2539" s="3" t="n">
        <v>19600</v>
      </c>
    </row>
    <row r="2540">
      <c r="A2540" s="3" t="inlineStr">
        <is>
          <t>Cape Projects Construction (Pty) Ltd</t>
        </is>
      </c>
      <c r="B2540" s="4" t="n">
        <v>44957</v>
      </c>
      <c r="C2540" s="3" t="inlineStr">
        <is>
          <t>Expenses</t>
        </is>
      </c>
      <c r="D2540" s="3" t="inlineStr">
        <is>
          <t>2006/700</t>
        </is>
      </c>
      <c r="E2540" s="3" t="inlineStr">
        <is>
          <t>COS - Endulini - Fuel</t>
        </is>
      </c>
      <c r="F2540" s="3" t="n">
        <v>0</v>
      </c>
      <c r="G2540" s="3" t="n">
        <v>2473.65</v>
      </c>
    </row>
    <row r="2541">
      <c r="A2541" s="3" t="inlineStr">
        <is>
          <t>Cape Projects Construction (Pty) Ltd</t>
        </is>
      </c>
      <c r="B2541" s="4" t="n">
        <v>44957</v>
      </c>
      <c r="C2541" s="3" t="inlineStr">
        <is>
          <t>Expenses</t>
        </is>
      </c>
      <c r="D2541" s="3" t="inlineStr">
        <is>
          <t>2006/800</t>
        </is>
      </c>
      <c r="E2541" s="3" t="inlineStr">
        <is>
          <t>COS - Endulini - Telephone &amp; Internet</t>
        </is>
      </c>
      <c r="F2541" s="3" t="n">
        <v>0</v>
      </c>
      <c r="G2541" s="3" t="n">
        <v>937.39</v>
      </c>
    </row>
    <row r="2542">
      <c r="A2542" s="3" t="inlineStr">
        <is>
          <t>Cape Projects Construction (Pty) Ltd</t>
        </is>
      </c>
      <c r="B2542" s="4" t="n">
        <v>44957</v>
      </c>
      <c r="C2542" s="3" t="inlineStr">
        <is>
          <t>Expenses</t>
        </is>
      </c>
      <c r="D2542" s="3" t="inlineStr">
        <is>
          <t>2007/000</t>
        </is>
      </c>
      <c r="E2542" s="3" t="inlineStr">
        <is>
          <t>COS - Repairs &amp; Maintenance - SW Southwark</t>
        </is>
      </c>
      <c r="F2542" s="3" t="n">
        <v>0</v>
      </c>
      <c r="G2542" s="3" t="n">
        <v>4661.74</v>
      </c>
    </row>
    <row r="2543">
      <c r="A2543" s="3" t="inlineStr">
        <is>
          <t>Cape Projects Construction (Pty) Ltd</t>
        </is>
      </c>
      <c r="B2543" s="4" t="n">
        <v>44957</v>
      </c>
      <c r="C2543" s="3" t="inlineStr">
        <is>
          <t>Expenses</t>
        </is>
      </c>
      <c r="D2543" s="3" t="inlineStr">
        <is>
          <t>2011/300</t>
        </is>
      </c>
      <c r="E2543" s="3" t="inlineStr">
        <is>
          <t>COS - Heron Fields - Printing &amp; Stationary</t>
        </is>
      </c>
      <c r="F2543" s="3" t="n">
        <v>0</v>
      </c>
      <c r="G2543" s="3" t="n">
        <v>2952.7</v>
      </c>
    </row>
    <row r="2544">
      <c r="A2544" s="3" t="inlineStr">
        <is>
          <t>Cape Projects Construction (Pty) Ltd</t>
        </is>
      </c>
      <c r="B2544" s="4" t="n">
        <v>44957</v>
      </c>
      <c r="C2544" s="3" t="inlineStr">
        <is>
          <t>Expenses</t>
        </is>
      </c>
      <c r="D2544" s="3" t="inlineStr">
        <is>
          <t>2011/500</t>
        </is>
      </c>
      <c r="E2544" s="3" t="inlineStr">
        <is>
          <t>COS - Heron Fields - Construction</t>
        </is>
      </c>
      <c r="F2544" s="3" t="n">
        <v>290144.51</v>
      </c>
      <c r="G2544" s="3" t="n">
        <v>30518670.51</v>
      </c>
    </row>
    <row r="2545">
      <c r="A2545" s="3" t="inlineStr">
        <is>
          <t>Cape Projects Construction (Pty) Ltd</t>
        </is>
      </c>
      <c r="B2545" s="4" t="n">
        <v>44957</v>
      </c>
      <c r="C2545" s="3" t="inlineStr">
        <is>
          <t>Expenses</t>
        </is>
      </c>
      <c r="D2545" s="3" t="inlineStr">
        <is>
          <t>2011/600</t>
        </is>
      </c>
      <c r="E2545" s="3" t="inlineStr">
        <is>
          <t>COS - Heron Fields - P &amp; G</t>
        </is>
      </c>
      <c r="F2545" s="3" t="n">
        <v>103191.35</v>
      </c>
      <c r="G2545" s="3" t="n">
        <v>2776382.9</v>
      </c>
    </row>
    <row r="2546">
      <c r="A2546" s="3" t="inlineStr">
        <is>
          <t>Cape Projects Construction (Pty) Ltd</t>
        </is>
      </c>
      <c r="B2546" s="4" t="n">
        <v>44957</v>
      </c>
      <c r="C2546" s="3" t="inlineStr">
        <is>
          <t>Expenses</t>
        </is>
      </c>
      <c r="D2546" s="3" t="inlineStr">
        <is>
          <t>2011/700</t>
        </is>
      </c>
      <c r="E2546" s="3" t="inlineStr">
        <is>
          <t>COS - Heron Fields - Health &amp; Safety</t>
        </is>
      </c>
      <c r="F2546" s="3" t="n">
        <v>0</v>
      </c>
      <c r="G2546" s="3" t="n">
        <v>22286.3</v>
      </c>
    </row>
    <row r="2547">
      <c r="A2547" s="3" t="inlineStr">
        <is>
          <t>Cape Projects Construction (Pty) Ltd</t>
        </is>
      </c>
      <c r="B2547" s="4" t="n">
        <v>44957</v>
      </c>
      <c r="C2547" s="3" t="inlineStr">
        <is>
          <t>Expenses</t>
        </is>
      </c>
      <c r="D2547" s="3" t="inlineStr">
        <is>
          <t>2011/900</t>
        </is>
      </c>
      <c r="E2547" s="3" t="inlineStr">
        <is>
          <t>COS - Heron - Internet</t>
        </is>
      </c>
      <c r="F2547" s="3" t="n">
        <v>831.8099999999999</v>
      </c>
      <c r="G2547" s="3" t="n">
        <v>6717.43</v>
      </c>
    </row>
    <row r="2548">
      <c r="A2548" s="3" t="inlineStr">
        <is>
          <t>Cape Projects Construction (Pty) Ltd</t>
        </is>
      </c>
      <c r="B2548" s="4" t="n">
        <v>44957</v>
      </c>
      <c r="C2548" s="3" t="inlineStr">
        <is>
          <t>Expenses</t>
        </is>
      </c>
      <c r="D2548" s="3" t="inlineStr">
        <is>
          <t>2011/950</t>
        </is>
      </c>
      <c r="E2548" s="3" t="inlineStr">
        <is>
          <t>COS - Heron Fields - Security</t>
        </is>
      </c>
      <c r="F2548" s="3" t="n">
        <v>0</v>
      </c>
      <c r="G2548" s="3" t="n">
        <v>20565.22</v>
      </c>
    </row>
    <row r="2549">
      <c r="A2549" s="3" t="inlineStr">
        <is>
          <t>Cape Projects Construction (Pty) Ltd</t>
        </is>
      </c>
      <c r="B2549" s="4" t="n">
        <v>44957</v>
      </c>
      <c r="C2549" s="3" t="inlineStr">
        <is>
          <t>Expenses</t>
        </is>
      </c>
      <c r="D2549" s="3" t="inlineStr">
        <is>
          <t>2012/001</t>
        </is>
      </c>
      <c r="E2549" s="3" t="inlineStr">
        <is>
          <t>COS - Heron View - Printing &amp; Stationary</t>
        </is>
      </c>
      <c r="F2549" s="3" t="n">
        <v>1404.78</v>
      </c>
      <c r="G2549" s="3" t="n">
        <v>1404.78</v>
      </c>
    </row>
    <row r="2550">
      <c r="A2550" s="3" t="inlineStr">
        <is>
          <t>Cape Projects Construction (Pty) Ltd</t>
        </is>
      </c>
      <c r="B2550" s="4" t="n">
        <v>44957</v>
      </c>
      <c r="C2550" s="3" t="inlineStr">
        <is>
          <t>Expenses</t>
        </is>
      </c>
      <c r="D2550" s="3" t="inlineStr">
        <is>
          <t>2012/002</t>
        </is>
      </c>
      <c r="E2550" s="3" t="inlineStr">
        <is>
          <t>COS - Heron View - Construction</t>
        </is>
      </c>
      <c r="F2550" s="3" t="n">
        <v>695304.12</v>
      </c>
      <c r="G2550" s="3" t="n">
        <v>4859578.97</v>
      </c>
    </row>
    <row r="2551">
      <c r="A2551" s="3" t="inlineStr">
        <is>
          <t>Cape Projects Construction (Pty) Ltd</t>
        </is>
      </c>
      <c r="B2551" s="4" t="n">
        <v>44957</v>
      </c>
      <c r="C2551" s="3" t="inlineStr">
        <is>
          <t>Expenses</t>
        </is>
      </c>
      <c r="D2551" s="3" t="inlineStr">
        <is>
          <t>2012/003</t>
        </is>
      </c>
      <c r="E2551" s="3" t="inlineStr">
        <is>
          <t>COS - Heron View - P&amp;G</t>
        </is>
      </c>
      <c r="F2551" s="3" t="n">
        <v>40096.92</v>
      </c>
      <c r="G2551" s="3" t="n">
        <v>236646.51</v>
      </c>
    </row>
    <row r="2552">
      <c r="A2552" s="3" t="inlineStr">
        <is>
          <t>Cape Projects Construction (Pty) Ltd</t>
        </is>
      </c>
      <c r="B2552" s="4" t="n">
        <v>44957</v>
      </c>
      <c r="C2552" s="3" t="inlineStr">
        <is>
          <t>Expenses</t>
        </is>
      </c>
      <c r="D2552" s="3" t="inlineStr">
        <is>
          <t>2013/000</t>
        </is>
      </c>
      <c r="E2552" s="3" t="inlineStr">
        <is>
          <t>COS - Bakhoven</t>
        </is>
      </c>
      <c r="F2552" s="3" t="n">
        <v>0</v>
      </c>
      <c r="G2552" s="3" t="n">
        <v>32261.99</v>
      </c>
    </row>
    <row r="2553">
      <c r="A2553" s="3" t="inlineStr">
        <is>
          <t>Cape Projects Construction (Pty) Ltd</t>
        </is>
      </c>
      <c r="B2553" s="4" t="n">
        <v>44957</v>
      </c>
      <c r="C2553" s="3" t="inlineStr">
        <is>
          <t>Expenses</t>
        </is>
      </c>
      <c r="D2553" s="3" t="inlineStr">
        <is>
          <t>2014/000</t>
        </is>
      </c>
      <c r="E2553" s="3" t="inlineStr">
        <is>
          <t>COS - Heron Projects insurance</t>
        </is>
      </c>
      <c r="F2553" s="3" t="n">
        <v>0</v>
      </c>
      <c r="G2553" s="3" t="n">
        <v>11169.12</v>
      </c>
    </row>
    <row r="2554">
      <c r="A2554" s="3" t="inlineStr">
        <is>
          <t>Cape Projects Construction (Pty) Ltd</t>
        </is>
      </c>
      <c r="B2554" s="4" t="n">
        <v>44957</v>
      </c>
      <c r="C2554" s="3" t="inlineStr">
        <is>
          <t>Revenue</t>
        </is>
      </c>
      <c r="D2554" s="3" t="inlineStr">
        <is>
          <t>2750/000</t>
        </is>
      </c>
      <c r="E2554" s="3" t="inlineStr">
        <is>
          <t>Interest Received - FNB</t>
        </is>
      </c>
      <c r="F2554" s="3" t="n">
        <v>-845.51</v>
      </c>
      <c r="G2554" s="3" t="n">
        <v>-2550.18</v>
      </c>
    </row>
    <row r="2555">
      <c r="A2555" s="3" t="inlineStr">
        <is>
          <t>Cape Projects Construction (Pty) Ltd</t>
        </is>
      </c>
      <c r="B2555" s="4" t="n">
        <v>44957</v>
      </c>
      <c r="C2555" s="3" t="inlineStr">
        <is>
          <t>Revenue</t>
        </is>
      </c>
      <c r="D2555" s="3" t="inlineStr">
        <is>
          <t>2751/001</t>
        </is>
      </c>
      <c r="E2555" s="3" t="inlineStr">
        <is>
          <t>Interest received - Momentum</t>
        </is>
      </c>
      <c r="F2555" s="3" t="n">
        <v>-9.460000000000001</v>
      </c>
      <c r="G2555" s="3" t="n">
        <v>-27.68</v>
      </c>
    </row>
    <row r="2556">
      <c r="A2556" s="3" t="inlineStr">
        <is>
          <t>Heron Fields (Pty) Ltd</t>
        </is>
      </c>
      <c r="B2556" s="4" t="n">
        <v>44957</v>
      </c>
      <c r="C2556" s="3" t="inlineStr">
        <is>
          <t>Revenue</t>
        </is>
      </c>
      <c r="D2556" s="3" t="inlineStr">
        <is>
          <t>2755/001</t>
        </is>
      </c>
      <c r="E2556" s="3" t="inlineStr">
        <is>
          <t>Interest Received - Momentum</t>
        </is>
      </c>
      <c r="F2556" s="3" t="n">
        <v>-71924.81</v>
      </c>
      <c r="G2556" s="3" t="n">
        <v>-462526.63</v>
      </c>
    </row>
    <row r="2557">
      <c r="A2557" s="3" t="inlineStr">
        <is>
          <t>Heron Fields (Pty) Ltd</t>
        </is>
      </c>
      <c r="B2557" s="4" t="n">
        <v>44957</v>
      </c>
      <c r="C2557" s="3" t="inlineStr">
        <is>
          <t>Expenses</t>
        </is>
      </c>
      <c r="D2557" s="3" t="inlineStr">
        <is>
          <t>3000/100</t>
        </is>
      </c>
      <c r="E2557" s="3" t="inlineStr">
        <is>
          <t>Accounting - CIPC</t>
        </is>
      </c>
      <c r="F2557" s="3" t="n">
        <v>0</v>
      </c>
      <c r="G2557" s="3" t="n">
        <v>150</v>
      </c>
    </row>
    <row r="2558">
      <c r="A2558" s="3" t="inlineStr">
        <is>
          <t>Cape Projects Construction (Pty) Ltd</t>
        </is>
      </c>
      <c r="B2558" s="4" t="n">
        <v>44957</v>
      </c>
      <c r="C2558" s="3" t="inlineStr">
        <is>
          <t>Expenses</t>
        </is>
      </c>
      <c r="D2558" s="3" t="inlineStr">
        <is>
          <t>3002/000</t>
        </is>
      </c>
      <c r="E2558" s="3" t="inlineStr">
        <is>
          <t>Accounting Fees - Audit</t>
        </is>
      </c>
      <c r="F2558" s="3" t="n">
        <v>0</v>
      </c>
      <c r="G2558" s="3" t="n">
        <v>10600</v>
      </c>
    </row>
    <row r="2559">
      <c r="A2559" s="3" t="inlineStr">
        <is>
          <t>Cape Projects Construction (Pty) Ltd</t>
        </is>
      </c>
      <c r="B2559" s="4" t="n">
        <v>44957</v>
      </c>
      <c r="C2559" s="3" t="inlineStr">
        <is>
          <t>Expenses</t>
        </is>
      </c>
      <c r="D2559" s="3" t="inlineStr">
        <is>
          <t>3020/100</t>
        </is>
      </c>
      <c r="E2559" s="3" t="inlineStr">
        <is>
          <t>Admin - Subcontractors</t>
        </is>
      </c>
      <c r="F2559" s="3" t="n">
        <v>0</v>
      </c>
      <c r="G2559" s="3" t="n">
        <v>14139.13</v>
      </c>
    </row>
    <row r="2560">
      <c r="A2560" s="3" t="inlineStr">
        <is>
          <t>Cape Projects Construction (Pty) Ltd</t>
        </is>
      </c>
      <c r="B2560" s="4" t="n">
        <v>44957</v>
      </c>
      <c r="C2560" s="3" t="inlineStr">
        <is>
          <t>Expenses</t>
        </is>
      </c>
      <c r="D2560" s="3" t="inlineStr">
        <is>
          <t>3050/000</t>
        </is>
      </c>
      <c r="E2560" s="3" t="inlineStr">
        <is>
          <t>Advertising _AND_ Promotions</t>
        </is>
      </c>
      <c r="F2560" s="3" t="n">
        <v>71.76000000000001</v>
      </c>
      <c r="G2560" s="3" t="n">
        <v>24268.79</v>
      </c>
    </row>
    <row r="2561">
      <c r="A2561" s="3" t="inlineStr">
        <is>
          <t>Heron Fields (Pty) Ltd</t>
        </is>
      </c>
      <c r="B2561" s="4" t="n">
        <v>44957</v>
      </c>
      <c r="C2561" s="3" t="inlineStr">
        <is>
          <t>Expenses</t>
        </is>
      </c>
      <c r="D2561" s="3" t="inlineStr">
        <is>
          <t>3050/000</t>
        </is>
      </c>
      <c r="E2561" s="3" t="inlineStr">
        <is>
          <t>Advertising _AND_ Promotions</t>
        </is>
      </c>
      <c r="F2561" s="3" t="n">
        <v>0</v>
      </c>
      <c r="G2561" s="3" t="n">
        <v>107333.86</v>
      </c>
    </row>
    <row r="2562">
      <c r="A2562" s="3" t="inlineStr">
        <is>
          <t>Heron View (Pty) Ltd</t>
        </is>
      </c>
      <c r="B2562" s="4" t="n">
        <v>44957</v>
      </c>
      <c r="C2562" s="3" t="inlineStr">
        <is>
          <t>Expenses</t>
        </is>
      </c>
      <c r="D2562" s="3" t="inlineStr">
        <is>
          <t>3050/000</t>
        </is>
      </c>
      <c r="E2562" s="3" t="inlineStr">
        <is>
          <t>Advertising _AND_ Promotions</t>
        </is>
      </c>
      <c r="F2562" s="3" t="n">
        <v>0</v>
      </c>
      <c r="G2562" s="3" t="n">
        <v>15250</v>
      </c>
    </row>
    <row r="2563">
      <c r="A2563" s="3" t="inlineStr">
        <is>
          <t>Heron Fields (Pty) Ltd</t>
        </is>
      </c>
      <c r="B2563" s="4" t="n">
        <v>44957</v>
      </c>
      <c r="C2563" s="3" t="inlineStr">
        <is>
          <t>Expenses</t>
        </is>
      </c>
      <c r="D2563" s="3" t="inlineStr">
        <is>
          <t>3050/100</t>
        </is>
      </c>
      <c r="E2563" s="3" t="inlineStr">
        <is>
          <t>Advertising - Property24</t>
        </is>
      </c>
      <c r="F2563" s="3" t="n">
        <v>11556</v>
      </c>
      <c r="G2563" s="3" t="n">
        <v>127116</v>
      </c>
    </row>
    <row r="2564">
      <c r="A2564" s="3" t="inlineStr">
        <is>
          <t>Heron View (Pty) Ltd</t>
        </is>
      </c>
      <c r="B2564" s="4" t="n">
        <v>44957</v>
      </c>
      <c r="C2564" s="3" t="inlineStr">
        <is>
          <t>Expenses</t>
        </is>
      </c>
      <c r="D2564" s="3" t="inlineStr">
        <is>
          <t>3050/200</t>
        </is>
      </c>
      <c r="E2564" s="3" t="inlineStr">
        <is>
          <t>Advertising - Media24</t>
        </is>
      </c>
      <c r="F2564" s="3" t="n">
        <v>13500</v>
      </c>
      <c r="G2564" s="3" t="n">
        <v>13500</v>
      </c>
    </row>
    <row r="2565">
      <c r="A2565" s="3" t="inlineStr">
        <is>
          <t>Heron View (Pty) Ltd</t>
        </is>
      </c>
      <c r="B2565" s="4" t="n">
        <v>44957</v>
      </c>
      <c r="C2565" s="3" t="inlineStr">
        <is>
          <t>Expenses</t>
        </is>
      </c>
      <c r="D2565" s="3" t="inlineStr">
        <is>
          <t>3050/300</t>
        </is>
      </c>
      <c r="E2565" s="3" t="inlineStr">
        <is>
          <t>Advertising - Thinkink</t>
        </is>
      </c>
      <c r="F2565" s="3" t="n">
        <v>8263.91</v>
      </c>
      <c r="G2565" s="3" t="n">
        <v>8263.91</v>
      </c>
    </row>
    <row r="2566">
      <c r="A2566" s="3" t="inlineStr">
        <is>
          <t>Cape Projects Construction (Pty) Ltd</t>
        </is>
      </c>
      <c r="B2566" s="4" t="n">
        <v>44957</v>
      </c>
      <c r="C2566" s="3" t="inlineStr">
        <is>
          <t>Expenses</t>
        </is>
      </c>
      <c r="D2566" s="3" t="inlineStr">
        <is>
          <t>3050/450</t>
        </is>
      </c>
      <c r="E2566" s="3" t="inlineStr">
        <is>
          <t>Advertising - Other</t>
        </is>
      </c>
      <c r="F2566" s="3" t="n">
        <v>0</v>
      </c>
      <c r="G2566" s="3" t="n">
        <v>137.5</v>
      </c>
    </row>
    <row r="2567">
      <c r="A2567" s="3" t="inlineStr">
        <is>
          <t>Cape Projects Construction (Pty) Ltd</t>
        </is>
      </c>
      <c r="B2567" s="4" t="n">
        <v>44957</v>
      </c>
      <c r="C2567" s="3" t="inlineStr">
        <is>
          <t>Expenses</t>
        </is>
      </c>
      <c r="D2567" s="3" t="inlineStr">
        <is>
          <t>3200/000</t>
        </is>
      </c>
      <c r="E2567" s="3" t="inlineStr">
        <is>
          <t>Bank Charges</t>
        </is>
      </c>
      <c r="F2567" s="3" t="n">
        <v>2215.09</v>
      </c>
      <c r="G2567" s="3" t="n">
        <v>29446.5</v>
      </c>
    </row>
    <row r="2568">
      <c r="A2568" s="3" t="inlineStr">
        <is>
          <t>Heron Fields (Pty) Ltd</t>
        </is>
      </c>
      <c r="B2568" s="4" t="n">
        <v>44957</v>
      </c>
      <c r="C2568" s="3" t="inlineStr">
        <is>
          <t>Expenses</t>
        </is>
      </c>
      <c r="D2568" s="3" t="inlineStr">
        <is>
          <t>3200/000</t>
        </is>
      </c>
      <c r="E2568" s="3" t="inlineStr">
        <is>
          <t>Bank Charges</t>
        </is>
      </c>
      <c r="F2568" s="3" t="n">
        <v>406.48</v>
      </c>
      <c r="G2568" s="3" t="n">
        <v>6678.21</v>
      </c>
    </row>
    <row r="2569">
      <c r="A2569" s="3" t="inlineStr">
        <is>
          <t>Cape Projects Construction (Pty) Ltd</t>
        </is>
      </c>
      <c r="B2569" s="4" t="n">
        <v>44957</v>
      </c>
      <c r="C2569" s="3" t="inlineStr">
        <is>
          <t>Expenses</t>
        </is>
      </c>
      <c r="D2569" s="3" t="inlineStr">
        <is>
          <t>3250/000</t>
        </is>
      </c>
      <c r="E2569" s="3" t="inlineStr">
        <is>
          <t>Cleaning</t>
        </is>
      </c>
      <c r="F2569" s="3" t="n">
        <v>0</v>
      </c>
      <c r="G2569" s="3" t="n">
        <v>2353.79</v>
      </c>
    </row>
    <row r="2570">
      <c r="A2570" s="3" t="inlineStr">
        <is>
          <t>Cape Projects Construction (Pty) Ltd</t>
        </is>
      </c>
      <c r="B2570" s="4" t="n">
        <v>44957</v>
      </c>
      <c r="C2570" s="3" t="inlineStr">
        <is>
          <t>Expenses</t>
        </is>
      </c>
      <c r="D2570" s="3" t="inlineStr">
        <is>
          <t>3256/000</t>
        </is>
      </c>
      <c r="E2570" s="3" t="inlineStr">
        <is>
          <t>Cell Phone - Nick Morgan</t>
        </is>
      </c>
      <c r="F2570" s="3" t="n">
        <v>805.3</v>
      </c>
      <c r="G2570" s="3" t="n">
        <v>7949.43</v>
      </c>
    </row>
    <row r="2571">
      <c r="A2571" s="3" t="inlineStr">
        <is>
          <t>Cape Projects Construction (Pty) Ltd</t>
        </is>
      </c>
      <c r="B2571" s="4" t="n">
        <v>44957</v>
      </c>
      <c r="C2571" s="3" t="inlineStr">
        <is>
          <t>Expenses</t>
        </is>
      </c>
      <c r="D2571" s="3" t="inlineStr">
        <is>
          <t>3300/000</t>
        </is>
      </c>
      <c r="E2571" s="3" t="inlineStr">
        <is>
          <t>Computer Expenses</t>
        </is>
      </c>
      <c r="F2571" s="3" t="n">
        <v>1100</v>
      </c>
      <c r="G2571" s="3" t="n">
        <v>5948.56</v>
      </c>
    </row>
    <row r="2572">
      <c r="A2572" s="3" t="inlineStr">
        <is>
          <t>Cape Projects Construction (Pty) Ltd</t>
        </is>
      </c>
      <c r="B2572" s="4" t="n">
        <v>44957</v>
      </c>
      <c r="C2572" s="3" t="inlineStr">
        <is>
          <t>Expenses</t>
        </is>
      </c>
      <c r="D2572" s="3" t="inlineStr">
        <is>
          <t>3300/100</t>
        </is>
      </c>
      <c r="E2572" s="3" t="inlineStr">
        <is>
          <t>Computer Exp - IT, Internet/Hosting Fee</t>
        </is>
      </c>
      <c r="F2572" s="3" t="n">
        <v>3130</v>
      </c>
      <c r="G2572" s="3" t="n">
        <v>41709</v>
      </c>
    </row>
    <row r="2573">
      <c r="A2573" s="3" t="inlineStr">
        <is>
          <t>Heron Fields (Pty) Ltd</t>
        </is>
      </c>
      <c r="B2573" s="4" t="n">
        <v>44957</v>
      </c>
      <c r="C2573" s="3" t="inlineStr">
        <is>
          <t>Expenses</t>
        </is>
      </c>
      <c r="D2573" s="3" t="inlineStr">
        <is>
          <t>3350/100</t>
        </is>
      </c>
      <c r="E2573" s="3" t="inlineStr">
        <is>
          <t>Consulting Fees - Admin and Finance</t>
        </is>
      </c>
      <c r="F2573" s="3" t="n">
        <v>82812.42999999999</v>
      </c>
      <c r="G2573" s="3" t="n">
        <v>937165.54</v>
      </c>
    </row>
    <row r="2574">
      <c r="A2574" s="3" t="inlineStr">
        <is>
          <t>Cape Projects Construction (Pty) Ltd</t>
        </is>
      </c>
      <c r="B2574" s="4" t="n">
        <v>44957</v>
      </c>
      <c r="C2574" s="3" t="inlineStr">
        <is>
          <t>Expenses</t>
        </is>
      </c>
      <c r="D2574" s="3" t="inlineStr">
        <is>
          <t>3350/100</t>
        </is>
      </c>
      <c r="E2574" s="3" t="inlineStr">
        <is>
          <t>Consulting fees - Herbert du Plessis</t>
        </is>
      </c>
      <c r="F2574" s="3" t="n">
        <v>0</v>
      </c>
      <c r="G2574" s="3" t="n">
        <v>318572.45</v>
      </c>
    </row>
    <row r="2575">
      <c r="A2575" s="3" t="inlineStr">
        <is>
          <t>Cape Projects Construction (Pty) Ltd</t>
        </is>
      </c>
      <c r="B2575" s="4" t="n">
        <v>44957</v>
      </c>
      <c r="C2575" s="3" t="inlineStr">
        <is>
          <t>Expenses</t>
        </is>
      </c>
      <c r="D2575" s="3" t="inlineStr">
        <is>
          <t>3350/300</t>
        </is>
      </c>
      <c r="E2575" s="3" t="inlineStr">
        <is>
          <t>Consulting Fees - Admin and Finance</t>
        </is>
      </c>
      <c r="F2575" s="3" t="n">
        <v>135076.46</v>
      </c>
      <c r="G2575" s="3" t="n">
        <v>1408374.79</v>
      </c>
    </row>
    <row r="2576">
      <c r="A2576" s="3" t="inlineStr">
        <is>
          <t>Heron Fields (Pty) Ltd</t>
        </is>
      </c>
      <c r="B2576" s="4" t="n">
        <v>44957</v>
      </c>
      <c r="C2576" s="3" t="inlineStr">
        <is>
          <t>Expenses</t>
        </is>
      </c>
      <c r="D2576" s="3" t="inlineStr">
        <is>
          <t>3351/000</t>
        </is>
      </c>
      <c r="E2576" s="3" t="inlineStr">
        <is>
          <t>Consulting fees - Trustee</t>
        </is>
      </c>
      <c r="F2576" s="3" t="n">
        <v>0</v>
      </c>
      <c r="G2576" s="3" t="n">
        <v>60000</v>
      </c>
    </row>
    <row r="2577">
      <c r="A2577" s="3" t="inlineStr">
        <is>
          <t>Cape Projects Construction (Pty) Ltd</t>
        </is>
      </c>
      <c r="B2577" s="4" t="n">
        <v>44957</v>
      </c>
      <c r="C2577" s="3" t="inlineStr">
        <is>
          <t>Expenses</t>
        </is>
      </c>
      <c r="D2577" s="3" t="inlineStr">
        <is>
          <t>3400/000</t>
        </is>
      </c>
      <c r="E2577" s="3" t="inlineStr">
        <is>
          <t>Courier _AND_ Postage</t>
        </is>
      </c>
      <c r="F2577" s="3" t="n">
        <v>0</v>
      </c>
      <c r="G2577" s="3" t="n">
        <v>1378.26</v>
      </c>
    </row>
    <row r="2578">
      <c r="A2578" s="3" t="inlineStr">
        <is>
          <t>Cape Projects Construction (Pty) Ltd</t>
        </is>
      </c>
      <c r="B2578" s="4" t="n">
        <v>44957</v>
      </c>
      <c r="C2578" s="3" t="inlineStr">
        <is>
          <t>Expenses</t>
        </is>
      </c>
      <c r="D2578" s="3" t="inlineStr">
        <is>
          <t>3450/001</t>
        </is>
      </c>
      <c r="E2578" s="3" t="inlineStr">
        <is>
          <t>Depreciation - Computer Equipment</t>
        </is>
      </c>
      <c r="F2578" s="3" t="n">
        <v>2165.86</v>
      </c>
      <c r="G2578" s="3" t="n">
        <v>21616.07</v>
      </c>
    </row>
    <row r="2579">
      <c r="A2579" s="3" t="inlineStr">
        <is>
          <t>Cape Projects Construction (Pty) Ltd</t>
        </is>
      </c>
      <c r="B2579" s="4" t="n">
        <v>44957</v>
      </c>
      <c r="C2579" s="3" t="inlineStr">
        <is>
          <t>Expenses</t>
        </is>
      </c>
      <c r="D2579" s="3" t="inlineStr">
        <is>
          <t>3450/002</t>
        </is>
      </c>
      <c r="E2579" s="3" t="inlineStr">
        <is>
          <t>Depreciation - Generator Fixed Asset</t>
        </is>
      </c>
      <c r="F2579" s="3" t="n">
        <v>193.34</v>
      </c>
      <c r="G2579" s="3" t="n">
        <v>2126.67</v>
      </c>
    </row>
    <row r="2580">
      <c r="A2580" s="3" t="inlineStr">
        <is>
          <t>Cape Projects Construction (Pty) Ltd</t>
        </is>
      </c>
      <c r="B2580" s="4" t="n">
        <v>44957</v>
      </c>
      <c r="C2580" s="3" t="inlineStr">
        <is>
          <t>Expenses</t>
        </is>
      </c>
      <c r="D2580" s="3" t="inlineStr">
        <is>
          <t>3450/003</t>
        </is>
      </c>
      <c r="E2580" s="3" t="inlineStr">
        <is>
          <t>Depreciation - Motor vehicle</t>
        </is>
      </c>
      <c r="F2580" s="3" t="n">
        <v>0</v>
      </c>
      <c r="G2580" s="3" t="n">
        <v>39610.1</v>
      </c>
    </row>
    <row r="2581">
      <c r="A2581" s="3" t="inlineStr">
        <is>
          <t>Cape Projects Construction (Pty) Ltd</t>
        </is>
      </c>
      <c r="B2581" s="4" t="n">
        <v>44957</v>
      </c>
      <c r="C2581" s="3" t="inlineStr">
        <is>
          <t>Expenses</t>
        </is>
      </c>
      <c r="D2581" s="3" t="inlineStr">
        <is>
          <t>3450/030</t>
        </is>
      </c>
      <c r="E2581" s="3" t="inlineStr">
        <is>
          <t>Depreciation - Furniture and Fittings</t>
        </is>
      </c>
      <c r="F2581" s="3" t="n">
        <v>547.67</v>
      </c>
      <c r="G2581" s="3" t="n">
        <v>4940.2</v>
      </c>
    </row>
    <row r="2582">
      <c r="A2582" s="3" t="inlineStr">
        <is>
          <t>Heron Fields (Pty) Ltd</t>
        </is>
      </c>
      <c r="B2582" s="4" t="n">
        <v>44957</v>
      </c>
      <c r="C2582" s="3" t="inlineStr">
        <is>
          <t>Expenses</t>
        </is>
      </c>
      <c r="D2582" s="3" t="inlineStr">
        <is>
          <t>3650/000</t>
        </is>
      </c>
      <c r="E2582" s="3" t="inlineStr">
        <is>
          <t>CoCT - Electricity</t>
        </is>
      </c>
      <c r="F2582" s="3" t="n">
        <v>5123.04</v>
      </c>
      <c r="G2582" s="3" t="n">
        <v>31830.7</v>
      </c>
    </row>
    <row r="2583">
      <c r="A2583" s="3" t="inlineStr">
        <is>
          <t>Cape Projects Construction (Pty) Ltd</t>
        </is>
      </c>
      <c r="B2583" s="4" t="n">
        <v>44957</v>
      </c>
      <c r="C2583" s="3" t="inlineStr">
        <is>
          <t>Expenses</t>
        </is>
      </c>
      <c r="D2583" s="3" t="inlineStr">
        <is>
          <t>3650/000</t>
        </is>
      </c>
      <c r="E2583" s="3" t="inlineStr">
        <is>
          <t>Electricity _AND_ Water</t>
        </is>
      </c>
      <c r="F2583" s="3" t="n">
        <v>4667.65</v>
      </c>
      <c r="G2583" s="3" t="n">
        <v>55097.16</v>
      </c>
    </row>
    <row r="2584">
      <c r="A2584" s="3" t="inlineStr">
        <is>
          <t>Heron Fields (Pty) Ltd</t>
        </is>
      </c>
      <c r="B2584" s="4" t="n">
        <v>44957</v>
      </c>
      <c r="C2584" s="3" t="inlineStr">
        <is>
          <t>Expenses</t>
        </is>
      </c>
      <c r="D2584" s="3" t="inlineStr">
        <is>
          <t>3660/000</t>
        </is>
      </c>
      <c r="E2584" s="3" t="inlineStr">
        <is>
          <t>CoCT - Water</t>
        </is>
      </c>
      <c r="F2584" s="3" t="n">
        <v>25749.27</v>
      </c>
      <c r="G2584" s="3" t="n">
        <v>77630.74000000001</v>
      </c>
    </row>
    <row r="2585">
      <c r="A2585" s="3" t="inlineStr">
        <is>
          <t>Heron Fields (Pty) Ltd</t>
        </is>
      </c>
      <c r="B2585" s="4" t="n">
        <v>44957</v>
      </c>
      <c r="C2585" s="3" t="inlineStr">
        <is>
          <t>Expenses</t>
        </is>
      </c>
      <c r="D2585" s="3" t="inlineStr">
        <is>
          <t>3670/000</t>
        </is>
      </c>
      <c r="E2585" s="3" t="inlineStr">
        <is>
          <t>CoCT - Refuse</t>
        </is>
      </c>
      <c r="F2585" s="3" t="n">
        <v>7126.8</v>
      </c>
      <c r="G2585" s="3" t="n">
        <v>10690.2</v>
      </c>
    </row>
    <row r="2586">
      <c r="A2586" s="3" t="inlineStr">
        <is>
          <t>Cape Projects Construction (Pty) Ltd</t>
        </is>
      </c>
      <c r="B2586" s="4" t="n">
        <v>44957</v>
      </c>
      <c r="C2586" s="3" t="inlineStr">
        <is>
          <t>Expenses</t>
        </is>
      </c>
      <c r="D2586" s="3" t="inlineStr">
        <is>
          <t>3700/000</t>
        </is>
      </c>
      <c r="E2586" s="3" t="inlineStr">
        <is>
          <t>Entertainment Expenses</t>
        </is>
      </c>
      <c r="F2586" s="3" t="n">
        <v>0</v>
      </c>
      <c r="G2586" s="3" t="n">
        <v>7651.52</v>
      </c>
    </row>
    <row r="2587">
      <c r="A2587" s="3" t="inlineStr">
        <is>
          <t>Cape Projects Construction (Pty) Ltd</t>
        </is>
      </c>
      <c r="B2587" s="4" t="n">
        <v>44957</v>
      </c>
      <c r="C2587" s="3" t="inlineStr">
        <is>
          <t>Expenses</t>
        </is>
      </c>
      <c r="D2587" s="3" t="inlineStr">
        <is>
          <t>3850/000</t>
        </is>
      </c>
      <c r="E2587" s="3" t="inlineStr">
        <is>
          <t>Insurance</t>
        </is>
      </c>
      <c r="F2587" s="3" t="n">
        <v>0</v>
      </c>
      <c r="G2587" s="3" t="n">
        <v>819.63</v>
      </c>
    </row>
    <row r="2588">
      <c r="A2588" s="3" t="inlineStr">
        <is>
          <t>Heron Fields (Pty) Ltd</t>
        </is>
      </c>
      <c r="B2588" s="4" t="n">
        <v>44957</v>
      </c>
      <c r="C2588" s="3" t="inlineStr">
        <is>
          <t>Expenses</t>
        </is>
      </c>
      <c r="D2588" s="3" t="inlineStr">
        <is>
          <t>3850/000</t>
        </is>
      </c>
      <c r="E2588" s="3" t="inlineStr">
        <is>
          <t>Insurance</t>
        </is>
      </c>
      <c r="F2588" s="3" t="n">
        <v>4379.83</v>
      </c>
      <c r="G2588" s="3" t="n">
        <v>17082.65</v>
      </c>
    </row>
    <row r="2589">
      <c r="A2589" s="3" t="inlineStr">
        <is>
          <t>Cape Projects Construction (Pty) Ltd</t>
        </is>
      </c>
      <c r="B2589" s="4" t="n">
        <v>44957</v>
      </c>
      <c r="C2589" s="3" t="inlineStr">
        <is>
          <t>Expenses</t>
        </is>
      </c>
      <c r="D2589" s="3" t="inlineStr">
        <is>
          <t>3850/001</t>
        </is>
      </c>
      <c r="E2589" s="3" t="inlineStr">
        <is>
          <t>Insurance - Santam</t>
        </is>
      </c>
      <c r="F2589" s="3" t="n">
        <v>0</v>
      </c>
      <c r="G2589" s="3" t="n">
        <v>13626.33</v>
      </c>
    </row>
    <row r="2590">
      <c r="A2590" s="3" t="inlineStr">
        <is>
          <t>Cape Projects Construction (Pty) Ltd</t>
        </is>
      </c>
      <c r="B2590" s="4" t="n">
        <v>44957</v>
      </c>
      <c r="C2590" s="3" t="inlineStr">
        <is>
          <t>Expenses</t>
        </is>
      </c>
      <c r="D2590" s="3" t="inlineStr">
        <is>
          <t>3850/002</t>
        </is>
      </c>
      <c r="E2590" s="3" t="inlineStr">
        <is>
          <t>Insurance - RBS</t>
        </is>
      </c>
      <c r="F2590" s="3" t="n">
        <v>0</v>
      </c>
      <c r="G2590" s="3" t="n">
        <v>1425.42</v>
      </c>
    </row>
    <row r="2591">
      <c r="A2591" s="3" t="inlineStr">
        <is>
          <t>Heron Fields (Pty) Ltd</t>
        </is>
      </c>
      <c r="B2591" s="4" t="n">
        <v>44957</v>
      </c>
      <c r="C2591" s="3" t="inlineStr">
        <is>
          <t>Expenses</t>
        </is>
      </c>
      <c r="D2591" s="3" t="inlineStr">
        <is>
          <t>3900/000</t>
        </is>
      </c>
      <c r="E2591" s="3" t="inlineStr">
        <is>
          <t>Interest Paid</t>
        </is>
      </c>
      <c r="F2591" s="3" t="n">
        <v>0</v>
      </c>
      <c r="G2591" s="3" t="n">
        <v>588.4400000000001</v>
      </c>
    </row>
    <row r="2592">
      <c r="A2592" s="3" t="inlineStr">
        <is>
          <t>Cape Projects Construction (Pty) Ltd</t>
        </is>
      </c>
      <c r="B2592" s="4" t="n">
        <v>44957</v>
      </c>
      <c r="C2592" s="3" t="inlineStr">
        <is>
          <t>Expenses</t>
        </is>
      </c>
      <c r="D2592" s="3" t="inlineStr">
        <is>
          <t>3900/100</t>
        </is>
      </c>
      <c r="E2592" s="3" t="inlineStr">
        <is>
          <t>Interest Paid - Suppliers</t>
        </is>
      </c>
      <c r="F2592" s="3" t="n">
        <v>165.33</v>
      </c>
      <c r="G2592" s="3" t="n">
        <v>165.33</v>
      </c>
    </row>
    <row r="2593">
      <c r="A2593" s="3" t="inlineStr">
        <is>
          <t>Heron Fields (Pty) Ltd</t>
        </is>
      </c>
      <c r="B2593" s="4" t="n">
        <v>44957</v>
      </c>
      <c r="C2593" s="3" t="inlineStr">
        <is>
          <t>Expenses</t>
        </is>
      </c>
      <c r="D2593" s="3" t="inlineStr">
        <is>
          <t>3900/111</t>
        </is>
      </c>
      <c r="E2593" s="3" t="inlineStr">
        <is>
          <t>Interest Paid - Investors @ 6.25%</t>
        </is>
      </c>
      <c r="F2593" s="3" t="n">
        <v>114401.55</v>
      </c>
      <c r="G2593" s="3" t="n">
        <v>478804.41</v>
      </c>
    </row>
    <row r="2594">
      <c r="A2594" s="3" t="inlineStr">
        <is>
          <t>Heron Fields (Pty) Ltd</t>
        </is>
      </c>
      <c r="B2594" s="4" t="n">
        <v>44957</v>
      </c>
      <c r="C2594" s="3" t="inlineStr">
        <is>
          <t>Expenses</t>
        </is>
      </c>
      <c r="D2594" s="3" t="inlineStr">
        <is>
          <t>3900/115</t>
        </is>
      </c>
      <c r="E2594" s="3" t="inlineStr">
        <is>
          <t>Interest Paid - Investors @ 6.5%</t>
        </is>
      </c>
      <c r="F2594" s="3" t="n">
        <v>18431.5</v>
      </c>
      <c r="G2594" s="3" t="n">
        <v>50664.39</v>
      </c>
    </row>
    <row r="2595">
      <c r="A2595" s="3" t="inlineStr">
        <is>
          <t>Heron Fields (Pty) Ltd</t>
        </is>
      </c>
      <c r="B2595" s="4" t="n">
        <v>44957</v>
      </c>
      <c r="C2595" s="3" t="inlineStr">
        <is>
          <t>Expenses</t>
        </is>
      </c>
      <c r="D2595" s="3" t="inlineStr">
        <is>
          <t>3900/117</t>
        </is>
      </c>
      <c r="E2595" s="3" t="inlineStr">
        <is>
          <t>Interest Paid - Investors @ 6.75%</t>
        </is>
      </c>
      <c r="F2595" s="3" t="n">
        <v>13213.35</v>
      </c>
      <c r="G2595" s="3" t="n">
        <v>14865.42</v>
      </c>
    </row>
    <row r="2596">
      <c r="A2596" s="3" t="inlineStr">
        <is>
          <t>Heron Fields (Pty) Ltd</t>
        </is>
      </c>
      <c r="B2596" s="4" t="n">
        <v>44957</v>
      </c>
      <c r="C2596" s="3" t="inlineStr">
        <is>
          <t>Expenses</t>
        </is>
      </c>
      <c r="D2596" s="3" t="inlineStr">
        <is>
          <t>3900/120</t>
        </is>
      </c>
      <c r="E2596" s="3" t="inlineStr">
        <is>
          <t>Interest Paid - Investors @ 7%</t>
        </is>
      </c>
      <c r="F2596" s="3" t="n">
        <v>2493.14</v>
      </c>
      <c r="G2596" s="3" t="n">
        <v>2742.46</v>
      </c>
    </row>
    <row r="2597">
      <c r="A2597" s="3" t="inlineStr">
        <is>
          <t>Heron Fields (Pty) Ltd</t>
        </is>
      </c>
      <c r="B2597" s="4" t="n">
        <v>44957</v>
      </c>
      <c r="C2597" s="3" t="inlineStr">
        <is>
          <t>Expenses</t>
        </is>
      </c>
      <c r="D2597" s="3" t="inlineStr">
        <is>
          <t>3900/126</t>
        </is>
      </c>
      <c r="E2597" s="3" t="inlineStr">
        <is>
          <t>Interest Paid - Investors @ 7.5%</t>
        </is>
      </c>
      <c r="F2597" s="3" t="n">
        <v>48.99</v>
      </c>
      <c r="G2597" s="3" t="n">
        <v>48.99</v>
      </c>
    </row>
    <row r="2598">
      <c r="A2598" s="3" t="inlineStr">
        <is>
          <t>Heron Fields (Pty) Ltd</t>
        </is>
      </c>
      <c r="B2598" s="4" t="n">
        <v>44957</v>
      </c>
      <c r="C2598" s="3" t="inlineStr">
        <is>
          <t>Expenses</t>
        </is>
      </c>
      <c r="D2598" s="3" t="inlineStr">
        <is>
          <t>3900/190</t>
        </is>
      </c>
      <c r="E2598" s="3" t="inlineStr">
        <is>
          <t>Interest Paid - Investors @ 14%</t>
        </is>
      </c>
      <c r="F2598" s="3" t="n">
        <v>79243.86</v>
      </c>
      <c r="G2598" s="3" t="n">
        <v>142876.75</v>
      </c>
    </row>
    <row r="2599">
      <c r="A2599" s="3" t="inlineStr">
        <is>
          <t>Heron Fields (Pty) Ltd</t>
        </is>
      </c>
      <c r="B2599" s="4" t="n">
        <v>44957</v>
      </c>
      <c r="C2599" s="3" t="inlineStr">
        <is>
          <t>Expenses</t>
        </is>
      </c>
      <c r="D2599" s="3" t="inlineStr">
        <is>
          <t>3900/200</t>
        </is>
      </c>
      <c r="E2599" s="3" t="inlineStr">
        <is>
          <t>Interest Paid - Investors @ 15%</t>
        </is>
      </c>
      <c r="F2599" s="3" t="n">
        <v>333904.11</v>
      </c>
      <c r="G2599" s="3" t="n">
        <v>1035616.4</v>
      </c>
    </row>
    <row r="2600">
      <c r="A2600" s="3" t="inlineStr">
        <is>
          <t>Heron Fields (Pty) Ltd</t>
        </is>
      </c>
      <c r="B2600" s="4" t="n">
        <v>44957</v>
      </c>
      <c r="C2600" s="3" t="inlineStr">
        <is>
          <t>Expenses</t>
        </is>
      </c>
      <c r="D2600" s="3" t="inlineStr">
        <is>
          <t>3900/210</t>
        </is>
      </c>
      <c r="E2600" s="3" t="inlineStr">
        <is>
          <t>Interest Paid - Investors @ 16%</t>
        </is>
      </c>
      <c r="F2600" s="3" t="n">
        <v>138082.19</v>
      </c>
      <c r="G2600" s="3" t="n">
        <v>138082.19</v>
      </c>
    </row>
    <row r="2601">
      <c r="A2601" s="3" t="inlineStr">
        <is>
          <t>Heron Fields (Pty) Ltd</t>
        </is>
      </c>
      <c r="B2601" s="4" t="n">
        <v>44957</v>
      </c>
      <c r="C2601" s="3" t="inlineStr">
        <is>
          <t>Expenses</t>
        </is>
      </c>
      <c r="D2601" s="3" t="inlineStr">
        <is>
          <t>3900/230</t>
        </is>
      </c>
      <c r="E2601" s="3" t="inlineStr">
        <is>
          <t>Interest Paid - Investors @ 18%</t>
        </is>
      </c>
      <c r="F2601" s="3" t="n">
        <v>1167405.88</v>
      </c>
      <c r="G2601" s="3" t="n">
        <v>4401726.94</v>
      </c>
    </row>
    <row r="2602">
      <c r="A2602" s="3" t="inlineStr">
        <is>
          <t>Cape Projects Construction (Pty) Ltd</t>
        </is>
      </c>
      <c r="B2602" s="4" t="n">
        <v>44957</v>
      </c>
      <c r="C2602" s="3" t="inlineStr">
        <is>
          <t>Expenses</t>
        </is>
      </c>
      <c r="D2602" s="3" t="inlineStr">
        <is>
          <t>3904/000</t>
        </is>
      </c>
      <c r="E2602" s="3" t="inlineStr">
        <is>
          <t>Interest Paid - BIBC</t>
        </is>
      </c>
      <c r="F2602" s="3" t="n">
        <v>0</v>
      </c>
      <c r="G2602" s="3" t="n">
        <v>1209.87</v>
      </c>
    </row>
    <row r="2603">
      <c r="A2603" s="3" t="inlineStr">
        <is>
          <t>Heron Fields (Pty) Ltd</t>
        </is>
      </c>
      <c r="B2603" s="4" t="n">
        <v>44957</v>
      </c>
      <c r="C2603" s="3" t="inlineStr">
        <is>
          <t>Expenses</t>
        </is>
      </c>
      <c r="D2603" s="3" t="inlineStr">
        <is>
          <t>4070/000</t>
        </is>
      </c>
      <c r="E2603" s="3" t="inlineStr">
        <is>
          <t>Management fees - OMH</t>
        </is>
      </c>
      <c r="F2603" s="3" t="n">
        <v>0</v>
      </c>
      <c r="G2603" s="3" t="n">
        <v>400000</v>
      </c>
    </row>
    <row r="2604">
      <c r="A2604" s="3" t="inlineStr">
        <is>
          <t>Heron Fields (Pty) Ltd</t>
        </is>
      </c>
      <c r="B2604" s="4" t="n">
        <v>44957</v>
      </c>
      <c r="C2604" s="3" t="inlineStr">
        <is>
          <t>Expenses</t>
        </is>
      </c>
      <c r="D2604" s="3" t="inlineStr">
        <is>
          <t>4100/001</t>
        </is>
      </c>
      <c r="E2604" s="3" t="inlineStr">
        <is>
          <t>Momentum Admin Fee</t>
        </is>
      </c>
      <c r="F2604" s="3" t="n">
        <v>1536.81</v>
      </c>
      <c r="G2604" s="3" t="n">
        <v>246993.52</v>
      </c>
    </row>
    <row r="2605">
      <c r="A2605" s="3" t="inlineStr">
        <is>
          <t>Cape Projects Construction (Pty) Ltd</t>
        </is>
      </c>
      <c r="B2605" s="4" t="n">
        <v>44957</v>
      </c>
      <c r="C2605" s="3" t="inlineStr">
        <is>
          <t>Expenses</t>
        </is>
      </c>
      <c r="D2605" s="3" t="inlineStr">
        <is>
          <t>4150/010</t>
        </is>
      </c>
      <c r="E2605" s="3" t="inlineStr">
        <is>
          <t>Motor Vehicle - Petrol _AND_ Oil</t>
        </is>
      </c>
      <c r="F2605" s="3" t="n">
        <v>1532.8</v>
      </c>
      <c r="G2605" s="3" t="n">
        <v>1532.8</v>
      </c>
    </row>
    <row r="2606">
      <c r="A2606" s="3" t="inlineStr">
        <is>
          <t>Cape Projects Construction (Pty) Ltd</t>
        </is>
      </c>
      <c r="B2606" s="4" t="n">
        <v>44957</v>
      </c>
      <c r="C2606" s="3" t="inlineStr">
        <is>
          <t>Expenses</t>
        </is>
      </c>
      <c r="D2606" s="3" t="inlineStr">
        <is>
          <t>4150/020</t>
        </is>
      </c>
      <c r="E2606" s="3" t="inlineStr">
        <is>
          <t>Motor Vehicle - Repairs _AND_ Maint.</t>
        </is>
      </c>
      <c r="F2606" s="3" t="n">
        <v>7037.85</v>
      </c>
      <c r="G2606" s="3" t="n">
        <v>11070.86</v>
      </c>
    </row>
    <row r="2607">
      <c r="A2607" s="3" t="inlineStr">
        <is>
          <t>Cape Projects Construction (Pty) Ltd</t>
        </is>
      </c>
      <c r="B2607" s="4" t="n">
        <v>44957</v>
      </c>
      <c r="C2607" s="3" t="inlineStr">
        <is>
          <t>Expenses</t>
        </is>
      </c>
      <c r="D2607" s="3" t="inlineStr">
        <is>
          <t>4150/030</t>
        </is>
      </c>
      <c r="E2607" s="3" t="inlineStr">
        <is>
          <t>Motor Vehicle - Insurance _AND_ Licence</t>
        </is>
      </c>
      <c r="F2607" s="3" t="n">
        <v>0</v>
      </c>
      <c r="G2607" s="3" t="n">
        <v>1200</v>
      </c>
    </row>
    <row r="2608">
      <c r="A2608" s="3" t="inlineStr">
        <is>
          <t>Cape Projects Construction (Pty) Ltd</t>
        </is>
      </c>
      <c r="B2608" s="4" t="n">
        <v>44957</v>
      </c>
      <c r="C2608" s="3" t="inlineStr">
        <is>
          <t>Expenses</t>
        </is>
      </c>
      <c r="D2608" s="3" t="inlineStr">
        <is>
          <t>4200/000</t>
        </is>
      </c>
      <c r="E2608" s="3" t="inlineStr">
        <is>
          <t>Printing _AND_ Stationery</t>
        </is>
      </c>
      <c r="F2608" s="3" t="n">
        <v>593.99</v>
      </c>
      <c r="G2608" s="3" t="n">
        <v>13177.45</v>
      </c>
    </row>
    <row r="2609">
      <c r="A2609" s="3" t="inlineStr">
        <is>
          <t>Heron View (Pty) Ltd</t>
        </is>
      </c>
      <c r="B2609" s="4" t="n">
        <v>44957</v>
      </c>
      <c r="C2609" s="3" t="inlineStr">
        <is>
          <t>Expenses</t>
        </is>
      </c>
      <c r="D2609" s="3" t="inlineStr">
        <is>
          <t>4200/000</t>
        </is>
      </c>
      <c r="E2609" s="3" t="inlineStr">
        <is>
          <t>Printing _AND_ Stationery</t>
        </is>
      </c>
      <c r="F2609" s="3" t="n">
        <v>0</v>
      </c>
      <c r="G2609" s="3" t="n">
        <v>3404.62</v>
      </c>
    </row>
    <row r="2610">
      <c r="A2610" s="3" t="inlineStr">
        <is>
          <t>Cape Projects Construction (Pty) Ltd</t>
        </is>
      </c>
      <c r="B2610" s="4" t="n">
        <v>44957</v>
      </c>
      <c r="C2610" s="3" t="inlineStr">
        <is>
          <t>Expenses</t>
        </is>
      </c>
      <c r="D2610" s="3" t="inlineStr">
        <is>
          <t>4201/000</t>
        </is>
      </c>
      <c r="E2610" s="3" t="inlineStr">
        <is>
          <t>Printing - Printer rental</t>
        </is>
      </c>
      <c r="F2610" s="3" t="n">
        <v>700.1</v>
      </c>
      <c r="G2610" s="3" t="n">
        <v>6898.99</v>
      </c>
    </row>
    <row r="2611">
      <c r="A2611" s="3" t="inlineStr">
        <is>
          <t>Cape Projects Construction (Pty) Ltd</t>
        </is>
      </c>
      <c r="B2611" s="4" t="n">
        <v>44957</v>
      </c>
      <c r="C2611" s="3" t="inlineStr">
        <is>
          <t>Expenses</t>
        </is>
      </c>
      <c r="D2611" s="3" t="inlineStr">
        <is>
          <t>4300/000</t>
        </is>
      </c>
      <c r="E2611" s="3" t="inlineStr">
        <is>
          <t>Rent Paid</t>
        </is>
      </c>
      <c r="F2611" s="3" t="n">
        <v>29600</v>
      </c>
      <c r="G2611" s="3" t="n">
        <v>312491.67</v>
      </c>
    </row>
    <row r="2612">
      <c r="A2612" s="3" t="inlineStr">
        <is>
          <t>Cape Projects Construction (Pty) Ltd</t>
        </is>
      </c>
      <c r="B2612" s="4" t="n">
        <v>44957</v>
      </c>
      <c r="C2612" s="3" t="inlineStr">
        <is>
          <t>Expenses</t>
        </is>
      </c>
      <c r="D2612" s="3" t="inlineStr">
        <is>
          <t>4310/000</t>
        </is>
      </c>
      <c r="E2612" s="3" t="inlineStr">
        <is>
          <t>Rates</t>
        </is>
      </c>
      <c r="F2612" s="3" t="n">
        <v>843.6</v>
      </c>
      <c r="G2612" s="3" t="n">
        <v>9279.6</v>
      </c>
    </row>
    <row r="2613">
      <c r="A2613" s="3" t="inlineStr">
        <is>
          <t>Heron Fields (Pty) Ltd</t>
        </is>
      </c>
      <c r="B2613" s="4" t="n">
        <v>44957</v>
      </c>
      <c r="C2613" s="3" t="inlineStr">
        <is>
          <t>Expenses</t>
        </is>
      </c>
      <c r="D2613" s="3" t="inlineStr">
        <is>
          <t>4310/000</t>
        </is>
      </c>
      <c r="E2613" s="3" t="inlineStr">
        <is>
          <t>Rates - Heron</t>
        </is>
      </c>
      <c r="F2613" s="3" t="n">
        <v>6778.01</v>
      </c>
      <c r="G2613" s="3" t="n">
        <v>35882.8</v>
      </c>
    </row>
    <row r="2614">
      <c r="A2614" s="3" t="inlineStr">
        <is>
          <t>Cape Projects Construction (Pty) Ltd</t>
        </is>
      </c>
      <c r="B2614" s="4" t="n">
        <v>44957</v>
      </c>
      <c r="C2614" s="3" t="inlineStr">
        <is>
          <t>Expenses</t>
        </is>
      </c>
      <c r="D2614" s="3" t="inlineStr">
        <is>
          <t>4350/000</t>
        </is>
      </c>
      <c r="E2614" s="3" t="inlineStr">
        <is>
          <t>Repairs _AND_ Maintenance</t>
        </is>
      </c>
      <c r="F2614" s="3" t="n">
        <v>0</v>
      </c>
      <c r="G2614" s="3" t="n">
        <v>24423.01</v>
      </c>
    </row>
    <row r="2615">
      <c r="A2615" s="3" t="inlineStr">
        <is>
          <t>Heron Fields (Pty) Ltd</t>
        </is>
      </c>
      <c r="B2615" s="4" t="n">
        <v>44957</v>
      </c>
      <c r="C2615" s="3" t="inlineStr">
        <is>
          <t>Expenses</t>
        </is>
      </c>
      <c r="D2615" s="3" t="inlineStr">
        <is>
          <t>4350/000</t>
        </is>
      </c>
      <c r="E2615" s="3" t="inlineStr">
        <is>
          <t>Repairs _AND_ Maintenance</t>
        </is>
      </c>
      <c r="F2615" s="3" t="n">
        <v>0</v>
      </c>
      <c r="G2615" s="3" t="n">
        <v>22719.99</v>
      </c>
    </row>
    <row r="2616">
      <c r="A2616" s="3" t="inlineStr">
        <is>
          <t>Cape Projects Construction (Pty) Ltd</t>
        </is>
      </c>
      <c r="B2616" s="4" t="n">
        <v>44957</v>
      </c>
      <c r="C2616" s="3" t="inlineStr">
        <is>
          <t>Expenses</t>
        </is>
      </c>
      <c r="D2616" s="3" t="inlineStr">
        <is>
          <t>4400/000</t>
        </is>
      </c>
      <c r="E2616" s="3" t="inlineStr">
        <is>
          <t>Salaries _AND_ Wages</t>
        </is>
      </c>
      <c r="F2616" s="3" t="n">
        <v>249945.83</v>
      </c>
      <c r="G2616" s="3" t="n">
        <v>2381081.41</v>
      </c>
    </row>
    <row r="2617">
      <c r="A2617" s="3" t="inlineStr">
        <is>
          <t>Cape Projects Construction (Pty) Ltd</t>
        </is>
      </c>
      <c r="B2617" s="4" t="n">
        <v>44957</v>
      </c>
      <c r="C2617" s="3" t="inlineStr">
        <is>
          <t>Expenses</t>
        </is>
      </c>
      <c r="D2617" s="3" t="inlineStr">
        <is>
          <t>4402</t>
        </is>
      </c>
      <c r="E2617" s="3" t="inlineStr">
        <is>
          <t>Salaries &amp; Wages - WCA</t>
        </is>
      </c>
      <c r="F2617" s="3" t="n">
        <v>0</v>
      </c>
      <c r="G2617" s="3" t="n">
        <v>3746.27</v>
      </c>
    </row>
    <row r="2618">
      <c r="A2618" s="3" t="inlineStr">
        <is>
          <t>Cape Projects Construction (Pty) Ltd</t>
        </is>
      </c>
      <c r="B2618" s="4" t="n">
        <v>44957</v>
      </c>
      <c r="C2618" s="3" t="inlineStr">
        <is>
          <t>Expenses</t>
        </is>
      </c>
      <c r="D2618" s="3" t="inlineStr">
        <is>
          <t>4403/000</t>
        </is>
      </c>
      <c r="E2618" s="3" t="inlineStr">
        <is>
          <t>Security</t>
        </is>
      </c>
      <c r="F2618" s="3" t="n">
        <v>177.33</v>
      </c>
      <c r="G2618" s="3" t="n">
        <v>1695.42</v>
      </c>
    </row>
    <row r="2619">
      <c r="A2619" s="3" t="inlineStr">
        <is>
          <t>Cape Projects Construction (Pty) Ltd</t>
        </is>
      </c>
      <c r="B2619" s="4" t="n">
        <v>44957</v>
      </c>
      <c r="C2619" s="3" t="inlineStr">
        <is>
          <t>Expenses</t>
        </is>
      </c>
      <c r="D2619" s="3" t="inlineStr">
        <is>
          <t>4420/000</t>
        </is>
      </c>
      <c r="E2619" s="3" t="inlineStr">
        <is>
          <t>Small Assets</t>
        </is>
      </c>
      <c r="F2619" s="3" t="n">
        <v>1564.35</v>
      </c>
      <c r="G2619" s="3" t="n">
        <v>10577.83</v>
      </c>
    </row>
    <row r="2620">
      <c r="A2620" s="3" t="inlineStr">
        <is>
          <t>Heron Fields (Pty) Ltd</t>
        </is>
      </c>
      <c r="B2620" s="4" t="n">
        <v>44957</v>
      </c>
      <c r="C2620" s="3" t="inlineStr">
        <is>
          <t>Expenses</t>
        </is>
      </c>
      <c r="D2620" s="3" t="inlineStr">
        <is>
          <t>4420/001</t>
        </is>
      </c>
      <c r="E2620" s="3" t="inlineStr">
        <is>
          <t>Security - ADT</t>
        </is>
      </c>
      <c r="F2620" s="3" t="n">
        <v>328.38</v>
      </c>
      <c r="G2620" s="3" t="n">
        <v>5249.41</v>
      </c>
    </row>
    <row r="2621">
      <c r="A2621" s="3" t="inlineStr">
        <is>
          <t>Cape Projects Construction (Pty) Ltd</t>
        </is>
      </c>
      <c r="B2621" s="4" t="n">
        <v>44957</v>
      </c>
      <c r="C2621" s="3" t="inlineStr">
        <is>
          <t>Expenses</t>
        </is>
      </c>
      <c r="D2621" s="3" t="inlineStr">
        <is>
          <t>4450/000</t>
        </is>
      </c>
      <c r="E2621" s="3" t="inlineStr">
        <is>
          <t>Staff Training</t>
        </is>
      </c>
      <c r="F2621" s="3" t="n">
        <v>0</v>
      </c>
      <c r="G2621" s="3" t="n">
        <v>6800</v>
      </c>
    </row>
    <row r="2622">
      <c r="A2622" s="3" t="inlineStr">
        <is>
          <t>Cape Projects Construction (Pty) Ltd</t>
        </is>
      </c>
      <c r="B2622" s="4" t="n">
        <v>44957</v>
      </c>
      <c r="C2622" s="3" t="inlineStr">
        <is>
          <t>Expenses</t>
        </is>
      </c>
      <c r="D2622" s="3" t="inlineStr">
        <is>
          <t>4500/000</t>
        </is>
      </c>
      <c r="E2622" s="3" t="inlineStr">
        <is>
          <t>Staff Welfare _AND_ Refreshmts</t>
        </is>
      </c>
      <c r="F2622" s="3" t="n">
        <v>128.48</v>
      </c>
      <c r="G2622" s="3" t="n">
        <v>4899.14</v>
      </c>
    </row>
    <row r="2623">
      <c r="A2623" s="3" t="inlineStr">
        <is>
          <t>Cape Projects Construction (Pty) Ltd</t>
        </is>
      </c>
      <c r="B2623" s="4" t="n">
        <v>44957</v>
      </c>
      <c r="C2623" s="3" t="inlineStr">
        <is>
          <t>Expenses</t>
        </is>
      </c>
      <c r="D2623" s="3" t="inlineStr">
        <is>
          <t>4550/000</t>
        </is>
      </c>
      <c r="E2623" s="3" t="inlineStr">
        <is>
          <t>Subscriptions / Licenses</t>
        </is>
      </c>
      <c r="F2623" s="3" t="n">
        <v>0</v>
      </c>
      <c r="G2623" s="3" t="n">
        <v>526.3200000000001</v>
      </c>
    </row>
    <row r="2624">
      <c r="A2624" s="3" t="inlineStr">
        <is>
          <t>Cape Projects Construction (Pty) Ltd</t>
        </is>
      </c>
      <c r="B2624" s="4" t="n">
        <v>44957</v>
      </c>
      <c r="C2624" s="3" t="inlineStr">
        <is>
          <t>Expenses</t>
        </is>
      </c>
      <c r="D2624" s="3" t="inlineStr">
        <is>
          <t>4550/001</t>
        </is>
      </c>
      <c r="E2624" s="3" t="inlineStr">
        <is>
          <t>Subscriptions &amp; Licenses - Sage payroll</t>
        </is>
      </c>
      <c r="F2624" s="3" t="n">
        <v>747</v>
      </c>
      <c r="G2624" s="3" t="n">
        <v>6827</v>
      </c>
    </row>
    <row r="2625">
      <c r="A2625" s="3" t="inlineStr">
        <is>
          <t>Cape Projects Construction (Pty) Ltd</t>
        </is>
      </c>
      <c r="B2625" s="4" t="n">
        <v>44957</v>
      </c>
      <c r="C2625" s="3" t="inlineStr">
        <is>
          <t>Expenses</t>
        </is>
      </c>
      <c r="D2625" s="3" t="inlineStr">
        <is>
          <t>4550/003</t>
        </is>
      </c>
      <c r="E2625" s="3" t="inlineStr">
        <is>
          <t>Subscriptions &amp; Licenses - Xero</t>
        </is>
      </c>
      <c r="F2625" s="3" t="n">
        <v>600</v>
      </c>
      <c r="G2625" s="3" t="n">
        <v>6600</v>
      </c>
    </row>
    <row r="2626">
      <c r="A2626" s="3" t="inlineStr">
        <is>
          <t>Cape Projects Construction (Pty) Ltd</t>
        </is>
      </c>
      <c r="B2626" s="4" t="n">
        <v>44957</v>
      </c>
      <c r="C2626" s="3" t="inlineStr">
        <is>
          <t>Expenses</t>
        </is>
      </c>
      <c r="D2626" s="3" t="inlineStr">
        <is>
          <t>4550/004</t>
        </is>
      </c>
      <c r="E2626" s="3" t="inlineStr">
        <is>
          <t>Subscriptions - Smartsheet</t>
        </is>
      </c>
      <c r="F2626" s="3" t="n">
        <v>621.16</v>
      </c>
      <c r="G2626" s="3" t="n">
        <v>4907.76</v>
      </c>
    </row>
    <row r="2627">
      <c r="A2627" s="3" t="inlineStr">
        <is>
          <t>Cape Projects Construction (Pty) Ltd</t>
        </is>
      </c>
      <c r="B2627" s="4" t="n">
        <v>44957</v>
      </c>
      <c r="C2627" s="3" t="inlineStr">
        <is>
          <t>Expenses</t>
        </is>
      </c>
      <c r="D2627" s="3" t="inlineStr">
        <is>
          <t>4550/006</t>
        </is>
      </c>
      <c r="E2627" s="3" t="inlineStr">
        <is>
          <t>Subscription - Candy software</t>
        </is>
      </c>
      <c r="F2627" s="3" t="n">
        <v>0</v>
      </c>
      <c r="G2627" s="3" t="n">
        <v>13765</v>
      </c>
    </row>
    <row r="2628">
      <c r="A2628" s="3" t="inlineStr">
        <is>
          <t>Heron Fields (Pty) Ltd</t>
        </is>
      </c>
      <c r="B2628" s="4" t="n">
        <v>44957</v>
      </c>
      <c r="C2628" s="3" t="inlineStr">
        <is>
          <t>Expenses</t>
        </is>
      </c>
      <c r="D2628" s="3" t="inlineStr">
        <is>
          <t>4550/100</t>
        </is>
      </c>
      <c r="E2628" s="3" t="inlineStr">
        <is>
          <t>Subscriptions - Xero</t>
        </is>
      </c>
      <c r="F2628" s="3" t="n">
        <v>600</v>
      </c>
      <c r="G2628" s="3" t="n">
        <v>6600</v>
      </c>
    </row>
    <row r="2629">
      <c r="A2629" s="3" t="inlineStr">
        <is>
          <t>Heron View (Pty) Ltd</t>
        </is>
      </c>
      <c r="B2629" s="4" t="n">
        <v>44957</v>
      </c>
      <c r="C2629" s="3" t="inlineStr">
        <is>
          <t>Expenses</t>
        </is>
      </c>
      <c r="D2629" s="3" t="inlineStr">
        <is>
          <t>4550/100</t>
        </is>
      </c>
      <c r="E2629" s="3" t="inlineStr">
        <is>
          <t>Subscriptions - Xero</t>
        </is>
      </c>
      <c r="F2629" s="3" t="n">
        <v>600</v>
      </c>
      <c r="G2629" s="3" t="n">
        <v>10200</v>
      </c>
    </row>
    <row r="2630">
      <c r="A2630" s="3" t="inlineStr">
        <is>
          <t>Heron Fields (Pty) Ltd</t>
        </is>
      </c>
      <c r="B2630" s="4" t="n">
        <v>44957</v>
      </c>
      <c r="C2630" s="3" t="inlineStr">
        <is>
          <t>Expenses</t>
        </is>
      </c>
      <c r="D2630" s="3" t="inlineStr">
        <is>
          <t>4550/200</t>
        </is>
      </c>
      <c r="E2630" s="3" t="inlineStr">
        <is>
          <t>Subscription - NHBRC</t>
        </is>
      </c>
      <c r="F2630" s="3" t="n">
        <v>0</v>
      </c>
      <c r="G2630" s="3" t="n">
        <v>788.4299999999999</v>
      </c>
    </row>
    <row r="2631">
      <c r="A2631" s="3" t="inlineStr">
        <is>
          <t>Cape Projects Construction (Pty) Ltd</t>
        </is>
      </c>
      <c r="B2631" s="4" t="n">
        <v>44957</v>
      </c>
      <c r="C2631" s="3" t="inlineStr">
        <is>
          <t>Expenses</t>
        </is>
      </c>
      <c r="D2631" s="3" t="inlineStr">
        <is>
          <t>4560</t>
        </is>
      </c>
      <c r="E2631" s="3" t="inlineStr">
        <is>
          <t>Secretarial fees - CIPC</t>
        </is>
      </c>
      <c r="F2631" s="3" t="n">
        <v>0</v>
      </c>
      <c r="G2631" s="3" t="n">
        <v>2500</v>
      </c>
    </row>
    <row r="2632">
      <c r="A2632" s="3" t="inlineStr">
        <is>
          <t>Cape Projects Construction (Pty) Ltd</t>
        </is>
      </c>
      <c r="B2632" s="4" t="n">
        <v>44957</v>
      </c>
      <c r="C2632" s="3" t="inlineStr">
        <is>
          <t>Expenses</t>
        </is>
      </c>
      <c r="D2632" s="3" t="inlineStr">
        <is>
          <t>4650/010</t>
        </is>
      </c>
      <c r="E2632" s="3" t="inlineStr">
        <is>
          <t>Travel - Local</t>
        </is>
      </c>
      <c r="F2632" s="3" t="n">
        <v>0</v>
      </c>
      <c r="G2632" s="3" t="n">
        <v>13.04</v>
      </c>
    </row>
    <row r="2633">
      <c r="A2633" s="3" t="inlineStr">
        <is>
          <t>Cape Projects Construction (Pty) Ltd</t>
        </is>
      </c>
      <c r="B2633" s="4" t="n">
        <v>44957</v>
      </c>
      <c r="C2633" s="3" t="inlineStr">
        <is>
          <t>Expenses</t>
        </is>
      </c>
      <c r="D2633" s="3" t="inlineStr">
        <is>
          <t>4700/000</t>
        </is>
      </c>
      <c r="E2633" s="3" t="inlineStr">
        <is>
          <t>PAYE Contributions</t>
        </is>
      </c>
      <c r="F2633" s="3" t="n">
        <v>65692.16</v>
      </c>
      <c r="G2633" s="3" t="n">
        <v>385048.84</v>
      </c>
    </row>
    <row r="2634">
      <c r="A2634" s="3" t="inlineStr">
        <is>
          <t>Cape Projects Construction (Pty) Ltd</t>
        </is>
      </c>
      <c r="B2634" s="4" t="n">
        <v>44957</v>
      </c>
      <c r="C2634" s="3" t="inlineStr">
        <is>
          <t>Expenses</t>
        </is>
      </c>
      <c r="D2634" s="3" t="inlineStr">
        <is>
          <t>4720/000</t>
        </is>
      </c>
      <c r="E2634" s="3" t="inlineStr">
        <is>
          <t>SDL Contributions</t>
        </is>
      </c>
      <c r="F2634" s="3" t="n">
        <v>3026.06</v>
      </c>
      <c r="G2634" s="3" t="n">
        <v>26378.45</v>
      </c>
    </row>
    <row r="2635">
      <c r="A2635" s="3" t="inlineStr">
        <is>
          <t>Cape Projects Construction (Pty) Ltd</t>
        </is>
      </c>
      <c r="B2635" s="4" t="n">
        <v>44957</v>
      </c>
      <c r="C2635" s="3" t="inlineStr">
        <is>
          <t>Expenses</t>
        </is>
      </c>
      <c r="D2635" s="3" t="inlineStr">
        <is>
          <t>4730/000</t>
        </is>
      </c>
      <c r="E2635" s="3" t="inlineStr">
        <is>
          <t>UIF Company Contributions</t>
        </is>
      </c>
      <c r="F2635" s="3" t="n">
        <v>1472.76</v>
      </c>
      <c r="G2635" s="3" t="n">
        <v>18411.37</v>
      </c>
    </row>
    <row r="2636">
      <c r="A2636" s="3" t="inlineStr">
        <is>
          <t>Cape Projects Construction (Pty) Ltd</t>
        </is>
      </c>
      <c r="B2636" s="4" t="n">
        <v>44957</v>
      </c>
      <c r="C2636" s="3" t="inlineStr">
        <is>
          <t>Expenses</t>
        </is>
      </c>
      <c r="D2636" s="3" t="inlineStr">
        <is>
          <t>4731/000</t>
        </is>
      </c>
      <c r="E2636" s="3" t="inlineStr">
        <is>
          <t>UIF Employee Contribution</t>
        </is>
      </c>
      <c r="F2636" s="3" t="n">
        <v>1472.76</v>
      </c>
      <c r="G2636" s="3" t="n">
        <v>18411.37</v>
      </c>
    </row>
    <row r="2637">
      <c r="A2637" s="3" t="inlineStr">
        <is>
          <t>Cape Projects Construction (Pty) Ltd</t>
        </is>
      </c>
      <c r="B2637" s="4" t="n">
        <v>44957</v>
      </c>
      <c r="C2637" s="3" t="inlineStr">
        <is>
          <t>Expenses</t>
        </is>
      </c>
      <c r="D2637" s="3" t="inlineStr">
        <is>
          <t>4740/000</t>
        </is>
      </c>
      <c r="E2637" s="3" t="inlineStr">
        <is>
          <t>BIBC Company Contribution</t>
        </is>
      </c>
      <c r="F2637" s="3" t="n">
        <v>5034</v>
      </c>
      <c r="G2637" s="3" t="n">
        <v>76065.64</v>
      </c>
    </row>
    <row r="2638">
      <c r="A2638" s="3" t="inlineStr">
        <is>
          <t>Cape Projects Construction (Pty) Ltd</t>
        </is>
      </c>
      <c r="B2638" s="4" t="n">
        <v>44957</v>
      </c>
      <c r="C2638" s="3" t="inlineStr">
        <is>
          <t>Expenses</t>
        </is>
      </c>
      <c r="D2638" s="3" t="inlineStr">
        <is>
          <t>4741/000</t>
        </is>
      </c>
      <c r="E2638" s="3" t="inlineStr">
        <is>
          <t>BIBC Employee Contribution</t>
        </is>
      </c>
      <c r="F2638" s="3" t="n">
        <v>1775.25</v>
      </c>
      <c r="G2638" s="3" t="n">
        <v>25624.3</v>
      </c>
    </row>
    <row r="2639">
      <c r="A2639" s="3" t="inlineStr">
        <is>
          <t>Heron Fields (Pty) Ltd</t>
        </is>
      </c>
      <c r="B2639" s="4" t="n">
        <v>44957</v>
      </c>
      <c r="C2639" s="3" t="inlineStr">
        <is>
          <t>Equity</t>
        </is>
      </c>
      <c r="D2639" s="3" t="inlineStr">
        <is>
          <t>5100-000</t>
        </is>
      </c>
      <c r="E2639" s="3" t="inlineStr">
        <is>
          <t>Share Capital</t>
        </is>
      </c>
      <c r="F2639" s="3" t="n">
        <v>0</v>
      </c>
      <c r="G2639" s="3" t="n">
        <v>-100</v>
      </c>
    </row>
    <row r="2640">
      <c r="A2640" s="3" t="inlineStr">
        <is>
          <t>Cape Projects Construction (Pty) Ltd</t>
        </is>
      </c>
      <c r="B2640" s="4" t="n">
        <v>44957</v>
      </c>
      <c r="C2640" s="3" t="inlineStr">
        <is>
          <t>Equity</t>
        </is>
      </c>
      <c r="D2640" s="3" t="inlineStr">
        <is>
          <t>5100/000</t>
        </is>
      </c>
      <c r="E2640" s="3" t="inlineStr">
        <is>
          <t>Share Capital / Members Contribution</t>
        </is>
      </c>
      <c r="F2640" s="3" t="n">
        <v>0</v>
      </c>
      <c r="G2640" s="3" t="n">
        <v>-120</v>
      </c>
    </row>
    <row r="2641">
      <c r="A2641" s="3" t="inlineStr">
        <is>
          <t>Cape Projects Construction (Pty) Ltd</t>
        </is>
      </c>
      <c r="B2641" s="4" t="n">
        <v>44957</v>
      </c>
      <c r="C2641" s="3" t="inlineStr">
        <is>
          <t>Equity</t>
        </is>
      </c>
      <c r="D2641" s="3" t="inlineStr">
        <is>
          <t>5200/000</t>
        </is>
      </c>
      <c r="E2641" s="3" t="inlineStr">
        <is>
          <t>Retained Earnings / Loss</t>
        </is>
      </c>
      <c r="F2641" s="3" t="n">
        <v>0</v>
      </c>
      <c r="G2641" s="3" t="n">
        <v>247347.05</v>
      </c>
    </row>
    <row r="2642">
      <c r="A2642" s="3" t="inlineStr">
        <is>
          <t>Heron Fields (Pty) Ltd</t>
        </is>
      </c>
      <c r="B2642" s="4" t="n">
        <v>44957</v>
      </c>
      <c r="C2642" s="3" t="inlineStr">
        <is>
          <t>Equity</t>
        </is>
      </c>
      <c r="D2642" s="3" t="inlineStr">
        <is>
          <t>5200/000</t>
        </is>
      </c>
      <c r="E2642" s="3" t="inlineStr">
        <is>
          <t>Retained Earnings / Loss</t>
        </is>
      </c>
      <c r="F2642" s="3" t="n">
        <v>0</v>
      </c>
      <c r="G2642" s="3" t="n">
        <v>-17080353.05</v>
      </c>
    </row>
    <row r="2643">
      <c r="A2643" s="3" t="inlineStr">
        <is>
          <t>Heron Fields (Pty) Ltd</t>
        </is>
      </c>
      <c r="B2643" s="4" t="n">
        <v>44957</v>
      </c>
      <c r="C2643" s="3" t="inlineStr">
        <is>
          <t>Assets</t>
        </is>
      </c>
      <c r="D2643" s="3" t="inlineStr">
        <is>
          <t>5300/001</t>
        </is>
      </c>
      <c r="E2643" s="3" t="inlineStr">
        <is>
          <t>Revaluation of Land stock</t>
        </is>
      </c>
      <c r="F2643" s="3" t="n">
        <v>0</v>
      </c>
      <c r="G2643" s="3" t="n">
        <v>17562360.85</v>
      </c>
    </row>
    <row r="2644">
      <c r="A2644" s="3" t="inlineStr">
        <is>
          <t>Cape Projects Construction (Pty) Ltd</t>
        </is>
      </c>
      <c r="B2644" s="4" t="n">
        <v>44957</v>
      </c>
      <c r="C2644" s="3" t="inlineStr">
        <is>
          <t>Assets</t>
        </is>
      </c>
      <c r="D2644" s="3" t="inlineStr">
        <is>
          <t>5400/150</t>
        </is>
      </c>
      <c r="E2644" s="3" t="inlineStr">
        <is>
          <t>Loan - Quinate</t>
        </is>
      </c>
      <c r="F2644" s="3" t="n">
        <v>370000</v>
      </c>
      <c r="G2644" s="3" t="n">
        <v>7166187.4</v>
      </c>
    </row>
    <row r="2645">
      <c r="A2645" s="3" t="inlineStr">
        <is>
          <t>Cape Projects Construction (Pty) Ltd</t>
        </is>
      </c>
      <c r="B2645" s="4" t="n">
        <v>44957</v>
      </c>
      <c r="C2645" s="3" t="inlineStr">
        <is>
          <t>Assets</t>
        </is>
      </c>
      <c r="D2645" s="3" t="inlineStr">
        <is>
          <t>5400/450</t>
        </is>
      </c>
      <c r="E2645" s="3" t="inlineStr">
        <is>
          <t>Loan - Opportunity Investment</t>
        </is>
      </c>
      <c r="F2645" s="3" t="n">
        <v>0</v>
      </c>
      <c r="G2645" s="3" t="n">
        <v>-271000</v>
      </c>
    </row>
    <row r="2646">
      <c r="A2646" s="3" t="inlineStr">
        <is>
          <t>Cape Projects Construction (Pty) Ltd</t>
        </is>
      </c>
      <c r="B2646" s="4" t="n">
        <v>44957</v>
      </c>
      <c r="C2646" s="3" t="inlineStr">
        <is>
          <t>Assets</t>
        </is>
      </c>
      <c r="D2646" s="3" t="inlineStr">
        <is>
          <t>5400/550</t>
        </is>
      </c>
      <c r="E2646" s="3" t="inlineStr">
        <is>
          <t>Loan - Trademark</t>
        </is>
      </c>
      <c r="F2646" s="3" t="n">
        <v>600</v>
      </c>
      <c r="G2646" s="3" t="n">
        <v>1200</v>
      </c>
    </row>
    <row r="2647">
      <c r="A2647" s="3" t="inlineStr">
        <is>
          <t>Cape Projects Construction (Pty) Ltd</t>
        </is>
      </c>
      <c r="B2647" s="4" t="n">
        <v>44957</v>
      </c>
      <c r="C2647" s="3" t="inlineStr">
        <is>
          <t>Assets</t>
        </is>
      </c>
      <c r="D2647" s="3" t="inlineStr">
        <is>
          <t>5400/600</t>
        </is>
      </c>
      <c r="E2647" s="3" t="inlineStr">
        <is>
          <t>Loan - Heron Projects</t>
        </is>
      </c>
      <c r="F2647" s="3" t="n">
        <v>0</v>
      </c>
      <c r="G2647" s="3" t="n">
        <v>-8226138.5</v>
      </c>
    </row>
    <row r="2648">
      <c r="A2648" s="3" t="inlineStr">
        <is>
          <t>Cape Projects Construction (Pty) Ltd</t>
        </is>
      </c>
      <c r="B2648" s="4" t="n">
        <v>44957</v>
      </c>
      <c r="C2648" s="3" t="inlineStr">
        <is>
          <t>Assets</t>
        </is>
      </c>
      <c r="D2648" s="3" t="inlineStr">
        <is>
          <t>5400/650</t>
        </is>
      </c>
      <c r="E2648" s="3" t="inlineStr">
        <is>
          <t>Loan - Noble Shield</t>
        </is>
      </c>
      <c r="F2648" s="3" t="n">
        <v>600</v>
      </c>
      <c r="G2648" s="3" t="n">
        <v>1200</v>
      </c>
    </row>
    <row r="2649">
      <c r="A2649" s="3" t="inlineStr">
        <is>
          <t>Cape Projects Construction (Pty) Ltd</t>
        </is>
      </c>
      <c r="B2649" s="4" t="n">
        <v>44957</v>
      </c>
      <c r="C2649" s="3" t="inlineStr">
        <is>
          <t>Assets</t>
        </is>
      </c>
      <c r="D2649" s="3" t="inlineStr">
        <is>
          <t>5400/750</t>
        </is>
      </c>
      <c r="E2649" s="3" t="inlineStr">
        <is>
          <t>Loan - Endulini</t>
        </is>
      </c>
      <c r="F2649" s="3" t="n">
        <v>0</v>
      </c>
      <c r="G2649" s="3" t="n">
        <v>6059000</v>
      </c>
    </row>
    <row r="2650">
      <c r="A2650" s="3" t="inlineStr">
        <is>
          <t>Cape Projects Construction (Pty) Ltd</t>
        </is>
      </c>
      <c r="B2650" s="4" t="n">
        <v>44957</v>
      </c>
      <c r="C2650" s="3" t="inlineStr">
        <is>
          <t>Assets</t>
        </is>
      </c>
      <c r="D2650" s="3" t="inlineStr">
        <is>
          <t>5400/800</t>
        </is>
      </c>
      <c r="E2650" s="3" t="inlineStr">
        <is>
          <t>Loan - Opportunity Management Holdings</t>
        </is>
      </c>
      <c r="F2650" s="3" t="n">
        <v>0</v>
      </c>
      <c r="G2650" s="3" t="n">
        <v>-120000</v>
      </c>
    </row>
    <row r="2651">
      <c r="A2651" s="3" t="inlineStr">
        <is>
          <t>Heron View (Pty) Ltd</t>
        </is>
      </c>
      <c r="B2651" s="4" t="n">
        <v>44957</v>
      </c>
      <c r="C2651" s="3" t="inlineStr">
        <is>
          <t>Liabilities</t>
        </is>
      </c>
      <c r="D2651" s="3" t="inlineStr">
        <is>
          <t>5500/001</t>
        </is>
      </c>
      <c r="E2651" s="3" t="inlineStr">
        <is>
          <t>Loan - Heron Fields</t>
        </is>
      </c>
      <c r="F2651" s="3" t="n">
        <v>-306036.3</v>
      </c>
      <c r="G2651" s="3" t="n">
        <v>-2605483.69</v>
      </c>
    </row>
    <row r="2652">
      <c r="A2652" s="3" t="inlineStr">
        <is>
          <t>Heron Fields (Pty) Ltd</t>
        </is>
      </c>
      <c r="B2652" s="4" t="n">
        <v>44957</v>
      </c>
      <c r="C2652" s="3" t="inlineStr">
        <is>
          <t>Liabilities</t>
        </is>
      </c>
      <c r="D2652" s="3" t="inlineStr">
        <is>
          <t>5500/020</t>
        </is>
      </c>
      <c r="E2652" s="3" t="inlineStr">
        <is>
          <t>Loan - Cape Projects Construction</t>
        </is>
      </c>
      <c r="F2652" s="3" t="n">
        <v>0</v>
      </c>
      <c r="G2652" s="3" t="n">
        <v>8226138.5</v>
      </c>
    </row>
    <row r="2653">
      <c r="A2653" s="3" t="inlineStr">
        <is>
          <t>Heron Fields (Pty) Ltd</t>
        </is>
      </c>
      <c r="B2653" s="4" t="n">
        <v>44957</v>
      </c>
      <c r="C2653" s="3" t="inlineStr">
        <is>
          <t>Liabilities</t>
        </is>
      </c>
      <c r="D2653" s="3" t="inlineStr">
        <is>
          <t>5500/030</t>
        </is>
      </c>
      <c r="E2653" s="3" t="inlineStr">
        <is>
          <t>Loan - Opportunity Global Investments</t>
        </is>
      </c>
      <c r="F2653" s="3" t="n">
        <v>437000</v>
      </c>
      <c r="G2653" s="3" t="n">
        <v>377000</v>
      </c>
    </row>
    <row r="2654">
      <c r="A2654" s="3" t="inlineStr">
        <is>
          <t>Heron Fields (Pty) Ltd</t>
        </is>
      </c>
      <c r="B2654" s="4" t="n">
        <v>44957</v>
      </c>
      <c r="C2654" s="3" t="inlineStr">
        <is>
          <t>Liabilities</t>
        </is>
      </c>
      <c r="D2654" s="3" t="inlineStr">
        <is>
          <t>5500/050</t>
        </is>
      </c>
      <c r="E2654" s="3" t="inlineStr">
        <is>
          <t>Loan - Heron View</t>
        </is>
      </c>
      <c r="F2654" s="3" t="n">
        <v>306036.3</v>
      </c>
      <c r="G2654" s="3" t="n">
        <v>8522543.859999999</v>
      </c>
    </row>
    <row r="2655">
      <c r="A2655" s="3" t="inlineStr">
        <is>
          <t>Cape Projects Construction (Pty) Ltd</t>
        </is>
      </c>
      <c r="B2655" s="4" t="n">
        <v>44957</v>
      </c>
      <c r="C2655" s="3" t="inlineStr">
        <is>
          <t>Liabilities</t>
        </is>
      </c>
      <c r="D2655" s="3" t="inlineStr">
        <is>
          <t>5600/100</t>
        </is>
      </c>
      <c r="E2655" s="3" t="inlineStr">
        <is>
          <t>Motor Vehical Car Repaymts - Toyota</t>
        </is>
      </c>
      <c r="F2655" s="3" t="n">
        <v>5239.08</v>
      </c>
      <c r="G2655" s="3" t="n">
        <v>57370.28</v>
      </c>
    </row>
    <row r="2656">
      <c r="A2656" s="3" t="inlineStr">
        <is>
          <t>Cape Projects Construction (Pty) Ltd</t>
        </is>
      </c>
      <c r="B2656" s="4" t="n">
        <v>44957</v>
      </c>
      <c r="C2656" s="3" t="inlineStr">
        <is>
          <t>Liabilities</t>
        </is>
      </c>
      <c r="D2656" s="3" t="inlineStr">
        <is>
          <t>5600/200</t>
        </is>
      </c>
      <c r="E2656" s="3" t="inlineStr">
        <is>
          <t>Motor Vehicle Car Repayments - Toyota Shortterm</t>
        </is>
      </c>
      <c r="F2656" s="3" t="n">
        <v>0</v>
      </c>
      <c r="G2656" s="3" t="n">
        <v>-58920.1</v>
      </c>
    </row>
    <row r="2657">
      <c r="A2657" s="3" t="inlineStr">
        <is>
          <t>Cape Projects Construction (Pty) Ltd</t>
        </is>
      </c>
      <c r="B2657" s="4" t="n">
        <v>44957</v>
      </c>
      <c r="C2657" s="3" t="inlineStr">
        <is>
          <t>Assets</t>
        </is>
      </c>
      <c r="D2657" s="3" t="inlineStr">
        <is>
          <t>6200/010</t>
        </is>
      </c>
      <c r="E2657" s="3" t="inlineStr">
        <is>
          <t>Motor Vehicles - @ Cost</t>
        </is>
      </c>
      <c r="F2657" s="3" t="n">
        <v>0</v>
      </c>
      <c r="G2657" s="3" t="n">
        <v>216064.1</v>
      </c>
    </row>
    <row r="2658">
      <c r="A2658" s="3" t="inlineStr">
        <is>
          <t>Cape Projects Construction (Pty) Ltd</t>
        </is>
      </c>
      <c r="B2658" s="4" t="n">
        <v>44957</v>
      </c>
      <c r="C2658" s="3" t="inlineStr">
        <is>
          <t>Assets</t>
        </is>
      </c>
      <c r="D2658" s="3" t="inlineStr">
        <is>
          <t>6200/020</t>
        </is>
      </c>
      <c r="E2658" s="3" t="inlineStr">
        <is>
          <t>Motor Vehicles - Accum Depre</t>
        </is>
      </c>
      <c r="F2658" s="3" t="n">
        <v>0</v>
      </c>
      <c r="G2658" s="3" t="n">
        <v>-216063.1</v>
      </c>
    </row>
    <row r="2659">
      <c r="A2659" s="3" t="inlineStr">
        <is>
          <t>Cape Projects Construction (Pty) Ltd</t>
        </is>
      </c>
      <c r="B2659" s="4" t="n">
        <v>44957</v>
      </c>
      <c r="C2659" s="3" t="inlineStr">
        <is>
          <t>Assets</t>
        </is>
      </c>
      <c r="D2659" s="3" t="inlineStr">
        <is>
          <t>6250/010</t>
        </is>
      </c>
      <c r="E2659" s="3" t="inlineStr">
        <is>
          <t>Computer Equipment - @ Cost</t>
        </is>
      </c>
      <c r="F2659" s="3" t="n">
        <v>0</v>
      </c>
      <c r="G2659" s="3" t="n">
        <v>92100.13</v>
      </c>
    </row>
    <row r="2660">
      <c r="A2660" s="3" t="inlineStr">
        <is>
          <t>Cape Projects Construction (Pty) Ltd</t>
        </is>
      </c>
      <c r="B2660" s="4" t="n">
        <v>44957</v>
      </c>
      <c r="C2660" s="3" t="inlineStr">
        <is>
          <t>Assets</t>
        </is>
      </c>
      <c r="D2660" s="3" t="inlineStr">
        <is>
          <t>6250/020</t>
        </is>
      </c>
      <c r="E2660" s="3" t="inlineStr">
        <is>
          <t>Computer Equipment - Accum Depre</t>
        </is>
      </c>
      <c r="F2660" s="3" t="n">
        <v>-2165.86</v>
      </c>
      <c r="G2660" s="3" t="n">
        <v>-40757.16</v>
      </c>
    </row>
    <row r="2661">
      <c r="A2661" s="3" t="inlineStr">
        <is>
          <t>Cape Projects Construction (Pty) Ltd</t>
        </is>
      </c>
      <c r="B2661" s="4" t="n">
        <v>44957</v>
      </c>
      <c r="C2661" s="3" t="inlineStr">
        <is>
          <t>Assets</t>
        </is>
      </c>
      <c r="D2661" s="3" t="inlineStr">
        <is>
          <t>6350/010</t>
        </is>
      </c>
      <c r="E2661" s="3" t="inlineStr">
        <is>
          <t>Furniture _AND_ Fittings - @ Cost</t>
        </is>
      </c>
      <c r="F2661" s="3" t="n">
        <v>0</v>
      </c>
      <c r="G2661" s="3" t="n">
        <v>37955.3</v>
      </c>
    </row>
    <row r="2662">
      <c r="A2662" s="3" t="inlineStr">
        <is>
          <t>Cape Projects Construction (Pty) Ltd</t>
        </is>
      </c>
      <c r="B2662" s="4" t="n">
        <v>44957</v>
      </c>
      <c r="C2662" s="3" t="inlineStr">
        <is>
          <t>Assets</t>
        </is>
      </c>
      <c r="D2662" s="3" t="inlineStr">
        <is>
          <t>6350/020</t>
        </is>
      </c>
      <c r="E2662" s="3" t="inlineStr">
        <is>
          <t>Furniture _AND_ Fittings - Accum Depre</t>
        </is>
      </c>
      <c r="F2662" s="3" t="n">
        <v>-547.67</v>
      </c>
      <c r="G2662" s="3" t="n">
        <v>-5346.89</v>
      </c>
    </row>
    <row r="2663">
      <c r="A2663" s="3" t="inlineStr">
        <is>
          <t>Cape Projects Construction (Pty) Ltd</t>
        </is>
      </c>
      <c r="B2663" s="4" t="n">
        <v>44957</v>
      </c>
      <c r="C2663" s="3" t="inlineStr">
        <is>
          <t>Assets</t>
        </is>
      </c>
      <c r="D2663" s="3" t="inlineStr">
        <is>
          <t>6600/010</t>
        </is>
      </c>
      <c r="E2663" s="3" t="inlineStr">
        <is>
          <t>Generator Fixed Asset - @ Cost</t>
        </is>
      </c>
      <c r="F2663" s="3" t="n">
        <v>0</v>
      </c>
      <c r="G2663" s="3" t="n">
        <v>11600</v>
      </c>
    </row>
    <row r="2664">
      <c r="A2664" s="3" t="inlineStr">
        <is>
          <t>Cape Projects Construction (Pty) Ltd</t>
        </is>
      </c>
      <c r="B2664" s="4" t="n">
        <v>44957</v>
      </c>
      <c r="C2664" s="3" t="inlineStr">
        <is>
          <t>Assets</t>
        </is>
      </c>
      <c r="D2664" s="3" t="inlineStr">
        <is>
          <t>6600/020</t>
        </is>
      </c>
      <c r="E2664" s="3" t="inlineStr">
        <is>
          <t>Generator Fixed Asset - Accum Depre</t>
        </is>
      </c>
      <c r="F2664" s="3" t="n">
        <v>-193.34</v>
      </c>
      <c r="G2664" s="3" t="n">
        <v>-2932.23</v>
      </c>
    </row>
    <row r="2665">
      <c r="A2665" s="3" t="inlineStr">
        <is>
          <t>Heron Fields (Pty) Ltd</t>
        </is>
      </c>
      <c r="B2665" s="4" t="n">
        <v>44957</v>
      </c>
      <c r="C2665" s="3" t="inlineStr">
        <is>
          <t>Assets</t>
        </is>
      </c>
      <c r="D2665" s="3" t="inlineStr">
        <is>
          <t>7610/395</t>
        </is>
      </c>
      <c r="E2665" s="3" t="inlineStr">
        <is>
          <t>HF CIP NHBRC</t>
        </is>
      </c>
      <c r="F2665" s="3" t="n">
        <v>0</v>
      </c>
      <c r="G2665" s="3" t="n">
        <v>874505.75</v>
      </c>
    </row>
    <row r="2666">
      <c r="A2666" s="3" t="inlineStr">
        <is>
          <t>Heron View (Pty) Ltd</t>
        </is>
      </c>
      <c r="B2666" s="4" t="n">
        <v>44957</v>
      </c>
      <c r="C2666" s="3" t="inlineStr">
        <is>
          <t>Assets</t>
        </is>
      </c>
      <c r="D2666" s="3" t="inlineStr">
        <is>
          <t>7610/395</t>
        </is>
      </c>
      <c r="E2666" s="3" t="inlineStr">
        <is>
          <t>Heron CIP NHBRC</t>
        </is>
      </c>
      <c r="F2666" s="3" t="n">
        <v>0</v>
      </c>
      <c r="G2666" s="3" t="n">
        <v>439254.75</v>
      </c>
    </row>
    <row r="2667">
      <c r="A2667" s="3" t="inlineStr">
        <is>
          <t>Heron Fields (Pty) Ltd</t>
        </is>
      </c>
      <c r="B2667" s="4" t="n">
        <v>44957</v>
      </c>
      <c r="C2667" s="3" t="inlineStr">
        <is>
          <t>Assets</t>
        </is>
      </c>
      <c r="D2667" s="3" t="inlineStr">
        <is>
          <t>7620/100</t>
        </is>
      </c>
      <c r="E2667" s="3" t="inlineStr">
        <is>
          <t>Heron View Land</t>
        </is>
      </c>
      <c r="F2667" s="3" t="n">
        <v>0</v>
      </c>
      <c r="G2667" s="3" t="n">
        <v>26200000</v>
      </c>
    </row>
    <row r="2668">
      <c r="A2668" s="3" t="inlineStr">
        <is>
          <t>Heron Fields (Pty) Ltd</t>
        </is>
      </c>
      <c r="B2668" s="4" t="n">
        <v>44957</v>
      </c>
      <c r="C2668" s="3" t="inlineStr">
        <is>
          <t>Assets</t>
        </is>
      </c>
      <c r="D2668" s="3" t="inlineStr">
        <is>
          <t>7620/101</t>
        </is>
      </c>
      <c r="E2668" s="3" t="inlineStr">
        <is>
          <t>HF CIP Bond Registration Fee</t>
        </is>
      </c>
      <c r="F2668" s="3" t="n">
        <v>0</v>
      </c>
      <c r="G2668" s="3" t="n">
        <v>68427</v>
      </c>
    </row>
    <row r="2669">
      <c r="A2669" s="3" t="inlineStr">
        <is>
          <t>Heron Fields (Pty) Ltd</t>
        </is>
      </c>
      <c r="B2669" s="4" t="n">
        <v>44957</v>
      </c>
      <c r="C2669" s="3" t="inlineStr">
        <is>
          <t>Assets</t>
        </is>
      </c>
      <c r="D2669" s="3" t="inlineStr">
        <is>
          <t>7620/102</t>
        </is>
      </c>
      <c r="E2669" s="3" t="inlineStr">
        <is>
          <t>HF CIP Transfer Fee</t>
        </is>
      </c>
      <c r="F2669" s="3" t="n">
        <v>0</v>
      </c>
      <c r="G2669" s="3" t="n">
        <v>103812</v>
      </c>
    </row>
    <row r="2670">
      <c r="A2670" s="3" t="inlineStr">
        <is>
          <t>Heron Fields (Pty) Ltd</t>
        </is>
      </c>
      <c r="B2670" s="4" t="n">
        <v>44957</v>
      </c>
      <c r="C2670" s="3" t="inlineStr">
        <is>
          <t>Assets</t>
        </is>
      </c>
      <c r="D2670" s="3" t="inlineStr">
        <is>
          <t>7620/220</t>
        </is>
      </c>
      <c r="E2670" s="3" t="inlineStr">
        <is>
          <t>HF CIP Architectural Designs</t>
        </is>
      </c>
      <c r="F2670" s="3" t="n">
        <v>0</v>
      </c>
      <c r="G2670" s="3" t="n">
        <v>847438</v>
      </c>
    </row>
    <row r="2671">
      <c r="A2671" s="3" t="inlineStr">
        <is>
          <t>Heron View (Pty) Ltd</t>
        </is>
      </c>
      <c r="B2671" s="4" t="n">
        <v>44957</v>
      </c>
      <c r="C2671" s="3" t="inlineStr">
        <is>
          <t>Assets</t>
        </is>
      </c>
      <c r="D2671" s="3" t="inlineStr">
        <is>
          <t>7620/220</t>
        </is>
      </c>
      <c r="E2671" s="3" t="inlineStr">
        <is>
          <t>Heron View CIP Architectural Designs</t>
        </is>
      </c>
      <c r="F2671" s="3" t="n">
        <v>0</v>
      </c>
      <c r="G2671" s="3" t="n">
        <v>398921</v>
      </c>
    </row>
    <row r="2672">
      <c r="A2672" s="3" t="inlineStr">
        <is>
          <t>Heron Fields (Pty) Ltd</t>
        </is>
      </c>
      <c r="B2672" s="4" t="n">
        <v>44957</v>
      </c>
      <c r="C2672" s="3" t="inlineStr">
        <is>
          <t>Assets</t>
        </is>
      </c>
      <c r="D2672" s="3" t="inlineStr">
        <is>
          <t>7620/230</t>
        </is>
      </c>
      <c r="E2672" s="3" t="inlineStr">
        <is>
          <t>HF CIP Construction Management</t>
        </is>
      </c>
      <c r="F2672" s="3" t="n">
        <v>4000</v>
      </c>
      <c r="G2672" s="3" t="n">
        <v>136500</v>
      </c>
    </row>
    <row r="2673">
      <c r="A2673" s="3" t="inlineStr">
        <is>
          <t>Heron Fields (Pty) Ltd</t>
        </is>
      </c>
      <c r="B2673" s="4" t="n">
        <v>44957</v>
      </c>
      <c r="C2673" s="3" t="inlineStr">
        <is>
          <t>Assets</t>
        </is>
      </c>
      <c r="D2673" s="3" t="inlineStr">
        <is>
          <t>7620/240</t>
        </is>
      </c>
      <c r="E2673" s="3" t="inlineStr">
        <is>
          <t>HF CIP Civil Engineering</t>
        </is>
      </c>
      <c r="F2673" s="3" t="n">
        <v>0</v>
      </c>
      <c r="G2673" s="3" t="n">
        <v>8557641.800000001</v>
      </c>
    </row>
    <row r="2674">
      <c r="A2674" s="3" t="inlineStr">
        <is>
          <t>Heron Fields (Pty) Ltd</t>
        </is>
      </c>
      <c r="B2674" s="4" t="n">
        <v>44957</v>
      </c>
      <c r="C2674" s="3" t="inlineStr">
        <is>
          <t>Assets</t>
        </is>
      </c>
      <c r="D2674" s="3" t="inlineStr">
        <is>
          <t>7620/245</t>
        </is>
      </c>
      <c r="E2674" s="3" t="inlineStr">
        <is>
          <t>HF CIP Development fee</t>
        </is>
      </c>
      <c r="F2674" s="3" t="n">
        <v>0</v>
      </c>
      <c r="G2674" s="3" t="n">
        <v>13807.78</v>
      </c>
    </row>
    <row r="2675">
      <c r="A2675" s="3" t="inlineStr">
        <is>
          <t>Heron Fields (Pty) Ltd</t>
        </is>
      </c>
      <c r="B2675" s="4" t="n">
        <v>44957</v>
      </c>
      <c r="C2675" s="3" t="inlineStr">
        <is>
          <t>Assets</t>
        </is>
      </c>
      <c r="D2675" s="3" t="inlineStr">
        <is>
          <t>7620/250</t>
        </is>
      </c>
      <c r="E2675" s="3" t="inlineStr">
        <is>
          <t>HF CIP Land Surveyor</t>
        </is>
      </c>
      <c r="F2675" s="3" t="n">
        <v>0</v>
      </c>
      <c r="G2675" s="3" t="n">
        <v>152123.09</v>
      </c>
    </row>
    <row r="2676">
      <c r="A2676" s="3" t="inlineStr">
        <is>
          <t>Heron View (Pty) Ltd</t>
        </is>
      </c>
      <c r="B2676" s="4" t="n">
        <v>44957</v>
      </c>
      <c r="C2676" s="3" t="inlineStr">
        <is>
          <t>Assets</t>
        </is>
      </c>
      <c r="D2676" s="3" t="inlineStr">
        <is>
          <t>7620/250</t>
        </is>
      </c>
      <c r="E2676" s="3" t="inlineStr">
        <is>
          <t>Heron View CIP Land Surveyor</t>
        </is>
      </c>
      <c r="F2676" s="3" t="n">
        <v>3835</v>
      </c>
      <c r="G2676" s="3" t="n">
        <v>15485</v>
      </c>
    </row>
    <row r="2677">
      <c r="A2677" s="3" t="inlineStr">
        <is>
          <t>Heron Fields (Pty) Ltd</t>
        </is>
      </c>
      <c r="B2677" s="4" t="n">
        <v>44957</v>
      </c>
      <c r="C2677" s="3" t="inlineStr">
        <is>
          <t>Assets</t>
        </is>
      </c>
      <c r="D2677" s="3" t="inlineStr">
        <is>
          <t>7620/255</t>
        </is>
      </c>
      <c r="E2677" s="3" t="inlineStr">
        <is>
          <t>HF CIP Landscaping</t>
        </is>
      </c>
      <c r="F2677" s="3" t="n">
        <v>0</v>
      </c>
      <c r="G2677" s="3" t="n">
        <v>7500</v>
      </c>
    </row>
    <row r="2678">
      <c r="A2678" s="3" t="inlineStr">
        <is>
          <t>Heron Fields (Pty) Ltd</t>
        </is>
      </c>
      <c r="B2678" s="4" t="n">
        <v>44957</v>
      </c>
      <c r="C2678" s="3" t="inlineStr">
        <is>
          <t>Assets</t>
        </is>
      </c>
      <c r="D2678" s="3" t="inlineStr">
        <is>
          <t>7620/260</t>
        </is>
      </c>
      <c r="E2678" s="3" t="inlineStr">
        <is>
          <t>HF CIP Mechanical Engineers</t>
        </is>
      </c>
      <c r="F2678" s="3" t="n">
        <v>0</v>
      </c>
      <c r="G2678" s="3" t="n">
        <v>67400</v>
      </c>
    </row>
    <row r="2679">
      <c r="A2679" s="3" t="inlineStr">
        <is>
          <t>Heron Fields (Pty) Ltd</t>
        </is>
      </c>
      <c r="B2679" s="4" t="n">
        <v>44957</v>
      </c>
      <c r="C2679" s="3" t="inlineStr">
        <is>
          <t>Assets</t>
        </is>
      </c>
      <c r="D2679" s="3" t="inlineStr">
        <is>
          <t>7620/265</t>
        </is>
      </c>
      <c r="E2679" s="3" t="inlineStr">
        <is>
          <t>HF CIP Health &amp; Safety</t>
        </is>
      </c>
      <c r="F2679" s="3" t="n">
        <v>1400</v>
      </c>
      <c r="G2679" s="3" t="n">
        <v>20600</v>
      </c>
    </row>
    <row r="2680">
      <c r="A2680" s="3" t="inlineStr">
        <is>
          <t>Heron Fields (Pty) Ltd</t>
        </is>
      </c>
      <c r="B2680" s="4" t="n">
        <v>44957</v>
      </c>
      <c r="C2680" s="3" t="inlineStr">
        <is>
          <t>Assets</t>
        </is>
      </c>
      <c r="D2680" s="3" t="inlineStr">
        <is>
          <t>7620/270</t>
        </is>
      </c>
      <c r="E2680" s="3" t="inlineStr">
        <is>
          <t>HF CIP Geotechnical</t>
        </is>
      </c>
      <c r="F2680" s="3" t="n">
        <v>0</v>
      </c>
      <c r="G2680" s="3" t="n">
        <v>15175</v>
      </c>
    </row>
    <row r="2681">
      <c r="A2681" s="3" t="inlineStr">
        <is>
          <t>Heron Fields (Pty) Ltd</t>
        </is>
      </c>
      <c r="B2681" s="4" t="n">
        <v>44957</v>
      </c>
      <c r="C2681" s="3" t="inlineStr">
        <is>
          <t>Assets</t>
        </is>
      </c>
      <c r="D2681" s="3" t="inlineStr">
        <is>
          <t>7620/275</t>
        </is>
      </c>
      <c r="E2681" s="3" t="inlineStr">
        <is>
          <t>HF CIP Retaining Wall</t>
        </is>
      </c>
      <c r="F2681" s="3" t="n">
        <v>0</v>
      </c>
      <c r="G2681" s="3" t="n">
        <v>570856.08</v>
      </c>
    </row>
    <row r="2682">
      <c r="A2682" s="3" t="inlineStr">
        <is>
          <t>Heron Fields (Pty) Ltd</t>
        </is>
      </c>
      <c r="B2682" s="4" t="n">
        <v>44957</v>
      </c>
      <c r="C2682" s="3" t="inlineStr">
        <is>
          <t>Assets</t>
        </is>
      </c>
      <c r="D2682" s="3" t="inlineStr">
        <is>
          <t>7620/280</t>
        </is>
      </c>
      <c r="E2682" s="3" t="inlineStr">
        <is>
          <t>HF CIP Site Establishment</t>
        </is>
      </c>
      <c r="F2682" s="3" t="n">
        <v>0</v>
      </c>
      <c r="G2682" s="3" t="n">
        <v>48189453.1</v>
      </c>
    </row>
    <row r="2683">
      <c r="A2683" s="3" t="inlineStr">
        <is>
          <t>Heron View (Pty) Ltd</t>
        </is>
      </c>
      <c r="B2683" s="4" t="n">
        <v>44957</v>
      </c>
      <c r="C2683" s="3" t="inlineStr">
        <is>
          <t>Assets</t>
        </is>
      </c>
      <c r="D2683" s="3" t="inlineStr">
        <is>
          <t>7620/280</t>
        </is>
      </c>
      <c r="E2683" s="3" t="inlineStr">
        <is>
          <t>Heron View CIP Site Establishment</t>
        </is>
      </c>
      <c r="F2683" s="3" t="n">
        <v>1980000</v>
      </c>
      <c r="G2683" s="3" t="n">
        <v>1980000</v>
      </c>
    </row>
    <row r="2684">
      <c r="A2684" s="3" t="inlineStr">
        <is>
          <t>Heron Fields (Pty) Ltd</t>
        </is>
      </c>
      <c r="B2684" s="4" t="n">
        <v>44957</v>
      </c>
      <c r="C2684" s="3" t="inlineStr">
        <is>
          <t>Assets</t>
        </is>
      </c>
      <c r="D2684" s="3" t="inlineStr">
        <is>
          <t>7620/285</t>
        </is>
      </c>
      <c r="E2684" s="3" t="inlineStr">
        <is>
          <t>HF CIP Structuring Fee - Invest</t>
        </is>
      </c>
      <c r="F2684" s="3" t="n">
        <v>0</v>
      </c>
      <c r="G2684" s="3" t="n">
        <v>3676905</v>
      </c>
    </row>
    <row r="2685">
      <c r="A2685" s="3" t="inlineStr">
        <is>
          <t>Heron Fields (Pty) Ltd</t>
        </is>
      </c>
      <c r="B2685" s="4" t="n">
        <v>44957</v>
      </c>
      <c r="C2685" s="3" t="inlineStr">
        <is>
          <t>Assets</t>
        </is>
      </c>
      <c r="D2685" s="3" t="inlineStr">
        <is>
          <t>7620/287</t>
        </is>
      </c>
      <c r="E2685" s="3" t="inlineStr">
        <is>
          <t>HF CIP Structuring Fee - Development</t>
        </is>
      </c>
      <c r="F2685" s="3" t="n">
        <v>0</v>
      </c>
      <c r="G2685" s="3" t="n">
        <v>782608.0699999999</v>
      </c>
    </row>
    <row r="2686">
      <c r="A2686" s="3" t="inlineStr">
        <is>
          <t>Heron Fields (Pty) Ltd</t>
        </is>
      </c>
      <c r="B2686" s="4" t="n">
        <v>44957</v>
      </c>
      <c r="C2686" s="3" t="inlineStr">
        <is>
          <t>Assets</t>
        </is>
      </c>
      <c r="D2686" s="3" t="inlineStr">
        <is>
          <t>7620/290</t>
        </is>
      </c>
      <c r="E2686" s="3" t="inlineStr">
        <is>
          <t>HF CIP Town Planning</t>
        </is>
      </c>
      <c r="F2686" s="3" t="n">
        <v>0</v>
      </c>
      <c r="G2686" s="3" t="n">
        <v>166550</v>
      </c>
    </row>
    <row r="2687">
      <c r="A2687" s="3" t="inlineStr">
        <is>
          <t>Heron Fields (Pty) Ltd</t>
        </is>
      </c>
      <c r="B2687" s="4" t="n">
        <v>44957</v>
      </c>
      <c r="C2687" s="3" t="inlineStr">
        <is>
          <t>Assets</t>
        </is>
      </c>
      <c r="D2687" s="3" t="inlineStr">
        <is>
          <t>7620/295</t>
        </is>
      </c>
      <c r="E2687" s="3" t="inlineStr">
        <is>
          <t>HF CIP Traffic Planning</t>
        </is>
      </c>
      <c r="F2687" s="3" t="n">
        <v>0</v>
      </c>
      <c r="G2687" s="3" t="n">
        <v>45000</v>
      </c>
    </row>
    <row r="2688">
      <c r="A2688" s="3" t="inlineStr">
        <is>
          <t>Heron Fields (Pty) Ltd</t>
        </is>
      </c>
      <c r="B2688" s="4" t="n">
        <v>44957</v>
      </c>
      <c r="C2688" s="3" t="inlineStr">
        <is>
          <t>Assets</t>
        </is>
      </c>
      <c r="D2688" s="3" t="inlineStr">
        <is>
          <t>7620/600</t>
        </is>
      </c>
      <c r="E2688" s="3" t="inlineStr">
        <is>
          <t>HF CIP Eco work</t>
        </is>
      </c>
      <c r="F2688" s="3" t="n">
        <v>6000</v>
      </c>
      <c r="G2688" s="3" t="n">
        <v>125000</v>
      </c>
    </row>
    <row r="2689">
      <c r="A2689" s="3" t="inlineStr">
        <is>
          <t>Heron View (Pty) Ltd</t>
        </is>
      </c>
      <c r="B2689" s="4" t="n">
        <v>44957</v>
      </c>
      <c r="C2689" s="3" t="inlineStr">
        <is>
          <t>Assets</t>
        </is>
      </c>
      <c r="D2689" s="3" t="inlineStr">
        <is>
          <t>7620/610</t>
        </is>
      </c>
      <c r="E2689" s="3" t="inlineStr">
        <is>
          <t>HV CIP Retaining wall</t>
        </is>
      </c>
      <c r="F2689" s="3" t="n">
        <v>0</v>
      </c>
      <c r="G2689" s="3" t="n">
        <v>66190.11</v>
      </c>
    </row>
    <row r="2690">
      <c r="A2690" s="3" t="inlineStr">
        <is>
          <t>Heron Fields (Pty) Ltd</t>
        </is>
      </c>
      <c r="B2690" s="4" t="n">
        <v>44957</v>
      </c>
      <c r="C2690" s="3" t="inlineStr">
        <is>
          <t>Assets</t>
        </is>
      </c>
      <c r="D2690" s="3" t="inlineStr">
        <is>
          <t>7620/630</t>
        </is>
      </c>
      <c r="E2690" s="3" t="inlineStr">
        <is>
          <t>HF CIP CoCT development contribution</t>
        </is>
      </c>
      <c r="F2690" s="3" t="n">
        <v>0</v>
      </c>
      <c r="G2690" s="3" t="n">
        <v>1021325.63</v>
      </c>
    </row>
    <row r="2691">
      <c r="A2691" s="3" t="inlineStr">
        <is>
          <t>Heron View (Pty) Ltd</t>
        </is>
      </c>
      <c r="B2691" s="4" t="n">
        <v>44957</v>
      </c>
      <c r="C2691" s="3" t="inlineStr">
        <is>
          <t>Assets</t>
        </is>
      </c>
      <c r="D2691" s="3" t="inlineStr">
        <is>
          <t>7620/630</t>
        </is>
      </c>
      <c r="E2691" s="3" t="inlineStr">
        <is>
          <t>Heron CIP - CoCT development contribution</t>
        </is>
      </c>
      <c r="F2691" s="3" t="n">
        <v>40335.91</v>
      </c>
      <c r="G2691" s="3" t="n">
        <v>1278701.84</v>
      </c>
    </row>
    <row r="2692">
      <c r="A2692" s="3" t="inlineStr">
        <is>
          <t>Heron Fields (Pty) Ltd</t>
        </is>
      </c>
      <c r="B2692" s="4" t="n">
        <v>44957</v>
      </c>
      <c r="C2692" s="3" t="inlineStr">
        <is>
          <t>Assets</t>
        </is>
      </c>
      <c r="D2692" s="3" t="inlineStr">
        <is>
          <t>7620/640</t>
        </is>
      </c>
      <c r="E2692" s="3" t="inlineStr">
        <is>
          <t>HF CIP Project costs</t>
        </is>
      </c>
      <c r="F2692" s="3" t="n">
        <v>0</v>
      </c>
      <c r="G2692" s="3" t="n">
        <v>622274.51</v>
      </c>
    </row>
    <row r="2693">
      <c r="A2693" s="3" t="inlineStr">
        <is>
          <t>Heron View (Pty) Ltd</t>
        </is>
      </c>
      <c r="B2693" s="4" t="n">
        <v>44957</v>
      </c>
      <c r="C2693" s="3" t="inlineStr">
        <is>
          <t>Assets</t>
        </is>
      </c>
      <c r="D2693" s="3" t="inlineStr">
        <is>
          <t>7620/650</t>
        </is>
      </c>
      <c r="E2693" s="3" t="inlineStr">
        <is>
          <t>CIP - Construction Management</t>
        </is>
      </c>
      <c r="F2693" s="3" t="n">
        <v>3000</v>
      </c>
      <c r="G2693" s="3" t="n">
        <v>18780</v>
      </c>
    </row>
    <row r="2694">
      <c r="A2694" s="3" t="inlineStr">
        <is>
          <t>Heron Fields (Pty) Ltd</t>
        </is>
      </c>
      <c r="B2694" s="4" t="n">
        <v>44957</v>
      </c>
      <c r="C2694" s="3" t="inlineStr">
        <is>
          <t>Assets</t>
        </is>
      </c>
      <c r="D2694" s="3" t="inlineStr">
        <is>
          <t>7620/650</t>
        </is>
      </c>
      <c r="E2694" s="3" t="inlineStr">
        <is>
          <t>HF CIP Electrical</t>
        </is>
      </c>
      <c r="F2694" s="3" t="n">
        <v>0</v>
      </c>
      <c r="G2694" s="3" t="n">
        <v>985049.6800000001</v>
      </c>
    </row>
    <row r="2695">
      <c r="A2695" s="3" t="inlineStr">
        <is>
          <t>Heron View (Pty) Ltd</t>
        </is>
      </c>
      <c r="B2695" s="4" t="n">
        <v>44957</v>
      </c>
      <c r="C2695" s="3" t="inlineStr">
        <is>
          <t>Assets</t>
        </is>
      </c>
      <c r="D2695" s="3" t="inlineStr">
        <is>
          <t>7620/660</t>
        </is>
      </c>
      <c r="E2695" s="3" t="inlineStr">
        <is>
          <t>HV CIP Health &amp; Safety</t>
        </is>
      </c>
      <c r="F2695" s="3" t="n">
        <v>1400</v>
      </c>
      <c r="G2695" s="3" t="n">
        <v>13200</v>
      </c>
    </row>
    <row r="2696">
      <c r="A2696" s="3" t="inlineStr">
        <is>
          <t>Heron View (Pty) Ltd</t>
        </is>
      </c>
      <c r="B2696" s="4" t="n">
        <v>44957</v>
      </c>
      <c r="C2696" s="3" t="inlineStr">
        <is>
          <t>Assets</t>
        </is>
      </c>
      <c r="D2696" s="3" t="inlineStr">
        <is>
          <t>7620/670</t>
        </is>
      </c>
      <c r="E2696" s="3" t="inlineStr">
        <is>
          <t>HV CIP - Project costs CPSD</t>
        </is>
      </c>
      <c r="F2696" s="3" t="n">
        <v>217391.3</v>
      </c>
      <c r="G2696" s="3" t="n">
        <v>467391.3</v>
      </c>
    </row>
    <row r="2697">
      <c r="A2697" s="3" t="inlineStr">
        <is>
          <t>Heron View (Pty) Ltd</t>
        </is>
      </c>
      <c r="B2697" s="4" t="n">
        <v>44957</v>
      </c>
      <c r="C2697" s="3" t="inlineStr">
        <is>
          <t>Assets</t>
        </is>
      </c>
      <c r="D2697" s="3" t="inlineStr">
        <is>
          <t>7620/680</t>
        </is>
      </c>
      <c r="E2697" s="3" t="inlineStr">
        <is>
          <t>HV CIP Elextrical</t>
        </is>
      </c>
      <c r="F2697" s="3" t="n">
        <v>0</v>
      </c>
      <c r="G2697" s="3" t="n">
        <v>812587.84</v>
      </c>
    </row>
    <row r="2698">
      <c r="A2698" s="3" t="inlineStr">
        <is>
          <t>Heron Fields (Pty) Ltd</t>
        </is>
      </c>
      <c r="B2698" s="4" t="n">
        <v>44957</v>
      </c>
      <c r="C2698" s="3" t="inlineStr">
        <is>
          <t>Assets</t>
        </is>
      </c>
      <c r="D2698" s="3" t="inlineStr">
        <is>
          <t>7620/700</t>
        </is>
      </c>
      <c r="E2698" s="3" t="inlineStr">
        <is>
          <t>HF CIP - P&amp;G recoveries - Endulini&amp;Heron Fields/View</t>
        </is>
      </c>
      <c r="F2698" s="3" t="n">
        <v>0</v>
      </c>
      <c r="G2698" s="3" t="n">
        <v>3023829.42</v>
      </c>
    </row>
    <row r="2699">
      <c r="A2699" s="3" t="inlineStr">
        <is>
          <t>Heron Fields (Pty) Ltd</t>
        </is>
      </c>
      <c r="B2699" s="4" t="n">
        <v>44957</v>
      </c>
      <c r="C2699" s="3" t="inlineStr">
        <is>
          <t>Assets</t>
        </is>
      </c>
      <c r="D2699" s="3" t="inlineStr">
        <is>
          <t>7620/750</t>
        </is>
      </c>
      <c r="E2699" s="3" t="inlineStr">
        <is>
          <t>HF CIP Project costs CPSD</t>
        </is>
      </c>
      <c r="F2699" s="3" t="n">
        <v>0</v>
      </c>
      <c r="G2699" s="3" t="n">
        <v>1250000</v>
      </c>
    </row>
    <row r="2700">
      <c r="A2700" s="3" t="inlineStr">
        <is>
          <t>Cape Projects Construction (Pty) Ltd</t>
        </is>
      </c>
      <c r="B2700" s="4" t="n">
        <v>44957</v>
      </c>
      <c r="C2700" s="3" t="inlineStr">
        <is>
          <t>Assets</t>
        </is>
      </c>
      <c r="D2700" s="3" t="inlineStr">
        <is>
          <t>7800/000</t>
        </is>
      </c>
      <c r="E2700" s="3" t="inlineStr">
        <is>
          <t>Deposits paid</t>
        </is>
      </c>
      <c r="F2700" s="3" t="n">
        <v>0</v>
      </c>
      <c r="G2700" s="3" t="n">
        <v>8387.950000000001</v>
      </c>
    </row>
    <row r="2701">
      <c r="A2701" s="3" t="inlineStr">
        <is>
          <t>Cape Projects Construction (Pty) Ltd</t>
        </is>
      </c>
      <c r="B2701" s="4" t="n">
        <v>44957</v>
      </c>
      <c r="C2701" s="3" t="inlineStr">
        <is>
          <t>Assets</t>
        </is>
      </c>
      <c r="D2701" s="3" t="inlineStr">
        <is>
          <t>8000/000</t>
        </is>
      </c>
      <c r="E2701" s="3" t="inlineStr">
        <is>
          <t>Customer Control Account</t>
        </is>
      </c>
      <c r="F2701" s="3" t="n">
        <v>1177000</v>
      </c>
      <c r="G2701" s="3" t="n">
        <v>-1977899.4</v>
      </c>
    </row>
    <row r="2702">
      <c r="A2702" s="3" t="inlineStr">
        <is>
          <t>Heron Fields (Pty) Ltd</t>
        </is>
      </c>
      <c r="B2702" s="4" t="n">
        <v>44957</v>
      </c>
      <c r="C2702" s="3" t="inlineStr">
        <is>
          <t>Assets</t>
        </is>
      </c>
      <c r="D2702" s="3" t="inlineStr">
        <is>
          <t>8000/000</t>
        </is>
      </c>
      <c r="E2702" s="3" t="inlineStr">
        <is>
          <t>Customer Control Account</t>
        </is>
      </c>
      <c r="F2702" s="3" t="n">
        <v>218233.58</v>
      </c>
      <c r="G2702" s="3" t="n">
        <v>218233.58</v>
      </c>
    </row>
    <row r="2703">
      <c r="A2703" s="3" t="inlineStr">
        <is>
          <t>Cape Projects Construction (Pty) Ltd</t>
        </is>
      </c>
      <c r="B2703" s="4" t="n">
        <v>44957</v>
      </c>
      <c r="C2703" s="3" t="inlineStr">
        <is>
          <t>Assets</t>
        </is>
      </c>
      <c r="D2703" s="3" t="inlineStr">
        <is>
          <t>8200/010</t>
        </is>
      </c>
      <c r="E2703" s="3" t="inlineStr">
        <is>
          <t>Prepayments / Prepaid Expenses</t>
        </is>
      </c>
      <c r="F2703" s="3" t="n">
        <v>-2719.44</v>
      </c>
      <c r="G2703" s="3" t="n">
        <v>5438.87</v>
      </c>
    </row>
    <row r="2704">
      <c r="A2704" s="3" t="inlineStr">
        <is>
          <t>Heron Fields (Pty) Ltd</t>
        </is>
      </c>
      <c r="B2704" s="4" t="n">
        <v>44957</v>
      </c>
      <c r="C2704" s="3" t="inlineStr">
        <is>
          <t>Assets</t>
        </is>
      </c>
      <c r="D2704" s="3" t="inlineStr">
        <is>
          <t>8400/000</t>
        </is>
      </c>
      <c r="E2704" s="3" t="inlineStr">
        <is>
          <t>RMB - 62882379087</t>
        </is>
      </c>
      <c r="F2704" s="3" t="n">
        <v>-423382.22</v>
      </c>
      <c r="G2704" s="3" t="n">
        <v>613052.02</v>
      </c>
    </row>
    <row r="2705">
      <c r="A2705" s="3" t="inlineStr">
        <is>
          <t>Cape Projects Construction (Pty) Ltd</t>
        </is>
      </c>
      <c r="B2705" s="4" t="n">
        <v>44957</v>
      </c>
      <c r="C2705" s="3" t="inlineStr">
        <is>
          <t>Assets</t>
        </is>
      </c>
      <c r="D2705" s="3" t="inlineStr">
        <is>
          <t>8400/000</t>
        </is>
      </c>
      <c r="E2705" s="3" t="inlineStr">
        <is>
          <t>RMB 62275138470</t>
        </is>
      </c>
      <c r="F2705" s="3" t="n">
        <v>-832824.9300000001</v>
      </c>
      <c r="G2705" s="3" t="n">
        <v>73831.49000000001</v>
      </c>
    </row>
    <row r="2706">
      <c r="A2706" s="3" t="inlineStr">
        <is>
          <t>Cape Projects Construction (Pty) Ltd</t>
        </is>
      </c>
      <c r="B2706" s="4" t="n">
        <v>44957</v>
      </c>
      <c r="C2706" s="3" t="inlineStr">
        <is>
          <t>Assets</t>
        </is>
      </c>
      <c r="D2706" s="3" t="inlineStr">
        <is>
          <t>8420/000</t>
        </is>
      </c>
      <c r="E2706" s="3" t="inlineStr">
        <is>
          <t>Momentum Priv Acc RU502230981</t>
        </is>
      </c>
      <c r="F2706" s="3" t="n">
        <v>9.460000000000001</v>
      </c>
      <c r="G2706" s="3" t="n">
        <v>537.3200000000001</v>
      </c>
    </row>
    <row r="2707">
      <c r="A2707" s="3" t="inlineStr">
        <is>
          <t>Heron Fields (Pty) Ltd</t>
        </is>
      </c>
      <c r="B2707" s="4" t="n">
        <v>44957</v>
      </c>
      <c r="C2707" s="3" t="inlineStr">
        <is>
          <t>Assets</t>
        </is>
      </c>
      <c r="D2707" s="3" t="inlineStr">
        <is>
          <t>8430/000</t>
        </is>
      </c>
      <c r="E2707" s="3" t="inlineStr">
        <is>
          <t>Momentum Private Account RU502230151</t>
        </is>
      </c>
      <c r="F2707" s="3" t="n">
        <v>4.77</v>
      </c>
      <c r="G2707" s="3" t="n">
        <v>823.24</v>
      </c>
    </row>
    <row r="2708">
      <c r="A2708" s="3" t="inlineStr">
        <is>
          <t>Heron Fields (Pty) Ltd</t>
        </is>
      </c>
      <c r="B2708" s="4" t="n">
        <v>44957</v>
      </c>
      <c r="C2708" s="3" t="inlineStr">
        <is>
          <t>Assets</t>
        </is>
      </c>
      <c r="D2708" s="3" t="inlineStr">
        <is>
          <t>8440/000</t>
        </is>
      </c>
      <c r="E2708" s="3" t="inlineStr">
        <is>
          <t>Momentum Investors Account RU502229930</t>
        </is>
      </c>
      <c r="F2708" s="3" t="n">
        <v>12840006.93</v>
      </c>
      <c r="G2708" s="3" t="n">
        <v>22596284.85</v>
      </c>
    </row>
    <row r="2709">
      <c r="A2709" s="3" t="inlineStr">
        <is>
          <t>Cape Projects Construction (Pty) Ltd</t>
        </is>
      </c>
      <c r="B2709" s="4" t="n">
        <v>44957</v>
      </c>
      <c r="C2709" s="3" t="inlineStr">
        <is>
          <t>Liabilities</t>
        </is>
      </c>
      <c r="D2709" s="3" t="inlineStr">
        <is>
          <t>860</t>
        </is>
      </c>
      <c r="E2709" s="3" t="inlineStr">
        <is>
          <t>Rounding</t>
        </is>
      </c>
      <c r="F2709" s="3" t="n">
        <v>-0.02</v>
      </c>
      <c r="G2709" s="3" t="n">
        <v>123.42</v>
      </c>
    </row>
    <row r="2710">
      <c r="A2710" s="3" t="inlineStr">
        <is>
          <t>Heron Fields (Pty) Ltd</t>
        </is>
      </c>
      <c r="B2710" s="4" t="n">
        <v>44957</v>
      </c>
      <c r="C2710" s="3" t="inlineStr">
        <is>
          <t>Liabilities</t>
        </is>
      </c>
      <c r="D2710" s="3" t="inlineStr">
        <is>
          <t>860</t>
        </is>
      </c>
      <c r="E2710" s="3" t="inlineStr">
        <is>
          <t>Rounding</t>
        </is>
      </c>
      <c r="F2710" s="3" t="n">
        <v>0</v>
      </c>
      <c r="G2710" s="3" t="n">
        <v>0.03</v>
      </c>
    </row>
    <row r="2711">
      <c r="A2711" s="3" t="inlineStr">
        <is>
          <t>Cape Projects Construction (Pty) Ltd</t>
        </is>
      </c>
      <c r="B2711" s="4" t="n">
        <v>44957</v>
      </c>
      <c r="C2711" s="3" t="inlineStr">
        <is>
          <t>Liabilities</t>
        </is>
      </c>
      <c r="D2711" s="3" t="inlineStr">
        <is>
          <t>9000/000</t>
        </is>
      </c>
      <c r="E2711" s="3" t="inlineStr">
        <is>
          <t>Supplier Control Account</t>
        </is>
      </c>
      <c r="F2711" s="3" t="n">
        <v>-533669.78</v>
      </c>
      <c r="G2711" s="3" t="n">
        <v>-2000684.88</v>
      </c>
    </row>
    <row r="2712">
      <c r="A2712" s="3" t="inlineStr">
        <is>
          <t>Heron Fields (Pty) Ltd</t>
        </is>
      </c>
      <c r="B2712" s="4" t="n">
        <v>44957</v>
      </c>
      <c r="C2712" s="3" t="inlineStr">
        <is>
          <t>Liabilities</t>
        </is>
      </c>
      <c r="D2712" s="3" t="inlineStr">
        <is>
          <t>9000/000</t>
        </is>
      </c>
      <c r="E2712" s="3" t="inlineStr">
        <is>
          <t>Supplier Control Account</t>
        </is>
      </c>
      <c r="F2712" s="3" t="n">
        <v>-5134699.75</v>
      </c>
      <c r="G2712" s="3" t="n">
        <v>-113744243.87</v>
      </c>
    </row>
    <row r="2713">
      <c r="A2713" s="3" t="inlineStr">
        <is>
          <t>Heron View (Pty) Ltd</t>
        </is>
      </c>
      <c r="B2713" s="4" t="n">
        <v>44957</v>
      </c>
      <c r="C2713" s="3" t="inlineStr">
        <is>
          <t>Liabilities</t>
        </is>
      </c>
      <c r="D2713" s="3" t="inlineStr">
        <is>
          <t>9000/000</t>
        </is>
      </c>
      <c r="E2713" s="3" t="inlineStr">
        <is>
          <t>Supplier Control Account</t>
        </is>
      </c>
      <c r="F2713" s="3" t="n">
        <v>-2301788.75</v>
      </c>
      <c r="G2713" s="3" t="n">
        <v>-3692688.92</v>
      </c>
    </row>
    <row r="2714">
      <c r="A2714" s="3" t="inlineStr">
        <is>
          <t>Cape Projects Construction (Pty) Ltd</t>
        </is>
      </c>
      <c r="B2714" s="4" t="n">
        <v>44957</v>
      </c>
      <c r="C2714" s="3" t="inlineStr">
        <is>
          <t>Liabilities</t>
        </is>
      </c>
      <c r="D2714" s="3" t="inlineStr">
        <is>
          <t>9200/000</t>
        </is>
      </c>
      <c r="E2714" s="3" t="inlineStr">
        <is>
          <t>Sundry Suppliers</t>
        </is>
      </c>
      <c r="F2714" s="3" t="n">
        <v>0</v>
      </c>
      <c r="G2714" s="3" t="n">
        <v>1186.13</v>
      </c>
    </row>
    <row r="2715">
      <c r="A2715" s="3" t="inlineStr">
        <is>
          <t>Cape Projects Construction (Pty) Ltd</t>
        </is>
      </c>
      <c r="B2715" s="4" t="n">
        <v>44957</v>
      </c>
      <c r="C2715" s="3" t="inlineStr">
        <is>
          <t>Liabilities</t>
        </is>
      </c>
      <c r="D2715" s="3" t="inlineStr">
        <is>
          <t>9250/010</t>
        </is>
      </c>
      <c r="E2715" s="3" t="inlineStr">
        <is>
          <t>SALARY CONTROL</t>
        </is>
      </c>
      <c r="F2715" s="3" t="n">
        <v>0</v>
      </c>
      <c r="G2715" s="3" t="n">
        <v>20758.55</v>
      </c>
    </row>
    <row r="2716">
      <c r="A2716" s="3" t="inlineStr">
        <is>
          <t>Cape Projects Construction (Pty) Ltd</t>
        </is>
      </c>
      <c r="B2716" s="4" t="n">
        <v>44957</v>
      </c>
      <c r="C2716" s="3" t="inlineStr">
        <is>
          <t>Liabilities</t>
        </is>
      </c>
      <c r="D2716" s="3" t="inlineStr">
        <is>
          <t>9250/020</t>
        </is>
      </c>
      <c r="E2716" s="3" t="inlineStr">
        <is>
          <t>PAYE, UIF AND SDL CONTROL</t>
        </is>
      </c>
      <c r="F2716" s="3" t="n">
        <v>-42845.89</v>
      </c>
      <c r="G2716" s="3" t="n">
        <v>-73275.89</v>
      </c>
    </row>
    <row r="2717">
      <c r="A2717" s="3" t="inlineStr">
        <is>
          <t>Cape Projects Construction (Pty) Ltd</t>
        </is>
      </c>
      <c r="B2717" s="4" t="n">
        <v>44957</v>
      </c>
      <c r="C2717" s="3" t="inlineStr">
        <is>
          <t>Liabilities</t>
        </is>
      </c>
      <c r="D2717" s="3" t="inlineStr">
        <is>
          <t>9250/030</t>
        </is>
      </c>
      <c r="E2717" s="3" t="inlineStr">
        <is>
          <t>BIBC CONTROL</t>
        </is>
      </c>
      <c r="F2717" s="3" t="n">
        <v>-6809.25</v>
      </c>
      <c r="G2717" s="3" t="n">
        <v>-24967.25</v>
      </c>
    </row>
    <row r="2718">
      <c r="A2718" s="3" t="inlineStr">
        <is>
          <t>Cape Projects Construction (Pty) Ltd</t>
        </is>
      </c>
      <c r="B2718" s="4" t="n">
        <v>44957</v>
      </c>
      <c r="C2718" s="3" t="inlineStr">
        <is>
          <t>Liabilities</t>
        </is>
      </c>
      <c r="D2718" s="3" t="inlineStr">
        <is>
          <t>9500/000</t>
        </is>
      </c>
      <c r="E2718" s="3" t="inlineStr">
        <is>
          <t>VAT Control Account</t>
        </is>
      </c>
      <c r="F2718" s="3" t="n">
        <v>-99288.69</v>
      </c>
      <c r="G2718" s="3" t="n">
        <v>-290856.08</v>
      </c>
    </row>
    <row r="2719">
      <c r="A2719" s="3" t="inlineStr">
        <is>
          <t>Heron Fields (Pty) Ltd</t>
        </is>
      </c>
      <c r="B2719" s="4" t="n">
        <v>44957</v>
      </c>
      <c r="C2719" s="3" t="inlineStr">
        <is>
          <t>Liabilities</t>
        </is>
      </c>
      <c r="D2719" s="3" t="inlineStr">
        <is>
          <t>9500/000</t>
        </is>
      </c>
      <c r="E2719" s="3" t="inlineStr">
        <is>
          <t>Vat / Tax Control Account</t>
        </is>
      </c>
      <c r="F2719" s="3" t="n">
        <v>33334.91</v>
      </c>
      <c r="G2719" s="3" t="n">
        <v>-1817228.33</v>
      </c>
    </row>
    <row r="2720">
      <c r="A2720" s="3" t="inlineStr">
        <is>
          <t>Heron View (Pty) Ltd</t>
        </is>
      </c>
      <c r="B2720" s="4" t="n">
        <v>44957</v>
      </c>
      <c r="C2720" s="3" t="inlineStr">
        <is>
          <t>Liabilities</t>
        </is>
      </c>
      <c r="D2720" s="3" t="inlineStr">
        <is>
          <t>9500/000</t>
        </is>
      </c>
      <c r="E2720" s="3" t="inlineStr">
        <is>
          <t>Vat / Tax Control Account</t>
        </is>
      </c>
      <c r="F2720" s="3" t="n">
        <v>339498.93</v>
      </c>
      <c r="G2720" s="3" t="n">
        <v>756363.65</v>
      </c>
    </row>
    <row r="2721">
      <c r="A2721" s="3" t="inlineStr">
        <is>
          <t>Heron Fields (Pty) Ltd</t>
        </is>
      </c>
      <c r="B2721" s="4" t="n">
        <v>44957</v>
      </c>
      <c r="C2721" s="3" t="inlineStr">
        <is>
          <t>Liabilities</t>
        </is>
      </c>
      <c r="D2721" s="3" t="inlineStr">
        <is>
          <t>9899/A101</t>
        </is>
      </c>
      <c r="E2721" s="3" t="inlineStr">
        <is>
          <t>Sales - Unit Reg Control A101</t>
        </is>
      </c>
      <c r="F2721" s="3" t="n">
        <v>0</v>
      </c>
      <c r="G2721" s="3" t="n">
        <v>74995</v>
      </c>
    </row>
    <row r="2722">
      <c r="A2722" s="3" t="inlineStr">
        <is>
          <t>Heron Fields (Pty) Ltd</t>
        </is>
      </c>
      <c r="B2722" s="4" t="n">
        <v>44957</v>
      </c>
      <c r="C2722" s="3" t="inlineStr">
        <is>
          <t>Liabilities</t>
        </is>
      </c>
      <c r="D2722" s="3" t="inlineStr">
        <is>
          <t>9899/A102</t>
        </is>
      </c>
      <c r="E2722" s="3" t="inlineStr">
        <is>
          <t>Sales - Unit Reg Control A102</t>
        </is>
      </c>
      <c r="F2722" s="3" t="n">
        <v>-74995</v>
      </c>
      <c r="G2722" s="3" t="n">
        <v>0</v>
      </c>
    </row>
    <row r="2723">
      <c r="A2723" s="3" t="inlineStr">
        <is>
          <t>Heron Fields (Pty) Ltd</t>
        </is>
      </c>
      <c r="B2723" s="4" t="n">
        <v>44957</v>
      </c>
      <c r="C2723" s="3" t="inlineStr">
        <is>
          <t>Liabilities</t>
        </is>
      </c>
      <c r="D2723" s="3" t="inlineStr">
        <is>
          <t>9899/A103</t>
        </is>
      </c>
      <c r="E2723" s="3" t="inlineStr">
        <is>
          <t>Sales - Unit Reg Control A103</t>
        </is>
      </c>
      <c r="F2723" s="3" t="n">
        <v>-77495</v>
      </c>
      <c r="G2723" s="3" t="n">
        <v>0</v>
      </c>
    </row>
    <row r="2724">
      <c r="A2724" s="3" t="inlineStr">
        <is>
          <t>Heron Fields (Pty) Ltd</t>
        </is>
      </c>
      <c r="B2724" s="4" t="n">
        <v>44957</v>
      </c>
      <c r="C2724" s="3" t="inlineStr">
        <is>
          <t>Liabilities</t>
        </is>
      </c>
      <c r="D2724" s="3" t="inlineStr">
        <is>
          <t>9899/A105</t>
        </is>
      </c>
      <c r="E2724" s="3" t="inlineStr">
        <is>
          <t>Sales - Unit Reg Control A105</t>
        </is>
      </c>
      <c r="F2724" s="3" t="n">
        <v>0</v>
      </c>
      <c r="G2724" s="3" t="n">
        <v>76995</v>
      </c>
    </row>
    <row r="2725">
      <c r="A2725" s="3" t="inlineStr">
        <is>
          <t>Heron Fields (Pty) Ltd</t>
        </is>
      </c>
      <c r="B2725" s="4" t="n">
        <v>44957</v>
      </c>
      <c r="C2725" s="3" t="inlineStr">
        <is>
          <t>Liabilities</t>
        </is>
      </c>
      <c r="D2725" s="3" t="inlineStr">
        <is>
          <t>9899/A106</t>
        </is>
      </c>
      <c r="E2725" s="3" t="inlineStr">
        <is>
          <t>Sales - Unit Reg Control A106</t>
        </is>
      </c>
      <c r="F2725" s="3" t="n">
        <v>0</v>
      </c>
      <c r="G2725" s="3" t="n">
        <v>77495</v>
      </c>
    </row>
    <row r="2726">
      <c r="A2726" s="3" t="inlineStr">
        <is>
          <t>Heron Fields (Pty) Ltd</t>
        </is>
      </c>
      <c r="B2726" s="4" t="n">
        <v>44957</v>
      </c>
      <c r="C2726" s="3" t="inlineStr">
        <is>
          <t>Liabilities</t>
        </is>
      </c>
      <c r="D2726" s="3" t="inlineStr">
        <is>
          <t>9899/A201</t>
        </is>
      </c>
      <c r="E2726" s="3" t="inlineStr">
        <is>
          <t>Sales - Unit Reg Control A201</t>
        </is>
      </c>
      <c r="F2726" s="3" t="n">
        <v>-62495</v>
      </c>
      <c r="G2726" s="3" t="n">
        <v>0</v>
      </c>
    </row>
    <row r="2727">
      <c r="A2727" s="3" t="inlineStr">
        <is>
          <t>Heron Fields (Pty) Ltd</t>
        </is>
      </c>
      <c r="B2727" s="4" t="n">
        <v>44957</v>
      </c>
      <c r="C2727" s="3" t="inlineStr">
        <is>
          <t>Liabilities</t>
        </is>
      </c>
      <c r="D2727" s="3" t="inlineStr">
        <is>
          <t>9899/A204</t>
        </is>
      </c>
      <c r="E2727" s="3" t="inlineStr">
        <is>
          <t>Sales - Unit Reg Control A204</t>
        </is>
      </c>
      <c r="F2727" s="3" t="n">
        <v>-64995</v>
      </c>
      <c r="G2727" s="3" t="n">
        <v>0</v>
      </c>
    </row>
    <row r="2728">
      <c r="A2728" s="3" t="inlineStr">
        <is>
          <t>Heron Fields (Pty) Ltd</t>
        </is>
      </c>
      <c r="B2728" s="4" t="n">
        <v>44957</v>
      </c>
      <c r="C2728" s="3" t="inlineStr">
        <is>
          <t>Liabilities</t>
        </is>
      </c>
      <c r="D2728" s="3" t="inlineStr">
        <is>
          <t>9899/A206</t>
        </is>
      </c>
      <c r="E2728" s="3" t="inlineStr">
        <is>
          <t>Sales - Unit Reg Control A206</t>
        </is>
      </c>
      <c r="F2728" s="3" t="n">
        <v>-67495</v>
      </c>
      <c r="G2728" s="3" t="n">
        <v>0</v>
      </c>
    </row>
    <row r="2729">
      <c r="A2729" s="3" t="inlineStr">
        <is>
          <t>Heron Fields (Pty) Ltd</t>
        </is>
      </c>
      <c r="B2729" s="4" t="n">
        <v>44957</v>
      </c>
      <c r="C2729" s="3" t="inlineStr">
        <is>
          <t>Liabilities</t>
        </is>
      </c>
      <c r="D2729" s="3" t="inlineStr">
        <is>
          <t>9899/A303</t>
        </is>
      </c>
      <c r="E2729" s="3" t="inlineStr">
        <is>
          <t>Sales - Unit Reg Control A303</t>
        </is>
      </c>
      <c r="F2729" s="3" t="n">
        <v>-67495</v>
      </c>
      <c r="G2729" s="3" t="n">
        <v>0</v>
      </c>
    </row>
    <row r="2730">
      <c r="A2730" s="3" t="inlineStr">
        <is>
          <t>Heron Fields (Pty) Ltd</t>
        </is>
      </c>
      <c r="B2730" s="4" t="n">
        <v>44957</v>
      </c>
      <c r="C2730" s="3" t="inlineStr">
        <is>
          <t>Liabilities</t>
        </is>
      </c>
      <c r="D2730" s="3" t="inlineStr">
        <is>
          <t>9899/A306</t>
        </is>
      </c>
      <c r="E2730" s="3" t="inlineStr">
        <is>
          <t>Sales - Unit Reg Control A306</t>
        </is>
      </c>
      <c r="F2730" s="3" t="n">
        <v>0</v>
      </c>
      <c r="G2730" s="3" t="n">
        <v>69495</v>
      </c>
    </row>
    <row r="2731">
      <c r="A2731" s="3" t="inlineStr">
        <is>
          <t>Heron Fields (Pty) Ltd</t>
        </is>
      </c>
      <c r="B2731" s="4" t="n">
        <v>44957</v>
      </c>
      <c r="C2731" s="3" t="inlineStr">
        <is>
          <t>Liabilities</t>
        </is>
      </c>
      <c r="D2731" s="3" t="inlineStr">
        <is>
          <t>9899/B102</t>
        </is>
      </c>
      <c r="E2731" s="3" t="inlineStr">
        <is>
          <t>Sales - Unit Reg Control B102</t>
        </is>
      </c>
      <c r="F2731" s="3" t="n">
        <v>0</v>
      </c>
      <c r="G2731" s="3" t="n">
        <v>77995</v>
      </c>
    </row>
    <row r="2732">
      <c r="A2732" s="3" t="inlineStr">
        <is>
          <t>Heron Fields (Pty) Ltd</t>
        </is>
      </c>
      <c r="B2732" s="4" t="n">
        <v>44957</v>
      </c>
      <c r="C2732" s="3" t="inlineStr">
        <is>
          <t>Liabilities</t>
        </is>
      </c>
      <c r="D2732" s="3" t="inlineStr">
        <is>
          <t>9899/B103</t>
        </is>
      </c>
      <c r="E2732" s="3" t="inlineStr">
        <is>
          <t>Sales - Unit Reg Control B103</t>
        </is>
      </c>
      <c r="F2732" s="3" t="n">
        <v>-76745</v>
      </c>
      <c r="G2732" s="3" t="n">
        <v>0</v>
      </c>
    </row>
    <row r="2733">
      <c r="A2733" s="3" t="inlineStr">
        <is>
          <t>Heron Fields (Pty) Ltd</t>
        </is>
      </c>
      <c r="B2733" s="4" t="n">
        <v>44957</v>
      </c>
      <c r="C2733" s="3" t="inlineStr">
        <is>
          <t>Liabilities</t>
        </is>
      </c>
      <c r="D2733" s="3" t="inlineStr">
        <is>
          <t>9899/B106</t>
        </is>
      </c>
      <c r="E2733" s="3" t="inlineStr">
        <is>
          <t>Sales - Unit Reg Control B106</t>
        </is>
      </c>
      <c r="F2733" s="3" t="n">
        <v>20814.5</v>
      </c>
      <c r="G2733" s="3" t="n">
        <v>20814.5</v>
      </c>
    </row>
    <row r="2734">
      <c r="A2734" s="3" t="inlineStr">
        <is>
          <t>Heron Fields (Pty) Ltd</t>
        </is>
      </c>
      <c r="B2734" s="4" t="n">
        <v>44957</v>
      </c>
      <c r="C2734" s="3" t="inlineStr">
        <is>
          <t>Liabilities</t>
        </is>
      </c>
      <c r="D2734" s="3" t="inlineStr">
        <is>
          <t>9899/B301</t>
        </is>
      </c>
      <c r="E2734" s="3" t="inlineStr">
        <is>
          <t>Sales - Unit Reg Control B301</t>
        </is>
      </c>
      <c r="F2734" s="3" t="n">
        <v>19408.29</v>
      </c>
      <c r="G2734" s="3" t="n">
        <v>19408.29</v>
      </c>
    </row>
    <row r="2735">
      <c r="A2735" s="3" t="inlineStr">
        <is>
          <t>Heron Fields (Pty) Ltd</t>
        </is>
      </c>
      <c r="B2735" s="4" t="n">
        <v>44957</v>
      </c>
      <c r="C2735" s="3" t="inlineStr">
        <is>
          <t>Liabilities</t>
        </is>
      </c>
      <c r="D2735" s="3" t="inlineStr">
        <is>
          <t>9899/B302</t>
        </is>
      </c>
      <c r="E2735" s="3" t="inlineStr">
        <is>
          <t>Sales - Unit Reg Control B302</t>
        </is>
      </c>
      <c r="F2735" s="3" t="n">
        <v>40222.79</v>
      </c>
      <c r="G2735" s="3" t="n">
        <v>40222.79</v>
      </c>
    </row>
    <row r="2736">
      <c r="A2736" s="3" t="inlineStr">
        <is>
          <t>Cape Projects Construction (Pty) Ltd</t>
        </is>
      </c>
      <c r="B2736" s="4" t="n">
        <v>44957</v>
      </c>
      <c r="C2736" s="3" t="inlineStr">
        <is>
          <t>Liabilities</t>
        </is>
      </c>
      <c r="D2736" s="3" t="inlineStr">
        <is>
          <t>B/S</t>
        </is>
      </c>
      <c r="E2736" s="3" t="inlineStr">
        <is>
          <t>Taxation Payable</t>
        </is>
      </c>
      <c r="F2736" s="3" t="n">
        <v>0</v>
      </c>
      <c r="G2736" s="3" t="n">
        <v>1869.8</v>
      </c>
    </row>
    <row r="2737">
      <c r="A2737" s="3" t="inlineStr">
        <is>
          <t>Cape Projects Construction (Pty) Ltd</t>
        </is>
      </c>
      <c r="B2737" s="4" t="n">
        <v>44957</v>
      </c>
      <c r="C2737" s="3" t="inlineStr">
        <is>
          <t>Liabilities</t>
        </is>
      </c>
      <c r="D2737" s="3" t="inlineStr">
        <is>
          <t>TEMP/ACC</t>
        </is>
      </c>
      <c r="E2737" s="3" t="inlineStr">
        <is>
          <t>Conversion Account</t>
        </is>
      </c>
      <c r="F2737" s="3" t="n">
        <v>0</v>
      </c>
      <c r="G2737" s="3" t="n">
        <v>-254.99</v>
      </c>
    </row>
    <row r="2738">
      <c r="A2738" s="3" t="inlineStr">
        <is>
          <t>Heron Fields (Pty) Ltd</t>
        </is>
      </c>
      <c r="B2738" s="4" t="n">
        <v>44985</v>
      </c>
      <c r="C2738" s="3" t="inlineStr">
        <is>
          <t>Revenue</t>
        </is>
      </c>
      <c r="D2738" s="3" t="inlineStr">
        <is>
          <t>1000/100</t>
        </is>
      </c>
      <c r="E2738" s="3" t="inlineStr">
        <is>
          <t>Sales - Heron Fields</t>
        </is>
      </c>
      <c r="F2738" s="3" t="n">
        <v>-2765043.48</v>
      </c>
      <c r="G2738" s="3" t="n">
        <v>-36420086.97</v>
      </c>
    </row>
    <row r="2739">
      <c r="A2739" s="3" t="inlineStr">
        <is>
          <t>Heron Fields (Pty) Ltd</t>
        </is>
      </c>
      <c r="B2739" s="4" t="n">
        <v>44985</v>
      </c>
      <c r="C2739" s="3" t="inlineStr">
        <is>
          <t>Revenue</t>
        </is>
      </c>
      <c r="D2739" s="3" t="inlineStr">
        <is>
          <t>1000/101</t>
        </is>
      </c>
      <c r="E2739" s="3" t="inlineStr">
        <is>
          <t>Sales - Heron Fields occupational rent</t>
        </is>
      </c>
      <c r="F2739" s="3" t="n">
        <v>0</v>
      </c>
      <c r="G2739" s="3" t="n">
        <v>-112833.33</v>
      </c>
    </row>
    <row r="2740">
      <c r="A2740" s="3" t="inlineStr">
        <is>
          <t>Heron Fields (Pty) Ltd</t>
        </is>
      </c>
      <c r="B2740" s="4" t="n">
        <v>44985</v>
      </c>
      <c r="C2740" s="3" t="inlineStr">
        <is>
          <t>Revenue</t>
        </is>
      </c>
      <c r="D2740" s="3" t="inlineStr">
        <is>
          <t>1005/100</t>
        </is>
      </c>
      <c r="E2740" s="3" t="inlineStr">
        <is>
          <t>Bond Origination</t>
        </is>
      </c>
      <c r="F2740" s="3" t="n">
        <v>35916.78</v>
      </c>
      <c r="G2740" s="3" t="n">
        <v>0</v>
      </c>
    </row>
    <row r="2741">
      <c r="A2741" s="3" t="inlineStr">
        <is>
          <t>Cape Projects Construction (Pty) Ltd</t>
        </is>
      </c>
      <c r="B2741" s="4" t="n">
        <v>44985</v>
      </c>
      <c r="C2741" s="3" t="inlineStr">
        <is>
          <t>Revenue</t>
        </is>
      </c>
      <c r="D2741" s="3" t="inlineStr">
        <is>
          <t>1040/100</t>
        </is>
      </c>
      <c r="E2741" s="3" t="inlineStr">
        <is>
          <t>Fees - Construction - Heron</t>
        </is>
      </c>
      <c r="F2741" s="3" t="n">
        <v>-4043702.84</v>
      </c>
      <c r="G2741" s="3" t="n">
        <v>-51856469.73</v>
      </c>
    </row>
    <row r="2742">
      <c r="A2742" s="3" t="inlineStr">
        <is>
          <t>Cape Projects Construction (Pty) Ltd</t>
        </is>
      </c>
      <c r="B2742" s="4" t="n">
        <v>44985</v>
      </c>
      <c r="C2742" s="3" t="inlineStr">
        <is>
          <t>Revenue</t>
        </is>
      </c>
      <c r="D2742" s="3" t="inlineStr">
        <is>
          <t>1050/030</t>
        </is>
      </c>
      <c r="E2742" s="3" t="inlineStr">
        <is>
          <t>Fees - Construction - Endulini</t>
        </is>
      </c>
      <c r="F2742" s="3" t="n">
        <v>0</v>
      </c>
      <c r="G2742" s="3" t="n">
        <v>-12046638.06</v>
      </c>
    </row>
    <row r="2743">
      <c r="A2743" s="3" t="inlineStr">
        <is>
          <t>Cape Projects Construction (Pty) Ltd</t>
        </is>
      </c>
      <c r="B2743" s="4" t="n">
        <v>44985</v>
      </c>
      <c r="C2743" s="3" t="inlineStr">
        <is>
          <t>Revenue</t>
        </is>
      </c>
      <c r="D2743" s="3" t="inlineStr">
        <is>
          <t>1051/100</t>
        </is>
      </c>
      <c r="E2743" s="3" t="inlineStr">
        <is>
          <t>Fees - Construction - Heron Fields</t>
        </is>
      </c>
      <c r="F2743" s="3" t="n">
        <v>0</v>
      </c>
      <c r="G2743" s="3" t="n">
        <v>-1782369.8</v>
      </c>
    </row>
    <row r="2744">
      <c r="A2744" s="3" t="inlineStr">
        <is>
          <t>Cape Projects Construction (Pty) Ltd</t>
        </is>
      </c>
      <c r="B2744" s="4" t="n">
        <v>44985</v>
      </c>
      <c r="C2744" s="3" t="inlineStr">
        <is>
          <t>Revenue</t>
        </is>
      </c>
      <c r="D2744" s="3" t="inlineStr">
        <is>
          <t>1051/200</t>
        </is>
      </c>
      <c r="E2744" s="3" t="inlineStr">
        <is>
          <t>Fees - Construction - Heron Fields P&amp;G</t>
        </is>
      </c>
      <c r="F2744" s="3" t="n">
        <v>0</v>
      </c>
      <c r="G2744" s="3" t="n">
        <v>1616.91</v>
      </c>
    </row>
    <row r="2745">
      <c r="A2745" s="3" t="inlineStr">
        <is>
          <t>Cape Projects Construction (Pty) Ltd</t>
        </is>
      </c>
      <c r="B2745" s="4" t="n">
        <v>44985</v>
      </c>
      <c r="C2745" s="3" t="inlineStr">
        <is>
          <t>Revenue</t>
        </is>
      </c>
      <c r="D2745" s="3" t="inlineStr">
        <is>
          <t>1060/000</t>
        </is>
      </c>
      <c r="E2745" s="3" t="inlineStr">
        <is>
          <t>Insurance recovery</t>
        </is>
      </c>
      <c r="F2745" s="3" t="n">
        <v>0</v>
      </c>
      <c r="G2745" s="3" t="n">
        <v>-2839.7</v>
      </c>
    </row>
    <row r="2746">
      <c r="A2746" s="3" t="inlineStr">
        <is>
          <t>Cape Projects Construction (Pty) Ltd</t>
        </is>
      </c>
      <c r="B2746" s="4" t="n">
        <v>44985</v>
      </c>
      <c r="C2746" s="3" t="inlineStr">
        <is>
          <t>Revenue</t>
        </is>
      </c>
      <c r="D2746" s="3" t="inlineStr">
        <is>
          <t>1070/000</t>
        </is>
      </c>
      <c r="E2746" s="3" t="inlineStr">
        <is>
          <t>Rent - CT Office</t>
        </is>
      </c>
      <c r="F2746" s="3" t="n">
        <v>0</v>
      </c>
      <c r="G2746" s="3" t="n">
        <v>-31418.46</v>
      </c>
    </row>
    <row r="2747">
      <c r="A2747" s="3" t="inlineStr">
        <is>
          <t>Heron View (Pty) Ltd</t>
        </is>
      </c>
      <c r="B2747" s="4" t="n">
        <v>44985</v>
      </c>
      <c r="C2747" s="3" t="inlineStr">
        <is>
          <t>Expenses</t>
        </is>
      </c>
      <c r="D2747" s="3" t="inlineStr">
        <is>
          <t>2000/010</t>
        </is>
      </c>
      <c r="E2747" s="3" t="inlineStr">
        <is>
          <t>COS - Heron View</t>
        </is>
      </c>
      <c r="F2747" s="3" t="n">
        <v>0</v>
      </c>
      <c r="G2747" s="3" t="n">
        <v>678.59</v>
      </c>
    </row>
    <row r="2748">
      <c r="A2748" s="3" t="inlineStr">
        <is>
          <t>Heron Fields (Pty) Ltd</t>
        </is>
      </c>
      <c r="B2748" s="4" t="n">
        <v>44985</v>
      </c>
      <c r="C2748" s="3" t="inlineStr">
        <is>
          <t>Expenses</t>
        </is>
      </c>
      <c r="D2748" s="3" t="inlineStr">
        <is>
          <t>2000/030</t>
        </is>
      </c>
      <c r="E2748" s="3" t="inlineStr">
        <is>
          <t>COS - Commission Heron Fields investors</t>
        </is>
      </c>
      <c r="F2748" s="3" t="n">
        <v>0</v>
      </c>
      <c r="G2748" s="3" t="n">
        <v>86956.52</v>
      </c>
    </row>
    <row r="2749">
      <c r="A2749" s="3" t="inlineStr">
        <is>
          <t>Heron Fields (Pty) Ltd</t>
        </is>
      </c>
      <c r="B2749" s="4" t="n">
        <v>44985</v>
      </c>
      <c r="C2749" s="3" t="inlineStr">
        <is>
          <t>Expenses</t>
        </is>
      </c>
      <c r="D2749" s="3" t="inlineStr">
        <is>
          <t>2000/040</t>
        </is>
      </c>
      <c r="E2749" s="3" t="inlineStr">
        <is>
          <t>COS - Legal Fees</t>
        </is>
      </c>
      <c r="F2749" s="3" t="n">
        <v>143541.28</v>
      </c>
      <c r="G2749" s="3" t="n">
        <v>924384.58</v>
      </c>
    </row>
    <row r="2750">
      <c r="A2750" s="3" t="inlineStr">
        <is>
          <t>Heron Fields (Pty) Ltd</t>
        </is>
      </c>
      <c r="B2750" s="4" t="n">
        <v>44985</v>
      </c>
      <c r="C2750" s="3" t="inlineStr">
        <is>
          <t>Expenses</t>
        </is>
      </c>
      <c r="D2750" s="3" t="inlineStr">
        <is>
          <t>2000/041</t>
        </is>
      </c>
      <c r="E2750" s="3" t="inlineStr">
        <is>
          <t>COS - Legal Fees Opening of Sec Title Scheme</t>
        </is>
      </c>
      <c r="F2750" s="3" t="n">
        <v>15988</v>
      </c>
      <c r="G2750" s="3" t="n">
        <v>15988</v>
      </c>
    </row>
    <row r="2751">
      <c r="A2751" s="3" t="inlineStr">
        <is>
          <t>Heron Fields (Pty) Ltd</t>
        </is>
      </c>
      <c r="B2751" s="4" t="n">
        <v>44985</v>
      </c>
      <c r="C2751" s="3" t="inlineStr">
        <is>
          <t>Expenses</t>
        </is>
      </c>
      <c r="D2751" s="3" t="inlineStr">
        <is>
          <t>2000/050</t>
        </is>
      </c>
      <c r="E2751" s="3" t="inlineStr">
        <is>
          <t>COS - Rates clearance</t>
        </is>
      </c>
      <c r="F2751" s="3" t="n">
        <v>0</v>
      </c>
      <c r="G2751" s="3" t="n">
        <v>9738.91</v>
      </c>
    </row>
    <row r="2752">
      <c r="A2752" s="3" t="inlineStr">
        <is>
          <t>Heron Fields (Pty) Ltd</t>
        </is>
      </c>
      <c r="B2752" s="4" t="n">
        <v>44985</v>
      </c>
      <c r="C2752" s="3" t="inlineStr">
        <is>
          <t>Expenses</t>
        </is>
      </c>
      <c r="D2752" s="3" t="inlineStr">
        <is>
          <t>2000/060</t>
        </is>
      </c>
      <c r="E2752" s="3" t="inlineStr">
        <is>
          <t>COS - Levies</t>
        </is>
      </c>
      <c r="F2752" s="3" t="n">
        <v>63374.28</v>
      </c>
      <c r="G2752" s="3" t="n">
        <v>280478.4</v>
      </c>
    </row>
    <row r="2753">
      <c r="A2753" s="3" t="inlineStr">
        <is>
          <t>Heron Fields (Pty) Ltd</t>
        </is>
      </c>
      <c r="B2753" s="4" t="n">
        <v>44985</v>
      </c>
      <c r="C2753" s="3" t="inlineStr">
        <is>
          <t>Expenses</t>
        </is>
      </c>
      <c r="D2753" s="3" t="inlineStr">
        <is>
          <t>2000/070</t>
        </is>
      </c>
      <c r="E2753" s="3" t="inlineStr">
        <is>
          <t>COS - Commission HF Units</t>
        </is>
      </c>
      <c r="F2753" s="3" t="n">
        <v>466056.51</v>
      </c>
      <c r="G2753" s="3" t="n">
        <v>1822091.28</v>
      </c>
    </row>
    <row r="2754">
      <c r="A2754" s="3" t="inlineStr">
        <is>
          <t>Heron Fields (Pty) Ltd</t>
        </is>
      </c>
      <c r="B2754" s="4" t="n">
        <v>44985</v>
      </c>
      <c r="C2754" s="3" t="inlineStr">
        <is>
          <t>Expenses</t>
        </is>
      </c>
      <c r="D2754" s="3" t="inlineStr">
        <is>
          <t>2000/080</t>
        </is>
      </c>
      <c r="E2754" s="3" t="inlineStr">
        <is>
          <t>COS - Showhouse - HF</t>
        </is>
      </c>
      <c r="F2754" s="3" t="n">
        <v>28465.91</v>
      </c>
      <c r="G2754" s="3" t="n">
        <v>28465.91</v>
      </c>
    </row>
    <row r="2755">
      <c r="A2755" s="3" t="inlineStr">
        <is>
          <t>Cape Projects Construction (Pty) Ltd</t>
        </is>
      </c>
      <c r="B2755" s="4" t="n">
        <v>44985</v>
      </c>
      <c r="C2755" s="3" t="inlineStr">
        <is>
          <t>Expenses</t>
        </is>
      </c>
      <c r="D2755" s="3" t="inlineStr">
        <is>
          <t>2001/041</t>
        </is>
      </c>
      <c r="E2755" s="3" t="inlineStr">
        <is>
          <t>COS - Site Establishment - Security</t>
        </is>
      </c>
      <c r="F2755" s="3" t="n">
        <v>3500</v>
      </c>
      <c r="G2755" s="3" t="n">
        <v>3500</v>
      </c>
    </row>
    <row r="2756">
      <c r="A2756" s="3" t="inlineStr">
        <is>
          <t>Cape Projects Construction (Pty) Ltd</t>
        </is>
      </c>
      <c r="B2756" s="4" t="n">
        <v>44985</v>
      </c>
      <c r="C2756" s="3" t="inlineStr">
        <is>
          <t>Expenses</t>
        </is>
      </c>
      <c r="D2756" s="3" t="inlineStr">
        <is>
          <t>2001/054</t>
        </is>
      </c>
      <c r="E2756" s="3" t="inlineStr">
        <is>
          <t>COS - Units - Cement</t>
        </is>
      </c>
      <c r="F2756" s="3" t="n">
        <v>0</v>
      </c>
      <c r="G2756" s="3" t="n">
        <v>6160.34</v>
      </c>
    </row>
    <row r="2757">
      <c r="A2757" s="3" t="inlineStr">
        <is>
          <t>Cape Projects Construction (Pty) Ltd</t>
        </is>
      </c>
      <c r="B2757" s="4" t="n">
        <v>44985</v>
      </c>
      <c r="C2757" s="3" t="inlineStr">
        <is>
          <t>Expenses</t>
        </is>
      </c>
      <c r="D2757" s="3" t="inlineStr">
        <is>
          <t>2001/063</t>
        </is>
      </c>
      <c r="E2757" s="3" t="inlineStr">
        <is>
          <t>COS - Units Plumbing Supply_AND_Fit</t>
        </is>
      </c>
      <c r="F2757" s="3" t="n">
        <v>0</v>
      </c>
      <c r="G2757" s="3" t="n">
        <v>250</v>
      </c>
    </row>
    <row r="2758">
      <c r="A2758" s="3" t="inlineStr">
        <is>
          <t>Cape Projects Construction (Pty) Ltd</t>
        </is>
      </c>
      <c r="B2758" s="4" t="n">
        <v>44985</v>
      </c>
      <c r="C2758" s="3" t="inlineStr">
        <is>
          <t>Expenses</t>
        </is>
      </c>
      <c r="D2758" s="3" t="inlineStr">
        <is>
          <t>2001/064</t>
        </is>
      </c>
      <c r="E2758" s="3" t="inlineStr">
        <is>
          <t>COS - Plumbing Sanware</t>
        </is>
      </c>
      <c r="F2758" s="3" t="n">
        <v>0</v>
      </c>
      <c r="G2758" s="3" t="n">
        <v>1876.17</v>
      </c>
    </row>
    <row r="2759">
      <c r="A2759" s="3" t="inlineStr">
        <is>
          <t>Cape Projects Construction (Pty) Ltd</t>
        </is>
      </c>
      <c r="B2759" s="4" t="n">
        <v>44985</v>
      </c>
      <c r="C2759" s="3" t="inlineStr">
        <is>
          <t>Expenses</t>
        </is>
      </c>
      <c r="D2759" s="3" t="inlineStr">
        <is>
          <t>2001/085</t>
        </is>
      </c>
      <c r="E2759" s="3" t="inlineStr">
        <is>
          <t>COS - Units - Outside work - Paving</t>
        </is>
      </c>
      <c r="F2759" s="3" t="n">
        <v>0</v>
      </c>
      <c r="G2759" s="3" t="n">
        <v>4440.61</v>
      </c>
    </row>
    <row r="2760">
      <c r="A2760" s="3" t="inlineStr">
        <is>
          <t>Cape Projects Construction (Pty) Ltd</t>
        </is>
      </c>
      <c r="B2760" s="4" t="n">
        <v>44985</v>
      </c>
      <c r="C2760" s="3" t="inlineStr">
        <is>
          <t>Expenses</t>
        </is>
      </c>
      <c r="D2760" s="3" t="inlineStr">
        <is>
          <t>2002/240</t>
        </is>
      </c>
      <c r="E2760" s="3" t="inlineStr">
        <is>
          <t>COS - Health _AND_ Safety</t>
        </is>
      </c>
      <c r="F2760" s="3" t="n">
        <v>18418</v>
      </c>
      <c r="G2760" s="3" t="n">
        <v>18418</v>
      </c>
    </row>
    <row r="2761">
      <c r="A2761" s="3" t="inlineStr">
        <is>
          <t>Cape Projects Construction (Pty) Ltd</t>
        </is>
      </c>
      <c r="B2761" s="4" t="n">
        <v>44985</v>
      </c>
      <c r="C2761" s="3" t="inlineStr">
        <is>
          <t>Expenses</t>
        </is>
      </c>
      <c r="D2761" s="3" t="inlineStr">
        <is>
          <t>2003/081</t>
        </is>
      </c>
      <c r="E2761" s="3" t="inlineStr">
        <is>
          <t>COS - Internet - Fibre SUPPLY _AND_ FIT</t>
        </is>
      </c>
      <c r="F2761" s="3" t="n">
        <v>0</v>
      </c>
      <c r="G2761" s="3" t="n">
        <v>31736.5</v>
      </c>
    </row>
    <row r="2762">
      <c r="A2762" s="3" t="inlineStr">
        <is>
          <t>Cape Projects Construction (Pty) Ltd</t>
        </is>
      </c>
      <c r="B2762" s="4" t="n">
        <v>44985</v>
      </c>
      <c r="C2762" s="3" t="inlineStr">
        <is>
          <t>Expenses</t>
        </is>
      </c>
      <c r="D2762" s="3" t="inlineStr">
        <is>
          <t>2005/000</t>
        </is>
      </c>
      <c r="E2762" s="3" t="inlineStr">
        <is>
          <t>Cost of Sales</t>
        </is>
      </c>
      <c r="F2762" s="3" t="n">
        <v>0</v>
      </c>
      <c r="G2762" s="3" t="n">
        <v>-762078.59</v>
      </c>
    </row>
    <row r="2763">
      <c r="A2763" s="3" t="inlineStr">
        <is>
          <t>Cape Projects Construction (Pty) Ltd</t>
        </is>
      </c>
      <c r="B2763" s="4" t="n">
        <v>44985</v>
      </c>
      <c r="C2763" s="3" t="inlineStr">
        <is>
          <t>Expenses</t>
        </is>
      </c>
      <c r="D2763" s="3" t="inlineStr">
        <is>
          <t>2005/200</t>
        </is>
      </c>
      <c r="E2763" s="3" t="inlineStr">
        <is>
          <t>COS - External Works</t>
        </is>
      </c>
      <c r="F2763" s="3" t="n">
        <v>0</v>
      </c>
      <c r="G2763" s="3" t="n">
        <v>957.28</v>
      </c>
    </row>
    <row r="2764">
      <c r="A2764" s="3" t="inlineStr">
        <is>
          <t>Cape Projects Construction (Pty) Ltd</t>
        </is>
      </c>
      <c r="B2764" s="4" t="n">
        <v>44985</v>
      </c>
      <c r="C2764" s="3" t="inlineStr">
        <is>
          <t>Expenses</t>
        </is>
      </c>
      <c r="D2764" s="3" t="inlineStr">
        <is>
          <t>2006/000</t>
        </is>
      </c>
      <c r="E2764" s="3" t="inlineStr">
        <is>
          <t>COS - Endulini Construction</t>
        </is>
      </c>
      <c r="F2764" s="3" t="n">
        <v>566791.84</v>
      </c>
      <c r="G2764" s="3" t="n">
        <v>17315669.25</v>
      </c>
    </row>
    <row r="2765">
      <c r="A2765" s="3" t="inlineStr">
        <is>
          <t>Cape Projects Construction (Pty) Ltd</t>
        </is>
      </c>
      <c r="B2765" s="4" t="n">
        <v>44985</v>
      </c>
      <c r="C2765" s="3" t="inlineStr">
        <is>
          <t>Expenses</t>
        </is>
      </c>
      <c r="D2765" s="3" t="inlineStr">
        <is>
          <t>2006/100</t>
        </is>
      </c>
      <c r="E2765" s="3" t="inlineStr">
        <is>
          <t>COS - Endulini P and G</t>
        </is>
      </c>
      <c r="F2765" s="3" t="n">
        <v>0</v>
      </c>
      <c r="G2765" s="3" t="n">
        <v>994244.35</v>
      </c>
    </row>
    <row r="2766">
      <c r="A2766" s="3" t="inlineStr">
        <is>
          <t>Cape Projects Construction (Pty) Ltd</t>
        </is>
      </c>
      <c r="B2766" s="4" t="n">
        <v>44985</v>
      </c>
      <c r="C2766" s="3" t="inlineStr">
        <is>
          <t>Expenses</t>
        </is>
      </c>
      <c r="D2766" s="3" t="inlineStr">
        <is>
          <t>2006/200</t>
        </is>
      </c>
      <c r="E2766" s="3" t="inlineStr">
        <is>
          <t>COS - Insurance</t>
        </is>
      </c>
      <c r="F2766" s="3" t="n">
        <v>2719.44</v>
      </c>
      <c r="G2766" s="3" t="n">
        <v>45609.01</v>
      </c>
    </row>
    <row r="2767">
      <c r="A2767" s="3" t="inlineStr">
        <is>
          <t>Cape Projects Construction (Pty) Ltd</t>
        </is>
      </c>
      <c r="B2767" s="4" t="n">
        <v>44985</v>
      </c>
      <c r="C2767" s="3" t="inlineStr">
        <is>
          <t>Expenses</t>
        </is>
      </c>
      <c r="D2767" s="3" t="inlineStr">
        <is>
          <t>2006/300</t>
        </is>
      </c>
      <c r="E2767" s="3" t="inlineStr">
        <is>
          <t>COS - Endulini - Printing &amp; Stationary</t>
        </is>
      </c>
      <c r="F2767" s="3" t="n">
        <v>0</v>
      </c>
      <c r="G2767" s="3" t="n">
        <v>269.65</v>
      </c>
    </row>
    <row r="2768">
      <c r="A2768" s="3" t="inlineStr">
        <is>
          <t>Cape Projects Construction (Pty) Ltd</t>
        </is>
      </c>
      <c r="B2768" s="4" t="n">
        <v>44985</v>
      </c>
      <c r="C2768" s="3" t="inlineStr">
        <is>
          <t>Expenses</t>
        </is>
      </c>
      <c r="D2768" s="3" t="inlineStr">
        <is>
          <t>2006/350</t>
        </is>
      </c>
      <c r="E2768" s="3" t="inlineStr">
        <is>
          <t>COS - Endulini - Security</t>
        </is>
      </c>
      <c r="F2768" s="3" t="n">
        <v>0</v>
      </c>
      <c r="G2768" s="3" t="n">
        <v>11000</v>
      </c>
    </row>
    <row r="2769">
      <c r="A2769" s="3" t="inlineStr">
        <is>
          <t>Cape Projects Construction (Pty) Ltd</t>
        </is>
      </c>
      <c r="B2769" s="4" t="n">
        <v>44985</v>
      </c>
      <c r="C2769" s="3" t="inlineStr">
        <is>
          <t>Expenses</t>
        </is>
      </c>
      <c r="D2769" s="3" t="inlineStr">
        <is>
          <t>2006/400</t>
        </is>
      </c>
      <c r="E2769" s="3" t="inlineStr">
        <is>
          <t>COS - Endulini - Health &amp; Safety</t>
        </is>
      </c>
      <c r="F2769" s="3" t="n">
        <v>0</v>
      </c>
      <c r="G2769" s="3" t="n">
        <v>19600</v>
      </c>
    </row>
    <row r="2770">
      <c r="A2770" s="3" t="inlineStr">
        <is>
          <t>Cape Projects Construction (Pty) Ltd</t>
        </is>
      </c>
      <c r="B2770" s="4" t="n">
        <v>44985</v>
      </c>
      <c r="C2770" s="3" t="inlineStr">
        <is>
          <t>Expenses</t>
        </is>
      </c>
      <c r="D2770" s="3" t="inlineStr">
        <is>
          <t>2006/700</t>
        </is>
      </c>
      <c r="E2770" s="3" t="inlineStr">
        <is>
          <t>COS - Endulini - Fuel</t>
        </is>
      </c>
      <c r="F2770" s="3" t="n">
        <v>0</v>
      </c>
      <c r="G2770" s="3" t="n">
        <v>2473.65</v>
      </c>
    </row>
    <row r="2771">
      <c r="A2771" s="3" t="inlineStr">
        <is>
          <t>Cape Projects Construction (Pty) Ltd</t>
        </is>
      </c>
      <c r="B2771" s="4" t="n">
        <v>44985</v>
      </c>
      <c r="C2771" s="3" t="inlineStr">
        <is>
          <t>Expenses</t>
        </is>
      </c>
      <c r="D2771" s="3" t="inlineStr">
        <is>
          <t>2006/800</t>
        </is>
      </c>
      <c r="E2771" s="3" t="inlineStr">
        <is>
          <t>COS - Endulini - Telephone &amp; Internet</t>
        </is>
      </c>
      <c r="F2771" s="3" t="n">
        <v>0</v>
      </c>
      <c r="G2771" s="3" t="n">
        <v>937.39</v>
      </c>
    </row>
    <row r="2772">
      <c r="A2772" s="3" t="inlineStr">
        <is>
          <t>Cape Projects Construction (Pty) Ltd</t>
        </is>
      </c>
      <c r="B2772" s="4" t="n">
        <v>44985</v>
      </c>
      <c r="C2772" s="3" t="inlineStr">
        <is>
          <t>Expenses</t>
        </is>
      </c>
      <c r="D2772" s="3" t="inlineStr">
        <is>
          <t>2007/000</t>
        </is>
      </c>
      <c r="E2772" s="3" t="inlineStr">
        <is>
          <t>COS - Repairs &amp; Maintenance - SW Southwark</t>
        </is>
      </c>
      <c r="F2772" s="3" t="n">
        <v>0</v>
      </c>
      <c r="G2772" s="3" t="n">
        <v>4661.74</v>
      </c>
    </row>
    <row r="2773">
      <c r="A2773" s="3" t="inlineStr">
        <is>
          <t>Cape Projects Construction (Pty) Ltd</t>
        </is>
      </c>
      <c r="B2773" s="4" t="n">
        <v>44985</v>
      </c>
      <c r="C2773" s="3" t="inlineStr">
        <is>
          <t>Expenses</t>
        </is>
      </c>
      <c r="D2773" s="3" t="inlineStr">
        <is>
          <t>2011/300</t>
        </is>
      </c>
      <c r="E2773" s="3" t="inlineStr">
        <is>
          <t>COS - Heron Fields - Printing &amp; Stationary</t>
        </is>
      </c>
      <c r="F2773" s="3" t="n">
        <v>486.96</v>
      </c>
      <c r="G2773" s="3" t="n">
        <v>3439.66</v>
      </c>
    </row>
    <row r="2774">
      <c r="A2774" s="3" t="inlineStr">
        <is>
          <t>Cape Projects Construction (Pty) Ltd</t>
        </is>
      </c>
      <c r="B2774" s="4" t="n">
        <v>44985</v>
      </c>
      <c r="C2774" s="3" t="inlineStr">
        <is>
          <t>Expenses</t>
        </is>
      </c>
      <c r="D2774" s="3" t="inlineStr">
        <is>
          <t>2011/500</t>
        </is>
      </c>
      <c r="E2774" s="3" t="inlineStr">
        <is>
          <t>COS - Heron Fields - Construction</t>
        </is>
      </c>
      <c r="F2774" s="3" t="n">
        <v>1119628.56</v>
      </c>
      <c r="G2774" s="3" t="n">
        <v>31638299.07</v>
      </c>
    </row>
    <row r="2775">
      <c r="A2775" s="3" t="inlineStr">
        <is>
          <t>Cape Projects Construction (Pty) Ltd</t>
        </is>
      </c>
      <c r="B2775" s="4" t="n">
        <v>44985</v>
      </c>
      <c r="C2775" s="3" t="inlineStr">
        <is>
          <t>Expenses</t>
        </is>
      </c>
      <c r="D2775" s="3" t="inlineStr">
        <is>
          <t>2011/600</t>
        </is>
      </c>
      <c r="E2775" s="3" t="inlineStr">
        <is>
          <t>COS - Heron Fields - P &amp; G</t>
        </is>
      </c>
      <c r="F2775" s="3" t="n">
        <v>142419.51</v>
      </c>
      <c r="G2775" s="3" t="n">
        <v>2918802.41</v>
      </c>
    </row>
    <row r="2776">
      <c r="A2776" s="3" t="inlineStr">
        <is>
          <t>Cape Projects Construction (Pty) Ltd</t>
        </is>
      </c>
      <c r="B2776" s="4" t="n">
        <v>44985</v>
      </c>
      <c r="C2776" s="3" t="inlineStr">
        <is>
          <t>Expenses</t>
        </is>
      </c>
      <c r="D2776" s="3" t="inlineStr">
        <is>
          <t>2011/700</t>
        </is>
      </c>
      <c r="E2776" s="3" t="inlineStr">
        <is>
          <t>COS - Heron Fields - Health &amp; Safety</t>
        </is>
      </c>
      <c r="F2776" s="3" t="n">
        <v>0</v>
      </c>
      <c r="G2776" s="3" t="n">
        <v>22286.3</v>
      </c>
    </row>
    <row r="2777">
      <c r="A2777" s="3" t="inlineStr">
        <is>
          <t>Cape Projects Construction (Pty) Ltd</t>
        </is>
      </c>
      <c r="B2777" s="4" t="n">
        <v>44985</v>
      </c>
      <c r="C2777" s="3" t="inlineStr">
        <is>
          <t>Expenses</t>
        </is>
      </c>
      <c r="D2777" s="3" t="inlineStr">
        <is>
          <t>2011/900</t>
        </is>
      </c>
      <c r="E2777" s="3" t="inlineStr">
        <is>
          <t>COS - Heron - Internet</t>
        </is>
      </c>
      <c r="F2777" s="3" t="n">
        <v>1163.48</v>
      </c>
      <c r="G2777" s="3" t="n">
        <v>7880.91</v>
      </c>
    </row>
    <row r="2778">
      <c r="A2778" s="3" t="inlineStr">
        <is>
          <t>Cape Projects Construction (Pty) Ltd</t>
        </is>
      </c>
      <c r="B2778" s="4" t="n">
        <v>44985</v>
      </c>
      <c r="C2778" s="3" t="inlineStr">
        <is>
          <t>Expenses</t>
        </is>
      </c>
      <c r="D2778" s="3" t="inlineStr">
        <is>
          <t>2011/950</t>
        </is>
      </c>
      <c r="E2778" s="3" t="inlineStr">
        <is>
          <t>COS - Heron Fields - Security</t>
        </is>
      </c>
      <c r="F2778" s="3" t="n">
        <v>0</v>
      </c>
      <c r="G2778" s="3" t="n">
        <v>20565.22</v>
      </c>
    </row>
    <row r="2779">
      <c r="A2779" s="3" t="inlineStr">
        <is>
          <t>Cape Projects Construction (Pty) Ltd</t>
        </is>
      </c>
      <c r="B2779" s="4" t="n">
        <v>44985</v>
      </c>
      <c r="C2779" s="3" t="inlineStr">
        <is>
          <t>Expenses</t>
        </is>
      </c>
      <c r="D2779" s="3" t="inlineStr">
        <is>
          <t>2012/001</t>
        </is>
      </c>
      <c r="E2779" s="3" t="inlineStr">
        <is>
          <t>COS - Heron View - Printing &amp; Stationary</t>
        </is>
      </c>
      <c r="F2779" s="3" t="n">
        <v>2895.63</v>
      </c>
      <c r="G2779" s="3" t="n">
        <v>4300.41</v>
      </c>
    </row>
    <row r="2780">
      <c r="A2780" s="3" t="inlineStr">
        <is>
          <t>Cape Projects Construction (Pty) Ltd</t>
        </is>
      </c>
      <c r="B2780" s="4" t="n">
        <v>44985</v>
      </c>
      <c r="C2780" s="3" t="inlineStr">
        <is>
          <t>Expenses</t>
        </is>
      </c>
      <c r="D2780" s="3" t="inlineStr">
        <is>
          <t>2012/002</t>
        </is>
      </c>
      <c r="E2780" s="3" t="inlineStr">
        <is>
          <t>COS - Heron View - Construction</t>
        </is>
      </c>
      <c r="F2780" s="3" t="n">
        <v>1706068.25</v>
      </c>
      <c r="G2780" s="3" t="n">
        <v>6565647.22</v>
      </c>
    </row>
    <row r="2781">
      <c r="A2781" s="3" t="inlineStr">
        <is>
          <t>Cape Projects Construction (Pty) Ltd</t>
        </is>
      </c>
      <c r="B2781" s="4" t="n">
        <v>44985</v>
      </c>
      <c r="C2781" s="3" t="inlineStr">
        <is>
          <t>Expenses</t>
        </is>
      </c>
      <c r="D2781" s="3" t="inlineStr">
        <is>
          <t>2012/003</t>
        </is>
      </c>
      <c r="E2781" s="3" t="inlineStr">
        <is>
          <t>COS - Heron View - P&amp;G</t>
        </is>
      </c>
      <c r="F2781" s="3" t="n">
        <v>66505.36</v>
      </c>
      <c r="G2781" s="3" t="n">
        <v>303151.87</v>
      </c>
    </row>
    <row r="2782">
      <c r="A2782" s="3" t="inlineStr">
        <is>
          <t>Cape Projects Construction (Pty) Ltd</t>
        </is>
      </c>
      <c r="B2782" s="4" t="n">
        <v>44985</v>
      </c>
      <c r="C2782" s="3" t="inlineStr">
        <is>
          <t>Expenses</t>
        </is>
      </c>
      <c r="D2782" s="3" t="inlineStr">
        <is>
          <t>2013/000</t>
        </is>
      </c>
      <c r="E2782" s="3" t="inlineStr">
        <is>
          <t>COS - Bakhoven</t>
        </is>
      </c>
      <c r="F2782" s="3" t="n">
        <v>0</v>
      </c>
      <c r="G2782" s="3" t="n">
        <v>32261.99</v>
      </c>
    </row>
    <row r="2783">
      <c r="A2783" s="3" t="inlineStr">
        <is>
          <t>Cape Projects Construction (Pty) Ltd</t>
        </is>
      </c>
      <c r="B2783" s="4" t="n">
        <v>44985</v>
      </c>
      <c r="C2783" s="3" t="inlineStr">
        <is>
          <t>Expenses</t>
        </is>
      </c>
      <c r="D2783" s="3" t="inlineStr">
        <is>
          <t>2014/000</t>
        </is>
      </c>
      <c r="E2783" s="3" t="inlineStr">
        <is>
          <t>COS - Heron Projects insurance</t>
        </is>
      </c>
      <c r="F2783" s="3" t="n">
        <v>0</v>
      </c>
      <c r="G2783" s="3" t="n">
        <v>11169.12</v>
      </c>
    </row>
    <row r="2784">
      <c r="A2784" s="3" t="inlineStr">
        <is>
          <t>Heron Fields (Pty) Ltd</t>
        </is>
      </c>
      <c r="B2784" s="4" t="n">
        <v>44985</v>
      </c>
      <c r="C2784" s="3" t="inlineStr">
        <is>
          <t>Expenses</t>
        </is>
      </c>
      <c r="D2784" s="3" t="inlineStr">
        <is>
          <t>2100/010</t>
        </is>
      </c>
      <c r="E2784" s="3" t="inlineStr">
        <is>
          <t>COS - Construction</t>
        </is>
      </c>
      <c r="F2784" s="3" t="n">
        <v>24427668.44</v>
      </c>
      <c r="G2784" s="3" t="n">
        <v>24427668.44</v>
      </c>
    </row>
    <row r="2785">
      <c r="A2785" s="3" t="inlineStr">
        <is>
          <t>Cape Projects Construction (Pty) Ltd</t>
        </is>
      </c>
      <c r="B2785" s="4" t="n">
        <v>44985</v>
      </c>
      <c r="C2785" s="3" t="inlineStr">
        <is>
          <t>Revenue</t>
        </is>
      </c>
      <c r="D2785" s="3" t="inlineStr">
        <is>
          <t>2750/000</t>
        </is>
      </c>
      <c r="E2785" s="3" t="inlineStr">
        <is>
          <t>Interest Received - FNB</t>
        </is>
      </c>
      <c r="F2785" s="3" t="n">
        <v>-666.26</v>
      </c>
      <c r="G2785" s="3" t="n">
        <v>-3216.44</v>
      </c>
    </row>
    <row r="2786">
      <c r="A2786" s="3" t="inlineStr">
        <is>
          <t>Cape Projects Construction (Pty) Ltd</t>
        </is>
      </c>
      <c r="B2786" s="4" t="n">
        <v>44985</v>
      </c>
      <c r="C2786" s="3" t="inlineStr">
        <is>
          <t>Revenue</t>
        </is>
      </c>
      <c r="D2786" s="3" t="inlineStr">
        <is>
          <t>2751/001</t>
        </is>
      </c>
      <c r="E2786" s="3" t="inlineStr">
        <is>
          <t>Interest received - Momentum</t>
        </is>
      </c>
      <c r="F2786" s="3" t="n">
        <v>0</v>
      </c>
      <c r="G2786" s="3" t="n">
        <v>-27.68</v>
      </c>
    </row>
    <row r="2787">
      <c r="A2787" s="3" t="inlineStr">
        <is>
          <t>Heron Fields (Pty) Ltd</t>
        </is>
      </c>
      <c r="B2787" s="4" t="n">
        <v>44985</v>
      </c>
      <c r="C2787" s="3" t="inlineStr">
        <is>
          <t>Revenue</t>
        </is>
      </c>
      <c r="D2787" s="3" t="inlineStr">
        <is>
          <t>2755/001</t>
        </is>
      </c>
      <c r="E2787" s="3" t="inlineStr">
        <is>
          <t>Interest Received - Momentum</t>
        </is>
      </c>
      <c r="F2787" s="3" t="n">
        <v>-116845.7</v>
      </c>
      <c r="G2787" s="3" t="n">
        <v>-579372.33</v>
      </c>
    </row>
    <row r="2788">
      <c r="A2788" s="3" t="inlineStr">
        <is>
          <t>Heron Fields (Pty) Ltd</t>
        </is>
      </c>
      <c r="B2788" s="4" t="n">
        <v>44985</v>
      </c>
      <c r="C2788" s="3" t="inlineStr">
        <is>
          <t>Expenses</t>
        </is>
      </c>
      <c r="D2788" s="3" t="inlineStr">
        <is>
          <t>3000/100</t>
        </is>
      </c>
      <c r="E2788" s="3" t="inlineStr">
        <is>
          <t>Accounting - CIPC</t>
        </is>
      </c>
      <c r="F2788" s="3" t="n">
        <v>0</v>
      </c>
      <c r="G2788" s="3" t="n">
        <v>150</v>
      </c>
    </row>
    <row r="2789">
      <c r="A2789" s="3" t="inlineStr">
        <is>
          <t>Cape Projects Construction (Pty) Ltd</t>
        </is>
      </c>
      <c r="B2789" s="4" t="n">
        <v>44985</v>
      </c>
      <c r="C2789" s="3" t="inlineStr">
        <is>
          <t>Expenses</t>
        </is>
      </c>
      <c r="D2789" s="3" t="inlineStr">
        <is>
          <t>3002/000</t>
        </is>
      </c>
      <c r="E2789" s="3" t="inlineStr">
        <is>
          <t>Accounting Fees - Audit</t>
        </is>
      </c>
      <c r="F2789" s="3" t="n">
        <v>0</v>
      </c>
      <c r="G2789" s="3" t="n">
        <v>10600</v>
      </c>
    </row>
    <row r="2790">
      <c r="A2790" s="3" t="inlineStr">
        <is>
          <t>Cape Projects Construction (Pty) Ltd</t>
        </is>
      </c>
      <c r="B2790" s="4" t="n">
        <v>44985</v>
      </c>
      <c r="C2790" s="3" t="inlineStr">
        <is>
          <t>Expenses</t>
        </is>
      </c>
      <c r="D2790" s="3" t="inlineStr">
        <is>
          <t>3020/100</t>
        </is>
      </c>
      <c r="E2790" s="3" t="inlineStr">
        <is>
          <t>Admin - Subcontractors</t>
        </is>
      </c>
      <c r="F2790" s="3" t="n">
        <v>0</v>
      </c>
      <c r="G2790" s="3" t="n">
        <v>14139.13</v>
      </c>
    </row>
    <row r="2791">
      <c r="A2791" s="3" t="inlineStr">
        <is>
          <t>Cape Projects Construction (Pty) Ltd</t>
        </is>
      </c>
      <c r="B2791" s="4" t="n">
        <v>44985</v>
      </c>
      <c r="C2791" s="3" t="inlineStr">
        <is>
          <t>Expenses</t>
        </is>
      </c>
      <c r="D2791" s="3" t="inlineStr">
        <is>
          <t>3050/000</t>
        </is>
      </c>
      <c r="E2791" s="3" t="inlineStr">
        <is>
          <t>Advertising _AND_ Promotions</t>
        </is>
      </c>
      <c r="F2791" s="3" t="n">
        <v>0</v>
      </c>
      <c r="G2791" s="3" t="n">
        <v>24268.79</v>
      </c>
    </row>
    <row r="2792">
      <c r="A2792" s="3" t="inlineStr">
        <is>
          <t>Heron Fields (Pty) Ltd</t>
        </is>
      </c>
      <c r="B2792" s="4" t="n">
        <v>44985</v>
      </c>
      <c r="C2792" s="3" t="inlineStr">
        <is>
          <t>Expenses</t>
        </is>
      </c>
      <c r="D2792" s="3" t="inlineStr">
        <is>
          <t>3050/000</t>
        </is>
      </c>
      <c r="E2792" s="3" t="inlineStr">
        <is>
          <t>Advertising _AND_ Promotions</t>
        </is>
      </c>
      <c r="F2792" s="3" t="n">
        <v>7082.26</v>
      </c>
      <c r="G2792" s="3" t="n">
        <v>114416.12</v>
      </c>
    </row>
    <row r="2793">
      <c r="A2793" s="3" t="inlineStr">
        <is>
          <t>Heron View (Pty) Ltd</t>
        </is>
      </c>
      <c r="B2793" s="4" t="n">
        <v>44985</v>
      </c>
      <c r="C2793" s="3" t="inlineStr">
        <is>
          <t>Expenses</t>
        </is>
      </c>
      <c r="D2793" s="3" t="inlineStr">
        <is>
          <t>3050/000</t>
        </is>
      </c>
      <c r="E2793" s="3" t="inlineStr">
        <is>
          <t>Advertising _AND_ Promotions</t>
        </is>
      </c>
      <c r="F2793" s="3" t="n">
        <v>6775</v>
      </c>
      <c r="G2793" s="3" t="n">
        <v>22025</v>
      </c>
    </row>
    <row r="2794">
      <c r="A2794" s="3" t="inlineStr">
        <is>
          <t>Heron Fields (Pty) Ltd</t>
        </is>
      </c>
      <c r="B2794" s="4" t="n">
        <v>44985</v>
      </c>
      <c r="C2794" s="3" t="inlineStr">
        <is>
          <t>Expenses</t>
        </is>
      </c>
      <c r="D2794" s="3" t="inlineStr">
        <is>
          <t>3050/100</t>
        </is>
      </c>
      <c r="E2794" s="3" t="inlineStr">
        <is>
          <t>Advertising - Property24</t>
        </is>
      </c>
      <c r="F2794" s="3" t="n">
        <v>11556</v>
      </c>
      <c r="G2794" s="3" t="n">
        <v>138672</v>
      </c>
    </row>
    <row r="2795">
      <c r="A2795" s="3" t="inlineStr">
        <is>
          <t>Cape Projects Construction (Pty) Ltd</t>
        </is>
      </c>
      <c r="B2795" s="4" t="n">
        <v>44985</v>
      </c>
      <c r="C2795" s="3" t="inlineStr">
        <is>
          <t>Expenses</t>
        </is>
      </c>
      <c r="D2795" s="3" t="inlineStr">
        <is>
          <t>3050/150</t>
        </is>
      </c>
      <c r="E2795" s="3" t="inlineStr">
        <is>
          <t>Advertising - Design Fees</t>
        </is>
      </c>
      <c r="F2795" s="3" t="n">
        <v>7275</v>
      </c>
      <c r="G2795" s="3" t="n">
        <v>7275</v>
      </c>
    </row>
    <row r="2796">
      <c r="A2796" s="3" t="inlineStr">
        <is>
          <t>Heron View (Pty) Ltd</t>
        </is>
      </c>
      <c r="B2796" s="4" t="n">
        <v>44985</v>
      </c>
      <c r="C2796" s="3" t="inlineStr">
        <is>
          <t>Expenses</t>
        </is>
      </c>
      <c r="D2796" s="3" t="inlineStr">
        <is>
          <t>3050/200</t>
        </is>
      </c>
      <c r="E2796" s="3" t="inlineStr">
        <is>
          <t>Advertising - Media24</t>
        </is>
      </c>
      <c r="F2796" s="3" t="n">
        <v>0</v>
      </c>
      <c r="G2796" s="3" t="n">
        <v>13500</v>
      </c>
    </row>
    <row r="2797">
      <c r="A2797" s="3" t="inlineStr">
        <is>
          <t>Heron View (Pty) Ltd</t>
        </is>
      </c>
      <c r="B2797" s="4" t="n">
        <v>44985</v>
      </c>
      <c r="C2797" s="3" t="inlineStr">
        <is>
          <t>Expenses</t>
        </is>
      </c>
      <c r="D2797" s="3" t="inlineStr">
        <is>
          <t>3050/300</t>
        </is>
      </c>
      <c r="E2797" s="3" t="inlineStr">
        <is>
          <t>Advertising - Thinkink</t>
        </is>
      </c>
      <c r="F2797" s="3" t="n">
        <v>0</v>
      </c>
      <c r="G2797" s="3" t="n">
        <v>8263.91</v>
      </c>
    </row>
    <row r="2798">
      <c r="A2798" s="3" t="inlineStr">
        <is>
          <t>Heron View (Pty) Ltd</t>
        </is>
      </c>
      <c r="B2798" s="4" t="n">
        <v>44985</v>
      </c>
      <c r="C2798" s="3" t="inlineStr">
        <is>
          <t>Expenses</t>
        </is>
      </c>
      <c r="D2798" s="3" t="inlineStr">
        <is>
          <t>3050/400</t>
        </is>
      </c>
      <c r="E2798" s="3" t="inlineStr">
        <is>
          <t>Advertising - Pure Brand Activation</t>
        </is>
      </c>
      <c r="F2798" s="3" t="n">
        <v>11726</v>
      </c>
      <c r="G2798" s="3" t="n">
        <v>11726</v>
      </c>
    </row>
    <row r="2799">
      <c r="A2799" s="3" t="inlineStr">
        <is>
          <t>Cape Projects Construction (Pty) Ltd</t>
        </is>
      </c>
      <c r="B2799" s="4" t="n">
        <v>44985</v>
      </c>
      <c r="C2799" s="3" t="inlineStr">
        <is>
          <t>Expenses</t>
        </is>
      </c>
      <c r="D2799" s="3" t="inlineStr">
        <is>
          <t>3050/450</t>
        </is>
      </c>
      <c r="E2799" s="3" t="inlineStr">
        <is>
          <t>Advertising - Other</t>
        </is>
      </c>
      <c r="F2799" s="3" t="n">
        <v>0</v>
      </c>
      <c r="G2799" s="3" t="n">
        <v>137.5</v>
      </c>
    </row>
    <row r="2800">
      <c r="A2800" s="3" t="inlineStr">
        <is>
          <t>Cape Projects Construction (Pty) Ltd</t>
        </is>
      </c>
      <c r="B2800" s="4" t="n">
        <v>44985</v>
      </c>
      <c r="C2800" s="3" t="inlineStr">
        <is>
          <t>Expenses</t>
        </is>
      </c>
      <c r="D2800" s="3" t="inlineStr">
        <is>
          <t>3200/000</t>
        </is>
      </c>
      <c r="E2800" s="3" t="inlineStr">
        <is>
          <t>Bank Charges</t>
        </is>
      </c>
      <c r="F2800" s="3" t="n">
        <v>1433.91</v>
      </c>
      <c r="G2800" s="3" t="n">
        <v>30880.41</v>
      </c>
    </row>
    <row r="2801">
      <c r="A2801" s="3" t="inlineStr">
        <is>
          <t>Heron Fields (Pty) Ltd</t>
        </is>
      </c>
      <c r="B2801" s="4" t="n">
        <v>44985</v>
      </c>
      <c r="C2801" s="3" t="inlineStr">
        <is>
          <t>Expenses</t>
        </is>
      </c>
      <c r="D2801" s="3" t="inlineStr">
        <is>
          <t>3200/000</t>
        </is>
      </c>
      <c r="E2801" s="3" t="inlineStr">
        <is>
          <t>Bank Charges</t>
        </is>
      </c>
      <c r="F2801" s="3" t="n">
        <v>920.53</v>
      </c>
      <c r="G2801" s="3" t="n">
        <v>7598.74</v>
      </c>
    </row>
    <row r="2802">
      <c r="A2802" s="3" t="inlineStr">
        <is>
          <t>Cape Projects Construction (Pty) Ltd</t>
        </is>
      </c>
      <c r="B2802" s="4" t="n">
        <v>44985</v>
      </c>
      <c r="C2802" s="3" t="inlineStr">
        <is>
          <t>Expenses</t>
        </is>
      </c>
      <c r="D2802" s="3" t="inlineStr">
        <is>
          <t>3250/000</t>
        </is>
      </c>
      <c r="E2802" s="3" t="inlineStr">
        <is>
          <t>Cleaning</t>
        </is>
      </c>
      <c r="F2802" s="3" t="n">
        <v>0</v>
      </c>
      <c r="G2802" s="3" t="n">
        <v>2353.79</v>
      </c>
    </row>
    <row r="2803">
      <c r="A2803" s="3" t="inlineStr">
        <is>
          <t>Cape Projects Construction (Pty) Ltd</t>
        </is>
      </c>
      <c r="B2803" s="4" t="n">
        <v>44985</v>
      </c>
      <c r="C2803" s="3" t="inlineStr">
        <is>
          <t>Expenses</t>
        </is>
      </c>
      <c r="D2803" s="3" t="inlineStr">
        <is>
          <t>3256/000</t>
        </is>
      </c>
      <c r="E2803" s="3" t="inlineStr">
        <is>
          <t>Cell Phone - Nick Morgan</t>
        </is>
      </c>
      <c r="F2803" s="3" t="n">
        <v>0</v>
      </c>
      <c r="G2803" s="3" t="n">
        <v>7949.43</v>
      </c>
    </row>
    <row r="2804">
      <c r="A2804" s="3" t="inlineStr">
        <is>
          <t>Cape Projects Construction (Pty) Ltd</t>
        </is>
      </c>
      <c r="B2804" s="4" t="n">
        <v>44985</v>
      </c>
      <c r="C2804" s="3" t="inlineStr">
        <is>
          <t>Expenses</t>
        </is>
      </c>
      <c r="D2804" s="3" t="inlineStr">
        <is>
          <t>3300/000</t>
        </is>
      </c>
      <c r="E2804" s="3" t="inlineStr">
        <is>
          <t>Computer Expenses</t>
        </is>
      </c>
      <c r="F2804" s="3" t="n">
        <v>0</v>
      </c>
      <c r="G2804" s="3" t="n">
        <v>5948.56</v>
      </c>
    </row>
    <row r="2805">
      <c r="A2805" s="3" t="inlineStr">
        <is>
          <t>Cape Projects Construction (Pty) Ltd</t>
        </is>
      </c>
      <c r="B2805" s="4" t="n">
        <v>44985</v>
      </c>
      <c r="C2805" s="3" t="inlineStr">
        <is>
          <t>Expenses</t>
        </is>
      </c>
      <c r="D2805" s="3" t="inlineStr">
        <is>
          <t>3300/100</t>
        </is>
      </c>
      <c r="E2805" s="3" t="inlineStr">
        <is>
          <t>Computer Exp - IT, Internet/Hosting Fee</t>
        </is>
      </c>
      <c r="F2805" s="3" t="n">
        <v>6620</v>
      </c>
      <c r="G2805" s="3" t="n">
        <v>48329</v>
      </c>
    </row>
    <row r="2806">
      <c r="A2806" s="3" t="inlineStr">
        <is>
          <t>Heron Fields (Pty) Ltd</t>
        </is>
      </c>
      <c r="B2806" s="4" t="n">
        <v>44985</v>
      </c>
      <c r="C2806" s="3" t="inlineStr">
        <is>
          <t>Expenses</t>
        </is>
      </c>
      <c r="D2806" s="3" t="inlineStr">
        <is>
          <t>3350/100</t>
        </is>
      </c>
      <c r="E2806" s="3" t="inlineStr">
        <is>
          <t>Consulting Fees - Admin and Finance</t>
        </is>
      </c>
      <c r="F2806" s="3" t="n">
        <v>103742</v>
      </c>
      <c r="G2806" s="3" t="n">
        <v>1040907.54</v>
      </c>
    </row>
    <row r="2807">
      <c r="A2807" s="3" t="inlineStr">
        <is>
          <t>Cape Projects Construction (Pty) Ltd</t>
        </is>
      </c>
      <c r="B2807" s="4" t="n">
        <v>44985</v>
      </c>
      <c r="C2807" s="3" t="inlineStr">
        <is>
          <t>Expenses</t>
        </is>
      </c>
      <c r="D2807" s="3" t="inlineStr">
        <is>
          <t>3350/100</t>
        </is>
      </c>
      <c r="E2807" s="3" t="inlineStr">
        <is>
          <t>Consulting fees - Herbert du Plessis</t>
        </is>
      </c>
      <c r="F2807" s="3" t="n">
        <v>0</v>
      </c>
      <c r="G2807" s="3" t="n">
        <v>318572.45</v>
      </c>
    </row>
    <row r="2808">
      <c r="A2808" s="3" t="inlineStr">
        <is>
          <t>Cape Projects Construction (Pty) Ltd</t>
        </is>
      </c>
      <c r="B2808" s="4" t="n">
        <v>44985</v>
      </c>
      <c r="C2808" s="3" t="inlineStr">
        <is>
          <t>Expenses</t>
        </is>
      </c>
      <c r="D2808" s="3" t="inlineStr">
        <is>
          <t>3350/300</t>
        </is>
      </c>
      <c r="E2808" s="3" t="inlineStr">
        <is>
          <t>Consulting Fees - Admin and Finance</t>
        </is>
      </c>
      <c r="F2808" s="3" t="n">
        <v>131623</v>
      </c>
      <c r="G2808" s="3" t="n">
        <v>1539997.79</v>
      </c>
    </row>
    <row r="2809">
      <c r="A2809" s="3" t="inlineStr">
        <is>
          <t>Heron Fields (Pty) Ltd</t>
        </is>
      </c>
      <c r="B2809" s="4" t="n">
        <v>44985</v>
      </c>
      <c r="C2809" s="3" t="inlineStr">
        <is>
          <t>Expenses</t>
        </is>
      </c>
      <c r="D2809" s="3" t="inlineStr">
        <is>
          <t>3351/000</t>
        </is>
      </c>
      <c r="E2809" s="3" t="inlineStr">
        <is>
          <t>Consulting fees - Trustee</t>
        </is>
      </c>
      <c r="F2809" s="3" t="n">
        <v>16000</v>
      </c>
      <c r="G2809" s="3" t="n">
        <v>76000</v>
      </c>
    </row>
    <row r="2810">
      <c r="A2810" s="3" t="inlineStr">
        <is>
          <t>Cape Projects Construction (Pty) Ltd</t>
        </is>
      </c>
      <c r="B2810" s="4" t="n">
        <v>44985</v>
      </c>
      <c r="C2810" s="3" t="inlineStr">
        <is>
          <t>Expenses</t>
        </is>
      </c>
      <c r="D2810" s="3" t="inlineStr">
        <is>
          <t>3400/000</t>
        </is>
      </c>
      <c r="E2810" s="3" t="inlineStr">
        <is>
          <t>Courier _AND_ Postage</t>
        </is>
      </c>
      <c r="F2810" s="3" t="n">
        <v>160.87</v>
      </c>
      <c r="G2810" s="3" t="n">
        <v>1539.13</v>
      </c>
    </row>
    <row r="2811">
      <c r="A2811" s="3" t="inlineStr">
        <is>
          <t>Cape Projects Construction (Pty) Ltd</t>
        </is>
      </c>
      <c r="B2811" s="4" t="n">
        <v>44985</v>
      </c>
      <c r="C2811" s="3" t="inlineStr">
        <is>
          <t>Expenses</t>
        </is>
      </c>
      <c r="D2811" s="3" t="inlineStr">
        <is>
          <t>3450/001</t>
        </is>
      </c>
      <c r="E2811" s="3" t="inlineStr">
        <is>
          <t>Depreciation - Computer Equipment</t>
        </is>
      </c>
      <c r="F2811" s="3" t="n">
        <v>2165.83</v>
      </c>
      <c r="G2811" s="3" t="n">
        <v>23781.9</v>
      </c>
    </row>
    <row r="2812">
      <c r="A2812" s="3" t="inlineStr">
        <is>
          <t>Cape Projects Construction (Pty) Ltd</t>
        </is>
      </c>
      <c r="B2812" s="4" t="n">
        <v>44985</v>
      </c>
      <c r="C2812" s="3" t="inlineStr">
        <is>
          <t>Expenses</t>
        </is>
      </c>
      <c r="D2812" s="3" t="inlineStr">
        <is>
          <t>3450/002</t>
        </is>
      </c>
      <c r="E2812" s="3" t="inlineStr">
        <is>
          <t>Depreciation - Generator Fixed Asset</t>
        </is>
      </c>
      <c r="F2812" s="3" t="n">
        <v>193.33</v>
      </c>
      <c r="G2812" s="3" t="n">
        <v>2320</v>
      </c>
    </row>
    <row r="2813">
      <c r="A2813" s="3" t="inlineStr">
        <is>
          <t>Cape Projects Construction (Pty) Ltd</t>
        </is>
      </c>
      <c r="B2813" s="4" t="n">
        <v>44985</v>
      </c>
      <c r="C2813" s="3" t="inlineStr">
        <is>
          <t>Expenses</t>
        </is>
      </c>
      <c r="D2813" s="3" t="inlineStr">
        <is>
          <t>3450/003</t>
        </is>
      </c>
      <c r="E2813" s="3" t="inlineStr">
        <is>
          <t>Depreciation - Motor vehicle</t>
        </is>
      </c>
      <c r="F2813" s="3" t="n">
        <v>0</v>
      </c>
      <c r="G2813" s="3" t="n">
        <v>39610.1</v>
      </c>
    </row>
    <row r="2814">
      <c r="A2814" s="3" t="inlineStr">
        <is>
          <t>Cape Projects Construction (Pty) Ltd</t>
        </is>
      </c>
      <c r="B2814" s="4" t="n">
        <v>44985</v>
      </c>
      <c r="C2814" s="3" t="inlineStr">
        <is>
          <t>Expenses</t>
        </is>
      </c>
      <c r="D2814" s="3" t="inlineStr">
        <is>
          <t>3450/030</t>
        </is>
      </c>
      <c r="E2814" s="3" t="inlineStr">
        <is>
          <t>Depreciation - Furniture and Fittings</t>
        </is>
      </c>
      <c r="F2814" s="3" t="n">
        <v>547.66</v>
      </c>
      <c r="G2814" s="3" t="n">
        <v>5487.86</v>
      </c>
    </row>
    <row r="2815">
      <c r="A2815" s="3" t="inlineStr">
        <is>
          <t>Heron Fields (Pty) Ltd</t>
        </is>
      </c>
      <c r="B2815" s="4" t="n">
        <v>44985</v>
      </c>
      <c r="C2815" s="3" t="inlineStr">
        <is>
          <t>Expenses</t>
        </is>
      </c>
      <c r="D2815" s="3" t="inlineStr">
        <is>
          <t>3650/000</t>
        </is>
      </c>
      <c r="E2815" s="3" t="inlineStr">
        <is>
          <t>CoCT - Electricity</t>
        </is>
      </c>
      <c r="F2815" s="3" t="n">
        <v>0</v>
      </c>
      <c r="G2815" s="3" t="n">
        <v>31830.7</v>
      </c>
    </row>
    <row r="2816">
      <c r="A2816" s="3" t="inlineStr">
        <is>
          <t>Cape Projects Construction (Pty) Ltd</t>
        </is>
      </c>
      <c r="B2816" s="4" t="n">
        <v>44985</v>
      </c>
      <c r="C2816" s="3" t="inlineStr">
        <is>
          <t>Expenses</t>
        </is>
      </c>
      <c r="D2816" s="3" t="inlineStr">
        <is>
          <t>3650/000</t>
        </is>
      </c>
      <c r="E2816" s="3" t="inlineStr">
        <is>
          <t>Electricity _AND_ Water</t>
        </is>
      </c>
      <c r="F2816" s="3" t="n">
        <v>7769.04</v>
      </c>
      <c r="G2816" s="3" t="n">
        <v>62866.2</v>
      </c>
    </row>
    <row r="2817">
      <c r="A2817" s="3" t="inlineStr">
        <is>
          <t>Heron Fields (Pty) Ltd</t>
        </is>
      </c>
      <c r="B2817" s="4" t="n">
        <v>44985</v>
      </c>
      <c r="C2817" s="3" t="inlineStr">
        <is>
          <t>Expenses</t>
        </is>
      </c>
      <c r="D2817" s="3" t="inlineStr">
        <is>
          <t>3660/000</t>
        </is>
      </c>
      <c r="E2817" s="3" t="inlineStr">
        <is>
          <t>CoCT - Water</t>
        </is>
      </c>
      <c r="F2817" s="3" t="n">
        <v>0</v>
      </c>
      <c r="G2817" s="3" t="n">
        <v>77630.74000000001</v>
      </c>
    </row>
    <row r="2818">
      <c r="A2818" s="3" t="inlineStr">
        <is>
          <t>Heron Fields (Pty) Ltd</t>
        </is>
      </c>
      <c r="B2818" s="4" t="n">
        <v>44985</v>
      </c>
      <c r="C2818" s="3" t="inlineStr">
        <is>
          <t>Expenses</t>
        </is>
      </c>
      <c r="D2818" s="3" t="inlineStr">
        <is>
          <t>3670/000</t>
        </is>
      </c>
      <c r="E2818" s="3" t="inlineStr">
        <is>
          <t>CoCT - Refuse</t>
        </is>
      </c>
      <c r="F2818" s="3" t="n">
        <v>0</v>
      </c>
      <c r="G2818" s="3" t="n">
        <v>10690.2</v>
      </c>
    </row>
    <row r="2819">
      <c r="A2819" s="3" t="inlineStr">
        <is>
          <t>Cape Projects Construction (Pty) Ltd</t>
        </is>
      </c>
      <c r="B2819" s="4" t="n">
        <v>44985</v>
      </c>
      <c r="C2819" s="3" t="inlineStr">
        <is>
          <t>Expenses</t>
        </is>
      </c>
      <c r="D2819" s="3" t="inlineStr">
        <is>
          <t>3700/000</t>
        </is>
      </c>
      <c r="E2819" s="3" t="inlineStr">
        <is>
          <t>Entertainment Expenses</t>
        </is>
      </c>
      <c r="F2819" s="3" t="n">
        <v>0</v>
      </c>
      <c r="G2819" s="3" t="n">
        <v>7651.52</v>
      </c>
    </row>
    <row r="2820">
      <c r="A2820" s="3" t="inlineStr">
        <is>
          <t>Cape Projects Construction (Pty) Ltd</t>
        </is>
      </c>
      <c r="B2820" s="4" t="n">
        <v>44985</v>
      </c>
      <c r="C2820" s="3" t="inlineStr">
        <is>
          <t>Expenses</t>
        </is>
      </c>
      <c r="D2820" s="3" t="inlineStr">
        <is>
          <t>3850/000</t>
        </is>
      </c>
      <c r="E2820" s="3" t="inlineStr">
        <is>
          <t>Insurance</t>
        </is>
      </c>
      <c r="F2820" s="3" t="n">
        <v>0</v>
      </c>
      <c r="G2820" s="3" t="n">
        <v>819.63</v>
      </c>
    </row>
    <row r="2821">
      <c r="A2821" s="3" t="inlineStr">
        <is>
          <t>Heron Fields (Pty) Ltd</t>
        </is>
      </c>
      <c r="B2821" s="4" t="n">
        <v>44985</v>
      </c>
      <c r="C2821" s="3" t="inlineStr">
        <is>
          <t>Expenses</t>
        </is>
      </c>
      <c r="D2821" s="3" t="inlineStr">
        <is>
          <t>3850/000</t>
        </is>
      </c>
      <c r="E2821" s="3" t="inlineStr">
        <is>
          <t>Insurance</t>
        </is>
      </c>
      <c r="F2821" s="3" t="n">
        <v>9346.68</v>
      </c>
      <c r="G2821" s="3" t="n">
        <v>26429.33</v>
      </c>
    </row>
    <row r="2822">
      <c r="A2822" s="3" t="inlineStr">
        <is>
          <t>Cape Projects Construction (Pty) Ltd</t>
        </is>
      </c>
      <c r="B2822" s="4" t="n">
        <v>44985</v>
      </c>
      <c r="C2822" s="3" t="inlineStr">
        <is>
          <t>Expenses</t>
        </is>
      </c>
      <c r="D2822" s="3" t="inlineStr">
        <is>
          <t>3850/001</t>
        </is>
      </c>
      <c r="E2822" s="3" t="inlineStr">
        <is>
          <t>Insurance - Santam</t>
        </is>
      </c>
      <c r="F2822" s="3" t="n">
        <v>1458.74</v>
      </c>
      <c r="G2822" s="3" t="n">
        <v>15085.07</v>
      </c>
    </row>
    <row r="2823">
      <c r="A2823" s="3" t="inlineStr">
        <is>
          <t>Cape Projects Construction (Pty) Ltd</t>
        </is>
      </c>
      <c r="B2823" s="4" t="n">
        <v>44985</v>
      </c>
      <c r="C2823" s="3" t="inlineStr">
        <is>
          <t>Expenses</t>
        </is>
      </c>
      <c r="D2823" s="3" t="inlineStr">
        <is>
          <t>3850/002</t>
        </is>
      </c>
      <c r="E2823" s="3" t="inlineStr">
        <is>
          <t>Insurance - RBS</t>
        </is>
      </c>
      <c r="F2823" s="3" t="n">
        <v>0</v>
      </c>
      <c r="G2823" s="3" t="n">
        <v>1425.42</v>
      </c>
    </row>
    <row r="2824">
      <c r="A2824" s="3" t="inlineStr">
        <is>
          <t>Heron Fields (Pty) Ltd</t>
        </is>
      </c>
      <c r="B2824" s="4" t="n">
        <v>44985</v>
      </c>
      <c r="C2824" s="3" t="inlineStr">
        <is>
          <t>Expenses</t>
        </is>
      </c>
      <c r="D2824" s="3" t="inlineStr">
        <is>
          <t>3900/000</t>
        </is>
      </c>
      <c r="E2824" s="3" t="inlineStr">
        <is>
          <t>Interest Paid</t>
        </is>
      </c>
      <c r="F2824" s="3" t="n">
        <v>0</v>
      </c>
      <c r="G2824" s="3" t="n">
        <v>588.4400000000001</v>
      </c>
    </row>
    <row r="2825">
      <c r="A2825" s="3" t="inlineStr">
        <is>
          <t>Cape Projects Construction (Pty) Ltd</t>
        </is>
      </c>
      <c r="B2825" s="4" t="n">
        <v>44985</v>
      </c>
      <c r="C2825" s="3" t="inlineStr">
        <is>
          <t>Expenses</t>
        </is>
      </c>
      <c r="D2825" s="3" t="inlineStr">
        <is>
          <t>3900/100</t>
        </is>
      </c>
      <c r="E2825" s="3" t="inlineStr">
        <is>
          <t>Interest Paid - Suppliers</t>
        </is>
      </c>
      <c r="F2825" s="3" t="n">
        <v>0</v>
      </c>
      <c r="G2825" s="3" t="n">
        <v>165.33</v>
      </c>
    </row>
    <row r="2826">
      <c r="A2826" s="3" t="inlineStr">
        <is>
          <t>Heron Fields (Pty) Ltd</t>
        </is>
      </c>
      <c r="B2826" s="4" t="n">
        <v>44985</v>
      </c>
      <c r="C2826" s="3" t="inlineStr">
        <is>
          <t>Expenses</t>
        </is>
      </c>
      <c r="D2826" s="3" t="inlineStr">
        <is>
          <t>3900/111</t>
        </is>
      </c>
      <c r="E2826" s="3" t="inlineStr">
        <is>
          <t>Interest Paid - Investors @ 6.25%</t>
        </is>
      </c>
      <c r="F2826" s="3" t="n">
        <v>27652.39</v>
      </c>
      <c r="G2826" s="3" t="n">
        <v>506456.8</v>
      </c>
    </row>
    <row r="2827">
      <c r="A2827" s="3" t="inlineStr">
        <is>
          <t>Heron Fields (Pty) Ltd</t>
        </is>
      </c>
      <c r="B2827" s="4" t="n">
        <v>44985</v>
      </c>
      <c r="C2827" s="3" t="inlineStr">
        <is>
          <t>Expenses</t>
        </is>
      </c>
      <c r="D2827" s="3" t="inlineStr">
        <is>
          <t>3900/115</t>
        </is>
      </c>
      <c r="E2827" s="3" t="inlineStr">
        <is>
          <t>Interest Paid - Investors @ 6.5%</t>
        </is>
      </c>
      <c r="F2827" s="3" t="n">
        <v>178.08</v>
      </c>
      <c r="G2827" s="3" t="n">
        <v>50842.47</v>
      </c>
    </row>
    <row r="2828">
      <c r="A2828" s="3" t="inlineStr">
        <is>
          <t>Heron Fields (Pty) Ltd</t>
        </is>
      </c>
      <c r="B2828" s="4" t="n">
        <v>44985</v>
      </c>
      <c r="C2828" s="3" t="inlineStr">
        <is>
          <t>Expenses</t>
        </is>
      </c>
      <c r="D2828" s="3" t="inlineStr">
        <is>
          <t>3900/117</t>
        </is>
      </c>
      <c r="E2828" s="3" t="inlineStr">
        <is>
          <t>Interest Paid - Investors @ 6.75%</t>
        </is>
      </c>
      <c r="F2828" s="3" t="n">
        <v>0</v>
      </c>
      <c r="G2828" s="3" t="n">
        <v>14865.42</v>
      </c>
    </row>
    <row r="2829">
      <c r="A2829" s="3" t="inlineStr">
        <is>
          <t>Heron Fields (Pty) Ltd</t>
        </is>
      </c>
      <c r="B2829" s="4" t="n">
        <v>44985</v>
      </c>
      <c r="C2829" s="3" t="inlineStr">
        <is>
          <t>Expenses</t>
        </is>
      </c>
      <c r="D2829" s="3" t="inlineStr">
        <is>
          <t>3900/120</t>
        </is>
      </c>
      <c r="E2829" s="3" t="inlineStr">
        <is>
          <t>Interest Paid - Investors @ 7%</t>
        </is>
      </c>
      <c r="F2829" s="3" t="n">
        <v>0</v>
      </c>
      <c r="G2829" s="3" t="n">
        <v>2742.46</v>
      </c>
    </row>
    <row r="2830">
      <c r="A2830" s="3" t="inlineStr">
        <is>
          <t>Heron Fields (Pty) Ltd</t>
        </is>
      </c>
      <c r="B2830" s="4" t="n">
        <v>44985</v>
      </c>
      <c r="C2830" s="3" t="inlineStr">
        <is>
          <t>Expenses</t>
        </is>
      </c>
      <c r="D2830" s="3" t="inlineStr">
        <is>
          <t>3900/126</t>
        </is>
      </c>
      <c r="E2830" s="3" t="inlineStr">
        <is>
          <t>Interest Paid - Investors @ 7.5%</t>
        </is>
      </c>
      <c r="F2830" s="3" t="n">
        <v>0</v>
      </c>
      <c r="G2830" s="3" t="n">
        <v>48.99</v>
      </c>
    </row>
    <row r="2831">
      <c r="A2831" s="3" t="inlineStr">
        <is>
          <t>Heron Fields (Pty) Ltd</t>
        </is>
      </c>
      <c r="B2831" s="4" t="n">
        <v>44985</v>
      </c>
      <c r="C2831" s="3" t="inlineStr">
        <is>
          <t>Expenses</t>
        </is>
      </c>
      <c r="D2831" s="3" t="inlineStr">
        <is>
          <t>3900/147</t>
        </is>
      </c>
      <c r="E2831" s="3" t="inlineStr">
        <is>
          <t>Interest Paid - Investors @ 9.75%</t>
        </is>
      </c>
      <c r="F2831" s="3" t="n">
        <v>512.87</v>
      </c>
      <c r="G2831" s="3" t="n">
        <v>512.87</v>
      </c>
    </row>
    <row r="2832">
      <c r="A2832" s="3" t="inlineStr">
        <is>
          <t>Heron Fields (Pty) Ltd</t>
        </is>
      </c>
      <c r="B2832" s="4" t="n">
        <v>44985</v>
      </c>
      <c r="C2832" s="3" t="inlineStr">
        <is>
          <t>Expenses</t>
        </is>
      </c>
      <c r="D2832" s="3" t="inlineStr">
        <is>
          <t>3900/190</t>
        </is>
      </c>
      <c r="E2832" s="3" t="inlineStr">
        <is>
          <t>Interest Paid - Investors @ 14%</t>
        </is>
      </c>
      <c r="F2832" s="3" t="n">
        <v>0</v>
      </c>
      <c r="G2832" s="3" t="n">
        <v>142876.75</v>
      </c>
    </row>
    <row r="2833">
      <c r="A2833" s="3" t="inlineStr">
        <is>
          <t>Heron Fields (Pty) Ltd</t>
        </is>
      </c>
      <c r="B2833" s="4" t="n">
        <v>44985</v>
      </c>
      <c r="C2833" s="3" t="inlineStr">
        <is>
          <t>Expenses</t>
        </is>
      </c>
      <c r="D2833" s="3" t="inlineStr">
        <is>
          <t>3900/200</t>
        </is>
      </c>
      <c r="E2833" s="3" t="inlineStr">
        <is>
          <t>Interest Paid - Investors @ 15%</t>
        </is>
      </c>
      <c r="F2833" s="3" t="n">
        <v>51945.21</v>
      </c>
      <c r="G2833" s="3" t="n">
        <v>1087561.61</v>
      </c>
    </row>
    <row r="2834">
      <c r="A2834" s="3" t="inlineStr">
        <is>
          <t>Heron Fields (Pty) Ltd</t>
        </is>
      </c>
      <c r="B2834" s="4" t="n">
        <v>44985</v>
      </c>
      <c r="C2834" s="3" t="inlineStr">
        <is>
          <t>Expenses</t>
        </is>
      </c>
      <c r="D2834" s="3" t="inlineStr">
        <is>
          <t>3900/210</t>
        </is>
      </c>
      <c r="E2834" s="3" t="inlineStr">
        <is>
          <t>Interest Paid - Investors @ 16%</t>
        </is>
      </c>
      <c r="F2834" s="3" t="n">
        <v>0</v>
      </c>
      <c r="G2834" s="3" t="n">
        <v>138082.19</v>
      </c>
    </row>
    <row r="2835">
      <c r="A2835" s="3" t="inlineStr">
        <is>
          <t>Heron Fields (Pty) Ltd</t>
        </is>
      </c>
      <c r="B2835" s="4" t="n">
        <v>44985</v>
      </c>
      <c r="C2835" s="3" t="inlineStr">
        <is>
          <t>Expenses</t>
        </is>
      </c>
      <c r="D2835" s="3" t="inlineStr">
        <is>
          <t>3900/230</t>
        </is>
      </c>
      <c r="E2835" s="3" t="inlineStr">
        <is>
          <t>Interest Paid - Investors @ 18%</t>
        </is>
      </c>
      <c r="F2835" s="3" t="n">
        <v>454945.07</v>
      </c>
      <c r="G2835" s="3" t="n">
        <v>4856672.01</v>
      </c>
    </row>
    <row r="2836">
      <c r="A2836" s="3" t="inlineStr">
        <is>
          <t>Cape Projects Construction (Pty) Ltd</t>
        </is>
      </c>
      <c r="B2836" s="4" t="n">
        <v>44985</v>
      </c>
      <c r="C2836" s="3" t="inlineStr">
        <is>
          <t>Expenses</t>
        </is>
      </c>
      <c r="D2836" s="3" t="inlineStr">
        <is>
          <t>3901/000</t>
        </is>
      </c>
      <c r="E2836" s="3" t="inlineStr">
        <is>
          <t>Interest Paid - VAF Toyota</t>
        </is>
      </c>
      <c r="F2836" s="3" t="n">
        <v>-1376.11</v>
      </c>
      <c r="G2836" s="3" t="n">
        <v>-1376.11</v>
      </c>
    </row>
    <row r="2837">
      <c r="A2837" s="3" t="inlineStr">
        <is>
          <t>Cape Projects Construction (Pty) Ltd</t>
        </is>
      </c>
      <c r="B2837" s="4" t="n">
        <v>44985</v>
      </c>
      <c r="C2837" s="3" t="inlineStr">
        <is>
          <t>Expenses</t>
        </is>
      </c>
      <c r="D2837" s="3" t="inlineStr">
        <is>
          <t>3904/000</t>
        </is>
      </c>
      <c r="E2837" s="3" t="inlineStr">
        <is>
          <t>Interest Paid - BIBC</t>
        </is>
      </c>
      <c r="F2837" s="3" t="n">
        <v>0</v>
      </c>
      <c r="G2837" s="3" t="n">
        <v>1209.87</v>
      </c>
    </row>
    <row r="2838">
      <c r="A2838" s="3" t="inlineStr">
        <is>
          <t>Heron Fields (Pty) Ltd</t>
        </is>
      </c>
      <c r="B2838" s="4" t="n">
        <v>44985</v>
      </c>
      <c r="C2838" s="3" t="inlineStr">
        <is>
          <t>Expenses</t>
        </is>
      </c>
      <c r="D2838" s="3" t="inlineStr">
        <is>
          <t>4070/000</t>
        </is>
      </c>
      <c r="E2838" s="3" t="inlineStr">
        <is>
          <t>Management fees - OMH</t>
        </is>
      </c>
      <c r="F2838" s="3" t="n">
        <v>0</v>
      </c>
      <c r="G2838" s="3" t="n">
        <v>400000</v>
      </c>
    </row>
    <row r="2839">
      <c r="A2839" s="3" t="inlineStr">
        <is>
          <t>Heron Fields (Pty) Ltd</t>
        </is>
      </c>
      <c r="B2839" s="4" t="n">
        <v>44985</v>
      </c>
      <c r="C2839" s="3" t="inlineStr">
        <is>
          <t>Expenses</t>
        </is>
      </c>
      <c r="D2839" s="3" t="inlineStr">
        <is>
          <t>4100/001</t>
        </is>
      </c>
      <c r="E2839" s="3" t="inlineStr">
        <is>
          <t>Momentum Admin Fee</t>
        </is>
      </c>
      <c r="F2839" s="3" t="n">
        <v>-291144.11</v>
      </c>
      <c r="G2839" s="3" t="n">
        <v>-44150.59</v>
      </c>
    </row>
    <row r="2840">
      <c r="A2840" s="3" t="inlineStr">
        <is>
          <t>Cape Projects Construction (Pty) Ltd</t>
        </is>
      </c>
      <c r="B2840" s="4" t="n">
        <v>44985</v>
      </c>
      <c r="C2840" s="3" t="inlineStr">
        <is>
          <t>Expenses</t>
        </is>
      </c>
      <c r="D2840" s="3" t="inlineStr">
        <is>
          <t>4150/010</t>
        </is>
      </c>
      <c r="E2840" s="3" t="inlineStr">
        <is>
          <t>Motor Vehicle - Petrol _AND_ Oil</t>
        </is>
      </c>
      <c r="F2840" s="3" t="n">
        <v>2297.75</v>
      </c>
      <c r="G2840" s="3" t="n">
        <v>3830.55</v>
      </c>
    </row>
    <row r="2841">
      <c r="A2841" s="3" t="inlineStr">
        <is>
          <t>Cape Projects Construction (Pty) Ltd</t>
        </is>
      </c>
      <c r="B2841" s="4" t="n">
        <v>44985</v>
      </c>
      <c r="C2841" s="3" t="inlineStr">
        <is>
          <t>Expenses</t>
        </is>
      </c>
      <c r="D2841" s="3" t="inlineStr">
        <is>
          <t>4150/020</t>
        </is>
      </c>
      <c r="E2841" s="3" t="inlineStr">
        <is>
          <t>Motor Vehicle - Repairs _AND_ Maint.</t>
        </is>
      </c>
      <c r="F2841" s="3" t="n">
        <v>0</v>
      </c>
      <c r="G2841" s="3" t="n">
        <v>11070.86</v>
      </c>
    </row>
    <row r="2842">
      <c r="A2842" s="3" t="inlineStr">
        <is>
          <t>Cape Projects Construction (Pty) Ltd</t>
        </is>
      </c>
      <c r="B2842" s="4" t="n">
        <v>44985</v>
      </c>
      <c r="C2842" s="3" t="inlineStr">
        <is>
          <t>Expenses</t>
        </is>
      </c>
      <c r="D2842" s="3" t="inlineStr">
        <is>
          <t>4150/030</t>
        </is>
      </c>
      <c r="E2842" s="3" t="inlineStr">
        <is>
          <t>Motor Vehicle - Insurance _AND_ Licence</t>
        </is>
      </c>
      <c r="F2842" s="3" t="n">
        <v>0</v>
      </c>
      <c r="G2842" s="3" t="n">
        <v>1200</v>
      </c>
    </row>
    <row r="2843">
      <c r="A2843" s="3" t="inlineStr">
        <is>
          <t>Cape Projects Construction (Pty) Ltd</t>
        </is>
      </c>
      <c r="B2843" s="4" t="n">
        <v>44985</v>
      </c>
      <c r="C2843" s="3" t="inlineStr">
        <is>
          <t>Expenses</t>
        </is>
      </c>
      <c r="D2843" s="3" t="inlineStr">
        <is>
          <t>4200/000</t>
        </is>
      </c>
      <c r="E2843" s="3" t="inlineStr">
        <is>
          <t>Printing _AND_ Stationery</t>
        </is>
      </c>
      <c r="F2843" s="3" t="n">
        <v>801.71</v>
      </c>
      <c r="G2843" s="3" t="n">
        <v>13979.16</v>
      </c>
    </row>
    <row r="2844">
      <c r="A2844" s="3" t="inlineStr">
        <is>
          <t>Heron View (Pty) Ltd</t>
        </is>
      </c>
      <c r="B2844" s="4" t="n">
        <v>44985</v>
      </c>
      <c r="C2844" s="3" t="inlineStr">
        <is>
          <t>Expenses</t>
        </is>
      </c>
      <c r="D2844" s="3" t="inlineStr">
        <is>
          <t>4200/000</t>
        </is>
      </c>
      <c r="E2844" s="3" t="inlineStr">
        <is>
          <t>Printing _AND_ Stationery</t>
        </is>
      </c>
      <c r="F2844" s="3" t="n">
        <v>0</v>
      </c>
      <c r="G2844" s="3" t="n">
        <v>3404.62</v>
      </c>
    </row>
    <row r="2845">
      <c r="A2845" s="3" t="inlineStr">
        <is>
          <t>Cape Projects Construction (Pty) Ltd</t>
        </is>
      </c>
      <c r="B2845" s="4" t="n">
        <v>44985</v>
      </c>
      <c r="C2845" s="3" t="inlineStr">
        <is>
          <t>Expenses</t>
        </is>
      </c>
      <c r="D2845" s="3" t="inlineStr">
        <is>
          <t>4201/000</t>
        </is>
      </c>
      <c r="E2845" s="3" t="inlineStr">
        <is>
          <t>Printing - Printer rental</t>
        </is>
      </c>
      <c r="F2845" s="3" t="n">
        <v>700.1</v>
      </c>
      <c r="G2845" s="3" t="n">
        <v>7599.09</v>
      </c>
    </row>
    <row r="2846">
      <c r="A2846" s="3" t="inlineStr">
        <is>
          <t>Cape Projects Construction (Pty) Ltd</t>
        </is>
      </c>
      <c r="B2846" s="4" t="n">
        <v>44985</v>
      </c>
      <c r="C2846" s="3" t="inlineStr">
        <is>
          <t>Expenses</t>
        </is>
      </c>
      <c r="D2846" s="3" t="inlineStr">
        <is>
          <t>4300/000</t>
        </is>
      </c>
      <c r="E2846" s="3" t="inlineStr">
        <is>
          <t>Rent Paid</t>
        </is>
      </c>
      <c r="F2846" s="3" t="n">
        <v>8387.950000000001</v>
      </c>
      <c r="G2846" s="3" t="n">
        <v>320879.62</v>
      </c>
    </row>
    <row r="2847">
      <c r="A2847" s="3" t="inlineStr">
        <is>
          <t>Cape Projects Construction (Pty) Ltd</t>
        </is>
      </c>
      <c r="B2847" s="4" t="n">
        <v>44985</v>
      </c>
      <c r="C2847" s="3" t="inlineStr">
        <is>
          <t>Expenses</t>
        </is>
      </c>
      <c r="D2847" s="3" t="inlineStr">
        <is>
          <t>4310/000</t>
        </is>
      </c>
      <c r="E2847" s="3" t="inlineStr">
        <is>
          <t>Rates</t>
        </is>
      </c>
      <c r="F2847" s="3" t="n">
        <v>843.6</v>
      </c>
      <c r="G2847" s="3" t="n">
        <v>10123.2</v>
      </c>
    </row>
    <row r="2848">
      <c r="A2848" s="3" t="inlineStr">
        <is>
          <t>Heron Fields (Pty) Ltd</t>
        </is>
      </c>
      <c r="B2848" s="4" t="n">
        <v>44985</v>
      </c>
      <c r="C2848" s="3" t="inlineStr">
        <is>
          <t>Expenses</t>
        </is>
      </c>
      <c r="D2848" s="3" t="inlineStr">
        <is>
          <t>4310/000</t>
        </is>
      </c>
      <c r="E2848" s="3" t="inlineStr">
        <is>
          <t>Rates - Heron</t>
        </is>
      </c>
      <c r="F2848" s="3" t="n">
        <v>0</v>
      </c>
      <c r="G2848" s="3" t="n">
        <v>35882.8</v>
      </c>
    </row>
    <row r="2849">
      <c r="A2849" s="3" t="inlineStr">
        <is>
          <t>Cape Projects Construction (Pty) Ltd</t>
        </is>
      </c>
      <c r="B2849" s="4" t="n">
        <v>44985</v>
      </c>
      <c r="C2849" s="3" t="inlineStr">
        <is>
          <t>Expenses</t>
        </is>
      </c>
      <c r="D2849" s="3" t="inlineStr">
        <is>
          <t>4350/000</t>
        </is>
      </c>
      <c r="E2849" s="3" t="inlineStr">
        <is>
          <t>Repairs _AND_ Maintenance</t>
        </is>
      </c>
      <c r="F2849" s="3" t="n">
        <v>8960.83</v>
      </c>
      <c r="G2849" s="3" t="n">
        <v>33383.84</v>
      </c>
    </row>
    <row r="2850">
      <c r="A2850" s="3" t="inlineStr">
        <is>
          <t>Heron Fields (Pty) Ltd</t>
        </is>
      </c>
      <c r="B2850" s="4" t="n">
        <v>44985</v>
      </c>
      <c r="C2850" s="3" t="inlineStr">
        <is>
          <t>Expenses</t>
        </is>
      </c>
      <c r="D2850" s="3" t="inlineStr">
        <is>
          <t>4350/000</t>
        </is>
      </c>
      <c r="E2850" s="3" t="inlineStr">
        <is>
          <t>Repairs _AND_ Maintenance</t>
        </is>
      </c>
      <c r="F2850" s="3" t="n">
        <v>0</v>
      </c>
      <c r="G2850" s="3" t="n">
        <v>22719.99</v>
      </c>
    </row>
    <row r="2851">
      <c r="A2851" s="3" t="inlineStr">
        <is>
          <t>Cape Projects Construction (Pty) Ltd</t>
        </is>
      </c>
      <c r="B2851" s="4" t="n">
        <v>44985</v>
      </c>
      <c r="C2851" s="3" t="inlineStr">
        <is>
          <t>Expenses</t>
        </is>
      </c>
      <c r="D2851" s="3" t="inlineStr">
        <is>
          <t>4400/000</t>
        </is>
      </c>
      <c r="E2851" s="3" t="inlineStr">
        <is>
          <t>Salaries _AND_ Wages</t>
        </is>
      </c>
      <c r="F2851" s="3" t="n">
        <v>301293.39</v>
      </c>
      <c r="G2851" s="3" t="n">
        <v>2682374.8</v>
      </c>
    </row>
    <row r="2852">
      <c r="A2852" s="3" t="inlineStr">
        <is>
          <t>Cape Projects Construction (Pty) Ltd</t>
        </is>
      </c>
      <c r="B2852" s="4" t="n">
        <v>44985</v>
      </c>
      <c r="C2852" s="3" t="inlineStr">
        <is>
          <t>Expenses</t>
        </is>
      </c>
      <c r="D2852" s="3" t="inlineStr">
        <is>
          <t>4402</t>
        </is>
      </c>
      <c r="E2852" s="3" t="inlineStr">
        <is>
          <t>Salaries &amp; Wages - WCA</t>
        </is>
      </c>
      <c r="F2852" s="3" t="n">
        <v>0</v>
      </c>
      <c r="G2852" s="3" t="n">
        <v>3746.27</v>
      </c>
    </row>
    <row r="2853">
      <c r="A2853" s="3" t="inlineStr">
        <is>
          <t>Cape Projects Construction (Pty) Ltd</t>
        </is>
      </c>
      <c r="B2853" s="4" t="n">
        <v>44985</v>
      </c>
      <c r="C2853" s="3" t="inlineStr">
        <is>
          <t>Expenses</t>
        </is>
      </c>
      <c r="D2853" s="3" t="inlineStr">
        <is>
          <t>4403/000</t>
        </is>
      </c>
      <c r="E2853" s="3" t="inlineStr">
        <is>
          <t>Security</t>
        </is>
      </c>
      <c r="F2853" s="3" t="n">
        <v>177.33</v>
      </c>
      <c r="G2853" s="3" t="n">
        <v>1872.75</v>
      </c>
    </row>
    <row r="2854">
      <c r="A2854" s="3" t="inlineStr">
        <is>
          <t>Cape Projects Construction (Pty) Ltd</t>
        </is>
      </c>
      <c r="B2854" s="4" t="n">
        <v>44985</v>
      </c>
      <c r="C2854" s="3" t="inlineStr">
        <is>
          <t>Expenses</t>
        </is>
      </c>
      <c r="D2854" s="3" t="inlineStr">
        <is>
          <t>4420/000</t>
        </is>
      </c>
      <c r="E2854" s="3" t="inlineStr">
        <is>
          <t>Small Assets</t>
        </is>
      </c>
      <c r="F2854" s="3" t="n">
        <v>3377.45</v>
      </c>
      <c r="G2854" s="3" t="n">
        <v>13955.28</v>
      </c>
    </row>
    <row r="2855">
      <c r="A2855" s="3" t="inlineStr">
        <is>
          <t>Heron Fields (Pty) Ltd</t>
        </is>
      </c>
      <c r="B2855" s="4" t="n">
        <v>44985</v>
      </c>
      <c r="C2855" s="3" t="inlineStr">
        <is>
          <t>Expenses</t>
        </is>
      </c>
      <c r="D2855" s="3" t="inlineStr">
        <is>
          <t>4420/001</t>
        </is>
      </c>
      <c r="E2855" s="3" t="inlineStr">
        <is>
          <t>Security - ADT</t>
        </is>
      </c>
      <c r="F2855" s="3" t="n">
        <v>328.38</v>
      </c>
      <c r="G2855" s="3" t="n">
        <v>5577.79</v>
      </c>
    </row>
    <row r="2856">
      <c r="A2856" s="3" t="inlineStr">
        <is>
          <t>Cape Projects Construction (Pty) Ltd</t>
        </is>
      </c>
      <c r="B2856" s="4" t="n">
        <v>44985</v>
      </c>
      <c r="C2856" s="3" t="inlineStr">
        <is>
          <t>Expenses</t>
        </is>
      </c>
      <c r="D2856" s="3" t="inlineStr">
        <is>
          <t>4450/000</t>
        </is>
      </c>
      <c r="E2856" s="3" t="inlineStr">
        <is>
          <t>Staff Training</t>
        </is>
      </c>
      <c r="F2856" s="3" t="n">
        <v>0</v>
      </c>
      <c r="G2856" s="3" t="n">
        <v>6800</v>
      </c>
    </row>
    <row r="2857">
      <c r="A2857" s="3" t="inlineStr">
        <is>
          <t>Heron Fields (Pty) Ltd</t>
        </is>
      </c>
      <c r="B2857" s="4" t="n">
        <v>44985</v>
      </c>
      <c r="C2857" s="3" t="inlineStr">
        <is>
          <t>Expenses</t>
        </is>
      </c>
      <c r="D2857" s="3" t="inlineStr">
        <is>
          <t>4500/000</t>
        </is>
      </c>
      <c r="E2857" s="3" t="inlineStr">
        <is>
          <t>Staff Welfare</t>
        </is>
      </c>
      <c r="F2857" s="3" t="n">
        <v>100.26</v>
      </c>
      <c r="G2857" s="3" t="n">
        <v>100.26</v>
      </c>
    </row>
    <row r="2858">
      <c r="A2858" s="3" t="inlineStr">
        <is>
          <t>Cape Projects Construction (Pty) Ltd</t>
        </is>
      </c>
      <c r="B2858" s="4" t="n">
        <v>44985</v>
      </c>
      <c r="C2858" s="3" t="inlineStr">
        <is>
          <t>Expenses</t>
        </is>
      </c>
      <c r="D2858" s="3" t="inlineStr">
        <is>
          <t>4500/000</t>
        </is>
      </c>
      <c r="E2858" s="3" t="inlineStr">
        <is>
          <t>Staff Welfare _AND_ Refreshmts</t>
        </is>
      </c>
      <c r="F2858" s="3" t="n">
        <v>0</v>
      </c>
      <c r="G2858" s="3" t="n">
        <v>4899.14</v>
      </c>
    </row>
    <row r="2859">
      <c r="A2859" s="3" t="inlineStr">
        <is>
          <t>Cape Projects Construction (Pty) Ltd</t>
        </is>
      </c>
      <c r="B2859" s="4" t="n">
        <v>44985</v>
      </c>
      <c r="C2859" s="3" t="inlineStr">
        <is>
          <t>Expenses</t>
        </is>
      </c>
      <c r="D2859" s="3" t="inlineStr">
        <is>
          <t>4550/000</t>
        </is>
      </c>
      <c r="E2859" s="3" t="inlineStr">
        <is>
          <t>Subscriptions / Licenses</t>
        </is>
      </c>
      <c r="F2859" s="3" t="n">
        <v>0</v>
      </c>
      <c r="G2859" s="3" t="n">
        <v>526.3200000000001</v>
      </c>
    </row>
    <row r="2860">
      <c r="A2860" s="3" t="inlineStr">
        <is>
          <t>Cape Projects Construction (Pty) Ltd</t>
        </is>
      </c>
      <c r="B2860" s="4" t="n">
        <v>44985</v>
      </c>
      <c r="C2860" s="3" t="inlineStr">
        <is>
          <t>Expenses</t>
        </is>
      </c>
      <c r="D2860" s="3" t="inlineStr">
        <is>
          <t>4550/001</t>
        </is>
      </c>
      <c r="E2860" s="3" t="inlineStr">
        <is>
          <t>Subscriptions &amp; Licenses - Sage payroll</t>
        </is>
      </c>
      <c r="F2860" s="3" t="n">
        <v>747</v>
      </c>
      <c r="G2860" s="3" t="n">
        <v>7574</v>
      </c>
    </row>
    <row r="2861">
      <c r="A2861" s="3" t="inlineStr">
        <is>
          <t>Cape Projects Construction (Pty) Ltd</t>
        </is>
      </c>
      <c r="B2861" s="4" t="n">
        <v>44985</v>
      </c>
      <c r="C2861" s="3" t="inlineStr">
        <is>
          <t>Expenses</t>
        </is>
      </c>
      <c r="D2861" s="3" t="inlineStr">
        <is>
          <t>4550/003</t>
        </is>
      </c>
      <c r="E2861" s="3" t="inlineStr">
        <is>
          <t>Subscriptions &amp; Licenses - Xero</t>
        </is>
      </c>
      <c r="F2861" s="3" t="n">
        <v>600</v>
      </c>
      <c r="G2861" s="3" t="n">
        <v>7200</v>
      </c>
    </row>
    <row r="2862">
      <c r="A2862" s="3" t="inlineStr">
        <is>
          <t>Cape Projects Construction (Pty) Ltd</t>
        </is>
      </c>
      <c r="B2862" s="4" t="n">
        <v>44985</v>
      </c>
      <c r="C2862" s="3" t="inlineStr">
        <is>
          <t>Expenses</t>
        </is>
      </c>
      <c r="D2862" s="3" t="inlineStr">
        <is>
          <t>4550/004</t>
        </is>
      </c>
      <c r="E2862" s="3" t="inlineStr">
        <is>
          <t>Subscriptions - Smartsheet</t>
        </is>
      </c>
      <c r="F2862" s="3" t="n">
        <v>605</v>
      </c>
      <c r="G2862" s="3" t="n">
        <v>5512.76</v>
      </c>
    </row>
    <row r="2863">
      <c r="A2863" s="3" t="inlineStr">
        <is>
          <t>Cape Projects Construction (Pty) Ltd</t>
        </is>
      </c>
      <c r="B2863" s="4" t="n">
        <v>44985</v>
      </c>
      <c r="C2863" s="3" t="inlineStr">
        <is>
          <t>Expenses</t>
        </is>
      </c>
      <c r="D2863" s="3" t="inlineStr">
        <is>
          <t>4550/006</t>
        </is>
      </c>
      <c r="E2863" s="3" t="inlineStr">
        <is>
          <t>Subscription - Candy software</t>
        </is>
      </c>
      <c r="F2863" s="3" t="n">
        <v>0</v>
      </c>
      <c r="G2863" s="3" t="n">
        <v>13765</v>
      </c>
    </row>
    <row r="2864">
      <c r="A2864" s="3" t="inlineStr">
        <is>
          <t>Heron Fields (Pty) Ltd</t>
        </is>
      </c>
      <c r="B2864" s="4" t="n">
        <v>44985</v>
      </c>
      <c r="C2864" s="3" t="inlineStr">
        <is>
          <t>Expenses</t>
        </is>
      </c>
      <c r="D2864" s="3" t="inlineStr">
        <is>
          <t>4550/100</t>
        </is>
      </c>
      <c r="E2864" s="3" t="inlineStr">
        <is>
          <t>Subscriptions - Xero</t>
        </is>
      </c>
      <c r="F2864" s="3" t="n">
        <v>600</v>
      </c>
      <c r="G2864" s="3" t="n">
        <v>7200</v>
      </c>
    </row>
    <row r="2865">
      <c r="A2865" s="3" t="inlineStr">
        <is>
          <t>Heron View (Pty) Ltd</t>
        </is>
      </c>
      <c r="B2865" s="4" t="n">
        <v>44985</v>
      </c>
      <c r="C2865" s="3" t="inlineStr">
        <is>
          <t>Expenses</t>
        </is>
      </c>
      <c r="D2865" s="3" t="inlineStr">
        <is>
          <t>4550/100</t>
        </is>
      </c>
      <c r="E2865" s="3" t="inlineStr">
        <is>
          <t>Subscriptions - Xero</t>
        </is>
      </c>
      <c r="F2865" s="3" t="n">
        <v>600</v>
      </c>
      <c r="G2865" s="3" t="n">
        <v>10800</v>
      </c>
    </row>
    <row r="2866">
      <c r="A2866" s="3" t="inlineStr">
        <is>
          <t>Heron Fields (Pty) Ltd</t>
        </is>
      </c>
      <c r="B2866" s="4" t="n">
        <v>44985</v>
      </c>
      <c r="C2866" s="3" t="inlineStr">
        <is>
          <t>Expenses</t>
        </is>
      </c>
      <c r="D2866" s="3" t="inlineStr">
        <is>
          <t>4550/200</t>
        </is>
      </c>
      <c r="E2866" s="3" t="inlineStr">
        <is>
          <t>Subscription - NHBRC</t>
        </is>
      </c>
      <c r="F2866" s="3" t="n">
        <v>0</v>
      </c>
      <c r="G2866" s="3" t="n">
        <v>788.4299999999999</v>
      </c>
    </row>
    <row r="2867">
      <c r="A2867" s="3" t="inlineStr">
        <is>
          <t>Cape Projects Construction (Pty) Ltd</t>
        </is>
      </c>
      <c r="B2867" s="4" t="n">
        <v>44985</v>
      </c>
      <c r="C2867" s="3" t="inlineStr">
        <is>
          <t>Expenses</t>
        </is>
      </c>
      <c r="D2867" s="3" t="inlineStr">
        <is>
          <t>4560</t>
        </is>
      </c>
      <c r="E2867" s="3" t="inlineStr">
        <is>
          <t>Secretarial fees - CIPC</t>
        </is>
      </c>
      <c r="F2867" s="3" t="n">
        <v>0</v>
      </c>
      <c r="G2867" s="3" t="n">
        <v>2500</v>
      </c>
    </row>
    <row r="2868">
      <c r="A2868" s="3" t="inlineStr">
        <is>
          <t>Cape Projects Construction (Pty) Ltd</t>
        </is>
      </c>
      <c r="B2868" s="4" t="n">
        <v>44985</v>
      </c>
      <c r="C2868" s="3" t="inlineStr">
        <is>
          <t>Expenses</t>
        </is>
      </c>
      <c r="D2868" s="3" t="inlineStr">
        <is>
          <t>4650/010</t>
        </is>
      </c>
      <c r="E2868" s="3" t="inlineStr">
        <is>
          <t>Travel - Local</t>
        </is>
      </c>
      <c r="F2868" s="3" t="n">
        <v>0</v>
      </c>
      <c r="G2868" s="3" t="n">
        <v>13.04</v>
      </c>
    </row>
    <row r="2869">
      <c r="A2869" s="3" t="inlineStr">
        <is>
          <t>Cape Projects Construction (Pty) Ltd</t>
        </is>
      </c>
      <c r="B2869" s="4" t="n">
        <v>44985</v>
      </c>
      <c r="C2869" s="3" t="inlineStr">
        <is>
          <t>Expenses</t>
        </is>
      </c>
      <c r="D2869" s="3" t="inlineStr">
        <is>
          <t>4700/000</t>
        </is>
      </c>
      <c r="E2869" s="3" t="inlineStr">
        <is>
          <t>PAYE Contributions</t>
        </is>
      </c>
      <c r="F2869" s="3" t="n">
        <v>57301.13</v>
      </c>
      <c r="G2869" s="3" t="n">
        <v>442349.97</v>
      </c>
    </row>
    <row r="2870">
      <c r="A2870" s="3" t="inlineStr">
        <is>
          <t>Cape Projects Construction (Pty) Ltd</t>
        </is>
      </c>
      <c r="B2870" s="4" t="n">
        <v>44985</v>
      </c>
      <c r="C2870" s="3" t="inlineStr">
        <is>
          <t>Expenses</t>
        </is>
      </c>
      <c r="D2870" s="3" t="inlineStr">
        <is>
          <t>4720/000</t>
        </is>
      </c>
      <c r="E2870" s="3" t="inlineStr">
        <is>
          <t>SDL Contributions</t>
        </is>
      </c>
      <c r="F2870" s="3" t="n">
        <v>3367.25</v>
      </c>
      <c r="G2870" s="3" t="n">
        <v>29745.7</v>
      </c>
    </row>
    <row r="2871">
      <c r="A2871" s="3" t="inlineStr">
        <is>
          <t>Cape Projects Construction (Pty) Ltd</t>
        </is>
      </c>
      <c r="B2871" s="4" t="n">
        <v>44985</v>
      </c>
      <c r="C2871" s="3" t="inlineStr">
        <is>
          <t>Expenses</t>
        </is>
      </c>
      <c r="D2871" s="3" t="inlineStr">
        <is>
          <t>4730/000</t>
        </is>
      </c>
      <c r="E2871" s="3" t="inlineStr">
        <is>
          <t>UIF Company Contributions</t>
        </is>
      </c>
      <c r="F2871" s="3" t="n">
        <v>1689.21</v>
      </c>
      <c r="G2871" s="3" t="n">
        <v>20100.58</v>
      </c>
    </row>
    <row r="2872">
      <c r="A2872" s="3" t="inlineStr">
        <is>
          <t>Cape Projects Construction (Pty) Ltd</t>
        </is>
      </c>
      <c r="B2872" s="4" t="n">
        <v>44985</v>
      </c>
      <c r="C2872" s="3" t="inlineStr">
        <is>
          <t>Expenses</t>
        </is>
      </c>
      <c r="D2872" s="3" t="inlineStr">
        <is>
          <t>4731/000</t>
        </is>
      </c>
      <c r="E2872" s="3" t="inlineStr">
        <is>
          <t>UIF Employee Contribution</t>
        </is>
      </c>
      <c r="F2872" s="3" t="n">
        <v>1689.21</v>
      </c>
      <c r="G2872" s="3" t="n">
        <v>20100.58</v>
      </c>
    </row>
    <row r="2873">
      <c r="A2873" s="3" t="inlineStr">
        <is>
          <t>Cape Projects Construction (Pty) Ltd</t>
        </is>
      </c>
      <c r="B2873" s="4" t="n">
        <v>44985</v>
      </c>
      <c r="C2873" s="3" t="inlineStr">
        <is>
          <t>Expenses</t>
        </is>
      </c>
      <c r="D2873" s="3" t="inlineStr">
        <is>
          <t>4740/000</t>
        </is>
      </c>
      <c r="E2873" s="3" t="inlineStr">
        <is>
          <t>BIBC Company Contribution</t>
        </is>
      </c>
      <c r="F2873" s="3" t="n">
        <v>5034</v>
      </c>
      <c r="G2873" s="3" t="n">
        <v>81099.64</v>
      </c>
    </row>
    <row r="2874">
      <c r="A2874" s="3" t="inlineStr">
        <is>
          <t>Cape Projects Construction (Pty) Ltd</t>
        </is>
      </c>
      <c r="B2874" s="4" t="n">
        <v>44985</v>
      </c>
      <c r="C2874" s="3" t="inlineStr">
        <is>
          <t>Expenses</t>
        </is>
      </c>
      <c r="D2874" s="3" t="inlineStr">
        <is>
          <t>4741/000</t>
        </is>
      </c>
      <c r="E2874" s="3" t="inlineStr">
        <is>
          <t>BIBC Employee Contribution</t>
        </is>
      </c>
      <c r="F2874" s="3" t="n">
        <v>1775.25</v>
      </c>
      <c r="G2874" s="3" t="n">
        <v>27399.55</v>
      </c>
    </row>
    <row r="2875">
      <c r="A2875" s="3" t="inlineStr">
        <is>
          <t>Heron Fields (Pty) Ltd</t>
        </is>
      </c>
      <c r="B2875" s="4" t="n">
        <v>44985</v>
      </c>
      <c r="C2875" s="3" t="inlineStr">
        <is>
          <t>Equity</t>
        </is>
      </c>
      <c r="D2875" s="3" t="inlineStr">
        <is>
          <t>5100-000</t>
        </is>
      </c>
      <c r="E2875" s="3" t="inlineStr">
        <is>
          <t>Share Capital</t>
        </is>
      </c>
      <c r="F2875" s="3" t="n">
        <v>0</v>
      </c>
      <c r="G2875" s="3" t="n">
        <v>-100</v>
      </c>
    </row>
    <row r="2876">
      <c r="A2876" s="3" t="inlineStr">
        <is>
          <t>Cape Projects Construction (Pty) Ltd</t>
        </is>
      </c>
      <c r="B2876" s="4" t="n">
        <v>44985</v>
      </c>
      <c r="C2876" s="3" t="inlineStr">
        <is>
          <t>Equity</t>
        </is>
      </c>
      <c r="D2876" s="3" t="inlineStr">
        <is>
          <t>5100/000</t>
        </is>
      </c>
      <c r="E2876" s="3" t="inlineStr">
        <is>
          <t>Share Capital / Members Contribution</t>
        </is>
      </c>
      <c r="F2876" s="3" t="n">
        <v>0</v>
      </c>
      <c r="G2876" s="3" t="n">
        <v>-120</v>
      </c>
    </row>
    <row r="2877">
      <c r="A2877" s="3" t="inlineStr">
        <is>
          <t>Cape Projects Construction (Pty) Ltd</t>
        </is>
      </c>
      <c r="B2877" s="4" t="n">
        <v>44985</v>
      </c>
      <c r="C2877" s="3" t="inlineStr">
        <is>
          <t>Equity</t>
        </is>
      </c>
      <c r="D2877" s="3" t="inlineStr">
        <is>
          <t>5200/000</t>
        </is>
      </c>
      <c r="E2877" s="3" t="inlineStr">
        <is>
          <t>Retained Earnings / Loss</t>
        </is>
      </c>
      <c r="F2877" s="3" t="n">
        <v>5771.33</v>
      </c>
      <c r="G2877" s="3" t="n">
        <v>253118.38</v>
      </c>
    </row>
    <row r="2878">
      <c r="A2878" s="3" t="inlineStr">
        <is>
          <t>Heron Fields (Pty) Ltd</t>
        </is>
      </c>
      <c r="B2878" s="4" t="n">
        <v>44985</v>
      </c>
      <c r="C2878" s="3" t="inlineStr">
        <is>
          <t>Equity</t>
        </is>
      </c>
      <c r="D2878" s="3" t="inlineStr">
        <is>
          <t>5200/000</t>
        </is>
      </c>
      <c r="E2878" s="3" t="inlineStr">
        <is>
          <t>Retained Earnings / Loss</t>
        </is>
      </c>
      <c r="F2878" s="3" t="n">
        <v>0</v>
      </c>
      <c r="G2878" s="3" t="n">
        <v>-17080353.05</v>
      </c>
    </row>
    <row r="2879">
      <c r="A2879" s="3" t="inlineStr">
        <is>
          <t>Heron Fields (Pty) Ltd</t>
        </is>
      </c>
      <c r="B2879" s="4" t="n">
        <v>44985</v>
      </c>
      <c r="C2879" s="3" t="inlineStr">
        <is>
          <t>Assets</t>
        </is>
      </c>
      <c r="D2879" s="3" t="inlineStr">
        <is>
          <t>5300/001</t>
        </is>
      </c>
      <c r="E2879" s="3" t="inlineStr">
        <is>
          <t>Revaluation of Land stock</t>
        </is>
      </c>
      <c r="F2879" s="3" t="n">
        <v>0</v>
      </c>
      <c r="G2879" s="3" t="n">
        <v>17562360.85</v>
      </c>
    </row>
    <row r="2880">
      <c r="A2880" s="3" t="inlineStr">
        <is>
          <t>Cape Projects Construction (Pty) Ltd</t>
        </is>
      </c>
      <c r="B2880" s="4" t="n">
        <v>44985</v>
      </c>
      <c r="C2880" s="3" t="inlineStr">
        <is>
          <t>Assets</t>
        </is>
      </c>
      <c r="D2880" s="3" t="inlineStr">
        <is>
          <t>5400/150</t>
        </is>
      </c>
      <c r="E2880" s="3" t="inlineStr">
        <is>
          <t>Loan - Quinate</t>
        </is>
      </c>
      <c r="F2880" s="3" t="n">
        <v>-7166187.4</v>
      </c>
      <c r="G2880" s="3" t="n">
        <v>0</v>
      </c>
    </row>
    <row r="2881">
      <c r="A2881" s="3" t="inlineStr">
        <is>
          <t>Cape Projects Construction (Pty) Ltd</t>
        </is>
      </c>
      <c r="B2881" s="4" t="n">
        <v>44985</v>
      </c>
      <c r="C2881" s="3" t="inlineStr">
        <is>
          <t>Assets</t>
        </is>
      </c>
      <c r="D2881" s="3" t="inlineStr">
        <is>
          <t>5400/220</t>
        </is>
      </c>
      <c r="E2881" s="3" t="inlineStr">
        <is>
          <t>Members Loan - WH</t>
        </is>
      </c>
      <c r="F2881" s="3" t="n">
        <v>-4342.5</v>
      </c>
      <c r="G2881" s="3" t="n">
        <v>-4342.5</v>
      </c>
    </row>
    <row r="2882">
      <c r="A2882" s="3" t="inlineStr">
        <is>
          <t>Cape Projects Construction (Pty) Ltd</t>
        </is>
      </c>
      <c r="B2882" s="4" t="n">
        <v>44985</v>
      </c>
      <c r="C2882" s="3" t="inlineStr">
        <is>
          <t>Assets</t>
        </is>
      </c>
      <c r="D2882" s="3" t="inlineStr">
        <is>
          <t>5400/450</t>
        </is>
      </c>
      <c r="E2882" s="3" t="inlineStr">
        <is>
          <t>Loan - Opportunity Investment</t>
        </is>
      </c>
      <c r="F2882" s="3" t="n">
        <v>-90000</v>
      </c>
      <c r="G2882" s="3" t="n">
        <v>-361000</v>
      </c>
    </row>
    <row r="2883">
      <c r="A2883" s="3" t="inlineStr">
        <is>
          <t>Cape Projects Construction (Pty) Ltd</t>
        </is>
      </c>
      <c r="B2883" s="4" t="n">
        <v>44985</v>
      </c>
      <c r="C2883" s="3" t="inlineStr">
        <is>
          <t>Assets</t>
        </is>
      </c>
      <c r="D2883" s="3" t="inlineStr">
        <is>
          <t>5400/500</t>
        </is>
      </c>
      <c r="E2883" s="3" t="inlineStr">
        <is>
          <t>Loan - Blou Mamba Trust</t>
        </is>
      </c>
      <c r="F2883" s="3" t="n">
        <v>4342.5</v>
      </c>
      <c r="G2883" s="3" t="n">
        <v>4342.5</v>
      </c>
    </row>
    <row r="2884">
      <c r="A2884" s="3" t="inlineStr">
        <is>
          <t>Cape Projects Construction (Pty) Ltd</t>
        </is>
      </c>
      <c r="B2884" s="4" t="n">
        <v>44985</v>
      </c>
      <c r="C2884" s="3" t="inlineStr">
        <is>
          <t>Assets</t>
        </is>
      </c>
      <c r="D2884" s="3" t="inlineStr">
        <is>
          <t>5400/550</t>
        </is>
      </c>
      <c r="E2884" s="3" t="inlineStr">
        <is>
          <t>Loan - Trademark</t>
        </is>
      </c>
      <c r="F2884" s="3" t="n">
        <v>-1200</v>
      </c>
      <c r="G2884" s="3" t="n">
        <v>0</v>
      </c>
    </row>
    <row r="2885">
      <c r="A2885" s="3" t="inlineStr">
        <is>
          <t>Cape Projects Construction (Pty) Ltd</t>
        </is>
      </c>
      <c r="B2885" s="4" t="n">
        <v>44985</v>
      </c>
      <c r="C2885" s="3" t="inlineStr">
        <is>
          <t>Assets</t>
        </is>
      </c>
      <c r="D2885" s="3" t="inlineStr">
        <is>
          <t>5400/600</t>
        </is>
      </c>
      <c r="E2885" s="3" t="inlineStr">
        <is>
          <t>Loan - Heron Projects</t>
        </is>
      </c>
      <c r="F2885" s="3" t="n">
        <v>-1599110.09</v>
      </c>
      <c r="G2885" s="3" t="n">
        <v>-9825248.59</v>
      </c>
    </row>
    <row r="2886">
      <c r="A2886" s="3" t="inlineStr">
        <is>
          <t>Cape Projects Construction (Pty) Ltd</t>
        </is>
      </c>
      <c r="B2886" s="4" t="n">
        <v>44985</v>
      </c>
      <c r="C2886" s="3" t="inlineStr">
        <is>
          <t>Assets</t>
        </is>
      </c>
      <c r="D2886" s="3" t="inlineStr">
        <is>
          <t>5400/650</t>
        </is>
      </c>
      <c r="E2886" s="3" t="inlineStr">
        <is>
          <t>Loan - Noble Shield</t>
        </is>
      </c>
      <c r="F2886" s="3" t="n">
        <v>-1200</v>
      </c>
      <c r="G2886" s="3" t="n">
        <v>0</v>
      </c>
    </row>
    <row r="2887">
      <c r="A2887" s="3" t="inlineStr">
        <is>
          <t>Cape Projects Construction (Pty) Ltd</t>
        </is>
      </c>
      <c r="B2887" s="4" t="n">
        <v>44985</v>
      </c>
      <c r="C2887" s="3" t="inlineStr">
        <is>
          <t>Assets</t>
        </is>
      </c>
      <c r="D2887" s="3" t="inlineStr">
        <is>
          <t>5400/750</t>
        </is>
      </c>
      <c r="E2887" s="3" t="inlineStr">
        <is>
          <t>Loan - Endulini</t>
        </is>
      </c>
      <c r="F2887" s="3" t="n">
        <v>7271187.4</v>
      </c>
      <c r="G2887" s="3" t="n">
        <v>13330187.4</v>
      </c>
    </row>
    <row r="2888">
      <c r="A2888" s="3" t="inlineStr">
        <is>
          <t>Cape Projects Construction (Pty) Ltd</t>
        </is>
      </c>
      <c r="B2888" s="4" t="n">
        <v>44985</v>
      </c>
      <c r="C2888" s="3" t="inlineStr">
        <is>
          <t>Assets</t>
        </is>
      </c>
      <c r="D2888" s="3" t="inlineStr">
        <is>
          <t>5400/800</t>
        </is>
      </c>
      <c r="E2888" s="3" t="inlineStr">
        <is>
          <t>Loan - Opportunity Management Holdings</t>
        </is>
      </c>
      <c r="F2888" s="3" t="n">
        <v>0</v>
      </c>
      <c r="G2888" s="3" t="n">
        <v>-120000</v>
      </c>
    </row>
    <row r="2889">
      <c r="A2889" s="3" t="inlineStr">
        <is>
          <t>Heron View (Pty) Ltd</t>
        </is>
      </c>
      <c r="B2889" s="4" t="n">
        <v>44985</v>
      </c>
      <c r="C2889" s="3" t="inlineStr">
        <is>
          <t>Liabilities</t>
        </is>
      </c>
      <c r="D2889" s="3" t="inlineStr">
        <is>
          <t>5500/001</t>
        </is>
      </c>
      <c r="E2889" s="3" t="inlineStr">
        <is>
          <t>Loan - Heron Fields</t>
        </is>
      </c>
      <c r="F2889" s="3" t="n">
        <v>-7959387.81</v>
      </c>
      <c r="G2889" s="3" t="n">
        <v>-10564871.5</v>
      </c>
    </row>
    <row r="2890">
      <c r="A2890" s="3" t="inlineStr">
        <is>
          <t>Heron Fields (Pty) Ltd</t>
        </is>
      </c>
      <c r="B2890" s="4" t="n">
        <v>44985</v>
      </c>
      <c r="C2890" s="3" t="inlineStr">
        <is>
          <t>Liabilities</t>
        </is>
      </c>
      <c r="D2890" s="3" t="inlineStr">
        <is>
          <t>5500/020</t>
        </is>
      </c>
      <c r="E2890" s="3" t="inlineStr">
        <is>
          <t>Loan - Cape Projects Construction</t>
        </is>
      </c>
      <c r="F2890" s="3" t="n">
        <v>1599110.09</v>
      </c>
      <c r="G2890" s="3" t="n">
        <v>9825248.59</v>
      </c>
    </row>
    <row r="2891">
      <c r="A2891" s="3" t="inlineStr">
        <is>
          <t>Heron Fields (Pty) Ltd</t>
        </is>
      </c>
      <c r="B2891" s="4" t="n">
        <v>44985</v>
      </c>
      <c r="C2891" s="3" t="inlineStr">
        <is>
          <t>Liabilities</t>
        </is>
      </c>
      <c r="D2891" s="3" t="inlineStr">
        <is>
          <t>5500/030</t>
        </is>
      </c>
      <c r="E2891" s="3" t="inlineStr">
        <is>
          <t>Loan - Opportunity Global Investments</t>
        </is>
      </c>
      <c r="F2891" s="3" t="n">
        <v>171000</v>
      </c>
      <c r="G2891" s="3" t="n">
        <v>548000</v>
      </c>
    </row>
    <row r="2892">
      <c r="A2892" s="3" t="inlineStr">
        <is>
          <t>Heron Fields (Pty) Ltd</t>
        </is>
      </c>
      <c r="B2892" s="4" t="n">
        <v>44985</v>
      </c>
      <c r="C2892" s="3" t="inlineStr">
        <is>
          <t>Liabilities</t>
        </is>
      </c>
      <c r="D2892" s="3" t="inlineStr">
        <is>
          <t>5500/050</t>
        </is>
      </c>
      <c r="E2892" s="3" t="inlineStr">
        <is>
          <t>Loan - Heron View</t>
        </is>
      </c>
      <c r="F2892" s="3" t="n">
        <v>2042327.64</v>
      </c>
      <c r="G2892" s="3" t="n">
        <v>10564871.5</v>
      </c>
    </row>
    <row r="2893">
      <c r="A2893" s="3" t="inlineStr">
        <is>
          <t>Cape Projects Construction (Pty) Ltd</t>
        </is>
      </c>
      <c r="B2893" s="4" t="n">
        <v>44985</v>
      </c>
      <c r="C2893" s="3" t="inlineStr">
        <is>
          <t>Liabilities</t>
        </is>
      </c>
      <c r="D2893" s="3" t="inlineStr">
        <is>
          <t>5600/100</t>
        </is>
      </c>
      <c r="E2893" s="3" t="inlineStr">
        <is>
          <t>Motor Vehical Car Repaymts - Toyota</t>
        </is>
      </c>
      <c r="F2893" s="3" t="n">
        <v>-57370.28</v>
      </c>
      <c r="G2893" s="3" t="n">
        <v>0</v>
      </c>
    </row>
    <row r="2894">
      <c r="A2894" s="3" t="inlineStr">
        <is>
          <t>Cape Projects Construction (Pty) Ltd</t>
        </is>
      </c>
      <c r="B2894" s="4" t="n">
        <v>44985</v>
      </c>
      <c r="C2894" s="3" t="inlineStr">
        <is>
          <t>Liabilities</t>
        </is>
      </c>
      <c r="D2894" s="3" t="inlineStr">
        <is>
          <t>5600/200</t>
        </is>
      </c>
      <c r="E2894" s="3" t="inlineStr">
        <is>
          <t>Motor Vehicle Car Repayments - Toyota Shortterm</t>
        </is>
      </c>
      <c r="F2894" s="3" t="n">
        <v>58920.1</v>
      </c>
      <c r="G2894" s="3" t="n">
        <v>0</v>
      </c>
    </row>
    <row r="2895">
      <c r="A2895" s="3" t="inlineStr">
        <is>
          <t>Cape Projects Construction (Pty) Ltd</t>
        </is>
      </c>
      <c r="B2895" s="4" t="n">
        <v>44985</v>
      </c>
      <c r="C2895" s="3" t="inlineStr">
        <is>
          <t>Assets</t>
        </is>
      </c>
      <c r="D2895" s="3" t="inlineStr">
        <is>
          <t>6200/010</t>
        </is>
      </c>
      <c r="E2895" s="3" t="inlineStr">
        <is>
          <t>Motor Vehicles - @ Cost</t>
        </is>
      </c>
      <c r="F2895" s="3" t="n">
        <v>0</v>
      </c>
      <c r="G2895" s="3" t="n">
        <v>216064.1</v>
      </c>
    </row>
    <row r="2896">
      <c r="A2896" s="3" t="inlineStr">
        <is>
          <t>Cape Projects Construction (Pty) Ltd</t>
        </is>
      </c>
      <c r="B2896" s="4" t="n">
        <v>44985</v>
      </c>
      <c r="C2896" s="3" t="inlineStr">
        <is>
          <t>Assets</t>
        </is>
      </c>
      <c r="D2896" s="3" t="inlineStr">
        <is>
          <t>6200/020</t>
        </is>
      </c>
      <c r="E2896" s="3" t="inlineStr">
        <is>
          <t>Motor Vehicles - Accum Depre</t>
        </is>
      </c>
      <c r="F2896" s="3" t="n">
        <v>0</v>
      </c>
      <c r="G2896" s="3" t="n">
        <v>-216063.1</v>
      </c>
    </row>
    <row r="2897">
      <c r="A2897" s="3" t="inlineStr">
        <is>
          <t>Cape Projects Construction (Pty) Ltd</t>
        </is>
      </c>
      <c r="B2897" s="4" t="n">
        <v>44985</v>
      </c>
      <c r="C2897" s="3" t="inlineStr">
        <is>
          <t>Assets</t>
        </is>
      </c>
      <c r="D2897" s="3" t="inlineStr">
        <is>
          <t>6250/010</t>
        </is>
      </c>
      <c r="E2897" s="3" t="inlineStr">
        <is>
          <t>Computer Equipment - @ Cost</t>
        </is>
      </c>
      <c r="F2897" s="3" t="n">
        <v>0</v>
      </c>
      <c r="G2897" s="3" t="n">
        <v>92100.13</v>
      </c>
    </row>
    <row r="2898">
      <c r="A2898" s="3" t="inlineStr">
        <is>
          <t>Cape Projects Construction (Pty) Ltd</t>
        </is>
      </c>
      <c r="B2898" s="4" t="n">
        <v>44985</v>
      </c>
      <c r="C2898" s="3" t="inlineStr">
        <is>
          <t>Assets</t>
        </is>
      </c>
      <c r="D2898" s="3" t="inlineStr">
        <is>
          <t>6250/020</t>
        </is>
      </c>
      <c r="E2898" s="3" t="inlineStr">
        <is>
          <t>Computer Equipment - Accum Depre</t>
        </is>
      </c>
      <c r="F2898" s="3" t="n">
        <v>-2165.83</v>
      </c>
      <c r="G2898" s="3" t="n">
        <v>-42922.99</v>
      </c>
    </row>
    <row r="2899">
      <c r="A2899" s="3" t="inlineStr">
        <is>
          <t>Cape Projects Construction (Pty) Ltd</t>
        </is>
      </c>
      <c r="B2899" s="4" t="n">
        <v>44985</v>
      </c>
      <c r="C2899" s="3" t="inlineStr">
        <is>
          <t>Assets</t>
        </is>
      </c>
      <c r="D2899" s="3" t="inlineStr">
        <is>
          <t>6350/010</t>
        </is>
      </c>
      <c r="E2899" s="3" t="inlineStr">
        <is>
          <t>Furniture _AND_ Fittings - @ Cost</t>
        </is>
      </c>
      <c r="F2899" s="3" t="n">
        <v>0</v>
      </c>
      <c r="G2899" s="3" t="n">
        <v>37955.3</v>
      </c>
    </row>
    <row r="2900">
      <c r="A2900" s="3" t="inlineStr">
        <is>
          <t>Cape Projects Construction (Pty) Ltd</t>
        </is>
      </c>
      <c r="B2900" s="4" t="n">
        <v>44985</v>
      </c>
      <c r="C2900" s="3" t="inlineStr">
        <is>
          <t>Assets</t>
        </is>
      </c>
      <c r="D2900" s="3" t="inlineStr">
        <is>
          <t>6350/020</t>
        </is>
      </c>
      <c r="E2900" s="3" t="inlineStr">
        <is>
          <t>Furniture _AND_ Fittings - Accum Depre</t>
        </is>
      </c>
      <c r="F2900" s="3" t="n">
        <v>-547.66</v>
      </c>
      <c r="G2900" s="3" t="n">
        <v>-5894.55</v>
      </c>
    </row>
    <row r="2901">
      <c r="A2901" s="3" t="inlineStr">
        <is>
          <t>Cape Projects Construction (Pty) Ltd</t>
        </is>
      </c>
      <c r="B2901" s="4" t="n">
        <v>44985</v>
      </c>
      <c r="C2901" s="3" t="inlineStr">
        <is>
          <t>Assets</t>
        </is>
      </c>
      <c r="D2901" s="3" t="inlineStr">
        <is>
          <t>6600/010</t>
        </is>
      </c>
      <c r="E2901" s="3" t="inlineStr">
        <is>
          <t>Generator Fixed Asset - @ Cost</t>
        </is>
      </c>
      <c r="F2901" s="3" t="n">
        <v>0</v>
      </c>
      <c r="G2901" s="3" t="n">
        <v>11600</v>
      </c>
    </row>
    <row r="2902">
      <c r="A2902" s="3" t="inlineStr">
        <is>
          <t>Cape Projects Construction (Pty) Ltd</t>
        </is>
      </c>
      <c r="B2902" s="4" t="n">
        <v>44985</v>
      </c>
      <c r="C2902" s="3" t="inlineStr">
        <is>
          <t>Assets</t>
        </is>
      </c>
      <c r="D2902" s="3" t="inlineStr">
        <is>
          <t>6600/020</t>
        </is>
      </c>
      <c r="E2902" s="3" t="inlineStr">
        <is>
          <t>Generator Fixed Asset - Accum Depre</t>
        </is>
      </c>
      <c r="F2902" s="3" t="n">
        <v>-193.33</v>
      </c>
      <c r="G2902" s="3" t="n">
        <v>-3125.56</v>
      </c>
    </row>
    <row r="2903">
      <c r="A2903" s="3" t="inlineStr">
        <is>
          <t>Heron Fields (Pty) Ltd</t>
        </is>
      </c>
      <c r="B2903" s="4" t="n">
        <v>44985</v>
      </c>
      <c r="C2903" s="3" t="inlineStr">
        <is>
          <t>Assets</t>
        </is>
      </c>
      <c r="D2903" s="3" t="inlineStr">
        <is>
          <t>7610/395</t>
        </is>
      </c>
      <c r="E2903" s="3" t="inlineStr">
        <is>
          <t>HF CIP NHBRC</t>
        </is>
      </c>
      <c r="F2903" s="3" t="n">
        <v>0</v>
      </c>
      <c r="G2903" s="3" t="n">
        <v>874505.75</v>
      </c>
    </row>
    <row r="2904">
      <c r="A2904" s="3" t="inlineStr">
        <is>
          <t>Heron View (Pty) Ltd</t>
        </is>
      </c>
      <c r="B2904" s="4" t="n">
        <v>44985</v>
      </c>
      <c r="C2904" s="3" t="inlineStr">
        <is>
          <t>Assets</t>
        </is>
      </c>
      <c r="D2904" s="3" t="inlineStr">
        <is>
          <t>7610/395</t>
        </is>
      </c>
      <c r="E2904" s="3" t="inlineStr">
        <is>
          <t>Heron CIP NHBRC</t>
        </is>
      </c>
      <c r="F2904" s="3" t="n">
        <v>0</v>
      </c>
      <c r="G2904" s="3" t="n">
        <v>439254.75</v>
      </c>
    </row>
    <row r="2905">
      <c r="A2905" s="3" t="inlineStr">
        <is>
          <t>Heron Fields (Pty) Ltd</t>
        </is>
      </c>
      <c r="B2905" s="4" t="n">
        <v>44985</v>
      </c>
      <c r="C2905" s="3" t="inlineStr">
        <is>
          <t>Assets</t>
        </is>
      </c>
      <c r="D2905" s="3" t="inlineStr">
        <is>
          <t>7620/100</t>
        </is>
      </c>
      <c r="E2905" s="3" t="inlineStr">
        <is>
          <t>Heron View Land</t>
        </is>
      </c>
      <c r="F2905" s="3" t="n">
        <v>0</v>
      </c>
      <c r="G2905" s="3" t="n">
        <v>26200000</v>
      </c>
    </row>
    <row r="2906">
      <c r="A2906" s="3" t="inlineStr">
        <is>
          <t>Heron Fields (Pty) Ltd</t>
        </is>
      </c>
      <c r="B2906" s="4" t="n">
        <v>44985</v>
      </c>
      <c r="C2906" s="3" t="inlineStr">
        <is>
          <t>Assets</t>
        </is>
      </c>
      <c r="D2906" s="3" t="inlineStr">
        <is>
          <t>7620/101</t>
        </is>
      </c>
      <c r="E2906" s="3" t="inlineStr">
        <is>
          <t>HF CIP Bond Registration Fee</t>
        </is>
      </c>
      <c r="F2906" s="3" t="n">
        <v>0</v>
      </c>
      <c r="G2906" s="3" t="n">
        <v>68427</v>
      </c>
    </row>
    <row r="2907">
      <c r="A2907" s="3" t="inlineStr">
        <is>
          <t>Heron Fields (Pty) Ltd</t>
        </is>
      </c>
      <c r="B2907" s="4" t="n">
        <v>44985</v>
      </c>
      <c r="C2907" s="3" t="inlineStr">
        <is>
          <t>Assets</t>
        </is>
      </c>
      <c r="D2907" s="3" t="inlineStr">
        <is>
          <t>7620/102</t>
        </is>
      </c>
      <c r="E2907" s="3" t="inlineStr">
        <is>
          <t>HF CIP Transfer Fee</t>
        </is>
      </c>
      <c r="F2907" s="3" t="n">
        <v>0</v>
      </c>
      <c r="G2907" s="3" t="n">
        <v>103812</v>
      </c>
    </row>
    <row r="2908">
      <c r="A2908" s="3" t="inlineStr">
        <is>
          <t>Heron Fields (Pty) Ltd</t>
        </is>
      </c>
      <c r="B2908" s="4" t="n">
        <v>44985</v>
      </c>
      <c r="C2908" s="3" t="inlineStr">
        <is>
          <t>Assets</t>
        </is>
      </c>
      <c r="D2908" s="3" t="inlineStr">
        <is>
          <t>7620/220</t>
        </is>
      </c>
      <c r="E2908" s="3" t="inlineStr">
        <is>
          <t>HF CIP Architectural Designs</t>
        </is>
      </c>
      <c r="F2908" s="3" t="n">
        <v>-533351</v>
      </c>
      <c r="G2908" s="3" t="n">
        <v>314087</v>
      </c>
    </row>
    <row r="2909">
      <c r="A2909" s="3" t="inlineStr">
        <is>
          <t>Heron View (Pty) Ltd</t>
        </is>
      </c>
      <c r="B2909" s="4" t="n">
        <v>44985</v>
      </c>
      <c r="C2909" s="3" t="inlineStr">
        <is>
          <t>Assets</t>
        </is>
      </c>
      <c r="D2909" s="3" t="inlineStr">
        <is>
          <t>7620/220</t>
        </is>
      </c>
      <c r="E2909" s="3" t="inlineStr">
        <is>
          <t>Heron View CIP Architectural Designs</t>
        </is>
      </c>
      <c r="F2909" s="3" t="n">
        <v>-374521</v>
      </c>
      <c r="G2909" s="3" t="n">
        <v>24400</v>
      </c>
    </row>
    <row r="2910">
      <c r="A2910" s="3" t="inlineStr">
        <is>
          <t>Heron Fields (Pty) Ltd</t>
        </is>
      </c>
      <c r="B2910" s="4" t="n">
        <v>44985</v>
      </c>
      <c r="C2910" s="3" t="inlineStr">
        <is>
          <t>Assets</t>
        </is>
      </c>
      <c r="D2910" s="3" t="inlineStr">
        <is>
          <t>7620/230</t>
        </is>
      </c>
      <c r="E2910" s="3" t="inlineStr">
        <is>
          <t>HF CIP Construction Management</t>
        </is>
      </c>
      <c r="F2910" s="3" t="n">
        <v>0</v>
      </c>
      <c r="G2910" s="3" t="n">
        <v>136500</v>
      </c>
    </row>
    <row r="2911">
      <c r="A2911" s="3" t="inlineStr">
        <is>
          <t>Heron Fields (Pty) Ltd</t>
        </is>
      </c>
      <c r="B2911" s="4" t="n">
        <v>44985</v>
      </c>
      <c r="C2911" s="3" t="inlineStr">
        <is>
          <t>Assets</t>
        </is>
      </c>
      <c r="D2911" s="3" t="inlineStr">
        <is>
          <t>7620/240</t>
        </is>
      </c>
      <c r="E2911" s="3" t="inlineStr">
        <is>
          <t>HF CIP Civil Engineering</t>
        </is>
      </c>
      <c r="F2911" s="3" t="n">
        <v>0</v>
      </c>
      <c r="G2911" s="3" t="n">
        <v>8557641.800000001</v>
      </c>
    </row>
    <row r="2912">
      <c r="A2912" s="3" t="inlineStr">
        <is>
          <t>Heron Fields (Pty) Ltd</t>
        </is>
      </c>
      <c r="B2912" s="4" t="n">
        <v>44985</v>
      </c>
      <c r="C2912" s="3" t="inlineStr">
        <is>
          <t>Assets</t>
        </is>
      </c>
      <c r="D2912" s="3" t="inlineStr">
        <is>
          <t>7620/245</t>
        </is>
      </c>
      <c r="E2912" s="3" t="inlineStr">
        <is>
          <t>HF CIP Development fee</t>
        </is>
      </c>
      <c r="F2912" s="3" t="n">
        <v>0</v>
      </c>
      <c r="G2912" s="3" t="n">
        <v>13807.78</v>
      </c>
    </row>
    <row r="2913">
      <c r="A2913" s="3" t="inlineStr">
        <is>
          <t>Heron Fields (Pty) Ltd</t>
        </is>
      </c>
      <c r="B2913" s="4" t="n">
        <v>44985</v>
      </c>
      <c r="C2913" s="3" t="inlineStr">
        <is>
          <t>Assets</t>
        </is>
      </c>
      <c r="D2913" s="3" t="inlineStr">
        <is>
          <t>7620/250</t>
        </is>
      </c>
      <c r="E2913" s="3" t="inlineStr">
        <is>
          <t>HF CIP Land Surveyor</t>
        </is>
      </c>
      <c r="F2913" s="3" t="n">
        <v>41437</v>
      </c>
      <c r="G2913" s="3" t="n">
        <v>193560.09</v>
      </c>
    </row>
    <row r="2914">
      <c r="A2914" s="3" t="inlineStr">
        <is>
          <t>Heron View (Pty) Ltd</t>
        </is>
      </c>
      <c r="B2914" s="4" t="n">
        <v>44985</v>
      </c>
      <c r="C2914" s="3" t="inlineStr">
        <is>
          <t>Assets</t>
        </is>
      </c>
      <c r="D2914" s="3" t="inlineStr">
        <is>
          <t>7620/250</t>
        </is>
      </c>
      <c r="E2914" s="3" t="inlineStr">
        <is>
          <t>Heron View CIP Land Surveyor</t>
        </is>
      </c>
      <c r="F2914" s="3" t="n">
        <v>3700</v>
      </c>
      <c r="G2914" s="3" t="n">
        <v>19185</v>
      </c>
    </row>
    <row r="2915">
      <c r="A2915" s="3" t="inlineStr">
        <is>
          <t>Heron Fields (Pty) Ltd</t>
        </is>
      </c>
      <c r="B2915" s="4" t="n">
        <v>44985</v>
      </c>
      <c r="C2915" s="3" t="inlineStr">
        <is>
          <t>Assets</t>
        </is>
      </c>
      <c r="D2915" s="3" t="inlineStr">
        <is>
          <t>7620/255</t>
        </is>
      </c>
      <c r="E2915" s="3" t="inlineStr">
        <is>
          <t>HF CIP Landscaping</t>
        </is>
      </c>
      <c r="F2915" s="3" t="n">
        <v>0</v>
      </c>
      <c r="G2915" s="3" t="n">
        <v>7500</v>
      </c>
    </row>
    <row r="2916">
      <c r="A2916" s="3" t="inlineStr">
        <is>
          <t>Heron Fields (Pty) Ltd</t>
        </is>
      </c>
      <c r="B2916" s="4" t="n">
        <v>44985</v>
      </c>
      <c r="C2916" s="3" t="inlineStr">
        <is>
          <t>Assets</t>
        </is>
      </c>
      <c r="D2916" s="3" t="inlineStr">
        <is>
          <t>7620/260</t>
        </is>
      </c>
      <c r="E2916" s="3" t="inlineStr">
        <is>
          <t>HF CIP Mechanical Engineers</t>
        </is>
      </c>
      <c r="F2916" s="3" t="n">
        <v>0</v>
      </c>
      <c r="G2916" s="3" t="n">
        <v>67400</v>
      </c>
    </row>
    <row r="2917">
      <c r="A2917" s="3" t="inlineStr">
        <is>
          <t>Heron Fields (Pty) Ltd</t>
        </is>
      </c>
      <c r="B2917" s="4" t="n">
        <v>44985</v>
      </c>
      <c r="C2917" s="3" t="inlineStr">
        <is>
          <t>Assets</t>
        </is>
      </c>
      <c r="D2917" s="3" t="inlineStr">
        <is>
          <t>7620/265</t>
        </is>
      </c>
      <c r="E2917" s="3" t="inlineStr">
        <is>
          <t>HF CIP Health &amp; Safety</t>
        </is>
      </c>
      <c r="F2917" s="3" t="n">
        <v>0</v>
      </c>
      <c r="G2917" s="3" t="n">
        <v>20600</v>
      </c>
    </row>
    <row r="2918">
      <c r="A2918" s="3" t="inlineStr">
        <is>
          <t>Heron Fields (Pty) Ltd</t>
        </is>
      </c>
      <c r="B2918" s="4" t="n">
        <v>44985</v>
      </c>
      <c r="C2918" s="3" t="inlineStr">
        <is>
          <t>Assets</t>
        </is>
      </c>
      <c r="D2918" s="3" t="inlineStr">
        <is>
          <t>7620/270</t>
        </is>
      </c>
      <c r="E2918" s="3" t="inlineStr">
        <is>
          <t>HF CIP Geotechnical</t>
        </is>
      </c>
      <c r="F2918" s="3" t="n">
        <v>0</v>
      </c>
      <c r="G2918" s="3" t="n">
        <v>15175</v>
      </c>
    </row>
    <row r="2919">
      <c r="A2919" s="3" t="inlineStr">
        <is>
          <t>Heron Fields (Pty) Ltd</t>
        </is>
      </c>
      <c r="B2919" s="4" t="n">
        <v>44985</v>
      </c>
      <c r="C2919" s="3" t="inlineStr">
        <is>
          <t>Assets</t>
        </is>
      </c>
      <c r="D2919" s="3" t="inlineStr">
        <is>
          <t>7620/275</t>
        </is>
      </c>
      <c r="E2919" s="3" t="inlineStr">
        <is>
          <t>HF CIP Retaining Wall</t>
        </is>
      </c>
      <c r="F2919" s="3" t="n">
        <v>0</v>
      </c>
      <c r="G2919" s="3" t="n">
        <v>570856.08</v>
      </c>
    </row>
    <row r="2920">
      <c r="A2920" s="3" t="inlineStr">
        <is>
          <t>Heron Fields (Pty) Ltd</t>
        </is>
      </c>
      <c r="B2920" s="4" t="n">
        <v>44985</v>
      </c>
      <c r="C2920" s="3" t="inlineStr">
        <is>
          <t>Assets</t>
        </is>
      </c>
      <c r="D2920" s="3" t="inlineStr">
        <is>
          <t>7620/280</t>
        </is>
      </c>
      <c r="E2920" s="3" t="inlineStr">
        <is>
          <t>HF CIP Site Establishment</t>
        </is>
      </c>
      <c r="F2920" s="3" t="n">
        <v>-440601.59</v>
      </c>
      <c r="G2920" s="3" t="n">
        <v>47748851.51</v>
      </c>
    </row>
    <row r="2921">
      <c r="A2921" s="3" t="inlineStr">
        <is>
          <t>Heron View (Pty) Ltd</t>
        </is>
      </c>
      <c r="B2921" s="4" t="n">
        <v>44985</v>
      </c>
      <c r="C2921" s="3" t="inlineStr">
        <is>
          <t>Assets</t>
        </is>
      </c>
      <c r="D2921" s="3" t="inlineStr">
        <is>
          <t>7620/280</t>
        </is>
      </c>
      <c r="E2921" s="3" t="inlineStr">
        <is>
          <t>Heron View CIP Site Establishment</t>
        </is>
      </c>
      <c r="F2921" s="3" t="n">
        <v>4443649.8</v>
      </c>
      <c r="G2921" s="3" t="n">
        <v>6423649.8</v>
      </c>
    </row>
    <row r="2922">
      <c r="A2922" s="3" t="inlineStr">
        <is>
          <t>Heron Fields (Pty) Ltd</t>
        </is>
      </c>
      <c r="B2922" s="4" t="n">
        <v>44985</v>
      </c>
      <c r="C2922" s="3" t="inlineStr">
        <is>
          <t>Assets</t>
        </is>
      </c>
      <c r="D2922" s="3" t="inlineStr">
        <is>
          <t>7620/285</t>
        </is>
      </c>
      <c r="E2922" s="3" t="inlineStr">
        <is>
          <t>HF CIP Structuring Fee - Invest</t>
        </is>
      </c>
      <c r="F2922" s="3" t="n">
        <v>173913.04</v>
      </c>
      <c r="G2922" s="3" t="n">
        <v>3850818.04</v>
      </c>
    </row>
    <row r="2923">
      <c r="A2923" s="3" t="inlineStr">
        <is>
          <t>Heron Fields (Pty) Ltd</t>
        </is>
      </c>
      <c r="B2923" s="4" t="n">
        <v>44985</v>
      </c>
      <c r="C2923" s="3" t="inlineStr">
        <is>
          <t>Assets</t>
        </is>
      </c>
      <c r="D2923" s="3" t="inlineStr">
        <is>
          <t>7620/287</t>
        </is>
      </c>
      <c r="E2923" s="3" t="inlineStr">
        <is>
          <t>HF CIP Structuring Fee - Development</t>
        </is>
      </c>
      <c r="F2923" s="3" t="n">
        <v>0</v>
      </c>
      <c r="G2923" s="3" t="n">
        <v>782608.0699999999</v>
      </c>
    </row>
    <row r="2924">
      <c r="A2924" s="3" t="inlineStr">
        <is>
          <t>Heron Fields (Pty) Ltd</t>
        </is>
      </c>
      <c r="B2924" s="4" t="n">
        <v>44985</v>
      </c>
      <c r="C2924" s="3" t="inlineStr">
        <is>
          <t>Assets</t>
        </is>
      </c>
      <c r="D2924" s="3" t="inlineStr">
        <is>
          <t>7620/290</t>
        </is>
      </c>
      <c r="E2924" s="3" t="inlineStr">
        <is>
          <t>HF CIP Town Planning</t>
        </is>
      </c>
      <c r="F2924" s="3" t="n">
        <v>0</v>
      </c>
      <c r="G2924" s="3" t="n">
        <v>166550</v>
      </c>
    </row>
    <row r="2925">
      <c r="A2925" s="3" t="inlineStr">
        <is>
          <t>Heron Fields (Pty) Ltd</t>
        </is>
      </c>
      <c r="B2925" s="4" t="n">
        <v>44985</v>
      </c>
      <c r="C2925" s="3" t="inlineStr">
        <is>
          <t>Assets</t>
        </is>
      </c>
      <c r="D2925" s="3" t="inlineStr">
        <is>
          <t>7620/295</t>
        </is>
      </c>
      <c r="E2925" s="3" t="inlineStr">
        <is>
          <t>HF CIP Traffic Planning</t>
        </is>
      </c>
      <c r="F2925" s="3" t="n">
        <v>0</v>
      </c>
      <c r="G2925" s="3" t="n">
        <v>45000</v>
      </c>
    </row>
    <row r="2926">
      <c r="A2926" s="3" t="inlineStr">
        <is>
          <t>Heron Fields (Pty) Ltd</t>
        </is>
      </c>
      <c r="B2926" s="4" t="n">
        <v>44985</v>
      </c>
      <c r="C2926" s="3" t="inlineStr">
        <is>
          <t>Assets</t>
        </is>
      </c>
      <c r="D2926" s="3" t="inlineStr">
        <is>
          <t>7620/600</t>
        </is>
      </c>
      <c r="E2926" s="3" t="inlineStr">
        <is>
          <t>HF CIP Eco work</t>
        </is>
      </c>
      <c r="F2926" s="3" t="n">
        <v>0</v>
      </c>
      <c r="G2926" s="3" t="n">
        <v>125000</v>
      </c>
    </row>
    <row r="2927">
      <c r="A2927" s="3" t="inlineStr">
        <is>
          <t>Heron View (Pty) Ltd</t>
        </is>
      </c>
      <c r="B2927" s="4" t="n">
        <v>44985</v>
      </c>
      <c r="C2927" s="3" t="inlineStr">
        <is>
          <t>Assets</t>
        </is>
      </c>
      <c r="D2927" s="3" t="inlineStr">
        <is>
          <t>7620/610</t>
        </is>
      </c>
      <c r="E2927" s="3" t="inlineStr">
        <is>
          <t>HV CIP Retaining wall</t>
        </is>
      </c>
      <c r="F2927" s="3" t="n">
        <v>0</v>
      </c>
      <c r="G2927" s="3" t="n">
        <v>66190.11</v>
      </c>
    </row>
    <row r="2928">
      <c r="A2928" s="3" t="inlineStr">
        <is>
          <t>Heron Fields (Pty) Ltd</t>
        </is>
      </c>
      <c r="B2928" s="4" t="n">
        <v>44985</v>
      </c>
      <c r="C2928" s="3" t="inlineStr">
        <is>
          <t>Assets</t>
        </is>
      </c>
      <c r="D2928" s="3" t="inlineStr">
        <is>
          <t>7620/630</t>
        </is>
      </c>
      <c r="E2928" s="3" t="inlineStr">
        <is>
          <t>HF CIP CoCT development contribution</t>
        </is>
      </c>
      <c r="F2928" s="3" t="n">
        <v>0</v>
      </c>
      <c r="G2928" s="3" t="n">
        <v>1021325.63</v>
      </c>
    </row>
    <row r="2929">
      <c r="A2929" s="3" t="inlineStr">
        <is>
          <t>Heron View (Pty) Ltd</t>
        </is>
      </c>
      <c r="B2929" s="4" t="n">
        <v>44985</v>
      </c>
      <c r="C2929" s="3" t="inlineStr">
        <is>
          <t>Assets</t>
        </is>
      </c>
      <c r="D2929" s="3" t="inlineStr">
        <is>
          <t>7620/630</t>
        </is>
      </c>
      <c r="E2929" s="3" t="inlineStr">
        <is>
          <t>Heron CIP - CoCT development contribution</t>
        </is>
      </c>
      <c r="F2929" s="3" t="n">
        <v>35034</v>
      </c>
      <c r="G2929" s="3" t="n">
        <v>1313735.84</v>
      </c>
    </row>
    <row r="2930">
      <c r="A2930" s="3" t="inlineStr">
        <is>
          <t>Heron Fields (Pty) Ltd</t>
        </is>
      </c>
      <c r="B2930" s="4" t="n">
        <v>44985</v>
      </c>
      <c r="C2930" s="3" t="inlineStr">
        <is>
          <t>Assets</t>
        </is>
      </c>
      <c r="D2930" s="3" t="inlineStr">
        <is>
          <t>7620/640</t>
        </is>
      </c>
      <c r="E2930" s="3" t="inlineStr">
        <is>
          <t>HF CIP Project costs</t>
        </is>
      </c>
      <c r="F2930" s="3" t="n">
        <v>0</v>
      </c>
      <c r="G2930" s="3" t="n">
        <v>622274.51</v>
      </c>
    </row>
    <row r="2931">
      <c r="A2931" s="3" t="inlineStr">
        <is>
          <t>Heron View (Pty) Ltd</t>
        </is>
      </c>
      <c r="B2931" s="4" t="n">
        <v>44985</v>
      </c>
      <c r="C2931" s="3" t="inlineStr">
        <is>
          <t>Assets</t>
        </is>
      </c>
      <c r="D2931" s="3" t="inlineStr">
        <is>
          <t>7620/650</t>
        </is>
      </c>
      <c r="E2931" s="3" t="inlineStr">
        <is>
          <t>CIP - Construction Management</t>
        </is>
      </c>
      <c r="F2931" s="3" t="n">
        <v>11500</v>
      </c>
      <c r="G2931" s="3" t="n">
        <v>30280</v>
      </c>
    </row>
    <row r="2932">
      <c r="A2932" s="3" t="inlineStr">
        <is>
          <t>Heron Fields (Pty) Ltd</t>
        </is>
      </c>
      <c r="B2932" s="4" t="n">
        <v>44985</v>
      </c>
      <c r="C2932" s="3" t="inlineStr">
        <is>
          <t>Assets</t>
        </is>
      </c>
      <c r="D2932" s="3" t="inlineStr">
        <is>
          <t>7620/650</t>
        </is>
      </c>
      <c r="E2932" s="3" t="inlineStr">
        <is>
          <t>HF CIP Electrical</t>
        </is>
      </c>
      <c r="F2932" s="3" t="n">
        <v>0</v>
      </c>
      <c r="G2932" s="3" t="n">
        <v>985049.6800000001</v>
      </c>
    </row>
    <row r="2933">
      <c r="A2933" s="3" t="inlineStr">
        <is>
          <t>Heron View (Pty) Ltd</t>
        </is>
      </c>
      <c r="B2933" s="4" t="n">
        <v>44985</v>
      </c>
      <c r="C2933" s="3" t="inlineStr">
        <is>
          <t>Assets</t>
        </is>
      </c>
      <c r="D2933" s="3" t="inlineStr">
        <is>
          <t>7620/660</t>
        </is>
      </c>
      <c r="E2933" s="3" t="inlineStr">
        <is>
          <t>HV CIP Health &amp; Safety</t>
        </is>
      </c>
      <c r="F2933" s="3" t="n">
        <v>1400</v>
      </c>
      <c r="G2933" s="3" t="n">
        <v>14600</v>
      </c>
    </row>
    <row r="2934">
      <c r="A2934" s="3" t="inlineStr">
        <is>
          <t>Heron View (Pty) Ltd</t>
        </is>
      </c>
      <c r="B2934" s="4" t="n">
        <v>44985</v>
      </c>
      <c r="C2934" s="3" t="inlineStr">
        <is>
          <t>Assets</t>
        </is>
      </c>
      <c r="D2934" s="3" t="inlineStr">
        <is>
          <t>7620/670</t>
        </is>
      </c>
      <c r="E2934" s="3" t="inlineStr">
        <is>
          <t>HV CIP - Project costs CPSD</t>
        </is>
      </c>
      <c r="F2934" s="3" t="n">
        <v>217391.3</v>
      </c>
      <c r="G2934" s="3" t="n">
        <v>684782.6</v>
      </c>
    </row>
    <row r="2935">
      <c r="A2935" s="3" t="inlineStr">
        <is>
          <t>Heron View (Pty) Ltd</t>
        </is>
      </c>
      <c r="B2935" s="4" t="n">
        <v>44985</v>
      </c>
      <c r="C2935" s="3" t="inlineStr">
        <is>
          <t>Assets</t>
        </is>
      </c>
      <c r="D2935" s="3" t="inlineStr">
        <is>
          <t>7620/680</t>
        </is>
      </c>
      <c r="E2935" s="3" t="inlineStr">
        <is>
          <t>HV CIP Elextrical</t>
        </is>
      </c>
      <c r="F2935" s="3" t="n">
        <v>57803.5</v>
      </c>
      <c r="G2935" s="3" t="n">
        <v>870391.34</v>
      </c>
    </row>
    <row r="2936">
      <c r="A2936" s="3" t="inlineStr">
        <is>
          <t>Heron View (Pty) Ltd</t>
        </is>
      </c>
      <c r="B2936" s="4" t="n">
        <v>44985</v>
      </c>
      <c r="C2936" s="3" t="inlineStr">
        <is>
          <t>Assets</t>
        </is>
      </c>
      <c r="D2936" s="3" t="inlineStr">
        <is>
          <t>7620/690</t>
        </is>
      </c>
      <c r="E2936" s="3" t="inlineStr">
        <is>
          <t>HV CIP Site Establishment</t>
        </is>
      </c>
      <c r="F2936" s="3" t="n">
        <v>40654.63</v>
      </c>
      <c r="G2936" s="3" t="n">
        <v>40654.63</v>
      </c>
    </row>
    <row r="2937">
      <c r="A2937" s="3" t="inlineStr">
        <is>
          <t>Heron Fields (Pty) Ltd</t>
        </is>
      </c>
      <c r="B2937" s="4" t="n">
        <v>44985</v>
      </c>
      <c r="C2937" s="3" t="inlineStr">
        <is>
          <t>Assets</t>
        </is>
      </c>
      <c r="D2937" s="3" t="inlineStr">
        <is>
          <t>7620/700</t>
        </is>
      </c>
      <c r="E2937" s="3" t="inlineStr">
        <is>
          <t>HF CIP - P&amp;G recoveries - Endulini&amp;Heron Fields/View</t>
        </is>
      </c>
      <c r="F2937" s="3" t="n">
        <v>-3023829.42</v>
      </c>
      <c r="G2937" s="3" t="n">
        <v>0</v>
      </c>
    </row>
    <row r="2938">
      <c r="A2938" s="3" t="inlineStr">
        <is>
          <t>Heron Fields (Pty) Ltd</t>
        </is>
      </c>
      <c r="B2938" s="4" t="n">
        <v>44985</v>
      </c>
      <c r="C2938" s="3" t="inlineStr">
        <is>
          <t>Assets</t>
        </is>
      </c>
      <c r="D2938" s="3" t="inlineStr">
        <is>
          <t>7620/750</t>
        </is>
      </c>
      <c r="E2938" s="3" t="inlineStr">
        <is>
          <t>HF CIP Project costs CPSD</t>
        </is>
      </c>
      <c r="F2938" s="3" t="n">
        <v>0</v>
      </c>
      <c r="G2938" s="3" t="n">
        <v>1250000</v>
      </c>
    </row>
    <row r="2939">
      <c r="A2939" s="3" t="inlineStr">
        <is>
          <t>Heron Fields (Pty) Ltd</t>
        </is>
      </c>
      <c r="B2939" s="4" t="n">
        <v>44985</v>
      </c>
      <c r="C2939" s="3" t="inlineStr">
        <is>
          <t>Assets</t>
        </is>
      </c>
      <c r="D2939" s="3" t="inlineStr">
        <is>
          <t>7700/010</t>
        </is>
      </c>
      <c r="E2939" s="3" t="inlineStr">
        <is>
          <t>Construction 28 Feb 23 HF</t>
        </is>
      </c>
      <c r="F2939" s="3" t="n">
        <v>-24427668.44</v>
      </c>
      <c r="G2939" s="3" t="n">
        <v>-24427668.44</v>
      </c>
    </row>
    <row r="2940">
      <c r="A2940" s="3" t="inlineStr">
        <is>
          <t>Cape Projects Construction (Pty) Ltd</t>
        </is>
      </c>
      <c r="B2940" s="4" t="n">
        <v>44985</v>
      </c>
      <c r="C2940" s="3" t="inlineStr">
        <is>
          <t>Assets</t>
        </is>
      </c>
      <c r="D2940" s="3" t="inlineStr">
        <is>
          <t>7800/000</t>
        </is>
      </c>
      <c r="E2940" s="3" t="inlineStr">
        <is>
          <t>Deposits paid</t>
        </is>
      </c>
      <c r="F2940" s="3" t="n">
        <v>21212.05</v>
      </c>
      <c r="G2940" s="3" t="n">
        <v>29600</v>
      </c>
    </row>
    <row r="2941">
      <c r="A2941" s="3" t="inlineStr">
        <is>
          <t>Cape Projects Construction (Pty) Ltd</t>
        </is>
      </c>
      <c r="B2941" s="4" t="n">
        <v>44985</v>
      </c>
      <c r="C2941" s="3" t="inlineStr">
        <is>
          <t>Assets</t>
        </is>
      </c>
      <c r="D2941" s="3" t="inlineStr">
        <is>
          <t>8000/000</t>
        </is>
      </c>
      <c r="E2941" s="3" t="inlineStr">
        <is>
          <t>Customer Control Account</t>
        </is>
      </c>
      <c r="F2941" s="3" t="n">
        <v>1651099.99</v>
      </c>
      <c r="G2941" s="3" t="n">
        <v>-326799.41</v>
      </c>
    </row>
    <row r="2942">
      <c r="A2942" s="3" t="inlineStr">
        <is>
          <t>Heron Fields (Pty) Ltd</t>
        </is>
      </c>
      <c r="B2942" s="4" t="n">
        <v>44985</v>
      </c>
      <c r="C2942" s="3" t="inlineStr">
        <is>
          <t>Assets</t>
        </is>
      </c>
      <c r="D2942" s="3" t="inlineStr">
        <is>
          <t>8000/000</t>
        </is>
      </c>
      <c r="E2942" s="3" t="inlineStr">
        <is>
          <t>Customer Control Account</t>
        </is>
      </c>
      <c r="F2942" s="3" t="n">
        <v>674804.86</v>
      </c>
      <c r="G2942" s="3" t="n">
        <v>893038.4399999999</v>
      </c>
    </row>
    <row r="2943">
      <c r="A2943" s="3" t="inlineStr">
        <is>
          <t>Cape Projects Construction (Pty) Ltd</t>
        </is>
      </c>
      <c r="B2943" s="4" t="n">
        <v>44985</v>
      </c>
      <c r="C2943" s="3" t="inlineStr">
        <is>
          <t>Assets</t>
        </is>
      </c>
      <c r="D2943" s="3" t="inlineStr">
        <is>
          <t>8200/010</t>
        </is>
      </c>
      <c r="E2943" s="3" t="inlineStr">
        <is>
          <t>Prepayments / Prepaid Expenses</t>
        </is>
      </c>
      <c r="F2943" s="3" t="n">
        <v>-2719.44</v>
      </c>
      <c r="G2943" s="3" t="n">
        <v>2719.43</v>
      </c>
    </row>
    <row r="2944">
      <c r="A2944" s="3" t="inlineStr">
        <is>
          <t>Heron Fields (Pty) Ltd</t>
        </is>
      </c>
      <c r="B2944" s="4" t="n">
        <v>44985</v>
      </c>
      <c r="C2944" s="3" t="inlineStr">
        <is>
          <t>Assets</t>
        </is>
      </c>
      <c r="D2944" s="3" t="inlineStr">
        <is>
          <t>8400/000</t>
        </is>
      </c>
      <c r="E2944" s="3" t="inlineStr">
        <is>
          <t>RMB - 62882379087</t>
        </is>
      </c>
      <c r="F2944" s="3" t="n">
        <v>718089.1899999999</v>
      </c>
      <c r="G2944" s="3" t="n">
        <v>1331141.21</v>
      </c>
    </row>
    <row r="2945">
      <c r="A2945" s="3" t="inlineStr">
        <is>
          <t>Cape Projects Construction (Pty) Ltd</t>
        </is>
      </c>
      <c r="B2945" s="4" t="n">
        <v>44985</v>
      </c>
      <c r="C2945" s="3" t="inlineStr">
        <is>
          <t>Assets</t>
        </is>
      </c>
      <c r="D2945" s="3" t="inlineStr">
        <is>
          <t>8400/000</t>
        </is>
      </c>
      <c r="E2945" s="3" t="inlineStr">
        <is>
          <t>RMB 62275138470</t>
        </is>
      </c>
      <c r="F2945" s="3" t="n">
        <v>-32991.36</v>
      </c>
      <c r="G2945" s="3" t="n">
        <v>40840.13</v>
      </c>
    </row>
    <row r="2946">
      <c r="A2946" s="3" t="inlineStr">
        <is>
          <t>Cape Projects Construction (Pty) Ltd</t>
        </is>
      </c>
      <c r="B2946" s="4" t="n">
        <v>44985</v>
      </c>
      <c r="C2946" s="3" t="inlineStr">
        <is>
          <t>Assets</t>
        </is>
      </c>
      <c r="D2946" s="3" t="inlineStr">
        <is>
          <t>8420/000</t>
        </is>
      </c>
      <c r="E2946" s="3" t="inlineStr">
        <is>
          <t>Momentum Priv Acc RU502230981</t>
        </is>
      </c>
      <c r="F2946" s="3" t="n">
        <v>0</v>
      </c>
      <c r="G2946" s="3" t="n">
        <v>537.3200000000001</v>
      </c>
    </row>
    <row r="2947">
      <c r="A2947" s="3" t="inlineStr">
        <is>
          <t>Heron Fields (Pty) Ltd</t>
        </is>
      </c>
      <c r="B2947" s="4" t="n">
        <v>44985</v>
      </c>
      <c r="C2947" s="3" t="inlineStr">
        <is>
          <t>Assets</t>
        </is>
      </c>
      <c r="D2947" s="3" t="inlineStr">
        <is>
          <t>8430/000</t>
        </is>
      </c>
      <c r="E2947" s="3" t="inlineStr">
        <is>
          <t>Momentum Private Account RU502230151</t>
        </is>
      </c>
      <c r="F2947" s="3" t="n">
        <v>4.48</v>
      </c>
      <c r="G2947" s="3" t="n">
        <v>827.72</v>
      </c>
    </row>
    <row r="2948">
      <c r="A2948" s="3" t="inlineStr">
        <is>
          <t>Heron Fields (Pty) Ltd</t>
        </is>
      </c>
      <c r="B2948" s="4" t="n">
        <v>44985</v>
      </c>
      <c r="C2948" s="3" t="inlineStr">
        <is>
          <t>Assets</t>
        </is>
      </c>
      <c r="D2948" s="3" t="inlineStr">
        <is>
          <t>8440/000</t>
        </is>
      </c>
      <c r="E2948" s="3" t="inlineStr">
        <is>
          <t>Momentum Investors Account RU502229930</t>
        </is>
      </c>
      <c r="F2948" s="3" t="n">
        <v>4020001.65</v>
      </c>
      <c r="G2948" s="3" t="n">
        <v>26616286.5</v>
      </c>
    </row>
    <row r="2949">
      <c r="A2949" s="3" t="inlineStr">
        <is>
          <t>Cape Projects Construction (Pty) Ltd</t>
        </is>
      </c>
      <c r="B2949" s="4" t="n">
        <v>44985</v>
      </c>
      <c r="C2949" s="3" t="inlineStr">
        <is>
          <t>Liabilities</t>
        </is>
      </c>
      <c r="D2949" s="3" t="inlineStr">
        <is>
          <t>860</t>
        </is>
      </c>
      <c r="E2949" s="3" t="inlineStr">
        <is>
          <t>Rounding</t>
        </is>
      </c>
      <c r="F2949" s="3" t="n">
        <v>-123.42</v>
      </c>
      <c r="G2949" s="3" t="n">
        <v>0</v>
      </c>
    </row>
    <row r="2950">
      <c r="A2950" s="3" t="inlineStr">
        <is>
          <t>Heron Fields (Pty) Ltd</t>
        </is>
      </c>
      <c r="B2950" s="4" t="n">
        <v>44985</v>
      </c>
      <c r="C2950" s="3" t="inlineStr">
        <is>
          <t>Liabilities</t>
        </is>
      </c>
      <c r="D2950" s="3" t="inlineStr">
        <is>
          <t>860</t>
        </is>
      </c>
      <c r="E2950" s="3" t="inlineStr">
        <is>
          <t>Rounding</t>
        </is>
      </c>
      <c r="F2950" s="3" t="n">
        <v>0</v>
      </c>
      <c r="G2950" s="3" t="n">
        <v>0.03</v>
      </c>
    </row>
    <row r="2951">
      <c r="A2951" s="3" t="inlineStr">
        <is>
          <t>Cape Projects Construction (Pty) Ltd</t>
        </is>
      </c>
      <c r="B2951" s="4" t="n">
        <v>44985</v>
      </c>
      <c r="C2951" s="3" t="inlineStr">
        <is>
          <t>Liabilities</t>
        </is>
      </c>
      <c r="D2951" s="3" t="inlineStr">
        <is>
          <t>9000/000</t>
        </is>
      </c>
      <c r="E2951" s="3" t="inlineStr">
        <is>
          <t>Supplier Control Account</t>
        </is>
      </c>
      <c r="F2951" s="3" t="n">
        <v>-305043.04</v>
      </c>
      <c r="G2951" s="3" t="n">
        <v>-2305727.92</v>
      </c>
    </row>
    <row r="2952">
      <c r="A2952" s="3" t="inlineStr">
        <is>
          <t>Heron Fields (Pty) Ltd</t>
        </is>
      </c>
      <c r="B2952" s="4" t="n">
        <v>44985</v>
      </c>
      <c r="C2952" s="3" t="inlineStr">
        <is>
          <t>Liabilities</t>
        </is>
      </c>
      <c r="D2952" s="3" t="inlineStr">
        <is>
          <t>9000/000</t>
        </is>
      </c>
      <c r="E2952" s="3" t="inlineStr">
        <is>
          <t>Supplier Control Account</t>
        </is>
      </c>
      <c r="F2952" s="3" t="n">
        <v>-2399432.41</v>
      </c>
      <c r="G2952" s="3" t="n">
        <v>-116143676.28</v>
      </c>
    </row>
    <row r="2953">
      <c r="A2953" s="3" t="inlineStr">
        <is>
          <t>Heron View (Pty) Ltd</t>
        </is>
      </c>
      <c r="B2953" s="4" t="n">
        <v>44985</v>
      </c>
      <c r="C2953" s="3" t="inlineStr">
        <is>
          <t>Liabilities</t>
        </is>
      </c>
      <c r="D2953" s="3" t="inlineStr">
        <is>
          <t>9000/000</t>
        </is>
      </c>
      <c r="E2953" s="3" t="inlineStr">
        <is>
          <t>Supplier Control Account</t>
        </is>
      </c>
      <c r="F2953" s="3" t="n">
        <v>2842292.75</v>
      </c>
      <c r="G2953" s="3" t="n">
        <v>-850396.17</v>
      </c>
    </row>
    <row r="2954">
      <c r="A2954" s="3" t="inlineStr">
        <is>
          <t>Cape Projects Construction (Pty) Ltd</t>
        </is>
      </c>
      <c r="B2954" s="4" t="n">
        <v>44985</v>
      </c>
      <c r="C2954" s="3" t="inlineStr">
        <is>
          <t>Liabilities</t>
        </is>
      </c>
      <c r="D2954" s="3" t="inlineStr">
        <is>
          <t>9200/000</t>
        </is>
      </c>
      <c r="E2954" s="3" t="inlineStr">
        <is>
          <t>Sundry Suppliers</t>
        </is>
      </c>
      <c r="F2954" s="3" t="n">
        <v>-1186.13</v>
      </c>
      <c r="G2954" s="3" t="n">
        <v>0</v>
      </c>
    </row>
    <row r="2955">
      <c r="A2955" s="3" t="inlineStr">
        <is>
          <t>Cape Projects Construction (Pty) Ltd</t>
        </is>
      </c>
      <c r="B2955" s="4" t="n">
        <v>44985</v>
      </c>
      <c r="C2955" s="3" t="inlineStr">
        <is>
          <t>Liabilities</t>
        </is>
      </c>
      <c r="D2955" s="3" t="inlineStr">
        <is>
          <t>9250/010</t>
        </is>
      </c>
      <c r="E2955" s="3" t="inlineStr">
        <is>
          <t>SALARY CONTROL</t>
        </is>
      </c>
      <c r="F2955" s="3" t="n">
        <v>-20758.55</v>
      </c>
      <c r="G2955" s="3" t="n">
        <v>0</v>
      </c>
    </row>
    <row r="2956">
      <c r="A2956" s="3" t="inlineStr">
        <is>
          <t>Cape Projects Construction (Pty) Ltd</t>
        </is>
      </c>
      <c r="B2956" s="4" t="n">
        <v>44985</v>
      </c>
      <c r="C2956" s="3" t="inlineStr">
        <is>
          <t>Liabilities</t>
        </is>
      </c>
      <c r="D2956" s="3" t="inlineStr">
        <is>
          <t>9250/020</t>
        </is>
      </c>
      <c r="E2956" s="3" t="inlineStr">
        <is>
          <t>PAYE, UIF AND SDL CONTROL</t>
        </is>
      </c>
      <c r="F2956" s="3" t="n">
        <v>7616.94</v>
      </c>
      <c r="G2956" s="3" t="n">
        <v>-65658.95</v>
      </c>
    </row>
    <row r="2957">
      <c r="A2957" s="3" t="inlineStr">
        <is>
          <t>Cape Projects Construction (Pty) Ltd</t>
        </is>
      </c>
      <c r="B2957" s="4" t="n">
        <v>44985</v>
      </c>
      <c r="C2957" s="3" t="inlineStr">
        <is>
          <t>Liabilities</t>
        </is>
      </c>
      <c r="D2957" s="3" t="inlineStr">
        <is>
          <t>9250/030</t>
        </is>
      </c>
      <c r="E2957" s="3" t="inlineStr">
        <is>
          <t>BIBC CONTROL</t>
        </is>
      </c>
      <c r="F2957" s="3" t="n">
        <v>-6809.25</v>
      </c>
      <c r="G2957" s="3" t="n">
        <v>-31776.5</v>
      </c>
    </row>
    <row r="2958">
      <c r="A2958" s="3" t="inlineStr">
        <is>
          <t>Cape Projects Construction (Pty) Ltd</t>
        </is>
      </c>
      <c r="B2958" s="4" t="n">
        <v>44985</v>
      </c>
      <c r="C2958" s="3" t="inlineStr">
        <is>
          <t>Liabilities</t>
        </is>
      </c>
      <c r="D2958" s="3" t="inlineStr">
        <is>
          <t>9500/000</t>
        </is>
      </c>
      <c r="E2958" s="3" t="inlineStr">
        <is>
          <t>VAT Control Account</t>
        </is>
      </c>
      <c r="F2958" s="3" t="n">
        <v>101890.6</v>
      </c>
      <c r="G2958" s="3" t="n">
        <v>-188965.48</v>
      </c>
    </row>
    <row r="2959">
      <c r="A2959" s="3" t="inlineStr">
        <is>
          <t>Heron Fields (Pty) Ltd</t>
        </is>
      </c>
      <c r="B2959" s="4" t="n">
        <v>44985</v>
      </c>
      <c r="C2959" s="3" t="inlineStr">
        <is>
          <t>Liabilities</t>
        </is>
      </c>
      <c r="D2959" s="3" t="inlineStr">
        <is>
          <t>9500/000</t>
        </is>
      </c>
      <c r="E2959" s="3" t="inlineStr">
        <is>
          <t>Vat / Tax Control Account</t>
        </is>
      </c>
      <c r="F2959" s="3" t="n">
        <v>-910312.08</v>
      </c>
      <c r="G2959" s="3" t="n">
        <v>-2727540.41</v>
      </c>
    </row>
    <row r="2960">
      <c r="A2960" s="3" t="inlineStr">
        <is>
          <t>Heron View (Pty) Ltd</t>
        </is>
      </c>
      <c r="B2960" s="4" t="n">
        <v>44985</v>
      </c>
      <c r="C2960" s="3" t="inlineStr">
        <is>
          <t>Liabilities</t>
        </is>
      </c>
      <c r="D2960" s="3" t="inlineStr">
        <is>
          <t>9500/000</t>
        </is>
      </c>
      <c r="E2960" s="3" t="inlineStr">
        <is>
          <t>Vat / Tax Control Account</t>
        </is>
      </c>
      <c r="F2960" s="3" t="n">
        <v>661381.83</v>
      </c>
      <c r="G2960" s="3" t="n">
        <v>1417745.48</v>
      </c>
    </row>
    <row r="2961">
      <c r="A2961" s="3" t="inlineStr">
        <is>
          <t>Heron Fields (Pty) Ltd</t>
        </is>
      </c>
      <c r="B2961" s="4" t="n">
        <v>44985</v>
      </c>
      <c r="C2961" s="3" t="inlineStr">
        <is>
          <t>Liabilities</t>
        </is>
      </c>
      <c r="D2961" s="3" t="inlineStr">
        <is>
          <t>9520/000</t>
        </is>
      </c>
      <c r="E2961" s="3" t="inlineStr">
        <is>
          <t>Income Tax Payable</t>
        </is>
      </c>
      <c r="F2961" s="3" t="n">
        <v>59039.93</v>
      </c>
      <c r="G2961" s="3" t="n">
        <v>59039.93</v>
      </c>
    </row>
    <row r="2962">
      <c r="A2962" s="3" t="inlineStr">
        <is>
          <t>Heron Fields (Pty) Ltd</t>
        </is>
      </c>
      <c r="B2962" s="4" t="n">
        <v>44985</v>
      </c>
      <c r="C2962" s="3" t="inlineStr">
        <is>
          <t>Liabilities</t>
        </is>
      </c>
      <c r="D2962" s="3" t="inlineStr">
        <is>
          <t>9899/A101</t>
        </is>
      </c>
      <c r="E2962" s="3" t="inlineStr">
        <is>
          <t>Sales - Unit Reg Control A101</t>
        </is>
      </c>
      <c r="F2962" s="3" t="n">
        <v>-74995</v>
      </c>
      <c r="G2962" s="3" t="n">
        <v>0</v>
      </c>
    </row>
    <row r="2963">
      <c r="A2963" s="3" t="inlineStr">
        <is>
          <t>Heron Fields (Pty) Ltd</t>
        </is>
      </c>
      <c r="B2963" s="4" t="n">
        <v>44985</v>
      </c>
      <c r="C2963" s="3" t="inlineStr">
        <is>
          <t>Liabilities</t>
        </is>
      </c>
      <c r="D2963" s="3" t="inlineStr">
        <is>
          <t>9899/A105</t>
        </is>
      </c>
      <c r="E2963" s="3" t="inlineStr">
        <is>
          <t>Sales - Unit Reg Control A105</t>
        </is>
      </c>
      <c r="F2963" s="3" t="n">
        <v>-76995</v>
      </c>
      <c r="G2963" s="3" t="n">
        <v>0</v>
      </c>
    </row>
    <row r="2964">
      <c r="A2964" s="3" t="inlineStr">
        <is>
          <t>Heron Fields (Pty) Ltd</t>
        </is>
      </c>
      <c r="B2964" s="4" t="n">
        <v>44985</v>
      </c>
      <c r="C2964" s="3" t="inlineStr">
        <is>
          <t>Liabilities</t>
        </is>
      </c>
      <c r="D2964" s="3" t="inlineStr">
        <is>
          <t>9899/A106</t>
        </is>
      </c>
      <c r="E2964" s="3" t="inlineStr">
        <is>
          <t>Sales - Unit Reg Control A106</t>
        </is>
      </c>
      <c r="F2964" s="3" t="n">
        <v>-77495</v>
      </c>
      <c r="G2964" s="3" t="n">
        <v>0</v>
      </c>
    </row>
    <row r="2965">
      <c r="A2965" s="3" t="inlineStr">
        <is>
          <t>Heron Fields (Pty) Ltd</t>
        </is>
      </c>
      <c r="B2965" s="4" t="n">
        <v>44985</v>
      </c>
      <c r="C2965" s="3" t="inlineStr">
        <is>
          <t>Liabilities</t>
        </is>
      </c>
      <c r="D2965" s="3" t="inlineStr">
        <is>
          <t>9899/A306</t>
        </is>
      </c>
      <c r="E2965" s="3" t="inlineStr">
        <is>
          <t>Sales - Unit Reg Control A306</t>
        </is>
      </c>
      <c r="F2965" s="3" t="n">
        <v>-69495</v>
      </c>
      <c r="G2965" s="3" t="n">
        <v>0</v>
      </c>
    </row>
    <row r="2966">
      <c r="A2966" s="3" t="inlineStr">
        <is>
          <t>Heron Fields (Pty) Ltd</t>
        </is>
      </c>
      <c r="B2966" s="4" t="n">
        <v>44985</v>
      </c>
      <c r="C2966" s="3" t="inlineStr">
        <is>
          <t>Liabilities</t>
        </is>
      </c>
      <c r="D2966" s="3" t="inlineStr">
        <is>
          <t>9899/B102</t>
        </is>
      </c>
      <c r="E2966" s="3" t="inlineStr">
        <is>
          <t>Sales - Unit Reg Control B102</t>
        </is>
      </c>
      <c r="F2966" s="3" t="n">
        <v>-77995</v>
      </c>
      <c r="G2966" s="3" t="n">
        <v>0</v>
      </c>
    </row>
    <row r="2967">
      <c r="A2967" s="3" t="inlineStr">
        <is>
          <t>Heron Fields (Pty) Ltd</t>
        </is>
      </c>
      <c r="B2967" s="4" t="n">
        <v>44985</v>
      </c>
      <c r="C2967" s="3" t="inlineStr">
        <is>
          <t>Liabilities</t>
        </is>
      </c>
      <c r="D2967" s="3" t="inlineStr">
        <is>
          <t>9899/B106</t>
        </is>
      </c>
      <c r="E2967" s="3" t="inlineStr">
        <is>
          <t>Sales - Unit Reg Control B106</t>
        </is>
      </c>
      <c r="F2967" s="3" t="n">
        <v>-20814.5</v>
      </c>
      <c r="G2967" s="3" t="n">
        <v>0</v>
      </c>
    </row>
    <row r="2968">
      <c r="A2968" s="3" t="inlineStr">
        <is>
          <t>Heron Fields (Pty) Ltd</t>
        </is>
      </c>
      <c r="B2968" s="4" t="n">
        <v>44985</v>
      </c>
      <c r="C2968" s="3" t="inlineStr">
        <is>
          <t>Liabilities</t>
        </is>
      </c>
      <c r="D2968" s="3" t="inlineStr">
        <is>
          <t>9899/B301</t>
        </is>
      </c>
      <c r="E2968" s="3" t="inlineStr">
        <is>
          <t>Sales - Unit Reg Control B301</t>
        </is>
      </c>
      <c r="F2968" s="3" t="n">
        <v>-19408.29</v>
      </c>
      <c r="G2968" s="3" t="n">
        <v>0</v>
      </c>
    </row>
    <row r="2969">
      <c r="A2969" s="3" t="inlineStr">
        <is>
          <t>Heron Fields (Pty) Ltd</t>
        </is>
      </c>
      <c r="B2969" s="4" t="n">
        <v>44985</v>
      </c>
      <c r="C2969" s="3" t="inlineStr">
        <is>
          <t>Liabilities</t>
        </is>
      </c>
      <c r="D2969" s="3" t="inlineStr">
        <is>
          <t>9899/B302</t>
        </is>
      </c>
      <c r="E2969" s="3" t="inlineStr">
        <is>
          <t>Sales - Unit Reg Control B302</t>
        </is>
      </c>
      <c r="F2969" s="3" t="n">
        <v>-40222.79</v>
      </c>
      <c r="G2969" s="3" t="n">
        <v>0</v>
      </c>
    </row>
    <row r="2970">
      <c r="A2970" s="3" t="inlineStr">
        <is>
          <t>Cape Projects Construction (Pty) Ltd</t>
        </is>
      </c>
      <c r="B2970" s="4" t="n">
        <v>44985</v>
      </c>
      <c r="C2970" s="3" t="inlineStr">
        <is>
          <t>Liabilities</t>
        </is>
      </c>
      <c r="D2970" s="3" t="inlineStr">
        <is>
          <t>B/S</t>
        </is>
      </c>
      <c r="E2970" s="3" t="inlineStr">
        <is>
          <t>Taxation Payable</t>
        </is>
      </c>
      <c r="F2970" s="3" t="n">
        <v>26160.01</v>
      </c>
      <c r="G2970" s="3" t="n">
        <v>28029.81</v>
      </c>
    </row>
    <row r="2971">
      <c r="A2971" s="3" t="inlineStr">
        <is>
          <t>Cape Projects Construction (Pty) Ltd</t>
        </is>
      </c>
      <c r="B2971" s="4" t="n">
        <v>44985</v>
      </c>
      <c r="C2971" s="3" t="inlineStr">
        <is>
          <t>Liabilities</t>
        </is>
      </c>
      <c r="D2971" s="3" t="inlineStr">
        <is>
          <t>TEMP/ACC</t>
        </is>
      </c>
      <c r="E2971" s="3" t="inlineStr">
        <is>
          <t>Conversion Account</t>
        </is>
      </c>
      <c r="F2971" s="3" t="n">
        <v>0</v>
      </c>
      <c r="G2971" s="3" t="n">
        <v>-254.99</v>
      </c>
    </row>
    <row r="2972">
      <c r="A2972" s="3" t="inlineStr">
        <is>
          <t>Heron Fields (Pty) Ltd</t>
        </is>
      </c>
      <c r="B2972" s="4" t="n">
        <v>45016</v>
      </c>
      <c r="C2972" s="3" t="inlineStr">
        <is>
          <t>Revenue</t>
        </is>
      </c>
      <c r="D2972" s="3" t="inlineStr">
        <is>
          <t>1000/100</t>
        </is>
      </c>
      <c r="E2972" s="3" t="inlineStr">
        <is>
          <t>Sales - Heron Fields</t>
        </is>
      </c>
      <c r="F2972" s="3" t="n">
        <v>-9197652.18</v>
      </c>
      <c r="G2972" s="3" t="n">
        <v>-9197652.18</v>
      </c>
    </row>
    <row r="2973">
      <c r="A2973" s="3" t="inlineStr">
        <is>
          <t>Heron Fields (Pty) Ltd</t>
        </is>
      </c>
      <c r="B2973" s="4" t="n">
        <v>45016</v>
      </c>
      <c r="C2973" s="3" t="inlineStr">
        <is>
          <t>Revenue</t>
        </is>
      </c>
      <c r="D2973" s="3" t="inlineStr">
        <is>
          <t>1000/101</t>
        </is>
      </c>
      <c r="E2973" s="3" t="inlineStr">
        <is>
          <t>Sales - Heron Fields occupational rent</t>
        </is>
      </c>
      <c r="F2973" s="3" t="n">
        <v>-10864.06</v>
      </c>
      <c r="G2973" s="3" t="n">
        <v>-10864.06</v>
      </c>
    </row>
    <row r="2974">
      <c r="A2974" s="3" t="inlineStr">
        <is>
          <t>Cape Projects Construction (Pty) Ltd</t>
        </is>
      </c>
      <c r="B2974" s="4" t="n">
        <v>45016</v>
      </c>
      <c r="C2974" s="3" t="inlineStr">
        <is>
          <t>Revenue</t>
        </is>
      </c>
      <c r="D2974" s="3" t="inlineStr">
        <is>
          <t>1040/100</t>
        </is>
      </c>
      <c r="E2974" s="3" t="inlineStr">
        <is>
          <t>Fees - Construction - Heron</t>
        </is>
      </c>
      <c r="F2974" s="3" t="n">
        <v>-4252624.12</v>
      </c>
      <c r="G2974" s="3" t="n">
        <v>-4252624.12</v>
      </c>
    </row>
    <row r="2975">
      <c r="A2975" s="3" t="inlineStr">
        <is>
          <t>Heron Fields (Pty) Ltd</t>
        </is>
      </c>
      <c r="B2975" s="4" t="n">
        <v>45016</v>
      </c>
      <c r="C2975" s="3" t="inlineStr">
        <is>
          <t>Expenses</t>
        </is>
      </c>
      <c r="D2975" s="3" t="inlineStr">
        <is>
          <t>2000/040</t>
        </is>
      </c>
      <c r="E2975" s="3" t="inlineStr">
        <is>
          <t>COS - Legal Fees</t>
        </is>
      </c>
      <c r="F2975" s="3" t="n">
        <v>193858.36</v>
      </c>
      <c r="G2975" s="3" t="n">
        <v>193858.36</v>
      </c>
    </row>
    <row r="2976">
      <c r="A2976" s="3" t="inlineStr">
        <is>
          <t>Heron Fields (Pty) Ltd</t>
        </is>
      </c>
      <c r="B2976" s="4" t="n">
        <v>45016</v>
      </c>
      <c r="C2976" s="3" t="inlineStr">
        <is>
          <t>Expenses</t>
        </is>
      </c>
      <c r="D2976" s="3" t="inlineStr">
        <is>
          <t>2000/070</t>
        </is>
      </c>
      <c r="E2976" s="3" t="inlineStr">
        <is>
          <t>COS - Commission HF Units</t>
        </is>
      </c>
      <c r="F2976" s="3" t="n">
        <v>465404.34</v>
      </c>
      <c r="G2976" s="3" t="n">
        <v>465404.34</v>
      </c>
    </row>
    <row r="2977">
      <c r="A2977" s="3" t="inlineStr">
        <is>
          <t>Heron Fields (Pty) Ltd</t>
        </is>
      </c>
      <c r="B2977" s="4" t="n">
        <v>45016</v>
      </c>
      <c r="C2977" s="3" t="inlineStr">
        <is>
          <t>Expenses</t>
        </is>
      </c>
      <c r="D2977" s="3" t="inlineStr">
        <is>
          <t>2000/090</t>
        </is>
      </c>
      <c r="E2977" s="3" t="inlineStr">
        <is>
          <t>COS - Electricity</t>
        </is>
      </c>
      <c r="F2977" s="3" t="n">
        <v>750</v>
      </c>
      <c r="G2977" s="3" t="n">
        <v>750</v>
      </c>
    </row>
    <row r="2978">
      <c r="A2978" s="3" t="inlineStr">
        <is>
          <t>Cape Projects Construction (Pty) Ltd</t>
        </is>
      </c>
      <c r="B2978" s="4" t="n">
        <v>45016</v>
      </c>
      <c r="C2978" s="3" t="inlineStr">
        <is>
          <t>Expenses</t>
        </is>
      </c>
      <c r="D2978" s="3" t="inlineStr">
        <is>
          <t>2000/500</t>
        </is>
      </c>
      <c r="E2978" s="3" t="inlineStr">
        <is>
          <t>COS - Electricity Cost Endulini</t>
        </is>
      </c>
      <c r="F2978" s="3" t="n">
        <v>200</v>
      </c>
      <c r="G2978" s="3" t="n">
        <v>200</v>
      </c>
    </row>
    <row r="2979">
      <c r="A2979" s="3" t="inlineStr">
        <is>
          <t>Cape Projects Construction (Pty) Ltd</t>
        </is>
      </c>
      <c r="B2979" s="4" t="n">
        <v>45016</v>
      </c>
      <c r="C2979" s="3" t="inlineStr">
        <is>
          <t>Expenses</t>
        </is>
      </c>
      <c r="D2979" s="3" t="inlineStr">
        <is>
          <t>2006/000</t>
        </is>
      </c>
      <c r="E2979" s="3" t="inlineStr">
        <is>
          <t>COS - Endulini Construction</t>
        </is>
      </c>
      <c r="F2979" s="3" t="n">
        <v>191661.47</v>
      </c>
      <c r="G2979" s="3" t="n">
        <v>191661.47</v>
      </c>
    </row>
    <row r="2980">
      <c r="A2980" s="3" t="inlineStr">
        <is>
          <t>Cape Projects Construction (Pty) Ltd</t>
        </is>
      </c>
      <c r="B2980" s="4" t="n">
        <v>45016</v>
      </c>
      <c r="C2980" s="3" t="inlineStr">
        <is>
          <t>Expenses</t>
        </is>
      </c>
      <c r="D2980" s="3" t="inlineStr">
        <is>
          <t>2006/100</t>
        </is>
      </c>
      <c r="E2980" s="3" t="inlineStr">
        <is>
          <t>COS - Endulini P and G</t>
        </is>
      </c>
      <c r="F2980" s="3" t="n">
        <v>24545.15</v>
      </c>
      <c r="G2980" s="3" t="n">
        <v>24545.15</v>
      </c>
    </row>
    <row r="2981">
      <c r="A2981" s="3" t="inlineStr">
        <is>
          <t>Cape Projects Construction (Pty) Ltd</t>
        </is>
      </c>
      <c r="B2981" s="4" t="n">
        <v>45016</v>
      </c>
      <c r="C2981" s="3" t="inlineStr">
        <is>
          <t>Expenses</t>
        </is>
      </c>
      <c r="D2981" s="3" t="inlineStr">
        <is>
          <t>2006/200</t>
        </is>
      </c>
      <c r="E2981" s="3" t="inlineStr">
        <is>
          <t>COS - Insurance</t>
        </is>
      </c>
      <c r="F2981" s="3" t="n">
        <v>2719.43</v>
      </c>
      <c r="G2981" s="3" t="n">
        <v>2719.43</v>
      </c>
    </row>
    <row r="2982">
      <c r="A2982" s="3" t="inlineStr">
        <is>
          <t>Cape Projects Construction (Pty) Ltd</t>
        </is>
      </c>
      <c r="B2982" s="4" t="n">
        <v>45016</v>
      </c>
      <c r="C2982" s="3" t="inlineStr">
        <is>
          <t>Expenses</t>
        </is>
      </c>
      <c r="D2982" s="3" t="inlineStr">
        <is>
          <t>2006/800</t>
        </is>
      </c>
      <c r="E2982" s="3" t="inlineStr">
        <is>
          <t>COS - Endulini - Telephone &amp; Internet</t>
        </is>
      </c>
      <c r="F2982" s="3" t="n">
        <v>760.87</v>
      </c>
      <c r="G2982" s="3" t="n">
        <v>760.87</v>
      </c>
    </row>
    <row r="2983">
      <c r="A2983" s="3" t="inlineStr">
        <is>
          <t>Cape Projects Construction (Pty) Ltd</t>
        </is>
      </c>
      <c r="B2983" s="4" t="n">
        <v>45016</v>
      </c>
      <c r="C2983" s="3" t="inlineStr">
        <is>
          <t>Expenses</t>
        </is>
      </c>
      <c r="D2983" s="3" t="inlineStr">
        <is>
          <t>2011/500</t>
        </is>
      </c>
      <c r="E2983" s="3" t="inlineStr">
        <is>
          <t>COS - Heron Fields - Construction</t>
        </is>
      </c>
      <c r="F2983" s="3" t="n">
        <v>776649.41</v>
      </c>
      <c r="G2983" s="3" t="n">
        <v>776649.41</v>
      </c>
    </row>
    <row r="2984">
      <c r="A2984" s="3" t="inlineStr">
        <is>
          <t>Cape Projects Construction (Pty) Ltd</t>
        </is>
      </c>
      <c r="B2984" s="4" t="n">
        <v>45016</v>
      </c>
      <c r="C2984" s="3" t="inlineStr">
        <is>
          <t>Expenses</t>
        </is>
      </c>
      <c r="D2984" s="3" t="inlineStr">
        <is>
          <t>2011/600</t>
        </is>
      </c>
      <c r="E2984" s="3" t="inlineStr">
        <is>
          <t>COS - Heron Fields - P &amp; G</t>
        </is>
      </c>
      <c r="F2984" s="3" t="n">
        <v>59157.63</v>
      </c>
      <c r="G2984" s="3" t="n">
        <v>59157.63</v>
      </c>
    </row>
    <row r="2985">
      <c r="A2985" s="3" t="inlineStr">
        <is>
          <t>Cape Projects Construction (Pty) Ltd</t>
        </is>
      </c>
      <c r="B2985" s="4" t="n">
        <v>45016</v>
      </c>
      <c r="C2985" s="3" t="inlineStr">
        <is>
          <t>Expenses</t>
        </is>
      </c>
      <c r="D2985" s="3" t="inlineStr">
        <is>
          <t>2011/900</t>
        </is>
      </c>
      <c r="E2985" s="3" t="inlineStr">
        <is>
          <t>COS - Heron - Internet</t>
        </is>
      </c>
      <c r="F2985" s="3" t="n">
        <v>1189.57</v>
      </c>
      <c r="G2985" s="3" t="n">
        <v>1189.57</v>
      </c>
    </row>
    <row r="2986">
      <c r="A2986" s="3" t="inlineStr">
        <is>
          <t>Cape Projects Construction (Pty) Ltd</t>
        </is>
      </c>
      <c r="B2986" s="4" t="n">
        <v>45016</v>
      </c>
      <c r="C2986" s="3" t="inlineStr">
        <is>
          <t>Expenses</t>
        </is>
      </c>
      <c r="D2986" s="3" t="inlineStr">
        <is>
          <t>2012/002</t>
        </is>
      </c>
      <c r="E2986" s="3" t="inlineStr">
        <is>
          <t>COS - Heron View - Construction</t>
        </is>
      </c>
      <c r="F2986" s="3" t="n">
        <v>2483055.52</v>
      </c>
      <c r="G2986" s="3" t="n">
        <v>2483055.52</v>
      </c>
    </row>
    <row r="2987">
      <c r="A2987" s="3" t="inlineStr">
        <is>
          <t>Cape Projects Construction (Pty) Ltd</t>
        </is>
      </c>
      <c r="B2987" s="4" t="n">
        <v>45016</v>
      </c>
      <c r="C2987" s="3" t="inlineStr">
        <is>
          <t>Expenses</t>
        </is>
      </c>
      <c r="D2987" s="3" t="inlineStr">
        <is>
          <t>2012/003</t>
        </is>
      </c>
      <c r="E2987" s="3" t="inlineStr">
        <is>
          <t>COS - Heron View - P&amp;G</t>
        </is>
      </c>
      <c r="F2987" s="3" t="n">
        <v>263223.18</v>
      </c>
      <c r="G2987" s="3" t="n">
        <v>263223.18</v>
      </c>
    </row>
    <row r="2988">
      <c r="A2988" s="3" t="inlineStr">
        <is>
          <t>Cape Projects Construction (Pty) Ltd</t>
        </is>
      </c>
      <c r="B2988" s="4" t="n">
        <v>45016</v>
      </c>
      <c r="C2988" s="3" t="inlineStr">
        <is>
          <t>Expenses</t>
        </is>
      </c>
      <c r="D2988" s="3" t="inlineStr">
        <is>
          <t>2013/000</t>
        </is>
      </c>
      <c r="E2988" s="3" t="inlineStr">
        <is>
          <t>COS - Bakhoven</t>
        </is>
      </c>
      <c r="F2988" s="3" t="n">
        <v>17292.48</v>
      </c>
      <c r="G2988" s="3" t="n">
        <v>17292.48</v>
      </c>
    </row>
    <row r="2989">
      <c r="A2989" s="3" t="inlineStr">
        <is>
          <t>Cape Projects Construction (Pty) Ltd</t>
        </is>
      </c>
      <c r="B2989" s="4" t="n">
        <v>45016</v>
      </c>
      <c r="C2989" s="3" t="inlineStr">
        <is>
          <t>Revenue</t>
        </is>
      </c>
      <c r="D2989" s="3" t="inlineStr">
        <is>
          <t>2750/000</t>
        </is>
      </c>
      <c r="E2989" s="3" t="inlineStr">
        <is>
          <t>Interest Received - FNB</t>
        </is>
      </c>
      <c r="F2989" s="3" t="n">
        <v>-144.7</v>
      </c>
      <c r="G2989" s="3" t="n">
        <v>-144.7</v>
      </c>
    </row>
    <row r="2990">
      <c r="A2990" s="3" t="inlineStr">
        <is>
          <t>Cape Projects Construction (Pty) Ltd</t>
        </is>
      </c>
      <c r="B2990" s="4" t="n">
        <v>45016</v>
      </c>
      <c r="C2990" s="3" t="inlineStr">
        <is>
          <t>Revenue</t>
        </is>
      </c>
      <c r="D2990" s="3" t="inlineStr">
        <is>
          <t>2751/001</t>
        </is>
      </c>
      <c r="E2990" s="3" t="inlineStr">
        <is>
          <t>Interest received - Momentum</t>
        </is>
      </c>
      <c r="F2990" s="3" t="n">
        <v>-6.81</v>
      </c>
      <c r="G2990" s="3" t="n">
        <v>-6.81</v>
      </c>
    </row>
    <row r="2991">
      <c r="A2991" s="3" t="inlineStr">
        <is>
          <t>Heron Fields (Pty) Ltd</t>
        </is>
      </c>
      <c r="B2991" s="4" t="n">
        <v>45016</v>
      </c>
      <c r="C2991" s="3" t="inlineStr">
        <is>
          <t>Revenue</t>
        </is>
      </c>
      <c r="D2991" s="3" t="inlineStr">
        <is>
          <t>2755/001</t>
        </is>
      </c>
      <c r="E2991" s="3" t="inlineStr">
        <is>
          <t>Interest Received - Momentum</t>
        </is>
      </c>
      <c r="F2991" s="3" t="n">
        <v>-224306.87</v>
      </c>
      <c r="G2991" s="3" t="n">
        <v>-224306.87</v>
      </c>
    </row>
    <row r="2992">
      <c r="A2992" s="3" t="inlineStr">
        <is>
          <t>Heron Fields (Pty) Ltd</t>
        </is>
      </c>
      <c r="B2992" s="4" t="n">
        <v>45016</v>
      </c>
      <c r="C2992" s="3" t="inlineStr">
        <is>
          <t>Expenses</t>
        </is>
      </c>
      <c r="D2992" s="3" t="inlineStr">
        <is>
          <t>3050/000</t>
        </is>
      </c>
      <c r="E2992" s="3" t="inlineStr">
        <is>
          <t>Advertising _AND_ Promotions</t>
        </is>
      </c>
      <c r="F2992" s="3" t="n">
        <v>22554.76</v>
      </c>
      <c r="G2992" s="3" t="n">
        <v>22554.76</v>
      </c>
    </row>
    <row r="2993">
      <c r="A2993" s="3" t="inlineStr">
        <is>
          <t>Heron View (Pty) Ltd</t>
        </is>
      </c>
      <c r="B2993" s="4" t="n">
        <v>45016</v>
      </c>
      <c r="C2993" s="3" t="inlineStr">
        <is>
          <t>Expenses</t>
        </is>
      </c>
      <c r="D2993" s="3" t="inlineStr">
        <is>
          <t>3050/000</t>
        </is>
      </c>
      <c r="E2993" s="3" t="inlineStr">
        <is>
          <t>Advertising _AND_ Promotions</t>
        </is>
      </c>
      <c r="F2993" s="3" t="n">
        <v>24975</v>
      </c>
      <c r="G2993" s="3" t="n">
        <v>24975</v>
      </c>
    </row>
    <row r="2994">
      <c r="A2994" s="3" t="inlineStr">
        <is>
          <t>Cape Projects Construction (Pty) Ltd</t>
        </is>
      </c>
      <c r="B2994" s="4" t="n">
        <v>45016</v>
      </c>
      <c r="C2994" s="3" t="inlineStr">
        <is>
          <t>Expenses</t>
        </is>
      </c>
      <c r="D2994" s="3" t="inlineStr">
        <is>
          <t>3050/150</t>
        </is>
      </c>
      <c r="E2994" s="3" t="inlineStr">
        <is>
          <t>Advertising - Design Fees</t>
        </is>
      </c>
      <c r="F2994" s="3" t="n">
        <v>295</v>
      </c>
      <c r="G2994" s="3" t="n">
        <v>295</v>
      </c>
    </row>
    <row r="2995">
      <c r="A2995" s="3" t="inlineStr">
        <is>
          <t>Cape Projects Construction (Pty) Ltd</t>
        </is>
      </c>
      <c r="B2995" s="4" t="n">
        <v>45016</v>
      </c>
      <c r="C2995" s="3" t="inlineStr">
        <is>
          <t>Expenses</t>
        </is>
      </c>
      <c r="D2995" s="3" t="inlineStr">
        <is>
          <t>3050/450</t>
        </is>
      </c>
      <c r="E2995" s="3" t="inlineStr">
        <is>
          <t>Advertising - Other</t>
        </is>
      </c>
      <c r="F2995" s="3" t="n">
        <v>712</v>
      </c>
      <c r="G2995" s="3" t="n">
        <v>712</v>
      </c>
    </row>
    <row r="2996">
      <c r="A2996" s="3" t="inlineStr">
        <is>
          <t>Cape Projects Construction (Pty) Ltd</t>
        </is>
      </c>
      <c r="B2996" s="4" t="n">
        <v>45016</v>
      </c>
      <c r="C2996" s="3" t="inlineStr">
        <is>
          <t>Expenses</t>
        </is>
      </c>
      <c r="D2996" s="3" t="inlineStr">
        <is>
          <t>3200/000</t>
        </is>
      </c>
      <c r="E2996" s="3" t="inlineStr">
        <is>
          <t>Bank Charges</t>
        </is>
      </c>
      <c r="F2996" s="3" t="n">
        <v>1931.46</v>
      </c>
      <c r="G2996" s="3" t="n">
        <v>1931.46</v>
      </c>
    </row>
    <row r="2997">
      <c r="A2997" s="3" t="inlineStr">
        <is>
          <t>Heron Fields (Pty) Ltd</t>
        </is>
      </c>
      <c r="B2997" s="4" t="n">
        <v>45016</v>
      </c>
      <c r="C2997" s="3" t="inlineStr">
        <is>
          <t>Expenses</t>
        </is>
      </c>
      <c r="D2997" s="3" t="inlineStr">
        <is>
          <t>3200/000</t>
        </is>
      </c>
      <c r="E2997" s="3" t="inlineStr">
        <is>
          <t>Bank Charges</t>
        </is>
      </c>
      <c r="F2997" s="3" t="n">
        <v>582.98</v>
      </c>
      <c r="G2997" s="3" t="n">
        <v>582.98</v>
      </c>
    </row>
    <row r="2998">
      <c r="A2998" s="3" t="inlineStr">
        <is>
          <t>Cape Projects Construction (Pty) Ltd</t>
        </is>
      </c>
      <c r="B2998" s="4" t="n">
        <v>45016</v>
      </c>
      <c r="C2998" s="3" t="inlineStr">
        <is>
          <t>Expenses</t>
        </is>
      </c>
      <c r="D2998" s="3" t="inlineStr">
        <is>
          <t>3250/000</t>
        </is>
      </c>
      <c r="E2998" s="3" t="inlineStr">
        <is>
          <t>Cleaning</t>
        </is>
      </c>
      <c r="F2998" s="3" t="n">
        <v>355.4</v>
      </c>
      <c r="G2998" s="3" t="n">
        <v>355.4</v>
      </c>
    </row>
    <row r="2999">
      <c r="A2999" s="3" t="inlineStr">
        <is>
          <t>Cape Projects Construction (Pty) Ltd</t>
        </is>
      </c>
      <c r="B2999" s="4" t="n">
        <v>45016</v>
      </c>
      <c r="C2999" s="3" t="inlineStr">
        <is>
          <t>Expenses</t>
        </is>
      </c>
      <c r="D2999" s="3" t="inlineStr">
        <is>
          <t>3300/000</t>
        </is>
      </c>
      <c r="E2999" s="3" t="inlineStr">
        <is>
          <t>Computer Expenses</t>
        </is>
      </c>
      <c r="F2999" s="3" t="n">
        <v>1604.52</v>
      </c>
      <c r="G2999" s="3" t="n">
        <v>1604.52</v>
      </c>
    </row>
    <row r="3000">
      <c r="A3000" s="3" t="inlineStr">
        <is>
          <t>Cape Projects Construction (Pty) Ltd</t>
        </is>
      </c>
      <c r="B3000" s="4" t="n">
        <v>45016</v>
      </c>
      <c r="C3000" s="3" t="inlineStr">
        <is>
          <t>Expenses</t>
        </is>
      </c>
      <c r="D3000" s="3" t="inlineStr">
        <is>
          <t>3300/100</t>
        </is>
      </c>
      <c r="E3000" s="3" t="inlineStr">
        <is>
          <t>Computer Exp - IT, Internet/Hosting Fee</t>
        </is>
      </c>
      <c r="F3000" s="3" t="n">
        <v>5177</v>
      </c>
      <c r="G3000" s="3" t="n">
        <v>5177</v>
      </c>
    </row>
    <row r="3001">
      <c r="A3001" s="3" t="inlineStr">
        <is>
          <t>Heron Fields (Pty) Ltd</t>
        </is>
      </c>
      <c r="B3001" s="4" t="n">
        <v>45016</v>
      </c>
      <c r="C3001" s="3" t="inlineStr">
        <is>
          <t>Expenses</t>
        </is>
      </c>
      <c r="D3001" s="3" t="inlineStr">
        <is>
          <t>3350/100</t>
        </is>
      </c>
      <c r="E3001" s="3" t="inlineStr">
        <is>
          <t>Consulting Fees - Admin and Finance</t>
        </is>
      </c>
      <c r="F3001" s="3" t="n">
        <v>109218.57</v>
      </c>
      <c r="G3001" s="3" t="n">
        <v>109218.57</v>
      </c>
    </row>
    <row r="3002">
      <c r="A3002" s="3" t="inlineStr">
        <is>
          <t>Cape Projects Construction (Pty) Ltd</t>
        </is>
      </c>
      <c r="B3002" s="4" t="n">
        <v>45016</v>
      </c>
      <c r="C3002" s="3" t="inlineStr">
        <is>
          <t>Expenses</t>
        </is>
      </c>
      <c r="D3002" s="3" t="inlineStr">
        <is>
          <t>3350/300</t>
        </is>
      </c>
      <c r="E3002" s="3" t="inlineStr">
        <is>
          <t>Consulting Fees - Admin and Finance</t>
        </is>
      </c>
      <c r="F3002" s="3" t="n">
        <v>144016.7</v>
      </c>
      <c r="G3002" s="3" t="n">
        <v>144016.7</v>
      </c>
    </row>
    <row r="3003">
      <c r="A3003" s="3" t="inlineStr">
        <is>
          <t>Cape Projects Construction (Pty) Ltd</t>
        </is>
      </c>
      <c r="B3003" s="4" t="n">
        <v>45016</v>
      </c>
      <c r="C3003" s="3" t="inlineStr">
        <is>
          <t>Expenses</t>
        </is>
      </c>
      <c r="D3003" s="3" t="inlineStr">
        <is>
          <t>3450/001</t>
        </is>
      </c>
      <c r="E3003" s="3" t="inlineStr">
        <is>
          <t>Depreciation - Computer Equipment</t>
        </is>
      </c>
      <c r="F3003" s="3" t="n">
        <v>3323.91</v>
      </c>
      <c r="G3003" s="3" t="n">
        <v>3323.91</v>
      </c>
    </row>
    <row r="3004">
      <c r="A3004" s="3" t="inlineStr">
        <is>
          <t>Cape Projects Construction (Pty) Ltd</t>
        </is>
      </c>
      <c r="B3004" s="4" t="n">
        <v>45016</v>
      </c>
      <c r="C3004" s="3" t="inlineStr">
        <is>
          <t>Expenses</t>
        </is>
      </c>
      <c r="D3004" s="3" t="inlineStr">
        <is>
          <t>3450/002</t>
        </is>
      </c>
      <c r="E3004" s="3" t="inlineStr">
        <is>
          <t>Depreciation - Generator Fixed Asset</t>
        </is>
      </c>
      <c r="F3004" s="3" t="n">
        <v>193.33</v>
      </c>
      <c r="G3004" s="3" t="n">
        <v>193.33</v>
      </c>
    </row>
    <row r="3005">
      <c r="A3005" s="3" t="inlineStr">
        <is>
          <t>Cape Projects Construction (Pty) Ltd</t>
        </is>
      </c>
      <c r="B3005" s="4" t="n">
        <v>45016</v>
      </c>
      <c r="C3005" s="3" t="inlineStr">
        <is>
          <t>Expenses</t>
        </is>
      </c>
      <c r="D3005" s="3" t="inlineStr">
        <is>
          <t>3450/030</t>
        </is>
      </c>
      <c r="E3005" s="3" t="inlineStr">
        <is>
          <t>Depreciation - Furniture and Fittings</t>
        </is>
      </c>
      <c r="F3005" s="3" t="n">
        <v>547.6799999999999</v>
      </c>
      <c r="G3005" s="3" t="n">
        <v>547.6799999999999</v>
      </c>
    </row>
    <row r="3006">
      <c r="A3006" s="3" t="inlineStr">
        <is>
          <t>Heron Fields (Pty) Ltd</t>
        </is>
      </c>
      <c r="B3006" s="4" t="n">
        <v>45016</v>
      </c>
      <c r="C3006" s="3" t="inlineStr">
        <is>
          <t>Expenses</t>
        </is>
      </c>
      <c r="D3006" s="3" t="inlineStr">
        <is>
          <t>3650/000</t>
        </is>
      </c>
      <c r="E3006" s="3" t="inlineStr">
        <is>
          <t>CoCT - Electricity</t>
        </is>
      </c>
      <c r="F3006" s="3" t="n">
        <v>11216.13</v>
      </c>
      <c r="G3006" s="3" t="n">
        <v>11216.13</v>
      </c>
    </row>
    <row r="3007">
      <c r="A3007" s="3" t="inlineStr">
        <is>
          <t>Cape Projects Construction (Pty) Ltd</t>
        </is>
      </c>
      <c r="B3007" s="4" t="n">
        <v>45016</v>
      </c>
      <c r="C3007" s="3" t="inlineStr">
        <is>
          <t>Expenses</t>
        </is>
      </c>
      <c r="D3007" s="3" t="inlineStr">
        <is>
          <t>3650/000</t>
        </is>
      </c>
      <c r="E3007" s="3" t="inlineStr">
        <is>
          <t>Electricity _AND_ Water</t>
        </is>
      </c>
      <c r="F3007" s="3" t="n">
        <v>7428.07</v>
      </c>
      <c r="G3007" s="3" t="n">
        <v>7428.07</v>
      </c>
    </row>
    <row r="3008">
      <c r="A3008" s="3" t="inlineStr">
        <is>
          <t>Heron Fields (Pty) Ltd</t>
        </is>
      </c>
      <c r="B3008" s="4" t="n">
        <v>45016</v>
      </c>
      <c r="C3008" s="3" t="inlineStr">
        <is>
          <t>Expenses</t>
        </is>
      </c>
      <c r="D3008" s="3" t="inlineStr">
        <is>
          <t>3660/000</t>
        </is>
      </c>
      <c r="E3008" s="3" t="inlineStr">
        <is>
          <t>CoCT - Water</t>
        </is>
      </c>
      <c r="F3008" s="3" t="n">
        <v>39349.03</v>
      </c>
      <c r="G3008" s="3" t="n">
        <v>39349.03</v>
      </c>
    </row>
    <row r="3009">
      <c r="A3009" s="3" t="inlineStr">
        <is>
          <t>Heron Fields (Pty) Ltd</t>
        </is>
      </c>
      <c r="B3009" s="4" t="n">
        <v>45016</v>
      </c>
      <c r="C3009" s="3" t="inlineStr">
        <is>
          <t>Expenses</t>
        </is>
      </c>
      <c r="D3009" s="3" t="inlineStr">
        <is>
          <t>3670/000</t>
        </is>
      </c>
      <c r="E3009" s="3" t="inlineStr">
        <is>
          <t>CoCT - Refuse</t>
        </is>
      </c>
      <c r="F3009" s="3" t="n">
        <v>10690.2</v>
      </c>
      <c r="G3009" s="3" t="n">
        <v>10690.2</v>
      </c>
    </row>
    <row r="3010">
      <c r="A3010" s="3" t="inlineStr">
        <is>
          <t>Heron Fields (Pty) Ltd</t>
        </is>
      </c>
      <c r="B3010" s="4" t="n">
        <v>45016</v>
      </c>
      <c r="C3010" s="3" t="inlineStr">
        <is>
          <t>Expenses</t>
        </is>
      </c>
      <c r="D3010" s="3" t="inlineStr">
        <is>
          <t>3800/000</t>
        </is>
      </c>
      <c r="E3010" s="3" t="inlineStr">
        <is>
          <t>General Expenses</t>
        </is>
      </c>
      <c r="F3010" s="3" t="n">
        <v>199.99</v>
      </c>
      <c r="G3010" s="3" t="n">
        <v>199.99</v>
      </c>
    </row>
    <row r="3011">
      <c r="A3011" s="3" t="inlineStr">
        <is>
          <t>Cape Projects Construction (Pty) Ltd</t>
        </is>
      </c>
      <c r="B3011" s="4" t="n">
        <v>45016</v>
      </c>
      <c r="C3011" s="3" t="inlineStr">
        <is>
          <t>Expenses</t>
        </is>
      </c>
      <c r="D3011" s="3" t="inlineStr">
        <is>
          <t>3850/001</t>
        </is>
      </c>
      <c r="E3011" s="3" t="inlineStr">
        <is>
          <t>Insurance - Santam</t>
        </is>
      </c>
      <c r="F3011" s="3" t="n">
        <v>1458.74</v>
      </c>
      <c r="G3011" s="3" t="n">
        <v>1458.74</v>
      </c>
    </row>
    <row r="3012">
      <c r="A3012" s="3" t="inlineStr">
        <is>
          <t>Heron Fields (Pty) Ltd</t>
        </is>
      </c>
      <c r="B3012" s="4" t="n">
        <v>45016</v>
      </c>
      <c r="C3012" s="3" t="inlineStr">
        <is>
          <t>Expenses</t>
        </is>
      </c>
      <c r="D3012" s="3" t="inlineStr">
        <is>
          <t>3900/000</t>
        </is>
      </c>
      <c r="E3012" s="3" t="inlineStr">
        <is>
          <t>Interest Paid</t>
        </is>
      </c>
      <c r="F3012" s="3" t="n">
        <v>181.67</v>
      </c>
      <c r="G3012" s="3" t="n">
        <v>181.67</v>
      </c>
    </row>
    <row r="3013">
      <c r="A3013" s="3" t="inlineStr">
        <is>
          <t>Heron Fields (Pty) Ltd</t>
        </is>
      </c>
      <c r="B3013" s="4" t="n">
        <v>45016</v>
      </c>
      <c r="C3013" s="3" t="inlineStr">
        <is>
          <t>Expenses</t>
        </is>
      </c>
      <c r="D3013" s="3" t="inlineStr">
        <is>
          <t>3900/111</t>
        </is>
      </c>
      <c r="E3013" s="3" t="inlineStr">
        <is>
          <t>Interest Paid - Investors @ 6.25%</t>
        </is>
      </c>
      <c r="F3013" s="3" t="n">
        <v>63203.46</v>
      </c>
      <c r="G3013" s="3" t="n">
        <v>63203.46</v>
      </c>
    </row>
    <row r="3014">
      <c r="A3014" s="3" t="inlineStr">
        <is>
          <t>Heron Fields (Pty) Ltd</t>
        </is>
      </c>
      <c r="B3014" s="4" t="n">
        <v>45016</v>
      </c>
      <c r="C3014" s="3" t="inlineStr">
        <is>
          <t>Expenses</t>
        </is>
      </c>
      <c r="D3014" s="3" t="inlineStr">
        <is>
          <t>3900/115</t>
        </is>
      </c>
      <c r="E3014" s="3" t="inlineStr">
        <is>
          <t>Interest Paid - Investors @ 6.5%</t>
        </is>
      </c>
      <c r="F3014" s="3" t="n">
        <v>3561.64</v>
      </c>
      <c r="G3014" s="3" t="n">
        <v>3561.64</v>
      </c>
    </row>
    <row r="3015">
      <c r="A3015" s="3" t="inlineStr">
        <is>
          <t>Heron Fields (Pty) Ltd</t>
        </is>
      </c>
      <c r="B3015" s="4" t="n">
        <v>45016</v>
      </c>
      <c r="C3015" s="3" t="inlineStr">
        <is>
          <t>Expenses</t>
        </is>
      </c>
      <c r="D3015" s="3" t="inlineStr">
        <is>
          <t>3900/190</t>
        </is>
      </c>
      <c r="E3015" s="3" t="inlineStr">
        <is>
          <t>Interest Paid - Investors @ 14%</t>
        </is>
      </c>
      <c r="F3015" s="3" t="n">
        <v>40376.71</v>
      </c>
      <c r="G3015" s="3" t="n">
        <v>40376.71</v>
      </c>
    </row>
    <row r="3016">
      <c r="A3016" s="3" t="inlineStr">
        <is>
          <t>Heron Fields (Pty) Ltd</t>
        </is>
      </c>
      <c r="B3016" s="4" t="n">
        <v>45016</v>
      </c>
      <c r="C3016" s="3" t="inlineStr">
        <is>
          <t>Expenses</t>
        </is>
      </c>
      <c r="D3016" s="3" t="inlineStr">
        <is>
          <t>3900/200</t>
        </is>
      </c>
      <c r="E3016" s="3" t="inlineStr">
        <is>
          <t>Interest Paid - Investors @ 15%</t>
        </is>
      </c>
      <c r="F3016" s="3" t="n">
        <v>133335.61</v>
      </c>
      <c r="G3016" s="3" t="n">
        <v>133335.61</v>
      </c>
    </row>
    <row r="3017">
      <c r="A3017" s="3" t="inlineStr">
        <is>
          <t>Heron Fields (Pty) Ltd</t>
        </is>
      </c>
      <c r="B3017" s="4" t="n">
        <v>45016</v>
      </c>
      <c r="C3017" s="3" t="inlineStr">
        <is>
          <t>Expenses</t>
        </is>
      </c>
      <c r="D3017" s="3" t="inlineStr">
        <is>
          <t>3900/230</t>
        </is>
      </c>
      <c r="E3017" s="3" t="inlineStr">
        <is>
          <t>Interest Paid - Investors @ 18%</t>
        </is>
      </c>
      <c r="F3017" s="3" t="n">
        <v>1115603.3</v>
      </c>
      <c r="G3017" s="3" t="n">
        <v>1115603.3</v>
      </c>
    </row>
    <row r="3018">
      <c r="A3018" s="3" t="inlineStr">
        <is>
          <t>Heron Fields (Pty) Ltd</t>
        </is>
      </c>
      <c r="B3018" s="4" t="n">
        <v>45016</v>
      </c>
      <c r="C3018" s="3" t="inlineStr">
        <is>
          <t>Expenses</t>
        </is>
      </c>
      <c r="D3018" s="3" t="inlineStr">
        <is>
          <t>4100/001</t>
        </is>
      </c>
      <c r="E3018" s="3" t="inlineStr">
        <is>
          <t>Momentum Admin Fee</t>
        </is>
      </c>
      <c r="F3018" s="3" t="n">
        <v>5169.95</v>
      </c>
      <c r="G3018" s="3" t="n">
        <v>5169.95</v>
      </c>
    </row>
    <row r="3019">
      <c r="A3019" s="3" t="inlineStr">
        <is>
          <t>Cape Projects Construction (Pty) Ltd</t>
        </is>
      </c>
      <c r="B3019" s="4" t="n">
        <v>45016</v>
      </c>
      <c r="C3019" s="3" t="inlineStr">
        <is>
          <t>Expenses</t>
        </is>
      </c>
      <c r="D3019" s="3" t="inlineStr">
        <is>
          <t>4150/010</t>
        </is>
      </c>
      <c r="E3019" s="3" t="inlineStr">
        <is>
          <t>Motor Vehicle - Petrol _AND_ Oil</t>
        </is>
      </c>
      <c r="F3019" s="3" t="n">
        <v>5589.51</v>
      </c>
      <c r="G3019" s="3" t="n">
        <v>5589.51</v>
      </c>
    </row>
    <row r="3020">
      <c r="A3020" s="3" t="inlineStr">
        <is>
          <t>Cape Projects Construction (Pty) Ltd</t>
        </is>
      </c>
      <c r="B3020" s="4" t="n">
        <v>45016</v>
      </c>
      <c r="C3020" s="3" t="inlineStr">
        <is>
          <t>Expenses</t>
        </is>
      </c>
      <c r="D3020" s="3" t="inlineStr">
        <is>
          <t>4200/000</t>
        </is>
      </c>
      <c r="E3020" s="3" t="inlineStr">
        <is>
          <t>Printing _AND_ Stationery</t>
        </is>
      </c>
      <c r="F3020" s="3" t="n">
        <v>2299.13</v>
      </c>
      <c r="G3020" s="3" t="n">
        <v>2299.13</v>
      </c>
    </row>
    <row r="3021">
      <c r="A3021" s="3" t="inlineStr">
        <is>
          <t>Cape Projects Construction (Pty) Ltd</t>
        </is>
      </c>
      <c r="B3021" s="4" t="n">
        <v>45016</v>
      </c>
      <c r="C3021" s="3" t="inlineStr">
        <is>
          <t>Expenses</t>
        </is>
      </c>
      <c r="D3021" s="3" t="inlineStr">
        <is>
          <t>4201/000</t>
        </is>
      </c>
      <c r="E3021" s="3" t="inlineStr">
        <is>
          <t>Printing - Printer rental</t>
        </is>
      </c>
      <c r="F3021" s="3" t="n">
        <v>1375.3</v>
      </c>
      <c r="G3021" s="3" t="n">
        <v>1375.3</v>
      </c>
    </row>
    <row r="3022">
      <c r="A3022" s="3" t="inlineStr">
        <is>
          <t>Cape Projects Construction (Pty) Ltd</t>
        </is>
      </c>
      <c r="B3022" s="4" t="n">
        <v>45016</v>
      </c>
      <c r="C3022" s="3" t="inlineStr">
        <is>
          <t>Expenses</t>
        </is>
      </c>
      <c r="D3022" s="3" t="inlineStr">
        <is>
          <t>4300/000</t>
        </is>
      </c>
      <c r="E3022" s="3" t="inlineStr">
        <is>
          <t>Rent Paid</t>
        </is>
      </c>
      <c r="F3022" s="3" t="n">
        <v>29600</v>
      </c>
      <c r="G3022" s="3" t="n">
        <v>29600</v>
      </c>
    </row>
    <row r="3023">
      <c r="A3023" s="3" t="inlineStr">
        <is>
          <t>Cape Projects Construction (Pty) Ltd</t>
        </is>
      </c>
      <c r="B3023" s="4" t="n">
        <v>45016</v>
      </c>
      <c r="C3023" s="3" t="inlineStr">
        <is>
          <t>Expenses</t>
        </is>
      </c>
      <c r="D3023" s="3" t="inlineStr">
        <is>
          <t>4310/000</t>
        </is>
      </c>
      <c r="E3023" s="3" t="inlineStr">
        <is>
          <t>Rates</t>
        </is>
      </c>
      <c r="F3023" s="3" t="n">
        <v>843.6</v>
      </c>
      <c r="G3023" s="3" t="n">
        <v>843.6</v>
      </c>
    </row>
    <row r="3024">
      <c r="A3024" s="3" t="inlineStr">
        <is>
          <t>Heron Fields (Pty) Ltd</t>
        </is>
      </c>
      <c r="B3024" s="4" t="n">
        <v>45016</v>
      </c>
      <c r="C3024" s="3" t="inlineStr">
        <is>
          <t>Expenses</t>
        </is>
      </c>
      <c r="D3024" s="3" t="inlineStr">
        <is>
          <t>4310/000</t>
        </is>
      </c>
      <c r="E3024" s="3" t="inlineStr">
        <is>
          <t>Rates - Heron</t>
        </is>
      </c>
      <c r="F3024" s="3" t="n">
        <v>30819.25</v>
      </c>
      <c r="G3024" s="3" t="n">
        <v>30819.25</v>
      </c>
    </row>
    <row r="3025">
      <c r="A3025" s="3" t="inlineStr">
        <is>
          <t>Cape Projects Construction (Pty) Ltd</t>
        </is>
      </c>
      <c r="B3025" s="4" t="n">
        <v>45016</v>
      </c>
      <c r="C3025" s="3" t="inlineStr">
        <is>
          <t>Expenses</t>
        </is>
      </c>
      <c r="D3025" s="3" t="inlineStr">
        <is>
          <t>4350/000</t>
        </is>
      </c>
      <c r="E3025" s="3" t="inlineStr">
        <is>
          <t>Repairs _AND_ Maintenance</t>
        </is>
      </c>
      <c r="F3025" s="3" t="n">
        <v>6352.8</v>
      </c>
      <c r="G3025" s="3" t="n">
        <v>6352.8</v>
      </c>
    </row>
    <row r="3026">
      <c r="A3026" s="3" t="inlineStr">
        <is>
          <t>Cape Projects Construction (Pty) Ltd</t>
        </is>
      </c>
      <c r="B3026" s="4" t="n">
        <v>45016</v>
      </c>
      <c r="C3026" s="3" t="inlineStr">
        <is>
          <t>Expenses</t>
        </is>
      </c>
      <c r="D3026" s="3" t="inlineStr">
        <is>
          <t>4400/000</t>
        </is>
      </c>
      <c r="E3026" s="3" t="inlineStr">
        <is>
          <t>Salaries _AND_ Wages</t>
        </is>
      </c>
      <c r="F3026" s="3" t="n">
        <v>311179.66</v>
      </c>
      <c r="G3026" s="3" t="n">
        <v>311179.66</v>
      </c>
    </row>
    <row r="3027">
      <c r="A3027" s="3" t="inlineStr">
        <is>
          <t>Cape Projects Construction (Pty) Ltd</t>
        </is>
      </c>
      <c r="B3027" s="4" t="n">
        <v>45016</v>
      </c>
      <c r="C3027" s="3" t="inlineStr">
        <is>
          <t>Expenses</t>
        </is>
      </c>
      <c r="D3027" s="3" t="inlineStr">
        <is>
          <t>4403/000</t>
        </is>
      </c>
      <c r="E3027" s="3" t="inlineStr">
        <is>
          <t>Security</t>
        </is>
      </c>
      <c r="F3027" s="3" t="n">
        <v>177.33</v>
      </c>
      <c r="G3027" s="3" t="n">
        <v>177.33</v>
      </c>
    </row>
    <row r="3028">
      <c r="A3028" s="3" t="inlineStr">
        <is>
          <t>Cape Projects Construction (Pty) Ltd</t>
        </is>
      </c>
      <c r="B3028" s="4" t="n">
        <v>45016</v>
      </c>
      <c r="C3028" s="3" t="inlineStr">
        <is>
          <t>Expenses</t>
        </is>
      </c>
      <c r="D3028" s="3" t="inlineStr">
        <is>
          <t>4420/000</t>
        </is>
      </c>
      <c r="E3028" s="3" t="inlineStr">
        <is>
          <t>Small Assets</t>
        </is>
      </c>
      <c r="F3028" s="3" t="n">
        <v>833.91</v>
      </c>
      <c r="G3028" s="3" t="n">
        <v>833.91</v>
      </c>
    </row>
    <row r="3029">
      <c r="A3029" s="3" t="inlineStr">
        <is>
          <t>Heron Fields (Pty) Ltd</t>
        </is>
      </c>
      <c r="B3029" s="4" t="n">
        <v>45016</v>
      </c>
      <c r="C3029" s="3" t="inlineStr">
        <is>
          <t>Expenses</t>
        </is>
      </c>
      <c r="D3029" s="3" t="inlineStr">
        <is>
          <t>4420/001</t>
        </is>
      </c>
      <c r="E3029" s="3" t="inlineStr">
        <is>
          <t>Security - ADT</t>
        </is>
      </c>
      <c r="F3029" s="3" t="n">
        <v>328.38</v>
      </c>
      <c r="G3029" s="3" t="n">
        <v>328.38</v>
      </c>
    </row>
    <row r="3030">
      <c r="A3030" s="3" t="inlineStr">
        <is>
          <t>Cape Projects Construction (Pty) Ltd</t>
        </is>
      </c>
      <c r="B3030" s="4" t="n">
        <v>45016</v>
      </c>
      <c r="C3030" s="3" t="inlineStr">
        <is>
          <t>Expenses</t>
        </is>
      </c>
      <c r="D3030" s="3" t="inlineStr">
        <is>
          <t>4550/001</t>
        </is>
      </c>
      <c r="E3030" s="3" t="inlineStr">
        <is>
          <t>Subscriptions &amp; Licenses - Sage payroll</t>
        </is>
      </c>
      <c r="F3030" s="3" t="n">
        <v>747</v>
      </c>
      <c r="G3030" s="3" t="n">
        <v>747</v>
      </c>
    </row>
    <row r="3031">
      <c r="A3031" s="3" t="inlineStr">
        <is>
          <t>Cape Projects Construction (Pty) Ltd</t>
        </is>
      </c>
      <c r="B3031" s="4" t="n">
        <v>45016</v>
      </c>
      <c r="C3031" s="3" t="inlineStr">
        <is>
          <t>Expenses</t>
        </is>
      </c>
      <c r="D3031" s="3" t="inlineStr">
        <is>
          <t>4550/002</t>
        </is>
      </c>
      <c r="E3031" s="3" t="inlineStr">
        <is>
          <t>Subscriptions &amp; Licenses - Caseware</t>
        </is>
      </c>
      <c r="F3031" s="3" t="n">
        <v>10825.49</v>
      </c>
      <c r="G3031" s="3" t="n">
        <v>10825.49</v>
      </c>
    </row>
    <row r="3032">
      <c r="A3032" s="3" t="inlineStr">
        <is>
          <t>Cape Projects Construction (Pty) Ltd</t>
        </is>
      </c>
      <c r="B3032" s="4" t="n">
        <v>45016</v>
      </c>
      <c r="C3032" s="3" t="inlineStr">
        <is>
          <t>Expenses</t>
        </is>
      </c>
      <c r="D3032" s="3" t="inlineStr">
        <is>
          <t>4550/003</t>
        </is>
      </c>
      <c r="E3032" s="3" t="inlineStr">
        <is>
          <t>Subscriptions &amp; Licenses - Xero</t>
        </is>
      </c>
      <c r="F3032" s="3" t="n">
        <v>600</v>
      </c>
      <c r="G3032" s="3" t="n">
        <v>600</v>
      </c>
    </row>
    <row r="3033">
      <c r="A3033" s="3" t="inlineStr">
        <is>
          <t>Cape Projects Construction (Pty) Ltd</t>
        </is>
      </c>
      <c r="B3033" s="4" t="n">
        <v>45016</v>
      </c>
      <c r="C3033" s="3" t="inlineStr">
        <is>
          <t>Expenses</t>
        </is>
      </c>
      <c r="D3033" s="3" t="inlineStr">
        <is>
          <t>4550/004</t>
        </is>
      </c>
      <c r="E3033" s="3" t="inlineStr">
        <is>
          <t>Subscriptions - Smartsheet</t>
        </is>
      </c>
      <c r="F3033" s="3" t="n">
        <v>605</v>
      </c>
      <c r="G3033" s="3" t="n">
        <v>605</v>
      </c>
    </row>
    <row r="3034">
      <c r="A3034" s="3" t="inlineStr">
        <is>
          <t>Heron Fields (Pty) Ltd</t>
        </is>
      </c>
      <c r="B3034" s="4" t="n">
        <v>45016</v>
      </c>
      <c r="C3034" s="3" t="inlineStr">
        <is>
          <t>Expenses</t>
        </is>
      </c>
      <c r="D3034" s="3" t="inlineStr">
        <is>
          <t>4550/100</t>
        </is>
      </c>
      <c r="E3034" s="3" t="inlineStr">
        <is>
          <t>Subscriptions - Xero</t>
        </is>
      </c>
      <c r="F3034" s="3" t="n">
        <v>600</v>
      </c>
      <c r="G3034" s="3" t="n">
        <v>600</v>
      </c>
    </row>
    <row r="3035">
      <c r="A3035" s="3" t="inlineStr">
        <is>
          <t>Heron View (Pty) Ltd</t>
        </is>
      </c>
      <c r="B3035" s="4" t="n">
        <v>45016</v>
      </c>
      <c r="C3035" s="3" t="inlineStr">
        <is>
          <t>Expenses</t>
        </is>
      </c>
      <c r="D3035" s="3" t="inlineStr">
        <is>
          <t>4550/100</t>
        </is>
      </c>
      <c r="E3035" s="3" t="inlineStr">
        <is>
          <t>Subscriptions - Xero</t>
        </is>
      </c>
      <c r="F3035" s="3" t="n">
        <v>600</v>
      </c>
      <c r="G3035" s="3" t="n">
        <v>600</v>
      </c>
    </row>
    <row r="3036">
      <c r="A3036" s="3" t="inlineStr">
        <is>
          <t>Cape Projects Construction (Pty) Ltd</t>
        </is>
      </c>
      <c r="B3036" s="4" t="n">
        <v>45016</v>
      </c>
      <c r="C3036" s="3" t="inlineStr">
        <is>
          <t>Expenses</t>
        </is>
      </c>
      <c r="D3036" s="3" t="inlineStr">
        <is>
          <t>4700/000</t>
        </is>
      </c>
      <c r="E3036" s="3" t="inlineStr">
        <is>
          <t>PAYE Contributions</t>
        </is>
      </c>
      <c r="F3036" s="3" t="n">
        <v>75818.38</v>
      </c>
      <c r="G3036" s="3" t="n">
        <v>75818.38</v>
      </c>
    </row>
    <row r="3037">
      <c r="A3037" s="3" t="inlineStr">
        <is>
          <t>Cape Projects Construction (Pty) Ltd</t>
        </is>
      </c>
      <c r="B3037" s="4" t="n">
        <v>45016</v>
      </c>
      <c r="C3037" s="3" t="inlineStr">
        <is>
          <t>Expenses</t>
        </is>
      </c>
      <c r="D3037" s="3" t="inlineStr">
        <is>
          <t>4720/000</t>
        </is>
      </c>
      <c r="E3037" s="3" t="inlineStr">
        <is>
          <t>SDL Contributions</t>
        </is>
      </c>
      <c r="F3037" s="3" t="n">
        <v>3744.13</v>
      </c>
      <c r="G3037" s="3" t="n">
        <v>3744.13</v>
      </c>
    </row>
    <row r="3038">
      <c r="A3038" s="3" t="inlineStr">
        <is>
          <t>Cape Projects Construction (Pty) Ltd</t>
        </is>
      </c>
      <c r="B3038" s="4" t="n">
        <v>45016</v>
      </c>
      <c r="C3038" s="3" t="inlineStr">
        <is>
          <t>Expenses</t>
        </is>
      </c>
      <c r="D3038" s="3" t="inlineStr">
        <is>
          <t>4730/000</t>
        </is>
      </c>
      <c r="E3038" s="3" t="inlineStr">
        <is>
          <t>UIF Company Contributions</t>
        </is>
      </c>
      <c r="F3038" s="3" t="n">
        <v>1920.62</v>
      </c>
      <c r="G3038" s="3" t="n">
        <v>1920.62</v>
      </c>
    </row>
    <row r="3039">
      <c r="A3039" s="3" t="inlineStr">
        <is>
          <t>Cape Projects Construction (Pty) Ltd</t>
        </is>
      </c>
      <c r="B3039" s="4" t="n">
        <v>45016</v>
      </c>
      <c r="C3039" s="3" t="inlineStr">
        <is>
          <t>Expenses</t>
        </is>
      </c>
      <c r="D3039" s="3" t="inlineStr">
        <is>
          <t>4731/000</t>
        </is>
      </c>
      <c r="E3039" s="3" t="inlineStr">
        <is>
          <t>UIF Employee Contribution</t>
        </is>
      </c>
      <c r="F3039" s="3" t="n">
        <v>1920.62</v>
      </c>
      <c r="G3039" s="3" t="n">
        <v>1920.62</v>
      </c>
    </row>
    <row r="3040">
      <c r="A3040" s="3" t="inlineStr">
        <is>
          <t>Cape Projects Construction (Pty) Ltd</t>
        </is>
      </c>
      <c r="B3040" s="4" t="n">
        <v>45016</v>
      </c>
      <c r="C3040" s="3" t="inlineStr">
        <is>
          <t>Expenses</t>
        </is>
      </c>
      <c r="D3040" s="3" t="inlineStr">
        <is>
          <t>4740/000</t>
        </is>
      </c>
      <c r="E3040" s="3" t="inlineStr">
        <is>
          <t>BIBC Company Contribution</t>
        </is>
      </c>
      <c r="F3040" s="3" t="n">
        <v>5034</v>
      </c>
      <c r="G3040" s="3" t="n">
        <v>5034</v>
      </c>
    </row>
    <row r="3041">
      <c r="A3041" s="3" t="inlineStr">
        <is>
          <t>Cape Projects Construction (Pty) Ltd</t>
        </is>
      </c>
      <c r="B3041" s="4" t="n">
        <v>45016</v>
      </c>
      <c r="C3041" s="3" t="inlineStr">
        <is>
          <t>Expenses</t>
        </is>
      </c>
      <c r="D3041" s="3" t="inlineStr">
        <is>
          <t>4741/000</t>
        </is>
      </c>
      <c r="E3041" s="3" t="inlineStr">
        <is>
          <t>BIBC Employee Contribution</t>
        </is>
      </c>
      <c r="F3041" s="3" t="n">
        <v>1775.25</v>
      </c>
      <c r="G3041" s="3" t="n">
        <v>1775.25</v>
      </c>
    </row>
    <row r="3042">
      <c r="A3042" s="3" t="inlineStr">
        <is>
          <t>Heron Fields (Pty) Ltd</t>
        </is>
      </c>
      <c r="B3042" s="4" t="n">
        <v>45016</v>
      </c>
      <c r="C3042" s="3" t="inlineStr">
        <is>
          <t>Equity</t>
        </is>
      </c>
      <c r="D3042" s="3" t="inlineStr">
        <is>
          <t>5100-000</t>
        </is>
      </c>
      <c r="E3042" s="3" t="inlineStr">
        <is>
          <t>Share Capital</t>
        </is>
      </c>
      <c r="F3042" s="3" t="n">
        <v>0</v>
      </c>
      <c r="G3042" s="3" t="n">
        <v>-100</v>
      </c>
    </row>
    <row r="3043">
      <c r="A3043" s="3" t="inlineStr">
        <is>
          <t>Cape Projects Construction (Pty) Ltd</t>
        </is>
      </c>
      <c r="B3043" s="4" t="n">
        <v>45016</v>
      </c>
      <c r="C3043" s="3" t="inlineStr">
        <is>
          <t>Equity</t>
        </is>
      </c>
      <c r="D3043" s="3" t="inlineStr">
        <is>
          <t>5100/000</t>
        </is>
      </c>
      <c r="E3043" s="3" t="inlineStr">
        <is>
          <t>Share Capital / Members Contribution</t>
        </is>
      </c>
      <c r="F3043" s="3" t="n">
        <v>0</v>
      </c>
      <c r="G3043" s="3" t="n">
        <v>-120</v>
      </c>
    </row>
    <row r="3044">
      <c r="A3044" s="3" t="inlineStr">
        <is>
          <t>Cape Projects Construction (Pty) Ltd</t>
        </is>
      </c>
      <c r="B3044" s="4" t="n">
        <v>45016</v>
      </c>
      <c r="C3044" s="3" t="inlineStr">
        <is>
          <t>Equity</t>
        </is>
      </c>
      <c r="D3044" s="3" t="inlineStr">
        <is>
          <t>5200/000</t>
        </is>
      </c>
      <c r="E3044" s="3" t="inlineStr">
        <is>
          <t>Retained Earnings / Loss</t>
        </is>
      </c>
      <c r="F3044" s="3" t="n">
        <v>0</v>
      </c>
      <c r="G3044" s="3" t="n">
        <v>-296075.58</v>
      </c>
    </row>
    <row r="3045">
      <c r="A3045" s="3" t="inlineStr">
        <is>
          <t>Heron Fields (Pty) Ltd</t>
        </is>
      </c>
      <c r="B3045" s="4" t="n">
        <v>45016</v>
      </c>
      <c r="C3045" s="3" t="inlineStr">
        <is>
          <t>Equity</t>
        </is>
      </c>
      <c r="D3045" s="3" t="inlineStr">
        <is>
          <t>5200/000</t>
        </is>
      </c>
      <c r="E3045" s="3" t="inlineStr">
        <is>
          <t>Retained Earnings / Loss</t>
        </is>
      </c>
      <c r="F3045" s="3" t="n">
        <v>0</v>
      </c>
      <c r="G3045" s="3" t="n">
        <v>-17843179.58</v>
      </c>
    </row>
    <row r="3046">
      <c r="A3046" s="3" t="inlineStr">
        <is>
          <t>Heron View (Pty) Ltd</t>
        </is>
      </c>
      <c r="B3046" s="4" t="n">
        <v>45016</v>
      </c>
      <c r="C3046" s="3" t="inlineStr">
        <is>
          <t>Equity</t>
        </is>
      </c>
      <c r="D3046" s="3" t="inlineStr">
        <is>
          <t>5200/000</t>
        </is>
      </c>
      <c r="E3046" s="3" t="inlineStr">
        <is>
          <t>Retained Earnings / Loss</t>
        </is>
      </c>
      <c r="F3046" s="3" t="n">
        <v>0</v>
      </c>
      <c r="G3046" s="3" t="n">
        <v>70398.12</v>
      </c>
    </row>
    <row r="3047">
      <c r="A3047" s="3" t="inlineStr">
        <is>
          <t>Heron Fields (Pty) Ltd</t>
        </is>
      </c>
      <c r="B3047" s="4" t="n">
        <v>45016</v>
      </c>
      <c r="C3047" s="3" t="inlineStr">
        <is>
          <t>Assets</t>
        </is>
      </c>
      <c r="D3047" s="3" t="inlineStr">
        <is>
          <t>5300/001</t>
        </is>
      </c>
      <c r="E3047" s="3" t="inlineStr">
        <is>
          <t>Revaluation of Land stock</t>
        </is>
      </c>
      <c r="F3047" s="3" t="n">
        <v>0</v>
      </c>
      <c r="G3047" s="3" t="n">
        <v>17562360.85</v>
      </c>
    </row>
    <row r="3048">
      <c r="A3048" s="3" t="inlineStr">
        <is>
          <t>Cape Projects Construction (Pty) Ltd</t>
        </is>
      </c>
      <c r="B3048" s="4" t="n">
        <v>45016</v>
      </c>
      <c r="C3048" s="3" t="inlineStr">
        <is>
          <t>Assets</t>
        </is>
      </c>
      <c r="D3048" s="3" t="inlineStr">
        <is>
          <t>5400/150</t>
        </is>
      </c>
      <c r="E3048" s="3" t="inlineStr">
        <is>
          <t>Loan - Quinate</t>
        </is>
      </c>
      <c r="F3048" s="3" t="n">
        <v>185000</v>
      </c>
      <c r="G3048" s="3" t="n">
        <v>185000</v>
      </c>
    </row>
    <row r="3049">
      <c r="A3049" s="3" t="inlineStr">
        <is>
          <t>Cape Projects Construction (Pty) Ltd</t>
        </is>
      </c>
      <c r="B3049" s="4" t="n">
        <v>45016</v>
      </c>
      <c r="C3049" s="3" t="inlineStr">
        <is>
          <t>Assets</t>
        </is>
      </c>
      <c r="D3049" s="3" t="inlineStr">
        <is>
          <t>5400/220</t>
        </is>
      </c>
      <c r="E3049" s="3" t="inlineStr">
        <is>
          <t>Members Loan - WH</t>
        </is>
      </c>
      <c r="F3049" s="3" t="n">
        <v>0</v>
      </c>
      <c r="G3049" s="3" t="n">
        <v>-4342.5</v>
      </c>
    </row>
    <row r="3050">
      <c r="A3050" s="3" t="inlineStr">
        <is>
          <t>Cape Projects Construction (Pty) Ltd</t>
        </is>
      </c>
      <c r="B3050" s="4" t="n">
        <v>45016</v>
      </c>
      <c r="C3050" s="3" t="inlineStr">
        <is>
          <t>Assets</t>
        </is>
      </c>
      <c r="D3050" s="3" t="inlineStr">
        <is>
          <t>5400/450</t>
        </is>
      </c>
      <c r="E3050" s="3" t="inlineStr">
        <is>
          <t>Loan - Opportunity Investment</t>
        </is>
      </c>
      <c r="F3050" s="3" t="n">
        <v>0</v>
      </c>
      <c r="G3050" s="3" t="n">
        <v>-361000</v>
      </c>
    </row>
    <row r="3051">
      <c r="A3051" s="3" t="inlineStr">
        <is>
          <t>Cape Projects Construction (Pty) Ltd</t>
        </is>
      </c>
      <c r="B3051" s="4" t="n">
        <v>45016</v>
      </c>
      <c r="C3051" s="3" t="inlineStr">
        <is>
          <t>Assets</t>
        </is>
      </c>
      <c r="D3051" s="3" t="inlineStr">
        <is>
          <t>5400/500</t>
        </is>
      </c>
      <c r="E3051" s="3" t="inlineStr">
        <is>
          <t>Loan - Blou Mamba Trust</t>
        </is>
      </c>
      <c r="F3051" s="3" t="n">
        <v>0</v>
      </c>
      <c r="G3051" s="3" t="n">
        <v>4342.5</v>
      </c>
    </row>
    <row r="3052">
      <c r="A3052" s="3" t="inlineStr">
        <is>
          <t>Cape Projects Construction (Pty) Ltd</t>
        </is>
      </c>
      <c r="B3052" s="4" t="n">
        <v>45016</v>
      </c>
      <c r="C3052" s="3" t="inlineStr">
        <is>
          <t>Assets</t>
        </is>
      </c>
      <c r="D3052" s="3" t="inlineStr">
        <is>
          <t>5400/550</t>
        </is>
      </c>
      <c r="E3052" s="3" t="inlineStr">
        <is>
          <t>Loan - Trademark</t>
        </is>
      </c>
      <c r="F3052" s="3" t="n">
        <v>600</v>
      </c>
      <c r="G3052" s="3" t="n">
        <v>600</v>
      </c>
    </row>
    <row r="3053">
      <c r="A3053" s="3" t="inlineStr">
        <is>
          <t>Cape Projects Construction (Pty) Ltd</t>
        </is>
      </c>
      <c r="B3053" s="4" t="n">
        <v>45016</v>
      </c>
      <c r="C3053" s="3" t="inlineStr">
        <is>
          <t>Assets</t>
        </is>
      </c>
      <c r="D3053" s="3" t="inlineStr">
        <is>
          <t>5400/600</t>
        </is>
      </c>
      <c r="E3053" s="3" t="inlineStr">
        <is>
          <t>Loan - Heron Projects</t>
        </is>
      </c>
      <c r="F3053" s="3" t="n">
        <v>-551691.83</v>
      </c>
      <c r="G3053" s="3" t="n">
        <v>-10376940.42</v>
      </c>
    </row>
    <row r="3054">
      <c r="A3054" s="3" t="inlineStr">
        <is>
          <t>Cape Projects Construction (Pty) Ltd</t>
        </is>
      </c>
      <c r="B3054" s="4" t="n">
        <v>45016</v>
      </c>
      <c r="C3054" s="3" t="inlineStr">
        <is>
          <t>Assets</t>
        </is>
      </c>
      <c r="D3054" s="3" t="inlineStr">
        <is>
          <t>5400/650</t>
        </is>
      </c>
      <c r="E3054" s="3" t="inlineStr">
        <is>
          <t>Loan - Noble Shield</t>
        </is>
      </c>
      <c r="F3054" s="3" t="n">
        <v>600</v>
      </c>
      <c r="G3054" s="3" t="n">
        <v>600</v>
      </c>
    </row>
    <row r="3055">
      <c r="A3055" s="3" t="inlineStr">
        <is>
          <t>Cape Projects Construction (Pty) Ltd</t>
        </is>
      </c>
      <c r="B3055" s="4" t="n">
        <v>45016</v>
      </c>
      <c r="C3055" s="3" t="inlineStr">
        <is>
          <t>Assets</t>
        </is>
      </c>
      <c r="D3055" s="3" t="inlineStr">
        <is>
          <t>5400/750</t>
        </is>
      </c>
      <c r="E3055" s="3" t="inlineStr">
        <is>
          <t>Loan - Endulini</t>
        </is>
      </c>
      <c r="F3055" s="3" t="n">
        <v>1505000</v>
      </c>
      <c r="G3055" s="3" t="n">
        <v>14835187.4</v>
      </c>
    </row>
    <row r="3056">
      <c r="A3056" s="3" t="inlineStr">
        <is>
          <t>Cape Projects Construction (Pty) Ltd</t>
        </is>
      </c>
      <c r="B3056" s="4" t="n">
        <v>45016</v>
      </c>
      <c r="C3056" s="3" t="inlineStr">
        <is>
          <t>Assets</t>
        </is>
      </c>
      <c r="D3056" s="3" t="inlineStr">
        <is>
          <t>5400/800</t>
        </is>
      </c>
      <c r="E3056" s="3" t="inlineStr">
        <is>
          <t>Loan - Opportunity Management Holdings</t>
        </is>
      </c>
      <c r="F3056" s="3" t="n">
        <v>0</v>
      </c>
      <c r="G3056" s="3" t="n">
        <v>-120000</v>
      </c>
    </row>
    <row r="3057">
      <c r="A3057" s="3" t="inlineStr">
        <is>
          <t>Heron View (Pty) Ltd</t>
        </is>
      </c>
      <c r="B3057" s="4" t="n">
        <v>45016</v>
      </c>
      <c r="C3057" s="3" t="inlineStr">
        <is>
          <t>Liabilities</t>
        </is>
      </c>
      <c r="D3057" s="3" t="inlineStr">
        <is>
          <t>5500/001</t>
        </is>
      </c>
      <c r="E3057" s="3" t="inlineStr">
        <is>
          <t>Loan - Heron Fields</t>
        </is>
      </c>
      <c r="F3057" s="3" t="n">
        <v>-8792977.07</v>
      </c>
      <c r="G3057" s="3" t="n">
        <v>-19357848.57</v>
      </c>
    </row>
    <row r="3058">
      <c r="A3058" s="3" t="inlineStr">
        <is>
          <t>Heron Fields (Pty) Ltd</t>
        </is>
      </c>
      <c r="B3058" s="4" t="n">
        <v>45016</v>
      </c>
      <c r="C3058" s="3" t="inlineStr">
        <is>
          <t>Liabilities</t>
        </is>
      </c>
      <c r="D3058" s="3" t="inlineStr">
        <is>
          <t>5500/020</t>
        </is>
      </c>
      <c r="E3058" s="3" t="inlineStr">
        <is>
          <t>Loan - Cape Projects Construction</t>
        </is>
      </c>
      <c r="F3058" s="3" t="n">
        <v>551691.83</v>
      </c>
      <c r="G3058" s="3" t="n">
        <v>10376940.42</v>
      </c>
    </row>
    <row r="3059">
      <c r="A3059" s="3" t="inlineStr">
        <is>
          <t>Heron Fields (Pty) Ltd</t>
        </is>
      </c>
      <c r="B3059" s="4" t="n">
        <v>45016</v>
      </c>
      <c r="C3059" s="3" t="inlineStr">
        <is>
          <t>Liabilities</t>
        </is>
      </c>
      <c r="D3059" s="3" t="inlineStr">
        <is>
          <t>5500/030</t>
        </is>
      </c>
      <c r="E3059" s="3" t="inlineStr">
        <is>
          <t>Loan - Opportunity Global Investments</t>
        </is>
      </c>
      <c r="F3059" s="3" t="n">
        <v>2155000</v>
      </c>
      <c r="G3059" s="3" t="n">
        <v>2703000</v>
      </c>
    </row>
    <row r="3060">
      <c r="A3060" s="3" t="inlineStr">
        <is>
          <t>Heron Fields (Pty) Ltd</t>
        </is>
      </c>
      <c r="B3060" s="4" t="n">
        <v>45016</v>
      </c>
      <c r="C3060" s="3" t="inlineStr">
        <is>
          <t>Liabilities</t>
        </is>
      </c>
      <c r="D3060" s="3" t="inlineStr">
        <is>
          <t>5500/050</t>
        </is>
      </c>
      <c r="E3060" s="3" t="inlineStr">
        <is>
          <t>Loan - Heron View</t>
        </is>
      </c>
      <c r="F3060" s="3" t="n">
        <v>8792977.07</v>
      </c>
      <c r="G3060" s="3" t="n">
        <v>19357848.57</v>
      </c>
    </row>
    <row r="3061">
      <c r="A3061" s="3" t="inlineStr">
        <is>
          <t>Heron Fields (Pty) Ltd</t>
        </is>
      </c>
      <c r="B3061" s="4" t="n">
        <v>45016</v>
      </c>
      <c r="C3061" s="3" t="inlineStr">
        <is>
          <t>Liabilities</t>
        </is>
      </c>
      <c r="D3061" s="3" t="inlineStr">
        <is>
          <t>5500/060</t>
        </is>
      </c>
      <c r="E3061" s="3" t="inlineStr">
        <is>
          <t>Loan - Opportunity Management Holdings</t>
        </is>
      </c>
      <c r="F3061" s="3" t="n">
        <v>41000</v>
      </c>
      <c r="G3061" s="3" t="n">
        <v>41000</v>
      </c>
    </row>
    <row r="3062">
      <c r="A3062" s="3" t="inlineStr">
        <is>
          <t>Cape Projects Construction (Pty) Ltd</t>
        </is>
      </c>
      <c r="B3062" s="4" t="n">
        <v>45016</v>
      </c>
      <c r="C3062" s="3" t="inlineStr">
        <is>
          <t>Assets</t>
        </is>
      </c>
      <c r="D3062" s="3" t="inlineStr">
        <is>
          <t>6200/010</t>
        </is>
      </c>
      <c r="E3062" s="3" t="inlineStr">
        <is>
          <t>Motor Vehicles - @ Cost</t>
        </is>
      </c>
      <c r="F3062" s="3" t="n">
        <v>0</v>
      </c>
      <c r="G3062" s="3" t="n">
        <v>216064.1</v>
      </c>
    </row>
    <row r="3063">
      <c r="A3063" s="3" t="inlineStr">
        <is>
          <t>Cape Projects Construction (Pty) Ltd</t>
        </is>
      </c>
      <c r="B3063" s="4" t="n">
        <v>45016</v>
      </c>
      <c r="C3063" s="3" t="inlineStr">
        <is>
          <t>Assets</t>
        </is>
      </c>
      <c r="D3063" s="3" t="inlineStr">
        <is>
          <t>6200/020</t>
        </is>
      </c>
      <c r="E3063" s="3" t="inlineStr">
        <is>
          <t>Motor Vehicles - Accum Depre</t>
        </is>
      </c>
      <c r="F3063" s="3" t="n">
        <v>0</v>
      </c>
      <c r="G3063" s="3" t="n">
        <v>-216063.1</v>
      </c>
    </row>
    <row r="3064">
      <c r="A3064" s="3" t="inlineStr">
        <is>
          <t>Cape Projects Construction (Pty) Ltd</t>
        </is>
      </c>
      <c r="B3064" s="4" t="n">
        <v>45016</v>
      </c>
      <c r="C3064" s="3" t="inlineStr">
        <is>
          <t>Assets</t>
        </is>
      </c>
      <c r="D3064" s="3" t="inlineStr">
        <is>
          <t>6250/010</t>
        </is>
      </c>
      <c r="E3064" s="3" t="inlineStr">
        <is>
          <t>Computer Equipment - @ Cost</t>
        </is>
      </c>
      <c r="F3064" s="3" t="n">
        <v>41690.22</v>
      </c>
      <c r="G3064" s="3" t="n">
        <v>133790.35</v>
      </c>
    </row>
    <row r="3065">
      <c r="A3065" s="3" t="inlineStr">
        <is>
          <t>Cape Projects Construction (Pty) Ltd</t>
        </is>
      </c>
      <c r="B3065" s="4" t="n">
        <v>45016</v>
      </c>
      <c r="C3065" s="3" t="inlineStr">
        <is>
          <t>Assets</t>
        </is>
      </c>
      <c r="D3065" s="3" t="inlineStr">
        <is>
          <t>6250/020</t>
        </is>
      </c>
      <c r="E3065" s="3" t="inlineStr">
        <is>
          <t>Computer Equipment - Accum Depre</t>
        </is>
      </c>
      <c r="F3065" s="3" t="n">
        <v>-3323.91</v>
      </c>
      <c r="G3065" s="3" t="n">
        <v>-46246.9</v>
      </c>
    </row>
    <row r="3066">
      <c r="A3066" s="3" t="inlineStr">
        <is>
          <t>Cape Projects Construction (Pty) Ltd</t>
        </is>
      </c>
      <c r="B3066" s="4" t="n">
        <v>45016</v>
      </c>
      <c r="C3066" s="3" t="inlineStr">
        <is>
          <t>Assets</t>
        </is>
      </c>
      <c r="D3066" s="3" t="inlineStr">
        <is>
          <t>6350/010</t>
        </is>
      </c>
      <c r="E3066" s="3" t="inlineStr">
        <is>
          <t>Furniture _AND_ Fittings - @ Cost</t>
        </is>
      </c>
      <c r="F3066" s="3" t="n">
        <v>0</v>
      </c>
      <c r="G3066" s="3" t="n">
        <v>37955.3</v>
      </c>
    </row>
    <row r="3067">
      <c r="A3067" s="3" t="inlineStr">
        <is>
          <t>Cape Projects Construction (Pty) Ltd</t>
        </is>
      </c>
      <c r="B3067" s="4" t="n">
        <v>45016</v>
      </c>
      <c r="C3067" s="3" t="inlineStr">
        <is>
          <t>Assets</t>
        </is>
      </c>
      <c r="D3067" s="3" t="inlineStr">
        <is>
          <t>6350/020</t>
        </is>
      </c>
      <c r="E3067" s="3" t="inlineStr">
        <is>
          <t>Furniture _AND_ Fittings - Accum Depre</t>
        </is>
      </c>
      <c r="F3067" s="3" t="n">
        <v>-547.6799999999999</v>
      </c>
      <c r="G3067" s="3" t="n">
        <v>-6442.23</v>
      </c>
    </row>
    <row r="3068">
      <c r="A3068" s="3" t="inlineStr">
        <is>
          <t>Cape Projects Construction (Pty) Ltd</t>
        </is>
      </c>
      <c r="B3068" s="4" t="n">
        <v>45016</v>
      </c>
      <c r="C3068" s="3" t="inlineStr">
        <is>
          <t>Assets</t>
        </is>
      </c>
      <c r="D3068" s="3" t="inlineStr">
        <is>
          <t>6600/010</t>
        </is>
      </c>
      <c r="E3068" s="3" t="inlineStr">
        <is>
          <t>Generator Fixed Asset - @ Cost</t>
        </is>
      </c>
      <c r="F3068" s="3" t="n">
        <v>0</v>
      </c>
      <c r="G3068" s="3" t="n">
        <v>11600</v>
      </c>
    </row>
    <row r="3069">
      <c r="A3069" s="3" t="inlineStr">
        <is>
          <t>Cape Projects Construction (Pty) Ltd</t>
        </is>
      </c>
      <c r="B3069" s="4" t="n">
        <v>45016</v>
      </c>
      <c r="C3069" s="3" t="inlineStr">
        <is>
          <t>Assets</t>
        </is>
      </c>
      <c r="D3069" s="3" t="inlineStr">
        <is>
          <t>6600/020</t>
        </is>
      </c>
      <c r="E3069" s="3" t="inlineStr">
        <is>
          <t>Generator Fixed Asset - Accum Depre</t>
        </is>
      </c>
      <c r="F3069" s="3" t="n">
        <v>-193.33</v>
      </c>
      <c r="G3069" s="3" t="n">
        <v>-3318.89</v>
      </c>
    </row>
    <row r="3070">
      <c r="A3070" s="3" t="inlineStr">
        <is>
          <t>Heron Fields (Pty) Ltd</t>
        </is>
      </c>
      <c r="B3070" s="4" t="n">
        <v>45016</v>
      </c>
      <c r="C3070" s="3" t="inlineStr">
        <is>
          <t>Assets</t>
        </is>
      </c>
      <c r="D3070" s="3" t="inlineStr">
        <is>
          <t>7610/395</t>
        </is>
      </c>
      <c r="E3070" s="3" t="inlineStr">
        <is>
          <t>HF CIP NHBRC</t>
        </is>
      </c>
      <c r="F3070" s="3" t="n">
        <v>0</v>
      </c>
      <c r="G3070" s="3" t="n">
        <v>874505.75</v>
      </c>
    </row>
    <row r="3071">
      <c r="A3071" s="3" t="inlineStr">
        <is>
          <t>Heron View (Pty) Ltd</t>
        </is>
      </c>
      <c r="B3071" s="4" t="n">
        <v>45016</v>
      </c>
      <c r="C3071" s="3" t="inlineStr">
        <is>
          <t>Assets</t>
        </is>
      </c>
      <c r="D3071" s="3" t="inlineStr">
        <is>
          <t>7610/395</t>
        </is>
      </c>
      <c r="E3071" s="3" t="inlineStr">
        <is>
          <t>Heron CIP NHBRC</t>
        </is>
      </c>
      <c r="F3071" s="3" t="n">
        <v>0</v>
      </c>
      <c r="G3071" s="3" t="n">
        <v>439254.75</v>
      </c>
    </row>
    <row r="3072">
      <c r="A3072" s="3" t="inlineStr">
        <is>
          <t>Heron Fields (Pty) Ltd</t>
        </is>
      </c>
      <c r="B3072" s="4" t="n">
        <v>45016</v>
      </c>
      <c r="C3072" s="3" t="inlineStr">
        <is>
          <t>Assets</t>
        </is>
      </c>
      <c r="D3072" s="3" t="inlineStr">
        <is>
          <t>7620/100</t>
        </is>
      </c>
      <c r="E3072" s="3" t="inlineStr">
        <is>
          <t>Heron View Land</t>
        </is>
      </c>
      <c r="F3072" s="3" t="n">
        <v>0</v>
      </c>
      <c r="G3072" s="3" t="n">
        <v>26200000</v>
      </c>
    </row>
    <row r="3073">
      <c r="A3073" s="3" t="inlineStr">
        <is>
          <t>Heron Fields (Pty) Ltd</t>
        </is>
      </c>
      <c r="B3073" s="4" t="n">
        <v>45016</v>
      </c>
      <c r="C3073" s="3" t="inlineStr">
        <is>
          <t>Assets</t>
        </is>
      </c>
      <c r="D3073" s="3" t="inlineStr">
        <is>
          <t>7620/101</t>
        </is>
      </c>
      <c r="E3073" s="3" t="inlineStr">
        <is>
          <t>HF CIP Bond Registration Fee</t>
        </is>
      </c>
      <c r="F3073" s="3" t="n">
        <v>0</v>
      </c>
      <c r="G3073" s="3" t="n">
        <v>68427</v>
      </c>
    </row>
    <row r="3074">
      <c r="A3074" s="3" t="inlineStr">
        <is>
          <t>Heron Fields (Pty) Ltd</t>
        </is>
      </c>
      <c r="B3074" s="4" t="n">
        <v>45016</v>
      </c>
      <c r="C3074" s="3" t="inlineStr">
        <is>
          <t>Assets</t>
        </is>
      </c>
      <c r="D3074" s="3" t="inlineStr">
        <is>
          <t>7620/102</t>
        </is>
      </c>
      <c r="E3074" s="3" t="inlineStr">
        <is>
          <t>HF CIP Transfer Fee</t>
        </is>
      </c>
      <c r="F3074" s="3" t="n">
        <v>0</v>
      </c>
      <c r="G3074" s="3" t="n">
        <v>103812</v>
      </c>
    </row>
    <row r="3075">
      <c r="A3075" s="3" t="inlineStr">
        <is>
          <t>Heron Fields (Pty) Ltd</t>
        </is>
      </c>
      <c r="B3075" s="4" t="n">
        <v>45016</v>
      </c>
      <c r="C3075" s="3" t="inlineStr">
        <is>
          <t>Assets</t>
        </is>
      </c>
      <c r="D3075" s="3" t="inlineStr">
        <is>
          <t>7620/220</t>
        </is>
      </c>
      <c r="E3075" s="3" t="inlineStr">
        <is>
          <t>HF CIP Architectural Designs</t>
        </is>
      </c>
      <c r="F3075" s="3" t="n">
        <v>0</v>
      </c>
      <c r="G3075" s="3" t="n">
        <v>314087</v>
      </c>
    </row>
    <row r="3076">
      <c r="A3076" s="3" t="inlineStr">
        <is>
          <t>Heron View (Pty) Ltd</t>
        </is>
      </c>
      <c r="B3076" s="4" t="n">
        <v>45016</v>
      </c>
      <c r="C3076" s="3" t="inlineStr">
        <is>
          <t>Assets</t>
        </is>
      </c>
      <c r="D3076" s="3" t="inlineStr">
        <is>
          <t>7620/220</t>
        </is>
      </c>
      <c r="E3076" s="3" t="inlineStr">
        <is>
          <t>Heron View CIP Architectural Designs</t>
        </is>
      </c>
      <c r="F3076" s="3" t="n">
        <v>0</v>
      </c>
      <c r="G3076" s="3" t="n">
        <v>24400</v>
      </c>
    </row>
    <row r="3077">
      <c r="A3077" s="3" t="inlineStr">
        <is>
          <t>Heron Fields (Pty) Ltd</t>
        </is>
      </c>
      <c r="B3077" s="4" t="n">
        <v>45016</v>
      </c>
      <c r="C3077" s="3" t="inlineStr">
        <is>
          <t>Assets</t>
        </is>
      </c>
      <c r="D3077" s="3" t="inlineStr">
        <is>
          <t>7620/230</t>
        </is>
      </c>
      <c r="E3077" s="3" t="inlineStr">
        <is>
          <t>HF CIP Construction Management</t>
        </is>
      </c>
      <c r="F3077" s="3" t="n">
        <v>1500</v>
      </c>
      <c r="G3077" s="3" t="n">
        <v>138000</v>
      </c>
    </row>
    <row r="3078">
      <c r="A3078" s="3" t="inlineStr">
        <is>
          <t>Heron Fields (Pty) Ltd</t>
        </is>
      </c>
      <c r="B3078" s="4" t="n">
        <v>45016</v>
      </c>
      <c r="C3078" s="3" t="inlineStr">
        <is>
          <t>Assets</t>
        </is>
      </c>
      <c r="D3078" s="3" t="inlineStr">
        <is>
          <t>7620/240</t>
        </is>
      </c>
      <c r="E3078" s="3" t="inlineStr">
        <is>
          <t>HF CIP Civil Engineering</t>
        </is>
      </c>
      <c r="F3078" s="3" t="n">
        <v>0</v>
      </c>
      <c r="G3078" s="3" t="n">
        <v>8557641.800000001</v>
      </c>
    </row>
    <row r="3079">
      <c r="A3079" s="3" t="inlineStr">
        <is>
          <t>Heron Fields (Pty) Ltd</t>
        </is>
      </c>
      <c r="B3079" s="4" t="n">
        <v>45016</v>
      </c>
      <c r="C3079" s="3" t="inlineStr">
        <is>
          <t>Assets</t>
        </is>
      </c>
      <c r="D3079" s="3" t="inlineStr">
        <is>
          <t>7620/245</t>
        </is>
      </c>
      <c r="E3079" s="3" t="inlineStr">
        <is>
          <t>HF CIP Development fee</t>
        </is>
      </c>
      <c r="F3079" s="3" t="n">
        <v>0</v>
      </c>
      <c r="G3079" s="3" t="n">
        <v>13807.78</v>
      </c>
    </row>
    <row r="3080">
      <c r="A3080" s="3" t="inlineStr">
        <is>
          <t>Heron Fields (Pty) Ltd</t>
        </is>
      </c>
      <c r="B3080" s="4" t="n">
        <v>45016</v>
      </c>
      <c r="C3080" s="3" t="inlineStr">
        <is>
          <t>Assets</t>
        </is>
      </c>
      <c r="D3080" s="3" t="inlineStr">
        <is>
          <t>7620/250</t>
        </is>
      </c>
      <c r="E3080" s="3" t="inlineStr">
        <is>
          <t>HF CIP Land Surveyor</t>
        </is>
      </c>
      <c r="F3080" s="3" t="n">
        <v>0</v>
      </c>
      <c r="G3080" s="3" t="n">
        <v>193560.09</v>
      </c>
    </row>
    <row r="3081">
      <c r="A3081" s="3" t="inlineStr">
        <is>
          <t>Heron View (Pty) Ltd</t>
        </is>
      </c>
      <c r="B3081" s="4" t="n">
        <v>45016</v>
      </c>
      <c r="C3081" s="3" t="inlineStr">
        <is>
          <t>Assets</t>
        </is>
      </c>
      <c r="D3081" s="3" t="inlineStr">
        <is>
          <t>7620/250</t>
        </is>
      </c>
      <c r="E3081" s="3" t="inlineStr">
        <is>
          <t>Heron View CIP Land Surveyor</t>
        </is>
      </c>
      <c r="F3081" s="3" t="n">
        <v>0</v>
      </c>
      <c r="G3081" s="3" t="n">
        <v>19185</v>
      </c>
    </row>
    <row r="3082">
      <c r="A3082" s="3" t="inlineStr">
        <is>
          <t>Heron Fields (Pty) Ltd</t>
        </is>
      </c>
      <c r="B3082" s="4" t="n">
        <v>45016</v>
      </c>
      <c r="C3082" s="3" t="inlineStr">
        <is>
          <t>Assets</t>
        </is>
      </c>
      <c r="D3082" s="3" t="inlineStr">
        <is>
          <t>7620/255</t>
        </is>
      </c>
      <c r="E3082" s="3" t="inlineStr">
        <is>
          <t>HF CIP Landscaping</t>
        </is>
      </c>
      <c r="F3082" s="3" t="n">
        <v>0</v>
      </c>
      <c r="G3082" s="3" t="n">
        <v>7500</v>
      </c>
    </row>
    <row r="3083">
      <c r="A3083" s="3" t="inlineStr">
        <is>
          <t>Heron Fields (Pty) Ltd</t>
        </is>
      </c>
      <c r="B3083" s="4" t="n">
        <v>45016</v>
      </c>
      <c r="C3083" s="3" t="inlineStr">
        <is>
          <t>Assets</t>
        </is>
      </c>
      <c r="D3083" s="3" t="inlineStr">
        <is>
          <t>7620/260</t>
        </is>
      </c>
      <c r="E3083" s="3" t="inlineStr">
        <is>
          <t>HF CIP Mechanical Engineers</t>
        </is>
      </c>
      <c r="F3083" s="3" t="n">
        <v>0</v>
      </c>
      <c r="G3083" s="3" t="n">
        <v>67400</v>
      </c>
    </row>
    <row r="3084">
      <c r="A3084" s="3" t="inlineStr">
        <is>
          <t>Heron Fields (Pty) Ltd</t>
        </is>
      </c>
      <c r="B3084" s="4" t="n">
        <v>45016</v>
      </c>
      <c r="C3084" s="3" t="inlineStr">
        <is>
          <t>Assets</t>
        </is>
      </c>
      <c r="D3084" s="3" t="inlineStr">
        <is>
          <t>7620/265</t>
        </is>
      </c>
      <c r="E3084" s="3" t="inlineStr">
        <is>
          <t>HF CIP Health &amp; Safety</t>
        </is>
      </c>
      <c r="F3084" s="3" t="n">
        <v>0</v>
      </c>
      <c r="G3084" s="3" t="n">
        <v>20600</v>
      </c>
    </row>
    <row r="3085">
      <c r="A3085" s="3" t="inlineStr">
        <is>
          <t>Heron Fields (Pty) Ltd</t>
        </is>
      </c>
      <c r="B3085" s="4" t="n">
        <v>45016</v>
      </c>
      <c r="C3085" s="3" t="inlineStr">
        <is>
          <t>Assets</t>
        </is>
      </c>
      <c r="D3085" s="3" t="inlineStr">
        <is>
          <t>7620/270</t>
        </is>
      </c>
      <c r="E3085" s="3" t="inlineStr">
        <is>
          <t>HF CIP Geotechnical</t>
        </is>
      </c>
      <c r="F3085" s="3" t="n">
        <v>0</v>
      </c>
      <c r="G3085" s="3" t="n">
        <v>15175</v>
      </c>
    </row>
    <row r="3086">
      <c r="A3086" s="3" t="inlineStr">
        <is>
          <t>Heron Fields (Pty) Ltd</t>
        </is>
      </c>
      <c r="B3086" s="4" t="n">
        <v>45016</v>
      </c>
      <c r="C3086" s="3" t="inlineStr">
        <is>
          <t>Assets</t>
        </is>
      </c>
      <c r="D3086" s="3" t="inlineStr">
        <is>
          <t>7620/275</t>
        </is>
      </c>
      <c r="E3086" s="3" t="inlineStr">
        <is>
          <t>HF CIP Retaining Wall</t>
        </is>
      </c>
      <c r="F3086" s="3" t="n">
        <v>0</v>
      </c>
      <c r="G3086" s="3" t="n">
        <v>570856.08</v>
      </c>
    </row>
    <row r="3087">
      <c r="A3087" s="3" t="inlineStr">
        <is>
          <t>Heron Fields (Pty) Ltd</t>
        </is>
      </c>
      <c r="B3087" s="4" t="n">
        <v>45016</v>
      </c>
      <c r="C3087" s="3" t="inlineStr">
        <is>
          <t>Assets</t>
        </is>
      </c>
      <c r="D3087" s="3" t="inlineStr">
        <is>
          <t>7620/280</t>
        </is>
      </c>
      <c r="E3087" s="3" t="inlineStr">
        <is>
          <t>HF CIP Site Establishment</t>
        </is>
      </c>
      <c r="F3087" s="3" t="n">
        <v>0</v>
      </c>
      <c r="G3087" s="3" t="n">
        <v>47748851.51</v>
      </c>
    </row>
    <row r="3088">
      <c r="A3088" s="3" t="inlineStr">
        <is>
          <t>Heron View (Pty) Ltd</t>
        </is>
      </c>
      <c r="B3088" s="4" t="n">
        <v>45016</v>
      </c>
      <c r="C3088" s="3" t="inlineStr">
        <is>
          <t>Assets</t>
        </is>
      </c>
      <c r="D3088" s="3" t="inlineStr">
        <is>
          <t>7620/280</t>
        </is>
      </c>
      <c r="E3088" s="3" t="inlineStr">
        <is>
          <t>Heron View CIP Site Establishment</t>
        </is>
      </c>
      <c r="F3088" s="3" t="n">
        <v>764108.12</v>
      </c>
      <c r="G3088" s="3" t="n">
        <v>7187757.92</v>
      </c>
    </row>
    <row r="3089">
      <c r="A3089" s="3" t="inlineStr">
        <is>
          <t>Heron Fields (Pty) Ltd</t>
        </is>
      </c>
      <c r="B3089" s="4" t="n">
        <v>45016</v>
      </c>
      <c r="C3089" s="3" t="inlineStr">
        <is>
          <t>Assets</t>
        </is>
      </c>
      <c r="D3089" s="3" t="inlineStr">
        <is>
          <t>7620/285</t>
        </is>
      </c>
      <c r="E3089" s="3" t="inlineStr">
        <is>
          <t>HF CIP Structuring Fee - Invest</t>
        </is>
      </c>
      <c r="F3089" s="3" t="n">
        <v>0</v>
      </c>
      <c r="G3089" s="3" t="n">
        <v>3850818.04</v>
      </c>
    </row>
    <row r="3090">
      <c r="A3090" s="3" t="inlineStr">
        <is>
          <t>Heron View (Pty) Ltd</t>
        </is>
      </c>
      <c r="B3090" s="4" t="n">
        <v>45016</v>
      </c>
      <c r="C3090" s="3" t="inlineStr">
        <is>
          <t>Assets</t>
        </is>
      </c>
      <c r="D3090" s="3" t="inlineStr">
        <is>
          <t>7620/285</t>
        </is>
      </c>
      <c r="E3090" s="3" t="inlineStr">
        <is>
          <t>Heron View CIP Structuring Fee - Invest</t>
        </is>
      </c>
      <c r="F3090" s="3" t="n">
        <v>1826086.96</v>
      </c>
      <c r="G3090" s="3" t="n">
        <v>1826086.96</v>
      </c>
    </row>
    <row r="3091">
      <c r="A3091" s="3" t="inlineStr">
        <is>
          <t>Heron Fields (Pty) Ltd</t>
        </is>
      </c>
      <c r="B3091" s="4" t="n">
        <v>45016</v>
      </c>
      <c r="C3091" s="3" t="inlineStr">
        <is>
          <t>Assets</t>
        </is>
      </c>
      <c r="D3091" s="3" t="inlineStr">
        <is>
          <t>7620/287</t>
        </is>
      </c>
      <c r="E3091" s="3" t="inlineStr">
        <is>
          <t>HF CIP Structuring Fee - Development</t>
        </is>
      </c>
      <c r="F3091" s="3" t="n">
        <v>0</v>
      </c>
      <c r="G3091" s="3" t="n">
        <v>782608.0699999999</v>
      </c>
    </row>
    <row r="3092">
      <c r="A3092" s="3" t="inlineStr">
        <is>
          <t>Heron Fields (Pty) Ltd</t>
        </is>
      </c>
      <c r="B3092" s="4" t="n">
        <v>45016</v>
      </c>
      <c r="C3092" s="3" t="inlineStr">
        <is>
          <t>Assets</t>
        </is>
      </c>
      <c r="D3092" s="3" t="inlineStr">
        <is>
          <t>7620/290</t>
        </is>
      </c>
      <c r="E3092" s="3" t="inlineStr">
        <is>
          <t>HF CIP Town Planning</t>
        </is>
      </c>
      <c r="F3092" s="3" t="n">
        <v>0</v>
      </c>
      <c r="G3092" s="3" t="n">
        <v>166550</v>
      </c>
    </row>
    <row r="3093">
      <c r="A3093" s="3" t="inlineStr">
        <is>
          <t>Heron Fields (Pty) Ltd</t>
        </is>
      </c>
      <c r="B3093" s="4" t="n">
        <v>45016</v>
      </c>
      <c r="C3093" s="3" t="inlineStr">
        <is>
          <t>Assets</t>
        </is>
      </c>
      <c r="D3093" s="3" t="inlineStr">
        <is>
          <t>7620/295</t>
        </is>
      </c>
      <c r="E3093" s="3" t="inlineStr">
        <is>
          <t>HF CIP Traffic Planning</t>
        </is>
      </c>
      <c r="F3093" s="3" t="n">
        <v>0</v>
      </c>
      <c r="G3093" s="3" t="n">
        <v>45000</v>
      </c>
    </row>
    <row r="3094">
      <c r="A3094" s="3" t="inlineStr">
        <is>
          <t>Heron Fields (Pty) Ltd</t>
        </is>
      </c>
      <c r="B3094" s="4" t="n">
        <v>45016</v>
      </c>
      <c r="C3094" s="3" t="inlineStr">
        <is>
          <t>Assets</t>
        </is>
      </c>
      <c r="D3094" s="3" t="inlineStr">
        <is>
          <t>7620/600</t>
        </is>
      </c>
      <c r="E3094" s="3" t="inlineStr">
        <is>
          <t>HF CIP Eco work</t>
        </is>
      </c>
      <c r="F3094" s="3" t="n">
        <v>6000</v>
      </c>
      <c r="G3094" s="3" t="n">
        <v>131000</v>
      </c>
    </row>
    <row r="3095">
      <c r="A3095" s="3" t="inlineStr">
        <is>
          <t>Heron View (Pty) Ltd</t>
        </is>
      </c>
      <c r="B3095" s="4" t="n">
        <v>45016</v>
      </c>
      <c r="C3095" s="3" t="inlineStr">
        <is>
          <t>Assets</t>
        </is>
      </c>
      <c r="D3095" s="3" t="inlineStr">
        <is>
          <t>7620/610</t>
        </is>
      </c>
      <c r="E3095" s="3" t="inlineStr">
        <is>
          <t>HV CIP Retaining wall</t>
        </is>
      </c>
      <c r="F3095" s="3" t="n">
        <v>0</v>
      </c>
      <c r="G3095" s="3" t="n">
        <v>66190.11</v>
      </c>
    </row>
    <row r="3096">
      <c r="A3096" s="3" t="inlineStr">
        <is>
          <t>Heron Fields (Pty) Ltd</t>
        </is>
      </c>
      <c r="B3096" s="4" t="n">
        <v>45016</v>
      </c>
      <c r="C3096" s="3" t="inlineStr">
        <is>
          <t>Assets</t>
        </is>
      </c>
      <c r="D3096" s="3" t="inlineStr">
        <is>
          <t>7620/630</t>
        </is>
      </c>
      <c r="E3096" s="3" t="inlineStr">
        <is>
          <t>HF CIP CoCT development contribution</t>
        </is>
      </c>
      <c r="F3096" s="3" t="n">
        <v>0</v>
      </c>
      <c r="G3096" s="3" t="n">
        <v>1021325.63</v>
      </c>
    </row>
    <row r="3097">
      <c r="A3097" s="3" t="inlineStr">
        <is>
          <t>Heron View (Pty) Ltd</t>
        </is>
      </c>
      <c r="B3097" s="4" t="n">
        <v>45016</v>
      </c>
      <c r="C3097" s="3" t="inlineStr">
        <is>
          <t>Assets</t>
        </is>
      </c>
      <c r="D3097" s="3" t="inlineStr">
        <is>
          <t>7620/630</t>
        </is>
      </c>
      <c r="E3097" s="3" t="inlineStr">
        <is>
          <t>Heron CIP - CoCT development contribution</t>
        </is>
      </c>
      <c r="F3097" s="3" t="n">
        <v>0</v>
      </c>
      <c r="G3097" s="3" t="n">
        <v>1313735.84</v>
      </c>
    </row>
    <row r="3098">
      <c r="A3098" s="3" t="inlineStr">
        <is>
          <t>Heron Fields (Pty) Ltd</t>
        </is>
      </c>
      <c r="B3098" s="4" t="n">
        <v>45016</v>
      </c>
      <c r="C3098" s="3" t="inlineStr">
        <is>
          <t>Assets</t>
        </is>
      </c>
      <c r="D3098" s="3" t="inlineStr">
        <is>
          <t>7620/640</t>
        </is>
      </c>
      <c r="E3098" s="3" t="inlineStr">
        <is>
          <t>HF CIP Project costs</t>
        </is>
      </c>
      <c r="F3098" s="3" t="n">
        <v>0</v>
      </c>
      <c r="G3098" s="3" t="n">
        <v>622274.51</v>
      </c>
    </row>
    <row r="3099">
      <c r="A3099" s="3" t="inlineStr">
        <is>
          <t>Heron View (Pty) Ltd</t>
        </is>
      </c>
      <c r="B3099" s="4" t="n">
        <v>45016</v>
      </c>
      <c r="C3099" s="3" t="inlineStr">
        <is>
          <t>Assets</t>
        </is>
      </c>
      <c r="D3099" s="3" t="inlineStr">
        <is>
          <t>7620/650</t>
        </is>
      </c>
      <c r="E3099" s="3" t="inlineStr">
        <is>
          <t>CIP - Construction Management</t>
        </is>
      </c>
      <c r="F3099" s="3" t="n">
        <v>14500</v>
      </c>
      <c r="G3099" s="3" t="n">
        <v>44780</v>
      </c>
    </row>
    <row r="3100">
      <c r="A3100" s="3" t="inlineStr">
        <is>
          <t>Heron Fields (Pty) Ltd</t>
        </is>
      </c>
      <c r="B3100" s="4" t="n">
        <v>45016</v>
      </c>
      <c r="C3100" s="3" t="inlineStr">
        <is>
          <t>Assets</t>
        </is>
      </c>
      <c r="D3100" s="3" t="inlineStr">
        <is>
          <t>7620/650</t>
        </is>
      </c>
      <c r="E3100" s="3" t="inlineStr">
        <is>
          <t>HF CIP Electrical</t>
        </is>
      </c>
      <c r="F3100" s="3" t="n">
        <v>0</v>
      </c>
      <c r="G3100" s="3" t="n">
        <v>985049.6800000001</v>
      </c>
    </row>
    <row r="3101">
      <c r="A3101" s="3" t="inlineStr">
        <is>
          <t>Heron View (Pty) Ltd</t>
        </is>
      </c>
      <c r="B3101" s="4" t="n">
        <v>45016</v>
      </c>
      <c r="C3101" s="3" t="inlineStr">
        <is>
          <t>Assets</t>
        </is>
      </c>
      <c r="D3101" s="3" t="inlineStr">
        <is>
          <t>7620/660</t>
        </is>
      </c>
      <c r="E3101" s="3" t="inlineStr">
        <is>
          <t>HV CIP Health &amp; Safety</t>
        </is>
      </c>
      <c r="F3101" s="3" t="n">
        <v>1400</v>
      </c>
      <c r="G3101" s="3" t="n">
        <v>16000</v>
      </c>
    </row>
    <row r="3102">
      <c r="A3102" s="3" t="inlineStr">
        <is>
          <t>Heron View (Pty) Ltd</t>
        </is>
      </c>
      <c r="B3102" s="4" t="n">
        <v>45016</v>
      </c>
      <c r="C3102" s="3" t="inlineStr">
        <is>
          <t>Assets</t>
        </is>
      </c>
      <c r="D3102" s="3" t="inlineStr">
        <is>
          <t>7620/670</t>
        </is>
      </c>
      <c r="E3102" s="3" t="inlineStr">
        <is>
          <t>HV CIP - Project costs CPSD</t>
        </is>
      </c>
      <c r="F3102" s="3" t="n">
        <v>0</v>
      </c>
      <c r="G3102" s="3" t="n">
        <v>684782.6</v>
      </c>
    </row>
    <row r="3103">
      <c r="A3103" s="3" t="inlineStr">
        <is>
          <t>Heron View (Pty) Ltd</t>
        </is>
      </c>
      <c r="B3103" s="4" t="n">
        <v>45016</v>
      </c>
      <c r="C3103" s="3" t="inlineStr">
        <is>
          <t>Assets</t>
        </is>
      </c>
      <c r="D3103" s="3" t="inlineStr">
        <is>
          <t>7620/680</t>
        </is>
      </c>
      <c r="E3103" s="3" t="inlineStr">
        <is>
          <t>HV CIP Elextrical</t>
        </is>
      </c>
      <c r="F3103" s="3" t="n">
        <v>0</v>
      </c>
      <c r="G3103" s="3" t="n">
        <v>870391.34</v>
      </c>
    </row>
    <row r="3104">
      <c r="A3104" s="3" t="inlineStr">
        <is>
          <t>Heron View (Pty) Ltd</t>
        </is>
      </c>
      <c r="B3104" s="4" t="n">
        <v>45016</v>
      </c>
      <c r="C3104" s="3" t="inlineStr">
        <is>
          <t>Assets</t>
        </is>
      </c>
      <c r="D3104" s="3" t="inlineStr">
        <is>
          <t>7620/690</t>
        </is>
      </c>
      <c r="E3104" s="3" t="inlineStr">
        <is>
          <t>HV CIP Site Establishment</t>
        </is>
      </c>
      <c r="F3104" s="3" t="n">
        <v>7088516</v>
      </c>
      <c r="G3104" s="3" t="n">
        <v>7129170.63</v>
      </c>
    </row>
    <row r="3105">
      <c r="A3105" s="3" t="inlineStr">
        <is>
          <t>Heron Fields (Pty) Ltd</t>
        </is>
      </c>
      <c r="B3105" s="4" t="n">
        <v>45016</v>
      </c>
      <c r="C3105" s="3" t="inlineStr">
        <is>
          <t>Assets</t>
        </is>
      </c>
      <c r="D3105" s="3" t="inlineStr">
        <is>
          <t>7620/750</t>
        </is>
      </c>
      <c r="E3105" s="3" t="inlineStr">
        <is>
          <t>HF CIP Project costs CPSD</t>
        </is>
      </c>
      <c r="F3105" s="3" t="n">
        <v>252445.03</v>
      </c>
      <c r="G3105" s="3" t="n">
        <v>1502445.03</v>
      </c>
    </row>
    <row r="3106">
      <c r="A3106" s="3" t="inlineStr">
        <is>
          <t>Heron Fields (Pty) Ltd</t>
        </is>
      </c>
      <c r="B3106" s="4" t="n">
        <v>45016</v>
      </c>
      <c r="C3106" s="3" t="inlineStr">
        <is>
          <t>Assets</t>
        </is>
      </c>
      <c r="D3106" s="3" t="inlineStr">
        <is>
          <t>7620/800</t>
        </is>
      </c>
      <c r="E3106" s="3" t="inlineStr">
        <is>
          <t>HF CIP GL Conradie</t>
        </is>
      </c>
      <c r="F3106" s="3" t="n">
        <v>1068455</v>
      </c>
      <c r="G3106" s="3" t="n">
        <v>1068455</v>
      </c>
    </row>
    <row r="3107">
      <c r="A3107" s="3" t="inlineStr">
        <is>
          <t>Heron Fields (Pty) Ltd</t>
        </is>
      </c>
      <c r="B3107" s="4" t="n">
        <v>45016</v>
      </c>
      <c r="C3107" s="3" t="inlineStr">
        <is>
          <t>Assets</t>
        </is>
      </c>
      <c r="D3107" s="3" t="inlineStr">
        <is>
          <t>7700/010</t>
        </is>
      </c>
      <c r="E3107" s="3" t="inlineStr">
        <is>
          <t>Construction 28 Feb 23 HF</t>
        </is>
      </c>
      <c r="F3107" s="3" t="n">
        <v>0</v>
      </c>
      <c r="G3107" s="3" t="n">
        <v>-24427668.44</v>
      </c>
    </row>
    <row r="3108">
      <c r="A3108" s="3" t="inlineStr">
        <is>
          <t>Cape Projects Construction (Pty) Ltd</t>
        </is>
      </c>
      <c r="B3108" s="4" t="n">
        <v>45016</v>
      </c>
      <c r="C3108" s="3" t="inlineStr">
        <is>
          <t>Assets</t>
        </is>
      </c>
      <c r="D3108" s="3" t="inlineStr">
        <is>
          <t>7800/000</t>
        </is>
      </c>
      <c r="E3108" s="3" t="inlineStr">
        <is>
          <t>Deposits paid</t>
        </is>
      </c>
      <c r="F3108" s="3" t="n">
        <v>0</v>
      </c>
      <c r="G3108" s="3" t="n">
        <v>29600</v>
      </c>
    </row>
    <row r="3109">
      <c r="A3109" s="3" t="inlineStr">
        <is>
          <t>Cape Projects Construction (Pty) Ltd</t>
        </is>
      </c>
      <c r="B3109" s="4" t="n">
        <v>45016</v>
      </c>
      <c r="C3109" s="3" t="inlineStr">
        <is>
          <t>Assets</t>
        </is>
      </c>
      <c r="D3109" s="3" t="inlineStr">
        <is>
          <t>8000/000</t>
        </is>
      </c>
      <c r="E3109" s="3" t="inlineStr">
        <is>
          <t>Customer Control Account</t>
        </is>
      </c>
      <c r="F3109" s="3" t="n">
        <v>-2352790.43</v>
      </c>
      <c r="G3109" s="3" t="n">
        <v>-2679589.84</v>
      </c>
    </row>
    <row r="3110">
      <c r="A3110" s="3" t="inlineStr">
        <is>
          <t>Heron Fields (Pty) Ltd</t>
        </is>
      </c>
      <c r="B3110" s="4" t="n">
        <v>45016</v>
      </c>
      <c r="C3110" s="3" t="inlineStr">
        <is>
          <t>Assets</t>
        </is>
      </c>
      <c r="D3110" s="3" t="inlineStr">
        <is>
          <t>8000/000</t>
        </is>
      </c>
      <c r="E3110" s="3" t="inlineStr">
        <is>
          <t>Customer Control Account</t>
        </is>
      </c>
      <c r="F3110" s="3" t="n">
        <v>-430076.47</v>
      </c>
      <c r="G3110" s="3" t="n">
        <v>462961.97</v>
      </c>
    </row>
    <row r="3111">
      <c r="A3111" s="3" t="inlineStr">
        <is>
          <t>Cape Projects Construction (Pty) Ltd</t>
        </is>
      </c>
      <c r="B3111" s="4" t="n">
        <v>45016</v>
      </c>
      <c r="C3111" s="3" t="inlineStr">
        <is>
          <t>Assets</t>
        </is>
      </c>
      <c r="D3111" s="3" t="inlineStr">
        <is>
          <t>8200/010</t>
        </is>
      </c>
      <c r="E3111" s="3" t="inlineStr">
        <is>
          <t>Prepayments / Prepaid Expenses</t>
        </is>
      </c>
      <c r="F3111" s="3" t="n">
        <v>-2719.43</v>
      </c>
      <c r="G3111" s="3" t="n">
        <v>0</v>
      </c>
    </row>
    <row r="3112">
      <c r="A3112" s="3" t="inlineStr">
        <is>
          <t>Cape Projects Construction (Pty) Ltd</t>
        </is>
      </c>
      <c r="B3112" s="4" t="n">
        <v>45016</v>
      </c>
      <c r="C3112" s="3" t="inlineStr">
        <is>
          <t>Assets</t>
        </is>
      </c>
      <c r="D3112" s="3" t="inlineStr">
        <is>
          <t>8300/000</t>
        </is>
      </c>
      <c r="E3112" s="3" t="inlineStr">
        <is>
          <t>FNB Credit Card 8812 7100 446 6006</t>
        </is>
      </c>
      <c r="F3112" s="3" t="n">
        <v>69</v>
      </c>
      <c r="G3112" s="3" t="n">
        <v>69</v>
      </c>
    </row>
    <row r="3113">
      <c r="A3113" s="3" t="inlineStr">
        <is>
          <t>Heron Fields (Pty) Ltd</t>
        </is>
      </c>
      <c r="B3113" s="4" t="n">
        <v>45016</v>
      </c>
      <c r="C3113" s="3" t="inlineStr">
        <is>
          <t>Assets</t>
        </is>
      </c>
      <c r="D3113" s="3" t="inlineStr">
        <is>
          <t>8400/000</t>
        </is>
      </c>
      <c r="E3113" s="3" t="inlineStr">
        <is>
          <t>RMB - 62882379087</t>
        </is>
      </c>
      <c r="F3113" s="3" t="n">
        <v>2572526.68</v>
      </c>
      <c r="G3113" s="3" t="n">
        <v>3903667.89</v>
      </c>
    </row>
    <row r="3114">
      <c r="A3114" s="3" t="inlineStr">
        <is>
          <t>Cape Projects Construction (Pty) Ltd</t>
        </is>
      </c>
      <c r="B3114" s="4" t="n">
        <v>45016</v>
      </c>
      <c r="C3114" s="3" t="inlineStr">
        <is>
          <t>Assets</t>
        </is>
      </c>
      <c r="D3114" s="3" t="inlineStr">
        <is>
          <t>8400/000</t>
        </is>
      </c>
      <c r="E3114" s="3" t="inlineStr">
        <is>
          <t>RMB 62275138470</t>
        </is>
      </c>
      <c r="F3114" s="3" t="n">
        <v>1182837.93</v>
      </c>
      <c r="G3114" s="3" t="n">
        <v>1223678.06</v>
      </c>
    </row>
    <row r="3115">
      <c r="A3115" s="3" t="inlineStr">
        <is>
          <t>Cape Projects Construction (Pty) Ltd</t>
        </is>
      </c>
      <c r="B3115" s="4" t="n">
        <v>45016</v>
      </c>
      <c r="C3115" s="3" t="inlineStr">
        <is>
          <t>Assets</t>
        </is>
      </c>
      <c r="D3115" s="3" t="inlineStr">
        <is>
          <t>8420/000</t>
        </is>
      </c>
      <c r="E3115" s="3" t="inlineStr">
        <is>
          <t>Momentum Priv Acc RU502230981</t>
        </is>
      </c>
      <c r="F3115" s="3" t="n">
        <v>6.81</v>
      </c>
      <c r="G3115" s="3" t="n">
        <v>544.13</v>
      </c>
    </row>
    <row r="3116">
      <c r="A3116" s="3" t="inlineStr">
        <is>
          <t>Heron Fields (Pty) Ltd</t>
        </is>
      </c>
      <c r="B3116" s="4" t="n">
        <v>45016</v>
      </c>
      <c r="C3116" s="3" t="inlineStr">
        <is>
          <t>Assets</t>
        </is>
      </c>
      <c r="D3116" s="3" t="inlineStr">
        <is>
          <t>8430/000</t>
        </is>
      </c>
      <c r="E3116" s="3" t="inlineStr">
        <is>
          <t>Momentum Private Account RU502230151</t>
        </is>
      </c>
      <c r="F3116" s="3" t="n">
        <v>5.19</v>
      </c>
      <c r="G3116" s="3" t="n">
        <v>832.91</v>
      </c>
    </row>
    <row r="3117">
      <c r="A3117" s="3" t="inlineStr">
        <is>
          <t>Heron Fields (Pty) Ltd</t>
        </is>
      </c>
      <c r="B3117" s="4" t="n">
        <v>45016</v>
      </c>
      <c r="C3117" s="3" t="inlineStr">
        <is>
          <t>Assets</t>
        </is>
      </c>
      <c r="D3117" s="3" t="inlineStr">
        <is>
          <t>8440/000</t>
        </is>
      </c>
      <c r="E3117" s="3" t="inlineStr">
        <is>
          <t>Momentum Investors Account RU502229930</t>
        </is>
      </c>
      <c r="F3117" s="3" t="n">
        <v>-6675260.94</v>
      </c>
      <c r="G3117" s="3" t="n">
        <v>19941025.56</v>
      </c>
    </row>
    <row r="3118">
      <c r="A3118" s="3" t="inlineStr">
        <is>
          <t>Cape Projects Construction (Pty) Ltd</t>
        </is>
      </c>
      <c r="B3118" s="4" t="n">
        <v>45016</v>
      </c>
      <c r="C3118" s="3" t="inlineStr">
        <is>
          <t>Liabilities</t>
        </is>
      </c>
      <c r="D3118" s="3" t="inlineStr">
        <is>
          <t>860</t>
        </is>
      </c>
      <c r="E3118" s="3" t="inlineStr">
        <is>
          <t>Rounding</t>
        </is>
      </c>
      <c r="F3118" s="3" t="n">
        <v>-0.39</v>
      </c>
      <c r="G3118" s="3" t="n">
        <v>-0.39</v>
      </c>
    </row>
    <row r="3119">
      <c r="A3119" s="3" t="inlineStr">
        <is>
          <t>Heron Fields (Pty) Ltd</t>
        </is>
      </c>
      <c r="B3119" s="4" t="n">
        <v>45016</v>
      </c>
      <c r="C3119" s="3" t="inlineStr">
        <is>
          <t>Liabilities</t>
        </is>
      </c>
      <c r="D3119" s="3" t="inlineStr">
        <is>
          <t>860</t>
        </is>
      </c>
      <c r="E3119" s="3" t="inlineStr">
        <is>
          <t>Rounding</t>
        </is>
      </c>
      <c r="F3119" s="3" t="n">
        <v>0</v>
      </c>
      <c r="G3119" s="3" t="n">
        <v>0.03</v>
      </c>
    </row>
    <row r="3120">
      <c r="A3120" s="3" t="inlineStr">
        <is>
          <t>Cape Projects Construction (Pty) Ltd</t>
        </is>
      </c>
      <c r="B3120" s="4" t="n">
        <v>45016</v>
      </c>
      <c r="C3120" s="3" t="inlineStr">
        <is>
          <t>Liabilities</t>
        </is>
      </c>
      <c r="D3120" s="3" t="inlineStr">
        <is>
          <t>9000/000</t>
        </is>
      </c>
      <c r="E3120" s="3" t="inlineStr">
        <is>
          <t>Supplier Control Account</t>
        </is>
      </c>
      <c r="F3120" s="3" t="n">
        <v>-92016.37</v>
      </c>
      <c r="G3120" s="3" t="n">
        <v>-2397744.29</v>
      </c>
    </row>
    <row r="3121">
      <c r="A3121" s="3" t="inlineStr">
        <is>
          <t>Heron Fields (Pty) Ltd</t>
        </is>
      </c>
      <c r="B3121" s="4" t="n">
        <v>45016</v>
      </c>
      <c r="C3121" s="3" t="inlineStr">
        <is>
          <t>Liabilities</t>
        </is>
      </c>
      <c r="D3121" s="3" t="inlineStr">
        <is>
          <t>9000/000</t>
        </is>
      </c>
      <c r="E3121" s="3" t="inlineStr">
        <is>
          <t>Supplier Control Account</t>
        </is>
      </c>
      <c r="F3121" s="3" t="n">
        <v>-2546667.52</v>
      </c>
      <c r="G3121" s="3" t="n">
        <v>-118690343.8</v>
      </c>
    </row>
    <row r="3122">
      <c r="A3122" s="3" t="inlineStr">
        <is>
          <t>Heron View (Pty) Ltd</t>
        </is>
      </c>
      <c r="B3122" s="4" t="n">
        <v>45016</v>
      </c>
      <c r="C3122" s="3" t="inlineStr">
        <is>
          <t>Liabilities</t>
        </is>
      </c>
      <c r="D3122" s="3" t="inlineStr">
        <is>
          <t>9000/000</t>
        </is>
      </c>
      <c r="E3122" s="3" t="inlineStr">
        <is>
          <t>Supplier Control Account</t>
        </is>
      </c>
      <c r="F3122" s="3" t="n">
        <v>-2379015.67</v>
      </c>
      <c r="G3122" s="3" t="n">
        <v>-3229411.84</v>
      </c>
    </row>
    <row r="3123">
      <c r="A3123" s="3" t="inlineStr">
        <is>
          <t>Cape Projects Construction (Pty) Ltd</t>
        </is>
      </c>
      <c r="B3123" s="4" t="n">
        <v>45016</v>
      </c>
      <c r="C3123" s="3" t="inlineStr">
        <is>
          <t>Liabilities</t>
        </is>
      </c>
      <c r="D3123" s="3" t="inlineStr">
        <is>
          <t>9250/020</t>
        </is>
      </c>
      <c r="E3123" s="3" t="inlineStr">
        <is>
          <t>PAYE, UIF AND SDL CONTROL</t>
        </is>
      </c>
      <c r="F3123" s="3" t="n">
        <v>-17744.8</v>
      </c>
      <c r="G3123" s="3" t="n">
        <v>-83403.75</v>
      </c>
    </row>
    <row r="3124">
      <c r="A3124" s="3" t="inlineStr">
        <is>
          <t>Cape Projects Construction (Pty) Ltd</t>
        </is>
      </c>
      <c r="B3124" s="4" t="n">
        <v>45016</v>
      </c>
      <c r="C3124" s="3" t="inlineStr">
        <is>
          <t>Liabilities</t>
        </is>
      </c>
      <c r="D3124" s="3" t="inlineStr">
        <is>
          <t>9250/030</t>
        </is>
      </c>
      <c r="E3124" s="3" t="inlineStr">
        <is>
          <t>BIBC CONTROL</t>
        </is>
      </c>
      <c r="F3124" s="3" t="n">
        <v>-6809.25</v>
      </c>
      <c r="G3124" s="3" t="n">
        <v>-38585.75</v>
      </c>
    </row>
    <row r="3125">
      <c r="A3125" s="3" t="inlineStr">
        <is>
          <t>Cape Projects Construction (Pty) Ltd</t>
        </is>
      </c>
      <c r="B3125" s="4" t="n">
        <v>45016</v>
      </c>
      <c r="C3125" s="3" t="inlineStr">
        <is>
          <t>Liabilities</t>
        </is>
      </c>
      <c r="D3125" s="3" t="inlineStr">
        <is>
          <t>9500/000</t>
        </is>
      </c>
      <c r="E3125" s="3" t="inlineStr">
        <is>
          <t>VAT Control Account</t>
        </is>
      </c>
      <c r="F3125" s="3" t="n">
        <v>-83931.16</v>
      </c>
      <c r="G3125" s="3" t="n">
        <v>-272896.64</v>
      </c>
    </row>
    <row r="3126">
      <c r="A3126" s="3" t="inlineStr">
        <is>
          <t>Heron Fields (Pty) Ltd</t>
        </is>
      </c>
      <c r="B3126" s="4" t="n">
        <v>45016</v>
      </c>
      <c r="C3126" s="3" t="inlineStr">
        <is>
          <t>Liabilities</t>
        </is>
      </c>
      <c r="D3126" s="3" t="inlineStr">
        <is>
          <t>9500/000</t>
        </is>
      </c>
      <c r="E3126" s="3" t="inlineStr">
        <is>
          <t>Vat / Tax Control Account</t>
        </is>
      </c>
      <c r="F3126" s="3" t="n">
        <v>186598.85</v>
      </c>
      <c r="G3126" s="3" t="n">
        <v>-2540941.56</v>
      </c>
    </row>
    <row r="3127">
      <c r="A3127" s="3" t="inlineStr">
        <is>
          <t>Heron View (Pty) Ltd</t>
        </is>
      </c>
      <c r="B3127" s="4" t="n">
        <v>45016</v>
      </c>
      <c r="C3127" s="3" t="inlineStr">
        <is>
          <t>Liabilities</t>
        </is>
      </c>
      <c r="D3127" s="3" t="inlineStr">
        <is>
          <t>9500/000</t>
        </is>
      </c>
      <c r="E3127" s="3" t="inlineStr">
        <is>
          <t>Vat / Tax Control Account</t>
        </is>
      </c>
      <c r="F3127" s="3" t="n">
        <v>1451806.66</v>
      </c>
      <c r="G3127" s="3" t="n">
        <v>2869552.14</v>
      </c>
    </row>
    <row r="3128">
      <c r="A3128" s="3" t="inlineStr">
        <is>
          <t>Heron Fields (Pty) Ltd</t>
        </is>
      </c>
      <c r="B3128" s="4" t="n">
        <v>45016</v>
      </c>
      <c r="C3128" s="3" t="inlineStr">
        <is>
          <t>Liabilities</t>
        </is>
      </c>
      <c r="D3128" s="3" t="inlineStr">
        <is>
          <t>9520/000</t>
        </is>
      </c>
      <c r="E3128" s="3" t="inlineStr">
        <is>
          <t>Income Tax Payable</t>
        </is>
      </c>
      <c r="F3128" s="3" t="n">
        <v>0</v>
      </c>
      <c r="G3128" s="3" t="n">
        <v>59039.93</v>
      </c>
    </row>
    <row r="3129">
      <c r="A3129" s="3" t="inlineStr">
        <is>
          <t>Heron Fields (Pty) Ltd</t>
        </is>
      </c>
      <c r="B3129" s="4" t="n">
        <v>45016</v>
      </c>
      <c r="C3129" s="3" t="inlineStr">
        <is>
          <t>Liabilities</t>
        </is>
      </c>
      <c r="D3129" s="3" t="inlineStr">
        <is>
          <t>9899/B208</t>
        </is>
      </c>
      <c r="E3129" s="3" t="inlineStr">
        <is>
          <t>Sales - Unit Reg Control B208</t>
        </is>
      </c>
      <c r="F3129" s="3" t="n">
        <v>1209624.06</v>
      </c>
      <c r="G3129" s="3" t="n">
        <v>1209624.06</v>
      </c>
    </row>
    <row r="3130">
      <c r="A3130" s="3" t="inlineStr">
        <is>
          <t>Cape Projects Construction (Pty) Ltd</t>
        </is>
      </c>
      <c r="B3130" s="4" t="n">
        <v>45016</v>
      </c>
      <c r="C3130" s="3" t="inlineStr">
        <is>
          <t>Liabilities</t>
        </is>
      </c>
      <c r="D3130" s="3" t="inlineStr">
        <is>
          <t>B/S</t>
        </is>
      </c>
      <c r="E3130" s="3" t="inlineStr">
        <is>
          <t>Taxation Payable</t>
        </is>
      </c>
      <c r="F3130" s="3" t="n">
        <v>0</v>
      </c>
      <c r="G3130" s="3" t="n">
        <v>28029.81</v>
      </c>
    </row>
    <row r="3131">
      <c r="A3131" s="3" t="inlineStr">
        <is>
          <t>Cape Projects Construction (Pty) Ltd</t>
        </is>
      </c>
      <c r="B3131" s="4" t="n">
        <v>45016</v>
      </c>
      <c r="C3131" s="3" t="inlineStr">
        <is>
          <t>Liabilities</t>
        </is>
      </c>
      <c r="D3131" s="3" t="inlineStr">
        <is>
          <t>TEMP/ACC</t>
        </is>
      </c>
      <c r="E3131" s="3" t="inlineStr">
        <is>
          <t>Conversion Account</t>
        </is>
      </c>
      <c r="F3131" s="3" t="n">
        <v>0</v>
      </c>
      <c r="G3131" s="3" t="n">
        <v>-254.99</v>
      </c>
    </row>
    <row r="3132">
      <c r="A3132" s="3" t="inlineStr">
        <is>
          <t>Heron Fields (Pty) Ltd</t>
        </is>
      </c>
      <c r="B3132" s="4" t="n">
        <v>45046</v>
      </c>
      <c r="C3132" s="3" t="inlineStr">
        <is>
          <t>Revenue</t>
        </is>
      </c>
      <c r="D3132" s="3" t="inlineStr">
        <is>
          <t>1000/100</t>
        </is>
      </c>
      <c r="E3132" s="3" t="inlineStr">
        <is>
          <t>Sales - Heron Fields</t>
        </is>
      </c>
      <c r="F3132" s="3" t="n">
        <v>-10308000</v>
      </c>
      <c r="G3132" s="3" t="n">
        <v>-19505652.18</v>
      </c>
    </row>
    <row r="3133">
      <c r="A3133" s="3" t="inlineStr">
        <is>
          <t>Heron Fields (Pty) Ltd</t>
        </is>
      </c>
      <c r="B3133" s="4" t="n">
        <v>45046</v>
      </c>
      <c r="C3133" s="3" t="inlineStr">
        <is>
          <t>Revenue</t>
        </is>
      </c>
      <c r="D3133" s="3" t="inlineStr">
        <is>
          <t>1000/101</t>
        </is>
      </c>
      <c r="E3133" s="3" t="inlineStr">
        <is>
          <t>Sales - Heron Fields occupational rent</t>
        </is>
      </c>
      <c r="F3133" s="3" t="n">
        <v>-18450</v>
      </c>
      <c r="G3133" s="3" t="n">
        <v>-29314.06</v>
      </c>
    </row>
    <row r="3134">
      <c r="A3134" s="3" t="inlineStr">
        <is>
          <t>Cape Projects Construction (Pty) Ltd</t>
        </is>
      </c>
      <c r="B3134" s="4" t="n">
        <v>45046</v>
      </c>
      <c r="C3134" s="3" t="inlineStr">
        <is>
          <t>Revenue</t>
        </is>
      </c>
      <c r="D3134" s="3" t="inlineStr">
        <is>
          <t>1040/100</t>
        </is>
      </c>
      <c r="E3134" s="3" t="inlineStr">
        <is>
          <t>Fees - Construction - Heron</t>
        </is>
      </c>
      <c r="F3134" s="3" t="n">
        <v>-3945193.47</v>
      </c>
      <c r="G3134" s="3" t="n">
        <v>-8197817.59</v>
      </c>
    </row>
    <row r="3135">
      <c r="A3135" s="3" t="inlineStr">
        <is>
          <t>Heron Fields (Pty) Ltd</t>
        </is>
      </c>
      <c r="B3135" s="4" t="n">
        <v>45046</v>
      </c>
      <c r="C3135" s="3" t="inlineStr">
        <is>
          <t>Expenses</t>
        </is>
      </c>
      <c r="D3135" s="3" t="inlineStr">
        <is>
          <t>2000/040</t>
        </is>
      </c>
      <c r="E3135" s="3" t="inlineStr">
        <is>
          <t>COS - Legal Fees</t>
        </is>
      </c>
      <c r="F3135" s="3" t="n">
        <v>230143.86</v>
      </c>
      <c r="G3135" s="3" t="n">
        <v>424002.22</v>
      </c>
    </row>
    <row r="3136">
      <c r="A3136" s="3" t="inlineStr">
        <is>
          <t>Heron Fields (Pty) Ltd</t>
        </is>
      </c>
      <c r="B3136" s="4" t="n">
        <v>45046</v>
      </c>
      <c r="C3136" s="3" t="inlineStr">
        <is>
          <t>Expenses</t>
        </is>
      </c>
      <c r="D3136" s="3" t="inlineStr">
        <is>
          <t>2000/050</t>
        </is>
      </c>
      <c r="E3136" s="3" t="inlineStr">
        <is>
          <t>COS - Rates clearance</t>
        </is>
      </c>
      <c r="F3136" s="3" t="n">
        <v>11528.93</v>
      </c>
      <c r="G3136" s="3" t="n">
        <v>11528.93</v>
      </c>
    </row>
    <row r="3137">
      <c r="A3137" s="3" t="inlineStr">
        <is>
          <t>Heron Fields (Pty) Ltd</t>
        </is>
      </c>
      <c r="B3137" s="4" t="n">
        <v>45046</v>
      </c>
      <c r="C3137" s="3" t="inlineStr">
        <is>
          <t>Expenses</t>
        </is>
      </c>
      <c r="D3137" s="3" t="inlineStr">
        <is>
          <t>2000/070</t>
        </is>
      </c>
      <c r="E3137" s="3" t="inlineStr">
        <is>
          <t>COS - Commission HF Units</t>
        </is>
      </c>
      <c r="F3137" s="3" t="n">
        <v>448882.61</v>
      </c>
      <c r="G3137" s="3" t="n">
        <v>914286.95</v>
      </c>
    </row>
    <row r="3138">
      <c r="A3138" s="3" t="inlineStr">
        <is>
          <t>Heron Fields (Pty) Ltd</t>
        </is>
      </c>
      <c r="B3138" s="4" t="n">
        <v>45046</v>
      </c>
      <c r="C3138" s="3" t="inlineStr">
        <is>
          <t>Expenses</t>
        </is>
      </c>
      <c r="D3138" s="3" t="inlineStr">
        <is>
          <t>2000/090</t>
        </is>
      </c>
      <c r="E3138" s="3" t="inlineStr">
        <is>
          <t>COS - Electricity</t>
        </is>
      </c>
      <c r="F3138" s="3" t="n">
        <v>-500</v>
      </c>
      <c r="G3138" s="3" t="n">
        <v>250</v>
      </c>
    </row>
    <row r="3139">
      <c r="A3139" s="3" t="inlineStr">
        <is>
          <t>Cape Projects Construction (Pty) Ltd</t>
        </is>
      </c>
      <c r="B3139" s="4" t="n">
        <v>45046</v>
      </c>
      <c r="C3139" s="3" t="inlineStr">
        <is>
          <t>Expenses</t>
        </is>
      </c>
      <c r="D3139" s="3" t="inlineStr">
        <is>
          <t>2000/500</t>
        </is>
      </c>
      <c r="E3139" s="3" t="inlineStr">
        <is>
          <t>COS - Electricity Cost Endulini</t>
        </is>
      </c>
      <c r="F3139" s="3" t="n">
        <v>0</v>
      </c>
      <c r="G3139" s="3" t="n">
        <v>200</v>
      </c>
    </row>
    <row r="3140">
      <c r="A3140" s="3" t="inlineStr">
        <is>
          <t>Cape Projects Construction (Pty) Ltd</t>
        </is>
      </c>
      <c r="B3140" s="4" t="n">
        <v>45046</v>
      </c>
      <c r="C3140" s="3" t="inlineStr">
        <is>
          <t>Expenses</t>
        </is>
      </c>
      <c r="D3140" s="3" t="inlineStr">
        <is>
          <t>2001/000</t>
        </is>
      </c>
      <c r="E3140" s="3" t="inlineStr">
        <is>
          <t>Cost of Sales - SouthWark Project</t>
        </is>
      </c>
      <c r="F3140" s="3" t="n">
        <v>486.95</v>
      </c>
      <c r="G3140" s="3" t="n">
        <v>486.95</v>
      </c>
    </row>
    <row r="3141">
      <c r="A3141" s="3" t="inlineStr">
        <is>
          <t>Cape Projects Construction (Pty) Ltd</t>
        </is>
      </c>
      <c r="B3141" s="4" t="n">
        <v>45046</v>
      </c>
      <c r="C3141" s="3" t="inlineStr">
        <is>
          <t>Expenses</t>
        </is>
      </c>
      <c r="D3141" s="3" t="inlineStr">
        <is>
          <t>2006/000</t>
        </is>
      </c>
      <c r="E3141" s="3" t="inlineStr">
        <is>
          <t>COS - Endulini Construction</t>
        </is>
      </c>
      <c r="F3141" s="3" t="n">
        <v>1344.32</v>
      </c>
      <c r="G3141" s="3" t="n">
        <v>193005.79</v>
      </c>
    </row>
    <row r="3142">
      <c r="A3142" s="3" t="inlineStr">
        <is>
          <t>Cape Projects Construction (Pty) Ltd</t>
        </is>
      </c>
      <c r="B3142" s="4" t="n">
        <v>45046</v>
      </c>
      <c r="C3142" s="3" t="inlineStr">
        <is>
          <t>Expenses</t>
        </is>
      </c>
      <c r="D3142" s="3" t="inlineStr">
        <is>
          <t>2006/100</t>
        </is>
      </c>
      <c r="E3142" s="3" t="inlineStr">
        <is>
          <t>COS - Endulini P and G</t>
        </is>
      </c>
      <c r="F3142" s="3" t="n">
        <v>1250.39</v>
      </c>
      <c r="G3142" s="3" t="n">
        <v>25795.54</v>
      </c>
    </row>
    <row r="3143">
      <c r="A3143" s="3" t="inlineStr">
        <is>
          <t>Cape Projects Construction (Pty) Ltd</t>
        </is>
      </c>
      <c r="B3143" s="4" t="n">
        <v>45046</v>
      </c>
      <c r="C3143" s="3" t="inlineStr">
        <is>
          <t>Expenses</t>
        </is>
      </c>
      <c r="D3143" s="3" t="inlineStr">
        <is>
          <t>2006/200</t>
        </is>
      </c>
      <c r="E3143" s="3" t="inlineStr">
        <is>
          <t>COS - Insurance</t>
        </is>
      </c>
      <c r="F3143" s="3" t="n">
        <v>0</v>
      </c>
      <c r="G3143" s="3" t="n">
        <v>2719.43</v>
      </c>
    </row>
    <row r="3144">
      <c r="A3144" s="3" t="inlineStr">
        <is>
          <t>Cape Projects Construction (Pty) Ltd</t>
        </is>
      </c>
      <c r="B3144" s="4" t="n">
        <v>45046</v>
      </c>
      <c r="C3144" s="3" t="inlineStr">
        <is>
          <t>Expenses</t>
        </is>
      </c>
      <c r="D3144" s="3" t="inlineStr">
        <is>
          <t>2006/800</t>
        </is>
      </c>
      <c r="E3144" s="3" t="inlineStr">
        <is>
          <t>COS - Endulini - Telephone &amp; Internet</t>
        </is>
      </c>
      <c r="F3144" s="3" t="n">
        <v>0</v>
      </c>
      <c r="G3144" s="3" t="n">
        <v>760.87</v>
      </c>
    </row>
    <row r="3145">
      <c r="A3145" s="3" t="inlineStr">
        <is>
          <t>Cape Projects Construction (Pty) Ltd</t>
        </is>
      </c>
      <c r="B3145" s="4" t="n">
        <v>45046</v>
      </c>
      <c r="C3145" s="3" t="inlineStr">
        <is>
          <t>Expenses</t>
        </is>
      </c>
      <c r="D3145" s="3" t="inlineStr">
        <is>
          <t>2011/500</t>
        </is>
      </c>
      <c r="E3145" s="3" t="inlineStr">
        <is>
          <t>COS - Heron Fields - Construction</t>
        </is>
      </c>
      <c r="F3145" s="3" t="n">
        <v>84649.57000000001</v>
      </c>
      <c r="G3145" s="3" t="n">
        <v>861298.98</v>
      </c>
    </row>
    <row r="3146">
      <c r="A3146" s="3" t="inlineStr">
        <is>
          <t>Cape Projects Construction (Pty) Ltd</t>
        </is>
      </c>
      <c r="B3146" s="4" t="n">
        <v>45046</v>
      </c>
      <c r="C3146" s="3" t="inlineStr">
        <is>
          <t>Expenses</t>
        </is>
      </c>
      <c r="D3146" s="3" t="inlineStr">
        <is>
          <t>2011/600</t>
        </is>
      </c>
      <c r="E3146" s="3" t="inlineStr">
        <is>
          <t>COS - Heron Fields - P &amp; G</t>
        </is>
      </c>
      <c r="F3146" s="3" t="n">
        <v>53004.4</v>
      </c>
      <c r="G3146" s="3" t="n">
        <v>112162.03</v>
      </c>
    </row>
    <row r="3147">
      <c r="A3147" s="3" t="inlineStr">
        <is>
          <t>Cape Projects Construction (Pty) Ltd</t>
        </is>
      </c>
      <c r="B3147" s="4" t="n">
        <v>45046</v>
      </c>
      <c r="C3147" s="3" t="inlineStr">
        <is>
          <t>Expenses</t>
        </is>
      </c>
      <c r="D3147" s="3" t="inlineStr">
        <is>
          <t>2011/700</t>
        </is>
      </c>
      <c r="E3147" s="3" t="inlineStr">
        <is>
          <t>COS - Heron Fields - Health &amp; Safety</t>
        </is>
      </c>
      <c r="F3147" s="3" t="n">
        <v>694.78</v>
      </c>
      <c r="G3147" s="3" t="n">
        <v>694.78</v>
      </c>
    </row>
    <row r="3148">
      <c r="A3148" s="3" t="inlineStr">
        <is>
          <t>Cape Projects Construction (Pty) Ltd</t>
        </is>
      </c>
      <c r="B3148" s="4" t="n">
        <v>45046</v>
      </c>
      <c r="C3148" s="3" t="inlineStr">
        <is>
          <t>Expenses</t>
        </is>
      </c>
      <c r="D3148" s="3" t="inlineStr">
        <is>
          <t>2011/900</t>
        </is>
      </c>
      <c r="E3148" s="3" t="inlineStr">
        <is>
          <t>COS - Heron - Internet</t>
        </is>
      </c>
      <c r="F3148" s="3" t="n">
        <v>1189.57</v>
      </c>
      <c r="G3148" s="3" t="n">
        <v>2379.14</v>
      </c>
    </row>
    <row r="3149">
      <c r="A3149" s="3" t="inlineStr">
        <is>
          <t>Cape Projects Construction (Pty) Ltd</t>
        </is>
      </c>
      <c r="B3149" s="4" t="n">
        <v>45046</v>
      </c>
      <c r="C3149" s="3" t="inlineStr">
        <is>
          <t>Expenses</t>
        </is>
      </c>
      <c r="D3149" s="3" t="inlineStr">
        <is>
          <t>2012/001</t>
        </is>
      </c>
      <c r="E3149" s="3" t="inlineStr">
        <is>
          <t>COS - Heron View - Printing &amp; Stationary</t>
        </is>
      </c>
      <c r="F3149" s="3" t="n">
        <v>78.26000000000001</v>
      </c>
      <c r="G3149" s="3" t="n">
        <v>78.26000000000001</v>
      </c>
    </row>
    <row r="3150">
      <c r="A3150" s="3" t="inlineStr">
        <is>
          <t>Cape Projects Construction (Pty) Ltd</t>
        </is>
      </c>
      <c r="B3150" s="4" t="n">
        <v>45046</v>
      </c>
      <c r="C3150" s="3" t="inlineStr">
        <is>
          <t>Expenses</t>
        </is>
      </c>
      <c r="D3150" s="3" t="inlineStr">
        <is>
          <t>2012/002</t>
        </is>
      </c>
      <c r="E3150" s="3" t="inlineStr">
        <is>
          <t>COS - Heron View - Construction</t>
        </is>
      </c>
      <c r="F3150" s="3" t="n">
        <v>3193925.31</v>
      </c>
      <c r="G3150" s="3" t="n">
        <v>5676980.83</v>
      </c>
    </row>
    <row r="3151">
      <c r="A3151" s="3" t="inlineStr">
        <is>
          <t>Cape Projects Construction (Pty) Ltd</t>
        </is>
      </c>
      <c r="B3151" s="4" t="n">
        <v>45046</v>
      </c>
      <c r="C3151" s="3" t="inlineStr">
        <is>
          <t>Expenses</t>
        </is>
      </c>
      <c r="D3151" s="3" t="inlineStr">
        <is>
          <t>2012/003</t>
        </is>
      </c>
      <c r="E3151" s="3" t="inlineStr">
        <is>
          <t>COS - Heron View - P&amp;G</t>
        </is>
      </c>
      <c r="F3151" s="3" t="n">
        <v>111322.42</v>
      </c>
      <c r="G3151" s="3" t="n">
        <v>374545.6</v>
      </c>
    </row>
    <row r="3152">
      <c r="A3152" s="3" t="inlineStr">
        <is>
          <t>Cape Projects Construction (Pty) Ltd</t>
        </is>
      </c>
      <c r="B3152" s="4" t="n">
        <v>45046</v>
      </c>
      <c r="C3152" s="3" t="inlineStr">
        <is>
          <t>Expenses</t>
        </is>
      </c>
      <c r="D3152" s="3" t="inlineStr">
        <is>
          <t>2013/000</t>
        </is>
      </c>
      <c r="E3152" s="3" t="inlineStr">
        <is>
          <t>COS - Bakhoven</t>
        </is>
      </c>
      <c r="F3152" s="3" t="n">
        <v>0</v>
      </c>
      <c r="G3152" s="3" t="n">
        <v>17292.48</v>
      </c>
    </row>
    <row r="3153">
      <c r="A3153" s="3" t="inlineStr">
        <is>
          <t>Cape Projects Construction (Pty) Ltd</t>
        </is>
      </c>
      <c r="B3153" s="4" t="n">
        <v>45046</v>
      </c>
      <c r="C3153" s="3" t="inlineStr">
        <is>
          <t>Revenue</t>
        </is>
      </c>
      <c r="D3153" s="3" t="inlineStr">
        <is>
          <t>2750/000</t>
        </is>
      </c>
      <c r="E3153" s="3" t="inlineStr">
        <is>
          <t>Interest Received - FNB</t>
        </is>
      </c>
      <c r="F3153" s="3" t="n">
        <v>-175.49</v>
      </c>
      <c r="G3153" s="3" t="n">
        <v>-320.19</v>
      </c>
    </row>
    <row r="3154">
      <c r="A3154" s="3" t="inlineStr">
        <is>
          <t>Cape Projects Construction (Pty) Ltd</t>
        </is>
      </c>
      <c r="B3154" s="4" t="n">
        <v>45046</v>
      </c>
      <c r="C3154" s="3" t="inlineStr">
        <is>
          <t>Revenue</t>
        </is>
      </c>
      <c r="D3154" s="3" t="inlineStr">
        <is>
          <t>2751/001</t>
        </is>
      </c>
      <c r="E3154" s="3" t="inlineStr">
        <is>
          <t>Interest received - Momentum</t>
        </is>
      </c>
      <c r="F3154" s="3" t="n">
        <v>-3.58</v>
      </c>
      <c r="G3154" s="3" t="n">
        <v>-10.39</v>
      </c>
    </row>
    <row r="3155">
      <c r="A3155" s="3" t="inlineStr">
        <is>
          <t>Heron Fields (Pty) Ltd</t>
        </is>
      </c>
      <c r="B3155" s="4" t="n">
        <v>45046</v>
      </c>
      <c r="C3155" s="3" t="inlineStr">
        <is>
          <t>Revenue</t>
        </is>
      </c>
      <c r="D3155" s="3" t="inlineStr">
        <is>
          <t>2755/001</t>
        </is>
      </c>
      <c r="E3155" s="3" t="inlineStr">
        <is>
          <t>Interest Received - Momentum</t>
        </is>
      </c>
      <c r="F3155" s="3" t="n">
        <v>-106209.22</v>
      </c>
      <c r="G3155" s="3" t="n">
        <v>-330516.09</v>
      </c>
    </row>
    <row r="3156">
      <c r="A3156" s="3" t="inlineStr">
        <is>
          <t>Heron Fields (Pty) Ltd</t>
        </is>
      </c>
      <c r="B3156" s="4" t="n">
        <v>45046</v>
      </c>
      <c r="C3156" s="3" t="inlineStr">
        <is>
          <t>Expenses</t>
        </is>
      </c>
      <c r="D3156" s="3" t="inlineStr">
        <is>
          <t>3050/000</t>
        </is>
      </c>
      <c r="E3156" s="3" t="inlineStr">
        <is>
          <t>Advertising _AND_ Promotions</t>
        </is>
      </c>
      <c r="F3156" s="3" t="n">
        <v>23300</v>
      </c>
      <c r="G3156" s="3" t="n">
        <v>45854.76</v>
      </c>
    </row>
    <row r="3157">
      <c r="A3157" s="3" t="inlineStr">
        <is>
          <t>Heron View (Pty) Ltd</t>
        </is>
      </c>
      <c r="B3157" s="4" t="n">
        <v>45046</v>
      </c>
      <c r="C3157" s="3" t="inlineStr">
        <is>
          <t>Expenses</t>
        </is>
      </c>
      <c r="D3157" s="3" t="inlineStr">
        <is>
          <t>3050/000</t>
        </is>
      </c>
      <c r="E3157" s="3" t="inlineStr">
        <is>
          <t>Advertising _AND_ Promotions</t>
        </is>
      </c>
      <c r="F3157" s="3" t="n">
        <v>1565.22</v>
      </c>
      <c r="G3157" s="3" t="n">
        <v>26540.22</v>
      </c>
    </row>
    <row r="3158">
      <c r="A3158" s="3" t="inlineStr">
        <is>
          <t>Heron Fields (Pty) Ltd</t>
        </is>
      </c>
      <c r="B3158" s="4" t="n">
        <v>45046</v>
      </c>
      <c r="C3158" s="3" t="inlineStr">
        <is>
          <t>Expenses</t>
        </is>
      </c>
      <c r="D3158" s="3" t="inlineStr">
        <is>
          <t>3050/100</t>
        </is>
      </c>
      <c r="E3158" s="3" t="inlineStr">
        <is>
          <t>Advertising - Property24</t>
        </is>
      </c>
      <c r="F3158" s="3" t="n">
        <v>24960</v>
      </c>
      <c r="G3158" s="3" t="n">
        <v>24960</v>
      </c>
    </row>
    <row r="3159">
      <c r="A3159" s="3" t="inlineStr">
        <is>
          <t>Cape Projects Construction (Pty) Ltd</t>
        </is>
      </c>
      <c r="B3159" s="4" t="n">
        <v>45046</v>
      </c>
      <c r="C3159" s="3" t="inlineStr">
        <is>
          <t>Expenses</t>
        </is>
      </c>
      <c r="D3159" s="3" t="inlineStr">
        <is>
          <t>3050/150</t>
        </is>
      </c>
      <c r="E3159" s="3" t="inlineStr">
        <is>
          <t>Advertising - Design Fees</t>
        </is>
      </c>
      <c r="F3159" s="3" t="n">
        <v>0</v>
      </c>
      <c r="G3159" s="3" t="n">
        <v>295</v>
      </c>
    </row>
    <row r="3160">
      <c r="A3160" s="3" t="inlineStr">
        <is>
          <t>Cape Projects Construction (Pty) Ltd</t>
        </is>
      </c>
      <c r="B3160" s="4" t="n">
        <v>45046</v>
      </c>
      <c r="C3160" s="3" t="inlineStr">
        <is>
          <t>Expenses</t>
        </is>
      </c>
      <c r="D3160" s="3" t="inlineStr">
        <is>
          <t>3050/450</t>
        </is>
      </c>
      <c r="E3160" s="3" t="inlineStr">
        <is>
          <t>Advertising - Other</t>
        </is>
      </c>
      <c r="F3160" s="3" t="n">
        <v>0</v>
      </c>
      <c r="G3160" s="3" t="n">
        <v>712</v>
      </c>
    </row>
    <row r="3161">
      <c r="A3161" s="3" t="inlineStr">
        <is>
          <t>Cape Projects Construction (Pty) Ltd</t>
        </is>
      </c>
      <c r="B3161" s="4" t="n">
        <v>45046</v>
      </c>
      <c r="C3161" s="3" t="inlineStr">
        <is>
          <t>Expenses</t>
        </is>
      </c>
      <c r="D3161" s="3" t="inlineStr">
        <is>
          <t>3200/000</t>
        </is>
      </c>
      <c r="E3161" s="3" t="inlineStr">
        <is>
          <t>Bank Charges</t>
        </is>
      </c>
      <c r="F3161" s="3" t="n">
        <v>1777.27</v>
      </c>
      <c r="G3161" s="3" t="n">
        <v>3708.73</v>
      </c>
    </row>
    <row r="3162">
      <c r="A3162" s="3" t="inlineStr">
        <is>
          <t>Heron Fields (Pty) Ltd</t>
        </is>
      </c>
      <c r="B3162" s="4" t="n">
        <v>45046</v>
      </c>
      <c r="C3162" s="3" t="inlineStr">
        <is>
          <t>Expenses</t>
        </is>
      </c>
      <c r="D3162" s="3" t="inlineStr">
        <is>
          <t>3200/000</t>
        </is>
      </c>
      <c r="E3162" s="3" t="inlineStr">
        <is>
          <t>Bank Charges</t>
        </is>
      </c>
      <c r="F3162" s="3" t="n">
        <v>374.2</v>
      </c>
      <c r="G3162" s="3" t="n">
        <v>957.1799999999999</v>
      </c>
    </row>
    <row r="3163">
      <c r="A3163" s="3" t="inlineStr">
        <is>
          <t>Cape Projects Construction (Pty) Ltd</t>
        </is>
      </c>
      <c r="B3163" s="4" t="n">
        <v>45046</v>
      </c>
      <c r="C3163" s="3" t="inlineStr">
        <is>
          <t>Expenses</t>
        </is>
      </c>
      <c r="D3163" s="3" t="inlineStr">
        <is>
          <t>3250/000</t>
        </is>
      </c>
      <c r="E3163" s="3" t="inlineStr">
        <is>
          <t>Cleaning</t>
        </is>
      </c>
      <c r="F3163" s="3" t="n">
        <v>0</v>
      </c>
      <c r="G3163" s="3" t="n">
        <v>355.4</v>
      </c>
    </row>
    <row r="3164">
      <c r="A3164" s="3" t="inlineStr">
        <is>
          <t>Cape Projects Construction (Pty) Ltd</t>
        </is>
      </c>
      <c r="B3164" s="4" t="n">
        <v>45046</v>
      </c>
      <c r="C3164" s="3" t="inlineStr">
        <is>
          <t>Expenses</t>
        </is>
      </c>
      <c r="D3164" s="3" t="inlineStr">
        <is>
          <t>3300/000</t>
        </is>
      </c>
      <c r="E3164" s="3" t="inlineStr">
        <is>
          <t>Computer Expenses</t>
        </is>
      </c>
      <c r="F3164" s="3" t="n">
        <v>0</v>
      </c>
      <c r="G3164" s="3" t="n">
        <v>1604.52</v>
      </c>
    </row>
    <row r="3165">
      <c r="A3165" s="3" t="inlineStr">
        <is>
          <t>Cape Projects Construction (Pty) Ltd</t>
        </is>
      </c>
      <c r="B3165" s="4" t="n">
        <v>45046</v>
      </c>
      <c r="C3165" s="3" t="inlineStr">
        <is>
          <t>Expenses</t>
        </is>
      </c>
      <c r="D3165" s="3" t="inlineStr">
        <is>
          <t>3300/100</t>
        </is>
      </c>
      <c r="E3165" s="3" t="inlineStr">
        <is>
          <t>Computer Exp - IT, Internet/Hosting Fee</t>
        </is>
      </c>
      <c r="F3165" s="3" t="n">
        <v>2532</v>
      </c>
      <c r="G3165" s="3" t="n">
        <v>7709</v>
      </c>
    </row>
    <row r="3166">
      <c r="A3166" s="3" t="inlineStr">
        <is>
          <t>Heron Fields (Pty) Ltd</t>
        </is>
      </c>
      <c r="B3166" s="4" t="n">
        <v>45046</v>
      </c>
      <c r="C3166" s="3" t="inlineStr">
        <is>
          <t>Expenses</t>
        </is>
      </c>
      <c r="D3166" s="3" t="inlineStr">
        <is>
          <t>3350/100</t>
        </is>
      </c>
      <c r="E3166" s="3" t="inlineStr">
        <is>
          <t>Consulting Fees - Admin and Finance</t>
        </is>
      </c>
      <c r="F3166" s="3" t="n">
        <v>98308</v>
      </c>
      <c r="G3166" s="3" t="n">
        <v>207526.57</v>
      </c>
    </row>
    <row r="3167">
      <c r="A3167" s="3" t="inlineStr">
        <is>
          <t>Cape Projects Construction (Pty) Ltd</t>
        </is>
      </c>
      <c r="B3167" s="4" t="n">
        <v>45046</v>
      </c>
      <c r="C3167" s="3" t="inlineStr">
        <is>
          <t>Expenses</t>
        </is>
      </c>
      <c r="D3167" s="3" t="inlineStr">
        <is>
          <t>3350/300</t>
        </is>
      </c>
      <c r="E3167" s="3" t="inlineStr">
        <is>
          <t>Consulting Fees - Admin and Finance</t>
        </is>
      </c>
      <c r="F3167" s="3" t="n">
        <v>110452</v>
      </c>
      <c r="G3167" s="3" t="n">
        <v>254468.7</v>
      </c>
    </row>
    <row r="3168">
      <c r="A3168" s="3" t="inlineStr">
        <is>
          <t>Heron Fields (Pty) Ltd</t>
        </is>
      </c>
      <c r="B3168" s="4" t="n">
        <v>45046</v>
      </c>
      <c r="C3168" s="3" t="inlineStr">
        <is>
          <t>Expenses</t>
        </is>
      </c>
      <c r="D3168" s="3" t="inlineStr">
        <is>
          <t>3351/000</t>
        </is>
      </c>
      <c r="E3168" s="3" t="inlineStr">
        <is>
          <t>Consulting fees - Trustee</t>
        </is>
      </c>
      <c r="F3168" s="3" t="n">
        <v>4000</v>
      </c>
      <c r="G3168" s="3" t="n">
        <v>4000</v>
      </c>
    </row>
    <row r="3169">
      <c r="A3169" s="3" t="inlineStr">
        <is>
          <t>Cape Projects Construction (Pty) Ltd</t>
        </is>
      </c>
      <c r="B3169" s="4" t="n">
        <v>45046</v>
      </c>
      <c r="C3169" s="3" t="inlineStr">
        <is>
          <t>Expenses</t>
        </is>
      </c>
      <c r="D3169" s="3" t="inlineStr">
        <is>
          <t>3450/001</t>
        </is>
      </c>
      <c r="E3169" s="3" t="inlineStr">
        <is>
          <t>Depreciation - Computer Equipment</t>
        </is>
      </c>
      <c r="F3169" s="3" t="n">
        <v>3323.88</v>
      </c>
      <c r="G3169" s="3" t="n">
        <v>6647.79</v>
      </c>
    </row>
    <row r="3170">
      <c r="A3170" s="3" t="inlineStr">
        <is>
          <t>Cape Projects Construction (Pty) Ltd</t>
        </is>
      </c>
      <c r="B3170" s="4" t="n">
        <v>45046</v>
      </c>
      <c r="C3170" s="3" t="inlineStr">
        <is>
          <t>Expenses</t>
        </is>
      </c>
      <c r="D3170" s="3" t="inlineStr">
        <is>
          <t>3450/002</t>
        </is>
      </c>
      <c r="E3170" s="3" t="inlineStr">
        <is>
          <t>Depreciation - Generator Fixed Asset</t>
        </is>
      </c>
      <c r="F3170" s="3" t="n">
        <v>193.34</v>
      </c>
      <c r="G3170" s="3" t="n">
        <v>386.67</v>
      </c>
    </row>
    <row r="3171">
      <c r="A3171" s="3" t="inlineStr">
        <is>
          <t>Cape Projects Construction (Pty) Ltd</t>
        </is>
      </c>
      <c r="B3171" s="4" t="n">
        <v>45046</v>
      </c>
      <c r="C3171" s="3" t="inlineStr">
        <is>
          <t>Expenses</t>
        </is>
      </c>
      <c r="D3171" s="3" t="inlineStr">
        <is>
          <t>3450/030</t>
        </is>
      </c>
      <c r="E3171" s="3" t="inlineStr">
        <is>
          <t>Depreciation - Furniture and Fittings</t>
        </is>
      </c>
      <c r="F3171" s="3" t="n">
        <v>547.67</v>
      </c>
      <c r="G3171" s="3" t="n">
        <v>1095.35</v>
      </c>
    </row>
    <row r="3172">
      <c r="A3172" s="3" t="inlineStr">
        <is>
          <t>Heron Fields (Pty) Ltd</t>
        </is>
      </c>
      <c r="B3172" s="4" t="n">
        <v>45046</v>
      </c>
      <c r="C3172" s="3" t="inlineStr">
        <is>
          <t>Expenses</t>
        </is>
      </c>
      <c r="D3172" s="3" t="inlineStr">
        <is>
          <t>3650/000</t>
        </is>
      </c>
      <c r="E3172" s="3" t="inlineStr">
        <is>
          <t>CoCT - Electricity</t>
        </is>
      </c>
      <c r="F3172" s="3" t="n">
        <v>-2477.51</v>
      </c>
      <c r="G3172" s="3" t="n">
        <v>8738.620000000001</v>
      </c>
    </row>
    <row r="3173">
      <c r="A3173" s="3" t="inlineStr">
        <is>
          <t>Cape Projects Construction (Pty) Ltd</t>
        </is>
      </c>
      <c r="B3173" s="4" t="n">
        <v>45046</v>
      </c>
      <c r="C3173" s="3" t="inlineStr">
        <is>
          <t>Expenses</t>
        </is>
      </c>
      <c r="D3173" s="3" t="inlineStr">
        <is>
          <t>3650/000</t>
        </is>
      </c>
      <c r="E3173" s="3" t="inlineStr">
        <is>
          <t>Electricity _AND_ Water</t>
        </is>
      </c>
      <c r="F3173" s="3" t="n">
        <v>6676.08</v>
      </c>
      <c r="G3173" s="3" t="n">
        <v>14104.15</v>
      </c>
    </row>
    <row r="3174">
      <c r="A3174" s="3" t="inlineStr">
        <is>
          <t>Heron Fields (Pty) Ltd</t>
        </is>
      </c>
      <c r="B3174" s="4" t="n">
        <v>45046</v>
      </c>
      <c r="C3174" s="3" t="inlineStr">
        <is>
          <t>Expenses</t>
        </is>
      </c>
      <c r="D3174" s="3" t="inlineStr">
        <is>
          <t>3660/000</t>
        </is>
      </c>
      <c r="E3174" s="3" t="inlineStr">
        <is>
          <t>CoCT - Water</t>
        </is>
      </c>
      <c r="F3174" s="3" t="n">
        <v>-4301.84</v>
      </c>
      <c r="G3174" s="3" t="n">
        <v>35047.19</v>
      </c>
    </row>
    <row r="3175">
      <c r="A3175" s="3" t="inlineStr">
        <is>
          <t>Heron Fields (Pty) Ltd</t>
        </is>
      </c>
      <c r="B3175" s="4" t="n">
        <v>45046</v>
      </c>
      <c r="C3175" s="3" t="inlineStr">
        <is>
          <t>Expenses</t>
        </is>
      </c>
      <c r="D3175" s="3" t="inlineStr">
        <is>
          <t>3670/000</t>
        </is>
      </c>
      <c r="E3175" s="3" t="inlineStr">
        <is>
          <t>CoCT - Refuse</t>
        </is>
      </c>
      <c r="F3175" s="3" t="n">
        <v>0</v>
      </c>
      <c r="G3175" s="3" t="n">
        <v>10690.2</v>
      </c>
    </row>
    <row r="3176">
      <c r="A3176" s="3" t="inlineStr">
        <is>
          <t>Heron Fields (Pty) Ltd</t>
        </is>
      </c>
      <c r="B3176" s="4" t="n">
        <v>45046</v>
      </c>
      <c r="C3176" s="3" t="inlineStr">
        <is>
          <t>Expenses</t>
        </is>
      </c>
      <c r="D3176" s="3" t="inlineStr">
        <is>
          <t>3800/000</t>
        </is>
      </c>
      <c r="E3176" s="3" t="inlineStr">
        <is>
          <t>General Expenses</t>
        </is>
      </c>
      <c r="F3176" s="3" t="n">
        <v>0</v>
      </c>
      <c r="G3176" s="3" t="n">
        <v>199.99</v>
      </c>
    </row>
    <row r="3177">
      <c r="A3177" s="3" t="inlineStr">
        <is>
          <t>Heron Fields (Pty) Ltd</t>
        </is>
      </c>
      <c r="B3177" s="4" t="n">
        <v>45046</v>
      </c>
      <c r="C3177" s="3" t="inlineStr">
        <is>
          <t>Expenses</t>
        </is>
      </c>
      <c r="D3177" s="3" t="inlineStr">
        <is>
          <t>3850/000</t>
        </is>
      </c>
      <c r="E3177" s="3" t="inlineStr">
        <is>
          <t>Insurance</t>
        </is>
      </c>
      <c r="F3177" s="3" t="n">
        <v>7350.33</v>
      </c>
      <c r="G3177" s="3" t="n">
        <v>7350.33</v>
      </c>
    </row>
    <row r="3178">
      <c r="A3178" s="3" t="inlineStr">
        <is>
          <t>Cape Projects Construction (Pty) Ltd</t>
        </is>
      </c>
      <c r="B3178" s="4" t="n">
        <v>45046</v>
      </c>
      <c r="C3178" s="3" t="inlineStr">
        <is>
          <t>Expenses</t>
        </is>
      </c>
      <c r="D3178" s="3" t="inlineStr">
        <is>
          <t>3850/001</t>
        </is>
      </c>
      <c r="E3178" s="3" t="inlineStr">
        <is>
          <t>Insurance - Santam</t>
        </is>
      </c>
      <c r="F3178" s="3" t="n">
        <v>4275.67</v>
      </c>
      <c r="G3178" s="3" t="n">
        <v>5734.41</v>
      </c>
    </row>
    <row r="3179">
      <c r="A3179" s="3" t="inlineStr">
        <is>
          <t>Heron Fields (Pty) Ltd</t>
        </is>
      </c>
      <c r="B3179" s="4" t="n">
        <v>45046</v>
      </c>
      <c r="C3179" s="3" t="inlineStr">
        <is>
          <t>Expenses</t>
        </is>
      </c>
      <c r="D3179" s="3" t="inlineStr">
        <is>
          <t>3900/000</t>
        </is>
      </c>
      <c r="E3179" s="3" t="inlineStr">
        <is>
          <t>Interest Paid</t>
        </is>
      </c>
      <c r="F3179" s="3" t="n">
        <v>-715.47</v>
      </c>
      <c r="G3179" s="3" t="n">
        <v>-533.8</v>
      </c>
    </row>
    <row r="3180">
      <c r="A3180" s="3" t="inlineStr">
        <is>
          <t>Heron Fields (Pty) Ltd</t>
        </is>
      </c>
      <c r="B3180" s="4" t="n">
        <v>45046</v>
      </c>
      <c r="C3180" s="3" t="inlineStr">
        <is>
          <t>Expenses</t>
        </is>
      </c>
      <c r="D3180" s="3" t="inlineStr">
        <is>
          <t>3900/111</t>
        </is>
      </c>
      <c r="E3180" s="3" t="inlineStr">
        <is>
          <t>Interest Paid - Investors @ 6.25%</t>
        </is>
      </c>
      <c r="F3180" s="3" t="n">
        <v>62219.17</v>
      </c>
      <c r="G3180" s="3" t="n">
        <v>125422.63</v>
      </c>
    </row>
    <row r="3181">
      <c r="A3181" s="3" t="inlineStr">
        <is>
          <t>Heron Fields (Pty) Ltd</t>
        </is>
      </c>
      <c r="B3181" s="4" t="n">
        <v>45046</v>
      </c>
      <c r="C3181" s="3" t="inlineStr">
        <is>
          <t>Expenses</t>
        </is>
      </c>
      <c r="D3181" s="3" t="inlineStr">
        <is>
          <t>3900/115</t>
        </is>
      </c>
      <c r="E3181" s="3" t="inlineStr">
        <is>
          <t>Interest Paid - Investors @ 6.5%</t>
        </is>
      </c>
      <c r="F3181" s="3" t="n">
        <v>37361.65</v>
      </c>
      <c r="G3181" s="3" t="n">
        <v>40923.29</v>
      </c>
    </row>
    <row r="3182">
      <c r="A3182" s="3" t="inlineStr">
        <is>
          <t>Heron Fields (Pty) Ltd</t>
        </is>
      </c>
      <c r="B3182" s="4" t="n">
        <v>45046</v>
      </c>
      <c r="C3182" s="3" t="inlineStr">
        <is>
          <t>Expenses</t>
        </is>
      </c>
      <c r="D3182" s="3" t="inlineStr">
        <is>
          <t>3900/117</t>
        </is>
      </c>
      <c r="E3182" s="3" t="inlineStr">
        <is>
          <t>Interest Paid - Investors @ 6.75%</t>
        </is>
      </c>
      <c r="F3182" s="3" t="n">
        <v>22913.02</v>
      </c>
      <c r="G3182" s="3" t="n">
        <v>22913.02</v>
      </c>
    </row>
    <row r="3183">
      <c r="A3183" s="3" t="inlineStr">
        <is>
          <t>Heron Fields (Pty) Ltd</t>
        </is>
      </c>
      <c r="B3183" s="4" t="n">
        <v>45046</v>
      </c>
      <c r="C3183" s="3" t="inlineStr">
        <is>
          <t>Expenses</t>
        </is>
      </c>
      <c r="D3183" s="3" t="inlineStr">
        <is>
          <t>3900/120</t>
        </is>
      </c>
      <c r="E3183" s="3" t="inlineStr">
        <is>
          <t>Interest Paid - Investors @ 7%</t>
        </is>
      </c>
      <c r="F3183" s="3" t="n">
        <v>11027.39</v>
      </c>
      <c r="G3183" s="3" t="n">
        <v>11027.39</v>
      </c>
    </row>
    <row r="3184">
      <c r="A3184" s="3" t="inlineStr">
        <is>
          <t>Heron Fields (Pty) Ltd</t>
        </is>
      </c>
      <c r="B3184" s="4" t="n">
        <v>45046</v>
      </c>
      <c r="C3184" s="3" t="inlineStr">
        <is>
          <t>Expenses</t>
        </is>
      </c>
      <c r="D3184" s="3" t="inlineStr">
        <is>
          <t>3900/190</t>
        </is>
      </c>
      <c r="E3184" s="3" t="inlineStr">
        <is>
          <t>Interest Paid - Investors @ 14%</t>
        </is>
      </c>
      <c r="F3184" s="3" t="n">
        <v>0</v>
      </c>
      <c r="G3184" s="3" t="n">
        <v>40376.71</v>
      </c>
    </row>
    <row r="3185">
      <c r="A3185" s="3" t="inlineStr">
        <is>
          <t>Heron Fields (Pty) Ltd</t>
        </is>
      </c>
      <c r="B3185" s="4" t="n">
        <v>45046</v>
      </c>
      <c r="C3185" s="3" t="inlineStr">
        <is>
          <t>Expenses</t>
        </is>
      </c>
      <c r="D3185" s="3" t="inlineStr">
        <is>
          <t>3900/200</t>
        </is>
      </c>
      <c r="E3185" s="3" t="inlineStr">
        <is>
          <t>Interest Paid - Investors @ 15%</t>
        </is>
      </c>
      <c r="F3185" s="3" t="n">
        <v>55479.45</v>
      </c>
      <c r="G3185" s="3" t="n">
        <v>188815.06</v>
      </c>
    </row>
    <row r="3186">
      <c r="A3186" s="3" t="inlineStr">
        <is>
          <t>Heron Fields (Pty) Ltd</t>
        </is>
      </c>
      <c r="B3186" s="4" t="n">
        <v>45046</v>
      </c>
      <c r="C3186" s="3" t="inlineStr">
        <is>
          <t>Expenses</t>
        </is>
      </c>
      <c r="D3186" s="3" t="inlineStr">
        <is>
          <t>3900/210</t>
        </is>
      </c>
      <c r="E3186" s="3" t="inlineStr">
        <is>
          <t>Interest Paid - Investors @ 16%</t>
        </is>
      </c>
      <c r="F3186" s="3" t="n">
        <v>14451.92</v>
      </c>
      <c r="G3186" s="3" t="n">
        <v>14451.92</v>
      </c>
    </row>
    <row r="3187">
      <c r="A3187" s="3" t="inlineStr">
        <is>
          <t>Heron Fields (Pty) Ltd</t>
        </is>
      </c>
      <c r="B3187" s="4" t="n">
        <v>45046</v>
      </c>
      <c r="C3187" s="3" t="inlineStr">
        <is>
          <t>Expenses</t>
        </is>
      </c>
      <c r="D3187" s="3" t="inlineStr">
        <is>
          <t>3900/230</t>
        </is>
      </c>
      <c r="E3187" s="3" t="inlineStr">
        <is>
          <t>Interest Paid - Investors @ 18%</t>
        </is>
      </c>
      <c r="F3187" s="3" t="n">
        <v>1454819.17</v>
      </c>
      <c r="G3187" s="3" t="n">
        <v>2570422.47</v>
      </c>
    </row>
    <row r="3188">
      <c r="A3188" s="3" t="inlineStr">
        <is>
          <t>Cape Projects Construction (Pty) Ltd</t>
        </is>
      </c>
      <c r="B3188" s="4" t="n">
        <v>45046</v>
      </c>
      <c r="C3188" s="3" t="inlineStr">
        <is>
          <t>Expenses</t>
        </is>
      </c>
      <c r="D3188" s="3" t="inlineStr">
        <is>
          <t>4000/000</t>
        </is>
      </c>
      <c r="E3188" s="3" t="inlineStr">
        <is>
          <t>Legal Fees</t>
        </is>
      </c>
      <c r="F3188" s="3" t="n">
        <v>5202.88</v>
      </c>
      <c r="G3188" s="3" t="n">
        <v>5202.88</v>
      </c>
    </row>
    <row r="3189">
      <c r="A3189" s="3" t="inlineStr">
        <is>
          <t>Heron Fields (Pty) Ltd</t>
        </is>
      </c>
      <c r="B3189" s="4" t="n">
        <v>45046</v>
      </c>
      <c r="C3189" s="3" t="inlineStr">
        <is>
          <t>Expenses</t>
        </is>
      </c>
      <c r="D3189" s="3" t="inlineStr">
        <is>
          <t>4100/001</t>
        </is>
      </c>
      <c r="E3189" s="3" t="inlineStr">
        <is>
          <t>Momentum Admin Fee</t>
        </is>
      </c>
      <c r="F3189" s="3" t="n">
        <v>8404.200000000001</v>
      </c>
      <c r="G3189" s="3" t="n">
        <v>13574.15</v>
      </c>
    </row>
    <row r="3190">
      <c r="A3190" s="3" t="inlineStr">
        <is>
          <t>Cape Projects Construction (Pty) Ltd</t>
        </is>
      </c>
      <c r="B3190" s="4" t="n">
        <v>45046</v>
      </c>
      <c r="C3190" s="3" t="inlineStr">
        <is>
          <t>Expenses</t>
        </is>
      </c>
      <c r="D3190" s="3" t="inlineStr">
        <is>
          <t>4150/000</t>
        </is>
      </c>
      <c r="E3190" s="3" t="inlineStr">
        <is>
          <t>Motor Vehicle Expenses</t>
        </is>
      </c>
      <c r="F3190" s="3" t="n">
        <v>362</v>
      </c>
      <c r="G3190" s="3" t="n">
        <v>362</v>
      </c>
    </row>
    <row r="3191">
      <c r="A3191" s="3" t="inlineStr">
        <is>
          <t>Cape Projects Construction (Pty) Ltd</t>
        </is>
      </c>
      <c r="B3191" s="4" t="n">
        <v>45046</v>
      </c>
      <c r="C3191" s="3" t="inlineStr">
        <is>
          <t>Expenses</t>
        </is>
      </c>
      <c r="D3191" s="3" t="inlineStr">
        <is>
          <t>4150/010</t>
        </is>
      </c>
      <c r="E3191" s="3" t="inlineStr">
        <is>
          <t>Motor Vehicle - Petrol _AND_ Oil</t>
        </is>
      </c>
      <c r="F3191" s="3" t="n">
        <v>7124.28</v>
      </c>
      <c r="G3191" s="3" t="n">
        <v>12713.79</v>
      </c>
    </row>
    <row r="3192">
      <c r="A3192" s="3" t="inlineStr">
        <is>
          <t>Cape Projects Construction (Pty) Ltd</t>
        </is>
      </c>
      <c r="B3192" s="4" t="n">
        <v>45046</v>
      </c>
      <c r="C3192" s="3" t="inlineStr">
        <is>
          <t>Expenses</t>
        </is>
      </c>
      <c r="D3192" s="3" t="inlineStr">
        <is>
          <t>4200/000</t>
        </is>
      </c>
      <c r="E3192" s="3" t="inlineStr">
        <is>
          <t>Printing _AND_ Stationery</t>
        </is>
      </c>
      <c r="F3192" s="3" t="n">
        <v>1173.91</v>
      </c>
      <c r="G3192" s="3" t="n">
        <v>3473.04</v>
      </c>
    </row>
    <row r="3193">
      <c r="A3193" s="3" t="inlineStr">
        <is>
          <t>Cape Projects Construction (Pty) Ltd</t>
        </is>
      </c>
      <c r="B3193" s="4" t="n">
        <v>45046</v>
      </c>
      <c r="C3193" s="3" t="inlineStr">
        <is>
          <t>Expenses</t>
        </is>
      </c>
      <c r="D3193" s="3" t="inlineStr">
        <is>
          <t>4201/000</t>
        </is>
      </c>
      <c r="E3193" s="3" t="inlineStr">
        <is>
          <t>Printing - Printer rental</t>
        </is>
      </c>
      <c r="F3193" s="3" t="n">
        <v>1777.93</v>
      </c>
      <c r="G3193" s="3" t="n">
        <v>3153.23</v>
      </c>
    </row>
    <row r="3194">
      <c r="A3194" s="3" t="inlineStr">
        <is>
          <t>Cape Projects Construction (Pty) Ltd</t>
        </is>
      </c>
      <c r="B3194" s="4" t="n">
        <v>45046</v>
      </c>
      <c r="C3194" s="3" t="inlineStr">
        <is>
          <t>Expenses</t>
        </is>
      </c>
      <c r="D3194" s="3" t="inlineStr">
        <is>
          <t>4300/000</t>
        </is>
      </c>
      <c r="E3194" s="3" t="inlineStr">
        <is>
          <t>Rent Paid</t>
        </is>
      </c>
      <c r="F3194" s="3" t="n">
        <v>29600</v>
      </c>
      <c r="G3194" s="3" t="n">
        <v>59200</v>
      </c>
    </row>
    <row r="3195">
      <c r="A3195" s="3" t="inlineStr">
        <is>
          <t>Cape Projects Construction (Pty) Ltd</t>
        </is>
      </c>
      <c r="B3195" s="4" t="n">
        <v>45046</v>
      </c>
      <c r="C3195" s="3" t="inlineStr">
        <is>
          <t>Expenses</t>
        </is>
      </c>
      <c r="D3195" s="3" t="inlineStr">
        <is>
          <t>4310/000</t>
        </is>
      </c>
      <c r="E3195" s="3" t="inlineStr">
        <is>
          <t>Rates</t>
        </is>
      </c>
      <c r="F3195" s="3" t="n">
        <v>843.6</v>
      </c>
      <c r="G3195" s="3" t="n">
        <v>1687.2</v>
      </c>
    </row>
    <row r="3196">
      <c r="A3196" s="3" t="inlineStr">
        <is>
          <t>Heron Fields (Pty) Ltd</t>
        </is>
      </c>
      <c r="B3196" s="4" t="n">
        <v>45046</v>
      </c>
      <c r="C3196" s="3" t="inlineStr">
        <is>
          <t>Expenses</t>
        </is>
      </c>
      <c r="D3196" s="3" t="inlineStr">
        <is>
          <t>4310/000</t>
        </is>
      </c>
      <c r="E3196" s="3" t="inlineStr">
        <is>
          <t>Rates - Heron</t>
        </is>
      </c>
      <c r="F3196" s="3" t="n">
        <v>-42216.76</v>
      </c>
      <c r="G3196" s="3" t="n">
        <v>-11397.51</v>
      </c>
    </row>
    <row r="3197">
      <c r="A3197" s="3" t="inlineStr">
        <is>
          <t>Cape Projects Construction (Pty) Ltd</t>
        </is>
      </c>
      <c r="B3197" s="4" t="n">
        <v>45046</v>
      </c>
      <c r="C3197" s="3" t="inlineStr">
        <is>
          <t>Expenses</t>
        </is>
      </c>
      <c r="D3197" s="3" t="inlineStr">
        <is>
          <t>4350/000</t>
        </is>
      </c>
      <c r="E3197" s="3" t="inlineStr">
        <is>
          <t>Repairs _AND_ Maintenance</t>
        </is>
      </c>
      <c r="F3197" s="3" t="n">
        <v>750</v>
      </c>
      <c r="G3197" s="3" t="n">
        <v>7102.8</v>
      </c>
    </row>
    <row r="3198">
      <c r="A3198" s="3" t="inlineStr">
        <is>
          <t>Cape Projects Construction (Pty) Ltd</t>
        </is>
      </c>
      <c r="B3198" s="4" t="n">
        <v>45046</v>
      </c>
      <c r="C3198" s="3" t="inlineStr">
        <is>
          <t>Expenses</t>
        </is>
      </c>
      <c r="D3198" s="3" t="inlineStr">
        <is>
          <t>4400/000</t>
        </is>
      </c>
      <c r="E3198" s="3" t="inlineStr">
        <is>
          <t>Salaries _AND_ Wages</t>
        </is>
      </c>
      <c r="F3198" s="3" t="n">
        <v>327361.08</v>
      </c>
      <c r="G3198" s="3" t="n">
        <v>638540.74</v>
      </c>
    </row>
    <row r="3199">
      <c r="A3199" s="3" t="inlineStr">
        <is>
          <t>Cape Projects Construction (Pty) Ltd</t>
        </is>
      </c>
      <c r="B3199" s="4" t="n">
        <v>45046</v>
      </c>
      <c r="C3199" s="3" t="inlineStr">
        <is>
          <t>Expenses</t>
        </is>
      </c>
      <c r="D3199" s="3" t="inlineStr">
        <is>
          <t>4403/000</t>
        </is>
      </c>
      <c r="E3199" s="3" t="inlineStr">
        <is>
          <t>Security</t>
        </is>
      </c>
      <c r="F3199" s="3" t="n">
        <v>177.33</v>
      </c>
      <c r="G3199" s="3" t="n">
        <v>354.66</v>
      </c>
    </row>
    <row r="3200">
      <c r="A3200" s="3" t="inlineStr">
        <is>
          <t>Cape Projects Construction (Pty) Ltd</t>
        </is>
      </c>
      <c r="B3200" s="4" t="n">
        <v>45046</v>
      </c>
      <c r="C3200" s="3" t="inlineStr">
        <is>
          <t>Expenses</t>
        </is>
      </c>
      <c r="D3200" s="3" t="inlineStr">
        <is>
          <t>4420/000</t>
        </is>
      </c>
      <c r="E3200" s="3" t="inlineStr">
        <is>
          <t>Small Assets</t>
        </is>
      </c>
      <c r="F3200" s="3" t="n">
        <v>1600</v>
      </c>
      <c r="G3200" s="3" t="n">
        <v>2433.91</v>
      </c>
    </row>
    <row r="3201">
      <c r="A3201" s="3" t="inlineStr">
        <is>
          <t>Heron Fields (Pty) Ltd</t>
        </is>
      </c>
      <c r="B3201" s="4" t="n">
        <v>45046</v>
      </c>
      <c r="C3201" s="3" t="inlineStr">
        <is>
          <t>Expenses</t>
        </is>
      </c>
      <c r="D3201" s="3" t="inlineStr">
        <is>
          <t>4420/001</t>
        </is>
      </c>
      <c r="E3201" s="3" t="inlineStr">
        <is>
          <t>Security - ADT</t>
        </is>
      </c>
      <c r="F3201" s="3" t="n">
        <v>328.38</v>
      </c>
      <c r="G3201" s="3" t="n">
        <v>656.76</v>
      </c>
    </row>
    <row r="3202">
      <c r="A3202" s="3" t="inlineStr">
        <is>
          <t>Cape Projects Construction (Pty) Ltd</t>
        </is>
      </c>
      <c r="B3202" s="4" t="n">
        <v>45046</v>
      </c>
      <c r="C3202" s="3" t="inlineStr">
        <is>
          <t>Expenses</t>
        </is>
      </c>
      <c r="D3202" s="3" t="inlineStr">
        <is>
          <t>4500/000</t>
        </is>
      </c>
      <c r="E3202" s="3" t="inlineStr">
        <is>
          <t>Staff Welfare _AND_ Refreshmts</t>
        </is>
      </c>
      <c r="F3202" s="3" t="n">
        <v>244.98</v>
      </c>
      <c r="G3202" s="3" t="n">
        <v>244.98</v>
      </c>
    </row>
    <row r="3203">
      <c r="A3203" s="3" t="inlineStr">
        <is>
          <t>Cape Projects Construction (Pty) Ltd</t>
        </is>
      </c>
      <c r="B3203" s="4" t="n">
        <v>45046</v>
      </c>
      <c r="C3203" s="3" t="inlineStr">
        <is>
          <t>Expenses</t>
        </is>
      </c>
      <c r="D3203" s="3" t="inlineStr">
        <is>
          <t>4550/001</t>
        </is>
      </c>
      <c r="E3203" s="3" t="inlineStr">
        <is>
          <t>Subscriptions &amp; Licenses - Sage payroll</t>
        </is>
      </c>
      <c r="F3203" s="3" t="n">
        <v>747</v>
      </c>
      <c r="G3203" s="3" t="n">
        <v>1494</v>
      </c>
    </row>
    <row r="3204">
      <c r="A3204" s="3" t="inlineStr">
        <is>
          <t>Cape Projects Construction (Pty) Ltd</t>
        </is>
      </c>
      <c r="B3204" s="4" t="n">
        <v>45046</v>
      </c>
      <c r="C3204" s="3" t="inlineStr">
        <is>
          <t>Expenses</t>
        </is>
      </c>
      <c r="D3204" s="3" t="inlineStr">
        <is>
          <t>4550/002</t>
        </is>
      </c>
      <c r="E3204" s="3" t="inlineStr">
        <is>
          <t>Subscriptions &amp; Licenses - Caseware</t>
        </is>
      </c>
      <c r="F3204" s="3" t="n">
        <v>0</v>
      </c>
      <c r="G3204" s="3" t="n">
        <v>10825.49</v>
      </c>
    </row>
    <row r="3205">
      <c r="A3205" s="3" t="inlineStr">
        <is>
          <t>Cape Projects Construction (Pty) Ltd</t>
        </is>
      </c>
      <c r="B3205" s="4" t="n">
        <v>45046</v>
      </c>
      <c r="C3205" s="3" t="inlineStr">
        <is>
          <t>Expenses</t>
        </is>
      </c>
      <c r="D3205" s="3" t="inlineStr">
        <is>
          <t>4550/003</t>
        </is>
      </c>
      <c r="E3205" s="3" t="inlineStr">
        <is>
          <t>Subscriptions &amp; Licenses - Xero</t>
        </is>
      </c>
      <c r="F3205" s="3" t="n">
        <v>600</v>
      </c>
      <c r="G3205" s="3" t="n">
        <v>1200</v>
      </c>
    </row>
    <row r="3206">
      <c r="A3206" s="3" t="inlineStr">
        <is>
          <t>Cape Projects Construction (Pty) Ltd</t>
        </is>
      </c>
      <c r="B3206" s="4" t="n">
        <v>45046</v>
      </c>
      <c r="C3206" s="3" t="inlineStr">
        <is>
          <t>Expenses</t>
        </is>
      </c>
      <c r="D3206" s="3" t="inlineStr">
        <is>
          <t>4550/004</t>
        </is>
      </c>
      <c r="E3206" s="3" t="inlineStr">
        <is>
          <t>Subscriptions - Smartsheet</t>
        </is>
      </c>
      <c r="F3206" s="3" t="n">
        <v>803.5</v>
      </c>
      <c r="G3206" s="3" t="n">
        <v>1408.5</v>
      </c>
    </row>
    <row r="3207">
      <c r="A3207" s="3" t="inlineStr">
        <is>
          <t>Heron Fields (Pty) Ltd</t>
        </is>
      </c>
      <c r="B3207" s="4" t="n">
        <v>45046</v>
      </c>
      <c r="C3207" s="3" t="inlineStr">
        <is>
          <t>Expenses</t>
        </is>
      </c>
      <c r="D3207" s="3" t="inlineStr">
        <is>
          <t>4550/100</t>
        </is>
      </c>
      <c r="E3207" s="3" t="inlineStr">
        <is>
          <t>Subscriptions - Xero</t>
        </is>
      </c>
      <c r="F3207" s="3" t="n">
        <v>600</v>
      </c>
      <c r="G3207" s="3" t="n">
        <v>1200</v>
      </c>
    </row>
    <row r="3208">
      <c r="A3208" s="3" t="inlineStr">
        <is>
          <t>Heron View (Pty) Ltd</t>
        </is>
      </c>
      <c r="B3208" s="4" t="n">
        <v>45046</v>
      </c>
      <c r="C3208" s="3" t="inlineStr">
        <is>
          <t>Expenses</t>
        </is>
      </c>
      <c r="D3208" s="3" t="inlineStr">
        <is>
          <t>4550/100</t>
        </is>
      </c>
      <c r="E3208" s="3" t="inlineStr">
        <is>
          <t>Subscriptions - Xero</t>
        </is>
      </c>
      <c r="F3208" s="3" t="n">
        <v>600</v>
      </c>
      <c r="G3208" s="3" t="n">
        <v>1200</v>
      </c>
    </row>
    <row r="3209">
      <c r="A3209" s="3" t="inlineStr">
        <is>
          <t>Cape Projects Construction (Pty) Ltd</t>
        </is>
      </c>
      <c r="B3209" s="4" t="n">
        <v>45046</v>
      </c>
      <c r="C3209" s="3" t="inlineStr">
        <is>
          <t>Expenses</t>
        </is>
      </c>
      <c r="D3209" s="3" t="inlineStr">
        <is>
          <t>4700/000</t>
        </is>
      </c>
      <c r="E3209" s="3" t="inlineStr">
        <is>
          <t>PAYE Contributions</t>
        </is>
      </c>
      <c r="F3209" s="3" t="n">
        <v>76990.11</v>
      </c>
      <c r="G3209" s="3" t="n">
        <v>152808.49</v>
      </c>
    </row>
    <row r="3210">
      <c r="A3210" s="3" t="inlineStr">
        <is>
          <t>Cape Projects Construction (Pty) Ltd</t>
        </is>
      </c>
      <c r="B3210" s="4" t="n">
        <v>45046</v>
      </c>
      <c r="C3210" s="3" t="inlineStr">
        <is>
          <t>Expenses</t>
        </is>
      </c>
      <c r="D3210" s="3" t="inlineStr">
        <is>
          <t>4720/000</t>
        </is>
      </c>
      <c r="E3210" s="3" t="inlineStr">
        <is>
          <t>SDL Contributions</t>
        </is>
      </c>
      <c r="F3210" s="3" t="n">
        <v>3918.5</v>
      </c>
      <c r="G3210" s="3" t="n">
        <v>7662.63</v>
      </c>
    </row>
    <row r="3211">
      <c r="A3211" s="3" t="inlineStr">
        <is>
          <t>Cape Projects Construction (Pty) Ltd</t>
        </is>
      </c>
      <c r="B3211" s="4" t="n">
        <v>45046</v>
      </c>
      <c r="C3211" s="3" t="inlineStr">
        <is>
          <t>Expenses</t>
        </is>
      </c>
      <c r="D3211" s="3" t="inlineStr">
        <is>
          <t>4730/000</t>
        </is>
      </c>
      <c r="E3211" s="3" t="inlineStr">
        <is>
          <t>UIF Company Contributions</t>
        </is>
      </c>
      <c r="F3211" s="3" t="n">
        <v>2003.44</v>
      </c>
      <c r="G3211" s="3" t="n">
        <v>3924.06</v>
      </c>
    </row>
    <row r="3212">
      <c r="A3212" s="3" t="inlineStr">
        <is>
          <t>Cape Projects Construction (Pty) Ltd</t>
        </is>
      </c>
      <c r="B3212" s="4" t="n">
        <v>45046</v>
      </c>
      <c r="C3212" s="3" t="inlineStr">
        <is>
          <t>Expenses</t>
        </is>
      </c>
      <c r="D3212" s="3" t="inlineStr">
        <is>
          <t>4731/000</t>
        </is>
      </c>
      <c r="E3212" s="3" t="inlineStr">
        <is>
          <t>UIF Employee Contribution</t>
        </is>
      </c>
      <c r="F3212" s="3" t="n">
        <v>2003.44</v>
      </c>
      <c r="G3212" s="3" t="n">
        <v>3924.06</v>
      </c>
    </row>
    <row r="3213">
      <c r="A3213" s="3" t="inlineStr">
        <is>
          <t>Cape Projects Construction (Pty) Ltd</t>
        </is>
      </c>
      <c r="B3213" s="4" t="n">
        <v>45046</v>
      </c>
      <c r="C3213" s="3" t="inlineStr">
        <is>
          <t>Expenses</t>
        </is>
      </c>
      <c r="D3213" s="3" t="inlineStr">
        <is>
          <t>4740/000</t>
        </is>
      </c>
      <c r="E3213" s="3" t="inlineStr">
        <is>
          <t>BIBC Company Contribution</t>
        </is>
      </c>
      <c r="F3213" s="3" t="n">
        <v>7034</v>
      </c>
      <c r="G3213" s="3" t="n">
        <v>12068</v>
      </c>
    </row>
    <row r="3214">
      <c r="A3214" s="3" t="inlineStr">
        <is>
          <t>Cape Projects Construction (Pty) Ltd</t>
        </is>
      </c>
      <c r="B3214" s="4" t="n">
        <v>45046</v>
      </c>
      <c r="C3214" s="3" t="inlineStr">
        <is>
          <t>Expenses</t>
        </is>
      </c>
      <c r="D3214" s="3" t="inlineStr">
        <is>
          <t>4741/000</t>
        </is>
      </c>
      <c r="E3214" s="3" t="inlineStr">
        <is>
          <t>BIBC Employee Contribution</t>
        </is>
      </c>
      <c r="F3214" s="3" t="n">
        <v>1775.25</v>
      </c>
      <c r="G3214" s="3" t="n">
        <v>3550.5</v>
      </c>
    </row>
    <row r="3215">
      <c r="A3215" s="3" t="inlineStr">
        <is>
          <t>Heron Fields (Pty) Ltd</t>
        </is>
      </c>
      <c r="B3215" s="4" t="n">
        <v>45046</v>
      </c>
      <c r="C3215" s="3" t="inlineStr">
        <is>
          <t>Equity</t>
        </is>
      </c>
      <c r="D3215" s="3" t="inlineStr">
        <is>
          <t>5100-000</t>
        </is>
      </c>
      <c r="E3215" s="3" t="inlineStr">
        <is>
          <t>Share Capital</t>
        </is>
      </c>
      <c r="F3215" s="3" t="n">
        <v>0</v>
      </c>
      <c r="G3215" s="3" t="n">
        <v>-100</v>
      </c>
    </row>
    <row r="3216">
      <c r="A3216" s="3" t="inlineStr">
        <is>
          <t>Cape Projects Construction (Pty) Ltd</t>
        </is>
      </c>
      <c r="B3216" s="4" t="n">
        <v>45046</v>
      </c>
      <c r="C3216" s="3" t="inlineStr">
        <is>
          <t>Equity</t>
        </is>
      </c>
      <c r="D3216" s="3" t="inlineStr">
        <is>
          <t>5100/000</t>
        </is>
      </c>
      <c r="E3216" s="3" t="inlineStr">
        <is>
          <t>Share Capital / Members Contribution</t>
        </is>
      </c>
      <c r="F3216" s="3" t="n">
        <v>0</v>
      </c>
      <c r="G3216" s="3" t="n">
        <v>-120</v>
      </c>
    </row>
    <row r="3217">
      <c r="A3217" s="3" t="inlineStr">
        <is>
          <t>Cape Projects Construction (Pty) Ltd</t>
        </is>
      </c>
      <c r="B3217" s="4" t="n">
        <v>45046</v>
      </c>
      <c r="C3217" s="3" t="inlineStr">
        <is>
          <t>Equity</t>
        </is>
      </c>
      <c r="D3217" s="3" t="inlineStr">
        <is>
          <t>5200/000</t>
        </is>
      </c>
      <c r="E3217" s="3" t="inlineStr">
        <is>
          <t>Retained Earnings / Loss</t>
        </is>
      </c>
      <c r="F3217" s="3" t="n">
        <v>0</v>
      </c>
      <c r="G3217" s="3" t="n">
        <v>-296075.58</v>
      </c>
    </row>
    <row r="3218">
      <c r="A3218" s="3" t="inlineStr">
        <is>
          <t>Heron Fields (Pty) Ltd</t>
        </is>
      </c>
      <c r="B3218" s="4" t="n">
        <v>45046</v>
      </c>
      <c r="C3218" s="3" t="inlineStr">
        <is>
          <t>Equity</t>
        </is>
      </c>
      <c r="D3218" s="3" t="inlineStr">
        <is>
          <t>5200/000</t>
        </is>
      </c>
      <c r="E3218" s="3" t="inlineStr">
        <is>
          <t>Retained Earnings / Loss</t>
        </is>
      </c>
      <c r="F3218" s="3" t="n">
        <v>0</v>
      </c>
      <c r="G3218" s="3" t="n">
        <v>-17843179.58</v>
      </c>
    </row>
    <row r="3219">
      <c r="A3219" s="3" t="inlineStr">
        <is>
          <t>Heron View (Pty) Ltd</t>
        </is>
      </c>
      <c r="B3219" s="4" t="n">
        <v>45046</v>
      </c>
      <c r="C3219" s="3" t="inlineStr">
        <is>
          <t>Equity</t>
        </is>
      </c>
      <c r="D3219" s="3" t="inlineStr">
        <is>
          <t>5200/000</t>
        </is>
      </c>
      <c r="E3219" s="3" t="inlineStr">
        <is>
          <t>Retained Earnings / Loss</t>
        </is>
      </c>
      <c r="F3219" s="3" t="n">
        <v>0</v>
      </c>
      <c r="G3219" s="3" t="n">
        <v>70398.12</v>
      </c>
    </row>
    <row r="3220">
      <c r="A3220" s="3" t="inlineStr">
        <is>
          <t>Heron Fields (Pty) Ltd</t>
        </is>
      </c>
      <c r="B3220" s="4" t="n">
        <v>45046</v>
      </c>
      <c r="C3220" s="3" t="inlineStr">
        <is>
          <t>Assets</t>
        </is>
      </c>
      <c r="D3220" s="3" t="inlineStr">
        <is>
          <t>5300/001</t>
        </is>
      </c>
      <c r="E3220" s="3" t="inlineStr">
        <is>
          <t>Revaluation of Land stock</t>
        </is>
      </c>
      <c r="F3220" s="3" t="n">
        <v>0</v>
      </c>
      <c r="G3220" s="3" t="n">
        <v>17562360.85</v>
      </c>
    </row>
    <row r="3221">
      <c r="A3221" s="3" t="inlineStr">
        <is>
          <t>Cape Projects Construction (Pty) Ltd</t>
        </is>
      </c>
      <c r="B3221" s="4" t="n">
        <v>45046</v>
      </c>
      <c r="C3221" s="3" t="inlineStr">
        <is>
          <t>Assets</t>
        </is>
      </c>
      <c r="D3221" s="3" t="inlineStr">
        <is>
          <t>5400/150</t>
        </is>
      </c>
      <c r="E3221" s="3" t="inlineStr">
        <is>
          <t>Loan - Quinate</t>
        </is>
      </c>
      <c r="F3221" s="3" t="n">
        <v>0</v>
      </c>
      <c r="G3221" s="3" t="n">
        <v>185000</v>
      </c>
    </row>
    <row r="3222">
      <c r="A3222" s="3" t="inlineStr">
        <is>
          <t>Cape Projects Construction (Pty) Ltd</t>
        </is>
      </c>
      <c r="B3222" s="4" t="n">
        <v>45046</v>
      </c>
      <c r="C3222" s="3" t="inlineStr">
        <is>
          <t>Assets</t>
        </is>
      </c>
      <c r="D3222" s="3" t="inlineStr">
        <is>
          <t>5400/220</t>
        </is>
      </c>
      <c r="E3222" s="3" t="inlineStr">
        <is>
          <t>Members Loan - WH</t>
        </is>
      </c>
      <c r="F3222" s="3" t="n">
        <v>0</v>
      </c>
      <c r="G3222" s="3" t="n">
        <v>-4342.5</v>
      </c>
    </row>
    <row r="3223">
      <c r="A3223" s="3" t="inlineStr">
        <is>
          <t>Cape Projects Construction (Pty) Ltd</t>
        </is>
      </c>
      <c r="B3223" s="4" t="n">
        <v>45046</v>
      </c>
      <c r="C3223" s="3" t="inlineStr">
        <is>
          <t>Assets</t>
        </is>
      </c>
      <c r="D3223" s="3" t="inlineStr">
        <is>
          <t>5400/450</t>
        </is>
      </c>
      <c r="E3223" s="3" t="inlineStr">
        <is>
          <t>Loan - Opportunity Investment</t>
        </is>
      </c>
      <c r="F3223" s="3" t="n">
        <v>-1900000</v>
      </c>
      <c r="G3223" s="3" t="n">
        <v>-2261000</v>
      </c>
    </row>
    <row r="3224">
      <c r="A3224" s="3" t="inlineStr">
        <is>
          <t>Cape Projects Construction (Pty) Ltd</t>
        </is>
      </c>
      <c r="B3224" s="4" t="n">
        <v>45046</v>
      </c>
      <c r="C3224" s="3" t="inlineStr">
        <is>
          <t>Assets</t>
        </is>
      </c>
      <c r="D3224" s="3" t="inlineStr">
        <is>
          <t>5400/500</t>
        </is>
      </c>
      <c r="E3224" s="3" t="inlineStr">
        <is>
          <t>Loan - Blou Mamba Trust</t>
        </is>
      </c>
      <c r="F3224" s="3" t="n">
        <v>0</v>
      </c>
      <c r="G3224" s="3" t="n">
        <v>4342.5</v>
      </c>
    </row>
    <row r="3225">
      <c r="A3225" s="3" t="inlineStr">
        <is>
          <t>Cape Projects Construction (Pty) Ltd</t>
        </is>
      </c>
      <c r="B3225" s="4" t="n">
        <v>45046</v>
      </c>
      <c r="C3225" s="3" t="inlineStr">
        <is>
          <t>Assets</t>
        </is>
      </c>
      <c r="D3225" s="3" t="inlineStr">
        <is>
          <t>5400/550</t>
        </is>
      </c>
      <c r="E3225" s="3" t="inlineStr">
        <is>
          <t>Loan - Trademark</t>
        </is>
      </c>
      <c r="F3225" s="3" t="n">
        <v>600</v>
      </c>
      <c r="G3225" s="3" t="n">
        <v>1200</v>
      </c>
    </row>
    <row r="3226">
      <c r="A3226" s="3" t="inlineStr">
        <is>
          <t>Cape Projects Construction (Pty) Ltd</t>
        </is>
      </c>
      <c r="B3226" s="4" t="n">
        <v>45046</v>
      </c>
      <c r="C3226" s="3" t="inlineStr">
        <is>
          <t>Assets</t>
        </is>
      </c>
      <c r="D3226" s="3" t="inlineStr">
        <is>
          <t>5400/600</t>
        </is>
      </c>
      <c r="E3226" s="3" t="inlineStr">
        <is>
          <t>Loan - Heron Projects</t>
        </is>
      </c>
      <c r="F3226" s="3" t="n">
        <v>0</v>
      </c>
      <c r="G3226" s="3" t="n">
        <v>-10376940.42</v>
      </c>
    </row>
    <row r="3227">
      <c r="A3227" s="3" t="inlineStr">
        <is>
          <t>Cape Projects Construction (Pty) Ltd</t>
        </is>
      </c>
      <c r="B3227" s="4" t="n">
        <v>45046</v>
      </c>
      <c r="C3227" s="3" t="inlineStr">
        <is>
          <t>Assets</t>
        </is>
      </c>
      <c r="D3227" s="3" t="inlineStr">
        <is>
          <t>5400/650</t>
        </is>
      </c>
      <c r="E3227" s="3" t="inlineStr">
        <is>
          <t>Loan - Noble Shield</t>
        </is>
      </c>
      <c r="F3227" s="3" t="n">
        <v>600</v>
      </c>
      <c r="G3227" s="3" t="n">
        <v>1200</v>
      </c>
    </row>
    <row r="3228">
      <c r="A3228" s="3" t="inlineStr">
        <is>
          <t>Cape Projects Construction (Pty) Ltd</t>
        </is>
      </c>
      <c r="B3228" s="4" t="n">
        <v>45046</v>
      </c>
      <c r="C3228" s="3" t="inlineStr">
        <is>
          <t>Assets</t>
        </is>
      </c>
      <c r="D3228" s="3" t="inlineStr">
        <is>
          <t>5400/750</t>
        </is>
      </c>
      <c r="E3228" s="3" t="inlineStr">
        <is>
          <t>Loan - Endulini</t>
        </is>
      </c>
      <c r="F3228" s="3" t="n">
        <v>4011000</v>
      </c>
      <c r="G3228" s="3" t="n">
        <v>18846187.4</v>
      </c>
    </row>
    <row r="3229">
      <c r="A3229" s="3" t="inlineStr">
        <is>
          <t>Cape Projects Construction (Pty) Ltd</t>
        </is>
      </c>
      <c r="B3229" s="4" t="n">
        <v>45046</v>
      </c>
      <c r="C3229" s="3" t="inlineStr">
        <is>
          <t>Assets</t>
        </is>
      </c>
      <c r="D3229" s="3" t="inlineStr">
        <is>
          <t>5400/800</t>
        </is>
      </c>
      <c r="E3229" s="3" t="inlineStr">
        <is>
          <t>Loan - Opportunity Management Holdings</t>
        </is>
      </c>
      <c r="F3229" s="3" t="n">
        <v>0</v>
      </c>
      <c r="G3229" s="3" t="n">
        <v>-120000</v>
      </c>
    </row>
    <row r="3230">
      <c r="A3230" s="3" t="inlineStr">
        <is>
          <t>Heron View (Pty) Ltd</t>
        </is>
      </c>
      <c r="B3230" s="4" t="n">
        <v>45046</v>
      </c>
      <c r="C3230" s="3" t="inlineStr">
        <is>
          <t>Liabilities</t>
        </is>
      </c>
      <c r="D3230" s="3" t="inlineStr">
        <is>
          <t>5500/001</t>
        </is>
      </c>
      <c r="E3230" s="3" t="inlineStr">
        <is>
          <t>Loan - Heron Fields</t>
        </is>
      </c>
      <c r="F3230" s="3" t="n">
        <v>-7391879.03</v>
      </c>
      <c r="G3230" s="3" t="n">
        <v>-26749727.6</v>
      </c>
    </row>
    <row r="3231">
      <c r="A3231" s="3" t="inlineStr">
        <is>
          <t>Heron Fields (Pty) Ltd</t>
        </is>
      </c>
      <c r="B3231" s="4" t="n">
        <v>45046</v>
      </c>
      <c r="C3231" s="3" t="inlineStr">
        <is>
          <t>Liabilities</t>
        </is>
      </c>
      <c r="D3231" s="3" t="inlineStr">
        <is>
          <t>5500/020</t>
        </is>
      </c>
      <c r="E3231" s="3" t="inlineStr">
        <is>
          <t>Loan - Cape Projects Construction</t>
        </is>
      </c>
      <c r="F3231" s="3" t="n">
        <v>0</v>
      </c>
      <c r="G3231" s="3" t="n">
        <v>10376940.42</v>
      </c>
    </row>
    <row r="3232">
      <c r="A3232" s="3" t="inlineStr">
        <is>
          <t>Heron Fields (Pty) Ltd</t>
        </is>
      </c>
      <c r="B3232" s="4" t="n">
        <v>45046</v>
      </c>
      <c r="C3232" s="3" t="inlineStr">
        <is>
          <t>Liabilities</t>
        </is>
      </c>
      <c r="D3232" s="3" t="inlineStr">
        <is>
          <t>5500/030</t>
        </is>
      </c>
      <c r="E3232" s="3" t="inlineStr">
        <is>
          <t>Loan - Opportunity Global Investments</t>
        </is>
      </c>
      <c r="F3232" s="3" t="n">
        <v>0</v>
      </c>
      <c r="G3232" s="3" t="n">
        <v>2703000</v>
      </c>
    </row>
    <row r="3233">
      <c r="A3233" s="3" t="inlineStr">
        <is>
          <t>Heron Fields (Pty) Ltd</t>
        </is>
      </c>
      <c r="B3233" s="4" t="n">
        <v>45046</v>
      </c>
      <c r="C3233" s="3" t="inlineStr">
        <is>
          <t>Liabilities</t>
        </is>
      </c>
      <c r="D3233" s="3" t="inlineStr">
        <is>
          <t>5500/050</t>
        </is>
      </c>
      <c r="E3233" s="3" t="inlineStr">
        <is>
          <t>Loan - Heron View</t>
        </is>
      </c>
      <c r="F3233" s="3" t="n">
        <v>7391879.03</v>
      </c>
      <c r="G3233" s="3" t="n">
        <v>26749727.6</v>
      </c>
    </row>
    <row r="3234">
      <c r="A3234" s="3" t="inlineStr">
        <is>
          <t>Heron Fields (Pty) Ltd</t>
        </is>
      </c>
      <c r="B3234" s="4" t="n">
        <v>45046</v>
      </c>
      <c r="C3234" s="3" t="inlineStr">
        <is>
          <t>Liabilities</t>
        </is>
      </c>
      <c r="D3234" s="3" t="inlineStr">
        <is>
          <t>5500/060</t>
        </is>
      </c>
      <c r="E3234" s="3" t="inlineStr">
        <is>
          <t>Loan - Opportunity Management Holdings</t>
        </is>
      </c>
      <c r="F3234" s="3" t="n">
        <v>0</v>
      </c>
      <c r="G3234" s="3" t="n">
        <v>41000</v>
      </c>
    </row>
    <row r="3235">
      <c r="A3235" s="3" t="inlineStr">
        <is>
          <t>Cape Projects Construction (Pty) Ltd</t>
        </is>
      </c>
      <c r="B3235" s="4" t="n">
        <v>45046</v>
      </c>
      <c r="C3235" s="3" t="inlineStr">
        <is>
          <t>Assets</t>
        </is>
      </c>
      <c r="D3235" s="3" t="inlineStr">
        <is>
          <t>6200/010</t>
        </is>
      </c>
      <c r="E3235" s="3" t="inlineStr">
        <is>
          <t>Motor Vehicles - @ Cost</t>
        </is>
      </c>
      <c r="F3235" s="3" t="n">
        <v>0</v>
      </c>
      <c r="G3235" s="3" t="n">
        <v>216064.1</v>
      </c>
    </row>
    <row r="3236">
      <c r="A3236" s="3" t="inlineStr">
        <is>
          <t>Cape Projects Construction (Pty) Ltd</t>
        </is>
      </c>
      <c r="B3236" s="4" t="n">
        <v>45046</v>
      </c>
      <c r="C3236" s="3" t="inlineStr">
        <is>
          <t>Assets</t>
        </is>
      </c>
      <c r="D3236" s="3" t="inlineStr">
        <is>
          <t>6200/020</t>
        </is>
      </c>
      <c r="E3236" s="3" t="inlineStr">
        <is>
          <t>Motor Vehicles - Accum Depre</t>
        </is>
      </c>
      <c r="F3236" s="3" t="n">
        <v>0</v>
      </c>
      <c r="G3236" s="3" t="n">
        <v>-216063.1</v>
      </c>
    </row>
    <row r="3237">
      <c r="A3237" s="3" t="inlineStr">
        <is>
          <t>Cape Projects Construction (Pty) Ltd</t>
        </is>
      </c>
      <c r="B3237" s="4" t="n">
        <v>45046</v>
      </c>
      <c r="C3237" s="3" t="inlineStr">
        <is>
          <t>Assets</t>
        </is>
      </c>
      <c r="D3237" s="3" t="inlineStr">
        <is>
          <t>6250/010</t>
        </is>
      </c>
      <c r="E3237" s="3" t="inlineStr">
        <is>
          <t>Computer Equipment - @ Cost</t>
        </is>
      </c>
      <c r="F3237" s="3" t="n">
        <v>0</v>
      </c>
      <c r="G3237" s="3" t="n">
        <v>133790.35</v>
      </c>
    </row>
    <row r="3238">
      <c r="A3238" s="3" t="inlineStr">
        <is>
          <t>Cape Projects Construction (Pty) Ltd</t>
        </is>
      </c>
      <c r="B3238" s="4" t="n">
        <v>45046</v>
      </c>
      <c r="C3238" s="3" t="inlineStr">
        <is>
          <t>Assets</t>
        </is>
      </c>
      <c r="D3238" s="3" t="inlineStr">
        <is>
          <t>6250/020</t>
        </is>
      </c>
      <c r="E3238" s="3" t="inlineStr">
        <is>
          <t>Computer Equipment - Accum Depre</t>
        </is>
      </c>
      <c r="F3238" s="3" t="n">
        <v>-3323.88</v>
      </c>
      <c r="G3238" s="3" t="n">
        <v>-49570.78</v>
      </c>
    </row>
    <row r="3239">
      <c r="A3239" s="3" t="inlineStr">
        <is>
          <t>Cape Projects Construction (Pty) Ltd</t>
        </is>
      </c>
      <c r="B3239" s="4" t="n">
        <v>45046</v>
      </c>
      <c r="C3239" s="3" t="inlineStr">
        <is>
          <t>Assets</t>
        </is>
      </c>
      <c r="D3239" s="3" t="inlineStr">
        <is>
          <t>6350/010</t>
        </is>
      </c>
      <c r="E3239" s="3" t="inlineStr">
        <is>
          <t>Furniture _AND_ Fittings - @ Cost</t>
        </is>
      </c>
      <c r="F3239" s="3" t="n">
        <v>0</v>
      </c>
      <c r="G3239" s="3" t="n">
        <v>37955.3</v>
      </c>
    </row>
    <row r="3240">
      <c r="A3240" s="3" t="inlineStr">
        <is>
          <t>Cape Projects Construction (Pty) Ltd</t>
        </is>
      </c>
      <c r="B3240" s="4" t="n">
        <v>45046</v>
      </c>
      <c r="C3240" s="3" t="inlineStr">
        <is>
          <t>Assets</t>
        </is>
      </c>
      <c r="D3240" s="3" t="inlineStr">
        <is>
          <t>6350/020</t>
        </is>
      </c>
      <c r="E3240" s="3" t="inlineStr">
        <is>
          <t>Furniture _AND_ Fittings - Accum Depre</t>
        </is>
      </c>
      <c r="F3240" s="3" t="n">
        <v>-547.67</v>
      </c>
      <c r="G3240" s="3" t="n">
        <v>-6989.9</v>
      </c>
    </row>
    <row r="3241">
      <c r="A3241" s="3" t="inlineStr">
        <is>
          <t>Cape Projects Construction (Pty) Ltd</t>
        </is>
      </c>
      <c r="B3241" s="4" t="n">
        <v>45046</v>
      </c>
      <c r="C3241" s="3" t="inlineStr">
        <is>
          <t>Assets</t>
        </is>
      </c>
      <c r="D3241" s="3" t="inlineStr">
        <is>
          <t>6600/010</t>
        </is>
      </c>
      <c r="E3241" s="3" t="inlineStr">
        <is>
          <t>Generator Fixed Asset - @ Cost</t>
        </is>
      </c>
      <c r="F3241" s="3" t="n">
        <v>0</v>
      </c>
      <c r="G3241" s="3" t="n">
        <v>11600</v>
      </c>
    </row>
    <row r="3242">
      <c r="A3242" s="3" t="inlineStr">
        <is>
          <t>Cape Projects Construction (Pty) Ltd</t>
        </is>
      </c>
      <c r="B3242" s="4" t="n">
        <v>45046</v>
      </c>
      <c r="C3242" s="3" t="inlineStr">
        <is>
          <t>Assets</t>
        </is>
      </c>
      <c r="D3242" s="3" t="inlineStr">
        <is>
          <t>6600/020</t>
        </is>
      </c>
      <c r="E3242" s="3" t="inlineStr">
        <is>
          <t>Generator Fixed Asset - Accum Depre</t>
        </is>
      </c>
      <c r="F3242" s="3" t="n">
        <v>-193.34</v>
      </c>
      <c r="G3242" s="3" t="n">
        <v>-3512.23</v>
      </c>
    </row>
    <row r="3243">
      <c r="A3243" s="3" t="inlineStr">
        <is>
          <t>Heron Fields (Pty) Ltd</t>
        </is>
      </c>
      <c r="B3243" s="4" t="n">
        <v>45046</v>
      </c>
      <c r="C3243" s="3" t="inlineStr">
        <is>
          <t>Assets</t>
        </is>
      </c>
      <c r="D3243" s="3" t="inlineStr">
        <is>
          <t>7610/395</t>
        </is>
      </c>
      <c r="E3243" s="3" t="inlineStr">
        <is>
          <t>HF CIP NHBRC</t>
        </is>
      </c>
      <c r="F3243" s="3" t="n">
        <v>0</v>
      </c>
      <c r="G3243" s="3" t="n">
        <v>874505.75</v>
      </c>
    </row>
    <row r="3244">
      <c r="A3244" s="3" t="inlineStr">
        <is>
          <t>Heron View (Pty) Ltd</t>
        </is>
      </c>
      <c r="B3244" s="4" t="n">
        <v>45046</v>
      </c>
      <c r="C3244" s="3" t="inlineStr">
        <is>
          <t>Assets</t>
        </is>
      </c>
      <c r="D3244" s="3" t="inlineStr">
        <is>
          <t>7610/395</t>
        </is>
      </c>
      <c r="E3244" s="3" t="inlineStr">
        <is>
          <t>Heron CIP NHBRC</t>
        </is>
      </c>
      <c r="F3244" s="3" t="n">
        <v>181086.48</v>
      </c>
      <c r="G3244" s="3" t="n">
        <v>620341.23</v>
      </c>
    </row>
    <row r="3245">
      <c r="A3245" s="3" t="inlineStr">
        <is>
          <t>Heron Fields (Pty) Ltd</t>
        </is>
      </c>
      <c r="B3245" s="4" t="n">
        <v>45046</v>
      </c>
      <c r="C3245" s="3" t="inlineStr">
        <is>
          <t>Assets</t>
        </is>
      </c>
      <c r="D3245" s="3" t="inlineStr">
        <is>
          <t>7620/100</t>
        </is>
      </c>
      <c r="E3245" s="3" t="inlineStr">
        <is>
          <t>Heron View Land</t>
        </is>
      </c>
      <c r="F3245" s="3" t="n">
        <v>0</v>
      </c>
      <c r="G3245" s="3" t="n">
        <v>26200000</v>
      </c>
    </row>
    <row r="3246">
      <c r="A3246" s="3" t="inlineStr">
        <is>
          <t>Heron Fields (Pty) Ltd</t>
        </is>
      </c>
      <c r="B3246" s="4" t="n">
        <v>45046</v>
      </c>
      <c r="C3246" s="3" t="inlineStr">
        <is>
          <t>Assets</t>
        </is>
      </c>
      <c r="D3246" s="3" t="inlineStr">
        <is>
          <t>7620/101</t>
        </is>
      </c>
      <c r="E3246" s="3" t="inlineStr">
        <is>
          <t>HF CIP Bond Registration Fee</t>
        </is>
      </c>
      <c r="F3246" s="3" t="n">
        <v>0</v>
      </c>
      <c r="G3246" s="3" t="n">
        <v>68427</v>
      </c>
    </row>
    <row r="3247">
      <c r="A3247" s="3" t="inlineStr">
        <is>
          <t>Heron Fields (Pty) Ltd</t>
        </is>
      </c>
      <c r="B3247" s="4" t="n">
        <v>45046</v>
      </c>
      <c r="C3247" s="3" t="inlineStr">
        <is>
          <t>Assets</t>
        </is>
      </c>
      <c r="D3247" s="3" t="inlineStr">
        <is>
          <t>7620/102</t>
        </is>
      </c>
      <c r="E3247" s="3" t="inlineStr">
        <is>
          <t>HF CIP Transfer Fee</t>
        </is>
      </c>
      <c r="F3247" s="3" t="n">
        <v>0</v>
      </c>
      <c r="G3247" s="3" t="n">
        <v>103812</v>
      </c>
    </row>
    <row r="3248">
      <c r="A3248" s="3" t="inlineStr">
        <is>
          <t>Heron Fields (Pty) Ltd</t>
        </is>
      </c>
      <c r="B3248" s="4" t="n">
        <v>45046</v>
      </c>
      <c r="C3248" s="3" t="inlineStr">
        <is>
          <t>Assets</t>
        </is>
      </c>
      <c r="D3248" s="3" t="inlineStr">
        <is>
          <t>7620/220</t>
        </is>
      </c>
      <c r="E3248" s="3" t="inlineStr">
        <is>
          <t>HF CIP Architectural Designs</t>
        </is>
      </c>
      <c r="F3248" s="3" t="n">
        <v>0</v>
      </c>
      <c r="G3248" s="3" t="n">
        <v>314087</v>
      </c>
    </row>
    <row r="3249">
      <c r="A3249" s="3" t="inlineStr">
        <is>
          <t>Heron View (Pty) Ltd</t>
        </is>
      </c>
      <c r="B3249" s="4" t="n">
        <v>45046</v>
      </c>
      <c r="C3249" s="3" t="inlineStr">
        <is>
          <t>Assets</t>
        </is>
      </c>
      <c r="D3249" s="3" t="inlineStr">
        <is>
          <t>7620/220</t>
        </is>
      </c>
      <c r="E3249" s="3" t="inlineStr">
        <is>
          <t>Heron View CIP Architectural Designs</t>
        </is>
      </c>
      <c r="F3249" s="3" t="n">
        <v>102551.98</v>
      </c>
      <c r="G3249" s="3" t="n">
        <v>126951.98</v>
      </c>
    </row>
    <row r="3250">
      <c r="A3250" s="3" t="inlineStr">
        <is>
          <t>Heron Fields (Pty) Ltd</t>
        </is>
      </c>
      <c r="B3250" s="4" t="n">
        <v>45046</v>
      </c>
      <c r="C3250" s="3" t="inlineStr">
        <is>
          <t>Assets</t>
        </is>
      </c>
      <c r="D3250" s="3" t="inlineStr">
        <is>
          <t>7620/230</t>
        </is>
      </c>
      <c r="E3250" s="3" t="inlineStr">
        <is>
          <t>HF CIP Construction Management</t>
        </is>
      </c>
      <c r="F3250" s="3" t="n">
        <v>1500</v>
      </c>
      <c r="G3250" s="3" t="n">
        <v>139500</v>
      </c>
    </row>
    <row r="3251">
      <c r="A3251" s="3" t="inlineStr">
        <is>
          <t>Heron Fields (Pty) Ltd</t>
        </is>
      </c>
      <c r="B3251" s="4" t="n">
        <v>45046</v>
      </c>
      <c r="C3251" s="3" t="inlineStr">
        <is>
          <t>Assets</t>
        </is>
      </c>
      <c r="D3251" s="3" t="inlineStr">
        <is>
          <t>7620/240</t>
        </is>
      </c>
      <c r="E3251" s="3" t="inlineStr">
        <is>
          <t>HF CIP Civil Engineering</t>
        </is>
      </c>
      <c r="F3251" s="3" t="n">
        <v>0</v>
      </c>
      <c r="G3251" s="3" t="n">
        <v>8557641.800000001</v>
      </c>
    </row>
    <row r="3252">
      <c r="A3252" s="3" t="inlineStr">
        <is>
          <t>Heron Fields (Pty) Ltd</t>
        </is>
      </c>
      <c r="B3252" s="4" t="n">
        <v>45046</v>
      </c>
      <c r="C3252" s="3" t="inlineStr">
        <is>
          <t>Assets</t>
        </is>
      </c>
      <c r="D3252" s="3" t="inlineStr">
        <is>
          <t>7620/245</t>
        </is>
      </c>
      <c r="E3252" s="3" t="inlineStr">
        <is>
          <t>HF CIP Development fee</t>
        </is>
      </c>
      <c r="F3252" s="3" t="n">
        <v>0</v>
      </c>
      <c r="G3252" s="3" t="n">
        <v>13807.78</v>
      </c>
    </row>
    <row r="3253">
      <c r="A3253" s="3" t="inlineStr">
        <is>
          <t>Heron Fields (Pty) Ltd</t>
        </is>
      </c>
      <c r="B3253" s="4" t="n">
        <v>45046</v>
      </c>
      <c r="C3253" s="3" t="inlineStr">
        <is>
          <t>Assets</t>
        </is>
      </c>
      <c r="D3253" s="3" t="inlineStr">
        <is>
          <t>7620/250</t>
        </is>
      </c>
      <c r="E3253" s="3" t="inlineStr">
        <is>
          <t>HF CIP Land Surveyor</t>
        </is>
      </c>
      <c r="F3253" s="3" t="n">
        <v>3500</v>
      </c>
      <c r="G3253" s="3" t="n">
        <v>197060.09</v>
      </c>
    </row>
    <row r="3254">
      <c r="A3254" s="3" t="inlineStr">
        <is>
          <t>Heron View (Pty) Ltd</t>
        </is>
      </c>
      <c r="B3254" s="4" t="n">
        <v>45046</v>
      </c>
      <c r="C3254" s="3" t="inlineStr">
        <is>
          <t>Assets</t>
        </is>
      </c>
      <c r="D3254" s="3" t="inlineStr">
        <is>
          <t>7620/250</t>
        </is>
      </c>
      <c r="E3254" s="3" t="inlineStr">
        <is>
          <t>Heron View CIP Land Surveyor</t>
        </is>
      </c>
      <c r="F3254" s="3" t="n">
        <v>0</v>
      </c>
      <c r="G3254" s="3" t="n">
        <v>19185</v>
      </c>
    </row>
    <row r="3255">
      <c r="A3255" s="3" t="inlineStr">
        <is>
          <t>Heron Fields (Pty) Ltd</t>
        </is>
      </c>
      <c r="B3255" s="4" t="n">
        <v>45046</v>
      </c>
      <c r="C3255" s="3" t="inlineStr">
        <is>
          <t>Assets</t>
        </is>
      </c>
      <c r="D3255" s="3" t="inlineStr">
        <is>
          <t>7620/255</t>
        </is>
      </c>
      <c r="E3255" s="3" t="inlineStr">
        <is>
          <t>HF CIP Landscaping</t>
        </is>
      </c>
      <c r="F3255" s="3" t="n">
        <v>0</v>
      </c>
      <c r="G3255" s="3" t="n">
        <v>7500</v>
      </c>
    </row>
    <row r="3256">
      <c r="A3256" s="3" t="inlineStr">
        <is>
          <t>Heron View (Pty) Ltd</t>
        </is>
      </c>
      <c r="B3256" s="4" t="n">
        <v>45046</v>
      </c>
      <c r="C3256" s="3" t="inlineStr">
        <is>
          <t>Assets</t>
        </is>
      </c>
      <c r="D3256" s="3" t="inlineStr">
        <is>
          <t>7620/255</t>
        </is>
      </c>
      <c r="E3256" s="3" t="inlineStr">
        <is>
          <t>Heron View CIP Landscaping</t>
        </is>
      </c>
      <c r="F3256" s="3" t="n">
        <v>114370.5</v>
      </c>
      <c r="G3256" s="3" t="n">
        <v>114370.5</v>
      </c>
    </row>
    <row r="3257">
      <c r="A3257" s="3" t="inlineStr">
        <is>
          <t>Heron Fields (Pty) Ltd</t>
        </is>
      </c>
      <c r="B3257" s="4" t="n">
        <v>45046</v>
      </c>
      <c r="C3257" s="3" t="inlineStr">
        <is>
          <t>Assets</t>
        </is>
      </c>
      <c r="D3257" s="3" t="inlineStr">
        <is>
          <t>7620/260</t>
        </is>
      </c>
      <c r="E3257" s="3" t="inlineStr">
        <is>
          <t>HF CIP Mechanical Engineers</t>
        </is>
      </c>
      <c r="F3257" s="3" t="n">
        <v>0</v>
      </c>
      <c r="G3257" s="3" t="n">
        <v>67400</v>
      </c>
    </row>
    <row r="3258">
      <c r="A3258" s="3" t="inlineStr">
        <is>
          <t>Heron Fields (Pty) Ltd</t>
        </is>
      </c>
      <c r="B3258" s="4" t="n">
        <v>45046</v>
      </c>
      <c r="C3258" s="3" t="inlineStr">
        <is>
          <t>Assets</t>
        </is>
      </c>
      <c r="D3258" s="3" t="inlineStr">
        <is>
          <t>7620/265</t>
        </is>
      </c>
      <c r="E3258" s="3" t="inlineStr">
        <is>
          <t>HF CIP Health &amp; Safety</t>
        </is>
      </c>
      <c r="F3258" s="3" t="n">
        <v>0</v>
      </c>
      <c r="G3258" s="3" t="n">
        <v>20600</v>
      </c>
    </row>
    <row r="3259">
      <c r="A3259" s="3" t="inlineStr">
        <is>
          <t>Heron Fields (Pty) Ltd</t>
        </is>
      </c>
      <c r="B3259" s="4" t="n">
        <v>45046</v>
      </c>
      <c r="C3259" s="3" t="inlineStr">
        <is>
          <t>Assets</t>
        </is>
      </c>
      <c r="D3259" s="3" t="inlineStr">
        <is>
          <t>7620/270</t>
        </is>
      </c>
      <c r="E3259" s="3" t="inlineStr">
        <is>
          <t>HF CIP Geotechnical</t>
        </is>
      </c>
      <c r="F3259" s="3" t="n">
        <v>0</v>
      </c>
      <c r="G3259" s="3" t="n">
        <v>15175</v>
      </c>
    </row>
    <row r="3260">
      <c r="A3260" s="3" t="inlineStr">
        <is>
          <t>Heron Fields (Pty) Ltd</t>
        </is>
      </c>
      <c r="B3260" s="4" t="n">
        <v>45046</v>
      </c>
      <c r="C3260" s="3" t="inlineStr">
        <is>
          <t>Assets</t>
        </is>
      </c>
      <c r="D3260" s="3" t="inlineStr">
        <is>
          <t>7620/275</t>
        </is>
      </c>
      <c r="E3260" s="3" t="inlineStr">
        <is>
          <t>HF CIP Retaining Wall</t>
        </is>
      </c>
      <c r="F3260" s="3" t="n">
        <v>0</v>
      </c>
      <c r="G3260" s="3" t="n">
        <v>570856.08</v>
      </c>
    </row>
    <row r="3261">
      <c r="A3261" s="3" t="inlineStr">
        <is>
          <t>Heron Fields (Pty) Ltd</t>
        </is>
      </c>
      <c r="B3261" s="4" t="n">
        <v>45046</v>
      </c>
      <c r="C3261" s="3" t="inlineStr">
        <is>
          <t>Assets</t>
        </is>
      </c>
      <c r="D3261" s="3" t="inlineStr">
        <is>
          <t>7620/280</t>
        </is>
      </c>
      <c r="E3261" s="3" t="inlineStr">
        <is>
          <t>HF CIP Site Establishment</t>
        </is>
      </c>
      <c r="F3261" s="3" t="n">
        <v>0</v>
      </c>
      <c r="G3261" s="3" t="n">
        <v>47748851.51</v>
      </c>
    </row>
    <row r="3262">
      <c r="A3262" s="3" t="inlineStr">
        <is>
          <t>Heron View (Pty) Ltd</t>
        </is>
      </c>
      <c r="B3262" s="4" t="n">
        <v>45046</v>
      </c>
      <c r="C3262" s="3" t="inlineStr">
        <is>
          <t>Assets</t>
        </is>
      </c>
      <c r="D3262" s="3" t="inlineStr">
        <is>
          <t>7620/280</t>
        </is>
      </c>
      <c r="E3262" s="3" t="inlineStr">
        <is>
          <t>Heron View CIP Site Establishment</t>
        </is>
      </c>
      <c r="F3262" s="3" t="n">
        <v>0</v>
      </c>
      <c r="G3262" s="3" t="n">
        <v>7187757.92</v>
      </c>
    </row>
    <row r="3263">
      <c r="A3263" s="3" t="inlineStr">
        <is>
          <t>Heron Fields (Pty) Ltd</t>
        </is>
      </c>
      <c r="B3263" s="4" t="n">
        <v>45046</v>
      </c>
      <c r="C3263" s="3" t="inlineStr">
        <is>
          <t>Assets</t>
        </is>
      </c>
      <c r="D3263" s="3" t="inlineStr">
        <is>
          <t>7620/285</t>
        </is>
      </c>
      <c r="E3263" s="3" t="inlineStr">
        <is>
          <t>HF CIP Structuring Fee - Invest</t>
        </is>
      </c>
      <c r="F3263" s="3" t="n">
        <v>0</v>
      </c>
      <c r="G3263" s="3" t="n">
        <v>3850818.04</v>
      </c>
    </row>
    <row r="3264">
      <c r="A3264" s="3" t="inlineStr">
        <is>
          <t>Heron View (Pty) Ltd</t>
        </is>
      </c>
      <c r="B3264" s="4" t="n">
        <v>45046</v>
      </c>
      <c r="C3264" s="3" t="inlineStr">
        <is>
          <t>Assets</t>
        </is>
      </c>
      <c r="D3264" s="3" t="inlineStr">
        <is>
          <t>7620/285</t>
        </is>
      </c>
      <c r="E3264" s="3" t="inlineStr">
        <is>
          <t>Heron View CIP Structuring Fee - Invest</t>
        </is>
      </c>
      <c r="F3264" s="3" t="n">
        <v>0</v>
      </c>
      <c r="G3264" s="3" t="n">
        <v>1826086.96</v>
      </c>
    </row>
    <row r="3265">
      <c r="A3265" s="3" t="inlineStr">
        <is>
          <t>Heron Fields (Pty) Ltd</t>
        </is>
      </c>
      <c r="B3265" s="4" t="n">
        <v>45046</v>
      </c>
      <c r="C3265" s="3" t="inlineStr">
        <is>
          <t>Assets</t>
        </is>
      </c>
      <c r="D3265" s="3" t="inlineStr">
        <is>
          <t>7620/287</t>
        </is>
      </c>
      <c r="E3265" s="3" t="inlineStr">
        <is>
          <t>HF CIP Structuring Fee - Development</t>
        </is>
      </c>
      <c r="F3265" s="3" t="n">
        <v>0</v>
      </c>
      <c r="G3265" s="3" t="n">
        <v>782608.0699999999</v>
      </c>
    </row>
    <row r="3266">
      <c r="A3266" s="3" t="inlineStr">
        <is>
          <t>Heron Fields (Pty) Ltd</t>
        </is>
      </c>
      <c r="B3266" s="4" t="n">
        <v>45046</v>
      </c>
      <c r="C3266" s="3" t="inlineStr">
        <is>
          <t>Assets</t>
        </is>
      </c>
      <c r="D3266" s="3" t="inlineStr">
        <is>
          <t>7620/290</t>
        </is>
      </c>
      <c r="E3266" s="3" t="inlineStr">
        <is>
          <t>HF CIP Town Planning</t>
        </is>
      </c>
      <c r="F3266" s="3" t="n">
        <v>0</v>
      </c>
      <c r="G3266" s="3" t="n">
        <v>166550</v>
      </c>
    </row>
    <row r="3267">
      <c r="A3267" s="3" t="inlineStr">
        <is>
          <t>Heron Fields (Pty) Ltd</t>
        </is>
      </c>
      <c r="B3267" s="4" t="n">
        <v>45046</v>
      </c>
      <c r="C3267" s="3" t="inlineStr">
        <is>
          <t>Assets</t>
        </is>
      </c>
      <c r="D3267" s="3" t="inlineStr">
        <is>
          <t>7620/295</t>
        </is>
      </c>
      <c r="E3267" s="3" t="inlineStr">
        <is>
          <t>HF CIP Traffic Planning</t>
        </is>
      </c>
      <c r="F3267" s="3" t="n">
        <v>0</v>
      </c>
      <c r="G3267" s="3" t="n">
        <v>45000</v>
      </c>
    </row>
    <row r="3268">
      <c r="A3268" s="3" t="inlineStr">
        <is>
          <t>Heron Fields (Pty) Ltd</t>
        </is>
      </c>
      <c r="B3268" s="4" t="n">
        <v>45046</v>
      </c>
      <c r="C3268" s="3" t="inlineStr">
        <is>
          <t>Assets</t>
        </is>
      </c>
      <c r="D3268" s="3" t="inlineStr">
        <is>
          <t>7620/600</t>
        </is>
      </c>
      <c r="E3268" s="3" t="inlineStr">
        <is>
          <t>HF CIP Eco work</t>
        </is>
      </c>
      <c r="F3268" s="3" t="n">
        <v>6000</v>
      </c>
      <c r="G3268" s="3" t="n">
        <v>137000</v>
      </c>
    </row>
    <row r="3269">
      <c r="A3269" s="3" t="inlineStr">
        <is>
          <t>Heron View (Pty) Ltd</t>
        </is>
      </c>
      <c r="B3269" s="4" t="n">
        <v>45046</v>
      </c>
      <c r="C3269" s="3" t="inlineStr">
        <is>
          <t>Assets</t>
        </is>
      </c>
      <c r="D3269" s="3" t="inlineStr">
        <is>
          <t>7620/605</t>
        </is>
      </c>
      <c r="E3269" s="3" t="inlineStr">
        <is>
          <t>Heron View CIP Structural Engineers</t>
        </is>
      </c>
      <c r="F3269" s="3" t="n">
        <v>221353.14</v>
      </c>
      <c r="G3269" s="3" t="n">
        <v>221353.14</v>
      </c>
    </row>
    <row r="3270">
      <c r="A3270" s="3" t="inlineStr">
        <is>
          <t>Heron View (Pty) Ltd</t>
        </is>
      </c>
      <c r="B3270" s="4" t="n">
        <v>45046</v>
      </c>
      <c r="C3270" s="3" t="inlineStr">
        <is>
          <t>Assets</t>
        </is>
      </c>
      <c r="D3270" s="3" t="inlineStr">
        <is>
          <t>7620/610</t>
        </is>
      </c>
      <c r="E3270" s="3" t="inlineStr">
        <is>
          <t>HV CIP Retaining wall</t>
        </is>
      </c>
      <c r="F3270" s="3" t="n">
        <v>0</v>
      </c>
      <c r="G3270" s="3" t="n">
        <v>66190.11</v>
      </c>
    </row>
    <row r="3271">
      <c r="A3271" s="3" t="inlineStr">
        <is>
          <t>Heron Fields (Pty) Ltd</t>
        </is>
      </c>
      <c r="B3271" s="4" t="n">
        <v>45046</v>
      </c>
      <c r="C3271" s="3" t="inlineStr">
        <is>
          <t>Assets</t>
        </is>
      </c>
      <c r="D3271" s="3" t="inlineStr">
        <is>
          <t>7620/630</t>
        </is>
      </c>
      <c r="E3271" s="3" t="inlineStr">
        <is>
          <t>HF CIP CoCT development contribution</t>
        </is>
      </c>
      <c r="F3271" s="3" t="n">
        <v>-214050</v>
      </c>
      <c r="G3271" s="3" t="n">
        <v>807275.63</v>
      </c>
    </row>
    <row r="3272">
      <c r="A3272" s="3" t="inlineStr">
        <is>
          <t>Heron View (Pty) Ltd</t>
        </is>
      </c>
      <c r="B3272" s="4" t="n">
        <v>45046</v>
      </c>
      <c r="C3272" s="3" t="inlineStr">
        <is>
          <t>Assets</t>
        </is>
      </c>
      <c r="D3272" s="3" t="inlineStr">
        <is>
          <t>7620/630</t>
        </is>
      </c>
      <c r="E3272" s="3" t="inlineStr">
        <is>
          <t>Heron CIP - CoCT development contribution</t>
        </is>
      </c>
      <c r="F3272" s="3" t="n">
        <v>0</v>
      </c>
      <c r="G3272" s="3" t="n">
        <v>1313735.84</v>
      </c>
    </row>
    <row r="3273">
      <c r="A3273" s="3" t="inlineStr">
        <is>
          <t>Heron Fields (Pty) Ltd</t>
        </is>
      </c>
      <c r="B3273" s="4" t="n">
        <v>45046</v>
      </c>
      <c r="C3273" s="3" t="inlineStr">
        <is>
          <t>Assets</t>
        </is>
      </c>
      <c r="D3273" s="3" t="inlineStr">
        <is>
          <t>7620/640</t>
        </is>
      </c>
      <c r="E3273" s="3" t="inlineStr">
        <is>
          <t>HF CIP Project costs</t>
        </is>
      </c>
      <c r="F3273" s="3" t="n">
        <v>0</v>
      </c>
      <c r="G3273" s="3" t="n">
        <v>622274.51</v>
      </c>
    </row>
    <row r="3274">
      <c r="A3274" s="3" t="inlineStr">
        <is>
          <t>Heron View (Pty) Ltd</t>
        </is>
      </c>
      <c r="B3274" s="4" t="n">
        <v>45046</v>
      </c>
      <c r="C3274" s="3" t="inlineStr">
        <is>
          <t>Assets</t>
        </is>
      </c>
      <c r="D3274" s="3" t="inlineStr">
        <is>
          <t>7620/650</t>
        </is>
      </c>
      <c r="E3274" s="3" t="inlineStr">
        <is>
          <t>CIP - Construction Management</t>
        </is>
      </c>
      <c r="F3274" s="3" t="n">
        <v>18750</v>
      </c>
      <c r="G3274" s="3" t="n">
        <v>63530</v>
      </c>
    </row>
    <row r="3275">
      <c r="A3275" s="3" t="inlineStr">
        <is>
          <t>Heron Fields (Pty) Ltd</t>
        </is>
      </c>
      <c r="B3275" s="4" t="n">
        <v>45046</v>
      </c>
      <c r="C3275" s="3" t="inlineStr">
        <is>
          <t>Assets</t>
        </is>
      </c>
      <c r="D3275" s="3" t="inlineStr">
        <is>
          <t>7620/650</t>
        </is>
      </c>
      <c r="E3275" s="3" t="inlineStr">
        <is>
          <t>HF CIP Electrical</t>
        </is>
      </c>
      <c r="F3275" s="3" t="n">
        <v>0</v>
      </c>
      <c r="G3275" s="3" t="n">
        <v>985049.6800000001</v>
      </c>
    </row>
    <row r="3276">
      <c r="A3276" s="3" t="inlineStr">
        <is>
          <t>Heron View (Pty) Ltd</t>
        </is>
      </c>
      <c r="B3276" s="4" t="n">
        <v>45046</v>
      </c>
      <c r="C3276" s="3" t="inlineStr">
        <is>
          <t>Assets</t>
        </is>
      </c>
      <c r="D3276" s="3" t="inlineStr">
        <is>
          <t>7620/660</t>
        </is>
      </c>
      <c r="E3276" s="3" t="inlineStr">
        <is>
          <t>HV CIP Health &amp; Safety</t>
        </is>
      </c>
      <c r="F3276" s="3" t="n">
        <v>1400</v>
      </c>
      <c r="G3276" s="3" t="n">
        <v>17400</v>
      </c>
    </row>
    <row r="3277">
      <c r="A3277" s="3" t="inlineStr">
        <is>
          <t>Heron View (Pty) Ltd</t>
        </is>
      </c>
      <c r="B3277" s="4" t="n">
        <v>45046</v>
      </c>
      <c r="C3277" s="3" t="inlineStr">
        <is>
          <t>Assets</t>
        </is>
      </c>
      <c r="D3277" s="3" t="inlineStr">
        <is>
          <t>7620/670</t>
        </is>
      </c>
      <c r="E3277" s="3" t="inlineStr">
        <is>
          <t>HV CIP - Project costs CPSD</t>
        </is>
      </c>
      <c r="F3277" s="3" t="n">
        <v>0</v>
      </c>
      <c r="G3277" s="3" t="n">
        <v>684782.6</v>
      </c>
    </row>
    <row r="3278">
      <c r="A3278" s="3" t="inlineStr">
        <is>
          <t>Heron View (Pty) Ltd</t>
        </is>
      </c>
      <c r="B3278" s="4" t="n">
        <v>45046</v>
      </c>
      <c r="C3278" s="3" t="inlineStr">
        <is>
          <t>Assets</t>
        </is>
      </c>
      <c r="D3278" s="3" t="inlineStr">
        <is>
          <t>7620/680</t>
        </is>
      </c>
      <c r="E3278" s="3" t="inlineStr">
        <is>
          <t>HV CIP Elextrical</t>
        </is>
      </c>
      <c r="F3278" s="3" t="n">
        <v>99398.37</v>
      </c>
      <c r="G3278" s="3" t="n">
        <v>969789.71</v>
      </c>
    </row>
    <row r="3279">
      <c r="A3279" s="3" t="inlineStr">
        <is>
          <t>Heron View (Pty) Ltd</t>
        </is>
      </c>
      <c r="B3279" s="4" t="n">
        <v>45046</v>
      </c>
      <c r="C3279" s="3" t="inlineStr">
        <is>
          <t>Assets</t>
        </is>
      </c>
      <c r="D3279" s="3" t="inlineStr">
        <is>
          <t>7620/690</t>
        </is>
      </c>
      <c r="E3279" s="3" t="inlineStr">
        <is>
          <t>HV CIP Site Establishment</t>
        </is>
      </c>
      <c r="F3279" s="3" t="n">
        <v>4336497.82</v>
      </c>
      <c r="G3279" s="3" t="n">
        <v>11465668.45</v>
      </c>
    </row>
    <row r="3280">
      <c r="A3280" s="3" t="inlineStr">
        <is>
          <t>Heron Fields (Pty) Ltd</t>
        </is>
      </c>
      <c r="B3280" s="4" t="n">
        <v>45046</v>
      </c>
      <c r="C3280" s="3" t="inlineStr">
        <is>
          <t>Assets</t>
        </is>
      </c>
      <c r="D3280" s="3" t="inlineStr">
        <is>
          <t>7620/750</t>
        </is>
      </c>
      <c r="E3280" s="3" t="inlineStr">
        <is>
          <t>HF CIP Project costs CPSD</t>
        </is>
      </c>
      <c r="F3280" s="3" t="n">
        <v>0</v>
      </c>
      <c r="G3280" s="3" t="n">
        <v>1502445.03</v>
      </c>
    </row>
    <row r="3281">
      <c r="A3281" s="3" t="inlineStr">
        <is>
          <t>Heron Fields (Pty) Ltd</t>
        </is>
      </c>
      <c r="B3281" s="4" t="n">
        <v>45046</v>
      </c>
      <c r="C3281" s="3" t="inlineStr">
        <is>
          <t>Assets</t>
        </is>
      </c>
      <c r="D3281" s="3" t="inlineStr">
        <is>
          <t>7620/800</t>
        </is>
      </c>
      <c r="E3281" s="3" t="inlineStr">
        <is>
          <t>HF CIP GL Conradie</t>
        </is>
      </c>
      <c r="F3281" s="3" t="n">
        <v>0</v>
      </c>
      <c r="G3281" s="3" t="n">
        <v>1068455</v>
      </c>
    </row>
    <row r="3282">
      <c r="A3282" s="3" t="inlineStr">
        <is>
          <t>Heron Fields (Pty) Ltd</t>
        </is>
      </c>
      <c r="B3282" s="4" t="n">
        <v>45046</v>
      </c>
      <c r="C3282" s="3" t="inlineStr">
        <is>
          <t>Assets</t>
        </is>
      </c>
      <c r="D3282" s="3" t="inlineStr">
        <is>
          <t>7700/010</t>
        </is>
      </c>
      <c r="E3282" s="3" t="inlineStr">
        <is>
          <t>Construction 28 Feb 23 HF</t>
        </is>
      </c>
      <c r="F3282" s="3" t="n">
        <v>0</v>
      </c>
      <c r="G3282" s="3" t="n">
        <v>-24427668.44</v>
      </c>
    </row>
    <row r="3283">
      <c r="A3283" s="3" t="inlineStr">
        <is>
          <t>Cape Projects Construction (Pty) Ltd</t>
        </is>
      </c>
      <c r="B3283" s="4" t="n">
        <v>45046</v>
      </c>
      <c r="C3283" s="3" t="inlineStr">
        <is>
          <t>Assets</t>
        </is>
      </c>
      <c r="D3283" s="3" t="inlineStr">
        <is>
          <t>7800/000</t>
        </is>
      </c>
      <c r="E3283" s="3" t="inlineStr">
        <is>
          <t>Deposits paid</t>
        </is>
      </c>
      <c r="F3283" s="3" t="n">
        <v>0</v>
      </c>
      <c r="G3283" s="3" t="n">
        <v>29600</v>
      </c>
    </row>
    <row r="3284">
      <c r="A3284" s="3" t="inlineStr">
        <is>
          <t>Cape Projects Construction (Pty) Ltd</t>
        </is>
      </c>
      <c r="B3284" s="4" t="n">
        <v>45046</v>
      </c>
      <c r="C3284" s="3" t="inlineStr">
        <is>
          <t>Assets</t>
        </is>
      </c>
      <c r="D3284" s="3" t="inlineStr">
        <is>
          <t>8000/000</t>
        </is>
      </c>
      <c r="E3284" s="3" t="inlineStr">
        <is>
          <t>Customer Control Account</t>
        </is>
      </c>
      <c r="F3284" s="3" t="n">
        <v>-2763027.51</v>
      </c>
      <c r="G3284" s="3" t="n">
        <v>-5442617.35</v>
      </c>
    </row>
    <row r="3285">
      <c r="A3285" s="3" t="inlineStr">
        <is>
          <t>Heron Fields (Pty) Ltd</t>
        </is>
      </c>
      <c r="B3285" s="4" t="n">
        <v>45046</v>
      </c>
      <c r="C3285" s="3" t="inlineStr">
        <is>
          <t>Assets</t>
        </is>
      </c>
      <c r="D3285" s="3" t="inlineStr">
        <is>
          <t>8000/000</t>
        </is>
      </c>
      <c r="E3285" s="3" t="inlineStr">
        <is>
          <t>Customer Control Account</t>
        </is>
      </c>
      <c r="F3285" s="3" t="n">
        <v>-117015.36</v>
      </c>
      <c r="G3285" s="3" t="n">
        <v>345946.61</v>
      </c>
    </row>
    <row r="3286">
      <c r="A3286" s="3" t="inlineStr">
        <is>
          <t>Cape Projects Construction (Pty) Ltd</t>
        </is>
      </c>
      <c r="B3286" s="4" t="n">
        <v>45046</v>
      </c>
      <c r="C3286" s="3" t="inlineStr">
        <is>
          <t>Assets</t>
        </is>
      </c>
      <c r="D3286" s="3" t="inlineStr">
        <is>
          <t>8300/000</t>
        </is>
      </c>
      <c r="E3286" s="3" t="inlineStr">
        <is>
          <t>FNB Credit Card 8812 7100 446 6006</t>
        </is>
      </c>
      <c r="F3286" s="3" t="n">
        <v>-69</v>
      </c>
      <c r="G3286" s="3" t="n">
        <v>0</v>
      </c>
    </row>
    <row r="3287">
      <c r="A3287" s="3" t="inlineStr">
        <is>
          <t>Heron Fields (Pty) Ltd</t>
        </is>
      </c>
      <c r="B3287" s="4" t="n">
        <v>45046</v>
      </c>
      <c r="C3287" s="3" t="inlineStr">
        <is>
          <t>Assets</t>
        </is>
      </c>
      <c r="D3287" s="3" t="inlineStr">
        <is>
          <t>8400/000</t>
        </is>
      </c>
      <c r="E3287" s="3" t="inlineStr">
        <is>
          <t>RMB - 62882379087</t>
        </is>
      </c>
      <c r="F3287" s="3" t="n">
        <v>-3491282.68</v>
      </c>
      <c r="G3287" s="3" t="n">
        <v>412385.21</v>
      </c>
    </row>
    <row r="3288">
      <c r="A3288" s="3" t="inlineStr">
        <is>
          <t>Cape Projects Construction (Pty) Ltd</t>
        </is>
      </c>
      <c r="B3288" s="4" t="n">
        <v>45046</v>
      </c>
      <c r="C3288" s="3" t="inlineStr">
        <is>
          <t>Assets</t>
        </is>
      </c>
      <c r="D3288" s="3" t="inlineStr">
        <is>
          <t>8400/000</t>
        </is>
      </c>
      <c r="E3288" s="3" t="inlineStr">
        <is>
          <t>RMB 62275138470</t>
        </is>
      </c>
      <c r="F3288" s="3" t="n">
        <v>-779595.49</v>
      </c>
      <c r="G3288" s="3" t="n">
        <v>444082.57</v>
      </c>
    </row>
    <row r="3289">
      <c r="A3289" s="3" t="inlineStr">
        <is>
          <t>Cape Projects Construction (Pty) Ltd</t>
        </is>
      </c>
      <c r="B3289" s="4" t="n">
        <v>45046</v>
      </c>
      <c r="C3289" s="3" t="inlineStr">
        <is>
          <t>Assets</t>
        </is>
      </c>
      <c r="D3289" s="3" t="inlineStr">
        <is>
          <t>8420/000</t>
        </is>
      </c>
      <c r="E3289" s="3" t="inlineStr">
        <is>
          <t>Momentum Priv Acc RU502230981</t>
        </is>
      </c>
      <c r="F3289" s="3" t="n">
        <v>3.58</v>
      </c>
      <c r="G3289" s="3" t="n">
        <v>547.71</v>
      </c>
    </row>
    <row r="3290">
      <c r="A3290" s="3" t="inlineStr">
        <is>
          <t>Heron Fields (Pty) Ltd</t>
        </is>
      </c>
      <c r="B3290" s="4" t="n">
        <v>45046</v>
      </c>
      <c r="C3290" s="3" t="inlineStr">
        <is>
          <t>Assets</t>
        </is>
      </c>
      <c r="D3290" s="3" t="inlineStr">
        <is>
          <t>8430/000</t>
        </is>
      </c>
      <c r="E3290" s="3" t="inlineStr">
        <is>
          <t>Momentum Private Account RU502230151</t>
        </is>
      </c>
      <c r="F3290" s="3" t="n">
        <v>5.07</v>
      </c>
      <c r="G3290" s="3" t="n">
        <v>837.98</v>
      </c>
    </row>
    <row r="3291">
      <c r="A3291" s="3" t="inlineStr">
        <is>
          <t>Heron Fields (Pty) Ltd</t>
        </is>
      </c>
      <c r="B3291" s="4" t="n">
        <v>45046</v>
      </c>
      <c r="C3291" s="3" t="inlineStr">
        <is>
          <t>Assets</t>
        </is>
      </c>
      <c r="D3291" s="3" t="inlineStr">
        <is>
          <t>8440/000</t>
        </is>
      </c>
      <c r="E3291" s="3" t="inlineStr">
        <is>
          <t>Momentum Investors Account RU502229930</t>
        </is>
      </c>
      <c r="F3291" s="3" t="n">
        <v>16861452.46</v>
      </c>
      <c r="G3291" s="3" t="n">
        <v>36802478.02</v>
      </c>
    </row>
    <row r="3292">
      <c r="A3292" s="3" t="inlineStr">
        <is>
          <t>Cape Projects Construction (Pty) Ltd</t>
        </is>
      </c>
      <c r="B3292" s="4" t="n">
        <v>45046</v>
      </c>
      <c r="C3292" s="3" t="inlineStr">
        <is>
          <t>Liabilities</t>
        </is>
      </c>
      <c r="D3292" s="3" t="inlineStr">
        <is>
          <t>860</t>
        </is>
      </c>
      <c r="E3292" s="3" t="inlineStr">
        <is>
          <t>Rounding</t>
        </is>
      </c>
      <c r="F3292" s="3" t="n">
        <v>-9.84</v>
      </c>
      <c r="G3292" s="3" t="n">
        <v>-10.23</v>
      </c>
    </row>
    <row r="3293">
      <c r="A3293" s="3" t="inlineStr">
        <is>
          <t>Heron Fields (Pty) Ltd</t>
        </is>
      </c>
      <c r="B3293" s="4" t="n">
        <v>45046</v>
      </c>
      <c r="C3293" s="3" t="inlineStr">
        <is>
          <t>Liabilities</t>
        </is>
      </c>
      <c r="D3293" s="3" t="inlineStr">
        <is>
          <t>860</t>
        </is>
      </c>
      <c r="E3293" s="3" t="inlineStr">
        <is>
          <t>Rounding</t>
        </is>
      </c>
      <c r="F3293" s="3" t="n">
        <v>0.05</v>
      </c>
      <c r="G3293" s="3" t="n">
        <v>0.08</v>
      </c>
    </row>
    <row r="3294">
      <c r="A3294" s="3" t="inlineStr">
        <is>
          <t>Cape Projects Construction (Pty) Ltd</t>
        </is>
      </c>
      <c r="B3294" s="4" t="n">
        <v>45046</v>
      </c>
      <c r="C3294" s="3" t="inlineStr">
        <is>
          <t>Liabilities</t>
        </is>
      </c>
      <c r="D3294" s="3" t="inlineStr">
        <is>
          <t>9000/000</t>
        </is>
      </c>
      <c r="E3294" s="3" t="inlineStr">
        <is>
          <t>Supplier Control Account</t>
        </is>
      </c>
      <c r="F3294" s="3" t="n">
        <v>1171314.84</v>
      </c>
      <c r="G3294" s="3" t="n">
        <v>-1226429.45</v>
      </c>
    </row>
    <row r="3295">
      <c r="A3295" s="3" t="inlineStr">
        <is>
          <t>Heron Fields (Pty) Ltd</t>
        </is>
      </c>
      <c r="B3295" s="4" t="n">
        <v>45046</v>
      </c>
      <c r="C3295" s="3" t="inlineStr">
        <is>
          <t>Liabilities</t>
        </is>
      </c>
      <c r="D3295" s="3" t="inlineStr">
        <is>
          <t>9000/000</t>
        </is>
      </c>
      <c r="E3295" s="3" t="inlineStr">
        <is>
          <t>Supplier Control Account</t>
        </is>
      </c>
      <c r="F3295" s="3" t="n">
        <v>-11019349.15</v>
      </c>
      <c r="G3295" s="3" t="n">
        <v>-129709692.95</v>
      </c>
    </row>
    <row r="3296">
      <c r="A3296" s="3" t="inlineStr">
        <is>
          <t>Heron View (Pty) Ltd</t>
        </is>
      </c>
      <c r="B3296" s="4" t="n">
        <v>45046</v>
      </c>
      <c r="C3296" s="3" t="inlineStr">
        <is>
          <t>Liabilities</t>
        </is>
      </c>
      <c r="D3296" s="3" t="inlineStr">
        <is>
          <t>9000/000</t>
        </is>
      </c>
      <c r="E3296" s="3" t="inlineStr">
        <is>
          <t>Supplier Control Account</t>
        </is>
      </c>
      <c r="F3296" s="3" t="n">
        <v>1582944.96</v>
      </c>
      <c r="G3296" s="3" t="n">
        <v>-1646466.88</v>
      </c>
    </row>
    <row r="3297">
      <c r="A3297" s="3" t="inlineStr">
        <is>
          <t>Cape Projects Construction (Pty) Ltd</t>
        </is>
      </c>
      <c r="B3297" s="4" t="n">
        <v>45046</v>
      </c>
      <c r="C3297" s="3" t="inlineStr">
        <is>
          <t>Liabilities</t>
        </is>
      </c>
      <c r="D3297" s="3" t="inlineStr">
        <is>
          <t>9250/020</t>
        </is>
      </c>
      <c r="E3297" s="3" t="inlineStr">
        <is>
          <t>PAYE, UIF AND SDL CONTROL</t>
        </is>
      </c>
      <c r="F3297" s="3" t="n">
        <v>-1511.74</v>
      </c>
      <c r="G3297" s="3" t="n">
        <v>-84915.49000000001</v>
      </c>
    </row>
    <row r="3298">
      <c r="A3298" s="3" t="inlineStr">
        <is>
          <t>Cape Projects Construction (Pty) Ltd</t>
        </is>
      </c>
      <c r="B3298" s="4" t="n">
        <v>45046</v>
      </c>
      <c r="C3298" s="3" t="inlineStr">
        <is>
          <t>Liabilities</t>
        </is>
      </c>
      <c r="D3298" s="3" t="inlineStr">
        <is>
          <t>9250/030</t>
        </is>
      </c>
      <c r="E3298" s="3" t="inlineStr">
        <is>
          <t>BIBC CONTROL</t>
        </is>
      </c>
      <c r="F3298" s="3" t="n">
        <v>-6809.25</v>
      </c>
      <c r="G3298" s="3" t="n">
        <v>-45395</v>
      </c>
    </row>
    <row r="3299">
      <c r="A3299" s="3" t="inlineStr">
        <is>
          <t>Cape Projects Construction (Pty) Ltd</t>
        </is>
      </c>
      <c r="B3299" s="4" t="n">
        <v>45046</v>
      </c>
      <c r="C3299" s="3" t="inlineStr">
        <is>
          <t>Liabilities</t>
        </is>
      </c>
      <c r="D3299" s="3" t="inlineStr">
        <is>
          <t>9500/000</t>
        </is>
      </c>
      <c r="E3299" s="3" t="inlineStr">
        <is>
          <t>VAT Control Account</t>
        </is>
      </c>
      <c r="F3299" s="3" t="n">
        <v>167124.73</v>
      </c>
      <c r="G3299" s="3" t="n">
        <v>-105771.91</v>
      </c>
    </row>
    <row r="3300">
      <c r="A3300" s="3" t="inlineStr">
        <is>
          <t>Heron Fields (Pty) Ltd</t>
        </is>
      </c>
      <c r="B3300" s="4" t="n">
        <v>45046</v>
      </c>
      <c r="C3300" s="3" t="inlineStr">
        <is>
          <t>Liabilities</t>
        </is>
      </c>
      <c r="D3300" s="3" t="inlineStr">
        <is>
          <t>9500/000</t>
        </is>
      </c>
      <c r="E3300" s="3" t="inlineStr">
        <is>
          <t>Vat / Tax Control Account</t>
        </is>
      </c>
      <c r="F3300" s="3" t="n">
        <v>-1456220.9</v>
      </c>
      <c r="G3300" s="3" t="n">
        <v>-3997162.46</v>
      </c>
    </row>
    <row r="3301">
      <c r="A3301" s="3" t="inlineStr">
        <is>
          <t>Heron View (Pty) Ltd</t>
        </is>
      </c>
      <c r="B3301" s="4" t="n">
        <v>45046</v>
      </c>
      <c r="C3301" s="3" t="inlineStr">
        <is>
          <t>Liabilities</t>
        </is>
      </c>
      <c r="D3301" s="3" t="inlineStr">
        <is>
          <t>9500/000</t>
        </is>
      </c>
      <c r="E3301" s="3" t="inlineStr">
        <is>
          <t>Vat / Tax Control Account</t>
        </is>
      </c>
      <c r="F3301" s="3" t="n">
        <v>731360.5600000001</v>
      </c>
      <c r="G3301" s="3" t="n">
        <v>3600912.7</v>
      </c>
    </row>
    <row r="3302">
      <c r="A3302" s="3" t="inlineStr">
        <is>
          <t>Heron Fields (Pty) Ltd</t>
        </is>
      </c>
      <c r="B3302" s="4" t="n">
        <v>45046</v>
      </c>
      <c r="C3302" s="3" t="inlineStr">
        <is>
          <t>Liabilities</t>
        </is>
      </c>
      <c r="D3302" s="3" t="inlineStr">
        <is>
          <t>9520/000</t>
        </is>
      </c>
      <c r="E3302" s="3" t="inlineStr">
        <is>
          <t>Income Tax Payable</t>
        </is>
      </c>
      <c r="F3302" s="3" t="n">
        <v>0</v>
      </c>
      <c r="G3302" s="3" t="n">
        <v>59039.93</v>
      </c>
    </row>
    <row r="3303">
      <c r="A3303" s="3" t="inlineStr">
        <is>
          <t>Heron Fields (Pty) Ltd</t>
        </is>
      </c>
      <c r="B3303" s="4" t="n">
        <v>45046</v>
      </c>
      <c r="C3303" s="3" t="inlineStr">
        <is>
          <t>Liabilities</t>
        </is>
      </c>
      <c r="D3303" s="3" t="inlineStr">
        <is>
          <t>9899/B208</t>
        </is>
      </c>
      <c r="E3303" s="3" t="inlineStr">
        <is>
          <t>Sales - Unit Reg Control B208</t>
        </is>
      </c>
      <c r="F3303" s="3" t="n">
        <v>0</v>
      </c>
      <c r="G3303" s="3" t="n">
        <v>1209624.06</v>
      </c>
    </row>
    <row r="3304">
      <c r="A3304" s="3" t="inlineStr">
        <is>
          <t>Cape Projects Construction (Pty) Ltd</t>
        </is>
      </c>
      <c r="B3304" s="4" t="n">
        <v>45046</v>
      </c>
      <c r="C3304" s="3" t="inlineStr">
        <is>
          <t>Liabilities</t>
        </is>
      </c>
      <c r="D3304" s="3" t="inlineStr">
        <is>
          <t>B/S</t>
        </is>
      </c>
      <c r="E3304" s="3" t="inlineStr">
        <is>
          <t>Taxation Payable</t>
        </is>
      </c>
      <c r="F3304" s="3" t="n">
        <v>0</v>
      </c>
      <c r="G3304" s="3" t="n">
        <v>28029.81</v>
      </c>
    </row>
    <row r="3305">
      <c r="A3305" s="3" t="inlineStr">
        <is>
          <t>Cape Projects Construction (Pty) Ltd</t>
        </is>
      </c>
      <c r="B3305" s="4" t="n">
        <v>45046</v>
      </c>
      <c r="C3305" s="3" t="inlineStr">
        <is>
          <t>Liabilities</t>
        </is>
      </c>
      <c r="D3305" s="3" t="inlineStr">
        <is>
          <t>TEMP/ACC</t>
        </is>
      </c>
      <c r="E3305" s="3" t="inlineStr">
        <is>
          <t>Conversion Account</t>
        </is>
      </c>
      <c r="F3305" s="3" t="n">
        <v>0</v>
      </c>
      <c r="G3305" s="3" t="n">
        <v>-254.99</v>
      </c>
    </row>
    <row r="3306">
      <c r="A3306" s="3" t="inlineStr">
        <is>
          <t>Heron Fields (Pty) Ltd</t>
        </is>
      </c>
      <c r="B3306" s="4" t="n">
        <v>45077</v>
      </c>
      <c r="C3306" s="3" t="inlineStr">
        <is>
          <t>Revenue</t>
        </is>
      </c>
      <c r="D3306" s="3" t="inlineStr">
        <is>
          <t>1000/100</t>
        </is>
      </c>
      <c r="E3306" s="3" t="inlineStr">
        <is>
          <t>Sales - Heron Fields</t>
        </is>
      </c>
      <c r="F3306" s="3" t="n">
        <v>-4851826.09</v>
      </c>
      <c r="G3306" s="3" t="n">
        <v>-24357478.27</v>
      </c>
    </row>
    <row r="3307">
      <c r="A3307" s="3" t="inlineStr">
        <is>
          <t>Heron Fields (Pty) Ltd</t>
        </is>
      </c>
      <c r="B3307" s="4" t="n">
        <v>45077</v>
      </c>
      <c r="C3307" s="3" t="inlineStr">
        <is>
          <t>Revenue</t>
        </is>
      </c>
      <c r="D3307" s="3" t="inlineStr">
        <is>
          <t>1000/101</t>
        </is>
      </c>
      <c r="E3307" s="3" t="inlineStr">
        <is>
          <t>Sales - Heron Fields occupational rent</t>
        </is>
      </c>
      <c r="F3307" s="3" t="n">
        <v>-65332.85</v>
      </c>
      <c r="G3307" s="3" t="n">
        <v>-94646.91</v>
      </c>
    </row>
    <row r="3308">
      <c r="A3308" s="3" t="inlineStr">
        <is>
          <t>Cape Projects Construction (Pty) Ltd</t>
        </is>
      </c>
      <c r="B3308" s="4" t="n">
        <v>45077</v>
      </c>
      <c r="C3308" s="3" t="inlineStr">
        <is>
          <t>Revenue</t>
        </is>
      </c>
      <c r="D3308" s="3" t="inlineStr">
        <is>
          <t>1040/100</t>
        </is>
      </c>
      <c r="E3308" s="3" t="inlineStr">
        <is>
          <t>Fees - Construction - Heron</t>
        </is>
      </c>
      <c r="F3308" s="3" t="n">
        <v>-4774233.25</v>
      </c>
      <c r="G3308" s="3" t="n">
        <v>-12972050.84</v>
      </c>
    </row>
    <row r="3309">
      <c r="A3309" s="3" t="inlineStr">
        <is>
          <t>Cape Projects Construction (Pty) Ltd</t>
        </is>
      </c>
      <c r="B3309" s="4" t="n">
        <v>45077</v>
      </c>
      <c r="C3309" s="3" t="inlineStr">
        <is>
          <t>Revenue</t>
        </is>
      </c>
      <c r="D3309" s="3" t="inlineStr">
        <is>
          <t>1070/000</t>
        </is>
      </c>
      <c r="E3309" s="3" t="inlineStr">
        <is>
          <t>Rent - CT Office</t>
        </is>
      </c>
      <c r="F3309" s="3" t="n">
        <v>3490.94</v>
      </c>
      <c r="G3309" s="3" t="n">
        <v>3490.94</v>
      </c>
    </row>
    <row r="3310">
      <c r="A3310" s="3" t="inlineStr">
        <is>
          <t>Heron View (Pty) Ltd</t>
        </is>
      </c>
      <c r="B3310" s="4" t="n">
        <v>45077</v>
      </c>
      <c r="C3310" s="3" t="inlineStr">
        <is>
          <t>Expenses</t>
        </is>
      </c>
      <c r="D3310" s="3" t="inlineStr">
        <is>
          <t>2000/030</t>
        </is>
      </c>
      <c r="E3310" s="3" t="inlineStr">
        <is>
          <t>COS - HV COCT Rates clearance</t>
        </is>
      </c>
      <c r="F3310" s="3" t="n">
        <v>192174.7</v>
      </c>
      <c r="G3310" s="3" t="n">
        <v>192174.7</v>
      </c>
    </row>
    <row r="3311">
      <c r="A3311" s="3" t="inlineStr">
        <is>
          <t>Heron Fields (Pty) Ltd</t>
        </is>
      </c>
      <c r="B3311" s="4" t="n">
        <v>45077</v>
      </c>
      <c r="C3311" s="3" t="inlineStr">
        <is>
          <t>Expenses</t>
        </is>
      </c>
      <c r="D3311" s="3" t="inlineStr">
        <is>
          <t>2000/040</t>
        </is>
      </c>
      <c r="E3311" s="3" t="inlineStr">
        <is>
          <t>COS - Legal Fees</t>
        </is>
      </c>
      <c r="F3311" s="3" t="n">
        <v>135356.83</v>
      </c>
      <c r="G3311" s="3" t="n">
        <v>559359.05</v>
      </c>
    </row>
    <row r="3312">
      <c r="A3312" s="3" t="inlineStr">
        <is>
          <t>Heron Fields (Pty) Ltd</t>
        </is>
      </c>
      <c r="B3312" s="4" t="n">
        <v>45077</v>
      </c>
      <c r="C3312" s="3" t="inlineStr">
        <is>
          <t>Expenses</t>
        </is>
      </c>
      <c r="D3312" s="3" t="inlineStr">
        <is>
          <t>2000/050</t>
        </is>
      </c>
      <c r="E3312" s="3" t="inlineStr">
        <is>
          <t>COS - Rates clearance</t>
        </is>
      </c>
      <c r="F3312" s="3" t="n">
        <v>6631.99</v>
      </c>
      <c r="G3312" s="3" t="n">
        <v>18160.92</v>
      </c>
    </row>
    <row r="3313">
      <c r="A3313" s="3" t="inlineStr">
        <is>
          <t>Heron Fields (Pty) Ltd</t>
        </is>
      </c>
      <c r="B3313" s="4" t="n">
        <v>45077</v>
      </c>
      <c r="C3313" s="3" t="inlineStr">
        <is>
          <t>Expenses</t>
        </is>
      </c>
      <c r="D3313" s="3" t="inlineStr">
        <is>
          <t>2000/060</t>
        </is>
      </c>
      <c r="E3313" s="3" t="inlineStr">
        <is>
          <t>COS - Levies</t>
        </is>
      </c>
      <c r="F3313" s="3" t="n">
        <v>171178.44</v>
      </c>
      <c r="G3313" s="3" t="n">
        <v>171178.44</v>
      </c>
    </row>
    <row r="3314">
      <c r="A3314" s="3" t="inlineStr">
        <is>
          <t>Heron Fields (Pty) Ltd</t>
        </is>
      </c>
      <c r="B3314" s="4" t="n">
        <v>45077</v>
      </c>
      <c r="C3314" s="3" t="inlineStr">
        <is>
          <t>Expenses</t>
        </is>
      </c>
      <c r="D3314" s="3" t="inlineStr">
        <is>
          <t>2000/070</t>
        </is>
      </c>
      <c r="E3314" s="3" t="inlineStr">
        <is>
          <t>COS - Commission HF Units</t>
        </is>
      </c>
      <c r="F3314" s="3" t="n">
        <v>242591.31</v>
      </c>
      <c r="G3314" s="3" t="n">
        <v>1156878.26</v>
      </c>
    </row>
    <row r="3315">
      <c r="A3315" s="3" t="inlineStr">
        <is>
          <t>Heron Fields (Pty) Ltd</t>
        </is>
      </c>
      <c r="B3315" s="4" t="n">
        <v>45077</v>
      </c>
      <c r="C3315" s="3" t="inlineStr">
        <is>
          <t>Expenses</t>
        </is>
      </c>
      <c r="D3315" s="3" t="inlineStr">
        <is>
          <t>2000/090</t>
        </is>
      </c>
      <c r="E3315" s="3" t="inlineStr">
        <is>
          <t>COS - Electricity</t>
        </is>
      </c>
      <c r="F3315" s="3" t="n">
        <v>0</v>
      </c>
      <c r="G3315" s="3" t="n">
        <v>250</v>
      </c>
    </row>
    <row r="3316">
      <c r="A3316" s="3" t="inlineStr">
        <is>
          <t>Cape Projects Construction (Pty) Ltd</t>
        </is>
      </c>
      <c r="B3316" s="4" t="n">
        <v>45077</v>
      </c>
      <c r="C3316" s="3" t="inlineStr">
        <is>
          <t>Expenses</t>
        </is>
      </c>
      <c r="D3316" s="3" t="inlineStr">
        <is>
          <t>2000/500</t>
        </is>
      </c>
      <c r="E3316" s="3" t="inlineStr">
        <is>
          <t>COS - Electricity Cost Endulini</t>
        </is>
      </c>
      <c r="F3316" s="3" t="n">
        <v>0</v>
      </c>
      <c r="G3316" s="3" t="n">
        <v>200</v>
      </c>
    </row>
    <row r="3317">
      <c r="A3317" s="3" t="inlineStr">
        <is>
          <t>Cape Projects Construction (Pty) Ltd</t>
        </is>
      </c>
      <c r="B3317" s="4" t="n">
        <v>45077</v>
      </c>
      <c r="C3317" s="3" t="inlineStr">
        <is>
          <t>Expenses</t>
        </is>
      </c>
      <c r="D3317" s="3" t="inlineStr">
        <is>
          <t>2001/000</t>
        </is>
      </c>
      <c r="E3317" s="3" t="inlineStr">
        <is>
          <t>Cost of Sales - SouthWark Project</t>
        </is>
      </c>
      <c r="F3317" s="3" t="n">
        <v>20456.5</v>
      </c>
      <c r="G3317" s="3" t="n">
        <v>20943.45</v>
      </c>
    </row>
    <row r="3318">
      <c r="A3318" s="3" t="inlineStr">
        <is>
          <t>Cape Projects Construction (Pty) Ltd</t>
        </is>
      </c>
      <c r="B3318" s="4" t="n">
        <v>45077</v>
      </c>
      <c r="C3318" s="3" t="inlineStr">
        <is>
          <t>Expenses</t>
        </is>
      </c>
      <c r="D3318" s="3" t="inlineStr">
        <is>
          <t>2006/000</t>
        </is>
      </c>
      <c r="E3318" s="3" t="inlineStr">
        <is>
          <t>COS - Endulini Construction</t>
        </is>
      </c>
      <c r="F3318" s="3" t="n">
        <v>28166.51</v>
      </c>
      <c r="G3318" s="3" t="n">
        <v>221172.3</v>
      </c>
    </row>
    <row r="3319">
      <c r="A3319" s="3" t="inlineStr">
        <is>
          <t>Cape Projects Construction (Pty) Ltd</t>
        </is>
      </c>
      <c r="B3319" s="4" t="n">
        <v>45077</v>
      </c>
      <c r="C3319" s="3" t="inlineStr">
        <is>
          <t>Expenses</t>
        </is>
      </c>
      <c r="D3319" s="3" t="inlineStr">
        <is>
          <t>2006/100</t>
        </is>
      </c>
      <c r="E3319" s="3" t="inlineStr">
        <is>
          <t>COS - Endulini P and G</t>
        </is>
      </c>
      <c r="F3319" s="3" t="n">
        <v>2880.57</v>
      </c>
      <c r="G3319" s="3" t="n">
        <v>28676.11</v>
      </c>
    </row>
    <row r="3320">
      <c r="A3320" s="3" t="inlineStr">
        <is>
          <t>Cape Projects Construction (Pty) Ltd</t>
        </is>
      </c>
      <c r="B3320" s="4" t="n">
        <v>45077</v>
      </c>
      <c r="C3320" s="3" t="inlineStr">
        <is>
          <t>Expenses</t>
        </is>
      </c>
      <c r="D3320" s="3" t="inlineStr">
        <is>
          <t>2006/200</t>
        </is>
      </c>
      <c r="E3320" s="3" t="inlineStr">
        <is>
          <t>COS - Insurance</t>
        </is>
      </c>
      <c r="F3320" s="3" t="n">
        <v>0</v>
      </c>
      <c r="G3320" s="3" t="n">
        <v>2719.43</v>
      </c>
    </row>
    <row r="3321">
      <c r="A3321" s="3" t="inlineStr">
        <is>
          <t>Cape Projects Construction (Pty) Ltd</t>
        </is>
      </c>
      <c r="B3321" s="4" t="n">
        <v>45077</v>
      </c>
      <c r="C3321" s="3" t="inlineStr">
        <is>
          <t>Expenses</t>
        </is>
      </c>
      <c r="D3321" s="3" t="inlineStr">
        <is>
          <t>2006/800</t>
        </is>
      </c>
      <c r="E3321" s="3" t="inlineStr">
        <is>
          <t>COS - Endulini - Telephone &amp; Internet</t>
        </is>
      </c>
      <c r="F3321" s="3" t="n">
        <v>0</v>
      </c>
      <c r="G3321" s="3" t="n">
        <v>760.87</v>
      </c>
    </row>
    <row r="3322">
      <c r="A3322" s="3" t="inlineStr">
        <is>
          <t>Cape Projects Construction (Pty) Ltd</t>
        </is>
      </c>
      <c r="B3322" s="4" t="n">
        <v>45077</v>
      </c>
      <c r="C3322" s="3" t="inlineStr">
        <is>
          <t>Expenses</t>
        </is>
      </c>
      <c r="D3322" s="3" t="inlineStr">
        <is>
          <t>2011/300</t>
        </is>
      </c>
      <c r="E3322" s="3" t="inlineStr">
        <is>
          <t>COS - Heron Fields - Printing &amp; Stationary</t>
        </is>
      </c>
      <c r="F3322" s="3" t="n">
        <v>1129.57</v>
      </c>
      <c r="G3322" s="3" t="n">
        <v>1129.57</v>
      </c>
    </row>
    <row r="3323">
      <c r="A3323" s="3" t="inlineStr">
        <is>
          <t>Cape Projects Construction (Pty) Ltd</t>
        </is>
      </c>
      <c r="B3323" s="4" t="n">
        <v>45077</v>
      </c>
      <c r="C3323" s="3" t="inlineStr">
        <is>
          <t>Expenses</t>
        </is>
      </c>
      <c r="D3323" s="3" t="inlineStr">
        <is>
          <t>2011/500</t>
        </is>
      </c>
      <c r="E3323" s="3" t="inlineStr">
        <is>
          <t>COS - Heron Fields - Construction</t>
        </is>
      </c>
      <c r="F3323" s="3" t="n">
        <v>149683.77</v>
      </c>
      <c r="G3323" s="3" t="n">
        <v>1010982.75</v>
      </c>
    </row>
    <row r="3324">
      <c r="A3324" s="3" t="inlineStr">
        <is>
          <t>Cape Projects Construction (Pty) Ltd</t>
        </is>
      </c>
      <c r="B3324" s="4" t="n">
        <v>45077</v>
      </c>
      <c r="C3324" s="3" t="inlineStr">
        <is>
          <t>Expenses</t>
        </is>
      </c>
      <c r="D3324" s="3" t="inlineStr">
        <is>
          <t>2011/600</t>
        </is>
      </c>
      <c r="E3324" s="3" t="inlineStr">
        <is>
          <t>COS - Heron Fields - P &amp; G</t>
        </is>
      </c>
      <c r="F3324" s="3" t="n">
        <v>50267.62</v>
      </c>
      <c r="G3324" s="3" t="n">
        <v>162429.65</v>
      </c>
    </row>
    <row r="3325">
      <c r="A3325" s="3" t="inlineStr">
        <is>
          <t>Cape Projects Construction (Pty) Ltd</t>
        </is>
      </c>
      <c r="B3325" s="4" t="n">
        <v>45077</v>
      </c>
      <c r="C3325" s="3" t="inlineStr">
        <is>
          <t>Expenses</t>
        </is>
      </c>
      <c r="D3325" s="3" t="inlineStr">
        <is>
          <t>2011/700</t>
        </is>
      </c>
      <c r="E3325" s="3" t="inlineStr">
        <is>
          <t>COS - Heron Fields - Health &amp; Safety</t>
        </is>
      </c>
      <c r="F3325" s="3" t="n">
        <v>0</v>
      </c>
      <c r="G3325" s="3" t="n">
        <v>694.78</v>
      </c>
    </row>
    <row r="3326">
      <c r="A3326" s="3" t="inlineStr">
        <is>
          <t>Cape Projects Construction (Pty) Ltd</t>
        </is>
      </c>
      <c r="B3326" s="4" t="n">
        <v>45077</v>
      </c>
      <c r="C3326" s="3" t="inlineStr">
        <is>
          <t>Expenses</t>
        </is>
      </c>
      <c r="D3326" s="3" t="inlineStr">
        <is>
          <t>2011/900</t>
        </is>
      </c>
      <c r="E3326" s="3" t="inlineStr">
        <is>
          <t>COS - Heron - Internet</t>
        </is>
      </c>
      <c r="F3326" s="3" t="n">
        <v>1189.57</v>
      </c>
      <c r="G3326" s="3" t="n">
        <v>3568.71</v>
      </c>
    </row>
    <row r="3327">
      <c r="A3327" s="3" t="inlineStr">
        <is>
          <t>Cape Projects Construction (Pty) Ltd</t>
        </is>
      </c>
      <c r="B3327" s="4" t="n">
        <v>45077</v>
      </c>
      <c r="C3327" s="3" t="inlineStr">
        <is>
          <t>Expenses</t>
        </is>
      </c>
      <c r="D3327" s="3" t="inlineStr">
        <is>
          <t>2012/001</t>
        </is>
      </c>
      <c r="E3327" s="3" t="inlineStr">
        <is>
          <t>COS - Heron View - Printing &amp; Stationary</t>
        </is>
      </c>
      <c r="F3327" s="3" t="n">
        <v>2170.45</v>
      </c>
      <c r="G3327" s="3" t="n">
        <v>2248.71</v>
      </c>
    </row>
    <row r="3328">
      <c r="A3328" s="3" t="inlineStr">
        <is>
          <t>Cape Projects Construction (Pty) Ltd</t>
        </is>
      </c>
      <c r="B3328" s="4" t="n">
        <v>45077</v>
      </c>
      <c r="C3328" s="3" t="inlineStr">
        <is>
          <t>Expenses</t>
        </is>
      </c>
      <c r="D3328" s="3" t="inlineStr">
        <is>
          <t>2012/002</t>
        </is>
      </c>
      <c r="E3328" s="3" t="inlineStr">
        <is>
          <t>COS - Heron View - Construction</t>
        </is>
      </c>
      <c r="F3328" s="3" t="n">
        <v>3793437.38</v>
      </c>
      <c r="G3328" s="3" t="n">
        <v>9470418.210000001</v>
      </c>
    </row>
    <row r="3329">
      <c r="A3329" s="3" t="inlineStr">
        <is>
          <t>Cape Projects Construction (Pty) Ltd</t>
        </is>
      </c>
      <c r="B3329" s="4" t="n">
        <v>45077</v>
      </c>
      <c r="C3329" s="3" t="inlineStr">
        <is>
          <t>Expenses</t>
        </is>
      </c>
      <c r="D3329" s="3" t="inlineStr">
        <is>
          <t>2012/003</t>
        </is>
      </c>
      <c r="E3329" s="3" t="inlineStr">
        <is>
          <t>COS - Heron View - P&amp;G</t>
        </is>
      </c>
      <c r="F3329" s="3" t="n">
        <v>61021.92</v>
      </c>
      <c r="G3329" s="3" t="n">
        <v>435567.52</v>
      </c>
    </row>
    <row r="3330">
      <c r="A3330" s="3" t="inlineStr">
        <is>
          <t>Cape Projects Construction (Pty) Ltd</t>
        </is>
      </c>
      <c r="B3330" s="4" t="n">
        <v>45077</v>
      </c>
      <c r="C3330" s="3" t="inlineStr">
        <is>
          <t>Expenses</t>
        </is>
      </c>
      <c r="D3330" s="3" t="inlineStr">
        <is>
          <t>2013/000</t>
        </is>
      </c>
      <c r="E3330" s="3" t="inlineStr">
        <is>
          <t>COS - Bakhoven</t>
        </is>
      </c>
      <c r="F3330" s="3" t="n">
        <v>0</v>
      </c>
      <c r="G3330" s="3" t="n">
        <v>17292.48</v>
      </c>
    </row>
    <row r="3331">
      <c r="A3331" s="3" t="inlineStr">
        <is>
          <t>Cape Projects Construction (Pty) Ltd</t>
        </is>
      </c>
      <c r="B3331" s="4" t="n">
        <v>45077</v>
      </c>
      <c r="C3331" s="3" t="inlineStr">
        <is>
          <t>Revenue</t>
        </is>
      </c>
      <c r="D3331" s="3" t="inlineStr">
        <is>
          <t>2750/000</t>
        </is>
      </c>
      <c r="E3331" s="3" t="inlineStr">
        <is>
          <t>Interest Received - FNB</t>
        </is>
      </c>
      <c r="F3331" s="3" t="n">
        <v>-17.19</v>
      </c>
      <c r="G3331" s="3" t="n">
        <v>-337.38</v>
      </c>
    </row>
    <row r="3332">
      <c r="A3332" s="3" t="inlineStr">
        <is>
          <t>Cape Projects Construction (Pty) Ltd</t>
        </is>
      </c>
      <c r="B3332" s="4" t="n">
        <v>45077</v>
      </c>
      <c r="C3332" s="3" t="inlineStr">
        <is>
          <t>Revenue</t>
        </is>
      </c>
      <c r="D3332" s="3" t="inlineStr">
        <is>
          <t>2751/001</t>
        </is>
      </c>
      <c r="E3332" s="3" t="inlineStr">
        <is>
          <t>Interest received - Momentum</t>
        </is>
      </c>
      <c r="F3332" s="3" t="n">
        <v>0</v>
      </c>
      <c r="G3332" s="3" t="n">
        <v>-10.39</v>
      </c>
    </row>
    <row r="3333">
      <c r="A3333" s="3" t="inlineStr">
        <is>
          <t>Heron Fields (Pty) Ltd</t>
        </is>
      </c>
      <c r="B3333" s="4" t="n">
        <v>45077</v>
      </c>
      <c r="C3333" s="3" t="inlineStr">
        <is>
          <t>Revenue</t>
        </is>
      </c>
      <c r="D3333" s="3" t="inlineStr">
        <is>
          <t>2755/001</t>
        </is>
      </c>
      <c r="E3333" s="3" t="inlineStr">
        <is>
          <t>Interest Received - Momentum</t>
        </is>
      </c>
      <c r="F3333" s="3" t="n">
        <v>-222525.45</v>
      </c>
      <c r="G3333" s="3" t="n">
        <v>-553041.54</v>
      </c>
    </row>
    <row r="3334">
      <c r="A3334" s="3" t="inlineStr">
        <is>
          <t>Heron Fields (Pty) Ltd</t>
        </is>
      </c>
      <c r="B3334" s="4" t="n">
        <v>45077</v>
      </c>
      <c r="C3334" s="3" t="inlineStr">
        <is>
          <t>Expenses</t>
        </is>
      </c>
      <c r="D3334" s="3" t="inlineStr">
        <is>
          <t>3050/000</t>
        </is>
      </c>
      <c r="E3334" s="3" t="inlineStr">
        <is>
          <t>Advertising _AND_ Promotions</t>
        </is>
      </c>
      <c r="F3334" s="3" t="n">
        <v>52232.03</v>
      </c>
      <c r="G3334" s="3" t="n">
        <v>98086.78999999999</v>
      </c>
    </row>
    <row r="3335">
      <c r="A3335" s="3" t="inlineStr">
        <is>
          <t>Heron View (Pty) Ltd</t>
        </is>
      </c>
      <c r="B3335" s="4" t="n">
        <v>45077</v>
      </c>
      <c r="C3335" s="3" t="inlineStr">
        <is>
          <t>Expenses</t>
        </is>
      </c>
      <c r="D3335" s="3" t="inlineStr">
        <is>
          <t>3050/000</t>
        </is>
      </c>
      <c r="E3335" s="3" t="inlineStr">
        <is>
          <t>Advertising _AND_ Promotions</t>
        </is>
      </c>
      <c r="F3335" s="3" t="n">
        <v>5637.5</v>
      </c>
      <c r="G3335" s="3" t="n">
        <v>32177.72</v>
      </c>
    </row>
    <row r="3336">
      <c r="A3336" s="3" t="inlineStr">
        <is>
          <t>Heron Fields (Pty) Ltd</t>
        </is>
      </c>
      <c r="B3336" s="4" t="n">
        <v>45077</v>
      </c>
      <c r="C3336" s="3" t="inlineStr">
        <is>
          <t>Expenses</t>
        </is>
      </c>
      <c r="D3336" s="3" t="inlineStr">
        <is>
          <t>3050/100</t>
        </is>
      </c>
      <c r="E3336" s="3" t="inlineStr">
        <is>
          <t>Advertising - Property24</t>
        </is>
      </c>
      <c r="F3336" s="3" t="n">
        <v>-12480</v>
      </c>
      <c r="G3336" s="3" t="n">
        <v>12480</v>
      </c>
    </row>
    <row r="3337">
      <c r="A3337" s="3" t="inlineStr">
        <is>
          <t>Cape Projects Construction (Pty) Ltd</t>
        </is>
      </c>
      <c r="B3337" s="4" t="n">
        <v>45077</v>
      </c>
      <c r="C3337" s="3" t="inlineStr">
        <is>
          <t>Expenses</t>
        </is>
      </c>
      <c r="D3337" s="3" t="inlineStr">
        <is>
          <t>3050/150</t>
        </is>
      </c>
      <c r="E3337" s="3" t="inlineStr">
        <is>
          <t>Advertising - Design Fees</t>
        </is>
      </c>
      <c r="F3337" s="3" t="n">
        <v>0</v>
      </c>
      <c r="G3337" s="3" t="n">
        <v>295</v>
      </c>
    </row>
    <row r="3338">
      <c r="A3338" s="3" t="inlineStr">
        <is>
          <t>Cape Projects Construction (Pty) Ltd</t>
        </is>
      </c>
      <c r="B3338" s="4" t="n">
        <v>45077</v>
      </c>
      <c r="C3338" s="3" t="inlineStr">
        <is>
          <t>Expenses</t>
        </is>
      </c>
      <c r="D3338" s="3" t="inlineStr">
        <is>
          <t>3050/450</t>
        </is>
      </c>
      <c r="E3338" s="3" t="inlineStr">
        <is>
          <t>Advertising - Other</t>
        </is>
      </c>
      <c r="F3338" s="3" t="n">
        <v>0</v>
      </c>
      <c r="G3338" s="3" t="n">
        <v>712</v>
      </c>
    </row>
    <row r="3339">
      <c r="A3339" s="3" t="inlineStr">
        <is>
          <t>Cape Projects Construction (Pty) Ltd</t>
        </is>
      </c>
      <c r="B3339" s="4" t="n">
        <v>45077</v>
      </c>
      <c r="C3339" s="3" t="inlineStr">
        <is>
          <t>Expenses</t>
        </is>
      </c>
      <c r="D3339" s="3" t="inlineStr">
        <is>
          <t>3200/000</t>
        </is>
      </c>
      <c r="E3339" s="3" t="inlineStr">
        <is>
          <t>Bank Charges</t>
        </is>
      </c>
      <c r="F3339" s="3" t="n">
        <v>1869.9</v>
      </c>
      <c r="G3339" s="3" t="n">
        <v>5578.63</v>
      </c>
    </row>
    <row r="3340">
      <c r="A3340" s="3" t="inlineStr">
        <is>
          <t>Heron Fields (Pty) Ltd</t>
        </is>
      </c>
      <c r="B3340" s="4" t="n">
        <v>45077</v>
      </c>
      <c r="C3340" s="3" t="inlineStr">
        <is>
          <t>Expenses</t>
        </is>
      </c>
      <c r="D3340" s="3" t="inlineStr">
        <is>
          <t>3200/000</t>
        </is>
      </c>
      <c r="E3340" s="3" t="inlineStr">
        <is>
          <t>Bank Charges</t>
        </is>
      </c>
      <c r="F3340" s="3" t="n">
        <v>449.38</v>
      </c>
      <c r="G3340" s="3" t="n">
        <v>1406.56</v>
      </c>
    </row>
    <row r="3341">
      <c r="A3341" s="3" t="inlineStr">
        <is>
          <t>Cape Projects Construction (Pty) Ltd</t>
        </is>
      </c>
      <c r="B3341" s="4" t="n">
        <v>45077</v>
      </c>
      <c r="C3341" s="3" t="inlineStr">
        <is>
          <t>Expenses</t>
        </is>
      </c>
      <c r="D3341" s="3" t="inlineStr">
        <is>
          <t>3250/000</t>
        </is>
      </c>
      <c r="E3341" s="3" t="inlineStr">
        <is>
          <t>Cleaning</t>
        </is>
      </c>
      <c r="F3341" s="3" t="n">
        <v>78.25</v>
      </c>
      <c r="G3341" s="3" t="n">
        <v>433.65</v>
      </c>
    </row>
    <row r="3342">
      <c r="A3342" s="3" t="inlineStr">
        <is>
          <t>Cape Projects Construction (Pty) Ltd</t>
        </is>
      </c>
      <c r="B3342" s="4" t="n">
        <v>45077</v>
      </c>
      <c r="C3342" s="3" t="inlineStr">
        <is>
          <t>Expenses</t>
        </is>
      </c>
      <c r="D3342" s="3" t="inlineStr">
        <is>
          <t>3300/000</t>
        </is>
      </c>
      <c r="E3342" s="3" t="inlineStr">
        <is>
          <t>Computer Expenses</t>
        </is>
      </c>
      <c r="F3342" s="3" t="n">
        <v>1999.13</v>
      </c>
      <c r="G3342" s="3" t="n">
        <v>3603.65</v>
      </c>
    </row>
    <row r="3343">
      <c r="A3343" s="3" t="inlineStr">
        <is>
          <t>Cape Projects Construction (Pty) Ltd</t>
        </is>
      </c>
      <c r="B3343" s="4" t="n">
        <v>45077</v>
      </c>
      <c r="C3343" s="3" t="inlineStr">
        <is>
          <t>Expenses</t>
        </is>
      </c>
      <c r="D3343" s="3" t="inlineStr">
        <is>
          <t>3300/100</t>
        </is>
      </c>
      <c r="E3343" s="3" t="inlineStr">
        <is>
          <t>Computer Exp - IT, Internet/Hosting Fee</t>
        </is>
      </c>
      <c r="F3343" s="3" t="n">
        <v>3130</v>
      </c>
      <c r="G3343" s="3" t="n">
        <v>10839</v>
      </c>
    </row>
    <row r="3344">
      <c r="A3344" s="3" t="inlineStr">
        <is>
          <t>Heron Fields (Pty) Ltd</t>
        </is>
      </c>
      <c r="B3344" s="4" t="n">
        <v>45077</v>
      </c>
      <c r="C3344" s="3" t="inlineStr">
        <is>
          <t>Expenses</t>
        </is>
      </c>
      <c r="D3344" s="3" t="inlineStr">
        <is>
          <t>3350/100</t>
        </is>
      </c>
      <c r="E3344" s="3" t="inlineStr">
        <is>
          <t>Consulting Fees - Admin and Finance</t>
        </is>
      </c>
      <c r="F3344" s="3" t="n">
        <v>121658</v>
      </c>
      <c r="G3344" s="3" t="n">
        <v>329184.57</v>
      </c>
    </row>
    <row r="3345">
      <c r="A3345" s="3" t="inlineStr">
        <is>
          <t>Cape Projects Construction (Pty) Ltd</t>
        </is>
      </c>
      <c r="B3345" s="4" t="n">
        <v>45077</v>
      </c>
      <c r="C3345" s="3" t="inlineStr">
        <is>
          <t>Expenses</t>
        </is>
      </c>
      <c r="D3345" s="3" t="inlineStr">
        <is>
          <t>3350/300</t>
        </is>
      </c>
      <c r="E3345" s="3" t="inlineStr">
        <is>
          <t>Consulting Fees - Admin and Finance</t>
        </is>
      </c>
      <c r="F3345" s="3" t="n">
        <v>119527</v>
      </c>
      <c r="G3345" s="3" t="n">
        <v>373995.7</v>
      </c>
    </row>
    <row r="3346">
      <c r="A3346" s="3" t="inlineStr">
        <is>
          <t>Heron Fields (Pty) Ltd</t>
        </is>
      </c>
      <c r="B3346" s="4" t="n">
        <v>45077</v>
      </c>
      <c r="C3346" s="3" t="inlineStr">
        <is>
          <t>Expenses</t>
        </is>
      </c>
      <c r="D3346" s="3" t="inlineStr">
        <is>
          <t>3351/000</t>
        </is>
      </c>
      <c r="E3346" s="3" t="inlineStr">
        <is>
          <t>Consulting fees - Trustee</t>
        </is>
      </c>
      <c r="F3346" s="3" t="n">
        <v>4000</v>
      </c>
      <c r="G3346" s="3" t="n">
        <v>8000</v>
      </c>
    </row>
    <row r="3347">
      <c r="A3347" s="3" t="inlineStr">
        <is>
          <t>Cape Projects Construction (Pty) Ltd</t>
        </is>
      </c>
      <c r="B3347" s="4" t="n">
        <v>45077</v>
      </c>
      <c r="C3347" s="3" t="inlineStr">
        <is>
          <t>Expenses</t>
        </is>
      </c>
      <c r="D3347" s="3" t="inlineStr">
        <is>
          <t>3400/000</t>
        </is>
      </c>
      <c r="E3347" s="3" t="inlineStr">
        <is>
          <t>Courier _AND_ Postage</t>
        </is>
      </c>
      <c r="F3347" s="3" t="n">
        <v>86.09</v>
      </c>
      <c r="G3347" s="3" t="n">
        <v>86.09</v>
      </c>
    </row>
    <row r="3348">
      <c r="A3348" s="3" t="inlineStr">
        <is>
          <t>Cape Projects Construction (Pty) Ltd</t>
        </is>
      </c>
      <c r="B3348" s="4" t="n">
        <v>45077</v>
      </c>
      <c r="C3348" s="3" t="inlineStr">
        <is>
          <t>Expenses</t>
        </is>
      </c>
      <c r="D3348" s="3" t="inlineStr">
        <is>
          <t>3450/001</t>
        </is>
      </c>
      <c r="E3348" s="3" t="inlineStr">
        <is>
          <t>Depreciation - Computer Equipment</t>
        </is>
      </c>
      <c r="F3348" s="3" t="n">
        <v>3323.91</v>
      </c>
      <c r="G3348" s="3" t="n">
        <v>9971.700000000001</v>
      </c>
    </row>
    <row r="3349">
      <c r="A3349" s="3" t="inlineStr">
        <is>
          <t>Cape Projects Construction (Pty) Ltd</t>
        </is>
      </c>
      <c r="B3349" s="4" t="n">
        <v>45077</v>
      </c>
      <c r="C3349" s="3" t="inlineStr">
        <is>
          <t>Expenses</t>
        </is>
      </c>
      <c r="D3349" s="3" t="inlineStr">
        <is>
          <t>3450/002</t>
        </is>
      </c>
      <c r="E3349" s="3" t="inlineStr">
        <is>
          <t>Depreciation - Generator Fixed Asset</t>
        </is>
      </c>
      <c r="F3349" s="3" t="n">
        <v>1188.7</v>
      </c>
      <c r="G3349" s="3" t="n">
        <v>1575.37</v>
      </c>
    </row>
    <row r="3350">
      <c r="A3350" s="3" t="inlineStr">
        <is>
          <t>Cape Projects Construction (Pty) Ltd</t>
        </is>
      </c>
      <c r="B3350" s="4" t="n">
        <v>45077</v>
      </c>
      <c r="C3350" s="3" t="inlineStr">
        <is>
          <t>Expenses</t>
        </is>
      </c>
      <c r="D3350" s="3" t="inlineStr">
        <is>
          <t>3450/030</t>
        </is>
      </c>
      <c r="E3350" s="3" t="inlineStr">
        <is>
          <t>Depreciation - Furniture and Fittings</t>
        </is>
      </c>
      <c r="F3350" s="3" t="n">
        <v>547.6799999999999</v>
      </c>
      <c r="G3350" s="3" t="n">
        <v>1643.03</v>
      </c>
    </row>
    <row r="3351">
      <c r="A3351" s="3" t="inlineStr">
        <is>
          <t>Heron Fields (Pty) Ltd</t>
        </is>
      </c>
      <c r="B3351" s="4" t="n">
        <v>45077</v>
      </c>
      <c r="C3351" s="3" t="inlineStr">
        <is>
          <t>Expenses</t>
        </is>
      </c>
      <c r="D3351" s="3" t="inlineStr">
        <is>
          <t>3650/000</t>
        </is>
      </c>
      <c r="E3351" s="3" t="inlineStr">
        <is>
          <t>CoCT - Electricity</t>
        </is>
      </c>
      <c r="F3351" s="3" t="n">
        <v>2524.84</v>
      </c>
      <c r="G3351" s="3" t="n">
        <v>11263.46</v>
      </c>
    </row>
    <row r="3352">
      <c r="A3352" s="3" t="inlineStr">
        <is>
          <t>Cape Projects Construction (Pty) Ltd</t>
        </is>
      </c>
      <c r="B3352" s="4" t="n">
        <v>45077</v>
      </c>
      <c r="C3352" s="3" t="inlineStr">
        <is>
          <t>Expenses</t>
        </is>
      </c>
      <c r="D3352" s="3" t="inlineStr">
        <is>
          <t>3650/000</t>
        </is>
      </c>
      <c r="E3352" s="3" t="inlineStr">
        <is>
          <t>Electricity _AND_ Water</t>
        </is>
      </c>
      <c r="F3352" s="3" t="n">
        <v>5058.34</v>
      </c>
      <c r="G3352" s="3" t="n">
        <v>19162.49</v>
      </c>
    </row>
    <row r="3353">
      <c r="A3353" s="3" t="inlineStr">
        <is>
          <t>Heron Fields (Pty) Ltd</t>
        </is>
      </c>
      <c r="B3353" s="4" t="n">
        <v>45077</v>
      </c>
      <c r="C3353" s="3" t="inlineStr">
        <is>
          <t>Expenses</t>
        </is>
      </c>
      <c r="D3353" s="3" t="inlineStr">
        <is>
          <t>3660/000</t>
        </is>
      </c>
      <c r="E3353" s="3" t="inlineStr">
        <is>
          <t>CoCT - Water</t>
        </is>
      </c>
      <c r="F3353" s="3" t="n">
        <v>8832.24</v>
      </c>
      <c r="G3353" s="3" t="n">
        <v>43879.43</v>
      </c>
    </row>
    <row r="3354">
      <c r="A3354" s="3" t="inlineStr">
        <is>
          <t>Heron Fields (Pty) Ltd</t>
        </is>
      </c>
      <c r="B3354" s="4" t="n">
        <v>45077</v>
      </c>
      <c r="C3354" s="3" t="inlineStr">
        <is>
          <t>Expenses</t>
        </is>
      </c>
      <c r="D3354" s="3" t="inlineStr">
        <is>
          <t>3670/000</t>
        </is>
      </c>
      <c r="E3354" s="3" t="inlineStr">
        <is>
          <t>CoCT - Refuse</t>
        </is>
      </c>
      <c r="F3354" s="3" t="n">
        <v>0</v>
      </c>
      <c r="G3354" s="3" t="n">
        <v>10690.2</v>
      </c>
    </row>
    <row r="3355">
      <c r="A3355" s="3" t="inlineStr">
        <is>
          <t>Heron Fields (Pty) Ltd</t>
        </is>
      </c>
      <c r="B3355" s="4" t="n">
        <v>45077</v>
      </c>
      <c r="C3355" s="3" t="inlineStr">
        <is>
          <t>Expenses</t>
        </is>
      </c>
      <c r="D3355" s="3" t="inlineStr">
        <is>
          <t>3700/000</t>
        </is>
      </c>
      <c r="E3355" s="3" t="inlineStr">
        <is>
          <t>Entertainment Expenses</t>
        </is>
      </c>
      <c r="F3355" s="3" t="n">
        <v>39.47</v>
      </c>
      <c r="G3355" s="3" t="n">
        <v>39.47</v>
      </c>
    </row>
    <row r="3356">
      <c r="A3356" s="3" t="inlineStr">
        <is>
          <t>Heron Fields (Pty) Ltd</t>
        </is>
      </c>
      <c r="B3356" s="4" t="n">
        <v>45077</v>
      </c>
      <c r="C3356" s="3" t="inlineStr">
        <is>
          <t>Expenses</t>
        </is>
      </c>
      <c r="D3356" s="3" t="inlineStr">
        <is>
          <t>3800/000</t>
        </is>
      </c>
      <c r="E3356" s="3" t="inlineStr">
        <is>
          <t>General Expenses</t>
        </is>
      </c>
      <c r="F3356" s="3" t="n">
        <v>0</v>
      </c>
      <c r="G3356" s="3" t="n">
        <v>199.99</v>
      </c>
    </row>
    <row r="3357">
      <c r="A3357" s="3" t="inlineStr">
        <is>
          <t>Heron Fields (Pty) Ltd</t>
        </is>
      </c>
      <c r="B3357" s="4" t="n">
        <v>45077</v>
      </c>
      <c r="C3357" s="3" t="inlineStr">
        <is>
          <t>Expenses</t>
        </is>
      </c>
      <c r="D3357" s="3" t="inlineStr">
        <is>
          <t>3850/000</t>
        </is>
      </c>
      <c r="E3357" s="3" t="inlineStr">
        <is>
          <t>Insurance</t>
        </is>
      </c>
      <c r="F3357" s="3" t="n">
        <v>8823.9</v>
      </c>
      <c r="G3357" s="3" t="n">
        <v>16174.23</v>
      </c>
    </row>
    <row r="3358">
      <c r="A3358" s="3" t="inlineStr">
        <is>
          <t>Cape Projects Construction (Pty) Ltd</t>
        </is>
      </c>
      <c r="B3358" s="4" t="n">
        <v>45077</v>
      </c>
      <c r="C3358" s="3" t="inlineStr">
        <is>
          <t>Expenses</t>
        </is>
      </c>
      <c r="D3358" s="3" t="inlineStr">
        <is>
          <t>3850/001</t>
        </is>
      </c>
      <c r="E3358" s="3" t="inlineStr">
        <is>
          <t>Insurance - Santam</t>
        </is>
      </c>
      <c r="F3358" s="3" t="n">
        <v>0</v>
      </c>
      <c r="G3358" s="3" t="n">
        <v>5734.41</v>
      </c>
    </row>
    <row r="3359">
      <c r="A3359" s="3" t="inlineStr">
        <is>
          <t>Heron Fields (Pty) Ltd</t>
        </is>
      </c>
      <c r="B3359" s="4" t="n">
        <v>45077</v>
      </c>
      <c r="C3359" s="3" t="inlineStr">
        <is>
          <t>Expenses</t>
        </is>
      </c>
      <c r="D3359" s="3" t="inlineStr">
        <is>
          <t>3900/000</t>
        </is>
      </c>
      <c r="E3359" s="3" t="inlineStr">
        <is>
          <t>Interest Paid</t>
        </is>
      </c>
      <c r="F3359" s="3" t="n">
        <v>0</v>
      </c>
      <c r="G3359" s="3" t="n">
        <v>-533.8</v>
      </c>
    </row>
    <row r="3360">
      <c r="A3360" s="3" t="inlineStr">
        <is>
          <t>Heron Fields (Pty) Ltd</t>
        </is>
      </c>
      <c r="B3360" s="4" t="n">
        <v>45077</v>
      </c>
      <c r="C3360" s="3" t="inlineStr">
        <is>
          <t>Expenses</t>
        </is>
      </c>
      <c r="D3360" s="3" t="inlineStr">
        <is>
          <t>3900/111</t>
        </is>
      </c>
      <c r="E3360" s="3" t="inlineStr">
        <is>
          <t>Interest Paid - Investors @ 6.25%</t>
        </is>
      </c>
      <c r="F3360" s="3" t="n">
        <v>22371.58</v>
      </c>
      <c r="G3360" s="3" t="n">
        <v>147794.21</v>
      </c>
    </row>
    <row r="3361">
      <c r="A3361" s="3" t="inlineStr">
        <is>
          <t>Heron Fields (Pty) Ltd</t>
        </is>
      </c>
      <c r="B3361" s="4" t="n">
        <v>45077</v>
      </c>
      <c r="C3361" s="3" t="inlineStr">
        <is>
          <t>Expenses</t>
        </is>
      </c>
      <c r="D3361" s="3" t="inlineStr">
        <is>
          <t>3900/115</t>
        </is>
      </c>
      <c r="E3361" s="3" t="inlineStr">
        <is>
          <t>Interest Paid - Investors @ 6.5%</t>
        </is>
      </c>
      <c r="F3361" s="3" t="n">
        <v>15457.54</v>
      </c>
      <c r="G3361" s="3" t="n">
        <v>56380.83</v>
      </c>
    </row>
    <row r="3362">
      <c r="A3362" s="3" t="inlineStr">
        <is>
          <t>Heron Fields (Pty) Ltd</t>
        </is>
      </c>
      <c r="B3362" s="4" t="n">
        <v>45077</v>
      </c>
      <c r="C3362" s="3" t="inlineStr">
        <is>
          <t>Expenses</t>
        </is>
      </c>
      <c r="D3362" s="3" t="inlineStr">
        <is>
          <t>3900/117</t>
        </is>
      </c>
      <c r="E3362" s="3" t="inlineStr">
        <is>
          <t>Interest Paid - Investors @ 6.75%</t>
        </is>
      </c>
      <c r="F3362" s="3" t="n">
        <v>13389.04</v>
      </c>
      <c r="G3362" s="3" t="n">
        <v>36302.06</v>
      </c>
    </row>
    <row r="3363">
      <c r="A3363" s="3" t="inlineStr">
        <is>
          <t>Heron Fields (Pty) Ltd</t>
        </is>
      </c>
      <c r="B3363" s="4" t="n">
        <v>45077</v>
      </c>
      <c r="C3363" s="3" t="inlineStr">
        <is>
          <t>Expenses</t>
        </is>
      </c>
      <c r="D3363" s="3" t="inlineStr">
        <is>
          <t>3900/120</t>
        </is>
      </c>
      <c r="E3363" s="3" t="inlineStr">
        <is>
          <t>Interest Paid - Investors @ 7%</t>
        </is>
      </c>
      <c r="F3363" s="3" t="n">
        <v>0</v>
      </c>
      <c r="G3363" s="3" t="n">
        <v>11027.39</v>
      </c>
    </row>
    <row r="3364">
      <c r="A3364" s="3" t="inlineStr">
        <is>
          <t>Heron Fields (Pty) Ltd</t>
        </is>
      </c>
      <c r="B3364" s="4" t="n">
        <v>45077</v>
      </c>
      <c r="C3364" s="3" t="inlineStr">
        <is>
          <t>Expenses</t>
        </is>
      </c>
      <c r="D3364" s="3" t="inlineStr">
        <is>
          <t>3900/190</t>
        </is>
      </c>
      <c r="E3364" s="3" t="inlineStr">
        <is>
          <t>Interest Paid - Investors @ 14%</t>
        </is>
      </c>
      <c r="F3364" s="3" t="n">
        <v>229887.83</v>
      </c>
      <c r="G3364" s="3" t="n">
        <v>270264.54</v>
      </c>
    </row>
    <row r="3365">
      <c r="A3365" s="3" t="inlineStr">
        <is>
          <t>Heron Fields (Pty) Ltd</t>
        </is>
      </c>
      <c r="B3365" s="4" t="n">
        <v>45077</v>
      </c>
      <c r="C3365" s="3" t="inlineStr">
        <is>
          <t>Expenses</t>
        </is>
      </c>
      <c r="D3365" s="3" t="inlineStr">
        <is>
          <t>3900/200</t>
        </is>
      </c>
      <c r="E3365" s="3" t="inlineStr">
        <is>
          <t>Interest Paid - Investors @ 15%</t>
        </is>
      </c>
      <c r="F3365" s="3" t="n">
        <v>117904.12</v>
      </c>
      <c r="G3365" s="3" t="n">
        <v>306719.18</v>
      </c>
    </row>
    <row r="3366">
      <c r="A3366" s="3" t="inlineStr">
        <is>
          <t>Heron Fields (Pty) Ltd</t>
        </is>
      </c>
      <c r="B3366" s="4" t="n">
        <v>45077</v>
      </c>
      <c r="C3366" s="3" t="inlineStr">
        <is>
          <t>Expenses</t>
        </is>
      </c>
      <c r="D3366" s="3" t="inlineStr">
        <is>
          <t>3900/210</t>
        </is>
      </c>
      <c r="E3366" s="3" t="inlineStr">
        <is>
          <t>Interest Paid - Investors @ 16%</t>
        </is>
      </c>
      <c r="F3366" s="3" t="n">
        <v>33052.06</v>
      </c>
      <c r="G3366" s="3" t="n">
        <v>47503.98</v>
      </c>
    </row>
    <row r="3367">
      <c r="A3367" s="3" t="inlineStr">
        <is>
          <t>Heron Fields (Pty) Ltd</t>
        </is>
      </c>
      <c r="B3367" s="4" t="n">
        <v>45077</v>
      </c>
      <c r="C3367" s="3" t="inlineStr">
        <is>
          <t>Expenses</t>
        </is>
      </c>
      <c r="D3367" s="3" t="inlineStr">
        <is>
          <t>3900/230</t>
        </is>
      </c>
      <c r="E3367" s="3" t="inlineStr">
        <is>
          <t>Interest Paid - Investors @ 18%</t>
        </is>
      </c>
      <c r="F3367" s="3" t="n">
        <v>214964.38</v>
      </c>
      <c r="G3367" s="3" t="n">
        <v>2785386.85</v>
      </c>
    </row>
    <row r="3368">
      <c r="A3368" s="3" t="inlineStr">
        <is>
          <t>Cape Projects Construction (Pty) Ltd</t>
        </is>
      </c>
      <c r="B3368" s="4" t="n">
        <v>45077</v>
      </c>
      <c r="C3368" s="3" t="inlineStr">
        <is>
          <t>Expenses</t>
        </is>
      </c>
      <c r="D3368" s="3" t="inlineStr">
        <is>
          <t>4000/000</t>
        </is>
      </c>
      <c r="E3368" s="3" t="inlineStr">
        <is>
          <t>Legal Fees</t>
        </is>
      </c>
      <c r="F3368" s="3" t="n">
        <v>0</v>
      </c>
      <c r="G3368" s="3" t="n">
        <v>5202.88</v>
      </c>
    </row>
    <row r="3369">
      <c r="A3369" s="3" t="inlineStr">
        <is>
          <t>Heron Fields (Pty) Ltd</t>
        </is>
      </c>
      <c r="B3369" s="4" t="n">
        <v>45077</v>
      </c>
      <c r="C3369" s="3" t="inlineStr">
        <is>
          <t>Expenses</t>
        </is>
      </c>
      <c r="D3369" s="3" t="inlineStr">
        <is>
          <t>4100/001</t>
        </is>
      </c>
      <c r="E3369" s="3" t="inlineStr">
        <is>
          <t>Momentum Admin Fee</t>
        </is>
      </c>
      <c r="F3369" s="3" t="n">
        <v>5264.82</v>
      </c>
      <c r="G3369" s="3" t="n">
        <v>18838.97</v>
      </c>
    </row>
    <row r="3370">
      <c r="A3370" s="3" t="inlineStr">
        <is>
          <t>Cape Projects Construction (Pty) Ltd</t>
        </is>
      </c>
      <c r="B3370" s="4" t="n">
        <v>45077</v>
      </c>
      <c r="C3370" s="3" t="inlineStr">
        <is>
          <t>Expenses</t>
        </is>
      </c>
      <c r="D3370" s="3" t="inlineStr">
        <is>
          <t>4150/000</t>
        </is>
      </c>
      <c r="E3370" s="3" t="inlineStr">
        <is>
          <t>Motor Vehicle Expenses</t>
        </is>
      </c>
      <c r="F3370" s="3" t="n">
        <v>0</v>
      </c>
      <c r="G3370" s="3" t="n">
        <v>362</v>
      </c>
    </row>
    <row r="3371">
      <c r="A3371" s="3" t="inlineStr">
        <is>
          <t>Cape Projects Construction (Pty) Ltd</t>
        </is>
      </c>
      <c r="B3371" s="4" t="n">
        <v>45077</v>
      </c>
      <c r="C3371" s="3" t="inlineStr">
        <is>
          <t>Expenses</t>
        </is>
      </c>
      <c r="D3371" s="3" t="inlineStr">
        <is>
          <t>4150/010</t>
        </is>
      </c>
      <c r="E3371" s="3" t="inlineStr">
        <is>
          <t>Motor Vehicle - Petrol _AND_ Oil</t>
        </is>
      </c>
      <c r="F3371" s="3" t="n">
        <v>4892.22</v>
      </c>
      <c r="G3371" s="3" t="n">
        <v>17606.01</v>
      </c>
    </row>
    <row r="3372">
      <c r="A3372" s="3" t="inlineStr">
        <is>
          <t>Cape Projects Construction (Pty) Ltd</t>
        </is>
      </c>
      <c r="B3372" s="4" t="n">
        <v>45077</v>
      </c>
      <c r="C3372" s="3" t="inlineStr">
        <is>
          <t>Expenses</t>
        </is>
      </c>
      <c r="D3372" s="3" t="inlineStr">
        <is>
          <t>4200/000</t>
        </is>
      </c>
      <c r="E3372" s="3" t="inlineStr">
        <is>
          <t>Printing _AND_ Stationery</t>
        </is>
      </c>
      <c r="F3372" s="3" t="n">
        <v>2190.86</v>
      </c>
      <c r="G3372" s="3" t="n">
        <v>5663.9</v>
      </c>
    </row>
    <row r="3373">
      <c r="A3373" s="3" t="inlineStr">
        <is>
          <t>Cape Projects Construction (Pty) Ltd</t>
        </is>
      </c>
      <c r="B3373" s="4" t="n">
        <v>45077</v>
      </c>
      <c r="C3373" s="3" t="inlineStr">
        <is>
          <t>Expenses</t>
        </is>
      </c>
      <c r="D3373" s="3" t="inlineStr">
        <is>
          <t>4201/000</t>
        </is>
      </c>
      <c r="E3373" s="3" t="inlineStr">
        <is>
          <t>Printing - Printer rental</t>
        </is>
      </c>
      <c r="F3373" s="3" t="n">
        <v>2190.96</v>
      </c>
      <c r="G3373" s="3" t="n">
        <v>5344.19</v>
      </c>
    </row>
    <row r="3374">
      <c r="A3374" s="3" t="inlineStr">
        <is>
          <t>Cape Projects Construction (Pty) Ltd</t>
        </is>
      </c>
      <c r="B3374" s="4" t="n">
        <v>45077</v>
      </c>
      <c r="C3374" s="3" t="inlineStr">
        <is>
          <t>Expenses</t>
        </is>
      </c>
      <c r="D3374" s="3" t="inlineStr">
        <is>
          <t>4300/000</t>
        </is>
      </c>
      <c r="E3374" s="3" t="inlineStr">
        <is>
          <t>Rent Paid</t>
        </is>
      </c>
      <c r="F3374" s="3" t="n">
        <v>29600</v>
      </c>
      <c r="G3374" s="3" t="n">
        <v>88800</v>
      </c>
    </row>
    <row r="3375">
      <c r="A3375" s="3" t="inlineStr">
        <is>
          <t>Cape Projects Construction (Pty) Ltd</t>
        </is>
      </c>
      <c r="B3375" s="4" t="n">
        <v>45077</v>
      </c>
      <c r="C3375" s="3" t="inlineStr">
        <is>
          <t>Expenses</t>
        </is>
      </c>
      <c r="D3375" s="3" t="inlineStr">
        <is>
          <t>4310/000</t>
        </is>
      </c>
      <c r="E3375" s="3" t="inlineStr">
        <is>
          <t>Rates</t>
        </is>
      </c>
      <c r="F3375" s="3" t="n">
        <v>843.6</v>
      </c>
      <c r="G3375" s="3" t="n">
        <v>2530.8</v>
      </c>
    </row>
    <row r="3376">
      <c r="A3376" s="3" t="inlineStr">
        <is>
          <t>Heron Fields (Pty) Ltd</t>
        </is>
      </c>
      <c r="B3376" s="4" t="n">
        <v>45077</v>
      </c>
      <c r="C3376" s="3" t="inlineStr">
        <is>
          <t>Expenses</t>
        </is>
      </c>
      <c r="D3376" s="3" t="inlineStr">
        <is>
          <t>4310/000</t>
        </is>
      </c>
      <c r="E3376" s="3" t="inlineStr">
        <is>
          <t>Rates - Heron</t>
        </is>
      </c>
      <c r="F3376" s="3" t="n">
        <v>1.08</v>
      </c>
      <c r="G3376" s="3" t="n">
        <v>-11396.43</v>
      </c>
    </row>
    <row r="3377">
      <c r="A3377" s="3" t="inlineStr">
        <is>
          <t>Cape Projects Construction (Pty) Ltd</t>
        </is>
      </c>
      <c r="B3377" s="4" t="n">
        <v>45077</v>
      </c>
      <c r="C3377" s="3" t="inlineStr">
        <is>
          <t>Expenses</t>
        </is>
      </c>
      <c r="D3377" s="3" t="inlineStr">
        <is>
          <t>4350/000</t>
        </is>
      </c>
      <c r="E3377" s="3" t="inlineStr">
        <is>
          <t>Repairs _AND_ Maintenance</t>
        </is>
      </c>
      <c r="F3377" s="3" t="n">
        <v>2121.6</v>
      </c>
      <c r="G3377" s="3" t="n">
        <v>9224.4</v>
      </c>
    </row>
    <row r="3378">
      <c r="A3378" s="3" t="inlineStr">
        <is>
          <t>Cape Projects Construction (Pty) Ltd</t>
        </is>
      </c>
      <c r="B3378" s="4" t="n">
        <v>45077</v>
      </c>
      <c r="C3378" s="3" t="inlineStr">
        <is>
          <t>Expenses</t>
        </is>
      </c>
      <c r="D3378" s="3" t="inlineStr">
        <is>
          <t>4400/000</t>
        </is>
      </c>
      <c r="E3378" s="3" t="inlineStr">
        <is>
          <t>Salaries _AND_ Wages</t>
        </is>
      </c>
      <c r="F3378" s="3" t="n">
        <v>333418.54</v>
      </c>
      <c r="G3378" s="3" t="n">
        <v>971959.28</v>
      </c>
    </row>
    <row r="3379">
      <c r="A3379" s="3" t="inlineStr">
        <is>
          <t>Cape Projects Construction (Pty) Ltd</t>
        </is>
      </c>
      <c r="B3379" s="4" t="n">
        <v>45077</v>
      </c>
      <c r="C3379" s="3" t="inlineStr">
        <is>
          <t>Expenses</t>
        </is>
      </c>
      <c r="D3379" s="3" t="inlineStr">
        <is>
          <t>4402</t>
        </is>
      </c>
      <c r="E3379" s="3" t="inlineStr">
        <is>
          <t>Salaries &amp; Wages - WCA</t>
        </is>
      </c>
      <c r="F3379" s="3" t="n">
        <v>5192.13</v>
      </c>
      <c r="G3379" s="3" t="n">
        <v>5192.13</v>
      </c>
    </row>
    <row r="3380">
      <c r="A3380" s="3" t="inlineStr">
        <is>
          <t>Cape Projects Construction (Pty) Ltd</t>
        </is>
      </c>
      <c r="B3380" s="4" t="n">
        <v>45077</v>
      </c>
      <c r="C3380" s="3" t="inlineStr">
        <is>
          <t>Expenses</t>
        </is>
      </c>
      <c r="D3380" s="3" t="inlineStr">
        <is>
          <t>4403/000</t>
        </is>
      </c>
      <c r="E3380" s="3" t="inlineStr">
        <is>
          <t>Security</t>
        </is>
      </c>
      <c r="F3380" s="3" t="n">
        <v>177.33</v>
      </c>
      <c r="G3380" s="3" t="n">
        <v>531.99</v>
      </c>
    </row>
    <row r="3381">
      <c r="A3381" s="3" t="inlineStr">
        <is>
          <t>Cape Projects Construction (Pty) Ltd</t>
        </is>
      </c>
      <c r="B3381" s="4" t="n">
        <v>45077</v>
      </c>
      <c r="C3381" s="3" t="inlineStr">
        <is>
          <t>Expenses</t>
        </is>
      </c>
      <c r="D3381" s="3" t="inlineStr">
        <is>
          <t>4420/000</t>
        </is>
      </c>
      <c r="E3381" s="3" t="inlineStr">
        <is>
          <t>Small Assets</t>
        </is>
      </c>
      <c r="F3381" s="3" t="n">
        <v>607.83</v>
      </c>
      <c r="G3381" s="3" t="n">
        <v>3041.74</v>
      </c>
    </row>
    <row r="3382">
      <c r="A3382" s="3" t="inlineStr">
        <is>
          <t>Heron Fields (Pty) Ltd</t>
        </is>
      </c>
      <c r="B3382" s="4" t="n">
        <v>45077</v>
      </c>
      <c r="C3382" s="3" t="inlineStr">
        <is>
          <t>Expenses</t>
        </is>
      </c>
      <c r="D3382" s="3" t="inlineStr">
        <is>
          <t>4420/001</t>
        </is>
      </c>
      <c r="E3382" s="3" t="inlineStr">
        <is>
          <t>Security - ADT</t>
        </is>
      </c>
      <c r="F3382" s="3" t="n">
        <v>328.38</v>
      </c>
      <c r="G3382" s="3" t="n">
        <v>985.14</v>
      </c>
    </row>
    <row r="3383">
      <c r="A3383" s="3" t="inlineStr">
        <is>
          <t>Cape Projects Construction (Pty) Ltd</t>
        </is>
      </c>
      <c r="B3383" s="4" t="n">
        <v>45077</v>
      </c>
      <c r="C3383" s="3" t="inlineStr">
        <is>
          <t>Expenses</t>
        </is>
      </c>
      <c r="D3383" s="3" t="inlineStr">
        <is>
          <t>4500/000</t>
        </is>
      </c>
      <c r="E3383" s="3" t="inlineStr">
        <is>
          <t>Staff Welfare _AND_ Refreshmts</t>
        </is>
      </c>
      <c r="F3383" s="3" t="n">
        <v>2227.4</v>
      </c>
      <c r="G3383" s="3" t="n">
        <v>2472.38</v>
      </c>
    </row>
    <row r="3384">
      <c r="A3384" s="3" t="inlineStr">
        <is>
          <t>Cape Projects Construction (Pty) Ltd</t>
        </is>
      </c>
      <c r="B3384" s="4" t="n">
        <v>45077</v>
      </c>
      <c r="C3384" s="3" t="inlineStr">
        <is>
          <t>Expenses</t>
        </is>
      </c>
      <c r="D3384" s="3" t="inlineStr">
        <is>
          <t>4550/001</t>
        </is>
      </c>
      <c r="E3384" s="3" t="inlineStr">
        <is>
          <t>Subscriptions &amp; Licenses - Sage payroll</t>
        </is>
      </c>
      <c r="F3384" s="3" t="n">
        <v>747</v>
      </c>
      <c r="G3384" s="3" t="n">
        <v>2241</v>
      </c>
    </row>
    <row r="3385">
      <c r="A3385" s="3" t="inlineStr">
        <is>
          <t>Cape Projects Construction (Pty) Ltd</t>
        </is>
      </c>
      <c r="B3385" s="4" t="n">
        <v>45077</v>
      </c>
      <c r="C3385" s="3" t="inlineStr">
        <is>
          <t>Expenses</t>
        </is>
      </c>
      <c r="D3385" s="3" t="inlineStr">
        <is>
          <t>4550/002</t>
        </is>
      </c>
      <c r="E3385" s="3" t="inlineStr">
        <is>
          <t>Subscriptions &amp; Licenses - Caseware</t>
        </is>
      </c>
      <c r="F3385" s="3" t="n">
        <v>0</v>
      </c>
      <c r="G3385" s="3" t="n">
        <v>10825.49</v>
      </c>
    </row>
    <row r="3386">
      <c r="A3386" s="3" t="inlineStr">
        <is>
          <t>Cape Projects Construction (Pty) Ltd</t>
        </is>
      </c>
      <c r="B3386" s="4" t="n">
        <v>45077</v>
      </c>
      <c r="C3386" s="3" t="inlineStr">
        <is>
          <t>Expenses</t>
        </is>
      </c>
      <c r="D3386" s="3" t="inlineStr">
        <is>
          <t>4550/003</t>
        </is>
      </c>
      <c r="E3386" s="3" t="inlineStr">
        <is>
          <t>Subscriptions &amp; Licenses - Xero</t>
        </is>
      </c>
      <c r="F3386" s="3" t="n">
        <v>600</v>
      </c>
      <c r="G3386" s="3" t="n">
        <v>1800</v>
      </c>
    </row>
    <row r="3387">
      <c r="A3387" s="3" t="inlineStr">
        <is>
          <t>Cape Projects Construction (Pty) Ltd</t>
        </is>
      </c>
      <c r="B3387" s="4" t="n">
        <v>45077</v>
      </c>
      <c r="C3387" s="3" t="inlineStr">
        <is>
          <t>Expenses</t>
        </is>
      </c>
      <c r="D3387" s="3" t="inlineStr">
        <is>
          <t>4550/004</t>
        </is>
      </c>
      <c r="E3387" s="3" t="inlineStr">
        <is>
          <t>Subscriptions - Smartsheet</t>
        </is>
      </c>
      <c r="F3387" s="3" t="n">
        <v>937.23</v>
      </c>
      <c r="G3387" s="3" t="n">
        <v>2345.73</v>
      </c>
    </row>
    <row r="3388">
      <c r="A3388" s="3" t="inlineStr">
        <is>
          <t>Heron Fields (Pty) Ltd</t>
        </is>
      </c>
      <c r="B3388" s="4" t="n">
        <v>45077</v>
      </c>
      <c r="C3388" s="3" t="inlineStr">
        <is>
          <t>Expenses</t>
        </is>
      </c>
      <c r="D3388" s="3" t="inlineStr">
        <is>
          <t>4550/100</t>
        </is>
      </c>
      <c r="E3388" s="3" t="inlineStr">
        <is>
          <t>Subscriptions - Xero</t>
        </is>
      </c>
      <c r="F3388" s="3" t="n">
        <v>600</v>
      </c>
      <c r="G3388" s="3" t="n">
        <v>1800</v>
      </c>
    </row>
    <row r="3389">
      <c r="A3389" s="3" t="inlineStr">
        <is>
          <t>Heron View (Pty) Ltd</t>
        </is>
      </c>
      <c r="B3389" s="4" t="n">
        <v>45077</v>
      </c>
      <c r="C3389" s="3" t="inlineStr">
        <is>
          <t>Expenses</t>
        </is>
      </c>
      <c r="D3389" s="3" t="inlineStr">
        <is>
          <t>4550/100</t>
        </is>
      </c>
      <c r="E3389" s="3" t="inlineStr">
        <is>
          <t>Subscriptions - Xero</t>
        </is>
      </c>
      <c r="F3389" s="3" t="n">
        <v>600</v>
      </c>
      <c r="G3389" s="3" t="n">
        <v>1800</v>
      </c>
    </row>
    <row r="3390">
      <c r="A3390" s="3" t="inlineStr">
        <is>
          <t>Cape Projects Construction (Pty) Ltd</t>
        </is>
      </c>
      <c r="B3390" s="4" t="n">
        <v>45077</v>
      </c>
      <c r="C3390" s="3" t="inlineStr">
        <is>
          <t>Expenses</t>
        </is>
      </c>
      <c r="D3390" s="3" t="inlineStr">
        <is>
          <t>4700/000</t>
        </is>
      </c>
      <c r="E3390" s="3" t="inlineStr">
        <is>
          <t>PAYE Contributions</t>
        </is>
      </c>
      <c r="F3390" s="3" t="n">
        <v>77215.96000000001</v>
      </c>
      <c r="G3390" s="3" t="n">
        <v>230024.45</v>
      </c>
    </row>
    <row r="3391">
      <c r="A3391" s="3" t="inlineStr">
        <is>
          <t>Cape Projects Construction (Pty) Ltd</t>
        </is>
      </c>
      <c r="B3391" s="4" t="n">
        <v>45077</v>
      </c>
      <c r="C3391" s="3" t="inlineStr">
        <is>
          <t>Expenses</t>
        </is>
      </c>
      <c r="D3391" s="3" t="inlineStr">
        <is>
          <t>4720/000</t>
        </is>
      </c>
      <c r="E3391" s="3" t="inlineStr">
        <is>
          <t>SDL Contributions</t>
        </is>
      </c>
      <c r="F3391" s="3" t="n">
        <v>3980.49</v>
      </c>
      <c r="G3391" s="3" t="n">
        <v>11643.12</v>
      </c>
    </row>
    <row r="3392">
      <c r="A3392" s="3" t="inlineStr">
        <is>
          <t>Cape Projects Construction (Pty) Ltd</t>
        </is>
      </c>
      <c r="B3392" s="4" t="n">
        <v>45077</v>
      </c>
      <c r="C3392" s="3" t="inlineStr">
        <is>
          <t>Expenses</t>
        </is>
      </c>
      <c r="D3392" s="3" t="inlineStr">
        <is>
          <t>4730/000</t>
        </is>
      </c>
      <c r="E3392" s="3" t="inlineStr">
        <is>
          <t>UIF Company Contributions</t>
        </is>
      </c>
      <c r="F3392" s="3" t="n">
        <v>2059.18</v>
      </c>
      <c r="G3392" s="3" t="n">
        <v>5983.24</v>
      </c>
    </row>
    <row r="3393">
      <c r="A3393" s="3" t="inlineStr">
        <is>
          <t>Cape Projects Construction (Pty) Ltd</t>
        </is>
      </c>
      <c r="B3393" s="4" t="n">
        <v>45077</v>
      </c>
      <c r="C3393" s="3" t="inlineStr">
        <is>
          <t>Expenses</t>
        </is>
      </c>
      <c r="D3393" s="3" t="inlineStr">
        <is>
          <t>4731/000</t>
        </is>
      </c>
      <c r="E3393" s="3" t="inlineStr">
        <is>
          <t>UIF Employee Contribution</t>
        </is>
      </c>
      <c r="F3393" s="3" t="n">
        <v>2059.18</v>
      </c>
      <c r="G3393" s="3" t="n">
        <v>5983.24</v>
      </c>
    </row>
    <row r="3394">
      <c r="A3394" s="3" t="inlineStr">
        <is>
          <t>Cape Projects Construction (Pty) Ltd</t>
        </is>
      </c>
      <c r="B3394" s="4" t="n">
        <v>45077</v>
      </c>
      <c r="C3394" s="3" t="inlineStr">
        <is>
          <t>Expenses</t>
        </is>
      </c>
      <c r="D3394" s="3" t="inlineStr">
        <is>
          <t>4740/000</t>
        </is>
      </c>
      <c r="E3394" s="3" t="inlineStr">
        <is>
          <t>BIBC Company Contribution</t>
        </is>
      </c>
      <c r="F3394" s="3" t="n">
        <v>3007.35</v>
      </c>
      <c r="G3394" s="3" t="n">
        <v>15075.35</v>
      </c>
    </row>
    <row r="3395">
      <c r="A3395" s="3" t="inlineStr">
        <is>
          <t>Cape Projects Construction (Pty) Ltd</t>
        </is>
      </c>
      <c r="B3395" s="4" t="n">
        <v>45077</v>
      </c>
      <c r="C3395" s="3" t="inlineStr">
        <is>
          <t>Expenses</t>
        </is>
      </c>
      <c r="D3395" s="3" t="inlineStr">
        <is>
          <t>4741/000</t>
        </is>
      </c>
      <c r="E3395" s="3" t="inlineStr">
        <is>
          <t>BIBC Employee Contribution</t>
        </is>
      </c>
      <c r="F3395" s="3" t="n">
        <v>1011.6</v>
      </c>
      <c r="G3395" s="3" t="n">
        <v>4562.1</v>
      </c>
    </row>
    <row r="3396">
      <c r="A3396" s="3" t="inlineStr">
        <is>
          <t>Heron Fields (Pty) Ltd</t>
        </is>
      </c>
      <c r="B3396" s="4" t="n">
        <v>45077</v>
      </c>
      <c r="C3396" s="3" t="inlineStr">
        <is>
          <t>Equity</t>
        </is>
      </c>
      <c r="D3396" s="3" t="inlineStr">
        <is>
          <t>5100-000</t>
        </is>
      </c>
      <c r="E3396" s="3" t="inlineStr">
        <is>
          <t>Share Capital</t>
        </is>
      </c>
      <c r="F3396" s="3" t="n">
        <v>0</v>
      </c>
      <c r="G3396" s="3" t="n">
        <v>-100</v>
      </c>
    </row>
    <row r="3397">
      <c r="A3397" s="3" t="inlineStr">
        <is>
          <t>Cape Projects Construction (Pty) Ltd</t>
        </is>
      </c>
      <c r="B3397" s="4" t="n">
        <v>45077</v>
      </c>
      <c r="C3397" s="3" t="inlineStr">
        <is>
          <t>Equity</t>
        </is>
      </c>
      <c r="D3397" s="3" t="inlineStr">
        <is>
          <t>5100/000</t>
        </is>
      </c>
      <c r="E3397" s="3" t="inlineStr">
        <is>
          <t>Share Capital / Members Contribution</t>
        </is>
      </c>
      <c r="F3397" s="3" t="n">
        <v>0</v>
      </c>
      <c r="G3397" s="3" t="n">
        <v>-120</v>
      </c>
    </row>
    <row r="3398">
      <c r="A3398" s="3" t="inlineStr">
        <is>
          <t>Cape Projects Construction (Pty) Ltd</t>
        </is>
      </c>
      <c r="B3398" s="4" t="n">
        <v>45077</v>
      </c>
      <c r="C3398" s="3" t="inlineStr">
        <is>
          <t>Equity</t>
        </is>
      </c>
      <c r="D3398" s="3" t="inlineStr">
        <is>
          <t>5200/000</t>
        </is>
      </c>
      <c r="E3398" s="3" t="inlineStr">
        <is>
          <t>Retained Earnings / Loss</t>
        </is>
      </c>
      <c r="F3398" s="3" t="n">
        <v>0</v>
      </c>
      <c r="G3398" s="3" t="n">
        <v>-296075.58</v>
      </c>
    </row>
    <row r="3399">
      <c r="A3399" s="3" t="inlineStr">
        <is>
          <t>Heron Fields (Pty) Ltd</t>
        </is>
      </c>
      <c r="B3399" s="4" t="n">
        <v>45077</v>
      </c>
      <c r="C3399" s="3" t="inlineStr">
        <is>
          <t>Equity</t>
        </is>
      </c>
      <c r="D3399" s="3" t="inlineStr">
        <is>
          <t>5200/000</t>
        </is>
      </c>
      <c r="E3399" s="3" t="inlineStr">
        <is>
          <t>Retained Earnings / Loss</t>
        </is>
      </c>
      <c r="F3399" s="3" t="n">
        <v>0</v>
      </c>
      <c r="G3399" s="3" t="n">
        <v>-17843179.58</v>
      </c>
    </row>
    <row r="3400">
      <c r="A3400" s="3" t="inlineStr">
        <is>
          <t>Heron View (Pty) Ltd</t>
        </is>
      </c>
      <c r="B3400" s="4" t="n">
        <v>45077</v>
      </c>
      <c r="C3400" s="3" t="inlineStr">
        <is>
          <t>Equity</t>
        </is>
      </c>
      <c r="D3400" s="3" t="inlineStr">
        <is>
          <t>5200/000</t>
        </is>
      </c>
      <c r="E3400" s="3" t="inlineStr">
        <is>
          <t>Retained Earnings / Loss</t>
        </is>
      </c>
      <c r="F3400" s="3" t="n">
        <v>0</v>
      </c>
      <c r="G3400" s="3" t="n">
        <v>70398.12</v>
      </c>
    </row>
    <row r="3401">
      <c r="A3401" s="3" t="inlineStr">
        <is>
          <t>Heron Fields (Pty) Ltd</t>
        </is>
      </c>
      <c r="B3401" s="4" t="n">
        <v>45077</v>
      </c>
      <c r="C3401" s="3" t="inlineStr">
        <is>
          <t>Assets</t>
        </is>
      </c>
      <c r="D3401" s="3" t="inlineStr">
        <is>
          <t>5300/001</t>
        </is>
      </c>
      <c r="E3401" s="3" t="inlineStr">
        <is>
          <t>Revaluation of Land stock</t>
        </is>
      </c>
      <c r="F3401" s="3" t="n">
        <v>0</v>
      </c>
      <c r="G3401" s="3" t="n">
        <v>17562360.85</v>
      </c>
    </row>
    <row r="3402">
      <c r="A3402" s="3" t="inlineStr">
        <is>
          <t>Cape Projects Construction (Pty) Ltd</t>
        </is>
      </c>
      <c r="B3402" s="4" t="n">
        <v>45077</v>
      </c>
      <c r="C3402" s="3" t="inlineStr">
        <is>
          <t>Assets</t>
        </is>
      </c>
      <c r="D3402" s="3" t="inlineStr">
        <is>
          <t>5400/150</t>
        </is>
      </c>
      <c r="E3402" s="3" t="inlineStr">
        <is>
          <t>Loan - Quinate</t>
        </is>
      </c>
      <c r="F3402" s="3" t="n">
        <v>0</v>
      </c>
      <c r="G3402" s="3" t="n">
        <v>185000</v>
      </c>
    </row>
    <row r="3403">
      <c r="A3403" s="3" t="inlineStr">
        <is>
          <t>Cape Projects Construction (Pty) Ltd</t>
        </is>
      </c>
      <c r="B3403" s="4" t="n">
        <v>45077</v>
      </c>
      <c r="C3403" s="3" t="inlineStr">
        <is>
          <t>Assets</t>
        </is>
      </c>
      <c r="D3403" s="3" t="inlineStr">
        <is>
          <t>5400/220</t>
        </is>
      </c>
      <c r="E3403" s="3" t="inlineStr">
        <is>
          <t>Members Loan - WH</t>
        </is>
      </c>
      <c r="F3403" s="3" t="n">
        <v>0</v>
      </c>
      <c r="G3403" s="3" t="n">
        <v>-4342.5</v>
      </c>
    </row>
    <row r="3404">
      <c r="A3404" s="3" t="inlineStr">
        <is>
          <t>Cape Projects Construction (Pty) Ltd</t>
        </is>
      </c>
      <c r="B3404" s="4" t="n">
        <v>45077</v>
      </c>
      <c r="C3404" s="3" t="inlineStr">
        <is>
          <t>Assets</t>
        </is>
      </c>
      <c r="D3404" s="3" t="inlineStr">
        <is>
          <t>5400/450</t>
        </is>
      </c>
      <c r="E3404" s="3" t="inlineStr">
        <is>
          <t>Loan - Opportunity Investment</t>
        </is>
      </c>
      <c r="F3404" s="3" t="n">
        <v>0</v>
      </c>
      <c r="G3404" s="3" t="n">
        <v>-2261000</v>
      </c>
    </row>
    <row r="3405">
      <c r="A3405" s="3" t="inlineStr">
        <is>
          <t>Cape Projects Construction (Pty) Ltd</t>
        </is>
      </c>
      <c r="B3405" s="4" t="n">
        <v>45077</v>
      </c>
      <c r="C3405" s="3" t="inlineStr">
        <is>
          <t>Assets</t>
        </is>
      </c>
      <c r="D3405" s="3" t="inlineStr">
        <is>
          <t>5400/500</t>
        </is>
      </c>
      <c r="E3405" s="3" t="inlineStr">
        <is>
          <t>Loan - Blou Mamba Trust</t>
        </is>
      </c>
      <c r="F3405" s="3" t="n">
        <v>0</v>
      </c>
      <c r="G3405" s="3" t="n">
        <v>4342.5</v>
      </c>
    </row>
    <row r="3406">
      <c r="A3406" s="3" t="inlineStr">
        <is>
          <t>Cape Projects Construction (Pty) Ltd</t>
        </is>
      </c>
      <c r="B3406" s="4" t="n">
        <v>45077</v>
      </c>
      <c r="C3406" s="3" t="inlineStr">
        <is>
          <t>Assets</t>
        </is>
      </c>
      <c r="D3406" s="3" t="inlineStr">
        <is>
          <t>5400/550</t>
        </is>
      </c>
      <c r="E3406" s="3" t="inlineStr">
        <is>
          <t>Loan - Trademark</t>
        </is>
      </c>
      <c r="F3406" s="3" t="n">
        <v>-1200</v>
      </c>
      <c r="G3406" s="3" t="n">
        <v>0</v>
      </c>
    </row>
    <row r="3407">
      <c r="A3407" s="3" t="inlineStr">
        <is>
          <t>Cape Projects Construction (Pty) Ltd</t>
        </is>
      </c>
      <c r="B3407" s="4" t="n">
        <v>45077</v>
      </c>
      <c r="C3407" s="3" t="inlineStr">
        <is>
          <t>Assets</t>
        </is>
      </c>
      <c r="D3407" s="3" t="inlineStr">
        <is>
          <t>5400/600</t>
        </is>
      </c>
      <c r="E3407" s="3" t="inlineStr">
        <is>
          <t>Loan - Heron Projects</t>
        </is>
      </c>
      <c r="F3407" s="3" t="n">
        <v>145000</v>
      </c>
      <c r="G3407" s="3" t="n">
        <v>-10231940.42</v>
      </c>
    </row>
    <row r="3408">
      <c r="A3408" s="3" t="inlineStr">
        <is>
          <t>Cape Projects Construction (Pty) Ltd</t>
        </is>
      </c>
      <c r="B3408" s="4" t="n">
        <v>45077</v>
      </c>
      <c r="C3408" s="3" t="inlineStr">
        <is>
          <t>Assets</t>
        </is>
      </c>
      <c r="D3408" s="3" t="inlineStr">
        <is>
          <t>5400/650</t>
        </is>
      </c>
      <c r="E3408" s="3" t="inlineStr">
        <is>
          <t>Loan - Noble Shield</t>
        </is>
      </c>
      <c r="F3408" s="3" t="n">
        <v>-1200</v>
      </c>
      <c r="G3408" s="3" t="n">
        <v>0</v>
      </c>
    </row>
    <row r="3409">
      <c r="A3409" s="3" t="inlineStr">
        <is>
          <t>Cape Projects Construction (Pty) Ltd</t>
        </is>
      </c>
      <c r="B3409" s="4" t="n">
        <v>45077</v>
      </c>
      <c r="C3409" s="3" t="inlineStr">
        <is>
          <t>Assets</t>
        </is>
      </c>
      <c r="D3409" s="3" t="inlineStr">
        <is>
          <t>5400/750</t>
        </is>
      </c>
      <c r="E3409" s="3" t="inlineStr">
        <is>
          <t>Loan - Endulini</t>
        </is>
      </c>
      <c r="F3409" s="3" t="n">
        <v>2665000</v>
      </c>
      <c r="G3409" s="3" t="n">
        <v>21511187.4</v>
      </c>
    </row>
    <row r="3410">
      <c r="A3410" s="3" t="inlineStr">
        <is>
          <t>Cape Projects Construction (Pty) Ltd</t>
        </is>
      </c>
      <c r="B3410" s="4" t="n">
        <v>45077</v>
      </c>
      <c r="C3410" s="3" t="inlineStr">
        <is>
          <t>Assets</t>
        </is>
      </c>
      <c r="D3410" s="3" t="inlineStr">
        <is>
          <t>5400/800</t>
        </is>
      </c>
      <c r="E3410" s="3" t="inlineStr">
        <is>
          <t>Loan - Opportunity Management Holdings</t>
        </is>
      </c>
      <c r="F3410" s="3" t="n">
        <v>131500</v>
      </c>
      <c r="G3410" s="3" t="n">
        <v>11500</v>
      </c>
    </row>
    <row r="3411">
      <c r="A3411" s="3" t="inlineStr">
        <is>
          <t>Heron View (Pty) Ltd</t>
        </is>
      </c>
      <c r="B3411" s="4" t="n">
        <v>45077</v>
      </c>
      <c r="C3411" s="3" t="inlineStr">
        <is>
          <t>Liabilities</t>
        </is>
      </c>
      <c r="D3411" s="3" t="inlineStr">
        <is>
          <t>5500/001</t>
        </is>
      </c>
      <c r="E3411" s="3" t="inlineStr">
        <is>
          <t>Loan - Heron Fields</t>
        </is>
      </c>
      <c r="F3411" s="3" t="n">
        <v>-8639308.16</v>
      </c>
      <c r="G3411" s="3" t="n">
        <v>-35389035.76</v>
      </c>
    </row>
    <row r="3412">
      <c r="A3412" s="3" t="inlineStr">
        <is>
          <t>Heron Fields (Pty) Ltd</t>
        </is>
      </c>
      <c r="B3412" s="4" t="n">
        <v>45077</v>
      </c>
      <c r="C3412" s="3" t="inlineStr">
        <is>
          <t>Liabilities</t>
        </is>
      </c>
      <c r="D3412" s="3" t="inlineStr">
        <is>
          <t>5500/020</t>
        </is>
      </c>
      <c r="E3412" s="3" t="inlineStr">
        <is>
          <t>Loan - Cape Projects Construction</t>
        </is>
      </c>
      <c r="F3412" s="3" t="n">
        <v>-145000</v>
      </c>
      <c r="G3412" s="3" t="n">
        <v>10231940.42</v>
      </c>
    </row>
    <row r="3413">
      <c r="A3413" s="3" t="inlineStr">
        <is>
          <t>Heron Fields (Pty) Ltd</t>
        </is>
      </c>
      <c r="B3413" s="4" t="n">
        <v>45077</v>
      </c>
      <c r="C3413" s="3" t="inlineStr">
        <is>
          <t>Liabilities</t>
        </is>
      </c>
      <c r="D3413" s="3" t="inlineStr">
        <is>
          <t>5500/030</t>
        </is>
      </c>
      <c r="E3413" s="3" t="inlineStr">
        <is>
          <t>Loan - Opportunity Global Investments</t>
        </is>
      </c>
      <c r="F3413" s="3" t="n">
        <v>349000</v>
      </c>
      <c r="G3413" s="3" t="n">
        <v>3052000</v>
      </c>
    </row>
    <row r="3414">
      <c r="A3414" s="3" t="inlineStr">
        <is>
          <t>Heron Fields (Pty) Ltd</t>
        </is>
      </c>
      <c r="B3414" s="4" t="n">
        <v>45077</v>
      </c>
      <c r="C3414" s="3" t="inlineStr">
        <is>
          <t>Liabilities</t>
        </is>
      </c>
      <c r="D3414" s="3" t="inlineStr">
        <is>
          <t>5500/050</t>
        </is>
      </c>
      <c r="E3414" s="3" t="inlineStr">
        <is>
          <t>Loan - Heron View</t>
        </is>
      </c>
      <c r="F3414" s="3" t="n">
        <v>8639308.16</v>
      </c>
      <c r="G3414" s="3" t="n">
        <v>35389035.76</v>
      </c>
    </row>
    <row r="3415">
      <c r="A3415" s="3" t="inlineStr">
        <is>
          <t>Heron Fields (Pty) Ltd</t>
        </is>
      </c>
      <c r="B3415" s="4" t="n">
        <v>45077</v>
      </c>
      <c r="C3415" s="3" t="inlineStr">
        <is>
          <t>Liabilities</t>
        </is>
      </c>
      <c r="D3415" s="3" t="inlineStr">
        <is>
          <t>5500/060</t>
        </is>
      </c>
      <c r="E3415" s="3" t="inlineStr">
        <is>
          <t>Loan - Opportunity Management Holdings</t>
        </is>
      </c>
      <c r="F3415" s="3" t="n">
        <v>-19000</v>
      </c>
      <c r="G3415" s="3" t="n">
        <v>22000</v>
      </c>
    </row>
    <row r="3416">
      <c r="A3416" s="3" t="inlineStr">
        <is>
          <t>Cape Projects Construction (Pty) Ltd</t>
        </is>
      </c>
      <c r="B3416" s="4" t="n">
        <v>45077</v>
      </c>
      <c r="C3416" s="3" t="inlineStr">
        <is>
          <t>Assets</t>
        </is>
      </c>
      <c r="D3416" s="3" t="inlineStr">
        <is>
          <t>6200/010</t>
        </is>
      </c>
      <c r="E3416" s="3" t="inlineStr">
        <is>
          <t>Motor Vehicles - @ Cost</t>
        </is>
      </c>
      <c r="F3416" s="3" t="n">
        <v>0</v>
      </c>
      <c r="G3416" s="3" t="n">
        <v>216064.1</v>
      </c>
    </row>
    <row r="3417">
      <c r="A3417" s="3" t="inlineStr">
        <is>
          <t>Cape Projects Construction (Pty) Ltd</t>
        </is>
      </c>
      <c r="B3417" s="4" t="n">
        <v>45077</v>
      </c>
      <c r="C3417" s="3" t="inlineStr">
        <is>
          <t>Assets</t>
        </is>
      </c>
      <c r="D3417" s="3" t="inlineStr">
        <is>
          <t>6200/020</t>
        </is>
      </c>
      <c r="E3417" s="3" t="inlineStr">
        <is>
          <t>Motor Vehicles - Accum Depre</t>
        </is>
      </c>
      <c r="F3417" s="3" t="n">
        <v>0</v>
      </c>
      <c r="G3417" s="3" t="n">
        <v>-216063.1</v>
      </c>
    </row>
    <row r="3418">
      <c r="A3418" s="3" t="inlineStr">
        <is>
          <t>Cape Projects Construction (Pty) Ltd</t>
        </is>
      </c>
      <c r="B3418" s="4" t="n">
        <v>45077</v>
      </c>
      <c r="C3418" s="3" t="inlineStr">
        <is>
          <t>Assets</t>
        </is>
      </c>
      <c r="D3418" s="3" t="inlineStr">
        <is>
          <t>6250/010</t>
        </is>
      </c>
      <c r="E3418" s="3" t="inlineStr">
        <is>
          <t>Computer Equipment - @ Cost</t>
        </is>
      </c>
      <c r="F3418" s="3" t="n">
        <v>0</v>
      </c>
      <c r="G3418" s="3" t="n">
        <v>133790.35</v>
      </c>
    </row>
    <row r="3419">
      <c r="A3419" s="3" t="inlineStr">
        <is>
          <t>Cape Projects Construction (Pty) Ltd</t>
        </is>
      </c>
      <c r="B3419" s="4" t="n">
        <v>45077</v>
      </c>
      <c r="C3419" s="3" t="inlineStr">
        <is>
          <t>Assets</t>
        </is>
      </c>
      <c r="D3419" s="3" t="inlineStr">
        <is>
          <t>6250/020</t>
        </is>
      </c>
      <c r="E3419" s="3" t="inlineStr">
        <is>
          <t>Computer Equipment - Accum Depre</t>
        </is>
      </c>
      <c r="F3419" s="3" t="n">
        <v>-3323.91</v>
      </c>
      <c r="G3419" s="3" t="n">
        <v>-52894.69</v>
      </c>
    </row>
    <row r="3420">
      <c r="A3420" s="3" t="inlineStr">
        <is>
          <t>Cape Projects Construction (Pty) Ltd</t>
        </is>
      </c>
      <c r="B3420" s="4" t="n">
        <v>45077</v>
      </c>
      <c r="C3420" s="3" t="inlineStr">
        <is>
          <t>Assets</t>
        </is>
      </c>
      <c r="D3420" s="3" t="inlineStr">
        <is>
          <t>6350/010</t>
        </is>
      </c>
      <c r="E3420" s="3" t="inlineStr">
        <is>
          <t>Furniture _AND_ Fittings - @ Cost</t>
        </is>
      </c>
      <c r="F3420" s="3" t="n">
        <v>0</v>
      </c>
      <c r="G3420" s="3" t="n">
        <v>37955.3</v>
      </c>
    </row>
    <row r="3421">
      <c r="A3421" s="3" t="inlineStr">
        <is>
          <t>Cape Projects Construction (Pty) Ltd</t>
        </is>
      </c>
      <c r="B3421" s="4" t="n">
        <v>45077</v>
      </c>
      <c r="C3421" s="3" t="inlineStr">
        <is>
          <t>Assets</t>
        </is>
      </c>
      <c r="D3421" s="3" t="inlineStr">
        <is>
          <t>6350/020</t>
        </is>
      </c>
      <c r="E3421" s="3" t="inlineStr">
        <is>
          <t>Furniture _AND_ Fittings - Accum Depre</t>
        </is>
      </c>
      <c r="F3421" s="3" t="n">
        <v>-547.6799999999999</v>
      </c>
      <c r="G3421" s="3" t="n">
        <v>-7537.58</v>
      </c>
    </row>
    <row r="3422">
      <c r="A3422" s="3" t="inlineStr">
        <is>
          <t>Cape Projects Construction (Pty) Ltd</t>
        </is>
      </c>
      <c r="B3422" s="4" t="n">
        <v>45077</v>
      </c>
      <c r="C3422" s="3" t="inlineStr">
        <is>
          <t>Assets</t>
        </is>
      </c>
      <c r="D3422" s="3" t="inlineStr">
        <is>
          <t>6600/010</t>
        </is>
      </c>
      <c r="E3422" s="3" t="inlineStr">
        <is>
          <t>Generator Fixed Asset - @ Cost</t>
        </is>
      </c>
      <c r="F3422" s="3" t="n">
        <v>59722</v>
      </c>
      <c r="G3422" s="3" t="n">
        <v>71322</v>
      </c>
    </row>
    <row r="3423">
      <c r="A3423" s="3" t="inlineStr">
        <is>
          <t>Cape Projects Construction (Pty) Ltd</t>
        </is>
      </c>
      <c r="B3423" s="4" t="n">
        <v>45077</v>
      </c>
      <c r="C3423" s="3" t="inlineStr">
        <is>
          <t>Assets</t>
        </is>
      </c>
      <c r="D3423" s="3" t="inlineStr">
        <is>
          <t>6600/020</t>
        </is>
      </c>
      <c r="E3423" s="3" t="inlineStr">
        <is>
          <t>Generator Fixed Asset - Accum Depre</t>
        </is>
      </c>
      <c r="F3423" s="3" t="n">
        <v>-1188.7</v>
      </c>
      <c r="G3423" s="3" t="n">
        <v>-4700.93</v>
      </c>
    </row>
    <row r="3424">
      <c r="A3424" s="3" t="inlineStr">
        <is>
          <t>Heron Fields (Pty) Ltd</t>
        </is>
      </c>
      <c r="B3424" s="4" t="n">
        <v>45077</v>
      </c>
      <c r="C3424" s="3" t="inlineStr">
        <is>
          <t>Assets</t>
        </is>
      </c>
      <c r="D3424" s="3" t="inlineStr">
        <is>
          <t>7610/395</t>
        </is>
      </c>
      <c r="E3424" s="3" t="inlineStr">
        <is>
          <t>HF CIP NHBRC</t>
        </is>
      </c>
      <c r="F3424" s="3" t="n">
        <v>0</v>
      </c>
      <c r="G3424" s="3" t="n">
        <v>874505.75</v>
      </c>
    </row>
    <row r="3425">
      <c r="A3425" s="3" t="inlineStr">
        <is>
          <t>Heron View (Pty) Ltd</t>
        </is>
      </c>
      <c r="B3425" s="4" t="n">
        <v>45077</v>
      </c>
      <c r="C3425" s="3" t="inlineStr">
        <is>
          <t>Assets</t>
        </is>
      </c>
      <c r="D3425" s="3" t="inlineStr">
        <is>
          <t>7610/395</t>
        </is>
      </c>
      <c r="E3425" s="3" t="inlineStr">
        <is>
          <t>Heron CIP NHBRC</t>
        </is>
      </c>
      <c r="F3425" s="3" t="n">
        <v>182721.88</v>
      </c>
      <c r="G3425" s="3" t="n">
        <v>803063.11</v>
      </c>
    </row>
    <row r="3426">
      <c r="A3426" s="3" t="inlineStr">
        <is>
          <t>Heron Fields (Pty) Ltd</t>
        </is>
      </c>
      <c r="B3426" s="4" t="n">
        <v>45077</v>
      </c>
      <c r="C3426" s="3" t="inlineStr">
        <is>
          <t>Assets</t>
        </is>
      </c>
      <c r="D3426" s="3" t="inlineStr">
        <is>
          <t>7620/100</t>
        </is>
      </c>
      <c r="E3426" s="3" t="inlineStr">
        <is>
          <t>Heron View Land</t>
        </is>
      </c>
      <c r="F3426" s="3" t="n">
        <v>0</v>
      </c>
      <c r="G3426" s="3" t="n">
        <v>26200000</v>
      </c>
    </row>
    <row r="3427">
      <c r="A3427" s="3" t="inlineStr">
        <is>
          <t>Heron Fields (Pty) Ltd</t>
        </is>
      </c>
      <c r="B3427" s="4" t="n">
        <v>45077</v>
      </c>
      <c r="C3427" s="3" t="inlineStr">
        <is>
          <t>Assets</t>
        </is>
      </c>
      <c r="D3427" s="3" t="inlineStr">
        <is>
          <t>7620/101</t>
        </is>
      </c>
      <c r="E3427" s="3" t="inlineStr">
        <is>
          <t>HF CIP Bond Registration Fee</t>
        </is>
      </c>
      <c r="F3427" s="3" t="n">
        <v>0</v>
      </c>
      <c r="G3427" s="3" t="n">
        <v>68427</v>
      </c>
    </row>
    <row r="3428">
      <c r="A3428" s="3" t="inlineStr">
        <is>
          <t>Heron Fields (Pty) Ltd</t>
        </is>
      </c>
      <c r="B3428" s="4" t="n">
        <v>45077</v>
      </c>
      <c r="C3428" s="3" t="inlineStr">
        <is>
          <t>Assets</t>
        </is>
      </c>
      <c r="D3428" s="3" t="inlineStr">
        <is>
          <t>7620/102</t>
        </is>
      </c>
      <c r="E3428" s="3" t="inlineStr">
        <is>
          <t>HF CIP Transfer Fee</t>
        </is>
      </c>
      <c r="F3428" s="3" t="n">
        <v>0</v>
      </c>
      <c r="G3428" s="3" t="n">
        <v>103812</v>
      </c>
    </row>
    <row r="3429">
      <c r="A3429" s="3" t="inlineStr">
        <is>
          <t>Heron Fields (Pty) Ltd</t>
        </is>
      </c>
      <c r="B3429" s="4" t="n">
        <v>45077</v>
      </c>
      <c r="C3429" s="3" t="inlineStr">
        <is>
          <t>Assets</t>
        </is>
      </c>
      <c r="D3429" s="3" t="inlineStr">
        <is>
          <t>7620/220</t>
        </is>
      </c>
      <c r="E3429" s="3" t="inlineStr">
        <is>
          <t>HF CIP Architectural Designs</t>
        </is>
      </c>
      <c r="F3429" s="3" t="n">
        <v>0</v>
      </c>
      <c r="G3429" s="3" t="n">
        <v>314087</v>
      </c>
    </row>
    <row r="3430">
      <c r="A3430" s="3" t="inlineStr">
        <is>
          <t>Heron View (Pty) Ltd</t>
        </is>
      </c>
      <c r="B3430" s="4" t="n">
        <v>45077</v>
      </c>
      <c r="C3430" s="3" t="inlineStr">
        <is>
          <t>Assets</t>
        </is>
      </c>
      <c r="D3430" s="3" t="inlineStr">
        <is>
          <t>7620/220</t>
        </is>
      </c>
      <c r="E3430" s="3" t="inlineStr">
        <is>
          <t>Heron View CIP Architectural Designs</t>
        </is>
      </c>
      <c r="F3430" s="3" t="n">
        <v>250404.54</v>
      </c>
      <c r="G3430" s="3" t="n">
        <v>377356.52</v>
      </c>
    </row>
    <row r="3431">
      <c r="A3431" s="3" t="inlineStr">
        <is>
          <t>Heron Fields (Pty) Ltd</t>
        </is>
      </c>
      <c r="B3431" s="4" t="n">
        <v>45077</v>
      </c>
      <c r="C3431" s="3" t="inlineStr">
        <is>
          <t>Assets</t>
        </is>
      </c>
      <c r="D3431" s="3" t="inlineStr">
        <is>
          <t>7620/230</t>
        </is>
      </c>
      <c r="E3431" s="3" t="inlineStr">
        <is>
          <t>HF CIP Construction Management</t>
        </is>
      </c>
      <c r="F3431" s="3" t="n">
        <v>0</v>
      </c>
      <c r="G3431" s="3" t="n">
        <v>139500</v>
      </c>
    </row>
    <row r="3432">
      <c r="A3432" s="3" t="inlineStr">
        <is>
          <t>Heron Fields (Pty) Ltd</t>
        </is>
      </c>
      <c r="B3432" s="4" t="n">
        <v>45077</v>
      </c>
      <c r="C3432" s="3" t="inlineStr">
        <is>
          <t>Assets</t>
        </is>
      </c>
      <c r="D3432" s="3" t="inlineStr">
        <is>
          <t>7620/240</t>
        </is>
      </c>
      <c r="E3432" s="3" t="inlineStr">
        <is>
          <t>HF CIP Civil Engineering</t>
        </is>
      </c>
      <c r="F3432" s="3" t="n">
        <v>0</v>
      </c>
      <c r="G3432" s="3" t="n">
        <v>8557641.800000001</v>
      </c>
    </row>
    <row r="3433">
      <c r="A3433" s="3" t="inlineStr">
        <is>
          <t>Heron Fields (Pty) Ltd</t>
        </is>
      </c>
      <c r="B3433" s="4" t="n">
        <v>45077</v>
      </c>
      <c r="C3433" s="3" t="inlineStr">
        <is>
          <t>Assets</t>
        </is>
      </c>
      <c r="D3433" s="3" t="inlineStr">
        <is>
          <t>7620/245</t>
        </is>
      </c>
      <c r="E3433" s="3" t="inlineStr">
        <is>
          <t>HF CIP Development fee</t>
        </is>
      </c>
      <c r="F3433" s="3" t="n">
        <v>0</v>
      </c>
      <c r="G3433" s="3" t="n">
        <v>13807.78</v>
      </c>
    </row>
    <row r="3434">
      <c r="A3434" s="3" t="inlineStr">
        <is>
          <t>Heron Fields (Pty) Ltd</t>
        </is>
      </c>
      <c r="B3434" s="4" t="n">
        <v>45077</v>
      </c>
      <c r="C3434" s="3" t="inlineStr">
        <is>
          <t>Assets</t>
        </is>
      </c>
      <c r="D3434" s="3" t="inlineStr">
        <is>
          <t>7620/250</t>
        </is>
      </c>
      <c r="E3434" s="3" t="inlineStr">
        <is>
          <t>HF CIP Land Surveyor</t>
        </is>
      </c>
      <c r="F3434" s="3" t="n">
        <v>0</v>
      </c>
      <c r="G3434" s="3" t="n">
        <v>197060.09</v>
      </c>
    </row>
    <row r="3435">
      <c r="A3435" s="3" t="inlineStr">
        <is>
          <t>Heron View (Pty) Ltd</t>
        </is>
      </c>
      <c r="B3435" s="4" t="n">
        <v>45077</v>
      </c>
      <c r="C3435" s="3" t="inlineStr">
        <is>
          <t>Assets</t>
        </is>
      </c>
      <c r="D3435" s="3" t="inlineStr">
        <is>
          <t>7620/250</t>
        </is>
      </c>
      <c r="E3435" s="3" t="inlineStr">
        <is>
          <t>Heron View CIP Land Surveyor</t>
        </is>
      </c>
      <c r="F3435" s="3" t="n">
        <v>0</v>
      </c>
      <c r="G3435" s="3" t="n">
        <v>19185</v>
      </c>
    </row>
    <row r="3436">
      <c r="A3436" s="3" t="inlineStr">
        <is>
          <t>Heron Fields (Pty) Ltd</t>
        </is>
      </c>
      <c r="B3436" s="4" t="n">
        <v>45077</v>
      </c>
      <c r="C3436" s="3" t="inlineStr">
        <is>
          <t>Assets</t>
        </is>
      </c>
      <c r="D3436" s="3" t="inlineStr">
        <is>
          <t>7620/255</t>
        </is>
      </c>
      <c r="E3436" s="3" t="inlineStr">
        <is>
          <t>HF CIP Landscaping</t>
        </is>
      </c>
      <c r="F3436" s="3" t="n">
        <v>0</v>
      </c>
      <c r="G3436" s="3" t="n">
        <v>7500</v>
      </c>
    </row>
    <row r="3437">
      <c r="A3437" s="3" t="inlineStr">
        <is>
          <t>Heron View (Pty) Ltd</t>
        </is>
      </c>
      <c r="B3437" s="4" t="n">
        <v>45077</v>
      </c>
      <c r="C3437" s="3" t="inlineStr">
        <is>
          <t>Assets</t>
        </is>
      </c>
      <c r="D3437" s="3" t="inlineStr">
        <is>
          <t>7620/255</t>
        </is>
      </c>
      <c r="E3437" s="3" t="inlineStr">
        <is>
          <t>Heron View CIP Landscaping</t>
        </is>
      </c>
      <c r="F3437" s="3" t="n">
        <v>0</v>
      </c>
      <c r="G3437" s="3" t="n">
        <v>114370.5</v>
      </c>
    </row>
    <row r="3438">
      <c r="A3438" s="3" t="inlineStr">
        <is>
          <t>Heron Fields (Pty) Ltd</t>
        </is>
      </c>
      <c r="B3438" s="4" t="n">
        <v>45077</v>
      </c>
      <c r="C3438" s="3" t="inlineStr">
        <is>
          <t>Assets</t>
        </is>
      </c>
      <c r="D3438" s="3" t="inlineStr">
        <is>
          <t>7620/260</t>
        </is>
      </c>
      <c r="E3438" s="3" t="inlineStr">
        <is>
          <t>HF CIP Mechanical Engineers</t>
        </is>
      </c>
      <c r="F3438" s="3" t="n">
        <v>0</v>
      </c>
      <c r="G3438" s="3" t="n">
        <v>67400</v>
      </c>
    </row>
    <row r="3439">
      <c r="A3439" s="3" t="inlineStr">
        <is>
          <t>Heron Fields (Pty) Ltd</t>
        </is>
      </c>
      <c r="B3439" s="4" t="n">
        <v>45077</v>
      </c>
      <c r="C3439" s="3" t="inlineStr">
        <is>
          <t>Assets</t>
        </is>
      </c>
      <c r="D3439" s="3" t="inlineStr">
        <is>
          <t>7620/265</t>
        </is>
      </c>
      <c r="E3439" s="3" t="inlineStr">
        <is>
          <t>HF CIP Health &amp; Safety</t>
        </is>
      </c>
      <c r="F3439" s="3" t="n">
        <v>0</v>
      </c>
      <c r="G3439" s="3" t="n">
        <v>20600</v>
      </c>
    </row>
    <row r="3440">
      <c r="A3440" s="3" t="inlineStr">
        <is>
          <t>Heron Fields (Pty) Ltd</t>
        </is>
      </c>
      <c r="B3440" s="4" t="n">
        <v>45077</v>
      </c>
      <c r="C3440" s="3" t="inlineStr">
        <is>
          <t>Assets</t>
        </is>
      </c>
      <c r="D3440" s="3" t="inlineStr">
        <is>
          <t>7620/270</t>
        </is>
      </c>
      <c r="E3440" s="3" t="inlineStr">
        <is>
          <t>HF CIP Geotechnical</t>
        </is>
      </c>
      <c r="F3440" s="3" t="n">
        <v>0</v>
      </c>
      <c r="G3440" s="3" t="n">
        <v>15175</v>
      </c>
    </row>
    <row r="3441">
      <c r="A3441" s="3" t="inlineStr">
        <is>
          <t>Heron Fields (Pty) Ltd</t>
        </is>
      </c>
      <c r="B3441" s="4" t="n">
        <v>45077</v>
      </c>
      <c r="C3441" s="3" t="inlineStr">
        <is>
          <t>Assets</t>
        </is>
      </c>
      <c r="D3441" s="3" t="inlineStr">
        <is>
          <t>7620/275</t>
        </is>
      </c>
      <c r="E3441" s="3" t="inlineStr">
        <is>
          <t>HF CIP Retaining Wall</t>
        </is>
      </c>
      <c r="F3441" s="3" t="n">
        <v>0</v>
      </c>
      <c r="G3441" s="3" t="n">
        <v>570856.08</v>
      </c>
    </row>
    <row r="3442">
      <c r="A3442" s="3" t="inlineStr">
        <is>
          <t>Heron Fields (Pty) Ltd</t>
        </is>
      </c>
      <c r="B3442" s="4" t="n">
        <v>45077</v>
      </c>
      <c r="C3442" s="3" t="inlineStr">
        <is>
          <t>Assets</t>
        </is>
      </c>
      <c r="D3442" s="3" t="inlineStr">
        <is>
          <t>7620/280</t>
        </is>
      </c>
      <c r="E3442" s="3" t="inlineStr">
        <is>
          <t>HF CIP Site Establishment</t>
        </is>
      </c>
      <c r="F3442" s="3" t="n">
        <v>0</v>
      </c>
      <c r="G3442" s="3" t="n">
        <v>47748851.51</v>
      </c>
    </row>
    <row r="3443">
      <c r="A3443" s="3" t="inlineStr">
        <is>
          <t>Heron View (Pty) Ltd</t>
        </is>
      </c>
      <c r="B3443" s="4" t="n">
        <v>45077</v>
      </c>
      <c r="C3443" s="3" t="inlineStr">
        <is>
          <t>Assets</t>
        </is>
      </c>
      <c r="D3443" s="3" t="inlineStr">
        <is>
          <t>7620/280</t>
        </is>
      </c>
      <c r="E3443" s="3" t="inlineStr">
        <is>
          <t>Heron View CIP Site Establishment</t>
        </is>
      </c>
      <c r="F3443" s="3" t="n">
        <v>0</v>
      </c>
      <c r="G3443" s="3" t="n">
        <v>7187757.92</v>
      </c>
    </row>
    <row r="3444">
      <c r="A3444" s="3" t="inlineStr">
        <is>
          <t>Heron Fields (Pty) Ltd</t>
        </is>
      </c>
      <c r="B3444" s="4" t="n">
        <v>45077</v>
      </c>
      <c r="C3444" s="3" t="inlineStr">
        <is>
          <t>Assets</t>
        </is>
      </c>
      <c r="D3444" s="3" t="inlineStr">
        <is>
          <t>7620/285</t>
        </is>
      </c>
      <c r="E3444" s="3" t="inlineStr">
        <is>
          <t>HF CIP Structuring Fee - Invest</t>
        </is>
      </c>
      <c r="F3444" s="3" t="n">
        <v>0</v>
      </c>
      <c r="G3444" s="3" t="n">
        <v>3850818.04</v>
      </c>
    </row>
    <row r="3445">
      <c r="A3445" s="3" t="inlineStr">
        <is>
          <t>Heron View (Pty) Ltd</t>
        </is>
      </c>
      <c r="B3445" s="4" t="n">
        <v>45077</v>
      </c>
      <c r="C3445" s="3" t="inlineStr">
        <is>
          <t>Assets</t>
        </is>
      </c>
      <c r="D3445" s="3" t="inlineStr">
        <is>
          <t>7620/285</t>
        </is>
      </c>
      <c r="E3445" s="3" t="inlineStr">
        <is>
          <t>Heron View CIP Structuring Fee - Invest</t>
        </is>
      </c>
      <c r="F3445" s="3" t="n">
        <v>0</v>
      </c>
      <c r="G3445" s="3" t="n">
        <v>1826086.96</v>
      </c>
    </row>
    <row r="3446">
      <c r="A3446" s="3" t="inlineStr">
        <is>
          <t>Heron Fields (Pty) Ltd</t>
        </is>
      </c>
      <c r="B3446" s="4" t="n">
        <v>45077</v>
      </c>
      <c r="C3446" s="3" t="inlineStr">
        <is>
          <t>Assets</t>
        </is>
      </c>
      <c r="D3446" s="3" t="inlineStr">
        <is>
          <t>7620/287</t>
        </is>
      </c>
      <c r="E3446" s="3" t="inlineStr">
        <is>
          <t>HF CIP Structuring Fee - Development</t>
        </is>
      </c>
      <c r="F3446" s="3" t="n">
        <v>0</v>
      </c>
      <c r="G3446" s="3" t="n">
        <v>782608.0699999999</v>
      </c>
    </row>
    <row r="3447">
      <c r="A3447" s="3" t="inlineStr">
        <is>
          <t>Heron Fields (Pty) Ltd</t>
        </is>
      </c>
      <c r="B3447" s="4" t="n">
        <v>45077</v>
      </c>
      <c r="C3447" s="3" t="inlineStr">
        <is>
          <t>Assets</t>
        </is>
      </c>
      <c r="D3447" s="3" t="inlineStr">
        <is>
          <t>7620/290</t>
        </is>
      </c>
      <c r="E3447" s="3" t="inlineStr">
        <is>
          <t>HF CIP Town Planning</t>
        </is>
      </c>
      <c r="F3447" s="3" t="n">
        <v>0</v>
      </c>
      <c r="G3447" s="3" t="n">
        <v>166550</v>
      </c>
    </row>
    <row r="3448">
      <c r="A3448" s="3" t="inlineStr">
        <is>
          <t>Heron Fields (Pty) Ltd</t>
        </is>
      </c>
      <c r="B3448" s="4" t="n">
        <v>45077</v>
      </c>
      <c r="C3448" s="3" t="inlineStr">
        <is>
          <t>Assets</t>
        </is>
      </c>
      <c r="D3448" s="3" t="inlineStr">
        <is>
          <t>7620/295</t>
        </is>
      </c>
      <c r="E3448" s="3" t="inlineStr">
        <is>
          <t>HF CIP Traffic Planning</t>
        </is>
      </c>
      <c r="F3448" s="3" t="n">
        <v>0</v>
      </c>
      <c r="G3448" s="3" t="n">
        <v>45000</v>
      </c>
    </row>
    <row r="3449">
      <c r="A3449" s="3" t="inlineStr">
        <is>
          <t>Heron Fields (Pty) Ltd</t>
        </is>
      </c>
      <c r="B3449" s="4" t="n">
        <v>45077</v>
      </c>
      <c r="C3449" s="3" t="inlineStr">
        <is>
          <t>Assets</t>
        </is>
      </c>
      <c r="D3449" s="3" t="inlineStr">
        <is>
          <t>7620/600</t>
        </is>
      </c>
      <c r="E3449" s="3" t="inlineStr">
        <is>
          <t>HF CIP Eco work</t>
        </is>
      </c>
      <c r="F3449" s="3" t="n">
        <v>0</v>
      </c>
      <c r="G3449" s="3" t="n">
        <v>137000</v>
      </c>
    </row>
    <row r="3450">
      <c r="A3450" s="3" t="inlineStr">
        <is>
          <t>Heron View (Pty) Ltd</t>
        </is>
      </c>
      <c r="B3450" s="4" t="n">
        <v>45077</v>
      </c>
      <c r="C3450" s="3" t="inlineStr">
        <is>
          <t>Assets</t>
        </is>
      </c>
      <c r="D3450" s="3" t="inlineStr">
        <is>
          <t>7620/605</t>
        </is>
      </c>
      <c r="E3450" s="3" t="inlineStr">
        <is>
          <t>Heron View CIP Structural Engineers</t>
        </is>
      </c>
      <c r="F3450" s="3" t="n">
        <v>0</v>
      </c>
      <c r="G3450" s="3" t="n">
        <v>221353.14</v>
      </c>
    </row>
    <row r="3451">
      <c r="A3451" s="3" t="inlineStr">
        <is>
          <t>Heron View (Pty) Ltd</t>
        </is>
      </c>
      <c r="B3451" s="4" t="n">
        <v>45077</v>
      </c>
      <c r="C3451" s="3" t="inlineStr">
        <is>
          <t>Assets</t>
        </is>
      </c>
      <c r="D3451" s="3" t="inlineStr">
        <is>
          <t>7620/610</t>
        </is>
      </c>
      <c r="E3451" s="3" t="inlineStr">
        <is>
          <t>HV CIP Retaining wall</t>
        </is>
      </c>
      <c r="F3451" s="3" t="n">
        <v>0</v>
      </c>
      <c r="G3451" s="3" t="n">
        <v>66190.11</v>
      </c>
    </row>
    <row r="3452">
      <c r="A3452" s="3" t="inlineStr">
        <is>
          <t>Heron Fields (Pty) Ltd</t>
        </is>
      </c>
      <c r="B3452" s="4" t="n">
        <v>45077</v>
      </c>
      <c r="C3452" s="3" t="inlineStr">
        <is>
          <t>Assets</t>
        </is>
      </c>
      <c r="D3452" s="3" t="inlineStr">
        <is>
          <t>7620/630</t>
        </is>
      </c>
      <c r="E3452" s="3" t="inlineStr">
        <is>
          <t>HF CIP CoCT development contribution</t>
        </is>
      </c>
      <c r="F3452" s="3" t="n">
        <v>15120.46</v>
      </c>
      <c r="G3452" s="3" t="n">
        <v>822396.09</v>
      </c>
    </row>
    <row r="3453">
      <c r="A3453" s="3" t="inlineStr">
        <is>
          <t>Heron View (Pty) Ltd</t>
        </is>
      </c>
      <c r="B3453" s="4" t="n">
        <v>45077</v>
      </c>
      <c r="C3453" s="3" t="inlineStr">
        <is>
          <t>Assets</t>
        </is>
      </c>
      <c r="D3453" s="3" t="inlineStr">
        <is>
          <t>7620/630</t>
        </is>
      </c>
      <c r="E3453" s="3" t="inlineStr">
        <is>
          <t>Heron CIP - CoCT development contribution</t>
        </is>
      </c>
      <c r="F3453" s="3" t="n">
        <v>0</v>
      </c>
      <c r="G3453" s="3" t="n">
        <v>1313735.84</v>
      </c>
    </row>
    <row r="3454">
      <c r="A3454" s="3" t="inlineStr">
        <is>
          <t>Heron Fields (Pty) Ltd</t>
        </is>
      </c>
      <c r="B3454" s="4" t="n">
        <v>45077</v>
      </c>
      <c r="C3454" s="3" t="inlineStr">
        <is>
          <t>Assets</t>
        </is>
      </c>
      <c r="D3454" s="3" t="inlineStr">
        <is>
          <t>7620/640</t>
        </is>
      </c>
      <c r="E3454" s="3" t="inlineStr">
        <is>
          <t>HF CIP Project costs</t>
        </is>
      </c>
      <c r="F3454" s="3" t="n">
        <v>0</v>
      </c>
      <c r="G3454" s="3" t="n">
        <v>622274.51</v>
      </c>
    </row>
    <row r="3455">
      <c r="A3455" s="3" t="inlineStr">
        <is>
          <t>Heron View (Pty) Ltd</t>
        </is>
      </c>
      <c r="B3455" s="4" t="n">
        <v>45077</v>
      </c>
      <c r="C3455" s="3" t="inlineStr">
        <is>
          <t>Assets</t>
        </is>
      </c>
      <c r="D3455" s="3" t="inlineStr">
        <is>
          <t>7620/650</t>
        </is>
      </c>
      <c r="E3455" s="3" t="inlineStr">
        <is>
          <t>CIP - Construction Management</t>
        </is>
      </c>
      <c r="F3455" s="3" t="n">
        <v>13000</v>
      </c>
      <c r="G3455" s="3" t="n">
        <v>76530</v>
      </c>
    </row>
    <row r="3456">
      <c r="A3456" s="3" t="inlineStr">
        <is>
          <t>Heron Fields (Pty) Ltd</t>
        </is>
      </c>
      <c r="B3456" s="4" t="n">
        <v>45077</v>
      </c>
      <c r="C3456" s="3" t="inlineStr">
        <is>
          <t>Assets</t>
        </is>
      </c>
      <c r="D3456" s="3" t="inlineStr">
        <is>
          <t>7620/650</t>
        </is>
      </c>
      <c r="E3456" s="3" t="inlineStr">
        <is>
          <t>HF CIP Electrical</t>
        </is>
      </c>
      <c r="F3456" s="3" t="n">
        <v>0</v>
      </c>
      <c r="G3456" s="3" t="n">
        <v>985049.6800000001</v>
      </c>
    </row>
    <row r="3457">
      <c r="A3457" s="3" t="inlineStr">
        <is>
          <t>Heron View (Pty) Ltd</t>
        </is>
      </c>
      <c r="B3457" s="4" t="n">
        <v>45077</v>
      </c>
      <c r="C3457" s="3" t="inlineStr">
        <is>
          <t>Assets</t>
        </is>
      </c>
      <c r="D3457" s="3" t="inlineStr">
        <is>
          <t>7620/660</t>
        </is>
      </c>
      <c r="E3457" s="3" t="inlineStr">
        <is>
          <t>HV CIP Health &amp; Safety</t>
        </is>
      </c>
      <c r="F3457" s="3" t="n">
        <v>1400</v>
      </c>
      <c r="G3457" s="3" t="n">
        <v>18800</v>
      </c>
    </row>
    <row r="3458">
      <c r="A3458" s="3" t="inlineStr">
        <is>
          <t>Heron View (Pty) Ltd</t>
        </is>
      </c>
      <c r="B3458" s="4" t="n">
        <v>45077</v>
      </c>
      <c r="C3458" s="3" t="inlineStr">
        <is>
          <t>Assets</t>
        </is>
      </c>
      <c r="D3458" s="3" t="inlineStr">
        <is>
          <t>7620/670</t>
        </is>
      </c>
      <c r="E3458" s="3" t="inlineStr">
        <is>
          <t>HV CIP - Project costs CPSD</t>
        </is>
      </c>
      <c r="F3458" s="3" t="n">
        <v>0</v>
      </c>
      <c r="G3458" s="3" t="n">
        <v>684782.6</v>
      </c>
    </row>
    <row r="3459">
      <c r="A3459" s="3" t="inlineStr">
        <is>
          <t>Heron View (Pty) Ltd</t>
        </is>
      </c>
      <c r="B3459" s="4" t="n">
        <v>45077</v>
      </c>
      <c r="C3459" s="3" t="inlineStr">
        <is>
          <t>Assets</t>
        </is>
      </c>
      <c r="D3459" s="3" t="inlineStr">
        <is>
          <t>7620/680</t>
        </is>
      </c>
      <c r="E3459" s="3" t="inlineStr">
        <is>
          <t>HV CIP Elextrical</t>
        </is>
      </c>
      <c r="F3459" s="3" t="n">
        <v>160310.23</v>
      </c>
      <c r="G3459" s="3" t="n">
        <v>1130099.94</v>
      </c>
    </row>
    <row r="3460">
      <c r="A3460" s="3" t="inlineStr">
        <is>
          <t>Heron View (Pty) Ltd</t>
        </is>
      </c>
      <c r="B3460" s="4" t="n">
        <v>45077</v>
      </c>
      <c r="C3460" s="3" t="inlineStr">
        <is>
          <t>Assets</t>
        </is>
      </c>
      <c r="D3460" s="3" t="inlineStr">
        <is>
          <t>7620/690</t>
        </is>
      </c>
      <c r="E3460" s="3" t="inlineStr">
        <is>
          <t>HV CIP Site Establishment</t>
        </is>
      </c>
      <c r="F3460" s="3" t="n">
        <v>4774233.25</v>
      </c>
      <c r="G3460" s="3" t="n">
        <v>16239901.7</v>
      </c>
    </row>
    <row r="3461">
      <c r="A3461" s="3" t="inlineStr">
        <is>
          <t>Heron Fields (Pty) Ltd</t>
        </is>
      </c>
      <c r="B3461" s="4" t="n">
        <v>45077</v>
      </c>
      <c r="C3461" s="3" t="inlineStr">
        <is>
          <t>Assets</t>
        </is>
      </c>
      <c r="D3461" s="3" t="inlineStr">
        <is>
          <t>7620/750</t>
        </is>
      </c>
      <c r="E3461" s="3" t="inlineStr">
        <is>
          <t>HF CIP Project costs CPSD</t>
        </is>
      </c>
      <c r="F3461" s="3" t="n">
        <v>272525.08</v>
      </c>
      <c r="G3461" s="3" t="n">
        <v>1774970.11</v>
      </c>
    </row>
    <row r="3462">
      <c r="A3462" s="3" t="inlineStr">
        <is>
          <t>Heron Fields (Pty) Ltd</t>
        </is>
      </c>
      <c r="B3462" s="4" t="n">
        <v>45077</v>
      </c>
      <c r="C3462" s="3" t="inlineStr">
        <is>
          <t>Assets</t>
        </is>
      </c>
      <c r="D3462" s="3" t="inlineStr">
        <is>
          <t>7620/800</t>
        </is>
      </c>
      <c r="E3462" s="3" t="inlineStr">
        <is>
          <t>HF CIP GL Conradie</t>
        </is>
      </c>
      <c r="F3462" s="3" t="n">
        <v>0</v>
      </c>
      <c r="G3462" s="3" t="n">
        <v>1068455</v>
      </c>
    </row>
    <row r="3463">
      <c r="A3463" s="3" t="inlineStr">
        <is>
          <t>Heron Fields (Pty) Ltd</t>
        </is>
      </c>
      <c r="B3463" s="4" t="n">
        <v>45077</v>
      </c>
      <c r="C3463" s="3" t="inlineStr">
        <is>
          <t>Assets</t>
        </is>
      </c>
      <c r="D3463" s="3" t="inlineStr">
        <is>
          <t>7700/010</t>
        </is>
      </c>
      <c r="E3463" s="3" t="inlineStr">
        <is>
          <t>Construction 28 Feb 23 HF</t>
        </is>
      </c>
      <c r="F3463" s="3" t="n">
        <v>0</v>
      </c>
      <c r="G3463" s="3" t="n">
        <v>-24427668.44</v>
      </c>
    </row>
    <row r="3464">
      <c r="A3464" s="3" t="inlineStr">
        <is>
          <t>Cape Projects Construction (Pty) Ltd</t>
        </is>
      </c>
      <c r="B3464" s="4" t="n">
        <v>45077</v>
      </c>
      <c r="C3464" s="3" t="inlineStr">
        <is>
          <t>Assets</t>
        </is>
      </c>
      <c r="D3464" s="3" t="inlineStr">
        <is>
          <t>7800/000</t>
        </is>
      </c>
      <c r="E3464" s="3" t="inlineStr">
        <is>
          <t>Deposits paid</t>
        </is>
      </c>
      <c r="F3464" s="3" t="n">
        <v>0</v>
      </c>
      <c r="G3464" s="3" t="n">
        <v>29600</v>
      </c>
    </row>
    <row r="3465">
      <c r="A3465" s="3" t="inlineStr">
        <is>
          <t>Cape Projects Construction (Pty) Ltd</t>
        </is>
      </c>
      <c r="B3465" s="4" t="n">
        <v>45077</v>
      </c>
      <c r="C3465" s="3" t="inlineStr">
        <is>
          <t>Assets</t>
        </is>
      </c>
      <c r="D3465" s="3" t="inlineStr">
        <is>
          <t>8000/000</t>
        </is>
      </c>
      <c r="E3465" s="3" t="inlineStr">
        <is>
          <t>Customer Control Account</t>
        </is>
      </c>
      <c r="F3465" s="3" t="n">
        <v>-1963646.34</v>
      </c>
      <c r="G3465" s="3" t="n">
        <v>-7406263.69</v>
      </c>
    </row>
    <row r="3466">
      <c r="A3466" s="3" t="inlineStr">
        <is>
          <t>Heron Fields (Pty) Ltd</t>
        </is>
      </c>
      <c r="B3466" s="4" t="n">
        <v>45077</v>
      </c>
      <c r="C3466" s="3" t="inlineStr">
        <is>
          <t>Assets</t>
        </is>
      </c>
      <c r="D3466" s="3" t="inlineStr">
        <is>
          <t>8000/000</t>
        </is>
      </c>
      <c r="E3466" s="3" t="inlineStr">
        <is>
          <t>Customer Control Account</t>
        </is>
      </c>
      <c r="F3466" s="3" t="n">
        <v>0</v>
      </c>
      <c r="G3466" s="3" t="n">
        <v>345946.61</v>
      </c>
    </row>
    <row r="3467">
      <c r="A3467" s="3" t="inlineStr">
        <is>
          <t>Heron Fields (Pty) Ltd</t>
        </is>
      </c>
      <c r="B3467" s="4" t="n">
        <v>45077</v>
      </c>
      <c r="C3467" s="3" t="inlineStr">
        <is>
          <t>Assets</t>
        </is>
      </c>
      <c r="D3467" s="3" t="inlineStr">
        <is>
          <t>8400/000</t>
        </is>
      </c>
      <c r="E3467" s="3" t="inlineStr">
        <is>
          <t>RMB - 62882379087</t>
        </is>
      </c>
      <c r="F3467" s="3" t="n">
        <v>-229699.62</v>
      </c>
      <c r="G3467" s="3" t="n">
        <v>182685.59</v>
      </c>
    </row>
    <row r="3468">
      <c r="A3468" s="3" t="inlineStr">
        <is>
          <t>Cape Projects Construction (Pty) Ltd</t>
        </is>
      </c>
      <c r="B3468" s="4" t="n">
        <v>45077</v>
      </c>
      <c r="C3468" s="3" t="inlineStr">
        <is>
          <t>Assets</t>
        </is>
      </c>
      <c r="D3468" s="3" t="inlineStr">
        <is>
          <t>8400/000</t>
        </is>
      </c>
      <c r="E3468" s="3" t="inlineStr">
        <is>
          <t>RMB 62275138470</t>
        </is>
      </c>
      <c r="F3468" s="3" t="n">
        <v>55669.87</v>
      </c>
      <c r="G3468" s="3" t="n">
        <v>499752.44</v>
      </c>
    </row>
    <row r="3469">
      <c r="A3469" s="3" t="inlineStr">
        <is>
          <t>Cape Projects Construction (Pty) Ltd</t>
        </is>
      </c>
      <c r="B3469" s="4" t="n">
        <v>45077</v>
      </c>
      <c r="C3469" s="3" t="inlineStr">
        <is>
          <t>Assets</t>
        </is>
      </c>
      <c r="D3469" s="3" t="inlineStr">
        <is>
          <t>8420/000</t>
        </is>
      </c>
      <c r="E3469" s="3" t="inlineStr">
        <is>
          <t>Momentum Priv Acc RU502230981</t>
        </is>
      </c>
      <c r="F3469" s="3" t="n">
        <v>0</v>
      </c>
      <c r="G3469" s="3" t="n">
        <v>547.71</v>
      </c>
    </row>
    <row r="3470">
      <c r="A3470" s="3" t="inlineStr">
        <is>
          <t>Heron Fields (Pty) Ltd</t>
        </is>
      </c>
      <c r="B3470" s="4" t="n">
        <v>45077</v>
      </c>
      <c r="C3470" s="3" t="inlineStr">
        <is>
          <t>Assets</t>
        </is>
      </c>
      <c r="D3470" s="3" t="inlineStr">
        <is>
          <t>8430/000</t>
        </is>
      </c>
      <c r="E3470" s="3" t="inlineStr">
        <is>
          <t>Momentum Private Account RU502230151</t>
        </is>
      </c>
      <c r="F3470" s="3" t="n">
        <v>5.43</v>
      </c>
      <c r="G3470" s="3" t="n">
        <v>843.41</v>
      </c>
    </row>
    <row r="3471">
      <c r="A3471" s="3" t="inlineStr">
        <is>
          <t>Heron Fields (Pty) Ltd</t>
        </is>
      </c>
      <c r="B3471" s="4" t="n">
        <v>45077</v>
      </c>
      <c r="C3471" s="3" t="inlineStr">
        <is>
          <t>Assets</t>
        </is>
      </c>
      <c r="D3471" s="3" t="inlineStr">
        <is>
          <t>8440/000</t>
        </is>
      </c>
      <c r="E3471" s="3" t="inlineStr">
        <is>
          <t>Momentum Investors Account RU502229930</t>
        </is>
      </c>
      <c r="F3471" s="3" t="n">
        <v>-3171923.1</v>
      </c>
      <c r="G3471" s="3" t="n">
        <v>33630554.92</v>
      </c>
    </row>
    <row r="3472">
      <c r="A3472" s="3" t="inlineStr">
        <is>
          <t>Cape Projects Construction (Pty) Ltd</t>
        </is>
      </c>
      <c r="B3472" s="4" t="n">
        <v>45077</v>
      </c>
      <c r="C3472" s="3" t="inlineStr">
        <is>
          <t>Liabilities</t>
        </is>
      </c>
      <c r="D3472" s="3" t="inlineStr">
        <is>
          <t>860</t>
        </is>
      </c>
      <c r="E3472" s="3" t="inlineStr">
        <is>
          <t>Rounding</t>
        </is>
      </c>
      <c r="F3472" s="3" t="n">
        <v>-17.58</v>
      </c>
      <c r="G3472" s="3" t="n">
        <v>-27.81</v>
      </c>
    </row>
    <row r="3473">
      <c r="A3473" s="3" t="inlineStr">
        <is>
          <t>Heron Fields (Pty) Ltd</t>
        </is>
      </c>
      <c r="B3473" s="4" t="n">
        <v>45077</v>
      </c>
      <c r="C3473" s="3" t="inlineStr">
        <is>
          <t>Liabilities</t>
        </is>
      </c>
      <c r="D3473" s="3" t="inlineStr">
        <is>
          <t>860</t>
        </is>
      </c>
      <c r="E3473" s="3" t="inlineStr">
        <is>
          <t>Rounding</t>
        </is>
      </c>
      <c r="F3473" s="3" t="n">
        <v>0</v>
      </c>
      <c r="G3473" s="3" t="n">
        <v>0.08</v>
      </c>
    </row>
    <row r="3474">
      <c r="A3474" s="3" t="inlineStr">
        <is>
          <t>Cape Projects Construction (Pty) Ltd</t>
        </is>
      </c>
      <c r="B3474" s="4" t="n">
        <v>45077</v>
      </c>
      <c r="C3474" s="3" t="inlineStr">
        <is>
          <t>Liabilities</t>
        </is>
      </c>
      <c r="D3474" s="3" t="inlineStr">
        <is>
          <t>9000/000</t>
        </is>
      </c>
      <c r="E3474" s="3" t="inlineStr">
        <is>
          <t>Supplier Control Account</t>
        </is>
      </c>
      <c r="F3474" s="3" t="n">
        <v>-906809.09</v>
      </c>
      <c r="G3474" s="3" t="n">
        <v>-2133238.54</v>
      </c>
    </row>
    <row r="3475">
      <c r="A3475" s="3" t="inlineStr">
        <is>
          <t>Heron Fields (Pty) Ltd</t>
        </is>
      </c>
      <c r="B3475" s="4" t="n">
        <v>45077</v>
      </c>
      <c r="C3475" s="3" t="inlineStr">
        <is>
          <t>Liabilities</t>
        </is>
      </c>
      <c r="D3475" s="3" t="inlineStr">
        <is>
          <t>9000/000</t>
        </is>
      </c>
      <c r="E3475" s="3" t="inlineStr">
        <is>
          <t>Supplier Control Account</t>
        </is>
      </c>
      <c r="F3475" s="3" t="n">
        <v>-1805372.25</v>
      </c>
      <c r="G3475" s="3" t="n">
        <v>-131515065.2</v>
      </c>
    </row>
    <row r="3476">
      <c r="A3476" s="3" t="inlineStr">
        <is>
          <t>Heron View (Pty) Ltd</t>
        </is>
      </c>
      <c r="B3476" s="4" t="n">
        <v>45077</v>
      </c>
      <c r="C3476" s="3" t="inlineStr">
        <is>
          <t>Liabilities</t>
        </is>
      </c>
      <c r="D3476" s="3" t="inlineStr">
        <is>
          <t>9000/000</t>
        </is>
      </c>
      <c r="E3476" s="3" t="inlineStr">
        <is>
          <t>Supplier Control Account</t>
        </is>
      </c>
      <c r="F3476" s="3" t="n">
        <v>2283483.86</v>
      </c>
      <c r="G3476" s="3" t="n">
        <v>637016.98</v>
      </c>
    </row>
    <row r="3477">
      <c r="A3477" s="3" t="inlineStr">
        <is>
          <t>Cape Projects Construction (Pty) Ltd</t>
        </is>
      </c>
      <c r="B3477" s="4" t="n">
        <v>45077</v>
      </c>
      <c r="C3477" s="3" t="inlineStr">
        <is>
          <t>Liabilities</t>
        </is>
      </c>
      <c r="D3477" s="3" t="inlineStr">
        <is>
          <t>9200/000</t>
        </is>
      </c>
      <c r="E3477" s="3" t="inlineStr">
        <is>
          <t>Sundry Suppliers</t>
        </is>
      </c>
      <c r="F3477" s="3" t="n">
        <v>1309</v>
      </c>
      <c r="G3477" s="3" t="n">
        <v>1309</v>
      </c>
    </row>
    <row r="3478">
      <c r="A3478" s="3" t="inlineStr">
        <is>
          <t>Cape Projects Construction (Pty) Ltd</t>
        </is>
      </c>
      <c r="B3478" s="4" t="n">
        <v>45077</v>
      </c>
      <c r="C3478" s="3" t="inlineStr">
        <is>
          <t>Liabilities</t>
        </is>
      </c>
      <c r="D3478" s="3" t="inlineStr">
        <is>
          <t>9250/010</t>
        </is>
      </c>
      <c r="E3478" s="3" t="inlineStr">
        <is>
          <t>SALARY CONTROL</t>
        </is>
      </c>
      <c r="F3478" s="3" t="n">
        <v>-257.48</v>
      </c>
      <c r="G3478" s="3" t="n">
        <v>-257.48</v>
      </c>
    </row>
    <row r="3479">
      <c r="A3479" s="3" t="inlineStr">
        <is>
          <t>Cape Projects Construction (Pty) Ltd</t>
        </is>
      </c>
      <c r="B3479" s="4" t="n">
        <v>45077</v>
      </c>
      <c r="C3479" s="3" t="inlineStr">
        <is>
          <t>Liabilities</t>
        </is>
      </c>
      <c r="D3479" s="3" t="inlineStr">
        <is>
          <t>9250/020</t>
        </is>
      </c>
      <c r="E3479" s="3" t="inlineStr">
        <is>
          <t>PAYE, UIF AND SDL CONTROL</t>
        </is>
      </c>
      <c r="F3479" s="3" t="n">
        <v>-399.32</v>
      </c>
      <c r="G3479" s="3" t="n">
        <v>-85314.81</v>
      </c>
    </row>
    <row r="3480">
      <c r="A3480" s="3" t="inlineStr">
        <is>
          <t>Cape Projects Construction (Pty) Ltd</t>
        </is>
      </c>
      <c r="B3480" s="4" t="n">
        <v>45077</v>
      </c>
      <c r="C3480" s="3" t="inlineStr">
        <is>
          <t>Liabilities</t>
        </is>
      </c>
      <c r="D3480" s="3" t="inlineStr">
        <is>
          <t>9250/030</t>
        </is>
      </c>
      <c r="E3480" s="3" t="inlineStr">
        <is>
          <t>BIBC CONTROL</t>
        </is>
      </c>
      <c r="F3480" s="3" t="n">
        <v>-4018.95</v>
      </c>
      <c r="G3480" s="3" t="n">
        <v>-49413.95</v>
      </c>
    </row>
    <row r="3481">
      <c r="A3481" s="3" t="inlineStr">
        <is>
          <t>Cape Projects Construction (Pty) Ltd</t>
        </is>
      </c>
      <c r="B3481" s="4" t="n">
        <v>45077</v>
      </c>
      <c r="C3481" s="3" t="inlineStr">
        <is>
          <t>Liabilities</t>
        </is>
      </c>
      <c r="D3481" s="3" t="inlineStr">
        <is>
          <t>9500/000</t>
        </is>
      </c>
      <c r="E3481" s="3" t="inlineStr">
        <is>
          <t>VAT Control Account</t>
        </is>
      </c>
      <c r="F3481" s="3" t="n">
        <v>-127125.64</v>
      </c>
      <c r="G3481" s="3" t="n">
        <v>-232897.55</v>
      </c>
    </row>
    <row r="3482">
      <c r="A3482" s="3" t="inlineStr">
        <is>
          <t>Heron Fields (Pty) Ltd</t>
        </is>
      </c>
      <c r="B3482" s="4" t="n">
        <v>45077</v>
      </c>
      <c r="C3482" s="3" t="inlineStr">
        <is>
          <t>Liabilities</t>
        </is>
      </c>
      <c r="D3482" s="3" t="inlineStr">
        <is>
          <t>9500/000</t>
        </is>
      </c>
      <c r="E3482" s="3" t="inlineStr">
        <is>
          <t>Vat / Tax Control Account</t>
        </is>
      </c>
      <c r="F3482" s="3" t="n">
        <v>-160339.03</v>
      </c>
      <c r="G3482" s="3" t="n">
        <v>-4157501.49</v>
      </c>
    </row>
    <row r="3483">
      <c r="A3483" s="3" t="inlineStr">
        <is>
          <t>Heron View (Pty) Ltd</t>
        </is>
      </c>
      <c r="B3483" s="4" t="n">
        <v>45077</v>
      </c>
      <c r="C3483" s="3" t="inlineStr">
        <is>
          <t>Liabilities</t>
        </is>
      </c>
      <c r="D3483" s="3" t="inlineStr">
        <is>
          <t>9500/000</t>
        </is>
      </c>
      <c r="E3483" s="3" t="inlineStr">
        <is>
          <t>Vat / Tax Control Account</t>
        </is>
      </c>
      <c r="F3483" s="3" t="n">
        <v>775342.2</v>
      </c>
      <c r="G3483" s="3" t="n">
        <v>4376254.9</v>
      </c>
    </row>
    <row r="3484">
      <c r="A3484" s="3" t="inlineStr">
        <is>
          <t>Heron Fields (Pty) Ltd</t>
        </is>
      </c>
      <c r="B3484" s="4" t="n">
        <v>45077</v>
      </c>
      <c r="C3484" s="3" t="inlineStr">
        <is>
          <t>Liabilities</t>
        </is>
      </c>
      <c r="D3484" s="3" t="inlineStr">
        <is>
          <t>9520/000</t>
        </is>
      </c>
      <c r="E3484" s="3" t="inlineStr">
        <is>
          <t>Income Tax Payable</t>
        </is>
      </c>
      <c r="F3484" s="3" t="n">
        <v>0</v>
      </c>
      <c r="G3484" s="3" t="n">
        <v>59039.93</v>
      </c>
    </row>
    <row r="3485">
      <c r="A3485" s="3" t="inlineStr">
        <is>
          <t>Heron Fields (Pty) Ltd</t>
        </is>
      </c>
      <c r="B3485" s="4" t="n">
        <v>45077</v>
      </c>
      <c r="C3485" s="3" t="inlineStr">
        <is>
          <t>Liabilities</t>
        </is>
      </c>
      <c r="D3485" s="3" t="inlineStr">
        <is>
          <t>9899/B208</t>
        </is>
      </c>
      <c r="E3485" s="3" t="inlineStr">
        <is>
          <t>Sales - Unit Reg Control B208</t>
        </is>
      </c>
      <c r="F3485" s="3" t="n">
        <v>0</v>
      </c>
      <c r="G3485" s="3" t="n">
        <v>1209624.06</v>
      </c>
    </row>
    <row r="3486">
      <c r="A3486" s="3" t="inlineStr">
        <is>
          <t>Cape Projects Construction (Pty) Ltd</t>
        </is>
      </c>
      <c r="B3486" s="4" t="n">
        <v>45077</v>
      </c>
      <c r="C3486" s="3" t="inlineStr">
        <is>
          <t>Liabilities</t>
        </is>
      </c>
      <c r="D3486" s="3" t="inlineStr">
        <is>
          <t>B/S</t>
        </is>
      </c>
      <c r="E3486" s="3" t="inlineStr">
        <is>
          <t>Taxation Payable</t>
        </is>
      </c>
      <c r="F3486" s="3" t="n">
        <v>0</v>
      </c>
      <c r="G3486" s="3" t="n">
        <v>28029.81</v>
      </c>
    </row>
    <row r="3487">
      <c r="A3487" s="3" t="inlineStr">
        <is>
          <t>Cape Projects Construction (Pty) Ltd</t>
        </is>
      </c>
      <c r="B3487" s="4" t="n">
        <v>45077</v>
      </c>
      <c r="C3487" s="3" t="inlineStr">
        <is>
          <t>Liabilities</t>
        </is>
      </c>
      <c r="D3487" s="3" t="inlineStr">
        <is>
          <t>TEMP/ACC</t>
        </is>
      </c>
      <c r="E3487" s="3" t="inlineStr">
        <is>
          <t>Conversion Account</t>
        </is>
      </c>
      <c r="F3487" s="3" t="n">
        <v>0</v>
      </c>
      <c r="G3487" s="3" t="n">
        <v>-254.99</v>
      </c>
    </row>
    <row r="3488">
      <c r="A3488" s="3" t="inlineStr">
        <is>
          <t>Heron Fields (Pty) Ltd</t>
        </is>
      </c>
      <c r="B3488" s="4" t="n">
        <v>45107</v>
      </c>
      <c r="C3488" s="3" t="inlineStr">
        <is>
          <t>Revenue</t>
        </is>
      </c>
      <c r="D3488" s="3" t="inlineStr">
        <is>
          <t>1000/100</t>
        </is>
      </c>
      <c r="E3488" s="3" t="inlineStr">
        <is>
          <t>Sales - Heron Fields</t>
        </is>
      </c>
      <c r="F3488" s="3" t="n">
        <v>-1243391.3</v>
      </c>
      <c r="G3488" s="3" t="n">
        <v>-25600869.57</v>
      </c>
    </row>
    <row r="3489">
      <c r="A3489" s="3" t="inlineStr">
        <is>
          <t>Heron Fields (Pty) Ltd</t>
        </is>
      </c>
      <c r="B3489" s="4" t="n">
        <v>45107</v>
      </c>
      <c r="C3489" s="3" t="inlineStr">
        <is>
          <t>Revenue</t>
        </is>
      </c>
      <c r="D3489" s="3" t="inlineStr">
        <is>
          <t>1000/101</t>
        </is>
      </c>
      <c r="E3489" s="3" t="inlineStr">
        <is>
          <t>Sales - Heron Fields occupational rent</t>
        </is>
      </c>
      <c r="F3489" s="3" t="n">
        <v>0</v>
      </c>
      <c r="G3489" s="3" t="n">
        <v>-94646.91</v>
      </c>
    </row>
    <row r="3490">
      <c r="A3490" s="3" t="inlineStr">
        <is>
          <t>Cape Projects Construction (Pty) Ltd</t>
        </is>
      </c>
      <c r="B3490" s="4" t="n">
        <v>45107</v>
      </c>
      <c r="C3490" s="3" t="inlineStr">
        <is>
          <t>Revenue</t>
        </is>
      </c>
      <c r="D3490" s="3" t="inlineStr">
        <is>
          <t>1040/100</t>
        </is>
      </c>
      <c r="E3490" s="3" t="inlineStr">
        <is>
          <t>Fees - Construction - Heron</t>
        </is>
      </c>
      <c r="F3490" s="3" t="n">
        <v>-3889214.05</v>
      </c>
      <c r="G3490" s="3" t="n">
        <v>-16861264.89</v>
      </c>
    </row>
    <row r="3491">
      <c r="A3491" s="3" t="inlineStr">
        <is>
          <t>Cape Projects Construction (Pty) Ltd</t>
        </is>
      </c>
      <c r="B3491" s="4" t="n">
        <v>45107</v>
      </c>
      <c r="C3491" s="3" t="inlineStr">
        <is>
          <t>Revenue</t>
        </is>
      </c>
      <c r="D3491" s="3" t="inlineStr">
        <is>
          <t>1070/000</t>
        </is>
      </c>
      <c r="E3491" s="3" t="inlineStr">
        <is>
          <t>Rent - CT Office</t>
        </is>
      </c>
      <c r="F3491" s="3" t="n">
        <v>0</v>
      </c>
      <c r="G3491" s="3" t="n">
        <v>3490.94</v>
      </c>
    </row>
    <row r="3492">
      <c r="A3492" s="3" t="inlineStr">
        <is>
          <t>Heron View (Pty) Ltd</t>
        </is>
      </c>
      <c r="B3492" s="4" t="n">
        <v>45107</v>
      </c>
      <c r="C3492" s="3" t="inlineStr">
        <is>
          <t>Expenses</t>
        </is>
      </c>
      <c r="D3492" s="3" t="inlineStr">
        <is>
          <t>2000/030</t>
        </is>
      </c>
      <c r="E3492" s="3" t="inlineStr">
        <is>
          <t>COS - HV COCT Rates clearance</t>
        </is>
      </c>
      <c r="F3492" s="3" t="n">
        <v>0</v>
      </c>
      <c r="G3492" s="3" t="n">
        <v>192174.7</v>
      </c>
    </row>
    <row r="3493">
      <c r="A3493" s="3" t="inlineStr">
        <is>
          <t>Heron Fields (Pty) Ltd</t>
        </is>
      </c>
      <c r="B3493" s="4" t="n">
        <v>45107</v>
      </c>
      <c r="C3493" s="3" t="inlineStr">
        <is>
          <t>Expenses</t>
        </is>
      </c>
      <c r="D3493" s="3" t="inlineStr">
        <is>
          <t>2000/040</t>
        </is>
      </c>
      <c r="E3493" s="3" t="inlineStr">
        <is>
          <t>COS - Legal Fees</t>
        </is>
      </c>
      <c r="F3493" s="3" t="n">
        <v>18544.25</v>
      </c>
      <c r="G3493" s="3" t="n">
        <v>577903.3</v>
      </c>
    </row>
    <row r="3494">
      <c r="A3494" s="3" t="inlineStr">
        <is>
          <t>Heron View (Pty) Ltd</t>
        </is>
      </c>
      <c r="B3494" s="4" t="n">
        <v>45107</v>
      </c>
      <c r="C3494" s="3" t="inlineStr">
        <is>
          <t>Expenses</t>
        </is>
      </c>
      <c r="D3494" s="3" t="inlineStr">
        <is>
          <t>2000/041</t>
        </is>
      </c>
      <c r="E3494" s="3" t="inlineStr">
        <is>
          <t>COS - Legal Fees Opening of Sec Title Fees</t>
        </is>
      </c>
      <c r="F3494" s="3" t="n">
        <v>14689.94</v>
      </c>
      <c r="G3494" s="3" t="n">
        <v>14689.94</v>
      </c>
    </row>
    <row r="3495">
      <c r="A3495" s="3" t="inlineStr">
        <is>
          <t>Heron Fields (Pty) Ltd</t>
        </is>
      </c>
      <c r="B3495" s="4" t="n">
        <v>45107</v>
      </c>
      <c r="C3495" s="3" t="inlineStr">
        <is>
          <t>Expenses</t>
        </is>
      </c>
      <c r="D3495" s="3" t="inlineStr">
        <is>
          <t>2000/050</t>
        </is>
      </c>
      <c r="E3495" s="3" t="inlineStr">
        <is>
          <t>COS - Rates clearance</t>
        </is>
      </c>
      <c r="F3495" s="3" t="n">
        <v>0</v>
      </c>
      <c r="G3495" s="3" t="n">
        <v>18160.92</v>
      </c>
    </row>
    <row r="3496">
      <c r="A3496" s="3" t="inlineStr">
        <is>
          <t>Heron Fields (Pty) Ltd</t>
        </is>
      </c>
      <c r="B3496" s="4" t="n">
        <v>45107</v>
      </c>
      <c r="C3496" s="3" t="inlineStr">
        <is>
          <t>Expenses</t>
        </is>
      </c>
      <c r="D3496" s="3" t="inlineStr">
        <is>
          <t>2000/060</t>
        </is>
      </c>
      <c r="E3496" s="3" t="inlineStr">
        <is>
          <t>COS - Levies</t>
        </is>
      </c>
      <c r="F3496" s="3" t="n">
        <v>0</v>
      </c>
      <c r="G3496" s="3" t="n">
        <v>171178.44</v>
      </c>
    </row>
    <row r="3497">
      <c r="A3497" s="3" t="inlineStr">
        <is>
          <t>Heron Fields (Pty) Ltd</t>
        </is>
      </c>
      <c r="B3497" s="4" t="n">
        <v>45107</v>
      </c>
      <c r="C3497" s="3" t="inlineStr">
        <is>
          <t>Expenses</t>
        </is>
      </c>
      <c r="D3497" s="3" t="inlineStr">
        <is>
          <t>2000/070</t>
        </is>
      </c>
      <c r="E3497" s="3" t="inlineStr">
        <is>
          <t>COS - Commission HF Units</t>
        </is>
      </c>
      <c r="F3497" s="3" t="n">
        <v>62169.57</v>
      </c>
      <c r="G3497" s="3" t="n">
        <v>1219047.83</v>
      </c>
    </row>
    <row r="3498">
      <c r="A3498" s="3" t="inlineStr">
        <is>
          <t>Heron Fields (Pty) Ltd</t>
        </is>
      </c>
      <c r="B3498" s="4" t="n">
        <v>45107</v>
      </c>
      <c r="C3498" s="3" t="inlineStr">
        <is>
          <t>Expenses</t>
        </is>
      </c>
      <c r="D3498" s="3" t="inlineStr">
        <is>
          <t>2000/090</t>
        </is>
      </c>
      <c r="E3498" s="3" t="inlineStr">
        <is>
          <t>COS - Electricity</t>
        </is>
      </c>
      <c r="F3498" s="3" t="n">
        <v>0</v>
      </c>
      <c r="G3498" s="3" t="n">
        <v>250</v>
      </c>
    </row>
    <row r="3499">
      <c r="A3499" s="3" t="inlineStr">
        <is>
          <t>Heron Fields (Pty) Ltd</t>
        </is>
      </c>
      <c r="B3499" s="4" t="n">
        <v>45107</v>
      </c>
      <c r="C3499" s="3" t="inlineStr">
        <is>
          <t>Expenses</t>
        </is>
      </c>
      <c r="D3499" s="3" t="inlineStr">
        <is>
          <t>2000/100</t>
        </is>
      </c>
      <c r="E3499" s="3" t="inlineStr">
        <is>
          <t>COS - Inverters</t>
        </is>
      </c>
      <c r="F3499" s="3" t="n">
        <v>31600</v>
      </c>
      <c r="G3499" s="3" t="n">
        <v>31600</v>
      </c>
    </row>
    <row r="3500">
      <c r="A3500" s="3" t="inlineStr">
        <is>
          <t>Cape Projects Construction (Pty) Ltd</t>
        </is>
      </c>
      <c r="B3500" s="4" t="n">
        <v>45107</v>
      </c>
      <c r="C3500" s="3" t="inlineStr">
        <is>
          <t>Expenses</t>
        </is>
      </c>
      <c r="D3500" s="3" t="inlineStr">
        <is>
          <t>2000/500</t>
        </is>
      </c>
      <c r="E3500" s="3" t="inlineStr">
        <is>
          <t>COS - Electricity Cost Endulini</t>
        </is>
      </c>
      <c r="F3500" s="3" t="n">
        <v>86.95999999999999</v>
      </c>
      <c r="G3500" s="3" t="n">
        <v>286.96</v>
      </c>
    </row>
    <row r="3501">
      <c r="A3501" s="3" t="inlineStr">
        <is>
          <t>Cape Projects Construction (Pty) Ltd</t>
        </is>
      </c>
      <c r="B3501" s="4" t="n">
        <v>45107</v>
      </c>
      <c r="C3501" s="3" t="inlineStr">
        <is>
          <t>Expenses</t>
        </is>
      </c>
      <c r="D3501" s="3" t="inlineStr">
        <is>
          <t>2000/501</t>
        </is>
      </c>
      <c r="E3501" s="3" t="inlineStr">
        <is>
          <t>COS - Electricity Cost Heron Field</t>
        </is>
      </c>
      <c r="F3501" s="3" t="n">
        <v>86.95999999999999</v>
      </c>
      <c r="G3501" s="3" t="n">
        <v>86.95999999999999</v>
      </c>
    </row>
    <row r="3502">
      <c r="A3502" s="3" t="inlineStr">
        <is>
          <t>Cape Projects Construction (Pty) Ltd</t>
        </is>
      </c>
      <c r="B3502" s="4" t="n">
        <v>45107</v>
      </c>
      <c r="C3502" s="3" t="inlineStr">
        <is>
          <t>Expenses</t>
        </is>
      </c>
      <c r="D3502" s="3" t="inlineStr">
        <is>
          <t>2001/000</t>
        </is>
      </c>
      <c r="E3502" s="3" t="inlineStr">
        <is>
          <t>Cost of Sales - SouthWark Project</t>
        </is>
      </c>
      <c r="F3502" s="3" t="n">
        <v>2500</v>
      </c>
      <c r="G3502" s="3" t="n">
        <v>23443.45</v>
      </c>
    </row>
    <row r="3503">
      <c r="A3503" s="3" t="inlineStr">
        <is>
          <t>Cape Projects Construction (Pty) Ltd</t>
        </is>
      </c>
      <c r="B3503" s="4" t="n">
        <v>45107</v>
      </c>
      <c r="C3503" s="3" t="inlineStr">
        <is>
          <t>Expenses</t>
        </is>
      </c>
      <c r="D3503" s="3" t="inlineStr">
        <is>
          <t>2002/252</t>
        </is>
      </c>
      <c r="E3503" s="3" t="inlineStr">
        <is>
          <t>COS - Security - Guarding</t>
        </is>
      </c>
      <c r="F3503" s="3" t="n">
        <v>30013.04</v>
      </c>
      <c r="G3503" s="3" t="n">
        <v>30013.04</v>
      </c>
    </row>
    <row r="3504">
      <c r="A3504" s="3" t="inlineStr">
        <is>
          <t>Cape Projects Construction (Pty) Ltd</t>
        </is>
      </c>
      <c r="B3504" s="4" t="n">
        <v>45107</v>
      </c>
      <c r="C3504" s="3" t="inlineStr">
        <is>
          <t>Expenses</t>
        </is>
      </c>
      <c r="D3504" s="3" t="inlineStr">
        <is>
          <t>2006/000</t>
        </is>
      </c>
      <c r="E3504" s="3" t="inlineStr">
        <is>
          <t>COS - Endulini Construction</t>
        </is>
      </c>
      <c r="F3504" s="3" t="n">
        <v>16372.1</v>
      </c>
      <c r="G3504" s="3" t="n">
        <v>237544.4</v>
      </c>
    </row>
    <row r="3505">
      <c r="A3505" s="3" t="inlineStr">
        <is>
          <t>Cape Projects Construction (Pty) Ltd</t>
        </is>
      </c>
      <c r="B3505" s="4" t="n">
        <v>45107</v>
      </c>
      <c r="C3505" s="3" t="inlineStr">
        <is>
          <t>Expenses</t>
        </is>
      </c>
      <c r="D3505" s="3" t="inlineStr">
        <is>
          <t>2006/100</t>
        </is>
      </c>
      <c r="E3505" s="3" t="inlineStr">
        <is>
          <t>COS - Endulini P and G</t>
        </is>
      </c>
      <c r="F3505" s="3" t="n">
        <v>2570.42</v>
      </c>
      <c r="G3505" s="3" t="n">
        <v>31246.53</v>
      </c>
    </row>
    <row r="3506">
      <c r="A3506" s="3" t="inlineStr">
        <is>
          <t>Cape Projects Construction (Pty) Ltd</t>
        </is>
      </c>
      <c r="B3506" s="4" t="n">
        <v>45107</v>
      </c>
      <c r="C3506" s="3" t="inlineStr">
        <is>
          <t>Expenses</t>
        </is>
      </c>
      <c r="D3506" s="3" t="inlineStr">
        <is>
          <t>2006/200</t>
        </is>
      </c>
      <c r="E3506" s="3" t="inlineStr">
        <is>
          <t>COS - Insurance</t>
        </is>
      </c>
      <c r="F3506" s="3" t="n">
        <v>0</v>
      </c>
      <c r="G3506" s="3" t="n">
        <v>2719.43</v>
      </c>
    </row>
    <row r="3507">
      <c r="A3507" s="3" t="inlineStr">
        <is>
          <t>Cape Projects Construction (Pty) Ltd</t>
        </is>
      </c>
      <c r="B3507" s="4" t="n">
        <v>45107</v>
      </c>
      <c r="C3507" s="3" t="inlineStr">
        <is>
          <t>Expenses</t>
        </is>
      </c>
      <c r="D3507" s="3" t="inlineStr">
        <is>
          <t>2006/800</t>
        </is>
      </c>
      <c r="E3507" s="3" t="inlineStr">
        <is>
          <t>COS - Endulini - Telephone &amp; Internet</t>
        </is>
      </c>
      <c r="F3507" s="3" t="n">
        <v>0</v>
      </c>
      <c r="G3507" s="3" t="n">
        <v>760.87</v>
      </c>
    </row>
    <row r="3508">
      <c r="A3508" s="3" t="inlineStr">
        <is>
          <t>Cape Projects Construction (Pty) Ltd</t>
        </is>
      </c>
      <c r="B3508" s="4" t="n">
        <v>45107</v>
      </c>
      <c r="C3508" s="3" t="inlineStr">
        <is>
          <t>Expenses</t>
        </is>
      </c>
      <c r="D3508" s="3" t="inlineStr">
        <is>
          <t>2011/300</t>
        </is>
      </c>
      <c r="E3508" s="3" t="inlineStr">
        <is>
          <t>COS - Heron Fields - Printing &amp; Stationary</t>
        </is>
      </c>
      <c r="F3508" s="3" t="n">
        <v>0</v>
      </c>
      <c r="G3508" s="3" t="n">
        <v>1129.57</v>
      </c>
    </row>
    <row r="3509">
      <c r="A3509" s="3" t="inlineStr">
        <is>
          <t>Cape Projects Construction (Pty) Ltd</t>
        </is>
      </c>
      <c r="B3509" s="4" t="n">
        <v>45107</v>
      </c>
      <c r="C3509" s="3" t="inlineStr">
        <is>
          <t>Expenses</t>
        </is>
      </c>
      <c r="D3509" s="3" t="inlineStr">
        <is>
          <t>2011/500</t>
        </is>
      </c>
      <c r="E3509" s="3" t="inlineStr">
        <is>
          <t>COS - Heron Fields - Construction</t>
        </is>
      </c>
      <c r="F3509" s="3" t="n">
        <v>328611.84</v>
      </c>
      <c r="G3509" s="3" t="n">
        <v>1339594.59</v>
      </c>
    </row>
    <row r="3510">
      <c r="A3510" s="3" t="inlineStr">
        <is>
          <t>Cape Projects Construction (Pty) Ltd</t>
        </is>
      </c>
      <c r="B3510" s="4" t="n">
        <v>45107</v>
      </c>
      <c r="C3510" s="3" t="inlineStr">
        <is>
          <t>Expenses</t>
        </is>
      </c>
      <c r="D3510" s="3" t="inlineStr">
        <is>
          <t>2011/600</t>
        </is>
      </c>
      <c r="E3510" s="3" t="inlineStr">
        <is>
          <t>COS - Heron Fields - P &amp; G</t>
        </is>
      </c>
      <c r="F3510" s="3" t="n">
        <v>40224.74</v>
      </c>
      <c r="G3510" s="3" t="n">
        <v>202654.39</v>
      </c>
    </row>
    <row r="3511">
      <c r="A3511" s="3" t="inlineStr">
        <is>
          <t>Cape Projects Construction (Pty) Ltd</t>
        </is>
      </c>
      <c r="B3511" s="4" t="n">
        <v>45107</v>
      </c>
      <c r="C3511" s="3" t="inlineStr">
        <is>
          <t>Expenses</t>
        </is>
      </c>
      <c r="D3511" s="3" t="inlineStr">
        <is>
          <t>2011/700</t>
        </is>
      </c>
      <c r="E3511" s="3" t="inlineStr">
        <is>
          <t>COS - Heron Fields - Health &amp; Safety</t>
        </is>
      </c>
      <c r="F3511" s="3" t="n">
        <v>0</v>
      </c>
      <c r="G3511" s="3" t="n">
        <v>694.78</v>
      </c>
    </row>
    <row r="3512">
      <c r="A3512" s="3" t="inlineStr">
        <is>
          <t>Cape Projects Construction (Pty) Ltd</t>
        </is>
      </c>
      <c r="B3512" s="4" t="n">
        <v>45107</v>
      </c>
      <c r="C3512" s="3" t="inlineStr">
        <is>
          <t>Expenses</t>
        </is>
      </c>
      <c r="D3512" s="3" t="inlineStr">
        <is>
          <t>2011/900</t>
        </is>
      </c>
      <c r="E3512" s="3" t="inlineStr">
        <is>
          <t>COS - Heron - Internet</t>
        </is>
      </c>
      <c r="F3512" s="3" t="n">
        <v>1440.87</v>
      </c>
      <c r="G3512" s="3" t="n">
        <v>5009.58</v>
      </c>
    </row>
    <row r="3513">
      <c r="A3513" s="3" t="inlineStr">
        <is>
          <t>Cape Projects Construction (Pty) Ltd</t>
        </is>
      </c>
      <c r="B3513" s="4" t="n">
        <v>45107</v>
      </c>
      <c r="C3513" s="3" t="inlineStr">
        <is>
          <t>Expenses</t>
        </is>
      </c>
      <c r="D3513" s="3" t="inlineStr">
        <is>
          <t>2012/001</t>
        </is>
      </c>
      <c r="E3513" s="3" t="inlineStr">
        <is>
          <t>COS - Heron View - Printing &amp; Stationary</t>
        </is>
      </c>
      <c r="F3513" s="3" t="n">
        <v>8882.139999999999</v>
      </c>
      <c r="G3513" s="3" t="n">
        <v>11130.85</v>
      </c>
    </row>
    <row r="3514">
      <c r="A3514" s="3" t="inlineStr">
        <is>
          <t>Cape Projects Construction (Pty) Ltd</t>
        </is>
      </c>
      <c r="B3514" s="4" t="n">
        <v>45107</v>
      </c>
      <c r="C3514" s="3" t="inlineStr">
        <is>
          <t>Expenses</t>
        </is>
      </c>
      <c r="D3514" s="3" t="inlineStr">
        <is>
          <t>2012/002</t>
        </is>
      </c>
      <c r="E3514" s="3" t="inlineStr">
        <is>
          <t>COS - Heron View - Construction</t>
        </is>
      </c>
      <c r="F3514" s="3" t="n">
        <v>2684636.77</v>
      </c>
      <c r="G3514" s="3" t="n">
        <v>12155054.98</v>
      </c>
    </row>
    <row r="3515">
      <c r="A3515" s="3" t="inlineStr">
        <is>
          <t>Cape Projects Construction (Pty) Ltd</t>
        </is>
      </c>
      <c r="B3515" s="4" t="n">
        <v>45107</v>
      </c>
      <c r="C3515" s="3" t="inlineStr">
        <is>
          <t>Expenses</t>
        </is>
      </c>
      <c r="D3515" s="3" t="inlineStr">
        <is>
          <t>2012/003</t>
        </is>
      </c>
      <c r="E3515" s="3" t="inlineStr">
        <is>
          <t>COS - Heron View - P&amp;G</t>
        </is>
      </c>
      <c r="F3515" s="3" t="n">
        <v>28694.56</v>
      </c>
      <c r="G3515" s="3" t="n">
        <v>464262.08</v>
      </c>
    </row>
    <row r="3516">
      <c r="A3516" s="3" t="inlineStr">
        <is>
          <t>Cape Projects Construction (Pty) Ltd</t>
        </is>
      </c>
      <c r="B3516" s="4" t="n">
        <v>45107</v>
      </c>
      <c r="C3516" s="3" t="inlineStr">
        <is>
          <t>Expenses</t>
        </is>
      </c>
      <c r="D3516" s="3" t="inlineStr">
        <is>
          <t>2013/000</t>
        </is>
      </c>
      <c r="E3516" s="3" t="inlineStr">
        <is>
          <t>COS - Bakhoven</t>
        </is>
      </c>
      <c r="F3516" s="3" t="n">
        <v>0</v>
      </c>
      <c r="G3516" s="3" t="n">
        <v>17292.48</v>
      </c>
    </row>
    <row r="3517">
      <c r="A3517" s="3" t="inlineStr">
        <is>
          <t>Cape Projects Construction (Pty) Ltd</t>
        </is>
      </c>
      <c r="B3517" s="4" t="n">
        <v>45107</v>
      </c>
      <c r="C3517" s="3" t="inlineStr">
        <is>
          <t>Revenue</t>
        </is>
      </c>
      <c r="D3517" s="3" t="inlineStr">
        <is>
          <t>2750/000</t>
        </is>
      </c>
      <c r="E3517" s="3" t="inlineStr">
        <is>
          <t>Interest Received - FNB</t>
        </is>
      </c>
      <c r="F3517" s="3" t="n">
        <v>-67.93000000000001</v>
      </c>
      <c r="G3517" s="3" t="n">
        <v>-405.31</v>
      </c>
    </row>
    <row r="3518">
      <c r="A3518" s="3" t="inlineStr">
        <is>
          <t>Cape Projects Construction (Pty) Ltd</t>
        </is>
      </c>
      <c r="B3518" s="4" t="n">
        <v>45107</v>
      </c>
      <c r="C3518" s="3" t="inlineStr">
        <is>
          <t>Revenue</t>
        </is>
      </c>
      <c r="D3518" s="3" t="inlineStr">
        <is>
          <t>2751/001</t>
        </is>
      </c>
      <c r="E3518" s="3" t="inlineStr">
        <is>
          <t>Interest received - Momentum</t>
        </is>
      </c>
      <c r="F3518" s="3" t="n">
        <v>-7.64</v>
      </c>
      <c r="G3518" s="3" t="n">
        <v>-18.03</v>
      </c>
    </row>
    <row r="3519">
      <c r="A3519" s="3" t="inlineStr">
        <is>
          <t>Heron Fields (Pty) Ltd</t>
        </is>
      </c>
      <c r="B3519" s="4" t="n">
        <v>45107</v>
      </c>
      <c r="C3519" s="3" t="inlineStr">
        <is>
          <t>Revenue</t>
        </is>
      </c>
      <c r="D3519" s="3" t="inlineStr">
        <is>
          <t>2755/001</t>
        </is>
      </c>
      <c r="E3519" s="3" t="inlineStr">
        <is>
          <t>Interest Received - Momentum</t>
        </is>
      </c>
      <c r="F3519" s="3" t="n">
        <v>-393902.07</v>
      </c>
      <c r="G3519" s="3" t="n">
        <v>-946943.61</v>
      </c>
    </row>
    <row r="3520">
      <c r="A3520" s="3" t="inlineStr">
        <is>
          <t>Cape Projects Construction (Pty) Ltd</t>
        </is>
      </c>
      <c r="B3520" s="4" t="n">
        <v>45107</v>
      </c>
      <c r="C3520" s="3" t="inlineStr">
        <is>
          <t>Expenses</t>
        </is>
      </c>
      <c r="D3520" s="3" t="inlineStr">
        <is>
          <t>3001/000</t>
        </is>
      </c>
      <c r="E3520" s="3" t="inlineStr">
        <is>
          <t>Accounting Fees - Other</t>
        </is>
      </c>
      <c r="F3520" s="3" t="n">
        <v>580</v>
      </c>
      <c r="G3520" s="3" t="n">
        <v>580</v>
      </c>
    </row>
    <row r="3521">
      <c r="A3521" s="3" t="inlineStr">
        <is>
          <t>Cape Projects Construction (Pty) Ltd</t>
        </is>
      </c>
      <c r="B3521" s="4" t="n">
        <v>45107</v>
      </c>
      <c r="C3521" s="3" t="inlineStr">
        <is>
          <t>Expenses</t>
        </is>
      </c>
      <c r="D3521" s="3" t="inlineStr">
        <is>
          <t>3002/000</t>
        </is>
      </c>
      <c r="E3521" s="3" t="inlineStr">
        <is>
          <t>Accounting Fees - Audit</t>
        </is>
      </c>
      <c r="F3521" s="3" t="n">
        <v>11170</v>
      </c>
      <c r="G3521" s="3" t="n">
        <v>11170</v>
      </c>
    </row>
    <row r="3522">
      <c r="A3522" s="3" t="inlineStr">
        <is>
          <t>Cape Projects Construction (Pty) Ltd</t>
        </is>
      </c>
      <c r="B3522" s="4" t="n">
        <v>45107</v>
      </c>
      <c r="C3522" s="3" t="inlineStr">
        <is>
          <t>Expenses</t>
        </is>
      </c>
      <c r="D3522" s="3" t="inlineStr">
        <is>
          <t>3050/000</t>
        </is>
      </c>
      <c r="E3522" s="3" t="inlineStr">
        <is>
          <t>Advertising _AND_ Promotions</t>
        </is>
      </c>
      <c r="F3522" s="3" t="n">
        <v>1200</v>
      </c>
      <c r="G3522" s="3" t="n">
        <v>1200</v>
      </c>
    </row>
    <row r="3523">
      <c r="A3523" s="3" t="inlineStr">
        <is>
          <t>Heron Fields (Pty) Ltd</t>
        </is>
      </c>
      <c r="B3523" s="4" t="n">
        <v>45107</v>
      </c>
      <c r="C3523" s="3" t="inlineStr">
        <is>
          <t>Expenses</t>
        </is>
      </c>
      <c r="D3523" s="3" t="inlineStr">
        <is>
          <t>3050/000</t>
        </is>
      </c>
      <c r="E3523" s="3" t="inlineStr">
        <is>
          <t>Advertising _AND_ Promotions</t>
        </is>
      </c>
      <c r="F3523" s="3" t="n">
        <v>39589.13</v>
      </c>
      <c r="G3523" s="3" t="n">
        <v>137675.92</v>
      </c>
    </row>
    <row r="3524">
      <c r="A3524" s="3" t="inlineStr">
        <is>
          <t>Heron View (Pty) Ltd</t>
        </is>
      </c>
      <c r="B3524" s="4" t="n">
        <v>45107</v>
      </c>
      <c r="C3524" s="3" t="inlineStr">
        <is>
          <t>Expenses</t>
        </is>
      </c>
      <c r="D3524" s="3" t="inlineStr">
        <is>
          <t>3050/000</t>
        </is>
      </c>
      <c r="E3524" s="3" t="inlineStr">
        <is>
          <t>Advertising _AND_ Promotions</t>
        </is>
      </c>
      <c r="F3524" s="3" t="n">
        <v>1293.75</v>
      </c>
      <c r="G3524" s="3" t="n">
        <v>33471.47</v>
      </c>
    </row>
    <row r="3525">
      <c r="A3525" s="3" t="inlineStr">
        <is>
          <t>Heron Fields (Pty) Ltd</t>
        </is>
      </c>
      <c r="B3525" s="4" t="n">
        <v>45107</v>
      </c>
      <c r="C3525" s="3" t="inlineStr">
        <is>
          <t>Expenses</t>
        </is>
      </c>
      <c r="D3525" s="3" t="inlineStr">
        <is>
          <t>3050/100</t>
        </is>
      </c>
      <c r="E3525" s="3" t="inlineStr">
        <is>
          <t>Advertising - Property24</t>
        </is>
      </c>
      <c r="F3525" s="3" t="n">
        <v>0</v>
      </c>
      <c r="G3525" s="3" t="n">
        <v>12480</v>
      </c>
    </row>
    <row r="3526">
      <c r="A3526" s="3" t="inlineStr">
        <is>
          <t>Cape Projects Construction (Pty) Ltd</t>
        </is>
      </c>
      <c r="B3526" s="4" t="n">
        <v>45107</v>
      </c>
      <c r="C3526" s="3" t="inlineStr">
        <is>
          <t>Expenses</t>
        </is>
      </c>
      <c r="D3526" s="3" t="inlineStr">
        <is>
          <t>3050/150</t>
        </is>
      </c>
      <c r="E3526" s="3" t="inlineStr">
        <is>
          <t>Advertising - Design Fees</t>
        </is>
      </c>
      <c r="F3526" s="3" t="n">
        <v>0</v>
      </c>
      <c r="G3526" s="3" t="n">
        <v>295</v>
      </c>
    </row>
    <row r="3527">
      <c r="A3527" s="3" t="inlineStr">
        <is>
          <t>Cape Projects Construction (Pty) Ltd</t>
        </is>
      </c>
      <c r="B3527" s="4" t="n">
        <v>45107</v>
      </c>
      <c r="C3527" s="3" t="inlineStr">
        <is>
          <t>Expenses</t>
        </is>
      </c>
      <c r="D3527" s="3" t="inlineStr">
        <is>
          <t>3050/450</t>
        </is>
      </c>
      <c r="E3527" s="3" t="inlineStr">
        <is>
          <t>Advertising - Other</t>
        </is>
      </c>
      <c r="F3527" s="3" t="n">
        <v>885</v>
      </c>
      <c r="G3527" s="3" t="n">
        <v>1597</v>
      </c>
    </row>
    <row r="3528">
      <c r="A3528" s="3" t="inlineStr">
        <is>
          <t>Cape Projects Construction (Pty) Ltd</t>
        </is>
      </c>
      <c r="B3528" s="4" t="n">
        <v>45107</v>
      </c>
      <c r="C3528" s="3" t="inlineStr">
        <is>
          <t>Expenses</t>
        </is>
      </c>
      <c r="D3528" s="3" t="inlineStr">
        <is>
          <t>3200/000</t>
        </is>
      </c>
      <c r="E3528" s="3" t="inlineStr">
        <is>
          <t>Bank Charges</t>
        </is>
      </c>
      <c r="F3528" s="3" t="n">
        <v>1821.46</v>
      </c>
      <c r="G3528" s="3" t="n">
        <v>7400.09</v>
      </c>
    </row>
    <row r="3529">
      <c r="A3529" s="3" t="inlineStr">
        <is>
          <t>Heron Fields (Pty) Ltd</t>
        </is>
      </c>
      <c r="B3529" s="4" t="n">
        <v>45107</v>
      </c>
      <c r="C3529" s="3" t="inlineStr">
        <is>
          <t>Expenses</t>
        </is>
      </c>
      <c r="D3529" s="3" t="inlineStr">
        <is>
          <t>3200/000</t>
        </is>
      </c>
      <c r="E3529" s="3" t="inlineStr">
        <is>
          <t>Bank Charges</t>
        </is>
      </c>
      <c r="F3529" s="3" t="n">
        <v>516.95</v>
      </c>
      <c r="G3529" s="3" t="n">
        <v>1923.51</v>
      </c>
    </row>
    <row r="3530">
      <c r="A3530" s="3" t="inlineStr">
        <is>
          <t>Cape Projects Construction (Pty) Ltd</t>
        </is>
      </c>
      <c r="B3530" s="4" t="n">
        <v>45107</v>
      </c>
      <c r="C3530" s="3" t="inlineStr">
        <is>
          <t>Expenses</t>
        </is>
      </c>
      <c r="D3530" s="3" t="inlineStr">
        <is>
          <t>3250/000</t>
        </is>
      </c>
      <c r="E3530" s="3" t="inlineStr">
        <is>
          <t>Cleaning</t>
        </is>
      </c>
      <c r="F3530" s="3" t="n">
        <v>0</v>
      </c>
      <c r="G3530" s="3" t="n">
        <v>433.65</v>
      </c>
    </row>
    <row r="3531">
      <c r="A3531" s="3" t="inlineStr">
        <is>
          <t>Cape Projects Construction (Pty) Ltd</t>
        </is>
      </c>
      <c r="B3531" s="4" t="n">
        <v>45107</v>
      </c>
      <c r="C3531" s="3" t="inlineStr">
        <is>
          <t>Expenses</t>
        </is>
      </c>
      <c r="D3531" s="3" t="inlineStr">
        <is>
          <t>3300/000</t>
        </is>
      </c>
      <c r="E3531" s="3" t="inlineStr">
        <is>
          <t>Computer Expenses</t>
        </is>
      </c>
      <c r="F3531" s="3" t="n">
        <v>0</v>
      </c>
      <c r="G3531" s="3" t="n">
        <v>3603.65</v>
      </c>
    </row>
    <row r="3532">
      <c r="A3532" s="3" t="inlineStr">
        <is>
          <t>Cape Projects Construction (Pty) Ltd</t>
        </is>
      </c>
      <c r="B3532" s="4" t="n">
        <v>45107</v>
      </c>
      <c r="C3532" s="3" t="inlineStr">
        <is>
          <t>Expenses</t>
        </is>
      </c>
      <c r="D3532" s="3" t="inlineStr">
        <is>
          <t>3300/100</t>
        </is>
      </c>
      <c r="E3532" s="3" t="inlineStr">
        <is>
          <t>Computer Exp - IT, Internet/Hosting Fee</t>
        </is>
      </c>
      <c r="F3532" s="3" t="n">
        <v>4230</v>
      </c>
      <c r="G3532" s="3" t="n">
        <v>15069</v>
      </c>
    </row>
    <row r="3533">
      <c r="A3533" s="3" t="inlineStr">
        <is>
          <t>Heron Fields (Pty) Ltd</t>
        </is>
      </c>
      <c r="B3533" s="4" t="n">
        <v>45107</v>
      </c>
      <c r="C3533" s="3" t="inlineStr">
        <is>
          <t>Expenses</t>
        </is>
      </c>
      <c r="D3533" s="3" t="inlineStr">
        <is>
          <t>3350/100</t>
        </is>
      </c>
      <c r="E3533" s="3" t="inlineStr">
        <is>
          <t>Consulting Fees - Admin and Finance</t>
        </is>
      </c>
      <c r="F3533" s="3" t="n">
        <v>121658</v>
      </c>
      <c r="G3533" s="3" t="n">
        <v>450842.57</v>
      </c>
    </row>
    <row r="3534">
      <c r="A3534" s="3" t="inlineStr">
        <is>
          <t>Cape Projects Construction (Pty) Ltd</t>
        </is>
      </c>
      <c r="B3534" s="4" t="n">
        <v>45107</v>
      </c>
      <c r="C3534" s="3" t="inlineStr">
        <is>
          <t>Expenses</t>
        </is>
      </c>
      <c r="D3534" s="3" t="inlineStr">
        <is>
          <t>3350/300</t>
        </is>
      </c>
      <c r="E3534" s="3" t="inlineStr">
        <is>
          <t>Consulting Fees - Admin and Finance</t>
        </is>
      </c>
      <c r="F3534" s="3" t="n">
        <v>119527</v>
      </c>
      <c r="G3534" s="3" t="n">
        <v>493522.7</v>
      </c>
    </row>
    <row r="3535">
      <c r="A3535" s="3" t="inlineStr">
        <is>
          <t>Heron Fields (Pty) Ltd</t>
        </is>
      </c>
      <c r="B3535" s="4" t="n">
        <v>45107</v>
      </c>
      <c r="C3535" s="3" t="inlineStr">
        <is>
          <t>Expenses</t>
        </is>
      </c>
      <c r="D3535" s="3" t="inlineStr">
        <is>
          <t>3351/000</t>
        </is>
      </c>
      <c r="E3535" s="3" t="inlineStr">
        <is>
          <t>Consulting fees - Trustee</t>
        </is>
      </c>
      <c r="F3535" s="3" t="n">
        <v>4200</v>
      </c>
      <c r="G3535" s="3" t="n">
        <v>12200</v>
      </c>
    </row>
    <row r="3536">
      <c r="A3536" s="3" t="inlineStr">
        <is>
          <t>Heron View (Pty) Ltd</t>
        </is>
      </c>
      <c r="B3536" s="4" t="n">
        <v>45107</v>
      </c>
      <c r="C3536" s="3" t="inlineStr">
        <is>
          <t>Expenses</t>
        </is>
      </c>
      <c r="D3536" s="3" t="inlineStr">
        <is>
          <t>3351/000</t>
        </is>
      </c>
      <c r="E3536" s="3" t="inlineStr">
        <is>
          <t>Consulting fees - Trustee</t>
        </is>
      </c>
      <c r="F3536" s="3" t="n">
        <v>7250</v>
      </c>
      <c r="G3536" s="3" t="n">
        <v>7250</v>
      </c>
    </row>
    <row r="3537">
      <c r="A3537" s="3" t="inlineStr">
        <is>
          <t>Cape Projects Construction (Pty) Ltd</t>
        </is>
      </c>
      <c r="B3537" s="4" t="n">
        <v>45107</v>
      </c>
      <c r="C3537" s="3" t="inlineStr">
        <is>
          <t>Expenses</t>
        </is>
      </c>
      <c r="D3537" s="3" t="inlineStr">
        <is>
          <t>3400/000</t>
        </is>
      </c>
      <c r="E3537" s="3" t="inlineStr">
        <is>
          <t>Courier _AND_ Postage</t>
        </is>
      </c>
      <c r="F3537" s="3" t="n">
        <v>0</v>
      </c>
      <c r="G3537" s="3" t="n">
        <v>86.09</v>
      </c>
    </row>
    <row r="3538">
      <c r="A3538" s="3" t="inlineStr">
        <is>
          <t>Cape Projects Construction (Pty) Ltd</t>
        </is>
      </c>
      <c r="B3538" s="4" t="n">
        <v>45107</v>
      </c>
      <c r="C3538" s="3" t="inlineStr">
        <is>
          <t>Expenses</t>
        </is>
      </c>
      <c r="D3538" s="3" t="inlineStr">
        <is>
          <t>3450/001</t>
        </is>
      </c>
      <c r="E3538" s="3" t="inlineStr">
        <is>
          <t>Depreciation - Computer Equipment</t>
        </is>
      </c>
      <c r="F3538" s="3" t="n">
        <v>3323.88</v>
      </c>
      <c r="G3538" s="3" t="n">
        <v>13295.58</v>
      </c>
    </row>
    <row r="3539">
      <c r="A3539" s="3" t="inlineStr">
        <is>
          <t>Cape Projects Construction (Pty) Ltd</t>
        </is>
      </c>
      <c r="B3539" s="4" t="n">
        <v>45107</v>
      </c>
      <c r="C3539" s="3" t="inlineStr">
        <is>
          <t>Expenses</t>
        </is>
      </c>
      <c r="D3539" s="3" t="inlineStr">
        <is>
          <t>3450/002</t>
        </is>
      </c>
      <c r="E3539" s="3" t="inlineStr">
        <is>
          <t>Depreciation - Generator Fixed Asset</t>
        </is>
      </c>
      <c r="F3539" s="3" t="n">
        <v>1188.69</v>
      </c>
      <c r="G3539" s="3" t="n">
        <v>2764.06</v>
      </c>
    </row>
    <row r="3540">
      <c r="A3540" s="3" t="inlineStr">
        <is>
          <t>Cape Projects Construction (Pty) Ltd</t>
        </is>
      </c>
      <c r="B3540" s="4" t="n">
        <v>45107</v>
      </c>
      <c r="C3540" s="3" t="inlineStr">
        <is>
          <t>Expenses</t>
        </is>
      </c>
      <c r="D3540" s="3" t="inlineStr">
        <is>
          <t>3450/030</t>
        </is>
      </c>
      <c r="E3540" s="3" t="inlineStr">
        <is>
          <t>Depreciation - Furniture and Fittings</t>
        </is>
      </c>
      <c r="F3540" s="3" t="n">
        <v>547.67</v>
      </c>
      <c r="G3540" s="3" t="n">
        <v>2190.7</v>
      </c>
    </row>
    <row r="3541">
      <c r="A3541" s="3" t="inlineStr">
        <is>
          <t>Heron Fields (Pty) Ltd</t>
        </is>
      </c>
      <c r="B3541" s="4" t="n">
        <v>45107</v>
      </c>
      <c r="C3541" s="3" t="inlineStr">
        <is>
          <t>Expenses</t>
        </is>
      </c>
      <c r="D3541" s="3" t="inlineStr">
        <is>
          <t>3650/000</t>
        </is>
      </c>
      <c r="E3541" s="3" t="inlineStr">
        <is>
          <t>CoCT - Electricity</t>
        </is>
      </c>
      <c r="F3541" s="3" t="n">
        <v>0</v>
      </c>
      <c r="G3541" s="3" t="n">
        <v>11263.46</v>
      </c>
    </row>
    <row r="3542">
      <c r="A3542" s="3" t="inlineStr">
        <is>
          <t>Cape Projects Construction (Pty) Ltd</t>
        </is>
      </c>
      <c r="B3542" s="4" t="n">
        <v>45107</v>
      </c>
      <c r="C3542" s="3" t="inlineStr">
        <is>
          <t>Expenses</t>
        </is>
      </c>
      <c r="D3542" s="3" t="inlineStr">
        <is>
          <t>3650/000</t>
        </is>
      </c>
      <c r="E3542" s="3" t="inlineStr">
        <is>
          <t>Electricity _AND_ Water</t>
        </is>
      </c>
      <c r="F3542" s="3" t="n">
        <v>6082.97</v>
      </c>
      <c r="G3542" s="3" t="n">
        <v>25245.46</v>
      </c>
    </row>
    <row r="3543">
      <c r="A3543" s="3" t="inlineStr">
        <is>
          <t>Heron Fields (Pty) Ltd</t>
        </is>
      </c>
      <c r="B3543" s="4" t="n">
        <v>45107</v>
      </c>
      <c r="C3543" s="3" t="inlineStr">
        <is>
          <t>Expenses</t>
        </is>
      </c>
      <c r="D3543" s="3" t="inlineStr">
        <is>
          <t>3660/000</t>
        </is>
      </c>
      <c r="E3543" s="3" t="inlineStr">
        <is>
          <t>CoCT - Water</t>
        </is>
      </c>
      <c r="F3543" s="3" t="n">
        <v>0</v>
      </c>
      <c r="G3543" s="3" t="n">
        <v>43879.43</v>
      </c>
    </row>
    <row r="3544">
      <c r="A3544" s="3" t="inlineStr">
        <is>
          <t>Heron Fields (Pty) Ltd</t>
        </is>
      </c>
      <c r="B3544" s="4" t="n">
        <v>45107</v>
      </c>
      <c r="C3544" s="3" t="inlineStr">
        <is>
          <t>Expenses</t>
        </is>
      </c>
      <c r="D3544" s="3" t="inlineStr">
        <is>
          <t>3670/000</t>
        </is>
      </c>
      <c r="E3544" s="3" t="inlineStr">
        <is>
          <t>CoCT - Refuse</t>
        </is>
      </c>
      <c r="F3544" s="3" t="n">
        <v>0</v>
      </c>
      <c r="G3544" s="3" t="n">
        <v>10690.2</v>
      </c>
    </row>
    <row r="3545">
      <c r="A3545" s="3" t="inlineStr">
        <is>
          <t>Heron Fields (Pty) Ltd</t>
        </is>
      </c>
      <c r="B3545" s="4" t="n">
        <v>45107</v>
      </c>
      <c r="C3545" s="3" t="inlineStr">
        <is>
          <t>Expenses</t>
        </is>
      </c>
      <c r="D3545" s="3" t="inlineStr">
        <is>
          <t>3700/000</t>
        </is>
      </c>
      <c r="E3545" s="3" t="inlineStr">
        <is>
          <t>Entertainment Expenses</t>
        </is>
      </c>
      <c r="F3545" s="3" t="n">
        <v>0</v>
      </c>
      <c r="G3545" s="3" t="n">
        <v>39.47</v>
      </c>
    </row>
    <row r="3546">
      <c r="A3546" s="3" t="inlineStr">
        <is>
          <t>Heron Fields (Pty) Ltd</t>
        </is>
      </c>
      <c r="B3546" s="4" t="n">
        <v>45107</v>
      </c>
      <c r="C3546" s="3" t="inlineStr">
        <is>
          <t>Expenses</t>
        </is>
      </c>
      <c r="D3546" s="3" t="inlineStr">
        <is>
          <t>3800/000</t>
        </is>
      </c>
      <c r="E3546" s="3" t="inlineStr">
        <is>
          <t>General Expenses</t>
        </is>
      </c>
      <c r="F3546" s="3" t="n">
        <v>0</v>
      </c>
      <c r="G3546" s="3" t="n">
        <v>199.99</v>
      </c>
    </row>
    <row r="3547">
      <c r="A3547" s="3" t="inlineStr">
        <is>
          <t>Heron Fields (Pty) Ltd</t>
        </is>
      </c>
      <c r="B3547" s="4" t="n">
        <v>45107</v>
      </c>
      <c r="C3547" s="3" t="inlineStr">
        <is>
          <t>Expenses</t>
        </is>
      </c>
      <c r="D3547" s="3" t="inlineStr">
        <is>
          <t>3850/000</t>
        </is>
      </c>
      <c r="E3547" s="3" t="inlineStr">
        <is>
          <t>Insurance</t>
        </is>
      </c>
      <c r="F3547" s="3" t="n">
        <v>10741.66</v>
      </c>
      <c r="G3547" s="3" t="n">
        <v>26915.89</v>
      </c>
    </row>
    <row r="3548">
      <c r="A3548" s="3" t="inlineStr">
        <is>
          <t>Cape Projects Construction (Pty) Ltd</t>
        </is>
      </c>
      <c r="B3548" s="4" t="n">
        <v>45107</v>
      </c>
      <c r="C3548" s="3" t="inlineStr">
        <is>
          <t>Expenses</t>
        </is>
      </c>
      <c r="D3548" s="3" t="inlineStr">
        <is>
          <t>3850/001</t>
        </is>
      </c>
      <c r="E3548" s="3" t="inlineStr">
        <is>
          <t>Insurance - Santam</t>
        </is>
      </c>
      <c r="F3548" s="3" t="n">
        <v>2089.86</v>
      </c>
      <c r="G3548" s="3" t="n">
        <v>7824.27</v>
      </c>
    </row>
    <row r="3549">
      <c r="A3549" s="3" t="inlineStr">
        <is>
          <t>Heron Fields (Pty) Ltd</t>
        </is>
      </c>
      <c r="B3549" s="4" t="n">
        <v>45107</v>
      </c>
      <c r="C3549" s="3" t="inlineStr">
        <is>
          <t>Expenses</t>
        </is>
      </c>
      <c r="D3549" s="3" t="inlineStr">
        <is>
          <t>3900/000</t>
        </is>
      </c>
      <c r="E3549" s="3" t="inlineStr">
        <is>
          <t>Interest Paid</t>
        </is>
      </c>
      <c r="F3549" s="3" t="n">
        <v>0</v>
      </c>
      <c r="G3549" s="3" t="n">
        <v>-533.8</v>
      </c>
    </row>
    <row r="3550">
      <c r="A3550" s="3" t="inlineStr">
        <is>
          <t>Heron Fields (Pty) Ltd</t>
        </is>
      </c>
      <c r="B3550" s="4" t="n">
        <v>45107</v>
      </c>
      <c r="C3550" s="3" t="inlineStr">
        <is>
          <t>Expenses</t>
        </is>
      </c>
      <c r="D3550" s="3" t="inlineStr">
        <is>
          <t>3900/111</t>
        </is>
      </c>
      <c r="E3550" s="3" t="inlineStr">
        <is>
          <t>Interest Paid - Investors @ 6.25%</t>
        </is>
      </c>
      <c r="F3550" s="3" t="n">
        <v>4041.1</v>
      </c>
      <c r="G3550" s="3" t="n">
        <v>151835.31</v>
      </c>
    </row>
    <row r="3551">
      <c r="A3551" s="3" t="inlineStr">
        <is>
          <t>Heron Fields (Pty) Ltd</t>
        </is>
      </c>
      <c r="B3551" s="4" t="n">
        <v>45107</v>
      </c>
      <c r="C3551" s="3" t="inlineStr">
        <is>
          <t>Expenses</t>
        </is>
      </c>
      <c r="D3551" s="3" t="inlineStr">
        <is>
          <t>3900/115</t>
        </is>
      </c>
      <c r="E3551" s="3" t="inlineStr">
        <is>
          <t>Interest Paid - Investors @ 6.5%</t>
        </is>
      </c>
      <c r="F3551" s="3" t="n">
        <v>5520.55</v>
      </c>
      <c r="G3551" s="3" t="n">
        <v>61901.38</v>
      </c>
    </row>
    <row r="3552">
      <c r="A3552" s="3" t="inlineStr">
        <is>
          <t>Heron Fields (Pty) Ltd</t>
        </is>
      </c>
      <c r="B3552" s="4" t="n">
        <v>45107</v>
      </c>
      <c r="C3552" s="3" t="inlineStr">
        <is>
          <t>Expenses</t>
        </is>
      </c>
      <c r="D3552" s="3" t="inlineStr">
        <is>
          <t>3900/117</t>
        </is>
      </c>
      <c r="E3552" s="3" t="inlineStr">
        <is>
          <t>Interest Paid - Investors @ 6.75%</t>
        </is>
      </c>
      <c r="F3552" s="3" t="n">
        <v>3014.39</v>
      </c>
      <c r="G3552" s="3" t="n">
        <v>39316.45</v>
      </c>
    </row>
    <row r="3553">
      <c r="A3553" s="3" t="inlineStr">
        <is>
          <t>Heron Fields (Pty) Ltd</t>
        </is>
      </c>
      <c r="B3553" s="4" t="n">
        <v>45107</v>
      </c>
      <c r="C3553" s="3" t="inlineStr">
        <is>
          <t>Expenses</t>
        </is>
      </c>
      <c r="D3553" s="3" t="inlineStr">
        <is>
          <t>3900/120</t>
        </is>
      </c>
      <c r="E3553" s="3" t="inlineStr">
        <is>
          <t>Interest Paid - Investors @ 7%</t>
        </is>
      </c>
      <c r="F3553" s="3" t="n">
        <v>650.9400000000001</v>
      </c>
      <c r="G3553" s="3" t="n">
        <v>11678.33</v>
      </c>
    </row>
    <row r="3554">
      <c r="A3554" s="3" t="inlineStr">
        <is>
          <t>Heron Fields (Pty) Ltd</t>
        </is>
      </c>
      <c r="B3554" s="4" t="n">
        <v>45107</v>
      </c>
      <c r="C3554" s="3" t="inlineStr">
        <is>
          <t>Expenses</t>
        </is>
      </c>
      <c r="D3554" s="3" t="inlineStr">
        <is>
          <t>3900/126</t>
        </is>
      </c>
      <c r="E3554" s="3" t="inlineStr">
        <is>
          <t>Interest Paid - Investors @ 7.5%</t>
        </is>
      </c>
      <c r="F3554" s="3" t="n">
        <v>430.32</v>
      </c>
      <c r="G3554" s="3" t="n">
        <v>430.32</v>
      </c>
    </row>
    <row r="3555">
      <c r="A3555" s="3" t="inlineStr">
        <is>
          <t>Heron Fields (Pty) Ltd</t>
        </is>
      </c>
      <c r="B3555" s="4" t="n">
        <v>45107</v>
      </c>
      <c r="C3555" s="3" t="inlineStr">
        <is>
          <t>Expenses</t>
        </is>
      </c>
      <c r="D3555" s="3" t="inlineStr">
        <is>
          <t>3900/190</t>
        </is>
      </c>
      <c r="E3555" s="3" t="inlineStr">
        <is>
          <t>Interest Paid - Investors @ 14%</t>
        </is>
      </c>
      <c r="F3555" s="3" t="n">
        <v>130102.66</v>
      </c>
      <c r="G3555" s="3" t="n">
        <v>400367.2</v>
      </c>
    </row>
    <row r="3556">
      <c r="A3556" s="3" t="inlineStr">
        <is>
          <t>Heron Fields (Pty) Ltd</t>
        </is>
      </c>
      <c r="B3556" s="4" t="n">
        <v>45107</v>
      </c>
      <c r="C3556" s="3" t="inlineStr">
        <is>
          <t>Expenses</t>
        </is>
      </c>
      <c r="D3556" s="3" t="inlineStr">
        <is>
          <t>3900/200</t>
        </is>
      </c>
      <c r="E3556" s="3" t="inlineStr">
        <is>
          <t>Interest Paid - Investors @ 15%</t>
        </is>
      </c>
      <c r="F3556" s="3" t="n">
        <v>0</v>
      </c>
      <c r="G3556" s="3" t="n">
        <v>306719.18</v>
      </c>
    </row>
    <row r="3557">
      <c r="A3557" s="3" t="inlineStr">
        <is>
          <t>Heron Fields (Pty) Ltd</t>
        </is>
      </c>
      <c r="B3557" s="4" t="n">
        <v>45107</v>
      </c>
      <c r="C3557" s="3" t="inlineStr">
        <is>
          <t>Expenses</t>
        </is>
      </c>
      <c r="D3557" s="3" t="inlineStr">
        <is>
          <t>3900/210</t>
        </is>
      </c>
      <c r="E3557" s="3" t="inlineStr">
        <is>
          <t>Interest Paid - Investors @ 16%</t>
        </is>
      </c>
      <c r="F3557" s="3" t="n">
        <v>-30</v>
      </c>
      <c r="G3557" s="3" t="n">
        <v>47473.98</v>
      </c>
    </row>
    <row r="3558">
      <c r="A3558" s="3" t="inlineStr">
        <is>
          <t>Heron Fields (Pty) Ltd</t>
        </is>
      </c>
      <c r="B3558" s="4" t="n">
        <v>45107</v>
      </c>
      <c r="C3558" s="3" t="inlineStr">
        <is>
          <t>Expenses</t>
        </is>
      </c>
      <c r="D3558" s="3" t="inlineStr">
        <is>
          <t>3900/230</t>
        </is>
      </c>
      <c r="E3558" s="3" t="inlineStr">
        <is>
          <t>Interest Paid - Investors @ 18%</t>
        </is>
      </c>
      <c r="F3558" s="3" t="n">
        <v>0</v>
      </c>
      <c r="G3558" s="3" t="n">
        <v>2785386.85</v>
      </c>
    </row>
    <row r="3559">
      <c r="A3559" s="3" t="inlineStr">
        <is>
          <t>Cape Projects Construction (Pty) Ltd</t>
        </is>
      </c>
      <c r="B3559" s="4" t="n">
        <v>45107</v>
      </c>
      <c r="C3559" s="3" t="inlineStr">
        <is>
          <t>Expenses</t>
        </is>
      </c>
      <c r="D3559" s="3" t="inlineStr">
        <is>
          <t>4000/000</t>
        </is>
      </c>
      <c r="E3559" s="3" t="inlineStr">
        <is>
          <t>Legal Fees</t>
        </is>
      </c>
      <c r="F3559" s="3" t="n">
        <v>0</v>
      </c>
      <c r="G3559" s="3" t="n">
        <v>5202.88</v>
      </c>
    </row>
    <row r="3560">
      <c r="A3560" s="3" t="inlineStr">
        <is>
          <t>Heron Fields (Pty) Ltd</t>
        </is>
      </c>
      <c r="B3560" s="4" t="n">
        <v>45107</v>
      </c>
      <c r="C3560" s="3" t="inlineStr">
        <is>
          <t>Expenses</t>
        </is>
      </c>
      <c r="D3560" s="3" t="inlineStr">
        <is>
          <t>4050/100</t>
        </is>
      </c>
      <c r="E3560" s="3" t="inlineStr">
        <is>
          <t>Developers Levies</t>
        </is>
      </c>
      <c r="F3560" s="3" t="n">
        <v>71583.14999999999</v>
      </c>
      <c r="G3560" s="3" t="n">
        <v>71583.14999999999</v>
      </c>
    </row>
    <row r="3561">
      <c r="A3561" s="3" t="inlineStr">
        <is>
          <t>Heron View (Pty) Ltd</t>
        </is>
      </c>
      <c r="B3561" s="4" t="n">
        <v>45107</v>
      </c>
      <c r="C3561" s="3" t="inlineStr">
        <is>
          <t>Expenses</t>
        </is>
      </c>
      <c r="D3561" s="3" t="inlineStr">
        <is>
          <t>4070/000</t>
        </is>
      </c>
      <c r="E3561" s="3" t="inlineStr">
        <is>
          <t>Management fees - OMH</t>
        </is>
      </c>
      <c r="F3561" s="3" t="n">
        <v>350000</v>
      </c>
      <c r="G3561" s="3" t="n">
        <v>350000</v>
      </c>
    </row>
    <row r="3562">
      <c r="A3562" s="3" t="inlineStr">
        <is>
          <t>Heron Fields (Pty) Ltd</t>
        </is>
      </c>
      <c r="B3562" s="4" t="n">
        <v>45107</v>
      </c>
      <c r="C3562" s="3" t="inlineStr">
        <is>
          <t>Expenses</t>
        </is>
      </c>
      <c r="D3562" s="3" t="inlineStr">
        <is>
          <t>4100/001</t>
        </is>
      </c>
      <c r="E3562" s="3" t="inlineStr">
        <is>
          <t>Momentum Admin Fee</t>
        </is>
      </c>
      <c r="F3562" s="3" t="n">
        <v>10523.82</v>
      </c>
      <c r="G3562" s="3" t="n">
        <v>29362.79</v>
      </c>
    </row>
    <row r="3563">
      <c r="A3563" s="3" t="inlineStr">
        <is>
          <t>Cape Projects Construction (Pty) Ltd</t>
        </is>
      </c>
      <c r="B3563" s="4" t="n">
        <v>45107</v>
      </c>
      <c r="C3563" s="3" t="inlineStr">
        <is>
          <t>Expenses</t>
        </is>
      </c>
      <c r="D3563" s="3" t="inlineStr">
        <is>
          <t>4150/000</t>
        </is>
      </c>
      <c r="E3563" s="3" t="inlineStr">
        <is>
          <t>Motor Vehicle Expenses</t>
        </is>
      </c>
      <c r="F3563" s="3" t="n">
        <v>0</v>
      </c>
      <c r="G3563" s="3" t="n">
        <v>362</v>
      </c>
    </row>
    <row r="3564">
      <c r="A3564" s="3" t="inlineStr">
        <is>
          <t>Cape Projects Construction (Pty) Ltd</t>
        </is>
      </c>
      <c r="B3564" s="4" t="n">
        <v>45107</v>
      </c>
      <c r="C3564" s="3" t="inlineStr">
        <is>
          <t>Expenses</t>
        </is>
      </c>
      <c r="D3564" s="3" t="inlineStr">
        <is>
          <t>4150/010</t>
        </is>
      </c>
      <c r="E3564" s="3" t="inlineStr">
        <is>
          <t>Motor Vehicle - Petrol _AND_ Oil</t>
        </is>
      </c>
      <c r="F3564" s="3" t="n">
        <v>3175.51</v>
      </c>
      <c r="G3564" s="3" t="n">
        <v>20781.52</v>
      </c>
    </row>
    <row r="3565">
      <c r="A3565" s="3" t="inlineStr">
        <is>
          <t>Cape Projects Construction (Pty) Ltd</t>
        </is>
      </c>
      <c r="B3565" s="4" t="n">
        <v>45107</v>
      </c>
      <c r="C3565" s="3" t="inlineStr">
        <is>
          <t>Expenses</t>
        </is>
      </c>
      <c r="D3565" s="3" t="inlineStr">
        <is>
          <t>4150/030</t>
        </is>
      </c>
      <c r="E3565" s="3" t="inlineStr">
        <is>
          <t>Motor Vehicle - Insurance _AND_ Licence</t>
        </is>
      </c>
      <c r="F3565" s="3" t="n">
        <v>1069</v>
      </c>
      <c r="G3565" s="3" t="n">
        <v>1069</v>
      </c>
    </row>
    <row r="3566">
      <c r="A3566" s="3" t="inlineStr">
        <is>
          <t>Cape Projects Construction (Pty) Ltd</t>
        </is>
      </c>
      <c r="B3566" s="4" t="n">
        <v>45107</v>
      </c>
      <c r="C3566" s="3" t="inlineStr">
        <is>
          <t>Expenses</t>
        </is>
      </c>
      <c r="D3566" s="3" t="inlineStr">
        <is>
          <t>4200/000</t>
        </is>
      </c>
      <c r="E3566" s="3" t="inlineStr">
        <is>
          <t>Printing _AND_ Stationery</t>
        </is>
      </c>
      <c r="F3566" s="3" t="n">
        <v>4327.12</v>
      </c>
      <c r="G3566" s="3" t="n">
        <v>9991.02</v>
      </c>
    </row>
    <row r="3567">
      <c r="A3567" s="3" t="inlineStr">
        <is>
          <t>Cape Projects Construction (Pty) Ltd</t>
        </is>
      </c>
      <c r="B3567" s="4" t="n">
        <v>45107</v>
      </c>
      <c r="C3567" s="3" t="inlineStr">
        <is>
          <t>Expenses</t>
        </is>
      </c>
      <c r="D3567" s="3" t="inlineStr">
        <is>
          <t>4201/000</t>
        </is>
      </c>
      <c r="E3567" s="3" t="inlineStr">
        <is>
          <t>Printing - Printer rental</t>
        </is>
      </c>
      <c r="F3567" s="3" t="n">
        <v>704.96</v>
      </c>
      <c r="G3567" s="3" t="n">
        <v>6049.15</v>
      </c>
    </row>
    <row r="3568">
      <c r="A3568" s="3" t="inlineStr">
        <is>
          <t>Cape Projects Construction (Pty) Ltd</t>
        </is>
      </c>
      <c r="B3568" s="4" t="n">
        <v>45107</v>
      </c>
      <c r="C3568" s="3" t="inlineStr">
        <is>
          <t>Expenses</t>
        </is>
      </c>
      <c r="D3568" s="3" t="inlineStr">
        <is>
          <t>4300/000</t>
        </is>
      </c>
      <c r="E3568" s="3" t="inlineStr">
        <is>
          <t>Rent Paid</t>
        </is>
      </c>
      <c r="F3568" s="3" t="n">
        <v>29600</v>
      </c>
      <c r="G3568" s="3" t="n">
        <v>118400</v>
      </c>
    </row>
    <row r="3569">
      <c r="A3569" s="3" t="inlineStr">
        <is>
          <t>Cape Projects Construction (Pty) Ltd</t>
        </is>
      </c>
      <c r="B3569" s="4" t="n">
        <v>45107</v>
      </c>
      <c r="C3569" s="3" t="inlineStr">
        <is>
          <t>Expenses</t>
        </is>
      </c>
      <c r="D3569" s="3" t="inlineStr">
        <is>
          <t>4310/000</t>
        </is>
      </c>
      <c r="E3569" s="3" t="inlineStr">
        <is>
          <t>Rates</t>
        </is>
      </c>
      <c r="F3569" s="3" t="n">
        <v>843.6</v>
      </c>
      <c r="G3569" s="3" t="n">
        <v>3374.4</v>
      </c>
    </row>
    <row r="3570">
      <c r="A3570" s="3" t="inlineStr">
        <is>
          <t>Heron Fields (Pty) Ltd</t>
        </is>
      </c>
      <c r="B3570" s="4" t="n">
        <v>45107</v>
      </c>
      <c r="C3570" s="3" t="inlineStr">
        <is>
          <t>Expenses</t>
        </is>
      </c>
      <c r="D3570" s="3" t="inlineStr">
        <is>
          <t>4310/000</t>
        </is>
      </c>
      <c r="E3570" s="3" t="inlineStr">
        <is>
          <t>Rates - Heron</t>
        </is>
      </c>
      <c r="F3570" s="3" t="n">
        <v>0</v>
      </c>
      <c r="G3570" s="3" t="n">
        <v>-11396.43</v>
      </c>
    </row>
    <row r="3571">
      <c r="A3571" s="3" t="inlineStr">
        <is>
          <t>Cape Projects Construction (Pty) Ltd</t>
        </is>
      </c>
      <c r="B3571" s="4" t="n">
        <v>45107</v>
      </c>
      <c r="C3571" s="3" t="inlineStr">
        <is>
          <t>Expenses</t>
        </is>
      </c>
      <c r="D3571" s="3" t="inlineStr">
        <is>
          <t>4350/000</t>
        </is>
      </c>
      <c r="E3571" s="3" t="inlineStr">
        <is>
          <t>Repairs _AND_ Maintenance</t>
        </is>
      </c>
      <c r="F3571" s="3" t="n">
        <v>155</v>
      </c>
      <c r="G3571" s="3" t="n">
        <v>9379.4</v>
      </c>
    </row>
    <row r="3572">
      <c r="A3572" s="3" t="inlineStr">
        <is>
          <t>Cape Projects Construction (Pty) Ltd</t>
        </is>
      </c>
      <c r="B3572" s="4" t="n">
        <v>45107</v>
      </c>
      <c r="C3572" s="3" t="inlineStr">
        <is>
          <t>Expenses</t>
        </is>
      </c>
      <c r="D3572" s="3" t="inlineStr">
        <is>
          <t>4400/000</t>
        </is>
      </c>
      <c r="E3572" s="3" t="inlineStr">
        <is>
          <t>Salaries _AND_ Wages</t>
        </is>
      </c>
      <c r="F3572" s="3" t="n">
        <v>373109.3</v>
      </c>
      <c r="G3572" s="3" t="n">
        <v>1345068.58</v>
      </c>
    </row>
    <row r="3573">
      <c r="A3573" s="3" t="inlineStr">
        <is>
          <t>Cape Projects Construction (Pty) Ltd</t>
        </is>
      </c>
      <c r="B3573" s="4" t="n">
        <v>45107</v>
      </c>
      <c r="C3573" s="3" t="inlineStr">
        <is>
          <t>Expenses</t>
        </is>
      </c>
      <c r="D3573" s="3" t="inlineStr">
        <is>
          <t>4402</t>
        </is>
      </c>
      <c r="E3573" s="3" t="inlineStr">
        <is>
          <t>Salaries &amp; Wages - WCA</t>
        </is>
      </c>
      <c r="F3573" s="3" t="n">
        <v>0</v>
      </c>
      <c r="G3573" s="3" t="n">
        <v>5192.13</v>
      </c>
    </row>
    <row r="3574">
      <c r="A3574" s="3" t="inlineStr">
        <is>
          <t>Cape Projects Construction (Pty) Ltd</t>
        </is>
      </c>
      <c r="B3574" s="4" t="n">
        <v>45107</v>
      </c>
      <c r="C3574" s="3" t="inlineStr">
        <is>
          <t>Expenses</t>
        </is>
      </c>
      <c r="D3574" s="3" t="inlineStr">
        <is>
          <t>4403/000</t>
        </is>
      </c>
      <c r="E3574" s="3" t="inlineStr">
        <is>
          <t>Security</t>
        </is>
      </c>
      <c r="F3574" s="3" t="n">
        <v>177.33</v>
      </c>
      <c r="G3574" s="3" t="n">
        <v>709.3200000000001</v>
      </c>
    </row>
    <row r="3575">
      <c r="A3575" s="3" t="inlineStr">
        <is>
          <t>Cape Projects Construction (Pty) Ltd</t>
        </is>
      </c>
      <c r="B3575" s="4" t="n">
        <v>45107</v>
      </c>
      <c r="C3575" s="3" t="inlineStr">
        <is>
          <t>Expenses</t>
        </is>
      </c>
      <c r="D3575" s="3" t="inlineStr">
        <is>
          <t>4420/000</t>
        </is>
      </c>
      <c r="E3575" s="3" t="inlineStr">
        <is>
          <t>Small Assets</t>
        </is>
      </c>
      <c r="F3575" s="3" t="n">
        <v>4172.17</v>
      </c>
      <c r="G3575" s="3" t="n">
        <v>7213.91</v>
      </c>
    </row>
    <row r="3576">
      <c r="A3576" s="3" t="inlineStr">
        <is>
          <t>Heron Fields (Pty) Ltd</t>
        </is>
      </c>
      <c r="B3576" s="4" t="n">
        <v>45107</v>
      </c>
      <c r="C3576" s="3" t="inlineStr">
        <is>
          <t>Expenses</t>
        </is>
      </c>
      <c r="D3576" s="3" t="inlineStr">
        <is>
          <t>4420/001</t>
        </is>
      </c>
      <c r="E3576" s="3" t="inlineStr">
        <is>
          <t>Security - ADT</t>
        </is>
      </c>
      <c r="F3576" s="3" t="n">
        <v>366.14</v>
      </c>
      <c r="G3576" s="3" t="n">
        <v>1351.28</v>
      </c>
    </row>
    <row r="3577">
      <c r="A3577" s="3" t="inlineStr">
        <is>
          <t>Cape Projects Construction (Pty) Ltd</t>
        </is>
      </c>
      <c r="B3577" s="4" t="n">
        <v>45107</v>
      </c>
      <c r="C3577" s="3" t="inlineStr">
        <is>
          <t>Expenses</t>
        </is>
      </c>
      <c r="D3577" s="3" t="inlineStr">
        <is>
          <t>4500/000</t>
        </is>
      </c>
      <c r="E3577" s="3" t="inlineStr">
        <is>
          <t>Staff Welfare _AND_ Refreshmts</t>
        </is>
      </c>
      <c r="F3577" s="3" t="n">
        <v>2814.73</v>
      </c>
      <c r="G3577" s="3" t="n">
        <v>5287.11</v>
      </c>
    </row>
    <row r="3578">
      <c r="A3578" s="3" t="inlineStr">
        <is>
          <t>Cape Projects Construction (Pty) Ltd</t>
        </is>
      </c>
      <c r="B3578" s="4" t="n">
        <v>45107</v>
      </c>
      <c r="C3578" s="3" t="inlineStr">
        <is>
          <t>Expenses</t>
        </is>
      </c>
      <c r="D3578" s="3" t="inlineStr">
        <is>
          <t>4550/000</t>
        </is>
      </c>
      <c r="E3578" s="3" t="inlineStr">
        <is>
          <t>Subscriptions / Licenses</t>
        </is>
      </c>
      <c r="F3578" s="3" t="n">
        <v>8349.65</v>
      </c>
      <c r="G3578" s="3" t="n">
        <v>8349.65</v>
      </c>
    </row>
    <row r="3579">
      <c r="A3579" s="3" t="inlineStr">
        <is>
          <t>Cape Projects Construction (Pty) Ltd</t>
        </is>
      </c>
      <c r="B3579" s="4" t="n">
        <v>45107</v>
      </c>
      <c r="C3579" s="3" t="inlineStr">
        <is>
          <t>Expenses</t>
        </is>
      </c>
      <c r="D3579" s="3" t="inlineStr">
        <is>
          <t>4550/001</t>
        </is>
      </c>
      <c r="E3579" s="3" t="inlineStr">
        <is>
          <t>Subscriptions &amp; Licenses - Sage payroll</t>
        </is>
      </c>
      <c r="F3579" s="3" t="n">
        <v>747</v>
      </c>
      <c r="G3579" s="3" t="n">
        <v>2988</v>
      </c>
    </row>
    <row r="3580">
      <c r="A3580" s="3" t="inlineStr">
        <is>
          <t>Cape Projects Construction (Pty) Ltd</t>
        </is>
      </c>
      <c r="B3580" s="4" t="n">
        <v>45107</v>
      </c>
      <c r="C3580" s="3" t="inlineStr">
        <is>
          <t>Expenses</t>
        </is>
      </c>
      <c r="D3580" s="3" t="inlineStr">
        <is>
          <t>4550/002</t>
        </is>
      </c>
      <c r="E3580" s="3" t="inlineStr">
        <is>
          <t>Subscriptions &amp; Licenses - Caseware</t>
        </is>
      </c>
      <c r="F3580" s="3" t="n">
        <v>0</v>
      </c>
      <c r="G3580" s="3" t="n">
        <v>10825.49</v>
      </c>
    </row>
    <row r="3581">
      <c r="A3581" s="3" t="inlineStr">
        <is>
          <t>Cape Projects Construction (Pty) Ltd</t>
        </is>
      </c>
      <c r="B3581" s="4" t="n">
        <v>45107</v>
      </c>
      <c r="C3581" s="3" t="inlineStr">
        <is>
          <t>Expenses</t>
        </is>
      </c>
      <c r="D3581" s="3" t="inlineStr">
        <is>
          <t>4550/003</t>
        </is>
      </c>
      <c r="E3581" s="3" t="inlineStr">
        <is>
          <t>Subscriptions &amp; Licenses - Xero</t>
        </is>
      </c>
      <c r="F3581" s="3" t="n">
        <v>600</v>
      </c>
      <c r="G3581" s="3" t="n">
        <v>2400</v>
      </c>
    </row>
    <row r="3582">
      <c r="A3582" s="3" t="inlineStr">
        <is>
          <t>Cape Projects Construction (Pty) Ltd</t>
        </is>
      </c>
      <c r="B3582" s="4" t="n">
        <v>45107</v>
      </c>
      <c r="C3582" s="3" t="inlineStr">
        <is>
          <t>Expenses</t>
        </is>
      </c>
      <c r="D3582" s="3" t="inlineStr">
        <is>
          <t>4550/004</t>
        </is>
      </c>
      <c r="E3582" s="3" t="inlineStr">
        <is>
          <t>Subscriptions - Smartsheet</t>
        </is>
      </c>
      <c r="F3582" s="3" t="n">
        <v>847</v>
      </c>
      <c r="G3582" s="3" t="n">
        <v>3192.73</v>
      </c>
    </row>
    <row r="3583">
      <c r="A3583" s="3" t="inlineStr">
        <is>
          <t>Heron Fields (Pty) Ltd</t>
        </is>
      </c>
      <c r="B3583" s="4" t="n">
        <v>45107</v>
      </c>
      <c r="C3583" s="3" t="inlineStr">
        <is>
          <t>Expenses</t>
        </is>
      </c>
      <c r="D3583" s="3" t="inlineStr">
        <is>
          <t>4550/100</t>
        </is>
      </c>
      <c r="E3583" s="3" t="inlineStr">
        <is>
          <t>Subscriptions - Xero</t>
        </is>
      </c>
      <c r="F3583" s="3" t="n">
        <v>600</v>
      </c>
      <c r="G3583" s="3" t="n">
        <v>2400</v>
      </c>
    </row>
    <row r="3584">
      <c r="A3584" s="3" t="inlineStr">
        <is>
          <t>Heron View (Pty) Ltd</t>
        </is>
      </c>
      <c r="B3584" s="4" t="n">
        <v>45107</v>
      </c>
      <c r="C3584" s="3" t="inlineStr">
        <is>
          <t>Expenses</t>
        </is>
      </c>
      <c r="D3584" s="3" t="inlineStr">
        <is>
          <t>4550/100</t>
        </is>
      </c>
      <c r="E3584" s="3" t="inlineStr">
        <is>
          <t>Subscriptions - Xero</t>
        </is>
      </c>
      <c r="F3584" s="3" t="n">
        <v>600</v>
      </c>
      <c r="G3584" s="3" t="n">
        <v>2400</v>
      </c>
    </row>
    <row r="3585">
      <c r="A3585" s="3" t="inlineStr">
        <is>
          <t>Cape Projects Construction (Pty) Ltd</t>
        </is>
      </c>
      <c r="B3585" s="4" t="n">
        <v>45107</v>
      </c>
      <c r="C3585" s="3" t="inlineStr">
        <is>
          <t>Expenses</t>
        </is>
      </c>
      <c r="D3585" s="3" t="inlineStr">
        <is>
          <t>4700/000</t>
        </is>
      </c>
      <c r="E3585" s="3" t="inlineStr">
        <is>
          <t>PAYE Contributions</t>
        </is>
      </c>
      <c r="F3585" s="3" t="n">
        <v>82763.78</v>
      </c>
      <c r="G3585" s="3" t="n">
        <v>312788.23</v>
      </c>
    </row>
    <row r="3586">
      <c r="A3586" s="3" t="inlineStr">
        <is>
          <t>Cape Projects Construction (Pty) Ltd</t>
        </is>
      </c>
      <c r="B3586" s="4" t="n">
        <v>45107</v>
      </c>
      <c r="C3586" s="3" t="inlineStr">
        <is>
          <t>Expenses</t>
        </is>
      </c>
      <c r="D3586" s="3" t="inlineStr">
        <is>
          <t>4720/000</t>
        </is>
      </c>
      <c r="E3586" s="3" t="inlineStr">
        <is>
          <t>SDL Contributions</t>
        </is>
      </c>
      <c r="F3586" s="3" t="n">
        <v>4434.64</v>
      </c>
      <c r="G3586" s="3" t="n">
        <v>16077.76</v>
      </c>
    </row>
    <row r="3587">
      <c r="A3587" s="3" t="inlineStr">
        <is>
          <t>Cape Projects Construction (Pty) Ltd</t>
        </is>
      </c>
      <c r="B3587" s="4" t="n">
        <v>45107</v>
      </c>
      <c r="C3587" s="3" t="inlineStr">
        <is>
          <t>Expenses</t>
        </is>
      </c>
      <c r="D3587" s="3" t="inlineStr">
        <is>
          <t>4730/000</t>
        </is>
      </c>
      <c r="E3587" s="3" t="inlineStr">
        <is>
          <t>UIF Company Contributions</t>
        </is>
      </c>
      <c r="F3587" s="3" t="n">
        <v>2442.38</v>
      </c>
      <c r="G3587" s="3" t="n">
        <v>8425.620000000001</v>
      </c>
    </row>
    <row r="3588">
      <c r="A3588" s="3" t="inlineStr">
        <is>
          <t>Cape Projects Construction (Pty) Ltd</t>
        </is>
      </c>
      <c r="B3588" s="4" t="n">
        <v>45107</v>
      </c>
      <c r="C3588" s="3" t="inlineStr">
        <is>
          <t>Expenses</t>
        </is>
      </c>
      <c r="D3588" s="3" t="inlineStr">
        <is>
          <t>4731/000</t>
        </is>
      </c>
      <c r="E3588" s="3" t="inlineStr">
        <is>
          <t>UIF Employee Contribution</t>
        </is>
      </c>
      <c r="F3588" s="3" t="n">
        <v>2442.38</v>
      </c>
      <c r="G3588" s="3" t="n">
        <v>8425.620000000001</v>
      </c>
    </row>
    <row r="3589">
      <c r="A3589" s="3" t="inlineStr">
        <is>
          <t>Cape Projects Construction (Pty) Ltd</t>
        </is>
      </c>
      <c r="B3589" s="4" t="n">
        <v>45107</v>
      </c>
      <c r="C3589" s="3" t="inlineStr">
        <is>
          <t>Expenses</t>
        </is>
      </c>
      <c r="D3589" s="3" t="inlineStr">
        <is>
          <t>4740/000</t>
        </is>
      </c>
      <c r="E3589" s="3" t="inlineStr">
        <is>
          <t>BIBC Company Contribution</t>
        </is>
      </c>
      <c r="F3589" s="3" t="n">
        <v>0</v>
      </c>
      <c r="G3589" s="3" t="n">
        <v>15075.35</v>
      </c>
    </row>
    <row r="3590">
      <c r="A3590" s="3" t="inlineStr">
        <is>
          <t>Cape Projects Construction (Pty) Ltd</t>
        </is>
      </c>
      <c r="B3590" s="4" t="n">
        <v>45107</v>
      </c>
      <c r="C3590" s="3" t="inlineStr">
        <is>
          <t>Expenses</t>
        </is>
      </c>
      <c r="D3590" s="3" t="inlineStr">
        <is>
          <t>4741/000</t>
        </is>
      </c>
      <c r="E3590" s="3" t="inlineStr">
        <is>
          <t>BIBC Employee Contribution</t>
        </is>
      </c>
      <c r="F3590" s="3" t="n">
        <v>0</v>
      </c>
      <c r="G3590" s="3" t="n">
        <v>4562.1</v>
      </c>
    </row>
    <row r="3591">
      <c r="A3591" s="3" t="inlineStr">
        <is>
          <t>Heron Fields (Pty) Ltd</t>
        </is>
      </c>
      <c r="B3591" s="4" t="n">
        <v>45107</v>
      </c>
      <c r="C3591" s="3" t="inlineStr">
        <is>
          <t>Equity</t>
        </is>
      </c>
      <c r="D3591" s="3" t="inlineStr">
        <is>
          <t>5100-000</t>
        </is>
      </c>
      <c r="E3591" s="3" t="inlineStr">
        <is>
          <t>Share Capital</t>
        </is>
      </c>
      <c r="F3591" s="3" t="n">
        <v>0</v>
      </c>
      <c r="G3591" s="3" t="n">
        <v>-100</v>
      </c>
    </row>
    <row r="3592">
      <c r="A3592" s="3" t="inlineStr">
        <is>
          <t>Cape Projects Construction (Pty) Ltd</t>
        </is>
      </c>
      <c r="B3592" s="4" t="n">
        <v>45107</v>
      </c>
      <c r="C3592" s="3" t="inlineStr">
        <is>
          <t>Equity</t>
        </is>
      </c>
      <c r="D3592" s="3" t="inlineStr">
        <is>
          <t>5100/000</t>
        </is>
      </c>
      <c r="E3592" s="3" t="inlineStr">
        <is>
          <t>Share Capital / Members Contribution</t>
        </is>
      </c>
      <c r="F3592" s="3" t="n">
        <v>0</v>
      </c>
      <c r="G3592" s="3" t="n">
        <v>-120</v>
      </c>
    </row>
    <row r="3593">
      <c r="A3593" s="3" t="inlineStr">
        <is>
          <t>Cape Projects Construction (Pty) Ltd</t>
        </is>
      </c>
      <c r="B3593" s="4" t="n">
        <v>45107</v>
      </c>
      <c r="C3593" s="3" t="inlineStr">
        <is>
          <t>Equity</t>
        </is>
      </c>
      <c r="D3593" s="3" t="inlineStr">
        <is>
          <t>5200/000</t>
        </is>
      </c>
      <c r="E3593" s="3" t="inlineStr">
        <is>
          <t>Retained Earnings / Loss</t>
        </is>
      </c>
      <c r="F3593" s="3" t="n">
        <v>0</v>
      </c>
      <c r="G3593" s="3" t="n">
        <v>-296075.58</v>
      </c>
    </row>
    <row r="3594">
      <c r="A3594" s="3" t="inlineStr">
        <is>
          <t>Heron Fields (Pty) Ltd</t>
        </is>
      </c>
      <c r="B3594" s="4" t="n">
        <v>45107</v>
      </c>
      <c r="C3594" s="3" t="inlineStr">
        <is>
          <t>Equity</t>
        </is>
      </c>
      <c r="D3594" s="3" t="inlineStr">
        <is>
          <t>5200/000</t>
        </is>
      </c>
      <c r="E3594" s="3" t="inlineStr">
        <is>
          <t>Retained Earnings / Loss</t>
        </is>
      </c>
      <c r="F3594" s="3" t="n">
        <v>0</v>
      </c>
      <c r="G3594" s="3" t="n">
        <v>-17843179.58</v>
      </c>
    </row>
    <row r="3595">
      <c r="A3595" s="3" t="inlineStr">
        <is>
          <t>Heron View (Pty) Ltd</t>
        </is>
      </c>
      <c r="B3595" s="4" t="n">
        <v>45107</v>
      </c>
      <c r="C3595" s="3" t="inlineStr">
        <is>
          <t>Equity</t>
        </is>
      </c>
      <c r="D3595" s="3" t="inlineStr">
        <is>
          <t>5200/000</t>
        </is>
      </c>
      <c r="E3595" s="3" t="inlineStr">
        <is>
          <t>Retained Earnings / Loss</t>
        </is>
      </c>
      <c r="F3595" s="3" t="n">
        <v>0</v>
      </c>
      <c r="G3595" s="3" t="n">
        <v>70398.12</v>
      </c>
    </row>
    <row r="3596">
      <c r="A3596" s="3" t="inlineStr">
        <is>
          <t>Heron Fields (Pty) Ltd</t>
        </is>
      </c>
      <c r="B3596" s="4" t="n">
        <v>45107</v>
      </c>
      <c r="C3596" s="3" t="inlineStr">
        <is>
          <t>Assets</t>
        </is>
      </c>
      <c r="D3596" s="3" t="inlineStr">
        <is>
          <t>5300/001</t>
        </is>
      </c>
      <c r="E3596" s="3" t="inlineStr">
        <is>
          <t>Revaluation of Land stock</t>
        </is>
      </c>
      <c r="F3596" s="3" t="n">
        <v>0</v>
      </c>
      <c r="G3596" s="3" t="n">
        <v>17562360.85</v>
      </c>
    </row>
    <row r="3597">
      <c r="A3597" s="3" t="inlineStr">
        <is>
          <t>Cape Projects Construction (Pty) Ltd</t>
        </is>
      </c>
      <c r="B3597" s="4" t="n">
        <v>45107</v>
      </c>
      <c r="C3597" s="3" t="inlineStr">
        <is>
          <t>Assets</t>
        </is>
      </c>
      <c r="D3597" s="3" t="inlineStr">
        <is>
          <t>5400/150</t>
        </is>
      </c>
      <c r="E3597" s="3" t="inlineStr">
        <is>
          <t>Loan - Quinate</t>
        </is>
      </c>
      <c r="F3597" s="3" t="n">
        <v>0</v>
      </c>
      <c r="G3597" s="3" t="n">
        <v>185000</v>
      </c>
    </row>
    <row r="3598">
      <c r="A3598" s="3" t="inlineStr">
        <is>
          <t>Cape Projects Construction (Pty) Ltd</t>
        </is>
      </c>
      <c r="B3598" s="4" t="n">
        <v>45107</v>
      </c>
      <c r="C3598" s="3" t="inlineStr">
        <is>
          <t>Assets</t>
        </is>
      </c>
      <c r="D3598" s="3" t="inlineStr">
        <is>
          <t>5400/220</t>
        </is>
      </c>
      <c r="E3598" s="3" t="inlineStr">
        <is>
          <t>Members Loan - WH</t>
        </is>
      </c>
      <c r="F3598" s="3" t="n">
        <v>0</v>
      </c>
      <c r="G3598" s="3" t="n">
        <v>-4342.5</v>
      </c>
    </row>
    <row r="3599">
      <c r="A3599" s="3" t="inlineStr">
        <is>
          <t>Cape Projects Construction (Pty) Ltd</t>
        </is>
      </c>
      <c r="B3599" s="4" t="n">
        <v>45107</v>
      </c>
      <c r="C3599" s="3" t="inlineStr">
        <is>
          <t>Assets</t>
        </is>
      </c>
      <c r="D3599" s="3" t="inlineStr">
        <is>
          <t>5400/450</t>
        </is>
      </c>
      <c r="E3599" s="3" t="inlineStr">
        <is>
          <t>Loan - Opportunity Investment</t>
        </is>
      </c>
      <c r="F3599" s="3" t="n">
        <v>0</v>
      </c>
      <c r="G3599" s="3" t="n">
        <v>-2261000</v>
      </c>
    </row>
    <row r="3600">
      <c r="A3600" s="3" t="inlineStr">
        <is>
          <t>Cape Projects Construction (Pty) Ltd</t>
        </is>
      </c>
      <c r="B3600" s="4" t="n">
        <v>45107</v>
      </c>
      <c r="C3600" s="3" t="inlineStr">
        <is>
          <t>Assets</t>
        </is>
      </c>
      <c r="D3600" s="3" t="inlineStr">
        <is>
          <t>5400/500</t>
        </is>
      </c>
      <c r="E3600" s="3" t="inlineStr">
        <is>
          <t>Loan - Blou Mamba Trust</t>
        </is>
      </c>
      <c r="F3600" s="3" t="n">
        <v>0</v>
      </c>
      <c r="G3600" s="3" t="n">
        <v>4342.5</v>
      </c>
    </row>
    <row r="3601">
      <c r="A3601" s="3" t="inlineStr">
        <is>
          <t>Cape Projects Construction (Pty) Ltd</t>
        </is>
      </c>
      <c r="B3601" s="4" t="n">
        <v>45107</v>
      </c>
      <c r="C3601" s="3" t="inlineStr">
        <is>
          <t>Assets</t>
        </is>
      </c>
      <c r="D3601" s="3" t="inlineStr">
        <is>
          <t>5400/550</t>
        </is>
      </c>
      <c r="E3601" s="3" t="inlineStr">
        <is>
          <t>Loan - Trademark</t>
        </is>
      </c>
      <c r="F3601" s="3" t="n">
        <v>-20000</v>
      </c>
      <c r="G3601" s="3" t="n">
        <v>-20000</v>
      </c>
    </row>
    <row r="3602">
      <c r="A3602" s="3" t="inlineStr">
        <is>
          <t>Cape Projects Construction (Pty) Ltd</t>
        </is>
      </c>
      <c r="B3602" s="4" t="n">
        <v>45107</v>
      </c>
      <c r="C3602" s="3" t="inlineStr">
        <is>
          <t>Assets</t>
        </is>
      </c>
      <c r="D3602" s="3" t="inlineStr">
        <is>
          <t>5400/600</t>
        </is>
      </c>
      <c r="E3602" s="3" t="inlineStr">
        <is>
          <t>Loan - Heron Projects</t>
        </is>
      </c>
      <c r="F3602" s="3" t="n">
        <v>80000</v>
      </c>
      <c r="G3602" s="3" t="n">
        <v>-10151940.42</v>
      </c>
    </row>
    <row r="3603">
      <c r="A3603" s="3" t="inlineStr">
        <is>
          <t>Cape Projects Construction (Pty) Ltd</t>
        </is>
      </c>
      <c r="B3603" s="4" t="n">
        <v>45107</v>
      </c>
      <c r="C3603" s="3" t="inlineStr">
        <is>
          <t>Assets</t>
        </is>
      </c>
      <c r="D3603" s="3" t="inlineStr">
        <is>
          <t>5400/650</t>
        </is>
      </c>
      <c r="E3603" s="3" t="inlineStr">
        <is>
          <t>Loan - Noble Shield</t>
        </is>
      </c>
      <c r="F3603" s="3" t="n">
        <v>-20000</v>
      </c>
      <c r="G3603" s="3" t="n">
        <v>-20000</v>
      </c>
    </row>
    <row r="3604">
      <c r="A3604" s="3" t="inlineStr">
        <is>
          <t>Cape Projects Construction (Pty) Ltd</t>
        </is>
      </c>
      <c r="B3604" s="4" t="n">
        <v>45107</v>
      </c>
      <c r="C3604" s="3" t="inlineStr">
        <is>
          <t>Assets</t>
        </is>
      </c>
      <c r="D3604" s="3" t="inlineStr">
        <is>
          <t>5400/750</t>
        </is>
      </c>
      <c r="E3604" s="3" t="inlineStr">
        <is>
          <t>Loan - Endulini</t>
        </is>
      </c>
      <c r="F3604" s="3" t="n">
        <v>-762000</v>
      </c>
      <c r="G3604" s="3" t="n">
        <v>20749187.4</v>
      </c>
    </row>
    <row r="3605">
      <c r="A3605" s="3" t="inlineStr">
        <is>
          <t>Cape Projects Construction (Pty) Ltd</t>
        </is>
      </c>
      <c r="B3605" s="4" t="n">
        <v>45107</v>
      </c>
      <c r="C3605" s="3" t="inlineStr">
        <is>
          <t>Assets</t>
        </is>
      </c>
      <c r="D3605" s="3" t="inlineStr">
        <is>
          <t>5400/800</t>
        </is>
      </c>
      <c r="E3605" s="3" t="inlineStr">
        <is>
          <t>Loan - Opportunity Management Holdings</t>
        </is>
      </c>
      <c r="F3605" s="3" t="n">
        <v>-65000</v>
      </c>
      <c r="G3605" s="3" t="n">
        <v>-53500</v>
      </c>
    </row>
    <row r="3606">
      <c r="A3606" s="3" t="inlineStr">
        <is>
          <t>Heron View (Pty) Ltd</t>
        </is>
      </c>
      <c r="B3606" s="4" t="n">
        <v>45107</v>
      </c>
      <c r="C3606" s="3" t="inlineStr">
        <is>
          <t>Liabilities</t>
        </is>
      </c>
      <c r="D3606" s="3" t="inlineStr">
        <is>
          <t>5500/001</t>
        </is>
      </c>
      <c r="E3606" s="3" t="inlineStr">
        <is>
          <t>Loan - Heron Fields</t>
        </is>
      </c>
      <c r="F3606" s="3" t="n">
        <v>-5517023.9</v>
      </c>
      <c r="G3606" s="3" t="n">
        <v>-40906059.66</v>
      </c>
    </row>
    <row r="3607">
      <c r="A3607" s="3" t="inlineStr">
        <is>
          <t>Heron Fields (Pty) Ltd</t>
        </is>
      </c>
      <c r="B3607" s="4" t="n">
        <v>45107</v>
      </c>
      <c r="C3607" s="3" t="inlineStr">
        <is>
          <t>Liabilities</t>
        </is>
      </c>
      <c r="D3607" s="3" t="inlineStr">
        <is>
          <t>5500/020</t>
        </is>
      </c>
      <c r="E3607" s="3" t="inlineStr">
        <is>
          <t>Loan - Cape Projects Construction</t>
        </is>
      </c>
      <c r="F3607" s="3" t="n">
        <v>-80000</v>
      </c>
      <c r="G3607" s="3" t="n">
        <v>10151940.42</v>
      </c>
    </row>
    <row r="3608">
      <c r="A3608" s="3" t="inlineStr">
        <is>
          <t>Heron Fields (Pty) Ltd</t>
        </is>
      </c>
      <c r="B3608" s="4" t="n">
        <v>45107</v>
      </c>
      <c r="C3608" s="3" t="inlineStr">
        <is>
          <t>Liabilities</t>
        </is>
      </c>
      <c r="D3608" s="3" t="inlineStr">
        <is>
          <t>5500/030</t>
        </is>
      </c>
      <c r="E3608" s="3" t="inlineStr">
        <is>
          <t>Loan - Opportunity Global Investments</t>
        </is>
      </c>
      <c r="F3608" s="3" t="n">
        <v>40000</v>
      </c>
      <c r="G3608" s="3" t="n">
        <v>3092000</v>
      </c>
    </row>
    <row r="3609">
      <c r="A3609" s="3" t="inlineStr">
        <is>
          <t>Heron Fields (Pty) Ltd</t>
        </is>
      </c>
      <c r="B3609" s="4" t="n">
        <v>45107</v>
      </c>
      <c r="C3609" s="3" t="inlineStr">
        <is>
          <t>Liabilities</t>
        </is>
      </c>
      <c r="D3609" s="3" t="inlineStr">
        <is>
          <t>5500/050</t>
        </is>
      </c>
      <c r="E3609" s="3" t="inlineStr">
        <is>
          <t>Loan - Heron View</t>
        </is>
      </c>
      <c r="F3609" s="3" t="n">
        <v>5517023.9</v>
      </c>
      <c r="G3609" s="3" t="n">
        <v>40906059.66</v>
      </c>
    </row>
    <row r="3610">
      <c r="A3610" s="3" t="inlineStr">
        <is>
          <t>Heron Fields (Pty) Ltd</t>
        </is>
      </c>
      <c r="B3610" s="4" t="n">
        <v>45107</v>
      </c>
      <c r="C3610" s="3" t="inlineStr">
        <is>
          <t>Liabilities</t>
        </is>
      </c>
      <c r="D3610" s="3" t="inlineStr">
        <is>
          <t>5500/060</t>
        </is>
      </c>
      <c r="E3610" s="3" t="inlineStr">
        <is>
          <t>Loan - Opportunity Management Holdings</t>
        </is>
      </c>
      <c r="F3610" s="3" t="n">
        <v>30000</v>
      </c>
      <c r="G3610" s="3" t="n">
        <v>52000</v>
      </c>
    </row>
    <row r="3611">
      <c r="A3611" s="3" t="inlineStr">
        <is>
          <t>Cape Projects Construction (Pty) Ltd</t>
        </is>
      </c>
      <c r="B3611" s="4" t="n">
        <v>45107</v>
      </c>
      <c r="C3611" s="3" t="inlineStr">
        <is>
          <t>Assets</t>
        </is>
      </c>
      <c r="D3611" s="3" t="inlineStr">
        <is>
          <t>6200/010</t>
        </is>
      </c>
      <c r="E3611" s="3" t="inlineStr">
        <is>
          <t>Motor Vehicles - @ Cost</t>
        </is>
      </c>
      <c r="F3611" s="3" t="n">
        <v>0</v>
      </c>
      <c r="G3611" s="3" t="n">
        <v>216064.1</v>
      </c>
    </row>
    <row r="3612">
      <c r="A3612" s="3" t="inlineStr">
        <is>
          <t>Cape Projects Construction (Pty) Ltd</t>
        </is>
      </c>
      <c r="B3612" s="4" t="n">
        <v>45107</v>
      </c>
      <c r="C3612" s="3" t="inlineStr">
        <is>
          <t>Assets</t>
        </is>
      </c>
      <c r="D3612" s="3" t="inlineStr">
        <is>
          <t>6200/020</t>
        </is>
      </c>
      <c r="E3612" s="3" t="inlineStr">
        <is>
          <t>Motor Vehicles - Accum Depre</t>
        </is>
      </c>
      <c r="F3612" s="3" t="n">
        <v>0</v>
      </c>
      <c r="G3612" s="3" t="n">
        <v>-216063.1</v>
      </c>
    </row>
    <row r="3613">
      <c r="A3613" s="3" t="inlineStr">
        <is>
          <t>Cape Projects Construction (Pty) Ltd</t>
        </is>
      </c>
      <c r="B3613" s="4" t="n">
        <v>45107</v>
      </c>
      <c r="C3613" s="3" t="inlineStr">
        <is>
          <t>Assets</t>
        </is>
      </c>
      <c r="D3613" s="3" t="inlineStr">
        <is>
          <t>6250/010</t>
        </is>
      </c>
      <c r="E3613" s="3" t="inlineStr">
        <is>
          <t>Computer Equipment - @ Cost</t>
        </is>
      </c>
      <c r="F3613" s="3" t="n">
        <v>0</v>
      </c>
      <c r="G3613" s="3" t="n">
        <v>133790.35</v>
      </c>
    </row>
    <row r="3614">
      <c r="A3614" s="3" t="inlineStr">
        <is>
          <t>Cape Projects Construction (Pty) Ltd</t>
        </is>
      </c>
      <c r="B3614" s="4" t="n">
        <v>45107</v>
      </c>
      <c r="C3614" s="3" t="inlineStr">
        <is>
          <t>Assets</t>
        </is>
      </c>
      <c r="D3614" s="3" t="inlineStr">
        <is>
          <t>6250/020</t>
        </is>
      </c>
      <c r="E3614" s="3" t="inlineStr">
        <is>
          <t>Computer Equipment - Accum Depre</t>
        </is>
      </c>
      <c r="F3614" s="3" t="n">
        <v>-3323.88</v>
      </c>
      <c r="G3614" s="3" t="n">
        <v>-56218.57</v>
      </c>
    </row>
    <row r="3615">
      <c r="A3615" s="3" t="inlineStr">
        <is>
          <t>Cape Projects Construction (Pty) Ltd</t>
        </is>
      </c>
      <c r="B3615" s="4" t="n">
        <v>45107</v>
      </c>
      <c r="C3615" s="3" t="inlineStr">
        <is>
          <t>Assets</t>
        </is>
      </c>
      <c r="D3615" s="3" t="inlineStr">
        <is>
          <t>6350/010</t>
        </is>
      </c>
      <c r="E3615" s="3" t="inlineStr">
        <is>
          <t>Furniture _AND_ Fittings - @ Cost</t>
        </is>
      </c>
      <c r="F3615" s="3" t="n">
        <v>0</v>
      </c>
      <c r="G3615" s="3" t="n">
        <v>37955.3</v>
      </c>
    </row>
    <row r="3616">
      <c r="A3616" s="3" t="inlineStr">
        <is>
          <t>Cape Projects Construction (Pty) Ltd</t>
        </is>
      </c>
      <c r="B3616" s="4" t="n">
        <v>45107</v>
      </c>
      <c r="C3616" s="3" t="inlineStr">
        <is>
          <t>Assets</t>
        </is>
      </c>
      <c r="D3616" s="3" t="inlineStr">
        <is>
          <t>6350/020</t>
        </is>
      </c>
      <c r="E3616" s="3" t="inlineStr">
        <is>
          <t>Furniture _AND_ Fittings - Accum Depre</t>
        </is>
      </c>
      <c r="F3616" s="3" t="n">
        <v>-547.67</v>
      </c>
      <c r="G3616" s="3" t="n">
        <v>-8085.25</v>
      </c>
    </row>
    <row r="3617">
      <c r="A3617" s="3" t="inlineStr">
        <is>
          <t>Cape Projects Construction (Pty) Ltd</t>
        </is>
      </c>
      <c r="B3617" s="4" t="n">
        <v>45107</v>
      </c>
      <c r="C3617" s="3" t="inlineStr">
        <is>
          <t>Assets</t>
        </is>
      </c>
      <c r="D3617" s="3" t="inlineStr">
        <is>
          <t>6600/010</t>
        </is>
      </c>
      <c r="E3617" s="3" t="inlineStr">
        <is>
          <t>Generator Fixed Asset - @ Cost</t>
        </is>
      </c>
      <c r="F3617" s="3" t="n">
        <v>0</v>
      </c>
      <c r="G3617" s="3" t="n">
        <v>71322</v>
      </c>
    </row>
    <row r="3618">
      <c r="A3618" s="3" t="inlineStr">
        <is>
          <t>Cape Projects Construction (Pty) Ltd</t>
        </is>
      </c>
      <c r="B3618" s="4" t="n">
        <v>45107</v>
      </c>
      <c r="C3618" s="3" t="inlineStr">
        <is>
          <t>Assets</t>
        </is>
      </c>
      <c r="D3618" s="3" t="inlineStr">
        <is>
          <t>6600/020</t>
        </is>
      </c>
      <c r="E3618" s="3" t="inlineStr">
        <is>
          <t>Generator Fixed Asset - Accum Depre</t>
        </is>
      </c>
      <c r="F3618" s="3" t="n">
        <v>-1188.69</v>
      </c>
      <c r="G3618" s="3" t="n">
        <v>-5889.62</v>
      </c>
    </row>
    <row r="3619">
      <c r="A3619" s="3" t="inlineStr">
        <is>
          <t>Heron Fields (Pty) Ltd</t>
        </is>
      </c>
      <c r="B3619" s="4" t="n">
        <v>45107</v>
      </c>
      <c r="C3619" s="3" t="inlineStr">
        <is>
          <t>Assets</t>
        </is>
      </c>
      <c r="D3619" s="3" t="inlineStr">
        <is>
          <t>7610/395</t>
        </is>
      </c>
      <c r="E3619" s="3" t="inlineStr">
        <is>
          <t>HF CIP NHBRC</t>
        </is>
      </c>
      <c r="F3619" s="3" t="n">
        <v>0</v>
      </c>
      <c r="G3619" s="3" t="n">
        <v>874505.75</v>
      </c>
    </row>
    <row r="3620">
      <c r="A3620" s="3" t="inlineStr">
        <is>
          <t>Heron View (Pty) Ltd</t>
        </is>
      </c>
      <c r="B3620" s="4" t="n">
        <v>45107</v>
      </c>
      <c r="C3620" s="3" t="inlineStr">
        <is>
          <t>Assets</t>
        </is>
      </c>
      <c r="D3620" s="3" t="inlineStr">
        <is>
          <t>7610/395</t>
        </is>
      </c>
      <c r="E3620" s="3" t="inlineStr">
        <is>
          <t>Heron CIP NHBRC</t>
        </is>
      </c>
      <c r="F3620" s="3" t="n">
        <v>0</v>
      </c>
      <c r="G3620" s="3" t="n">
        <v>803063.11</v>
      </c>
    </row>
    <row r="3621">
      <c r="A3621" s="3" t="inlineStr">
        <is>
          <t>Heron Fields (Pty) Ltd</t>
        </is>
      </c>
      <c r="B3621" s="4" t="n">
        <v>45107</v>
      </c>
      <c r="C3621" s="3" t="inlineStr">
        <is>
          <t>Assets</t>
        </is>
      </c>
      <c r="D3621" s="3" t="inlineStr">
        <is>
          <t>7620/100</t>
        </is>
      </c>
      <c r="E3621" s="3" t="inlineStr">
        <is>
          <t>Heron View Land</t>
        </is>
      </c>
      <c r="F3621" s="3" t="n">
        <v>0</v>
      </c>
      <c r="G3621" s="3" t="n">
        <v>26200000</v>
      </c>
    </row>
    <row r="3622">
      <c r="A3622" s="3" t="inlineStr">
        <is>
          <t>Heron Fields (Pty) Ltd</t>
        </is>
      </c>
      <c r="B3622" s="4" t="n">
        <v>45107</v>
      </c>
      <c r="C3622" s="3" t="inlineStr">
        <is>
          <t>Assets</t>
        </is>
      </c>
      <c r="D3622" s="3" t="inlineStr">
        <is>
          <t>7620/101</t>
        </is>
      </c>
      <c r="E3622" s="3" t="inlineStr">
        <is>
          <t>HF CIP Bond Registration Fee</t>
        </is>
      </c>
      <c r="F3622" s="3" t="n">
        <v>0</v>
      </c>
      <c r="G3622" s="3" t="n">
        <v>68427</v>
      </c>
    </row>
    <row r="3623">
      <c r="A3623" s="3" t="inlineStr">
        <is>
          <t>Heron Fields (Pty) Ltd</t>
        </is>
      </c>
      <c r="B3623" s="4" t="n">
        <v>45107</v>
      </c>
      <c r="C3623" s="3" t="inlineStr">
        <is>
          <t>Assets</t>
        </is>
      </c>
      <c r="D3623" s="3" t="inlineStr">
        <is>
          <t>7620/102</t>
        </is>
      </c>
      <c r="E3623" s="3" t="inlineStr">
        <is>
          <t>HF CIP Transfer Fee</t>
        </is>
      </c>
      <c r="F3623" s="3" t="n">
        <v>0</v>
      </c>
      <c r="G3623" s="3" t="n">
        <v>103812</v>
      </c>
    </row>
    <row r="3624">
      <c r="A3624" s="3" t="inlineStr">
        <is>
          <t>Heron Fields (Pty) Ltd</t>
        </is>
      </c>
      <c r="B3624" s="4" t="n">
        <v>45107</v>
      </c>
      <c r="C3624" s="3" t="inlineStr">
        <is>
          <t>Assets</t>
        </is>
      </c>
      <c r="D3624" s="3" t="inlineStr">
        <is>
          <t>7620/220</t>
        </is>
      </c>
      <c r="E3624" s="3" t="inlineStr">
        <is>
          <t>HF CIP Architectural Designs</t>
        </is>
      </c>
      <c r="F3624" s="3" t="n">
        <v>0</v>
      </c>
      <c r="G3624" s="3" t="n">
        <v>314087</v>
      </c>
    </row>
    <row r="3625">
      <c r="A3625" s="3" t="inlineStr">
        <is>
          <t>Heron View (Pty) Ltd</t>
        </is>
      </c>
      <c r="B3625" s="4" t="n">
        <v>45107</v>
      </c>
      <c r="C3625" s="3" t="inlineStr">
        <is>
          <t>Assets</t>
        </is>
      </c>
      <c r="D3625" s="3" t="inlineStr">
        <is>
          <t>7620/220</t>
        </is>
      </c>
      <c r="E3625" s="3" t="inlineStr">
        <is>
          <t>Heron View CIP Architectural Designs</t>
        </is>
      </c>
      <c r="F3625" s="3" t="n">
        <v>336956.98</v>
      </c>
      <c r="G3625" s="3" t="n">
        <v>714313.5</v>
      </c>
    </row>
    <row r="3626">
      <c r="A3626" s="3" t="inlineStr">
        <is>
          <t>Heron Fields (Pty) Ltd</t>
        </is>
      </c>
      <c r="B3626" s="4" t="n">
        <v>45107</v>
      </c>
      <c r="C3626" s="3" t="inlineStr">
        <is>
          <t>Assets</t>
        </is>
      </c>
      <c r="D3626" s="3" t="inlineStr">
        <is>
          <t>7620/230</t>
        </is>
      </c>
      <c r="E3626" s="3" t="inlineStr">
        <is>
          <t>HF CIP Construction Management</t>
        </is>
      </c>
      <c r="F3626" s="3" t="n">
        <v>0</v>
      </c>
      <c r="G3626" s="3" t="n">
        <v>139500</v>
      </c>
    </row>
    <row r="3627">
      <c r="A3627" s="3" t="inlineStr">
        <is>
          <t>Heron Fields (Pty) Ltd</t>
        </is>
      </c>
      <c r="B3627" s="4" t="n">
        <v>45107</v>
      </c>
      <c r="C3627" s="3" t="inlineStr">
        <is>
          <t>Assets</t>
        </is>
      </c>
      <c r="D3627" s="3" t="inlineStr">
        <is>
          <t>7620/240</t>
        </is>
      </c>
      <c r="E3627" s="3" t="inlineStr">
        <is>
          <t>HF CIP Civil Engineering</t>
        </is>
      </c>
      <c r="F3627" s="3" t="n">
        <v>0</v>
      </c>
      <c r="G3627" s="3" t="n">
        <v>8557641.800000001</v>
      </c>
    </row>
    <row r="3628">
      <c r="A3628" s="3" t="inlineStr">
        <is>
          <t>Heron Fields (Pty) Ltd</t>
        </is>
      </c>
      <c r="B3628" s="4" t="n">
        <v>45107</v>
      </c>
      <c r="C3628" s="3" t="inlineStr">
        <is>
          <t>Assets</t>
        </is>
      </c>
      <c r="D3628" s="3" t="inlineStr">
        <is>
          <t>7620/245</t>
        </is>
      </c>
      <c r="E3628" s="3" t="inlineStr">
        <is>
          <t>HF CIP Development fee</t>
        </is>
      </c>
      <c r="F3628" s="3" t="n">
        <v>0</v>
      </c>
      <c r="G3628" s="3" t="n">
        <v>13807.78</v>
      </c>
    </row>
    <row r="3629">
      <c r="A3629" s="3" t="inlineStr">
        <is>
          <t>Heron Fields (Pty) Ltd</t>
        </is>
      </c>
      <c r="B3629" s="4" t="n">
        <v>45107</v>
      </c>
      <c r="C3629" s="3" t="inlineStr">
        <is>
          <t>Assets</t>
        </is>
      </c>
      <c r="D3629" s="3" t="inlineStr">
        <is>
          <t>7620/250</t>
        </is>
      </c>
      <c r="E3629" s="3" t="inlineStr">
        <is>
          <t>HF CIP Land Surveyor</t>
        </is>
      </c>
      <c r="F3629" s="3" t="n">
        <v>0</v>
      </c>
      <c r="G3629" s="3" t="n">
        <v>197060.09</v>
      </c>
    </row>
    <row r="3630">
      <c r="A3630" s="3" t="inlineStr">
        <is>
          <t>Heron View (Pty) Ltd</t>
        </is>
      </c>
      <c r="B3630" s="4" t="n">
        <v>45107</v>
      </c>
      <c r="C3630" s="3" t="inlineStr">
        <is>
          <t>Assets</t>
        </is>
      </c>
      <c r="D3630" s="3" t="inlineStr">
        <is>
          <t>7620/250</t>
        </is>
      </c>
      <c r="E3630" s="3" t="inlineStr">
        <is>
          <t>Heron View CIP Land Surveyor</t>
        </is>
      </c>
      <c r="F3630" s="3" t="n">
        <v>123587.03</v>
      </c>
      <c r="G3630" s="3" t="n">
        <v>142772.03</v>
      </c>
    </row>
    <row r="3631">
      <c r="A3631" s="3" t="inlineStr">
        <is>
          <t>Heron Fields (Pty) Ltd</t>
        </is>
      </c>
      <c r="B3631" s="4" t="n">
        <v>45107</v>
      </c>
      <c r="C3631" s="3" t="inlineStr">
        <is>
          <t>Assets</t>
        </is>
      </c>
      <c r="D3631" s="3" t="inlineStr">
        <is>
          <t>7620/255</t>
        </is>
      </c>
      <c r="E3631" s="3" t="inlineStr">
        <is>
          <t>HF CIP Landscaping</t>
        </is>
      </c>
      <c r="F3631" s="3" t="n">
        <v>0</v>
      </c>
      <c r="G3631" s="3" t="n">
        <v>7500</v>
      </c>
    </row>
    <row r="3632">
      <c r="A3632" s="3" t="inlineStr">
        <is>
          <t>Heron View (Pty) Ltd</t>
        </is>
      </c>
      <c r="B3632" s="4" t="n">
        <v>45107</v>
      </c>
      <c r="C3632" s="3" t="inlineStr">
        <is>
          <t>Assets</t>
        </is>
      </c>
      <c r="D3632" s="3" t="inlineStr">
        <is>
          <t>7620/255</t>
        </is>
      </c>
      <c r="E3632" s="3" t="inlineStr">
        <is>
          <t>Heron View CIP Landscaping</t>
        </is>
      </c>
      <c r="F3632" s="3" t="n">
        <v>0</v>
      </c>
      <c r="G3632" s="3" t="n">
        <v>114370.5</v>
      </c>
    </row>
    <row r="3633">
      <c r="A3633" s="3" t="inlineStr">
        <is>
          <t>Heron Fields (Pty) Ltd</t>
        </is>
      </c>
      <c r="B3633" s="4" t="n">
        <v>45107</v>
      </c>
      <c r="C3633" s="3" t="inlineStr">
        <is>
          <t>Assets</t>
        </is>
      </c>
      <c r="D3633" s="3" t="inlineStr">
        <is>
          <t>7620/260</t>
        </is>
      </c>
      <c r="E3633" s="3" t="inlineStr">
        <is>
          <t>HF CIP Mechanical Engineers</t>
        </is>
      </c>
      <c r="F3633" s="3" t="n">
        <v>0</v>
      </c>
      <c r="G3633" s="3" t="n">
        <v>67400</v>
      </c>
    </row>
    <row r="3634">
      <c r="A3634" s="3" t="inlineStr">
        <is>
          <t>Heron Fields (Pty) Ltd</t>
        </is>
      </c>
      <c r="B3634" s="4" t="n">
        <v>45107</v>
      </c>
      <c r="C3634" s="3" t="inlineStr">
        <is>
          <t>Assets</t>
        </is>
      </c>
      <c r="D3634" s="3" t="inlineStr">
        <is>
          <t>7620/265</t>
        </is>
      </c>
      <c r="E3634" s="3" t="inlineStr">
        <is>
          <t>HF CIP Health &amp; Safety</t>
        </is>
      </c>
      <c r="F3634" s="3" t="n">
        <v>0</v>
      </c>
      <c r="G3634" s="3" t="n">
        <v>20600</v>
      </c>
    </row>
    <row r="3635">
      <c r="A3635" s="3" t="inlineStr">
        <is>
          <t>Heron Fields (Pty) Ltd</t>
        </is>
      </c>
      <c r="B3635" s="4" t="n">
        <v>45107</v>
      </c>
      <c r="C3635" s="3" t="inlineStr">
        <is>
          <t>Assets</t>
        </is>
      </c>
      <c r="D3635" s="3" t="inlineStr">
        <is>
          <t>7620/270</t>
        </is>
      </c>
      <c r="E3635" s="3" t="inlineStr">
        <is>
          <t>HF CIP Geotechnical</t>
        </is>
      </c>
      <c r="F3635" s="3" t="n">
        <v>0</v>
      </c>
      <c r="G3635" s="3" t="n">
        <v>15175</v>
      </c>
    </row>
    <row r="3636">
      <c r="A3636" s="3" t="inlineStr">
        <is>
          <t>Heron Fields (Pty) Ltd</t>
        </is>
      </c>
      <c r="B3636" s="4" t="n">
        <v>45107</v>
      </c>
      <c r="C3636" s="3" t="inlineStr">
        <is>
          <t>Assets</t>
        </is>
      </c>
      <c r="D3636" s="3" t="inlineStr">
        <is>
          <t>7620/275</t>
        </is>
      </c>
      <c r="E3636" s="3" t="inlineStr">
        <is>
          <t>HF CIP Retaining Wall</t>
        </is>
      </c>
      <c r="F3636" s="3" t="n">
        <v>0</v>
      </c>
      <c r="G3636" s="3" t="n">
        <v>570856.08</v>
      </c>
    </row>
    <row r="3637">
      <c r="A3637" s="3" t="inlineStr">
        <is>
          <t>Heron Fields (Pty) Ltd</t>
        </is>
      </c>
      <c r="B3637" s="4" t="n">
        <v>45107</v>
      </c>
      <c r="C3637" s="3" t="inlineStr">
        <is>
          <t>Assets</t>
        </is>
      </c>
      <c r="D3637" s="3" t="inlineStr">
        <is>
          <t>7620/280</t>
        </is>
      </c>
      <c r="E3637" s="3" t="inlineStr">
        <is>
          <t>HF CIP Site Establishment</t>
        </is>
      </c>
      <c r="F3637" s="3" t="n">
        <v>0</v>
      </c>
      <c r="G3637" s="3" t="n">
        <v>47748851.51</v>
      </c>
    </row>
    <row r="3638">
      <c r="A3638" s="3" t="inlineStr">
        <is>
          <t>Heron View (Pty) Ltd</t>
        </is>
      </c>
      <c r="B3638" s="4" t="n">
        <v>45107</v>
      </c>
      <c r="C3638" s="3" t="inlineStr">
        <is>
          <t>Assets</t>
        </is>
      </c>
      <c r="D3638" s="3" t="inlineStr">
        <is>
          <t>7620/280</t>
        </is>
      </c>
      <c r="E3638" s="3" t="inlineStr">
        <is>
          <t>Heron View CIP Site Establishment</t>
        </is>
      </c>
      <c r="F3638" s="3" t="n">
        <v>0</v>
      </c>
      <c r="G3638" s="3" t="n">
        <v>7187757.92</v>
      </c>
    </row>
    <row r="3639">
      <c r="A3639" s="3" t="inlineStr">
        <is>
          <t>Heron Fields (Pty) Ltd</t>
        </is>
      </c>
      <c r="B3639" s="4" t="n">
        <v>45107</v>
      </c>
      <c r="C3639" s="3" t="inlineStr">
        <is>
          <t>Assets</t>
        </is>
      </c>
      <c r="D3639" s="3" t="inlineStr">
        <is>
          <t>7620/285</t>
        </is>
      </c>
      <c r="E3639" s="3" t="inlineStr">
        <is>
          <t>HF CIP Structuring Fee - Invest</t>
        </is>
      </c>
      <c r="F3639" s="3" t="n">
        <v>0</v>
      </c>
      <c r="G3639" s="3" t="n">
        <v>3850818.04</v>
      </c>
    </row>
    <row r="3640">
      <c r="A3640" s="3" t="inlineStr">
        <is>
          <t>Heron View (Pty) Ltd</t>
        </is>
      </c>
      <c r="B3640" s="4" t="n">
        <v>45107</v>
      </c>
      <c r="C3640" s="3" t="inlineStr">
        <is>
          <t>Assets</t>
        </is>
      </c>
      <c r="D3640" s="3" t="inlineStr">
        <is>
          <t>7620/285</t>
        </is>
      </c>
      <c r="E3640" s="3" t="inlineStr">
        <is>
          <t>Heron View CIP Structuring Fee - Invest</t>
        </is>
      </c>
      <c r="F3640" s="3" t="n">
        <v>0</v>
      </c>
      <c r="G3640" s="3" t="n">
        <v>1826086.96</v>
      </c>
    </row>
    <row r="3641">
      <c r="A3641" s="3" t="inlineStr">
        <is>
          <t>Heron Fields (Pty) Ltd</t>
        </is>
      </c>
      <c r="B3641" s="4" t="n">
        <v>45107</v>
      </c>
      <c r="C3641" s="3" t="inlineStr">
        <is>
          <t>Assets</t>
        </is>
      </c>
      <c r="D3641" s="3" t="inlineStr">
        <is>
          <t>7620/287</t>
        </is>
      </c>
      <c r="E3641" s="3" t="inlineStr">
        <is>
          <t>HF CIP Structuring Fee - Development</t>
        </is>
      </c>
      <c r="F3641" s="3" t="n">
        <v>0</v>
      </c>
      <c r="G3641" s="3" t="n">
        <v>782608.0699999999</v>
      </c>
    </row>
    <row r="3642">
      <c r="A3642" s="3" t="inlineStr">
        <is>
          <t>Heron Fields (Pty) Ltd</t>
        </is>
      </c>
      <c r="B3642" s="4" t="n">
        <v>45107</v>
      </c>
      <c r="C3642" s="3" t="inlineStr">
        <is>
          <t>Assets</t>
        </is>
      </c>
      <c r="D3642" s="3" t="inlineStr">
        <is>
          <t>7620/290</t>
        </is>
      </c>
      <c r="E3642" s="3" t="inlineStr">
        <is>
          <t>HF CIP Town Planning</t>
        </is>
      </c>
      <c r="F3642" s="3" t="n">
        <v>0</v>
      </c>
      <c r="G3642" s="3" t="n">
        <v>166550</v>
      </c>
    </row>
    <row r="3643">
      <c r="A3643" s="3" t="inlineStr">
        <is>
          <t>Heron Fields (Pty) Ltd</t>
        </is>
      </c>
      <c r="B3643" s="4" t="n">
        <v>45107</v>
      </c>
      <c r="C3643" s="3" t="inlineStr">
        <is>
          <t>Assets</t>
        </is>
      </c>
      <c r="D3643" s="3" t="inlineStr">
        <is>
          <t>7620/295</t>
        </is>
      </c>
      <c r="E3643" s="3" t="inlineStr">
        <is>
          <t>HF CIP Traffic Planning</t>
        </is>
      </c>
      <c r="F3643" s="3" t="n">
        <v>0</v>
      </c>
      <c r="G3643" s="3" t="n">
        <v>45000</v>
      </c>
    </row>
    <row r="3644">
      <c r="A3644" s="3" t="inlineStr">
        <is>
          <t>Heron Fields (Pty) Ltd</t>
        </is>
      </c>
      <c r="B3644" s="4" t="n">
        <v>45107</v>
      </c>
      <c r="C3644" s="3" t="inlineStr">
        <is>
          <t>Assets</t>
        </is>
      </c>
      <c r="D3644" s="3" t="inlineStr">
        <is>
          <t>7620/600</t>
        </is>
      </c>
      <c r="E3644" s="3" t="inlineStr">
        <is>
          <t>HF CIP Eco work</t>
        </is>
      </c>
      <c r="F3644" s="3" t="n">
        <v>12000</v>
      </c>
      <c r="G3644" s="3" t="n">
        <v>149000</v>
      </c>
    </row>
    <row r="3645">
      <c r="A3645" s="3" t="inlineStr">
        <is>
          <t>Heron View (Pty) Ltd</t>
        </is>
      </c>
      <c r="B3645" s="4" t="n">
        <v>45107</v>
      </c>
      <c r="C3645" s="3" t="inlineStr">
        <is>
          <t>Assets</t>
        </is>
      </c>
      <c r="D3645" s="3" t="inlineStr">
        <is>
          <t>7620/605</t>
        </is>
      </c>
      <c r="E3645" s="3" t="inlineStr">
        <is>
          <t>Heron View CIP Structural Engineers</t>
        </is>
      </c>
      <c r="F3645" s="3" t="n">
        <v>71400</v>
      </c>
      <c r="G3645" s="3" t="n">
        <v>292753.14</v>
      </c>
    </row>
    <row r="3646">
      <c r="A3646" s="3" t="inlineStr">
        <is>
          <t>Heron View (Pty) Ltd</t>
        </is>
      </c>
      <c r="B3646" s="4" t="n">
        <v>45107</v>
      </c>
      <c r="C3646" s="3" t="inlineStr">
        <is>
          <t>Assets</t>
        </is>
      </c>
      <c r="D3646" s="3" t="inlineStr">
        <is>
          <t>7620/610</t>
        </is>
      </c>
      <c r="E3646" s="3" t="inlineStr">
        <is>
          <t>HV CIP Retaining wall</t>
        </is>
      </c>
      <c r="F3646" s="3" t="n">
        <v>0</v>
      </c>
      <c r="G3646" s="3" t="n">
        <v>66190.11</v>
      </c>
    </row>
    <row r="3647">
      <c r="A3647" s="3" t="inlineStr">
        <is>
          <t>Heron Fields (Pty) Ltd</t>
        </is>
      </c>
      <c r="B3647" s="4" t="n">
        <v>45107</v>
      </c>
      <c r="C3647" s="3" t="inlineStr">
        <is>
          <t>Assets</t>
        </is>
      </c>
      <c r="D3647" s="3" t="inlineStr">
        <is>
          <t>7620/630</t>
        </is>
      </c>
      <c r="E3647" s="3" t="inlineStr">
        <is>
          <t>HF CIP CoCT development contribution</t>
        </is>
      </c>
      <c r="F3647" s="3" t="n">
        <v>2430363.86</v>
      </c>
      <c r="G3647" s="3" t="n">
        <v>3252759.95</v>
      </c>
    </row>
    <row r="3648">
      <c r="A3648" s="3" t="inlineStr">
        <is>
          <t>Heron View (Pty) Ltd</t>
        </is>
      </c>
      <c r="B3648" s="4" t="n">
        <v>45107</v>
      </c>
      <c r="C3648" s="3" t="inlineStr">
        <is>
          <t>Assets</t>
        </is>
      </c>
      <c r="D3648" s="3" t="inlineStr">
        <is>
          <t>7620/630</t>
        </is>
      </c>
      <c r="E3648" s="3" t="inlineStr">
        <is>
          <t>Heron CIP - CoCT development contribution</t>
        </is>
      </c>
      <c r="F3648" s="3" t="n">
        <v>209563.05</v>
      </c>
      <c r="G3648" s="3" t="n">
        <v>1523298.89</v>
      </c>
    </row>
    <row r="3649">
      <c r="A3649" s="3" t="inlineStr">
        <is>
          <t>Heron Fields (Pty) Ltd</t>
        </is>
      </c>
      <c r="B3649" s="4" t="n">
        <v>45107</v>
      </c>
      <c r="C3649" s="3" t="inlineStr">
        <is>
          <t>Assets</t>
        </is>
      </c>
      <c r="D3649" s="3" t="inlineStr">
        <is>
          <t>7620/640</t>
        </is>
      </c>
      <c r="E3649" s="3" t="inlineStr">
        <is>
          <t>HF CIP Project costs</t>
        </is>
      </c>
      <c r="F3649" s="3" t="n">
        <v>0</v>
      </c>
      <c r="G3649" s="3" t="n">
        <v>622274.51</v>
      </c>
    </row>
    <row r="3650">
      <c r="A3650" s="3" t="inlineStr">
        <is>
          <t>Heron View (Pty) Ltd</t>
        </is>
      </c>
      <c r="B3650" s="4" t="n">
        <v>45107</v>
      </c>
      <c r="C3650" s="3" t="inlineStr">
        <is>
          <t>Assets</t>
        </is>
      </c>
      <c r="D3650" s="3" t="inlineStr">
        <is>
          <t>7620/650</t>
        </is>
      </c>
      <c r="E3650" s="3" t="inlineStr">
        <is>
          <t>CIP - Construction Management</t>
        </is>
      </c>
      <c r="F3650" s="3" t="n">
        <v>0</v>
      </c>
      <c r="G3650" s="3" t="n">
        <v>76530</v>
      </c>
    </row>
    <row r="3651">
      <c r="A3651" s="3" t="inlineStr">
        <is>
          <t>Heron Fields (Pty) Ltd</t>
        </is>
      </c>
      <c r="B3651" s="4" t="n">
        <v>45107</v>
      </c>
      <c r="C3651" s="3" t="inlineStr">
        <is>
          <t>Assets</t>
        </is>
      </c>
      <c r="D3651" s="3" t="inlineStr">
        <is>
          <t>7620/650</t>
        </is>
      </c>
      <c r="E3651" s="3" t="inlineStr">
        <is>
          <t>HF CIP Electrical</t>
        </is>
      </c>
      <c r="F3651" s="3" t="n">
        <v>0</v>
      </c>
      <c r="G3651" s="3" t="n">
        <v>985049.6800000001</v>
      </c>
    </row>
    <row r="3652">
      <c r="A3652" s="3" t="inlineStr">
        <is>
          <t>Heron View (Pty) Ltd</t>
        </is>
      </c>
      <c r="B3652" s="4" t="n">
        <v>45107</v>
      </c>
      <c r="C3652" s="3" t="inlineStr">
        <is>
          <t>Assets</t>
        </is>
      </c>
      <c r="D3652" s="3" t="inlineStr">
        <is>
          <t>7620/660</t>
        </is>
      </c>
      <c r="E3652" s="3" t="inlineStr">
        <is>
          <t>HV CIP Health &amp; Safety</t>
        </is>
      </c>
      <c r="F3652" s="3" t="n">
        <v>0</v>
      </c>
      <c r="G3652" s="3" t="n">
        <v>18800</v>
      </c>
    </row>
    <row r="3653">
      <c r="A3653" s="3" t="inlineStr">
        <is>
          <t>Heron View (Pty) Ltd</t>
        </is>
      </c>
      <c r="B3653" s="4" t="n">
        <v>45107</v>
      </c>
      <c r="C3653" s="3" t="inlineStr">
        <is>
          <t>Assets</t>
        </is>
      </c>
      <c r="D3653" s="3" t="inlineStr">
        <is>
          <t>7620/670</t>
        </is>
      </c>
      <c r="E3653" s="3" t="inlineStr">
        <is>
          <t>HV CIP - Project costs CPSD</t>
        </is>
      </c>
      <c r="F3653" s="3" t="n">
        <v>0</v>
      </c>
      <c r="G3653" s="3" t="n">
        <v>684782.6</v>
      </c>
    </row>
    <row r="3654">
      <c r="A3654" s="3" t="inlineStr">
        <is>
          <t>Heron View (Pty) Ltd</t>
        </is>
      </c>
      <c r="B3654" s="4" t="n">
        <v>45107</v>
      </c>
      <c r="C3654" s="3" t="inlineStr">
        <is>
          <t>Assets</t>
        </is>
      </c>
      <c r="D3654" s="3" t="inlineStr">
        <is>
          <t>7620/680</t>
        </is>
      </c>
      <c r="E3654" s="3" t="inlineStr">
        <is>
          <t>HV CIP Elextrical</t>
        </is>
      </c>
      <c r="F3654" s="3" t="n">
        <v>0</v>
      </c>
      <c r="G3654" s="3" t="n">
        <v>1130099.94</v>
      </c>
    </row>
    <row r="3655">
      <c r="A3655" s="3" t="inlineStr">
        <is>
          <t>Heron View (Pty) Ltd</t>
        </is>
      </c>
      <c r="B3655" s="4" t="n">
        <v>45107</v>
      </c>
      <c r="C3655" s="3" t="inlineStr">
        <is>
          <t>Assets</t>
        </is>
      </c>
      <c r="D3655" s="3" t="inlineStr">
        <is>
          <t>7620/690</t>
        </is>
      </c>
      <c r="E3655" s="3" t="inlineStr">
        <is>
          <t>HV CIP Site Establishment</t>
        </is>
      </c>
      <c r="F3655" s="3" t="n">
        <v>3889214.05</v>
      </c>
      <c r="G3655" s="3" t="n">
        <v>20129115.75</v>
      </c>
    </row>
    <row r="3656">
      <c r="A3656" s="3" t="inlineStr">
        <is>
          <t>Heron Fields (Pty) Ltd</t>
        </is>
      </c>
      <c r="B3656" s="4" t="n">
        <v>45107</v>
      </c>
      <c r="C3656" s="3" t="inlineStr">
        <is>
          <t>Assets</t>
        </is>
      </c>
      <c r="D3656" s="3" t="inlineStr">
        <is>
          <t>7620/750</t>
        </is>
      </c>
      <c r="E3656" s="3" t="inlineStr">
        <is>
          <t>HF CIP Project costs CPSD</t>
        </is>
      </c>
      <c r="F3656" s="3" t="n">
        <v>200000</v>
      </c>
      <c r="G3656" s="3" t="n">
        <v>1974970.11</v>
      </c>
    </row>
    <row r="3657">
      <c r="A3657" s="3" t="inlineStr">
        <is>
          <t>Heron Fields (Pty) Ltd</t>
        </is>
      </c>
      <c r="B3657" s="4" t="n">
        <v>45107</v>
      </c>
      <c r="C3657" s="3" t="inlineStr">
        <is>
          <t>Assets</t>
        </is>
      </c>
      <c r="D3657" s="3" t="inlineStr">
        <is>
          <t>7620/800</t>
        </is>
      </c>
      <c r="E3657" s="3" t="inlineStr">
        <is>
          <t>HF CIP GL Conradie</t>
        </is>
      </c>
      <c r="F3657" s="3" t="n">
        <v>0</v>
      </c>
      <c r="G3657" s="3" t="n">
        <v>1068455</v>
      </c>
    </row>
    <row r="3658">
      <c r="A3658" s="3" t="inlineStr">
        <is>
          <t>Heron Fields (Pty) Ltd</t>
        </is>
      </c>
      <c r="B3658" s="4" t="n">
        <v>45107</v>
      </c>
      <c r="C3658" s="3" t="inlineStr">
        <is>
          <t>Assets</t>
        </is>
      </c>
      <c r="D3658" s="3" t="inlineStr">
        <is>
          <t>7700/010</t>
        </is>
      </c>
      <c r="E3658" s="3" t="inlineStr">
        <is>
          <t>Construction 28 Feb 23 HF</t>
        </is>
      </c>
      <c r="F3658" s="3" t="n">
        <v>0</v>
      </c>
      <c r="G3658" s="3" t="n">
        <v>-24427668.44</v>
      </c>
    </row>
    <row r="3659">
      <c r="A3659" s="3" t="inlineStr">
        <is>
          <t>Cape Projects Construction (Pty) Ltd</t>
        </is>
      </c>
      <c r="B3659" s="4" t="n">
        <v>45107</v>
      </c>
      <c r="C3659" s="3" t="inlineStr">
        <is>
          <t>Assets</t>
        </is>
      </c>
      <c r="D3659" s="3" t="inlineStr">
        <is>
          <t>7800/000</t>
        </is>
      </c>
      <c r="E3659" s="3" t="inlineStr">
        <is>
          <t>Deposits paid</t>
        </is>
      </c>
      <c r="F3659" s="3" t="n">
        <v>0</v>
      </c>
      <c r="G3659" s="3" t="n">
        <v>29600</v>
      </c>
    </row>
    <row r="3660">
      <c r="A3660" s="3" t="inlineStr">
        <is>
          <t>Cape Projects Construction (Pty) Ltd</t>
        </is>
      </c>
      <c r="B3660" s="4" t="n">
        <v>45107</v>
      </c>
      <c r="C3660" s="3" t="inlineStr">
        <is>
          <t>Assets</t>
        </is>
      </c>
      <c r="D3660" s="3" t="inlineStr">
        <is>
          <t>8000/000</t>
        </is>
      </c>
      <c r="E3660" s="3" t="inlineStr">
        <is>
          <t>Customer Control Account</t>
        </is>
      </c>
      <c r="F3660" s="3" t="n">
        <v>-447403.84</v>
      </c>
      <c r="G3660" s="3" t="n">
        <v>-7853667.53</v>
      </c>
    </row>
    <row r="3661">
      <c r="A3661" s="3" t="inlineStr">
        <is>
          <t>Heron Fields (Pty) Ltd</t>
        </is>
      </c>
      <c r="B3661" s="4" t="n">
        <v>45107</v>
      </c>
      <c r="C3661" s="3" t="inlineStr">
        <is>
          <t>Assets</t>
        </is>
      </c>
      <c r="D3661" s="3" t="inlineStr">
        <is>
          <t>8000/000</t>
        </is>
      </c>
      <c r="E3661" s="3" t="inlineStr">
        <is>
          <t>Customer Control Account</t>
        </is>
      </c>
      <c r="F3661" s="3" t="n">
        <v>0</v>
      </c>
      <c r="G3661" s="3" t="n">
        <v>345946.61</v>
      </c>
    </row>
    <row r="3662">
      <c r="A3662" s="3" t="inlineStr">
        <is>
          <t>Heron Fields (Pty) Ltd</t>
        </is>
      </c>
      <c r="B3662" s="4" t="n">
        <v>45107</v>
      </c>
      <c r="C3662" s="3" t="inlineStr">
        <is>
          <t>Assets</t>
        </is>
      </c>
      <c r="D3662" s="3" t="inlineStr">
        <is>
          <t>8400/000</t>
        </is>
      </c>
      <c r="E3662" s="3" t="inlineStr">
        <is>
          <t>RMB - 62882379087</t>
        </is>
      </c>
      <c r="F3662" s="3" t="n">
        <v>792268.6800000001</v>
      </c>
      <c r="G3662" s="3" t="n">
        <v>974954.27</v>
      </c>
    </row>
    <row r="3663">
      <c r="A3663" s="3" t="inlineStr">
        <is>
          <t>Cape Projects Construction (Pty) Ltd</t>
        </is>
      </c>
      <c r="B3663" s="4" t="n">
        <v>45107</v>
      </c>
      <c r="C3663" s="3" t="inlineStr">
        <is>
          <t>Assets</t>
        </is>
      </c>
      <c r="D3663" s="3" t="inlineStr">
        <is>
          <t>8400/000</t>
        </is>
      </c>
      <c r="E3663" s="3" t="inlineStr">
        <is>
          <t>RMB 62275138470</t>
        </is>
      </c>
      <c r="F3663" s="3" t="n">
        <v>234494.48</v>
      </c>
      <c r="G3663" s="3" t="n">
        <v>734246.92</v>
      </c>
    </row>
    <row r="3664">
      <c r="A3664" s="3" t="inlineStr">
        <is>
          <t>Cape Projects Construction (Pty) Ltd</t>
        </is>
      </c>
      <c r="B3664" s="4" t="n">
        <v>45107</v>
      </c>
      <c r="C3664" s="3" t="inlineStr">
        <is>
          <t>Assets</t>
        </is>
      </c>
      <c r="D3664" s="3" t="inlineStr">
        <is>
          <t>8410/000</t>
        </is>
      </c>
      <c r="E3664" s="3" t="inlineStr">
        <is>
          <t>Petty Cash</t>
        </is>
      </c>
      <c r="F3664" s="3" t="n">
        <v>-1188</v>
      </c>
      <c r="G3664" s="3" t="n">
        <v>-1188</v>
      </c>
    </row>
    <row r="3665">
      <c r="A3665" s="3" t="inlineStr">
        <is>
          <t>Cape Projects Construction (Pty) Ltd</t>
        </is>
      </c>
      <c r="B3665" s="4" t="n">
        <v>45107</v>
      </c>
      <c r="C3665" s="3" t="inlineStr">
        <is>
          <t>Assets</t>
        </is>
      </c>
      <c r="D3665" s="3" t="inlineStr">
        <is>
          <t>8420/000</t>
        </is>
      </c>
      <c r="E3665" s="3" t="inlineStr">
        <is>
          <t>Momentum Priv Acc RU502230981</t>
        </is>
      </c>
      <c r="F3665" s="3" t="n">
        <v>7.64</v>
      </c>
      <c r="G3665" s="3" t="n">
        <v>555.35</v>
      </c>
    </row>
    <row r="3666">
      <c r="A3666" s="3" t="inlineStr">
        <is>
          <t>Heron Fields (Pty) Ltd</t>
        </is>
      </c>
      <c r="B3666" s="4" t="n">
        <v>45107</v>
      </c>
      <c r="C3666" s="3" t="inlineStr">
        <is>
          <t>Assets</t>
        </is>
      </c>
      <c r="D3666" s="3" t="inlineStr">
        <is>
          <t>8430/000</t>
        </is>
      </c>
      <c r="E3666" s="3" t="inlineStr">
        <is>
          <t>Momentum Private Account RU502230151</t>
        </is>
      </c>
      <c r="F3666" s="3" t="n">
        <v>5.44</v>
      </c>
      <c r="G3666" s="3" t="n">
        <v>848.85</v>
      </c>
    </row>
    <row r="3667">
      <c r="A3667" s="3" t="inlineStr">
        <is>
          <t>Heron Fields (Pty) Ltd</t>
        </is>
      </c>
      <c r="B3667" s="4" t="n">
        <v>45107</v>
      </c>
      <c r="C3667" s="3" t="inlineStr">
        <is>
          <t>Assets</t>
        </is>
      </c>
      <c r="D3667" s="3" t="inlineStr">
        <is>
          <t>8440/000</t>
        </is>
      </c>
      <c r="E3667" s="3" t="inlineStr">
        <is>
          <t>Momentum Investors Account RU502229930</t>
        </is>
      </c>
      <c r="F3667" s="3" t="n">
        <v>3791417.77</v>
      </c>
      <c r="G3667" s="3" t="n">
        <v>37421972.69</v>
      </c>
    </row>
    <row r="3668">
      <c r="A3668" s="3" t="inlineStr">
        <is>
          <t>Cape Projects Construction (Pty) Ltd</t>
        </is>
      </c>
      <c r="B3668" s="4" t="n">
        <v>45107</v>
      </c>
      <c r="C3668" s="3" t="inlineStr">
        <is>
          <t>Liabilities</t>
        </is>
      </c>
      <c r="D3668" s="3" t="inlineStr">
        <is>
          <t>860</t>
        </is>
      </c>
      <c r="E3668" s="3" t="inlineStr">
        <is>
          <t>Rounding</t>
        </is>
      </c>
      <c r="F3668" s="3" t="n">
        <v>-1.19</v>
      </c>
      <c r="G3668" s="3" t="n">
        <v>-29</v>
      </c>
    </row>
    <row r="3669">
      <c r="A3669" s="3" t="inlineStr">
        <is>
          <t>Heron Fields (Pty) Ltd</t>
        </is>
      </c>
      <c r="B3669" s="4" t="n">
        <v>45107</v>
      </c>
      <c r="C3669" s="3" t="inlineStr">
        <is>
          <t>Liabilities</t>
        </is>
      </c>
      <c r="D3669" s="3" t="inlineStr">
        <is>
          <t>860</t>
        </is>
      </c>
      <c r="E3669" s="3" t="inlineStr">
        <is>
          <t>Rounding</t>
        </is>
      </c>
      <c r="F3669" s="3" t="n">
        <v>0</v>
      </c>
      <c r="G3669" s="3" t="n">
        <v>0.08</v>
      </c>
    </row>
    <row r="3670">
      <c r="A3670" s="3" t="inlineStr">
        <is>
          <t>Cape Projects Construction (Pty) Ltd</t>
        </is>
      </c>
      <c r="B3670" s="4" t="n">
        <v>45107</v>
      </c>
      <c r="C3670" s="3" t="inlineStr">
        <is>
          <t>Liabilities</t>
        </is>
      </c>
      <c r="D3670" s="3" t="inlineStr">
        <is>
          <t>9000/000</t>
        </is>
      </c>
      <c r="E3670" s="3" t="inlineStr">
        <is>
          <t>Supplier Control Account</t>
        </is>
      </c>
      <c r="F3670" s="3" t="n">
        <v>882644.96</v>
      </c>
      <c r="G3670" s="3" t="n">
        <v>-1250593.58</v>
      </c>
    </row>
    <row r="3671">
      <c r="A3671" s="3" t="inlineStr">
        <is>
          <t>Heron Fields (Pty) Ltd</t>
        </is>
      </c>
      <c r="B3671" s="4" t="n">
        <v>45107</v>
      </c>
      <c r="C3671" s="3" t="inlineStr">
        <is>
          <t>Liabilities</t>
        </is>
      </c>
      <c r="D3671" s="3" t="inlineStr">
        <is>
          <t>9000/000</t>
        </is>
      </c>
      <c r="E3671" s="3" t="inlineStr">
        <is>
          <t>Supplier Control Account</t>
        </is>
      </c>
      <c r="F3671" s="3" t="n">
        <v>-11860657.33</v>
      </c>
      <c r="G3671" s="3" t="n">
        <v>-143375722.53</v>
      </c>
    </row>
    <row r="3672">
      <c r="A3672" s="3" t="inlineStr">
        <is>
          <t>Heron View (Pty) Ltd</t>
        </is>
      </c>
      <c r="B3672" s="4" t="n">
        <v>45107</v>
      </c>
      <c r="C3672" s="3" t="inlineStr">
        <is>
          <t>Liabilities</t>
        </is>
      </c>
      <c r="D3672" s="3" t="inlineStr">
        <is>
          <t>9000/000</t>
        </is>
      </c>
      <c r="E3672" s="3" t="inlineStr">
        <is>
          <t>Supplier Control Account</t>
        </is>
      </c>
      <c r="F3672" s="3" t="n">
        <v>-236256.97</v>
      </c>
      <c r="G3672" s="3" t="n">
        <v>400760.01</v>
      </c>
    </row>
    <row r="3673">
      <c r="A3673" s="3" t="inlineStr">
        <is>
          <t>Cape Projects Construction (Pty) Ltd</t>
        </is>
      </c>
      <c r="B3673" s="4" t="n">
        <v>45107</v>
      </c>
      <c r="C3673" s="3" t="inlineStr">
        <is>
          <t>Liabilities</t>
        </is>
      </c>
      <c r="D3673" s="3" t="inlineStr">
        <is>
          <t>9200/000</t>
        </is>
      </c>
      <c r="E3673" s="3" t="inlineStr">
        <is>
          <t>Sundry Suppliers</t>
        </is>
      </c>
      <c r="F3673" s="3" t="n">
        <v>0</v>
      </c>
      <c r="G3673" s="3" t="n">
        <v>1309</v>
      </c>
    </row>
    <row r="3674">
      <c r="A3674" s="3" t="inlineStr">
        <is>
          <t>Cape Projects Construction (Pty) Ltd</t>
        </is>
      </c>
      <c r="B3674" s="4" t="n">
        <v>45107</v>
      </c>
      <c r="C3674" s="3" t="inlineStr">
        <is>
          <t>Liabilities</t>
        </is>
      </c>
      <c r="D3674" s="3" t="inlineStr">
        <is>
          <t>9250/010</t>
        </is>
      </c>
      <c r="E3674" s="3" t="inlineStr">
        <is>
          <t>SALARY CONTROL</t>
        </is>
      </c>
      <c r="F3674" s="3" t="n">
        <v>257.5</v>
      </c>
      <c r="G3674" s="3" t="n">
        <v>0.02</v>
      </c>
    </row>
    <row r="3675">
      <c r="A3675" s="3" t="inlineStr">
        <is>
          <t>Cape Projects Construction (Pty) Ltd</t>
        </is>
      </c>
      <c r="B3675" s="4" t="n">
        <v>45107</v>
      </c>
      <c r="C3675" s="3" t="inlineStr">
        <is>
          <t>Liabilities</t>
        </is>
      </c>
      <c r="D3675" s="3" t="inlineStr">
        <is>
          <t>9250/020</t>
        </is>
      </c>
      <c r="E3675" s="3" t="inlineStr">
        <is>
          <t>PAYE, UIF AND SDL CONTROL</t>
        </is>
      </c>
      <c r="F3675" s="3" t="n">
        <v>-6768.37</v>
      </c>
      <c r="G3675" s="3" t="n">
        <v>-92083.17999999999</v>
      </c>
    </row>
    <row r="3676">
      <c r="A3676" s="3" t="inlineStr">
        <is>
          <t>Cape Projects Construction (Pty) Ltd</t>
        </is>
      </c>
      <c r="B3676" s="4" t="n">
        <v>45107</v>
      </c>
      <c r="C3676" s="3" t="inlineStr">
        <is>
          <t>Liabilities</t>
        </is>
      </c>
      <c r="D3676" s="3" t="inlineStr">
        <is>
          <t>9250/030</t>
        </is>
      </c>
      <c r="E3676" s="3" t="inlineStr">
        <is>
          <t>BIBC CONTROL</t>
        </is>
      </c>
      <c r="F3676" s="3" t="n">
        <v>0</v>
      </c>
      <c r="G3676" s="3" t="n">
        <v>-49413.95</v>
      </c>
    </row>
    <row r="3677">
      <c r="A3677" s="3" t="inlineStr">
        <is>
          <t>Cape Projects Construction (Pty) Ltd</t>
        </is>
      </c>
      <c r="B3677" s="4" t="n">
        <v>45107</v>
      </c>
      <c r="C3677" s="3" t="inlineStr">
        <is>
          <t>Liabilities</t>
        </is>
      </c>
      <c r="D3677" s="3" t="inlineStr">
        <is>
          <t>9500/000</t>
        </is>
      </c>
      <c r="E3677" s="3" t="inlineStr">
        <is>
          <t>VAT Control Account</t>
        </is>
      </c>
      <c r="F3677" s="3" t="n">
        <v>199764.2</v>
      </c>
      <c r="G3677" s="3" t="n">
        <v>-33133.35</v>
      </c>
    </row>
    <row r="3678">
      <c r="A3678" s="3" t="inlineStr">
        <is>
          <t>Heron Fields (Pty) Ltd</t>
        </is>
      </c>
      <c r="B3678" s="4" t="n">
        <v>45107</v>
      </c>
      <c r="C3678" s="3" t="inlineStr">
        <is>
          <t>Liabilities</t>
        </is>
      </c>
      <c r="D3678" s="3" t="inlineStr">
        <is>
          <t>9500/000</t>
        </is>
      </c>
      <c r="E3678" s="3" t="inlineStr">
        <is>
          <t>Vat / Tax Control Account</t>
        </is>
      </c>
      <c r="F3678" s="3" t="n">
        <v>249048.42</v>
      </c>
      <c r="G3678" s="3" t="n">
        <v>-3908453.07</v>
      </c>
    </row>
    <row r="3679">
      <c r="A3679" s="3" t="inlineStr">
        <is>
          <t>Heron View (Pty) Ltd</t>
        </is>
      </c>
      <c r="B3679" s="4" t="n">
        <v>45107</v>
      </c>
      <c r="C3679" s="3" t="inlineStr">
        <is>
          <t>Liabilities</t>
        </is>
      </c>
      <c r="D3679" s="3" t="inlineStr">
        <is>
          <t>9500/000</t>
        </is>
      </c>
      <c r="E3679" s="3" t="inlineStr">
        <is>
          <t>Vat / Tax Control Account</t>
        </is>
      </c>
      <c r="F3679" s="3" t="n">
        <v>748726.0699999999</v>
      </c>
      <c r="G3679" s="3" t="n">
        <v>5124980.97</v>
      </c>
    </row>
    <row r="3680">
      <c r="A3680" s="3" t="inlineStr">
        <is>
          <t>Heron Fields (Pty) Ltd</t>
        </is>
      </c>
      <c r="B3680" s="4" t="n">
        <v>45107</v>
      </c>
      <c r="C3680" s="3" t="inlineStr">
        <is>
          <t>Liabilities</t>
        </is>
      </c>
      <c r="D3680" s="3" t="inlineStr">
        <is>
          <t>9520/000</t>
        </is>
      </c>
      <c r="E3680" s="3" t="inlineStr">
        <is>
          <t>Income Tax Payable</t>
        </is>
      </c>
      <c r="F3680" s="3" t="n">
        <v>0</v>
      </c>
      <c r="G3680" s="3" t="n">
        <v>59039.93</v>
      </c>
    </row>
    <row r="3681">
      <c r="A3681" s="3" t="inlineStr">
        <is>
          <t>Heron Fields (Pty) Ltd</t>
        </is>
      </c>
      <c r="B3681" s="4" t="n">
        <v>45107</v>
      </c>
      <c r="C3681" s="3" t="inlineStr">
        <is>
          <t>Liabilities</t>
        </is>
      </c>
      <c r="D3681" s="3" t="inlineStr">
        <is>
          <t>9899/B208</t>
        </is>
      </c>
      <c r="E3681" s="3" t="inlineStr">
        <is>
          <t>Sales - Unit Reg Control B208</t>
        </is>
      </c>
      <c r="F3681" s="3" t="n">
        <v>0</v>
      </c>
      <c r="G3681" s="3" t="n">
        <v>1209624.06</v>
      </c>
    </row>
    <row r="3682">
      <c r="A3682" s="3" t="inlineStr">
        <is>
          <t>Cape Projects Construction (Pty) Ltd</t>
        </is>
      </c>
      <c r="B3682" s="4" t="n">
        <v>45107</v>
      </c>
      <c r="C3682" s="3" t="inlineStr">
        <is>
          <t>Liabilities</t>
        </is>
      </c>
      <c r="D3682" s="3" t="inlineStr">
        <is>
          <t>B/S</t>
        </is>
      </c>
      <c r="E3682" s="3" t="inlineStr">
        <is>
          <t>Taxation Payable</t>
        </is>
      </c>
      <c r="F3682" s="3" t="n">
        <v>0</v>
      </c>
      <c r="G3682" s="3" t="n">
        <v>28029.81</v>
      </c>
    </row>
    <row r="3683">
      <c r="A3683" s="3" t="inlineStr">
        <is>
          <t>Cape Projects Construction (Pty) Ltd</t>
        </is>
      </c>
      <c r="B3683" s="4" t="n">
        <v>45107</v>
      </c>
      <c r="C3683" s="3" t="inlineStr">
        <is>
          <t>Liabilities</t>
        </is>
      </c>
      <c r="D3683" s="3" t="inlineStr">
        <is>
          <t>TEMP/ACC</t>
        </is>
      </c>
      <c r="E3683" s="3" t="inlineStr">
        <is>
          <t>Conversion Account</t>
        </is>
      </c>
      <c r="F3683" s="3" t="n">
        <v>0</v>
      </c>
      <c r="G3683" s="3" t="n">
        <v>-254.99</v>
      </c>
    </row>
    <row r="3684">
      <c r="A3684" s="3" t="inlineStr">
        <is>
          <t>Heron Fields (Pty) Ltd</t>
        </is>
      </c>
      <c r="B3684" s="4" t="n">
        <v>45138</v>
      </c>
      <c r="C3684" s="3" t="inlineStr">
        <is>
          <t>Revenue</t>
        </is>
      </c>
      <c r="D3684" s="3" t="inlineStr">
        <is>
          <t>1000/100</t>
        </is>
      </c>
      <c r="E3684" s="3" t="inlineStr">
        <is>
          <t>Sales - Heron Fields</t>
        </is>
      </c>
      <c r="F3684" s="3" t="n">
        <v>-1314691.31</v>
      </c>
      <c r="G3684" s="3" t="n">
        <v>-26915560.88</v>
      </c>
    </row>
    <row r="3685">
      <c r="A3685" s="3" t="inlineStr">
        <is>
          <t>Heron Fields (Pty) Ltd</t>
        </is>
      </c>
      <c r="B3685" s="4" t="n">
        <v>45138</v>
      </c>
      <c r="C3685" s="3" t="inlineStr">
        <is>
          <t>Revenue</t>
        </is>
      </c>
      <c r="D3685" s="3" t="inlineStr">
        <is>
          <t>1000/101</t>
        </is>
      </c>
      <c r="E3685" s="3" t="inlineStr">
        <is>
          <t>Sales - Heron Fields occupational rent</t>
        </is>
      </c>
      <c r="F3685" s="3" t="n">
        <v>-7741.94</v>
      </c>
      <c r="G3685" s="3" t="n">
        <v>-102388.85</v>
      </c>
    </row>
    <row r="3686">
      <c r="A3686" s="3" t="inlineStr">
        <is>
          <t>Cape Projects Construction (Pty) Ltd</t>
        </is>
      </c>
      <c r="B3686" s="4" t="n">
        <v>45138</v>
      </c>
      <c r="C3686" s="3" t="inlineStr">
        <is>
          <t>Revenue</t>
        </is>
      </c>
      <c r="D3686" s="3" t="inlineStr">
        <is>
          <t>1040/100</t>
        </is>
      </c>
      <c r="E3686" s="3" t="inlineStr">
        <is>
          <t>Fees - Construction - Heron</t>
        </is>
      </c>
      <c r="F3686" s="3" t="n">
        <v>-3821545.56</v>
      </c>
      <c r="G3686" s="3" t="n">
        <v>-20682810.45</v>
      </c>
    </row>
    <row r="3687">
      <c r="A3687" s="3" t="inlineStr">
        <is>
          <t>Cape Projects Construction (Pty) Ltd</t>
        </is>
      </c>
      <c r="B3687" s="4" t="n">
        <v>45138</v>
      </c>
      <c r="C3687" s="3" t="inlineStr">
        <is>
          <t>Revenue</t>
        </is>
      </c>
      <c r="D3687" s="3" t="inlineStr">
        <is>
          <t>1070/000</t>
        </is>
      </c>
      <c r="E3687" s="3" t="inlineStr">
        <is>
          <t>Rent - CT Office</t>
        </is>
      </c>
      <c r="F3687" s="3" t="n">
        <v>0</v>
      </c>
      <c r="G3687" s="3" t="n">
        <v>3490.94</v>
      </c>
    </row>
    <row r="3688">
      <c r="A3688" s="3" t="inlineStr">
        <is>
          <t>Heron Fields (Pty) Ltd</t>
        </is>
      </c>
      <c r="B3688" s="4" t="n">
        <v>45138</v>
      </c>
      <c r="C3688" s="3" t="inlineStr">
        <is>
          <t>Revenue</t>
        </is>
      </c>
      <c r="D3688" s="3" t="inlineStr">
        <is>
          <t>1500/002</t>
        </is>
      </c>
      <c r="E3688" s="3" t="inlineStr">
        <is>
          <t>Rental Income</t>
        </is>
      </c>
      <c r="F3688" s="3" t="n">
        <v>-37500</v>
      </c>
      <c r="G3688" s="3" t="n">
        <v>-37500</v>
      </c>
    </row>
    <row r="3689">
      <c r="A3689" s="3" t="inlineStr">
        <is>
          <t>Heron Fields (Pty) Ltd</t>
        </is>
      </c>
      <c r="B3689" s="4" t="n">
        <v>45138</v>
      </c>
      <c r="C3689" s="3" t="inlineStr">
        <is>
          <t>Expenses</t>
        </is>
      </c>
      <c r="D3689" s="3" t="inlineStr">
        <is>
          <t>2000/011</t>
        </is>
      </c>
      <c r="E3689" s="3" t="inlineStr">
        <is>
          <t>COS - Heron View Showhouse</t>
        </is>
      </c>
      <c r="F3689" s="3" t="n">
        <v>45300.43</v>
      </c>
      <c r="G3689" s="3" t="n">
        <v>45300.43</v>
      </c>
    </row>
    <row r="3690">
      <c r="A3690" s="3" t="inlineStr">
        <is>
          <t>Heron View (Pty) Ltd</t>
        </is>
      </c>
      <c r="B3690" s="4" t="n">
        <v>45138</v>
      </c>
      <c r="C3690" s="3" t="inlineStr">
        <is>
          <t>Expenses</t>
        </is>
      </c>
      <c r="D3690" s="3" t="inlineStr">
        <is>
          <t>2000/030</t>
        </is>
      </c>
      <c r="E3690" s="3" t="inlineStr">
        <is>
          <t>COS - HV COCT Rates clearance</t>
        </is>
      </c>
      <c r="F3690" s="3" t="n">
        <v>44968.24</v>
      </c>
      <c r="G3690" s="3" t="n">
        <v>237142.94</v>
      </c>
    </row>
    <row r="3691">
      <c r="A3691" s="3" t="inlineStr">
        <is>
          <t>Heron Fields (Pty) Ltd</t>
        </is>
      </c>
      <c r="B3691" s="4" t="n">
        <v>45138</v>
      </c>
      <c r="C3691" s="3" t="inlineStr">
        <is>
          <t>Expenses</t>
        </is>
      </c>
      <c r="D3691" s="3" t="inlineStr">
        <is>
          <t>2000/040</t>
        </is>
      </c>
      <c r="E3691" s="3" t="inlineStr">
        <is>
          <t>COS - Legal Fees</t>
        </is>
      </c>
      <c r="F3691" s="3" t="n">
        <v>71053.34</v>
      </c>
      <c r="G3691" s="3" t="n">
        <v>648956.64</v>
      </c>
    </row>
    <row r="3692">
      <c r="A3692" s="3" t="inlineStr">
        <is>
          <t>Heron View (Pty) Ltd</t>
        </is>
      </c>
      <c r="B3692" s="4" t="n">
        <v>45138</v>
      </c>
      <c r="C3692" s="3" t="inlineStr">
        <is>
          <t>Expenses</t>
        </is>
      </c>
      <c r="D3692" s="3" t="inlineStr">
        <is>
          <t>2000/041</t>
        </is>
      </c>
      <c r="E3692" s="3" t="inlineStr">
        <is>
          <t>COS - Legal Fees Opening of Sec Title Fees</t>
        </is>
      </c>
      <c r="F3692" s="3" t="n">
        <v>0</v>
      </c>
      <c r="G3692" s="3" t="n">
        <v>14689.94</v>
      </c>
    </row>
    <row r="3693">
      <c r="A3693" s="3" t="inlineStr">
        <is>
          <t>Heron Fields (Pty) Ltd</t>
        </is>
      </c>
      <c r="B3693" s="4" t="n">
        <v>45138</v>
      </c>
      <c r="C3693" s="3" t="inlineStr">
        <is>
          <t>Expenses</t>
        </is>
      </c>
      <c r="D3693" s="3" t="inlineStr">
        <is>
          <t>2000/050</t>
        </is>
      </c>
      <c r="E3693" s="3" t="inlineStr">
        <is>
          <t>COS - Rates clearance</t>
        </is>
      </c>
      <c r="F3693" s="3" t="n">
        <v>3875.85</v>
      </c>
      <c r="G3693" s="3" t="n">
        <v>22036.77</v>
      </c>
    </row>
    <row r="3694">
      <c r="A3694" s="3" t="inlineStr">
        <is>
          <t>Heron Fields (Pty) Ltd</t>
        </is>
      </c>
      <c r="B3694" s="4" t="n">
        <v>45138</v>
      </c>
      <c r="C3694" s="3" t="inlineStr">
        <is>
          <t>Expenses</t>
        </is>
      </c>
      <c r="D3694" s="3" t="inlineStr">
        <is>
          <t>2000/060</t>
        </is>
      </c>
      <c r="E3694" s="3" t="inlineStr">
        <is>
          <t>COS - Levies</t>
        </is>
      </c>
      <c r="F3694" s="3" t="n">
        <v>0</v>
      </c>
      <c r="G3694" s="3" t="n">
        <v>171178.44</v>
      </c>
    </row>
    <row r="3695">
      <c r="A3695" s="3" t="inlineStr">
        <is>
          <t>Heron Fields (Pty) Ltd</t>
        </is>
      </c>
      <c r="B3695" s="4" t="n">
        <v>45138</v>
      </c>
      <c r="C3695" s="3" t="inlineStr">
        <is>
          <t>Expenses</t>
        </is>
      </c>
      <c r="D3695" s="3" t="inlineStr">
        <is>
          <t>2000/070</t>
        </is>
      </c>
      <c r="E3695" s="3" t="inlineStr">
        <is>
          <t>COS - Commission HF Units</t>
        </is>
      </c>
      <c r="F3695" s="3" t="n">
        <v>61865.22</v>
      </c>
      <c r="G3695" s="3" t="n">
        <v>1280913.05</v>
      </c>
    </row>
    <row r="3696">
      <c r="A3696" s="3" t="inlineStr">
        <is>
          <t>Heron View (Pty) Ltd</t>
        </is>
      </c>
      <c r="B3696" s="4" t="n">
        <v>45138</v>
      </c>
      <c r="C3696" s="3" t="inlineStr">
        <is>
          <t>Expenses</t>
        </is>
      </c>
      <c r="D3696" s="3" t="inlineStr">
        <is>
          <t>2000/080</t>
        </is>
      </c>
      <c r="E3696" s="3" t="inlineStr">
        <is>
          <t>COS - Showhouse - HV</t>
        </is>
      </c>
      <c r="F3696" s="3" t="n">
        <v>6212.85</v>
      </c>
      <c r="G3696" s="3" t="n">
        <v>6212.85</v>
      </c>
    </row>
    <row r="3697">
      <c r="A3697" s="3" t="inlineStr">
        <is>
          <t>Heron Fields (Pty) Ltd</t>
        </is>
      </c>
      <c r="B3697" s="4" t="n">
        <v>45138</v>
      </c>
      <c r="C3697" s="3" t="inlineStr">
        <is>
          <t>Expenses</t>
        </is>
      </c>
      <c r="D3697" s="3" t="inlineStr">
        <is>
          <t>2000/090</t>
        </is>
      </c>
      <c r="E3697" s="3" t="inlineStr">
        <is>
          <t>COS - Electricity</t>
        </is>
      </c>
      <c r="F3697" s="3" t="n">
        <v>0</v>
      </c>
      <c r="G3697" s="3" t="n">
        <v>250</v>
      </c>
    </row>
    <row r="3698">
      <c r="A3698" s="3" t="inlineStr">
        <is>
          <t>Heron Fields (Pty) Ltd</t>
        </is>
      </c>
      <c r="B3698" s="4" t="n">
        <v>45138</v>
      </c>
      <c r="C3698" s="3" t="inlineStr">
        <is>
          <t>Expenses</t>
        </is>
      </c>
      <c r="D3698" s="3" t="inlineStr">
        <is>
          <t>2000/100</t>
        </is>
      </c>
      <c r="E3698" s="3" t="inlineStr">
        <is>
          <t>COS - Inverters</t>
        </is>
      </c>
      <c r="F3698" s="3" t="n">
        <v>0</v>
      </c>
      <c r="G3698" s="3" t="n">
        <v>31600</v>
      </c>
    </row>
    <row r="3699">
      <c r="A3699" s="3" t="inlineStr">
        <is>
          <t>Cape Projects Construction (Pty) Ltd</t>
        </is>
      </c>
      <c r="B3699" s="4" t="n">
        <v>45138</v>
      </c>
      <c r="C3699" s="3" t="inlineStr">
        <is>
          <t>Expenses</t>
        </is>
      </c>
      <c r="D3699" s="3" t="inlineStr">
        <is>
          <t>2000/500</t>
        </is>
      </c>
      <c r="E3699" s="3" t="inlineStr">
        <is>
          <t>COS - Electricity Cost Endulini</t>
        </is>
      </c>
      <c r="F3699" s="3" t="n">
        <v>0</v>
      </c>
      <c r="G3699" s="3" t="n">
        <v>286.96</v>
      </c>
    </row>
    <row r="3700">
      <c r="A3700" s="3" t="inlineStr">
        <is>
          <t>Cape Projects Construction (Pty) Ltd</t>
        </is>
      </c>
      <c r="B3700" s="4" t="n">
        <v>45138</v>
      </c>
      <c r="C3700" s="3" t="inlineStr">
        <is>
          <t>Expenses</t>
        </is>
      </c>
      <c r="D3700" s="3" t="inlineStr">
        <is>
          <t>2000/501</t>
        </is>
      </c>
      <c r="E3700" s="3" t="inlineStr">
        <is>
          <t>COS - Electricity Cost Heron Field</t>
        </is>
      </c>
      <c r="F3700" s="3" t="n">
        <v>0</v>
      </c>
      <c r="G3700" s="3" t="n">
        <v>86.95999999999999</v>
      </c>
    </row>
    <row r="3701">
      <c r="A3701" s="3" t="inlineStr">
        <is>
          <t>Cape Projects Construction (Pty) Ltd</t>
        </is>
      </c>
      <c r="B3701" s="4" t="n">
        <v>45138</v>
      </c>
      <c r="C3701" s="3" t="inlineStr">
        <is>
          <t>Expenses</t>
        </is>
      </c>
      <c r="D3701" s="3" t="inlineStr">
        <is>
          <t>2001/000</t>
        </is>
      </c>
      <c r="E3701" s="3" t="inlineStr">
        <is>
          <t>Cost of Sales - SouthWark Project</t>
        </is>
      </c>
      <c r="F3701" s="3" t="n">
        <v>-19.48</v>
      </c>
      <c r="G3701" s="3" t="n">
        <v>23423.97</v>
      </c>
    </row>
    <row r="3702">
      <c r="A3702" s="3" t="inlineStr">
        <is>
          <t>Cape Projects Construction (Pty) Ltd</t>
        </is>
      </c>
      <c r="B3702" s="4" t="n">
        <v>45138</v>
      </c>
      <c r="C3702" s="3" t="inlineStr">
        <is>
          <t>Expenses</t>
        </is>
      </c>
      <c r="D3702" s="3" t="inlineStr">
        <is>
          <t>2002/252</t>
        </is>
      </c>
      <c r="E3702" s="3" t="inlineStr">
        <is>
          <t>COS - Security - Guarding</t>
        </is>
      </c>
      <c r="F3702" s="3" t="n">
        <v>11607.87</v>
      </c>
      <c r="G3702" s="3" t="n">
        <v>41620.91</v>
      </c>
    </row>
    <row r="3703">
      <c r="A3703" s="3" t="inlineStr">
        <is>
          <t>Cape Projects Construction (Pty) Ltd</t>
        </is>
      </c>
      <c r="B3703" s="4" t="n">
        <v>45138</v>
      </c>
      <c r="C3703" s="3" t="inlineStr">
        <is>
          <t>Expenses</t>
        </is>
      </c>
      <c r="D3703" s="3" t="inlineStr">
        <is>
          <t>2006/000</t>
        </is>
      </c>
      <c r="E3703" s="3" t="inlineStr">
        <is>
          <t>COS - Endulini Construction</t>
        </is>
      </c>
      <c r="F3703" s="3" t="n">
        <v>12386.25</v>
      </c>
      <c r="G3703" s="3" t="n">
        <v>249930.65</v>
      </c>
    </row>
    <row r="3704">
      <c r="A3704" s="3" t="inlineStr">
        <is>
          <t>Cape Projects Construction (Pty) Ltd</t>
        </is>
      </c>
      <c r="B3704" s="4" t="n">
        <v>45138</v>
      </c>
      <c r="C3704" s="3" t="inlineStr">
        <is>
          <t>Expenses</t>
        </is>
      </c>
      <c r="D3704" s="3" t="inlineStr">
        <is>
          <t>2006/100</t>
        </is>
      </c>
      <c r="E3704" s="3" t="inlineStr">
        <is>
          <t>COS - Endulini P and G</t>
        </is>
      </c>
      <c r="F3704" s="3" t="n">
        <v>115757.06</v>
      </c>
      <c r="G3704" s="3" t="n">
        <v>147003.59</v>
      </c>
    </row>
    <row r="3705">
      <c r="A3705" s="3" t="inlineStr">
        <is>
          <t>Cape Projects Construction (Pty) Ltd</t>
        </is>
      </c>
      <c r="B3705" s="4" t="n">
        <v>45138</v>
      </c>
      <c r="C3705" s="3" t="inlineStr">
        <is>
          <t>Expenses</t>
        </is>
      </c>
      <c r="D3705" s="3" t="inlineStr">
        <is>
          <t>2006/200</t>
        </is>
      </c>
      <c r="E3705" s="3" t="inlineStr">
        <is>
          <t>COS - Insurance</t>
        </is>
      </c>
      <c r="F3705" s="3" t="n">
        <v>0</v>
      </c>
      <c r="G3705" s="3" t="n">
        <v>2719.43</v>
      </c>
    </row>
    <row r="3706">
      <c r="A3706" s="3" t="inlineStr">
        <is>
          <t>Cape Projects Construction (Pty) Ltd</t>
        </is>
      </c>
      <c r="B3706" s="4" t="n">
        <v>45138</v>
      </c>
      <c r="C3706" s="3" t="inlineStr">
        <is>
          <t>Expenses</t>
        </is>
      </c>
      <c r="D3706" s="3" t="inlineStr">
        <is>
          <t>2006/800</t>
        </is>
      </c>
      <c r="E3706" s="3" t="inlineStr">
        <is>
          <t>COS - Endulini - Telephone &amp; Internet</t>
        </is>
      </c>
      <c r="F3706" s="3" t="n">
        <v>0</v>
      </c>
      <c r="G3706" s="3" t="n">
        <v>760.87</v>
      </c>
    </row>
    <row r="3707">
      <c r="A3707" s="3" t="inlineStr">
        <is>
          <t>Cape Projects Construction (Pty) Ltd</t>
        </is>
      </c>
      <c r="B3707" s="4" t="n">
        <v>45138</v>
      </c>
      <c r="C3707" s="3" t="inlineStr">
        <is>
          <t>Expenses</t>
        </is>
      </c>
      <c r="D3707" s="3" t="inlineStr">
        <is>
          <t>2007/000</t>
        </is>
      </c>
      <c r="E3707" s="3" t="inlineStr">
        <is>
          <t>COS - Repairs &amp; Maintenance - SW Southwark</t>
        </is>
      </c>
      <c r="F3707" s="3" t="n">
        <v>25461.52</v>
      </c>
      <c r="G3707" s="3" t="n">
        <v>25461.52</v>
      </c>
    </row>
    <row r="3708">
      <c r="A3708" s="3" t="inlineStr">
        <is>
          <t>Cape Projects Construction (Pty) Ltd</t>
        </is>
      </c>
      <c r="B3708" s="4" t="n">
        <v>45138</v>
      </c>
      <c r="C3708" s="3" t="inlineStr">
        <is>
          <t>Expenses</t>
        </is>
      </c>
      <c r="D3708" s="3" t="inlineStr">
        <is>
          <t>2008/000</t>
        </is>
      </c>
      <c r="E3708" s="3" t="inlineStr">
        <is>
          <t>COS - Repairs &amp; Maintenance - SH Soho</t>
        </is>
      </c>
      <c r="F3708" s="3" t="n">
        <v>468.7</v>
      </c>
      <c r="G3708" s="3" t="n">
        <v>468.7</v>
      </c>
    </row>
    <row r="3709">
      <c r="A3709" s="3" t="inlineStr">
        <is>
          <t>Cape Projects Construction (Pty) Ltd</t>
        </is>
      </c>
      <c r="B3709" s="4" t="n">
        <v>45138</v>
      </c>
      <c r="C3709" s="3" t="inlineStr">
        <is>
          <t>Expenses</t>
        </is>
      </c>
      <c r="D3709" s="3" t="inlineStr">
        <is>
          <t>2011/300</t>
        </is>
      </c>
      <c r="E3709" s="3" t="inlineStr">
        <is>
          <t>COS - Heron Fields - Printing &amp; Stationary</t>
        </is>
      </c>
      <c r="F3709" s="3" t="n">
        <v>0</v>
      </c>
      <c r="G3709" s="3" t="n">
        <v>1129.57</v>
      </c>
    </row>
    <row r="3710">
      <c r="A3710" s="3" t="inlineStr">
        <is>
          <t>Cape Projects Construction (Pty) Ltd</t>
        </is>
      </c>
      <c r="B3710" s="4" t="n">
        <v>45138</v>
      </c>
      <c r="C3710" s="3" t="inlineStr">
        <is>
          <t>Expenses</t>
        </is>
      </c>
      <c r="D3710" s="3" t="inlineStr">
        <is>
          <t>2011/500</t>
        </is>
      </c>
      <c r="E3710" s="3" t="inlineStr">
        <is>
          <t>COS - Heron Fields - Construction</t>
        </is>
      </c>
      <c r="F3710" s="3" t="n">
        <v>75191</v>
      </c>
      <c r="G3710" s="3" t="n">
        <v>1414785.59</v>
      </c>
    </row>
    <row r="3711">
      <c r="A3711" s="3" t="inlineStr">
        <is>
          <t>Cape Projects Construction (Pty) Ltd</t>
        </is>
      </c>
      <c r="B3711" s="4" t="n">
        <v>45138</v>
      </c>
      <c r="C3711" s="3" t="inlineStr">
        <is>
          <t>Expenses</t>
        </is>
      </c>
      <c r="D3711" s="3" t="inlineStr">
        <is>
          <t>2011/600</t>
        </is>
      </c>
      <c r="E3711" s="3" t="inlineStr">
        <is>
          <t>COS - Heron Fields - P &amp; G</t>
        </is>
      </c>
      <c r="F3711" s="3" t="n">
        <v>79865.24000000001</v>
      </c>
      <c r="G3711" s="3" t="n">
        <v>282519.63</v>
      </c>
    </row>
    <row r="3712">
      <c r="A3712" s="3" t="inlineStr">
        <is>
          <t>Cape Projects Construction (Pty) Ltd</t>
        </is>
      </c>
      <c r="B3712" s="4" t="n">
        <v>45138</v>
      </c>
      <c r="C3712" s="3" t="inlineStr">
        <is>
          <t>Expenses</t>
        </is>
      </c>
      <c r="D3712" s="3" t="inlineStr">
        <is>
          <t>2011/700</t>
        </is>
      </c>
      <c r="E3712" s="3" t="inlineStr">
        <is>
          <t>COS - Heron Fields - Health &amp; Safety</t>
        </is>
      </c>
      <c r="F3712" s="3" t="n">
        <v>0</v>
      </c>
      <c r="G3712" s="3" t="n">
        <v>694.78</v>
      </c>
    </row>
    <row r="3713">
      <c r="A3713" s="3" t="inlineStr">
        <is>
          <t>Cape Projects Construction (Pty) Ltd</t>
        </is>
      </c>
      <c r="B3713" s="4" t="n">
        <v>45138</v>
      </c>
      <c r="C3713" s="3" t="inlineStr">
        <is>
          <t>Expenses</t>
        </is>
      </c>
      <c r="D3713" s="3" t="inlineStr">
        <is>
          <t>2011/900</t>
        </is>
      </c>
      <c r="E3713" s="3" t="inlineStr">
        <is>
          <t>COS - Heron - Internet</t>
        </is>
      </c>
      <c r="F3713" s="3" t="n">
        <v>1483.14</v>
      </c>
      <c r="G3713" s="3" t="n">
        <v>6492.72</v>
      </c>
    </row>
    <row r="3714">
      <c r="A3714" s="3" t="inlineStr">
        <is>
          <t>Cape Projects Construction (Pty) Ltd</t>
        </is>
      </c>
      <c r="B3714" s="4" t="n">
        <v>45138</v>
      </c>
      <c r="C3714" s="3" t="inlineStr">
        <is>
          <t>Expenses</t>
        </is>
      </c>
      <c r="D3714" s="3" t="inlineStr">
        <is>
          <t>2012/001</t>
        </is>
      </c>
      <c r="E3714" s="3" t="inlineStr">
        <is>
          <t>COS - Heron View - Printing &amp; Stationary</t>
        </is>
      </c>
      <c r="F3714" s="3" t="n">
        <v>107.39</v>
      </c>
      <c r="G3714" s="3" t="n">
        <v>11238.24</v>
      </c>
    </row>
    <row r="3715">
      <c r="A3715" s="3" t="inlineStr">
        <is>
          <t>Cape Projects Construction (Pty) Ltd</t>
        </is>
      </c>
      <c r="B3715" s="4" t="n">
        <v>45138</v>
      </c>
      <c r="C3715" s="3" t="inlineStr">
        <is>
          <t>Expenses</t>
        </is>
      </c>
      <c r="D3715" s="3" t="inlineStr">
        <is>
          <t>2012/002</t>
        </is>
      </c>
      <c r="E3715" s="3" t="inlineStr">
        <is>
          <t>COS - Heron View - Construction</t>
        </is>
      </c>
      <c r="F3715" s="3" t="n">
        <v>3233584.29</v>
      </c>
      <c r="G3715" s="3" t="n">
        <v>15388639.27</v>
      </c>
    </row>
    <row r="3716">
      <c r="A3716" s="3" t="inlineStr">
        <is>
          <t>Cape Projects Construction (Pty) Ltd</t>
        </is>
      </c>
      <c r="B3716" s="4" t="n">
        <v>45138</v>
      </c>
      <c r="C3716" s="3" t="inlineStr">
        <is>
          <t>Expenses</t>
        </is>
      </c>
      <c r="D3716" s="3" t="inlineStr">
        <is>
          <t>2012/003</t>
        </is>
      </c>
      <c r="E3716" s="3" t="inlineStr">
        <is>
          <t>COS - Heron View - P&amp;G</t>
        </is>
      </c>
      <c r="F3716" s="3" t="n">
        <v>24793.88</v>
      </c>
      <c r="G3716" s="3" t="n">
        <v>489055.96</v>
      </c>
    </row>
    <row r="3717">
      <c r="A3717" s="3" t="inlineStr">
        <is>
          <t>Cape Projects Construction (Pty) Ltd</t>
        </is>
      </c>
      <c r="B3717" s="4" t="n">
        <v>45138</v>
      </c>
      <c r="C3717" s="3" t="inlineStr">
        <is>
          <t>Expenses</t>
        </is>
      </c>
      <c r="D3717" s="3" t="inlineStr">
        <is>
          <t>2013/000</t>
        </is>
      </c>
      <c r="E3717" s="3" t="inlineStr">
        <is>
          <t>COS - Bakhoven</t>
        </is>
      </c>
      <c r="F3717" s="3" t="n">
        <v>0</v>
      </c>
      <c r="G3717" s="3" t="n">
        <v>17292.48</v>
      </c>
    </row>
    <row r="3718">
      <c r="A3718" s="3" t="inlineStr">
        <is>
          <t>Cape Projects Construction (Pty) Ltd</t>
        </is>
      </c>
      <c r="B3718" s="4" t="n">
        <v>45138</v>
      </c>
      <c r="C3718" s="3" t="inlineStr">
        <is>
          <t>Revenue</t>
        </is>
      </c>
      <c r="D3718" s="3" t="inlineStr">
        <is>
          <t>2750/000</t>
        </is>
      </c>
      <c r="E3718" s="3" t="inlineStr">
        <is>
          <t>Interest Received - FNB</t>
        </is>
      </c>
      <c r="F3718" s="3" t="n">
        <v>-99.59999999999999</v>
      </c>
      <c r="G3718" s="3" t="n">
        <v>-504.91</v>
      </c>
    </row>
    <row r="3719">
      <c r="A3719" s="3" t="inlineStr">
        <is>
          <t>Cape Projects Construction (Pty) Ltd</t>
        </is>
      </c>
      <c r="B3719" s="4" t="n">
        <v>45138</v>
      </c>
      <c r="C3719" s="3" t="inlineStr">
        <is>
          <t>Revenue</t>
        </is>
      </c>
      <c r="D3719" s="3" t="inlineStr">
        <is>
          <t>2751/001</t>
        </is>
      </c>
      <c r="E3719" s="3" t="inlineStr">
        <is>
          <t>Interest received - Momentum</t>
        </is>
      </c>
      <c r="F3719" s="3" t="n">
        <v>-4.02</v>
      </c>
      <c r="G3719" s="3" t="n">
        <v>-22.05</v>
      </c>
    </row>
    <row r="3720">
      <c r="A3720" s="3" t="inlineStr">
        <is>
          <t>Heron Fields (Pty) Ltd</t>
        </is>
      </c>
      <c r="B3720" s="4" t="n">
        <v>45138</v>
      </c>
      <c r="C3720" s="3" t="inlineStr">
        <is>
          <t>Revenue</t>
        </is>
      </c>
      <c r="D3720" s="3" t="inlineStr">
        <is>
          <t>2755/001</t>
        </is>
      </c>
      <c r="E3720" s="3" t="inlineStr">
        <is>
          <t>Interest Received - Momentum</t>
        </is>
      </c>
      <c r="F3720" s="3" t="n">
        <v>-259590.93</v>
      </c>
      <c r="G3720" s="3" t="n">
        <v>-1206534.54</v>
      </c>
    </row>
    <row r="3721">
      <c r="A3721" s="3" t="inlineStr">
        <is>
          <t>Heron Fields (Pty) Ltd</t>
        </is>
      </c>
      <c r="B3721" s="4" t="n">
        <v>45138</v>
      </c>
      <c r="C3721" s="3" t="inlineStr">
        <is>
          <t>Expenses</t>
        </is>
      </c>
      <c r="D3721" s="3" t="inlineStr">
        <is>
          <t>3000/000</t>
        </is>
      </c>
      <c r="E3721" s="3" t="inlineStr">
        <is>
          <t>Accounting Fees</t>
        </is>
      </c>
      <c r="F3721" s="3" t="n">
        <v>13404.96</v>
      </c>
      <c r="G3721" s="3" t="n">
        <v>13404.96</v>
      </c>
    </row>
    <row r="3722">
      <c r="A3722" s="3" t="inlineStr">
        <is>
          <t>Heron Fields (Pty) Ltd</t>
        </is>
      </c>
      <c r="B3722" s="4" t="n">
        <v>45138</v>
      </c>
      <c r="C3722" s="3" t="inlineStr">
        <is>
          <t>Expenses</t>
        </is>
      </c>
      <c r="D3722" s="3" t="inlineStr">
        <is>
          <t>3000/100</t>
        </is>
      </c>
      <c r="E3722" s="3" t="inlineStr">
        <is>
          <t>Accounting - CIPC</t>
        </is>
      </c>
      <c r="F3722" s="3" t="n">
        <v>3050</v>
      </c>
      <c r="G3722" s="3" t="n">
        <v>3050</v>
      </c>
    </row>
    <row r="3723">
      <c r="A3723" s="3" t="inlineStr">
        <is>
          <t>Cape Projects Construction (Pty) Ltd</t>
        </is>
      </c>
      <c r="B3723" s="4" t="n">
        <v>45138</v>
      </c>
      <c r="C3723" s="3" t="inlineStr">
        <is>
          <t>Expenses</t>
        </is>
      </c>
      <c r="D3723" s="3" t="inlineStr">
        <is>
          <t>3001/000</t>
        </is>
      </c>
      <c r="E3723" s="3" t="inlineStr">
        <is>
          <t>Accounting Fees - Other</t>
        </is>
      </c>
      <c r="F3723" s="3" t="n">
        <v>700</v>
      </c>
      <c r="G3723" s="3" t="n">
        <v>1280</v>
      </c>
    </row>
    <row r="3724">
      <c r="A3724" s="3" t="inlineStr">
        <is>
          <t>Cape Projects Construction (Pty) Ltd</t>
        </is>
      </c>
      <c r="B3724" s="4" t="n">
        <v>45138</v>
      </c>
      <c r="C3724" s="3" t="inlineStr">
        <is>
          <t>Expenses</t>
        </is>
      </c>
      <c r="D3724" s="3" t="inlineStr">
        <is>
          <t>3002/000</t>
        </is>
      </c>
      <c r="E3724" s="3" t="inlineStr">
        <is>
          <t>Accounting Fees - Audit</t>
        </is>
      </c>
      <c r="F3724" s="3" t="n">
        <v>0</v>
      </c>
      <c r="G3724" s="3" t="n">
        <v>11170</v>
      </c>
    </row>
    <row r="3725">
      <c r="A3725" s="3" t="inlineStr">
        <is>
          <t>Cape Projects Construction (Pty) Ltd</t>
        </is>
      </c>
      <c r="B3725" s="4" t="n">
        <v>45138</v>
      </c>
      <c r="C3725" s="3" t="inlineStr">
        <is>
          <t>Expenses</t>
        </is>
      </c>
      <c r="D3725" s="3" t="inlineStr">
        <is>
          <t>3050/000</t>
        </is>
      </c>
      <c r="E3725" s="3" t="inlineStr">
        <is>
          <t>Advertising _AND_ Promotions</t>
        </is>
      </c>
      <c r="F3725" s="3" t="n">
        <v>3450</v>
      </c>
      <c r="G3725" s="3" t="n">
        <v>4650</v>
      </c>
    </row>
    <row r="3726">
      <c r="A3726" s="3" t="inlineStr">
        <is>
          <t>Heron Fields (Pty) Ltd</t>
        </is>
      </c>
      <c r="B3726" s="4" t="n">
        <v>45138</v>
      </c>
      <c r="C3726" s="3" t="inlineStr">
        <is>
          <t>Expenses</t>
        </is>
      </c>
      <c r="D3726" s="3" t="inlineStr">
        <is>
          <t>3050/000</t>
        </is>
      </c>
      <c r="E3726" s="3" t="inlineStr">
        <is>
          <t>Advertising _AND_ Promotions</t>
        </is>
      </c>
      <c r="F3726" s="3" t="n">
        <v>26226.57</v>
      </c>
      <c r="G3726" s="3" t="n">
        <v>163902.49</v>
      </c>
    </row>
    <row r="3727">
      <c r="A3727" s="3" t="inlineStr">
        <is>
          <t>Heron View (Pty) Ltd</t>
        </is>
      </c>
      <c r="B3727" s="4" t="n">
        <v>45138</v>
      </c>
      <c r="C3727" s="3" t="inlineStr">
        <is>
          <t>Expenses</t>
        </is>
      </c>
      <c r="D3727" s="3" t="inlineStr">
        <is>
          <t>3050/000</t>
        </is>
      </c>
      <c r="E3727" s="3" t="inlineStr">
        <is>
          <t>Advertising _AND_ Promotions</t>
        </is>
      </c>
      <c r="F3727" s="3" t="n">
        <v>7705</v>
      </c>
      <c r="G3727" s="3" t="n">
        <v>41176.47</v>
      </c>
    </row>
    <row r="3728">
      <c r="A3728" s="3" t="inlineStr">
        <is>
          <t>Heron Fields (Pty) Ltd</t>
        </is>
      </c>
      <c r="B3728" s="4" t="n">
        <v>45138</v>
      </c>
      <c r="C3728" s="3" t="inlineStr">
        <is>
          <t>Expenses</t>
        </is>
      </c>
      <c r="D3728" s="3" t="inlineStr">
        <is>
          <t>3050/100</t>
        </is>
      </c>
      <c r="E3728" s="3" t="inlineStr">
        <is>
          <t>Advertising - Property24</t>
        </is>
      </c>
      <c r="F3728" s="3" t="n">
        <v>0</v>
      </c>
      <c r="G3728" s="3" t="n">
        <v>12480</v>
      </c>
    </row>
    <row r="3729">
      <c r="A3729" s="3" t="inlineStr">
        <is>
          <t>Cape Projects Construction (Pty) Ltd</t>
        </is>
      </c>
      <c r="B3729" s="4" t="n">
        <v>45138</v>
      </c>
      <c r="C3729" s="3" t="inlineStr">
        <is>
          <t>Expenses</t>
        </is>
      </c>
      <c r="D3729" s="3" t="inlineStr">
        <is>
          <t>3050/150</t>
        </is>
      </c>
      <c r="E3729" s="3" t="inlineStr">
        <is>
          <t>Advertising - Design Fees</t>
        </is>
      </c>
      <c r="F3729" s="3" t="n">
        <v>0</v>
      </c>
      <c r="G3729" s="3" t="n">
        <v>295</v>
      </c>
    </row>
    <row r="3730">
      <c r="A3730" s="3" t="inlineStr">
        <is>
          <t>Heron View (Pty) Ltd</t>
        </is>
      </c>
      <c r="B3730" s="4" t="n">
        <v>45138</v>
      </c>
      <c r="C3730" s="3" t="inlineStr">
        <is>
          <t>Expenses</t>
        </is>
      </c>
      <c r="D3730" s="3" t="inlineStr">
        <is>
          <t>3050/400</t>
        </is>
      </c>
      <c r="E3730" s="3" t="inlineStr">
        <is>
          <t>Advertising - Pure Brand Activation</t>
        </is>
      </c>
      <c r="F3730" s="3" t="n">
        <v>4602</v>
      </c>
      <c r="G3730" s="3" t="n">
        <v>4602</v>
      </c>
    </row>
    <row r="3731">
      <c r="A3731" s="3" t="inlineStr">
        <is>
          <t>Cape Projects Construction (Pty) Ltd</t>
        </is>
      </c>
      <c r="B3731" s="4" t="n">
        <v>45138</v>
      </c>
      <c r="C3731" s="3" t="inlineStr">
        <is>
          <t>Expenses</t>
        </is>
      </c>
      <c r="D3731" s="3" t="inlineStr">
        <is>
          <t>3050/450</t>
        </is>
      </c>
      <c r="E3731" s="3" t="inlineStr">
        <is>
          <t>Advertising - Other</t>
        </is>
      </c>
      <c r="F3731" s="3" t="n">
        <v>0</v>
      </c>
      <c r="G3731" s="3" t="n">
        <v>1597</v>
      </c>
    </row>
    <row r="3732">
      <c r="A3732" s="3" t="inlineStr">
        <is>
          <t>Cape Projects Construction (Pty) Ltd</t>
        </is>
      </c>
      <c r="B3732" s="4" t="n">
        <v>45138</v>
      </c>
      <c r="C3732" s="3" t="inlineStr">
        <is>
          <t>Expenses</t>
        </is>
      </c>
      <c r="D3732" s="3" t="inlineStr">
        <is>
          <t>3200/000</t>
        </is>
      </c>
      <c r="E3732" s="3" t="inlineStr">
        <is>
          <t>Bank Charges</t>
        </is>
      </c>
      <c r="F3732" s="3" t="n">
        <v>1918.65</v>
      </c>
      <c r="G3732" s="3" t="n">
        <v>9318.74</v>
      </c>
    </row>
    <row r="3733">
      <c r="A3733" s="3" t="inlineStr">
        <is>
          <t>Heron Fields (Pty) Ltd</t>
        </is>
      </c>
      <c r="B3733" s="4" t="n">
        <v>45138</v>
      </c>
      <c r="C3733" s="3" t="inlineStr">
        <is>
          <t>Expenses</t>
        </is>
      </c>
      <c r="D3733" s="3" t="inlineStr">
        <is>
          <t>3200/000</t>
        </is>
      </c>
      <c r="E3733" s="3" t="inlineStr">
        <is>
          <t>Bank Charges</t>
        </is>
      </c>
      <c r="F3733" s="3" t="n">
        <v>644.17</v>
      </c>
      <c r="G3733" s="3" t="n">
        <v>2567.68</v>
      </c>
    </row>
    <row r="3734">
      <c r="A3734" s="3" t="inlineStr">
        <is>
          <t>Cape Projects Construction (Pty) Ltd</t>
        </is>
      </c>
      <c r="B3734" s="4" t="n">
        <v>45138</v>
      </c>
      <c r="C3734" s="3" t="inlineStr">
        <is>
          <t>Expenses</t>
        </is>
      </c>
      <c r="D3734" s="3" t="inlineStr">
        <is>
          <t>3250/000</t>
        </is>
      </c>
      <c r="E3734" s="3" t="inlineStr">
        <is>
          <t>Cleaning</t>
        </is>
      </c>
      <c r="F3734" s="3" t="n">
        <v>78.23999999999999</v>
      </c>
      <c r="G3734" s="3" t="n">
        <v>511.89</v>
      </c>
    </row>
    <row r="3735">
      <c r="A3735" s="3" t="inlineStr">
        <is>
          <t>Cape Projects Construction (Pty) Ltd</t>
        </is>
      </c>
      <c r="B3735" s="4" t="n">
        <v>45138</v>
      </c>
      <c r="C3735" s="3" t="inlineStr">
        <is>
          <t>Expenses</t>
        </is>
      </c>
      <c r="D3735" s="3" t="inlineStr">
        <is>
          <t>3300/000</t>
        </is>
      </c>
      <c r="E3735" s="3" t="inlineStr">
        <is>
          <t>Computer Expenses</t>
        </is>
      </c>
      <c r="F3735" s="3" t="n">
        <v>749</v>
      </c>
      <c r="G3735" s="3" t="n">
        <v>4352.65</v>
      </c>
    </row>
    <row r="3736">
      <c r="A3736" s="3" t="inlineStr">
        <is>
          <t>Cape Projects Construction (Pty) Ltd</t>
        </is>
      </c>
      <c r="B3736" s="4" t="n">
        <v>45138</v>
      </c>
      <c r="C3736" s="3" t="inlineStr">
        <is>
          <t>Expenses</t>
        </is>
      </c>
      <c r="D3736" s="3" t="inlineStr">
        <is>
          <t>3300/100</t>
        </is>
      </c>
      <c r="E3736" s="3" t="inlineStr">
        <is>
          <t>Computer Exp - IT, Internet/Hosting Fee</t>
        </is>
      </c>
      <c r="F3736" s="3" t="n">
        <v>3130</v>
      </c>
      <c r="G3736" s="3" t="n">
        <v>18199</v>
      </c>
    </row>
    <row r="3737">
      <c r="A3737" s="3" t="inlineStr">
        <is>
          <t>Heron Fields (Pty) Ltd</t>
        </is>
      </c>
      <c r="B3737" s="4" t="n">
        <v>45138</v>
      </c>
      <c r="C3737" s="3" t="inlineStr">
        <is>
          <t>Expenses</t>
        </is>
      </c>
      <c r="D3737" s="3" t="inlineStr">
        <is>
          <t>3350/100</t>
        </is>
      </c>
      <c r="E3737" s="3" t="inlineStr">
        <is>
          <t>Consulting Fees - Admin and Finance</t>
        </is>
      </c>
      <c r="F3737" s="3" t="n">
        <v>121658</v>
      </c>
      <c r="G3737" s="3" t="n">
        <v>572500.5699999999</v>
      </c>
    </row>
    <row r="3738">
      <c r="A3738" s="3" t="inlineStr">
        <is>
          <t>Cape Projects Construction (Pty) Ltd</t>
        </is>
      </c>
      <c r="B3738" s="4" t="n">
        <v>45138</v>
      </c>
      <c r="C3738" s="3" t="inlineStr">
        <is>
          <t>Expenses</t>
        </is>
      </c>
      <c r="D3738" s="3" t="inlineStr">
        <is>
          <t>3350/300</t>
        </is>
      </c>
      <c r="E3738" s="3" t="inlineStr">
        <is>
          <t>Consulting Fees - Admin and Finance</t>
        </is>
      </c>
      <c r="F3738" s="3" t="n">
        <v>119527</v>
      </c>
      <c r="G3738" s="3" t="n">
        <v>613049.7</v>
      </c>
    </row>
    <row r="3739">
      <c r="A3739" s="3" t="inlineStr">
        <is>
          <t>Heron Fields (Pty) Ltd</t>
        </is>
      </c>
      <c r="B3739" s="4" t="n">
        <v>45138</v>
      </c>
      <c r="C3739" s="3" t="inlineStr">
        <is>
          <t>Expenses</t>
        </is>
      </c>
      <c r="D3739" s="3" t="inlineStr">
        <is>
          <t>3351/000</t>
        </is>
      </c>
      <c r="E3739" s="3" t="inlineStr">
        <is>
          <t>Consulting fees - Trustee</t>
        </is>
      </c>
      <c r="F3739" s="3" t="n">
        <v>0</v>
      </c>
      <c r="G3739" s="3" t="n">
        <v>12200</v>
      </c>
    </row>
    <row r="3740">
      <c r="A3740" s="3" t="inlineStr">
        <is>
          <t>Heron View (Pty) Ltd</t>
        </is>
      </c>
      <c r="B3740" s="4" t="n">
        <v>45138</v>
      </c>
      <c r="C3740" s="3" t="inlineStr">
        <is>
          <t>Expenses</t>
        </is>
      </c>
      <c r="D3740" s="3" t="inlineStr">
        <is>
          <t>3351/000</t>
        </is>
      </c>
      <c r="E3740" s="3" t="inlineStr">
        <is>
          <t>Consulting fees - Trustee</t>
        </is>
      </c>
      <c r="F3740" s="3" t="n">
        <v>7250</v>
      </c>
      <c r="G3740" s="3" t="n">
        <v>14500</v>
      </c>
    </row>
    <row r="3741">
      <c r="A3741" s="3" t="inlineStr">
        <is>
          <t>Cape Projects Construction (Pty) Ltd</t>
        </is>
      </c>
      <c r="B3741" s="4" t="n">
        <v>45138</v>
      </c>
      <c r="C3741" s="3" t="inlineStr">
        <is>
          <t>Expenses</t>
        </is>
      </c>
      <c r="D3741" s="3" t="inlineStr">
        <is>
          <t>3400/000</t>
        </is>
      </c>
      <c r="E3741" s="3" t="inlineStr">
        <is>
          <t>Courier _AND_ Postage</t>
        </is>
      </c>
      <c r="F3741" s="3" t="n">
        <v>0</v>
      </c>
      <c r="G3741" s="3" t="n">
        <v>86.09</v>
      </c>
    </row>
    <row r="3742">
      <c r="A3742" s="3" t="inlineStr">
        <is>
          <t>Cape Projects Construction (Pty) Ltd</t>
        </is>
      </c>
      <c r="B3742" s="4" t="n">
        <v>45138</v>
      </c>
      <c r="C3742" s="3" t="inlineStr">
        <is>
          <t>Expenses</t>
        </is>
      </c>
      <c r="D3742" s="3" t="inlineStr">
        <is>
          <t>3450/001</t>
        </is>
      </c>
      <c r="E3742" s="3" t="inlineStr">
        <is>
          <t>Depreciation - Computer Equipment</t>
        </is>
      </c>
      <c r="F3742" s="3" t="n">
        <v>3323.92</v>
      </c>
      <c r="G3742" s="3" t="n">
        <v>16619.5</v>
      </c>
    </row>
    <row r="3743">
      <c r="A3743" s="3" t="inlineStr">
        <is>
          <t>Cape Projects Construction (Pty) Ltd</t>
        </is>
      </c>
      <c r="B3743" s="4" t="n">
        <v>45138</v>
      </c>
      <c r="C3743" s="3" t="inlineStr">
        <is>
          <t>Expenses</t>
        </is>
      </c>
      <c r="D3743" s="3" t="inlineStr">
        <is>
          <t>3450/002</t>
        </is>
      </c>
      <c r="E3743" s="3" t="inlineStr">
        <is>
          <t>Depreciation - Generator Fixed Asset</t>
        </is>
      </c>
      <c r="F3743" s="3" t="n">
        <v>1188.71</v>
      </c>
      <c r="G3743" s="3" t="n">
        <v>3952.77</v>
      </c>
    </row>
    <row r="3744">
      <c r="A3744" s="3" t="inlineStr">
        <is>
          <t>Cape Projects Construction (Pty) Ltd</t>
        </is>
      </c>
      <c r="B3744" s="4" t="n">
        <v>45138</v>
      </c>
      <c r="C3744" s="3" t="inlineStr">
        <is>
          <t>Expenses</t>
        </is>
      </c>
      <c r="D3744" s="3" t="inlineStr">
        <is>
          <t>3450/030</t>
        </is>
      </c>
      <c r="E3744" s="3" t="inlineStr">
        <is>
          <t>Depreciation - Furniture and Fittings</t>
        </is>
      </c>
      <c r="F3744" s="3" t="n">
        <v>547.6900000000001</v>
      </c>
      <c r="G3744" s="3" t="n">
        <v>2738.39</v>
      </c>
    </row>
    <row r="3745">
      <c r="A3745" s="3" t="inlineStr">
        <is>
          <t>Heron Fields (Pty) Ltd</t>
        </is>
      </c>
      <c r="B3745" s="4" t="n">
        <v>45138</v>
      </c>
      <c r="C3745" s="3" t="inlineStr">
        <is>
          <t>Expenses</t>
        </is>
      </c>
      <c r="D3745" s="3" t="inlineStr">
        <is>
          <t>3650/000</t>
        </is>
      </c>
      <c r="E3745" s="3" t="inlineStr">
        <is>
          <t>CoCT - Electricity</t>
        </is>
      </c>
      <c r="F3745" s="3" t="n">
        <v>0</v>
      </c>
      <c r="G3745" s="3" t="n">
        <v>11263.46</v>
      </c>
    </row>
    <row r="3746">
      <c r="A3746" s="3" t="inlineStr">
        <is>
          <t>Cape Projects Construction (Pty) Ltd</t>
        </is>
      </c>
      <c r="B3746" s="4" t="n">
        <v>45138</v>
      </c>
      <c r="C3746" s="3" t="inlineStr">
        <is>
          <t>Expenses</t>
        </is>
      </c>
      <c r="D3746" s="3" t="inlineStr">
        <is>
          <t>3650/000</t>
        </is>
      </c>
      <c r="E3746" s="3" t="inlineStr">
        <is>
          <t>Electricity _AND_ Water</t>
        </is>
      </c>
      <c r="F3746" s="3" t="n">
        <v>7214.2</v>
      </c>
      <c r="G3746" s="3" t="n">
        <v>32459.66</v>
      </c>
    </row>
    <row r="3747">
      <c r="A3747" s="3" t="inlineStr">
        <is>
          <t>Heron Fields (Pty) Ltd</t>
        </is>
      </c>
      <c r="B3747" s="4" t="n">
        <v>45138</v>
      </c>
      <c r="C3747" s="3" t="inlineStr">
        <is>
          <t>Expenses</t>
        </is>
      </c>
      <c r="D3747" s="3" t="inlineStr">
        <is>
          <t>3660/000</t>
        </is>
      </c>
      <c r="E3747" s="3" t="inlineStr">
        <is>
          <t>CoCT - Water</t>
        </is>
      </c>
      <c r="F3747" s="3" t="n">
        <v>0</v>
      </c>
      <c r="G3747" s="3" t="n">
        <v>43879.43</v>
      </c>
    </row>
    <row r="3748">
      <c r="A3748" s="3" t="inlineStr">
        <is>
          <t>Heron Fields (Pty) Ltd</t>
        </is>
      </c>
      <c r="B3748" s="4" t="n">
        <v>45138</v>
      </c>
      <c r="C3748" s="3" t="inlineStr">
        <is>
          <t>Expenses</t>
        </is>
      </c>
      <c r="D3748" s="3" t="inlineStr">
        <is>
          <t>3670/000</t>
        </is>
      </c>
      <c r="E3748" s="3" t="inlineStr">
        <is>
          <t>CoCT - Refuse</t>
        </is>
      </c>
      <c r="F3748" s="3" t="n">
        <v>0</v>
      </c>
      <c r="G3748" s="3" t="n">
        <v>10690.2</v>
      </c>
    </row>
    <row r="3749">
      <c r="A3749" s="3" t="inlineStr">
        <is>
          <t>Heron Fields (Pty) Ltd</t>
        </is>
      </c>
      <c r="B3749" s="4" t="n">
        <v>45138</v>
      </c>
      <c r="C3749" s="3" t="inlineStr">
        <is>
          <t>Expenses</t>
        </is>
      </c>
      <c r="D3749" s="3" t="inlineStr">
        <is>
          <t>3700/000</t>
        </is>
      </c>
      <c r="E3749" s="3" t="inlineStr">
        <is>
          <t>Entertainment Expenses</t>
        </is>
      </c>
      <c r="F3749" s="3" t="n">
        <v>0</v>
      </c>
      <c r="G3749" s="3" t="n">
        <v>39.47</v>
      </c>
    </row>
    <row r="3750">
      <c r="A3750" s="3" t="inlineStr">
        <is>
          <t>Heron Fields (Pty) Ltd</t>
        </is>
      </c>
      <c r="B3750" s="4" t="n">
        <v>45138</v>
      </c>
      <c r="C3750" s="3" t="inlineStr">
        <is>
          <t>Expenses</t>
        </is>
      </c>
      <c r="D3750" s="3" t="inlineStr">
        <is>
          <t>3800/000</t>
        </is>
      </c>
      <c r="E3750" s="3" t="inlineStr">
        <is>
          <t>General Expenses</t>
        </is>
      </c>
      <c r="F3750" s="3" t="n">
        <v>0</v>
      </c>
      <c r="G3750" s="3" t="n">
        <v>199.99</v>
      </c>
    </row>
    <row r="3751">
      <c r="A3751" s="3" t="inlineStr">
        <is>
          <t>Heron Fields (Pty) Ltd</t>
        </is>
      </c>
      <c r="B3751" s="4" t="n">
        <v>45138</v>
      </c>
      <c r="C3751" s="3" t="inlineStr">
        <is>
          <t>Expenses</t>
        </is>
      </c>
      <c r="D3751" s="3" t="inlineStr">
        <is>
          <t>3850/000</t>
        </is>
      </c>
      <c r="E3751" s="3" t="inlineStr">
        <is>
          <t>Insurance</t>
        </is>
      </c>
      <c r="F3751" s="3" t="n">
        <v>10459.97</v>
      </c>
      <c r="G3751" s="3" t="n">
        <v>37375.86</v>
      </c>
    </row>
    <row r="3752">
      <c r="A3752" s="3" t="inlineStr">
        <is>
          <t>Cape Projects Construction (Pty) Ltd</t>
        </is>
      </c>
      <c r="B3752" s="4" t="n">
        <v>45138</v>
      </c>
      <c r="C3752" s="3" t="inlineStr">
        <is>
          <t>Expenses</t>
        </is>
      </c>
      <c r="D3752" s="3" t="inlineStr">
        <is>
          <t>3850/001</t>
        </is>
      </c>
      <c r="E3752" s="3" t="inlineStr">
        <is>
          <t>Insurance - Santam</t>
        </is>
      </c>
      <c r="F3752" s="3" t="n">
        <v>2063.15</v>
      </c>
      <c r="G3752" s="3" t="n">
        <v>9887.42</v>
      </c>
    </row>
    <row r="3753">
      <c r="A3753" s="3" t="inlineStr">
        <is>
          <t>Heron Fields (Pty) Ltd</t>
        </is>
      </c>
      <c r="B3753" s="4" t="n">
        <v>45138</v>
      </c>
      <c r="C3753" s="3" t="inlineStr">
        <is>
          <t>Expenses</t>
        </is>
      </c>
      <c r="D3753" s="3" t="inlineStr">
        <is>
          <t>3900/000</t>
        </is>
      </c>
      <c r="E3753" s="3" t="inlineStr">
        <is>
          <t>Interest Paid</t>
        </is>
      </c>
      <c r="F3753" s="3" t="n">
        <v>0</v>
      </c>
      <c r="G3753" s="3" t="n">
        <v>-533.8</v>
      </c>
    </row>
    <row r="3754">
      <c r="A3754" s="3" t="inlineStr">
        <is>
          <t>Heron Fields (Pty) Ltd</t>
        </is>
      </c>
      <c r="B3754" s="4" t="n">
        <v>45138</v>
      </c>
      <c r="C3754" s="3" t="inlineStr">
        <is>
          <t>Expenses</t>
        </is>
      </c>
      <c r="D3754" s="3" t="inlineStr">
        <is>
          <t>3900/111</t>
        </is>
      </c>
      <c r="E3754" s="3" t="inlineStr">
        <is>
          <t>Interest Paid - Investors @ 6.25%</t>
        </is>
      </c>
      <c r="F3754" s="3" t="n">
        <v>15410.95</v>
      </c>
      <c r="G3754" s="3" t="n">
        <v>167246.26</v>
      </c>
    </row>
    <row r="3755">
      <c r="A3755" s="3" t="inlineStr">
        <is>
          <t>Heron Fields (Pty) Ltd</t>
        </is>
      </c>
      <c r="B3755" s="4" t="n">
        <v>45138</v>
      </c>
      <c r="C3755" s="3" t="inlineStr">
        <is>
          <t>Expenses</t>
        </is>
      </c>
      <c r="D3755" s="3" t="inlineStr">
        <is>
          <t>3900/115</t>
        </is>
      </c>
      <c r="E3755" s="3" t="inlineStr">
        <is>
          <t>Interest Paid - Investors @ 6.5%</t>
        </is>
      </c>
      <c r="F3755" s="3" t="n">
        <v>11041.1</v>
      </c>
      <c r="G3755" s="3" t="n">
        <v>72942.48</v>
      </c>
    </row>
    <row r="3756">
      <c r="A3756" s="3" t="inlineStr">
        <is>
          <t>Heron Fields (Pty) Ltd</t>
        </is>
      </c>
      <c r="B3756" s="4" t="n">
        <v>45138</v>
      </c>
      <c r="C3756" s="3" t="inlineStr">
        <is>
          <t>Expenses</t>
        </is>
      </c>
      <c r="D3756" s="3" t="inlineStr">
        <is>
          <t>3900/117</t>
        </is>
      </c>
      <c r="E3756" s="3" t="inlineStr">
        <is>
          <t>Interest Paid - Investors @ 6.75%</t>
        </is>
      </c>
      <c r="F3756" s="3" t="n">
        <v>4808.22</v>
      </c>
      <c r="G3756" s="3" t="n">
        <v>44124.67</v>
      </c>
    </row>
    <row r="3757">
      <c r="A3757" s="3" t="inlineStr">
        <is>
          <t>Heron Fields (Pty) Ltd</t>
        </is>
      </c>
      <c r="B3757" s="4" t="n">
        <v>45138</v>
      </c>
      <c r="C3757" s="3" t="inlineStr">
        <is>
          <t>Expenses</t>
        </is>
      </c>
      <c r="D3757" s="3" t="inlineStr">
        <is>
          <t>3900/120</t>
        </is>
      </c>
      <c r="E3757" s="3" t="inlineStr">
        <is>
          <t>Interest Paid - Investors @ 7%</t>
        </is>
      </c>
      <c r="F3757" s="3" t="n">
        <v>0</v>
      </c>
      <c r="G3757" s="3" t="n">
        <v>11678.33</v>
      </c>
    </row>
    <row r="3758">
      <c r="A3758" s="3" t="inlineStr">
        <is>
          <t>Heron Fields (Pty) Ltd</t>
        </is>
      </c>
      <c r="B3758" s="4" t="n">
        <v>45138</v>
      </c>
      <c r="C3758" s="3" t="inlineStr">
        <is>
          <t>Expenses</t>
        </is>
      </c>
      <c r="D3758" s="3" t="inlineStr">
        <is>
          <t>3900/126</t>
        </is>
      </c>
      <c r="E3758" s="3" t="inlineStr">
        <is>
          <t>Interest Paid - Investors @ 7.5%</t>
        </is>
      </c>
      <c r="F3758" s="3" t="n">
        <v>821.92</v>
      </c>
      <c r="G3758" s="3" t="n">
        <v>1252.24</v>
      </c>
    </row>
    <row r="3759">
      <c r="A3759" s="3" t="inlineStr">
        <is>
          <t>Heron Fields (Pty) Ltd</t>
        </is>
      </c>
      <c r="B3759" s="4" t="n">
        <v>45138</v>
      </c>
      <c r="C3759" s="3" t="inlineStr">
        <is>
          <t>Expenses</t>
        </is>
      </c>
      <c r="D3759" s="3" t="inlineStr">
        <is>
          <t>3900/133</t>
        </is>
      </c>
      <c r="E3759" s="3" t="inlineStr">
        <is>
          <t>Interest Paid - Investors @ 8.25%</t>
        </is>
      </c>
      <c r="F3759" s="3" t="n">
        <v>5515.07</v>
      </c>
      <c r="G3759" s="3" t="n">
        <v>5515.07</v>
      </c>
    </row>
    <row r="3760">
      <c r="A3760" s="3" t="inlineStr">
        <is>
          <t>Heron Fields (Pty) Ltd</t>
        </is>
      </c>
      <c r="B3760" s="4" t="n">
        <v>45138</v>
      </c>
      <c r="C3760" s="3" t="inlineStr">
        <is>
          <t>Expenses</t>
        </is>
      </c>
      <c r="D3760" s="3" t="inlineStr">
        <is>
          <t>3900/140</t>
        </is>
      </c>
      <c r="E3760" s="3" t="inlineStr">
        <is>
          <t>Interest Paid - Investors @ 9%</t>
        </is>
      </c>
      <c r="F3760" s="3" t="n">
        <v>591.78</v>
      </c>
      <c r="G3760" s="3" t="n">
        <v>591.78</v>
      </c>
    </row>
    <row r="3761">
      <c r="A3761" s="3" t="inlineStr">
        <is>
          <t>Heron Fields (Pty) Ltd</t>
        </is>
      </c>
      <c r="B3761" s="4" t="n">
        <v>45138</v>
      </c>
      <c r="C3761" s="3" t="inlineStr">
        <is>
          <t>Expenses</t>
        </is>
      </c>
      <c r="D3761" s="3" t="inlineStr">
        <is>
          <t>3900/190</t>
        </is>
      </c>
      <c r="E3761" s="3" t="inlineStr">
        <is>
          <t>Interest Paid - Investors @ 14%</t>
        </is>
      </c>
      <c r="F3761" s="3" t="n">
        <v>0</v>
      </c>
      <c r="G3761" s="3" t="n">
        <v>400367.2</v>
      </c>
    </row>
    <row r="3762">
      <c r="A3762" s="3" t="inlineStr">
        <is>
          <t>Heron Fields (Pty) Ltd</t>
        </is>
      </c>
      <c r="B3762" s="4" t="n">
        <v>45138</v>
      </c>
      <c r="C3762" s="3" t="inlineStr">
        <is>
          <t>Expenses</t>
        </is>
      </c>
      <c r="D3762" s="3" t="inlineStr">
        <is>
          <t>3900/200</t>
        </is>
      </c>
      <c r="E3762" s="3" t="inlineStr">
        <is>
          <t>Interest Paid - Investors @ 15%</t>
        </is>
      </c>
      <c r="F3762" s="3" t="n">
        <v>26630.13</v>
      </c>
      <c r="G3762" s="3" t="n">
        <v>333349.31</v>
      </c>
    </row>
    <row r="3763">
      <c r="A3763" s="3" t="inlineStr">
        <is>
          <t>Heron Fields (Pty) Ltd</t>
        </is>
      </c>
      <c r="B3763" s="4" t="n">
        <v>45138</v>
      </c>
      <c r="C3763" s="3" t="inlineStr">
        <is>
          <t>Expenses</t>
        </is>
      </c>
      <c r="D3763" s="3" t="inlineStr">
        <is>
          <t>3900/210</t>
        </is>
      </c>
      <c r="E3763" s="3" t="inlineStr">
        <is>
          <t>Interest Paid - Investors @ 16%</t>
        </is>
      </c>
      <c r="F3763" s="3" t="n">
        <v>0</v>
      </c>
      <c r="G3763" s="3" t="n">
        <v>47473.98</v>
      </c>
    </row>
    <row r="3764">
      <c r="A3764" s="3" t="inlineStr">
        <is>
          <t>Heron Fields (Pty) Ltd</t>
        </is>
      </c>
      <c r="B3764" s="4" t="n">
        <v>45138</v>
      </c>
      <c r="C3764" s="3" t="inlineStr">
        <is>
          <t>Expenses</t>
        </is>
      </c>
      <c r="D3764" s="3" t="inlineStr">
        <is>
          <t>3900/230</t>
        </is>
      </c>
      <c r="E3764" s="3" t="inlineStr">
        <is>
          <t>Interest Paid - Investors @ 18%</t>
        </is>
      </c>
      <c r="F3764" s="3" t="n">
        <v>411780.83</v>
      </c>
      <c r="G3764" s="3" t="n">
        <v>3197167.68</v>
      </c>
    </row>
    <row r="3765">
      <c r="A3765" s="3" t="inlineStr">
        <is>
          <t>Cape Projects Construction (Pty) Ltd</t>
        </is>
      </c>
      <c r="B3765" s="4" t="n">
        <v>45138</v>
      </c>
      <c r="C3765" s="3" t="inlineStr">
        <is>
          <t>Expenses</t>
        </is>
      </c>
      <c r="D3765" s="3" t="inlineStr">
        <is>
          <t>4000/000</t>
        </is>
      </c>
      <c r="E3765" s="3" t="inlineStr">
        <is>
          <t>Legal Fees</t>
        </is>
      </c>
      <c r="F3765" s="3" t="n">
        <v>0</v>
      </c>
      <c r="G3765" s="3" t="n">
        <v>5202.88</v>
      </c>
    </row>
    <row r="3766">
      <c r="A3766" s="3" t="inlineStr">
        <is>
          <t>Heron Fields (Pty) Ltd</t>
        </is>
      </c>
      <c r="B3766" s="4" t="n">
        <v>45138</v>
      </c>
      <c r="C3766" s="3" t="inlineStr">
        <is>
          <t>Expenses</t>
        </is>
      </c>
      <c r="D3766" s="3" t="inlineStr">
        <is>
          <t>4050/100</t>
        </is>
      </c>
      <c r="E3766" s="3" t="inlineStr">
        <is>
          <t>Developers Levies</t>
        </is>
      </c>
      <c r="F3766" s="3" t="n">
        <v>5282.68</v>
      </c>
      <c r="G3766" s="3" t="n">
        <v>76865.83</v>
      </c>
    </row>
    <row r="3767">
      <c r="A3767" s="3" t="inlineStr">
        <is>
          <t>Heron View (Pty) Ltd</t>
        </is>
      </c>
      <c r="B3767" s="4" t="n">
        <v>45138</v>
      </c>
      <c r="C3767" s="3" t="inlineStr">
        <is>
          <t>Expenses</t>
        </is>
      </c>
      <c r="D3767" s="3" t="inlineStr">
        <is>
          <t>4070/000</t>
        </is>
      </c>
      <c r="E3767" s="3" t="inlineStr">
        <is>
          <t>Management fees - OMH</t>
        </is>
      </c>
      <c r="F3767" s="3" t="n">
        <v>0</v>
      </c>
      <c r="G3767" s="3" t="n">
        <v>350000</v>
      </c>
    </row>
    <row r="3768">
      <c r="A3768" s="3" t="inlineStr">
        <is>
          <t>Heron Fields (Pty) Ltd</t>
        </is>
      </c>
      <c r="B3768" s="4" t="n">
        <v>45138</v>
      </c>
      <c r="C3768" s="3" t="inlineStr">
        <is>
          <t>Expenses</t>
        </is>
      </c>
      <c r="D3768" s="3" t="inlineStr">
        <is>
          <t>4100/001</t>
        </is>
      </c>
      <c r="E3768" s="3" t="inlineStr">
        <is>
          <t>Momentum Admin Fee</t>
        </is>
      </c>
      <c r="F3768" s="3" t="n">
        <v>15190</v>
      </c>
      <c r="G3768" s="3" t="n">
        <v>44552.79</v>
      </c>
    </row>
    <row r="3769">
      <c r="A3769" s="3" t="inlineStr">
        <is>
          <t>Cape Projects Construction (Pty) Ltd</t>
        </is>
      </c>
      <c r="B3769" s="4" t="n">
        <v>45138</v>
      </c>
      <c r="C3769" s="3" t="inlineStr">
        <is>
          <t>Expenses</t>
        </is>
      </c>
      <c r="D3769" s="3" t="inlineStr">
        <is>
          <t>4150/000</t>
        </is>
      </c>
      <c r="E3769" s="3" t="inlineStr">
        <is>
          <t>Motor Vehicle Expenses</t>
        </is>
      </c>
      <c r="F3769" s="3" t="n">
        <v>0</v>
      </c>
      <c r="G3769" s="3" t="n">
        <v>362</v>
      </c>
    </row>
    <row r="3770">
      <c r="A3770" s="3" t="inlineStr">
        <is>
          <t>Heron Fields (Pty) Ltd</t>
        </is>
      </c>
      <c r="B3770" s="4" t="n">
        <v>45138</v>
      </c>
      <c r="C3770" s="3" t="inlineStr">
        <is>
          <t>Expenses</t>
        </is>
      </c>
      <c r="D3770" s="3" t="inlineStr">
        <is>
          <t>4150/000</t>
        </is>
      </c>
      <c r="E3770" s="3" t="inlineStr">
        <is>
          <t>Motor Vehicle Expenses</t>
        </is>
      </c>
      <c r="F3770" s="3" t="n">
        <v>20</v>
      </c>
      <c r="G3770" s="3" t="n">
        <v>20</v>
      </c>
    </row>
    <row r="3771">
      <c r="A3771" s="3" t="inlineStr">
        <is>
          <t>Cape Projects Construction (Pty) Ltd</t>
        </is>
      </c>
      <c r="B3771" s="4" t="n">
        <v>45138</v>
      </c>
      <c r="C3771" s="3" t="inlineStr">
        <is>
          <t>Expenses</t>
        </is>
      </c>
      <c r="D3771" s="3" t="inlineStr">
        <is>
          <t>4150/010</t>
        </is>
      </c>
      <c r="E3771" s="3" t="inlineStr">
        <is>
          <t>Motor Vehicle - Petrol _AND_ Oil</t>
        </is>
      </c>
      <c r="F3771" s="3" t="n">
        <v>4022.51</v>
      </c>
      <c r="G3771" s="3" t="n">
        <v>24804.03</v>
      </c>
    </row>
    <row r="3772">
      <c r="A3772" s="3" t="inlineStr">
        <is>
          <t>Cape Projects Construction (Pty) Ltd</t>
        </is>
      </c>
      <c r="B3772" s="4" t="n">
        <v>45138</v>
      </c>
      <c r="C3772" s="3" t="inlineStr">
        <is>
          <t>Expenses</t>
        </is>
      </c>
      <c r="D3772" s="3" t="inlineStr">
        <is>
          <t>4150/030</t>
        </is>
      </c>
      <c r="E3772" s="3" t="inlineStr">
        <is>
          <t>Motor Vehicle - Insurance _AND_ Licence</t>
        </is>
      </c>
      <c r="F3772" s="3" t="n">
        <v>0</v>
      </c>
      <c r="G3772" s="3" t="n">
        <v>1069</v>
      </c>
    </row>
    <row r="3773">
      <c r="A3773" s="3" t="inlineStr">
        <is>
          <t>Cape Projects Construction (Pty) Ltd</t>
        </is>
      </c>
      <c r="B3773" s="4" t="n">
        <v>45138</v>
      </c>
      <c r="C3773" s="3" t="inlineStr">
        <is>
          <t>Expenses</t>
        </is>
      </c>
      <c r="D3773" s="3" t="inlineStr">
        <is>
          <t>4200/000</t>
        </is>
      </c>
      <c r="E3773" s="3" t="inlineStr">
        <is>
          <t>Printing _AND_ Stationery</t>
        </is>
      </c>
      <c r="F3773" s="3" t="n">
        <v>5699.68</v>
      </c>
      <c r="G3773" s="3" t="n">
        <v>15690.7</v>
      </c>
    </row>
    <row r="3774">
      <c r="A3774" s="3" t="inlineStr">
        <is>
          <t>Cape Projects Construction (Pty) Ltd</t>
        </is>
      </c>
      <c r="B3774" s="4" t="n">
        <v>45138</v>
      </c>
      <c r="C3774" s="3" t="inlineStr">
        <is>
          <t>Expenses</t>
        </is>
      </c>
      <c r="D3774" s="3" t="inlineStr">
        <is>
          <t>4201/000</t>
        </is>
      </c>
      <c r="E3774" s="3" t="inlineStr">
        <is>
          <t>Printing - Printer rental</t>
        </is>
      </c>
      <c r="F3774" s="3" t="n">
        <v>1459.35</v>
      </c>
      <c r="G3774" s="3" t="n">
        <v>7508.5</v>
      </c>
    </row>
    <row r="3775">
      <c r="A3775" s="3" t="inlineStr">
        <is>
          <t>Cape Projects Construction (Pty) Ltd</t>
        </is>
      </c>
      <c r="B3775" s="4" t="n">
        <v>45138</v>
      </c>
      <c r="C3775" s="3" t="inlineStr">
        <is>
          <t>Expenses</t>
        </is>
      </c>
      <c r="D3775" s="3" t="inlineStr">
        <is>
          <t>4300/000</t>
        </is>
      </c>
      <c r="E3775" s="3" t="inlineStr">
        <is>
          <t>Rent Paid</t>
        </is>
      </c>
      <c r="F3775" s="3" t="n">
        <v>29600</v>
      </c>
      <c r="G3775" s="3" t="n">
        <v>148000</v>
      </c>
    </row>
    <row r="3776">
      <c r="A3776" s="3" t="inlineStr">
        <is>
          <t>Cape Projects Construction (Pty) Ltd</t>
        </is>
      </c>
      <c r="B3776" s="4" t="n">
        <v>45138</v>
      </c>
      <c r="C3776" s="3" t="inlineStr">
        <is>
          <t>Expenses</t>
        </is>
      </c>
      <c r="D3776" s="3" t="inlineStr">
        <is>
          <t>4310/000</t>
        </is>
      </c>
      <c r="E3776" s="3" t="inlineStr">
        <is>
          <t>Rates</t>
        </is>
      </c>
      <c r="F3776" s="3" t="n">
        <v>843.6</v>
      </c>
      <c r="G3776" s="3" t="n">
        <v>4218</v>
      </c>
    </row>
    <row r="3777">
      <c r="A3777" s="3" t="inlineStr">
        <is>
          <t>Heron Fields (Pty) Ltd</t>
        </is>
      </c>
      <c r="B3777" s="4" t="n">
        <v>45138</v>
      </c>
      <c r="C3777" s="3" t="inlineStr">
        <is>
          <t>Expenses</t>
        </is>
      </c>
      <c r="D3777" s="3" t="inlineStr">
        <is>
          <t>4310/000</t>
        </is>
      </c>
      <c r="E3777" s="3" t="inlineStr">
        <is>
          <t>Rates - Heron</t>
        </is>
      </c>
      <c r="F3777" s="3" t="n">
        <v>0</v>
      </c>
      <c r="G3777" s="3" t="n">
        <v>-11396.43</v>
      </c>
    </row>
    <row r="3778">
      <c r="A3778" s="3" t="inlineStr">
        <is>
          <t>Cape Projects Construction (Pty) Ltd</t>
        </is>
      </c>
      <c r="B3778" s="4" t="n">
        <v>45138</v>
      </c>
      <c r="C3778" s="3" t="inlineStr">
        <is>
          <t>Expenses</t>
        </is>
      </c>
      <c r="D3778" s="3" t="inlineStr">
        <is>
          <t>4350/000</t>
        </is>
      </c>
      <c r="E3778" s="3" t="inlineStr">
        <is>
          <t>Repairs _AND_ Maintenance</t>
        </is>
      </c>
      <c r="F3778" s="3" t="n">
        <v>5400</v>
      </c>
      <c r="G3778" s="3" t="n">
        <v>14779.4</v>
      </c>
    </row>
    <row r="3779">
      <c r="A3779" s="3" t="inlineStr">
        <is>
          <t>Heron Fields (Pty) Ltd</t>
        </is>
      </c>
      <c r="B3779" s="4" t="n">
        <v>45138</v>
      </c>
      <c r="C3779" s="3" t="inlineStr">
        <is>
          <t>Expenses</t>
        </is>
      </c>
      <c r="D3779" s="3" t="inlineStr">
        <is>
          <t>4350/000</t>
        </is>
      </c>
      <c r="E3779" s="3" t="inlineStr">
        <is>
          <t>Repairs _AND_ Maintenance</t>
        </is>
      </c>
      <c r="F3779" s="3" t="n">
        <v>33647.28</v>
      </c>
      <c r="G3779" s="3" t="n">
        <v>33647.28</v>
      </c>
    </row>
    <row r="3780">
      <c r="A3780" s="3" t="inlineStr">
        <is>
          <t>Cape Projects Construction (Pty) Ltd</t>
        </is>
      </c>
      <c r="B3780" s="4" t="n">
        <v>45138</v>
      </c>
      <c r="C3780" s="3" t="inlineStr">
        <is>
          <t>Expenses</t>
        </is>
      </c>
      <c r="D3780" s="3" t="inlineStr">
        <is>
          <t>4400/000</t>
        </is>
      </c>
      <c r="E3780" s="3" t="inlineStr">
        <is>
          <t>Salaries _AND_ Wages</t>
        </is>
      </c>
      <c r="F3780" s="3" t="n">
        <v>377867.45</v>
      </c>
      <c r="G3780" s="3" t="n">
        <v>1722936.03</v>
      </c>
    </row>
    <row r="3781">
      <c r="A3781" s="3" t="inlineStr">
        <is>
          <t>Cape Projects Construction (Pty) Ltd</t>
        </is>
      </c>
      <c r="B3781" s="4" t="n">
        <v>45138</v>
      </c>
      <c r="C3781" s="3" t="inlineStr">
        <is>
          <t>Expenses</t>
        </is>
      </c>
      <c r="D3781" s="3" t="inlineStr">
        <is>
          <t>4402</t>
        </is>
      </c>
      <c r="E3781" s="3" t="inlineStr">
        <is>
          <t>Salaries &amp; Wages - WCA</t>
        </is>
      </c>
      <c r="F3781" s="3" t="n">
        <v>0</v>
      </c>
      <c r="G3781" s="3" t="n">
        <v>5192.13</v>
      </c>
    </row>
    <row r="3782">
      <c r="A3782" s="3" t="inlineStr">
        <is>
          <t>Cape Projects Construction (Pty) Ltd</t>
        </is>
      </c>
      <c r="B3782" s="4" t="n">
        <v>45138</v>
      </c>
      <c r="C3782" s="3" t="inlineStr">
        <is>
          <t>Expenses</t>
        </is>
      </c>
      <c r="D3782" s="3" t="inlineStr">
        <is>
          <t>4403/000</t>
        </is>
      </c>
      <c r="E3782" s="3" t="inlineStr">
        <is>
          <t>Security</t>
        </is>
      </c>
      <c r="F3782" s="3" t="n">
        <v>177.33</v>
      </c>
      <c r="G3782" s="3" t="n">
        <v>886.65</v>
      </c>
    </row>
    <row r="3783">
      <c r="A3783" s="3" t="inlineStr">
        <is>
          <t>Cape Projects Construction (Pty) Ltd</t>
        </is>
      </c>
      <c r="B3783" s="4" t="n">
        <v>45138</v>
      </c>
      <c r="C3783" s="3" t="inlineStr">
        <is>
          <t>Expenses</t>
        </is>
      </c>
      <c r="D3783" s="3" t="inlineStr">
        <is>
          <t>4420/000</t>
        </is>
      </c>
      <c r="E3783" s="3" t="inlineStr">
        <is>
          <t>Small Assets</t>
        </is>
      </c>
      <c r="F3783" s="3" t="n">
        <v>2165.59</v>
      </c>
      <c r="G3783" s="3" t="n">
        <v>9379.5</v>
      </c>
    </row>
    <row r="3784">
      <c r="A3784" s="3" t="inlineStr">
        <is>
          <t>Heron Fields (Pty) Ltd</t>
        </is>
      </c>
      <c r="B3784" s="4" t="n">
        <v>45138</v>
      </c>
      <c r="C3784" s="3" t="inlineStr">
        <is>
          <t>Expenses</t>
        </is>
      </c>
      <c r="D3784" s="3" t="inlineStr">
        <is>
          <t>4420/001</t>
        </is>
      </c>
      <c r="E3784" s="3" t="inlineStr">
        <is>
          <t>Security - ADT</t>
        </is>
      </c>
      <c r="F3784" s="3" t="n">
        <v>366.14</v>
      </c>
      <c r="G3784" s="3" t="n">
        <v>1717.42</v>
      </c>
    </row>
    <row r="3785">
      <c r="A3785" s="3" t="inlineStr">
        <is>
          <t>Cape Projects Construction (Pty) Ltd</t>
        </is>
      </c>
      <c r="B3785" s="4" t="n">
        <v>45138</v>
      </c>
      <c r="C3785" s="3" t="inlineStr">
        <is>
          <t>Expenses</t>
        </is>
      </c>
      <c r="D3785" s="3" t="inlineStr">
        <is>
          <t>4500/000</t>
        </is>
      </c>
      <c r="E3785" s="3" t="inlineStr">
        <is>
          <t>Staff Welfare _AND_ Refreshmts</t>
        </is>
      </c>
      <c r="F3785" s="3" t="n">
        <v>4892.56</v>
      </c>
      <c r="G3785" s="3" t="n">
        <v>10179.67</v>
      </c>
    </row>
    <row r="3786">
      <c r="A3786" s="3" t="inlineStr">
        <is>
          <t>Cape Projects Construction (Pty) Ltd</t>
        </is>
      </c>
      <c r="B3786" s="4" t="n">
        <v>45138</v>
      </c>
      <c r="C3786" s="3" t="inlineStr">
        <is>
          <t>Expenses</t>
        </is>
      </c>
      <c r="D3786" s="3" t="inlineStr">
        <is>
          <t>4550/000</t>
        </is>
      </c>
      <c r="E3786" s="3" t="inlineStr">
        <is>
          <t>Subscriptions / Licenses</t>
        </is>
      </c>
      <c r="F3786" s="3" t="n">
        <v>2162.32</v>
      </c>
      <c r="G3786" s="3" t="n">
        <v>10511.97</v>
      </c>
    </row>
    <row r="3787">
      <c r="A3787" s="3" t="inlineStr">
        <is>
          <t>Cape Projects Construction (Pty) Ltd</t>
        </is>
      </c>
      <c r="B3787" s="4" t="n">
        <v>45138</v>
      </c>
      <c r="C3787" s="3" t="inlineStr">
        <is>
          <t>Expenses</t>
        </is>
      </c>
      <c r="D3787" s="3" t="inlineStr">
        <is>
          <t>4550/001</t>
        </is>
      </c>
      <c r="E3787" s="3" t="inlineStr">
        <is>
          <t>Subscriptions &amp; Licenses - Sage payroll</t>
        </is>
      </c>
      <c r="F3787" s="3" t="n">
        <v>747</v>
      </c>
      <c r="G3787" s="3" t="n">
        <v>3735</v>
      </c>
    </row>
    <row r="3788">
      <c r="A3788" s="3" t="inlineStr">
        <is>
          <t>Cape Projects Construction (Pty) Ltd</t>
        </is>
      </c>
      <c r="B3788" s="4" t="n">
        <v>45138</v>
      </c>
      <c r="C3788" s="3" t="inlineStr">
        <is>
          <t>Expenses</t>
        </is>
      </c>
      <c r="D3788" s="3" t="inlineStr">
        <is>
          <t>4550/002</t>
        </is>
      </c>
      <c r="E3788" s="3" t="inlineStr">
        <is>
          <t>Subscriptions &amp; Licenses - Caseware</t>
        </is>
      </c>
      <c r="F3788" s="3" t="n">
        <v>0</v>
      </c>
      <c r="G3788" s="3" t="n">
        <v>10825.49</v>
      </c>
    </row>
    <row r="3789">
      <c r="A3789" s="3" t="inlineStr">
        <is>
          <t>Cape Projects Construction (Pty) Ltd</t>
        </is>
      </c>
      <c r="B3789" s="4" t="n">
        <v>45138</v>
      </c>
      <c r="C3789" s="3" t="inlineStr">
        <is>
          <t>Expenses</t>
        </is>
      </c>
      <c r="D3789" s="3" t="inlineStr">
        <is>
          <t>4550/003</t>
        </is>
      </c>
      <c r="E3789" s="3" t="inlineStr">
        <is>
          <t>Subscriptions &amp; Licenses - Xero</t>
        </is>
      </c>
      <c r="F3789" s="3" t="n">
        <v>600</v>
      </c>
      <c r="G3789" s="3" t="n">
        <v>3000</v>
      </c>
    </row>
    <row r="3790">
      <c r="A3790" s="3" t="inlineStr">
        <is>
          <t>Cape Projects Construction (Pty) Ltd</t>
        </is>
      </c>
      <c r="B3790" s="4" t="n">
        <v>45138</v>
      </c>
      <c r="C3790" s="3" t="inlineStr">
        <is>
          <t>Expenses</t>
        </is>
      </c>
      <c r="D3790" s="3" t="inlineStr">
        <is>
          <t>4550/004</t>
        </is>
      </c>
      <c r="E3790" s="3" t="inlineStr">
        <is>
          <t>Subscriptions - Smartsheet</t>
        </is>
      </c>
      <c r="F3790" s="3" t="n">
        <v>847</v>
      </c>
      <c r="G3790" s="3" t="n">
        <v>4039.73</v>
      </c>
    </row>
    <row r="3791">
      <c r="A3791" s="3" t="inlineStr">
        <is>
          <t>Heron Fields (Pty) Ltd</t>
        </is>
      </c>
      <c r="B3791" s="4" t="n">
        <v>45138</v>
      </c>
      <c r="C3791" s="3" t="inlineStr">
        <is>
          <t>Expenses</t>
        </is>
      </c>
      <c r="D3791" s="3" t="inlineStr">
        <is>
          <t>4550/100</t>
        </is>
      </c>
      <c r="E3791" s="3" t="inlineStr">
        <is>
          <t>Subscriptions - Xero</t>
        </is>
      </c>
      <c r="F3791" s="3" t="n">
        <v>600</v>
      </c>
      <c r="G3791" s="3" t="n">
        <v>3000</v>
      </c>
    </row>
    <row r="3792">
      <c r="A3792" s="3" t="inlineStr">
        <is>
          <t>Heron View (Pty) Ltd</t>
        </is>
      </c>
      <c r="B3792" s="4" t="n">
        <v>45138</v>
      </c>
      <c r="C3792" s="3" t="inlineStr">
        <is>
          <t>Expenses</t>
        </is>
      </c>
      <c r="D3792" s="3" t="inlineStr">
        <is>
          <t>4550/100</t>
        </is>
      </c>
      <c r="E3792" s="3" t="inlineStr">
        <is>
          <t>Subscriptions - Xero</t>
        </is>
      </c>
      <c r="F3792" s="3" t="n">
        <v>600</v>
      </c>
      <c r="G3792" s="3" t="n">
        <v>3000</v>
      </c>
    </row>
    <row r="3793">
      <c r="A3793" s="3" t="inlineStr">
        <is>
          <t>Cape Projects Construction (Pty) Ltd</t>
        </is>
      </c>
      <c r="B3793" s="4" t="n">
        <v>45138</v>
      </c>
      <c r="C3793" s="3" t="inlineStr">
        <is>
          <t>Expenses</t>
        </is>
      </c>
      <c r="D3793" s="3" t="inlineStr">
        <is>
          <t>4560</t>
        </is>
      </c>
      <c r="E3793" s="3" t="inlineStr">
        <is>
          <t>Secretarial fees - CIPC</t>
        </is>
      </c>
      <c r="F3793" s="3" t="n">
        <v>4000</v>
      </c>
      <c r="G3793" s="3" t="n">
        <v>4000</v>
      </c>
    </row>
    <row r="3794">
      <c r="A3794" s="3" t="inlineStr">
        <is>
          <t>Cape Projects Construction (Pty) Ltd</t>
        </is>
      </c>
      <c r="B3794" s="4" t="n">
        <v>45138</v>
      </c>
      <c r="C3794" s="3" t="inlineStr">
        <is>
          <t>Expenses</t>
        </is>
      </c>
      <c r="D3794" s="3" t="inlineStr">
        <is>
          <t>4700/000</t>
        </is>
      </c>
      <c r="E3794" s="3" t="inlineStr">
        <is>
          <t>PAYE Contributions</t>
        </is>
      </c>
      <c r="F3794" s="3" t="n">
        <v>82564.37</v>
      </c>
      <c r="G3794" s="3" t="n">
        <v>395352.6</v>
      </c>
    </row>
    <row r="3795">
      <c r="A3795" s="3" t="inlineStr">
        <is>
          <t>Cape Projects Construction (Pty) Ltd</t>
        </is>
      </c>
      <c r="B3795" s="4" t="n">
        <v>45138</v>
      </c>
      <c r="C3795" s="3" t="inlineStr">
        <is>
          <t>Expenses</t>
        </is>
      </c>
      <c r="D3795" s="3" t="inlineStr">
        <is>
          <t>4720/000</t>
        </is>
      </c>
      <c r="E3795" s="3" t="inlineStr">
        <is>
          <t>SDL Contributions</t>
        </is>
      </c>
      <c r="F3795" s="3" t="n">
        <v>4480.77</v>
      </c>
      <c r="G3795" s="3" t="n">
        <v>20558.53</v>
      </c>
    </row>
    <row r="3796">
      <c r="A3796" s="3" t="inlineStr">
        <is>
          <t>Cape Projects Construction (Pty) Ltd</t>
        </is>
      </c>
      <c r="B3796" s="4" t="n">
        <v>45138</v>
      </c>
      <c r="C3796" s="3" t="inlineStr">
        <is>
          <t>Expenses</t>
        </is>
      </c>
      <c r="D3796" s="3" t="inlineStr">
        <is>
          <t>4730/000</t>
        </is>
      </c>
      <c r="E3796" s="3" t="inlineStr">
        <is>
          <t>UIF Company Contributions</t>
        </is>
      </c>
      <c r="F3796" s="3" t="n">
        <v>2495.21</v>
      </c>
      <c r="G3796" s="3" t="n">
        <v>10920.83</v>
      </c>
    </row>
    <row r="3797">
      <c r="A3797" s="3" t="inlineStr">
        <is>
          <t>Cape Projects Construction (Pty) Ltd</t>
        </is>
      </c>
      <c r="B3797" s="4" t="n">
        <v>45138</v>
      </c>
      <c r="C3797" s="3" t="inlineStr">
        <is>
          <t>Expenses</t>
        </is>
      </c>
      <c r="D3797" s="3" t="inlineStr">
        <is>
          <t>4731/000</t>
        </is>
      </c>
      <c r="E3797" s="3" t="inlineStr">
        <is>
          <t>UIF Employee Contribution</t>
        </is>
      </c>
      <c r="F3797" s="3" t="n">
        <v>2495.21</v>
      </c>
      <c r="G3797" s="3" t="n">
        <v>10920.83</v>
      </c>
    </row>
    <row r="3798">
      <c r="A3798" s="3" t="inlineStr">
        <is>
          <t>Cape Projects Construction (Pty) Ltd</t>
        </is>
      </c>
      <c r="B3798" s="4" t="n">
        <v>45138</v>
      </c>
      <c r="C3798" s="3" t="inlineStr">
        <is>
          <t>Expenses</t>
        </is>
      </c>
      <c r="D3798" s="3" t="inlineStr">
        <is>
          <t>4740/000</t>
        </is>
      </c>
      <c r="E3798" s="3" t="inlineStr">
        <is>
          <t>BIBC Company Contribution</t>
        </is>
      </c>
      <c r="F3798" s="3" t="n">
        <v>0</v>
      </c>
      <c r="G3798" s="3" t="n">
        <v>15075.35</v>
      </c>
    </row>
    <row r="3799">
      <c r="A3799" s="3" t="inlineStr">
        <is>
          <t>Cape Projects Construction (Pty) Ltd</t>
        </is>
      </c>
      <c r="B3799" s="4" t="n">
        <v>45138</v>
      </c>
      <c r="C3799" s="3" t="inlineStr">
        <is>
          <t>Expenses</t>
        </is>
      </c>
      <c r="D3799" s="3" t="inlineStr">
        <is>
          <t>4741/000</t>
        </is>
      </c>
      <c r="E3799" s="3" t="inlineStr">
        <is>
          <t>BIBC Employee Contribution</t>
        </is>
      </c>
      <c r="F3799" s="3" t="n">
        <v>0</v>
      </c>
      <c r="G3799" s="3" t="n">
        <v>4562.1</v>
      </c>
    </row>
    <row r="3800">
      <c r="A3800" s="3" t="inlineStr">
        <is>
          <t>Heron Fields (Pty) Ltd</t>
        </is>
      </c>
      <c r="B3800" s="4" t="n">
        <v>45138</v>
      </c>
      <c r="C3800" s="3" t="inlineStr">
        <is>
          <t>Equity</t>
        </is>
      </c>
      <c r="D3800" s="3" t="inlineStr">
        <is>
          <t>5100-000</t>
        </is>
      </c>
      <c r="E3800" s="3" t="inlineStr">
        <is>
          <t>Share Capital</t>
        </is>
      </c>
      <c r="F3800" s="3" t="n">
        <v>0</v>
      </c>
      <c r="G3800" s="3" t="n">
        <v>-100</v>
      </c>
    </row>
    <row r="3801">
      <c r="A3801" s="3" t="inlineStr">
        <is>
          <t>Cape Projects Construction (Pty) Ltd</t>
        </is>
      </c>
      <c r="B3801" s="4" t="n">
        <v>45138</v>
      </c>
      <c r="C3801" s="3" t="inlineStr">
        <is>
          <t>Equity</t>
        </is>
      </c>
      <c r="D3801" s="3" t="inlineStr">
        <is>
          <t>5100/000</t>
        </is>
      </c>
      <c r="E3801" s="3" t="inlineStr">
        <is>
          <t>Share Capital / Members Contribution</t>
        </is>
      </c>
      <c r="F3801" s="3" t="n">
        <v>0</v>
      </c>
      <c r="G3801" s="3" t="n">
        <v>-120</v>
      </c>
    </row>
    <row r="3802">
      <c r="A3802" s="3" t="inlineStr">
        <is>
          <t>Cape Projects Construction (Pty) Ltd</t>
        </is>
      </c>
      <c r="B3802" s="4" t="n">
        <v>45138</v>
      </c>
      <c r="C3802" s="3" t="inlineStr">
        <is>
          <t>Equity</t>
        </is>
      </c>
      <c r="D3802" s="3" t="inlineStr">
        <is>
          <t>5200/000</t>
        </is>
      </c>
      <c r="E3802" s="3" t="inlineStr">
        <is>
          <t>Retained Earnings / Loss</t>
        </is>
      </c>
      <c r="F3802" s="3" t="n">
        <v>0</v>
      </c>
      <c r="G3802" s="3" t="n">
        <v>-296075.58</v>
      </c>
    </row>
    <row r="3803">
      <c r="A3803" s="3" t="inlineStr">
        <is>
          <t>Heron Fields (Pty) Ltd</t>
        </is>
      </c>
      <c r="B3803" s="4" t="n">
        <v>45138</v>
      </c>
      <c r="C3803" s="3" t="inlineStr">
        <is>
          <t>Equity</t>
        </is>
      </c>
      <c r="D3803" s="3" t="inlineStr">
        <is>
          <t>5200/000</t>
        </is>
      </c>
      <c r="E3803" s="3" t="inlineStr">
        <is>
          <t>Retained Earnings / Loss</t>
        </is>
      </c>
      <c r="F3803" s="3" t="n">
        <v>0</v>
      </c>
      <c r="G3803" s="3" t="n">
        <v>-17843179.58</v>
      </c>
    </row>
    <row r="3804">
      <c r="A3804" s="3" t="inlineStr">
        <is>
          <t>Heron View (Pty) Ltd</t>
        </is>
      </c>
      <c r="B3804" s="4" t="n">
        <v>45138</v>
      </c>
      <c r="C3804" s="3" t="inlineStr">
        <is>
          <t>Equity</t>
        </is>
      </c>
      <c r="D3804" s="3" t="inlineStr">
        <is>
          <t>5200/000</t>
        </is>
      </c>
      <c r="E3804" s="3" t="inlineStr">
        <is>
          <t>Retained Earnings / Loss</t>
        </is>
      </c>
      <c r="F3804" s="3" t="n">
        <v>0</v>
      </c>
      <c r="G3804" s="3" t="n">
        <v>70398.12</v>
      </c>
    </row>
    <row r="3805">
      <c r="A3805" s="3" t="inlineStr">
        <is>
          <t>Heron Fields (Pty) Ltd</t>
        </is>
      </c>
      <c r="B3805" s="4" t="n">
        <v>45138</v>
      </c>
      <c r="C3805" s="3" t="inlineStr">
        <is>
          <t>Assets</t>
        </is>
      </c>
      <c r="D3805" s="3" t="inlineStr">
        <is>
          <t>5300/001</t>
        </is>
      </c>
      <c r="E3805" s="3" t="inlineStr">
        <is>
          <t>Revaluation of Land stock</t>
        </is>
      </c>
      <c r="F3805" s="3" t="n">
        <v>0</v>
      </c>
      <c r="G3805" s="3" t="n">
        <v>17562360.85</v>
      </c>
    </row>
    <row r="3806">
      <c r="A3806" s="3" t="inlineStr">
        <is>
          <t>Cape Projects Construction (Pty) Ltd</t>
        </is>
      </c>
      <c r="B3806" s="4" t="n">
        <v>45138</v>
      </c>
      <c r="C3806" s="3" t="inlineStr">
        <is>
          <t>Assets</t>
        </is>
      </c>
      <c r="D3806" s="3" t="inlineStr">
        <is>
          <t>5400/150</t>
        </is>
      </c>
      <c r="E3806" s="3" t="inlineStr">
        <is>
          <t>Loan - Quinate</t>
        </is>
      </c>
      <c r="F3806" s="3" t="n">
        <v>0</v>
      </c>
      <c r="G3806" s="3" t="n">
        <v>185000</v>
      </c>
    </row>
    <row r="3807">
      <c r="A3807" s="3" t="inlineStr">
        <is>
          <t>Cape Projects Construction (Pty) Ltd</t>
        </is>
      </c>
      <c r="B3807" s="4" t="n">
        <v>45138</v>
      </c>
      <c r="C3807" s="3" t="inlineStr">
        <is>
          <t>Assets</t>
        </is>
      </c>
      <c r="D3807" s="3" t="inlineStr">
        <is>
          <t>5400/220</t>
        </is>
      </c>
      <c r="E3807" s="3" t="inlineStr">
        <is>
          <t>Members Loan - WH</t>
        </is>
      </c>
      <c r="F3807" s="3" t="n">
        <v>0</v>
      </c>
      <c r="G3807" s="3" t="n">
        <v>-4342.5</v>
      </c>
    </row>
    <row r="3808">
      <c r="A3808" s="3" t="inlineStr">
        <is>
          <t>Cape Projects Construction (Pty) Ltd</t>
        </is>
      </c>
      <c r="B3808" s="4" t="n">
        <v>45138</v>
      </c>
      <c r="C3808" s="3" t="inlineStr">
        <is>
          <t>Assets</t>
        </is>
      </c>
      <c r="D3808" s="3" t="inlineStr">
        <is>
          <t>5400/450</t>
        </is>
      </c>
      <c r="E3808" s="3" t="inlineStr">
        <is>
          <t>Loan - Opportunity Investment</t>
        </is>
      </c>
      <c r="F3808" s="3" t="n">
        <v>0</v>
      </c>
      <c r="G3808" s="3" t="n">
        <v>-2261000</v>
      </c>
    </row>
    <row r="3809">
      <c r="A3809" s="3" t="inlineStr">
        <is>
          <t>Cape Projects Construction (Pty) Ltd</t>
        </is>
      </c>
      <c r="B3809" s="4" t="n">
        <v>45138</v>
      </c>
      <c r="C3809" s="3" t="inlineStr">
        <is>
          <t>Assets</t>
        </is>
      </c>
      <c r="D3809" s="3" t="inlineStr">
        <is>
          <t>5400/500</t>
        </is>
      </c>
      <c r="E3809" s="3" t="inlineStr">
        <is>
          <t>Loan - Blou Mamba Trust</t>
        </is>
      </c>
      <c r="F3809" s="3" t="n">
        <v>0</v>
      </c>
      <c r="G3809" s="3" t="n">
        <v>4342.5</v>
      </c>
    </row>
    <row r="3810">
      <c r="A3810" s="3" t="inlineStr">
        <is>
          <t>Cape Projects Construction (Pty) Ltd</t>
        </is>
      </c>
      <c r="B3810" s="4" t="n">
        <v>45138</v>
      </c>
      <c r="C3810" s="3" t="inlineStr">
        <is>
          <t>Assets</t>
        </is>
      </c>
      <c r="D3810" s="3" t="inlineStr">
        <is>
          <t>5400/550</t>
        </is>
      </c>
      <c r="E3810" s="3" t="inlineStr">
        <is>
          <t>Loan - Trademark</t>
        </is>
      </c>
      <c r="F3810" s="3" t="n">
        <v>600</v>
      </c>
      <c r="G3810" s="3" t="n">
        <v>-19400</v>
      </c>
    </row>
    <row r="3811">
      <c r="A3811" s="3" t="inlineStr">
        <is>
          <t>Cape Projects Construction (Pty) Ltd</t>
        </is>
      </c>
      <c r="B3811" s="4" t="n">
        <v>45138</v>
      </c>
      <c r="C3811" s="3" t="inlineStr">
        <is>
          <t>Assets</t>
        </is>
      </c>
      <c r="D3811" s="3" t="inlineStr">
        <is>
          <t>5400/600</t>
        </is>
      </c>
      <c r="E3811" s="3" t="inlineStr">
        <is>
          <t>Loan - Heron Projects</t>
        </is>
      </c>
      <c r="F3811" s="3" t="n">
        <v>37000</v>
      </c>
      <c r="G3811" s="3" t="n">
        <v>-10114940.42</v>
      </c>
    </row>
    <row r="3812">
      <c r="A3812" s="3" t="inlineStr">
        <is>
          <t>Cape Projects Construction (Pty) Ltd</t>
        </is>
      </c>
      <c r="B3812" s="4" t="n">
        <v>45138</v>
      </c>
      <c r="C3812" s="3" t="inlineStr">
        <is>
          <t>Assets</t>
        </is>
      </c>
      <c r="D3812" s="3" t="inlineStr">
        <is>
          <t>5400/650</t>
        </is>
      </c>
      <c r="E3812" s="3" t="inlineStr">
        <is>
          <t>Loan - Noble Shield</t>
        </is>
      </c>
      <c r="F3812" s="3" t="n">
        <v>600</v>
      </c>
      <c r="G3812" s="3" t="n">
        <v>-19400</v>
      </c>
    </row>
    <row r="3813">
      <c r="A3813" s="3" t="inlineStr">
        <is>
          <t>Cape Projects Construction (Pty) Ltd</t>
        </is>
      </c>
      <c r="B3813" s="4" t="n">
        <v>45138</v>
      </c>
      <c r="C3813" s="3" t="inlineStr">
        <is>
          <t>Assets</t>
        </is>
      </c>
      <c r="D3813" s="3" t="inlineStr">
        <is>
          <t>5400/750</t>
        </is>
      </c>
      <c r="E3813" s="3" t="inlineStr">
        <is>
          <t>Loan - Endulini</t>
        </is>
      </c>
      <c r="F3813" s="3" t="n">
        <v>300000</v>
      </c>
      <c r="G3813" s="3" t="n">
        <v>21049187.4</v>
      </c>
    </row>
    <row r="3814">
      <c r="A3814" s="3" t="inlineStr">
        <is>
          <t>Cape Projects Construction (Pty) Ltd</t>
        </is>
      </c>
      <c r="B3814" s="4" t="n">
        <v>45138</v>
      </c>
      <c r="C3814" s="3" t="inlineStr">
        <is>
          <t>Assets</t>
        </is>
      </c>
      <c r="D3814" s="3" t="inlineStr">
        <is>
          <t>5400/800</t>
        </is>
      </c>
      <c r="E3814" s="3" t="inlineStr">
        <is>
          <t>Loan - Opportunity Management Holdings</t>
        </is>
      </c>
      <c r="F3814" s="3" t="n">
        <v>30899</v>
      </c>
      <c r="G3814" s="3" t="n">
        <v>-22601</v>
      </c>
    </row>
    <row r="3815">
      <c r="A3815" s="3" t="inlineStr">
        <is>
          <t>Heron View (Pty) Ltd</t>
        </is>
      </c>
      <c r="B3815" s="4" t="n">
        <v>45138</v>
      </c>
      <c r="C3815" s="3" t="inlineStr">
        <is>
          <t>Liabilities</t>
        </is>
      </c>
      <c r="D3815" s="3" t="inlineStr">
        <is>
          <t>5500/001</t>
        </is>
      </c>
      <c r="E3815" s="3" t="inlineStr">
        <is>
          <t>Loan - Heron Fields</t>
        </is>
      </c>
      <c r="F3815" s="3" t="n">
        <v>-5077020.57</v>
      </c>
      <c r="G3815" s="3" t="n">
        <v>-45983080.23</v>
      </c>
    </row>
    <row r="3816">
      <c r="A3816" s="3" t="inlineStr">
        <is>
          <t>Heron Fields (Pty) Ltd</t>
        </is>
      </c>
      <c r="B3816" s="4" t="n">
        <v>45138</v>
      </c>
      <c r="C3816" s="3" t="inlineStr">
        <is>
          <t>Liabilities</t>
        </is>
      </c>
      <c r="D3816" s="3" t="inlineStr">
        <is>
          <t>5500/020</t>
        </is>
      </c>
      <c r="E3816" s="3" t="inlineStr">
        <is>
          <t>Loan - Cape Projects Construction</t>
        </is>
      </c>
      <c r="F3816" s="3" t="n">
        <v>-37000</v>
      </c>
      <c r="G3816" s="3" t="n">
        <v>10114940.42</v>
      </c>
    </row>
    <row r="3817">
      <c r="A3817" s="3" t="inlineStr">
        <is>
          <t>Heron Fields (Pty) Ltd</t>
        </is>
      </c>
      <c r="B3817" s="4" t="n">
        <v>45138</v>
      </c>
      <c r="C3817" s="3" t="inlineStr">
        <is>
          <t>Liabilities</t>
        </is>
      </c>
      <c r="D3817" s="3" t="inlineStr">
        <is>
          <t>5500/030</t>
        </is>
      </c>
      <c r="E3817" s="3" t="inlineStr">
        <is>
          <t>Loan - Opportunity Global Investments</t>
        </is>
      </c>
      <c r="F3817" s="3" t="n">
        <v>450000</v>
      </c>
      <c r="G3817" s="3" t="n">
        <v>3542000</v>
      </c>
    </row>
    <row r="3818">
      <c r="A3818" s="3" t="inlineStr">
        <is>
          <t>Heron Fields (Pty) Ltd</t>
        </is>
      </c>
      <c r="B3818" s="4" t="n">
        <v>45138</v>
      </c>
      <c r="C3818" s="3" t="inlineStr">
        <is>
          <t>Liabilities</t>
        </is>
      </c>
      <c r="D3818" s="3" t="inlineStr">
        <is>
          <t>5500/050</t>
        </is>
      </c>
      <c r="E3818" s="3" t="inlineStr">
        <is>
          <t>Loan - Heron View</t>
        </is>
      </c>
      <c r="F3818" s="3" t="n">
        <v>5077020.57</v>
      </c>
      <c r="G3818" s="3" t="n">
        <v>45983080.23</v>
      </c>
    </row>
    <row r="3819">
      <c r="A3819" s="3" t="inlineStr">
        <is>
          <t>Heron Fields (Pty) Ltd</t>
        </is>
      </c>
      <c r="B3819" s="4" t="n">
        <v>45138</v>
      </c>
      <c r="C3819" s="3" t="inlineStr">
        <is>
          <t>Liabilities</t>
        </is>
      </c>
      <c r="D3819" s="3" t="inlineStr">
        <is>
          <t>5500/060</t>
        </is>
      </c>
      <c r="E3819" s="3" t="inlineStr">
        <is>
          <t>Loan - Opportunity Management Holdings</t>
        </is>
      </c>
      <c r="F3819" s="3" t="n">
        <v>-39900</v>
      </c>
      <c r="G3819" s="3" t="n">
        <v>12100</v>
      </c>
    </row>
    <row r="3820">
      <c r="A3820" s="3" t="inlineStr">
        <is>
          <t>Heron Fields (Pty) Ltd</t>
        </is>
      </c>
      <c r="B3820" s="4" t="n">
        <v>45138</v>
      </c>
      <c r="C3820" s="3" t="inlineStr">
        <is>
          <t>Liabilities</t>
        </is>
      </c>
      <c r="D3820" s="3" t="inlineStr">
        <is>
          <t>5500/070</t>
        </is>
      </c>
      <c r="E3820" s="3" t="inlineStr">
        <is>
          <t>Loan - Noble Shield</t>
        </is>
      </c>
      <c r="F3820" s="3" t="n">
        <v>-19364.75</v>
      </c>
      <c r="G3820" s="3" t="n">
        <v>-19364.75</v>
      </c>
    </row>
    <row r="3821">
      <c r="A3821" s="3" t="inlineStr">
        <is>
          <t>Cape Projects Construction (Pty) Ltd</t>
        </is>
      </c>
      <c r="B3821" s="4" t="n">
        <v>45138</v>
      </c>
      <c r="C3821" s="3" t="inlineStr">
        <is>
          <t>Assets</t>
        </is>
      </c>
      <c r="D3821" s="3" t="inlineStr">
        <is>
          <t>6200/010</t>
        </is>
      </c>
      <c r="E3821" s="3" t="inlineStr">
        <is>
          <t>Motor Vehicles - @ Cost</t>
        </is>
      </c>
      <c r="F3821" s="3" t="n">
        <v>0</v>
      </c>
      <c r="G3821" s="3" t="n">
        <v>216064.1</v>
      </c>
    </row>
    <row r="3822">
      <c r="A3822" s="3" t="inlineStr">
        <is>
          <t>Cape Projects Construction (Pty) Ltd</t>
        </is>
      </c>
      <c r="B3822" s="4" t="n">
        <v>45138</v>
      </c>
      <c r="C3822" s="3" t="inlineStr">
        <is>
          <t>Assets</t>
        </is>
      </c>
      <c r="D3822" s="3" t="inlineStr">
        <is>
          <t>6200/020</t>
        </is>
      </c>
      <c r="E3822" s="3" t="inlineStr">
        <is>
          <t>Motor Vehicles - Accum Depre</t>
        </is>
      </c>
      <c r="F3822" s="3" t="n">
        <v>0</v>
      </c>
      <c r="G3822" s="3" t="n">
        <v>-216063.1</v>
      </c>
    </row>
    <row r="3823">
      <c r="A3823" s="3" t="inlineStr">
        <is>
          <t>Cape Projects Construction (Pty) Ltd</t>
        </is>
      </c>
      <c r="B3823" s="4" t="n">
        <v>45138</v>
      </c>
      <c r="C3823" s="3" t="inlineStr">
        <is>
          <t>Assets</t>
        </is>
      </c>
      <c r="D3823" s="3" t="inlineStr">
        <is>
          <t>6250/010</t>
        </is>
      </c>
      <c r="E3823" s="3" t="inlineStr">
        <is>
          <t>Computer Equipment - @ Cost</t>
        </is>
      </c>
      <c r="F3823" s="3" t="n">
        <v>0</v>
      </c>
      <c r="G3823" s="3" t="n">
        <v>133790.35</v>
      </c>
    </row>
    <row r="3824">
      <c r="A3824" s="3" t="inlineStr">
        <is>
          <t>Cape Projects Construction (Pty) Ltd</t>
        </is>
      </c>
      <c r="B3824" s="4" t="n">
        <v>45138</v>
      </c>
      <c r="C3824" s="3" t="inlineStr">
        <is>
          <t>Assets</t>
        </is>
      </c>
      <c r="D3824" s="3" t="inlineStr">
        <is>
          <t>6250/020</t>
        </is>
      </c>
      <c r="E3824" s="3" t="inlineStr">
        <is>
          <t>Computer Equipment - Accum Depre</t>
        </is>
      </c>
      <c r="F3824" s="3" t="n">
        <v>-3323.92</v>
      </c>
      <c r="G3824" s="3" t="n">
        <v>-59542.49</v>
      </c>
    </row>
    <row r="3825">
      <c r="A3825" s="3" t="inlineStr">
        <is>
          <t>Cape Projects Construction (Pty) Ltd</t>
        </is>
      </c>
      <c r="B3825" s="4" t="n">
        <v>45138</v>
      </c>
      <c r="C3825" s="3" t="inlineStr">
        <is>
          <t>Assets</t>
        </is>
      </c>
      <c r="D3825" s="3" t="inlineStr">
        <is>
          <t>6350/010</t>
        </is>
      </c>
      <c r="E3825" s="3" t="inlineStr">
        <is>
          <t>Furniture _AND_ Fittings - @ Cost</t>
        </is>
      </c>
      <c r="F3825" s="3" t="n">
        <v>0</v>
      </c>
      <c r="G3825" s="3" t="n">
        <v>37955.3</v>
      </c>
    </row>
    <row r="3826">
      <c r="A3826" s="3" t="inlineStr">
        <is>
          <t>Cape Projects Construction (Pty) Ltd</t>
        </is>
      </c>
      <c r="B3826" s="4" t="n">
        <v>45138</v>
      </c>
      <c r="C3826" s="3" t="inlineStr">
        <is>
          <t>Assets</t>
        </is>
      </c>
      <c r="D3826" s="3" t="inlineStr">
        <is>
          <t>6350/020</t>
        </is>
      </c>
      <c r="E3826" s="3" t="inlineStr">
        <is>
          <t>Furniture _AND_ Fittings - Accum Depre</t>
        </is>
      </c>
      <c r="F3826" s="3" t="n">
        <v>-547.6900000000001</v>
      </c>
      <c r="G3826" s="3" t="n">
        <v>-8632.940000000001</v>
      </c>
    </row>
    <row r="3827">
      <c r="A3827" s="3" t="inlineStr">
        <is>
          <t>Cape Projects Construction (Pty) Ltd</t>
        </is>
      </c>
      <c r="B3827" s="4" t="n">
        <v>45138</v>
      </c>
      <c r="C3827" s="3" t="inlineStr">
        <is>
          <t>Assets</t>
        </is>
      </c>
      <c r="D3827" s="3" t="inlineStr">
        <is>
          <t>6600/010</t>
        </is>
      </c>
      <c r="E3827" s="3" t="inlineStr">
        <is>
          <t>Generator Fixed Asset - @ Cost</t>
        </is>
      </c>
      <c r="F3827" s="3" t="n">
        <v>0</v>
      </c>
      <c r="G3827" s="3" t="n">
        <v>71322</v>
      </c>
    </row>
    <row r="3828">
      <c r="A3828" s="3" t="inlineStr">
        <is>
          <t>Cape Projects Construction (Pty) Ltd</t>
        </is>
      </c>
      <c r="B3828" s="4" t="n">
        <v>45138</v>
      </c>
      <c r="C3828" s="3" t="inlineStr">
        <is>
          <t>Assets</t>
        </is>
      </c>
      <c r="D3828" s="3" t="inlineStr">
        <is>
          <t>6600/020</t>
        </is>
      </c>
      <c r="E3828" s="3" t="inlineStr">
        <is>
          <t>Generator Fixed Asset - Accum Depre</t>
        </is>
      </c>
      <c r="F3828" s="3" t="n">
        <v>-1188.71</v>
      </c>
      <c r="G3828" s="3" t="n">
        <v>-7078.33</v>
      </c>
    </row>
    <row r="3829">
      <c r="A3829" s="3" t="inlineStr">
        <is>
          <t>Heron Fields (Pty) Ltd</t>
        </is>
      </c>
      <c r="B3829" s="4" t="n">
        <v>45138</v>
      </c>
      <c r="C3829" s="3" t="inlineStr">
        <is>
          <t>Assets</t>
        </is>
      </c>
      <c r="D3829" s="3" t="inlineStr">
        <is>
          <t>7610/395</t>
        </is>
      </c>
      <c r="E3829" s="3" t="inlineStr">
        <is>
          <t>HF CIP NHBRC</t>
        </is>
      </c>
      <c r="F3829" s="3" t="n">
        <v>0</v>
      </c>
      <c r="G3829" s="3" t="n">
        <v>874505.75</v>
      </c>
    </row>
    <row r="3830">
      <c r="A3830" s="3" t="inlineStr">
        <is>
          <t>Heron View (Pty) Ltd</t>
        </is>
      </c>
      <c r="B3830" s="4" t="n">
        <v>45138</v>
      </c>
      <c r="C3830" s="3" t="inlineStr">
        <is>
          <t>Assets</t>
        </is>
      </c>
      <c r="D3830" s="3" t="inlineStr">
        <is>
          <t>7610/395</t>
        </is>
      </c>
      <c r="E3830" s="3" t="inlineStr">
        <is>
          <t>Heron CIP NHBRC</t>
        </is>
      </c>
      <c r="F3830" s="3" t="n">
        <v>242913.75</v>
      </c>
      <c r="G3830" s="3" t="n">
        <v>1045976.86</v>
      </c>
    </row>
    <row r="3831">
      <c r="A3831" s="3" t="inlineStr">
        <is>
          <t>Heron Fields (Pty) Ltd</t>
        </is>
      </c>
      <c r="B3831" s="4" t="n">
        <v>45138</v>
      </c>
      <c r="C3831" s="3" t="inlineStr">
        <is>
          <t>Assets</t>
        </is>
      </c>
      <c r="D3831" s="3" t="inlineStr">
        <is>
          <t>7620/100</t>
        </is>
      </c>
      <c r="E3831" s="3" t="inlineStr">
        <is>
          <t>Heron View Land</t>
        </is>
      </c>
      <c r="F3831" s="3" t="n">
        <v>0</v>
      </c>
      <c r="G3831" s="3" t="n">
        <v>26200000</v>
      </c>
    </row>
    <row r="3832">
      <c r="A3832" s="3" t="inlineStr">
        <is>
          <t>Heron Fields (Pty) Ltd</t>
        </is>
      </c>
      <c r="B3832" s="4" t="n">
        <v>45138</v>
      </c>
      <c r="C3832" s="3" t="inlineStr">
        <is>
          <t>Assets</t>
        </is>
      </c>
      <c r="D3832" s="3" t="inlineStr">
        <is>
          <t>7620/101</t>
        </is>
      </c>
      <c r="E3832" s="3" t="inlineStr">
        <is>
          <t>HF CIP Bond Registration Fee</t>
        </is>
      </c>
      <c r="F3832" s="3" t="n">
        <v>0</v>
      </c>
      <c r="G3832" s="3" t="n">
        <v>68427</v>
      </c>
    </row>
    <row r="3833">
      <c r="A3833" s="3" t="inlineStr">
        <is>
          <t>Heron Fields (Pty) Ltd</t>
        </is>
      </c>
      <c r="B3833" s="4" t="n">
        <v>45138</v>
      </c>
      <c r="C3833" s="3" t="inlineStr">
        <is>
          <t>Assets</t>
        </is>
      </c>
      <c r="D3833" s="3" t="inlineStr">
        <is>
          <t>7620/102</t>
        </is>
      </c>
      <c r="E3833" s="3" t="inlineStr">
        <is>
          <t>HF CIP Transfer Fee</t>
        </is>
      </c>
      <c r="F3833" s="3" t="n">
        <v>0</v>
      </c>
      <c r="G3833" s="3" t="n">
        <v>103812</v>
      </c>
    </row>
    <row r="3834">
      <c r="A3834" s="3" t="inlineStr">
        <is>
          <t>Heron Fields (Pty) Ltd</t>
        </is>
      </c>
      <c r="B3834" s="4" t="n">
        <v>45138</v>
      </c>
      <c r="C3834" s="3" t="inlineStr">
        <is>
          <t>Assets</t>
        </is>
      </c>
      <c r="D3834" s="3" t="inlineStr">
        <is>
          <t>7620/220</t>
        </is>
      </c>
      <c r="E3834" s="3" t="inlineStr">
        <is>
          <t>HF CIP Architectural Designs</t>
        </is>
      </c>
      <c r="F3834" s="3" t="n">
        <v>0</v>
      </c>
      <c r="G3834" s="3" t="n">
        <v>314087</v>
      </c>
    </row>
    <row r="3835">
      <c r="A3835" s="3" t="inlineStr">
        <is>
          <t>Heron View (Pty) Ltd</t>
        </is>
      </c>
      <c r="B3835" s="4" t="n">
        <v>45138</v>
      </c>
      <c r="C3835" s="3" t="inlineStr">
        <is>
          <t>Assets</t>
        </is>
      </c>
      <c r="D3835" s="3" t="inlineStr">
        <is>
          <t>7620/220</t>
        </is>
      </c>
      <c r="E3835" s="3" t="inlineStr">
        <is>
          <t>Heron View CIP Architectural Designs</t>
        </is>
      </c>
      <c r="F3835" s="3" t="n">
        <v>23165</v>
      </c>
      <c r="G3835" s="3" t="n">
        <v>737478.5</v>
      </c>
    </row>
    <row r="3836">
      <c r="A3836" s="3" t="inlineStr">
        <is>
          <t>Heron Fields (Pty) Ltd</t>
        </is>
      </c>
      <c r="B3836" s="4" t="n">
        <v>45138</v>
      </c>
      <c r="C3836" s="3" t="inlineStr">
        <is>
          <t>Assets</t>
        </is>
      </c>
      <c r="D3836" s="3" t="inlineStr">
        <is>
          <t>7620/230</t>
        </is>
      </c>
      <c r="E3836" s="3" t="inlineStr">
        <is>
          <t>HF CIP Construction Management</t>
        </is>
      </c>
      <c r="F3836" s="3" t="n">
        <v>0</v>
      </c>
      <c r="G3836" s="3" t="n">
        <v>139500</v>
      </c>
    </row>
    <row r="3837">
      <c r="A3837" s="3" t="inlineStr">
        <is>
          <t>Heron Fields (Pty) Ltd</t>
        </is>
      </c>
      <c r="B3837" s="4" t="n">
        <v>45138</v>
      </c>
      <c r="C3837" s="3" t="inlineStr">
        <is>
          <t>Assets</t>
        </is>
      </c>
      <c r="D3837" s="3" t="inlineStr">
        <is>
          <t>7620/240</t>
        </is>
      </c>
      <c r="E3837" s="3" t="inlineStr">
        <is>
          <t>HF CIP Civil Engineering</t>
        </is>
      </c>
      <c r="F3837" s="3" t="n">
        <v>0</v>
      </c>
      <c r="G3837" s="3" t="n">
        <v>8557641.800000001</v>
      </c>
    </row>
    <row r="3838">
      <c r="A3838" s="3" t="inlineStr">
        <is>
          <t>Heron Fields (Pty) Ltd</t>
        </is>
      </c>
      <c r="B3838" s="4" t="n">
        <v>45138</v>
      </c>
      <c r="C3838" s="3" t="inlineStr">
        <is>
          <t>Assets</t>
        </is>
      </c>
      <c r="D3838" s="3" t="inlineStr">
        <is>
          <t>7620/245</t>
        </is>
      </c>
      <c r="E3838" s="3" t="inlineStr">
        <is>
          <t>HF CIP Development fee</t>
        </is>
      </c>
      <c r="F3838" s="3" t="n">
        <v>0</v>
      </c>
      <c r="G3838" s="3" t="n">
        <v>13807.78</v>
      </c>
    </row>
    <row r="3839">
      <c r="A3839" s="3" t="inlineStr">
        <is>
          <t>Heron Fields (Pty) Ltd</t>
        </is>
      </c>
      <c r="B3839" s="4" t="n">
        <v>45138</v>
      </c>
      <c r="C3839" s="3" t="inlineStr">
        <is>
          <t>Assets</t>
        </is>
      </c>
      <c r="D3839" s="3" t="inlineStr">
        <is>
          <t>7620/250</t>
        </is>
      </c>
      <c r="E3839" s="3" t="inlineStr">
        <is>
          <t>HF CIP Land Surveyor</t>
        </is>
      </c>
      <c r="F3839" s="3" t="n">
        <v>0</v>
      </c>
      <c r="G3839" s="3" t="n">
        <v>197060.09</v>
      </c>
    </row>
    <row r="3840">
      <c r="A3840" s="3" t="inlineStr">
        <is>
          <t>Heron View (Pty) Ltd</t>
        </is>
      </c>
      <c r="B3840" s="4" t="n">
        <v>45138</v>
      </c>
      <c r="C3840" s="3" t="inlineStr">
        <is>
          <t>Assets</t>
        </is>
      </c>
      <c r="D3840" s="3" t="inlineStr">
        <is>
          <t>7620/250</t>
        </is>
      </c>
      <c r="E3840" s="3" t="inlineStr">
        <is>
          <t>Heron View CIP Land Surveyor</t>
        </is>
      </c>
      <c r="F3840" s="3" t="n">
        <v>10700</v>
      </c>
      <c r="G3840" s="3" t="n">
        <v>153472.03</v>
      </c>
    </row>
    <row r="3841">
      <c r="A3841" s="3" t="inlineStr">
        <is>
          <t>Heron Fields (Pty) Ltd</t>
        </is>
      </c>
      <c r="B3841" s="4" t="n">
        <v>45138</v>
      </c>
      <c r="C3841" s="3" t="inlineStr">
        <is>
          <t>Assets</t>
        </is>
      </c>
      <c r="D3841" s="3" t="inlineStr">
        <is>
          <t>7620/255</t>
        </is>
      </c>
      <c r="E3841" s="3" t="inlineStr">
        <is>
          <t>HF CIP Landscaping</t>
        </is>
      </c>
      <c r="F3841" s="3" t="n">
        <v>0</v>
      </c>
      <c r="G3841" s="3" t="n">
        <v>7500</v>
      </c>
    </row>
    <row r="3842">
      <c r="A3842" s="3" t="inlineStr">
        <is>
          <t>Heron View (Pty) Ltd</t>
        </is>
      </c>
      <c r="B3842" s="4" t="n">
        <v>45138</v>
      </c>
      <c r="C3842" s="3" t="inlineStr">
        <is>
          <t>Assets</t>
        </is>
      </c>
      <c r="D3842" s="3" t="inlineStr">
        <is>
          <t>7620/255</t>
        </is>
      </c>
      <c r="E3842" s="3" t="inlineStr">
        <is>
          <t>Heron View CIP Landscaping</t>
        </is>
      </c>
      <c r="F3842" s="3" t="n">
        <v>0</v>
      </c>
      <c r="G3842" s="3" t="n">
        <v>114370.5</v>
      </c>
    </row>
    <row r="3843">
      <c r="A3843" s="3" t="inlineStr">
        <is>
          <t>Heron Fields (Pty) Ltd</t>
        </is>
      </c>
      <c r="B3843" s="4" t="n">
        <v>45138</v>
      </c>
      <c r="C3843" s="3" t="inlineStr">
        <is>
          <t>Assets</t>
        </is>
      </c>
      <c r="D3843" s="3" t="inlineStr">
        <is>
          <t>7620/260</t>
        </is>
      </c>
      <c r="E3843" s="3" t="inlineStr">
        <is>
          <t>HF CIP Mechanical Engineers</t>
        </is>
      </c>
      <c r="F3843" s="3" t="n">
        <v>0</v>
      </c>
      <c r="G3843" s="3" t="n">
        <v>67400</v>
      </c>
    </row>
    <row r="3844">
      <c r="A3844" s="3" t="inlineStr">
        <is>
          <t>Heron Fields (Pty) Ltd</t>
        </is>
      </c>
      <c r="B3844" s="4" t="n">
        <v>45138</v>
      </c>
      <c r="C3844" s="3" t="inlineStr">
        <is>
          <t>Assets</t>
        </is>
      </c>
      <c r="D3844" s="3" t="inlineStr">
        <is>
          <t>7620/265</t>
        </is>
      </c>
      <c r="E3844" s="3" t="inlineStr">
        <is>
          <t>HF CIP Health &amp; Safety</t>
        </is>
      </c>
      <c r="F3844" s="3" t="n">
        <v>0</v>
      </c>
      <c r="G3844" s="3" t="n">
        <v>20600</v>
      </c>
    </row>
    <row r="3845">
      <c r="A3845" s="3" t="inlineStr">
        <is>
          <t>Heron Fields (Pty) Ltd</t>
        </is>
      </c>
      <c r="B3845" s="4" t="n">
        <v>45138</v>
      </c>
      <c r="C3845" s="3" t="inlineStr">
        <is>
          <t>Assets</t>
        </is>
      </c>
      <c r="D3845" s="3" t="inlineStr">
        <is>
          <t>7620/270</t>
        </is>
      </c>
      <c r="E3845" s="3" t="inlineStr">
        <is>
          <t>HF CIP Geotechnical</t>
        </is>
      </c>
      <c r="F3845" s="3" t="n">
        <v>0</v>
      </c>
      <c r="G3845" s="3" t="n">
        <v>15175</v>
      </c>
    </row>
    <row r="3846">
      <c r="A3846" s="3" t="inlineStr">
        <is>
          <t>Heron Fields (Pty) Ltd</t>
        </is>
      </c>
      <c r="B3846" s="4" t="n">
        <v>45138</v>
      </c>
      <c r="C3846" s="3" t="inlineStr">
        <is>
          <t>Assets</t>
        </is>
      </c>
      <c r="D3846" s="3" t="inlineStr">
        <is>
          <t>7620/275</t>
        </is>
      </c>
      <c r="E3846" s="3" t="inlineStr">
        <is>
          <t>HF CIP Retaining Wall</t>
        </is>
      </c>
      <c r="F3846" s="3" t="n">
        <v>0</v>
      </c>
      <c r="G3846" s="3" t="n">
        <v>570856.08</v>
      </c>
    </row>
    <row r="3847">
      <c r="A3847" s="3" t="inlineStr">
        <is>
          <t>Heron Fields (Pty) Ltd</t>
        </is>
      </c>
      <c r="B3847" s="4" t="n">
        <v>45138</v>
      </c>
      <c r="C3847" s="3" t="inlineStr">
        <is>
          <t>Assets</t>
        </is>
      </c>
      <c r="D3847" s="3" t="inlineStr">
        <is>
          <t>7620/280</t>
        </is>
      </c>
      <c r="E3847" s="3" t="inlineStr">
        <is>
          <t>HF CIP Site Establishment</t>
        </is>
      </c>
      <c r="F3847" s="3" t="n">
        <v>0</v>
      </c>
      <c r="G3847" s="3" t="n">
        <v>47748851.51</v>
      </c>
    </row>
    <row r="3848">
      <c r="A3848" s="3" t="inlineStr">
        <is>
          <t>Heron View (Pty) Ltd</t>
        </is>
      </c>
      <c r="B3848" s="4" t="n">
        <v>45138</v>
      </c>
      <c r="C3848" s="3" t="inlineStr">
        <is>
          <t>Assets</t>
        </is>
      </c>
      <c r="D3848" s="3" t="inlineStr">
        <is>
          <t>7620/280</t>
        </is>
      </c>
      <c r="E3848" s="3" t="inlineStr">
        <is>
          <t>Heron View CIP Site Establishment</t>
        </is>
      </c>
      <c r="F3848" s="3" t="n">
        <v>0</v>
      </c>
      <c r="G3848" s="3" t="n">
        <v>7187757.92</v>
      </c>
    </row>
    <row r="3849">
      <c r="A3849" s="3" t="inlineStr">
        <is>
          <t>Heron Fields (Pty) Ltd</t>
        </is>
      </c>
      <c r="B3849" s="4" t="n">
        <v>45138</v>
      </c>
      <c r="C3849" s="3" t="inlineStr">
        <is>
          <t>Assets</t>
        </is>
      </c>
      <c r="D3849" s="3" t="inlineStr">
        <is>
          <t>7620/285</t>
        </is>
      </c>
      <c r="E3849" s="3" t="inlineStr">
        <is>
          <t>HF CIP Structuring Fee - Invest</t>
        </is>
      </c>
      <c r="F3849" s="3" t="n">
        <v>0</v>
      </c>
      <c r="G3849" s="3" t="n">
        <v>3850818.04</v>
      </c>
    </row>
    <row r="3850">
      <c r="A3850" s="3" t="inlineStr">
        <is>
          <t>Heron View (Pty) Ltd</t>
        </is>
      </c>
      <c r="B3850" s="4" t="n">
        <v>45138</v>
      </c>
      <c r="C3850" s="3" t="inlineStr">
        <is>
          <t>Assets</t>
        </is>
      </c>
      <c r="D3850" s="3" t="inlineStr">
        <is>
          <t>7620/285</t>
        </is>
      </c>
      <c r="E3850" s="3" t="inlineStr">
        <is>
          <t>Heron View CIP Structuring Fee - Invest</t>
        </is>
      </c>
      <c r="F3850" s="3" t="n">
        <v>0</v>
      </c>
      <c r="G3850" s="3" t="n">
        <v>1826086.96</v>
      </c>
    </row>
    <row r="3851">
      <c r="A3851" s="3" t="inlineStr">
        <is>
          <t>Heron Fields (Pty) Ltd</t>
        </is>
      </c>
      <c r="B3851" s="4" t="n">
        <v>45138</v>
      </c>
      <c r="C3851" s="3" t="inlineStr">
        <is>
          <t>Assets</t>
        </is>
      </c>
      <c r="D3851" s="3" t="inlineStr">
        <is>
          <t>7620/287</t>
        </is>
      </c>
      <c r="E3851" s="3" t="inlineStr">
        <is>
          <t>HF CIP Structuring Fee - Development</t>
        </is>
      </c>
      <c r="F3851" s="3" t="n">
        <v>0</v>
      </c>
      <c r="G3851" s="3" t="n">
        <v>782608.0699999999</v>
      </c>
    </row>
    <row r="3852">
      <c r="A3852" s="3" t="inlineStr">
        <is>
          <t>Heron Fields (Pty) Ltd</t>
        </is>
      </c>
      <c r="B3852" s="4" t="n">
        <v>45138</v>
      </c>
      <c r="C3852" s="3" t="inlineStr">
        <is>
          <t>Assets</t>
        </is>
      </c>
      <c r="D3852" s="3" t="inlineStr">
        <is>
          <t>7620/290</t>
        </is>
      </c>
      <c r="E3852" s="3" t="inlineStr">
        <is>
          <t>HF CIP Town Planning</t>
        </is>
      </c>
      <c r="F3852" s="3" t="n">
        <v>0</v>
      </c>
      <c r="G3852" s="3" t="n">
        <v>166550</v>
      </c>
    </row>
    <row r="3853">
      <c r="A3853" s="3" t="inlineStr">
        <is>
          <t>Heron View (Pty) Ltd</t>
        </is>
      </c>
      <c r="B3853" s="4" t="n">
        <v>45138</v>
      </c>
      <c r="C3853" s="3" t="inlineStr">
        <is>
          <t>Assets</t>
        </is>
      </c>
      <c r="D3853" s="3" t="inlineStr">
        <is>
          <t>7620/290</t>
        </is>
      </c>
      <c r="E3853" s="3" t="inlineStr">
        <is>
          <t>Heron View CIP Town Planning</t>
        </is>
      </c>
      <c r="F3853" s="3" t="n">
        <v>2834.7</v>
      </c>
      <c r="G3853" s="3" t="n">
        <v>2834.7</v>
      </c>
    </row>
    <row r="3854">
      <c r="A3854" s="3" t="inlineStr">
        <is>
          <t>Heron Fields (Pty) Ltd</t>
        </is>
      </c>
      <c r="B3854" s="4" t="n">
        <v>45138</v>
      </c>
      <c r="C3854" s="3" t="inlineStr">
        <is>
          <t>Assets</t>
        </is>
      </c>
      <c r="D3854" s="3" t="inlineStr">
        <is>
          <t>7620/295</t>
        </is>
      </c>
      <c r="E3854" s="3" t="inlineStr">
        <is>
          <t>HF CIP Traffic Planning</t>
        </is>
      </c>
      <c r="F3854" s="3" t="n">
        <v>0</v>
      </c>
      <c r="G3854" s="3" t="n">
        <v>45000</v>
      </c>
    </row>
    <row r="3855">
      <c r="A3855" s="3" t="inlineStr">
        <is>
          <t>Heron Fields (Pty) Ltd</t>
        </is>
      </c>
      <c r="B3855" s="4" t="n">
        <v>45138</v>
      </c>
      <c r="C3855" s="3" t="inlineStr">
        <is>
          <t>Assets</t>
        </is>
      </c>
      <c r="D3855" s="3" t="inlineStr">
        <is>
          <t>7620/600</t>
        </is>
      </c>
      <c r="E3855" s="3" t="inlineStr">
        <is>
          <t>HF CIP Eco work</t>
        </is>
      </c>
      <c r="F3855" s="3" t="n">
        <v>12000</v>
      </c>
      <c r="G3855" s="3" t="n">
        <v>161000</v>
      </c>
    </row>
    <row r="3856">
      <c r="A3856" s="3" t="inlineStr">
        <is>
          <t>Heron View (Pty) Ltd</t>
        </is>
      </c>
      <c r="B3856" s="4" t="n">
        <v>45138</v>
      </c>
      <c r="C3856" s="3" t="inlineStr">
        <is>
          <t>Assets</t>
        </is>
      </c>
      <c r="D3856" s="3" t="inlineStr">
        <is>
          <t>7620/605</t>
        </is>
      </c>
      <c r="E3856" s="3" t="inlineStr">
        <is>
          <t>Heron View CIP Structural Engineers</t>
        </is>
      </c>
      <c r="F3856" s="3" t="n">
        <v>0</v>
      </c>
      <c r="G3856" s="3" t="n">
        <v>292753.14</v>
      </c>
    </row>
    <row r="3857">
      <c r="A3857" s="3" t="inlineStr">
        <is>
          <t>Heron View (Pty) Ltd</t>
        </is>
      </c>
      <c r="B3857" s="4" t="n">
        <v>45138</v>
      </c>
      <c r="C3857" s="3" t="inlineStr">
        <is>
          <t>Assets</t>
        </is>
      </c>
      <c r="D3857" s="3" t="inlineStr">
        <is>
          <t>7620/610</t>
        </is>
      </c>
      <c r="E3857" s="3" t="inlineStr">
        <is>
          <t>HV CIP Retaining wall</t>
        </is>
      </c>
      <c r="F3857" s="3" t="n">
        <v>0</v>
      </c>
      <c r="G3857" s="3" t="n">
        <v>66190.11</v>
      </c>
    </row>
    <row r="3858">
      <c r="A3858" s="3" t="inlineStr">
        <is>
          <t>Heron Fields (Pty) Ltd</t>
        </is>
      </c>
      <c r="B3858" s="4" t="n">
        <v>45138</v>
      </c>
      <c r="C3858" s="3" t="inlineStr">
        <is>
          <t>Assets</t>
        </is>
      </c>
      <c r="D3858" s="3" t="inlineStr">
        <is>
          <t>7620/630</t>
        </is>
      </c>
      <c r="E3858" s="3" t="inlineStr">
        <is>
          <t>HF CIP CoCT development contribution</t>
        </is>
      </c>
      <c r="F3858" s="3" t="n">
        <v>0</v>
      </c>
      <c r="G3858" s="3" t="n">
        <v>3252759.95</v>
      </c>
    </row>
    <row r="3859">
      <c r="A3859" s="3" t="inlineStr">
        <is>
          <t>Heron View (Pty) Ltd</t>
        </is>
      </c>
      <c r="B3859" s="4" t="n">
        <v>45138</v>
      </c>
      <c r="C3859" s="3" t="inlineStr">
        <is>
          <t>Assets</t>
        </is>
      </c>
      <c r="D3859" s="3" t="inlineStr">
        <is>
          <t>7620/630</t>
        </is>
      </c>
      <c r="E3859" s="3" t="inlineStr">
        <is>
          <t>Heron CIP - CoCT development contribution</t>
        </is>
      </c>
      <c r="F3859" s="3" t="n">
        <v>886.87</v>
      </c>
      <c r="G3859" s="3" t="n">
        <v>1524185.76</v>
      </c>
    </row>
    <row r="3860">
      <c r="A3860" s="3" t="inlineStr">
        <is>
          <t>Heron Fields (Pty) Ltd</t>
        </is>
      </c>
      <c r="B3860" s="4" t="n">
        <v>45138</v>
      </c>
      <c r="C3860" s="3" t="inlineStr">
        <is>
          <t>Assets</t>
        </is>
      </c>
      <c r="D3860" s="3" t="inlineStr">
        <is>
          <t>7620/640</t>
        </is>
      </c>
      <c r="E3860" s="3" t="inlineStr">
        <is>
          <t>HF CIP Project costs</t>
        </is>
      </c>
      <c r="F3860" s="3" t="n">
        <v>0</v>
      </c>
      <c r="G3860" s="3" t="n">
        <v>622274.51</v>
      </c>
    </row>
    <row r="3861">
      <c r="A3861" s="3" t="inlineStr">
        <is>
          <t>Heron View (Pty) Ltd</t>
        </is>
      </c>
      <c r="B3861" s="4" t="n">
        <v>45138</v>
      </c>
      <c r="C3861" s="3" t="inlineStr">
        <is>
          <t>Assets</t>
        </is>
      </c>
      <c r="D3861" s="3" t="inlineStr">
        <is>
          <t>7620/650</t>
        </is>
      </c>
      <c r="E3861" s="3" t="inlineStr">
        <is>
          <t>CIP - Construction Management</t>
        </is>
      </c>
      <c r="F3861" s="3" t="n">
        <v>0</v>
      </c>
      <c r="G3861" s="3" t="n">
        <v>76530</v>
      </c>
    </row>
    <row r="3862">
      <c r="A3862" s="3" t="inlineStr">
        <is>
          <t>Heron Fields (Pty) Ltd</t>
        </is>
      </c>
      <c r="B3862" s="4" t="n">
        <v>45138</v>
      </c>
      <c r="C3862" s="3" t="inlineStr">
        <is>
          <t>Assets</t>
        </is>
      </c>
      <c r="D3862" s="3" t="inlineStr">
        <is>
          <t>7620/650</t>
        </is>
      </c>
      <c r="E3862" s="3" t="inlineStr">
        <is>
          <t>HF CIP Electrical</t>
        </is>
      </c>
      <c r="F3862" s="3" t="n">
        <v>0</v>
      </c>
      <c r="G3862" s="3" t="n">
        <v>985049.6800000001</v>
      </c>
    </row>
    <row r="3863">
      <c r="A3863" s="3" t="inlineStr">
        <is>
          <t>Heron View (Pty) Ltd</t>
        </is>
      </c>
      <c r="B3863" s="4" t="n">
        <v>45138</v>
      </c>
      <c r="C3863" s="3" t="inlineStr">
        <is>
          <t>Assets</t>
        </is>
      </c>
      <c r="D3863" s="3" t="inlineStr">
        <is>
          <t>7620/660</t>
        </is>
      </c>
      <c r="E3863" s="3" t="inlineStr">
        <is>
          <t>HV CIP Health &amp; Safety</t>
        </is>
      </c>
      <c r="F3863" s="3" t="n">
        <v>2800</v>
      </c>
      <c r="G3863" s="3" t="n">
        <v>21600</v>
      </c>
    </row>
    <row r="3864">
      <c r="A3864" s="3" t="inlineStr">
        <is>
          <t>Heron View (Pty) Ltd</t>
        </is>
      </c>
      <c r="B3864" s="4" t="n">
        <v>45138</v>
      </c>
      <c r="C3864" s="3" t="inlineStr">
        <is>
          <t>Assets</t>
        </is>
      </c>
      <c r="D3864" s="3" t="inlineStr">
        <is>
          <t>7620/670</t>
        </is>
      </c>
      <c r="E3864" s="3" t="inlineStr">
        <is>
          <t>HV CIP - Project costs CPSD</t>
        </is>
      </c>
      <c r="F3864" s="3" t="n">
        <v>0</v>
      </c>
      <c r="G3864" s="3" t="n">
        <v>684782.6</v>
      </c>
    </row>
    <row r="3865">
      <c r="A3865" s="3" t="inlineStr">
        <is>
          <t>Heron View (Pty) Ltd</t>
        </is>
      </c>
      <c r="B3865" s="4" t="n">
        <v>45138</v>
      </c>
      <c r="C3865" s="3" t="inlineStr">
        <is>
          <t>Assets</t>
        </is>
      </c>
      <c r="D3865" s="3" t="inlineStr">
        <is>
          <t>7620/680</t>
        </is>
      </c>
      <c r="E3865" s="3" t="inlineStr">
        <is>
          <t>HV CIP Elextrical</t>
        </is>
      </c>
      <c r="F3865" s="3" t="n">
        <v>0</v>
      </c>
      <c r="G3865" s="3" t="n">
        <v>1130099.94</v>
      </c>
    </row>
    <row r="3866">
      <c r="A3866" s="3" t="inlineStr">
        <is>
          <t>Heron View (Pty) Ltd</t>
        </is>
      </c>
      <c r="B3866" s="4" t="n">
        <v>45138</v>
      </c>
      <c r="C3866" s="3" t="inlineStr">
        <is>
          <t>Assets</t>
        </is>
      </c>
      <c r="D3866" s="3" t="inlineStr">
        <is>
          <t>7620/690</t>
        </is>
      </c>
      <c r="E3866" s="3" t="inlineStr">
        <is>
          <t>HV CIP Site Establishment</t>
        </is>
      </c>
      <c r="F3866" s="3" t="n">
        <v>578067.3</v>
      </c>
      <c r="G3866" s="3" t="n">
        <v>20707183.05</v>
      </c>
    </row>
    <row r="3867">
      <c r="A3867" s="3" t="inlineStr">
        <is>
          <t>Heron Fields (Pty) Ltd</t>
        </is>
      </c>
      <c r="B3867" s="4" t="n">
        <v>45138</v>
      </c>
      <c r="C3867" s="3" t="inlineStr">
        <is>
          <t>Assets</t>
        </is>
      </c>
      <c r="D3867" s="3" t="inlineStr">
        <is>
          <t>7620/750</t>
        </is>
      </c>
      <c r="E3867" s="3" t="inlineStr">
        <is>
          <t>HF CIP Project costs CPSD</t>
        </is>
      </c>
      <c r="F3867" s="3" t="n">
        <v>173913.04</v>
      </c>
      <c r="G3867" s="3" t="n">
        <v>2148883.15</v>
      </c>
    </row>
    <row r="3868">
      <c r="A3868" s="3" t="inlineStr">
        <is>
          <t>Heron Fields (Pty) Ltd</t>
        </is>
      </c>
      <c r="B3868" s="4" t="n">
        <v>45138</v>
      </c>
      <c r="C3868" s="3" t="inlineStr">
        <is>
          <t>Assets</t>
        </is>
      </c>
      <c r="D3868" s="3" t="inlineStr">
        <is>
          <t>7620/800</t>
        </is>
      </c>
      <c r="E3868" s="3" t="inlineStr">
        <is>
          <t>HF CIP GL Conradie</t>
        </is>
      </c>
      <c r="F3868" s="3" t="n">
        <v>0</v>
      </c>
      <c r="G3868" s="3" t="n">
        <v>1068455</v>
      </c>
    </row>
    <row r="3869">
      <c r="A3869" s="3" t="inlineStr">
        <is>
          <t>Heron Fields (Pty) Ltd</t>
        </is>
      </c>
      <c r="B3869" s="4" t="n">
        <v>45138</v>
      </c>
      <c r="C3869" s="3" t="inlineStr">
        <is>
          <t>Assets</t>
        </is>
      </c>
      <c r="D3869" s="3" t="inlineStr">
        <is>
          <t>7700/010</t>
        </is>
      </c>
      <c r="E3869" s="3" t="inlineStr">
        <is>
          <t>Construction 28 Feb 23 HF</t>
        </is>
      </c>
      <c r="F3869" s="3" t="n">
        <v>0</v>
      </c>
      <c r="G3869" s="3" t="n">
        <v>-24427668.44</v>
      </c>
    </row>
    <row r="3870">
      <c r="A3870" s="3" t="inlineStr">
        <is>
          <t>Cape Projects Construction (Pty) Ltd</t>
        </is>
      </c>
      <c r="B3870" s="4" t="n">
        <v>45138</v>
      </c>
      <c r="C3870" s="3" t="inlineStr">
        <is>
          <t>Assets</t>
        </is>
      </c>
      <c r="D3870" s="3" t="inlineStr">
        <is>
          <t>7800/000</t>
        </is>
      </c>
      <c r="E3870" s="3" t="inlineStr">
        <is>
          <t>Deposits paid</t>
        </is>
      </c>
      <c r="F3870" s="3" t="n">
        <v>0</v>
      </c>
      <c r="G3870" s="3" t="n">
        <v>29600</v>
      </c>
    </row>
    <row r="3871">
      <c r="A3871" s="3" t="inlineStr">
        <is>
          <t>Cape Projects Construction (Pty) Ltd</t>
        </is>
      </c>
      <c r="B3871" s="4" t="n">
        <v>45138</v>
      </c>
      <c r="C3871" s="3" t="inlineStr">
        <is>
          <t>Assets</t>
        </is>
      </c>
      <c r="D3871" s="3" t="inlineStr">
        <is>
          <t>8000/000</t>
        </is>
      </c>
      <c r="E3871" s="3" t="inlineStr">
        <is>
          <t>Customer Control Account</t>
        </is>
      </c>
      <c r="F3871" s="3" t="n">
        <v>4777.4</v>
      </c>
      <c r="G3871" s="3" t="n">
        <v>-7848890.13</v>
      </c>
    </row>
    <row r="3872">
      <c r="A3872" s="3" t="inlineStr">
        <is>
          <t>Heron Fields (Pty) Ltd</t>
        </is>
      </c>
      <c r="B3872" s="4" t="n">
        <v>45138</v>
      </c>
      <c r="C3872" s="3" t="inlineStr">
        <is>
          <t>Assets</t>
        </is>
      </c>
      <c r="D3872" s="3" t="inlineStr">
        <is>
          <t>8000/000</t>
        </is>
      </c>
      <c r="E3872" s="3" t="inlineStr">
        <is>
          <t>Customer Control Account</t>
        </is>
      </c>
      <c r="F3872" s="3" t="n">
        <v>76825</v>
      </c>
      <c r="G3872" s="3" t="n">
        <v>422771.61</v>
      </c>
    </row>
    <row r="3873">
      <c r="A3873" s="3" t="inlineStr">
        <is>
          <t>Heron Fields (Pty) Ltd</t>
        </is>
      </c>
      <c r="B3873" s="4" t="n">
        <v>45138</v>
      </c>
      <c r="C3873" s="3" t="inlineStr">
        <is>
          <t>Assets</t>
        </is>
      </c>
      <c r="D3873" s="3" t="inlineStr">
        <is>
          <t>8400/000</t>
        </is>
      </c>
      <c r="E3873" s="3" t="inlineStr">
        <is>
          <t>RMB - 62882379087</t>
        </is>
      </c>
      <c r="F3873" s="3" t="n">
        <v>-71546.8</v>
      </c>
      <c r="G3873" s="3" t="n">
        <v>903407.47</v>
      </c>
    </row>
    <row r="3874">
      <c r="A3874" s="3" t="inlineStr">
        <is>
          <t>Cape Projects Construction (Pty) Ltd</t>
        </is>
      </c>
      <c r="B3874" s="4" t="n">
        <v>45138</v>
      </c>
      <c r="C3874" s="3" t="inlineStr">
        <is>
          <t>Assets</t>
        </is>
      </c>
      <c r="D3874" s="3" t="inlineStr">
        <is>
          <t>8400/000</t>
        </is>
      </c>
      <c r="E3874" s="3" t="inlineStr">
        <is>
          <t>RMB 62275138470</t>
        </is>
      </c>
      <c r="F3874" s="3" t="n">
        <v>-628120.92</v>
      </c>
      <c r="G3874" s="3" t="n">
        <v>106126</v>
      </c>
    </row>
    <row r="3875">
      <c r="A3875" s="3" t="inlineStr">
        <is>
          <t>Cape Projects Construction (Pty) Ltd</t>
        </is>
      </c>
      <c r="B3875" s="4" t="n">
        <v>45138</v>
      </c>
      <c r="C3875" s="3" t="inlineStr">
        <is>
          <t>Assets</t>
        </is>
      </c>
      <c r="D3875" s="3" t="inlineStr">
        <is>
          <t>8410/000</t>
        </is>
      </c>
      <c r="E3875" s="3" t="inlineStr">
        <is>
          <t>Petty Cash</t>
        </is>
      </c>
      <c r="F3875" s="3" t="n">
        <v>0</v>
      </c>
      <c r="G3875" s="3" t="n">
        <v>-1188</v>
      </c>
    </row>
    <row r="3876">
      <c r="A3876" s="3" t="inlineStr">
        <is>
          <t>Cape Projects Construction (Pty) Ltd</t>
        </is>
      </c>
      <c r="B3876" s="4" t="n">
        <v>45138</v>
      </c>
      <c r="C3876" s="3" t="inlineStr">
        <is>
          <t>Assets</t>
        </is>
      </c>
      <c r="D3876" s="3" t="inlineStr">
        <is>
          <t>8420/000</t>
        </is>
      </c>
      <c r="E3876" s="3" t="inlineStr">
        <is>
          <t>Momentum Priv Acc RU502230981</t>
        </is>
      </c>
      <c r="F3876" s="3" t="n">
        <v>4.02</v>
      </c>
      <c r="G3876" s="3" t="n">
        <v>559.37</v>
      </c>
    </row>
    <row r="3877">
      <c r="A3877" s="3" t="inlineStr">
        <is>
          <t>Heron Fields (Pty) Ltd</t>
        </is>
      </c>
      <c r="B3877" s="4" t="n">
        <v>45138</v>
      </c>
      <c r="C3877" s="3" t="inlineStr">
        <is>
          <t>Assets</t>
        </is>
      </c>
      <c r="D3877" s="3" t="inlineStr">
        <is>
          <t>8420/000</t>
        </is>
      </c>
      <c r="E3877" s="3" t="inlineStr">
        <is>
          <t>Petty Cash</t>
        </is>
      </c>
      <c r="F3877" s="3" t="n">
        <v>8620</v>
      </c>
      <c r="G3877" s="3" t="n">
        <v>8620</v>
      </c>
    </row>
    <row r="3878">
      <c r="A3878" s="3" t="inlineStr">
        <is>
          <t>Heron Fields (Pty) Ltd</t>
        </is>
      </c>
      <c r="B3878" s="4" t="n">
        <v>45138</v>
      </c>
      <c r="C3878" s="3" t="inlineStr">
        <is>
          <t>Assets</t>
        </is>
      </c>
      <c r="D3878" s="3" t="inlineStr">
        <is>
          <t>8430/000</t>
        </is>
      </c>
      <c r="E3878" s="3" t="inlineStr">
        <is>
          <t>Momentum Private Account RU502230151</t>
        </is>
      </c>
      <c r="F3878" s="3" t="n">
        <v>-0.41</v>
      </c>
      <c r="G3878" s="3" t="n">
        <v>848.4400000000001</v>
      </c>
    </row>
    <row r="3879">
      <c r="A3879" s="3" t="inlineStr">
        <is>
          <t>Heron Fields (Pty) Ltd</t>
        </is>
      </c>
      <c r="B3879" s="4" t="n">
        <v>45138</v>
      </c>
      <c r="C3879" s="3" t="inlineStr">
        <is>
          <t>Assets</t>
        </is>
      </c>
      <c r="D3879" s="3" t="inlineStr">
        <is>
          <t>8440/000</t>
        </is>
      </c>
      <c r="E3879" s="3" t="inlineStr">
        <is>
          <t>Momentum Investors Account RU502229930</t>
        </is>
      </c>
      <c r="F3879" s="3" t="n">
        <v>-5222654.56</v>
      </c>
      <c r="G3879" s="3" t="n">
        <v>32199318.13</v>
      </c>
    </row>
    <row r="3880">
      <c r="A3880" s="3" t="inlineStr">
        <is>
          <t>Cape Projects Construction (Pty) Ltd</t>
        </is>
      </c>
      <c r="B3880" s="4" t="n">
        <v>45138</v>
      </c>
      <c r="C3880" s="3" t="inlineStr">
        <is>
          <t>Liabilities</t>
        </is>
      </c>
      <c r="D3880" s="3" t="inlineStr">
        <is>
          <t>860</t>
        </is>
      </c>
      <c r="E3880" s="3" t="inlineStr">
        <is>
          <t>Rounding</t>
        </is>
      </c>
      <c r="F3880" s="3" t="n">
        <v>0.02</v>
      </c>
      <c r="G3880" s="3" t="n">
        <v>-28.98</v>
      </c>
    </row>
    <row r="3881">
      <c r="A3881" s="3" t="inlineStr">
        <is>
          <t>Heron Fields (Pty) Ltd</t>
        </is>
      </c>
      <c r="B3881" s="4" t="n">
        <v>45138</v>
      </c>
      <c r="C3881" s="3" t="inlineStr">
        <is>
          <t>Liabilities</t>
        </is>
      </c>
      <c r="D3881" s="3" t="inlineStr">
        <is>
          <t>860</t>
        </is>
      </c>
      <c r="E3881" s="3" t="inlineStr">
        <is>
          <t>Rounding</t>
        </is>
      </c>
      <c r="F3881" s="3" t="n">
        <v>0.05</v>
      </c>
      <c r="G3881" s="3" t="n">
        <v>0.13</v>
      </c>
    </row>
    <row r="3882">
      <c r="A3882" s="3" t="inlineStr">
        <is>
          <t>Cape Projects Construction (Pty) Ltd</t>
        </is>
      </c>
      <c r="B3882" s="4" t="n">
        <v>45138</v>
      </c>
      <c r="C3882" s="3" t="inlineStr">
        <is>
          <t>Liabilities</t>
        </is>
      </c>
      <c r="D3882" s="3" t="inlineStr">
        <is>
          <t>9000/000</t>
        </is>
      </c>
      <c r="E3882" s="3" t="inlineStr">
        <is>
          <t>Supplier Control Account</t>
        </is>
      </c>
      <c r="F3882" s="3" t="n">
        <v>-73435.38</v>
      </c>
      <c r="G3882" s="3" t="n">
        <v>-1324028.96</v>
      </c>
    </row>
    <row r="3883">
      <c r="A3883" s="3" t="inlineStr">
        <is>
          <t>Heron Fields (Pty) Ltd</t>
        </is>
      </c>
      <c r="B3883" s="4" t="n">
        <v>45138</v>
      </c>
      <c r="C3883" s="3" t="inlineStr">
        <is>
          <t>Liabilities</t>
        </is>
      </c>
      <c r="D3883" s="3" t="inlineStr">
        <is>
          <t>9000/000</t>
        </is>
      </c>
      <c r="E3883" s="3" t="inlineStr">
        <is>
          <t>Supplier Control Account</t>
        </is>
      </c>
      <c r="F3883" s="3" t="n">
        <v>1571903.91</v>
      </c>
      <c r="G3883" s="3" t="n">
        <v>-141803818.62</v>
      </c>
    </row>
    <row r="3884">
      <c r="A3884" s="3" t="inlineStr">
        <is>
          <t>Heron View (Pty) Ltd</t>
        </is>
      </c>
      <c r="B3884" s="4" t="n">
        <v>45138</v>
      </c>
      <c r="C3884" s="3" t="inlineStr">
        <is>
          <t>Liabilities</t>
        </is>
      </c>
      <c r="D3884" s="3" t="inlineStr">
        <is>
          <t>9000/000</t>
        </is>
      </c>
      <c r="E3884" s="3" t="inlineStr">
        <is>
          <t>Supplier Control Account</t>
        </is>
      </c>
      <c r="F3884" s="3" t="n">
        <v>4050790.36</v>
      </c>
      <c r="G3884" s="3" t="n">
        <v>4451550.37</v>
      </c>
    </row>
    <row r="3885">
      <c r="A3885" s="3" t="inlineStr">
        <is>
          <t>Cape Projects Construction (Pty) Ltd</t>
        </is>
      </c>
      <c r="B3885" s="4" t="n">
        <v>45138</v>
      </c>
      <c r="C3885" s="3" t="inlineStr">
        <is>
          <t>Liabilities</t>
        </is>
      </c>
      <c r="D3885" s="3" t="inlineStr">
        <is>
          <t>9200/000</t>
        </is>
      </c>
      <c r="E3885" s="3" t="inlineStr">
        <is>
          <t>Sundry Suppliers</t>
        </is>
      </c>
      <c r="F3885" s="3" t="n">
        <v>0</v>
      </c>
      <c r="G3885" s="3" t="n">
        <v>1309</v>
      </c>
    </row>
    <row r="3886">
      <c r="A3886" s="3" t="inlineStr">
        <is>
          <t>Cape Projects Construction (Pty) Ltd</t>
        </is>
      </c>
      <c r="B3886" s="4" t="n">
        <v>45138</v>
      </c>
      <c r="C3886" s="3" t="inlineStr">
        <is>
          <t>Liabilities</t>
        </is>
      </c>
      <c r="D3886" s="3" t="inlineStr">
        <is>
          <t>9250/010</t>
        </is>
      </c>
      <c r="E3886" s="3" t="inlineStr">
        <is>
          <t>SALARY CONTROL</t>
        </is>
      </c>
      <c r="F3886" s="3" t="n">
        <v>-0.02</v>
      </c>
      <c r="G3886" s="3" t="n">
        <v>0</v>
      </c>
    </row>
    <row r="3887">
      <c r="A3887" s="3" t="inlineStr">
        <is>
          <t>Cape Projects Construction (Pty) Ltd</t>
        </is>
      </c>
      <c r="B3887" s="4" t="n">
        <v>45138</v>
      </c>
      <c r="C3887" s="3" t="inlineStr">
        <is>
          <t>Liabilities</t>
        </is>
      </c>
      <c r="D3887" s="3" t="inlineStr">
        <is>
          <t>9250/020</t>
        </is>
      </c>
      <c r="E3887" s="3" t="inlineStr">
        <is>
          <t>PAYE, UIF AND SDL CONTROL</t>
        </is>
      </c>
      <c r="F3887" s="3" t="n">
        <v>47.62</v>
      </c>
      <c r="G3887" s="3" t="n">
        <v>-92035.56</v>
      </c>
    </row>
    <row r="3888">
      <c r="A3888" s="3" t="inlineStr">
        <is>
          <t>Cape Projects Construction (Pty) Ltd</t>
        </is>
      </c>
      <c r="B3888" s="4" t="n">
        <v>45138</v>
      </c>
      <c r="C3888" s="3" t="inlineStr">
        <is>
          <t>Liabilities</t>
        </is>
      </c>
      <c r="D3888" s="3" t="inlineStr">
        <is>
          <t>9250/030</t>
        </is>
      </c>
      <c r="E3888" s="3" t="inlineStr">
        <is>
          <t>BIBC CONTROL</t>
        </is>
      </c>
      <c r="F3888" s="3" t="n">
        <v>0</v>
      </c>
      <c r="G3888" s="3" t="n">
        <v>-49413.95</v>
      </c>
    </row>
    <row r="3889">
      <c r="A3889" s="3" t="inlineStr">
        <is>
          <t>Cape Projects Construction (Pty) Ltd</t>
        </is>
      </c>
      <c r="B3889" s="4" t="n">
        <v>45138</v>
      </c>
      <c r="C3889" s="3" t="inlineStr">
        <is>
          <t>Liabilities</t>
        </is>
      </c>
      <c r="D3889" s="3" t="inlineStr">
        <is>
          <t>9500/000</t>
        </is>
      </c>
      <c r="E3889" s="3" t="inlineStr">
        <is>
          <t>VAT Control Account</t>
        </is>
      </c>
      <c r="F3889" s="3" t="n">
        <v>-76599.60000000001</v>
      </c>
      <c r="G3889" s="3" t="n">
        <v>-109732.95</v>
      </c>
    </row>
    <row r="3890">
      <c r="A3890" s="3" t="inlineStr">
        <is>
          <t>Heron Fields (Pty) Ltd</t>
        </is>
      </c>
      <c r="B3890" s="4" t="n">
        <v>45138</v>
      </c>
      <c r="C3890" s="3" t="inlineStr">
        <is>
          <t>Liabilities</t>
        </is>
      </c>
      <c r="D3890" s="3" t="inlineStr">
        <is>
          <t>9500/000</t>
        </is>
      </c>
      <c r="E3890" s="3" t="inlineStr">
        <is>
          <t>Vat / Tax Control Account</t>
        </is>
      </c>
      <c r="F3890" s="3" t="n">
        <v>-111907.42</v>
      </c>
      <c r="G3890" s="3" t="n">
        <v>-4020360.49</v>
      </c>
    </row>
    <row r="3891">
      <c r="A3891" s="3" t="inlineStr">
        <is>
          <t>Heron View (Pty) Ltd</t>
        </is>
      </c>
      <c r="B3891" s="4" t="n">
        <v>45138</v>
      </c>
      <c r="C3891" s="3" t="inlineStr">
        <is>
          <t>Liabilities</t>
        </is>
      </c>
      <c r="D3891" s="3" t="inlineStr">
        <is>
          <t>9500/000</t>
        </is>
      </c>
      <c r="E3891" s="3" t="inlineStr">
        <is>
          <t>Vat / Tax Control Account</t>
        </is>
      </c>
      <c r="F3891" s="3" t="n">
        <v>93524.5</v>
      </c>
      <c r="G3891" s="3" t="n">
        <v>5218505.47</v>
      </c>
    </row>
    <row r="3892">
      <c r="A3892" s="3" t="inlineStr">
        <is>
          <t>Heron Fields (Pty) Ltd</t>
        </is>
      </c>
      <c r="B3892" s="4" t="n">
        <v>45138</v>
      </c>
      <c r="C3892" s="3" t="inlineStr">
        <is>
          <t>Liabilities</t>
        </is>
      </c>
      <c r="D3892" s="3" t="inlineStr">
        <is>
          <t>9520/000</t>
        </is>
      </c>
      <c r="E3892" s="3" t="inlineStr">
        <is>
          <t>Income Tax Payable</t>
        </is>
      </c>
      <c r="F3892" s="3" t="n">
        <v>0</v>
      </c>
      <c r="G3892" s="3" t="n">
        <v>59039.93</v>
      </c>
    </row>
    <row r="3893">
      <c r="A3893" s="3" t="inlineStr">
        <is>
          <t>Heron Fields (Pty) Ltd</t>
        </is>
      </c>
      <c r="B3893" s="4" t="n">
        <v>45138</v>
      </c>
      <c r="C3893" s="3" t="inlineStr">
        <is>
          <t>Liabilities</t>
        </is>
      </c>
      <c r="D3893" s="3" t="inlineStr">
        <is>
          <t>9899/B208</t>
        </is>
      </c>
      <c r="E3893" s="3" t="inlineStr">
        <is>
          <t>Sales - Unit Reg Control B208</t>
        </is>
      </c>
      <c r="F3893" s="3" t="n">
        <v>-1209624.06</v>
      </c>
      <c r="G3893" s="3" t="n">
        <v>0</v>
      </c>
    </row>
    <row r="3894">
      <c r="A3894" s="3" t="inlineStr">
        <is>
          <t>Heron Fields (Pty) Ltd</t>
        </is>
      </c>
      <c r="B3894" s="4" t="n">
        <v>45138</v>
      </c>
      <c r="C3894" s="3" t="inlineStr">
        <is>
          <t>Liabilities</t>
        </is>
      </c>
      <c r="D3894" s="3" t="inlineStr">
        <is>
          <t>9899/B214</t>
        </is>
      </c>
      <c r="E3894" s="3" t="inlineStr">
        <is>
          <t>Sales - Unit Reg Control B214</t>
        </is>
      </c>
      <c r="F3894" s="3" t="n">
        <v>71995</v>
      </c>
      <c r="G3894" s="3" t="n">
        <v>71995</v>
      </c>
    </row>
    <row r="3895">
      <c r="A3895" s="3" t="inlineStr">
        <is>
          <t>Cape Projects Construction (Pty) Ltd</t>
        </is>
      </c>
      <c r="B3895" s="4" t="n">
        <v>45138</v>
      </c>
      <c r="C3895" s="3" t="inlineStr">
        <is>
          <t>Liabilities</t>
        </is>
      </c>
      <c r="D3895" s="3" t="inlineStr">
        <is>
          <t>B/S</t>
        </is>
      </c>
      <c r="E3895" s="3" t="inlineStr">
        <is>
          <t>Taxation Payable</t>
        </is>
      </c>
      <c r="F3895" s="3" t="n">
        <v>-26160.01</v>
      </c>
      <c r="G3895" s="3" t="n">
        <v>1869.8</v>
      </c>
    </row>
    <row r="3896">
      <c r="A3896" s="3" t="inlineStr">
        <is>
          <t>Cape Projects Construction (Pty) Ltd</t>
        </is>
      </c>
      <c r="B3896" s="4" t="n">
        <v>45138</v>
      </c>
      <c r="C3896" s="3" t="inlineStr">
        <is>
          <t>Liabilities</t>
        </is>
      </c>
      <c r="D3896" s="3" t="inlineStr">
        <is>
          <t>TEMP/ACC</t>
        </is>
      </c>
      <c r="E3896" s="3" t="inlineStr">
        <is>
          <t>Conversion Account</t>
        </is>
      </c>
      <c r="F3896" s="3" t="n">
        <v>0</v>
      </c>
      <c r="G3896" s="3" t="n">
        <v>-254.99</v>
      </c>
    </row>
    <row r="3897">
      <c r="A3897" s="3" t="inlineStr">
        <is>
          <t>Heron Fields (Pty) Ltd</t>
        </is>
      </c>
      <c r="B3897" s="4" t="n">
        <v>45169</v>
      </c>
      <c r="C3897" s="3" t="inlineStr">
        <is>
          <t>Revenue</t>
        </is>
      </c>
      <c r="D3897" s="3" t="inlineStr">
        <is>
          <t>1000/100</t>
        </is>
      </c>
      <c r="E3897" s="3" t="inlineStr">
        <is>
          <t>Sales - Heron Fields</t>
        </is>
      </c>
      <c r="F3897" s="3" t="n">
        <v>62604.35</v>
      </c>
      <c r="G3897" s="3" t="n">
        <v>-26852956.53</v>
      </c>
    </row>
    <row r="3898">
      <c r="A3898" s="3" t="inlineStr">
        <is>
          <t>Heron View (Pty) Ltd</t>
        </is>
      </c>
      <c r="B3898" s="4" t="n">
        <v>45169</v>
      </c>
      <c r="C3898" s="3" t="inlineStr">
        <is>
          <t>Revenue</t>
        </is>
      </c>
      <c r="D3898" s="3" t="inlineStr">
        <is>
          <t>1000/100</t>
        </is>
      </c>
      <c r="E3898" s="3" t="inlineStr">
        <is>
          <t>Sales - Heron View Sales</t>
        </is>
      </c>
      <c r="F3898" s="3" t="n">
        <v>-6821304.36</v>
      </c>
      <c r="G3898" s="3" t="n">
        <v>-6821304.36</v>
      </c>
    </row>
    <row r="3899">
      <c r="A3899" s="3" t="inlineStr">
        <is>
          <t>Heron Fields (Pty) Ltd</t>
        </is>
      </c>
      <c r="B3899" s="4" t="n">
        <v>45169</v>
      </c>
      <c r="C3899" s="3" t="inlineStr">
        <is>
          <t>Revenue</t>
        </is>
      </c>
      <c r="D3899" s="3" t="inlineStr">
        <is>
          <t>1000/101</t>
        </is>
      </c>
      <c r="E3899" s="3" t="inlineStr">
        <is>
          <t>Sales - Heron Fields occupational rent</t>
        </is>
      </c>
      <c r="F3899" s="3" t="n">
        <v>0</v>
      </c>
      <c r="G3899" s="3" t="n">
        <v>-102388.85</v>
      </c>
    </row>
    <row r="3900">
      <c r="A3900" s="3" t="inlineStr">
        <is>
          <t>Heron View (Pty) Ltd</t>
        </is>
      </c>
      <c r="B3900" s="4" t="n">
        <v>45169</v>
      </c>
      <c r="C3900" s="3" t="inlineStr">
        <is>
          <t>Revenue</t>
        </is>
      </c>
      <c r="D3900" s="3" t="inlineStr">
        <is>
          <t>1000/101</t>
        </is>
      </c>
      <c r="E3900" s="3" t="inlineStr">
        <is>
          <t>Sales - Heron View Occupational Rent</t>
        </is>
      </c>
      <c r="F3900" s="3" t="n">
        <v>-17806.45</v>
      </c>
      <c r="G3900" s="3" t="n">
        <v>-17806.45</v>
      </c>
    </row>
    <row r="3901">
      <c r="A3901" s="3" t="inlineStr">
        <is>
          <t>Cape Projects Construction (Pty) Ltd</t>
        </is>
      </c>
      <c r="B3901" s="4" t="n">
        <v>45169</v>
      </c>
      <c r="C3901" s="3" t="inlineStr">
        <is>
          <t>Revenue</t>
        </is>
      </c>
      <c r="D3901" s="3" t="inlineStr">
        <is>
          <t>1040/100</t>
        </is>
      </c>
      <c r="E3901" s="3" t="inlineStr">
        <is>
          <t>Fees - Construction - Heron</t>
        </is>
      </c>
      <c r="F3901" s="3" t="n">
        <v>-2750089.29</v>
      </c>
      <c r="G3901" s="3" t="n">
        <v>-23432899.74</v>
      </c>
    </row>
    <row r="3902">
      <c r="A3902" s="3" t="inlineStr">
        <is>
          <t>Cape Projects Construction (Pty) Ltd</t>
        </is>
      </c>
      <c r="B3902" s="4" t="n">
        <v>45169</v>
      </c>
      <c r="C3902" s="3" t="inlineStr">
        <is>
          <t>Revenue</t>
        </is>
      </c>
      <c r="D3902" s="3" t="inlineStr">
        <is>
          <t>1070/000</t>
        </is>
      </c>
      <c r="E3902" s="3" t="inlineStr">
        <is>
          <t>Rent - CT Office</t>
        </is>
      </c>
      <c r="F3902" s="3" t="n">
        <v>0</v>
      </c>
      <c r="G3902" s="3" t="n">
        <v>3490.94</v>
      </c>
    </row>
    <row r="3903">
      <c r="A3903" s="3" t="inlineStr">
        <is>
          <t>Heron Fields (Pty) Ltd</t>
        </is>
      </c>
      <c r="B3903" s="4" t="n">
        <v>45169</v>
      </c>
      <c r="C3903" s="3" t="inlineStr">
        <is>
          <t>Revenue</t>
        </is>
      </c>
      <c r="D3903" s="3" t="inlineStr">
        <is>
          <t>1500/002</t>
        </is>
      </c>
      <c r="E3903" s="3" t="inlineStr">
        <is>
          <t>Rental Income</t>
        </is>
      </c>
      <c r="F3903" s="3" t="n">
        <v>-30491.94</v>
      </c>
      <c r="G3903" s="3" t="n">
        <v>-67991.94</v>
      </c>
    </row>
    <row r="3904">
      <c r="A3904" s="3" t="inlineStr">
        <is>
          <t>Heron Fields (Pty) Ltd</t>
        </is>
      </c>
      <c r="B3904" s="4" t="n">
        <v>45169</v>
      </c>
      <c r="C3904" s="3" t="inlineStr">
        <is>
          <t>Expenses</t>
        </is>
      </c>
      <c r="D3904" s="3" t="inlineStr">
        <is>
          <t>2000/011</t>
        </is>
      </c>
      <c r="E3904" s="3" t="inlineStr">
        <is>
          <t>COS - Heron View Showhouse</t>
        </is>
      </c>
      <c r="F3904" s="3" t="n">
        <v>0</v>
      </c>
      <c r="G3904" s="3" t="n">
        <v>45300.43</v>
      </c>
    </row>
    <row r="3905">
      <c r="A3905" s="3" t="inlineStr">
        <is>
          <t>Heron View (Pty) Ltd</t>
        </is>
      </c>
      <c r="B3905" s="4" t="n">
        <v>45169</v>
      </c>
      <c r="C3905" s="3" t="inlineStr">
        <is>
          <t>Expenses</t>
        </is>
      </c>
      <c r="D3905" s="3" t="inlineStr">
        <is>
          <t>2000/030</t>
        </is>
      </c>
      <c r="E3905" s="3" t="inlineStr">
        <is>
          <t>COS - HV COCT Rates clearance</t>
        </is>
      </c>
      <c r="F3905" s="3" t="n">
        <v>0</v>
      </c>
      <c r="G3905" s="3" t="n">
        <v>237142.94</v>
      </c>
    </row>
    <row r="3906">
      <c r="A3906" s="3" t="inlineStr">
        <is>
          <t>Heron Fields (Pty) Ltd</t>
        </is>
      </c>
      <c r="B3906" s="4" t="n">
        <v>45169</v>
      </c>
      <c r="C3906" s="3" t="inlineStr">
        <is>
          <t>Expenses</t>
        </is>
      </c>
      <c r="D3906" s="3" t="inlineStr">
        <is>
          <t>2000/040</t>
        </is>
      </c>
      <c r="E3906" s="3" t="inlineStr">
        <is>
          <t>COS - Legal Fees</t>
        </is>
      </c>
      <c r="F3906" s="3" t="n">
        <v>0</v>
      </c>
      <c r="G3906" s="3" t="n">
        <v>648956.64</v>
      </c>
    </row>
    <row r="3907">
      <c r="A3907" s="3" t="inlineStr">
        <is>
          <t>Heron View (Pty) Ltd</t>
        </is>
      </c>
      <c r="B3907" s="4" t="n">
        <v>45169</v>
      </c>
      <c r="C3907" s="3" t="inlineStr">
        <is>
          <t>Expenses</t>
        </is>
      </c>
      <c r="D3907" s="3" t="inlineStr">
        <is>
          <t>2000/040</t>
        </is>
      </c>
      <c r="E3907" s="3" t="inlineStr">
        <is>
          <t>COS - Legal Fees</t>
        </is>
      </c>
      <c r="F3907" s="3" t="n">
        <v>134265.54</v>
      </c>
      <c r="G3907" s="3" t="n">
        <v>134265.54</v>
      </c>
    </row>
    <row r="3908">
      <c r="A3908" s="3" t="inlineStr">
        <is>
          <t>Heron View (Pty) Ltd</t>
        </is>
      </c>
      <c r="B3908" s="4" t="n">
        <v>45169</v>
      </c>
      <c r="C3908" s="3" t="inlineStr">
        <is>
          <t>Expenses</t>
        </is>
      </c>
      <c r="D3908" s="3" t="inlineStr">
        <is>
          <t>2000/041</t>
        </is>
      </c>
      <c r="E3908" s="3" t="inlineStr">
        <is>
          <t>COS - Legal Fees Opening of Sec Title Fees</t>
        </is>
      </c>
      <c r="F3908" s="3" t="n">
        <v>30020</v>
      </c>
      <c r="G3908" s="3" t="n">
        <v>44709.94</v>
      </c>
    </row>
    <row r="3909">
      <c r="A3909" s="3" t="inlineStr">
        <is>
          <t>Heron Fields (Pty) Ltd</t>
        </is>
      </c>
      <c r="B3909" s="4" t="n">
        <v>45169</v>
      </c>
      <c r="C3909" s="3" t="inlineStr">
        <is>
          <t>Expenses</t>
        </is>
      </c>
      <c r="D3909" s="3" t="inlineStr">
        <is>
          <t>2000/050</t>
        </is>
      </c>
      <c r="E3909" s="3" t="inlineStr">
        <is>
          <t>COS - Rates clearance</t>
        </is>
      </c>
      <c r="F3909" s="3" t="n">
        <v>3308.35</v>
      </c>
      <c r="G3909" s="3" t="n">
        <v>25345.12</v>
      </c>
    </row>
    <row r="3910">
      <c r="A3910" s="3" t="inlineStr">
        <is>
          <t>Heron Fields (Pty) Ltd</t>
        </is>
      </c>
      <c r="B3910" s="4" t="n">
        <v>45169</v>
      </c>
      <c r="C3910" s="3" t="inlineStr">
        <is>
          <t>Expenses</t>
        </is>
      </c>
      <c r="D3910" s="3" t="inlineStr">
        <is>
          <t>2000/060</t>
        </is>
      </c>
      <c r="E3910" s="3" t="inlineStr">
        <is>
          <t>COS - Levies</t>
        </is>
      </c>
      <c r="F3910" s="3" t="n">
        <v>0</v>
      </c>
      <c r="G3910" s="3" t="n">
        <v>171178.44</v>
      </c>
    </row>
    <row r="3911">
      <c r="A3911" s="3" t="inlineStr">
        <is>
          <t>Heron Fields (Pty) Ltd</t>
        </is>
      </c>
      <c r="B3911" s="4" t="n">
        <v>45169</v>
      </c>
      <c r="C3911" s="3" t="inlineStr">
        <is>
          <t>Expenses</t>
        </is>
      </c>
      <c r="D3911" s="3" t="inlineStr">
        <is>
          <t>2000/070</t>
        </is>
      </c>
      <c r="E3911" s="3" t="inlineStr">
        <is>
          <t>COS - Commission HF Units</t>
        </is>
      </c>
      <c r="F3911" s="3" t="n">
        <v>62604.35</v>
      </c>
      <c r="G3911" s="3" t="n">
        <v>1343517.4</v>
      </c>
    </row>
    <row r="3912">
      <c r="A3912" s="3" t="inlineStr">
        <is>
          <t>Heron View (Pty) Ltd</t>
        </is>
      </c>
      <c r="B3912" s="4" t="n">
        <v>45169</v>
      </c>
      <c r="C3912" s="3" t="inlineStr">
        <is>
          <t>Expenses</t>
        </is>
      </c>
      <c r="D3912" s="3" t="inlineStr">
        <is>
          <t>2000/070</t>
        </is>
      </c>
      <c r="E3912" s="3" t="inlineStr">
        <is>
          <t>COS - Commission HV Units</t>
        </is>
      </c>
      <c r="F3912" s="3" t="n">
        <v>343456.51</v>
      </c>
      <c r="G3912" s="3" t="n">
        <v>343456.51</v>
      </c>
    </row>
    <row r="3913">
      <c r="A3913" s="3" t="inlineStr">
        <is>
          <t>Heron Fields (Pty) Ltd</t>
        </is>
      </c>
      <c r="B3913" s="4" t="n">
        <v>45169</v>
      </c>
      <c r="C3913" s="3" t="inlineStr">
        <is>
          <t>Expenses</t>
        </is>
      </c>
      <c r="D3913" s="3" t="inlineStr">
        <is>
          <t>2000/080</t>
        </is>
      </c>
      <c r="E3913" s="3" t="inlineStr">
        <is>
          <t>COS - Showhouse - HF</t>
        </is>
      </c>
      <c r="F3913" s="3" t="n">
        <v>1005.47</v>
      </c>
      <c r="G3913" s="3" t="n">
        <v>1005.47</v>
      </c>
    </row>
    <row r="3914">
      <c r="A3914" s="3" t="inlineStr">
        <is>
          <t>Heron View (Pty) Ltd</t>
        </is>
      </c>
      <c r="B3914" s="4" t="n">
        <v>45169</v>
      </c>
      <c r="C3914" s="3" t="inlineStr">
        <is>
          <t>Expenses</t>
        </is>
      </c>
      <c r="D3914" s="3" t="inlineStr">
        <is>
          <t>2000/080</t>
        </is>
      </c>
      <c r="E3914" s="3" t="inlineStr">
        <is>
          <t>COS - Showhouse - HV</t>
        </is>
      </c>
      <c r="F3914" s="3" t="n">
        <v>0</v>
      </c>
      <c r="G3914" s="3" t="n">
        <v>6212.85</v>
      </c>
    </row>
    <row r="3915">
      <c r="A3915" s="3" t="inlineStr">
        <is>
          <t>Heron Fields (Pty) Ltd</t>
        </is>
      </c>
      <c r="B3915" s="4" t="n">
        <v>45169</v>
      </c>
      <c r="C3915" s="3" t="inlineStr">
        <is>
          <t>Expenses</t>
        </is>
      </c>
      <c r="D3915" s="3" t="inlineStr">
        <is>
          <t>2000/090</t>
        </is>
      </c>
      <c r="E3915" s="3" t="inlineStr">
        <is>
          <t>COS - Electricity</t>
        </is>
      </c>
      <c r="F3915" s="3" t="n">
        <v>0</v>
      </c>
      <c r="G3915" s="3" t="n">
        <v>250</v>
      </c>
    </row>
    <row r="3916">
      <c r="A3916" s="3" t="inlineStr">
        <is>
          <t>Heron Fields (Pty) Ltd</t>
        </is>
      </c>
      <c r="B3916" s="4" t="n">
        <v>45169</v>
      </c>
      <c r="C3916" s="3" t="inlineStr">
        <is>
          <t>Expenses</t>
        </is>
      </c>
      <c r="D3916" s="3" t="inlineStr">
        <is>
          <t>2000/100</t>
        </is>
      </c>
      <c r="E3916" s="3" t="inlineStr">
        <is>
          <t>COS - Inverters</t>
        </is>
      </c>
      <c r="F3916" s="3" t="n">
        <v>0</v>
      </c>
      <c r="G3916" s="3" t="n">
        <v>31600</v>
      </c>
    </row>
    <row r="3917">
      <c r="A3917" s="3" t="inlineStr">
        <is>
          <t>Cape Projects Construction (Pty) Ltd</t>
        </is>
      </c>
      <c r="B3917" s="4" t="n">
        <v>45169</v>
      </c>
      <c r="C3917" s="3" t="inlineStr">
        <is>
          <t>Expenses</t>
        </is>
      </c>
      <c r="D3917" s="3" t="inlineStr">
        <is>
          <t>2000/500</t>
        </is>
      </c>
      <c r="E3917" s="3" t="inlineStr">
        <is>
          <t>COS - Electricity Cost Endulini</t>
        </is>
      </c>
      <c r="F3917" s="3" t="n">
        <v>0</v>
      </c>
      <c r="G3917" s="3" t="n">
        <v>286.96</v>
      </c>
    </row>
    <row r="3918">
      <c r="A3918" s="3" t="inlineStr">
        <is>
          <t>Cape Projects Construction (Pty) Ltd</t>
        </is>
      </c>
      <c r="B3918" s="4" t="n">
        <v>45169</v>
      </c>
      <c r="C3918" s="3" t="inlineStr">
        <is>
          <t>Expenses</t>
        </is>
      </c>
      <c r="D3918" s="3" t="inlineStr">
        <is>
          <t>2000/501</t>
        </is>
      </c>
      <c r="E3918" s="3" t="inlineStr">
        <is>
          <t>COS - Electricity Cost Heron Field</t>
        </is>
      </c>
      <c r="F3918" s="3" t="n">
        <v>0</v>
      </c>
      <c r="G3918" s="3" t="n">
        <v>86.95999999999999</v>
      </c>
    </row>
    <row r="3919">
      <c r="A3919" s="3" t="inlineStr">
        <is>
          <t>Cape Projects Construction (Pty) Ltd</t>
        </is>
      </c>
      <c r="B3919" s="4" t="n">
        <v>45169</v>
      </c>
      <c r="C3919" s="3" t="inlineStr">
        <is>
          <t>Expenses</t>
        </is>
      </c>
      <c r="D3919" s="3" t="inlineStr">
        <is>
          <t>2001/000</t>
        </is>
      </c>
      <c r="E3919" s="3" t="inlineStr">
        <is>
          <t>Cost of Sales - SouthWark Project</t>
        </is>
      </c>
      <c r="F3919" s="3" t="n">
        <v>0</v>
      </c>
      <c r="G3919" s="3" t="n">
        <v>23423.97</v>
      </c>
    </row>
    <row r="3920">
      <c r="A3920" s="3" t="inlineStr">
        <is>
          <t>Cape Projects Construction (Pty) Ltd</t>
        </is>
      </c>
      <c r="B3920" s="4" t="n">
        <v>45169</v>
      </c>
      <c r="C3920" s="3" t="inlineStr">
        <is>
          <t>Expenses</t>
        </is>
      </c>
      <c r="D3920" s="3" t="inlineStr">
        <is>
          <t>2002/250</t>
        </is>
      </c>
      <c r="E3920" s="3" t="inlineStr">
        <is>
          <t>COS - Security</t>
        </is>
      </c>
      <c r="F3920" s="3" t="n">
        <v>10516.44</v>
      </c>
      <c r="G3920" s="3" t="n">
        <v>10516.44</v>
      </c>
    </row>
    <row r="3921">
      <c r="A3921" s="3" t="inlineStr">
        <is>
          <t>Cape Projects Construction (Pty) Ltd</t>
        </is>
      </c>
      <c r="B3921" s="4" t="n">
        <v>45169</v>
      </c>
      <c r="C3921" s="3" t="inlineStr">
        <is>
          <t>Expenses</t>
        </is>
      </c>
      <c r="D3921" s="3" t="inlineStr">
        <is>
          <t>2002/252</t>
        </is>
      </c>
      <c r="E3921" s="3" t="inlineStr">
        <is>
          <t>COS - Security - Guarding</t>
        </is>
      </c>
      <c r="F3921" s="3" t="n">
        <v>0</v>
      </c>
      <c r="G3921" s="3" t="n">
        <v>41620.91</v>
      </c>
    </row>
    <row r="3922">
      <c r="A3922" s="3" t="inlineStr">
        <is>
          <t>Cape Projects Construction (Pty) Ltd</t>
        </is>
      </c>
      <c r="B3922" s="4" t="n">
        <v>45169</v>
      </c>
      <c r="C3922" s="3" t="inlineStr">
        <is>
          <t>Expenses</t>
        </is>
      </c>
      <c r="D3922" s="3" t="inlineStr">
        <is>
          <t>2006/000</t>
        </is>
      </c>
      <c r="E3922" s="3" t="inlineStr">
        <is>
          <t>COS - Endulini Construction</t>
        </is>
      </c>
      <c r="F3922" s="3" t="n">
        <v>5129.48</v>
      </c>
      <c r="G3922" s="3" t="n">
        <v>255060.13</v>
      </c>
    </row>
    <row r="3923">
      <c r="A3923" s="3" t="inlineStr">
        <is>
          <t>Cape Projects Construction (Pty) Ltd</t>
        </is>
      </c>
      <c r="B3923" s="4" t="n">
        <v>45169</v>
      </c>
      <c r="C3923" s="3" t="inlineStr">
        <is>
          <t>Expenses</t>
        </is>
      </c>
      <c r="D3923" s="3" t="inlineStr">
        <is>
          <t>2006/100</t>
        </is>
      </c>
      <c r="E3923" s="3" t="inlineStr">
        <is>
          <t>COS - Endulini P and G</t>
        </is>
      </c>
      <c r="F3923" s="3" t="n">
        <v>1800</v>
      </c>
      <c r="G3923" s="3" t="n">
        <v>148803.59</v>
      </c>
    </row>
    <row r="3924">
      <c r="A3924" s="3" t="inlineStr">
        <is>
          <t>Cape Projects Construction (Pty) Ltd</t>
        </is>
      </c>
      <c r="B3924" s="4" t="n">
        <v>45169</v>
      </c>
      <c r="C3924" s="3" t="inlineStr">
        <is>
          <t>Expenses</t>
        </is>
      </c>
      <c r="D3924" s="3" t="inlineStr">
        <is>
          <t>2006/200</t>
        </is>
      </c>
      <c r="E3924" s="3" t="inlineStr">
        <is>
          <t>COS - Insurance</t>
        </is>
      </c>
      <c r="F3924" s="3" t="n">
        <v>-20443.12</v>
      </c>
      <c r="G3924" s="3" t="n">
        <v>-17723.69</v>
      </c>
    </row>
    <row r="3925">
      <c r="A3925" s="3" t="inlineStr">
        <is>
          <t>Cape Projects Construction (Pty) Ltd</t>
        </is>
      </c>
      <c r="B3925" s="4" t="n">
        <v>45169</v>
      </c>
      <c r="C3925" s="3" t="inlineStr">
        <is>
          <t>Expenses</t>
        </is>
      </c>
      <c r="D3925" s="3" t="inlineStr">
        <is>
          <t>2006/450</t>
        </is>
      </c>
      <c r="E3925" s="3" t="inlineStr">
        <is>
          <t>COS - Endulini - Computer expenses</t>
        </is>
      </c>
      <c r="F3925" s="3" t="n">
        <v>26340.75</v>
      </c>
      <c r="G3925" s="3" t="n">
        <v>26340.75</v>
      </c>
    </row>
    <row r="3926">
      <c r="A3926" s="3" t="inlineStr">
        <is>
          <t>Cape Projects Construction (Pty) Ltd</t>
        </is>
      </c>
      <c r="B3926" s="4" t="n">
        <v>45169</v>
      </c>
      <c r="C3926" s="3" t="inlineStr">
        <is>
          <t>Expenses</t>
        </is>
      </c>
      <c r="D3926" s="3" t="inlineStr">
        <is>
          <t>2006/800</t>
        </is>
      </c>
      <c r="E3926" s="3" t="inlineStr">
        <is>
          <t>COS - Endulini - Telephone &amp; Internet</t>
        </is>
      </c>
      <c r="F3926" s="3" t="n">
        <v>0</v>
      </c>
      <c r="G3926" s="3" t="n">
        <v>760.87</v>
      </c>
    </row>
    <row r="3927">
      <c r="A3927" s="3" t="inlineStr">
        <is>
          <t>Cape Projects Construction (Pty) Ltd</t>
        </is>
      </c>
      <c r="B3927" s="4" t="n">
        <v>45169</v>
      </c>
      <c r="C3927" s="3" t="inlineStr">
        <is>
          <t>Expenses</t>
        </is>
      </c>
      <c r="D3927" s="3" t="inlineStr">
        <is>
          <t>2007/000</t>
        </is>
      </c>
      <c r="E3927" s="3" t="inlineStr">
        <is>
          <t>COS - Repairs &amp; Maintenance - SW Southwark</t>
        </is>
      </c>
      <c r="F3927" s="3" t="n">
        <v>2290.7</v>
      </c>
      <c r="G3927" s="3" t="n">
        <v>27752.22</v>
      </c>
    </row>
    <row r="3928">
      <c r="A3928" s="3" t="inlineStr">
        <is>
          <t>Cape Projects Construction (Pty) Ltd</t>
        </is>
      </c>
      <c r="B3928" s="4" t="n">
        <v>45169</v>
      </c>
      <c r="C3928" s="3" t="inlineStr">
        <is>
          <t>Expenses</t>
        </is>
      </c>
      <c r="D3928" s="3" t="inlineStr">
        <is>
          <t>2008/000</t>
        </is>
      </c>
      <c r="E3928" s="3" t="inlineStr">
        <is>
          <t>COS - Repairs &amp; Maintenance - SH Soho</t>
        </is>
      </c>
      <c r="F3928" s="3" t="n">
        <v>7096.87</v>
      </c>
      <c r="G3928" s="3" t="n">
        <v>7565.57</v>
      </c>
    </row>
    <row r="3929">
      <c r="A3929" s="3" t="inlineStr">
        <is>
          <t>Cape Projects Construction (Pty) Ltd</t>
        </is>
      </c>
      <c r="B3929" s="4" t="n">
        <v>45169</v>
      </c>
      <c r="C3929" s="3" t="inlineStr">
        <is>
          <t>Expenses</t>
        </is>
      </c>
      <c r="D3929" s="3" t="inlineStr">
        <is>
          <t>2011/300</t>
        </is>
      </c>
      <c r="E3929" s="3" t="inlineStr">
        <is>
          <t>COS - Heron Fields - Printing &amp; Stationary</t>
        </is>
      </c>
      <c r="F3929" s="3" t="n">
        <v>0</v>
      </c>
      <c r="G3929" s="3" t="n">
        <v>1129.57</v>
      </c>
    </row>
    <row r="3930">
      <c r="A3930" s="3" t="inlineStr">
        <is>
          <t>Cape Projects Construction (Pty) Ltd</t>
        </is>
      </c>
      <c r="B3930" s="4" t="n">
        <v>45169</v>
      </c>
      <c r="C3930" s="3" t="inlineStr">
        <is>
          <t>Expenses</t>
        </is>
      </c>
      <c r="D3930" s="3" t="inlineStr">
        <is>
          <t>2011/500</t>
        </is>
      </c>
      <c r="E3930" s="3" t="inlineStr">
        <is>
          <t>COS - Heron Fields - Construction</t>
        </is>
      </c>
      <c r="F3930" s="3" t="n">
        <v>76169.75</v>
      </c>
      <c r="G3930" s="3" t="n">
        <v>1490955.34</v>
      </c>
    </row>
    <row r="3931">
      <c r="A3931" s="3" t="inlineStr">
        <is>
          <t>Cape Projects Construction (Pty) Ltd</t>
        </is>
      </c>
      <c r="B3931" s="4" t="n">
        <v>45169</v>
      </c>
      <c r="C3931" s="3" t="inlineStr">
        <is>
          <t>Expenses</t>
        </is>
      </c>
      <c r="D3931" s="3" t="inlineStr">
        <is>
          <t>2011/600</t>
        </is>
      </c>
      <c r="E3931" s="3" t="inlineStr">
        <is>
          <t>COS - Heron Fields - P &amp; G</t>
        </is>
      </c>
      <c r="F3931" s="3" t="n">
        <v>47477.81</v>
      </c>
      <c r="G3931" s="3" t="n">
        <v>329997.44</v>
      </c>
    </row>
    <row r="3932">
      <c r="A3932" s="3" t="inlineStr">
        <is>
          <t>Cape Projects Construction (Pty) Ltd</t>
        </is>
      </c>
      <c r="B3932" s="4" t="n">
        <v>45169</v>
      </c>
      <c r="C3932" s="3" t="inlineStr">
        <is>
          <t>Expenses</t>
        </is>
      </c>
      <c r="D3932" s="3" t="inlineStr">
        <is>
          <t>2011/700</t>
        </is>
      </c>
      <c r="E3932" s="3" t="inlineStr">
        <is>
          <t>COS - Heron Fields - Health &amp; Safety</t>
        </is>
      </c>
      <c r="F3932" s="3" t="n">
        <v>0</v>
      </c>
      <c r="G3932" s="3" t="n">
        <v>694.78</v>
      </c>
    </row>
    <row r="3933">
      <c r="A3933" s="3" t="inlineStr">
        <is>
          <t>Cape Projects Construction (Pty) Ltd</t>
        </is>
      </c>
      <c r="B3933" s="4" t="n">
        <v>45169</v>
      </c>
      <c r="C3933" s="3" t="inlineStr">
        <is>
          <t>Expenses</t>
        </is>
      </c>
      <c r="D3933" s="3" t="inlineStr">
        <is>
          <t>2011/900</t>
        </is>
      </c>
      <c r="E3933" s="3" t="inlineStr">
        <is>
          <t>COS - Heron - Internet</t>
        </is>
      </c>
      <c r="F3933" s="3" t="n">
        <v>1797.39</v>
      </c>
      <c r="G3933" s="3" t="n">
        <v>8290.110000000001</v>
      </c>
    </row>
    <row r="3934">
      <c r="A3934" s="3" t="inlineStr">
        <is>
          <t>Cape Projects Construction (Pty) Ltd</t>
        </is>
      </c>
      <c r="B3934" s="4" t="n">
        <v>45169</v>
      </c>
      <c r="C3934" s="3" t="inlineStr">
        <is>
          <t>Expenses</t>
        </is>
      </c>
      <c r="D3934" s="3" t="inlineStr">
        <is>
          <t>2012/001</t>
        </is>
      </c>
      <c r="E3934" s="3" t="inlineStr">
        <is>
          <t>COS - Heron View - Printing &amp; Stationary</t>
        </is>
      </c>
      <c r="F3934" s="3" t="n">
        <v>3776.28</v>
      </c>
      <c r="G3934" s="3" t="n">
        <v>15014.52</v>
      </c>
    </row>
    <row r="3935">
      <c r="A3935" s="3" t="inlineStr">
        <is>
          <t>Cape Projects Construction (Pty) Ltd</t>
        </is>
      </c>
      <c r="B3935" s="4" t="n">
        <v>45169</v>
      </c>
      <c r="C3935" s="3" t="inlineStr">
        <is>
          <t>Expenses</t>
        </is>
      </c>
      <c r="D3935" s="3" t="inlineStr">
        <is>
          <t>2012/002</t>
        </is>
      </c>
      <c r="E3935" s="3" t="inlineStr">
        <is>
          <t>COS - Heron View - Construction</t>
        </is>
      </c>
      <c r="F3935" s="3" t="n">
        <v>1998124.14</v>
      </c>
      <c r="G3935" s="3" t="n">
        <v>17386763.41</v>
      </c>
    </row>
    <row r="3936">
      <c r="A3936" s="3" t="inlineStr">
        <is>
          <t>Cape Projects Construction (Pty) Ltd</t>
        </is>
      </c>
      <c r="B3936" s="4" t="n">
        <v>45169</v>
      </c>
      <c r="C3936" s="3" t="inlineStr">
        <is>
          <t>Expenses</t>
        </is>
      </c>
      <c r="D3936" s="3" t="inlineStr">
        <is>
          <t>2012/003</t>
        </is>
      </c>
      <c r="E3936" s="3" t="inlineStr">
        <is>
          <t>COS - Heron View - P&amp;G</t>
        </is>
      </c>
      <c r="F3936" s="3" t="n">
        <v>43415.97</v>
      </c>
      <c r="G3936" s="3" t="n">
        <v>532471.9300000001</v>
      </c>
    </row>
    <row r="3937">
      <c r="A3937" s="3" t="inlineStr">
        <is>
          <t>Cape Projects Construction (Pty) Ltd</t>
        </is>
      </c>
      <c r="B3937" s="4" t="n">
        <v>45169</v>
      </c>
      <c r="C3937" s="3" t="inlineStr">
        <is>
          <t>Expenses</t>
        </is>
      </c>
      <c r="D3937" s="3" t="inlineStr">
        <is>
          <t>2013/000</t>
        </is>
      </c>
      <c r="E3937" s="3" t="inlineStr">
        <is>
          <t>COS - Bakhoven</t>
        </is>
      </c>
      <c r="F3937" s="3" t="n">
        <v>0</v>
      </c>
      <c r="G3937" s="3" t="n">
        <v>17292.48</v>
      </c>
    </row>
    <row r="3938">
      <c r="A3938" s="3" t="inlineStr">
        <is>
          <t>Cape Projects Construction (Pty) Ltd</t>
        </is>
      </c>
      <c r="B3938" s="4" t="n">
        <v>45169</v>
      </c>
      <c r="C3938" s="3" t="inlineStr">
        <is>
          <t>Revenue</t>
        </is>
      </c>
      <c r="D3938" s="3" t="inlineStr">
        <is>
          <t>2750/000</t>
        </is>
      </c>
      <c r="E3938" s="3" t="inlineStr">
        <is>
          <t>Interest Received - FNB</t>
        </is>
      </c>
      <c r="F3938" s="3" t="n">
        <v>-196.86</v>
      </c>
      <c r="G3938" s="3" t="n">
        <v>-701.77</v>
      </c>
    </row>
    <row r="3939">
      <c r="A3939" s="3" t="inlineStr">
        <is>
          <t>Cape Projects Construction (Pty) Ltd</t>
        </is>
      </c>
      <c r="B3939" s="4" t="n">
        <v>45169</v>
      </c>
      <c r="C3939" s="3" t="inlineStr">
        <is>
          <t>Revenue</t>
        </is>
      </c>
      <c r="D3939" s="3" t="inlineStr">
        <is>
          <t>2751/001</t>
        </is>
      </c>
      <c r="E3939" s="3" t="inlineStr">
        <is>
          <t>Interest received - Momentum</t>
        </is>
      </c>
      <c r="F3939" s="3" t="n">
        <v>-4.04</v>
      </c>
      <c r="G3939" s="3" t="n">
        <v>-26.09</v>
      </c>
    </row>
    <row r="3940">
      <c r="A3940" s="3" t="inlineStr">
        <is>
          <t>Heron Fields (Pty) Ltd</t>
        </is>
      </c>
      <c r="B3940" s="4" t="n">
        <v>45169</v>
      </c>
      <c r="C3940" s="3" t="inlineStr">
        <is>
          <t>Revenue</t>
        </is>
      </c>
      <c r="D3940" s="3" t="inlineStr">
        <is>
          <t>2755/001</t>
        </is>
      </c>
      <c r="E3940" s="3" t="inlineStr">
        <is>
          <t>Interest Received - Momentum</t>
        </is>
      </c>
      <c r="F3940" s="3" t="n">
        <v>-241364.67</v>
      </c>
      <c r="G3940" s="3" t="n">
        <v>-1447899.21</v>
      </c>
    </row>
    <row r="3941">
      <c r="A3941" s="3" t="inlineStr">
        <is>
          <t>Heron Fields (Pty) Ltd</t>
        </is>
      </c>
      <c r="B3941" s="4" t="n">
        <v>45169</v>
      </c>
      <c r="C3941" s="3" t="inlineStr">
        <is>
          <t>Expenses</t>
        </is>
      </c>
      <c r="D3941" s="3" t="inlineStr">
        <is>
          <t>3000/000</t>
        </is>
      </c>
      <c r="E3941" s="3" t="inlineStr">
        <is>
          <t>Accounting Fees</t>
        </is>
      </c>
      <c r="F3941" s="3" t="n">
        <v>1620</v>
      </c>
      <c r="G3941" s="3" t="n">
        <v>15024.96</v>
      </c>
    </row>
    <row r="3942">
      <c r="A3942" s="3" t="inlineStr">
        <is>
          <t>Heron Fields (Pty) Ltd</t>
        </is>
      </c>
      <c r="B3942" s="4" t="n">
        <v>45169</v>
      </c>
      <c r="C3942" s="3" t="inlineStr">
        <is>
          <t>Expenses</t>
        </is>
      </c>
      <c r="D3942" s="3" t="inlineStr">
        <is>
          <t>3000/100</t>
        </is>
      </c>
      <c r="E3942" s="3" t="inlineStr">
        <is>
          <t>Accounting - CIPC</t>
        </is>
      </c>
      <c r="F3942" s="3" t="n">
        <v>0</v>
      </c>
      <c r="G3942" s="3" t="n">
        <v>3050</v>
      </c>
    </row>
    <row r="3943">
      <c r="A3943" s="3" t="inlineStr">
        <is>
          <t>Cape Projects Construction (Pty) Ltd</t>
        </is>
      </c>
      <c r="B3943" s="4" t="n">
        <v>45169</v>
      </c>
      <c r="C3943" s="3" t="inlineStr">
        <is>
          <t>Expenses</t>
        </is>
      </c>
      <c r="D3943" s="3" t="inlineStr">
        <is>
          <t>3001/000</t>
        </is>
      </c>
      <c r="E3943" s="3" t="inlineStr">
        <is>
          <t>Accounting Fees - Other</t>
        </is>
      </c>
      <c r="F3943" s="3" t="n">
        <v>0</v>
      </c>
      <c r="G3943" s="3" t="n">
        <v>1280</v>
      </c>
    </row>
    <row r="3944">
      <c r="A3944" s="3" t="inlineStr">
        <is>
          <t>Cape Projects Construction (Pty) Ltd</t>
        </is>
      </c>
      <c r="B3944" s="4" t="n">
        <v>45169</v>
      </c>
      <c r="C3944" s="3" t="inlineStr">
        <is>
          <t>Expenses</t>
        </is>
      </c>
      <c r="D3944" s="3" t="inlineStr">
        <is>
          <t>3002/000</t>
        </is>
      </c>
      <c r="E3944" s="3" t="inlineStr">
        <is>
          <t>Accounting Fees - Audit</t>
        </is>
      </c>
      <c r="F3944" s="3" t="n">
        <v>0</v>
      </c>
      <c r="G3944" s="3" t="n">
        <v>11170</v>
      </c>
    </row>
    <row r="3945">
      <c r="A3945" s="3" t="inlineStr">
        <is>
          <t>Cape Projects Construction (Pty) Ltd</t>
        </is>
      </c>
      <c r="B3945" s="4" t="n">
        <v>45169</v>
      </c>
      <c r="C3945" s="3" t="inlineStr">
        <is>
          <t>Expenses</t>
        </is>
      </c>
      <c r="D3945" s="3" t="inlineStr">
        <is>
          <t>3050/000</t>
        </is>
      </c>
      <c r="E3945" s="3" t="inlineStr">
        <is>
          <t>Advertising _AND_ Promotions</t>
        </is>
      </c>
      <c r="F3945" s="3" t="n">
        <v>4025</v>
      </c>
      <c r="G3945" s="3" t="n">
        <v>8675</v>
      </c>
    </row>
    <row r="3946">
      <c r="A3946" s="3" t="inlineStr">
        <is>
          <t>Heron Fields (Pty) Ltd</t>
        </is>
      </c>
      <c r="B3946" s="4" t="n">
        <v>45169</v>
      </c>
      <c r="C3946" s="3" t="inlineStr">
        <is>
          <t>Expenses</t>
        </is>
      </c>
      <c r="D3946" s="3" t="inlineStr">
        <is>
          <t>3050/000</t>
        </is>
      </c>
      <c r="E3946" s="3" t="inlineStr">
        <is>
          <t>Advertising _AND_ Promotions</t>
        </is>
      </c>
      <c r="F3946" s="3" t="n">
        <v>5439.56</v>
      </c>
      <c r="G3946" s="3" t="n">
        <v>169342.05</v>
      </c>
    </row>
    <row r="3947">
      <c r="A3947" s="3" t="inlineStr">
        <is>
          <t>Heron View (Pty) Ltd</t>
        </is>
      </c>
      <c r="B3947" s="4" t="n">
        <v>45169</v>
      </c>
      <c r="C3947" s="3" t="inlineStr">
        <is>
          <t>Expenses</t>
        </is>
      </c>
      <c r="D3947" s="3" t="inlineStr">
        <is>
          <t>3050/000</t>
        </is>
      </c>
      <c r="E3947" s="3" t="inlineStr">
        <is>
          <t>Advertising _AND_ Promotions</t>
        </is>
      </c>
      <c r="F3947" s="3" t="n">
        <v>0</v>
      </c>
      <c r="G3947" s="3" t="n">
        <v>41176.47</v>
      </c>
    </row>
    <row r="3948">
      <c r="A3948" s="3" t="inlineStr">
        <is>
          <t>Heron Fields (Pty) Ltd</t>
        </is>
      </c>
      <c r="B3948" s="4" t="n">
        <v>45169</v>
      </c>
      <c r="C3948" s="3" t="inlineStr">
        <is>
          <t>Expenses</t>
        </is>
      </c>
      <c r="D3948" s="3" t="inlineStr">
        <is>
          <t>3050/100</t>
        </is>
      </c>
      <c r="E3948" s="3" t="inlineStr">
        <is>
          <t>Advertising - Property24</t>
        </is>
      </c>
      <c r="F3948" s="3" t="n">
        <v>0</v>
      </c>
      <c r="G3948" s="3" t="n">
        <v>12480</v>
      </c>
    </row>
    <row r="3949">
      <c r="A3949" s="3" t="inlineStr">
        <is>
          <t>Cape Projects Construction (Pty) Ltd</t>
        </is>
      </c>
      <c r="B3949" s="4" t="n">
        <v>45169</v>
      </c>
      <c r="C3949" s="3" t="inlineStr">
        <is>
          <t>Expenses</t>
        </is>
      </c>
      <c r="D3949" s="3" t="inlineStr">
        <is>
          <t>3050/150</t>
        </is>
      </c>
      <c r="E3949" s="3" t="inlineStr">
        <is>
          <t>Advertising - Design Fees</t>
        </is>
      </c>
      <c r="F3949" s="3" t="n">
        <v>0</v>
      </c>
      <c r="G3949" s="3" t="n">
        <v>295</v>
      </c>
    </row>
    <row r="3950">
      <c r="A3950" s="3" t="inlineStr">
        <is>
          <t>Heron Fields (Pty) Ltd</t>
        </is>
      </c>
      <c r="B3950" s="4" t="n">
        <v>45169</v>
      </c>
      <c r="C3950" s="3" t="inlineStr">
        <is>
          <t>Expenses</t>
        </is>
      </c>
      <c r="D3950" s="3" t="inlineStr">
        <is>
          <t>3050/300</t>
        </is>
      </c>
      <c r="E3950" s="3" t="inlineStr">
        <is>
          <t>Advertising - Real Marketing</t>
        </is>
      </c>
      <c r="F3950" s="3" t="n">
        <v>10250</v>
      </c>
      <c r="G3950" s="3" t="n">
        <v>10250</v>
      </c>
    </row>
    <row r="3951">
      <c r="A3951" s="3" t="inlineStr">
        <is>
          <t>Heron View (Pty) Ltd</t>
        </is>
      </c>
      <c r="B3951" s="4" t="n">
        <v>45169</v>
      </c>
      <c r="C3951" s="3" t="inlineStr">
        <is>
          <t>Expenses</t>
        </is>
      </c>
      <c r="D3951" s="3" t="inlineStr">
        <is>
          <t>3050/400</t>
        </is>
      </c>
      <c r="E3951" s="3" t="inlineStr">
        <is>
          <t>Advertising - Pure Brand Activation</t>
        </is>
      </c>
      <c r="F3951" s="3" t="n">
        <v>0</v>
      </c>
      <c r="G3951" s="3" t="n">
        <v>4602</v>
      </c>
    </row>
    <row r="3952">
      <c r="A3952" s="3" t="inlineStr">
        <is>
          <t>Cape Projects Construction (Pty) Ltd</t>
        </is>
      </c>
      <c r="B3952" s="4" t="n">
        <v>45169</v>
      </c>
      <c r="C3952" s="3" t="inlineStr">
        <is>
          <t>Expenses</t>
        </is>
      </c>
      <c r="D3952" s="3" t="inlineStr">
        <is>
          <t>3050/450</t>
        </is>
      </c>
      <c r="E3952" s="3" t="inlineStr">
        <is>
          <t>Advertising - Other</t>
        </is>
      </c>
      <c r="F3952" s="3" t="n">
        <v>0</v>
      </c>
      <c r="G3952" s="3" t="n">
        <v>1597</v>
      </c>
    </row>
    <row r="3953">
      <c r="A3953" s="3" t="inlineStr">
        <is>
          <t>Heron View (Pty) Ltd</t>
        </is>
      </c>
      <c r="B3953" s="4" t="n">
        <v>45169</v>
      </c>
      <c r="C3953" s="3" t="inlineStr">
        <is>
          <t>Expenses</t>
        </is>
      </c>
      <c r="D3953" s="3" t="inlineStr">
        <is>
          <t>3050/500</t>
        </is>
      </c>
      <c r="E3953" s="3" t="inlineStr">
        <is>
          <t>Advertising - Real Marketing</t>
        </is>
      </c>
      <c r="F3953" s="3" t="n">
        <v>18500</v>
      </c>
      <c r="G3953" s="3" t="n">
        <v>18500</v>
      </c>
    </row>
    <row r="3954">
      <c r="A3954" s="3" t="inlineStr">
        <is>
          <t>Cape Projects Construction (Pty) Ltd</t>
        </is>
      </c>
      <c r="B3954" s="4" t="n">
        <v>45169</v>
      </c>
      <c r="C3954" s="3" t="inlineStr">
        <is>
          <t>Expenses</t>
        </is>
      </c>
      <c r="D3954" s="3" t="inlineStr">
        <is>
          <t>3200/000</t>
        </is>
      </c>
      <c r="E3954" s="3" t="inlineStr">
        <is>
          <t>Bank Charges</t>
        </is>
      </c>
      <c r="F3954" s="3" t="n">
        <v>2073.8</v>
      </c>
      <c r="G3954" s="3" t="n">
        <v>11392.54</v>
      </c>
    </row>
    <row r="3955">
      <c r="A3955" s="3" t="inlineStr">
        <is>
          <t>Heron Fields (Pty) Ltd</t>
        </is>
      </c>
      <c r="B3955" s="4" t="n">
        <v>45169</v>
      </c>
      <c r="C3955" s="3" t="inlineStr">
        <is>
          <t>Expenses</t>
        </is>
      </c>
      <c r="D3955" s="3" t="inlineStr">
        <is>
          <t>3200/000</t>
        </is>
      </c>
      <c r="E3955" s="3" t="inlineStr">
        <is>
          <t>Bank Charges</t>
        </is>
      </c>
      <c r="F3955" s="3" t="n">
        <v>390.11</v>
      </c>
      <c r="G3955" s="3" t="n">
        <v>2957.79</v>
      </c>
    </row>
    <row r="3956">
      <c r="A3956" s="3" t="inlineStr">
        <is>
          <t>Cape Projects Construction (Pty) Ltd</t>
        </is>
      </c>
      <c r="B3956" s="4" t="n">
        <v>45169</v>
      </c>
      <c r="C3956" s="3" t="inlineStr">
        <is>
          <t>Expenses</t>
        </is>
      </c>
      <c r="D3956" s="3" t="inlineStr">
        <is>
          <t>3250/000</t>
        </is>
      </c>
      <c r="E3956" s="3" t="inlineStr">
        <is>
          <t>Cleaning</t>
        </is>
      </c>
      <c r="F3956" s="3" t="n">
        <v>0</v>
      </c>
      <c r="G3956" s="3" t="n">
        <v>511.89</v>
      </c>
    </row>
    <row r="3957">
      <c r="A3957" s="3" t="inlineStr">
        <is>
          <t>Cape Projects Construction (Pty) Ltd</t>
        </is>
      </c>
      <c r="B3957" s="4" t="n">
        <v>45169</v>
      </c>
      <c r="C3957" s="3" t="inlineStr">
        <is>
          <t>Expenses</t>
        </is>
      </c>
      <c r="D3957" s="3" t="inlineStr">
        <is>
          <t>3255/000</t>
        </is>
      </c>
      <c r="E3957" s="3" t="inlineStr">
        <is>
          <t>Cell Phone - CT Office</t>
        </is>
      </c>
      <c r="F3957" s="3" t="n">
        <v>4123</v>
      </c>
      <c r="G3957" s="3" t="n">
        <v>4123</v>
      </c>
    </row>
    <row r="3958">
      <c r="A3958" s="3" t="inlineStr">
        <is>
          <t>Cape Projects Construction (Pty) Ltd</t>
        </is>
      </c>
      <c r="B3958" s="4" t="n">
        <v>45169</v>
      </c>
      <c r="C3958" s="3" t="inlineStr">
        <is>
          <t>Expenses</t>
        </is>
      </c>
      <c r="D3958" s="3" t="inlineStr">
        <is>
          <t>3256/000</t>
        </is>
      </c>
      <c r="E3958" s="3" t="inlineStr">
        <is>
          <t>Cell Phone - Nick Morgan</t>
        </is>
      </c>
      <c r="F3958" s="3" t="n">
        <v>26779.67</v>
      </c>
      <c r="G3958" s="3" t="n">
        <v>26779.67</v>
      </c>
    </row>
    <row r="3959">
      <c r="A3959" s="3" t="inlineStr">
        <is>
          <t>Cape Projects Construction (Pty) Ltd</t>
        </is>
      </c>
      <c r="B3959" s="4" t="n">
        <v>45169</v>
      </c>
      <c r="C3959" s="3" t="inlineStr">
        <is>
          <t>Expenses</t>
        </is>
      </c>
      <c r="D3959" s="3" t="inlineStr">
        <is>
          <t>3300/000</t>
        </is>
      </c>
      <c r="E3959" s="3" t="inlineStr">
        <is>
          <t>Computer Expenses</t>
        </is>
      </c>
      <c r="F3959" s="3" t="n">
        <v>0</v>
      </c>
      <c r="G3959" s="3" t="n">
        <v>4352.65</v>
      </c>
    </row>
    <row r="3960">
      <c r="A3960" s="3" t="inlineStr">
        <is>
          <t>Cape Projects Construction (Pty) Ltd</t>
        </is>
      </c>
      <c r="B3960" s="4" t="n">
        <v>45169</v>
      </c>
      <c r="C3960" s="3" t="inlineStr">
        <is>
          <t>Expenses</t>
        </is>
      </c>
      <c r="D3960" s="3" t="inlineStr">
        <is>
          <t>3300/100</t>
        </is>
      </c>
      <c r="E3960" s="3" t="inlineStr">
        <is>
          <t>Computer Exp - IT, Internet/Hosting Fee</t>
        </is>
      </c>
      <c r="F3960" s="3" t="n">
        <v>5130</v>
      </c>
      <c r="G3960" s="3" t="n">
        <v>23329</v>
      </c>
    </row>
    <row r="3961">
      <c r="A3961" s="3" t="inlineStr">
        <is>
          <t>Heron Fields (Pty) Ltd</t>
        </is>
      </c>
      <c r="B3961" s="4" t="n">
        <v>45169</v>
      </c>
      <c r="C3961" s="3" t="inlineStr">
        <is>
          <t>Expenses</t>
        </is>
      </c>
      <c r="D3961" s="3" t="inlineStr">
        <is>
          <t>3350/100</t>
        </is>
      </c>
      <c r="E3961" s="3" t="inlineStr">
        <is>
          <t>Consulting Fees - Admin and Finance</t>
        </is>
      </c>
      <c r="F3961" s="3" t="n">
        <v>122083</v>
      </c>
      <c r="G3961" s="3" t="n">
        <v>694583.5699999999</v>
      </c>
    </row>
    <row r="3962">
      <c r="A3962" s="3" t="inlineStr">
        <is>
          <t>Cape Projects Construction (Pty) Ltd</t>
        </is>
      </c>
      <c r="B3962" s="4" t="n">
        <v>45169</v>
      </c>
      <c r="C3962" s="3" t="inlineStr">
        <is>
          <t>Expenses</t>
        </is>
      </c>
      <c r="D3962" s="3" t="inlineStr">
        <is>
          <t>3350/300</t>
        </is>
      </c>
      <c r="E3962" s="3" t="inlineStr">
        <is>
          <t>Consulting Fees - Admin and Finance</t>
        </is>
      </c>
      <c r="F3962" s="3" t="n">
        <v>119697</v>
      </c>
      <c r="G3962" s="3" t="n">
        <v>732746.7</v>
      </c>
    </row>
    <row r="3963">
      <c r="A3963" s="3" t="inlineStr">
        <is>
          <t>Heron Fields (Pty) Ltd</t>
        </is>
      </c>
      <c r="B3963" s="4" t="n">
        <v>45169</v>
      </c>
      <c r="C3963" s="3" t="inlineStr">
        <is>
          <t>Expenses</t>
        </is>
      </c>
      <c r="D3963" s="3" t="inlineStr">
        <is>
          <t>3351/000</t>
        </is>
      </c>
      <c r="E3963" s="3" t="inlineStr">
        <is>
          <t>Consulting fees - Trustee</t>
        </is>
      </c>
      <c r="F3963" s="3" t="n">
        <v>0</v>
      </c>
      <c r="G3963" s="3" t="n">
        <v>12200</v>
      </c>
    </row>
    <row r="3964">
      <c r="A3964" s="3" t="inlineStr">
        <is>
          <t>Heron View (Pty) Ltd</t>
        </is>
      </c>
      <c r="B3964" s="4" t="n">
        <v>45169</v>
      </c>
      <c r="C3964" s="3" t="inlineStr">
        <is>
          <t>Expenses</t>
        </is>
      </c>
      <c r="D3964" s="3" t="inlineStr">
        <is>
          <t>3351/000</t>
        </is>
      </c>
      <c r="E3964" s="3" t="inlineStr">
        <is>
          <t>Consulting fees - Trustee</t>
        </is>
      </c>
      <c r="F3964" s="3" t="n">
        <v>7250</v>
      </c>
      <c r="G3964" s="3" t="n">
        <v>21750</v>
      </c>
    </row>
    <row r="3965">
      <c r="A3965" s="3" t="inlineStr">
        <is>
          <t>Cape Projects Construction (Pty) Ltd</t>
        </is>
      </c>
      <c r="B3965" s="4" t="n">
        <v>45169</v>
      </c>
      <c r="C3965" s="3" t="inlineStr">
        <is>
          <t>Expenses</t>
        </is>
      </c>
      <c r="D3965" s="3" t="inlineStr">
        <is>
          <t>3400/000</t>
        </is>
      </c>
      <c r="E3965" s="3" t="inlineStr">
        <is>
          <t>Courier _AND_ Postage</t>
        </is>
      </c>
      <c r="F3965" s="3" t="n">
        <v>0</v>
      </c>
      <c r="G3965" s="3" t="n">
        <v>86.09</v>
      </c>
    </row>
    <row r="3966">
      <c r="A3966" s="3" t="inlineStr">
        <is>
          <t>Cape Projects Construction (Pty) Ltd</t>
        </is>
      </c>
      <c r="B3966" s="4" t="n">
        <v>45169</v>
      </c>
      <c r="C3966" s="3" t="inlineStr">
        <is>
          <t>Expenses</t>
        </is>
      </c>
      <c r="D3966" s="3" t="inlineStr">
        <is>
          <t>3450/001</t>
        </is>
      </c>
      <c r="E3966" s="3" t="inlineStr">
        <is>
          <t>Depreciation - Computer Equipment</t>
        </is>
      </c>
      <c r="F3966" s="3" t="n">
        <v>3323.89</v>
      </c>
      <c r="G3966" s="3" t="n">
        <v>19943.39</v>
      </c>
    </row>
    <row r="3967">
      <c r="A3967" s="3" t="inlineStr">
        <is>
          <t>Cape Projects Construction (Pty) Ltd</t>
        </is>
      </c>
      <c r="B3967" s="4" t="n">
        <v>45169</v>
      </c>
      <c r="C3967" s="3" t="inlineStr">
        <is>
          <t>Expenses</t>
        </is>
      </c>
      <c r="D3967" s="3" t="inlineStr">
        <is>
          <t>3450/002</t>
        </is>
      </c>
      <c r="E3967" s="3" t="inlineStr">
        <is>
          <t>Depreciation - Generator Fixed Asset</t>
        </is>
      </c>
      <c r="F3967" s="3" t="n">
        <v>1188.7</v>
      </c>
      <c r="G3967" s="3" t="n">
        <v>5141.47</v>
      </c>
    </row>
    <row r="3968">
      <c r="A3968" s="3" t="inlineStr">
        <is>
          <t>Cape Projects Construction (Pty) Ltd</t>
        </is>
      </c>
      <c r="B3968" s="4" t="n">
        <v>45169</v>
      </c>
      <c r="C3968" s="3" t="inlineStr">
        <is>
          <t>Expenses</t>
        </is>
      </c>
      <c r="D3968" s="3" t="inlineStr">
        <is>
          <t>3450/030</t>
        </is>
      </c>
      <c r="E3968" s="3" t="inlineStr">
        <is>
          <t>Depreciation - Furniture and Fittings</t>
        </is>
      </c>
      <c r="F3968" s="3" t="n">
        <v>547.67</v>
      </c>
      <c r="G3968" s="3" t="n">
        <v>3286.06</v>
      </c>
    </row>
    <row r="3969">
      <c r="A3969" s="3" t="inlineStr">
        <is>
          <t>Heron Fields (Pty) Ltd</t>
        </is>
      </c>
      <c r="B3969" s="4" t="n">
        <v>45169</v>
      </c>
      <c r="C3969" s="3" t="inlineStr">
        <is>
          <t>Expenses</t>
        </is>
      </c>
      <c r="D3969" s="3" t="inlineStr">
        <is>
          <t>3650/000</t>
        </is>
      </c>
      <c r="E3969" s="3" t="inlineStr">
        <is>
          <t>CoCT - Electricity</t>
        </is>
      </c>
      <c r="F3969" s="3" t="n">
        <v>118819.54</v>
      </c>
      <c r="G3969" s="3" t="n">
        <v>130083</v>
      </c>
    </row>
    <row r="3970">
      <c r="A3970" s="3" t="inlineStr">
        <is>
          <t>Cape Projects Construction (Pty) Ltd</t>
        </is>
      </c>
      <c r="B3970" s="4" t="n">
        <v>45169</v>
      </c>
      <c r="C3970" s="3" t="inlineStr">
        <is>
          <t>Expenses</t>
        </is>
      </c>
      <c r="D3970" s="3" t="inlineStr">
        <is>
          <t>3650/000</t>
        </is>
      </c>
      <c r="E3970" s="3" t="inlineStr">
        <is>
          <t>Electricity _AND_ Water</t>
        </is>
      </c>
      <c r="F3970" s="3" t="n">
        <v>7399.44</v>
      </c>
      <c r="G3970" s="3" t="n">
        <v>39859.1</v>
      </c>
    </row>
    <row r="3971">
      <c r="A3971" s="3" t="inlineStr">
        <is>
          <t>Heron Fields (Pty) Ltd</t>
        </is>
      </c>
      <c r="B3971" s="4" t="n">
        <v>45169</v>
      </c>
      <c r="C3971" s="3" t="inlineStr">
        <is>
          <t>Expenses</t>
        </is>
      </c>
      <c r="D3971" s="3" t="inlineStr">
        <is>
          <t>3660/000</t>
        </is>
      </c>
      <c r="E3971" s="3" t="inlineStr">
        <is>
          <t>CoCT - Water</t>
        </is>
      </c>
      <c r="F3971" s="3" t="n">
        <v>0</v>
      </c>
      <c r="G3971" s="3" t="n">
        <v>43879.43</v>
      </c>
    </row>
    <row r="3972">
      <c r="A3972" s="3" t="inlineStr">
        <is>
          <t>Heron Fields (Pty) Ltd</t>
        </is>
      </c>
      <c r="B3972" s="4" t="n">
        <v>45169</v>
      </c>
      <c r="C3972" s="3" t="inlineStr">
        <is>
          <t>Expenses</t>
        </is>
      </c>
      <c r="D3972" s="3" t="inlineStr">
        <is>
          <t>3670/000</t>
        </is>
      </c>
      <c r="E3972" s="3" t="inlineStr">
        <is>
          <t>CoCT - Refuse</t>
        </is>
      </c>
      <c r="F3972" s="3" t="n">
        <v>0</v>
      </c>
      <c r="G3972" s="3" t="n">
        <v>10690.2</v>
      </c>
    </row>
    <row r="3973">
      <c r="A3973" s="3" t="inlineStr">
        <is>
          <t>Heron Fields (Pty) Ltd</t>
        </is>
      </c>
      <c r="B3973" s="4" t="n">
        <v>45169</v>
      </c>
      <c r="C3973" s="3" t="inlineStr">
        <is>
          <t>Expenses</t>
        </is>
      </c>
      <c r="D3973" s="3" t="inlineStr">
        <is>
          <t>3700/000</t>
        </is>
      </c>
      <c r="E3973" s="3" t="inlineStr">
        <is>
          <t>Entertainment Expenses</t>
        </is>
      </c>
      <c r="F3973" s="3" t="n">
        <v>0</v>
      </c>
      <c r="G3973" s="3" t="n">
        <v>39.47</v>
      </c>
    </row>
    <row r="3974">
      <c r="A3974" s="3" t="inlineStr">
        <is>
          <t>Heron Fields (Pty) Ltd</t>
        </is>
      </c>
      <c r="B3974" s="4" t="n">
        <v>45169</v>
      </c>
      <c r="C3974" s="3" t="inlineStr">
        <is>
          <t>Expenses</t>
        </is>
      </c>
      <c r="D3974" s="3" t="inlineStr">
        <is>
          <t>3800/000</t>
        </is>
      </c>
      <c r="E3974" s="3" t="inlineStr">
        <is>
          <t>General Expenses</t>
        </is>
      </c>
      <c r="F3974" s="3" t="n">
        <v>0</v>
      </c>
      <c r="G3974" s="3" t="n">
        <v>199.99</v>
      </c>
    </row>
    <row r="3975">
      <c r="A3975" s="3" t="inlineStr">
        <is>
          <t>Heron Fields (Pty) Ltd</t>
        </is>
      </c>
      <c r="B3975" s="4" t="n">
        <v>45169</v>
      </c>
      <c r="C3975" s="3" t="inlineStr">
        <is>
          <t>Expenses</t>
        </is>
      </c>
      <c r="D3975" s="3" t="inlineStr">
        <is>
          <t>3850/000</t>
        </is>
      </c>
      <c r="E3975" s="3" t="inlineStr">
        <is>
          <t>Insurance</t>
        </is>
      </c>
      <c r="F3975" s="3" t="n">
        <v>10516.5</v>
      </c>
      <c r="G3975" s="3" t="n">
        <v>47892.36</v>
      </c>
    </row>
    <row r="3976">
      <c r="A3976" s="3" t="inlineStr">
        <is>
          <t>Cape Projects Construction (Pty) Ltd</t>
        </is>
      </c>
      <c r="B3976" s="4" t="n">
        <v>45169</v>
      </c>
      <c r="C3976" s="3" t="inlineStr">
        <is>
          <t>Expenses</t>
        </is>
      </c>
      <c r="D3976" s="3" t="inlineStr">
        <is>
          <t>3850/001</t>
        </is>
      </c>
      <c r="E3976" s="3" t="inlineStr">
        <is>
          <t>Insurance - Santam</t>
        </is>
      </c>
      <c r="F3976" s="3" t="n">
        <v>2085.79</v>
      </c>
      <c r="G3976" s="3" t="n">
        <v>11973.21</v>
      </c>
    </row>
    <row r="3977">
      <c r="A3977" s="3" t="inlineStr">
        <is>
          <t>Cape Projects Construction (Pty) Ltd</t>
        </is>
      </c>
      <c r="B3977" s="4" t="n">
        <v>45169</v>
      </c>
      <c r="C3977" s="3" t="inlineStr">
        <is>
          <t>Expenses</t>
        </is>
      </c>
      <c r="D3977" s="3" t="inlineStr">
        <is>
          <t>3850/004</t>
        </is>
      </c>
      <c r="E3977" s="3" t="inlineStr">
        <is>
          <t>Insurance - A_AND_G</t>
        </is>
      </c>
      <c r="F3977" s="3" t="n">
        <v>24242.76</v>
      </c>
      <c r="G3977" s="3" t="n">
        <v>24242.76</v>
      </c>
    </row>
    <row r="3978">
      <c r="A3978" s="3" t="inlineStr">
        <is>
          <t>Heron Fields (Pty) Ltd</t>
        </is>
      </c>
      <c r="B3978" s="4" t="n">
        <v>45169</v>
      </c>
      <c r="C3978" s="3" t="inlineStr">
        <is>
          <t>Expenses</t>
        </is>
      </c>
      <c r="D3978" s="3" t="inlineStr">
        <is>
          <t>3900/000</t>
        </is>
      </c>
      <c r="E3978" s="3" t="inlineStr">
        <is>
          <t>Interest Paid</t>
        </is>
      </c>
      <c r="F3978" s="3" t="n">
        <v>0</v>
      </c>
      <c r="G3978" s="3" t="n">
        <v>-533.8</v>
      </c>
    </row>
    <row r="3979">
      <c r="A3979" s="3" t="inlineStr">
        <is>
          <t>Heron Fields (Pty) Ltd</t>
        </is>
      </c>
      <c r="B3979" s="4" t="n">
        <v>45169</v>
      </c>
      <c r="C3979" s="3" t="inlineStr">
        <is>
          <t>Expenses</t>
        </is>
      </c>
      <c r="D3979" s="3" t="inlineStr">
        <is>
          <t>3900/111</t>
        </is>
      </c>
      <c r="E3979" s="3" t="inlineStr">
        <is>
          <t>Interest Paid - Investors @ 6.25%</t>
        </is>
      </c>
      <c r="F3979" s="3" t="n">
        <v>-0.09</v>
      </c>
      <c r="G3979" s="3" t="n">
        <v>167246.17</v>
      </c>
    </row>
    <row r="3980">
      <c r="A3980" s="3" t="inlineStr">
        <is>
          <t>Heron Fields (Pty) Ltd</t>
        </is>
      </c>
      <c r="B3980" s="4" t="n">
        <v>45169</v>
      </c>
      <c r="C3980" s="3" t="inlineStr">
        <is>
          <t>Expenses</t>
        </is>
      </c>
      <c r="D3980" s="3" t="inlineStr">
        <is>
          <t>3900/115</t>
        </is>
      </c>
      <c r="E3980" s="3" t="inlineStr">
        <is>
          <t>Interest Paid - Investors @ 6.5%</t>
        </is>
      </c>
      <c r="F3980" s="3" t="n">
        <v>0</v>
      </c>
      <c r="G3980" s="3" t="n">
        <v>72942.48</v>
      </c>
    </row>
    <row r="3981">
      <c r="A3981" s="3" t="inlineStr">
        <is>
          <t>Heron Fields (Pty) Ltd</t>
        </is>
      </c>
      <c r="B3981" s="4" t="n">
        <v>45169</v>
      </c>
      <c r="C3981" s="3" t="inlineStr">
        <is>
          <t>Expenses</t>
        </is>
      </c>
      <c r="D3981" s="3" t="inlineStr">
        <is>
          <t>3900/117</t>
        </is>
      </c>
      <c r="E3981" s="3" t="inlineStr">
        <is>
          <t>Interest Paid - Investors @ 6.75%</t>
        </is>
      </c>
      <c r="F3981" s="3" t="n">
        <v>0</v>
      </c>
      <c r="G3981" s="3" t="n">
        <v>44124.67</v>
      </c>
    </row>
    <row r="3982">
      <c r="A3982" s="3" t="inlineStr">
        <is>
          <t>Heron Fields (Pty) Ltd</t>
        </is>
      </c>
      <c r="B3982" s="4" t="n">
        <v>45169</v>
      </c>
      <c r="C3982" s="3" t="inlineStr">
        <is>
          <t>Expenses</t>
        </is>
      </c>
      <c r="D3982" s="3" t="inlineStr">
        <is>
          <t>3900/120</t>
        </is>
      </c>
      <c r="E3982" s="3" t="inlineStr">
        <is>
          <t>Interest Paid - Investors @ 7%</t>
        </is>
      </c>
      <c r="F3982" s="3" t="n">
        <v>0</v>
      </c>
      <c r="G3982" s="3" t="n">
        <v>11678.33</v>
      </c>
    </row>
    <row r="3983">
      <c r="A3983" s="3" t="inlineStr">
        <is>
          <t>Heron View (Pty) Ltd</t>
        </is>
      </c>
      <c r="B3983" s="4" t="n">
        <v>45169</v>
      </c>
      <c r="C3983" s="3" t="inlineStr">
        <is>
          <t>Expenses</t>
        </is>
      </c>
      <c r="D3983" s="3" t="inlineStr">
        <is>
          <t>3900/120</t>
        </is>
      </c>
      <c r="E3983" s="3" t="inlineStr">
        <is>
          <t>Interest Paid - Investors @ 7%</t>
        </is>
      </c>
      <c r="F3983" s="3" t="n">
        <v>675.38</v>
      </c>
      <c r="G3983" s="3" t="n">
        <v>675.38</v>
      </c>
    </row>
    <row r="3984">
      <c r="A3984" s="3" t="inlineStr">
        <is>
          <t>Heron Fields (Pty) Ltd</t>
        </is>
      </c>
      <c r="B3984" s="4" t="n">
        <v>45169</v>
      </c>
      <c r="C3984" s="3" t="inlineStr">
        <is>
          <t>Expenses</t>
        </is>
      </c>
      <c r="D3984" s="3" t="inlineStr">
        <is>
          <t>3900/126</t>
        </is>
      </c>
      <c r="E3984" s="3" t="inlineStr">
        <is>
          <t>Interest Paid - Investors @ 7.5%</t>
        </is>
      </c>
      <c r="F3984" s="3" t="n">
        <v>0</v>
      </c>
      <c r="G3984" s="3" t="n">
        <v>1252.24</v>
      </c>
    </row>
    <row r="3985">
      <c r="A3985" s="3" t="inlineStr">
        <is>
          <t>Heron View (Pty) Ltd</t>
        </is>
      </c>
      <c r="B3985" s="4" t="n">
        <v>45169</v>
      </c>
      <c r="C3985" s="3" t="inlineStr">
        <is>
          <t>Expenses</t>
        </is>
      </c>
      <c r="D3985" s="3" t="inlineStr">
        <is>
          <t>3900/126</t>
        </is>
      </c>
      <c r="E3985" s="3" t="inlineStr">
        <is>
          <t>Interest Paid - Investors @ 7.5%</t>
        </is>
      </c>
      <c r="F3985" s="3" t="n">
        <v>1424.97</v>
      </c>
      <c r="G3985" s="3" t="n">
        <v>1424.97</v>
      </c>
    </row>
    <row r="3986">
      <c r="A3986" s="3" t="inlineStr">
        <is>
          <t>Heron Fields (Pty) Ltd</t>
        </is>
      </c>
      <c r="B3986" s="4" t="n">
        <v>45169</v>
      </c>
      <c r="C3986" s="3" t="inlineStr">
        <is>
          <t>Expenses</t>
        </is>
      </c>
      <c r="D3986" s="3" t="inlineStr">
        <is>
          <t>3900/133</t>
        </is>
      </c>
      <c r="E3986" s="3" t="inlineStr">
        <is>
          <t>Interest Paid - Investors @ 8.25%</t>
        </is>
      </c>
      <c r="F3986" s="3" t="n">
        <v>0</v>
      </c>
      <c r="G3986" s="3" t="n">
        <v>5515.07</v>
      </c>
    </row>
    <row r="3987">
      <c r="A3987" s="3" t="inlineStr">
        <is>
          <t>Heron Fields (Pty) Ltd</t>
        </is>
      </c>
      <c r="B3987" s="4" t="n">
        <v>45169</v>
      </c>
      <c r="C3987" s="3" t="inlineStr">
        <is>
          <t>Expenses</t>
        </is>
      </c>
      <c r="D3987" s="3" t="inlineStr">
        <is>
          <t>3900/140</t>
        </is>
      </c>
      <c r="E3987" s="3" t="inlineStr">
        <is>
          <t>Interest Paid - Investors @ 9%</t>
        </is>
      </c>
      <c r="F3987" s="3" t="n">
        <v>0</v>
      </c>
      <c r="G3987" s="3" t="n">
        <v>591.78</v>
      </c>
    </row>
    <row r="3988">
      <c r="A3988" s="3" t="inlineStr">
        <is>
          <t>Heron View (Pty) Ltd</t>
        </is>
      </c>
      <c r="B3988" s="4" t="n">
        <v>45169</v>
      </c>
      <c r="C3988" s="3" t="inlineStr">
        <is>
          <t>Expenses</t>
        </is>
      </c>
      <c r="D3988" s="3" t="inlineStr">
        <is>
          <t>3900/140</t>
        </is>
      </c>
      <c r="E3988" s="3" t="inlineStr">
        <is>
          <t>Interest Paid - Investors @ 9%</t>
        </is>
      </c>
      <c r="F3988" s="3" t="n">
        <v>28180.7</v>
      </c>
      <c r="G3988" s="3" t="n">
        <v>28180.7</v>
      </c>
    </row>
    <row r="3989">
      <c r="A3989" s="3" t="inlineStr">
        <is>
          <t>Heron View (Pty) Ltd</t>
        </is>
      </c>
      <c r="B3989" s="4" t="n">
        <v>45169</v>
      </c>
      <c r="C3989" s="3" t="inlineStr">
        <is>
          <t>Expenses</t>
        </is>
      </c>
      <c r="D3989" s="3" t="inlineStr">
        <is>
          <t>3900/150</t>
        </is>
      </c>
      <c r="E3989" s="3" t="inlineStr">
        <is>
          <t>Interest Paid - Investors @ 10%</t>
        </is>
      </c>
      <c r="F3989" s="3" t="n">
        <v>1342.47</v>
      </c>
      <c r="G3989" s="3" t="n">
        <v>1342.47</v>
      </c>
    </row>
    <row r="3990">
      <c r="A3990" s="3" t="inlineStr">
        <is>
          <t>Heron View (Pty) Ltd</t>
        </is>
      </c>
      <c r="B3990" s="4" t="n">
        <v>45169</v>
      </c>
      <c r="C3990" s="3" t="inlineStr">
        <is>
          <t>Expenses</t>
        </is>
      </c>
      <c r="D3990" s="3" t="inlineStr">
        <is>
          <t>3900/155</t>
        </is>
      </c>
      <c r="E3990" s="3" t="inlineStr">
        <is>
          <t>Interest Paid - Investors @ 10.5%</t>
        </is>
      </c>
      <c r="F3990" s="3" t="n">
        <v>1610.96</v>
      </c>
      <c r="G3990" s="3" t="n">
        <v>1610.96</v>
      </c>
    </row>
    <row r="3991">
      <c r="A3991" s="3" t="inlineStr">
        <is>
          <t>Heron Fields (Pty) Ltd</t>
        </is>
      </c>
      <c r="B3991" s="4" t="n">
        <v>45169</v>
      </c>
      <c r="C3991" s="3" t="inlineStr">
        <is>
          <t>Expenses</t>
        </is>
      </c>
      <c r="D3991" s="3" t="inlineStr">
        <is>
          <t>3900/190</t>
        </is>
      </c>
      <c r="E3991" s="3" t="inlineStr">
        <is>
          <t>Interest Paid - Investors @ 14%</t>
        </is>
      </c>
      <c r="F3991" s="3" t="n">
        <v>0</v>
      </c>
      <c r="G3991" s="3" t="n">
        <v>400367.2</v>
      </c>
    </row>
    <row r="3992">
      <c r="A3992" s="3" t="inlineStr">
        <is>
          <t>Heron View (Pty) Ltd</t>
        </is>
      </c>
      <c r="B3992" s="4" t="n">
        <v>45169</v>
      </c>
      <c r="C3992" s="3" t="inlineStr">
        <is>
          <t>Expenses</t>
        </is>
      </c>
      <c r="D3992" s="3" t="inlineStr">
        <is>
          <t>3900/190</t>
        </is>
      </c>
      <c r="E3992" s="3" t="inlineStr">
        <is>
          <t>Interest Paid - Investors @ 14%</t>
        </is>
      </c>
      <c r="F3992" s="3" t="n">
        <v>314994.22</v>
      </c>
      <c r="G3992" s="3" t="n">
        <v>314994.22</v>
      </c>
    </row>
    <row r="3993">
      <c r="A3993" s="3" t="inlineStr">
        <is>
          <t>Heron Fields (Pty) Ltd</t>
        </is>
      </c>
      <c r="B3993" s="4" t="n">
        <v>45169</v>
      </c>
      <c r="C3993" s="3" t="inlineStr">
        <is>
          <t>Expenses</t>
        </is>
      </c>
      <c r="D3993" s="3" t="inlineStr">
        <is>
          <t>3900/200</t>
        </is>
      </c>
      <c r="E3993" s="3" t="inlineStr">
        <is>
          <t>Interest Paid - Investors @ 15%</t>
        </is>
      </c>
      <c r="F3993" s="3" t="n">
        <v>0</v>
      </c>
      <c r="G3993" s="3" t="n">
        <v>333349.31</v>
      </c>
    </row>
    <row r="3994">
      <c r="A3994" s="3" t="inlineStr">
        <is>
          <t>Heron Fields (Pty) Ltd</t>
        </is>
      </c>
      <c r="B3994" s="4" t="n">
        <v>45169</v>
      </c>
      <c r="C3994" s="3" t="inlineStr">
        <is>
          <t>Expenses</t>
        </is>
      </c>
      <c r="D3994" s="3" t="inlineStr">
        <is>
          <t>3900/210</t>
        </is>
      </c>
      <c r="E3994" s="3" t="inlineStr">
        <is>
          <t>Interest Paid - Investors @ 16%</t>
        </is>
      </c>
      <c r="F3994" s="3" t="n">
        <v>0</v>
      </c>
      <c r="G3994" s="3" t="n">
        <v>47473.98</v>
      </c>
    </row>
    <row r="3995">
      <c r="A3995" s="3" t="inlineStr">
        <is>
          <t>Heron View (Pty) Ltd</t>
        </is>
      </c>
      <c r="B3995" s="4" t="n">
        <v>45169</v>
      </c>
      <c r="C3995" s="3" t="inlineStr">
        <is>
          <t>Expenses</t>
        </is>
      </c>
      <c r="D3995" s="3" t="inlineStr">
        <is>
          <t>3900/210</t>
        </is>
      </c>
      <c r="E3995" s="3" t="inlineStr">
        <is>
          <t>Interest Paid - Investors @ 16%</t>
        </is>
      </c>
      <c r="F3995" s="3" t="n">
        <v>36699.18</v>
      </c>
      <c r="G3995" s="3" t="n">
        <v>36699.18</v>
      </c>
    </row>
    <row r="3996">
      <c r="A3996" s="3" t="inlineStr">
        <is>
          <t>Heron Fields (Pty) Ltd</t>
        </is>
      </c>
      <c r="B3996" s="4" t="n">
        <v>45169</v>
      </c>
      <c r="C3996" s="3" t="inlineStr">
        <is>
          <t>Expenses</t>
        </is>
      </c>
      <c r="D3996" s="3" t="inlineStr">
        <is>
          <t>3900/230</t>
        </is>
      </c>
      <c r="E3996" s="3" t="inlineStr">
        <is>
          <t>Interest Paid - Investors @ 18%</t>
        </is>
      </c>
      <c r="F3996" s="3" t="n">
        <v>0</v>
      </c>
      <c r="G3996" s="3" t="n">
        <v>3197167.68</v>
      </c>
    </row>
    <row r="3997">
      <c r="A3997" s="3" t="inlineStr">
        <is>
          <t>Heron View (Pty) Ltd</t>
        </is>
      </c>
      <c r="B3997" s="4" t="n">
        <v>45169</v>
      </c>
      <c r="C3997" s="3" t="inlineStr">
        <is>
          <t>Expenses</t>
        </is>
      </c>
      <c r="D3997" s="3" t="inlineStr">
        <is>
          <t>3900/230</t>
        </is>
      </c>
      <c r="E3997" s="3" t="inlineStr">
        <is>
          <t>Interest Paid - Investors @ 18%</t>
        </is>
      </c>
      <c r="F3997" s="3" t="n">
        <v>403347.95</v>
      </c>
      <c r="G3997" s="3" t="n">
        <v>403347.95</v>
      </c>
    </row>
    <row r="3998">
      <c r="A3998" s="3" t="inlineStr">
        <is>
          <t>Cape Projects Construction (Pty) Ltd</t>
        </is>
      </c>
      <c r="B3998" s="4" t="n">
        <v>45169</v>
      </c>
      <c r="C3998" s="3" t="inlineStr">
        <is>
          <t>Expenses</t>
        </is>
      </c>
      <c r="D3998" s="3" t="inlineStr">
        <is>
          <t>4000/000</t>
        </is>
      </c>
      <c r="E3998" s="3" t="inlineStr">
        <is>
          <t>Legal Fees</t>
        </is>
      </c>
      <c r="F3998" s="3" t="n">
        <v>0</v>
      </c>
      <c r="G3998" s="3" t="n">
        <v>5202.88</v>
      </c>
    </row>
    <row r="3999">
      <c r="A3999" s="3" t="inlineStr">
        <is>
          <t>Heron Fields (Pty) Ltd</t>
        </is>
      </c>
      <c r="B3999" s="4" t="n">
        <v>45169</v>
      </c>
      <c r="C3999" s="3" t="inlineStr">
        <is>
          <t>Expenses</t>
        </is>
      </c>
      <c r="D3999" s="3" t="inlineStr">
        <is>
          <t>4050/100</t>
        </is>
      </c>
      <c r="E3999" s="3" t="inlineStr">
        <is>
          <t>Developers Levies</t>
        </is>
      </c>
      <c r="F3999" s="3" t="n">
        <v>0</v>
      </c>
      <c r="G3999" s="3" t="n">
        <v>76865.83</v>
      </c>
    </row>
    <row r="4000">
      <c r="A4000" s="3" t="inlineStr">
        <is>
          <t>Heron View (Pty) Ltd</t>
        </is>
      </c>
      <c r="B4000" s="4" t="n">
        <v>45169</v>
      </c>
      <c r="C4000" s="3" t="inlineStr">
        <is>
          <t>Expenses</t>
        </is>
      </c>
      <c r="D4000" s="3" t="inlineStr">
        <is>
          <t>4070/000</t>
        </is>
      </c>
      <c r="E4000" s="3" t="inlineStr">
        <is>
          <t>Management fees - OMH</t>
        </is>
      </c>
      <c r="F4000" s="3" t="n">
        <v>50000</v>
      </c>
      <c r="G4000" s="3" t="n">
        <v>400000</v>
      </c>
    </row>
    <row r="4001">
      <c r="A4001" s="3" t="inlineStr">
        <is>
          <t>Heron Fields (Pty) Ltd</t>
        </is>
      </c>
      <c r="B4001" s="4" t="n">
        <v>45169</v>
      </c>
      <c r="C4001" s="3" t="inlineStr">
        <is>
          <t>Expenses</t>
        </is>
      </c>
      <c r="D4001" s="3" t="inlineStr">
        <is>
          <t>4100/001</t>
        </is>
      </c>
      <c r="E4001" s="3" t="inlineStr">
        <is>
          <t>Momentum Admin Fee</t>
        </is>
      </c>
      <c r="F4001" s="3" t="n">
        <v>12954.16</v>
      </c>
      <c r="G4001" s="3" t="n">
        <v>57506.95</v>
      </c>
    </row>
    <row r="4002">
      <c r="A4002" s="3" t="inlineStr">
        <is>
          <t>Cape Projects Construction (Pty) Ltd</t>
        </is>
      </c>
      <c r="B4002" s="4" t="n">
        <v>45169</v>
      </c>
      <c r="C4002" s="3" t="inlineStr">
        <is>
          <t>Expenses</t>
        </is>
      </c>
      <c r="D4002" s="3" t="inlineStr">
        <is>
          <t>4150/000</t>
        </is>
      </c>
      <c r="E4002" s="3" t="inlineStr">
        <is>
          <t>Motor Vehicle Expenses</t>
        </is>
      </c>
      <c r="F4002" s="3" t="n">
        <v>0</v>
      </c>
      <c r="G4002" s="3" t="n">
        <v>362</v>
      </c>
    </row>
    <row r="4003">
      <c r="A4003" s="3" t="inlineStr">
        <is>
          <t>Heron Fields (Pty) Ltd</t>
        </is>
      </c>
      <c r="B4003" s="4" t="n">
        <v>45169</v>
      </c>
      <c r="C4003" s="3" t="inlineStr">
        <is>
          <t>Expenses</t>
        </is>
      </c>
      <c r="D4003" s="3" t="inlineStr">
        <is>
          <t>4150/000</t>
        </is>
      </c>
      <c r="E4003" s="3" t="inlineStr">
        <is>
          <t>Motor Vehicle Expenses</t>
        </is>
      </c>
      <c r="F4003" s="3" t="n">
        <v>0</v>
      </c>
      <c r="G4003" s="3" t="n">
        <v>20</v>
      </c>
    </row>
    <row r="4004">
      <c r="A4004" s="3" t="inlineStr">
        <is>
          <t>Cape Projects Construction (Pty) Ltd</t>
        </is>
      </c>
      <c r="B4004" s="4" t="n">
        <v>45169</v>
      </c>
      <c r="C4004" s="3" t="inlineStr">
        <is>
          <t>Expenses</t>
        </is>
      </c>
      <c r="D4004" s="3" t="inlineStr">
        <is>
          <t>4150/010</t>
        </is>
      </c>
      <c r="E4004" s="3" t="inlineStr">
        <is>
          <t>Motor Vehicle - Petrol _AND_ Oil</t>
        </is>
      </c>
      <c r="F4004" s="3" t="n">
        <v>0</v>
      </c>
      <c r="G4004" s="3" t="n">
        <v>24804.03</v>
      </c>
    </row>
    <row r="4005">
      <c r="A4005" s="3" t="inlineStr">
        <is>
          <t>Cape Projects Construction (Pty) Ltd</t>
        </is>
      </c>
      <c r="B4005" s="4" t="n">
        <v>45169</v>
      </c>
      <c r="C4005" s="3" t="inlineStr">
        <is>
          <t>Expenses</t>
        </is>
      </c>
      <c r="D4005" s="3" t="inlineStr">
        <is>
          <t>4150/030</t>
        </is>
      </c>
      <c r="E4005" s="3" t="inlineStr">
        <is>
          <t>Motor Vehicle - Insurance _AND_ Licence</t>
        </is>
      </c>
      <c r="F4005" s="3" t="n">
        <v>0</v>
      </c>
      <c r="G4005" s="3" t="n">
        <v>1069</v>
      </c>
    </row>
    <row r="4006">
      <c r="A4006" s="3" t="inlineStr">
        <is>
          <t>Cape Projects Construction (Pty) Ltd</t>
        </is>
      </c>
      <c r="B4006" s="4" t="n">
        <v>45169</v>
      </c>
      <c r="C4006" s="3" t="inlineStr">
        <is>
          <t>Expenses</t>
        </is>
      </c>
      <c r="D4006" s="3" t="inlineStr">
        <is>
          <t>4200/000</t>
        </is>
      </c>
      <c r="E4006" s="3" t="inlineStr">
        <is>
          <t>Printing _AND_ Stationery</t>
        </is>
      </c>
      <c r="F4006" s="3" t="n">
        <v>2648.22</v>
      </c>
      <c r="G4006" s="3" t="n">
        <v>18338.92</v>
      </c>
    </row>
    <row r="4007">
      <c r="A4007" s="3" t="inlineStr">
        <is>
          <t>Cape Projects Construction (Pty) Ltd</t>
        </is>
      </c>
      <c r="B4007" s="4" t="n">
        <v>45169</v>
      </c>
      <c r="C4007" s="3" t="inlineStr">
        <is>
          <t>Expenses</t>
        </is>
      </c>
      <c r="D4007" s="3" t="inlineStr">
        <is>
          <t>4201/000</t>
        </is>
      </c>
      <c r="E4007" s="3" t="inlineStr">
        <is>
          <t>Printing - Printer rental</t>
        </is>
      </c>
      <c r="F4007" s="3" t="n">
        <v>4215.07</v>
      </c>
      <c r="G4007" s="3" t="n">
        <v>11723.57</v>
      </c>
    </row>
    <row r="4008">
      <c r="A4008" s="3" t="inlineStr">
        <is>
          <t>Cape Projects Construction (Pty) Ltd</t>
        </is>
      </c>
      <c r="B4008" s="4" t="n">
        <v>45169</v>
      </c>
      <c r="C4008" s="3" t="inlineStr">
        <is>
          <t>Expenses</t>
        </is>
      </c>
      <c r="D4008" s="3" t="inlineStr">
        <is>
          <t>4300/000</t>
        </is>
      </c>
      <c r="E4008" s="3" t="inlineStr">
        <is>
          <t>Rent Paid</t>
        </is>
      </c>
      <c r="F4008" s="3" t="n">
        <v>29600</v>
      </c>
      <c r="G4008" s="3" t="n">
        <v>177600</v>
      </c>
    </row>
    <row r="4009">
      <c r="A4009" s="3" t="inlineStr">
        <is>
          <t>Cape Projects Construction (Pty) Ltd</t>
        </is>
      </c>
      <c r="B4009" s="4" t="n">
        <v>45169</v>
      </c>
      <c r="C4009" s="3" t="inlineStr">
        <is>
          <t>Expenses</t>
        </is>
      </c>
      <c r="D4009" s="3" t="inlineStr">
        <is>
          <t>4310/000</t>
        </is>
      </c>
      <c r="E4009" s="3" t="inlineStr">
        <is>
          <t>Rates</t>
        </is>
      </c>
      <c r="F4009" s="3" t="n">
        <v>2871.04</v>
      </c>
      <c r="G4009" s="3" t="n">
        <v>7089.04</v>
      </c>
    </row>
    <row r="4010">
      <c r="A4010" s="3" t="inlineStr">
        <is>
          <t>Heron Fields (Pty) Ltd</t>
        </is>
      </c>
      <c r="B4010" s="4" t="n">
        <v>45169</v>
      </c>
      <c r="C4010" s="3" t="inlineStr">
        <is>
          <t>Expenses</t>
        </is>
      </c>
      <c r="D4010" s="3" t="inlineStr">
        <is>
          <t>4310/000</t>
        </is>
      </c>
      <c r="E4010" s="3" t="inlineStr">
        <is>
          <t>Rates - Heron</t>
        </is>
      </c>
      <c r="F4010" s="3" t="n">
        <v>0</v>
      </c>
      <c r="G4010" s="3" t="n">
        <v>-11396.43</v>
      </c>
    </row>
    <row r="4011">
      <c r="A4011" s="3" t="inlineStr">
        <is>
          <t>Cape Projects Construction (Pty) Ltd</t>
        </is>
      </c>
      <c r="B4011" s="4" t="n">
        <v>45169</v>
      </c>
      <c r="C4011" s="3" t="inlineStr">
        <is>
          <t>Expenses</t>
        </is>
      </c>
      <c r="D4011" s="3" t="inlineStr">
        <is>
          <t>4350/000</t>
        </is>
      </c>
      <c r="E4011" s="3" t="inlineStr">
        <is>
          <t>Repairs _AND_ Maintenance</t>
        </is>
      </c>
      <c r="F4011" s="3" t="n">
        <v>682.61</v>
      </c>
      <c r="G4011" s="3" t="n">
        <v>15462.01</v>
      </c>
    </row>
    <row r="4012">
      <c r="A4012" s="3" t="inlineStr">
        <is>
          <t>Heron Fields (Pty) Ltd</t>
        </is>
      </c>
      <c r="B4012" s="4" t="n">
        <v>45169</v>
      </c>
      <c r="C4012" s="3" t="inlineStr">
        <is>
          <t>Expenses</t>
        </is>
      </c>
      <c r="D4012" s="3" t="inlineStr">
        <is>
          <t>4350/000</t>
        </is>
      </c>
      <c r="E4012" s="3" t="inlineStr">
        <is>
          <t>Repairs _AND_ Maintenance</t>
        </is>
      </c>
      <c r="F4012" s="3" t="n">
        <v>0</v>
      </c>
      <c r="G4012" s="3" t="n">
        <v>33647.28</v>
      </c>
    </row>
    <row r="4013">
      <c r="A4013" s="3" t="inlineStr">
        <is>
          <t>Cape Projects Construction (Pty) Ltd</t>
        </is>
      </c>
      <c r="B4013" s="4" t="n">
        <v>45169</v>
      </c>
      <c r="C4013" s="3" t="inlineStr">
        <is>
          <t>Expenses</t>
        </is>
      </c>
      <c r="D4013" s="3" t="inlineStr">
        <is>
          <t>4400/000</t>
        </is>
      </c>
      <c r="E4013" s="3" t="inlineStr">
        <is>
          <t>Salaries _AND_ Wages</t>
        </is>
      </c>
      <c r="F4013" s="3" t="n">
        <v>368859.45</v>
      </c>
      <c r="G4013" s="3" t="n">
        <v>2091795.48</v>
      </c>
    </row>
    <row r="4014">
      <c r="A4014" s="3" t="inlineStr">
        <is>
          <t>Cape Projects Construction (Pty) Ltd</t>
        </is>
      </c>
      <c r="B4014" s="4" t="n">
        <v>45169</v>
      </c>
      <c r="C4014" s="3" t="inlineStr">
        <is>
          <t>Expenses</t>
        </is>
      </c>
      <c r="D4014" s="3" t="inlineStr">
        <is>
          <t>4402</t>
        </is>
      </c>
      <c r="E4014" s="3" t="inlineStr">
        <is>
          <t>Salaries &amp; Wages - WCA</t>
        </is>
      </c>
      <c r="F4014" s="3" t="n">
        <v>0</v>
      </c>
      <c r="G4014" s="3" t="n">
        <v>5192.13</v>
      </c>
    </row>
    <row r="4015">
      <c r="A4015" s="3" t="inlineStr">
        <is>
          <t>Cape Projects Construction (Pty) Ltd</t>
        </is>
      </c>
      <c r="B4015" s="4" t="n">
        <v>45169</v>
      </c>
      <c r="C4015" s="3" t="inlineStr">
        <is>
          <t>Expenses</t>
        </is>
      </c>
      <c r="D4015" s="3" t="inlineStr">
        <is>
          <t>4403/000</t>
        </is>
      </c>
      <c r="E4015" s="3" t="inlineStr">
        <is>
          <t>Security</t>
        </is>
      </c>
      <c r="F4015" s="3" t="n">
        <v>177.33</v>
      </c>
      <c r="G4015" s="3" t="n">
        <v>1063.98</v>
      </c>
    </row>
    <row r="4016">
      <c r="A4016" s="3" t="inlineStr">
        <is>
          <t>Cape Projects Construction (Pty) Ltd</t>
        </is>
      </c>
      <c r="B4016" s="4" t="n">
        <v>45169</v>
      </c>
      <c r="C4016" s="3" t="inlineStr">
        <is>
          <t>Expenses</t>
        </is>
      </c>
      <c r="D4016" s="3" t="inlineStr">
        <is>
          <t>4420/000</t>
        </is>
      </c>
      <c r="E4016" s="3" t="inlineStr">
        <is>
          <t>Small Assets</t>
        </is>
      </c>
      <c r="F4016" s="3" t="n">
        <v>9888.959999999999</v>
      </c>
      <c r="G4016" s="3" t="n">
        <v>19268.46</v>
      </c>
    </row>
    <row r="4017">
      <c r="A4017" s="3" t="inlineStr">
        <is>
          <t>Heron Fields (Pty) Ltd</t>
        </is>
      </c>
      <c r="B4017" s="4" t="n">
        <v>45169</v>
      </c>
      <c r="C4017" s="3" t="inlineStr">
        <is>
          <t>Expenses</t>
        </is>
      </c>
      <c r="D4017" s="3" t="inlineStr">
        <is>
          <t>4420/001</t>
        </is>
      </c>
      <c r="E4017" s="3" t="inlineStr">
        <is>
          <t>Security - ADT</t>
        </is>
      </c>
      <c r="F4017" s="3" t="n">
        <v>366.14</v>
      </c>
      <c r="G4017" s="3" t="n">
        <v>2083.56</v>
      </c>
    </row>
    <row r="4018">
      <c r="A4018" s="3" t="inlineStr">
        <is>
          <t>Cape Projects Construction (Pty) Ltd</t>
        </is>
      </c>
      <c r="B4018" s="4" t="n">
        <v>45169</v>
      </c>
      <c r="C4018" s="3" t="inlineStr">
        <is>
          <t>Expenses</t>
        </is>
      </c>
      <c r="D4018" s="3" t="inlineStr">
        <is>
          <t>4500/000</t>
        </is>
      </c>
      <c r="E4018" s="3" t="inlineStr">
        <is>
          <t>Staff Welfare _AND_ Refreshmts</t>
        </is>
      </c>
      <c r="F4018" s="3" t="n">
        <v>14904.84</v>
      </c>
      <c r="G4018" s="3" t="n">
        <v>25084.51</v>
      </c>
    </row>
    <row r="4019">
      <c r="A4019" s="3" t="inlineStr">
        <is>
          <t>Cape Projects Construction (Pty) Ltd</t>
        </is>
      </c>
      <c r="B4019" s="4" t="n">
        <v>45169</v>
      </c>
      <c r="C4019" s="3" t="inlineStr">
        <is>
          <t>Expenses</t>
        </is>
      </c>
      <c r="D4019" s="3" t="inlineStr">
        <is>
          <t>4550/000</t>
        </is>
      </c>
      <c r="E4019" s="3" t="inlineStr">
        <is>
          <t>Subscriptions / Licenses</t>
        </is>
      </c>
      <c r="F4019" s="3" t="n">
        <v>3016</v>
      </c>
      <c r="G4019" s="3" t="n">
        <v>13527.97</v>
      </c>
    </row>
    <row r="4020">
      <c r="A4020" s="3" t="inlineStr">
        <is>
          <t>Cape Projects Construction (Pty) Ltd</t>
        </is>
      </c>
      <c r="B4020" s="4" t="n">
        <v>45169</v>
      </c>
      <c r="C4020" s="3" t="inlineStr">
        <is>
          <t>Expenses</t>
        </is>
      </c>
      <c r="D4020" s="3" t="inlineStr">
        <is>
          <t>4550/001</t>
        </is>
      </c>
      <c r="E4020" s="3" t="inlineStr">
        <is>
          <t>Subscriptions &amp; Licenses - Sage payroll</t>
        </is>
      </c>
      <c r="F4020" s="3" t="n">
        <v>747</v>
      </c>
      <c r="G4020" s="3" t="n">
        <v>4482</v>
      </c>
    </row>
    <row r="4021">
      <c r="A4021" s="3" t="inlineStr">
        <is>
          <t>Cape Projects Construction (Pty) Ltd</t>
        </is>
      </c>
      <c r="B4021" s="4" t="n">
        <v>45169</v>
      </c>
      <c r="C4021" s="3" t="inlineStr">
        <is>
          <t>Expenses</t>
        </is>
      </c>
      <c r="D4021" s="3" t="inlineStr">
        <is>
          <t>4550/002</t>
        </is>
      </c>
      <c r="E4021" s="3" t="inlineStr">
        <is>
          <t>Subscriptions &amp; Licenses - Caseware</t>
        </is>
      </c>
      <c r="F4021" s="3" t="n">
        <v>0</v>
      </c>
      <c r="G4021" s="3" t="n">
        <v>10825.49</v>
      </c>
    </row>
    <row r="4022">
      <c r="A4022" s="3" t="inlineStr">
        <is>
          <t>Cape Projects Construction (Pty) Ltd</t>
        </is>
      </c>
      <c r="B4022" s="4" t="n">
        <v>45169</v>
      </c>
      <c r="C4022" s="3" t="inlineStr">
        <is>
          <t>Expenses</t>
        </is>
      </c>
      <c r="D4022" s="3" t="inlineStr">
        <is>
          <t>4550/003</t>
        </is>
      </c>
      <c r="E4022" s="3" t="inlineStr">
        <is>
          <t>Subscriptions &amp; Licenses - Xero</t>
        </is>
      </c>
      <c r="F4022" s="3" t="n">
        <v>600</v>
      </c>
      <c r="G4022" s="3" t="n">
        <v>3600</v>
      </c>
    </row>
    <row r="4023">
      <c r="A4023" s="3" t="inlineStr">
        <is>
          <t>Cape Projects Construction (Pty) Ltd</t>
        </is>
      </c>
      <c r="B4023" s="4" t="n">
        <v>45169</v>
      </c>
      <c r="C4023" s="3" t="inlineStr">
        <is>
          <t>Expenses</t>
        </is>
      </c>
      <c r="D4023" s="3" t="inlineStr">
        <is>
          <t>4550/004</t>
        </is>
      </c>
      <c r="E4023" s="3" t="inlineStr">
        <is>
          <t>Subscriptions - Smartsheet</t>
        </is>
      </c>
      <c r="F4023" s="3" t="n">
        <v>847</v>
      </c>
      <c r="G4023" s="3" t="n">
        <v>4886.73</v>
      </c>
    </row>
    <row r="4024">
      <c r="A4024" s="3" t="inlineStr">
        <is>
          <t>Cape Projects Construction (Pty) Ltd</t>
        </is>
      </c>
      <c r="B4024" s="4" t="n">
        <v>45169</v>
      </c>
      <c r="C4024" s="3" t="inlineStr">
        <is>
          <t>Expenses</t>
        </is>
      </c>
      <c r="D4024" s="3" t="inlineStr">
        <is>
          <t>4550/008</t>
        </is>
      </c>
      <c r="E4024" s="3" t="inlineStr">
        <is>
          <t>Subscriptions  - Adobe</t>
        </is>
      </c>
      <c r="F4024" s="3" t="n">
        <v>4498.72</v>
      </c>
      <c r="G4024" s="3" t="n">
        <v>4498.72</v>
      </c>
    </row>
    <row r="4025">
      <c r="A4025" s="3" t="inlineStr">
        <is>
          <t>Heron Fields (Pty) Ltd</t>
        </is>
      </c>
      <c r="B4025" s="4" t="n">
        <v>45169</v>
      </c>
      <c r="C4025" s="3" t="inlineStr">
        <is>
          <t>Expenses</t>
        </is>
      </c>
      <c r="D4025" s="3" t="inlineStr">
        <is>
          <t>4550/100</t>
        </is>
      </c>
      <c r="E4025" s="3" t="inlineStr">
        <is>
          <t>Subscriptions - Xero</t>
        </is>
      </c>
      <c r="F4025" s="3" t="n">
        <v>600</v>
      </c>
      <c r="G4025" s="3" t="n">
        <v>3600</v>
      </c>
    </row>
    <row r="4026">
      <c r="A4026" s="3" t="inlineStr">
        <is>
          <t>Heron View (Pty) Ltd</t>
        </is>
      </c>
      <c r="B4026" s="4" t="n">
        <v>45169</v>
      </c>
      <c r="C4026" s="3" t="inlineStr">
        <is>
          <t>Expenses</t>
        </is>
      </c>
      <c r="D4026" s="3" t="inlineStr">
        <is>
          <t>4550/100</t>
        </is>
      </c>
      <c r="E4026" s="3" t="inlineStr">
        <is>
          <t>Subscriptions - Xero</t>
        </is>
      </c>
      <c r="F4026" s="3" t="n">
        <v>600</v>
      </c>
      <c r="G4026" s="3" t="n">
        <v>3600</v>
      </c>
    </row>
    <row r="4027">
      <c r="A4027" s="3" t="inlineStr">
        <is>
          <t>Cape Projects Construction (Pty) Ltd</t>
        </is>
      </c>
      <c r="B4027" s="4" t="n">
        <v>45169</v>
      </c>
      <c r="C4027" s="3" t="inlineStr">
        <is>
          <t>Expenses</t>
        </is>
      </c>
      <c r="D4027" s="3" t="inlineStr">
        <is>
          <t>4560</t>
        </is>
      </c>
      <c r="E4027" s="3" t="inlineStr">
        <is>
          <t>Secretarial fees - CIPC</t>
        </is>
      </c>
      <c r="F4027" s="3" t="n">
        <v>0</v>
      </c>
      <c r="G4027" s="3" t="n">
        <v>4000</v>
      </c>
    </row>
    <row r="4028">
      <c r="A4028" s="3" t="inlineStr">
        <is>
          <t>Cape Projects Construction (Pty) Ltd</t>
        </is>
      </c>
      <c r="B4028" s="4" t="n">
        <v>45169</v>
      </c>
      <c r="C4028" s="3" t="inlineStr">
        <is>
          <t>Expenses</t>
        </is>
      </c>
      <c r="D4028" s="3" t="inlineStr">
        <is>
          <t>4600/000</t>
        </is>
      </c>
      <c r="E4028" s="3" t="inlineStr">
        <is>
          <t>Telephone _AND_ Fax</t>
        </is>
      </c>
      <c r="F4028" s="3" t="n">
        <v>11566.33</v>
      </c>
      <c r="G4028" s="3" t="n">
        <v>11566.33</v>
      </c>
    </row>
    <row r="4029">
      <c r="A4029" s="3" t="inlineStr">
        <is>
          <t>Cape Projects Construction (Pty) Ltd</t>
        </is>
      </c>
      <c r="B4029" s="4" t="n">
        <v>45169</v>
      </c>
      <c r="C4029" s="3" t="inlineStr">
        <is>
          <t>Expenses</t>
        </is>
      </c>
      <c r="D4029" s="3" t="inlineStr">
        <is>
          <t>4700/000</t>
        </is>
      </c>
      <c r="E4029" s="3" t="inlineStr">
        <is>
          <t>PAYE Contributions</t>
        </is>
      </c>
      <c r="F4029" s="3" t="n">
        <v>81778.72</v>
      </c>
      <c r="G4029" s="3" t="n">
        <v>477131.32</v>
      </c>
    </row>
    <row r="4030">
      <c r="A4030" s="3" t="inlineStr">
        <is>
          <t>Cape Projects Construction (Pty) Ltd</t>
        </is>
      </c>
      <c r="B4030" s="4" t="n">
        <v>45169</v>
      </c>
      <c r="C4030" s="3" t="inlineStr">
        <is>
          <t>Expenses</t>
        </is>
      </c>
      <c r="D4030" s="3" t="inlineStr">
        <is>
          <t>4720/000</t>
        </is>
      </c>
      <c r="E4030" s="3" t="inlineStr">
        <is>
          <t>SDL Contributions</t>
        </is>
      </c>
      <c r="F4030" s="3" t="n">
        <v>4381.84</v>
      </c>
      <c r="G4030" s="3" t="n">
        <v>24940.37</v>
      </c>
    </row>
    <row r="4031">
      <c r="A4031" s="3" t="inlineStr">
        <is>
          <t>Cape Projects Construction (Pty) Ltd</t>
        </is>
      </c>
      <c r="B4031" s="4" t="n">
        <v>45169</v>
      </c>
      <c r="C4031" s="3" t="inlineStr">
        <is>
          <t>Expenses</t>
        </is>
      </c>
      <c r="D4031" s="3" t="inlineStr">
        <is>
          <t>4730/000</t>
        </is>
      </c>
      <c r="E4031" s="3" t="inlineStr">
        <is>
          <t>UIF Company Contributions</t>
        </is>
      </c>
      <c r="F4031" s="3" t="n">
        <v>2396.05</v>
      </c>
      <c r="G4031" s="3" t="n">
        <v>13316.88</v>
      </c>
    </row>
    <row r="4032">
      <c r="A4032" s="3" t="inlineStr">
        <is>
          <t>Cape Projects Construction (Pty) Ltd</t>
        </is>
      </c>
      <c r="B4032" s="4" t="n">
        <v>45169</v>
      </c>
      <c r="C4032" s="3" t="inlineStr">
        <is>
          <t>Expenses</t>
        </is>
      </c>
      <c r="D4032" s="3" t="inlineStr">
        <is>
          <t>4731/000</t>
        </is>
      </c>
      <c r="E4032" s="3" t="inlineStr">
        <is>
          <t>UIF Employee Contribution</t>
        </is>
      </c>
      <c r="F4032" s="3" t="n">
        <v>2396.05</v>
      </c>
      <c r="G4032" s="3" t="n">
        <v>13316.88</v>
      </c>
    </row>
    <row r="4033">
      <c r="A4033" s="3" t="inlineStr">
        <is>
          <t>Cape Projects Construction (Pty) Ltd</t>
        </is>
      </c>
      <c r="B4033" s="4" t="n">
        <v>45169</v>
      </c>
      <c r="C4033" s="3" t="inlineStr">
        <is>
          <t>Expenses</t>
        </is>
      </c>
      <c r="D4033" s="3" t="inlineStr">
        <is>
          <t>4740/000</t>
        </is>
      </c>
      <c r="E4033" s="3" t="inlineStr">
        <is>
          <t>BIBC Company Contribution</t>
        </is>
      </c>
      <c r="F4033" s="3" t="n">
        <v>0</v>
      </c>
      <c r="G4033" s="3" t="n">
        <v>15075.35</v>
      </c>
    </row>
    <row r="4034">
      <c r="A4034" s="3" t="inlineStr">
        <is>
          <t>Cape Projects Construction (Pty) Ltd</t>
        </is>
      </c>
      <c r="B4034" s="4" t="n">
        <v>45169</v>
      </c>
      <c r="C4034" s="3" t="inlineStr">
        <is>
          <t>Expenses</t>
        </is>
      </c>
      <c r="D4034" s="3" t="inlineStr">
        <is>
          <t>4741/000</t>
        </is>
      </c>
      <c r="E4034" s="3" t="inlineStr">
        <is>
          <t>BIBC Employee Contribution</t>
        </is>
      </c>
      <c r="F4034" s="3" t="n">
        <v>0</v>
      </c>
      <c r="G4034" s="3" t="n">
        <v>4562.1</v>
      </c>
    </row>
    <row r="4035">
      <c r="A4035" s="3" t="inlineStr">
        <is>
          <t>Heron Fields (Pty) Ltd</t>
        </is>
      </c>
      <c r="B4035" s="4" t="n">
        <v>45169</v>
      </c>
      <c r="C4035" s="3" t="inlineStr">
        <is>
          <t>Equity</t>
        </is>
      </c>
      <c r="D4035" s="3" t="inlineStr">
        <is>
          <t>5100-000</t>
        </is>
      </c>
      <c r="E4035" s="3" t="inlineStr">
        <is>
          <t>Share Capital</t>
        </is>
      </c>
      <c r="F4035" s="3" t="n">
        <v>0</v>
      </c>
      <c r="G4035" s="3" t="n">
        <v>-100</v>
      </c>
    </row>
    <row r="4036">
      <c r="A4036" s="3" t="inlineStr">
        <is>
          <t>Cape Projects Construction (Pty) Ltd</t>
        </is>
      </c>
      <c r="B4036" s="4" t="n">
        <v>45169</v>
      </c>
      <c r="C4036" s="3" t="inlineStr">
        <is>
          <t>Equity</t>
        </is>
      </c>
      <c r="D4036" s="3" t="inlineStr">
        <is>
          <t>5100/000</t>
        </is>
      </c>
      <c r="E4036" s="3" t="inlineStr">
        <is>
          <t>Share Capital / Members Contribution</t>
        </is>
      </c>
      <c r="F4036" s="3" t="n">
        <v>0</v>
      </c>
      <c r="G4036" s="3" t="n">
        <v>-120</v>
      </c>
    </row>
    <row r="4037">
      <c r="A4037" s="3" t="inlineStr">
        <is>
          <t>Cape Projects Construction (Pty) Ltd</t>
        </is>
      </c>
      <c r="B4037" s="4" t="n">
        <v>45169</v>
      </c>
      <c r="C4037" s="3" t="inlineStr">
        <is>
          <t>Equity</t>
        </is>
      </c>
      <c r="D4037" s="3" t="inlineStr">
        <is>
          <t>5200/000</t>
        </is>
      </c>
      <c r="E4037" s="3" t="inlineStr">
        <is>
          <t>Retained Earnings / Loss</t>
        </is>
      </c>
      <c r="F4037" s="3" t="n">
        <v>0</v>
      </c>
      <c r="G4037" s="3" t="n">
        <v>-296075.58</v>
      </c>
    </row>
    <row r="4038">
      <c r="A4038" s="3" t="inlineStr">
        <is>
          <t>Heron Fields (Pty) Ltd</t>
        </is>
      </c>
      <c r="B4038" s="4" t="n">
        <v>45169</v>
      </c>
      <c r="C4038" s="3" t="inlineStr">
        <is>
          <t>Equity</t>
        </is>
      </c>
      <c r="D4038" s="3" t="inlineStr">
        <is>
          <t>5200/000</t>
        </is>
      </c>
      <c r="E4038" s="3" t="inlineStr">
        <is>
          <t>Retained Earnings / Loss</t>
        </is>
      </c>
      <c r="F4038" s="3" t="n">
        <v>0</v>
      </c>
      <c r="G4038" s="3" t="n">
        <v>-17843179.58</v>
      </c>
    </row>
    <row r="4039">
      <c r="A4039" s="3" t="inlineStr">
        <is>
          <t>Heron View (Pty) Ltd</t>
        </is>
      </c>
      <c r="B4039" s="4" t="n">
        <v>45169</v>
      </c>
      <c r="C4039" s="3" t="inlineStr">
        <is>
          <t>Equity</t>
        </is>
      </c>
      <c r="D4039" s="3" t="inlineStr">
        <is>
          <t>5200/000</t>
        </is>
      </c>
      <c r="E4039" s="3" t="inlineStr">
        <is>
          <t>Retained Earnings / Loss</t>
        </is>
      </c>
      <c r="F4039" s="3" t="n">
        <v>0</v>
      </c>
      <c r="G4039" s="3" t="n">
        <v>70398.12</v>
      </c>
    </row>
    <row r="4040">
      <c r="A4040" s="3" t="inlineStr">
        <is>
          <t>Heron Fields (Pty) Ltd</t>
        </is>
      </c>
      <c r="B4040" s="4" t="n">
        <v>45169</v>
      </c>
      <c r="C4040" s="3" t="inlineStr">
        <is>
          <t>Assets</t>
        </is>
      </c>
      <c r="D4040" s="3" t="inlineStr">
        <is>
          <t>5300/001</t>
        </is>
      </c>
      <c r="E4040" s="3" t="inlineStr">
        <is>
          <t>Revaluation of Land stock</t>
        </is>
      </c>
      <c r="F4040" s="3" t="n">
        <v>0</v>
      </c>
      <c r="G4040" s="3" t="n">
        <v>17562360.85</v>
      </c>
    </row>
    <row r="4041">
      <c r="A4041" s="3" t="inlineStr">
        <is>
          <t>Cape Projects Construction (Pty) Ltd</t>
        </is>
      </c>
      <c r="B4041" s="4" t="n">
        <v>45169</v>
      </c>
      <c r="C4041" s="3" t="inlineStr">
        <is>
          <t>Assets</t>
        </is>
      </c>
      <c r="D4041" s="3" t="inlineStr">
        <is>
          <t>5400/150</t>
        </is>
      </c>
      <c r="E4041" s="3" t="inlineStr">
        <is>
          <t>Loan - Quinate</t>
        </is>
      </c>
      <c r="F4041" s="3" t="n">
        <v>40000</v>
      </c>
      <c r="G4041" s="3" t="n">
        <v>225000</v>
      </c>
    </row>
    <row r="4042">
      <c r="A4042" s="3" t="inlineStr">
        <is>
          <t>Cape Projects Construction (Pty) Ltd</t>
        </is>
      </c>
      <c r="B4042" s="4" t="n">
        <v>45169</v>
      </c>
      <c r="C4042" s="3" t="inlineStr">
        <is>
          <t>Assets</t>
        </is>
      </c>
      <c r="D4042" s="3" t="inlineStr">
        <is>
          <t>5400/220</t>
        </is>
      </c>
      <c r="E4042" s="3" t="inlineStr">
        <is>
          <t>Members Loan - WH</t>
        </is>
      </c>
      <c r="F4042" s="3" t="n">
        <v>0</v>
      </c>
      <c r="G4042" s="3" t="n">
        <v>-4342.5</v>
      </c>
    </row>
    <row r="4043">
      <c r="A4043" s="3" t="inlineStr">
        <is>
          <t>Cape Projects Construction (Pty) Ltd</t>
        </is>
      </c>
      <c r="B4043" s="4" t="n">
        <v>45169</v>
      </c>
      <c r="C4043" s="3" t="inlineStr">
        <is>
          <t>Assets</t>
        </is>
      </c>
      <c r="D4043" s="3" t="inlineStr">
        <is>
          <t>5400/450</t>
        </is>
      </c>
      <c r="E4043" s="3" t="inlineStr">
        <is>
          <t>Loan - Opportunity Investment</t>
        </is>
      </c>
      <c r="F4043" s="3" t="n">
        <v>0</v>
      </c>
      <c r="G4043" s="3" t="n">
        <v>-2261000</v>
      </c>
    </row>
    <row r="4044">
      <c r="A4044" s="3" t="inlineStr">
        <is>
          <t>Cape Projects Construction (Pty) Ltd</t>
        </is>
      </c>
      <c r="B4044" s="4" t="n">
        <v>45169</v>
      </c>
      <c r="C4044" s="3" t="inlineStr">
        <is>
          <t>Assets</t>
        </is>
      </c>
      <c r="D4044" s="3" t="inlineStr">
        <is>
          <t>5400/500</t>
        </is>
      </c>
      <c r="E4044" s="3" t="inlineStr">
        <is>
          <t>Loan - Blou Mamba Trust</t>
        </is>
      </c>
      <c r="F4044" s="3" t="n">
        <v>0</v>
      </c>
      <c r="G4044" s="3" t="n">
        <v>4342.5</v>
      </c>
    </row>
    <row r="4045">
      <c r="A4045" s="3" t="inlineStr">
        <is>
          <t>Cape Projects Construction (Pty) Ltd</t>
        </is>
      </c>
      <c r="B4045" s="4" t="n">
        <v>45169</v>
      </c>
      <c r="C4045" s="3" t="inlineStr">
        <is>
          <t>Assets</t>
        </is>
      </c>
      <c r="D4045" s="3" t="inlineStr">
        <is>
          <t>5400/550</t>
        </is>
      </c>
      <c r="E4045" s="3" t="inlineStr">
        <is>
          <t>Loan - Trademark</t>
        </is>
      </c>
      <c r="F4045" s="3" t="n">
        <v>55600</v>
      </c>
      <c r="G4045" s="3" t="n">
        <v>36200</v>
      </c>
    </row>
    <row r="4046">
      <c r="A4046" s="3" t="inlineStr">
        <is>
          <t>Cape Projects Construction (Pty) Ltd</t>
        </is>
      </c>
      <c r="B4046" s="4" t="n">
        <v>45169</v>
      </c>
      <c r="C4046" s="3" t="inlineStr">
        <is>
          <t>Assets</t>
        </is>
      </c>
      <c r="D4046" s="3" t="inlineStr">
        <is>
          <t>5400/600</t>
        </is>
      </c>
      <c r="E4046" s="3" t="inlineStr">
        <is>
          <t>Loan - Heron Projects</t>
        </is>
      </c>
      <c r="F4046" s="3" t="n">
        <v>0</v>
      </c>
      <c r="G4046" s="3" t="n">
        <v>-10114940.42</v>
      </c>
    </row>
    <row r="4047">
      <c r="A4047" s="3" t="inlineStr">
        <is>
          <t>Cape Projects Construction (Pty) Ltd</t>
        </is>
      </c>
      <c r="B4047" s="4" t="n">
        <v>45169</v>
      </c>
      <c r="C4047" s="3" t="inlineStr">
        <is>
          <t>Assets</t>
        </is>
      </c>
      <c r="D4047" s="3" t="inlineStr">
        <is>
          <t>5400/650</t>
        </is>
      </c>
      <c r="E4047" s="3" t="inlineStr">
        <is>
          <t>Loan - Noble Shield</t>
        </is>
      </c>
      <c r="F4047" s="3" t="n">
        <v>-96989.44</v>
      </c>
      <c r="G4047" s="3" t="n">
        <v>-116389.44</v>
      </c>
    </row>
    <row r="4048">
      <c r="A4048" s="3" t="inlineStr">
        <is>
          <t>Cape Projects Construction (Pty) Ltd</t>
        </is>
      </c>
      <c r="B4048" s="4" t="n">
        <v>45169</v>
      </c>
      <c r="C4048" s="3" t="inlineStr">
        <is>
          <t>Assets</t>
        </is>
      </c>
      <c r="D4048" s="3" t="inlineStr">
        <is>
          <t>5400/750</t>
        </is>
      </c>
      <c r="E4048" s="3" t="inlineStr">
        <is>
          <t>Loan - Endulini</t>
        </is>
      </c>
      <c r="F4048" s="3" t="n">
        <v>1095000</v>
      </c>
      <c r="G4048" s="3" t="n">
        <v>22144187.4</v>
      </c>
    </row>
    <row r="4049">
      <c r="A4049" s="3" t="inlineStr">
        <is>
          <t>Cape Projects Construction (Pty) Ltd</t>
        </is>
      </c>
      <c r="B4049" s="4" t="n">
        <v>45169</v>
      </c>
      <c r="C4049" s="3" t="inlineStr">
        <is>
          <t>Assets</t>
        </is>
      </c>
      <c r="D4049" s="3" t="inlineStr">
        <is>
          <t>5400/800</t>
        </is>
      </c>
      <c r="E4049" s="3" t="inlineStr">
        <is>
          <t>Loan - Opportunity Management Holdings</t>
        </is>
      </c>
      <c r="F4049" s="3" t="n">
        <v>0</v>
      </c>
      <c r="G4049" s="3" t="n">
        <v>-22601</v>
      </c>
    </row>
    <row r="4050">
      <c r="A4050" s="3" t="inlineStr">
        <is>
          <t>Heron View (Pty) Ltd</t>
        </is>
      </c>
      <c r="B4050" s="4" t="n">
        <v>45169</v>
      </c>
      <c r="C4050" s="3" t="inlineStr">
        <is>
          <t>Liabilities</t>
        </is>
      </c>
      <c r="D4050" s="3" t="inlineStr">
        <is>
          <t>5500/001</t>
        </is>
      </c>
      <c r="E4050" s="3" t="inlineStr">
        <is>
          <t>Loan - Heron Fields</t>
        </is>
      </c>
      <c r="F4050" s="3" t="n">
        <v>-1360139.98</v>
      </c>
      <c r="G4050" s="3" t="n">
        <v>-47343220.21</v>
      </c>
    </row>
    <row r="4051">
      <c r="A4051" s="3" t="inlineStr">
        <is>
          <t>Heron Fields (Pty) Ltd</t>
        </is>
      </c>
      <c r="B4051" s="4" t="n">
        <v>45169</v>
      </c>
      <c r="C4051" s="3" t="inlineStr">
        <is>
          <t>Liabilities</t>
        </is>
      </c>
      <c r="D4051" s="3" t="inlineStr">
        <is>
          <t>5500/020</t>
        </is>
      </c>
      <c r="E4051" s="3" t="inlineStr">
        <is>
          <t>Loan - Cape Projects Construction</t>
        </is>
      </c>
      <c r="F4051" s="3" t="n">
        <v>0</v>
      </c>
      <c r="G4051" s="3" t="n">
        <v>10114940.42</v>
      </c>
    </row>
    <row r="4052">
      <c r="A4052" s="3" t="inlineStr">
        <is>
          <t>Heron Fields (Pty) Ltd</t>
        </is>
      </c>
      <c r="B4052" s="4" t="n">
        <v>45169</v>
      </c>
      <c r="C4052" s="3" t="inlineStr">
        <is>
          <t>Liabilities</t>
        </is>
      </c>
      <c r="D4052" s="3" t="inlineStr">
        <is>
          <t>5500/030</t>
        </is>
      </c>
      <c r="E4052" s="3" t="inlineStr">
        <is>
          <t>Loan - Opportunity Global Investments</t>
        </is>
      </c>
      <c r="F4052" s="3" t="n">
        <v>160000</v>
      </c>
      <c r="G4052" s="3" t="n">
        <v>3702000</v>
      </c>
    </row>
    <row r="4053">
      <c r="A4053" s="3" t="inlineStr">
        <is>
          <t>Heron Fields (Pty) Ltd</t>
        </is>
      </c>
      <c r="B4053" s="4" t="n">
        <v>45169</v>
      </c>
      <c r="C4053" s="3" t="inlineStr">
        <is>
          <t>Liabilities</t>
        </is>
      </c>
      <c r="D4053" s="3" t="inlineStr">
        <is>
          <t>5500/050</t>
        </is>
      </c>
      <c r="E4053" s="3" t="inlineStr">
        <is>
          <t>Loan - Heron View</t>
        </is>
      </c>
      <c r="F4053" s="3" t="n">
        <v>1360139.98</v>
      </c>
      <c r="G4053" s="3" t="n">
        <v>47343220.21</v>
      </c>
    </row>
    <row r="4054">
      <c r="A4054" s="3" t="inlineStr">
        <is>
          <t>Heron Fields (Pty) Ltd</t>
        </is>
      </c>
      <c r="B4054" s="4" t="n">
        <v>45169</v>
      </c>
      <c r="C4054" s="3" t="inlineStr">
        <is>
          <t>Liabilities</t>
        </is>
      </c>
      <c r="D4054" s="3" t="inlineStr">
        <is>
          <t>5500/060</t>
        </is>
      </c>
      <c r="E4054" s="3" t="inlineStr">
        <is>
          <t>Loan - Opportunity Management Holdings</t>
        </is>
      </c>
      <c r="F4054" s="3" t="n">
        <v>50000</v>
      </c>
      <c r="G4054" s="3" t="n">
        <v>62100</v>
      </c>
    </row>
    <row r="4055">
      <c r="A4055" s="3" t="inlineStr">
        <is>
          <t>Heron Fields (Pty) Ltd</t>
        </is>
      </c>
      <c r="B4055" s="4" t="n">
        <v>45169</v>
      </c>
      <c r="C4055" s="3" t="inlineStr">
        <is>
          <t>Liabilities</t>
        </is>
      </c>
      <c r="D4055" s="3" t="inlineStr">
        <is>
          <t>5500/070</t>
        </is>
      </c>
      <c r="E4055" s="3" t="inlineStr">
        <is>
          <t>Loan - Noble Shield</t>
        </is>
      </c>
      <c r="F4055" s="3" t="n">
        <v>-1005.47</v>
      </c>
      <c r="G4055" s="3" t="n">
        <v>-20370.22</v>
      </c>
    </row>
    <row r="4056">
      <c r="A4056" s="3" t="inlineStr">
        <is>
          <t>Cape Projects Construction (Pty) Ltd</t>
        </is>
      </c>
      <c r="B4056" s="4" t="n">
        <v>45169</v>
      </c>
      <c r="C4056" s="3" t="inlineStr">
        <is>
          <t>Assets</t>
        </is>
      </c>
      <c r="D4056" s="3" t="inlineStr">
        <is>
          <t>6200/010</t>
        </is>
      </c>
      <c r="E4056" s="3" t="inlineStr">
        <is>
          <t>Motor Vehicles - @ Cost</t>
        </is>
      </c>
      <c r="F4056" s="3" t="n">
        <v>0</v>
      </c>
      <c r="G4056" s="3" t="n">
        <v>216064.1</v>
      </c>
    </row>
    <row r="4057">
      <c r="A4057" s="3" t="inlineStr">
        <is>
          <t>Cape Projects Construction (Pty) Ltd</t>
        </is>
      </c>
      <c r="B4057" s="4" t="n">
        <v>45169</v>
      </c>
      <c r="C4057" s="3" t="inlineStr">
        <is>
          <t>Assets</t>
        </is>
      </c>
      <c r="D4057" s="3" t="inlineStr">
        <is>
          <t>6200/020</t>
        </is>
      </c>
      <c r="E4057" s="3" t="inlineStr">
        <is>
          <t>Motor Vehicles - Accum Depre</t>
        </is>
      </c>
      <c r="F4057" s="3" t="n">
        <v>0</v>
      </c>
      <c r="G4057" s="3" t="n">
        <v>-216063.1</v>
      </c>
    </row>
    <row r="4058">
      <c r="A4058" s="3" t="inlineStr">
        <is>
          <t>Cape Projects Construction (Pty) Ltd</t>
        </is>
      </c>
      <c r="B4058" s="4" t="n">
        <v>45169</v>
      </c>
      <c r="C4058" s="3" t="inlineStr">
        <is>
          <t>Assets</t>
        </is>
      </c>
      <c r="D4058" s="3" t="inlineStr">
        <is>
          <t>6250/010</t>
        </is>
      </c>
      <c r="E4058" s="3" t="inlineStr">
        <is>
          <t>Computer Equipment - @ Cost</t>
        </is>
      </c>
      <c r="F4058" s="3" t="n">
        <v>0</v>
      </c>
      <c r="G4058" s="3" t="n">
        <v>133790.35</v>
      </c>
    </row>
    <row r="4059">
      <c r="A4059" s="3" t="inlineStr">
        <is>
          <t>Cape Projects Construction (Pty) Ltd</t>
        </is>
      </c>
      <c r="B4059" s="4" t="n">
        <v>45169</v>
      </c>
      <c r="C4059" s="3" t="inlineStr">
        <is>
          <t>Assets</t>
        </is>
      </c>
      <c r="D4059" s="3" t="inlineStr">
        <is>
          <t>6250/020</t>
        </is>
      </c>
      <c r="E4059" s="3" t="inlineStr">
        <is>
          <t>Computer Equipment - Accum Depre</t>
        </is>
      </c>
      <c r="F4059" s="3" t="n">
        <v>-3323.89</v>
      </c>
      <c r="G4059" s="3" t="n">
        <v>-62866.38</v>
      </c>
    </row>
    <row r="4060">
      <c r="A4060" s="3" t="inlineStr">
        <is>
          <t>Cape Projects Construction (Pty) Ltd</t>
        </is>
      </c>
      <c r="B4060" s="4" t="n">
        <v>45169</v>
      </c>
      <c r="C4060" s="3" t="inlineStr">
        <is>
          <t>Assets</t>
        </is>
      </c>
      <c r="D4060" s="3" t="inlineStr">
        <is>
          <t>6350/010</t>
        </is>
      </c>
      <c r="E4060" s="3" t="inlineStr">
        <is>
          <t>Furniture _AND_ Fittings - @ Cost</t>
        </is>
      </c>
      <c r="F4060" s="3" t="n">
        <v>0</v>
      </c>
      <c r="G4060" s="3" t="n">
        <v>37955.3</v>
      </c>
    </row>
    <row r="4061">
      <c r="A4061" s="3" t="inlineStr">
        <is>
          <t>Cape Projects Construction (Pty) Ltd</t>
        </is>
      </c>
      <c r="B4061" s="4" t="n">
        <v>45169</v>
      </c>
      <c r="C4061" s="3" t="inlineStr">
        <is>
          <t>Assets</t>
        </is>
      </c>
      <c r="D4061" s="3" t="inlineStr">
        <is>
          <t>6350/020</t>
        </is>
      </c>
      <c r="E4061" s="3" t="inlineStr">
        <is>
          <t>Furniture _AND_ Fittings - Accum Depre</t>
        </is>
      </c>
      <c r="F4061" s="3" t="n">
        <v>-547.67</v>
      </c>
      <c r="G4061" s="3" t="n">
        <v>-9180.610000000001</v>
      </c>
    </row>
    <row r="4062">
      <c r="A4062" s="3" t="inlineStr">
        <is>
          <t>Cape Projects Construction (Pty) Ltd</t>
        </is>
      </c>
      <c r="B4062" s="4" t="n">
        <v>45169</v>
      </c>
      <c r="C4062" s="3" t="inlineStr">
        <is>
          <t>Assets</t>
        </is>
      </c>
      <c r="D4062" s="3" t="inlineStr">
        <is>
          <t>6600/010</t>
        </is>
      </c>
      <c r="E4062" s="3" t="inlineStr">
        <is>
          <t>Generator Fixed Asset - @ Cost</t>
        </is>
      </c>
      <c r="F4062" s="3" t="n">
        <v>0</v>
      </c>
      <c r="G4062" s="3" t="n">
        <v>71322</v>
      </c>
    </row>
    <row r="4063">
      <c r="A4063" s="3" t="inlineStr">
        <is>
          <t>Cape Projects Construction (Pty) Ltd</t>
        </is>
      </c>
      <c r="B4063" s="4" t="n">
        <v>45169</v>
      </c>
      <c r="C4063" s="3" t="inlineStr">
        <is>
          <t>Assets</t>
        </is>
      </c>
      <c r="D4063" s="3" t="inlineStr">
        <is>
          <t>6600/020</t>
        </is>
      </c>
      <c r="E4063" s="3" t="inlineStr">
        <is>
          <t>Generator Fixed Asset - Accum Depre</t>
        </is>
      </c>
      <c r="F4063" s="3" t="n">
        <v>-1188.7</v>
      </c>
      <c r="G4063" s="3" t="n">
        <v>-8267.030000000001</v>
      </c>
    </row>
    <row r="4064">
      <c r="A4064" s="3" t="inlineStr">
        <is>
          <t>Heron Fields (Pty) Ltd</t>
        </is>
      </c>
      <c r="B4064" s="4" t="n">
        <v>45169</v>
      </c>
      <c r="C4064" s="3" t="inlineStr">
        <is>
          <t>Assets</t>
        </is>
      </c>
      <c r="D4064" s="3" t="inlineStr">
        <is>
          <t>7610/395</t>
        </is>
      </c>
      <c r="E4064" s="3" t="inlineStr">
        <is>
          <t>HF CIP NHBRC</t>
        </is>
      </c>
      <c r="F4064" s="3" t="n">
        <v>0</v>
      </c>
      <c r="G4064" s="3" t="n">
        <v>874505.75</v>
      </c>
    </row>
    <row r="4065">
      <c r="A4065" s="3" t="inlineStr">
        <is>
          <t>Heron View (Pty) Ltd</t>
        </is>
      </c>
      <c r="B4065" s="4" t="n">
        <v>45169</v>
      </c>
      <c r="C4065" s="3" t="inlineStr">
        <is>
          <t>Assets</t>
        </is>
      </c>
      <c r="D4065" s="3" t="inlineStr">
        <is>
          <t>7610/395</t>
        </is>
      </c>
      <c r="E4065" s="3" t="inlineStr">
        <is>
          <t>Heron CIP NHBRC</t>
        </is>
      </c>
      <c r="F4065" s="3" t="n">
        <v>265588</v>
      </c>
      <c r="G4065" s="3" t="n">
        <v>1311564.86</v>
      </c>
    </row>
    <row r="4066">
      <c r="A4066" s="3" t="inlineStr">
        <is>
          <t>Heron Fields (Pty) Ltd</t>
        </is>
      </c>
      <c r="B4066" s="4" t="n">
        <v>45169</v>
      </c>
      <c r="C4066" s="3" t="inlineStr">
        <is>
          <t>Assets</t>
        </is>
      </c>
      <c r="D4066" s="3" t="inlineStr">
        <is>
          <t>7620/100</t>
        </is>
      </c>
      <c r="E4066" s="3" t="inlineStr">
        <is>
          <t>Heron View Land</t>
        </is>
      </c>
      <c r="F4066" s="3" t="n">
        <v>0</v>
      </c>
      <c r="G4066" s="3" t="n">
        <v>26200000</v>
      </c>
    </row>
    <row r="4067">
      <c r="A4067" s="3" t="inlineStr">
        <is>
          <t>Heron Fields (Pty) Ltd</t>
        </is>
      </c>
      <c r="B4067" s="4" t="n">
        <v>45169</v>
      </c>
      <c r="C4067" s="3" t="inlineStr">
        <is>
          <t>Assets</t>
        </is>
      </c>
      <c r="D4067" s="3" t="inlineStr">
        <is>
          <t>7620/101</t>
        </is>
      </c>
      <c r="E4067" s="3" t="inlineStr">
        <is>
          <t>HF CIP Bond Registration Fee</t>
        </is>
      </c>
      <c r="F4067" s="3" t="n">
        <v>0</v>
      </c>
      <c r="G4067" s="3" t="n">
        <v>68427</v>
      </c>
    </row>
    <row r="4068">
      <c r="A4068" s="3" t="inlineStr">
        <is>
          <t>Heron Fields (Pty) Ltd</t>
        </is>
      </c>
      <c r="B4068" s="4" t="n">
        <v>45169</v>
      </c>
      <c r="C4068" s="3" t="inlineStr">
        <is>
          <t>Assets</t>
        </is>
      </c>
      <c r="D4068" s="3" t="inlineStr">
        <is>
          <t>7620/102</t>
        </is>
      </c>
      <c r="E4068" s="3" t="inlineStr">
        <is>
          <t>HF CIP Transfer Fee</t>
        </is>
      </c>
      <c r="F4068" s="3" t="n">
        <v>0</v>
      </c>
      <c r="G4068" s="3" t="n">
        <v>103812</v>
      </c>
    </row>
    <row r="4069">
      <c r="A4069" s="3" t="inlineStr">
        <is>
          <t>Heron Fields (Pty) Ltd</t>
        </is>
      </c>
      <c r="B4069" s="4" t="n">
        <v>45169</v>
      </c>
      <c r="C4069" s="3" t="inlineStr">
        <is>
          <t>Assets</t>
        </is>
      </c>
      <c r="D4069" s="3" t="inlineStr">
        <is>
          <t>7620/220</t>
        </is>
      </c>
      <c r="E4069" s="3" t="inlineStr">
        <is>
          <t>HF CIP Architectural Designs</t>
        </is>
      </c>
      <c r="F4069" s="3" t="n">
        <v>0</v>
      </c>
      <c r="G4069" s="3" t="n">
        <v>314087</v>
      </c>
    </row>
    <row r="4070">
      <c r="A4070" s="3" t="inlineStr">
        <is>
          <t>Heron View (Pty) Ltd</t>
        </is>
      </c>
      <c r="B4070" s="4" t="n">
        <v>45169</v>
      </c>
      <c r="C4070" s="3" t="inlineStr">
        <is>
          <t>Assets</t>
        </is>
      </c>
      <c r="D4070" s="3" t="inlineStr">
        <is>
          <t>7620/220</t>
        </is>
      </c>
      <c r="E4070" s="3" t="inlineStr">
        <is>
          <t>Heron View CIP Architectural Designs</t>
        </is>
      </c>
      <c r="F4070" s="3" t="n">
        <v>12900</v>
      </c>
      <c r="G4070" s="3" t="n">
        <v>750378.5</v>
      </c>
    </row>
    <row r="4071">
      <c r="A4071" s="3" t="inlineStr">
        <is>
          <t>Heron Fields (Pty) Ltd</t>
        </is>
      </c>
      <c r="B4071" s="4" t="n">
        <v>45169</v>
      </c>
      <c r="C4071" s="3" t="inlineStr">
        <is>
          <t>Assets</t>
        </is>
      </c>
      <c r="D4071" s="3" t="inlineStr">
        <is>
          <t>7620/230</t>
        </is>
      </c>
      <c r="E4071" s="3" t="inlineStr">
        <is>
          <t>HF CIP Construction Management</t>
        </is>
      </c>
      <c r="F4071" s="3" t="n">
        <v>0</v>
      </c>
      <c r="G4071" s="3" t="n">
        <v>139500</v>
      </c>
    </row>
    <row r="4072">
      <c r="A4072" s="3" t="inlineStr">
        <is>
          <t>Heron Fields (Pty) Ltd</t>
        </is>
      </c>
      <c r="B4072" s="4" t="n">
        <v>45169</v>
      </c>
      <c r="C4072" s="3" t="inlineStr">
        <is>
          <t>Assets</t>
        </is>
      </c>
      <c r="D4072" s="3" t="inlineStr">
        <is>
          <t>7620/240</t>
        </is>
      </c>
      <c r="E4072" s="3" t="inlineStr">
        <is>
          <t>HF CIP Civil Engineering</t>
        </is>
      </c>
      <c r="F4072" s="3" t="n">
        <v>0</v>
      </c>
      <c r="G4072" s="3" t="n">
        <v>8557641.800000001</v>
      </c>
    </row>
    <row r="4073">
      <c r="A4073" s="3" t="inlineStr">
        <is>
          <t>Heron Fields (Pty) Ltd</t>
        </is>
      </c>
      <c r="B4073" s="4" t="n">
        <v>45169</v>
      </c>
      <c r="C4073" s="3" t="inlineStr">
        <is>
          <t>Assets</t>
        </is>
      </c>
      <c r="D4073" s="3" t="inlineStr">
        <is>
          <t>7620/245</t>
        </is>
      </c>
      <c r="E4073" s="3" t="inlineStr">
        <is>
          <t>HF CIP Development fee</t>
        </is>
      </c>
      <c r="F4073" s="3" t="n">
        <v>0</v>
      </c>
      <c r="G4073" s="3" t="n">
        <v>13807.78</v>
      </c>
    </row>
    <row r="4074">
      <c r="A4074" s="3" t="inlineStr">
        <is>
          <t>Heron Fields (Pty) Ltd</t>
        </is>
      </c>
      <c r="B4074" s="4" t="n">
        <v>45169</v>
      </c>
      <c r="C4074" s="3" t="inlineStr">
        <is>
          <t>Assets</t>
        </is>
      </c>
      <c r="D4074" s="3" t="inlineStr">
        <is>
          <t>7620/250</t>
        </is>
      </c>
      <c r="E4074" s="3" t="inlineStr">
        <is>
          <t>HF CIP Land Surveyor</t>
        </is>
      </c>
      <c r="F4074" s="3" t="n">
        <v>0</v>
      </c>
      <c r="G4074" s="3" t="n">
        <v>197060.09</v>
      </c>
    </row>
    <row r="4075">
      <c r="A4075" s="3" t="inlineStr">
        <is>
          <t>Heron View (Pty) Ltd</t>
        </is>
      </c>
      <c r="B4075" s="4" t="n">
        <v>45169</v>
      </c>
      <c r="C4075" s="3" t="inlineStr">
        <is>
          <t>Assets</t>
        </is>
      </c>
      <c r="D4075" s="3" t="inlineStr">
        <is>
          <t>7620/250</t>
        </is>
      </c>
      <c r="E4075" s="3" t="inlineStr">
        <is>
          <t>Heron View CIP Land Surveyor</t>
        </is>
      </c>
      <c r="F4075" s="3" t="n">
        <v>33140.61</v>
      </c>
      <c r="G4075" s="3" t="n">
        <v>186612.64</v>
      </c>
    </row>
    <row r="4076">
      <c r="A4076" s="3" t="inlineStr">
        <is>
          <t>Heron Fields (Pty) Ltd</t>
        </is>
      </c>
      <c r="B4076" s="4" t="n">
        <v>45169</v>
      </c>
      <c r="C4076" s="3" t="inlineStr">
        <is>
          <t>Assets</t>
        </is>
      </c>
      <c r="D4076" s="3" t="inlineStr">
        <is>
          <t>7620/255</t>
        </is>
      </c>
      <c r="E4076" s="3" t="inlineStr">
        <is>
          <t>HF CIP Landscaping</t>
        </is>
      </c>
      <c r="F4076" s="3" t="n">
        <v>0</v>
      </c>
      <c r="G4076" s="3" t="n">
        <v>7500</v>
      </c>
    </row>
    <row r="4077">
      <c r="A4077" s="3" t="inlineStr">
        <is>
          <t>Heron View (Pty) Ltd</t>
        </is>
      </c>
      <c r="B4077" s="4" t="n">
        <v>45169</v>
      </c>
      <c r="C4077" s="3" t="inlineStr">
        <is>
          <t>Assets</t>
        </is>
      </c>
      <c r="D4077" s="3" t="inlineStr">
        <is>
          <t>7620/255</t>
        </is>
      </c>
      <c r="E4077" s="3" t="inlineStr">
        <is>
          <t>Heron View CIP Landscaping</t>
        </is>
      </c>
      <c r="F4077" s="3" t="n">
        <v>0</v>
      </c>
      <c r="G4077" s="3" t="n">
        <v>114370.5</v>
      </c>
    </row>
    <row r="4078">
      <c r="A4078" s="3" t="inlineStr">
        <is>
          <t>Heron Fields (Pty) Ltd</t>
        </is>
      </c>
      <c r="B4078" s="4" t="n">
        <v>45169</v>
      </c>
      <c r="C4078" s="3" t="inlineStr">
        <is>
          <t>Assets</t>
        </is>
      </c>
      <c r="D4078" s="3" t="inlineStr">
        <is>
          <t>7620/260</t>
        </is>
      </c>
      <c r="E4078" s="3" t="inlineStr">
        <is>
          <t>HF CIP Mechanical Engineers</t>
        </is>
      </c>
      <c r="F4078" s="3" t="n">
        <v>78856.38</v>
      </c>
      <c r="G4078" s="3" t="n">
        <v>146256.38</v>
      </c>
    </row>
    <row r="4079">
      <c r="A4079" s="3" t="inlineStr">
        <is>
          <t>Heron Fields (Pty) Ltd</t>
        </is>
      </c>
      <c r="B4079" s="4" t="n">
        <v>45169</v>
      </c>
      <c r="C4079" s="3" t="inlineStr">
        <is>
          <t>Assets</t>
        </is>
      </c>
      <c r="D4079" s="3" t="inlineStr">
        <is>
          <t>7620/265</t>
        </is>
      </c>
      <c r="E4079" s="3" t="inlineStr">
        <is>
          <t>HF CIP Health &amp; Safety</t>
        </is>
      </c>
      <c r="F4079" s="3" t="n">
        <v>0</v>
      </c>
      <c r="G4079" s="3" t="n">
        <v>20600</v>
      </c>
    </row>
    <row r="4080">
      <c r="A4080" s="3" t="inlineStr">
        <is>
          <t>Heron Fields (Pty) Ltd</t>
        </is>
      </c>
      <c r="B4080" s="4" t="n">
        <v>45169</v>
      </c>
      <c r="C4080" s="3" t="inlineStr">
        <is>
          <t>Assets</t>
        </is>
      </c>
      <c r="D4080" s="3" t="inlineStr">
        <is>
          <t>7620/270</t>
        </is>
      </c>
      <c r="E4080" s="3" t="inlineStr">
        <is>
          <t>HF CIP Geotechnical</t>
        </is>
      </c>
      <c r="F4080" s="3" t="n">
        <v>0</v>
      </c>
      <c r="G4080" s="3" t="n">
        <v>15175</v>
      </c>
    </row>
    <row r="4081">
      <c r="A4081" s="3" t="inlineStr">
        <is>
          <t>Heron Fields (Pty) Ltd</t>
        </is>
      </c>
      <c r="B4081" s="4" t="n">
        <v>45169</v>
      </c>
      <c r="C4081" s="3" t="inlineStr">
        <is>
          <t>Assets</t>
        </is>
      </c>
      <c r="D4081" s="3" t="inlineStr">
        <is>
          <t>7620/275</t>
        </is>
      </c>
      <c r="E4081" s="3" t="inlineStr">
        <is>
          <t>HF CIP Retaining Wall</t>
        </is>
      </c>
      <c r="F4081" s="3" t="n">
        <v>0</v>
      </c>
      <c r="G4081" s="3" t="n">
        <v>570856.08</v>
      </c>
    </row>
    <row r="4082">
      <c r="A4082" s="3" t="inlineStr">
        <is>
          <t>Heron Fields (Pty) Ltd</t>
        </is>
      </c>
      <c r="B4082" s="4" t="n">
        <v>45169</v>
      </c>
      <c r="C4082" s="3" t="inlineStr">
        <is>
          <t>Assets</t>
        </is>
      </c>
      <c r="D4082" s="3" t="inlineStr">
        <is>
          <t>7620/280</t>
        </is>
      </c>
      <c r="E4082" s="3" t="inlineStr">
        <is>
          <t>HF CIP Site Establishment</t>
        </is>
      </c>
      <c r="F4082" s="3" t="n">
        <v>0</v>
      </c>
      <c r="G4082" s="3" t="n">
        <v>47748851.51</v>
      </c>
    </row>
    <row r="4083">
      <c r="A4083" s="3" t="inlineStr">
        <is>
          <t>Heron View (Pty) Ltd</t>
        </is>
      </c>
      <c r="B4083" s="4" t="n">
        <v>45169</v>
      </c>
      <c r="C4083" s="3" t="inlineStr">
        <is>
          <t>Assets</t>
        </is>
      </c>
      <c r="D4083" s="3" t="inlineStr">
        <is>
          <t>7620/280</t>
        </is>
      </c>
      <c r="E4083" s="3" t="inlineStr">
        <is>
          <t>Heron View CIP Site Establishment</t>
        </is>
      </c>
      <c r="F4083" s="3" t="n">
        <v>681581.85</v>
      </c>
      <c r="G4083" s="3" t="n">
        <v>7869339.77</v>
      </c>
    </row>
    <row r="4084">
      <c r="A4084" s="3" t="inlineStr">
        <is>
          <t>Heron Fields (Pty) Ltd</t>
        </is>
      </c>
      <c r="B4084" s="4" t="n">
        <v>45169</v>
      </c>
      <c r="C4084" s="3" t="inlineStr">
        <is>
          <t>Assets</t>
        </is>
      </c>
      <c r="D4084" s="3" t="inlineStr">
        <is>
          <t>7620/285</t>
        </is>
      </c>
      <c r="E4084" s="3" t="inlineStr">
        <is>
          <t>HF CIP Structuring Fee - Invest</t>
        </is>
      </c>
      <c r="F4084" s="3" t="n">
        <v>0</v>
      </c>
      <c r="G4084" s="3" t="n">
        <v>3850818.04</v>
      </c>
    </row>
    <row r="4085">
      <c r="A4085" s="3" t="inlineStr">
        <is>
          <t>Heron View (Pty) Ltd</t>
        </is>
      </c>
      <c r="B4085" s="4" t="n">
        <v>45169</v>
      </c>
      <c r="C4085" s="3" t="inlineStr">
        <is>
          <t>Assets</t>
        </is>
      </c>
      <c r="D4085" s="3" t="inlineStr">
        <is>
          <t>7620/285</t>
        </is>
      </c>
      <c r="E4085" s="3" t="inlineStr">
        <is>
          <t>Heron View CIP Structuring Fee - Invest</t>
        </is>
      </c>
      <c r="F4085" s="3" t="n">
        <v>0</v>
      </c>
      <c r="G4085" s="3" t="n">
        <v>1826086.96</v>
      </c>
    </row>
    <row r="4086">
      <c r="A4086" s="3" t="inlineStr">
        <is>
          <t>Heron Fields (Pty) Ltd</t>
        </is>
      </c>
      <c r="B4086" s="4" t="n">
        <v>45169</v>
      </c>
      <c r="C4086" s="3" t="inlineStr">
        <is>
          <t>Assets</t>
        </is>
      </c>
      <c r="D4086" s="3" t="inlineStr">
        <is>
          <t>7620/287</t>
        </is>
      </c>
      <c r="E4086" s="3" t="inlineStr">
        <is>
          <t>HF CIP Structuring Fee - Development</t>
        </is>
      </c>
      <c r="F4086" s="3" t="n">
        <v>0</v>
      </c>
      <c r="G4086" s="3" t="n">
        <v>782608.0699999999</v>
      </c>
    </row>
    <row r="4087">
      <c r="A4087" s="3" t="inlineStr">
        <is>
          <t>Heron View (Pty) Ltd</t>
        </is>
      </c>
      <c r="B4087" s="4" t="n">
        <v>45169</v>
      </c>
      <c r="C4087" s="3" t="inlineStr">
        <is>
          <t>Assets</t>
        </is>
      </c>
      <c r="D4087" s="3" t="inlineStr">
        <is>
          <t>7620/287</t>
        </is>
      </c>
      <c r="E4087" s="3" t="inlineStr">
        <is>
          <t>Heron View CIP Structuring Fee - Development</t>
        </is>
      </c>
      <c r="F4087" s="3" t="n">
        <v>217391.3</v>
      </c>
      <c r="G4087" s="3" t="n">
        <v>217391.3</v>
      </c>
    </row>
    <row r="4088">
      <c r="A4088" s="3" t="inlineStr">
        <is>
          <t>Heron Fields (Pty) Ltd</t>
        </is>
      </c>
      <c r="B4088" s="4" t="n">
        <v>45169</v>
      </c>
      <c r="C4088" s="3" t="inlineStr">
        <is>
          <t>Assets</t>
        </is>
      </c>
      <c r="D4088" s="3" t="inlineStr">
        <is>
          <t>7620/290</t>
        </is>
      </c>
      <c r="E4088" s="3" t="inlineStr">
        <is>
          <t>HF CIP Town Planning</t>
        </is>
      </c>
      <c r="F4088" s="3" t="n">
        <v>0</v>
      </c>
      <c r="G4088" s="3" t="n">
        <v>166550</v>
      </c>
    </row>
    <row r="4089">
      <c r="A4089" s="3" t="inlineStr">
        <is>
          <t>Heron View (Pty) Ltd</t>
        </is>
      </c>
      <c r="B4089" s="4" t="n">
        <v>45169</v>
      </c>
      <c r="C4089" s="3" t="inlineStr">
        <is>
          <t>Assets</t>
        </is>
      </c>
      <c r="D4089" s="3" t="inlineStr">
        <is>
          <t>7620/290</t>
        </is>
      </c>
      <c r="E4089" s="3" t="inlineStr">
        <is>
          <t>Heron View CIP Town Planning</t>
        </is>
      </c>
      <c r="F4089" s="3" t="n">
        <v>0</v>
      </c>
      <c r="G4089" s="3" t="n">
        <v>2834.7</v>
      </c>
    </row>
    <row r="4090">
      <c r="A4090" s="3" t="inlineStr">
        <is>
          <t>Heron Fields (Pty) Ltd</t>
        </is>
      </c>
      <c r="B4090" s="4" t="n">
        <v>45169</v>
      </c>
      <c r="C4090" s="3" t="inlineStr">
        <is>
          <t>Assets</t>
        </is>
      </c>
      <c r="D4090" s="3" t="inlineStr">
        <is>
          <t>7620/295</t>
        </is>
      </c>
      <c r="E4090" s="3" t="inlineStr">
        <is>
          <t>HF CIP Traffic Planning</t>
        </is>
      </c>
      <c r="F4090" s="3" t="n">
        <v>0</v>
      </c>
      <c r="G4090" s="3" t="n">
        <v>45000</v>
      </c>
    </row>
    <row r="4091">
      <c r="A4091" s="3" t="inlineStr">
        <is>
          <t>Heron Fields (Pty) Ltd</t>
        </is>
      </c>
      <c r="B4091" s="4" t="n">
        <v>45169</v>
      </c>
      <c r="C4091" s="3" t="inlineStr">
        <is>
          <t>Assets</t>
        </is>
      </c>
      <c r="D4091" s="3" t="inlineStr">
        <is>
          <t>7620/600</t>
        </is>
      </c>
      <c r="E4091" s="3" t="inlineStr">
        <is>
          <t>HF CIP Eco work</t>
        </is>
      </c>
      <c r="F4091" s="3" t="n">
        <v>6000</v>
      </c>
      <c r="G4091" s="3" t="n">
        <v>167000</v>
      </c>
    </row>
    <row r="4092">
      <c r="A4092" s="3" t="inlineStr">
        <is>
          <t>Heron View (Pty) Ltd</t>
        </is>
      </c>
      <c r="B4092" s="4" t="n">
        <v>45169</v>
      </c>
      <c r="C4092" s="3" t="inlineStr">
        <is>
          <t>Assets</t>
        </is>
      </c>
      <c r="D4092" s="3" t="inlineStr">
        <is>
          <t>7620/605</t>
        </is>
      </c>
      <c r="E4092" s="3" t="inlineStr">
        <is>
          <t>Heron View CIP Structural Engineers</t>
        </is>
      </c>
      <c r="F4092" s="3" t="n">
        <v>237699</v>
      </c>
      <c r="G4092" s="3" t="n">
        <v>530452.14</v>
      </c>
    </row>
    <row r="4093">
      <c r="A4093" s="3" t="inlineStr">
        <is>
          <t>Heron View (Pty) Ltd</t>
        </is>
      </c>
      <c r="B4093" s="4" t="n">
        <v>45169</v>
      </c>
      <c r="C4093" s="3" t="inlineStr">
        <is>
          <t>Assets</t>
        </is>
      </c>
      <c r="D4093" s="3" t="inlineStr">
        <is>
          <t>7620/610</t>
        </is>
      </c>
      <c r="E4093" s="3" t="inlineStr">
        <is>
          <t>HV CIP Retaining wall</t>
        </is>
      </c>
      <c r="F4093" s="3" t="n">
        <v>0</v>
      </c>
      <c r="G4093" s="3" t="n">
        <v>66190.11</v>
      </c>
    </row>
    <row r="4094">
      <c r="A4094" s="3" t="inlineStr">
        <is>
          <t>Heron Fields (Pty) Ltd</t>
        </is>
      </c>
      <c r="B4094" s="4" t="n">
        <v>45169</v>
      </c>
      <c r="C4094" s="3" t="inlineStr">
        <is>
          <t>Assets</t>
        </is>
      </c>
      <c r="D4094" s="3" t="inlineStr">
        <is>
          <t>7620/630</t>
        </is>
      </c>
      <c r="E4094" s="3" t="inlineStr">
        <is>
          <t>HF CIP CoCT development contribution</t>
        </is>
      </c>
      <c r="F4094" s="3" t="n">
        <v>0</v>
      </c>
      <c r="G4094" s="3" t="n">
        <v>3252759.95</v>
      </c>
    </row>
    <row r="4095">
      <c r="A4095" s="3" t="inlineStr">
        <is>
          <t>Heron View (Pty) Ltd</t>
        </is>
      </c>
      <c r="B4095" s="4" t="n">
        <v>45169</v>
      </c>
      <c r="C4095" s="3" t="inlineStr">
        <is>
          <t>Assets</t>
        </is>
      </c>
      <c r="D4095" s="3" t="inlineStr">
        <is>
          <t>7620/630</t>
        </is>
      </c>
      <c r="E4095" s="3" t="inlineStr">
        <is>
          <t>Heron CIP - CoCT development contribution</t>
        </is>
      </c>
      <c r="F4095" s="3" t="n">
        <v>4043.31</v>
      </c>
      <c r="G4095" s="3" t="n">
        <v>1528229.07</v>
      </c>
    </row>
    <row r="4096">
      <c r="A4096" s="3" t="inlineStr">
        <is>
          <t>Heron Fields (Pty) Ltd</t>
        </is>
      </c>
      <c r="B4096" s="4" t="n">
        <v>45169</v>
      </c>
      <c r="C4096" s="3" t="inlineStr">
        <is>
          <t>Assets</t>
        </is>
      </c>
      <c r="D4096" s="3" t="inlineStr">
        <is>
          <t>7620/640</t>
        </is>
      </c>
      <c r="E4096" s="3" t="inlineStr">
        <is>
          <t>HF CIP Project costs</t>
        </is>
      </c>
      <c r="F4096" s="3" t="n">
        <v>0</v>
      </c>
      <c r="G4096" s="3" t="n">
        <v>622274.51</v>
      </c>
    </row>
    <row r="4097">
      <c r="A4097" s="3" t="inlineStr">
        <is>
          <t>Heron View (Pty) Ltd</t>
        </is>
      </c>
      <c r="B4097" s="4" t="n">
        <v>45169</v>
      </c>
      <c r="C4097" s="3" t="inlineStr">
        <is>
          <t>Assets</t>
        </is>
      </c>
      <c r="D4097" s="3" t="inlineStr">
        <is>
          <t>7620/650</t>
        </is>
      </c>
      <c r="E4097" s="3" t="inlineStr">
        <is>
          <t>CIP - Construction Management</t>
        </is>
      </c>
      <c r="F4097" s="3" t="n">
        <v>0</v>
      </c>
      <c r="G4097" s="3" t="n">
        <v>76530</v>
      </c>
    </row>
    <row r="4098">
      <c r="A4098" s="3" t="inlineStr">
        <is>
          <t>Heron Fields (Pty) Ltd</t>
        </is>
      </c>
      <c r="B4098" s="4" t="n">
        <v>45169</v>
      </c>
      <c r="C4098" s="3" t="inlineStr">
        <is>
          <t>Assets</t>
        </is>
      </c>
      <c r="D4098" s="3" t="inlineStr">
        <is>
          <t>7620/650</t>
        </is>
      </c>
      <c r="E4098" s="3" t="inlineStr">
        <is>
          <t>HF CIP Electrical</t>
        </is>
      </c>
      <c r="F4098" s="3" t="n">
        <v>0</v>
      </c>
      <c r="G4098" s="3" t="n">
        <v>985049.6800000001</v>
      </c>
    </row>
    <row r="4099">
      <c r="A4099" s="3" t="inlineStr">
        <is>
          <t>Heron View (Pty) Ltd</t>
        </is>
      </c>
      <c r="B4099" s="4" t="n">
        <v>45169</v>
      </c>
      <c r="C4099" s="3" t="inlineStr">
        <is>
          <t>Assets</t>
        </is>
      </c>
      <c r="D4099" s="3" t="inlineStr">
        <is>
          <t>7620/660</t>
        </is>
      </c>
      <c r="E4099" s="3" t="inlineStr">
        <is>
          <t>HV CIP Health &amp; Safety</t>
        </is>
      </c>
      <c r="F4099" s="3" t="n">
        <v>1400</v>
      </c>
      <c r="G4099" s="3" t="n">
        <v>23000</v>
      </c>
    </row>
    <row r="4100">
      <c r="A4100" s="3" t="inlineStr">
        <is>
          <t>Heron View (Pty) Ltd</t>
        </is>
      </c>
      <c r="B4100" s="4" t="n">
        <v>45169</v>
      </c>
      <c r="C4100" s="3" t="inlineStr">
        <is>
          <t>Assets</t>
        </is>
      </c>
      <c r="D4100" s="3" t="inlineStr">
        <is>
          <t>7620/670</t>
        </is>
      </c>
      <c r="E4100" s="3" t="inlineStr">
        <is>
          <t>HV CIP - Project costs CPSD</t>
        </is>
      </c>
      <c r="F4100" s="3" t="n">
        <v>0</v>
      </c>
      <c r="G4100" s="3" t="n">
        <v>684782.6</v>
      </c>
    </row>
    <row r="4101">
      <c r="A4101" s="3" t="inlineStr">
        <is>
          <t>Heron View (Pty) Ltd</t>
        </is>
      </c>
      <c r="B4101" s="4" t="n">
        <v>45169</v>
      </c>
      <c r="C4101" s="3" t="inlineStr">
        <is>
          <t>Assets</t>
        </is>
      </c>
      <c r="D4101" s="3" t="inlineStr">
        <is>
          <t>7620/680</t>
        </is>
      </c>
      <c r="E4101" s="3" t="inlineStr">
        <is>
          <t>HV CIP Elextrical</t>
        </is>
      </c>
      <c r="F4101" s="3" t="n">
        <v>0</v>
      </c>
      <c r="G4101" s="3" t="n">
        <v>1130099.94</v>
      </c>
    </row>
    <row r="4102">
      <c r="A4102" s="3" t="inlineStr">
        <is>
          <t>Heron View (Pty) Ltd</t>
        </is>
      </c>
      <c r="B4102" s="4" t="n">
        <v>45169</v>
      </c>
      <c r="C4102" s="3" t="inlineStr">
        <is>
          <t>Assets</t>
        </is>
      </c>
      <c r="D4102" s="3" t="inlineStr">
        <is>
          <t>7620/690</t>
        </is>
      </c>
      <c r="E4102" s="3" t="inlineStr">
        <is>
          <t>HV CIP Site Establishment</t>
        </is>
      </c>
      <c r="F4102" s="3" t="n">
        <v>0</v>
      </c>
      <c r="G4102" s="3" t="n">
        <v>20707183.05</v>
      </c>
    </row>
    <row r="4103">
      <c r="A4103" s="3" t="inlineStr">
        <is>
          <t>Heron Fields (Pty) Ltd</t>
        </is>
      </c>
      <c r="B4103" s="4" t="n">
        <v>45169</v>
      </c>
      <c r="C4103" s="3" t="inlineStr">
        <is>
          <t>Assets</t>
        </is>
      </c>
      <c r="D4103" s="3" t="inlineStr">
        <is>
          <t>7620/750</t>
        </is>
      </c>
      <c r="E4103" s="3" t="inlineStr">
        <is>
          <t>HF CIP Project costs CPSD</t>
        </is>
      </c>
      <c r="F4103" s="3" t="n">
        <v>0</v>
      </c>
      <c r="G4103" s="3" t="n">
        <v>2148883.15</v>
      </c>
    </row>
    <row r="4104">
      <c r="A4104" s="3" t="inlineStr">
        <is>
          <t>Heron Fields (Pty) Ltd</t>
        </is>
      </c>
      <c r="B4104" s="4" t="n">
        <v>45169</v>
      </c>
      <c r="C4104" s="3" t="inlineStr">
        <is>
          <t>Assets</t>
        </is>
      </c>
      <c r="D4104" s="3" t="inlineStr">
        <is>
          <t>7620/800</t>
        </is>
      </c>
      <c r="E4104" s="3" t="inlineStr">
        <is>
          <t>HF CIP GL Conradie</t>
        </is>
      </c>
      <c r="F4104" s="3" t="n">
        <v>0</v>
      </c>
      <c r="G4104" s="3" t="n">
        <v>1068455</v>
      </c>
    </row>
    <row r="4105">
      <c r="A4105" s="3" t="inlineStr">
        <is>
          <t>Heron View (Pty) Ltd</t>
        </is>
      </c>
      <c r="B4105" s="4" t="n">
        <v>45169</v>
      </c>
      <c r="C4105" s="3" t="inlineStr">
        <is>
          <t>Assets</t>
        </is>
      </c>
      <c r="D4105" s="3" t="inlineStr">
        <is>
          <t>7620/800</t>
        </is>
      </c>
      <c r="E4105" s="3" t="inlineStr">
        <is>
          <t>HV CIP GL Conradie</t>
        </is>
      </c>
      <c r="F4105" s="3" t="n">
        <v>1493783.62</v>
      </c>
      <c r="G4105" s="3" t="n">
        <v>1493783.62</v>
      </c>
    </row>
    <row r="4106">
      <c r="A4106" s="3" t="inlineStr">
        <is>
          <t>Heron Fields (Pty) Ltd</t>
        </is>
      </c>
      <c r="B4106" s="4" t="n">
        <v>45169</v>
      </c>
      <c r="C4106" s="3" t="inlineStr">
        <is>
          <t>Assets</t>
        </is>
      </c>
      <c r="D4106" s="3" t="inlineStr">
        <is>
          <t>7700/010</t>
        </is>
      </c>
      <c r="E4106" s="3" t="inlineStr">
        <is>
          <t>Construction 28 Feb 23 HF</t>
        </is>
      </c>
      <c r="F4106" s="3" t="n">
        <v>0</v>
      </c>
      <c r="G4106" s="3" t="n">
        <v>-24427668.44</v>
      </c>
    </row>
    <row r="4107">
      <c r="A4107" s="3" t="inlineStr">
        <is>
          <t>Cape Projects Construction (Pty) Ltd</t>
        </is>
      </c>
      <c r="B4107" s="4" t="n">
        <v>45169</v>
      </c>
      <c r="C4107" s="3" t="inlineStr">
        <is>
          <t>Assets</t>
        </is>
      </c>
      <c r="D4107" s="3" t="inlineStr">
        <is>
          <t>7800/000</t>
        </is>
      </c>
      <c r="E4107" s="3" t="inlineStr">
        <is>
          <t>Deposits paid</t>
        </is>
      </c>
      <c r="F4107" s="3" t="n">
        <v>0</v>
      </c>
      <c r="G4107" s="3" t="n">
        <v>29600</v>
      </c>
    </row>
    <row r="4108">
      <c r="A4108" s="3" t="inlineStr">
        <is>
          <t>Cape Projects Construction (Pty) Ltd</t>
        </is>
      </c>
      <c r="B4108" s="4" t="n">
        <v>45169</v>
      </c>
      <c r="C4108" s="3" t="inlineStr">
        <is>
          <t>Assets</t>
        </is>
      </c>
      <c r="D4108" s="3" t="inlineStr">
        <is>
          <t>8000/000</t>
        </is>
      </c>
      <c r="E4108" s="3" t="inlineStr">
        <is>
          <t>Customer Control Account</t>
        </is>
      </c>
      <c r="F4108" s="3" t="n">
        <v>-2690400.95</v>
      </c>
      <c r="G4108" s="3" t="n">
        <v>-10539291.08</v>
      </c>
    </row>
    <row r="4109">
      <c r="A4109" s="3" t="inlineStr">
        <is>
          <t>Heron Fields (Pty) Ltd</t>
        </is>
      </c>
      <c r="B4109" s="4" t="n">
        <v>45169</v>
      </c>
      <c r="C4109" s="3" t="inlineStr">
        <is>
          <t>Assets</t>
        </is>
      </c>
      <c r="D4109" s="3" t="inlineStr">
        <is>
          <t>8000/000</t>
        </is>
      </c>
      <c r="E4109" s="3" t="inlineStr">
        <is>
          <t>Customer Control Account</t>
        </is>
      </c>
      <c r="F4109" s="3" t="n">
        <v>-67165</v>
      </c>
      <c r="G4109" s="3" t="n">
        <v>355606.61</v>
      </c>
    </row>
    <row r="4110">
      <c r="A4110" s="3" t="inlineStr">
        <is>
          <t>Heron Fields (Pty) Ltd</t>
        </is>
      </c>
      <c r="B4110" s="4" t="n">
        <v>45169</v>
      </c>
      <c r="C4110" s="3" t="inlineStr">
        <is>
          <t>Assets</t>
        </is>
      </c>
      <c r="D4110" s="3" t="inlineStr">
        <is>
          <t>8400/000</t>
        </is>
      </c>
      <c r="E4110" s="3" t="inlineStr">
        <is>
          <t>RMB - 62882379087</t>
        </is>
      </c>
      <c r="F4110" s="3" t="n">
        <v>899155.34</v>
      </c>
      <c r="G4110" s="3" t="n">
        <v>1802562.81</v>
      </c>
    </row>
    <row r="4111">
      <c r="A4111" s="3" t="inlineStr">
        <is>
          <t>Cape Projects Construction (Pty) Ltd</t>
        </is>
      </c>
      <c r="B4111" s="4" t="n">
        <v>45169</v>
      </c>
      <c r="C4111" s="3" t="inlineStr">
        <is>
          <t>Assets</t>
        </is>
      </c>
      <c r="D4111" s="3" t="inlineStr">
        <is>
          <t>8400/000</t>
        </is>
      </c>
      <c r="E4111" s="3" t="inlineStr">
        <is>
          <t>RMB 62275138470</t>
        </is>
      </c>
      <c r="F4111" s="3" t="n">
        <v>638416.21</v>
      </c>
      <c r="G4111" s="3" t="n">
        <v>744542.21</v>
      </c>
    </row>
    <row r="4112">
      <c r="A4112" s="3" t="inlineStr">
        <is>
          <t>Cape Projects Construction (Pty) Ltd</t>
        </is>
      </c>
      <c r="B4112" s="4" t="n">
        <v>45169</v>
      </c>
      <c r="C4112" s="3" t="inlineStr">
        <is>
          <t>Assets</t>
        </is>
      </c>
      <c r="D4112" s="3" t="inlineStr">
        <is>
          <t>8410/000</t>
        </is>
      </c>
      <c r="E4112" s="3" t="inlineStr">
        <is>
          <t>Petty Cash</t>
        </is>
      </c>
      <c r="F4112" s="3" t="n">
        <v>0</v>
      </c>
      <c r="G4112" s="3" t="n">
        <v>-1188</v>
      </c>
    </row>
    <row r="4113">
      <c r="A4113" s="3" t="inlineStr">
        <is>
          <t>Cape Projects Construction (Pty) Ltd</t>
        </is>
      </c>
      <c r="B4113" s="4" t="n">
        <v>45169</v>
      </c>
      <c r="C4113" s="3" t="inlineStr">
        <is>
          <t>Assets</t>
        </is>
      </c>
      <c r="D4113" s="3" t="inlineStr">
        <is>
          <t>8420/000</t>
        </is>
      </c>
      <c r="E4113" s="3" t="inlineStr">
        <is>
          <t>Momentum Priv Acc RU502230981</t>
        </is>
      </c>
      <c r="F4113" s="3" t="n">
        <v>4.04</v>
      </c>
      <c r="G4113" s="3" t="n">
        <v>563.41</v>
      </c>
    </row>
    <row r="4114">
      <c r="A4114" s="3" t="inlineStr">
        <is>
          <t>Heron Fields (Pty) Ltd</t>
        </is>
      </c>
      <c r="B4114" s="4" t="n">
        <v>45169</v>
      </c>
      <c r="C4114" s="3" t="inlineStr">
        <is>
          <t>Assets</t>
        </is>
      </c>
      <c r="D4114" s="3" t="inlineStr">
        <is>
          <t>8420/000</t>
        </is>
      </c>
      <c r="E4114" s="3" t="inlineStr">
        <is>
          <t>Petty Cash</t>
        </is>
      </c>
      <c r="F4114" s="3" t="n">
        <v>0</v>
      </c>
      <c r="G4114" s="3" t="n">
        <v>8620</v>
      </c>
    </row>
    <row r="4115">
      <c r="A4115" s="3" t="inlineStr">
        <is>
          <t>Heron Fields (Pty) Ltd</t>
        </is>
      </c>
      <c r="B4115" s="4" t="n">
        <v>45169</v>
      </c>
      <c r="C4115" s="3" t="inlineStr">
        <is>
          <t>Assets</t>
        </is>
      </c>
      <c r="D4115" s="3" t="inlineStr">
        <is>
          <t>8430/000</t>
        </is>
      </c>
      <c r="E4115" s="3" t="inlineStr">
        <is>
          <t>Momentum Private Account RU502230151</t>
        </is>
      </c>
      <c r="F4115" s="3" t="n">
        <v>0</v>
      </c>
      <c r="G4115" s="3" t="n">
        <v>848.4400000000001</v>
      </c>
    </row>
    <row r="4116">
      <c r="A4116" s="3" t="inlineStr">
        <is>
          <t>Heron Fields (Pty) Ltd</t>
        </is>
      </c>
      <c r="B4116" s="4" t="n">
        <v>45169</v>
      </c>
      <c r="C4116" s="3" t="inlineStr">
        <is>
          <t>Assets</t>
        </is>
      </c>
      <c r="D4116" s="3" t="inlineStr">
        <is>
          <t>8440/000</t>
        </is>
      </c>
      <c r="E4116" s="3" t="inlineStr">
        <is>
          <t>Momentum Investors Account RU502229930</t>
        </is>
      </c>
      <c r="F4116" s="3" t="n">
        <v>1395844.89</v>
      </c>
      <c r="G4116" s="3" t="n">
        <v>33595163.02</v>
      </c>
    </row>
    <row r="4117">
      <c r="A4117" s="3" t="inlineStr">
        <is>
          <t>Cape Projects Construction (Pty) Ltd</t>
        </is>
      </c>
      <c r="B4117" s="4" t="n">
        <v>45169</v>
      </c>
      <c r="C4117" s="3" t="inlineStr">
        <is>
          <t>Liabilities</t>
        </is>
      </c>
      <c r="D4117" s="3" t="inlineStr">
        <is>
          <t>860</t>
        </is>
      </c>
      <c r="E4117" s="3" t="inlineStr">
        <is>
          <t>Rounding</t>
        </is>
      </c>
      <c r="F4117" s="3" t="n">
        <v>-0.04</v>
      </c>
      <c r="G4117" s="3" t="n">
        <v>-29.02</v>
      </c>
    </row>
    <row r="4118">
      <c r="A4118" s="3" t="inlineStr">
        <is>
          <t>Heron Fields (Pty) Ltd</t>
        </is>
      </c>
      <c r="B4118" s="4" t="n">
        <v>45169</v>
      </c>
      <c r="C4118" s="3" t="inlineStr">
        <is>
          <t>Liabilities</t>
        </is>
      </c>
      <c r="D4118" s="3" t="inlineStr">
        <is>
          <t>860</t>
        </is>
      </c>
      <c r="E4118" s="3" t="inlineStr">
        <is>
          <t>Rounding</t>
        </is>
      </c>
      <c r="F4118" s="3" t="n">
        <v>0</v>
      </c>
      <c r="G4118" s="3" t="n">
        <v>0.13</v>
      </c>
    </row>
    <row r="4119">
      <c r="A4119" s="3" t="inlineStr">
        <is>
          <t>Cape Projects Construction (Pty) Ltd</t>
        </is>
      </c>
      <c r="B4119" s="4" t="n">
        <v>45169</v>
      </c>
      <c r="C4119" s="3" t="inlineStr">
        <is>
          <t>Liabilities</t>
        </is>
      </c>
      <c r="D4119" s="3" t="inlineStr">
        <is>
          <t>9000/000</t>
        </is>
      </c>
      <c r="E4119" s="3" t="inlineStr">
        <is>
          <t>Supplier Control Account</t>
        </is>
      </c>
      <c r="F4119" s="3" t="n">
        <v>601936.16</v>
      </c>
      <c r="G4119" s="3" t="n">
        <v>-722092.8</v>
      </c>
    </row>
    <row r="4120">
      <c r="A4120" s="3" t="inlineStr">
        <is>
          <t>Heron Fields (Pty) Ltd</t>
        </is>
      </c>
      <c r="B4120" s="4" t="n">
        <v>45169</v>
      </c>
      <c r="C4120" s="3" t="inlineStr">
        <is>
          <t>Liabilities</t>
        </is>
      </c>
      <c r="D4120" s="3" t="inlineStr">
        <is>
          <t>9000/000</t>
        </is>
      </c>
      <c r="E4120" s="3" t="inlineStr">
        <is>
          <t>Supplier Control Account</t>
        </is>
      </c>
      <c r="F4120" s="3" t="n">
        <v>-4023886.55</v>
      </c>
      <c r="G4120" s="3" t="n">
        <v>-145827705.17</v>
      </c>
    </row>
    <row r="4121">
      <c r="A4121" s="3" t="inlineStr">
        <is>
          <t>Heron View (Pty) Ltd</t>
        </is>
      </c>
      <c r="B4121" s="4" t="n">
        <v>45169</v>
      </c>
      <c r="C4121" s="3" t="inlineStr">
        <is>
          <t>Liabilities</t>
        </is>
      </c>
      <c r="D4121" s="3" t="inlineStr">
        <is>
          <t>9000/000</t>
        </is>
      </c>
      <c r="E4121" s="3" t="inlineStr">
        <is>
          <t>Supplier Control Account</t>
        </is>
      </c>
      <c r="F4121" s="3" t="n">
        <v>4642885.22</v>
      </c>
      <c r="G4121" s="3" t="n">
        <v>9094435.59</v>
      </c>
    </row>
    <row r="4122">
      <c r="A4122" s="3" t="inlineStr">
        <is>
          <t>Cape Projects Construction (Pty) Ltd</t>
        </is>
      </c>
      <c r="B4122" s="4" t="n">
        <v>45169</v>
      </c>
      <c r="C4122" s="3" t="inlineStr">
        <is>
          <t>Liabilities</t>
        </is>
      </c>
      <c r="D4122" s="3" t="inlineStr">
        <is>
          <t>9200/000</t>
        </is>
      </c>
      <c r="E4122" s="3" t="inlineStr">
        <is>
          <t>Sundry Suppliers</t>
        </is>
      </c>
      <c r="F4122" s="3" t="n">
        <v>0</v>
      </c>
      <c r="G4122" s="3" t="n">
        <v>1309</v>
      </c>
    </row>
    <row r="4123">
      <c r="A4123" s="3" t="inlineStr">
        <is>
          <t>Cape Projects Construction (Pty) Ltd</t>
        </is>
      </c>
      <c r="B4123" s="4" t="n">
        <v>45169</v>
      </c>
      <c r="C4123" s="3" t="inlineStr">
        <is>
          <t>Liabilities</t>
        </is>
      </c>
      <c r="D4123" s="3" t="inlineStr">
        <is>
          <t>9250/010</t>
        </is>
      </c>
      <c r="E4123" s="3" t="inlineStr">
        <is>
          <t>SALARY CONTROL</t>
        </is>
      </c>
      <c r="F4123" s="3" t="n">
        <v>-0.01</v>
      </c>
      <c r="G4123" s="3" t="n">
        <v>-0.01</v>
      </c>
    </row>
    <row r="4124">
      <c r="A4124" s="3" t="inlineStr">
        <is>
          <t>Cape Projects Construction (Pty) Ltd</t>
        </is>
      </c>
      <c r="B4124" s="4" t="n">
        <v>45169</v>
      </c>
      <c r="C4124" s="3" t="inlineStr">
        <is>
          <t>Liabilities</t>
        </is>
      </c>
      <c r="D4124" s="3" t="inlineStr">
        <is>
          <t>9250/020</t>
        </is>
      </c>
      <c r="E4124" s="3" t="inlineStr">
        <is>
          <t>PAYE, UIF AND SDL CONTROL</t>
        </is>
      </c>
      <c r="F4124" s="3" t="n">
        <v>1082.9</v>
      </c>
      <c r="G4124" s="3" t="n">
        <v>-90952.66</v>
      </c>
    </row>
    <row r="4125">
      <c r="A4125" s="3" t="inlineStr">
        <is>
          <t>Cape Projects Construction (Pty) Ltd</t>
        </is>
      </c>
      <c r="B4125" s="4" t="n">
        <v>45169</v>
      </c>
      <c r="C4125" s="3" t="inlineStr">
        <is>
          <t>Liabilities</t>
        </is>
      </c>
      <c r="D4125" s="3" t="inlineStr">
        <is>
          <t>9250/030</t>
        </is>
      </c>
      <c r="E4125" s="3" t="inlineStr">
        <is>
          <t>BIBC CONTROL</t>
        </is>
      </c>
      <c r="F4125" s="3" t="n">
        <v>0</v>
      </c>
      <c r="G4125" s="3" t="n">
        <v>-49413.95</v>
      </c>
    </row>
    <row r="4126">
      <c r="A4126" s="3" t="inlineStr">
        <is>
          <t>Cape Projects Construction (Pty) Ltd</t>
        </is>
      </c>
      <c r="B4126" s="4" t="n">
        <v>45169</v>
      </c>
      <c r="C4126" s="3" t="inlineStr">
        <is>
          <t>Liabilities</t>
        </is>
      </c>
      <c r="D4126" s="3" t="inlineStr">
        <is>
          <t>9500/000</t>
        </is>
      </c>
      <c r="E4126" s="3" t="inlineStr">
        <is>
          <t>VAT Control Account</t>
        </is>
      </c>
      <c r="F4126" s="3" t="n">
        <v>160517.17</v>
      </c>
      <c r="G4126" s="3" t="n">
        <v>50784.22</v>
      </c>
    </row>
    <row r="4127">
      <c r="A4127" s="3" t="inlineStr">
        <is>
          <t>Heron Fields (Pty) Ltd</t>
        </is>
      </c>
      <c r="B4127" s="4" t="n">
        <v>45169</v>
      </c>
      <c r="C4127" s="3" t="inlineStr">
        <is>
          <t>Liabilities</t>
        </is>
      </c>
      <c r="D4127" s="3" t="inlineStr">
        <is>
          <t>9500/000</t>
        </is>
      </c>
      <c r="E4127" s="3" t="inlineStr">
        <is>
          <t>Vat / Tax Control Account</t>
        </is>
      </c>
      <c r="F4127" s="3" t="n">
        <v>73350.60000000001</v>
      </c>
      <c r="G4127" s="3" t="n">
        <v>-3947009.89</v>
      </c>
    </row>
    <row r="4128">
      <c r="A4128" s="3" t="inlineStr">
        <is>
          <t>Heron View (Pty) Ltd</t>
        </is>
      </c>
      <c r="B4128" s="4" t="n">
        <v>45169</v>
      </c>
      <c r="C4128" s="3" t="inlineStr">
        <is>
          <t>Liabilities</t>
        </is>
      </c>
      <c r="D4128" s="3" t="inlineStr">
        <is>
          <t>9500/000</t>
        </is>
      </c>
      <c r="E4128" s="3" t="inlineStr">
        <is>
          <t>Vat / Tax Control Account</t>
        </is>
      </c>
      <c r="F4128" s="3" t="n">
        <v>-763529.6</v>
      </c>
      <c r="G4128" s="3" t="n">
        <v>4454975.87</v>
      </c>
    </row>
    <row r="4129">
      <c r="A4129" s="3" t="inlineStr">
        <is>
          <t>Heron Fields (Pty) Ltd</t>
        </is>
      </c>
      <c r="B4129" s="4" t="n">
        <v>45169</v>
      </c>
      <c r="C4129" s="3" t="inlineStr">
        <is>
          <t>Liabilities</t>
        </is>
      </c>
      <c r="D4129" s="3" t="inlineStr">
        <is>
          <t>9520/000</t>
        </is>
      </c>
      <c r="E4129" s="3" t="inlineStr">
        <is>
          <t>Income Tax Payable</t>
        </is>
      </c>
      <c r="F4129" s="3" t="n">
        <v>0</v>
      </c>
      <c r="G4129" s="3" t="n">
        <v>59039.93</v>
      </c>
    </row>
    <row r="4130">
      <c r="A4130" s="3" t="inlineStr">
        <is>
          <t>Heron Fields (Pty) Ltd</t>
        </is>
      </c>
      <c r="B4130" s="4" t="n">
        <v>45169</v>
      </c>
      <c r="C4130" s="3" t="inlineStr">
        <is>
          <t>Liabilities</t>
        </is>
      </c>
      <c r="D4130" s="3" t="inlineStr">
        <is>
          <t>9899/B214</t>
        </is>
      </c>
      <c r="E4130" s="3" t="inlineStr">
        <is>
          <t>Sales - Unit Reg Control B214</t>
        </is>
      </c>
      <c r="F4130" s="3" t="n">
        <v>-71995</v>
      </c>
      <c r="G4130" s="3" t="n">
        <v>0</v>
      </c>
    </row>
    <row r="4131">
      <c r="A4131" s="3" t="inlineStr">
        <is>
          <t>Heron View (Pty) Ltd</t>
        </is>
      </c>
      <c r="B4131" s="4" t="n">
        <v>45169</v>
      </c>
      <c r="C4131" s="3" t="inlineStr">
        <is>
          <t>Liabilities</t>
        </is>
      </c>
      <c r="D4131" s="3" t="inlineStr">
        <is>
          <t>9899/C102</t>
        </is>
      </c>
      <c r="E4131" s="3" t="inlineStr">
        <is>
          <t>Sales - Unit Reg Control C102</t>
        </is>
      </c>
      <c r="F4131" s="3" t="n">
        <v>-0.4</v>
      </c>
      <c r="G4131" s="3" t="n">
        <v>-0.4</v>
      </c>
    </row>
    <row r="4132">
      <c r="A4132" s="3" t="inlineStr">
        <is>
          <t>Cape Projects Construction (Pty) Ltd</t>
        </is>
      </c>
      <c r="B4132" s="4" t="n">
        <v>45169</v>
      </c>
      <c r="C4132" s="3" t="inlineStr">
        <is>
          <t>Liabilities</t>
        </is>
      </c>
      <c r="D4132" s="3" t="inlineStr">
        <is>
          <t>B/S</t>
        </is>
      </c>
      <c r="E4132" s="3" t="inlineStr">
        <is>
          <t>Taxation Payable</t>
        </is>
      </c>
      <c r="F4132" s="3" t="n">
        <v>0</v>
      </c>
      <c r="G4132" s="3" t="n">
        <v>1869.8</v>
      </c>
    </row>
    <row r="4133">
      <c r="A4133" s="3" t="inlineStr">
        <is>
          <t>Cape Projects Construction (Pty) Ltd</t>
        </is>
      </c>
      <c r="B4133" s="4" t="n">
        <v>45169</v>
      </c>
      <c r="C4133" s="3" t="inlineStr">
        <is>
          <t>Liabilities</t>
        </is>
      </c>
      <c r="D4133" s="3" t="inlineStr">
        <is>
          <t>TEMP/ACC</t>
        </is>
      </c>
      <c r="E4133" s="3" t="inlineStr">
        <is>
          <t>Conversion Account</t>
        </is>
      </c>
      <c r="F4133" s="3" t="n">
        <v>0</v>
      </c>
      <c r="G4133" s="3" t="n">
        <v>-254.99</v>
      </c>
    </row>
    <row r="4134">
      <c r="A4134" s="3" t="inlineStr">
        <is>
          <t>Heron Fields (Pty) Ltd</t>
        </is>
      </c>
      <c r="B4134" s="4" t="n">
        <v>45199</v>
      </c>
      <c r="C4134" s="3" t="inlineStr">
        <is>
          <t>Revenue</t>
        </is>
      </c>
      <c r="D4134" s="3" t="inlineStr">
        <is>
          <t>1000/100</t>
        </is>
      </c>
      <c r="E4134" s="3" t="inlineStr">
        <is>
          <t>Sales - Heron Fields</t>
        </is>
      </c>
      <c r="F4134" s="3" t="n">
        <v>0</v>
      </c>
      <c r="G4134" s="3" t="n">
        <v>-26852956.53</v>
      </c>
    </row>
    <row r="4135">
      <c r="A4135" s="3" t="inlineStr">
        <is>
          <t>Heron View (Pty) Ltd</t>
        </is>
      </c>
      <c r="B4135" s="4" t="n">
        <v>45199</v>
      </c>
      <c r="C4135" s="3" t="inlineStr">
        <is>
          <t>Revenue</t>
        </is>
      </c>
      <c r="D4135" s="3" t="inlineStr">
        <is>
          <t>1000/100</t>
        </is>
      </c>
      <c r="E4135" s="3" t="inlineStr">
        <is>
          <t>Sales - Heron View Sales</t>
        </is>
      </c>
      <c r="F4135" s="3" t="n">
        <v>-13012260.88</v>
      </c>
      <c r="G4135" s="3" t="n">
        <v>-19833565.24</v>
      </c>
    </row>
    <row r="4136">
      <c r="A4136" s="3" t="inlineStr">
        <is>
          <t>Heron Fields (Pty) Ltd</t>
        </is>
      </c>
      <c r="B4136" s="4" t="n">
        <v>45199</v>
      </c>
      <c r="C4136" s="3" t="inlineStr">
        <is>
          <t>Revenue</t>
        </is>
      </c>
      <c r="D4136" s="3" t="inlineStr">
        <is>
          <t>1000/101</t>
        </is>
      </c>
      <c r="E4136" s="3" t="inlineStr">
        <is>
          <t>Sales - Heron Fields occupational rent</t>
        </is>
      </c>
      <c r="F4136" s="3" t="n">
        <v>0</v>
      </c>
      <c r="G4136" s="3" t="n">
        <v>-102388.85</v>
      </c>
    </row>
    <row r="4137">
      <c r="A4137" s="3" t="inlineStr">
        <is>
          <t>Heron View (Pty) Ltd</t>
        </is>
      </c>
      <c r="B4137" s="4" t="n">
        <v>45199</v>
      </c>
      <c r="C4137" s="3" t="inlineStr">
        <is>
          <t>Revenue</t>
        </is>
      </c>
      <c r="D4137" s="3" t="inlineStr">
        <is>
          <t>1000/101</t>
        </is>
      </c>
      <c r="E4137" s="3" t="inlineStr">
        <is>
          <t>Sales - Heron View Occupational Rent</t>
        </is>
      </c>
      <c r="F4137" s="3" t="n">
        <v>-61019.35</v>
      </c>
      <c r="G4137" s="3" t="n">
        <v>-78825.8</v>
      </c>
    </row>
    <row r="4138">
      <c r="A4138" s="3" t="inlineStr">
        <is>
          <t>Cape Projects Construction (Pty) Ltd</t>
        </is>
      </c>
      <c r="B4138" s="4" t="n">
        <v>45199</v>
      </c>
      <c r="C4138" s="3" t="inlineStr">
        <is>
          <t>Revenue</t>
        </is>
      </c>
      <c r="D4138" s="3" t="inlineStr">
        <is>
          <t>1040/100</t>
        </is>
      </c>
      <c r="E4138" s="3" t="inlineStr">
        <is>
          <t>Fees - Construction - Heron</t>
        </is>
      </c>
      <c r="F4138" s="3" t="n">
        <v>-4967306.73</v>
      </c>
      <c r="G4138" s="3" t="n">
        <v>-28400206.47</v>
      </c>
    </row>
    <row r="4139">
      <c r="A4139" s="3" t="inlineStr">
        <is>
          <t>Cape Projects Construction (Pty) Ltd</t>
        </is>
      </c>
      <c r="B4139" s="4" t="n">
        <v>45199</v>
      </c>
      <c r="C4139" s="3" t="inlineStr">
        <is>
          <t>Revenue</t>
        </is>
      </c>
      <c r="D4139" s="3" t="inlineStr">
        <is>
          <t>1070/000</t>
        </is>
      </c>
      <c r="E4139" s="3" t="inlineStr">
        <is>
          <t>Rent - CT Office</t>
        </is>
      </c>
      <c r="F4139" s="3" t="n">
        <v>0</v>
      </c>
      <c r="G4139" s="3" t="n">
        <v>3490.94</v>
      </c>
    </row>
    <row r="4140">
      <c r="A4140" s="3" t="inlineStr">
        <is>
          <t>Heron Fields (Pty) Ltd</t>
        </is>
      </c>
      <c r="B4140" s="4" t="n">
        <v>45199</v>
      </c>
      <c r="C4140" s="3" t="inlineStr">
        <is>
          <t>Revenue</t>
        </is>
      </c>
      <c r="D4140" s="3" t="inlineStr">
        <is>
          <t>1500/002</t>
        </is>
      </c>
      <c r="E4140" s="3" t="inlineStr">
        <is>
          <t>Rental Income</t>
        </is>
      </c>
      <c r="F4140" s="3" t="n">
        <v>-14500</v>
      </c>
      <c r="G4140" s="3" t="n">
        <v>-82491.94</v>
      </c>
    </row>
    <row r="4141">
      <c r="A4141" s="3" t="inlineStr">
        <is>
          <t>Heron Fields (Pty) Ltd</t>
        </is>
      </c>
      <c r="B4141" s="4" t="n">
        <v>45199</v>
      </c>
      <c r="C4141" s="3" t="inlineStr">
        <is>
          <t>Expenses</t>
        </is>
      </c>
      <c r="D4141" s="3" t="inlineStr">
        <is>
          <t>2000/011</t>
        </is>
      </c>
      <c r="E4141" s="3" t="inlineStr">
        <is>
          <t>COS - Heron View Showhouse</t>
        </is>
      </c>
      <c r="F4141" s="3" t="n">
        <v>0</v>
      </c>
      <c r="G4141" s="3" t="n">
        <v>45300.43</v>
      </c>
    </row>
    <row r="4142">
      <c r="A4142" s="3" t="inlineStr">
        <is>
          <t>Heron View (Pty) Ltd</t>
        </is>
      </c>
      <c r="B4142" s="4" t="n">
        <v>45199</v>
      </c>
      <c r="C4142" s="3" t="inlineStr">
        <is>
          <t>Expenses</t>
        </is>
      </c>
      <c r="D4142" s="3" t="inlineStr">
        <is>
          <t>2000/030</t>
        </is>
      </c>
      <c r="E4142" s="3" t="inlineStr">
        <is>
          <t>COS - HV COCT Rates clearance</t>
        </is>
      </c>
      <c r="F4142" s="3" t="n">
        <v>0</v>
      </c>
      <c r="G4142" s="3" t="n">
        <v>237142.94</v>
      </c>
    </row>
    <row r="4143">
      <c r="A4143" s="3" t="inlineStr">
        <is>
          <t>Heron Fields (Pty) Ltd</t>
        </is>
      </c>
      <c r="B4143" s="4" t="n">
        <v>45199</v>
      </c>
      <c r="C4143" s="3" t="inlineStr">
        <is>
          <t>Expenses</t>
        </is>
      </c>
      <c r="D4143" s="3" t="inlineStr">
        <is>
          <t>2000/040</t>
        </is>
      </c>
      <c r="E4143" s="3" t="inlineStr">
        <is>
          <t>COS - Legal Fees</t>
        </is>
      </c>
      <c r="F4143" s="3" t="n">
        <v>0</v>
      </c>
      <c r="G4143" s="3" t="n">
        <v>648956.64</v>
      </c>
    </row>
    <row r="4144">
      <c r="A4144" s="3" t="inlineStr">
        <is>
          <t>Heron View (Pty) Ltd</t>
        </is>
      </c>
      <c r="B4144" s="4" t="n">
        <v>45199</v>
      </c>
      <c r="C4144" s="3" t="inlineStr">
        <is>
          <t>Expenses</t>
        </is>
      </c>
      <c r="D4144" s="3" t="inlineStr">
        <is>
          <t>2000/040</t>
        </is>
      </c>
      <c r="E4144" s="3" t="inlineStr">
        <is>
          <t>COS - Legal Fees</t>
        </is>
      </c>
      <c r="F4144" s="3" t="n">
        <v>316983.01</v>
      </c>
      <c r="G4144" s="3" t="n">
        <v>451248.55</v>
      </c>
    </row>
    <row r="4145">
      <c r="A4145" s="3" t="inlineStr">
        <is>
          <t>Heron View (Pty) Ltd</t>
        </is>
      </c>
      <c r="B4145" s="4" t="n">
        <v>45199</v>
      </c>
      <c r="C4145" s="3" t="inlineStr">
        <is>
          <t>Expenses</t>
        </is>
      </c>
      <c r="D4145" s="3" t="inlineStr">
        <is>
          <t>2000/041</t>
        </is>
      </c>
      <c r="E4145" s="3" t="inlineStr">
        <is>
          <t>COS - Legal Fees Opening of Sec Title Fees</t>
        </is>
      </c>
      <c r="F4145" s="3" t="n">
        <v>16847</v>
      </c>
      <c r="G4145" s="3" t="n">
        <v>61556.94</v>
      </c>
    </row>
    <row r="4146">
      <c r="A4146" s="3" t="inlineStr">
        <is>
          <t>Heron Fields (Pty) Ltd</t>
        </is>
      </c>
      <c r="B4146" s="4" t="n">
        <v>45199</v>
      </c>
      <c r="C4146" s="3" t="inlineStr">
        <is>
          <t>Expenses</t>
        </is>
      </c>
      <c r="D4146" s="3" t="inlineStr">
        <is>
          <t>2000/050</t>
        </is>
      </c>
      <c r="E4146" s="3" t="inlineStr">
        <is>
          <t>COS - Rates clearance</t>
        </is>
      </c>
      <c r="F4146" s="3" t="n">
        <v>0</v>
      </c>
      <c r="G4146" s="3" t="n">
        <v>25345.12</v>
      </c>
    </row>
    <row r="4147">
      <c r="A4147" s="3" t="inlineStr">
        <is>
          <t>Heron Fields (Pty) Ltd</t>
        </is>
      </c>
      <c r="B4147" s="4" t="n">
        <v>45199</v>
      </c>
      <c r="C4147" s="3" t="inlineStr">
        <is>
          <t>Expenses</t>
        </is>
      </c>
      <c r="D4147" s="3" t="inlineStr">
        <is>
          <t>2000/060</t>
        </is>
      </c>
      <c r="E4147" s="3" t="inlineStr">
        <is>
          <t>COS - Levies</t>
        </is>
      </c>
      <c r="F4147" s="3" t="n">
        <v>209891.04</v>
      </c>
      <c r="G4147" s="3" t="n">
        <v>381069.48</v>
      </c>
    </row>
    <row r="4148">
      <c r="A4148" s="3" t="inlineStr">
        <is>
          <t>Heron Fields (Pty) Ltd</t>
        </is>
      </c>
      <c r="B4148" s="4" t="n">
        <v>45199</v>
      </c>
      <c r="C4148" s="3" t="inlineStr">
        <is>
          <t>Expenses</t>
        </is>
      </c>
      <c r="D4148" s="3" t="inlineStr">
        <is>
          <t>2000/070</t>
        </is>
      </c>
      <c r="E4148" s="3" t="inlineStr">
        <is>
          <t>COS - Commission HF Units</t>
        </is>
      </c>
      <c r="F4148" s="3" t="n">
        <v>0</v>
      </c>
      <c r="G4148" s="3" t="n">
        <v>1343517.4</v>
      </c>
    </row>
    <row r="4149">
      <c r="A4149" s="3" t="inlineStr">
        <is>
          <t>Heron View (Pty) Ltd</t>
        </is>
      </c>
      <c r="B4149" s="4" t="n">
        <v>45199</v>
      </c>
      <c r="C4149" s="3" t="inlineStr">
        <is>
          <t>Expenses</t>
        </is>
      </c>
      <c r="D4149" s="3" t="inlineStr">
        <is>
          <t>2000/070</t>
        </is>
      </c>
      <c r="E4149" s="3" t="inlineStr">
        <is>
          <t>COS - Commission HV Units</t>
        </is>
      </c>
      <c r="F4149" s="3" t="n">
        <v>650395.63</v>
      </c>
      <c r="G4149" s="3" t="n">
        <v>993852.14</v>
      </c>
    </row>
    <row r="4150">
      <c r="A4150" s="3" t="inlineStr">
        <is>
          <t>Heron Fields (Pty) Ltd</t>
        </is>
      </c>
      <c r="B4150" s="4" t="n">
        <v>45199</v>
      </c>
      <c r="C4150" s="3" t="inlineStr">
        <is>
          <t>Expenses</t>
        </is>
      </c>
      <c r="D4150" s="3" t="inlineStr">
        <is>
          <t>2000/080</t>
        </is>
      </c>
      <c r="E4150" s="3" t="inlineStr">
        <is>
          <t>COS - Showhouse - HF</t>
        </is>
      </c>
      <c r="F4150" s="3" t="n">
        <v>0</v>
      </c>
      <c r="G4150" s="3" t="n">
        <v>1005.47</v>
      </c>
    </row>
    <row r="4151">
      <c r="A4151" s="3" t="inlineStr">
        <is>
          <t>Heron View (Pty) Ltd</t>
        </is>
      </c>
      <c r="B4151" s="4" t="n">
        <v>45199</v>
      </c>
      <c r="C4151" s="3" t="inlineStr">
        <is>
          <t>Expenses</t>
        </is>
      </c>
      <c r="D4151" s="3" t="inlineStr">
        <is>
          <t>2000/080</t>
        </is>
      </c>
      <c r="E4151" s="3" t="inlineStr">
        <is>
          <t>COS - Showhouse - HV</t>
        </is>
      </c>
      <c r="F4151" s="3" t="n">
        <v>0</v>
      </c>
      <c r="G4151" s="3" t="n">
        <v>6212.85</v>
      </c>
    </row>
    <row r="4152">
      <c r="A4152" s="3" t="inlineStr">
        <is>
          <t>Heron Fields (Pty) Ltd</t>
        </is>
      </c>
      <c r="B4152" s="4" t="n">
        <v>45199</v>
      </c>
      <c r="C4152" s="3" t="inlineStr">
        <is>
          <t>Expenses</t>
        </is>
      </c>
      <c r="D4152" s="3" t="inlineStr">
        <is>
          <t>2000/090</t>
        </is>
      </c>
      <c r="E4152" s="3" t="inlineStr">
        <is>
          <t>COS - Electricity</t>
        </is>
      </c>
      <c r="F4152" s="3" t="n">
        <v>0</v>
      </c>
      <c r="G4152" s="3" t="n">
        <v>250</v>
      </c>
    </row>
    <row r="4153">
      <c r="A4153" s="3" t="inlineStr">
        <is>
          <t>Heron View (Pty) Ltd</t>
        </is>
      </c>
      <c r="B4153" s="4" t="n">
        <v>45199</v>
      </c>
      <c r="C4153" s="3" t="inlineStr">
        <is>
          <t>Expenses</t>
        </is>
      </c>
      <c r="D4153" s="3" t="inlineStr">
        <is>
          <t>2000/090</t>
        </is>
      </c>
      <c r="E4153" s="3" t="inlineStr">
        <is>
          <t>COS - Electricity</t>
        </is>
      </c>
      <c r="F4153" s="3" t="n">
        <v>100</v>
      </c>
      <c r="G4153" s="3" t="n">
        <v>100</v>
      </c>
    </row>
    <row r="4154">
      <c r="A4154" s="3" t="inlineStr">
        <is>
          <t>Heron Fields (Pty) Ltd</t>
        </is>
      </c>
      <c r="B4154" s="4" t="n">
        <v>45199</v>
      </c>
      <c r="C4154" s="3" t="inlineStr">
        <is>
          <t>Expenses</t>
        </is>
      </c>
      <c r="D4154" s="3" t="inlineStr">
        <is>
          <t>2000/100</t>
        </is>
      </c>
      <c r="E4154" s="3" t="inlineStr">
        <is>
          <t>COS - Inverters</t>
        </is>
      </c>
      <c r="F4154" s="3" t="n">
        <v>0</v>
      </c>
      <c r="G4154" s="3" t="n">
        <v>31600</v>
      </c>
    </row>
    <row r="4155">
      <c r="A4155" s="3" t="inlineStr">
        <is>
          <t>Cape Projects Construction (Pty) Ltd</t>
        </is>
      </c>
      <c r="B4155" s="4" t="n">
        <v>45199</v>
      </c>
      <c r="C4155" s="3" t="inlineStr">
        <is>
          <t>Expenses</t>
        </is>
      </c>
      <c r="D4155" s="3" t="inlineStr">
        <is>
          <t>2000/500</t>
        </is>
      </c>
      <c r="E4155" s="3" t="inlineStr">
        <is>
          <t>COS - Electricity Cost Endulini</t>
        </is>
      </c>
      <c r="F4155" s="3" t="n">
        <v>0</v>
      </c>
      <c r="G4155" s="3" t="n">
        <v>286.96</v>
      </c>
    </row>
    <row r="4156">
      <c r="A4156" s="3" t="inlineStr">
        <is>
          <t>Cape Projects Construction (Pty) Ltd</t>
        </is>
      </c>
      <c r="B4156" s="4" t="n">
        <v>45199</v>
      </c>
      <c r="C4156" s="3" t="inlineStr">
        <is>
          <t>Expenses</t>
        </is>
      </c>
      <c r="D4156" s="3" t="inlineStr">
        <is>
          <t>2000/501</t>
        </is>
      </c>
      <c r="E4156" s="3" t="inlineStr">
        <is>
          <t>COS - Electricity Cost Heron Field</t>
        </is>
      </c>
      <c r="F4156" s="3" t="n">
        <v>0</v>
      </c>
      <c r="G4156" s="3" t="n">
        <v>86.95999999999999</v>
      </c>
    </row>
    <row r="4157">
      <c r="A4157" s="3" t="inlineStr">
        <is>
          <t>Cape Projects Construction (Pty) Ltd</t>
        </is>
      </c>
      <c r="B4157" s="4" t="n">
        <v>45199</v>
      </c>
      <c r="C4157" s="3" t="inlineStr">
        <is>
          <t>Expenses</t>
        </is>
      </c>
      <c r="D4157" s="3" t="inlineStr">
        <is>
          <t>2001/000</t>
        </is>
      </c>
      <c r="E4157" s="3" t="inlineStr">
        <is>
          <t>Cost of Sales - SouthWark Project</t>
        </is>
      </c>
      <c r="F4157" s="3" t="n">
        <v>7197</v>
      </c>
      <c r="G4157" s="3" t="n">
        <v>30620.97</v>
      </c>
    </row>
    <row r="4158">
      <c r="A4158" s="3" t="inlineStr">
        <is>
          <t>Cape Projects Construction (Pty) Ltd</t>
        </is>
      </c>
      <c r="B4158" s="4" t="n">
        <v>45199</v>
      </c>
      <c r="C4158" s="3" t="inlineStr">
        <is>
          <t>Expenses</t>
        </is>
      </c>
      <c r="D4158" s="3" t="inlineStr">
        <is>
          <t>2002/250</t>
        </is>
      </c>
      <c r="E4158" s="3" t="inlineStr">
        <is>
          <t>COS - Security</t>
        </is>
      </c>
      <c r="F4158" s="3" t="n">
        <v>0</v>
      </c>
      <c r="G4158" s="3" t="n">
        <v>10516.44</v>
      </c>
    </row>
    <row r="4159">
      <c r="A4159" s="3" t="inlineStr">
        <is>
          <t>Cape Projects Construction (Pty) Ltd</t>
        </is>
      </c>
      <c r="B4159" s="4" t="n">
        <v>45199</v>
      </c>
      <c r="C4159" s="3" t="inlineStr">
        <is>
          <t>Expenses</t>
        </is>
      </c>
      <c r="D4159" s="3" t="inlineStr">
        <is>
          <t>2002/252</t>
        </is>
      </c>
      <c r="E4159" s="3" t="inlineStr">
        <is>
          <t>COS - Security - Guarding</t>
        </is>
      </c>
      <c r="F4159" s="3" t="n">
        <v>16000</v>
      </c>
      <c r="G4159" s="3" t="n">
        <v>57620.91</v>
      </c>
    </row>
    <row r="4160">
      <c r="A4160" s="3" t="inlineStr">
        <is>
          <t>Cape Projects Construction (Pty) Ltd</t>
        </is>
      </c>
      <c r="B4160" s="4" t="n">
        <v>45199</v>
      </c>
      <c r="C4160" s="3" t="inlineStr">
        <is>
          <t>Expenses</t>
        </is>
      </c>
      <c r="D4160" s="3" t="inlineStr">
        <is>
          <t>2006/000</t>
        </is>
      </c>
      <c r="E4160" s="3" t="inlineStr">
        <is>
          <t>COS - Endulini Construction</t>
        </is>
      </c>
      <c r="F4160" s="3" t="n">
        <v>5415.27</v>
      </c>
      <c r="G4160" s="3" t="n">
        <v>260475.4</v>
      </c>
    </row>
    <row r="4161">
      <c r="A4161" s="3" t="inlineStr">
        <is>
          <t>Cape Projects Construction (Pty) Ltd</t>
        </is>
      </c>
      <c r="B4161" s="4" t="n">
        <v>45199</v>
      </c>
      <c r="C4161" s="3" t="inlineStr">
        <is>
          <t>Expenses</t>
        </is>
      </c>
      <c r="D4161" s="3" t="inlineStr">
        <is>
          <t>2006/100</t>
        </is>
      </c>
      <c r="E4161" s="3" t="inlineStr">
        <is>
          <t>COS - Endulini P and G</t>
        </is>
      </c>
      <c r="F4161" s="3" t="n">
        <v>1175.65</v>
      </c>
      <c r="G4161" s="3" t="n">
        <v>149979.24</v>
      </c>
    </row>
    <row r="4162">
      <c r="A4162" s="3" t="inlineStr">
        <is>
          <t>Cape Projects Construction (Pty) Ltd</t>
        </is>
      </c>
      <c r="B4162" s="4" t="n">
        <v>45199</v>
      </c>
      <c r="C4162" s="3" t="inlineStr">
        <is>
          <t>Expenses</t>
        </is>
      </c>
      <c r="D4162" s="3" t="inlineStr">
        <is>
          <t>2006/200</t>
        </is>
      </c>
      <c r="E4162" s="3" t="inlineStr">
        <is>
          <t>COS - Insurance</t>
        </is>
      </c>
      <c r="F4162" s="3" t="n">
        <v>37693.12</v>
      </c>
      <c r="G4162" s="3" t="n">
        <v>19969.43</v>
      </c>
    </row>
    <row r="4163">
      <c r="A4163" s="3" t="inlineStr">
        <is>
          <t>Cape Projects Construction (Pty) Ltd</t>
        </is>
      </c>
      <c r="B4163" s="4" t="n">
        <v>45199</v>
      </c>
      <c r="C4163" s="3" t="inlineStr">
        <is>
          <t>Expenses</t>
        </is>
      </c>
      <c r="D4163" s="3" t="inlineStr">
        <is>
          <t>2006/450</t>
        </is>
      </c>
      <c r="E4163" s="3" t="inlineStr">
        <is>
          <t>COS - Endulini - Computer expenses</t>
        </is>
      </c>
      <c r="F4163" s="3" t="n">
        <v>0</v>
      </c>
      <c r="G4163" s="3" t="n">
        <v>26340.75</v>
      </c>
    </row>
    <row r="4164">
      <c r="A4164" s="3" t="inlineStr">
        <is>
          <t>Cape Projects Construction (Pty) Ltd</t>
        </is>
      </c>
      <c r="B4164" s="4" t="n">
        <v>45199</v>
      </c>
      <c r="C4164" s="3" t="inlineStr">
        <is>
          <t>Expenses</t>
        </is>
      </c>
      <c r="D4164" s="3" t="inlineStr">
        <is>
          <t>2006/800</t>
        </is>
      </c>
      <c r="E4164" s="3" t="inlineStr">
        <is>
          <t>COS - Endulini - Telephone &amp; Internet</t>
        </is>
      </c>
      <c r="F4164" s="3" t="n">
        <v>0</v>
      </c>
      <c r="G4164" s="3" t="n">
        <v>760.87</v>
      </c>
    </row>
    <row r="4165">
      <c r="A4165" s="3" t="inlineStr">
        <is>
          <t>Cape Projects Construction (Pty) Ltd</t>
        </is>
      </c>
      <c r="B4165" s="4" t="n">
        <v>45199</v>
      </c>
      <c r="C4165" s="3" t="inlineStr">
        <is>
          <t>Expenses</t>
        </is>
      </c>
      <c r="D4165" s="3" t="inlineStr">
        <is>
          <t>2007/000</t>
        </is>
      </c>
      <c r="E4165" s="3" t="inlineStr">
        <is>
          <t>COS - Repairs &amp; Maintenance - SW Southwark</t>
        </is>
      </c>
      <c r="F4165" s="3" t="n">
        <v>0</v>
      </c>
      <c r="G4165" s="3" t="n">
        <v>27752.22</v>
      </c>
    </row>
    <row r="4166">
      <c r="A4166" s="3" t="inlineStr">
        <is>
          <t>Cape Projects Construction (Pty) Ltd</t>
        </is>
      </c>
      <c r="B4166" s="4" t="n">
        <v>45199</v>
      </c>
      <c r="C4166" s="3" t="inlineStr">
        <is>
          <t>Expenses</t>
        </is>
      </c>
      <c r="D4166" s="3" t="inlineStr">
        <is>
          <t>2008/000</t>
        </is>
      </c>
      <c r="E4166" s="3" t="inlineStr">
        <is>
          <t>COS - Repairs &amp; Maintenance - SH Soho</t>
        </is>
      </c>
      <c r="F4166" s="3" t="n">
        <v>0</v>
      </c>
      <c r="G4166" s="3" t="n">
        <v>7565.57</v>
      </c>
    </row>
    <row r="4167">
      <c r="A4167" s="3" t="inlineStr">
        <is>
          <t>Cape Projects Construction (Pty) Ltd</t>
        </is>
      </c>
      <c r="B4167" s="4" t="n">
        <v>45199</v>
      </c>
      <c r="C4167" s="3" t="inlineStr">
        <is>
          <t>Expenses</t>
        </is>
      </c>
      <c r="D4167" s="3" t="inlineStr">
        <is>
          <t>2011/300</t>
        </is>
      </c>
      <c r="E4167" s="3" t="inlineStr">
        <is>
          <t>COS - Heron Fields - Printing &amp; Stationary</t>
        </is>
      </c>
      <c r="F4167" s="3" t="n">
        <v>0</v>
      </c>
      <c r="G4167" s="3" t="n">
        <v>1129.57</v>
      </c>
    </row>
    <row r="4168">
      <c r="A4168" s="3" t="inlineStr">
        <is>
          <t>Cape Projects Construction (Pty) Ltd</t>
        </is>
      </c>
      <c r="B4168" s="4" t="n">
        <v>45199</v>
      </c>
      <c r="C4168" s="3" t="inlineStr">
        <is>
          <t>Expenses</t>
        </is>
      </c>
      <c r="D4168" s="3" t="inlineStr">
        <is>
          <t>2011/500</t>
        </is>
      </c>
      <c r="E4168" s="3" t="inlineStr">
        <is>
          <t>COS - Heron Fields - Construction</t>
        </is>
      </c>
      <c r="F4168" s="3" t="n">
        <v>63191.31</v>
      </c>
      <c r="G4168" s="3" t="n">
        <v>1554146.65</v>
      </c>
    </row>
    <row r="4169">
      <c r="A4169" s="3" t="inlineStr">
        <is>
          <t>Cape Projects Construction (Pty) Ltd</t>
        </is>
      </c>
      <c r="B4169" s="4" t="n">
        <v>45199</v>
      </c>
      <c r="C4169" s="3" t="inlineStr">
        <is>
          <t>Expenses</t>
        </is>
      </c>
      <c r="D4169" s="3" t="inlineStr">
        <is>
          <t>2011/600</t>
        </is>
      </c>
      <c r="E4169" s="3" t="inlineStr">
        <is>
          <t>COS - Heron Fields - P &amp; G</t>
        </is>
      </c>
      <c r="F4169" s="3" t="n">
        <v>-2784.8</v>
      </c>
      <c r="G4169" s="3" t="n">
        <v>327212.64</v>
      </c>
    </row>
    <row r="4170">
      <c r="A4170" s="3" t="inlineStr">
        <is>
          <t>Cape Projects Construction (Pty) Ltd</t>
        </is>
      </c>
      <c r="B4170" s="4" t="n">
        <v>45199</v>
      </c>
      <c r="C4170" s="3" t="inlineStr">
        <is>
          <t>Expenses</t>
        </is>
      </c>
      <c r="D4170" s="3" t="inlineStr">
        <is>
          <t>2011/700</t>
        </is>
      </c>
      <c r="E4170" s="3" t="inlineStr">
        <is>
          <t>COS - Heron Fields - Health &amp; Safety</t>
        </is>
      </c>
      <c r="F4170" s="3" t="n">
        <v>0</v>
      </c>
      <c r="G4170" s="3" t="n">
        <v>694.78</v>
      </c>
    </row>
    <row r="4171">
      <c r="A4171" s="3" t="inlineStr">
        <is>
          <t>Cape Projects Construction (Pty) Ltd</t>
        </is>
      </c>
      <c r="B4171" s="4" t="n">
        <v>45199</v>
      </c>
      <c r="C4171" s="3" t="inlineStr">
        <is>
          <t>Expenses</t>
        </is>
      </c>
      <c r="D4171" s="3" t="inlineStr">
        <is>
          <t>2011/900</t>
        </is>
      </c>
      <c r="E4171" s="3" t="inlineStr">
        <is>
          <t>COS - Heron - Internet</t>
        </is>
      </c>
      <c r="F4171" s="3" t="n">
        <v>1797.39</v>
      </c>
      <c r="G4171" s="3" t="n">
        <v>10087.5</v>
      </c>
    </row>
    <row r="4172">
      <c r="A4172" s="3" t="inlineStr">
        <is>
          <t>Cape Projects Construction (Pty) Ltd</t>
        </is>
      </c>
      <c r="B4172" s="4" t="n">
        <v>45199</v>
      </c>
      <c r="C4172" s="3" t="inlineStr">
        <is>
          <t>Expenses</t>
        </is>
      </c>
      <c r="D4172" s="3" t="inlineStr">
        <is>
          <t>2012/001</t>
        </is>
      </c>
      <c r="E4172" s="3" t="inlineStr">
        <is>
          <t>COS - Heron View - Printing &amp; Stationary</t>
        </is>
      </c>
      <c r="F4172" s="3" t="n">
        <v>5743.47</v>
      </c>
      <c r="G4172" s="3" t="n">
        <v>20757.99</v>
      </c>
    </row>
    <row r="4173">
      <c r="A4173" s="3" t="inlineStr">
        <is>
          <t>Cape Projects Construction (Pty) Ltd</t>
        </is>
      </c>
      <c r="B4173" s="4" t="n">
        <v>45199</v>
      </c>
      <c r="C4173" s="3" t="inlineStr">
        <is>
          <t>Expenses</t>
        </is>
      </c>
      <c r="D4173" s="3" t="inlineStr">
        <is>
          <t>2012/002</t>
        </is>
      </c>
      <c r="E4173" s="3" t="inlineStr">
        <is>
          <t>COS - Heron View - Construction</t>
        </is>
      </c>
      <c r="F4173" s="3" t="n">
        <v>4150526.94</v>
      </c>
      <c r="G4173" s="3" t="n">
        <v>21537290.35</v>
      </c>
    </row>
    <row r="4174">
      <c r="A4174" s="3" t="inlineStr">
        <is>
          <t>Cape Projects Construction (Pty) Ltd</t>
        </is>
      </c>
      <c r="B4174" s="4" t="n">
        <v>45199</v>
      </c>
      <c r="C4174" s="3" t="inlineStr">
        <is>
          <t>Expenses</t>
        </is>
      </c>
      <c r="D4174" s="3" t="inlineStr">
        <is>
          <t>2012/003</t>
        </is>
      </c>
      <c r="E4174" s="3" t="inlineStr">
        <is>
          <t>COS - Heron View - P&amp;G</t>
        </is>
      </c>
      <c r="F4174" s="3" t="n">
        <v>10445.36</v>
      </c>
      <c r="G4174" s="3" t="n">
        <v>542917.29</v>
      </c>
    </row>
    <row r="4175">
      <c r="A4175" s="3" t="inlineStr">
        <is>
          <t>Cape Projects Construction (Pty) Ltd</t>
        </is>
      </c>
      <c r="B4175" s="4" t="n">
        <v>45199</v>
      </c>
      <c r="C4175" s="3" t="inlineStr">
        <is>
          <t>Expenses</t>
        </is>
      </c>
      <c r="D4175" s="3" t="inlineStr">
        <is>
          <t>2013/000</t>
        </is>
      </c>
      <c r="E4175" s="3" t="inlineStr">
        <is>
          <t>COS - Bakhoven</t>
        </is>
      </c>
      <c r="F4175" s="3" t="n">
        <v>0</v>
      </c>
      <c r="G4175" s="3" t="n">
        <v>17292.48</v>
      </c>
    </row>
    <row r="4176">
      <c r="A4176" s="3" t="inlineStr">
        <is>
          <t>Cape Projects Construction (Pty) Ltd</t>
        </is>
      </c>
      <c r="B4176" s="4" t="n">
        <v>45199</v>
      </c>
      <c r="C4176" s="3" t="inlineStr">
        <is>
          <t>Revenue</t>
        </is>
      </c>
      <c r="D4176" s="3" t="inlineStr">
        <is>
          <t>2750/000</t>
        </is>
      </c>
      <c r="E4176" s="3" t="inlineStr">
        <is>
          <t>Interest Received - FNB</t>
        </is>
      </c>
      <c r="F4176" s="3" t="n">
        <v>-88.36</v>
      </c>
      <c r="G4176" s="3" t="n">
        <v>-790.13</v>
      </c>
    </row>
    <row r="4177">
      <c r="A4177" s="3" t="inlineStr">
        <is>
          <t>Cape Projects Construction (Pty) Ltd</t>
        </is>
      </c>
      <c r="B4177" s="4" t="n">
        <v>45199</v>
      </c>
      <c r="C4177" s="3" t="inlineStr">
        <is>
          <t>Revenue</t>
        </is>
      </c>
      <c r="D4177" s="3" t="inlineStr">
        <is>
          <t>2751/001</t>
        </is>
      </c>
      <c r="E4177" s="3" t="inlineStr">
        <is>
          <t>Interest received - Momentum</t>
        </is>
      </c>
      <c r="F4177" s="3" t="n">
        <v>-4</v>
      </c>
      <c r="G4177" s="3" t="n">
        <v>-30.09</v>
      </c>
    </row>
    <row r="4178">
      <c r="A4178" s="3" t="inlineStr">
        <is>
          <t>Heron Fields (Pty) Ltd</t>
        </is>
      </c>
      <c r="B4178" s="4" t="n">
        <v>45199</v>
      </c>
      <c r="C4178" s="3" t="inlineStr">
        <is>
          <t>Revenue</t>
        </is>
      </c>
      <c r="D4178" s="3" t="inlineStr">
        <is>
          <t>2755/001</t>
        </is>
      </c>
      <c r="E4178" s="3" t="inlineStr">
        <is>
          <t>Interest Received - Momentum</t>
        </is>
      </c>
      <c r="F4178" s="3" t="n">
        <v>-291385.94</v>
      </c>
      <c r="G4178" s="3" t="n">
        <v>-1739285.15</v>
      </c>
    </row>
    <row r="4179">
      <c r="A4179" s="3" t="inlineStr">
        <is>
          <t>Heron Fields (Pty) Ltd</t>
        </is>
      </c>
      <c r="B4179" s="4" t="n">
        <v>45199</v>
      </c>
      <c r="C4179" s="3" t="inlineStr">
        <is>
          <t>Expenses</t>
        </is>
      </c>
      <c r="D4179" s="3" t="inlineStr">
        <is>
          <t>3000/000</t>
        </is>
      </c>
      <c r="E4179" s="3" t="inlineStr">
        <is>
          <t>Accounting Fees</t>
        </is>
      </c>
      <c r="F4179" s="3" t="n">
        <v>0</v>
      </c>
      <c r="G4179" s="3" t="n">
        <v>15024.96</v>
      </c>
    </row>
    <row r="4180">
      <c r="A4180" s="3" t="inlineStr">
        <is>
          <t>Heron Fields (Pty) Ltd</t>
        </is>
      </c>
      <c r="B4180" s="4" t="n">
        <v>45199</v>
      </c>
      <c r="C4180" s="3" t="inlineStr">
        <is>
          <t>Expenses</t>
        </is>
      </c>
      <c r="D4180" s="3" t="inlineStr">
        <is>
          <t>3000/100</t>
        </is>
      </c>
      <c r="E4180" s="3" t="inlineStr">
        <is>
          <t>Accounting - CIPC</t>
        </is>
      </c>
      <c r="F4180" s="3" t="n">
        <v>0</v>
      </c>
      <c r="G4180" s="3" t="n">
        <v>3050</v>
      </c>
    </row>
    <row r="4181">
      <c r="A4181" s="3" t="inlineStr">
        <is>
          <t>Cape Projects Construction (Pty) Ltd</t>
        </is>
      </c>
      <c r="B4181" s="4" t="n">
        <v>45199</v>
      </c>
      <c r="C4181" s="3" t="inlineStr">
        <is>
          <t>Expenses</t>
        </is>
      </c>
      <c r="D4181" s="3" t="inlineStr">
        <is>
          <t>3001/000</t>
        </is>
      </c>
      <c r="E4181" s="3" t="inlineStr">
        <is>
          <t>Accounting Fees - Other</t>
        </is>
      </c>
      <c r="F4181" s="3" t="n">
        <v>0</v>
      </c>
      <c r="G4181" s="3" t="n">
        <v>1280</v>
      </c>
    </row>
    <row r="4182">
      <c r="A4182" s="3" t="inlineStr">
        <is>
          <t>Cape Projects Construction (Pty) Ltd</t>
        </is>
      </c>
      <c r="B4182" s="4" t="n">
        <v>45199</v>
      </c>
      <c r="C4182" s="3" t="inlineStr">
        <is>
          <t>Expenses</t>
        </is>
      </c>
      <c r="D4182" s="3" t="inlineStr">
        <is>
          <t>3002/000</t>
        </is>
      </c>
      <c r="E4182" s="3" t="inlineStr">
        <is>
          <t>Accounting Fees - Audit</t>
        </is>
      </c>
      <c r="F4182" s="3" t="n">
        <v>0</v>
      </c>
      <c r="G4182" s="3" t="n">
        <v>11170</v>
      </c>
    </row>
    <row r="4183">
      <c r="A4183" s="3" t="inlineStr">
        <is>
          <t>Cape Projects Construction (Pty) Ltd</t>
        </is>
      </c>
      <c r="B4183" s="4" t="n">
        <v>45199</v>
      </c>
      <c r="C4183" s="3" t="inlineStr">
        <is>
          <t>Expenses</t>
        </is>
      </c>
      <c r="D4183" s="3" t="inlineStr">
        <is>
          <t>3050/000</t>
        </is>
      </c>
      <c r="E4183" s="3" t="inlineStr">
        <is>
          <t>Advertising _AND_ Promotions</t>
        </is>
      </c>
      <c r="F4183" s="3" t="n">
        <v>2300</v>
      </c>
      <c r="G4183" s="3" t="n">
        <v>10975</v>
      </c>
    </row>
    <row r="4184">
      <c r="A4184" s="3" t="inlineStr">
        <is>
          <t>Heron Fields (Pty) Ltd</t>
        </is>
      </c>
      <c r="B4184" s="4" t="n">
        <v>45199</v>
      </c>
      <c r="C4184" s="3" t="inlineStr">
        <is>
          <t>Expenses</t>
        </is>
      </c>
      <c r="D4184" s="3" t="inlineStr">
        <is>
          <t>3050/000</t>
        </is>
      </c>
      <c r="E4184" s="3" t="inlineStr">
        <is>
          <t>Advertising _AND_ Promotions</t>
        </is>
      </c>
      <c r="F4184" s="3" t="n">
        <v>500</v>
      </c>
      <c r="G4184" s="3" t="n">
        <v>169842.05</v>
      </c>
    </row>
    <row r="4185">
      <c r="A4185" s="3" t="inlineStr">
        <is>
          <t>Heron View (Pty) Ltd</t>
        </is>
      </c>
      <c r="B4185" s="4" t="n">
        <v>45199</v>
      </c>
      <c r="C4185" s="3" t="inlineStr">
        <is>
          <t>Expenses</t>
        </is>
      </c>
      <c r="D4185" s="3" t="inlineStr">
        <is>
          <t>3050/000</t>
        </is>
      </c>
      <c r="E4185" s="3" t="inlineStr">
        <is>
          <t>Advertising _AND_ Promotions</t>
        </is>
      </c>
      <c r="F4185" s="3" t="n">
        <v>9750</v>
      </c>
      <c r="G4185" s="3" t="n">
        <v>50926.47</v>
      </c>
    </row>
    <row r="4186">
      <c r="A4186" s="3" t="inlineStr">
        <is>
          <t>Heron Fields (Pty) Ltd</t>
        </is>
      </c>
      <c r="B4186" s="4" t="n">
        <v>45199</v>
      </c>
      <c r="C4186" s="3" t="inlineStr">
        <is>
          <t>Expenses</t>
        </is>
      </c>
      <c r="D4186" s="3" t="inlineStr">
        <is>
          <t>3050/100</t>
        </is>
      </c>
      <c r="E4186" s="3" t="inlineStr">
        <is>
          <t>Advertising - Property24</t>
        </is>
      </c>
      <c r="F4186" s="3" t="n">
        <v>0</v>
      </c>
      <c r="G4186" s="3" t="n">
        <v>12480</v>
      </c>
    </row>
    <row r="4187">
      <c r="A4187" s="3" t="inlineStr">
        <is>
          <t>Cape Projects Construction (Pty) Ltd</t>
        </is>
      </c>
      <c r="B4187" s="4" t="n">
        <v>45199</v>
      </c>
      <c r="C4187" s="3" t="inlineStr">
        <is>
          <t>Expenses</t>
        </is>
      </c>
      <c r="D4187" s="3" t="inlineStr">
        <is>
          <t>3050/150</t>
        </is>
      </c>
      <c r="E4187" s="3" t="inlineStr">
        <is>
          <t>Advertising - Design Fees</t>
        </is>
      </c>
      <c r="F4187" s="3" t="n">
        <v>0</v>
      </c>
      <c r="G4187" s="3" t="n">
        <v>295</v>
      </c>
    </row>
    <row r="4188">
      <c r="A4188" s="3" t="inlineStr">
        <is>
          <t>Heron Fields (Pty) Ltd</t>
        </is>
      </c>
      <c r="B4188" s="4" t="n">
        <v>45199</v>
      </c>
      <c r="C4188" s="3" t="inlineStr">
        <is>
          <t>Expenses</t>
        </is>
      </c>
      <c r="D4188" s="3" t="inlineStr">
        <is>
          <t>3050/300</t>
        </is>
      </c>
      <c r="E4188" s="3" t="inlineStr">
        <is>
          <t>Advertising - Real Marketing</t>
        </is>
      </c>
      <c r="F4188" s="3" t="n">
        <v>0</v>
      </c>
      <c r="G4188" s="3" t="n">
        <v>10250</v>
      </c>
    </row>
    <row r="4189">
      <c r="A4189" s="3" t="inlineStr">
        <is>
          <t>Heron View (Pty) Ltd</t>
        </is>
      </c>
      <c r="B4189" s="4" t="n">
        <v>45199</v>
      </c>
      <c r="C4189" s="3" t="inlineStr">
        <is>
          <t>Expenses</t>
        </is>
      </c>
      <c r="D4189" s="3" t="inlineStr">
        <is>
          <t>3050/300</t>
        </is>
      </c>
      <c r="E4189" s="3" t="inlineStr">
        <is>
          <t>Advertising - Thinkink</t>
        </is>
      </c>
      <c r="F4189" s="3" t="n">
        <v>745</v>
      </c>
      <c r="G4189" s="3" t="n">
        <v>745</v>
      </c>
    </row>
    <row r="4190">
      <c r="A4190" s="3" t="inlineStr">
        <is>
          <t>Heron View (Pty) Ltd</t>
        </is>
      </c>
      <c r="B4190" s="4" t="n">
        <v>45199</v>
      </c>
      <c r="C4190" s="3" t="inlineStr">
        <is>
          <t>Expenses</t>
        </is>
      </c>
      <c r="D4190" s="3" t="inlineStr">
        <is>
          <t>3050/400</t>
        </is>
      </c>
      <c r="E4190" s="3" t="inlineStr">
        <is>
          <t>Advertising - Pure Brand Activation</t>
        </is>
      </c>
      <c r="F4190" s="3" t="n">
        <v>9967.1</v>
      </c>
      <c r="G4190" s="3" t="n">
        <v>14569.1</v>
      </c>
    </row>
    <row r="4191">
      <c r="A4191" s="3" t="inlineStr">
        <is>
          <t>Cape Projects Construction (Pty) Ltd</t>
        </is>
      </c>
      <c r="B4191" s="4" t="n">
        <v>45199</v>
      </c>
      <c r="C4191" s="3" t="inlineStr">
        <is>
          <t>Expenses</t>
        </is>
      </c>
      <c r="D4191" s="3" t="inlineStr">
        <is>
          <t>3050/450</t>
        </is>
      </c>
      <c r="E4191" s="3" t="inlineStr">
        <is>
          <t>Advertising - Other</t>
        </is>
      </c>
      <c r="F4191" s="3" t="n">
        <v>0</v>
      </c>
      <c r="G4191" s="3" t="n">
        <v>1597</v>
      </c>
    </row>
    <row r="4192">
      <c r="A4192" s="3" t="inlineStr">
        <is>
          <t>Heron View (Pty) Ltd</t>
        </is>
      </c>
      <c r="B4192" s="4" t="n">
        <v>45199</v>
      </c>
      <c r="C4192" s="3" t="inlineStr">
        <is>
          <t>Expenses</t>
        </is>
      </c>
      <c r="D4192" s="3" t="inlineStr">
        <is>
          <t>3050/500</t>
        </is>
      </c>
      <c r="E4192" s="3" t="inlineStr">
        <is>
          <t>Advertising - Real Marketing</t>
        </is>
      </c>
      <c r="F4192" s="3" t="n">
        <v>0</v>
      </c>
      <c r="G4192" s="3" t="n">
        <v>18500</v>
      </c>
    </row>
    <row r="4193">
      <c r="A4193" s="3" t="inlineStr">
        <is>
          <t>Cape Projects Construction (Pty) Ltd</t>
        </is>
      </c>
      <c r="B4193" s="4" t="n">
        <v>45199</v>
      </c>
      <c r="C4193" s="3" t="inlineStr">
        <is>
          <t>Expenses</t>
        </is>
      </c>
      <c r="D4193" s="3" t="inlineStr">
        <is>
          <t>3200/000</t>
        </is>
      </c>
      <c r="E4193" s="3" t="inlineStr">
        <is>
          <t>Bank Charges</t>
        </is>
      </c>
      <c r="F4193" s="3" t="n">
        <v>1574.96</v>
      </c>
      <c r="G4193" s="3" t="n">
        <v>12967.5</v>
      </c>
    </row>
    <row r="4194">
      <c r="A4194" s="3" t="inlineStr">
        <is>
          <t>Heron Fields (Pty) Ltd</t>
        </is>
      </c>
      <c r="B4194" s="4" t="n">
        <v>45199</v>
      </c>
      <c r="C4194" s="3" t="inlineStr">
        <is>
          <t>Expenses</t>
        </is>
      </c>
      <c r="D4194" s="3" t="inlineStr">
        <is>
          <t>3200/000</t>
        </is>
      </c>
      <c r="E4194" s="3" t="inlineStr">
        <is>
          <t>Bank Charges</t>
        </is>
      </c>
      <c r="F4194" s="3" t="n">
        <v>256.55</v>
      </c>
      <c r="G4194" s="3" t="n">
        <v>3214.34</v>
      </c>
    </row>
    <row r="4195">
      <c r="A4195" s="3" t="inlineStr">
        <is>
          <t>Cape Projects Construction (Pty) Ltd</t>
        </is>
      </c>
      <c r="B4195" s="4" t="n">
        <v>45199</v>
      </c>
      <c r="C4195" s="3" t="inlineStr">
        <is>
          <t>Expenses</t>
        </is>
      </c>
      <c r="D4195" s="3" t="inlineStr">
        <is>
          <t>3250/000</t>
        </is>
      </c>
      <c r="E4195" s="3" t="inlineStr">
        <is>
          <t>Cleaning</t>
        </is>
      </c>
      <c r="F4195" s="3" t="n">
        <v>0</v>
      </c>
      <c r="G4195" s="3" t="n">
        <v>511.89</v>
      </c>
    </row>
    <row r="4196">
      <c r="A4196" s="3" t="inlineStr">
        <is>
          <t>Cape Projects Construction (Pty) Ltd</t>
        </is>
      </c>
      <c r="B4196" s="4" t="n">
        <v>45199</v>
      </c>
      <c r="C4196" s="3" t="inlineStr">
        <is>
          <t>Expenses</t>
        </is>
      </c>
      <c r="D4196" s="3" t="inlineStr">
        <is>
          <t>3255/000</t>
        </is>
      </c>
      <c r="E4196" s="3" t="inlineStr">
        <is>
          <t>Cell Phone - CT Office</t>
        </is>
      </c>
      <c r="F4196" s="3" t="n">
        <v>0</v>
      </c>
      <c r="G4196" s="3" t="n">
        <v>4123</v>
      </c>
    </row>
    <row r="4197">
      <c r="A4197" s="3" t="inlineStr">
        <is>
          <t>Cape Projects Construction (Pty) Ltd</t>
        </is>
      </c>
      <c r="B4197" s="4" t="n">
        <v>45199</v>
      </c>
      <c r="C4197" s="3" t="inlineStr">
        <is>
          <t>Expenses</t>
        </is>
      </c>
      <c r="D4197" s="3" t="inlineStr">
        <is>
          <t>3256/000</t>
        </is>
      </c>
      <c r="E4197" s="3" t="inlineStr">
        <is>
          <t>Cell Phone - Nick Morgan</t>
        </is>
      </c>
      <c r="F4197" s="3" t="n">
        <v>0</v>
      </c>
      <c r="G4197" s="3" t="n">
        <v>26779.67</v>
      </c>
    </row>
    <row r="4198">
      <c r="A4198" s="3" t="inlineStr">
        <is>
          <t>Cape Projects Construction (Pty) Ltd</t>
        </is>
      </c>
      <c r="B4198" s="4" t="n">
        <v>45199</v>
      </c>
      <c r="C4198" s="3" t="inlineStr">
        <is>
          <t>Expenses</t>
        </is>
      </c>
      <c r="D4198" s="3" t="inlineStr">
        <is>
          <t>3300/000</t>
        </is>
      </c>
      <c r="E4198" s="3" t="inlineStr">
        <is>
          <t>Computer Expenses</t>
        </is>
      </c>
      <c r="F4198" s="3" t="n">
        <v>0</v>
      </c>
      <c r="G4198" s="3" t="n">
        <v>4352.65</v>
      </c>
    </row>
    <row r="4199">
      <c r="A4199" s="3" t="inlineStr">
        <is>
          <t>Cape Projects Construction (Pty) Ltd</t>
        </is>
      </c>
      <c r="B4199" s="4" t="n">
        <v>45199</v>
      </c>
      <c r="C4199" s="3" t="inlineStr">
        <is>
          <t>Expenses</t>
        </is>
      </c>
      <c r="D4199" s="3" t="inlineStr">
        <is>
          <t>3300/100</t>
        </is>
      </c>
      <c r="E4199" s="3" t="inlineStr">
        <is>
          <t>Computer Exp - IT, Internet/Hosting Fee</t>
        </is>
      </c>
      <c r="F4199" s="3" t="n">
        <v>6080</v>
      </c>
      <c r="G4199" s="3" t="n">
        <v>29409</v>
      </c>
    </row>
    <row r="4200">
      <c r="A4200" s="3" t="inlineStr">
        <is>
          <t>Heron Fields (Pty) Ltd</t>
        </is>
      </c>
      <c r="B4200" s="4" t="n">
        <v>45199</v>
      </c>
      <c r="C4200" s="3" t="inlineStr">
        <is>
          <t>Expenses</t>
        </is>
      </c>
      <c r="D4200" s="3" t="inlineStr">
        <is>
          <t>3350/100</t>
        </is>
      </c>
      <c r="E4200" s="3" t="inlineStr">
        <is>
          <t>Consulting Fees - Admin and Finance</t>
        </is>
      </c>
      <c r="F4200" s="3" t="n">
        <v>128833</v>
      </c>
      <c r="G4200" s="3" t="n">
        <v>823416.5699999999</v>
      </c>
    </row>
    <row r="4201">
      <c r="A4201" s="3" t="inlineStr">
        <is>
          <t>Cape Projects Construction (Pty) Ltd</t>
        </is>
      </c>
      <c r="B4201" s="4" t="n">
        <v>45199</v>
      </c>
      <c r="C4201" s="3" t="inlineStr">
        <is>
          <t>Expenses</t>
        </is>
      </c>
      <c r="D4201" s="3" t="inlineStr">
        <is>
          <t>3350/300</t>
        </is>
      </c>
      <c r="E4201" s="3" t="inlineStr">
        <is>
          <t>Consulting Fees - Admin and Finance</t>
        </is>
      </c>
      <c r="F4201" s="3" t="n">
        <v>125697</v>
      </c>
      <c r="G4201" s="3" t="n">
        <v>858443.7</v>
      </c>
    </row>
    <row r="4202">
      <c r="A4202" s="3" t="inlineStr">
        <is>
          <t>Heron Fields (Pty) Ltd</t>
        </is>
      </c>
      <c r="B4202" s="4" t="n">
        <v>45199</v>
      </c>
      <c r="C4202" s="3" t="inlineStr">
        <is>
          <t>Expenses</t>
        </is>
      </c>
      <c r="D4202" s="3" t="inlineStr">
        <is>
          <t>3351/000</t>
        </is>
      </c>
      <c r="E4202" s="3" t="inlineStr">
        <is>
          <t>Consulting fees - Trustee</t>
        </is>
      </c>
      <c r="F4202" s="3" t="n">
        <v>0</v>
      </c>
      <c r="G4202" s="3" t="n">
        <v>12200</v>
      </c>
    </row>
    <row r="4203">
      <c r="A4203" s="3" t="inlineStr">
        <is>
          <t>Heron View (Pty) Ltd</t>
        </is>
      </c>
      <c r="B4203" s="4" t="n">
        <v>45199</v>
      </c>
      <c r="C4203" s="3" t="inlineStr">
        <is>
          <t>Expenses</t>
        </is>
      </c>
      <c r="D4203" s="3" t="inlineStr">
        <is>
          <t>3351/000</t>
        </is>
      </c>
      <c r="E4203" s="3" t="inlineStr">
        <is>
          <t>Consulting fees - Trustee</t>
        </is>
      </c>
      <c r="F4203" s="3" t="n">
        <v>7250</v>
      </c>
      <c r="G4203" s="3" t="n">
        <v>29000</v>
      </c>
    </row>
    <row r="4204">
      <c r="A4204" s="3" t="inlineStr">
        <is>
          <t>Cape Projects Construction (Pty) Ltd</t>
        </is>
      </c>
      <c r="B4204" s="4" t="n">
        <v>45199</v>
      </c>
      <c r="C4204" s="3" t="inlineStr">
        <is>
          <t>Expenses</t>
        </is>
      </c>
      <c r="D4204" s="3" t="inlineStr">
        <is>
          <t>3400/000</t>
        </is>
      </c>
      <c r="E4204" s="3" t="inlineStr">
        <is>
          <t>Courier _AND_ Postage</t>
        </is>
      </c>
      <c r="F4204" s="3" t="n">
        <v>245</v>
      </c>
      <c r="G4204" s="3" t="n">
        <v>331.09</v>
      </c>
    </row>
    <row r="4205">
      <c r="A4205" s="3" t="inlineStr">
        <is>
          <t>Cape Projects Construction (Pty) Ltd</t>
        </is>
      </c>
      <c r="B4205" s="4" t="n">
        <v>45199</v>
      </c>
      <c r="C4205" s="3" t="inlineStr">
        <is>
          <t>Expenses</t>
        </is>
      </c>
      <c r="D4205" s="3" t="inlineStr">
        <is>
          <t>3450/001</t>
        </is>
      </c>
      <c r="E4205" s="3" t="inlineStr">
        <is>
          <t>Depreciation - Computer Equipment</t>
        </is>
      </c>
      <c r="F4205" s="3" t="n">
        <v>3631.27</v>
      </c>
      <c r="G4205" s="3" t="n">
        <v>23574.66</v>
      </c>
    </row>
    <row r="4206">
      <c r="A4206" s="3" t="inlineStr">
        <is>
          <t>Cape Projects Construction (Pty) Ltd</t>
        </is>
      </c>
      <c r="B4206" s="4" t="n">
        <v>45199</v>
      </c>
      <c r="C4206" s="3" t="inlineStr">
        <is>
          <t>Expenses</t>
        </is>
      </c>
      <c r="D4206" s="3" t="inlineStr">
        <is>
          <t>3450/002</t>
        </is>
      </c>
      <c r="E4206" s="3" t="inlineStr">
        <is>
          <t>Depreciation - Generator Fixed Asset</t>
        </is>
      </c>
      <c r="F4206" s="3" t="n">
        <v>1188.69</v>
      </c>
      <c r="G4206" s="3" t="n">
        <v>6330.16</v>
      </c>
    </row>
    <row r="4207">
      <c r="A4207" s="3" t="inlineStr">
        <is>
          <t>Cape Projects Construction (Pty) Ltd</t>
        </is>
      </c>
      <c r="B4207" s="4" t="n">
        <v>45199</v>
      </c>
      <c r="C4207" s="3" t="inlineStr">
        <is>
          <t>Expenses</t>
        </is>
      </c>
      <c r="D4207" s="3" t="inlineStr">
        <is>
          <t>3450/030</t>
        </is>
      </c>
      <c r="E4207" s="3" t="inlineStr">
        <is>
          <t>Depreciation - Furniture and Fittings</t>
        </is>
      </c>
      <c r="F4207" s="3" t="n">
        <v>547.6799999999999</v>
      </c>
      <c r="G4207" s="3" t="n">
        <v>3833.74</v>
      </c>
    </row>
    <row r="4208">
      <c r="A4208" s="3" t="inlineStr">
        <is>
          <t>Heron Fields (Pty) Ltd</t>
        </is>
      </c>
      <c r="B4208" s="4" t="n">
        <v>45199</v>
      </c>
      <c r="C4208" s="3" t="inlineStr">
        <is>
          <t>Expenses</t>
        </is>
      </c>
      <c r="D4208" s="3" t="inlineStr">
        <is>
          <t>3650/000</t>
        </is>
      </c>
      <c r="E4208" s="3" t="inlineStr">
        <is>
          <t>CoCT - Electricity</t>
        </is>
      </c>
      <c r="F4208" s="3" t="n">
        <v>833.84</v>
      </c>
      <c r="G4208" s="3" t="n">
        <v>130916.84</v>
      </c>
    </row>
    <row r="4209">
      <c r="A4209" s="3" t="inlineStr">
        <is>
          <t>Cape Projects Construction (Pty) Ltd</t>
        </is>
      </c>
      <c r="B4209" s="4" t="n">
        <v>45199</v>
      </c>
      <c r="C4209" s="3" t="inlineStr">
        <is>
          <t>Expenses</t>
        </is>
      </c>
      <c r="D4209" s="3" t="inlineStr">
        <is>
          <t>3650/000</t>
        </is>
      </c>
      <c r="E4209" s="3" t="inlineStr">
        <is>
          <t>Electricity _AND_ Water</t>
        </is>
      </c>
      <c r="F4209" s="3" t="n">
        <v>7040.33</v>
      </c>
      <c r="G4209" s="3" t="n">
        <v>46899.43</v>
      </c>
    </row>
    <row r="4210">
      <c r="A4210" s="3" t="inlineStr">
        <is>
          <t>Heron Fields (Pty) Ltd</t>
        </is>
      </c>
      <c r="B4210" s="4" t="n">
        <v>45199</v>
      </c>
      <c r="C4210" s="3" t="inlineStr">
        <is>
          <t>Expenses</t>
        </is>
      </c>
      <c r="D4210" s="3" t="inlineStr">
        <is>
          <t>3660/000</t>
        </is>
      </c>
      <c r="E4210" s="3" t="inlineStr">
        <is>
          <t>CoCT - Water</t>
        </is>
      </c>
      <c r="F4210" s="3" t="n">
        <v>1094.18</v>
      </c>
      <c r="G4210" s="3" t="n">
        <v>44973.61</v>
      </c>
    </row>
    <row r="4211">
      <c r="A4211" s="3" t="inlineStr">
        <is>
          <t>Heron Fields (Pty) Ltd</t>
        </is>
      </c>
      <c r="B4211" s="4" t="n">
        <v>45199</v>
      </c>
      <c r="C4211" s="3" t="inlineStr">
        <is>
          <t>Expenses</t>
        </is>
      </c>
      <c r="D4211" s="3" t="inlineStr">
        <is>
          <t>3670/000</t>
        </is>
      </c>
      <c r="E4211" s="3" t="inlineStr">
        <is>
          <t>CoCT - Refuse</t>
        </is>
      </c>
      <c r="F4211" s="3" t="n">
        <v>0</v>
      </c>
      <c r="G4211" s="3" t="n">
        <v>10690.2</v>
      </c>
    </row>
    <row r="4212">
      <c r="A4212" s="3" t="inlineStr">
        <is>
          <t>Heron Fields (Pty) Ltd</t>
        </is>
      </c>
      <c r="B4212" s="4" t="n">
        <v>45199</v>
      </c>
      <c r="C4212" s="3" t="inlineStr">
        <is>
          <t>Expenses</t>
        </is>
      </c>
      <c r="D4212" s="3" t="inlineStr">
        <is>
          <t>3700/000</t>
        </is>
      </c>
      <c r="E4212" s="3" t="inlineStr">
        <is>
          <t>Entertainment Expenses</t>
        </is>
      </c>
      <c r="F4212" s="3" t="n">
        <v>0</v>
      </c>
      <c r="G4212" s="3" t="n">
        <v>39.47</v>
      </c>
    </row>
    <row r="4213">
      <c r="A4213" s="3" t="inlineStr">
        <is>
          <t>Heron Fields (Pty) Ltd</t>
        </is>
      </c>
      <c r="B4213" s="4" t="n">
        <v>45199</v>
      </c>
      <c r="C4213" s="3" t="inlineStr">
        <is>
          <t>Expenses</t>
        </is>
      </c>
      <c r="D4213" s="3" t="inlineStr">
        <is>
          <t>3800/000</t>
        </is>
      </c>
      <c r="E4213" s="3" t="inlineStr">
        <is>
          <t>General Expenses</t>
        </is>
      </c>
      <c r="F4213" s="3" t="n">
        <v>0</v>
      </c>
      <c r="G4213" s="3" t="n">
        <v>199.99</v>
      </c>
    </row>
    <row r="4214">
      <c r="A4214" s="3" t="inlineStr">
        <is>
          <t>Heron Fields (Pty) Ltd</t>
        </is>
      </c>
      <c r="B4214" s="4" t="n">
        <v>45199</v>
      </c>
      <c r="C4214" s="3" t="inlineStr">
        <is>
          <t>Expenses</t>
        </is>
      </c>
      <c r="D4214" s="3" t="inlineStr">
        <is>
          <t>3850/000</t>
        </is>
      </c>
      <c r="E4214" s="3" t="inlineStr">
        <is>
          <t>Insurance</t>
        </is>
      </c>
      <c r="F4214" s="3" t="n">
        <v>13224.43</v>
      </c>
      <c r="G4214" s="3" t="n">
        <v>61116.79</v>
      </c>
    </row>
    <row r="4215">
      <c r="A4215" s="3" t="inlineStr">
        <is>
          <t>Cape Projects Construction (Pty) Ltd</t>
        </is>
      </c>
      <c r="B4215" s="4" t="n">
        <v>45199</v>
      </c>
      <c r="C4215" s="3" t="inlineStr">
        <is>
          <t>Expenses</t>
        </is>
      </c>
      <c r="D4215" s="3" t="inlineStr">
        <is>
          <t>3850/001</t>
        </is>
      </c>
      <c r="E4215" s="3" t="inlineStr">
        <is>
          <t>Insurance - Santam</t>
        </is>
      </c>
      <c r="F4215" s="3" t="n">
        <v>4390.6</v>
      </c>
      <c r="G4215" s="3" t="n">
        <v>16363.81</v>
      </c>
    </row>
    <row r="4216">
      <c r="A4216" s="3" t="inlineStr">
        <is>
          <t>Cape Projects Construction (Pty) Ltd</t>
        </is>
      </c>
      <c r="B4216" s="4" t="n">
        <v>45199</v>
      </c>
      <c r="C4216" s="3" t="inlineStr">
        <is>
          <t>Expenses</t>
        </is>
      </c>
      <c r="D4216" s="3" t="inlineStr">
        <is>
          <t>3850/004</t>
        </is>
      </c>
      <c r="E4216" s="3" t="inlineStr">
        <is>
          <t>Insurance - A_AND_G</t>
        </is>
      </c>
      <c r="F4216" s="3" t="n">
        <v>0</v>
      </c>
      <c r="G4216" s="3" t="n">
        <v>24242.76</v>
      </c>
    </row>
    <row r="4217">
      <c r="A4217" s="3" t="inlineStr">
        <is>
          <t>Heron Fields (Pty) Ltd</t>
        </is>
      </c>
      <c r="B4217" s="4" t="n">
        <v>45199</v>
      </c>
      <c r="C4217" s="3" t="inlineStr">
        <is>
          <t>Expenses</t>
        </is>
      </c>
      <c r="D4217" s="3" t="inlineStr">
        <is>
          <t>3900/000</t>
        </is>
      </c>
      <c r="E4217" s="3" t="inlineStr">
        <is>
          <t>Interest Paid</t>
        </is>
      </c>
      <c r="F4217" s="3" t="n">
        <v>0</v>
      </c>
      <c r="G4217" s="3" t="n">
        <v>-533.8</v>
      </c>
    </row>
    <row r="4218">
      <c r="A4218" s="3" t="inlineStr">
        <is>
          <t>Heron Fields (Pty) Ltd</t>
        </is>
      </c>
      <c r="B4218" s="4" t="n">
        <v>45199</v>
      </c>
      <c r="C4218" s="3" t="inlineStr">
        <is>
          <t>Expenses</t>
        </is>
      </c>
      <c r="D4218" s="3" t="inlineStr">
        <is>
          <t>3900/111</t>
        </is>
      </c>
      <c r="E4218" s="3" t="inlineStr">
        <is>
          <t>Interest Paid - Investors @ 6.25%</t>
        </is>
      </c>
      <c r="F4218" s="3" t="n">
        <v>0</v>
      </c>
      <c r="G4218" s="3" t="n">
        <v>167246.17</v>
      </c>
    </row>
    <row r="4219">
      <c r="A4219" s="3" t="inlineStr">
        <is>
          <t>Heron Fields (Pty) Ltd</t>
        </is>
      </c>
      <c r="B4219" s="4" t="n">
        <v>45199</v>
      </c>
      <c r="C4219" s="3" t="inlineStr">
        <is>
          <t>Expenses</t>
        </is>
      </c>
      <c r="D4219" s="3" t="inlineStr">
        <is>
          <t>3900/115</t>
        </is>
      </c>
      <c r="E4219" s="3" t="inlineStr">
        <is>
          <t>Interest Paid - Investors @ 6.5%</t>
        </is>
      </c>
      <c r="F4219" s="3" t="n">
        <v>0</v>
      </c>
      <c r="G4219" s="3" t="n">
        <v>72942.48</v>
      </c>
    </row>
    <row r="4220">
      <c r="A4220" s="3" t="inlineStr">
        <is>
          <t>Heron Fields (Pty) Ltd</t>
        </is>
      </c>
      <c r="B4220" s="4" t="n">
        <v>45199</v>
      </c>
      <c r="C4220" s="3" t="inlineStr">
        <is>
          <t>Expenses</t>
        </is>
      </c>
      <c r="D4220" s="3" t="inlineStr">
        <is>
          <t>3900/117</t>
        </is>
      </c>
      <c r="E4220" s="3" t="inlineStr">
        <is>
          <t>Interest Paid - Investors @ 6.75%</t>
        </is>
      </c>
      <c r="F4220" s="3" t="n">
        <v>0</v>
      </c>
      <c r="G4220" s="3" t="n">
        <v>44124.67</v>
      </c>
    </row>
    <row r="4221">
      <c r="A4221" s="3" t="inlineStr">
        <is>
          <t>Heron Fields (Pty) Ltd</t>
        </is>
      </c>
      <c r="B4221" s="4" t="n">
        <v>45199</v>
      </c>
      <c r="C4221" s="3" t="inlineStr">
        <is>
          <t>Expenses</t>
        </is>
      </c>
      <c r="D4221" s="3" t="inlineStr">
        <is>
          <t>3900/120</t>
        </is>
      </c>
      <c r="E4221" s="3" t="inlineStr">
        <is>
          <t>Interest Paid - Investors @ 7%</t>
        </is>
      </c>
      <c r="F4221" s="3" t="n">
        <v>0</v>
      </c>
      <c r="G4221" s="3" t="n">
        <v>11678.33</v>
      </c>
    </row>
    <row r="4222">
      <c r="A4222" s="3" t="inlineStr">
        <is>
          <t>Heron View (Pty) Ltd</t>
        </is>
      </c>
      <c r="B4222" s="4" t="n">
        <v>45199</v>
      </c>
      <c r="C4222" s="3" t="inlineStr">
        <is>
          <t>Expenses</t>
        </is>
      </c>
      <c r="D4222" s="3" t="inlineStr">
        <is>
          <t>3900/120</t>
        </is>
      </c>
      <c r="E4222" s="3" t="inlineStr">
        <is>
          <t>Interest Paid - Investors @ 7%</t>
        </is>
      </c>
      <c r="F4222" s="3" t="n">
        <v>932.4</v>
      </c>
      <c r="G4222" s="3" t="n">
        <v>1607.78</v>
      </c>
    </row>
    <row r="4223">
      <c r="A4223" s="3" t="inlineStr">
        <is>
          <t>Heron Fields (Pty) Ltd</t>
        </is>
      </c>
      <c r="B4223" s="4" t="n">
        <v>45199</v>
      </c>
      <c r="C4223" s="3" t="inlineStr">
        <is>
          <t>Expenses</t>
        </is>
      </c>
      <c r="D4223" s="3" t="inlineStr">
        <is>
          <t>3900/126</t>
        </is>
      </c>
      <c r="E4223" s="3" t="inlineStr">
        <is>
          <t>Interest Paid - Investors @ 7.5%</t>
        </is>
      </c>
      <c r="F4223" s="3" t="n">
        <v>0</v>
      </c>
      <c r="G4223" s="3" t="n">
        <v>1252.24</v>
      </c>
    </row>
    <row r="4224">
      <c r="A4224" s="3" t="inlineStr">
        <is>
          <t>Heron View (Pty) Ltd</t>
        </is>
      </c>
      <c r="B4224" s="4" t="n">
        <v>45199</v>
      </c>
      <c r="C4224" s="3" t="inlineStr">
        <is>
          <t>Expenses</t>
        </is>
      </c>
      <c r="D4224" s="3" t="inlineStr">
        <is>
          <t>3900/126</t>
        </is>
      </c>
      <c r="E4224" s="3" t="inlineStr">
        <is>
          <t>Interest Paid - Investors @ 7.5%</t>
        </is>
      </c>
      <c r="F4224" s="3" t="n">
        <v>82.19</v>
      </c>
      <c r="G4224" s="3" t="n">
        <v>1507.16</v>
      </c>
    </row>
    <row r="4225">
      <c r="A4225" s="3" t="inlineStr">
        <is>
          <t>Heron Fields (Pty) Ltd</t>
        </is>
      </c>
      <c r="B4225" s="4" t="n">
        <v>45199</v>
      </c>
      <c r="C4225" s="3" t="inlineStr">
        <is>
          <t>Expenses</t>
        </is>
      </c>
      <c r="D4225" s="3" t="inlineStr">
        <is>
          <t>3900/133</t>
        </is>
      </c>
      <c r="E4225" s="3" t="inlineStr">
        <is>
          <t>Interest Paid - Investors @ 8.25%</t>
        </is>
      </c>
      <c r="F4225" s="3" t="n">
        <v>0</v>
      </c>
      <c r="G4225" s="3" t="n">
        <v>5515.07</v>
      </c>
    </row>
    <row r="4226">
      <c r="A4226" s="3" t="inlineStr">
        <is>
          <t>Heron View (Pty) Ltd</t>
        </is>
      </c>
      <c r="B4226" s="4" t="n">
        <v>45199</v>
      </c>
      <c r="C4226" s="3" t="inlineStr">
        <is>
          <t>Expenses</t>
        </is>
      </c>
      <c r="D4226" s="3" t="inlineStr">
        <is>
          <t>3900/133</t>
        </is>
      </c>
      <c r="E4226" s="3" t="inlineStr">
        <is>
          <t>Interest Paid - Investors @ 8.25%</t>
        </is>
      </c>
      <c r="F4226" s="3" t="n">
        <v>26106.19</v>
      </c>
      <c r="G4226" s="3" t="n">
        <v>26106.19</v>
      </c>
    </row>
    <row r="4227">
      <c r="A4227" s="3" t="inlineStr">
        <is>
          <t>Heron Fields (Pty) Ltd</t>
        </is>
      </c>
      <c r="B4227" s="4" t="n">
        <v>45199</v>
      </c>
      <c r="C4227" s="3" t="inlineStr">
        <is>
          <t>Expenses</t>
        </is>
      </c>
      <c r="D4227" s="3" t="inlineStr">
        <is>
          <t>3900/140</t>
        </is>
      </c>
      <c r="E4227" s="3" t="inlineStr">
        <is>
          <t>Interest Paid - Investors @ 9%</t>
        </is>
      </c>
      <c r="F4227" s="3" t="n">
        <v>0</v>
      </c>
      <c r="G4227" s="3" t="n">
        <v>591.78</v>
      </c>
    </row>
    <row r="4228">
      <c r="A4228" s="3" t="inlineStr">
        <is>
          <t>Heron View (Pty) Ltd</t>
        </is>
      </c>
      <c r="B4228" s="4" t="n">
        <v>45199</v>
      </c>
      <c r="C4228" s="3" t="inlineStr">
        <is>
          <t>Expenses</t>
        </is>
      </c>
      <c r="D4228" s="3" t="inlineStr">
        <is>
          <t>3900/140</t>
        </is>
      </c>
      <c r="E4228" s="3" t="inlineStr">
        <is>
          <t>Interest Paid - Investors @ 9%</t>
        </is>
      </c>
      <c r="F4228" s="3" t="n">
        <v>34057.67</v>
      </c>
      <c r="G4228" s="3" t="n">
        <v>62238.37</v>
      </c>
    </row>
    <row r="4229">
      <c r="A4229" s="3" t="inlineStr">
        <is>
          <t>Heron View (Pty) Ltd</t>
        </is>
      </c>
      <c r="B4229" s="4" t="n">
        <v>45199</v>
      </c>
      <c r="C4229" s="3" t="inlineStr">
        <is>
          <t>Expenses</t>
        </is>
      </c>
      <c r="D4229" s="3" t="inlineStr">
        <is>
          <t>3900/147</t>
        </is>
      </c>
      <c r="E4229" s="3" t="inlineStr">
        <is>
          <t>Interest Paid - Investors @ 9.75%</t>
        </is>
      </c>
      <c r="F4229" s="3" t="n">
        <v>2537.9</v>
      </c>
      <c r="G4229" s="3" t="n">
        <v>2537.9</v>
      </c>
    </row>
    <row r="4230">
      <c r="A4230" s="3" t="inlineStr">
        <is>
          <t>Heron View (Pty) Ltd</t>
        </is>
      </c>
      <c r="B4230" s="4" t="n">
        <v>45199</v>
      </c>
      <c r="C4230" s="3" t="inlineStr">
        <is>
          <t>Expenses</t>
        </is>
      </c>
      <c r="D4230" s="3" t="inlineStr">
        <is>
          <t>3900/150</t>
        </is>
      </c>
      <c r="E4230" s="3" t="inlineStr">
        <is>
          <t>Interest Paid - Investors @ 10%</t>
        </is>
      </c>
      <c r="F4230" s="3" t="n">
        <v>4367.12</v>
      </c>
      <c r="G4230" s="3" t="n">
        <v>5709.59</v>
      </c>
    </row>
    <row r="4231">
      <c r="A4231" s="3" t="inlineStr">
        <is>
          <t>Heron View (Pty) Ltd</t>
        </is>
      </c>
      <c r="B4231" s="4" t="n">
        <v>45199</v>
      </c>
      <c r="C4231" s="3" t="inlineStr">
        <is>
          <t>Expenses</t>
        </is>
      </c>
      <c r="D4231" s="3" t="inlineStr">
        <is>
          <t>3900/155</t>
        </is>
      </c>
      <c r="E4231" s="3" t="inlineStr">
        <is>
          <t>Interest Paid - Investors @ 10.5%</t>
        </is>
      </c>
      <c r="F4231" s="3" t="n">
        <v>17723.42</v>
      </c>
      <c r="G4231" s="3" t="n">
        <v>19334.38</v>
      </c>
    </row>
    <row r="4232">
      <c r="A4232" s="3" t="inlineStr">
        <is>
          <t>Heron View (Pty) Ltd</t>
        </is>
      </c>
      <c r="B4232" s="4" t="n">
        <v>45199</v>
      </c>
      <c r="C4232" s="3" t="inlineStr">
        <is>
          <t>Expenses</t>
        </is>
      </c>
      <c r="D4232" s="3" t="inlineStr">
        <is>
          <t>3900/160</t>
        </is>
      </c>
      <c r="E4232" s="3" t="inlineStr">
        <is>
          <t>Interest Paid - Investors @ 11%</t>
        </is>
      </c>
      <c r="F4232" s="3" t="n">
        <v>9131.51</v>
      </c>
      <c r="G4232" s="3" t="n">
        <v>9131.51</v>
      </c>
    </row>
    <row r="4233">
      <c r="A4233" s="3" t="inlineStr">
        <is>
          <t>Heron Fields (Pty) Ltd</t>
        </is>
      </c>
      <c r="B4233" s="4" t="n">
        <v>45199</v>
      </c>
      <c r="C4233" s="3" t="inlineStr">
        <is>
          <t>Expenses</t>
        </is>
      </c>
      <c r="D4233" s="3" t="inlineStr">
        <is>
          <t>3900/190</t>
        </is>
      </c>
      <c r="E4233" s="3" t="inlineStr">
        <is>
          <t>Interest Paid - Investors @ 14%</t>
        </is>
      </c>
      <c r="F4233" s="3" t="n">
        <v>0</v>
      </c>
      <c r="G4233" s="3" t="n">
        <v>400367.2</v>
      </c>
    </row>
    <row r="4234">
      <c r="A4234" s="3" t="inlineStr">
        <is>
          <t>Heron View (Pty) Ltd</t>
        </is>
      </c>
      <c r="B4234" s="4" t="n">
        <v>45199</v>
      </c>
      <c r="C4234" s="3" t="inlineStr">
        <is>
          <t>Expenses</t>
        </is>
      </c>
      <c r="D4234" s="3" t="inlineStr">
        <is>
          <t>3900/190</t>
        </is>
      </c>
      <c r="E4234" s="3" t="inlineStr">
        <is>
          <t>Interest Paid - Investors @ 14%</t>
        </is>
      </c>
      <c r="F4234" s="3" t="n">
        <v>274749.93</v>
      </c>
      <c r="G4234" s="3" t="n">
        <v>589744.15</v>
      </c>
    </row>
    <row r="4235">
      <c r="A4235" s="3" t="inlineStr">
        <is>
          <t>Heron Fields (Pty) Ltd</t>
        </is>
      </c>
      <c r="B4235" s="4" t="n">
        <v>45199</v>
      </c>
      <c r="C4235" s="3" t="inlineStr">
        <is>
          <t>Expenses</t>
        </is>
      </c>
      <c r="D4235" s="3" t="inlineStr">
        <is>
          <t>3900/200</t>
        </is>
      </c>
      <c r="E4235" s="3" t="inlineStr">
        <is>
          <t>Interest Paid - Investors @ 15%</t>
        </is>
      </c>
      <c r="F4235" s="3" t="n">
        <v>0</v>
      </c>
      <c r="G4235" s="3" t="n">
        <v>333349.31</v>
      </c>
    </row>
    <row r="4236">
      <c r="A4236" s="3" t="inlineStr">
        <is>
          <t>Heron Fields (Pty) Ltd</t>
        </is>
      </c>
      <c r="B4236" s="4" t="n">
        <v>45199</v>
      </c>
      <c r="C4236" s="3" t="inlineStr">
        <is>
          <t>Expenses</t>
        </is>
      </c>
      <c r="D4236" s="3" t="inlineStr">
        <is>
          <t>3900/210</t>
        </is>
      </c>
      <c r="E4236" s="3" t="inlineStr">
        <is>
          <t>Interest Paid - Investors @ 16%</t>
        </is>
      </c>
      <c r="F4236" s="3" t="n">
        <v>0</v>
      </c>
      <c r="G4236" s="3" t="n">
        <v>47473.98</v>
      </c>
    </row>
    <row r="4237">
      <c r="A4237" s="3" t="inlineStr">
        <is>
          <t>Heron View (Pty) Ltd</t>
        </is>
      </c>
      <c r="B4237" s="4" t="n">
        <v>45199</v>
      </c>
      <c r="C4237" s="3" t="inlineStr">
        <is>
          <t>Expenses</t>
        </is>
      </c>
      <c r="D4237" s="3" t="inlineStr">
        <is>
          <t>3900/210</t>
        </is>
      </c>
      <c r="E4237" s="3" t="inlineStr">
        <is>
          <t>Interest Paid - Investors @ 16%</t>
        </is>
      </c>
      <c r="F4237" s="3" t="n">
        <v>91616.44</v>
      </c>
      <c r="G4237" s="3" t="n">
        <v>128315.62</v>
      </c>
    </row>
    <row r="4238">
      <c r="A4238" s="3" t="inlineStr">
        <is>
          <t>Heron Fields (Pty) Ltd</t>
        </is>
      </c>
      <c r="B4238" s="4" t="n">
        <v>45199</v>
      </c>
      <c r="C4238" s="3" t="inlineStr">
        <is>
          <t>Expenses</t>
        </is>
      </c>
      <c r="D4238" s="3" t="inlineStr">
        <is>
          <t>3900/230</t>
        </is>
      </c>
      <c r="E4238" s="3" t="inlineStr">
        <is>
          <t>Interest Paid - Investors @ 18%</t>
        </is>
      </c>
      <c r="F4238" s="3" t="n">
        <v>0</v>
      </c>
      <c r="G4238" s="3" t="n">
        <v>3197167.68</v>
      </c>
    </row>
    <row r="4239">
      <c r="A4239" s="3" t="inlineStr">
        <is>
          <t>Heron View (Pty) Ltd</t>
        </is>
      </c>
      <c r="B4239" s="4" t="n">
        <v>45199</v>
      </c>
      <c r="C4239" s="3" t="inlineStr">
        <is>
          <t>Expenses</t>
        </is>
      </c>
      <c r="D4239" s="3" t="inlineStr">
        <is>
          <t>3900/230</t>
        </is>
      </c>
      <c r="E4239" s="3" t="inlineStr">
        <is>
          <t>Interest Paid - Investors @ 18%</t>
        </is>
      </c>
      <c r="F4239" s="3" t="n">
        <v>1025053.74</v>
      </c>
      <c r="G4239" s="3" t="n">
        <v>1428401.69</v>
      </c>
    </row>
    <row r="4240">
      <c r="A4240" s="3" t="inlineStr">
        <is>
          <t>Cape Projects Construction (Pty) Ltd</t>
        </is>
      </c>
      <c r="B4240" s="4" t="n">
        <v>45199</v>
      </c>
      <c r="C4240" s="3" t="inlineStr">
        <is>
          <t>Expenses</t>
        </is>
      </c>
      <c r="D4240" s="3" t="inlineStr">
        <is>
          <t>4000/000</t>
        </is>
      </c>
      <c r="E4240" s="3" t="inlineStr">
        <is>
          <t>Legal Fees</t>
        </is>
      </c>
      <c r="F4240" s="3" t="n">
        <v>0</v>
      </c>
      <c r="G4240" s="3" t="n">
        <v>5202.88</v>
      </c>
    </row>
    <row r="4241">
      <c r="A4241" s="3" t="inlineStr">
        <is>
          <t>Heron View (Pty) Ltd</t>
        </is>
      </c>
      <c r="B4241" s="4" t="n">
        <v>45199</v>
      </c>
      <c r="C4241" s="3" t="inlineStr">
        <is>
          <t>Expenses</t>
        </is>
      </c>
      <c r="D4241" s="3" t="inlineStr">
        <is>
          <t>4050/000</t>
        </is>
      </c>
      <c r="E4241" s="3" t="inlineStr">
        <is>
          <t>Levies</t>
        </is>
      </c>
      <c r="F4241" s="3" t="n">
        <v>95314.44</v>
      </c>
      <c r="G4241" s="3" t="n">
        <v>95314.44</v>
      </c>
    </row>
    <row r="4242">
      <c r="A4242" s="3" t="inlineStr">
        <is>
          <t>Heron Fields (Pty) Ltd</t>
        </is>
      </c>
      <c r="B4242" s="4" t="n">
        <v>45199</v>
      </c>
      <c r="C4242" s="3" t="inlineStr">
        <is>
          <t>Expenses</t>
        </is>
      </c>
      <c r="D4242" s="3" t="inlineStr">
        <is>
          <t>4050/100</t>
        </is>
      </c>
      <c r="E4242" s="3" t="inlineStr">
        <is>
          <t>Developers Levies</t>
        </is>
      </c>
      <c r="F4242" s="3" t="n">
        <v>0</v>
      </c>
      <c r="G4242" s="3" t="n">
        <v>76865.83</v>
      </c>
    </row>
    <row r="4243">
      <c r="A4243" s="3" t="inlineStr">
        <is>
          <t>Heron Fields (Pty) Ltd</t>
        </is>
      </c>
      <c r="B4243" s="4" t="n">
        <v>45199</v>
      </c>
      <c r="C4243" s="3" t="inlineStr">
        <is>
          <t>Expenses</t>
        </is>
      </c>
      <c r="D4243" s="3" t="inlineStr">
        <is>
          <t>4050/200</t>
        </is>
      </c>
      <c r="E4243" s="3" t="inlineStr">
        <is>
          <t>Levies - Amari</t>
        </is>
      </c>
      <c r="F4243" s="3" t="n">
        <v>4142.54</v>
      </c>
      <c r="G4243" s="3" t="n">
        <v>4142.54</v>
      </c>
    </row>
    <row r="4244">
      <c r="A4244" s="3" t="inlineStr">
        <is>
          <t>Heron View (Pty) Ltd</t>
        </is>
      </c>
      <c r="B4244" s="4" t="n">
        <v>45199</v>
      </c>
      <c r="C4244" s="3" t="inlineStr">
        <is>
          <t>Expenses</t>
        </is>
      </c>
      <c r="D4244" s="3" t="inlineStr">
        <is>
          <t>4070/000</t>
        </is>
      </c>
      <c r="E4244" s="3" t="inlineStr">
        <is>
          <t>Management fees - OMH</t>
        </is>
      </c>
      <c r="F4244" s="3" t="n">
        <v>0</v>
      </c>
      <c r="G4244" s="3" t="n">
        <v>400000</v>
      </c>
    </row>
    <row r="4245">
      <c r="A4245" s="3" t="inlineStr">
        <is>
          <t>Heron Fields (Pty) Ltd</t>
        </is>
      </c>
      <c r="B4245" s="4" t="n">
        <v>45199</v>
      </c>
      <c r="C4245" s="3" t="inlineStr">
        <is>
          <t>Expenses</t>
        </is>
      </c>
      <c r="D4245" s="3" t="inlineStr">
        <is>
          <t>4100/001</t>
        </is>
      </c>
      <c r="E4245" s="3" t="inlineStr">
        <is>
          <t>Momentum Admin Fee</t>
        </is>
      </c>
      <c r="F4245" s="3" t="n">
        <v>15149.62</v>
      </c>
      <c r="G4245" s="3" t="n">
        <v>72656.57000000001</v>
      </c>
    </row>
    <row r="4246">
      <c r="A4246" s="3" t="inlineStr">
        <is>
          <t>Cape Projects Construction (Pty) Ltd</t>
        </is>
      </c>
      <c r="B4246" s="4" t="n">
        <v>45199</v>
      </c>
      <c r="C4246" s="3" t="inlineStr">
        <is>
          <t>Expenses</t>
        </is>
      </c>
      <c r="D4246" s="3" t="inlineStr">
        <is>
          <t>4150/000</t>
        </is>
      </c>
      <c r="E4246" s="3" t="inlineStr">
        <is>
          <t>Motor Vehicle Expenses</t>
        </is>
      </c>
      <c r="F4246" s="3" t="n">
        <v>0</v>
      </c>
      <c r="G4246" s="3" t="n">
        <v>362</v>
      </c>
    </row>
    <row r="4247">
      <c r="A4247" s="3" t="inlineStr">
        <is>
          <t>Heron Fields (Pty) Ltd</t>
        </is>
      </c>
      <c r="B4247" s="4" t="n">
        <v>45199</v>
      </c>
      <c r="C4247" s="3" t="inlineStr">
        <is>
          <t>Expenses</t>
        </is>
      </c>
      <c r="D4247" s="3" t="inlineStr">
        <is>
          <t>4150/000</t>
        </is>
      </c>
      <c r="E4247" s="3" t="inlineStr">
        <is>
          <t>Motor Vehicle Expenses</t>
        </is>
      </c>
      <c r="F4247" s="3" t="n">
        <v>0</v>
      </c>
      <c r="G4247" s="3" t="n">
        <v>20</v>
      </c>
    </row>
    <row r="4248">
      <c r="A4248" s="3" t="inlineStr">
        <is>
          <t>Cape Projects Construction (Pty) Ltd</t>
        </is>
      </c>
      <c r="B4248" s="4" t="n">
        <v>45199</v>
      </c>
      <c r="C4248" s="3" t="inlineStr">
        <is>
          <t>Expenses</t>
        </is>
      </c>
      <c r="D4248" s="3" t="inlineStr">
        <is>
          <t>4150/010</t>
        </is>
      </c>
      <c r="E4248" s="3" t="inlineStr">
        <is>
          <t>Motor Vehicle - Petrol _AND_ Oil</t>
        </is>
      </c>
      <c r="F4248" s="3" t="n">
        <v>5244.4</v>
      </c>
      <c r="G4248" s="3" t="n">
        <v>30048.43</v>
      </c>
    </row>
    <row r="4249">
      <c r="A4249" s="3" t="inlineStr">
        <is>
          <t>Cape Projects Construction (Pty) Ltd</t>
        </is>
      </c>
      <c r="B4249" s="4" t="n">
        <v>45199</v>
      </c>
      <c r="C4249" s="3" t="inlineStr">
        <is>
          <t>Expenses</t>
        </is>
      </c>
      <c r="D4249" s="3" t="inlineStr">
        <is>
          <t>4150/020</t>
        </is>
      </c>
      <c r="E4249" s="3" t="inlineStr">
        <is>
          <t>Motor Vehicle - Repairs _AND_ Maint.</t>
        </is>
      </c>
      <c r="F4249" s="3" t="n">
        <v>3637</v>
      </c>
      <c r="G4249" s="3" t="n">
        <v>3637</v>
      </c>
    </row>
    <row r="4250">
      <c r="A4250" s="3" t="inlineStr">
        <is>
          <t>Cape Projects Construction (Pty) Ltd</t>
        </is>
      </c>
      <c r="B4250" s="4" t="n">
        <v>45199</v>
      </c>
      <c r="C4250" s="3" t="inlineStr">
        <is>
          <t>Expenses</t>
        </is>
      </c>
      <c r="D4250" s="3" t="inlineStr">
        <is>
          <t>4150/030</t>
        </is>
      </c>
      <c r="E4250" s="3" t="inlineStr">
        <is>
          <t>Motor Vehicle - Insurance _AND_ Licence</t>
        </is>
      </c>
      <c r="F4250" s="3" t="n">
        <v>0</v>
      </c>
      <c r="G4250" s="3" t="n">
        <v>1069</v>
      </c>
    </row>
    <row r="4251">
      <c r="A4251" s="3" t="inlineStr">
        <is>
          <t>Cape Projects Construction (Pty) Ltd</t>
        </is>
      </c>
      <c r="B4251" s="4" t="n">
        <v>45199</v>
      </c>
      <c r="C4251" s="3" t="inlineStr">
        <is>
          <t>Expenses</t>
        </is>
      </c>
      <c r="D4251" s="3" t="inlineStr">
        <is>
          <t>4200/000</t>
        </is>
      </c>
      <c r="E4251" s="3" t="inlineStr">
        <is>
          <t>Printing _AND_ Stationery</t>
        </is>
      </c>
      <c r="F4251" s="3" t="n">
        <v>7557.38</v>
      </c>
      <c r="G4251" s="3" t="n">
        <v>25896.3</v>
      </c>
    </row>
    <row r="4252">
      <c r="A4252" s="3" t="inlineStr">
        <is>
          <t>Cape Projects Construction (Pty) Ltd</t>
        </is>
      </c>
      <c r="B4252" s="4" t="n">
        <v>45199</v>
      </c>
      <c r="C4252" s="3" t="inlineStr">
        <is>
          <t>Expenses</t>
        </is>
      </c>
      <c r="D4252" s="3" t="inlineStr">
        <is>
          <t>4201/000</t>
        </is>
      </c>
      <c r="E4252" s="3" t="inlineStr">
        <is>
          <t>Printing - Printer rental</t>
        </is>
      </c>
      <c r="F4252" s="3" t="n">
        <v>2745.32</v>
      </c>
      <c r="G4252" s="3" t="n">
        <v>14468.89</v>
      </c>
    </row>
    <row r="4253">
      <c r="A4253" s="3" t="inlineStr">
        <is>
          <t>Cape Projects Construction (Pty) Ltd</t>
        </is>
      </c>
      <c r="B4253" s="4" t="n">
        <v>45199</v>
      </c>
      <c r="C4253" s="3" t="inlineStr">
        <is>
          <t>Expenses</t>
        </is>
      </c>
      <c r="D4253" s="3" t="inlineStr">
        <is>
          <t>4300/000</t>
        </is>
      </c>
      <c r="E4253" s="3" t="inlineStr">
        <is>
          <t>Rent Paid</t>
        </is>
      </c>
      <c r="F4253" s="3" t="n">
        <v>29600</v>
      </c>
      <c r="G4253" s="3" t="n">
        <v>207200</v>
      </c>
    </row>
    <row r="4254">
      <c r="A4254" s="3" t="inlineStr">
        <is>
          <t>Cape Projects Construction (Pty) Ltd</t>
        </is>
      </c>
      <c r="B4254" s="4" t="n">
        <v>45199</v>
      </c>
      <c r="C4254" s="3" t="inlineStr">
        <is>
          <t>Expenses</t>
        </is>
      </c>
      <c r="D4254" s="3" t="inlineStr">
        <is>
          <t>4310/000</t>
        </is>
      </c>
      <c r="E4254" s="3" t="inlineStr">
        <is>
          <t>Rates</t>
        </is>
      </c>
      <c r="F4254" s="3" t="n">
        <v>989.75</v>
      </c>
      <c r="G4254" s="3" t="n">
        <v>8078.79</v>
      </c>
    </row>
    <row r="4255">
      <c r="A4255" s="3" t="inlineStr">
        <is>
          <t>Heron Fields (Pty) Ltd</t>
        </is>
      </c>
      <c r="B4255" s="4" t="n">
        <v>45199</v>
      </c>
      <c r="C4255" s="3" t="inlineStr">
        <is>
          <t>Expenses</t>
        </is>
      </c>
      <c r="D4255" s="3" t="inlineStr">
        <is>
          <t>4310/000</t>
        </is>
      </c>
      <c r="E4255" s="3" t="inlineStr">
        <is>
          <t>Rates - Heron</t>
        </is>
      </c>
      <c r="F4255" s="3" t="n">
        <v>9078.59</v>
      </c>
      <c r="G4255" s="3" t="n">
        <v>-2317.84</v>
      </c>
    </row>
    <row r="4256">
      <c r="A4256" s="3" t="inlineStr">
        <is>
          <t>Cape Projects Construction (Pty) Ltd</t>
        </is>
      </c>
      <c r="B4256" s="4" t="n">
        <v>45199</v>
      </c>
      <c r="C4256" s="3" t="inlineStr">
        <is>
          <t>Expenses</t>
        </is>
      </c>
      <c r="D4256" s="3" t="inlineStr">
        <is>
          <t>4350/000</t>
        </is>
      </c>
      <c r="E4256" s="3" t="inlineStr">
        <is>
          <t>Repairs _AND_ Maintenance</t>
        </is>
      </c>
      <c r="F4256" s="3" t="n">
        <v>0</v>
      </c>
      <c r="G4256" s="3" t="n">
        <v>15462.01</v>
      </c>
    </row>
    <row r="4257">
      <c r="A4257" s="3" t="inlineStr">
        <is>
          <t>Heron Fields (Pty) Ltd</t>
        </is>
      </c>
      <c r="B4257" s="4" t="n">
        <v>45199</v>
      </c>
      <c r="C4257" s="3" t="inlineStr">
        <is>
          <t>Expenses</t>
        </is>
      </c>
      <c r="D4257" s="3" t="inlineStr">
        <is>
          <t>4350/000</t>
        </is>
      </c>
      <c r="E4257" s="3" t="inlineStr">
        <is>
          <t>Repairs _AND_ Maintenance</t>
        </is>
      </c>
      <c r="F4257" s="3" t="n">
        <v>0</v>
      </c>
      <c r="G4257" s="3" t="n">
        <v>33647.28</v>
      </c>
    </row>
    <row r="4258">
      <c r="A4258" s="3" t="inlineStr">
        <is>
          <t>Heron View (Pty) Ltd</t>
        </is>
      </c>
      <c r="B4258" s="4" t="n">
        <v>45199</v>
      </c>
      <c r="C4258" s="3" t="inlineStr">
        <is>
          <t>Expenses</t>
        </is>
      </c>
      <c r="D4258" s="3" t="inlineStr">
        <is>
          <t>4350/000</t>
        </is>
      </c>
      <c r="E4258" s="3" t="inlineStr">
        <is>
          <t>Repairs _AND_ Maintenance</t>
        </is>
      </c>
      <c r="F4258" s="3" t="n">
        <v>16566.56</v>
      </c>
      <c r="G4258" s="3" t="n">
        <v>16566.56</v>
      </c>
    </row>
    <row r="4259">
      <c r="A4259" s="3" t="inlineStr">
        <is>
          <t>Cape Projects Construction (Pty) Ltd</t>
        </is>
      </c>
      <c r="B4259" s="4" t="n">
        <v>45199</v>
      </c>
      <c r="C4259" s="3" t="inlineStr">
        <is>
          <t>Expenses</t>
        </is>
      </c>
      <c r="D4259" s="3" t="inlineStr">
        <is>
          <t>4400/000</t>
        </is>
      </c>
      <c r="E4259" s="3" t="inlineStr">
        <is>
          <t>Salaries _AND_ Wages</t>
        </is>
      </c>
      <c r="F4259" s="3" t="n">
        <v>367762.35</v>
      </c>
      <c r="G4259" s="3" t="n">
        <v>2459557.83</v>
      </c>
    </row>
    <row r="4260">
      <c r="A4260" s="3" t="inlineStr">
        <is>
          <t>Cape Projects Construction (Pty) Ltd</t>
        </is>
      </c>
      <c r="B4260" s="4" t="n">
        <v>45199</v>
      </c>
      <c r="C4260" s="3" t="inlineStr">
        <is>
          <t>Expenses</t>
        </is>
      </c>
      <c r="D4260" s="3" t="inlineStr">
        <is>
          <t>4402</t>
        </is>
      </c>
      <c r="E4260" s="3" t="inlineStr">
        <is>
          <t>Salaries &amp; Wages - WCA</t>
        </is>
      </c>
      <c r="F4260" s="3" t="n">
        <v>0</v>
      </c>
      <c r="G4260" s="3" t="n">
        <v>5192.13</v>
      </c>
    </row>
    <row r="4261">
      <c r="A4261" s="3" t="inlineStr">
        <is>
          <t>Cape Projects Construction (Pty) Ltd</t>
        </is>
      </c>
      <c r="B4261" s="4" t="n">
        <v>45199</v>
      </c>
      <c r="C4261" s="3" t="inlineStr">
        <is>
          <t>Expenses</t>
        </is>
      </c>
      <c r="D4261" s="3" t="inlineStr">
        <is>
          <t>4403/000</t>
        </is>
      </c>
      <c r="E4261" s="3" t="inlineStr">
        <is>
          <t>Security</t>
        </is>
      </c>
      <c r="F4261" s="3" t="n">
        <v>177.33</v>
      </c>
      <c r="G4261" s="3" t="n">
        <v>1241.31</v>
      </c>
    </row>
    <row r="4262">
      <c r="A4262" s="3" t="inlineStr">
        <is>
          <t>Cape Projects Construction (Pty) Ltd</t>
        </is>
      </c>
      <c r="B4262" s="4" t="n">
        <v>45199</v>
      </c>
      <c r="C4262" s="3" t="inlineStr">
        <is>
          <t>Expenses</t>
        </is>
      </c>
      <c r="D4262" s="3" t="inlineStr">
        <is>
          <t>4420/000</t>
        </is>
      </c>
      <c r="E4262" s="3" t="inlineStr">
        <is>
          <t>Small Assets</t>
        </is>
      </c>
      <c r="F4262" s="3" t="n">
        <v>3800</v>
      </c>
      <c r="G4262" s="3" t="n">
        <v>23068.46</v>
      </c>
    </row>
    <row r="4263">
      <c r="A4263" s="3" t="inlineStr">
        <is>
          <t>Heron Fields (Pty) Ltd</t>
        </is>
      </c>
      <c r="B4263" s="4" t="n">
        <v>45199</v>
      </c>
      <c r="C4263" s="3" t="inlineStr">
        <is>
          <t>Expenses</t>
        </is>
      </c>
      <c r="D4263" s="3" t="inlineStr">
        <is>
          <t>4420/001</t>
        </is>
      </c>
      <c r="E4263" s="3" t="inlineStr">
        <is>
          <t>Security - ADT</t>
        </is>
      </c>
      <c r="F4263" s="3" t="n">
        <v>366.14</v>
      </c>
      <c r="G4263" s="3" t="n">
        <v>2449.7</v>
      </c>
    </row>
    <row r="4264">
      <c r="A4264" s="3" t="inlineStr">
        <is>
          <t>Cape Projects Construction (Pty) Ltd</t>
        </is>
      </c>
      <c r="B4264" s="4" t="n">
        <v>45199</v>
      </c>
      <c r="C4264" s="3" t="inlineStr">
        <is>
          <t>Expenses</t>
        </is>
      </c>
      <c r="D4264" s="3" t="inlineStr">
        <is>
          <t>4500/000</t>
        </is>
      </c>
      <c r="E4264" s="3" t="inlineStr">
        <is>
          <t>Staff Welfare _AND_ Refreshmts</t>
        </is>
      </c>
      <c r="F4264" s="3" t="n">
        <v>3395.64</v>
      </c>
      <c r="G4264" s="3" t="n">
        <v>28480.15</v>
      </c>
    </row>
    <row r="4265">
      <c r="A4265" s="3" t="inlineStr">
        <is>
          <t>Cape Projects Construction (Pty) Ltd</t>
        </is>
      </c>
      <c r="B4265" s="4" t="n">
        <v>45199</v>
      </c>
      <c r="C4265" s="3" t="inlineStr">
        <is>
          <t>Expenses</t>
        </is>
      </c>
      <c r="D4265" s="3" t="inlineStr">
        <is>
          <t>4550/000</t>
        </is>
      </c>
      <c r="E4265" s="3" t="inlineStr">
        <is>
          <t>Subscriptions / Licenses</t>
        </is>
      </c>
      <c r="F4265" s="3" t="n">
        <v>0</v>
      </c>
      <c r="G4265" s="3" t="n">
        <v>13527.97</v>
      </c>
    </row>
    <row r="4266">
      <c r="A4266" s="3" t="inlineStr">
        <is>
          <t>Cape Projects Construction (Pty) Ltd</t>
        </is>
      </c>
      <c r="B4266" s="4" t="n">
        <v>45199</v>
      </c>
      <c r="C4266" s="3" t="inlineStr">
        <is>
          <t>Expenses</t>
        </is>
      </c>
      <c r="D4266" s="3" t="inlineStr">
        <is>
          <t>4550/001</t>
        </is>
      </c>
      <c r="E4266" s="3" t="inlineStr">
        <is>
          <t>Subscriptions &amp; Licenses - Sage payroll</t>
        </is>
      </c>
      <c r="F4266" s="3" t="n">
        <v>747</v>
      </c>
      <c r="G4266" s="3" t="n">
        <v>5229</v>
      </c>
    </row>
    <row r="4267">
      <c r="A4267" s="3" t="inlineStr">
        <is>
          <t>Cape Projects Construction (Pty) Ltd</t>
        </is>
      </c>
      <c r="B4267" s="4" t="n">
        <v>45199</v>
      </c>
      <c r="C4267" s="3" t="inlineStr">
        <is>
          <t>Expenses</t>
        </is>
      </c>
      <c r="D4267" s="3" t="inlineStr">
        <is>
          <t>4550/002</t>
        </is>
      </c>
      <c r="E4267" s="3" t="inlineStr">
        <is>
          <t>Subscriptions &amp; Licenses - Caseware</t>
        </is>
      </c>
      <c r="F4267" s="3" t="n">
        <v>0</v>
      </c>
      <c r="G4267" s="3" t="n">
        <v>10825.49</v>
      </c>
    </row>
    <row r="4268">
      <c r="A4268" s="3" t="inlineStr">
        <is>
          <t>Cape Projects Construction (Pty) Ltd</t>
        </is>
      </c>
      <c r="B4268" s="4" t="n">
        <v>45199</v>
      </c>
      <c r="C4268" s="3" t="inlineStr">
        <is>
          <t>Expenses</t>
        </is>
      </c>
      <c r="D4268" s="3" t="inlineStr">
        <is>
          <t>4550/003</t>
        </is>
      </c>
      <c r="E4268" s="3" t="inlineStr">
        <is>
          <t>Subscriptions &amp; Licenses - Xero</t>
        </is>
      </c>
      <c r="F4268" s="3" t="n">
        <v>600</v>
      </c>
      <c r="G4268" s="3" t="n">
        <v>4200</v>
      </c>
    </row>
    <row r="4269">
      <c r="A4269" s="3" t="inlineStr">
        <is>
          <t>Cape Projects Construction (Pty) Ltd</t>
        </is>
      </c>
      <c r="B4269" s="4" t="n">
        <v>45199</v>
      </c>
      <c r="C4269" s="3" t="inlineStr">
        <is>
          <t>Expenses</t>
        </is>
      </c>
      <c r="D4269" s="3" t="inlineStr">
        <is>
          <t>4550/004</t>
        </is>
      </c>
      <c r="E4269" s="3" t="inlineStr">
        <is>
          <t>Subscriptions - Smartsheet</t>
        </is>
      </c>
      <c r="F4269" s="3" t="n">
        <v>846.99</v>
      </c>
      <c r="G4269" s="3" t="n">
        <v>5733.72</v>
      </c>
    </row>
    <row r="4270">
      <c r="A4270" s="3" t="inlineStr">
        <is>
          <t>Cape Projects Construction (Pty) Ltd</t>
        </is>
      </c>
      <c r="B4270" s="4" t="n">
        <v>45199</v>
      </c>
      <c r="C4270" s="3" t="inlineStr">
        <is>
          <t>Expenses</t>
        </is>
      </c>
      <c r="D4270" s="3" t="inlineStr">
        <is>
          <t>4550/008</t>
        </is>
      </c>
      <c r="E4270" s="3" t="inlineStr">
        <is>
          <t>Subscriptions  - Adobe</t>
        </is>
      </c>
      <c r="F4270" s="3" t="n">
        <v>0</v>
      </c>
      <c r="G4270" s="3" t="n">
        <v>4498.72</v>
      </c>
    </row>
    <row r="4271">
      <c r="A4271" s="3" t="inlineStr">
        <is>
          <t>Heron Fields (Pty) Ltd</t>
        </is>
      </c>
      <c r="B4271" s="4" t="n">
        <v>45199</v>
      </c>
      <c r="C4271" s="3" t="inlineStr">
        <is>
          <t>Expenses</t>
        </is>
      </c>
      <c r="D4271" s="3" t="inlineStr">
        <is>
          <t>4550/100</t>
        </is>
      </c>
      <c r="E4271" s="3" t="inlineStr">
        <is>
          <t>Subscriptions - Xero</t>
        </is>
      </c>
      <c r="F4271" s="3" t="n">
        <v>600</v>
      </c>
      <c r="G4271" s="3" t="n">
        <v>4200</v>
      </c>
    </row>
    <row r="4272">
      <c r="A4272" s="3" t="inlineStr">
        <is>
          <t>Heron View (Pty) Ltd</t>
        </is>
      </c>
      <c r="B4272" s="4" t="n">
        <v>45199</v>
      </c>
      <c r="C4272" s="3" t="inlineStr">
        <is>
          <t>Expenses</t>
        </is>
      </c>
      <c r="D4272" s="3" t="inlineStr">
        <is>
          <t>4550/100</t>
        </is>
      </c>
      <c r="E4272" s="3" t="inlineStr">
        <is>
          <t>Subscriptions - Xero</t>
        </is>
      </c>
      <c r="F4272" s="3" t="n">
        <v>600</v>
      </c>
      <c r="G4272" s="3" t="n">
        <v>4200</v>
      </c>
    </row>
    <row r="4273">
      <c r="A4273" s="3" t="inlineStr">
        <is>
          <t>Cape Projects Construction (Pty) Ltd</t>
        </is>
      </c>
      <c r="B4273" s="4" t="n">
        <v>45199</v>
      </c>
      <c r="C4273" s="3" t="inlineStr">
        <is>
          <t>Expenses</t>
        </is>
      </c>
      <c r="D4273" s="3" t="inlineStr">
        <is>
          <t>4560</t>
        </is>
      </c>
      <c r="E4273" s="3" t="inlineStr">
        <is>
          <t>Secretarial fees - CIPC</t>
        </is>
      </c>
      <c r="F4273" s="3" t="n">
        <v>0</v>
      </c>
      <c r="G4273" s="3" t="n">
        <v>4000</v>
      </c>
    </row>
    <row r="4274">
      <c r="A4274" s="3" t="inlineStr">
        <is>
          <t>Cape Projects Construction (Pty) Ltd</t>
        </is>
      </c>
      <c r="B4274" s="4" t="n">
        <v>45199</v>
      </c>
      <c r="C4274" s="3" t="inlineStr">
        <is>
          <t>Expenses</t>
        </is>
      </c>
      <c r="D4274" s="3" t="inlineStr">
        <is>
          <t>4600/000</t>
        </is>
      </c>
      <c r="E4274" s="3" t="inlineStr">
        <is>
          <t>Telephone _AND_ Fax</t>
        </is>
      </c>
      <c r="F4274" s="3" t="n">
        <v>0</v>
      </c>
      <c r="G4274" s="3" t="n">
        <v>11566.33</v>
      </c>
    </row>
    <row r="4275">
      <c r="A4275" s="3" t="inlineStr">
        <is>
          <t>Cape Projects Construction (Pty) Ltd</t>
        </is>
      </c>
      <c r="B4275" s="4" t="n">
        <v>45199</v>
      </c>
      <c r="C4275" s="3" t="inlineStr">
        <is>
          <t>Expenses</t>
        </is>
      </c>
      <c r="D4275" s="3" t="inlineStr">
        <is>
          <t>4700/000</t>
        </is>
      </c>
      <c r="E4275" s="3" t="inlineStr">
        <is>
          <t>PAYE Contributions</t>
        </is>
      </c>
      <c r="F4275" s="3" t="n">
        <v>81838.63</v>
      </c>
      <c r="G4275" s="3" t="n">
        <v>558969.95</v>
      </c>
    </row>
    <row r="4276">
      <c r="A4276" s="3" t="inlineStr">
        <is>
          <t>Cape Projects Construction (Pty) Ltd</t>
        </is>
      </c>
      <c r="B4276" s="4" t="n">
        <v>45199</v>
      </c>
      <c r="C4276" s="3" t="inlineStr">
        <is>
          <t>Expenses</t>
        </is>
      </c>
      <c r="D4276" s="3" t="inlineStr">
        <is>
          <t>4720/000</t>
        </is>
      </c>
      <c r="E4276" s="3" t="inlineStr">
        <is>
          <t>SDL Contributions</t>
        </is>
      </c>
      <c r="F4276" s="3" t="n">
        <v>4371.35</v>
      </c>
      <c r="G4276" s="3" t="n">
        <v>29311.72</v>
      </c>
    </row>
    <row r="4277">
      <c r="A4277" s="3" t="inlineStr">
        <is>
          <t>Cape Projects Construction (Pty) Ltd</t>
        </is>
      </c>
      <c r="B4277" s="4" t="n">
        <v>45199</v>
      </c>
      <c r="C4277" s="3" t="inlineStr">
        <is>
          <t>Expenses</t>
        </is>
      </c>
      <c r="D4277" s="3" t="inlineStr">
        <is>
          <t>4730/000</t>
        </is>
      </c>
      <c r="E4277" s="3" t="inlineStr">
        <is>
          <t>UIF Company Contributions</t>
        </is>
      </c>
      <c r="F4277" s="3" t="n">
        <v>2385.07</v>
      </c>
      <c r="G4277" s="3" t="n">
        <v>15701.95</v>
      </c>
    </row>
    <row r="4278">
      <c r="A4278" s="3" t="inlineStr">
        <is>
          <t>Cape Projects Construction (Pty) Ltd</t>
        </is>
      </c>
      <c r="B4278" s="4" t="n">
        <v>45199</v>
      </c>
      <c r="C4278" s="3" t="inlineStr">
        <is>
          <t>Expenses</t>
        </is>
      </c>
      <c r="D4278" s="3" t="inlineStr">
        <is>
          <t>4731/000</t>
        </is>
      </c>
      <c r="E4278" s="3" t="inlineStr">
        <is>
          <t>UIF Employee Contribution</t>
        </is>
      </c>
      <c r="F4278" s="3" t="n">
        <v>2385.07</v>
      </c>
      <c r="G4278" s="3" t="n">
        <v>15701.95</v>
      </c>
    </row>
    <row r="4279">
      <c r="A4279" s="3" t="inlineStr">
        <is>
          <t>Cape Projects Construction (Pty) Ltd</t>
        </is>
      </c>
      <c r="B4279" s="4" t="n">
        <v>45199</v>
      </c>
      <c r="C4279" s="3" t="inlineStr">
        <is>
          <t>Expenses</t>
        </is>
      </c>
      <c r="D4279" s="3" t="inlineStr">
        <is>
          <t>4740/000</t>
        </is>
      </c>
      <c r="E4279" s="3" t="inlineStr">
        <is>
          <t>BIBC Company Contribution</t>
        </is>
      </c>
      <c r="F4279" s="3" t="n">
        <v>0</v>
      </c>
      <c r="G4279" s="3" t="n">
        <v>15075.35</v>
      </c>
    </row>
    <row r="4280">
      <c r="A4280" s="3" t="inlineStr">
        <is>
          <t>Cape Projects Construction (Pty) Ltd</t>
        </is>
      </c>
      <c r="B4280" s="4" t="n">
        <v>45199</v>
      </c>
      <c r="C4280" s="3" t="inlineStr">
        <is>
          <t>Expenses</t>
        </is>
      </c>
      <c r="D4280" s="3" t="inlineStr">
        <is>
          <t>4741/000</t>
        </is>
      </c>
      <c r="E4280" s="3" t="inlineStr">
        <is>
          <t>BIBC Employee Contribution</t>
        </is>
      </c>
      <c r="F4280" s="3" t="n">
        <v>0</v>
      </c>
      <c r="G4280" s="3" t="n">
        <v>4562.1</v>
      </c>
    </row>
    <row r="4281">
      <c r="A4281" s="3" t="inlineStr">
        <is>
          <t>Heron Fields (Pty) Ltd</t>
        </is>
      </c>
      <c r="B4281" s="4" t="n">
        <v>45199</v>
      </c>
      <c r="C4281" s="3" t="inlineStr">
        <is>
          <t>Equity</t>
        </is>
      </c>
      <c r="D4281" s="3" t="inlineStr">
        <is>
          <t>5100-000</t>
        </is>
      </c>
      <c r="E4281" s="3" t="inlineStr">
        <is>
          <t>Share Capital</t>
        </is>
      </c>
      <c r="F4281" s="3" t="n">
        <v>0</v>
      </c>
      <c r="G4281" s="3" t="n">
        <v>-100</v>
      </c>
    </row>
    <row r="4282">
      <c r="A4282" s="3" t="inlineStr">
        <is>
          <t>Cape Projects Construction (Pty) Ltd</t>
        </is>
      </c>
      <c r="B4282" s="4" t="n">
        <v>45199</v>
      </c>
      <c r="C4282" s="3" t="inlineStr">
        <is>
          <t>Equity</t>
        </is>
      </c>
      <c r="D4282" s="3" t="inlineStr">
        <is>
          <t>5100/000</t>
        </is>
      </c>
      <c r="E4282" s="3" t="inlineStr">
        <is>
          <t>Share Capital / Members Contribution</t>
        </is>
      </c>
      <c r="F4282" s="3" t="n">
        <v>0</v>
      </c>
      <c r="G4282" s="3" t="n">
        <v>-120</v>
      </c>
    </row>
    <row r="4283">
      <c r="A4283" s="3" t="inlineStr">
        <is>
          <t>Cape Projects Construction (Pty) Ltd</t>
        </is>
      </c>
      <c r="B4283" s="4" t="n">
        <v>45199</v>
      </c>
      <c r="C4283" s="3" t="inlineStr">
        <is>
          <t>Equity</t>
        </is>
      </c>
      <c r="D4283" s="3" t="inlineStr">
        <is>
          <t>5200/000</t>
        </is>
      </c>
      <c r="E4283" s="3" t="inlineStr">
        <is>
          <t>Retained Earnings / Loss</t>
        </is>
      </c>
      <c r="F4283" s="3" t="n">
        <v>0</v>
      </c>
      <c r="G4283" s="3" t="n">
        <v>-296075.58</v>
      </c>
    </row>
    <row r="4284">
      <c r="A4284" s="3" t="inlineStr">
        <is>
          <t>Heron Fields (Pty) Ltd</t>
        </is>
      </c>
      <c r="B4284" s="4" t="n">
        <v>45199</v>
      </c>
      <c r="C4284" s="3" t="inlineStr">
        <is>
          <t>Equity</t>
        </is>
      </c>
      <c r="D4284" s="3" t="inlineStr">
        <is>
          <t>5200/000</t>
        </is>
      </c>
      <c r="E4284" s="3" t="inlineStr">
        <is>
          <t>Retained Earnings / Loss</t>
        </is>
      </c>
      <c r="F4284" s="3" t="n">
        <v>0</v>
      </c>
      <c r="G4284" s="3" t="n">
        <v>-17843179.58</v>
      </c>
    </row>
    <row r="4285">
      <c r="A4285" s="3" t="inlineStr">
        <is>
          <t>Heron View (Pty) Ltd</t>
        </is>
      </c>
      <c r="B4285" s="4" t="n">
        <v>45199</v>
      </c>
      <c r="C4285" s="3" t="inlineStr">
        <is>
          <t>Equity</t>
        </is>
      </c>
      <c r="D4285" s="3" t="inlineStr">
        <is>
          <t>5200/000</t>
        </is>
      </c>
      <c r="E4285" s="3" t="inlineStr">
        <is>
          <t>Retained Earnings / Loss</t>
        </is>
      </c>
      <c r="F4285" s="3" t="n">
        <v>0</v>
      </c>
      <c r="G4285" s="3" t="n">
        <v>70398.12</v>
      </c>
    </row>
    <row r="4286">
      <c r="A4286" s="3" t="inlineStr">
        <is>
          <t>Heron Fields (Pty) Ltd</t>
        </is>
      </c>
      <c r="B4286" s="4" t="n">
        <v>45199</v>
      </c>
      <c r="C4286" s="3" t="inlineStr">
        <is>
          <t>Assets</t>
        </is>
      </c>
      <c r="D4286" s="3" t="inlineStr">
        <is>
          <t>5300/001</t>
        </is>
      </c>
      <c r="E4286" s="3" t="inlineStr">
        <is>
          <t>Revaluation of Land stock</t>
        </is>
      </c>
      <c r="F4286" s="3" t="n">
        <v>0</v>
      </c>
      <c r="G4286" s="3" t="n">
        <v>17562360.85</v>
      </c>
    </row>
    <row r="4287">
      <c r="A4287" s="3" t="inlineStr">
        <is>
          <t>Cape Projects Construction (Pty) Ltd</t>
        </is>
      </c>
      <c r="B4287" s="4" t="n">
        <v>45199</v>
      </c>
      <c r="C4287" s="3" t="inlineStr">
        <is>
          <t>Assets</t>
        </is>
      </c>
      <c r="D4287" s="3" t="inlineStr">
        <is>
          <t>5400/150</t>
        </is>
      </c>
      <c r="E4287" s="3" t="inlineStr">
        <is>
          <t>Loan - Quinate</t>
        </is>
      </c>
      <c r="F4287" s="3" t="n">
        <v>165000</v>
      </c>
      <c r="G4287" s="3" t="n">
        <v>390000</v>
      </c>
    </row>
    <row r="4288">
      <c r="A4288" s="3" t="inlineStr">
        <is>
          <t>Cape Projects Construction (Pty) Ltd</t>
        </is>
      </c>
      <c r="B4288" s="4" t="n">
        <v>45199</v>
      </c>
      <c r="C4288" s="3" t="inlineStr">
        <is>
          <t>Assets</t>
        </is>
      </c>
      <c r="D4288" s="3" t="inlineStr">
        <is>
          <t>5400/220</t>
        </is>
      </c>
      <c r="E4288" s="3" t="inlineStr">
        <is>
          <t>Members Loan - WH</t>
        </is>
      </c>
      <c r="F4288" s="3" t="n">
        <v>0</v>
      </c>
      <c r="G4288" s="3" t="n">
        <v>-4342.5</v>
      </c>
    </row>
    <row r="4289">
      <c r="A4289" s="3" t="inlineStr">
        <is>
          <t>Cape Projects Construction (Pty) Ltd</t>
        </is>
      </c>
      <c r="B4289" s="4" t="n">
        <v>45199</v>
      </c>
      <c r="C4289" s="3" t="inlineStr">
        <is>
          <t>Assets</t>
        </is>
      </c>
      <c r="D4289" s="3" t="inlineStr">
        <is>
          <t>5400/300</t>
        </is>
      </c>
      <c r="E4289" s="3" t="inlineStr">
        <is>
          <t>Loan - Opportunity ResidentialCUST ACC</t>
        </is>
      </c>
      <c r="F4289" s="3" t="n">
        <v>4702.35</v>
      </c>
      <c r="G4289" s="3" t="n">
        <v>4702.35</v>
      </c>
    </row>
    <row r="4290">
      <c r="A4290" s="3" t="inlineStr">
        <is>
          <t>Cape Projects Construction (Pty) Ltd</t>
        </is>
      </c>
      <c r="B4290" s="4" t="n">
        <v>45199</v>
      </c>
      <c r="C4290" s="3" t="inlineStr">
        <is>
          <t>Assets</t>
        </is>
      </c>
      <c r="D4290" s="3" t="inlineStr">
        <is>
          <t>5400/450</t>
        </is>
      </c>
      <c r="E4290" s="3" t="inlineStr">
        <is>
          <t>Loan - Opportunity Investment</t>
        </is>
      </c>
      <c r="F4290" s="3" t="n">
        <v>0</v>
      </c>
      <c r="G4290" s="3" t="n">
        <v>-2261000</v>
      </c>
    </row>
    <row r="4291">
      <c r="A4291" s="3" t="inlineStr">
        <is>
          <t>Cape Projects Construction (Pty) Ltd</t>
        </is>
      </c>
      <c r="B4291" s="4" t="n">
        <v>45199</v>
      </c>
      <c r="C4291" s="3" t="inlineStr">
        <is>
          <t>Assets</t>
        </is>
      </c>
      <c r="D4291" s="3" t="inlineStr">
        <is>
          <t>5400/500</t>
        </is>
      </c>
      <c r="E4291" s="3" t="inlineStr">
        <is>
          <t>Loan - Blou Mamba Trust</t>
        </is>
      </c>
      <c r="F4291" s="3" t="n">
        <v>0</v>
      </c>
      <c r="G4291" s="3" t="n">
        <v>4342.5</v>
      </c>
    </row>
    <row r="4292">
      <c r="A4292" s="3" t="inlineStr">
        <is>
          <t>Cape Projects Construction (Pty) Ltd</t>
        </is>
      </c>
      <c r="B4292" s="4" t="n">
        <v>45199</v>
      </c>
      <c r="C4292" s="3" t="inlineStr">
        <is>
          <t>Assets</t>
        </is>
      </c>
      <c r="D4292" s="3" t="inlineStr">
        <is>
          <t>5400/550</t>
        </is>
      </c>
      <c r="E4292" s="3" t="inlineStr">
        <is>
          <t>Loan - Trademark</t>
        </is>
      </c>
      <c r="F4292" s="3" t="n">
        <v>600</v>
      </c>
      <c r="G4292" s="3" t="n">
        <v>36800</v>
      </c>
    </row>
    <row r="4293">
      <c r="A4293" s="3" t="inlineStr">
        <is>
          <t>Cape Projects Construction (Pty) Ltd</t>
        </is>
      </c>
      <c r="B4293" s="4" t="n">
        <v>45199</v>
      </c>
      <c r="C4293" s="3" t="inlineStr">
        <is>
          <t>Assets</t>
        </is>
      </c>
      <c r="D4293" s="3" t="inlineStr">
        <is>
          <t>5400/600</t>
        </is>
      </c>
      <c r="E4293" s="3" t="inlineStr">
        <is>
          <t>Loan - Heron Projects</t>
        </is>
      </c>
      <c r="F4293" s="3" t="n">
        <v>-3800000</v>
      </c>
      <c r="G4293" s="3" t="n">
        <v>-13914940.42</v>
      </c>
    </row>
    <row r="4294">
      <c r="A4294" s="3" t="inlineStr">
        <is>
          <t>Cape Projects Construction (Pty) Ltd</t>
        </is>
      </c>
      <c r="B4294" s="4" t="n">
        <v>45199</v>
      </c>
      <c r="C4294" s="3" t="inlineStr">
        <is>
          <t>Assets</t>
        </is>
      </c>
      <c r="D4294" s="3" t="inlineStr">
        <is>
          <t>5400/650</t>
        </is>
      </c>
      <c r="E4294" s="3" t="inlineStr">
        <is>
          <t>Loan - Noble Shield</t>
        </is>
      </c>
      <c r="F4294" s="3" t="n">
        <v>10600</v>
      </c>
      <c r="G4294" s="3" t="n">
        <v>-105789.44</v>
      </c>
    </row>
    <row r="4295">
      <c r="A4295" s="3" t="inlineStr">
        <is>
          <t>Cape Projects Construction (Pty) Ltd</t>
        </is>
      </c>
      <c r="B4295" s="4" t="n">
        <v>45199</v>
      </c>
      <c r="C4295" s="3" t="inlineStr">
        <is>
          <t>Assets</t>
        </is>
      </c>
      <c r="D4295" s="3" t="inlineStr">
        <is>
          <t>5400/750</t>
        </is>
      </c>
      <c r="E4295" s="3" t="inlineStr">
        <is>
          <t>Loan - Endulini</t>
        </is>
      </c>
      <c r="F4295" s="3" t="n">
        <v>3228000</v>
      </c>
      <c r="G4295" s="3" t="n">
        <v>25372187.4</v>
      </c>
    </row>
    <row r="4296">
      <c r="A4296" s="3" t="inlineStr">
        <is>
          <t>Cape Projects Construction (Pty) Ltd</t>
        </is>
      </c>
      <c r="B4296" s="4" t="n">
        <v>45199</v>
      </c>
      <c r="C4296" s="3" t="inlineStr">
        <is>
          <t>Assets</t>
        </is>
      </c>
      <c r="D4296" s="3" t="inlineStr">
        <is>
          <t>5400/800</t>
        </is>
      </c>
      <c r="E4296" s="3" t="inlineStr">
        <is>
          <t>Loan - Opportunity Management Holdings</t>
        </is>
      </c>
      <c r="F4296" s="3" t="n">
        <v>0</v>
      </c>
      <c r="G4296" s="3" t="n">
        <v>-22601</v>
      </c>
    </row>
    <row r="4297">
      <c r="A4297" s="3" t="inlineStr">
        <is>
          <t>Heron View (Pty) Ltd</t>
        </is>
      </c>
      <c r="B4297" s="4" t="n">
        <v>45199</v>
      </c>
      <c r="C4297" s="3" t="inlineStr">
        <is>
          <t>Liabilities</t>
        </is>
      </c>
      <c r="D4297" s="3" t="inlineStr">
        <is>
          <t>5500/001</t>
        </is>
      </c>
      <c r="E4297" s="3" t="inlineStr">
        <is>
          <t>Loan - Heron Fields</t>
        </is>
      </c>
      <c r="F4297" s="3" t="n">
        <v>6857185.8</v>
      </c>
      <c r="G4297" s="3" t="n">
        <v>-40486034.41</v>
      </c>
    </row>
    <row r="4298">
      <c r="A4298" s="3" t="inlineStr">
        <is>
          <t>Heron Fields (Pty) Ltd</t>
        </is>
      </c>
      <c r="B4298" s="4" t="n">
        <v>45199</v>
      </c>
      <c r="C4298" s="3" t="inlineStr">
        <is>
          <t>Liabilities</t>
        </is>
      </c>
      <c r="D4298" s="3" t="inlineStr">
        <is>
          <t>5500/020</t>
        </is>
      </c>
      <c r="E4298" s="3" t="inlineStr">
        <is>
          <t>Loan - Cape Projects Construction</t>
        </is>
      </c>
      <c r="F4298" s="3" t="n">
        <v>3800000</v>
      </c>
      <c r="G4298" s="3" t="n">
        <v>13914940.42</v>
      </c>
    </row>
    <row r="4299">
      <c r="A4299" s="3" t="inlineStr">
        <is>
          <t>Heron Fields (Pty) Ltd</t>
        </is>
      </c>
      <c r="B4299" s="4" t="n">
        <v>45199</v>
      </c>
      <c r="C4299" s="3" t="inlineStr">
        <is>
          <t>Liabilities</t>
        </is>
      </c>
      <c r="D4299" s="3" t="inlineStr">
        <is>
          <t>5500/030</t>
        </is>
      </c>
      <c r="E4299" s="3" t="inlineStr">
        <is>
          <t>Loan - Opportunity Global Investments</t>
        </is>
      </c>
      <c r="F4299" s="3" t="n">
        <v>72275</v>
      </c>
      <c r="G4299" s="3" t="n">
        <v>3774275</v>
      </c>
    </row>
    <row r="4300">
      <c r="A4300" s="3" t="inlineStr">
        <is>
          <t>Heron Fields (Pty) Ltd</t>
        </is>
      </c>
      <c r="B4300" s="4" t="n">
        <v>45199</v>
      </c>
      <c r="C4300" s="3" t="inlineStr">
        <is>
          <t>Liabilities</t>
        </is>
      </c>
      <c r="D4300" s="3" t="inlineStr">
        <is>
          <t>5500/050</t>
        </is>
      </c>
      <c r="E4300" s="3" t="inlineStr">
        <is>
          <t>Loan - Heron View</t>
        </is>
      </c>
      <c r="F4300" s="3" t="n">
        <v>-6857185.8</v>
      </c>
      <c r="G4300" s="3" t="n">
        <v>40486034.41</v>
      </c>
    </row>
    <row r="4301">
      <c r="A4301" s="3" t="inlineStr">
        <is>
          <t>Heron Fields (Pty) Ltd</t>
        </is>
      </c>
      <c r="B4301" s="4" t="n">
        <v>45199</v>
      </c>
      <c r="C4301" s="3" t="inlineStr">
        <is>
          <t>Liabilities</t>
        </is>
      </c>
      <c r="D4301" s="3" t="inlineStr">
        <is>
          <t>5500/060</t>
        </is>
      </c>
      <c r="E4301" s="3" t="inlineStr">
        <is>
          <t>Loan - Opportunity Management Holdings</t>
        </is>
      </c>
      <c r="F4301" s="3" t="n">
        <v>-20000</v>
      </c>
      <c r="G4301" s="3" t="n">
        <v>42100</v>
      </c>
    </row>
    <row r="4302">
      <c r="A4302" s="3" t="inlineStr">
        <is>
          <t>Heron Fields (Pty) Ltd</t>
        </is>
      </c>
      <c r="B4302" s="4" t="n">
        <v>45199</v>
      </c>
      <c r="C4302" s="3" t="inlineStr">
        <is>
          <t>Liabilities</t>
        </is>
      </c>
      <c r="D4302" s="3" t="inlineStr">
        <is>
          <t>5500/070</t>
        </is>
      </c>
      <c r="E4302" s="3" t="inlineStr">
        <is>
          <t>Loan - Noble Shield</t>
        </is>
      </c>
      <c r="F4302" s="3" t="n">
        <v>0</v>
      </c>
      <c r="G4302" s="3" t="n">
        <v>-20370.22</v>
      </c>
    </row>
    <row r="4303">
      <c r="A4303" s="3" t="inlineStr">
        <is>
          <t>Cape Projects Construction (Pty) Ltd</t>
        </is>
      </c>
      <c r="B4303" s="4" t="n">
        <v>45199</v>
      </c>
      <c r="C4303" s="3" t="inlineStr">
        <is>
          <t>Assets</t>
        </is>
      </c>
      <c r="D4303" s="3" t="inlineStr">
        <is>
          <t>6200/010</t>
        </is>
      </c>
      <c r="E4303" s="3" t="inlineStr">
        <is>
          <t>Motor Vehicles - @ Cost</t>
        </is>
      </c>
      <c r="F4303" s="3" t="n">
        <v>0</v>
      </c>
      <c r="G4303" s="3" t="n">
        <v>216064.1</v>
      </c>
    </row>
    <row r="4304">
      <c r="A4304" s="3" t="inlineStr">
        <is>
          <t>Cape Projects Construction (Pty) Ltd</t>
        </is>
      </c>
      <c r="B4304" s="4" t="n">
        <v>45199</v>
      </c>
      <c r="C4304" s="3" t="inlineStr">
        <is>
          <t>Assets</t>
        </is>
      </c>
      <c r="D4304" s="3" t="inlineStr">
        <is>
          <t>6200/020</t>
        </is>
      </c>
      <c r="E4304" s="3" t="inlineStr">
        <is>
          <t>Motor Vehicles - Accum Depre</t>
        </is>
      </c>
      <c r="F4304" s="3" t="n">
        <v>0</v>
      </c>
      <c r="G4304" s="3" t="n">
        <v>-216063.1</v>
      </c>
    </row>
    <row r="4305">
      <c r="A4305" s="3" t="inlineStr">
        <is>
          <t>Cape Projects Construction (Pty) Ltd</t>
        </is>
      </c>
      <c r="B4305" s="4" t="n">
        <v>45199</v>
      </c>
      <c r="C4305" s="3" t="inlineStr">
        <is>
          <t>Assets</t>
        </is>
      </c>
      <c r="D4305" s="3" t="inlineStr">
        <is>
          <t>6250/010</t>
        </is>
      </c>
      <c r="E4305" s="3" t="inlineStr">
        <is>
          <t>Computer Equipment - @ Cost</t>
        </is>
      </c>
      <c r="F4305" s="3" t="n">
        <v>14673.75</v>
      </c>
      <c r="G4305" s="3" t="n">
        <v>148464.1</v>
      </c>
    </row>
    <row r="4306">
      <c r="A4306" s="3" t="inlineStr">
        <is>
          <t>Cape Projects Construction (Pty) Ltd</t>
        </is>
      </c>
      <c r="B4306" s="4" t="n">
        <v>45199</v>
      </c>
      <c r="C4306" s="3" t="inlineStr">
        <is>
          <t>Assets</t>
        </is>
      </c>
      <c r="D4306" s="3" t="inlineStr">
        <is>
          <t>6250/020</t>
        </is>
      </c>
      <c r="E4306" s="3" t="inlineStr">
        <is>
          <t>Computer Equipment - Accum Depre</t>
        </is>
      </c>
      <c r="F4306" s="3" t="n">
        <v>-3631.27</v>
      </c>
      <c r="G4306" s="3" t="n">
        <v>-66497.64999999999</v>
      </c>
    </row>
    <row r="4307">
      <c r="A4307" s="3" t="inlineStr">
        <is>
          <t>Cape Projects Construction (Pty) Ltd</t>
        </is>
      </c>
      <c r="B4307" s="4" t="n">
        <v>45199</v>
      </c>
      <c r="C4307" s="3" t="inlineStr">
        <is>
          <t>Assets</t>
        </is>
      </c>
      <c r="D4307" s="3" t="inlineStr">
        <is>
          <t>6350/010</t>
        </is>
      </c>
      <c r="E4307" s="3" t="inlineStr">
        <is>
          <t>Furniture _AND_ Fittings - @ Cost</t>
        </is>
      </c>
      <c r="F4307" s="3" t="n">
        <v>0</v>
      </c>
      <c r="G4307" s="3" t="n">
        <v>37955.3</v>
      </c>
    </row>
    <row r="4308">
      <c r="A4308" s="3" t="inlineStr">
        <is>
          <t>Cape Projects Construction (Pty) Ltd</t>
        </is>
      </c>
      <c r="B4308" s="4" t="n">
        <v>45199</v>
      </c>
      <c r="C4308" s="3" t="inlineStr">
        <is>
          <t>Assets</t>
        </is>
      </c>
      <c r="D4308" s="3" t="inlineStr">
        <is>
          <t>6350/020</t>
        </is>
      </c>
      <c r="E4308" s="3" t="inlineStr">
        <is>
          <t>Furniture _AND_ Fittings - Accum Depre</t>
        </is>
      </c>
      <c r="F4308" s="3" t="n">
        <v>-547.6799999999999</v>
      </c>
      <c r="G4308" s="3" t="n">
        <v>-9728.290000000001</v>
      </c>
    </row>
    <row r="4309">
      <c r="A4309" s="3" t="inlineStr">
        <is>
          <t>Cape Projects Construction (Pty) Ltd</t>
        </is>
      </c>
      <c r="B4309" s="4" t="n">
        <v>45199</v>
      </c>
      <c r="C4309" s="3" t="inlineStr">
        <is>
          <t>Assets</t>
        </is>
      </c>
      <c r="D4309" s="3" t="inlineStr">
        <is>
          <t>6600/010</t>
        </is>
      </c>
      <c r="E4309" s="3" t="inlineStr">
        <is>
          <t>Generator Fixed Asset - @ Cost</t>
        </is>
      </c>
      <c r="F4309" s="3" t="n">
        <v>0</v>
      </c>
      <c r="G4309" s="3" t="n">
        <v>71322</v>
      </c>
    </row>
    <row r="4310">
      <c r="A4310" s="3" t="inlineStr">
        <is>
          <t>Cape Projects Construction (Pty) Ltd</t>
        </is>
      </c>
      <c r="B4310" s="4" t="n">
        <v>45199</v>
      </c>
      <c r="C4310" s="3" t="inlineStr">
        <is>
          <t>Assets</t>
        </is>
      </c>
      <c r="D4310" s="3" t="inlineStr">
        <is>
          <t>6600/020</t>
        </is>
      </c>
      <c r="E4310" s="3" t="inlineStr">
        <is>
          <t>Generator Fixed Asset - Accum Depre</t>
        </is>
      </c>
      <c r="F4310" s="3" t="n">
        <v>-1188.69</v>
      </c>
      <c r="G4310" s="3" t="n">
        <v>-9455.719999999999</v>
      </c>
    </row>
    <row r="4311">
      <c r="A4311" s="3" t="inlineStr">
        <is>
          <t>Heron Fields (Pty) Ltd</t>
        </is>
      </c>
      <c r="B4311" s="4" t="n">
        <v>45199</v>
      </c>
      <c r="C4311" s="3" t="inlineStr">
        <is>
          <t>Assets</t>
        </is>
      </c>
      <c r="D4311" s="3" t="inlineStr">
        <is>
          <t>7610/395</t>
        </is>
      </c>
      <c r="E4311" s="3" t="inlineStr">
        <is>
          <t>HF CIP NHBRC</t>
        </is>
      </c>
      <c r="F4311" s="3" t="n">
        <v>0</v>
      </c>
      <c r="G4311" s="3" t="n">
        <v>874505.75</v>
      </c>
    </row>
    <row r="4312">
      <c r="A4312" s="3" t="inlineStr">
        <is>
          <t>Heron View (Pty) Ltd</t>
        </is>
      </c>
      <c r="B4312" s="4" t="n">
        <v>45199</v>
      </c>
      <c r="C4312" s="3" t="inlineStr">
        <is>
          <t>Assets</t>
        </is>
      </c>
      <c r="D4312" s="3" t="inlineStr">
        <is>
          <t>7610/395</t>
        </is>
      </c>
      <c r="E4312" s="3" t="inlineStr">
        <is>
          <t>Heron CIP NHBRC</t>
        </is>
      </c>
      <c r="F4312" s="3" t="n">
        <v>573498</v>
      </c>
      <c r="G4312" s="3" t="n">
        <v>1885062.86</v>
      </c>
    </row>
    <row r="4313">
      <c r="A4313" s="3" t="inlineStr">
        <is>
          <t>Heron Fields (Pty) Ltd</t>
        </is>
      </c>
      <c r="B4313" s="4" t="n">
        <v>45199</v>
      </c>
      <c r="C4313" s="3" t="inlineStr">
        <is>
          <t>Assets</t>
        </is>
      </c>
      <c r="D4313" s="3" t="inlineStr">
        <is>
          <t>7620/100</t>
        </is>
      </c>
      <c r="E4313" s="3" t="inlineStr">
        <is>
          <t>Heron View Land</t>
        </is>
      </c>
      <c r="F4313" s="3" t="n">
        <v>0</v>
      </c>
      <c r="G4313" s="3" t="n">
        <v>26200000</v>
      </c>
    </row>
    <row r="4314">
      <c r="A4314" s="3" t="inlineStr">
        <is>
          <t>Heron Fields (Pty) Ltd</t>
        </is>
      </c>
      <c r="B4314" s="4" t="n">
        <v>45199</v>
      </c>
      <c r="C4314" s="3" t="inlineStr">
        <is>
          <t>Assets</t>
        </is>
      </c>
      <c r="D4314" s="3" t="inlineStr">
        <is>
          <t>7620/101</t>
        </is>
      </c>
      <c r="E4314" s="3" t="inlineStr">
        <is>
          <t>HF CIP Bond Registration Fee</t>
        </is>
      </c>
      <c r="F4314" s="3" t="n">
        <v>0</v>
      </c>
      <c r="G4314" s="3" t="n">
        <v>68427</v>
      </c>
    </row>
    <row r="4315">
      <c r="A4315" s="3" t="inlineStr">
        <is>
          <t>Heron Fields (Pty) Ltd</t>
        </is>
      </c>
      <c r="B4315" s="4" t="n">
        <v>45199</v>
      </c>
      <c r="C4315" s="3" t="inlineStr">
        <is>
          <t>Assets</t>
        </is>
      </c>
      <c r="D4315" s="3" t="inlineStr">
        <is>
          <t>7620/102</t>
        </is>
      </c>
      <c r="E4315" s="3" t="inlineStr">
        <is>
          <t>HF CIP Transfer Fee</t>
        </is>
      </c>
      <c r="F4315" s="3" t="n">
        <v>0</v>
      </c>
      <c r="G4315" s="3" t="n">
        <v>103812</v>
      </c>
    </row>
    <row r="4316">
      <c r="A4316" s="3" t="inlineStr">
        <is>
          <t>Heron Fields (Pty) Ltd</t>
        </is>
      </c>
      <c r="B4316" s="4" t="n">
        <v>45199</v>
      </c>
      <c r="C4316" s="3" t="inlineStr">
        <is>
          <t>Assets</t>
        </is>
      </c>
      <c r="D4316" s="3" t="inlineStr">
        <is>
          <t>7620/220</t>
        </is>
      </c>
      <c r="E4316" s="3" t="inlineStr">
        <is>
          <t>HF CIP Architectural Designs</t>
        </is>
      </c>
      <c r="F4316" s="3" t="n">
        <v>0</v>
      </c>
      <c r="G4316" s="3" t="n">
        <v>314087</v>
      </c>
    </row>
    <row r="4317">
      <c r="A4317" s="3" t="inlineStr">
        <is>
          <t>Heron View (Pty) Ltd</t>
        </is>
      </c>
      <c r="B4317" s="4" t="n">
        <v>45199</v>
      </c>
      <c r="C4317" s="3" t="inlineStr">
        <is>
          <t>Assets</t>
        </is>
      </c>
      <c r="D4317" s="3" t="inlineStr">
        <is>
          <t>7620/220</t>
        </is>
      </c>
      <c r="E4317" s="3" t="inlineStr">
        <is>
          <t>Heron View CIP Architectural Designs</t>
        </is>
      </c>
      <c r="F4317" s="3" t="n">
        <v>8000</v>
      </c>
      <c r="G4317" s="3" t="n">
        <v>758378.5</v>
      </c>
    </row>
    <row r="4318">
      <c r="A4318" s="3" t="inlineStr">
        <is>
          <t>Heron Fields (Pty) Ltd</t>
        </is>
      </c>
      <c r="B4318" s="4" t="n">
        <v>45199</v>
      </c>
      <c r="C4318" s="3" t="inlineStr">
        <is>
          <t>Assets</t>
        </is>
      </c>
      <c r="D4318" s="3" t="inlineStr">
        <is>
          <t>7620/230</t>
        </is>
      </c>
      <c r="E4318" s="3" t="inlineStr">
        <is>
          <t>HF CIP Construction Management</t>
        </is>
      </c>
      <c r="F4318" s="3" t="n">
        <v>0</v>
      </c>
      <c r="G4318" s="3" t="n">
        <v>139500</v>
      </c>
    </row>
    <row r="4319">
      <c r="A4319" s="3" t="inlineStr">
        <is>
          <t>Heron Fields (Pty) Ltd</t>
        </is>
      </c>
      <c r="B4319" s="4" t="n">
        <v>45199</v>
      </c>
      <c r="C4319" s="3" t="inlineStr">
        <is>
          <t>Assets</t>
        </is>
      </c>
      <c r="D4319" s="3" t="inlineStr">
        <is>
          <t>7620/240</t>
        </is>
      </c>
      <c r="E4319" s="3" t="inlineStr">
        <is>
          <t>HF CIP Civil Engineering</t>
        </is>
      </c>
      <c r="F4319" s="3" t="n">
        <v>0</v>
      </c>
      <c r="G4319" s="3" t="n">
        <v>8557641.800000001</v>
      </c>
    </row>
    <row r="4320">
      <c r="A4320" s="3" t="inlineStr">
        <is>
          <t>Heron Fields (Pty) Ltd</t>
        </is>
      </c>
      <c r="B4320" s="4" t="n">
        <v>45199</v>
      </c>
      <c r="C4320" s="3" t="inlineStr">
        <is>
          <t>Assets</t>
        </is>
      </c>
      <c r="D4320" s="3" t="inlineStr">
        <is>
          <t>7620/245</t>
        </is>
      </c>
      <c r="E4320" s="3" t="inlineStr">
        <is>
          <t>HF CIP Development fee</t>
        </is>
      </c>
      <c r="F4320" s="3" t="n">
        <v>0</v>
      </c>
      <c r="G4320" s="3" t="n">
        <v>13807.78</v>
      </c>
    </row>
    <row r="4321">
      <c r="A4321" s="3" t="inlineStr">
        <is>
          <t>Heron Fields (Pty) Ltd</t>
        </is>
      </c>
      <c r="B4321" s="4" t="n">
        <v>45199</v>
      </c>
      <c r="C4321" s="3" t="inlineStr">
        <is>
          <t>Assets</t>
        </is>
      </c>
      <c r="D4321" s="3" t="inlineStr">
        <is>
          <t>7620/250</t>
        </is>
      </c>
      <c r="E4321" s="3" t="inlineStr">
        <is>
          <t>HF CIP Land Surveyor</t>
        </is>
      </c>
      <c r="F4321" s="3" t="n">
        <v>0</v>
      </c>
      <c r="G4321" s="3" t="n">
        <v>197060.09</v>
      </c>
    </row>
    <row r="4322">
      <c r="A4322" s="3" t="inlineStr">
        <is>
          <t>Heron View (Pty) Ltd</t>
        </is>
      </c>
      <c r="B4322" s="4" t="n">
        <v>45199</v>
      </c>
      <c r="C4322" s="3" t="inlineStr">
        <is>
          <t>Assets</t>
        </is>
      </c>
      <c r="D4322" s="3" t="inlineStr">
        <is>
          <t>7620/250</t>
        </is>
      </c>
      <c r="E4322" s="3" t="inlineStr">
        <is>
          <t>Heron View CIP Land Surveyor</t>
        </is>
      </c>
      <c r="F4322" s="3" t="n">
        <v>0</v>
      </c>
      <c r="G4322" s="3" t="n">
        <v>186612.64</v>
      </c>
    </row>
    <row r="4323">
      <c r="A4323" s="3" t="inlineStr">
        <is>
          <t>Heron Fields (Pty) Ltd</t>
        </is>
      </c>
      <c r="B4323" s="4" t="n">
        <v>45199</v>
      </c>
      <c r="C4323" s="3" t="inlineStr">
        <is>
          <t>Assets</t>
        </is>
      </c>
      <c r="D4323" s="3" t="inlineStr">
        <is>
          <t>7620/255</t>
        </is>
      </c>
      <c r="E4323" s="3" t="inlineStr">
        <is>
          <t>HF CIP Landscaping</t>
        </is>
      </c>
      <c r="F4323" s="3" t="n">
        <v>0</v>
      </c>
      <c r="G4323" s="3" t="n">
        <v>7500</v>
      </c>
    </row>
    <row r="4324">
      <c r="A4324" s="3" t="inlineStr">
        <is>
          <t>Heron View (Pty) Ltd</t>
        </is>
      </c>
      <c r="B4324" s="4" t="n">
        <v>45199</v>
      </c>
      <c r="C4324" s="3" t="inlineStr">
        <is>
          <t>Assets</t>
        </is>
      </c>
      <c r="D4324" s="3" t="inlineStr">
        <is>
          <t>7620/255</t>
        </is>
      </c>
      <c r="E4324" s="3" t="inlineStr">
        <is>
          <t>Heron View CIP Landscaping</t>
        </is>
      </c>
      <c r="F4324" s="3" t="n">
        <v>0</v>
      </c>
      <c r="G4324" s="3" t="n">
        <v>114370.5</v>
      </c>
    </row>
    <row r="4325">
      <c r="A4325" s="3" t="inlineStr">
        <is>
          <t>Heron Fields (Pty) Ltd</t>
        </is>
      </c>
      <c r="B4325" s="4" t="n">
        <v>45199</v>
      </c>
      <c r="C4325" s="3" t="inlineStr">
        <is>
          <t>Assets</t>
        </is>
      </c>
      <c r="D4325" s="3" t="inlineStr">
        <is>
          <t>7620/260</t>
        </is>
      </c>
      <c r="E4325" s="3" t="inlineStr">
        <is>
          <t>HF CIP Mechanical Engineers</t>
        </is>
      </c>
      <c r="F4325" s="3" t="n">
        <v>0</v>
      </c>
      <c r="G4325" s="3" t="n">
        <v>146256.38</v>
      </c>
    </row>
    <row r="4326">
      <c r="A4326" s="3" t="inlineStr">
        <is>
          <t>Heron Fields (Pty) Ltd</t>
        </is>
      </c>
      <c r="B4326" s="4" t="n">
        <v>45199</v>
      </c>
      <c r="C4326" s="3" t="inlineStr">
        <is>
          <t>Assets</t>
        </is>
      </c>
      <c r="D4326" s="3" t="inlineStr">
        <is>
          <t>7620/265</t>
        </is>
      </c>
      <c r="E4326" s="3" t="inlineStr">
        <is>
          <t>HF CIP Health &amp; Safety</t>
        </is>
      </c>
      <c r="F4326" s="3" t="n">
        <v>0</v>
      </c>
      <c r="G4326" s="3" t="n">
        <v>20600</v>
      </c>
    </row>
    <row r="4327">
      <c r="A4327" s="3" t="inlineStr">
        <is>
          <t>Heron Fields (Pty) Ltd</t>
        </is>
      </c>
      <c r="B4327" s="4" t="n">
        <v>45199</v>
      </c>
      <c r="C4327" s="3" t="inlineStr">
        <is>
          <t>Assets</t>
        </is>
      </c>
      <c r="D4327" s="3" t="inlineStr">
        <is>
          <t>7620/270</t>
        </is>
      </c>
      <c r="E4327" s="3" t="inlineStr">
        <is>
          <t>HF CIP Geotechnical</t>
        </is>
      </c>
      <c r="F4327" s="3" t="n">
        <v>0</v>
      </c>
      <c r="G4327" s="3" t="n">
        <v>15175</v>
      </c>
    </row>
    <row r="4328">
      <c r="A4328" s="3" t="inlineStr">
        <is>
          <t>Heron Fields (Pty) Ltd</t>
        </is>
      </c>
      <c r="B4328" s="4" t="n">
        <v>45199</v>
      </c>
      <c r="C4328" s="3" t="inlineStr">
        <is>
          <t>Assets</t>
        </is>
      </c>
      <c r="D4328" s="3" t="inlineStr">
        <is>
          <t>7620/275</t>
        </is>
      </c>
      <c r="E4328" s="3" t="inlineStr">
        <is>
          <t>HF CIP Retaining Wall</t>
        </is>
      </c>
      <c r="F4328" s="3" t="n">
        <v>0</v>
      </c>
      <c r="G4328" s="3" t="n">
        <v>570856.08</v>
      </c>
    </row>
    <row r="4329">
      <c r="A4329" s="3" t="inlineStr">
        <is>
          <t>Heron Fields (Pty) Ltd</t>
        </is>
      </c>
      <c r="B4329" s="4" t="n">
        <v>45199</v>
      </c>
      <c r="C4329" s="3" t="inlineStr">
        <is>
          <t>Assets</t>
        </is>
      </c>
      <c r="D4329" s="3" t="inlineStr">
        <is>
          <t>7620/280</t>
        </is>
      </c>
      <c r="E4329" s="3" t="inlineStr">
        <is>
          <t>HF CIP Site Establishment</t>
        </is>
      </c>
      <c r="F4329" s="3" t="n">
        <v>0</v>
      </c>
      <c r="G4329" s="3" t="n">
        <v>47748851.51</v>
      </c>
    </row>
    <row r="4330">
      <c r="A4330" s="3" t="inlineStr">
        <is>
          <t>Heron View (Pty) Ltd</t>
        </is>
      </c>
      <c r="B4330" s="4" t="n">
        <v>45199</v>
      </c>
      <c r="C4330" s="3" t="inlineStr">
        <is>
          <t>Assets</t>
        </is>
      </c>
      <c r="D4330" s="3" t="inlineStr">
        <is>
          <t>7620/280</t>
        </is>
      </c>
      <c r="E4330" s="3" t="inlineStr">
        <is>
          <t>Heron View CIP Site Establishment</t>
        </is>
      </c>
      <c r="F4330" s="3" t="n">
        <v>4967306.73</v>
      </c>
      <c r="G4330" s="3" t="n">
        <v>12836646.5</v>
      </c>
    </row>
    <row r="4331">
      <c r="A4331" s="3" t="inlineStr">
        <is>
          <t>Heron Fields (Pty) Ltd</t>
        </is>
      </c>
      <c r="B4331" s="4" t="n">
        <v>45199</v>
      </c>
      <c r="C4331" s="3" t="inlineStr">
        <is>
          <t>Assets</t>
        </is>
      </c>
      <c r="D4331" s="3" t="inlineStr">
        <is>
          <t>7620/285</t>
        </is>
      </c>
      <c r="E4331" s="3" t="inlineStr">
        <is>
          <t>HF CIP Structuring Fee - Invest</t>
        </is>
      </c>
      <c r="F4331" s="3" t="n">
        <v>0</v>
      </c>
      <c r="G4331" s="3" t="n">
        <v>3850818.04</v>
      </c>
    </row>
    <row r="4332">
      <c r="A4332" s="3" t="inlineStr">
        <is>
          <t>Heron View (Pty) Ltd</t>
        </is>
      </c>
      <c r="B4332" s="4" t="n">
        <v>45199</v>
      </c>
      <c r="C4332" s="3" t="inlineStr">
        <is>
          <t>Assets</t>
        </is>
      </c>
      <c r="D4332" s="3" t="inlineStr">
        <is>
          <t>7620/285</t>
        </is>
      </c>
      <c r="E4332" s="3" t="inlineStr">
        <is>
          <t>Heron View CIP Structuring Fee - Invest</t>
        </is>
      </c>
      <c r="F4332" s="3" t="n">
        <v>0</v>
      </c>
      <c r="G4332" s="3" t="n">
        <v>1826086.96</v>
      </c>
    </row>
    <row r="4333">
      <c r="A4333" s="3" t="inlineStr">
        <is>
          <t>Heron Fields (Pty) Ltd</t>
        </is>
      </c>
      <c r="B4333" s="4" t="n">
        <v>45199</v>
      </c>
      <c r="C4333" s="3" t="inlineStr">
        <is>
          <t>Assets</t>
        </is>
      </c>
      <c r="D4333" s="3" t="inlineStr">
        <is>
          <t>7620/287</t>
        </is>
      </c>
      <c r="E4333" s="3" t="inlineStr">
        <is>
          <t>HF CIP Structuring Fee - Development</t>
        </is>
      </c>
      <c r="F4333" s="3" t="n">
        <v>0</v>
      </c>
      <c r="G4333" s="3" t="n">
        <v>782608.0699999999</v>
      </c>
    </row>
    <row r="4334">
      <c r="A4334" s="3" t="inlineStr">
        <is>
          <t>Heron View (Pty) Ltd</t>
        </is>
      </c>
      <c r="B4334" s="4" t="n">
        <v>45199</v>
      </c>
      <c r="C4334" s="3" t="inlineStr">
        <is>
          <t>Assets</t>
        </is>
      </c>
      <c r="D4334" s="3" t="inlineStr">
        <is>
          <t>7620/287</t>
        </is>
      </c>
      <c r="E4334" s="3" t="inlineStr">
        <is>
          <t>Heron View CIP Structuring Fee - Development</t>
        </is>
      </c>
      <c r="F4334" s="3" t="n">
        <v>0</v>
      </c>
      <c r="G4334" s="3" t="n">
        <v>217391.3</v>
      </c>
    </row>
    <row r="4335">
      <c r="A4335" s="3" t="inlineStr">
        <is>
          <t>Heron Fields (Pty) Ltd</t>
        </is>
      </c>
      <c r="B4335" s="4" t="n">
        <v>45199</v>
      </c>
      <c r="C4335" s="3" t="inlineStr">
        <is>
          <t>Assets</t>
        </is>
      </c>
      <c r="D4335" s="3" t="inlineStr">
        <is>
          <t>7620/290</t>
        </is>
      </c>
      <c r="E4335" s="3" t="inlineStr">
        <is>
          <t>HF CIP Town Planning</t>
        </is>
      </c>
      <c r="F4335" s="3" t="n">
        <v>0</v>
      </c>
      <c r="G4335" s="3" t="n">
        <v>166550</v>
      </c>
    </row>
    <row r="4336">
      <c r="A4336" s="3" t="inlineStr">
        <is>
          <t>Heron View (Pty) Ltd</t>
        </is>
      </c>
      <c r="B4336" s="4" t="n">
        <v>45199</v>
      </c>
      <c r="C4336" s="3" t="inlineStr">
        <is>
          <t>Assets</t>
        </is>
      </c>
      <c r="D4336" s="3" t="inlineStr">
        <is>
          <t>7620/290</t>
        </is>
      </c>
      <c r="E4336" s="3" t="inlineStr">
        <is>
          <t>Heron View CIP Town Planning</t>
        </is>
      </c>
      <c r="F4336" s="3" t="n">
        <v>0</v>
      </c>
      <c r="G4336" s="3" t="n">
        <v>2834.7</v>
      </c>
    </row>
    <row r="4337">
      <c r="A4337" s="3" t="inlineStr">
        <is>
          <t>Heron Fields (Pty) Ltd</t>
        </is>
      </c>
      <c r="B4337" s="4" t="n">
        <v>45199</v>
      </c>
      <c r="C4337" s="3" t="inlineStr">
        <is>
          <t>Assets</t>
        </is>
      </c>
      <c r="D4337" s="3" t="inlineStr">
        <is>
          <t>7620/295</t>
        </is>
      </c>
      <c r="E4337" s="3" t="inlineStr">
        <is>
          <t>HF CIP Traffic Planning</t>
        </is>
      </c>
      <c r="F4337" s="3" t="n">
        <v>0</v>
      </c>
      <c r="G4337" s="3" t="n">
        <v>45000</v>
      </c>
    </row>
    <row r="4338">
      <c r="A4338" s="3" t="inlineStr">
        <is>
          <t>Heron Fields (Pty) Ltd</t>
        </is>
      </c>
      <c r="B4338" s="4" t="n">
        <v>45199</v>
      </c>
      <c r="C4338" s="3" t="inlineStr">
        <is>
          <t>Assets</t>
        </is>
      </c>
      <c r="D4338" s="3" t="inlineStr">
        <is>
          <t>7620/600</t>
        </is>
      </c>
      <c r="E4338" s="3" t="inlineStr">
        <is>
          <t>HF CIP Eco work</t>
        </is>
      </c>
      <c r="F4338" s="3" t="n">
        <v>6000</v>
      </c>
      <c r="G4338" s="3" t="n">
        <v>173000</v>
      </c>
    </row>
    <row r="4339">
      <c r="A4339" s="3" t="inlineStr">
        <is>
          <t>Heron View (Pty) Ltd</t>
        </is>
      </c>
      <c r="B4339" s="4" t="n">
        <v>45199</v>
      </c>
      <c r="C4339" s="3" t="inlineStr">
        <is>
          <t>Assets</t>
        </is>
      </c>
      <c r="D4339" s="3" t="inlineStr">
        <is>
          <t>7620/605</t>
        </is>
      </c>
      <c r="E4339" s="3" t="inlineStr">
        <is>
          <t>Heron View CIP Structural Engineers</t>
        </is>
      </c>
      <c r="F4339" s="3" t="n">
        <v>0</v>
      </c>
      <c r="G4339" s="3" t="n">
        <v>530452.14</v>
      </c>
    </row>
    <row r="4340">
      <c r="A4340" s="3" t="inlineStr">
        <is>
          <t>Heron View (Pty) Ltd</t>
        </is>
      </c>
      <c r="B4340" s="4" t="n">
        <v>45199</v>
      </c>
      <c r="C4340" s="3" t="inlineStr">
        <is>
          <t>Assets</t>
        </is>
      </c>
      <c r="D4340" s="3" t="inlineStr">
        <is>
          <t>7620/610</t>
        </is>
      </c>
      <c r="E4340" s="3" t="inlineStr">
        <is>
          <t>HV CIP Retaining wall</t>
        </is>
      </c>
      <c r="F4340" s="3" t="n">
        <v>0</v>
      </c>
      <c r="G4340" s="3" t="n">
        <v>66190.11</v>
      </c>
    </row>
    <row r="4341">
      <c r="A4341" s="3" t="inlineStr">
        <is>
          <t>Heron Fields (Pty) Ltd</t>
        </is>
      </c>
      <c r="B4341" s="4" t="n">
        <v>45199</v>
      </c>
      <c r="C4341" s="3" t="inlineStr">
        <is>
          <t>Assets</t>
        </is>
      </c>
      <c r="D4341" s="3" t="inlineStr">
        <is>
          <t>7620/630</t>
        </is>
      </c>
      <c r="E4341" s="3" t="inlineStr">
        <is>
          <t>HF CIP CoCT development contribution</t>
        </is>
      </c>
      <c r="F4341" s="3" t="n">
        <v>0</v>
      </c>
      <c r="G4341" s="3" t="n">
        <v>3252759.95</v>
      </c>
    </row>
    <row r="4342">
      <c r="A4342" s="3" t="inlineStr">
        <is>
          <t>Heron View (Pty) Ltd</t>
        </is>
      </c>
      <c r="B4342" s="4" t="n">
        <v>45199</v>
      </c>
      <c r="C4342" s="3" t="inlineStr">
        <is>
          <t>Assets</t>
        </is>
      </c>
      <c r="D4342" s="3" t="inlineStr">
        <is>
          <t>7620/630</t>
        </is>
      </c>
      <c r="E4342" s="3" t="inlineStr">
        <is>
          <t>Heron CIP - CoCT development contribution</t>
        </is>
      </c>
      <c r="F4342" s="3" t="n">
        <v>84070.03</v>
      </c>
      <c r="G4342" s="3" t="n">
        <v>1612299.1</v>
      </c>
    </row>
    <row r="4343">
      <c r="A4343" s="3" t="inlineStr">
        <is>
          <t>Heron Fields (Pty) Ltd</t>
        </is>
      </c>
      <c r="B4343" s="4" t="n">
        <v>45199</v>
      </c>
      <c r="C4343" s="3" t="inlineStr">
        <is>
          <t>Assets</t>
        </is>
      </c>
      <c r="D4343" s="3" t="inlineStr">
        <is>
          <t>7620/640</t>
        </is>
      </c>
      <c r="E4343" s="3" t="inlineStr">
        <is>
          <t>HF CIP Project costs</t>
        </is>
      </c>
      <c r="F4343" s="3" t="n">
        <v>0</v>
      </c>
      <c r="G4343" s="3" t="n">
        <v>622274.51</v>
      </c>
    </row>
    <row r="4344">
      <c r="A4344" s="3" t="inlineStr">
        <is>
          <t>Heron View (Pty) Ltd</t>
        </is>
      </c>
      <c r="B4344" s="4" t="n">
        <v>45199</v>
      </c>
      <c r="C4344" s="3" t="inlineStr">
        <is>
          <t>Assets</t>
        </is>
      </c>
      <c r="D4344" s="3" t="inlineStr">
        <is>
          <t>7620/650</t>
        </is>
      </c>
      <c r="E4344" s="3" t="inlineStr">
        <is>
          <t>CIP - Construction Management</t>
        </is>
      </c>
      <c r="F4344" s="3" t="n">
        <v>0</v>
      </c>
      <c r="G4344" s="3" t="n">
        <v>76530</v>
      </c>
    </row>
    <row r="4345">
      <c r="A4345" s="3" t="inlineStr">
        <is>
          <t>Heron Fields (Pty) Ltd</t>
        </is>
      </c>
      <c r="B4345" s="4" t="n">
        <v>45199</v>
      </c>
      <c r="C4345" s="3" t="inlineStr">
        <is>
          <t>Assets</t>
        </is>
      </c>
      <c r="D4345" s="3" t="inlineStr">
        <is>
          <t>7620/650</t>
        </is>
      </c>
      <c r="E4345" s="3" t="inlineStr">
        <is>
          <t>HF CIP Electrical</t>
        </is>
      </c>
      <c r="F4345" s="3" t="n">
        <v>0</v>
      </c>
      <c r="G4345" s="3" t="n">
        <v>985049.6800000001</v>
      </c>
    </row>
    <row r="4346">
      <c r="A4346" s="3" t="inlineStr">
        <is>
          <t>Heron View (Pty) Ltd</t>
        </is>
      </c>
      <c r="B4346" s="4" t="n">
        <v>45199</v>
      </c>
      <c r="C4346" s="3" t="inlineStr">
        <is>
          <t>Assets</t>
        </is>
      </c>
      <c r="D4346" s="3" t="inlineStr">
        <is>
          <t>7620/660</t>
        </is>
      </c>
      <c r="E4346" s="3" t="inlineStr">
        <is>
          <t>HV CIP Health &amp; Safety</t>
        </is>
      </c>
      <c r="F4346" s="3" t="n">
        <v>1400</v>
      </c>
      <c r="G4346" s="3" t="n">
        <v>24400</v>
      </c>
    </row>
    <row r="4347">
      <c r="A4347" s="3" t="inlineStr">
        <is>
          <t>Heron View (Pty) Ltd</t>
        </is>
      </c>
      <c r="B4347" s="4" t="n">
        <v>45199</v>
      </c>
      <c r="C4347" s="3" t="inlineStr">
        <is>
          <t>Assets</t>
        </is>
      </c>
      <c r="D4347" s="3" t="inlineStr">
        <is>
          <t>7620/670</t>
        </is>
      </c>
      <c r="E4347" s="3" t="inlineStr">
        <is>
          <t>HV CIP - Project costs CPSD</t>
        </is>
      </c>
      <c r="F4347" s="3" t="n">
        <v>334782.61</v>
      </c>
      <c r="G4347" s="3" t="n">
        <v>1019565.21</v>
      </c>
    </row>
    <row r="4348">
      <c r="A4348" s="3" t="inlineStr">
        <is>
          <t>Heron View (Pty) Ltd</t>
        </is>
      </c>
      <c r="B4348" s="4" t="n">
        <v>45199</v>
      </c>
      <c r="C4348" s="3" t="inlineStr">
        <is>
          <t>Assets</t>
        </is>
      </c>
      <c r="D4348" s="3" t="inlineStr">
        <is>
          <t>7620/680</t>
        </is>
      </c>
      <c r="E4348" s="3" t="inlineStr">
        <is>
          <t>HV CIP Elextrical</t>
        </is>
      </c>
      <c r="F4348" s="3" t="n">
        <v>410402.17</v>
      </c>
      <c r="G4348" s="3" t="n">
        <v>1540502.11</v>
      </c>
    </row>
    <row r="4349">
      <c r="A4349" s="3" t="inlineStr">
        <is>
          <t>Heron View (Pty) Ltd</t>
        </is>
      </c>
      <c r="B4349" s="4" t="n">
        <v>45199</v>
      </c>
      <c r="C4349" s="3" t="inlineStr">
        <is>
          <t>Assets</t>
        </is>
      </c>
      <c r="D4349" s="3" t="inlineStr">
        <is>
          <t>7620/690</t>
        </is>
      </c>
      <c r="E4349" s="3" t="inlineStr">
        <is>
          <t>HV CIP Site Establishment</t>
        </is>
      </c>
      <c r="F4349" s="3" t="n">
        <v>0</v>
      </c>
      <c r="G4349" s="3" t="n">
        <v>20707183.05</v>
      </c>
    </row>
    <row r="4350">
      <c r="A4350" s="3" t="inlineStr">
        <is>
          <t>Heron Fields (Pty) Ltd</t>
        </is>
      </c>
      <c r="B4350" s="4" t="n">
        <v>45199</v>
      </c>
      <c r="C4350" s="3" t="inlineStr">
        <is>
          <t>Assets</t>
        </is>
      </c>
      <c r="D4350" s="3" t="inlineStr">
        <is>
          <t>7620/750</t>
        </is>
      </c>
      <c r="E4350" s="3" t="inlineStr">
        <is>
          <t>HF CIP Project costs CPSD</t>
        </is>
      </c>
      <c r="F4350" s="3" t="n">
        <v>0</v>
      </c>
      <c r="G4350" s="3" t="n">
        <v>2148883.15</v>
      </c>
    </row>
    <row r="4351">
      <c r="A4351" s="3" t="inlineStr">
        <is>
          <t>Heron Fields (Pty) Ltd</t>
        </is>
      </c>
      <c r="B4351" s="4" t="n">
        <v>45199</v>
      </c>
      <c r="C4351" s="3" t="inlineStr">
        <is>
          <t>Assets</t>
        </is>
      </c>
      <c r="D4351" s="3" t="inlineStr">
        <is>
          <t>7620/800</t>
        </is>
      </c>
      <c r="E4351" s="3" t="inlineStr">
        <is>
          <t>HF CIP GL Conradie</t>
        </is>
      </c>
      <c r="F4351" s="3" t="n">
        <v>0</v>
      </c>
      <c r="G4351" s="3" t="n">
        <v>1068455</v>
      </c>
    </row>
    <row r="4352">
      <c r="A4352" s="3" t="inlineStr">
        <is>
          <t>Heron View (Pty) Ltd</t>
        </is>
      </c>
      <c r="B4352" s="4" t="n">
        <v>45199</v>
      </c>
      <c r="C4352" s="3" t="inlineStr">
        <is>
          <t>Assets</t>
        </is>
      </c>
      <c r="D4352" s="3" t="inlineStr">
        <is>
          <t>7620/800</t>
        </is>
      </c>
      <c r="E4352" s="3" t="inlineStr">
        <is>
          <t>HV CIP GL Conradie</t>
        </is>
      </c>
      <c r="F4352" s="3" t="n">
        <v>694542.34</v>
      </c>
      <c r="G4352" s="3" t="n">
        <v>2188325.96</v>
      </c>
    </row>
    <row r="4353">
      <c r="A4353" s="3" t="inlineStr">
        <is>
          <t>Heron Fields (Pty) Ltd</t>
        </is>
      </c>
      <c r="B4353" s="4" t="n">
        <v>45199</v>
      </c>
      <c r="C4353" s="3" t="inlineStr">
        <is>
          <t>Assets</t>
        </is>
      </c>
      <c r="D4353" s="3" t="inlineStr">
        <is>
          <t>7700/010</t>
        </is>
      </c>
      <c r="E4353" s="3" t="inlineStr">
        <is>
          <t>Construction 28 Feb 23 HF</t>
        </is>
      </c>
      <c r="F4353" s="3" t="n">
        <v>0</v>
      </c>
      <c r="G4353" s="3" t="n">
        <v>-24427668.44</v>
      </c>
    </row>
    <row r="4354">
      <c r="A4354" s="3" t="inlineStr">
        <is>
          <t>Cape Projects Construction (Pty) Ltd</t>
        </is>
      </c>
      <c r="B4354" s="4" t="n">
        <v>45199</v>
      </c>
      <c r="C4354" s="3" t="inlineStr">
        <is>
          <t>Assets</t>
        </is>
      </c>
      <c r="D4354" s="3" t="inlineStr">
        <is>
          <t>7800/000</t>
        </is>
      </c>
      <c r="E4354" s="3" t="inlineStr">
        <is>
          <t>Deposits paid</t>
        </is>
      </c>
      <c r="F4354" s="3" t="n">
        <v>0</v>
      </c>
      <c r="G4354" s="3" t="n">
        <v>29600</v>
      </c>
    </row>
    <row r="4355">
      <c r="A4355" s="3" t="inlineStr">
        <is>
          <t>Cape Projects Construction (Pty) Ltd</t>
        </is>
      </c>
      <c r="B4355" s="4" t="n">
        <v>45199</v>
      </c>
      <c r="C4355" s="3" t="inlineStr">
        <is>
          <t>Assets</t>
        </is>
      </c>
      <c r="D4355" s="3" t="inlineStr">
        <is>
          <t>8000/000</t>
        </is>
      </c>
      <c r="E4355" s="3" t="inlineStr">
        <is>
          <t>Customer Control Account</t>
        </is>
      </c>
      <c r="F4355" s="3" t="n">
        <v>1629402.74</v>
      </c>
      <c r="G4355" s="3" t="n">
        <v>-8909888.34</v>
      </c>
    </row>
    <row r="4356">
      <c r="A4356" s="3" t="inlineStr">
        <is>
          <t>Heron Fields (Pty) Ltd</t>
        </is>
      </c>
      <c r="B4356" s="4" t="n">
        <v>45199</v>
      </c>
      <c r="C4356" s="3" t="inlineStr">
        <is>
          <t>Assets</t>
        </is>
      </c>
      <c r="D4356" s="3" t="inlineStr">
        <is>
          <t>8000/000</t>
        </is>
      </c>
      <c r="E4356" s="3" t="inlineStr">
        <is>
          <t>Customer Control Account</t>
        </is>
      </c>
      <c r="F4356" s="3" t="n">
        <v>5661.98</v>
      </c>
      <c r="G4356" s="3" t="n">
        <v>361268.59</v>
      </c>
    </row>
    <row r="4357">
      <c r="A4357" s="3" t="inlineStr">
        <is>
          <t>Cape Projects Construction (Pty) Ltd</t>
        </is>
      </c>
      <c r="B4357" s="4" t="n">
        <v>45199</v>
      </c>
      <c r="C4357" s="3" t="inlineStr">
        <is>
          <t>Assets</t>
        </is>
      </c>
      <c r="D4357" s="3" t="inlineStr">
        <is>
          <t>8200/020</t>
        </is>
      </c>
      <c r="E4357" s="3" t="inlineStr">
        <is>
          <t>Staff Loans</t>
        </is>
      </c>
      <c r="F4357" s="3" t="n">
        <v>-2314.28</v>
      </c>
      <c r="G4357" s="3" t="n">
        <v>-2314.28</v>
      </c>
    </row>
    <row r="4358">
      <c r="A4358" s="3" t="inlineStr">
        <is>
          <t>Heron Fields (Pty) Ltd</t>
        </is>
      </c>
      <c r="B4358" s="4" t="n">
        <v>45199</v>
      </c>
      <c r="C4358" s="3" t="inlineStr">
        <is>
          <t>Assets</t>
        </is>
      </c>
      <c r="D4358" s="3" t="inlineStr">
        <is>
          <t>8400/000</t>
        </is>
      </c>
      <c r="E4358" s="3" t="inlineStr">
        <is>
          <t>RMB - 62882379087</t>
        </is>
      </c>
      <c r="F4358" s="3" t="n">
        <v>-965962.74</v>
      </c>
      <c r="G4358" s="3" t="n">
        <v>836600.0699999999</v>
      </c>
    </row>
    <row r="4359">
      <c r="A4359" s="3" t="inlineStr">
        <is>
          <t>Cape Projects Construction (Pty) Ltd</t>
        </is>
      </c>
      <c r="B4359" s="4" t="n">
        <v>45199</v>
      </c>
      <c r="C4359" s="3" t="inlineStr">
        <is>
          <t>Assets</t>
        </is>
      </c>
      <c r="D4359" s="3" t="inlineStr">
        <is>
          <t>8400/000</t>
        </is>
      </c>
      <c r="E4359" s="3" t="inlineStr">
        <is>
          <t>RMB 62275138470</t>
        </is>
      </c>
      <c r="F4359" s="3" t="n">
        <v>-356228.98</v>
      </c>
      <c r="G4359" s="3" t="n">
        <v>388313.23</v>
      </c>
    </row>
    <row r="4360">
      <c r="A4360" s="3" t="inlineStr">
        <is>
          <t>Cape Projects Construction (Pty) Ltd</t>
        </is>
      </c>
      <c r="B4360" s="4" t="n">
        <v>45199</v>
      </c>
      <c r="C4360" s="3" t="inlineStr">
        <is>
          <t>Assets</t>
        </is>
      </c>
      <c r="D4360" s="3" t="inlineStr">
        <is>
          <t>8410/000</t>
        </is>
      </c>
      <c r="E4360" s="3" t="inlineStr">
        <is>
          <t>Petty Cash</t>
        </is>
      </c>
      <c r="F4360" s="3" t="n">
        <v>0</v>
      </c>
      <c r="G4360" s="3" t="n">
        <v>-1188</v>
      </c>
    </row>
    <row r="4361">
      <c r="A4361" s="3" t="inlineStr">
        <is>
          <t>Cape Projects Construction (Pty) Ltd</t>
        </is>
      </c>
      <c r="B4361" s="4" t="n">
        <v>45199</v>
      </c>
      <c r="C4361" s="3" t="inlineStr">
        <is>
          <t>Assets</t>
        </is>
      </c>
      <c r="D4361" s="3" t="inlineStr">
        <is>
          <t>8420/000</t>
        </is>
      </c>
      <c r="E4361" s="3" t="inlineStr">
        <is>
          <t>Momentum Priv Acc RU502230981</t>
        </is>
      </c>
      <c r="F4361" s="3" t="n">
        <v>4</v>
      </c>
      <c r="G4361" s="3" t="n">
        <v>567.41</v>
      </c>
    </row>
    <row r="4362">
      <c r="A4362" s="3" t="inlineStr">
        <is>
          <t>Heron Fields (Pty) Ltd</t>
        </is>
      </c>
      <c r="B4362" s="4" t="n">
        <v>45199</v>
      </c>
      <c r="C4362" s="3" t="inlineStr">
        <is>
          <t>Assets</t>
        </is>
      </c>
      <c r="D4362" s="3" t="inlineStr">
        <is>
          <t>8420/000</t>
        </is>
      </c>
      <c r="E4362" s="3" t="inlineStr">
        <is>
          <t>Petty Cash</t>
        </is>
      </c>
      <c r="F4362" s="3" t="n">
        <v>0</v>
      </c>
      <c r="G4362" s="3" t="n">
        <v>8620</v>
      </c>
    </row>
    <row r="4363">
      <c r="A4363" s="3" t="inlineStr">
        <is>
          <t>Heron Fields (Pty) Ltd</t>
        </is>
      </c>
      <c r="B4363" s="4" t="n">
        <v>45199</v>
      </c>
      <c r="C4363" s="3" t="inlineStr">
        <is>
          <t>Assets</t>
        </is>
      </c>
      <c r="D4363" s="3" t="inlineStr">
        <is>
          <t>8430/000</t>
        </is>
      </c>
      <c r="E4363" s="3" t="inlineStr">
        <is>
          <t>Momentum Private Account RU502230151</t>
        </is>
      </c>
      <c r="F4363" s="3" t="n">
        <v>0</v>
      </c>
      <c r="G4363" s="3" t="n">
        <v>848.4400000000001</v>
      </c>
    </row>
    <row r="4364">
      <c r="A4364" s="3" t="inlineStr">
        <is>
          <t>Heron Fields (Pty) Ltd</t>
        </is>
      </c>
      <c r="B4364" s="4" t="n">
        <v>45199</v>
      </c>
      <c r="C4364" s="3" t="inlineStr">
        <is>
          <t>Assets</t>
        </is>
      </c>
      <c r="D4364" s="3" t="inlineStr">
        <is>
          <t>8440/000</t>
        </is>
      </c>
      <c r="E4364" s="3" t="inlineStr">
        <is>
          <t>Momentum Investors Account RU502229930</t>
        </is>
      </c>
      <c r="F4364" s="3" t="n">
        <v>13963529.43</v>
      </c>
      <c r="G4364" s="3" t="n">
        <v>47558692.45</v>
      </c>
    </row>
    <row r="4365">
      <c r="A4365" s="3" t="inlineStr">
        <is>
          <t>Heron Fields (Pty) Ltd</t>
        </is>
      </c>
      <c r="B4365" s="4" t="n">
        <v>45199</v>
      </c>
      <c r="C4365" s="3" t="inlineStr">
        <is>
          <t>Assets</t>
        </is>
      </c>
      <c r="D4365" s="3" t="inlineStr">
        <is>
          <t>8450/000</t>
        </is>
      </c>
      <c r="E4365" s="3" t="inlineStr">
        <is>
          <t>ABSA Current Acc : 4109071013</t>
        </is>
      </c>
      <c r="F4365" s="3" t="n">
        <v>500</v>
      </c>
      <c r="G4365" s="3" t="n">
        <v>500</v>
      </c>
    </row>
    <row r="4366">
      <c r="A4366" s="3" t="inlineStr">
        <is>
          <t>Cape Projects Construction (Pty) Ltd</t>
        </is>
      </c>
      <c r="B4366" s="4" t="n">
        <v>45199</v>
      </c>
      <c r="C4366" s="3" t="inlineStr">
        <is>
          <t>Liabilities</t>
        </is>
      </c>
      <c r="D4366" s="3" t="inlineStr">
        <is>
          <t>860</t>
        </is>
      </c>
      <c r="E4366" s="3" t="inlineStr">
        <is>
          <t>Rounding</t>
        </is>
      </c>
      <c r="F4366" s="3" t="n">
        <v>-0.65</v>
      </c>
      <c r="G4366" s="3" t="n">
        <v>-29.67</v>
      </c>
    </row>
    <row r="4367">
      <c r="A4367" s="3" t="inlineStr">
        <is>
          <t>Heron Fields (Pty) Ltd</t>
        </is>
      </c>
      <c r="B4367" s="4" t="n">
        <v>45199</v>
      </c>
      <c r="C4367" s="3" t="inlineStr">
        <is>
          <t>Liabilities</t>
        </is>
      </c>
      <c r="D4367" s="3" t="inlineStr">
        <is>
          <t>860</t>
        </is>
      </c>
      <c r="E4367" s="3" t="inlineStr">
        <is>
          <t>Rounding</t>
        </is>
      </c>
      <c r="F4367" s="3" t="n">
        <v>0</v>
      </c>
      <c r="G4367" s="3" t="n">
        <v>0.13</v>
      </c>
    </row>
    <row r="4368">
      <c r="A4368" s="3" t="inlineStr">
        <is>
          <t>Heron View (Pty) Ltd</t>
        </is>
      </c>
      <c r="B4368" s="4" t="n">
        <v>45199</v>
      </c>
      <c r="C4368" s="3" t="inlineStr">
        <is>
          <t>Liabilities</t>
        </is>
      </c>
      <c r="D4368" s="3" t="inlineStr">
        <is>
          <t>860</t>
        </is>
      </c>
      <c r="E4368" s="3" t="inlineStr">
        <is>
          <t>Rounding</t>
        </is>
      </c>
      <c r="F4368" s="3" t="n">
        <v>-0.06</v>
      </c>
      <c r="G4368" s="3" t="n">
        <v>-0.06</v>
      </c>
    </row>
    <row r="4369">
      <c r="A4369" s="3" t="inlineStr">
        <is>
          <t>Cape Projects Construction (Pty) Ltd</t>
        </is>
      </c>
      <c r="B4369" s="4" t="n">
        <v>45199</v>
      </c>
      <c r="C4369" s="3" t="inlineStr">
        <is>
          <t>Liabilities</t>
        </is>
      </c>
      <c r="D4369" s="3" t="inlineStr">
        <is>
          <t>9000/000</t>
        </is>
      </c>
      <c r="E4369" s="3" t="inlineStr">
        <is>
          <t>Supplier Control Account</t>
        </is>
      </c>
      <c r="F4369" s="3" t="n">
        <v>-893800.79</v>
      </c>
      <c r="G4369" s="3" t="n">
        <v>-1615893.59</v>
      </c>
    </row>
    <row r="4370">
      <c r="A4370" s="3" t="inlineStr">
        <is>
          <t>Heron Fields (Pty) Ltd</t>
        </is>
      </c>
      <c r="B4370" s="4" t="n">
        <v>45199</v>
      </c>
      <c r="C4370" s="3" t="inlineStr">
        <is>
          <t>Liabilities</t>
        </is>
      </c>
      <c r="D4370" s="3" t="inlineStr">
        <is>
          <t>9000/000</t>
        </is>
      </c>
      <c r="E4370" s="3" t="inlineStr">
        <is>
          <t>Supplier Control Account</t>
        </is>
      </c>
      <c r="F4370" s="3" t="n">
        <v>-10833411.2</v>
      </c>
      <c r="G4370" s="3" t="n">
        <v>-156661116.37</v>
      </c>
    </row>
    <row r="4371">
      <c r="A4371" s="3" t="inlineStr">
        <is>
          <t>Heron View (Pty) Ltd</t>
        </is>
      </c>
      <c r="B4371" s="4" t="n">
        <v>45199</v>
      </c>
      <c r="C4371" s="3" t="inlineStr">
        <is>
          <t>Liabilities</t>
        </is>
      </c>
      <c r="D4371" s="3" t="inlineStr">
        <is>
          <t>9000/000</t>
        </is>
      </c>
      <c r="E4371" s="3" t="inlineStr">
        <is>
          <t>Supplier Control Account</t>
        </is>
      </c>
      <c r="F4371" s="3" t="n">
        <v>-2530321.73</v>
      </c>
      <c r="G4371" s="3" t="n">
        <v>6564113.86</v>
      </c>
    </row>
    <row r="4372">
      <c r="A4372" s="3" t="inlineStr">
        <is>
          <t>Cape Projects Construction (Pty) Ltd</t>
        </is>
      </c>
      <c r="B4372" s="4" t="n">
        <v>45199</v>
      </c>
      <c r="C4372" s="3" t="inlineStr">
        <is>
          <t>Liabilities</t>
        </is>
      </c>
      <c r="D4372" s="3" t="inlineStr">
        <is>
          <t>9200/000</t>
        </is>
      </c>
      <c r="E4372" s="3" t="inlineStr">
        <is>
          <t>Sundry Suppliers</t>
        </is>
      </c>
      <c r="F4372" s="3" t="n">
        <v>0</v>
      </c>
      <c r="G4372" s="3" t="n">
        <v>1309</v>
      </c>
    </row>
    <row r="4373">
      <c r="A4373" s="3" t="inlineStr">
        <is>
          <t>Cape Projects Construction (Pty) Ltd</t>
        </is>
      </c>
      <c r="B4373" s="4" t="n">
        <v>45199</v>
      </c>
      <c r="C4373" s="3" t="inlineStr">
        <is>
          <t>Liabilities</t>
        </is>
      </c>
      <c r="D4373" s="3" t="inlineStr">
        <is>
          <t>9250/010</t>
        </is>
      </c>
      <c r="E4373" s="3" t="inlineStr">
        <is>
          <t>SALARY CONTROL</t>
        </is>
      </c>
      <c r="F4373" s="3" t="n">
        <v>-0.01</v>
      </c>
      <c r="G4373" s="3" t="n">
        <v>-0.02</v>
      </c>
    </row>
    <row r="4374">
      <c r="A4374" s="3" t="inlineStr">
        <is>
          <t>Cape Projects Construction (Pty) Ltd</t>
        </is>
      </c>
      <c r="B4374" s="4" t="n">
        <v>45199</v>
      </c>
      <c r="C4374" s="3" t="inlineStr">
        <is>
          <t>Liabilities</t>
        </is>
      </c>
      <c r="D4374" s="3" t="inlineStr">
        <is>
          <t>9250/020</t>
        </is>
      </c>
      <c r="E4374" s="3" t="inlineStr">
        <is>
          <t>PAYE, UIF AND SDL CONTROL</t>
        </is>
      </c>
      <c r="F4374" s="3" t="n">
        <v>-27.46</v>
      </c>
      <c r="G4374" s="3" t="n">
        <v>-90980.12</v>
      </c>
    </row>
    <row r="4375">
      <c r="A4375" s="3" t="inlineStr">
        <is>
          <t>Cape Projects Construction (Pty) Ltd</t>
        </is>
      </c>
      <c r="B4375" s="4" t="n">
        <v>45199</v>
      </c>
      <c r="C4375" s="3" t="inlineStr">
        <is>
          <t>Liabilities</t>
        </is>
      </c>
      <c r="D4375" s="3" t="inlineStr">
        <is>
          <t>9250/030</t>
        </is>
      </c>
      <c r="E4375" s="3" t="inlineStr">
        <is>
          <t>BIBC CONTROL</t>
        </is>
      </c>
      <c r="F4375" s="3" t="n">
        <v>0</v>
      </c>
      <c r="G4375" s="3" t="n">
        <v>-49413.95</v>
      </c>
    </row>
    <row r="4376">
      <c r="A4376" s="3" t="inlineStr">
        <is>
          <t>Cape Projects Construction (Pty) Ltd</t>
        </is>
      </c>
      <c r="B4376" s="4" t="n">
        <v>45199</v>
      </c>
      <c r="C4376" s="3" t="inlineStr">
        <is>
          <t>Liabilities</t>
        </is>
      </c>
      <c r="D4376" s="3" t="inlineStr">
        <is>
          <t>9350/000</t>
        </is>
      </c>
      <c r="E4376" s="3" t="inlineStr">
        <is>
          <t>Dividends Payable</t>
        </is>
      </c>
      <c r="F4376" s="3" t="n">
        <v>130000</v>
      </c>
      <c r="G4376" s="3" t="n">
        <v>130000</v>
      </c>
    </row>
    <row r="4377">
      <c r="A4377" s="3" t="inlineStr">
        <is>
          <t>Cape Projects Construction (Pty) Ltd</t>
        </is>
      </c>
      <c r="B4377" s="4" t="n">
        <v>45199</v>
      </c>
      <c r="C4377" s="3" t="inlineStr">
        <is>
          <t>Liabilities</t>
        </is>
      </c>
      <c r="D4377" s="3" t="inlineStr">
        <is>
          <t>9500/000</t>
        </is>
      </c>
      <c r="E4377" s="3" t="inlineStr">
        <is>
          <t>VAT Control Account</t>
        </is>
      </c>
      <c r="F4377" s="3" t="n">
        <v>-123153.66</v>
      </c>
      <c r="G4377" s="3" t="n">
        <v>-72369.44</v>
      </c>
    </row>
    <row r="4378">
      <c r="A4378" s="3" t="inlineStr">
        <is>
          <t>Heron Fields (Pty) Ltd</t>
        </is>
      </c>
      <c r="B4378" s="4" t="n">
        <v>45199</v>
      </c>
      <c r="C4378" s="3" t="inlineStr">
        <is>
          <t>Liabilities</t>
        </is>
      </c>
      <c r="D4378" s="3" t="inlineStr">
        <is>
          <t>9500/000</t>
        </is>
      </c>
      <c r="E4378" s="3" t="inlineStr">
        <is>
          <t>Vat / Tax Control Account</t>
        </is>
      </c>
      <c r="F4378" s="3" t="n">
        <v>750509.34</v>
      </c>
      <c r="G4378" s="3" t="n">
        <v>-3196500.55</v>
      </c>
    </row>
    <row r="4379">
      <c r="A4379" s="3" t="inlineStr">
        <is>
          <t>Heron View (Pty) Ltd</t>
        </is>
      </c>
      <c r="B4379" s="4" t="n">
        <v>45199</v>
      </c>
      <c r="C4379" s="3" t="inlineStr">
        <is>
          <t>Liabilities</t>
        </is>
      </c>
      <c r="D4379" s="3" t="inlineStr">
        <is>
          <t>9500/000</t>
        </is>
      </c>
      <c r="E4379" s="3" t="inlineStr">
        <is>
          <t>Vat / Tax Control Account</t>
        </is>
      </c>
      <c r="F4379" s="3" t="n">
        <v>-938462.91</v>
      </c>
      <c r="G4379" s="3" t="n">
        <v>3516512.96</v>
      </c>
    </row>
    <row r="4380">
      <c r="A4380" s="3" t="inlineStr">
        <is>
          <t>Cape Projects Construction (Pty) Ltd</t>
        </is>
      </c>
      <c r="B4380" s="4" t="n">
        <v>45199</v>
      </c>
      <c r="C4380" s="3" t="inlineStr">
        <is>
          <t>Liabilities</t>
        </is>
      </c>
      <c r="D4380" s="3" t="inlineStr">
        <is>
          <t>9510/000</t>
        </is>
      </c>
      <c r="E4380" s="3" t="inlineStr">
        <is>
          <t>Tax Provision Account</t>
        </is>
      </c>
      <c r="F4380" s="3" t="n">
        <v>-1869.8</v>
      </c>
      <c r="G4380" s="3" t="n">
        <v>-1869.8</v>
      </c>
    </row>
    <row r="4381">
      <c r="A4381" s="3" t="inlineStr">
        <is>
          <t>Heron Fields (Pty) Ltd</t>
        </is>
      </c>
      <c r="B4381" s="4" t="n">
        <v>45199</v>
      </c>
      <c r="C4381" s="3" t="inlineStr">
        <is>
          <t>Liabilities</t>
        </is>
      </c>
      <c r="D4381" s="3" t="inlineStr">
        <is>
          <t>9520/000</t>
        </is>
      </c>
      <c r="E4381" s="3" t="inlineStr">
        <is>
          <t>Income Tax Payable</t>
        </is>
      </c>
      <c r="F4381" s="3" t="n">
        <v>0</v>
      </c>
      <c r="G4381" s="3" t="n">
        <v>59039.93</v>
      </c>
    </row>
    <row r="4382">
      <c r="A4382" s="3" t="inlineStr">
        <is>
          <t>Heron View (Pty) Ltd</t>
        </is>
      </c>
      <c r="B4382" s="4" t="n">
        <v>45199</v>
      </c>
      <c r="C4382" s="3" t="inlineStr">
        <is>
          <t>Liabilities</t>
        </is>
      </c>
      <c r="D4382" s="3" t="inlineStr">
        <is>
          <t>9899/C102</t>
        </is>
      </c>
      <c r="E4382" s="3" t="inlineStr">
        <is>
          <t>Sales - Unit Reg Control C102</t>
        </is>
      </c>
      <c r="F4382" s="3" t="n">
        <v>0</v>
      </c>
      <c r="G4382" s="3" t="n">
        <v>-0.4</v>
      </c>
    </row>
    <row r="4383">
      <c r="A4383" s="3" t="inlineStr">
        <is>
          <t>Cape Projects Construction (Pty) Ltd</t>
        </is>
      </c>
      <c r="B4383" s="4" t="n">
        <v>45199</v>
      </c>
      <c r="C4383" s="3" t="inlineStr">
        <is>
          <t>Liabilities</t>
        </is>
      </c>
      <c r="D4383" s="3" t="inlineStr">
        <is>
          <t>B/S</t>
        </is>
      </c>
      <c r="E4383" s="3" t="inlineStr">
        <is>
          <t>Taxation Payable</t>
        </is>
      </c>
      <c r="F4383" s="3" t="n">
        <v>0</v>
      </c>
      <c r="G4383" s="3" t="n">
        <v>1869.8</v>
      </c>
    </row>
    <row r="4384">
      <c r="A4384" s="3" t="inlineStr">
        <is>
          <t>Cape Projects Construction (Pty) Ltd</t>
        </is>
      </c>
      <c r="B4384" s="4" t="n">
        <v>45199</v>
      </c>
      <c r="C4384" s="3" t="inlineStr">
        <is>
          <t>Liabilities</t>
        </is>
      </c>
      <c r="D4384" s="3" t="inlineStr">
        <is>
          <t>TEMP/ACC</t>
        </is>
      </c>
      <c r="E4384" s="3" t="inlineStr">
        <is>
          <t>Conversion Account</t>
        </is>
      </c>
      <c r="F4384" s="3" t="n">
        <v>0</v>
      </c>
      <c r="G4384" s="3" t="n">
        <v>-254.99</v>
      </c>
    </row>
    <row r="4385">
      <c r="A4385" s="3" t="inlineStr">
        <is>
          <t>Heron Fields (Pty) Ltd</t>
        </is>
      </c>
      <c r="B4385" s="4" t="n">
        <v>45230</v>
      </c>
      <c r="C4385" s="3" t="inlineStr">
        <is>
          <t>Revenue</t>
        </is>
      </c>
      <c r="D4385" s="3" t="inlineStr">
        <is>
          <t>1000/100</t>
        </is>
      </c>
      <c r="E4385" s="3" t="inlineStr">
        <is>
          <t>Sales - Heron Fields</t>
        </is>
      </c>
      <c r="F4385" s="3" t="n">
        <v>-1243391.3</v>
      </c>
      <c r="G4385" s="3" t="n">
        <v>-28096347.83</v>
      </c>
    </row>
    <row r="4386">
      <c r="A4386" s="3" t="inlineStr">
        <is>
          <t>Heron View (Pty) Ltd</t>
        </is>
      </c>
      <c r="B4386" s="4" t="n">
        <v>45230</v>
      </c>
      <c r="C4386" s="3" t="inlineStr">
        <is>
          <t>Revenue</t>
        </is>
      </c>
      <c r="D4386" s="3" t="inlineStr">
        <is>
          <t>1000/100</t>
        </is>
      </c>
      <c r="E4386" s="3" t="inlineStr">
        <is>
          <t>Sales - Heron View Sales</t>
        </is>
      </c>
      <c r="F4386" s="3" t="n">
        <v>0</v>
      </c>
      <c r="G4386" s="3" t="n">
        <v>-19833565.24</v>
      </c>
    </row>
    <row r="4387">
      <c r="A4387" s="3" t="inlineStr">
        <is>
          <t>Heron Fields (Pty) Ltd</t>
        </is>
      </c>
      <c r="B4387" s="4" t="n">
        <v>45230</v>
      </c>
      <c r="C4387" s="3" t="inlineStr">
        <is>
          <t>Revenue</t>
        </is>
      </c>
      <c r="D4387" s="3" t="inlineStr">
        <is>
          <t>1000/101</t>
        </is>
      </c>
      <c r="E4387" s="3" t="inlineStr">
        <is>
          <t>Sales - Heron Fields occupational rent</t>
        </is>
      </c>
      <c r="F4387" s="3" t="n">
        <v>0</v>
      </c>
      <c r="G4387" s="3" t="n">
        <v>-102388.85</v>
      </c>
    </row>
    <row r="4388">
      <c r="A4388" s="3" t="inlineStr">
        <is>
          <t>Heron View (Pty) Ltd</t>
        </is>
      </c>
      <c r="B4388" s="4" t="n">
        <v>45230</v>
      </c>
      <c r="C4388" s="3" t="inlineStr">
        <is>
          <t>Revenue</t>
        </is>
      </c>
      <c r="D4388" s="3" t="inlineStr">
        <is>
          <t>1000/101</t>
        </is>
      </c>
      <c r="E4388" s="3" t="inlineStr">
        <is>
          <t>Sales - Heron View Occupational Rent</t>
        </is>
      </c>
      <c r="F4388" s="3" t="n">
        <v>0</v>
      </c>
      <c r="G4388" s="3" t="n">
        <v>-78825.8</v>
      </c>
    </row>
    <row r="4389">
      <c r="A4389" s="3" t="inlineStr">
        <is>
          <t>Cape Projects Construction (Pty) Ltd</t>
        </is>
      </c>
      <c r="B4389" s="4" t="n">
        <v>45230</v>
      </c>
      <c r="C4389" s="3" t="inlineStr">
        <is>
          <t>Revenue</t>
        </is>
      </c>
      <c r="D4389" s="3" t="inlineStr">
        <is>
          <t>1040/100</t>
        </is>
      </c>
      <c r="E4389" s="3" t="inlineStr">
        <is>
          <t>Fees - Construction - Heron</t>
        </is>
      </c>
      <c r="F4389" s="3" t="n">
        <v>-6737030.67</v>
      </c>
      <c r="G4389" s="3" t="n">
        <v>-35137237.14</v>
      </c>
    </row>
    <row r="4390">
      <c r="A4390" s="3" t="inlineStr">
        <is>
          <t>Cape Projects Construction (Pty) Ltd</t>
        </is>
      </c>
      <c r="B4390" s="4" t="n">
        <v>45230</v>
      </c>
      <c r="C4390" s="3" t="inlineStr">
        <is>
          <t>Revenue</t>
        </is>
      </c>
      <c r="D4390" s="3" t="inlineStr">
        <is>
          <t>1070/000</t>
        </is>
      </c>
      <c r="E4390" s="3" t="inlineStr">
        <is>
          <t>Rent - CT Office</t>
        </is>
      </c>
      <c r="F4390" s="3" t="n">
        <v>0</v>
      </c>
      <c r="G4390" s="3" t="n">
        <v>3490.94</v>
      </c>
    </row>
    <row r="4391">
      <c r="A4391" s="3" t="inlineStr">
        <is>
          <t>Heron Fields (Pty) Ltd</t>
        </is>
      </c>
      <c r="B4391" s="4" t="n">
        <v>45230</v>
      </c>
      <c r="C4391" s="3" t="inlineStr">
        <is>
          <t>Revenue</t>
        </is>
      </c>
      <c r="D4391" s="3" t="inlineStr">
        <is>
          <t>1500/002</t>
        </is>
      </c>
      <c r="E4391" s="3" t="inlineStr">
        <is>
          <t>Rental Income</t>
        </is>
      </c>
      <c r="F4391" s="3" t="n">
        <v>-32138.13</v>
      </c>
      <c r="G4391" s="3" t="n">
        <v>-114630.07</v>
      </c>
    </row>
    <row r="4392">
      <c r="A4392" s="3" t="inlineStr">
        <is>
          <t>Heron View (Pty) Ltd</t>
        </is>
      </c>
      <c r="B4392" s="4" t="n">
        <v>45230</v>
      </c>
      <c r="C4392" s="3" t="inlineStr">
        <is>
          <t>Revenue</t>
        </is>
      </c>
      <c r="D4392" s="3" t="inlineStr">
        <is>
          <t>1500/002</t>
        </is>
      </c>
      <c r="E4392" s="3" t="inlineStr">
        <is>
          <t>Rental Income</t>
        </is>
      </c>
      <c r="F4392" s="3" t="n">
        <v>-13883</v>
      </c>
      <c r="G4392" s="3" t="n">
        <v>-13883</v>
      </c>
    </row>
    <row r="4393">
      <c r="A4393" s="3" t="inlineStr">
        <is>
          <t>Heron Fields (Pty) Ltd</t>
        </is>
      </c>
      <c r="B4393" s="4" t="n">
        <v>45230</v>
      </c>
      <c r="C4393" s="3" t="inlineStr">
        <is>
          <t>Expenses</t>
        </is>
      </c>
      <c r="D4393" s="3" t="inlineStr">
        <is>
          <t>2000/011</t>
        </is>
      </c>
      <c r="E4393" s="3" t="inlineStr">
        <is>
          <t>COS - Heron View Showhouse</t>
        </is>
      </c>
      <c r="F4393" s="3" t="n">
        <v>0</v>
      </c>
      <c r="G4393" s="3" t="n">
        <v>45300.43</v>
      </c>
    </row>
    <row r="4394">
      <c r="A4394" s="3" t="inlineStr">
        <is>
          <t>Heron View (Pty) Ltd</t>
        </is>
      </c>
      <c r="B4394" s="4" t="n">
        <v>45230</v>
      </c>
      <c r="C4394" s="3" t="inlineStr">
        <is>
          <t>Expenses</t>
        </is>
      </c>
      <c r="D4394" s="3" t="inlineStr">
        <is>
          <t>2000/030</t>
        </is>
      </c>
      <c r="E4394" s="3" t="inlineStr">
        <is>
          <t>COS - HV COCT Rates clearance</t>
        </is>
      </c>
      <c r="F4394" s="3" t="n">
        <v>0</v>
      </c>
      <c r="G4394" s="3" t="n">
        <v>237142.94</v>
      </c>
    </row>
    <row r="4395">
      <c r="A4395" s="3" t="inlineStr">
        <is>
          <t>Heron Fields (Pty) Ltd</t>
        </is>
      </c>
      <c r="B4395" s="4" t="n">
        <v>45230</v>
      </c>
      <c r="C4395" s="3" t="inlineStr">
        <is>
          <t>Expenses</t>
        </is>
      </c>
      <c r="D4395" s="3" t="inlineStr">
        <is>
          <t>2000/040</t>
        </is>
      </c>
      <c r="E4395" s="3" t="inlineStr">
        <is>
          <t>COS - Legal Fees</t>
        </is>
      </c>
      <c r="F4395" s="3" t="n">
        <v>36756.85</v>
      </c>
      <c r="G4395" s="3" t="n">
        <v>685713.49</v>
      </c>
    </row>
    <row r="4396">
      <c r="A4396" s="3" t="inlineStr">
        <is>
          <t>Heron View (Pty) Ltd</t>
        </is>
      </c>
      <c r="B4396" s="4" t="n">
        <v>45230</v>
      </c>
      <c r="C4396" s="3" t="inlineStr">
        <is>
          <t>Expenses</t>
        </is>
      </c>
      <c r="D4396" s="3" t="inlineStr">
        <is>
          <t>2000/040</t>
        </is>
      </c>
      <c r="E4396" s="3" t="inlineStr">
        <is>
          <t>COS - Legal Fees</t>
        </is>
      </c>
      <c r="F4396" s="3" t="n">
        <v>0</v>
      </c>
      <c r="G4396" s="3" t="n">
        <v>451248.55</v>
      </c>
    </row>
    <row r="4397">
      <c r="A4397" s="3" t="inlineStr">
        <is>
          <t>Heron View (Pty) Ltd</t>
        </is>
      </c>
      <c r="B4397" s="4" t="n">
        <v>45230</v>
      </c>
      <c r="C4397" s="3" t="inlineStr">
        <is>
          <t>Expenses</t>
        </is>
      </c>
      <c r="D4397" s="3" t="inlineStr">
        <is>
          <t>2000/041</t>
        </is>
      </c>
      <c r="E4397" s="3" t="inlineStr">
        <is>
          <t>COS - Legal Fees Opening of Sec Title Fees</t>
        </is>
      </c>
      <c r="F4397" s="3" t="n">
        <v>0</v>
      </c>
      <c r="G4397" s="3" t="n">
        <v>61556.94</v>
      </c>
    </row>
    <row r="4398">
      <c r="A4398" s="3" t="inlineStr">
        <is>
          <t>Heron Fields (Pty) Ltd</t>
        </is>
      </c>
      <c r="B4398" s="4" t="n">
        <v>45230</v>
      </c>
      <c r="C4398" s="3" t="inlineStr">
        <is>
          <t>Expenses</t>
        </is>
      </c>
      <c r="D4398" s="3" t="inlineStr">
        <is>
          <t>2000/041</t>
        </is>
      </c>
      <c r="E4398" s="3" t="inlineStr">
        <is>
          <t>COS - Legal Fees Opening of Sec Title Scheme</t>
        </is>
      </c>
      <c r="F4398" s="3" t="n">
        <v>10540</v>
      </c>
      <c r="G4398" s="3" t="n">
        <v>10540</v>
      </c>
    </row>
    <row r="4399">
      <c r="A4399" s="3" t="inlineStr">
        <is>
          <t>Heron Fields (Pty) Ltd</t>
        </is>
      </c>
      <c r="B4399" s="4" t="n">
        <v>45230</v>
      </c>
      <c r="C4399" s="3" t="inlineStr">
        <is>
          <t>Expenses</t>
        </is>
      </c>
      <c r="D4399" s="3" t="inlineStr">
        <is>
          <t>2000/050</t>
        </is>
      </c>
      <c r="E4399" s="3" t="inlineStr">
        <is>
          <t>COS - Rates clearance</t>
        </is>
      </c>
      <c r="F4399" s="3" t="n">
        <v>19519.47</v>
      </c>
      <c r="G4399" s="3" t="n">
        <v>44864.59</v>
      </c>
    </row>
    <row r="4400">
      <c r="A4400" s="3" t="inlineStr">
        <is>
          <t>Heron Fields (Pty) Ltd</t>
        </is>
      </c>
      <c r="B4400" s="4" t="n">
        <v>45230</v>
      </c>
      <c r="C4400" s="3" t="inlineStr">
        <is>
          <t>Expenses</t>
        </is>
      </c>
      <c r="D4400" s="3" t="inlineStr">
        <is>
          <t>2000/060</t>
        </is>
      </c>
      <c r="E4400" s="3" t="inlineStr">
        <is>
          <t>COS - Levies</t>
        </is>
      </c>
      <c r="F4400" s="3" t="n">
        <v>0</v>
      </c>
      <c r="G4400" s="3" t="n">
        <v>381069.48</v>
      </c>
    </row>
    <row r="4401">
      <c r="A4401" s="3" t="inlineStr">
        <is>
          <t>Heron Fields (Pty) Ltd</t>
        </is>
      </c>
      <c r="B4401" s="4" t="n">
        <v>45230</v>
      </c>
      <c r="C4401" s="3" t="inlineStr">
        <is>
          <t>Expenses</t>
        </is>
      </c>
      <c r="D4401" s="3" t="inlineStr">
        <is>
          <t>2000/070</t>
        </is>
      </c>
      <c r="E4401" s="3" t="inlineStr">
        <is>
          <t>COS - Commission HF Units</t>
        </is>
      </c>
      <c r="F4401" s="3" t="n">
        <v>62169.57</v>
      </c>
      <c r="G4401" s="3" t="n">
        <v>1405686.97</v>
      </c>
    </row>
    <row r="4402">
      <c r="A4402" s="3" t="inlineStr">
        <is>
          <t>Heron View (Pty) Ltd</t>
        </is>
      </c>
      <c r="B4402" s="4" t="n">
        <v>45230</v>
      </c>
      <c r="C4402" s="3" t="inlineStr">
        <is>
          <t>Expenses</t>
        </is>
      </c>
      <c r="D4402" s="3" t="inlineStr">
        <is>
          <t>2000/070</t>
        </is>
      </c>
      <c r="E4402" s="3" t="inlineStr">
        <is>
          <t>COS - Commission HV Units</t>
        </is>
      </c>
      <c r="F4402" s="3" t="n">
        <v>0</v>
      </c>
      <c r="G4402" s="3" t="n">
        <v>993852.14</v>
      </c>
    </row>
    <row r="4403">
      <c r="A4403" s="3" t="inlineStr">
        <is>
          <t>Heron Fields (Pty) Ltd</t>
        </is>
      </c>
      <c r="B4403" s="4" t="n">
        <v>45230</v>
      </c>
      <c r="C4403" s="3" t="inlineStr">
        <is>
          <t>Expenses</t>
        </is>
      </c>
      <c r="D4403" s="3" t="inlineStr">
        <is>
          <t>2000/080</t>
        </is>
      </c>
      <c r="E4403" s="3" t="inlineStr">
        <is>
          <t>COS - Showhouse - HF</t>
        </is>
      </c>
      <c r="F4403" s="3" t="n">
        <v>0</v>
      </c>
      <c r="G4403" s="3" t="n">
        <v>1005.47</v>
      </c>
    </row>
    <row r="4404">
      <c r="A4404" s="3" t="inlineStr">
        <is>
          <t>Heron View (Pty) Ltd</t>
        </is>
      </c>
      <c r="B4404" s="4" t="n">
        <v>45230</v>
      </c>
      <c r="C4404" s="3" t="inlineStr">
        <is>
          <t>Expenses</t>
        </is>
      </c>
      <c r="D4404" s="3" t="inlineStr">
        <is>
          <t>2000/080</t>
        </is>
      </c>
      <c r="E4404" s="3" t="inlineStr">
        <is>
          <t>COS - Showhouse - HV</t>
        </is>
      </c>
      <c r="F4404" s="3" t="n">
        <v>0</v>
      </c>
      <c r="G4404" s="3" t="n">
        <v>6212.85</v>
      </c>
    </row>
    <row r="4405">
      <c r="A4405" s="3" t="inlineStr">
        <is>
          <t>Heron Fields (Pty) Ltd</t>
        </is>
      </c>
      <c r="B4405" s="4" t="n">
        <v>45230</v>
      </c>
      <c r="C4405" s="3" t="inlineStr">
        <is>
          <t>Expenses</t>
        </is>
      </c>
      <c r="D4405" s="3" t="inlineStr">
        <is>
          <t>2000/090</t>
        </is>
      </c>
      <c r="E4405" s="3" t="inlineStr">
        <is>
          <t>COS - Electricity</t>
        </is>
      </c>
      <c r="F4405" s="3" t="n">
        <v>0</v>
      </c>
      <c r="G4405" s="3" t="n">
        <v>250</v>
      </c>
    </row>
    <row r="4406">
      <c r="A4406" s="3" t="inlineStr">
        <is>
          <t>Heron View (Pty) Ltd</t>
        </is>
      </c>
      <c r="B4406" s="4" t="n">
        <v>45230</v>
      </c>
      <c r="C4406" s="3" t="inlineStr">
        <is>
          <t>Expenses</t>
        </is>
      </c>
      <c r="D4406" s="3" t="inlineStr">
        <is>
          <t>2000/090</t>
        </is>
      </c>
      <c r="E4406" s="3" t="inlineStr">
        <is>
          <t>COS - Electricity</t>
        </is>
      </c>
      <c r="F4406" s="3" t="n">
        <v>86.95999999999999</v>
      </c>
      <c r="G4406" s="3" t="n">
        <v>186.96</v>
      </c>
    </row>
    <row r="4407">
      <c r="A4407" s="3" t="inlineStr">
        <is>
          <t>Heron Fields (Pty) Ltd</t>
        </is>
      </c>
      <c r="B4407" s="4" t="n">
        <v>45230</v>
      </c>
      <c r="C4407" s="3" t="inlineStr">
        <is>
          <t>Expenses</t>
        </is>
      </c>
      <c r="D4407" s="3" t="inlineStr">
        <is>
          <t>2000/100</t>
        </is>
      </c>
      <c r="E4407" s="3" t="inlineStr">
        <is>
          <t>COS - Inverters</t>
        </is>
      </c>
      <c r="F4407" s="3" t="n">
        <v>0</v>
      </c>
      <c r="G4407" s="3" t="n">
        <v>31600</v>
      </c>
    </row>
    <row r="4408">
      <c r="A4408" s="3" t="inlineStr">
        <is>
          <t>Cape Projects Construction (Pty) Ltd</t>
        </is>
      </c>
      <c r="B4408" s="4" t="n">
        <v>45230</v>
      </c>
      <c r="C4408" s="3" t="inlineStr">
        <is>
          <t>Expenses</t>
        </is>
      </c>
      <c r="D4408" s="3" t="inlineStr">
        <is>
          <t>2000/500</t>
        </is>
      </c>
      <c r="E4408" s="3" t="inlineStr">
        <is>
          <t>COS - Electricity Cost Endulini</t>
        </is>
      </c>
      <c r="F4408" s="3" t="n">
        <v>0</v>
      </c>
      <c r="G4408" s="3" t="n">
        <v>286.96</v>
      </c>
    </row>
    <row r="4409">
      <c r="A4409" s="3" t="inlineStr">
        <is>
          <t>Cape Projects Construction (Pty) Ltd</t>
        </is>
      </c>
      <c r="B4409" s="4" t="n">
        <v>45230</v>
      </c>
      <c r="C4409" s="3" t="inlineStr">
        <is>
          <t>Expenses</t>
        </is>
      </c>
      <c r="D4409" s="3" t="inlineStr">
        <is>
          <t>2000/501</t>
        </is>
      </c>
      <c r="E4409" s="3" t="inlineStr">
        <is>
          <t>COS - Electricity Cost Heron Field</t>
        </is>
      </c>
      <c r="F4409" s="3" t="n">
        <v>0</v>
      </c>
      <c r="G4409" s="3" t="n">
        <v>86.95999999999999</v>
      </c>
    </row>
    <row r="4410">
      <c r="A4410" s="3" t="inlineStr">
        <is>
          <t>Cape Projects Construction (Pty) Ltd</t>
        </is>
      </c>
      <c r="B4410" s="4" t="n">
        <v>45230</v>
      </c>
      <c r="C4410" s="3" t="inlineStr">
        <is>
          <t>Expenses</t>
        </is>
      </c>
      <c r="D4410" s="3" t="inlineStr">
        <is>
          <t>2001/000</t>
        </is>
      </c>
      <c r="E4410" s="3" t="inlineStr">
        <is>
          <t>Cost of Sales - SouthWark Project</t>
        </is>
      </c>
      <c r="F4410" s="3" t="n">
        <v>0</v>
      </c>
      <c r="G4410" s="3" t="n">
        <v>30620.97</v>
      </c>
    </row>
    <row r="4411">
      <c r="A4411" s="3" t="inlineStr">
        <is>
          <t>Cape Projects Construction (Pty) Ltd</t>
        </is>
      </c>
      <c r="B4411" s="4" t="n">
        <v>45230</v>
      </c>
      <c r="C4411" s="3" t="inlineStr">
        <is>
          <t>Expenses</t>
        </is>
      </c>
      <c r="D4411" s="3" t="inlineStr">
        <is>
          <t>2002/250</t>
        </is>
      </c>
      <c r="E4411" s="3" t="inlineStr">
        <is>
          <t>COS - Security</t>
        </is>
      </c>
      <c r="F4411" s="3" t="n">
        <v>0</v>
      </c>
      <c r="G4411" s="3" t="n">
        <v>10516.44</v>
      </c>
    </row>
    <row r="4412">
      <c r="A4412" s="3" t="inlineStr">
        <is>
          <t>Cape Projects Construction (Pty) Ltd</t>
        </is>
      </c>
      <c r="B4412" s="4" t="n">
        <v>45230</v>
      </c>
      <c r="C4412" s="3" t="inlineStr">
        <is>
          <t>Expenses</t>
        </is>
      </c>
      <c r="D4412" s="3" t="inlineStr">
        <is>
          <t>2002/252</t>
        </is>
      </c>
      <c r="E4412" s="3" t="inlineStr">
        <is>
          <t>COS - Security - Guarding</t>
        </is>
      </c>
      <c r="F4412" s="3" t="n">
        <v>16000</v>
      </c>
      <c r="G4412" s="3" t="n">
        <v>73620.91</v>
      </c>
    </row>
    <row r="4413">
      <c r="A4413" s="3" t="inlineStr">
        <is>
          <t>Cape Projects Construction (Pty) Ltd</t>
        </is>
      </c>
      <c r="B4413" s="4" t="n">
        <v>45230</v>
      </c>
      <c r="C4413" s="3" t="inlineStr">
        <is>
          <t>Expenses</t>
        </is>
      </c>
      <c r="D4413" s="3" t="inlineStr">
        <is>
          <t>2006/000</t>
        </is>
      </c>
      <c r="E4413" s="3" t="inlineStr">
        <is>
          <t>COS - Endulini Construction</t>
        </is>
      </c>
      <c r="F4413" s="3" t="n">
        <v>21190.94</v>
      </c>
      <c r="G4413" s="3" t="n">
        <v>281666.34</v>
      </c>
    </row>
    <row r="4414">
      <c r="A4414" s="3" t="inlineStr">
        <is>
          <t>Cape Projects Construction (Pty) Ltd</t>
        </is>
      </c>
      <c r="B4414" s="4" t="n">
        <v>45230</v>
      </c>
      <c r="C4414" s="3" t="inlineStr">
        <is>
          <t>Expenses</t>
        </is>
      </c>
      <c r="D4414" s="3" t="inlineStr">
        <is>
          <t>2006/100</t>
        </is>
      </c>
      <c r="E4414" s="3" t="inlineStr">
        <is>
          <t>COS - Endulini P and G</t>
        </is>
      </c>
      <c r="F4414" s="3" t="n">
        <v>7918.34</v>
      </c>
      <c r="G4414" s="3" t="n">
        <v>157897.58</v>
      </c>
    </row>
    <row r="4415">
      <c r="A4415" s="3" t="inlineStr">
        <is>
          <t>Cape Projects Construction (Pty) Ltd</t>
        </is>
      </c>
      <c r="B4415" s="4" t="n">
        <v>45230</v>
      </c>
      <c r="C4415" s="3" t="inlineStr">
        <is>
          <t>Expenses</t>
        </is>
      </c>
      <c r="D4415" s="3" t="inlineStr">
        <is>
          <t>2006/200</t>
        </is>
      </c>
      <c r="E4415" s="3" t="inlineStr">
        <is>
          <t>COS - Insurance</t>
        </is>
      </c>
      <c r="F4415" s="3" t="n">
        <v>0</v>
      </c>
      <c r="G4415" s="3" t="n">
        <v>19969.43</v>
      </c>
    </row>
    <row r="4416">
      <c r="A4416" s="3" t="inlineStr">
        <is>
          <t>Cape Projects Construction (Pty) Ltd</t>
        </is>
      </c>
      <c r="B4416" s="4" t="n">
        <v>45230</v>
      </c>
      <c r="C4416" s="3" t="inlineStr">
        <is>
          <t>Expenses</t>
        </is>
      </c>
      <c r="D4416" s="3" t="inlineStr">
        <is>
          <t>2006/450</t>
        </is>
      </c>
      <c r="E4416" s="3" t="inlineStr">
        <is>
          <t>COS - Endulini - Computer expenses</t>
        </is>
      </c>
      <c r="F4416" s="3" t="n">
        <v>0</v>
      </c>
      <c r="G4416" s="3" t="n">
        <v>26340.75</v>
      </c>
    </row>
    <row r="4417">
      <c r="A4417" s="3" t="inlineStr">
        <is>
          <t>Cape Projects Construction (Pty) Ltd</t>
        </is>
      </c>
      <c r="B4417" s="4" t="n">
        <v>45230</v>
      </c>
      <c r="C4417" s="3" t="inlineStr">
        <is>
          <t>Expenses</t>
        </is>
      </c>
      <c r="D4417" s="3" t="inlineStr">
        <is>
          <t>2006/800</t>
        </is>
      </c>
      <c r="E4417" s="3" t="inlineStr">
        <is>
          <t>COS - Endulini - Telephone &amp; Internet</t>
        </is>
      </c>
      <c r="F4417" s="3" t="n">
        <v>0</v>
      </c>
      <c r="G4417" s="3" t="n">
        <v>760.87</v>
      </c>
    </row>
    <row r="4418">
      <c r="A4418" s="3" t="inlineStr">
        <is>
          <t>Cape Projects Construction (Pty) Ltd</t>
        </is>
      </c>
      <c r="B4418" s="4" t="n">
        <v>45230</v>
      </c>
      <c r="C4418" s="3" t="inlineStr">
        <is>
          <t>Expenses</t>
        </is>
      </c>
      <c r="D4418" s="3" t="inlineStr">
        <is>
          <t>2007/000</t>
        </is>
      </c>
      <c r="E4418" s="3" t="inlineStr">
        <is>
          <t>COS - Repairs &amp; Maintenance - SW Southwark</t>
        </is>
      </c>
      <c r="F4418" s="3" t="n">
        <v>0</v>
      </c>
      <c r="G4418" s="3" t="n">
        <v>27752.22</v>
      </c>
    </row>
    <row r="4419">
      <c r="A4419" s="3" t="inlineStr">
        <is>
          <t>Cape Projects Construction (Pty) Ltd</t>
        </is>
      </c>
      <c r="B4419" s="4" t="n">
        <v>45230</v>
      </c>
      <c r="C4419" s="3" t="inlineStr">
        <is>
          <t>Expenses</t>
        </is>
      </c>
      <c r="D4419" s="3" t="inlineStr">
        <is>
          <t>2008/000</t>
        </is>
      </c>
      <c r="E4419" s="3" t="inlineStr">
        <is>
          <t>COS - Repairs &amp; Maintenance - SH Soho</t>
        </is>
      </c>
      <c r="F4419" s="3" t="n">
        <v>0</v>
      </c>
      <c r="G4419" s="3" t="n">
        <v>7565.57</v>
      </c>
    </row>
    <row r="4420">
      <c r="A4420" s="3" t="inlineStr">
        <is>
          <t>Cape Projects Construction (Pty) Ltd</t>
        </is>
      </c>
      <c r="B4420" s="4" t="n">
        <v>45230</v>
      </c>
      <c r="C4420" s="3" t="inlineStr">
        <is>
          <t>Expenses</t>
        </is>
      </c>
      <c r="D4420" s="3" t="inlineStr">
        <is>
          <t>2011/300</t>
        </is>
      </c>
      <c r="E4420" s="3" t="inlineStr">
        <is>
          <t>COS - Heron Fields - Printing &amp; Stationary</t>
        </is>
      </c>
      <c r="F4420" s="3" t="n">
        <v>0</v>
      </c>
      <c r="G4420" s="3" t="n">
        <v>1129.57</v>
      </c>
    </row>
    <row r="4421">
      <c r="A4421" s="3" t="inlineStr">
        <is>
          <t>Cape Projects Construction (Pty) Ltd</t>
        </is>
      </c>
      <c r="B4421" s="4" t="n">
        <v>45230</v>
      </c>
      <c r="C4421" s="3" t="inlineStr">
        <is>
          <t>Expenses</t>
        </is>
      </c>
      <c r="D4421" s="3" t="inlineStr">
        <is>
          <t>2011/500</t>
        </is>
      </c>
      <c r="E4421" s="3" t="inlineStr">
        <is>
          <t>COS - Heron Fields - Construction</t>
        </is>
      </c>
      <c r="F4421" s="3" t="n">
        <v>44920.98</v>
      </c>
      <c r="G4421" s="3" t="n">
        <v>1599067.63</v>
      </c>
    </row>
    <row r="4422">
      <c r="A4422" s="3" t="inlineStr">
        <is>
          <t>Cape Projects Construction (Pty) Ltd</t>
        </is>
      </c>
      <c r="B4422" s="4" t="n">
        <v>45230</v>
      </c>
      <c r="C4422" s="3" t="inlineStr">
        <is>
          <t>Expenses</t>
        </is>
      </c>
      <c r="D4422" s="3" t="inlineStr">
        <is>
          <t>2011/600</t>
        </is>
      </c>
      <c r="E4422" s="3" t="inlineStr">
        <is>
          <t>COS - Heron Fields - P &amp; G</t>
        </is>
      </c>
      <c r="F4422" s="3" t="n">
        <v>4396.05</v>
      </c>
      <c r="G4422" s="3" t="n">
        <v>331608.69</v>
      </c>
    </row>
    <row r="4423">
      <c r="A4423" s="3" t="inlineStr">
        <is>
          <t>Cape Projects Construction (Pty) Ltd</t>
        </is>
      </c>
      <c r="B4423" s="4" t="n">
        <v>45230</v>
      </c>
      <c r="C4423" s="3" t="inlineStr">
        <is>
          <t>Expenses</t>
        </is>
      </c>
      <c r="D4423" s="3" t="inlineStr">
        <is>
          <t>2011/700</t>
        </is>
      </c>
      <c r="E4423" s="3" t="inlineStr">
        <is>
          <t>COS - Heron Fields - Health &amp; Safety</t>
        </is>
      </c>
      <c r="F4423" s="3" t="n">
        <v>0</v>
      </c>
      <c r="G4423" s="3" t="n">
        <v>694.78</v>
      </c>
    </row>
    <row r="4424">
      <c r="A4424" s="3" t="inlineStr">
        <is>
          <t>Cape Projects Construction (Pty) Ltd</t>
        </is>
      </c>
      <c r="B4424" s="4" t="n">
        <v>45230</v>
      </c>
      <c r="C4424" s="3" t="inlineStr">
        <is>
          <t>Expenses</t>
        </is>
      </c>
      <c r="D4424" s="3" t="inlineStr">
        <is>
          <t>2011/900</t>
        </is>
      </c>
      <c r="E4424" s="3" t="inlineStr">
        <is>
          <t>COS - Heron - Internet</t>
        </is>
      </c>
      <c r="F4424" s="3" t="n">
        <v>1797.39</v>
      </c>
      <c r="G4424" s="3" t="n">
        <v>11884.89</v>
      </c>
    </row>
    <row r="4425">
      <c r="A4425" s="3" t="inlineStr">
        <is>
          <t>Cape Projects Construction (Pty) Ltd</t>
        </is>
      </c>
      <c r="B4425" s="4" t="n">
        <v>45230</v>
      </c>
      <c r="C4425" s="3" t="inlineStr">
        <is>
          <t>Expenses</t>
        </is>
      </c>
      <c r="D4425" s="3" t="inlineStr">
        <is>
          <t>2012/001</t>
        </is>
      </c>
      <c r="E4425" s="3" t="inlineStr">
        <is>
          <t>COS - Heron View - Printing &amp; Stationary</t>
        </is>
      </c>
      <c r="F4425" s="3" t="n">
        <v>1652.17</v>
      </c>
      <c r="G4425" s="3" t="n">
        <v>22410.16</v>
      </c>
    </row>
    <row r="4426">
      <c r="A4426" s="3" t="inlineStr">
        <is>
          <t>Cape Projects Construction (Pty) Ltd</t>
        </is>
      </c>
      <c r="B4426" s="4" t="n">
        <v>45230</v>
      </c>
      <c r="C4426" s="3" t="inlineStr">
        <is>
          <t>Expenses</t>
        </is>
      </c>
      <c r="D4426" s="3" t="inlineStr">
        <is>
          <t>2012/002</t>
        </is>
      </c>
      <c r="E4426" s="3" t="inlineStr">
        <is>
          <t>COS - Heron View - Construction</t>
        </is>
      </c>
      <c r="F4426" s="3" t="n">
        <v>5221094.52</v>
      </c>
      <c r="G4426" s="3" t="n">
        <v>26758384.87</v>
      </c>
    </row>
    <row r="4427">
      <c r="A4427" s="3" t="inlineStr">
        <is>
          <t>Cape Projects Construction (Pty) Ltd</t>
        </is>
      </c>
      <c r="B4427" s="4" t="n">
        <v>45230</v>
      </c>
      <c r="C4427" s="3" t="inlineStr">
        <is>
          <t>Expenses</t>
        </is>
      </c>
      <c r="D4427" s="3" t="inlineStr">
        <is>
          <t>2012/003</t>
        </is>
      </c>
      <c r="E4427" s="3" t="inlineStr">
        <is>
          <t>COS - Heron View - P&amp;G</t>
        </is>
      </c>
      <c r="F4427" s="3" t="n">
        <v>2652.6</v>
      </c>
      <c r="G4427" s="3" t="n">
        <v>545569.89</v>
      </c>
    </row>
    <row r="4428">
      <c r="A4428" s="3" t="inlineStr">
        <is>
          <t>Cape Projects Construction (Pty) Ltd</t>
        </is>
      </c>
      <c r="B4428" s="4" t="n">
        <v>45230</v>
      </c>
      <c r="C4428" s="3" t="inlineStr">
        <is>
          <t>Expenses</t>
        </is>
      </c>
      <c r="D4428" s="3" t="inlineStr">
        <is>
          <t>2013/000</t>
        </is>
      </c>
      <c r="E4428" s="3" t="inlineStr">
        <is>
          <t>COS - Bakhoven</t>
        </is>
      </c>
      <c r="F4428" s="3" t="n">
        <v>0</v>
      </c>
      <c r="G4428" s="3" t="n">
        <v>17292.48</v>
      </c>
    </row>
    <row r="4429">
      <c r="A4429" s="3" t="inlineStr">
        <is>
          <t>Cape Projects Construction (Pty) Ltd</t>
        </is>
      </c>
      <c r="B4429" s="4" t="n">
        <v>45230</v>
      </c>
      <c r="C4429" s="3" t="inlineStr">
        <is>
          <t>Revenue</t>
        </is>
      </c>
      <c r="D4429" s="3" t="inlineStr">
        <is>
          <t>2750/000</t>
        </is>
      </c>
      <c r="E4429" s="3" t="inlineStr">
        <is>
          <t>Interest Received - FNB</t>
        </is>
      </c>
      <c r="F4429" s="3" t="n">
        <v>0</v>
      </c>
      <c r="G4429" s="3" t="n">
        <v>-790.13</v>
      </c>
    </row>
    <row r="4430">
      <c r="A4430" s="3" t="inlineStr">
        <is>
          <t>Cape Projects Construction (Pty) Ltd</t>
        </is>
      </c>
      <c r="B4430" s="4" t="n">
        <v>45230</v>
      </c>
      <c r="C4430" s="3" t="inlineStr">
        <is>
          <t>Revenue</t>
        </is>
      </c>
      <c r="D4430" s="3" t="inlineStr">
        <is>
          <t>2751/001</t>
        </is>
      </c>
      <c r="E4430" s="3" t="inlineStr">
        <is>
          <t>Interest received - Momentum</t>
        </is>
      </c>
      <c r="F4430" s="3" t="n">
        <v>-4.14</v>
      </c>
      <c r="G4430" s="3" t="n">
        <v>-34.23</v>
      </c>
    </row>
    <row r="4431">
      <c r="A4431" s="3" t="inlineStr">
        <is>
          <t>Heron Fields (Pty) Ltd</t>
        </is>
      </c>
      <c r="B4431" s="4" t="n">
        <v>45230</v>
      </c>
      <c r="C4431" s="3" t="inlineStr">
        <is>
          <t>Revenue</t>
        </is>
      </c>
      <c r="D4431" s="3" t="inlineStr">
        <is>
          <t>2755/001</t>
        </is>
      </c>
      <c r="E4431" s="3" t="inlineStr">
        <is>
          <t>Interest Received - Momentum</t>
        </is>
      </c>
      <c r="F4431" s="3" t="n">
        <v>-342091.9</v>
      </c>
      <c r="G4431" s="3" t="n">
        <v>-2081377.05</v>
      </c>
    </row>
    <row r="4432">
      <c r="A4432" s="3" t="inlineStr">
        <is>
          <t>Heron Fields (Pty) Ltd</t>
        </is>
      </c>
      <c r="B4432" s="4" t="n">
        <v>45230</v>
      </c>
      <c r="C4432" s="3" t="inlineStr">
        <is>
          <t>Expenses</t>
        </is>
      </c>
      <c r="D4432" s="3" t="inlineStr">
        <is>
          <t>3000/000</t>
        </is>
      </c>
      <c r="E4432" s="3" t="inlineStr">
        <is>
          <t>Accounting Fees</t>
        </is>
      </c>
      <c r="F4432" s="3" t="n">
        <v>0</v>
      </c>
      <c r="G4432" s="3" t="n">
        <v>15024.96</v>
      </c>
    </row>
    <row r="4433">
      <c r="A4433" s="3" t="inlineStr">
        <is>
          <t>Heron Fields (Pty) Ltd</t>
        </is>
      </c>
      <c r="B4433" s="4" t="n">
        <v>45230</v>
      </c>
      <c r="C4433" s="3" t="inlineStr">
        <is>
          <t>Expenses</t>
        </is>
      </c>
      <c r="D4433" s="3" t="inlineStr">
        <is>
          <t>3000/100</t>
        </is>
      </c>
      <c r="E4433" s="3" t="inlineStr">
        <is>
          <t>Accounting - CIPC</t>
        </is>
      </c>
      <c r="F4433" s="3" t="n">
        <v>0</v>
      </c>
      <c r="G4433" s="3" t="n">
        <v>3050</v>
      </c>
    </row>
    <row r="4434">
      <c r="A4434" s="3" t="inlineStr">
        <is>
          <t>Cape Projects Construction (Pty) Ltd</t>
        </is>
      </c>
      <c r="B4434" s="4" t="n">
        <v>45230</v>
      </c>
      <c r="C4434" s="3" t="inlineStr">
        <is>
          <t>Expenses</t>
        </is>
      </c>
      <c r="D4434" s="3" t="inlineStr">
        <is>
          <t>3001/000</t>
        </is>
      </c>
      <c r="E4434" s="3" t="inlineStr">
        <is>
          <t>Accounting Fees - Other</t>
        </is>
      </c>
      <c r="F4434" s="3" t="n">
        <v>0</v>
      </c>
      <c r="G4434" s="3" t="n">
        <v>1280</v>
      </c>
    </row>
    <row r="4435">
      <c r="A4435" s="3" t="inlineStr">
        <is>
          <t>Cape Projects Construction (Pty) Ltd</t>
        </is>
      </c>
      <c r="B4435" s="4" t="n">
        <v>45230</v>
      </c>
      <c r="C4435" s="3" t="inlineStr">
        <is>
          <t>Expenses</t>
        </is>
      </c>
      <c r="D4435" s="3" t="inlineStr">
        <is>
          <t>3002/000</t>
        </is>
      </c>
      <c r="E4435" s="3" t="inlineStr">
        <is>
          <t>Accounting Fees - Audit</t>
        </is>
      </c>
      <c r="F4435" s="3" t="n">
        <v>0</v>
      </c>
      <c r="G4435" s="3" t="n">
        <v>11170</v>
      </c>
    </row>
    <row r="4436">
      <c r="A4436" s="3" t="inlineStr">
        <is>
          <t>Cape Projects Construction (Pty) Ltd</t>
        </is>
      </c>
      <c r="B4436" s="4" t="n">
        <v>45230</v>
      </c>
      <c r="C4436" s="3" t="inlineStr">
        <is>
          <t>Expenses</t>
        </is>
      </c>
      <c r="D4436" s="3" t="inlineStr">
        <is>
          <t>3050/000</t>
        </is>
      </c>
      <c r="E4436" s="3" t="inlineStr">
        <is>
          <t>Advertising _AND_ Promotions</t>
        </is>
      </c>
      <c r="F4436" s="3" t="n">
        <v>0</v>
      </c>
      <c r="G4436" s="3" t="n">
        <v>10975</v>
      </c>
    </row>
    <row r="4437">
      <c r="A4437" s="3" t="inlineStr">
        <is>
          <t>Heron Fields (Pty) Ltd</t>
        </is>
      </c>
      <c r="B4437" s="4" t="n">
        <v>45230</v>
      </c>
      <c r="C4437" s="3" t="inlineStr">
        <is>
          <t>Expenses</t>
        </is>
      </c>
      <c r="D4437" s="3" t="inlineStr">
        <is>
          <t>3050/000</t>
        </is>
      </c>
      <c r="E4437" s="3" t="inlineStr">
        <is>
          <t>Advertising _AND_ Promotions</t>
        </is>
      </c>
      <c r="F4437" s="3" t="n">
        <v>500</v>
      </c>
      <c r="G4437" s="3" t="n">
        <v>170342.05</v>
      </c>
    </row>
    <row r="4438">
      <c r="A4438" s="3" t="inlineStr">
        <is>
          <t>Heron View (Pty) Ltd</t>
        </is>
      </c>
      <c r="B4438" s="4" t="n">
        <v>45230</v>
      </c>
      <c r="C4438" s="3" t="inlineStr">
        <is>
          <t>Expenses</t>
        </is>
      </c>
      <c r="D4438" s="3" t="inlineStr">
        <is>
          <t>3050/000</t>
        </is>
      </c>
      <c r="E4438" s="3" t="inlineStr">
        <is>
          <t>Advertising _AND_ Promotions</t>
        </is>
      </c>
      <c r="F4438" s="3" t="n">
        <v>1500</v>
      </c>
      <c r="G4438" s="3" t="n">
        <v>52426.47</v>
      </c>
    </row>
    <row r="4439">
      <c r="A4439" s="3" t="inlineStr">
        <is>
          <t>Heron Fields (Pty) Ltd</t>
        </is>
      </c>
      <c r="B4439" s="4" t="n">
        <v>45230</v>
      </c>
      <c r="C4439" s="3" t="inlineStr">
        <is>
          <t>Expenses</t>
        </is>
      </c>
      <c r="D4439" s="3" t="inlineStr">
        <is>
          <t>3050/100</t>
        </is>
      </c>
      <c r="E4439" s="3" t="inlineStr">
        <is>
          <t>Advertising - Property24</t>
        </is>
      </c>
      <c r="F4439" s="3" t="n">
        <v>0</v>
      </c>
      <c r="G4439" s="3" t="n">
        <v>12480</v>
      </c>
    </row>
    <row r="4440">
      <c r="A4440" s="3" t="inlineStr">
        <is>
          <t>Cape Projects Construction (Pty) Ltd</t>
        </is>
      </c>
      <c r="B4440" s="4" t="n">
        <v>45230</v>
      </c>
      <c r="C4440" s="3" t="inlineStr">
        <is>
          <t>Expenses</t>
        </is>
      </c>
      <c r="D4440" s="3" t="inlineStr">
        <is>
          <t>3050/150</t>
        </is>
      </c>
      <c r="E4440" s="3" t="inlineStr">
        <is>
          <t>Advertising - Design Fees</t>
        </is>
      </c>
      <c r="F4440" s="3" t="n">
        <v>0</v>
      </c>
      <c r="G4440" s="3" t="n">
        <v>295</v>
      </c>
    </row>
    <row r="4441">
      <c r="A4441" s="3" t="inlineStr">
        <is>
          <t>Heron Fields (Pty) Ltd</t>
        </is>
      </c>
      <c r="B4441" s="4" t="n">
        <v>45230</v>
      </c>
      <c r="C4441" s="3" t="inlineStr">
        <is>
          <t>Expenses</t>
        </is>
      </c>
      <c r="D4441" s="3" t="inlineStr">
        <is>
          <t>3050/300</t>
        </is>
      </c>
      <c r="E4441" s="3" t="inlineStr">
        <is>
          <t>Advertising - Real Marketing</t>
        </is>
      </c>
      <c r="F4441" s="3" t="n">
        <v>0</v>
      </c>
      <c r="G4441" s="3" t="n">
        <v>10250</v>
      </c>
    </row>
    <row r="4442">
      <c r="A4442" s="3" t="inlineStr">
        <is>
          <t>Heron View (Pty) Ltd</t>
        </is>
      </c>
      <c r="B4442" s="4" t="n">
        <v>45230</v>
      </c>
      <c r="C4442" s="3" t="inlineStr">
        <is>
          <t>Expenses</t>
        </is>
      </c>
      <c r="D4442" s="3" t="inlineStr">
        <is>
          <t>3050/300</t>
        </is>
      </c>
      <c r="E4442" s="3" t="inlineStr">
        <is>
          <t>Advertising - Thinkink</t>
        </is>
      </c>
      <c r="F4442" s="3" t="n">
        <v>17110</v>
      </c>
      <c r="G4442" s="3" t="n">
        <v>17855</v>
      </c>
    </row>
    <row r="4443">
      <c r="A4443" s="3" t="inlineStr">
        <is>
          <t>Heron View (Pty) Ltd</t>
        </is>
      </c>
      <c r="B4443" s="4" t="n">
        <v>45230</v>
      </c>
      <c r="C4443" s="3" t="inlineStr">
        <is>
          <t>Expenses</t>
        </is>
      </c>
      <c r="D4443" s="3" t="inlineStr">
        <is>
          <t>3050/400</t>
        </is>
      </c>
      <c r="E4443" s="3" t="inlineStr">
        <is>
          <t>Advertising - Pure Brand Activation</t>
        </is>
      </c>
      <c r="F4443" s="3" t="n">
        <v>0</v>
      </c>
      <c r="G4443" s="3" t="n">
        <v>14569.1</v>
      </c>
    </row>
    <row r="4444">
      <c r="A4444" s="3" t="inlineStr">
        <is>
          <t>Cape Projects Construction (Pty) Ltd</t>
        </is>
      </c>
      <c r="B4444" s="4" t="n">
        <v>45230</v>
      </c>
      <c r="C4444" s="3" t="inlineStr">
        <is>
          <t>Expenses</t>
        </is>
      </c>
      <c r="D4444" s="3" t="inlineStr">
        <is>
          <t>3050/450</t>
        </is>
      </c>
      <c r="E4444" s="3" t="inlineStr">
        <is>
          <t>Advertising - Other</t>
        </is>
      </c>
      <c r="F4444" s="3" t="n">
        <v>0</v>
      </c>
      <c r="G4444" s="3" t="n">
        <v>1597</v>
      </c>
    </row>
    <row r="4445">
      <c r="A4445" s="3" t="inlineStr">
        <is>
          <t>Heron View (Pty) Ltd</t>
        </is>
      </c>
      <c r="B4445" s="4" t="n">
        <v>45230</v>
      </c>
      <c r="C4445" s="3" t="inlineStr">
        <is>
          <t>Expenses</t>
        </is>
      </c>
      <c r="D4445" s="3" t="inlineStr">
        <is>
          <t>3050/500</t>
        </is>
      </c>
      <c r="E4445" s="3" t="inlineStr">
        <is>
          <t>Advertising - Real Marketing</t>
        </is>
      </c>
      <c r="F4445" s="3" t="n">
        <v>0</v>
      </c>
      <c r="G4445" s="3" t="n">
        <v>18500</v>
      </c>
    </row>
    <row r="4446">
      <c r="A4446" s="3" t="inlineStr">
        <is>
          <t>Cape Projects Construction (Pty) Ltd</t>
        </is>
      </c>
      <c r="B4446" s="4" t="n">
        <v>45230</v>
      </c>
      <c r="C4446" s="3" t="inlineStr">
        <is>
          <t>Expenses</t>
        </is>
      </c>
      <c r="D4446" s="3" t="inlineStr">
        <is>
          <t>3200/000</t>
        </is>
      </c>
      <c r="E4446" s="3" t="inlineStr">
        <is>
          <t>Bank Charges</t>
        </is>
      </c>
      <c r="F4446" s="3" t="n">
        <v>1734.61</v>
      </c>
      <c r="G4446" s="3" t="n">
        <v>14702.11</v>
      </c>
    </row>
    <row r="4447">
      <c r="A4447" s="3" t="inlineStr">
        <is>
          <t>Heron Fields (Pty) Ltd</t>
        </is>
      </c>
      <c r="B4447" s="4" t="n">
        <v>45230</v>
      </c>
      <c r="C4447" s="3" t="inlineStr">
        <is>
          <t>Expenses</t>
        </is>
      </c>
      <c r="D4447" s="3" t="inlineStr">
        <is>
          <t>3200/000</t>
        </is>
      </c>
      <c r="E4447" s="3" t="inlineStr">
        <is>
          <t>Bank Charges</t>
        </is>
      </c>
      <c r="F4447" s="3" t="n">
        <v>369.15</v>
      </c>
      <c r="G4447" s="3" t="n">
        <v>3583.49</v>
      </c>
    </row>
    <row r="4448">
      <c r="A4448" s="3" t="inlineStr">
        <is>
          <t>Cape Projects Construction (Pty) Ltd</t>
        </is>
      </c>
      <c r="B4448" s="4" t="n">
        <v>45230</v>
      </c>
      <c r="C4448" s="3" t="inlineStr">
        <is>
          <t>Expenses</t>
        </is>
      </c>
      <c r="D4448" s="3" t="inlineStr">
        <is>
          <t>3250/000</t>
        </is>
      </c>
      <c r="E4448" s="3" t="inlineStr">
        <is>
          <t>Cleaning</t>
        </is>
      </c>
      <c r="F4448" s="3" t="n">
        <v>0</v>
      </c>
      <c r="G4448" s="3" t="n">
        <v>511.89</v>
      </c>
    </row>
    <row r="4449">
      <c r="A4449" s="3" t="inlineStr">
        <is>
          <t>Cape Projects Construction (Pty) Ltd</t>
        </is>
      </c>
      <c r="B4449" s="4" t="n">
        <v>45230</v>
      </c>
      <c r="C4449" s="3" t="inlineStr">
        <is>
          <t>Expenses</t>
        </is>
      </c>
      <c r="D4449" s="3" t="inlineStr">
        <is>
          <t>3255/000</t>
        </is>
      </c>
      <c r="E4449" s="3" t="inlineStr">
        <is>
          <t>Cell Phone - CT Office</t>
        </is>
      </c>
      <c r="F4449" s="3" t="n">
        <v>0</v>
      </c>
      <c r="G4449" s="3" t="n">
        <v>4123</v>
      </c>
    </row>
    <row r="4450">
      <c r="A4450" s="3" t="inlineStr">
        <is>
          <t>Cape Projects Construction (Pty) Ltd</t>
        </is>
      </c>
      <c r="B4450" s="4" t="n">
        <v>45230</v>
      </c>
      <c r="C4450" s="3" t="inlineStr">
        <is>
          <t>Expenses</t>
        </is>
      </c>
      <c r="D4450" s="3" t="inlineStr">
        <is>
          <t>3256/000</t>
        </is>
      </c>
      <c r="E4450" s="3" t="inlineStr">
        <is>
          <t>Cell Phone - Nick Morgan</t>
        </is>
      </c>
      <c r="F4450" s="3" t="n">
        <v>0</v>
      </c>
      <c r="G4450" s="3" t="n">
        <v>26779.67</v>
      </c>
    </row>
    <row r="4451">
      <c r="A4451" s="3" t="inlineStr">
        <is>
          <t>Cape Projects Construction (Pty) Ltd</t>
        </is>
      </c>
      <c r="B4451" s="4" t="n">
        <v>45230</v>
      </c>
      <c r="C4451" s="3" t="inlineStr">
        <is>
          <t>Expenses</t>
        </is>
      </c>
      <c r="D4451" s="3" t="inlineStr">
        <is>
          <t>3300/000</t>
        </is>
      </c>
      <c r="E4451" s="3" t="inlineStr">
        <is>
          <t>Computer Expenses</t>
        </is>
      </c>
      <c r="F4451" s="3" t="n">
        <v>950</v>
      </c>
      <c r="G4451" s="3" t="n">
        <v>5302.65</v>
      </c>
    </row>
    <row r="4452">
      <c r="A4452" s="3" t="inlineStr">
        <is>
          <t>Cape Projects Construction (Pty) Ltd</t>
        </is>
      </c>
      <c r="B4452" s="4" t="n">
        <v>45230</v>
      </c>
      <c r="C4452" s="3" t="inlineStr">
        <is>
          <t>Expenses</t>
        </is>
      </c>
      <c r="D4452" s="3" t="inlineStr">
        <is>
          <t>3300/100</t>
        </is>
      </c>
      <c r="E4452" s="3" t="inlineStr">
        <is>
          <t>Computer Exp - IT, Internet/Hosting Fee</t>
        </is>
      </c>
      <c r="F4452" s="3" t="n">
        <v>3230</v>
      </c>
      <c r="G4452" s="3" t="n">
        <v>32639</v>
      </c>
    </row>
    <row r="4453">
      <c r="A4453" s="3" t="inlineStr">
        <is>
          <t>Heron Fields (Pty) Ltd</t>
        </is>
      </c>
      <c r="B4453" s="4" t="n">
        <v>45230</v>
      </c>
      <c r="C4453" s="3" t="inlineStr">
        <is>
          <t>Expenses</t>
        </is>
      </c>
      <c r="D4453" s="3" t="inlineStr">
        <is>
          <t>3350/100</t>
        </is>
      </c>
      <c r="E4453" s="3" t="inlineStr">
        <is>
          <t>Consulting Fees - Admin and Finance</t>
        </is>
      </c>
      <c r="F4453" s="3" t="n">
        <v>115333</v>
      </c>
      <c r="G4453" s="3" t="n">
        <v>938749.5699999999</v>
      </c>
    </row>
    <row r="4454">
      <c r="A4454" s="3" t="inlineStr">
        <is>
          <t>Cape Projects Construction (Pty) Ltd</t>
        </is>
      </c>
      <c r="B4454" s="4" t="n">
        <v>45230</v>
      </c>
      <c r="C4454" s="3" t="inlineStr">
        <is>
          <t>Expenses</t>
        </is>
      </c>
      <c r="D4454" s="3" t="inlineStr">
        <is>
          <t>3350/300</t>
        </is>
      </c>
      <c r="E4454" s="3" t="inlineStr">
        <is>
          <t>Consulting Fees - Admin and Finance</t>
        </is>
      </c>
      <c r="F4454" s="3" t="n">
        <v>124297</v>
      </c>
      <c r="G4454" s="3" t="n">
        <v>982740.7</v>
      </c>
    </row>
    <row r="4455">
      <c r="A4455" s="3" t="inlineStr">
        <is>
          <t>Heron Fields (Pty) Ltd</t>
        </is>
      </c>
      <c r="B4455" s="4" t="n">
        <v>45230</v>
      </c>
      <c r="C4455" s="3" t="inlineStr">
        <is>
          <t>Expenses</t>
        </is>
      </c>
      <c r="D4455" s="3" t="inlineStr">
        <is>
          <t>3351/000</t>
        </is>
      </c>
      <c r="E4455" s="3" t="inlineStr">
        <is>
          <t>Consulting fees - Trustee</t>
        </is>
      </c>
      <c r="F4455" s="3" t="n">
        <v>5700</v>
      </c>
      <c r="G4455" s="3" t="n">
        <v>17900</v>
      </c>
    </row>
    <row r="4456">
      <c r="A4456" s="3" t="inlineStr">
        <is>
          <t>Heron View (Pty) Ltd</t>
        </is>
      </c>
      <c r="B4456" s="4" t="n">
        <v>45230</v>
      </c>
      <c r="C4456" s="3" t="inlineStr">
        <is>
          <t>Expenses</t>
        </is>
      </c>
      <c r="D4456" s="3" t="inlineStr">
        <is>
          <t>3351/000</t>
        </is>
      </c>
      <c r="E4456" s="3" t="inlineStr">
        <is>
          <t>Consulting fees - Trustee</t>
        </is>
      </c>
      <c r="F4456" s="3" t="n">
        <v>11750</v>
      </c>
      <c r="G4456" s="3" t="n">
        <v>40750</v>
      </c>
    </row>
    <row r="4457">
      <c r="A4457" s="3" t="inlineStr">
        <is>
          <t>Cape Projects Construction (Pty) Ltd</t>
        </is>
      </c>
      <c r="B4457" s="4" t="n">
        <v>45230</v>
      </c>
      <c r="C4457" s="3" t="inlineStr">
        <is>
          <t>Expenses</t>
        </is>
      </c>
      <c r="D4457" s="3" t="inlineStr">
        <is>
          <t>3400/000</t>
        </is>
      </c>
      <c r="E4457" s="3" t="inlineStr">
        <is>
          <t>Courier _AND_ Postage</t>
        </is>
      </c>
      <c r="F4457" s="3" t="n">
        <v>0</v>
      </c>
      <c r="G4457" s="3" t="n">
        <v>331.09</v>
      </c>
    </row>
    <row r="4458">
      <c r="A4458" s="3" t="inlineStr">
        <is>
          <t>Cape Projects Construction (Pty) Ltd</t>
        </is>
      </c>
      <c r="B4458" s="4" t="n">
        <v>45230</v>
      </c>
      <c r="C4458" s="3" t="inlineStr">
        <is>
          <t>Expenses</t>
        </is>
      </c>
      <c r="D4458" s="3" t="inlineStr">
        <is>
          <t>3450/001</t>
        </is>
      </c>
      <c r="E4458" s="3" t="inlineStr">
        <is>
          <t>Depreciation - Computer Equipment</t>
        </is>
      </c>
      <c r="F4458" s="3" t="n">
        <v>4562.86</v>
      </c>
      <c r="G4458" s="3" t="n">
        <v>28137.52</v>
      </c>
    </row>
    <row r="4459">
      <c r="A4459" s="3" t="inlineStr">
        <is>
          <t>Cape Projects Construction (Pty) Ltd</t>
        </is>
      </c>
      <c r="B4459" s="4" t="n">
        <v>45230</v>
      </c>
      <c r="C4459" s="3" t="inlineStr">
        <is>
          <t>Expenses</t>
        </is>
      </c>
      <c r="D4459" s="3" t="inlineStr">
        <is>
          <t>3450/002</t>
        </is>
      </c>
      <c r="E4459" s="3" t="inlineStr">
        <is>
          <t>Depreciation - Generator Fixed Asset</t>
        </is>
      </c>
      <c r="F4459" s="3" t="n">
        <v>1188.71</v>
      </c>
      <c r="G4459" s="3" t="n">
        <v>7518.87</v>
      </c>
    </row>
    <row r="4460">
      <c r="A4460" s="3" t="inlineStr">
        <is>
          <t>Cape Projects Construction (Pty) Ltd</t>
        </is>
      </c>
      <c r="B4460" s="4" t="n">
        <v>45230</v>
      </c>
      <c r="C4460" s="3" t="inlineStr">
        <is>
          <t>Expenses</t>
        </is>
      </c>
      <c r="D4460" s="3" t="inlineStr">
        <is>
          <t>3450/030</t>
        </is>
      </c>
      <c r="E4460" s="3" t="inlineStr">
        <is>
          <t>Depreciation - Furniture and Fittings</t>
        </is>
      </c>
      <c r="F4460" s="3" t="n">
        <v>547.6799999999999</v>
      </c>
      <c r="G4460" s="3" t="n">
        <v>4381.42</v>
      </c>
    </row>
    <row r="4461">
      <c r="A4461" s="3" t="inlineStr">
        <is>
          <t>Heron Fields (Pty) Ltd</t>
        </is>
      </c>
      <c r="B4461" s="4" t="n">
        <v>45230</v>
      </c>
      <c r="C4461" s="3" t="inlineStr">
        <is>
          <t>Expenses</t>
        </is>
      </c>
      <c r="D4461" s="3" t="inlineStr">
        <is>
          <t>3650/000</t>
        </is>
      </c>
      <c r="E4461" s="3" t="inlineStr">
        <is>
          <t>CoCT - Electricity</t>
        </is>
      </c>
      <c r="F4461" s="3" t="n">
        <v>93347.00999999999</v>
      </c>
      <c r="G4461" s="3" t="n">
        <v>224263.85</v>
      </c>
    </row>
    <row r="4462">
      <c r="A4462" s="3" t="inlineStr">
        <is>
          <t>Cape Projects Construction (Pty) Ltd</t>
        </is>
      </c>
      <c r="B4462" s="4" t="n">
        <v>45230</v>
      </c>
      <c r="C4462" s="3" t="inlineStr">
        <is>
          <t>Expenses</t>
        </is>
      </c>
      <c r="D4462" s="3" t="inlineStr">
        <is>
          <t>3650/000</t>
        </is>
      </c>
      <c r="E4462" s="3" t="inlineStr">
        <is>
          <t>Electricity _AND_ Water</t>
        </is>
      </c>
      <c r="F4462" s="3" t="n">
        <v>6675.2</v>
      </c>
      <c r="G4462" s="3" t="n">
        <v>53574.63</v>
      </c>
    </row>
    <row r="4463">
      <c r="A4463" s="3" t="inlineStr">
        <is>
          <t>Heron Fields (Pty) Ltd</t>
        </is>
      </c>
      <c r="B4463" s="4" t="n">
        <v>45230</v>
      </c>
      <c r="C4463" s="3" t="inlineStr">
        <is>
          <t>Expenses</t>
        </is>
      </c>
      <c r="D4463" s="3" t="inlineStr">
        <is>
          <t>3660/000</t>
        </is>
      </c>
      <c r="E4463" s="3" t="inlineStr">
        <is>
          <t>CoCT - Water</t>
        </is>
      </c>
      <c r="F4463" s="3" t="n">
        <v>47156.78</v>
      </c>
      <c r="G4463" s="3" t="n">
        <v>92130.39</v>
      </c>
    </row>
    <row r="4464">
      <c r="A4464" s="3" t="inlineStr">
        <is>
          <t>Heron Fields (Pty) Ltd</t>
        </is>
      </c>
      <c r="B4464" s="4" t="n">
        <v>45230</v>
      </c>
      <c r="C4464" s="3" t="inlineStr">
        <is>
          <t>Expenses</t>
        </is>
      </c>
      <c r="D4464" s="3" t="inlineStr">
        <is>
          <t>3670/000</t>
        </is>
      </c>
      <c r="E4464" s="3" t="inlineStr">
        <is>
          <t>CoCT - Refuse</t>
        </is>
      </c>
      <c r="F4464" s="3" t="n">
        <v>36288.17</v>
      </c>
      <c r="G4464" s="3" t="n">
        <v>46978.37</v>
      </c>
    </row>
    <row r="4465">
      <c r="A4465" s="3" t="inlineStr">
        <is>
          <t>Heron Fields (Pty) Ltd</t>
        </is>
      </c>
      <c r="B4465" s="4" t="n">
        <v>45230</v>
      </c>
      <c r="C4465" s="3" t="inlineStr">
        <is>
          <t>Expenses</t>
        </is>
      </c>
      <c r="D4465" s="3" t="inlineStr">
        <is>
          <t>3700/000</t>
        </is>
      </c>
      <c r="E4465" s="3" t="inlineStr">
        <is>
          <t>Entertainment Expenses</t>
        </is>
      </c>
      <c r="F4465" s="3" t="n">
        <v>0</v>
      </c>
      <c r="G4465" s="3" t="n">
        <v>39.47</v>
      </c>
    </row>
    <row r="4466">
      <c r="A4466" s="3" t="inlineStr">
        <is>
          <t>Heron Fields (Pty) Ltd</t>
        </is>
      </c>
      <c r="B4466" s="4" t="n">
        <v>45230</v>
      </c>
      <c r="C4466" s="3" t="inlineStr">
        <is>
          <t>Expenses</t>
        </is>
      </c>
      <c r="D4466" s="3" t="inlineStr">
        <is>
          <t>3800/000</t>
        </is>
      </c>
      <c r="E4466" s="3" t="inlineStr">
        <is>
          <t>General Expenses</t>
        </is>
      </c>
      <c r="F4466" s="3" t="n">
        <v>0</v>
      </c>
      <c r="G4466" s="3" t="n">
        <v>199.99</v>
      </c>
    </row>
    <row r="4467">
      <c r="A4467" s="3" t="inlineStr">
        <is>
          <t>Heron Fields (Pty) Ltd</t>
        </is>
      </c>
      <c r="B4467" s="4" t="n">
        <v>45230</v>
      </c>
      <c r="C4467" s="3" t="inlineStr">
        <is>
          <t>Expenses</t>
        </is>
      </c>
      <c r="D4467" s="3" t="inlineStr">
        <is>
          <t>3850/000</t>
        </is>
      </c>
      <c r="E4467" s="3" t="inlineStr">
        <is>
          <t>Insurance</t>
        </is>
      </c>
      <c r="F4467" s="3" t="n">
        <v>12147.19</v>
      </c>
      <c r="G4467" s="3" t="n">
        <v>73263.98</v>
      </c>
    </row>
    <row r="4468">
      <c r="A4468" s="3" t="inlineStr">
        <is>
          <t>Cape Projects Construction (Pty) Ltd</t>
        </is>
      </c>
      <c r="B4468" s="4" t="n">
        <v>45230</v>
      </c>
      <c r="C4468" s="3" t="inlineStr">
        <is>
          <t>Expenses</t>
        </is>
      </c>
      <c r="D4468" s="3" t="inlineStr">
        <is>
          <t>3850/001</t>
        </is>
      </c>
      <c r="E4468" s="3" t="inlineStr">
        <is>
          <t>Insurance - Santam</t>
        </is>
      </c>
      <c r="F4468" s="3" t="n">
        <v>0</v>
      </c>
      <c r="G4468" s="3" t="n">
        <v>16363.81</v>
      </c>
    </row>
    <row r="4469">
      <c r="A4469" s="3" t="inlineStr">
        <is>
          <t>Cape Projects Construction (Pty) Ltd</t>
        </is>
      </c>
      <c r="B4469" s="4" t="n">
        <v>45230</v>
      </c>
      <c r="C4469" s="3" t="inlineStr">
        <is>
          <t>Expenses</t>
        </is>
      </c>
      <c r="D4469" s="3" t="inlineStr">
        <is>
          <t>3850/004</t>
        </is>
      </c>
      <c r="E4469" s="3" t="inlineStr">
        <is>
          <t>Insurance - A_AND_G</t>
        </is>
      </c>
      <c r="F4469" s="3" t="n">
        <v>0</v>
      </c>
      <c r="G4469" s="3" t="n">
        <v>24242.76</v>
      </c>
    </row>
    <row r="4470">
      <c r="A4470" s="3" t="inlineStr">
        <is>
          <t>Heron Fields (Pty) Ltd</t>
        </is>
      </c>
      <c r="B4470" s="4" t="n">
        <v>45230</v>
      </c>
      <c r="C4470" s="3" t="inlineStr">
        <is>
          <t>Expenses</t>
        </is>
      </c>
      <c r="D4470" s="3" t="inlineStr">
        <is>
          <t>3900/000</t>
        </is>
      </c>
      <c r="E4470" s="3" t="inlineStr">
        <is>
          <t>Interest Paid</t>
        </is>
      </c>
      <c r="F4470" s="3" t="n">
        <v>0</v>
      </c>
      <c r="G4470" s="3" t="n">
        <v>-533.8</v>
      </c>
    </row>
    <row r="4471">
      <c r="A4471" s="3" t="inlineStr">
        <is>
          <t>Heron Fields (Pty) Ltd</t>
        </is>
      </c>
      <c r="B4471" s="4" t="n">
        <v>45230</v>
      </c>
      <c r="C4471" s="3" t="inlineStr">
        <is>
          <t>Expenses</t>
        </is>
      </c>
      <c r="D4471" s="3" t="inlineStr">
        <is>
          <t>3900/111</t>
        </is>
      </c>
      <c r="E4471" s="3" t="inlineStr">
        <is>
          <t>Interest Paid - Investors @ 6.25%</t>
        </is>
      </c>
      <c r="F4471" s="3" t="n">
        <v>0</v>
      </c>
      <c r="G4471" s="3" t="n">
        <v>167246.17</v>
      </c>
    </row>
    <row r="4472">
      <c r="A4472" s="3" t="inlineStr">
        <is>
          <t>Heron Fields (Pty) Ltd</t>
        </is>
      </c>
      <c r="B4472" s="4" t="n">
        <v>45230</v>
      </c>
      <c r="C4472" s="3" t="inlineStr">
        <is>
          <t>Expenses</t>
        </is>
      </c>
      <c r="D4472" s="3" t="inlineStr">
        <is>
          <t>3900/115</t>
        </is>
      </c>
      <c r="E4472" s="3" t="inlineStr">
        <is>
          <t>Interest Paid - Investors @ 6.5%</t>
        </is>
      </c>
      <c r="F4472" s="3" t="n">
        <v>0</v>
      </c>
      <c r="G4472" s="3" t="n">
        <v>72942.48</v>
      </c>
    </row>
    <row r="4473">
      <c r="A4473" s="3" t="inlineStr">
        <is>
          <t>Heron Fields (Pty) Ltd</t>
        </is>
      </c>
      <c r="B4473" s="4" t="n">
        <v>45230</v>
      </c>
      <c r="C4473" s="3" t="inlineStr">
        <is>
          <t>Expenses</t>
        </is>
      </c>
      <c r="D4473" s="3" t="inlineStr">
        <is>
          <t>3900/117</t>
        </is>
      </c>
      <c r="E4473" s="3" t="inlineStr">
        <is>
          <t>Interest Paid - Investors @ 6.75%</t>
        </is>
      </c>
      <c r="F4473" s="3" t="n">
        <v>0</v>
      </c>
      <c r="G4473" s="3" t="n">
        <v>44124.67</v>
      </c>
    </row>
    <row r="4474">
      <c r="A4474" s="3" t="inlineStr">
        <is>
          <t>Heron Fields (Pty) Ltd</t>
        </is>
      </c>
      <c r="B4474" s="4" t="n">
        <v>45230</v>
      </c>
      <c r="C4474" s="3" t="inlineStr">
        <is>
          <t>Expenses</t>
        </is>
      </c>
      <c r="D4474" s="3" t="inlineStr">
        <is>
          <t>3900/120</t>
        </is>
      </c>
      <c r="E4474" s="3" t="inlineStr">
        <is>
          <t>Interest Paid - Investors @ 7%</t>
        </is>
      </c>
      <c r="F4474" s="3" t="n">
        <v>0</v>
      </c>
      <c r="G4474" s="3" t="n">
        <v>11678.33</v>
      </c>
    </row>
    <row r="4475">
      <c r="A4475" s="3" t="inlineStr">
        <is>
          <t>Heron View (Pty) Ltd</t>
        </is>
      </c>
      <c r="B4475" s="4" t="n">
        <v>45230</v>
      </c>
      <c r="C4475" s="3" t="inlineStr">
        <is>
          <t>Expenses</t>
        </is>
      </c>
      <c r="D4475" s="3" t="inlineStr">
        <is>
          <t>3900/120</t>
        </is>
      </c>
      <c r="E4475" s="3" t="inlineStr">
        <is>
          <t>Interest Paid - Investors @ 7%</t>
        </is>
      </c>
      <c r="F4475" s="3" t="n">
        <v>0</v>
      </c>
      <c r="G4475" s="3" t="n">
        <v>1607.78</v>
      </c>
    </row>
    <row r="4476">
      <c r="A4476" s="3" t="inlineStr">
        <is>
          <t>Heron Fields (Pty) Ltd</t>
        </is>
      </c>
      <c r="B4476" s="4" t="n">
        <v>45230</v>
      </c>
      <c r="C4476" s="3" t="inlineStr">
        <is>
          <t>Expenses</t>
        </is>
      </c>
      <c r="D4476" s="3" t="inlineStr">
        <is>
          <t>3900/126</t>
        </is>
      </c>
      <c r="E4476" s="3" t="inlineStr">
        <is>
          <t>Interest Paid - Investors @ 7.5%</t>
        </is>
      </c>
      <c r="F4476" s="3" t="n">
        <v>0</v>
      </c>
      <c r="G4476" s="3" t="n">
        <v>1252.24</v>
      </c>
    </row>
    <row r="4477">
      <c r="A4477" s="3" t="inlineStr">
        <is>
          <t>Heron View (Pty) Ltd</t>
        </is>
      </c>
      <c r="B4477" s="4" t="n">
        <v>45230</v>
      </c>
      <c r="C4477" s="3" t="inlineStr">
        <is>
          <t>Expenses</t>
        </is>
      </c>
      <c r="D4477" s="3" t="inlineStr">
        <is>
          <t>3900/126</t>
        </is>
      </c>
      <c r="E4477" s="3" t="inlineStr">
        <is>
          <t>Interest Paid - Investors @ 7.5%</t>
        </is>
      </c>
      <c r="F4477" s="3" t="n">
        <v>0</v>
      </c>
      <c r="G4477" s="3" t="n">
        <v>1507.16</v>
      </c>
    </row>
    <row r="4478">
      <c r="A4478" s="3" t="inlineStr">
        <is>
          <t>Heron Fields (Pty) Ltd</t>
        </is>
      </c>
      <c r="B4478" s="4" t="n">
        <v>45230</v>
      </c>
      <c r="C4478" s="3" t="inlineStr">
        <is>
          <t>Expenses</t>
        </is>
      </c>
      <c r="D4478" s="3" t="inlineStr">
        <is>
          <t>3900/133</t>
        </is>
      </c>
      <c r="E4478" s="3" t="inlineStr">
        <is>
          <t>Interest Paid - Investors @ 8.25%</t>
        </is>
      </c>
      <c r="F4478" s="3" t="n">
        <v>0</v>
      </c>
      <c r="G4478" s="3" t="n">
        <v>5515.07</v>
      </c>
    </row>
    <row r="4479">
      <c r="A4479" s="3" t="inlineStr">
        <is>
          <t>Heron View (Pty) Ltd</t>
        </is>
      </c>
      <c r="B4479" s="4" t="n">
        <v>45230</v>
      </c>
      <c r="C4479" s="3" t="inlineStr">
        <is>
          <t>Expenses</t>
        </is>
      </c>
      <c r="D4479" s="3" t="inlineStr">
        <is>
          <t>3900/133</t>
        </is>
      </c>
      <c r="E4479" s="3" t="inlineStr">
        <is>
          <t>Interest Paid - Investors @ 8.25%</t>
        </is>
      </c>
      <c r="F4479" s="3" t="n">
        <v>0</v>
      </c>
      <c r="G4479" s="3" t="n">
        <v>26106.19</v>
      </c>
    </row>
    <row r="4480">
      <c r="A4480" s="3" t="inlineStr">
        <is>
          <t>Heron Fields (Pty) Ltd</t>
        </is>
      </c>
      <c r="B4480" s="4" t="n">
        <v>45230</v>
      </c>
      <c r="C4480" s="3" t="inlineStr">
        <is>
          <t>Expenses</t>
        </is>
      </c>
      <c r="D4480" s="3" t="inlineStr">
        <is>
          <t>3900/140</t>
        </is>
      </c>
      <c r="E4480" s="3" t="inlineStr">
        <is>
          <t>Interest Paid - Investors @ 9%</t>
        </is>
      </c>
      <c r="F4480" s="3" t="n">
        <v>0</v>
      </c>
      <c r="G4480" s="3" t="n">
        <v>591.78</v>
      </c>
    </row>
    <row r="4481">
      <c r="A4481" s="3" t="inlineStr">
        <is>
          <t>Heron View (Pty) Ltd</t>
        </is>
      </c>
      <c r="B4481" s="4" t="n">
        <v>45230</v>
      </c>
      <c r="C4481" s="3" t="inlineStr">
        <is>
          <t>Expenses</t>
        </is>
      </c>
      <c r="D4481" s="3" t="inlineStr">
        <is>
          <t>3900/140</t>
        </is>
      </c>
      <c r="E4481" s="3" t="inlineStr">
        <is>
          <t>Interest Paid - Investors @ 9%</t>
        </is>
      </c>
      <c r="F4481" s="3" t="n">
        <v>0</v>
      </c>
      <c r="G4481" s="3" t="n">
        <v>62238.37</v>
      </c>
    </row>
    <row r="4482">
      <c r="A4482" s="3" t="inlineStr">
        <is>
          <t>Heron View (Pty) Ltd</t>
        </is>
      </c>
      <c r="B4482" s="4" t="n">
        <v>45230</v>
      </c>
      <c r="C4482" s="3" t="inlineStr">
        <is>
          <t>Expenses</t>
        </is>
      </c>
      <c r="D4482" s="3" t="inlineStr">
        <is>
          <t>3900/147</t>
        </is>
      </c>
      <c r="E4482" s="3" t="inlineStr">
        <is>
          <t>Interest Paid - Investors @ 9.75%</t>
        </is>
      </c>
      <c r="F4482" s="3" t="n">
        <v>0</v>
      </c>
      <c r="G4482" s="3" t="n">
        <v>2537.9</v>
      </c>
    </row>
    <row r="4483">
      <c r="A4483" s="3" t="inlineStr">
        <is>
          <t>Heron View (Pty) Ltd</t>
        </is>
      </c>
      <c r="B4483" s="4" t="n">
        <v>45230</v>
      </c>
      <c r="C4483" s="3" t="inlineStr">
        <is>
          <t>Expenses</t>
        </is>
      </c>
      <c r="D4483" s="3" t="inlineStr">
        <is>
          <t>3900/150</t>
        </is>
      </c>
      <c r="E4483" s="3" t="inlineStr">
        <is>
          <t>Interest Paid - Investors @ 10%</t>
        </is>
      </c>
      <c r="F4483" s="3" t="n">
        <v>0</v>
      </c>
      <c r="G4483" s="3" t="n">
        <v>5709.59</v>
      </c>
    </row>
    <row r="4484">
      <c r="A4484" s="3" t="inlineStr">
        <is>
          <t>Heron View (Pty) Ltd</t>
        </is>
      </c>
      <c r="B4484" s="4" t="n">
        <v>45230</v>
      </c>
      <c r="C4484" s="3" t="inlineStr">
        <is>
          <t>Expenses</t>
        </is>
      </c>
      <c r="D4484" s="3" t="inlineStr">
        <is>
          <t>3900/155</t>
        </is>
      </c>
      <c r="E4484" s="3" t="inlineStr">
        <is>
          <t>Interest Paid - Investors @ 10.5%</t>
        </is>
      </c>
      <c r="F4484" s="3" t="n">
        <v>0</v>
      </c>
      <c r="G4484" s="3" t="n">
        <v>19334.38</v>
      </c>
    </row>
    <row r="4485">
      <c r="A4485" s="3" t="inlineStr">
        <is>
          <t>Heron View (Pty) Ltd</t>
        </is>
      </c>
      <c r="B4485" s="4" t="n">
        <v>45230</v>
      </c>
      <c r="C4485" s="3" t="inlineStr">
        <is>
          <t>Expenses</t>
        </is>
      </c>
      <c r="D4485" s="3" t="inlineStr">
        <is>
          <t>3900/160</t>
        </is>
      </c>
      <c r="E4485" s="3" t="inlineStr">
        <is>
          <t>Interest Paid - Investors @ 11%</t>
        </is>
      </c>
      <c r="F4485" s="3" t="n">
        <v>0</v>
      </c>
      <c r="G4485" s="3" t="n">
        <v>9131.51</v>
      </c>
    </row>
    <row r="4486">
      <c r="A4486" s="3" t="inlineStr">
        <is>
          <t>Heron Fields (Pty) Ltd</t>
        </is>
      </c>
      <c r="B4486" s="4" t="n">
        <v>45230</v>
      </c>
      <c r="C4486" s="3" t="inlineStr">
        <is>
          <t>Expenses</t>
        </is>
      </c>
      <c r="D4486" s="3" t="inlineStr">
        <is>
          <t>3900/190</t>
        </is>
      </c>
      <c r="E4486" s="3" t="inlineStr">
        <is>
          <t>Interest Paid - Investors @ 14%</t>
        </is>
      </c>
      <c r="F4486" s="3" t="n">
        <v>0</v>
      </c>
      <c r="G4486" s="3" t="n">
        <v>400367.2</v>
      </c>
    </row>
    <row r="4487">
      <c r="A4487" s="3" t="inlineStr">
        <is>
          <t>Heron View (Pty) Ltd</t>
        </is>
      </c>
      <c r="B4487" s="4" t="n">
        <v>45230</v>
      </c>
      <c r="C4487" s="3" t="inlineStr">
        <is>
          <t>Expenses</t>
        </is>
      </c>
      <c r="D4487" s="3" t="inlineStr">
        <is>
          <t>3900/190</t>
        </is>
      </c>
      <c r="E4487" s="3" t="inlineStr">
        <is>
          <t>Interest Paid - Investors @ 14%</t>
        </is>
      </c>
      <c r="F4487" s="3" t="n">
        <v>0</v>
      </c>
      <c r="G4487" s="3" t="n">
        <v>589744.15</v>
      </c>
    </row>
    <row r="4488">
      <c r="A4488" s="3" t="inlineStr">
        <is>
          <t>Heron Fields (Pty) Ltd</t>
        </is>
      </c>
      <c r="B4488" s="4" t="n">
        <v>45230</v>
      </c>
      <c r="C4488" s="3" t="inlineStr">
        <is>
          <t>Expenses</t>
        </is>
      </c>
      <c r="D4488" s="3" t="inlineStr">
        <is>
          <t>3900/200</t>
        </is>
      </c>
      <c r="E4488" s="3" t="inlineStr">
        <is>
          <t>Interest Paid - Investors @ 15%</t>
        </is>
      </c>
      <c r="F4488" s="3" t="n">
        <v>0</v>
      </c>
      <c r="G4488" s="3" t="n">
        <v>333349.31</v>
      </c>
    </row>
    <row r="4489">
      <c r="A4489" s="3" t="inlineStr">
        <is>
          <t>Heron Fields (Pty) Ltd</t>
        </is>
      </c>
      <c r="B4489" s="4" t="n">
        <v>45230</v>
      </c>
      <c r="C4489" s="3" t="inlineStr">
        <is>
          <t>Expenses</t>
        </is>
      </c>
      <c r="D4489" s="3" t="inlineStr">
        <is>
          <t>3900/210</t>
        </is>
      </c>
      <c r="E4489" s="3" t="inlineStr">
        <is>
          <t>Interest Paid - Investors @ 16%</t>
        </is>
      </c>
      <c r="F4489" s="3" t="n">
        <v>0</v>
      </c>
      <c r="G4489" s="3" t="n">
        <v>47473.98</v>
      </c>
    </row>
    <row r="4490">
      <c r="A4490" s="3" t="inlineStr">
        <is>
          <t>Heron View (Pty) Ltd</t>
        </is>
      </c>
      <c r="B4490" s="4" t="n">
        <v>45230</v>
      </c>
      <c r="C4490" s="3" t="inlineStr">
        <is>
          <t>Expenses</t>
        </is>
      </c>
      <c r="D4490" s="3" t="inlineStr">
        <is>
          <t>3900/210</t>
        </is>
      </c>
      <c r="E4490" s="3" t="inlineStr">
        <is>
          <t>Interest Paid - Investors @ 16%</t>
        </is>
      </c>
      <c r="F4490" s="3" t="n">
        <v>0</v>
      </c>
      <c r="G4490" s="3" t="n">
        <v>128315.62</v>
      </c>
    </row>
    <row r="4491">
      <c r="A4491" s="3" t="inlineStr">
        <is>
          <t>Heron Fields (Pty) Ltd</t>
        </is>
      </c>
      <c r="B4491" s="4" t="n">
        <v>45230</v>
      </c>
      <c r="C4491" s="3" t="inlineStr">
        <is>
          <t>Expenses</t>
        </is>
      </c>
      <c r="D4491" s="3" t="inlineStr">
        <is>
          <t>3900/230</t>
        </is>
      </c>
      <c r="E4491" s="3" t="inlineStr">
        <is>
          <t>Interest Paid - Investors @ 18%</t>
        </is>
      </c>
      <c r="F4491" s="3" t="n">
        <v>0</v>
      </c>
      <c r="G4491" s="3" t="n">
        <v>3197167.68</v>
      </c>
    </row>
    <row r="4492">
      <c r="A4492" s="3" t="inlineStr">
        <is>
          <t>Heron View (Pty) Ltd</t>
        </is>
      </c>
      <c r="B4492" s="4" t="n">
        <v>45230</v>
      </c>
      <c r="C4492" s="3" t="inlineStr">
        <is>
          <t>Expenses</t>
        </is>
      </c>
      <c r="D4492" s="3" t="inlineStr">
        <is>
          <t>3900/230</t>
        </is>
      </c>
      <c r="E4492" s="3" t="inlineStr">
        <is>
          <t>Interest Paid - Investors @ 18%</t>
        </is>
      </c>
      <c r="F4492" s="3" t="n">
        <v>0</v>
      </c>
      <c r="G4492" s="3" t="n">
        <v>1428401.69</v>
      </c>
    </row>
    <row r="4493">
      <c r="A4493" s="3" t="inlineStr">
        <is>
          <t>Cape Projects Construction (Pty) Ltd</t>
        </is>
      </c>
      <c r="B4493" s="4" t="n">
        <v>45230</v>
      </c>
      <c r="C4493" s="3" t="inlineStr">
        <is>
          <t>Expenses</t>
        </is>
      </c>
      <c r="D4493" s="3" t="inlineStr">
        <is>
          <t>4000/000</t>
        </is>
      </c>
      <c r="E4493" s="3" t="inlineStr">
        <is>
          <t>Legal Fees</t>
        </is>
      </c>
      <c r="F4493" s="3" t="n">
        <v>0</v>
      </c>
      <c r="G4493" s="3" t="n">
        <v>5202.88</v>
      </c>
    </row>
    <row r="4494">
      <c r="A4494" s="3" t="inlineStr">
        <is>
          <t>Heron View (Pty) Ltd</t>
        </is>
      </c>
      <c r="B4494" s="4" t="n">
        <v>45230</v>
      </c>
      <c r="C4494" s="3" t="inlineStr">
        <is>
          <t>Expenses</t>
        </is>
      </c>
      <c r="D4494" s="3" t="inlineStr">
        <is>
          <t>4050/000</t>
        </is>
      </c>
      <c r="E4494" s="3" t="inlineStr">
        <is>
          <t>Levies</t>
        </is>
      </c>
      <c r="F4494" s="3" t="n">
        <v>0</v>
      </c>
      <c r="G4494" s="3" t="n">
        <v>95314.44</v>
      </c>
    </row>
    <row r="4495">
      <c r="A4495" s="3" t="inlineStr">
        <is>
          <t>Heron Fields (Pty) Ltd</t>
        </is>
      </c>
      <c r="B4495" s="4" t="n">
        <v>45230</v>
      </c>
      <c r="C4495" s="3" t="inlineStr">
        <is>
          <t>Expenses</t>
        </is>
      </c>
      <c r="D4495" s="3" t="inlineStr">
        <is>
          <t>4050/100</t>
        </is>
      </c>
      <c r="E4495" s="3" t="inlineStr">
        <is>
          <t>Developers Levies</t>
        </is>
      </c>
      <c r="F4495" s="3" t="n">
        <v>0</v>
      </c>
      <c r="G4495" s="3" t="n">
        <v>76865.83</v>
      </c>
    </row>
    <row r="4496">
      <c r="A4496" s="3" t="inlineStr">
        <is>
          <t>Heron Fields (Pty) Ltd</t>
        </is>
      </c>
      <c r="B4496" s="4" t="n">
        <v>45230</v>
      </c>
      <c r="C4496" s="3" t="inlineStr">
        <is>
          <t>Expenses</t>
        </is>
      </c>
      <c r="D4496" s="3" t="inlineStr">
        <is>
          <t>4050/200</t>
        </is>
      </c>
      <c r="E4496" s="3" t="inlineStr">
        <is>
          <t>Levies - Amari</t>
        </is>
      </c>
      <c r="F4496" s="3" t="n">
        <v>9670.93</v>
      </c>
      <c r="G4496" s="3" t="n">
        <v>13813.47</v>
      </c>
    </row>
    <row r="4497">
      <c r="A4497" s="3" t="inlineStr">
        <is>
          <t>Heron View (Pty) Ltd</t>
        </is>
      </c>
      <c r="B4497" s="4" t="n">
        <v>45230</v>
      </c>
      <c r="C4497" s="3" t="inlineStr">
        <is>
          <t>Expenses</t>
        </is>
      </c>
      <c r="D4497" s="3" t="inlineStr">
        <is>
          <t>4070/000</t>
        </is>
      </c>
      <c r="E4497" s="3" t="inlineStr">
        <is>
          <t>Management fees - OMH</t>
        </is>
      </c>
      <c r="F4497" s="3" t="n">
        <v>0</v>
      </c>
      <c r="G4497" s="3" t="n">
        <v>400000</v>
      </c>
    </row>
    <row r="4498">
      <c r="A4498" s="3" t="inlineStr">
        <is>
          <t>Heron Fields (Pty) Ltd</t>
        </is>
      </c>
      <c r="B4498" s="4" t="n">
        <v>45230</v>
      </c>
      <c r="C4498" s="3" t="inlineStr">
        <is>
          <t>Expenses</t>
        </is>
      </c>
      <c r="D4498" s="3" t="inlineStr">
        <is>
          <t>4100/001</t>
        </is>
      </c>
      <c r="E4498" s="3" t="inlineStr">
        <is>
          <t>Momentum Admin Fee</t>
        </is>
      </c>
      <c r="F4498" s="3" t="n">
        <v>19033.8</v>
      </c>
      <c r="G4498" s="3" t="n">
        <v>91690.37</v>
      </c>
    </row>
    <row r="4499">
      <c r="A4499" s="3" t="inlineStr">
        <is>
          <t>Cape Projects Construction (Pty) Ltd</t>
        </is>
      </c>
      <c r="B4499" s="4" t="n">
        <v>45230</v>
      </c>
      <c r="C4499" s="3" t="inlineStr">
        <is>
          <t>Expenses</t>
        </is>
      </c>
      <c r="D4499" s="3" t="inlineStr">
        <is>
          <t>4150/000</t>
        </is>
      </c>
      <c r="E4499" s="3" t="inlineStr">
        <is>
          <t>Motor Vehicle Expenses</t>
        </is>
      </c>
      <c r="F4499" s="3" t="n">
        <v>0</v>
      </c>
      <c r="G4499" s="3" t="n">
        <v>362</v>
      </c>
    </row>
    <row r="4500">
      <c r="A4500" s="3" t="inlineStr">
        <is>
          <t>Heron Fields (Pty) Ltd</t>
        </is>
      </c>
      <c r="B4500" s="4" t="n">
        <v>45230</v>
      </c>
      <c r="C4500" s="3" t="inlineStr">
        <is>
          <t>Expenses</t>
        </is>
      </c>
      <c r="D4500" s="3" t="inlineStr">
        <is>
          <t>4150/000</t>
        </is>
      </c>
      <c r="E4500" s="3" t="inlineStr">
        <is>
          <t>Motor Vehicle Expenses</t>
        </is>
      </c>
      <c r="F4500" s="3" t="n">
        <v>0</v>
      </c>
      <c r="G4500" s="3" t="n">
        <v>20</v>
      </c>
    </row>
    <row r="4501">
      <c r="A4501" s="3" t="inlineStr">
        <is>
          <t>Cape Projects Construction (Pty) Ltd</t>
        </is>
      </c>
      <c r="B4501" s="4" t="n">
        <v>45230</v>
      </c>
      <c r="C4501" s="3" t="inlineStr">
        <is>
          <t>Expenses</t>
        </is>
      </c>
      <c r="D4501" s="3" t="inlineStr">
        <is>
          <t>4150/010</t>
        </is>
      </c>
      <c r="E4501" s="3" t="inlineStr">
        <is>
          <t>Motor Vehicle - Petrol _AND_ Oil</t>
        </is>
      </c>
      <c r="F4501" s="3" t="n">
        <v>1789.91</v>
      </c>
      <c r="G4501" s="3" t="n">
        <v>31838.34</v>
      </c>
    </row>
    <row r="4502">
      <c r="A4502" s="3" t="inlineStr">
        <is>
          <t>Cape Projects Construction (Pty) Ltd</t>
        </is>
      </c>
      <c r="B4502" s="4" t="n">
        <v>45230</v>
      </c>
      <c r="C4502" s="3" t="inlineStr">
        <is>
          <t>Expenses</t>
        </is>
      </c>
      <c r="D4502" s="3" t="inlineStr">
        <is>
          <t>4150/020</t>
        </is>
      </c>
      <c r="E4502" s="3" t="inlineStr">
        <is>
          <t>Motor Vehicle - Repairs _AND_ Maint.</t>
        </is>
      </c>
      <c r="F4502" s="3" t="n">
        <v>31.3</v>
      </c>
      <c r="G4502" s="3" t="n">
        <v>3668.3</v>
      </c>
    </row>
    <row r="4503">
      <c r="A4503" s="3" t="inlineStr">
        <is>
          <t>Cape Projects Construction (Pty) Ltd</t>
        </is>
      </c>
      <c r="B4503" s="4" t="n">
        <v>45230</v>
      </c>
      <c r="C4503" s="3" t="inlineStr">
        <is>
          <t>Expenses</t>
        </is>
      </c>
      <c r="D4503" s="3" t="inlineStr">
        <is>
          <t>4150/030</t>
        </is>
      </c>
      <c r="E4503" s="3" t="inlineStr">
        <is>
          <t>Motor Vehicle - Insurance _AND_ Licence</t>
        </is>
      </c>
      <c r="F4503" s="3" t="n">
        <v>0</v>
      </c>
      <c r="G4503" s="3" t="n">
        <v>1069</v>
      </c>
    </row>
    <row r="4504">
      <c r="A4504" s="3" t="inlineStr">
        <is>
          <t>Cape Projects Construction (Pty) Ltd</t>
        </is>
      </c>
      <c r="B4504" s="4" t="n">
        <v>45230</v>
      </c>
      <c r="C4504" s="3" t="inlineStr">
        <is>
          <t>Expenses</t>
        </is>
      </c>
      <c r="D4504" s="3" t="inlineStr">
        <is>
          <t>4200/000</t>
        </is>
      </c>
      <c r="E4504" s="3" t="inlineStr">
        <is>
          <t>Printing _AND_ Stationery</t>
        </is>
      </c>
      <c r="F4504" s="3" t="n">
        <v>5021.88</v>
      </c>
      <c r="G4504" s="3" t="n">
        <v>30918.18</v>
      </c>
    </row>
    <row r="4505">
      <c r="A4505" s="3" t="inlineStr">
        <is>
          <t>Cape Projects Construction (Pty) Ltd</t>
        </is>
      </c>
      <c r="B4505" s="4" t="n">
        <v>45230</v>
      </c>
      <c r="C4505" s="3" t="inlineStr">
        <is>
          <t>Expenses</t>
        </is>
      </c>
      <c r="D4505" s="3" t="inlineStr">
        <is>
          <t>4201/000</t>
        </is>
      </c>
      <c r="E4505" s="3" t="inlineStr">
        <is>
          <t>Printing - Printer rental</t>
        </is>
      </c>
      <c r="F4505" s="3" t="n">
        <v>2304.82</v>
      </c>
      <c r="G4505" s="3" t="n">
        <v>16773.71</v>
      </c>
    </row>
    <row r="4506">
      <c r="A4506" s="3" t="inlineStr">
        <is>
          <t>Cape Projects Construction (Pty) Ltd</t>
        </is>
      </c>
      <c r="B4506" s="4" t="n">
        <v>45230</v>
      </c>
      <c r="C4506" s="3" t="inlineStr">
        <is>
          <t>Expenses</t>
        </is>
      </c>
      <c r="D4506" s="3" t="inlineStr">
        <is>
          <t>4300/000</t>
        </is>
      </c>
      <c r="E4506" s="3" t="inlineStr">
        <is>
          <t>Rent Paid</t>
        </is>
      </c>
      <c r="F4506" s="3" t="n">
        <v>29600</v>
      </c>
      <c r="G4506" s="3" t="n">
        <v>236800</v>
      </c>
    </row>
    <row r="4507">
      <c r="A4507" s="3" t="inlineStr">
        <is>
          <t>Cape Projects Construction (Pty) Ltd</t>
        </is>
      </c>
      <c r="B4507" s="4" t="n">
        <v>45230</v>
      </c>
      <c r="C4507" s="3" t="inlineStr">
        <is>
          <t>Expenses</t>
        </is>
      </c>
      <c r="D4507" s="3" t="inlineStr">
        <is>
          <t>4310/000</t>
        </is>
      </c>
      <c r="E4507" s="3" t="inlineStr">
        <is>
          <t>Rates</t>
        </is>
      </c>
      <c r="F4507" s="3" t="n">
        <v>989.75</v>
      </c>
      <c r="G4507" s="3" t="n">
        <v>9068.540000000001</v>
      </c>
    </row>
    <row r="4508">
      <c r="A4508" s="3" t="inlineStr">
        <is>
          <t>Heron Fields (Pty) Ltd</t>
        </is>
      </c>
      <c r="B4508" s="4" t="n">
        <v>45230</v>
      </c>
      <c r="C4508" s="3" t="inlineStr">
        <is>
          <t>Expenses</t>
        </is>
      </c>
      <c r="D4508" s="3" t="inlineStr">
        <is>
          <t>4310/000</t>
        </is>
      </c>
      <c r="E4508" s="3" t="inlineStr">
        <is>
          <t>Rates - Heron</t>
        </is>
      </c>
      <c r="F4508" s="3" t="n">
        <v>0</v>
      </c>
      <c r="G4508" s="3" t="n">
        <v>-2317.84</v>
      </c>
    </row>
    <row r="4509">
      <c r="A4509" s="3" t="inlineStr">
        <is>
          <t>Cape Projects Construction (Pty) Ltd</t>
        </is>
      </c>
      <c r="B4509" s="4" t="n">
        <v>45230</v>
      </c>
      <c r="C4509" s="3" t="inlineStr">
        <is>
          <t>Expenses</t>
        </is>
      </c>
      <c r="D4509" s="3" t="inlineStr">
        <is>
          <t>4350/000</t>
        </is>
      </c>
      <c r="E4509" s="3" t="inlineStr">
        <is>
          <t>Repairs _AND_ Maintenance</t>
        </is>
      </c>
      <c r="F4509" s="3" t="n">
        <v>63.04</v>
      </c>
      <c r="G4509" s="3" t="n">
        <v>15525.05</v>
      </c>
    </row>
    <row r="4510">
      <c r="A4510" s="3" t="inlineStr">
        <is>
          <t>Heron Fields (Pty) Ltd</t>
        </is>
      </c>
      <c r="B4510" s="4" t="n">
        <v>45230</v>
      </c>
      <c r="C4510" s="3" t="inlineStr">
        <is>
          <t>Expenses</t>
        </is>
      </c>
      <c r="D4510" s="3" t="inlineStr">
        <is>
          <t>4350/000</t>
        </is>
      </c>
      <c r="E4510" s="3" t="inlineStr">
        <is>
          <t>Repairs _AND_ Maintenance</t>
        </is>
      </c>
      <c r="F4510" s="3" t="n">
        <v>900</v>
      </c>
      <c r="G4510" s="3" t="n">
        <v>34547.28</v>
      </c>
    </row>
    <row r="4511">
      <c r="A4511" s="3" t="inlineStr">
        <is>
          <t>Heron View (Pty) Ltd</t>
        </is>
      </c>
      <c r="B4511" s="4" t="n">
        <v>45230</v>
      </c>
      <c r="C4511" s="3" t="inlineStr">
        <is>
          <t>Expenses</t>
        </is>
      </c>
      <c r="D4511" s="3" t="inlineStr">
        <is>
          <t>4350/000</t>
        </is>
      </c>
      <c r="E4511" s="3" t="inlineStr">
        <is>
          <t>Repairs _AND_ Maintenance</t>
        </is>
      </c>
      <c r="F4511" s="3" t="n">
        <v>-1003.07</v>
      </c>
      <c r="G4511" s="3" t="n">
        <v>15563.49</v>
      </c>
    </row>
    <row r="4512">
      <c r="A4512" s="3" t="inlineStr">
        <is>
          <t>Cape Projects Construction (Pty) Ltd</t>
        </is>
      </c>
      <c r="B4512" s="4" t="n">
        <v>45230</v>
      </c>
      <c r="C4512" s="3" t="inlineStr">
        <is>
          <t>Expenses</t>
        </is>
      </c>
      <c r="D4512" s="3" t="inlineStr">
        <is>
          <t>4400/000</t>
        </is>
      </c>
      <c r="E4512" s="3" t="inlineStr">
        <is>
          <t>Salaries _AND_ Wages</t>
        </is>
      </c>
      <c r="F4512" s="3" t="n">
        <v>424105.1</v>
      </c>
      <c r="G4512" s="3" t="n">
        <v>2883662.93</v>
      </c>
    </row>
    <row r="4513">
      <c r="A4513" s="3" t="inlineStr">
        <is>
          <t>Cape Projects Construction (Pty) Ltd</t>
        </is>
      </c>
      <c r="B4513" s="4" t="n">
        <v>45230</v>
      </c>
      <c r="C4513" s="3" t="inlineStr">
        <is>
          <t>Expenses</t>
        </is>
      </c>
      <c r="D4513" s="3" t="inlineStr">
        <is>
          <t>4402</t>
        </is>
      </c>
      <c r="E4513" s="3" t="inlineStr">
        <is>
          <t>Salaries &amp; Wages - WCA</t>
        </is>
      </c>
      <c r="F4513" s="3" t="n">
        <v>0</v>
      </c>
      <c r="G4513" s="3" t="n">
        <v>5192.13</v>
      </c>
    </row>
    <row r="4514">
      <c r="A4514" s="3" t="inlineStr">
        <is>
          <t>Cape Projects Construction (Pty) Ltd</t>
        </is>
      </c>
      <c r="B4514" s="4" t="n">
        <v>45230</v>
      </c>
      <c r="C4514" s="3" t="inlineStr">
        <is>
          <t>Expenses</t>
        </is>
      </c>
      <c r="D4514" s="3" t="inlineStr">
        <is>
          <t>4403/000</t>
        </is>
      </c>
      <c r="E4514" s="3" t="inlineStr">
        <is>
          <t>Security</t>
        </is>
      </c>
      <c r="F4514" s="3" t="n">
        <v>191.17</v>
      </c>
      <c r="G4514" s="3" t="n">
        <v>1432.48</v>
      </c>
    </row>
    <row r="4515">
      <c r="A4515" s="3" t="inlineStr">
        <is>
          <t>Cape Projects Construction (Pty) Ltd</t>
        </is>
      </c>
      <c r="B4515" s="4" t="n">
        <v>45230</v>
      </c>
      <c r="C4515" s="3" t="inlineStr">
        <is>
          <t>Expenses</t>
        </is>
      </c>
      <c r="D4515" s="3" t="inlineStr">
        <is>
          <t>4420/000</t>
        </is>
      </c>
      <c r="E4515" s="3" t="inlineStr">
        <is>
          <t>Small Assets</t>
        </is>
      </c>
      <c r="F4515" s="3" t="n">
        <v>7942.28</v>
      </c>
      <c r="G4515" s="3" t="n">
        <v>31010.74</v>
      </c>
    </row>
    <row r="4516">
      <c r="A4516" s="3" t="inlineStr">
        <is>
          <t>Heron Fields (Pty) Ltd</t>
        </is>
      </c>
      <c r="B4516" s="4" t="n">
        <v>45230</v>
      </c>
      <c r="C4516" s="3" t="inlineStr">
        <is>
          <t>Expenses</t>
        </is>
      </c>
      <c r="D4516" s="3" t="inlineStr">
        <is>
          <t>4420/001</t>
        </is>
      </c>
      <c r="E4516" s="3" t="inlineStr">
        <is>
          <t>Security - ADT</t>
        </is>
      </c>
      <c r="F4516" s="3" t="n">
        <v>366.14</v>
      </c>
      <c r="G4516" s="3" t="n">
        <v>2815.84</v>
      </c>
    </row>
    <row r="4517">
      <c r="A4517" s="3" t="inlineStr">
        <is>
          <t>Cape Projects Construction (Pty) Ltd</t>
        </is>
      </c>
      <c r="B4517" s="4" t="n">
        <v>45230</v>
      </c>
      <c r="C4517" s="3" t="inlineStr">
        <is>
          <t>Expenses</t>
        </is>
      </c>
      <c r="D4517" s="3" t="inlineStr">
        <is>
          <t>4450/000</t>
        </is>
      </c>
      <c r="E4517" s="3" t="inlineStr">
        <is>
          <t>Staff Training</t>
        </is>
      </c>
      <c r="F4517" s="3" t="n">
        <v>2262.6</v>
      </c>
      <c r="G4517" s="3" t="n">
        <v>2262.6</v>
      </c>
    </row>
    <row r="4518">
      <c r="A4518" s="3" t="inlineStr">
        <is>
          <t>Cape Projects Construction (Pty) Ltd</t>
        </is>
      </c>
      <c r="B4518" s="4" t="n">
        <v>45230</v>
      </c>
      <c r="C4518" s="3" t="inlineStr">
        <is>
          <t>Expenses</t>
        </is>
      </c>
      <c r="D4518" s="3" t="inlineStr">
        <is>
          <t>4500/000</t>
        </is>
      </c>
      <c r="E4518" s="3" t="inlineStr">
        <is>
          <t>Staff Welfare _AND_ Refreshmts</t>
        </is>
      </c>
      <c r="F4518" s="3" t="n">
        <v>2655.98</v>
      </c>
      <c r="G4518" s="3" t="n">
        <v>31136.13</v>
      </c>
    </row>
    <row r="4519">
      <c r="A4519" s="3" t="inlineStr">
        <is>
          <t>Cape Projects Construction (Pty) Ltd</t>
        </is>
      </c>
      <c r="B4519" s="4" t="n">
        <v>45230</v>
      </c>
      <c r="C4519" s="3" t="inlineStr">
        <is>
          <t>Expenses</t>
        </is>
      </c>
      <c r="D4519" s="3" t="inlineStr">
        <is>
          <t>4550/000</t>
        </is>
      </c>
      <c r="E4519" s="3" t="inlineStr">
        <is>
          <t>Subscriptions / Licenses</t>
        </is>
      </c>
      <c r="F4519" s="3" t="n">
        <v>0</v>
      </c>
      <c r="G4519" s="3" t="n">
        <v>13527.97</v>
      </c>
    </row>
    <row r="4520">
      <c r="A4520" s="3" t="inlineStr">
        <is>
          <t>Cape Projects Construction (Pty) Ltd</t>
        </is>
      </c>
      <c r="B4520" s="4" t="n">
        <v>45230</v>
      </c>
      <c r="C4520" s="3" t="inlineStr">
        <is>
          <t>Expenses</t>
        </is>
      </c>
      <c r="D4520" s="3" t="inlineStr">
        <is>
          <t>4550/001</t>
        </is>
      </c>
      <c r="E4520" s="3" t="inlineStr">
        <is>
          <t>Subscriptions &amp; Licenses - Sage payroll</t>
        </is>
      </c>
      <c r="F4520" s="3" t="n">
        <v>747</v>
      </c>
      <c r="G4520" s="3" t="n">
        <v>5976</v>
      </c>
    </row>
    <row r="4521">
      <c r="A4521" s="3" t="inlineStr">
        <is>
          <t>Cape Projects Construction (Pty) Ltd</t>
        </is>
      </c>
      <c r="B4521" s="4" t="n">
        <v>45230</v>
      </c>
      <c r="C4521" s="3" t="inlineStr">
        <is>
          <t>Expenses</t>
        </is>
      </c>
      <c r="D4521" s="3" t="inlineStr">
        <is>
          <t>4550/002</t>
        </is>
      </c>
      <c r="E4521" s="3" t="inlineStr">
        <is>
          <t>Subscriptions &amp; Licenses - Caseware</t>
        </is>
      </c>
      <c r="F4521" s="3" t="n">
        <v>0</v>
      </c>
      <c r="G4521" s="3" t="n">
        <v>10825.49</v>
      </c>
    </row>
    <row r="4522">
      <c r="A4522" s="3" t="inlineStr">
        <is>
          <t>Cape Projects Construction (Pty) Ltd</t>
        </is>
      </c>
      <c r="B4522" s="4" t="n">
        <v>45230</v>
      </c>
      <c r="C4522" s="3" t="inlineStr">
        <is>
          <t>Expenses</t>
        </is>
      </c>
      <c r="D4522" s="3" t="inlineStr">
        <is>
          <t>4550/003</t>
        </is>
      </c>
      <c r="E4522" s="3" t="inlineStr">
        <is>
          <t>Subscriptions &amp; Licenses - Xero</t>
        </is>
      </c>
      <c r="F4522" s="3" t="n">
        <v>600</v>
      </c>
      <c r="G4522" s="3" t="n">
        <v>4800</v>
      </c>
    </row>
    <row r="4523">
      <c r="A4523" s="3" t="inlineStr">
        <is>
          <t>Cape Projects Construction (Pty) Ltd</t>
        </is>
      </c>
      <c r="B4523" s="4" t="n">
        <v>45230</v>
      </c>
      <c r="C4523" s="3" t="inlineStr">
        <is>
          <t>Expenses</t>
        </is>
      </c>
      <c r="D4523" s="3" t="inlineStr">
        <is>
          <t>4550/004</t>
        </is>
      </c>
      <c r="E4523" s="3" t="inlineStr">
        <is>
          <t>Subscriptions - Smartsheet</t>
        </is>
      </c>
      <c r="F4523" s="3" t="n">
        <v>847</v>
      </c>
      <c r="G4523" s="3" t="n">
        <v>6580.72</v>
      </c>
    </row>
    <row r="4524">
      <c r="A4524" s="3" t="inlineStr">
        <is>
          <t>Cape Projects Construction (Pty) Ltd</t>
        </is>
      </c>
      <c r="B4524" s="4" t="n">
        <v>45230</v>
      </c>
      <c r="C4524" s="3" t="inlineStr">
        <is>
          <t>Expenses</t>
        </is>
      </c>
      <c r="D4524" s="3" t="inlineStr">
        <is>
          <t>4550/008</t>
        </is>
      </c>
      <c r="E4524" s="3" t="inlineStr">
        <is>
          <t>Subscriptions  - Adobe</t>
        </is>
      </c>
      <c r="F4524" s="3" t="n">
        <v>0</v>
      </c>
      <c r="G4524" s="3" t="n">
        <v>4498.72</v>
      </c>
    </row>
    <row r="4525">
      <c r="A4525" s="3" t="inlineStr">
        <is>
          <t>Heron Fields (Pty) Ltd</t>
        </is>
      </c>
      <c r="B4525" s="4" t="n">
        <v>45230</v>
      </c>
      <c r="C4525" s="3" t="inlineStr">
        <is>
          <t>Expenses</t>
        </is>
      </c>
      <c r="D4525" s="3" t="inlineStr">
        <is>
          <t>4550/100</t>
        </is>
      </c>
      <c r="E4525" s="3" t="inlineStr">
        <is>
          <t>Subscriptions - Xero</t>
        </is>
      </c>
      <c r="F4525" s="3" t="n">
        <v>600</v>
      </c>
      <c r="G4525" s="3" t="n">
        <v>4800</v>
      </c>
    </row>
    <row r="4526">
      <c r="A4526" s="3" t="inlineStr">
        <is>
          <t>Heron View (Pty) Ltd</t>
        </is>
      </c>
      <c r="B4526" s="4" t="n">
        <v>45230</v>
      </c>
      <c r="C4526" s="3" t="inlineStr">
        <is>
          <t>Expenses</t>
        </is>
      </c>
      <c r="D4526" s="3" t="inlineStr">
        <is>
          <t>4550/100</t>
        </is>
      </c>
      <c r="E4526" s="3" t="inlineStr">
        <is>
          <t>Subscriptions - Xero</t>
        </is>
      </c>
      <c r="F4526" s="3" t="n">
        <v>600</v>
      </c>
      <c r="G4526" s="3" t="n">
        <v>4800</v>
      </c>
    </row>
    <row r="4527">
      <c r="A4527" s="3" t="inlineStr">
        <is>
          <t>Heron Fields (Pty) Ltd</t>
        </is>
      </c>
      <c r="B4527" s="4" t="n">
        <v>45230</v>
      </c>
      <c r="C4527" s="3" t="inlineStr">
        <is>
          <t>Expenses</t>
        </is>
      </c>
      <c r="D4527" s="3" t="inlineStr">
        <is>
          <t>4550/200</t>
        </is>
      </c>
      <c r="E4527" s="3" t="inlineStr">
        <is>
          <t>Subscription - NHBRC</t>
        </is>
      </c>
      <c r="F4527" s="3" t="n">
        <v>526.3200000000001</v>
      </c>
      <c r="G4527" s="3" t="n">
        <v>526.3200000000001</v>
      </c>
    </row>
    <row r="4528">
      <c r="A4528" s="3" t="inlineStr">
        <is>
          <t>Cape Projects Construction (Pty) Ltd</t>
        </is>
      </c>
      <c r="B4528" s="4" t="n">
        <v>45230</v>
      </c>
      <c r="C4528" s="3" t="inlineStr">
        <is>
          <t>Expenses</t>
        </is>
      </c>
      <c r="D4528" s="3" t="inlineStr">
        <is>
          <t>4560</t>
        </is>
      </c>
      <c r="E4528" s="3" t="inlineStr">
        <is>
          <t>Secretarial fees - CIPC</t>
        </is>
      </c>
      <c r="F4528" s="3" t="n">
        <v>0</v>
      </c>
      <c r="G4528" s="3" t="n">
        <v>4000</v>
      </c>
    </row>
    <row r="4529">
      <c r="A4529" s="3" t="inlineStr">
        <is>
          <t>Cape Projects Construction (Pty) Ltd</t>
        </is>
      </c>
      <c r="B4529" s="4" t="n">
        <v>45230</v>
      </c>
      <c r="C4529" s="3" t="inlineStr">
        <is>
          <t>Expenses</t>
        </is>
      </c>
      <c r="D4529" s="3" t="inlineStr">
        <is>
          <t>4600/000</t>
        </is>
      </c>
      <c r="E4529" s="3" t="inlineStr">
        <is>
          <t>Telephone _AND_ Fax</t>
        </is>
      </c>
      <c r="F4529" s="3" t="n">
        <v>0</v>
      </c>
      <c r="G4529" s="3" t="n">
        <v>11566.33</v>
      </c>
    </row>
    <row r="4530">
      <c r="A4530" s="3" t="inlineStr">
        <is>
          <t>Cape Projects Construction (Pty) Ltd</t>
        </is>
      </c>
      <c r="B4530" s="4" t="n">
        <v>45230</v>
      </c>
      <c r="C4530" s="3" t="inlineStr">
        <is>
          <t>Expenses</t>
        </is>
      </c>
      <c r="D4530" s="3" t="inlineStr">
        <is>
          <t>4700/000</t>
        </is>
      </c>
      <c r="E4530" s="3" t="inlineStr">
        <is>
          <t>PAYE Contributions</t>
        </is>
      </c>
      <c r="F4530" s="3" t="n">
        <v>89188.14999999999</v>
      </c>
      <c r="G4530" s="3" t="n">
        <v>648158.1</v>
      </c>
    </row>
    <row r="4531">
      <c r="A4531" s="3" t="inlineStr">
        <is>
          <t>Cape Projects Construction (Pty) Ltd</t>
        </is>
      </c>
      <c r="B4531" s="4" t="n">
        <v>45230</v>
      </c>
      <c r="C4531" s="3" t="inlineStr">
        <is>
          <t>Expenses</t>
        </is>
      </c>
      <c r="D4531" s="3" t="inlineStr">
        <is>
          <t>4720/000</t>
        </is>
      </c>
      <c r="E4531" s="3" t="inlineStr">
        <is>
          <t>SDL Contributions</t>
        </is>
      </c>
      <c r="F4531" s="3" t="n">
        <v>5014.74</v>
      </c>
      <c r="G4531" s="3" t="n">
        <v>34326.46</v>
      </c>
    </row>
    <row r="4532">
      <c r="A4532" s="3" t="inlineStr">
        <is>
          <t>Cape Projects Construction (Pty) Ltd</t>
        </is>
      </c>
      <c r="B4532" s="4" t="n">
        <v>45230</v>
      </c>
      <c r="C4532" s="3" t="inlineStr">
        <is>
          <t>Expenses</t>
        </is>
      </c>
      <c r="D4532" s="3" t="inlineStr">
        <is>
          <t>4730/000</t>
        </is>
      </c>
      <c r="E4532" s="3" t="inlineStr">
        <is>
          <t>UIF Company Contributions</t>
        </is>
      </c>
      <c r="F4532" s="3" t="n">
        <v>3028.4</v>
      </c>
      <c r="G4532" s="3" t="n">
        <v>18730.35</v>
      </c>
    </row>
    <row r="4533">
      <c r="A4533" s="3" t="inlineStr">
        <is>
          <t>Cape Projects Construction (Pty) Ltd</t>
        </is>
      </c>
      <c r="B4533" s="4" t="n">
        <v>45230</v>
      </c>
      <c r="C4533" s="3" t="inlineStr">
        <is>
          <t>Expenses</t>
        </is>
      </c>
      <c r="D4533" s="3" t="inlineStr">
        <is>
          <t>4731/000</t>
        </is>
      </c>
      <c r="E4533" s="3" t="inlineStr">
        <is>
          <t>UIF Employee Contribution</t>
        </is>
      </c>
      <c r="F4533" s="3" t="n">
        <v>3028.4</v>
      </c>
      <c r="G4533" s="3" t="n">
        <v>18730.35</v>
      </c>
    </row>
    <row r="4534">
      <c r="A4534" s="3" t="inlineStr">
        <is>
          <t>Cape Projects Construction (Pty) Ltd</t>
        </is>
      </c>
      <c r="B4534" s="4" t="n">
        <v>45230</v>
      </c>
      <c r="C4534" s="3" t="inlineStr">
        <is>
          <t>Expenses</t>
        </is>
      </c>
      <c r="D4534" s="3" t="inlineStr">
        <is>
          <t>4740/000</t>
        </is>
      </c>
      <c r="E4534" s="3" t="inlineStr">
        <is>
          <t>BIBC Company Contribution</t>
        </is>
      </c>
      <c r="F4534" s="3" t="n">
        <v>0</v>
      </c>
      <c r="G4534" s="3" t="n">
        <v>15075.35</v>
      </c>
    </row>
    <row r="4535">
      <c r="A4535" s="3" t="inlineStr">
        <is>
          <t>Cape Projects Construction (Pty) Ltd</t>
        </is>
      </c>
      <c r="B4535" s="4" t="n">
        <v>45230</v>
      </c>
      <c r="C4535" s="3" t="inlineStr">
        <is>
          <t>Expenses</t>
        </is>
      </c>
      <c r="D4535" s="3" t="inlineStr">
        <is>
          <t>4741/000</t>
        </is>
      </c>
      <c r="E4535" s="3" t="inlineStr">
        <is>
          <t>BIBC Employee Contribution</t>
        </is>
      </c>
      <c r="F4535" s="3" t="n">
        <v>0</v>
      </c>
      <c r="G4535" s="3" t="n">
        <v>4562.1</v>
      </c>
    </row>
    <row r="4536">
      <c r="A4536" s="3" t="inlineStr">
        <is>
          <t>Heron Fields (Pty) Ltd</t>
        </is>
      </c>
      <c r="B4536" s="4" t="n">
        <v>45230</v>
      </c>
      <c r="C4536" s="3" t="inlineStr">
        <is>
          <t>Equity</t>
        </is>
      </c>
      <c r="D4536" s="3" t="inlineStr">
        <is>
          <t>5100-000</t>
        </is>
      </c>
      <c r="E4536" s="3" t="inlineStr">
        <is>
          <t>Share Capital</t>
        </is>
      </c>
      <c r="F4536" s="3" t="n">
        <v>0</v>
      </c>
      <c r="G4536" s="3" t="n">
        <v>-100</v>
      </c>
    </row>
    <row r="4537">
      <c r="A4537" s="3" t="inlineStr">
        <is>
          <t>Cape Projects Construction (Pty) Ltd</t>
        </is>
      </c>
      <c r="B4537" s="4" t="n">
        <v>45230</v>
      </c>
      <c r="C4537" s="3" t="inlineStr">
        <is>
          <t>Equity</t>
        </is>
      </c>
      <c r="D4537" s="3" t="inlineStr">
        <is>
          <t>5100/000</t>
        </is>
      </c>
      <c r="E4537" s="3" t="inlineStr">
        <is>
          <t>Share Capital / Members Contribution</t>
        </is>
      </c>
      <c r="F4537" s="3" t="n">
        <v>0</v>
      </c>
      <c r="G4537" s="3" t="n">
        <v>-120</v>
      </c>
    </row>
    <row r="4538">
      <c r="A4538" s="3" t="inlineStr">
        <is>
          <t>Cape Projects Construction (Pty) Ltd</t>
        </is>
      </c>
      <c r="B4538" s="4" t="n">
        <v>45230</v>
      </c>
      <c r="C4538" s="3" t="inlineStr">
        <is>
          <t>Equity</t>
        </is>
      </c>
      <c r="D4538" s="3" t="inlineStr">
        <is>
          <t>5200/000</t>
        </is>
      </c>
      <c r="E4538" s="3" t="inlineStr">
        <is>
          <t>Retained Earnings / Loss</t>
        </is>
      </c>
      <c r="F4538" s="3" t="n">
        <v>0</v>
      </c>
      <c r="G4538" s="3" t="n">
        <v>-296075.58</v>
      </c>
    </row>
    <row r="4539">
      <c r="A4539" s="3" t="inlineStr">
        <is>
          <t>Heron Fields (Pty) Ltd</t>
        </is>
      </c>
      <c r="B4539" s="4" t="n">
        <v>45230</v>
      </c>
      <c r="C4539" s="3" t="inlineStr">
        <is>
          <t>Equity</t>
        </is>
      </c>
      <c r="D4539" s="3" t="inlineStr">
        <is>
          <t>5200/000</t>
        </is>
      </c>
      <c r="E4539" s="3" t="inlineStr">
        <is>
          <t>Retained Earnings / Loss</t>
        </is>
      </c>
      <c r="F4539" s="3" t="n">
        <v>0</v>
      </c>
      <c r="G4539" s="3" t="n">
        <v>-17843179.58</v>
      </c>
    </row>
    <row r="4540">
      <c r="A4540" s="3" t="inlineStr">
        <is>
          <t>Heron View (Pty) Ltd</t>
        </is>
      </c>
      <c r="B4540" s="4" t="n">
        <v>45230</v>
      </c>
      <c r="C4540" s="3" t="inlineStr">
        <is>
          <t>Equity</t>
        </is>
      </c>
      <c r="D4540" s="3" t="inlineStr">
        <is>
          <t>5200/000</t>
        </is>
      </c>
      <c r="E4540" s="3" t="inlineStr">
        <is>
          <t>Retained Earnings / Loss</t>
        </is>
      </c>
      <c r="F4540" s="3" t="n">
        <v>0</v>
      </c>
      <c r="G4540" s="3" t="n">
        <v>70398.12</v>
      </c>
    </row>
    <row r="4541">
      <c r="A4541" s="3" t="inlineStr">
        <is>
          <t>Heron Fields (Pty) Ltd</t>
        </is>
      </c>
      <c r="B4541" s="4" t="n">
        <v>45230</v>
      </c>
      <c r="C4541" s="3" t="inlineStr">
        <is>
          <t>Assets</t>
        </is>
      </c>
      <c r="D4541" s="3" t="inlineStr">
        <is>
          <t>5300/001</t>
        </is>
      </c>
      <c r="E4541" s="3" t="inlineStr">
        <is>
          <t>Revaluation of Land stock</t>
        </is>
      </c>
      <c r="F4541" s="3" t="n">
        <v>0</v>
      </c>
      <c r="G4541" s="3" t="n">
        <v>17562360.85</v>
      </c>
    </row>
    <row r="4542">
      <c r="A4542" s="3" t="inlineStr">
        <is>
          <t>Heron Fields (Pty) Ltd</t>
        </is>
      </c>
      <c r="B4542" s="4" t="n">
        <v>45230</v>
      </c>
      <c r="C4542" s="3" t="inlineStr">
        <is>
          <t>Assets</t>
        </is>
      </c>
      <c r="D4542" s="3" t="inlineStr">
        <is>
          <t>5400/000</t>
        </is>
      </c>
      <c r="E4542" s="3" t="inlineStr">
        <is>
          <t>Deposit: Ruiterwacht development</t>
        </is>
      </c>
      <c r="F4542" s="3" t="n">
        <v>3150000</v>
      </c>
      <c r="G4542" s="3" t="n">
        <v>3150000</v>
      </c>
    </row>
    <row r="4543">
      <c r="A4543" s="3" t="inlineStr">
        <is>
          <t>Cape Projects Construction (Pty) Ltd</t>
        </is>
      </c>
      <c r="B4543" s="4" t="n">
        <v>45230</v>
      </c>
      <c r="C4543" s="3" t="inlineStr">
        <is>
          <t>Assets</t>
        </is>
      </c>
      <c r="D4543" s="3" t="inlineStr">
        <is>
          <t>5400/150</t>
        </is>
      </c>
      <c r="E4543" s="3" t="inlineStr">
        <is>
          <t>Loan - Quinate</t>
        </is>
      </c>
      <c r="F4543" s="3" t="n">
        <v>-280000</v>
      </c>
      <c r="G4543" s="3" t="n">
        <v>110000</v>
      </c>
    </row>
    <row r="4544">
      <c r="A4544" s="3" t="inlineStr">
        <is>
          <t>Cape Projects Construction (Pty) Ltd</t>
        </is>
      </c>
      <c r="B4544" s="4" t="n">
        <v>45230</v>
      </c>
      <c r="C4544" s="3" t="inlineStr">
        <is>
          <t>Assets</t>
        </is>
      </c>
      <c r="D4544" s="3" t="inlineStr">
        <is>
          <t>5400/220</t>
        </is>
      </c>
      <c r="E4544" s="3" t="inlineStr">
        <is>
          <t>Members Loan - WH</t>
        </is>
      </c>
      <c r="F4544" s="3" t="n">
        <v>0</v>
      </c>
      <c r="G4544" s="3" t="n">
        <v>-4342.5</v>
      </c>
    </row>
    <row r="4545">
      <c r="A4545" s="3" t="inlineStr">
        <is>
          <t>Cape Projects Construction (Pty) Ltd</t>
        </is>
      </c>
      <c r="B4545" s="4" t="n">
        <v>45230</v>
      </c>
      <c r="C4545" s="3" t="inlineStr">
        <is>
          <t>Assets</t>
        </is>
      </c>
      <c r="D4545" s="3" t="inlineStr">
        <is>
          <t>5400/300</t>
        </is>
      </c>
      <c r="E4545" s="3" t="inlineStr">
        <is>
          <t>Loan - Opportunity ResidentialCUST ACC</t>
        </is>
      </c>
      <c r="F4545" s="3" t="n">
        <v>0</v>
      </c>
      <c r="G4545" s="3" t="n">
        <v>4702.35</v>
      </c>
    </row>
    <row r="4546">
      <c r="A4546" s="3" t="inlineStr">
        <is>
          <t>Cape Projects Construction (Pty) Ltd</t>
        </is>
      </c>
      <c r="B4546" s="4" t="n">
        <v>45230</v>
      </c>
      <c r="C4546" s="3" t="inlineStr">
        <is>
          <t>Assets</t>
        </is>
      </c>
      <c r="D4546" s="3" t="inlineStr">
        <is>
          <t>5400/450</t>
        </is>
      </c>
      <c r="E4546" s="3" t="inlineStr">
        <is>
          <t>Loan - Opportunity Investment</t>
        </is>
      </c>
      <c r="F4546" s="3" t="n">
        <v>60000</v>
      </c>
      <c r="G4546" s="3" t="n">
        <v>-2201000</v>
      </c>
    </row>
    <row r="4547">
      <c r="A4547" s="3" t="inlineStr">
        <is>
          <t>Cape Projects Construction (Pty) Ltd</t>
        </is>
      </c>
      <c r="B4547" s="4" t="n">
        <v>45230</v>
      </c>
      <c r="C4547" s="3" t="inlineStr">
        <is>
          <t>Assets</t>
        </is>
      </c>
      <c r="D4547" s="3" t="inlineStr">
        <is>
          <t>5400/500</t>
        </is>
      </c>
      <c r="E4547" s="3" t="inlineStr">
        <is>
          <t>Loan - Blou Mamba Trust</t>
        </is>
      </c>
      <c r="F4547" s="3" t="n">
        <v>0</v>
      </c>
      <c r="G4547" s="3" t="n">
        <v>4342.5</v>
      </c>
    </row>
    <row r="4548">
      <c r="A4548" s="3" t="inlineStr">
        <is>
          <t>Cape Projects Construction (Pty) Ltd</t>
        </is>
      </c>
      <c r="B4548" s="4" t="n">
        <v>45230</v>
      </c>
      <c r="C4548" s="3" t="inlineStr">
        <is>
          <t>Assets</t>
        </is>
      </c>
      <c r="D4548" s="3" t="inlineStr">
        <is>
          <t>5400/550</t>
        </is>
      </c>
      <c r="E4548" s="3" t="inlineStr">
        <is>
          <t>Loan - Trademark</t>
        </is>
      </c>
      <c r="F4548" s="3" t="n">
        <v>600</v>
      </c>
      <c r="G4548" s="3" t="n">
        <v>37400</v>
      </c>
    </row>
    <row r="4549">
      <c r="A4549" s="3" t="inlineStr">
        <is>
          <t>Cape Projects Construction (Pty) Ltd</t>
        </is>
      </c>
      <c r="B4549" s="4" t="n">
        <v>45230</v>
      </c>
      <c r="C4549" s="3" t="inlineStr">
        <is>
          <t>Assets</t>
        </is>
      </c>
      <c r="D4549" s="3" t="inlineStr">
        <is>
          <t>5400/600</t>
        </is>
      </c>
      <c r="E4549" s="3" t="inlineStr">
        <is>
          <t>Loan - Heron Projects</t>
        </is>
      </c>
      <c r="F4549" s="3" t="n">
        <v>-4650000</v>
      </c>
      <c r="G4549" s="3" t="n">
        <v>-18564940.42</v>
      </c>
    </row>
    <row r="4550">
      <c r="A4550" s="3" t="inlineStr">
        <is>
          <t>Cape Projects Construction (Pty) Ltd</t>
        </is>
      </c>
      <c r="B4550" s="4" t="n">
        <v>45230</v>
      </c>
      <c r="C4550" s="3" t="inlineStr">
        <is>
          <t>Assets</t>
        </is>
      </c>
      <c r="D4550" s="3" t="inlineStr">
        <is>
          <t>5400/650</t>
        </is>
      </c>
      <c r="E4550" s="3" t="inlineStr">
        <is>
          <t>Loan - Noble Shield</t>
        </is>
      </c>
      <c r="F4550" s="3" t="n">
        <v>600</v>
      </c>
      <c r="G4550" s="3" t="n">
        <v>-105189.44</v>
      </c>
    </row>
    <row r="4551">
      <c r="A4551" s="3" t="inlineStr">
        <is>
          <t>Cape Projects Construction (Pty) Ltd</t>
        </is>
      </c>
      <c r="B4551" s="4" t="n">
        <v>45230</v>
      </c>
      <c r="C4551" s="3" t="inlineStr">
        <is>
          <t>Assets</t>
        </is>
      </c>
      <c r="D4551" s="3" t="inlineStr">
        <is>
          <t>5400/750</t>
        </is>
      </c>
      <c r="E4551" s="3" t="inlineStr">
        <is>
          <t>Loan - Endulini</t>
        </is>
      </c>
      <c r="F4551" s="3" t="n">
        <v>30000</v>
      </c>
      <c r="G4551" s="3" t="n">
        <v>25402187.4</v>
      </c>
    </row>
    <row r="4552">
      <c r="A4552" s="3" t="inlineStr">
        <is>
          <t>Cape Projects Construction (Pty) Ltd</t>
        </is>
      </c>
      <c r="B4552" s="4" t="n">
        <v>45230</v>
      </c>
      <c r="C4552" s="3" t="inlineStr">
        <is>
          <t>Assets</t>
        </is>
      </c>
      <c r="D4552" s="3" t="inlineStr">
        <is>
          <t>5400/800</t>
        </is>
      </c>
      <c r="E4552" s="3" t="inlineStr">
        <is>
          <t>Loan - Opportunity Management Holdings</t>
        </is>
      </c>
      <c r="F4552" s="3" t="n">
        <v>100000</v>
      </c>
      <c r="G4552" s="3" t="n">
        <v>77399</v>
      </c>
    </row>
    <row r="4553">
      <c r="A4553" s="3" t="inlineStr">
        <is>
          <t>Heron View (Pty) Ltd</t>
        </is>
      </c>
      <c r="B4553" s="4" t="n">
        <v>45230</v>
      </c>
      <c r="C4553" s="3" t="inlineStr">
        <is>
          <t>Liabilities</t>
        </is>
      </c>
      <c r="D4553" s="3" t="inlineStr">
        <is>
          <t>5500/001</t>
        </is>
      </c>
      <c r="E4553" s="3" t="inlineStr">
        <is>
          <t>Loan - Heron Fields</t>
        </is>
      </c>
      <c r="F4553" s="3" t="n">
        <v>-2946586.39</v>
      </c>
      <c r="G4553" s="3" t="n">
        <v>-43432620.8</v>
      </c>
    </row>
    <row r="4554">
      <c r="A4554" s="3" t="inlineStr">
        <is>
          <t>Heron Fields (Pty) Ltd</t>
        </is>
      </c>
      <c r="B4554" s="4" t="n">
        <v>45230</v>
      </c>
      <c r="C4554" s="3" t="inlineStr">
        <is>
          <t>Liabilities</t>
        </is>
      </c>
      <c r="D4554" s="3" t="inlineStr">
        <is>
          <t>5500/020</t>
        </is>
      </c>
      <c r="E4554" s="3" t="inlineStr">
        <is>
          <t>Loan - Cape Projects Construction</t>
        </is>
      </c>
      <c r="F4554" s="3" t="n">
        <v>4650000</v>
      </c>
      <c r="G4554" s="3" t="n">
        <v>18564940.42</v>
      </c>
    </row>
    <row r="4555">
      <c r="A4555" s="3" t="inlineStr">
        <is>
          <t>Heron Fields (Pty) Ltd</t>
        </is>
      </c>
      <c r="B4555" s="4" t="n">
        <v>45230</v>
      </c>
      <c r="C4555" s="3" t="inlineStr">
        <is>
          <t>Liabilities</t>
        </is>
      </c>
      <c r="D4555" s="3" t="inlineStr">
        <is>
          <t>5500/030</t>
        </is>
      </c>
      <c r="E4555" s="3" t="inlineStr">
        <is>
          <t>Loan - Opportunity Global Investments</t>
        </is>
      </c>
      <c r="F4555" s="3" t="n">
        <v>270000</v>
      </c>
      <c r="G4555" s="3" t="n">
        <v>4044275</v>
      </c>
    </row>
    <row r="4556">
      <c r="A4556" s="3" t="inlineStr">
        <is>
          <t>Heron Fields (Pty) Ltd</t>
        </is>
      </c>
      <c r="B4556" s="4" t="n">
        <v>45230</v>
      </c>
      <c r="C4556" s="3" t="inlineStr">
        <is>
          <t>Liabilities</t>
        </is>
      </c>
      <c r="D4556" s="3" t="inlineStr">
        <is>
          <t>5500/050</t>
        </is>
      </c>
      <c r="E4556" s="3" t="inlineStr">
        <is>
          <t>Loan - Heron View</t>
        </is>
      </c>
      <c r="F4556" s="3" t="n">
        <v>2946586.39</v>
      </c>
      <c r="G4556" s="3" t="n">
        <v>43432620.8</v>
      </c>
    </row>
    <row r="4557">
      <c r="A4557" s="3" t="inlineStr">
        <is>
          <t>Heron Fields (Pty) Ltd</t>
        </is>
      </c>
      <c r="B4557" s="4" t="n">
        <v>45230</v>
      </c>
      <c r="C4557" s="3" t="inlineStr">
        <is>
          <t>Liabilities</t>
        </is>
      </c>
      <c r="D4557" s="3" t="inlineStr">
        <is>
          <t>5500/060</t>
        </is>
      </c>
      <c r="E4557" s="3" t="inlineStr">
        <is>
          <t>Loan - Opportunity Management Holdings</t>
        </is>
      </c>
      <c r="F4557" s="3" t="n">
        <v>0</v>
      </c>
      <c r="G4557" s="3" t="n">
        <v>42100</v>
      </c>
    </row>
    <row r="4558">
      <c r="A4558" s="3" t="inlineStr">
        <is>
          <t>Heron Fields (Pty) Ltd</t>
        </is>
      </c>
      <c r="B4558" s="4" t="n">
        <v>45230</v>
      </c>
      <c r="C4558" s="3" t="inlineStr">
        <is>
          <t>Liabilities</t>
        </is>
      </c>
      <c r="D4558" s="3" t="inlineStr">
        <is>
          <t>5500/070</t>
        </is>
      </c>
      <c r="E4558" s="3" t="inlineStr">
        <is>
          <t>Loan - Noble Shield</t>
        </is>
      </c>
      <c r="F4558" s="3" t="n">
        <v>0</v>
      </c>
      <c r="G4558" s="3" t="n">
        <v>-20370.22</v>
      </c>
    </row>
    <row r="4559">
      <c r="A4559" s="3" t="inlineStr">
        <is>
          <t>Cape Projects Construction (Pty) Ltd</t>
        </is>
      </c>
      <c r="B4559" s="4" t="n">
        <v>45230</v>
      </c>
      <c r="C4559" s="3" t="inlineStr">
        <is>
          <t>Assets</t>
        </is>
      </c>
      <c r="D4559" s="3" t="inlineStr">
        <is>
          <t>6200/010</t>
        </is>
      </c>
      <c r="E4559" s="3" t="inlineStr">
        <is>
          <t>Motor Vehicles - @ Cost</t>
        </is>
      </c>
      <c r="F4559" s="3" t="n">
        <v>0</v>
      </c>
      <c r="G4559" s="3" t="n">
        <v>216064.1</v>
      </c>
    </row>
    <row r="4560">
      <c r="A4560" s="3" t="inlineStr">
        <is>
          <t>Cape Projects Construction (Pty) Ltd</t>
        </is>
      </c>
      <c r="B4560" s="4" t="n">
        <v>45230</v>
      </c>
      <c r="C4560" s="3" t="inlineStr">
        <is>
          <t>Assets</t>
        </is>
      </c>
      <c r="D4560" s="3" t="inlineStr">
        <is>
          <t>6200/020</t>
        </is>
      </c>
      <c r="E4560" s="3" t="inlineStr">
        <is>
          <t>Motor Vehicles - Accum Depre</t>
        </is>
      </c>
      <c r="F4560" s="3" t="n">
        <v>0</v>
      </c>
      <c r="G4560" s="3" t="n">
        <v>-216063.1</v>
      </c>
    </row>
    <row r="4561">
      <c r="A4561" s="3" t="inlineStr">
        <is>
          <t>Cape Projects Construction (Pty) Ltd</t>
        </is>
      </c>
      <c r="B4561" s="4" t="n">
        <v>45230</v>
      </c>
      <c r="C4561" s="3" t="inlineStr">
        <is>
          <t>Assets</t>
        </is>
      </c>
      <c r="D4561" s="3" t="inlineStr">
        <is>
          <t>6250/010</t>
        </is>
      </c>
      <c r="E4561" s="3" t="inlineStr">
        <is>
          <t>Computer Equipment - @ Cost</t>
        </is>
      </c>
      <c r="F4561" s="3" t="n">
        <v>29688.38</v>
      </c>
      <c r="G4561" s="3" t="n">
        <v>178152.48</v>
      </c>
    </row>
    <row r="4562">
      <c r="A4562" s="3" t="inlineStr">
        <is>
          <t>Cape Projects Construction (Pty) Ltd</t>
        </is>
      </c>
      <c r="B4562" s="4" t="n">
        <v>45230</v>
      </c>
      <c r="C4562" s="3" t="inlineStr">
        <is>
          <t>Assets</t>
        </is>
      </c>
      <c r="D4562" s="3" t="inlineStr">
        <is>
          <t>6250/020</t>
        </is>
      </c>
      <c r="E4562" s="3" t="inlineStr">
        <is>
          <t>Computer Equipment - Accum Depre</t>
        </is>
      </c>
      <c r="F4562" s="3" t="n">
        <v>-4562.86</v>
      </c>
      <c r="G4562" s="3" t="n">
        <v>-71060.50999999999</v>
      </c>
    </row>
    <row r="4563">
      <c r="A4563" s="3" t="inlineStr">
        <is>
          <t>Cape Projects Construction (Pty) Ltd</t>
        </is>
      </c>
      <c r="B4563" s="4" t="n">
        <v>45230</v>
      </c>
      <c r="C4563" s="3" t="inlineStr">
        <is>
          <t>Assets</t>
        </is>
      </c>
      <c r="D4563" s="3" t="inlineStr">
        <is>
          <t>6350/010</t>
        </is>
      </c>
      <c r="E4563" s="3" t="inlineStr">
        <is>
          <t>Furniture _AND_ Fittings - @ Cost</t>
        </is>
      </c>
      <c r="F4563" s="3" t="n">
        <v>0</v>
      </c>
      <c r="G4563" s="3" t="n">
        <v>37955.3</v>
      </c>
    </row>
    <row r="4564">
      <c r="A4564" s="3" t="inlineStr">
        <is>
          <t>Cape Projects Construction (Pty) Ltd</t>
        </is>
      </c>
      <c r="B4564" s="4" t="n">
        <v>45230</v>
      </c>
      <c r="C4564" s="3" t="inlineStr">
        <is>
          <t>Assets</t>
        </is>
      </c>
      <c r="D4564" s="3" t="inlineStr">
        <is>
          <t>6350/020</t>
        </is>
      </c>
      <c r="E4564" s="3" t="inlineStr">
        <is>
          <t>Furniture _AND_ Fittings - Accum Depre</t>
        </is>
      </c>
      <c r="F4564" s="3" t="n">
        <v>-547.6799999999999</v>
      </c>
      <c r="G4564" s="3" t="n">
        <v>-10275.97</v>
      </c>
    </row>
    <row r="4565">
      <c r="A4565" s="3" t="inlineStr">
        <is>
          <t>Cape Projects Construction (Pty) Ltd</t>
        </is>
      </c>
      <c r="B4565" s="4" t="n">
        <v>45230</v>
      </c>
      <c r="C4565" s="3" t="inlineStr">
        <is>
          <t>Assets</t>
        </is>
      </c>
      <c r="D4565" s="3" t="inlineStr">
        <is>
          <t>6600/010</t>
        </is>
      </c>
      <c r="E4565" s="3" t="inlineStr">
        <is>
          <t>Generator Fixed Asset - @ Cost</t>
        </is>
      </c>
      <c r="F4565" s="3" t="n">
        <v>0</v>
      </c>
      <c r="G4565" s="3" t="n">
        <v>71322</v>
      </c>
    </row>
    <row r="4566">
      <c r="A4566" s="3" t="inlineStr">
        <is>
          <t>Cape Projects Construction (Pty) Ltd</t>
        </is>
      </c>
      <c r="B4566" s="4" t="n">
        <v>45230</v>
      </c>
      <c r="C4566" s="3" t="inlineStr">
        <is>
          <t>Assets</t>
        </is>
      </c>
      <c r="D4566" s="3" t="inlineStr">
        <is>
          <t>6600/020</t>
        </is>
      </c>
      <c r="E4566" s="3" t="inlineStr">
        <is>
          <t>Generator Fixed Asset - Accum Depre</t>
        </is>
      </c>
      <c r="F4566" s="3" t="n">
        <v>-1188.71</v>
      </c>
      <c r="G4566" s="3" t="n">
        <v>-10644.43</v>
      </c>
    </row>
    <row r="4567">
      <c r="A4567" s="3" t="inlineStr">
        <is>
          <t>Heron Fields (Pty) Ltd</t>
        </is>
      </c>
      <c r="B4567" s="4" t="n">
        <v>45230</v>
      </c>
      <c r="C4567" s="3" t="inlineStr">
        <is>
          <t>Assets</t>
        </is>
      </c>
      <c r="D4567" s="3" t="inlineStr">
        <is>
          <t>7610/395</t>
        </is>
      </c>
      <c r="E4567" s="3" t="inlineStr">
        <is>
          <t>HF CIP NHBRC</t>
        </is>
      </c>
      <c r="F4567" s="3" t="n">
        <v>0</v>
      </c>
      <c r="G4567" s="3" t="n">
        <v>874505.75</v>
      </c>
    </row>
    <row r="4568">
      <c r="A4568" s="3" t="inlineStr">
        <is>
          <t>Heron View (Pty) Ltd</t>
        </is>
      </c>
      <c r="B4568" s="4" t="n">
        <v>45230</v>
      </c>
      <c r="C4568" s="3" t="inlineStr">
        <is>
          <t>Assets</t>
        </is>
      </c>
      <c r="D4568" s="3" t="inlineStr">
        <is>
          <t>7610/395</t>
        </is>
      </c>
      <c r="E4568" s="3" t="inlineStr">
        <is>
          <t>Heron CIP NHBRC</t>
        </is>
      </c>
      <c r="F4568" s="3" t="n">
        <v>253288</v>
      </c>
      <c r="G4568" s="3" t="n">
        <v>2138350.86</v>
      </c>
    </row>
    <row r="4569">
      <c r="A4569" s="3" t="inlineStr">
        <is>
          <t>Heron Fields (Pty) Ltd</t>
        </is>
      </c>
      <c r="B4569" s="4" t="n">
        <v>45230</v>
      </c>
      <c r="C4569" s="3" t="inlineStr">
        <is>
          <t>Assets</t>
        </is>
      </c>
      <c r="D4569" s="3" t="inlineStr">
        <is>
          <t>7620/100</t>
        </is>
      </c>
      <c r="E4569" s="3" t="inlineStr">
        <is>
          <t>Heron View Land</t>
        </is>
      </c>
      <c r="F4569" s="3" t="n">
        <v>0</v>
      </c>
      <c r="G4569" s="3" t="n">
        <v>26200000</v>
      </c>
    </row>
    <row r="4570">
      <c r="A4570" s="3" t="inlineStr">
        <is>
          <t>Heron Fields (Pty) Ltd</t>
        </is>
      </c>
      <c r="B4570" s="4" t="n">
        <v>45230</v>
      </c>
      <c r="C4570" s="3" t="inlineStr">
        <is>
          <t>Assets</t>
        </is>
      </c>
      <c r="D4570" s="3" t="inlineStr">
        <is>
          <t>7620/101</t>
        </is>
      </c>
      <c r="E4570" s="3" t="inlineStr">
        <is>
          <t>HF CIP Bond Registration Fee</t>
        </is>
      </c>
      <c r="F4570" s="3" t="n">
        <v>0</v>
      </c>
      <c r="G4570" s="3" t="n">
        <v>68427</v>
      </c>
    </row>
    <row r="4571">
      <c r="A4571" s="3" t="inlineStr">
        <is>
          <t>Heron Fields (Pty) Ltd</t>
        </is>
      </c>
      <c r="B4571" s="4" t="n">
        <v>45230</v>
      </c>
      <c r="C4571" s="3" t="inlineStr">
        <is>
          <t>Assets</t>
        </is>
      </c>
      <c r="D4571" s="3" t="inlineStr">
        <is>
          <t>7620/102</t>
        </is>
      </c>
      <c r="E4571" s="3" t="inlineStr">
        <is>
          <t>HF CIP Transfer Fee</t>
        </is>
      </c>
      <c r="F4571" s="3" t="n">
        <v>0</v>
      </c>
      <c r="G4571" s="3" t="n">
        <v>103812</v>
      </c>
    </row>
    <row r="4572">
      <c r="A4572" s="3" t="inlineStr">
        <is>
          <t>Heron Fields (Pty) Ltd</t>
        </is>
      </c>
      <c r="B4572" s="4" t="n">
        <v>45230</v>
      </c>
      <c r="C4572" s="3" t="inlineStr">
        <is>
          <t>Assets</t>
        </is>
      </c>
      <c r="D4572" s="3" t="inlineStr">
        <is>
          <t>7620/220</t>
        </is>
      </c>
      <c r="E4572" s="3" t="inlineStr">
        <is>
          <t>HF CIP Architectural Designs</t>
        </is>
      </c>
      <c r="F4572" s="3" t="n">
        <v>0</v>
      </c>
      <c r="G4572" s="3" t="n">
        <v>314087</v>
      </c>
    </row>
    <row r="4573">
      <c r="A4573" s="3" t="inlineStr">
        <is>
          <t>Heron View (Pty) Ltd</t>
        </is>
      </c>
      <c r="B4573" s="4" t="n">
        <v>45230</v>
      </c>
      <c r="C4573" s="3" t="inlineStr">
        <is>
          <t>Assets</t>
        </is>
      </c>
      <c r="D4573" s="3" t="inlineStr">
        <is>
          <t>7620/220</t>
        </is>
      </c>
      <c r="E4573" s="3" t="inlineStr">
        <is>
          <t>Heron View CIP Architectural Designs</t>
        </is>
      </c>
      <c r="F4573" s="3" t="n">
        <v>7600</v>
      </c>
      <c r="G4573" s="3" t="n">
        <v>765978.5</v>
      </c>
    </row>
    <row r="4574">
      <c r="A4574" s="3" t="inlineStr">
        <is>
          <t>Heron Fields (Pty) Ltd</t>
        </is>
      </c>
      <c r="B4574" s="4" t="n">
        <v>45230</v>
      </c>
      <c r="C4574" s="3" t="inlineStr">
        <is>
          <t>Assets</t>
        </is>
      </c>
      <c r="D4574" s="3" t="inlineStr">
        <is>
          <t>7620/230</t>
        </is>
      </c>
      <c r="E4574" s="3" t="inlineStr">
        <is>
          <t>HF CIP Construction Management</t>
        </is>
      </c>
      <c r="F4574" s="3" t="n">
        <v>0</v>
      </c>
      <c r="G4574" s="3" t="n">
        <v>139500</v>
      </c>
    </row>
    <row r="4575">
      <c r="A4575" s="3" t="inlineStr">
        <is>
          <t>Heron Fields (Pty) Ltd</t>
        </is>
      </c>
      <c r="B4575" s="4" t="n">
        <v>45230</v>
      </c>
      <c r="C4575" s="3" t="inlineStr">
        <is>
          <t>Assets</t>
        </is>
      </c>
      <c r="D4575" s="3" t="inlineStr">
        <is>
          <t>7620/240</t>
        </is>
      </c>
      <c r="E4575" s="3" t="inlineStr">
        <is>
          <t>HF CIP Civil Engineering</t>
        </is>
      </c>
      <c r="F4575" s="3" t="n">
        <v>0</v>
      </c>
      <c r="G4575" s="3" t="n">
        <v>8557641.800000001</v>
      </c>
    </row>
    <row r="4576">
      <c r="A4576" s="3" t="inlineStr">
        <is>
          <t>Heron Fields (Pty) Ltd</t>
        </is>
      </c>
      <c r="B4576" s="4" t="n">
        <v>45230</v>
      </c>
      <c r="C4576" s="3" t="inlineStr">
        <is>
          <t>Assets</t>
        </is>
      </c>
      <c r="D4576" s="3" t="inlineStr">
        <is>
          <t>7620/245</t>
        </is>
      </c>
      <c r="E4576" s="3" t="inlineStr">
        <is>
          <t>HF CIP Development fee</t>
        </is>
      </c>
      <c r="F4576" s="3" t="n">
        <v>0</v>
      </c>
      <c r="G4576" s="3" t="n">
        <v>13807.78</v>
      </c>
    </row>
    <row r="4577">
      <c r="A4577" s="3" t="inlineStr">
        <is>
          <t>Heron Fields (Pty) Ltd</t>
        </is>
      </c>
      <c r="B4577" s="4" t="n">
        <v>45230</v>
      </c>
      <c r="C4577" s="3" t="inlineStr">
        <is>
          <t>Assets</t>
        </is>
      </c>
      <c r="D4577" s="3" t="inlineStr">
        <is>
          <t>7620/250</t>
        </is>
      </c>
      <c r="E4577" s="3" t="inlineStr">
        <is>
          <t>HF CIP Land Surveyor</t>
        </is>
      </c>
      <c r="F4577" s="3" t="n">
        <v>0</v>
      </c>
      <c r="G4577" s="3" t="n">
        <v>197060.09</v>
      </c>
    </row>
    <row r="4578">
      <c r="A4578" s="3" t="inlineStr">
        <is>
          <t>Heron View (Pty) Ltd</t>
        </is>
      </c>
      <c r="B4578" s="4" t="n">
        <v>45230</v>
      </c>
      <c r="C4578" s="3" t="inlineStr">
        <is>
          <t>Assets</t>
        </is>
      </c>
      <c r="D4578" s="3" t="inlineStr">
        <is>
          <t>7620/250</t>
        </is>
      </c>
      <c r="E4578" s="3" t="inlineStr">
        <is>
          <t>Heron View CIP Land Surveyor</t>
        </is>
      </c>
      <c r="F4578" s="3" t="n">
        <v>64138.83</v>
      </c>
      <c r="G4578" s="3" t="n">
        <v>250751.47</v>
      </c>
    </row>
    <row r="4579">
      <c r="A4579" s="3" t="inlineStr">
        <is>
          <t>Heron Fields (Pty) Ltd</t>
        </is>
      </c>
      <c r="B4579" s="4" t="n">
        <v>45230</v>
      </c>
      <c r="C4579" s="3" t="inlineStr">
        <is>
          <t>Assets</t>
        </is>
      </c>
      <c r="D4579" s="3" t="inlineStr">
        <is>
          <t>7620/255</t>
        </is>
      </c>
      <c r="E4579" s="3" t="inlineStr">
        <is>
          <t>HF CIP Landscaping</t>
        </is>
      </c>
      <c r="F4579" s="3" t="n">
        <v>0</v>
      </c>
      <c r="G4579" s="3" t="n">
        <v>7500</v>
      </c>
    </row>
    <row r="4580">
      <c r="A4580" s="3" t="inlineStr">
        <is>
          <t>Heron View (Pty) Ltd</t>
        </is>
      </c>
      <c r="B4580" s="4" t="n">
        <v>45230</v>
      </c>
      <c r="C4580" s="3" t="inlineStr">
        <is>
          <t>Assets</t>
        </is>
      </c>
      <c r="D4580" s="3" t="inlineStr">
        <is>
          <t>7620/255</t>
        </is>
      </c>
      <c r="E4580" s="3" t="inlineStr">
        <is>
          <t>Heron View CIP Landscaping</t>
        </is>
      </c>
      <c r="F4580" s="3" t="n">
        <v>0</v>
      </c>
      <c r="G4580" s="3" t="n">
        <v>114370.5</v>
      </c>
    </row>
    <row r="4581">
      <c r="A4581" s="3" t="inlineStr">
        <is>
          <t>Heron Fields (Pty) Ltd</t>
        </is>
      </c>
      <c r="B4581" s="4" t="n">
        <v>45230</v>
      </c>
      <c r="C4581" s="3" t="inlineStr">
        <is>
          <t>Assets</t>
        </is>
      </c>
      <c r="D4581" s="3" t="inlineStr">
        <is>
          <t>7620/260</t>
        </is>
      </c>
      <c r="E4581" s="3" t="inlineStr">
        <is>
          <t>HF CIP Mechanical Engineers</t>
        </is>
      </c>
      <c r="F4581" s="3" t="n">
        <v>0</v>
      </c>
      <c r="G4581" s="3" t="n">
        <v>146256.38</v>
      </c>
    </row>
    <row r="4582">
      <c r="A4582" s="3" t="inlineStr">
        <is>
          <t>Heron Fields (Pty) Ltd</t>
        </is>
      </c>
      <c r="B4582" s="4" t="n">
        <v>45230</v>
      </c>
      <c r="C4582" s="3" t="inlineStr">
        <is>
          <t>Assets</t>
        </is>
      </c>
      <c r="D4582" s="3" t="inlineStr">
        <is>
          <t>7620/265</t>
        </is>
      </c>
      <c r="E4582" s="3" t="inlineStr">
        <is>
          <t>HF CIP Health &amp; Safety</t>
        </is>
      </c>
      <c r="F4582" s="3" t="n">
        <v>0</v>
      </c>
      <c r="G4582" s="3" t="n">
        <v>20600</v>
      </c>
    </row>
    <row r="4583">
      <c r="A4583" s="3" t="inlineStr">
        <is>
          <t>Heron Fields (Pty) Ltd</t>
        </is>
      </c>
      <c r="B4583" s="4" t="n">
        <v>45230</v>
      </c>
      <c r="C4583" s="3" t="inlineStr">
        <is>
          <t>Assets</t>
        </is>
      </c>
      <c r="D4583" s="3" t="inlineStr">
        <is>
          <t>7620/270</t>
        </is>
      </c>
      <c r="E4583" s="3" t="inlineStr">
        <is>
          <t>HF CIP Geotechnical</t>
        </is>
      </c>
      <c r="F4583" s="3" t="n">
        <v>0</v>
      </c>
      <c r="G4583" s="3" t="n">
        <v>15175</v>
      </c>
    </row>
    <row r="4584">
      <c r="A4584" s="3" t="inlineStr">
        <is>
          <t>Heron Fields (Pty) Ltd</t>
        </is>
      </c>
      <c r="B4584" s="4" t="n">
        <v>45230</v>
      </c>
      <c r="C4584" s="3" t="inlineStr">
        <is>
          <t>Assets</t>
        </is>
      </c>
      <c r="D4584" s="3" t="inlineStr">
        <is>
          <t>7620/275</t>
        </is>
      </c>
      <c r="E4584" s="3" t="inlineStr">
        <is>
          <t>HF CIP Retaining Wall</t>
        </is>
      </c>
      <c r="F4584" s="3" t="n">
        <v>0</v>
      </c>
      <c r="G4584" s="3" t="n">
        <v>570856.08</v>
      </c>
    </row>
    <row r="4585">
      <c r="A4585" s="3" t="inlineStr">
        <is>
          <t>Heron Fields (Pty) Ltd</t>
        </is>
      </c>
      <c r="B4585" s="4" t="n">
        <v>45230</v>
      </c>
      <c r="C4585" s="3" t="inlineStr">
        <is>
          <t>Assets</t>
        </is>
      </c>
      <c r="D4585" s="3" t="inlineStr">
        <is>
          <t>7620/280</t>
        </is>
      </c>
      <c r="E4585" s="3" t="inlineStr">
        <is>
          <t>HF CIP Site Establishment</t>
        </is>
      </c>
      <c r="F4585" s="3" t="n">
        <v>0</v>
      </c>
      <c r="G4585" s="3" t="n">
        <v>47748851.51</v>
      </c>
    </row>
    <row r="4586">
      <c r="A4586" s="3" t="inlineStr">
        <is>
          <t>Heron View (Pty) Ltd</t>
        </is>
      </c>
      <c r="B4586" s="4" t="n">
        <v>45230</v>
      </c>
      <c r="C4586" s="3" t="inlineStr">
        <is>
          <t>Assets</t>
        </is>
      </c>
      <c r="D4586" s="3" t="inlineStr">
        <is>
          <t>7620/280</t>
        </is>
      </c>
      <c r="E4586" s="3" t="inlineStr">
        <is>
          <t>Heron View CIP Site Establishment</t>
        </is>
      </c>
      <c r="F4586" s="3" t="n">
        <v>6737049.57</v>
      </c>
      <c r="G4586" s="3" t="n">
        <v>19573696.07</v>
      </c>
    </row>
    <row r="4587">
      <c r="A4587" s="3" t="inlineStr">
        <is>
          <t>Heron Fields (Pty) Ltd</t>
        </is>
      </c>
      <c r="B4587" s="4" t="n">
        <v>45230</v>
      </c>
      <c r="C4587" s="3" t="inlineStr">
        <is>
          <t>Assets</t>
        </is>
      </c>
      <c r="D4587" s="3" t="inlineStr">
        <is>
          <t>7620/285</t>
        </is>
      </c>
      <c r="E4587" s="3" t="inlineStr">
        <is>
          <t>HF CIP Structuring Fee - Invest</t>
        </is>
      </c>
      <c r="F4587" s="3" t="n">
        <v>0</v>
      </c>
      <c r="G4587" s="3" t="n">
        <v>3850818.04</v>
      </c>
    </row>
    <row r="4588">
      <c r="A4588" s="3" t="inlineStr">
        <is>
          <t>Heron View (Pty) Ltd</t>
        </is>
      </c>
      <c r="B4588" s="4" t="n">
        <v>45230</v>
      </c>
      <c r="C4588" s="3" t="inlineStr">
        <is>
          <t>Assets</t>
        </is>
      </c>
      <c r="D4588" s="3" t="inlineStr">
        <is>
          <t>7620/285</t>
        </is>
      </c>
      <c r="E4588" s="3" t="inlineStr">
        <is>
          <t>Heron View CIP Structuring Fee - Invest</t>
        </is>
      </c>
      <c r="F4588" s="3" t="n">
        <v>0</v>
      </c>
      <c r="G4588" s="3" t="n">
        <v>1826086.96</v>
      </c>
    </row>
    <row r="4589">
      <c r="A4589" s="3" t="inlineStr">
        <is>
          <t>Heron Fields (Pty) Ltd</t>
        </is>
      </c>
      <c r="B4589" s="4" t="n">
        <v>45230</v>
      </c>
      <c r="C4589" s="3" t="inlineStr">
        <is>
          <t>Assets</t>
        </is>
      </c>
      <c r="D4589" s="3" t="inlineStr">
        <is>
          <t>7620/287</t>
        </is>
      </c>
      <c r="E4589" s="3" t="inlineStr">
        <is>
          <t>HF CIP Structuring Fee - Development</t>
        </is>
      </c>
      <c r="F4589" s="3" t="n">
        <v>0</v>
      </c>
      <c r="G4589" s="3" t="n">
        <v>782608.0699999999</v>
      </c>
    </row>
    <row r="4590">
      <c r="A4590" s="3" t="inlineStr">
        <is>
          <t>Heron View (Pty) Ltd</t>
        </is>
      </c>
      <c r="B4590" s="4" t="n">
        <v>45230</v>
      </c>
      <c r="C4590" s="3" t="inlineStr">
        <is>
          <t>Assets</t>
        </is>
      </c>
      <c r="D4590" s="3" t="inlineStr">
        <is>
          <t>7620/287</t>
        </is>
      </c>
      <c r="E4590" s="3" t="inlineStr">
        <is>
          <t>Heron View CIP Structuring Fee - Development</t>
        </is>
      </c>
      <c r="F4590" s="3" t="n">
        <v>0</v>
      </c>
      <c r="G4590" s="3" t="n">
        <v>217391.3</v>
      </c>
    </row>
    <row r="4591">
      <c r="A4591" s="3" t="inlineStr">
        <is>
          <t>Heron Fields (Pty) Ltd</t>
        </is>
      </c>
      <c r="B4591" s="4" t="n">
        <v>45230</v>
      </c>
      <c r="C4591" s="3" t="inlineStr">
        <is>
          <t>Assets</t>
        </is>
      </c>
      <c r="D4591" s="3" t="inlineStr">
        <is>
          <t>7620/290</t>
        </is>
      </c>
      <c r="E4591" s="3" t="inlineStr">
        <is>
          <t>HF CIP Town Planning</t>
        </is>
      </c>
      <c r="F4591" s="3" t="n">
        <v>0</v>
      </c>
      <c r="G4591" s="3" t="n">
        <v>166550</v>
      </c>
    </row>
    <row r="4592">
      <c r="A4592" s="3" t="inlineStr">
        <is>
          <t>Heron View (Pty) Ltd</t>
        </is>
      </c>
      <c r="B4592" s="4" t="n">
        <v>45230</v>
      </c>
      <c r="C4592" s="3" t="inlineStr">
        <is>
          <t>Assets</t>
        </is>
      </c>
      <c r="D4592" s="3" t="inlineStr">
        <is>
          <t>7620/290</t>
        </is>
      </c>
      <c r="E4592" s="3" t="inlineStr">
        <is>
          <t>Heron View CIP Town Planning</t>
        </is>
      </c>
      <c r="F4592" s="3" t="n">
        <v>0</v>
      </c>
      <c r="G4592" s="3" t="n">
        <v>2834.7</v>
      </c>
    </row>
    <row r="4593">
      <c r="A4593" s="3" t="inlineStr">
        <is>
          <t>Heron Fields (Pty) Ltd</t>
        </is>
      </c>
      <c r="B4593" s="4" t="n">
        <v>45230</v>
      </c>
      <c r="C4593" s="3" t="inlineStr">
        <is>
          <t>Assets</t>
        </is>
      </c>
      <c r="D4593" s="3" t="inlineStr">
        <is>
          <t>7620/295</t>
        </is>
      </c>
      <c r="E4593" s="3" t="inlineStr">
        <is>
          <t>HF CIP Traffic Planning</t>
        </is>
      </c>
      <c r="F4593" s="3" t="n">
        <v>0</v>
      </c>
      <c r="G4593" s="3" t="n">
        <v>45000</v>
      </c>
    </row>
    <row r="4594">
      <c r="A4594" s="3" t="inlineStr">
        <is>
          <t>Heron Fields (Pty) Ltd</t>
        </is>
      </c>
      <c r="B4594" s="4" t="n">
        <v>45230</v>
      </c>
      <c r="C4594" s="3" t="inlineStr">
        <is>
          <t>Assets</t>
        </is>
      </c>
      <c r="D4594" s="3" t="inlineStr">
        <is>
          <t>7620/600</t>
        </is>
      </c>
      <c r="E4594" s="3" t="inlineStr">
        <is>
          <t>HF CIP Eco work</t>
        </is>
      </c>
      <c r="F4594" s="3" t="n">
        <v>6000</v>
      </c>
      <c r="G4594" s="3" t="n">
        <v>179000</v>
      </c>
    </row>
    <row r="4595">
      <c r="A4595" s="3" t="inlineStr">
        <is>
          <t>Heron View (Pty) Ltd</t>
        </is>
      </c>
      <c r="B4595" s="4" t="n">
        <v>45230</v>
      </c>
      <c r="C4595" s="3" t="inlineStr">
        <is>
          <t>Assets</t>
        </is>
      </c>
      <c r="D4595" s="3" t="inlineStr">
        <is>
          <t>7620/605</t>
        </is>
      </c>
      <c r="E4595" s="3" t="inlineStr">
        <is>
          <t>Heron View CIP Structural Engineers</t>
        </is>
      </c>
      <c r="F4595" s="3" t="n">
        <v>118925</v>
      </c>
      <c r="G4595" s="3" t="n">
        <v>649377.14</v>
      </c>
    </row>
    <row r="4596">
      <c r="A4596" s="3" t="inlineStr">
        <is>
          <t>Heron View (Pty) Ltd</t>
        </is>
      </c>
      <c r="B4596" s="4" t="n">
        <v>45230</v>
      </c>
      <c r="C4596" s="3" t="inlineStr">
        <is>
          <t>Assets</t>
        </is>
      </c>
      <c r="D4596" s="3" t="inlineStr">
        <is>
          <t>7620/610</t>
        </is>
      </c>
      <c r="E4596" s="3" t="inlineStr">
        <is>
          <t>HV CIP Retaining wall</t>
        </is>
      </c>
      <c r="F4596" s="3" t="n">
        <v>0</v>
      </c>
      <c r="G4596" s="3" t="n">
        <v>66190.11</v>
      </c>
    </row>
    <row r="4597">
      <c r="A4597" s="3" t="inlineStr">
        <is>
          <t>Heron Fields (Pty) Ltd</t>
        </is>
      </c>
      <c r="B4597" s="4" t="n">
        <v>45230</v>
      </c>
      <c r="C4597" s="3" t="inlineStr">
        <is>
          <t>Assets</t>
        </is>
      </c>
      <c r="D4597" s="3" t="inlineStr">
        <is>
          <t>7620/630</t>
        </is>
      </c>
      <c r="E4597" s="3" t="inlineStr">
        <is>
          <t>HF CIP CoCT development contribution</t>
        </is>
      </c>
      <c r="F4597" s="3" t="n">
        <v>0</v>
      </c>
      <c r="G4597" s="3" t="n">
        <v>3252759.95</v>
      </c>
    </row>
    <row r="4598">
      <c r="A4598" s="3" t="inlineStr">
        <is>
          <t>Heron View (Pty) Ltd</t>
        </is>
      </c>
      <c r="B4598" s="4" t="n">
        <v>45230</v>
      </c>
      <c r="C4598" s="3" t="inlineStr">
        <is>
          <t>Assets</t>
        </is>
      </c>
      <c r="D4598" s="3" t="inlineStr">
        <is>
          <t>7620/630</t>
        </is>
      </c>
      <c r="E4598" s="3" t="inlineStr">
        <is>
          <t>Heron CIP - CoCT development contribution</t>
        </is>
      </c>
      <c r="F4598" s="3" t="n">
        <v>60401.74</v>
      </c>
      <c r="G4598" s="3" t="n">
        <v>1672700.84</v>
      </c>
    </row>
    <row r="4599">
      <c r="A4599" s="3" t="inlineStr">
        <is>
          <t>Heron Fields (Pty) Ltd</t>
        </is>
      </c>
      <c r="B4599" s="4" t="n">
        <v>45230</v>
      </c>
      <c r="C4599" s="3" t="inlineStr">
        <is>
          <t>Assets</t>
        </is>
      </c>
      <c r="D4599" s="3" t="inlineStr">
        <is>
          <t>7620/640</t>
        </is>
      </c>
      <c r="E4599" s="3" t="inlineStr">
        <is>
          <t>HF CIP Project costs</t>
        </is>
      </c>
      <c r="F4599" s="3" t="n">
        <v>0</v>
      </c>
      <c r="G4599" s="3" t="n">
        <v>622274.51</v>
      </c>
    </row>
    <row r="4600">
      <c r="A4600" s="3" t="inlineStr">
        <is>
          <t>Heron View (Pty) Ltd</t>
        </is>
      </c>
      <c r="B4600" s="4" t="n">
        <v>45230</v>
      </c>
      <c r="C4600" s="3" t="inlineStr">
        <is>
          <t>Assets</t>
        </is>
      </c>
      <c r="D4600" s="3" t="inlineStr">
        <is>
          <t>7620/650</t>
        </is>
      </c>
      <c r="E4600" s="3" t="inlineStr">
        <is>
          <t>CIP - Construction Management</t>
        </is>
      </c>
      <c r="F4600" s="3" t="n">
        <v>0</v>
      </c>
      <c r="G4600" s="3" t="n">
        <v>76530</v>
      </c>
    </row>
    <row r="4601">
      <c r="A4601" s="3" t="inlineStr">
        <is>
          <t>Heron Fields (Pty) Ltd</t>
        </is>
      </c>
      <c r="B4601" s="4" t="n">
        <v>45230</v>
      </c>
      <c r="C4601" s="3" t="inlineStr">
        <is>
          <t>Assets</t>
        </is>
      </c>
      <c r="D4601" s="3" t="inlineStr">
        <is>
          <t>7620/650</t>
        </is>
      </c>
      <c r="E4601" s="3" t="inlineStr">
        <is>
          <t>HF CIP Electrical</t>
        </is>
      </c>
      <c r="F4601" s="3" t="n">
        <v>0</v>
      </c>
      <c r="G4601" s="3" t="n">
        <v>985049.6800000001</v>
      </c>
    </row>
    <row r="4602">
      <c r="A4602" s="3" t="inlineStr">
        <is>
          <t>Heron View (Pty) Ltd</t>
        </is>
      </c>
      <c r="B4602" s="4" t="n">
        <v>45230</v>
      </c>
      <c r="C4602" s="3" t="inlineStr">
        <is>
          <t>Assets</t>
        </is>
      </c>
      <c r="D4602" s="3" t="inlineStr">
        <is>
          <t>7620/660</t>
        </is>
      </c>
      <c r="E4602" s="3" t="inlineStr">
        <is>
          <t>HV CIP Health &amp; Safety</t>
        </is>
      </c>
      <c r="F4602" s="3" t="n">
        <v>1400</v>
      </c>
      <c r="G4602" s="3" t="n">
        <v>25800</v>
      </c>
    </row>
    <row r="4603">
      <c r="A4603" s="3" t="inlineStr">
        <is>
          <t>Heron View (Pty) Ltd</t>
        </is>
      </c>
      <c r="B4603" s="4" t="n">
        <v>45230</v>
      </c>
      <c r="C4603" s="3" t="inlineStr">
        <is>
          <t>Assets</t>
        </is>
      </c>
      <c r="D4603" s="3" t="inlineStr">
        <is>
          <t>7620/670</t>
        </is>
      </c>
      <c r="E4603" s="3" t="inlineStr">
        <is>
          <t>HV CIP - Project costs CPSD</t>
        </is>
      </c>
      <c r="F4603" s="3" t="n">
        <v>334782.61</v>
      </c>
      <c r="G4603" s="3" t="n">
        <v>1354347.82</v>
      </c>
    </row>
    <row r="4604">
      <c r="A4604" s="3" t="inlineStr">
        <is>
          <t>Heron View (Pty) Ltd</t>
        </is>
      </c>
      <c r="B4604" s="4" t="n">
        <v>45230</v>
      </c>
      <c r="C4604" s="3" t="inlineStr">
        <is>
          <t>Assets</t>
        </is>
      </c>
      <c r="D4604" s="3" t="inlineStr">
        <is>
          <t>7620/680</t>
        </is>
      </c>
      <c r="E4604" s="3" t="inlineStr">
        <is>
          <t>HV CIP Elextrical</t>
        </is>
      </c>
      <c r="F4604" s="3" t="n">
        <v>0</v>
      </c>
      <c r="G4604" s="3" t="n">
        <v>1540502.11</v>
      </c>
    </row>
    <row r="4605">
      <c r="A4605" s="3" t="inlineStr">
        <is>
          <t>Heron View (Pty) Ltd</t>
        </is>
      </c>
      <c r="B4605" s="4" t="n">
        <v>45230</v>
      </c>
      <c r="C4605" s="3" t="inlineStr">
        <is>
          <t>Assets</t>
        </is>
      </c>
      <c r="D4605" s="3" t="inlineStr">
        <is>
          <t>7620/690</t>
        </is>
      </c>
      <c r="E4605" s="3" t="inlineStr">
        <is>
          <t>HV CIP Site Establishment</t>
        </is>
      </c>
      <c r="F4605" s="3" t="n">
        <v>0</v>
      </c>
      <c r="G4605" s="3" t="n">
        <v>20707183.05</v>
      </c>
    </row>
    <row r="4606">
      <c r="A4606" s="3" t="inlineStr">
        <is>
          <t>Heron Fields (Pty) Ltd</t>
        </is>
      </c>
      <c r="B4606" s="4" t="n">
        <v>45230</v>
      </c>
      <c r="C4606" s="3" t="inlineStr">
        <is>
          <t>Assets</t>
        </is>
      </c>
      <c r="D4606" s="3" t="inlineStr">
        <is>
          <t>7620/750</t>
        </is>
      </c>
      <c r="E4606" s="3" t="inlineStr">
        <is>
          <t>HF CIP Project costs CPSD</t>
        </is>
      </c>
      <c r="F4606" s="3" t="n">
        <v>0</v>
      </c>
      <c r="G4606" s="3" t="n">
        <v>2148883.15</v>
      </c>
    </row>
    <row r="4607">
      <c r="A4607" s="3" t="inlineStr">
        <is>
          <t>Heron Fields (Pty) Ltd</t>
        </is>
      </c>
      <c r="B4607" s="4" t="n">
        <v>45230</v>
      </c>
      <c r="C4607" s="3" t="inlineStr">
        <is>
          <t>Assets</t>
        </is>
      </c>
      <c r="D4607" s="3" t="inlineStr">
        <is>
          <t>7620/800</t>
        </is>
      </c>
      <c r="E4607" s="3" t="inlineStr">
        <is>
          <t>HF CIP GL Conradie</t>
        </is>
      </c>
      <c r="F4607" s="3" t="n">
        <v>0</v>
      </c>
      <c r="G4607" s="3" t="n">
        <v>1068455</v>
      </c>
    </row>
    <row r="4608">
      <c r="A4608" s="3" t="inlineStr">
        <is>
          <t>Heron View (Pty) Ltd</t>
        </is>
      </c>
      <c r="B4608" s="4" t="n">
        <v>45230</v>
      </c>
      <c r="C4608" s="3" t="inlineStr">
        <is>
          <t>Assets</t>
        </is>
      </c>
      <c r="D4608" s="3" t="inlineStr">
        <is>
          <t>7620/800</t>
        </is>
      </c>
      <c r="E4608" s="3" t="inlineStr">
        <is>
          <t>HV CIP GL Conradie</t>
        </is>
      </c>
      <c r="F4608" s="3" t="n">
        <v>0</v>
      </c>
      <c r="G4608" s="3" t="n">
        <v>2188325.96</v>
      </c>
    </row>
    <row r="4609">
      <c r="A4609" s="3" t="inlineStr">
        <is>
          <t>Heron Fields (Pty) Ltd</t>
        </is>
      </c>
      <c r="B4609" s="4" t="n">
        <v>45230</v>
      </c>
      <c r="C4609" s="3" t="inlineStr">
        <is>
          <t>Assets</t>
        </is>
      </c>
      <c r="D4609" s="3" t="inlineStr">
        <is>
          <t>7700/010</t>
        </is>
      </c>
      <c r="E4609" s="3" t="inlineStr">
        <is>
          <t>Construction 28 Feb 23 HF</t>
        </is>
      </c>
      <c r="F4609" s="3" t="n">
        <v>0</v>
      </c>
      <c r="G4609" s="3" t="n">
        <v>-24427668.44</v>
      </c>
    </row>
    <row r="4610">
      <c r="A4610" s="3" t="inlineStr">
        <is>
          <t>Cape Projects Construction (Pty) Ltd</t>
        </is>
      </c>
      <c r="B4610" s="4" t="n">
        <v>45230</v>
      </c>
      <c r="C4610" s="3" t="inlineStr">
        <is>
          <t>Assets</t>
        </is>
      </c>
      <c r="D4610" s="3" t="inlineStr">
        <is>
          <t>7800/000</t>
        </is>
      </c>
      <c r="E4610" s="3" t="inlineStr">
        <is>
          <t>Deposits paid</t>
        </is>
      </c>
      <c r="F4610" s="3" t="n">
        <v>0</v>
      </c>
      <c r="G4610" s="3" t="n">
        <v>29600</v>
      </c>
    </row>
    <row r="4611">
      <c r="A4611" s="3" t="inlineStr">
        <is>
          <t>Cape Projects Construction (Pty) Ltd</t>
        </is>
      </c>
      <c r="B4611" s="4" t="n">
        <v>45230</v>
      </c>
      <c r="C4611" s="3" t="inlineStr">
        <is>
          <t>Assets</t>
        </is>
      </c>
      <c r="D4611" s="3" t="inlineStr">
        <is>
          <t>8000/000</t>
        </is>
      </c>
      <c r="E4611" s="3" t="inlineStr">
        <is>
          <t>Customer Control Account</t>
        </is>
      </c>
      <c r="F4611" s="3" t="n">
        <v>6747607.01</v>
      </c>
      <c r="G4611" s="3" t="n">
        <v>-2162281.33</v>
      </c>
    </row>
    <row r="4612">
      <c r="A4612" s="3" t="inlineStr">
        <is>
          <t>Heron Fields (Pty) Ltd</t>
        </is>
      </c>
      <c r="B4612" s="4" t="n">
        <v>45230</v>
      </c>
      <c r="C4612" s="3" t="inlineStr">
        <is>
          <t>Assets</t>
        </is>
      </c>
      <c r="D4612" s="3" t="inlineStr">
        <is>
          <t>8000/000</t>
        </is>
      </c>
      <c r="E4612" s="3" t="inlineStr">
        <is>
          <t>Customer Control Account</t>
        </is>
      </c>
      <c r="F4612" s="3" t="n">
        <v>4965.58</v>
      </c>
      <c r="G4612" s="3" t="n">
        <v>366234.17</v>
      </c>
    </row>
    <row r="4613">
      <c r="A4613" s="3" t="inlineStr">
        <is>
          <t>Cape Projects Construction (Pty) Ltd</t>
        </is>
      </c>
      <c r="B4613" s="4" t="n">
        <v>45230</v>
      </c>
      <c r="C4613" s="3" t="inlineStr">
        <is>
          <t>Assets</t>
        </is>
      </c>
      <c r="D4613" s="3" t="inlineStr">
        <is>
          <t>8200/020</t>
        </is>
      </c>
      <c r="E4613" s="3" t="inlineStr">
        <is>
          <t>Staff Loans</t>
        </is>
      </c>
      <c r="F4613" s="3" t="n">
        <v>8019.13</v>
      </c>
      <c r="G4613" s="3" t="n">
        <v>5704.85</v>
      </c>
    </row>
    <row r="4614">
      <c r="A4614" s="3" t="inlineStr">
        <is>
          <t>Heron Fields (Pty) Ltd</t>
        </is>
      </c>
      <c r="B4614" s="4" t="n">
        <v>45230</v>
      </c>
      <c r="C4614" s="3" t="inlineStr">
        <is>
          <t>Assets</t>
        </is>
      </c>
      <c r="D4614" s="3" t="inlineStr">
        <is>
          <t>8400/000</t>
        </is>
      </c>
      <c r="E4614" s="3" t="inlineStr">
        <is>
          <t>RMB - 62882379087</t>
        </is>
      </c>
      <c r="F4614" s="3" t="n">
        <v>1489399.76</v>
      </c>
      <c r="G4614" s="3" t="n">
        <v>2325999.83</v>
      </c>
    </row>
    <row r="4615">
      <c r="A4615" s="3" t="inlineStr">
        <is>
          <t>Cape Projects Construction (Pty) Ltd</t>
        </is>
      </c>
      <c r="B4615" s="4" t="n">
        <v>45230</v>
      </c>
      <c r="C4615" s="3" t="inlineStr">
        <is>
          <t>Assets</t>
        </is>
      </c>
      <c r="D4615" s="3" t="inlineStr">
        <is>
          <t>8400/000</t>
        </is>
      </c>
      <c r="E4615" s="3" t="inlineStr">
        <is>
          <t>RMB 62275138470</t>
        </is>
      </c>
      <c r="F4615" s="3" t="n">
        <v>-214893.22</v>
      </c>
      <c r="G4615" s="3" t="n">
        <v>173420.01</v>
      </c>
    </row>
    <row r="4616">
      <c r="A4616" s="3" t="inlineStr">
        <is>
          <t>Cape Projects Construction (Pty) Ltd</t>
        </is>
      </c>
      <c r="B4616" s="4" t="n">
        <v>45230</v>
      </c>
      <c r="C4616" s="3" t="inlineStr">
        <is>
          <t>Assets</t>
        </is>
      </c>
      <c r="D4616" s="3" t="inlineStr">
        <is>
          <t>8410/000</t>
        </is>
      </c>
      <c r="E4616" s="3" t="inlineStr">
        <is>
          <t>Petty Cash</t>
        </is>
      </c>
      <c r="F4616" s="3" t="n">
        <v>0</v>
      </c>
      <c r="G4616" s="3" t="n">
        <v>-1188</v>
      </c>
    </row>
    <row r="4617">
      <c r="A4617" s="3" t="inlineStr">
        <is>
          <t>Cape Projects Construction (Pty) Ltd</t>
        </is>
      </c>
      <c r="B4617" s="4" t="n">
        <v>45230</v>
      </c>
      <c r="C4617" s="3" t="inlineStr">
        <is>
          <t>Assets</t>
        </is>
      </c>
      <c r="D4617" s="3" t="inlineStr">
        <is>
          <t>8420/000</t>
        </is>
      </c>
      <c r="E4617" s="3" t="inlineStr">
        <is>
          <t>Momentum Priv Acc RU502230981</t>
        </is>
      </c>
      <c r="F4617" s="3" t="n">
        <v>4.14</v>
      </c>
      <c r="G4617" s="3" t="n">
        <v>571.55</v>
      </c>
    </row>
    <row r="4618">
      <c r="A4618" s="3" t="inlineStr">
        <is>
          <t>Heron Fields (Pty) Ltd</t>
        </is>
      </c>
      <c r="B4618" s="4" t="n">
        <v>45230</v>
      </c>
      <c r="C4618" s="3" t="inlineStr">
        <is>
          <t>Assets</t>
        </is>
      </c>
      <c r="D4618" s="3" t="inlineStr">
        <is>
          <t>8420/000</t>
        </is>
      </c>
      <c r="E4618" s="3" t="inlineStr">
        <is>
          <t>Petty Cash</t>
        </is>
      </c>
      <c r="F4618" s="3" t="n">
        <v>0</v>
      </c>
      <c r="G4618" s="3" t="n">
        <v>8620</v>
      </c>
    </row>
    <row r="4619">
      <c r="A4619" s="3" t="inlineStr">
        <is>
          <t>Heron Fields (Pty) Ltd</t>
        </is>
      </c>
      <c r="B4619" s="4" t="n">
        <v>45230</v>
      </c>
      <c r="C4619" s="3" t="inlineStr">
        <is>
          <t>Assets</t>
        </is>
      </c>
      <c r="D4619" s="3" t="inlineStr">
        <is>
          <t>8430/000</t>
        </is>
      </c>
      <c r="E4619" s="3" t="inlineStr">
        <is>
          <t>Momentum Private Account RU502230151</t>
        </is>
      </c>
      <c r="F4619" s="3" t="n">
        <v>23.47</v>
      </c>
      <c r="G4619" s="3" t="n">
        <v>871.91</v>
      </c>
    </row>
    <row r="4620">
      <c r="A4620" s="3" t="inlineStr">
        <is>
          <t>Heron Fields (Pty) Ltd</t>
        </is>
      </c>
      <c r="B4620" s="4" t="n">
        <v>45230</v>
      </c>
      <c r="C4620" s="3" t="inlineStr">
        <is>
          <t>Assets</t>
        </is>
      </c>
      <c r="D4620" s="3" t="inlineStr">
        <is>
          <t>8440/000</t>
        </is>
      </c>
      <c r="E4620" s="3" t="inlineStr">
        <is>
          <t>Momentum Investors Account RU502229930</t>
        </is>
      </c>
      <c r="F4620" s="3" t="n">
        <v>-5922489.84</v>
      </c>
      <c r="G4620" s="3" t="n">
        <v>41636202.61</v>
      </c>
    </row>
    <row r="4621">
      <c r="A4621" s="3" t="inlineStr">
        <is>
          <t>Heron Fields (Pty) Ltd</t>
        </is>
      </c>
      <c r="B4621" s="4" t="n">
        <v>45230</v>
      </c>
      <c r="C4621" s="3" t="inlineStr">
        <is>
          <t>Assets</t>
        </is>
      </c>
      <c r="D4621" s="3" t="inlineStr">
        <is>
          <t>8450/000</t>
        </is>
      </c>
      <c r="E4621" s="3" t="inlineStr">
        <is>
          <t>ABSA Current Acc : 4109071013</t>
        </is>
      </c>
      <c r="F4621" s="3" t="n">
        <v>0</v>
      </c>
      <c r="G4621" s="3" t="n">
        <v>500</v>
      </c>
    </row>
    <row r="4622">
      <c r="A4622" s="3" t="inlineStr">
        <is>
          <t>Cape Projects Construction (Pty) Ltd</t>
        </is>
      </c>
      <c r="B4622" s="4" t="n">
        <v>45230</v>
      </c>
      <c r="C4622" s="3" t="inlineStr">
        <is>
          <t>Liabilities</t>
        </is>
      </c>
      <c r="D4622" s="3" t="inlineStr">
        <is>
          <t>860</t>
        </is>
      </c>
      <c r="E4622" s="3" t="inlineStr">
        <is>
          <t>Rounding</t>
        </is>
      </c>
      <c r="F4622" s="3" t="n">
        <v>-0.08</v>
      </c>
      <c r="G4622" s="3" t="n">
        <v>-29.75</v>
      </c>
    </row>
    <row r="4623">
      <c r="A4623" s="3" t="inlineStr">
        <is>
          <t>Heron Fields (Pty) Ltd</t>
        </is>
      </c>
      <c r="B4623" s="4" t="n">
        <v>45230</v>
      </c>
      <c r="C4623" s="3" t="inlineStr">
        <is>
          <t>Liabilities</t>
        </is>
      </c>
      <c r="D4623" s="3" t="inlineStr">
        <is>
          <t>860</t>
        </is>
      </c>
      <c r="E4623" s="3" t="inlineStr">
        <is>
          <t>Rounding</t>
        </is>
      </c>
      <c r="F4623" s="3" t="n">
        <v>0.01</v>
      </c>
      <c r="G4623" s="3" t="n">
        <v>0.14</v>
      </c>
    </row>
    <row r="4624">
      <c r="A4624" s="3" t="inlineStr">
        <is>
          <t>Heron View (Pty) Ltd</t>
        </is>
      </c>
      <c r="B4624" s="4" t="n">
        <v>45230</v>
      </c>
      <c r="C4624" s="3" t="inlineStr">
        <is>
          <t>Liabilities</t>
        </is>
      </c>
      <c r="D4624" s="3" t="inlineStr">
        <is>
          <t>860</t>
        </is>
      </c>
      <c r="E4624" s="3" t="inlineStr">
        <is>
          <t>Rounding</t>
        </is>
      </c>
      <c r="F4624" s="3" t="n">
        <v>0</v>
      </c>
      <c r="G4624" s="3" t="n">
        <v>-0.06</v>
      </c>
    </row>
    <row r="4625">
      <c r="A4625" s="3" t="inlineStr">
        <is>
          <t>Cape Projects Construction (Pty) Ltd</t>
        </is>
      </c>
      <c r="B4625" s="4" t="n">
        <v>45230</v>
      </c>
      <c r="C4625" s="3" t="inlineStr">
        <is>
          <t>Liabilities</t>
        </is>
      </c>
      <c r="D4625" s="3" t="inlineStr">
        <is>
          <t>9000/000</t>
        </is>
      </c>
      <c r="E4625" s="3" t="inlineStr">
        <is>
          <t>Supplier Control Account</t>
        </is>
      </c>
      <c r="F4625" s="3" t="n">
        <v>-1080910.7</v>
      </c>
      <c r="G4625" s="3" t="n">
        <v>-2696804.29</v>
      </c>
    </row>
    <row r="4626">
      <c r="A4626" s="3" t="inlineStr">
        <is>
          <t>Heron Fields (Pty) Ltd</t>
        </is>
      </c>
      <c r="B4626" s="4" t="n">
        <v>45230</v>
      </c>
      <c r="C4626" s="3" t="inlineStr">
        <is>
          <t>Liabilities</t>
        </is>
      </c>
      <c r="D4626" s="3" t="inlineStr">
        <is>
          <t>9000/000</t>
        </is>
      </c>
      <c r="E4626" s="3" t="inlineStr">
        <is>
          <t>Supplier Control Account</t>
        </is>
      </c>
      <c r="F4626" s="3" t="n">
        <v>-4159998.49</v>
      </c>
      <c r="G4626" s="3" t="n">
        <v>-160821114.86</v>
      </c>
    </row>
    <row r="4627">
      <c r="A4627" s="3" t="inlineStr">
        <is>
          <t>Heron View (Pty) Ltd</t>
        </is>
      </c>
      <c r="B4627" s="4" t="n">
        <v>45230</v>
      </c>
      <c r="C4627" s="3" t="inlineStr">
        <is>
          <t>Liabilities</t>
        </is>
      </c>
      <c r="D4627" s="3" t="inlineStr">
        <is>
          <t>9000/000</t>
        </is>
      </c>
      <c r="E4627" s="3" t="inlineStr">
        <is>
          <t>Supplier Control Account</t>
        </is>
      </c>
      <c r="F4627" s="3" t="n">
        <v>-5747108.99</v>
      </c>
      <c r="G4627" s="3" t="n">
        <v>817004.87</v>
      </c>
    </row>
    <row r="4628">
      <c r="A4628" s="3" t="inlineStr">
        <is>
          <t>Cape Projects Construction (Pty) Ltd</t>
        </is>
      </c>
      <c r="B4628" s="4" t="n">
        <v>45230</v>
      </c>
      <c r="C4628" s="3" t="inlineStr">
        <is>
          <t>Liabilities</t>
        </is>
      </c>
      <c r="D4628" s="3" t="inlineStr">
        <is>
          <t>9200/000</t>
        </is>
      </c>
      <c r="E4628" s="3" t="inlineStr">
        <is>
          <t>Sundry Suppliers</t>
        </is>
      </c>
      <c r="F4628" s="3" t="n">
        <v>0</v>
      </c>
      <c r="G4628" s="3" t="n">
        <v>1309</v>
      </c>
    </row>
    <row r="4629">
      <c r="A4629" s="3" t="inlineStr">
        <is>
          <t>Cape Projects Construction (Pty) Ltd</t>
        </is>
      </c>
      <c r="B4629" s="4" t="n">
        <v>45230</v>
      </c>
      <c r="C4629" s="3" t="inlineStr">
        <is>
          <t>Liabilities</t>
        </is>
      </c>
      <c r="D4629" s="3" t="inlineStr">
        <is>
          <t>9250/010</t>
        </is>
      </c>
      <c r="E4629" s="3" t="inlineStr">
        <is>
          <t>SALARY CONTROL</t>
        </is>
      </c>
      <c r="F4629" s="3" t="n">
        <v>0.02</v>
      </c>
      <c r="G4629" s="3" t="n">
        <v>0</v>
      </c>
    </row>
    <row r="4630">
      <c r="A4630" s="3" t="inlineStr">
        <is>
          <t>Cape Projects Construction (Pty) Ltd</t>
        </is>
      </c>
      <c r="B4630" s="4" t="n">
        <v>45230</v>
      </c>
      <c r="C4630" s="3" t="inlineStr">
        <is>
          <t>Liabilities</t>
        </is>
      </c>
      <c r="D4630" s="3" t="inlineStr">
        <is>
          <t>9250/020</t>
        </is>
      </c>
      <c r="E4630" s="3" t="inlineStr">
        <is>
          <t>PAYE, UIF AND SDL CONTROL</t>
        </is>
      </c>
      <c r="F4630" s="3" t="n">
        <v>-9279.57</v>
      </c>
      <c r="G4630" s="3" t="n">
        <v>-100259.69</v>
      </c>
    </row>
    <row r="4631">
      <c r="A4631" s="3" t="inlineStr">
        <is>
          <t>Cape Projects Construction (Pty) Ltd</t>
        </is>
      </c>
      <c r="B4631" s="4" t="n">
        <v>45230</v>
      </c>
      <c r="C4631" s="3" t="inlineStr">
        <is>
          <t>Liabilities</t>
        </is>
      </c>
      <c r="D4631" s="3" t="inlineStr">
        <is>
          <t>9250/030</t>
        </is>
      </c>
      <c r="E4631" s="3" t="inlineStr">
        <is>
          <t>BIBC CONTROL</t>
        </is>
      </c>
      <c r="F4631" s="3" t="n">
        <v>0</v>
      </c>
      <c r="G4631" s="3" t="n">
        <v>-49413.95</v>
      </c>
    </row>
    <row r="4632">
      <c r="A4632" s="3" t="inlineStr">
        <is>
          <t>Cape Projects Construction (Pty) Ltd</t>
        </is>
      </c>
      <c r="B4632" s="4" t="n">
        <v>45230</v>
      </c>
      <c r="C4632" s="3" t="inlineStr">
        <is>
          <t>Liabilities</t>
        </is>
      </c>
      <c r="D4632" s="3" t="inlineStr">
        <is>
          <t>9350/000</t>
        </is>
      </c>
      <c r="E4632" s="3" t="inlineStr">
        <is>
          <t>Dividends Payable</t>
        </is>
      </c>
      <c r="F4632" s="3" t="n">
        <v>0</v>
      </c>
      <c r="G4632" s="3" t="n">
        <v>130000</v>
      </c>
    </row>
    <row r="4633">
      <c r="A4633" s="3" t="inlineStr">
        <is>
          <t>Cape Projects Construction (Pty) Ltd</t>
        </is>
      </c>
      <c r="B4633" s="4" t="n">
        <v>45230</v>
      </c>
      <c r="C4633" s="3" t="inlineStr">
        <is>
          <t>Liabilities</t>
        </is>
      </c>
      <c r="D4633" s="3" t="inlineStr">
        <is>
          <t>9500/000</t>
        </is>
      </c>
      <c r="E4633" s="3" t="inlineStr">
        <is>
          <t>VAT Control Account</t>
        </is>
      </c>
      <c r="F4633" s="3" t="n">
        <v>-42321.62</v>
      </c>
      <c r="G4633" s="3" t="n">
        <v>-114691.06</v>
      </c>
    </row>
    <row r="4634">
      <c r="A4634" s="3" t="inlineStr">
        <is>
          <t>Heron Fields (Pty) Ltd</t>
        </is>
      </c>
      <c r="B4634" s="4" t="n">
        <v>45230</v>
      </c>
      <c r="C4634" s="3" t="inlineStr">
        <is>
          <t>Liabilities</t>
        </is>
      </c>
      <c r="D4634" s="3" t="inlineStr">
        <is>
          <t>9500/000</t>
        </is>
      </c>
      <c r="E4634" s="3" t="inlineStr">
        <is>
          <t>Vat / Tax Control Account</t>
        </is>
      </c>
      <c r="F4634" s="3" t="n">
        <v>-1287789.93</v>
      </c>
      <c r="G4634" s="3" t="n">
        <v>-4484290.48</v>
      </c>
    </row>
    <row r="4635">
      <c r="A4635" s="3" t="inlineStr">
        <is>
          <t>Heron View (Pty) Ltd</t>
        </is>
      </c>
      <c r="B4635" s="4" t="n">
        <v>45230</v>
      </c>
      <c r="C4635" s="3" t="inlineStr">
        <is>
          <t>Liabilities</t>
        </is>
      </c>
      <c r="D4635" s="3" t="inlineStr">
        <is>
          <t>9500/000</t>
        </is>
      </c>
      <c r="E4635" s="3" t="inlineStr">
        <is>
          <t>Vat / Tax Control Account</t>
        </is>
      </c>
      <c r="F4635" s="3" t="n">
        <v>1099948.74</v>
      </c>
      <c r="G4635" s="3" t="n">
        <v>4616461.7</v>
      </c>
    </row>
    <row r="4636">
      <c r="A4636" s="3" t="inlineStr">
        <is>
          <t>Cape Projects Construction (Pty) Ltd</t>
        </is>
      </c>
      <c r="B4636" s="4" t="n">
        <v>45230</v>
      </c>
      <c r="C4636" s="3" t="inlineStr">
        <is>
          <t>Liabilities</t>
        </is>
      </c>
      <c r="D4636" s="3" t="inlineStr">
        <is>
          <t>9510/000</t>
        </is>
      </c>
      <c r="E4636" s="3" t="inlineStr">
        <is>
          <t>Tax Provision Account</t>
        </is>
      </c>
      <c r="F4636" s="3" t="n">
        <v>0</v>
      </c>
      <c r="G4636" s="3" t="n">
        <v>-1869.8</v>
      </c>
    </row>
    <row r="4637">
      <c r="A4637" s="3" t="inlineStr">
        <is>
          <t>Heron Fields (Pty) Ltd</t>
        </is>
      </c>
      <c r="B4637" s="4" t="n">
        <v>45230</v>
      </c>
      <c r="C4637" s="3" t="inlineStr">
        <is>
          <t>Liabilities</t>
        </is>
      </c>
      <c r="D4637" s="3" t="inlineStr">
        <is>
          <t>9520/000</t>
        </is>
      </c>
      <c r="E4637" s="3" t="inlineStr">
        <is>
          <t>Income Tax Payable</t>
        </is>
      </c>
      <c r="F4637" s="3" t="n">
        <v>0</v>
      </c>
      <c r="G4637" s="3" t="n">
        <v>59039.93</v>
      </c>
    </row>
    <row r="4638">
      <c r="A4638" s="3" t="inlineStr">
        <is>
          <t>Heron View (Pty) Ltd</t>
        </is>
      </c>
      <c r="B4638" s="4" t="n">
        <v>45230</v>
      </c>
      <c r="C4638" s="3" t="inlineStr">
        <is>
          <t>Liabilities</t>
        </is>
      </c>
      <c r="D4638" s="3" t="inlineStr">
        <is>
          <t>9899/C102</t>
        </is>
      </c>
      <c r="E4638" s="3" t="inlineStr">
        <is>
          <t>Sales - Unit Reg Control C102</t>
        </is>
      </c>
      <c r="F4638" s="3" t="n">
        <v>0</v>
      </c>
      <c r="G4638" s="3" t="n">
        <v>-0.4</v>
      </c>
    </row>
    <row r="4639">
      <c r="A4639" s="3" t="inlineStr">
        <is>
          <t>Cape Projects Construction (Pty) Ltd</t>
        </is>
      </c>
      <c r="B4639" s="4" t="n">
        <v>45230</v>
      </c>
      <c r="C4639" s="3" t="inlineStr">
        <is>
          <t>Liabilities</t>
        </is>
      </c>
      <c r="D4639" s="3" t="inlineStr">
        <is>
          <t>B/S</t>
        </is>
      </c>
      <c r="E4639" s="3" t="inlineStr">
        <is>
          <t>Taxation Payable</t>
        </is>
      </c>
      <c r="F4639" s="3" t="n">
        <v>0</v>
      </c>
      <c r="G4639" s="3" t="n">
        <v>1869.8</v>
      </c>
    </row>
    <row r="4640">
      <c r="A4640" s="3" t="inlineStr">
        <is>
          <t>Cape Projects Construction (Pty) Ltd</t>
        </is>
      </c>
      <c r="B4640" s="4" t="n">
        <v>45230</v>
      </c>
      <c r="C4640" s="3" t="inlineStr">
        <is>
          <t>Liabilities</t>
        </is>
      </c>
      <c r="D4640" s="3" t="inlineStr">
        <is>
          <t>TEMP/ACC</t>
        </is>
      </c>
      <c r="E4640" s="3" t="inlineStr">
        <is>
          <t>Conversion Account</t>
        </is>
      </c>
      <c r="F4640" s="3" t="n">
        <v>0</v>
      </c>
      <c r="G4640" s="3" t="n">
        <v>-254.99</v>
      </c>
    </row>
    <row r="4641">
      <c r="A4641" s="3" t="inlineStr">
        <is>
          <t>Heron Fields (Pty) Ltd</t>
        </is>
      </c>
      <c r="B4641" s="4" t="n">
        <v>45260</v>
      </c>
      <c r="C4641" s="3" t="inlineStr">
        <is>
          <t>Revenue</t>
        </is>
      </c>
      <c r="D4641" s="3" t="inlineStr">
        <is>
          <t>1000/100</t>
        </is>
      </c>
      <c r="E4641" s="3" t="inlineStr">
        <is>
          <t>Sales - Heron Fields</t>
        </is>
      </c>
      <c r="F4641" s="3" t="n">
        <v>0</v>
      </c>
      <c r="G4641" s="3" t="n">
        <v>-28096347.83</v>
      </c>
    </row>
    <row r="4642">
      <c r="A4642" s="3" t="inlineStr">
        <is>
          <t>Heron View (Pty) Ltd</t>
        </is>
      </c>
      <c r="B4642" s="4" t="n">
        <v>45260</v>
      </c>
      <c r="C4642" s="3" t="inlineStr">
        <is>
          <t>Revenue</t>
        </is>
      </c>
      <c r="D4642" s="3" t="inlineStr">
        <is>
          <t>1000/100</t>
        </is>
      </c>
      <c r="E4642" s="3" t="inlineStr">
        <is>
          <t>Sales - Heron View Sales</t>
        </is>
      </c>
      <c r="F4642" s="3" t="n">
        <v>-1517304.35</v>
      </c>
      <c r="G4642" s="3" t="n">
        <v>-21350869.59</v>
      </c>
    </row>
    <row r="4643">
      <c r="A4643" s="3" t="inlineStr">
        <is>
          <t>Heron Fields (Pty) Ltd</t>
        </is>
      </c>
      <c r="B4643" s="4" t="n">
        <v>45260</v>
      </c>
      <c r="C4643" s="3" t="inlineStr">
        <is>
          <t>Revenue</t>
        </is>
      </c>
      <c r="D4643" s="3" t="inlineStr">
        <is>
          <t>1000/101</t>
        </is>
      </c>
      <c r="E4643" s="3" t="inlineStr">
        <is>
          <t>Sales - Heron Fields occupational rent</t>
        </is>
      </c>
      <c r="F4643" s="3" t="n">
        <v>0</v>
      </c>
      <c r="G4643" s="3" t="n">
        <v>-102388.85</v>
      </c>
    </row>
    <row r="4644">
      <c r="A4644" s="3" t="inlineStr">
        <is>
          <t>Heron View (Pty) Ltd</t>
        </is>
      </c>
      <c r="B4644" s="4" t="n">
        <v>45260</v>
      </c>
      <c r="C4644" s="3" t="inlineStr">
        <is>
          <t>Revenue</t>
        </is>
      </c>
      <c r="D4644" s="3" t="inlineStr">
        <is>
          <t>1000/101</t>
        </is>
      </c>
      <c r="E4644" s="3" t="inlineStr">
        <is>
          <t>Sales - Heron View Occupational Rent</t>
        </is>
      </c>
      <c r="F4644" s="3" t="n">
        <v>0</v>
      </c>
      <c r="G4644" s="3" t="n">
        <v>-78825.8</v>
      </c>
    </row>
    <row r="4645">
      <c r="A4645" s="3" t="inlineStr">
        <is>
          <t>Cape Projects Construction (Pty) Ltd</t>
        </is>
      </c>
      <c r="B4645" s="4" t="n">
        <v>45260</v>
      </c>
      <c r="C4645" s="3" t="inlineStr">
        <is>
          <t>Revenue</t>
        </is>
      </c>
      <c r="D4645" s="3" t="inlineStr">
        <is>
          <t>1040/100</t>
        </is>
      </c>
      <c r="E4645" s="3" t="inlineStr">
        <is>
          <t>Fees - Construction - Heron</t>
        </is>
      </c>
      <c r="F4645" s="3" t="n">
        <v>-11562012.71</v>
      </c>
      <c r="G4645" s="3" t="n">
        <v>-46699249.85</v>
      </c>
    </row>
    <row r="4646">
      <c r="A4646" s="3" t="inlineStr">
        <is>
          <t>Cape Projects Construction (Pty) Ltd</t>
        </is>
      </c>
      <c r="B4646" s="4" t="n">
        <v>45260</v>
      </c>
      <c r="C4646" s="3" t="inlineStr">
        <is>
          <t>Revenue</t>
        </is>
      </c>
      <c r="D4646" s="3" t="inlineStr">
        <is>
          <t>1070/000</t>
        </is>
      </c>
      <c r="E4646" s="3" t="inlineStr">
        <is>
          <t>Rent - CT Office</t>
        </is>
      </c>
      <c r="F4646" s="3" t="n">
        <v>0</v>
      </c>
      <c r="G4646" s="3" t="n">
        <v>3490.94</v>
      </c>
    </row>
    <row r="4647">
      <c r="A4647" s="3" t="inlineStr">
        <is>
          <t>Heron Fields (Pty) Ltd</t>
        </is>
      </c>
      <c r="B4647" s="4" t="n">
        <v>45260</v>
      </c>
      <c r="C4647" s="3" t="inlineStr">
        <is>
          <t>Revenue</t>
        </is>
      </c>
      <c r="D4647" s="3" t="inlineStr">
        <is>
          <t>1500/002</t>
        </is>
      </c>
      <c r="E4647" s="3" t="inlineStr">
        <is>
          <t>Rental Income</t>
        </is>
      </c>
      <c r="F4647" s="3" t="n">
        <v>-34500</v>
      </c>
      <c r="G4647" s="3" t="n">
        <v>-149130.07</v>
      </c>
    </row>
    <row r="4648">
      <c r="A4648" s="3" t="inlineStr">
        <is>
          <t>Heron View (Pty) Ltd</t>
        </is>
      </c>
      <c r="B4648" s="4" t="n">
        <v>45260</v>
      </c>
      <c r="C4648" s="3" t="inlineStr">
        <is>
          <t>Revenue</t>
        </is>
      </c>
      <c r="D4648" s="3" t="inlineStr">
        <is>
          <t>1500/002</t>
        </is>
      </c>
      <c r="E4648" s="3" t="inlineStr">
        <is>
          <t>Rental Income</t>
        </is>
      </c>
      <c r="F4648" s="3" t="n">
        <v>0</v>
      </c>
      <c r="G4648" s="3" t="n">
        <v>-13883</v>
      </c>
    </row>
    <row r="4649">
      <c r="A4649" s="3" t="inlineStr">
        <is>
          <t>Heron Fields (Pty) Ltd</t>
        </is>
      </c>
      <c r="B4649" s="4" t="n">
        <v>45260</v>
      </c>
      <c r="C4649" s="3" t="inlineStr">
        <is>
          <t>Expenses</t>
        </is>
      </c>
      <c r="D4649" s="3" t="inlineStr">
        <is>
          <t>2000/011</t>
        </is>
      </c>
      <c r="E4649" s="3" t="inlineStr">
        <is>
          <t>COS - Heron View Showhouse</t>
        </is>
      </c>
      <c r="F4649" s="3" t="n">
        <v>0</v>
      </c>
      <c r="G4649" s="3" t="n">
        <v>45300.43</v>
      </c>
    </row>
    <row r="4650">
      <c r="A4650" s="3" t="inlineStr">
        <is>
          <t>Heron View (Pty) Ltd</t>
        </is>
      </c>
      <c r="B4650" s="4" t="n">
        <v>45260</v>
      </c>
      <c r="C4650" s="3" t="inlineStr">
        <is>
          <t>Expenses</t>
        </is>
      </c>
      <c r="D4650" s="3" t="inlineStr">
        <is>
          <t>2000/030</t>
        </is>
      </c>
      <c r="E4650" s="3" t="inlineStr">
        <is>
          <t>COS - HV COCT Rates clearance</t>
        </is>
      </c>
      <c r="F4650" s="3" t="n">
        <v>0</v>
      </c>
      <c r="G4650" s="3" t="n">
        <v>237142.94</v>
      </c>
    </row>
    <row r="4651">
      <c r="A4651" s="3" t="inlineStr">
        <is>
          <t>Heron Fields (Pty) Ltd</t>
        </is>
      </c>
      <c r="B4651" s="4" t="n">
        <v>45260</v>
      </c>
      <c r="C4651" s="3" t="inlineStr">
        <is>
          <t>Expenses</t>
        </is>
      </c>
      <c r="D4651" s="3" t="inlineStr">
        <is>
          <t>2000/040</t>
        </is>
      </c>
      <c r="E4651" s="3" t="inlineStr">
        <is>
          <t>COS - Legal Fees</t>
        </is>
      </c>
      <c r="F4651" s="3" t="n">
        <v>0</v>
      </c>
      <c r="G4651" s="3" t="n">
        <v>685713.49</v>
      </c>
    </row>
    <row r="4652">
      <c r="A4652" s="3" t="inlineStr">
        <is>
          <t>Heron View (Pty) Ltd</t>
        </is>
      </c>
      <c r="B4652" s="4" t="n">
        <v>45260</v>
      </c>
      <c r="C4652" s="3" t="inlineStr">
        <is>
          <t>Expenses</t>
        </is>
      </c>
      <c r="D4652" s="3" t="inlineStr">
        <is>
          <t>2000/040</t>
        </is>
      </c>
      <c r="E4652" s="3" t="inlineStr">
        <is>
          <t>COS - Legal Fees</t>
        </is>
      </c>
      <c r="F4652" s="3" t="n">
        <v>23865.75</v>
      </c>
      <c r="G4652" s="3" t="n">
        <v>475114.3</v>
      </c>
    </row>
    <row r="4653">
      <c r="A4653" s="3" t="inlineStr">
        <is>
          <t>Heron View (Pty) Ltd</t>
        </is>
      </c>
      <c r="B4653" s="4" t="n">
        <v>45260</v>
      </c>
      <c r="C4653" s="3" t="inlineStr">
        <is>
          <t>Expenses</t>
        </is>
      </c>
      <c r="D4653" s="3" t="inlineStr">
        <is>
          <t>2000/041</t>
        </is>
      </c>
      <c r="E4653" s="3" t="inlineStr">
        <is>
          <t>COS - Legal Fees Opening of Sec Title Fees</t>
        </is>
      </c>
      <c r="F4653" s="3" t="n">
        <v>17618</v>
      </c>
      <c r="G4653" s="3" t="n">
        <v>79174.94</v>
      </c>
    </row>
    <row r="4654">
      <c r="A4654" s="3" t="inlineStr">
        <is>
          <t>Heron Fields (Pty) Ltd</t>
        </is>
      </c>
      <c r="B4654" s="4" t="n">
        <v>45260</v>
      </c>
      <c r="C4654" s="3" t="inlineStr">
        <is>
          <t>Expenses</t>
        </is>
      </c>
      <c r="D4654" s="3" t="inlineStr">
        <is>
          <t>2000/041</t>
        </is>
      </c>
      <c r="E4654" s="3" t="inlineStr">
        <is>
          <t>COS - Legal Fees Opening of Sec Title Scheme</t>
        </is>
      </c>
      <c r="F4654" s="3" t="n">
        <v>0</v>
      </c>
      <c r="G4654" s="3" t="n">
        <v>10540</v>
      </c>
    </row>
    <row r="4655">
      <c r="A4655" s="3" t="inlineStr">
        <is>
          <t>Heron Fields (Pty) Ltd</t>
        </is>
      </c>
      <c r="B4655" s="4" t="n">
        <v>45260</v>
      </c>
      <c r="C4655" s="3" t="inlineStr">
        <is>
          <t>Expenses</t>
        </is>
      </c>
      <c r="D4655" s="3" t="inlineStr">
        <is>
          <t>2000/050</t>
        </is>
      </c>
      <c r="E4655" s="3" t="inlineStr">
        <is>
          <t>COS - Rates clearance</t>
        </is>
      </c>
      <c r="F4655" s="3" t="n">
        <v>0</v>
      </c>
      <c r="G4655" s="3" t="n">
        <v>44864.59</v>
      </c>
    </row>
    <row r="4656">
      <c r="A4656" s="3" t="inlineStr">
        <is>
          <t>Heron Fields (Pty) Ltd</t>
        </is>
      </c>
      <c r="B4656" s="4" t="n">
        <v>45260</v>
      </c>
      <c r="C4656" s="3" t="inlineStr">
        <is>
          <t>Expenses</t>
        </is>
      </c>
      <c r="D4656" s="3" t="inlineStr">
        <is>
          <t>2000/060</t>
        </is>
      </c>
      <c r="E4656" s="3" t="inlineStr">
        <is>
          <t>COS - Levies</t>
        </is>
      </c>
      <c r="F4656" s="3" t="n">
        <v>0</v>
      </c>
      <c r="G4656" s="3" t="n">
        <v>381069.48</v>
      </c>
    </row>
    <row r="4657">
      <c r="A4657" s="3" t="inlineStr">
        <is>
          <t>Heron Fields (Pty) Ltd</t>
        </is>
      </c>
      <c r="B4657" s="4" t="n">
        <v>45260</v>
      </c>
      <c r="C4657" s="3" t="inlineStr">
        <is>
          <t>Expenses</t>
        </is>
      </c>
      <c r="D4657" s="3" t="inlineStr">
        <is>
          <t>2000/070</t>
        </is>
      </c>
      <c r="E4657" s="3" t="inlineStr">
        <is>
          <t>COS - Commission HF Units</t>
        </is>
      </c>
      <c r="F4657" s="3" t="n">
        <v>0</v>
      </c>
      <c r="G4657" s="3" t="n">
        <v>1405686.97</v>
      </c>
    </row>
    <row r="4658">
      <c r="A4658" s="3" t="inlineStr">
        <is>
          <t>Heron View (Pty) Ltd</t>
        </is>
      </c>
      <c r="B4658" s="4" t="n">
        <v>45260</v>
      </c>
      <c r="C4658" s="3" t="inlineStr">
        <is>
          <t>Expenses</t>
        </is>
      </c>
      <c r="D4658" s="3" t="inlineStr">
        <is>
          <t>2000/070</t>
        </is>
      </c>
      <c r="E4658" s="3" t="inlineStr">
        <is>
          <t>COS - Commission HV Units</t>
        </is>
      </c>
      <c r="F4658" s="3" t="n">
        <v>74778.25999999999</v>
      </c>
      <c r="G4658" s="3" t="n">
        <v>1068630.4</v>
      </c>
    </row>
    <row r="4659">
      <c r="A4659" s="3" t="inlineStr">
        <is>
          <t>Heron Fields (Pty) Ltd</t>
        </is>
      </c>
      <c r="B4659" s="4" t="n">
        <v>45260</v>
      </c>
      <c r="C4659" s="3" t="inlineStr">
        <is>
          <t>Expenses</t>
        </is>
      </c>
      <c r="D4659" s="3" t="inlineStr">
        <is>
          <t>2000/080</t>
        </is>
      </c>
      <c r="E4659" s="3" t="inlineStr">
        <is>
          <t>COS - Showhouse - HF</t>
        </is>
      </c>
      <c r="F4659" s="3" t="n">
        <v>0</v>
      </c>
      <c r="G4659" s="3" t="n">
        <v>1005.47</v>
      </c>
    </row>
    <row r="4660">
      <c r="A4660" s="3" t="inlineStr">
        <is>
          <t>Heron View (Pty) Ltd</t>
        </is>
      </c>
      <c r="B4660" s="4" t="n">
        <v>45260</v>
      </c>
      <c r="C4660" s="3" t="inlineStr">
        <is>
          <t>Expenses</t>
        </is>
      </c>
      <c r="D4660" s="3" t="inlineStr">
        <is>
          <t>2000/080</t>
        </is>
      </c>
      <c r="E4660" s="3" t="inlineStr">
        <is>
          <t>COS - Showhouse - HV</t>
        </is>
      </c>
      <c r="F4660" s="3" t="n">
        <v>0</v>
      </c>
      <c r="G4660" s="3" t="n">
        <v>6212.85</v>
      </c>
    </row>
    <row r="4661">
      <c r="A4661" s="3" t="inlineStr">
        <is>
          <t>Heron Fields (Pty) Ltd</t>
        </is>
      </c>
      <c r="B4661" s="4" t="n">
        <v>45260</v>
      </c>
      <c r="C4661" s="3" t="inlineStr">
        <is>
          <t>Expenses</t>
        </is>
      </c>
      <c r="D4661" s="3" t="inlineStr">
        <is>
          <t>2000/090</t>
        </is>
      </c>
      <c r="E4661" s="3" t="inlineStr">
        <is>
          <t>COS - Electricity</t>
        </is>
      </c>
      <c r="F4661" s="3" t="n">
        <v>0</v>
      </c>
      <c r="G4661" s="3" t="n">
        <v>250</v>
      </c>
    </row>
    <row r="4662">
      <c r="A4662" s="3" t="inlineStr">
        <is>
          <t>Heron View (Pty) Ltd</t>
        </is>
      </c>
      <c r="B4662" s="4" t="n">
        <v>45260</v>
      </c>
      <c r="C4662" s="3" t="inlineStr">
        <is>
          <t>Expenses</t>
        </is>
      </c>
      <c r="D4662" s="3" t="inlineStr">
        <is>
          <t>2000/090</t>
        </is>
      </c>
      <c r="E4662" s="3" t="inlineStr">
        <is>
          <t>COS - Electricity</t>
        </is>
      </c>
      <c r="F4662" s="3" t="n">
        <v>86.95999999999999</v>
      </c>
      <c r="G4662" s="3" t="n">
        <v>273.92</v>
      </c>
    </row>
    <row r="4663">
      <c r="A4663" s="3" t="inlineStr">
        <is>
          <t>Heron Fields (Pty) Ltd</t>
        </is>
      </c>
      <c r="B4663" s="4" t="n">
        <v>45260</v>
      </c>
      <c r="C4663" s="3" t="inlineStr">
        <is>
          <t>Expenses</t>
        </is>
      </c>
      <c r="D4663" s="3" t="inlineStr">
        <is>
          <t>2000/100</t>
        </is>
      </c>
      <c r="E4663" s="3" t="inlineStr">
        <is>
          <t>COS - Inverters</t>
        </is>
      </c>
      <c r="F4663" s="3" t="n">
        <v>0</v>
      </c>
      <c r="G4663" s="3" t="n">
        <v>31600</v>
      </c>
    </row>
    <row r="4664">
      <c r="A4664" s="3" t="inlineStr">
        <is>
          <t>Cape Projects Construction (Pty) Ltd</t>
        </is>
      </c>
      <c r="B4664" s="4" t="n">
        <v>45260</v>
      </c>
      <c r="C4664" s="3" t="inlineStr">
        <is>
          <t>Expenses</t>
        </is>
      </c>
      <c r="D4664" s="3" t="inlineStr">
        <is>
          <t>2000/500</t>
        </is>
      </c>
      <c r="E4664" s="3" t="inlineStr">
        <is>
          <t>COS - Electricity Cost Endulini</t>
        </is>
      </c>
      <c r="F4664" s="3" t="n">
        <v>0</v>
      </c>
      <c r="G4664" s="3" t="n">
        <v>286.96</v>
      </c>
    </row>
    <row r="4665">
      <c r="A4665" s="3" t="inlineStr">
        <is>
          <t>Cape Projects Construction (Pty) Ltd</t>
        </is>
      </c>
      <c r="B4665" s="4" t="n">
        <v>45260</v>
      </c>
      <c r="C4665" s="3" t="inlineStr">
        <is>
          <t>Expenses</t>
        </is>
      </c>
      <c r="D4665" s="3" t="inlineStr">
        <is>
          <t>2000/501</t>
        </is>
      </c>
      <c r="E4665" s="3" t="inlineStr">
        <is>
          <t>COS - Electricity Cost Heron Field</t>
        </is>
      </c>
      <c r="F4665" s="3" t="n">
        <v>0</v>
      </c>
      <c r="G4665" s="3" t="n">
        <v>86.95999999999999</v>
      </c>
    </row>
    <row r="4666">
      <c r="A4666" s="3" t="inlineStr">
        <is>
          <t>Cape Projects Construction (Pty) Ltd</t>
        </is>
      </c>
      <c r="B4666" s="4" t="n">
        <v>45260</v>
      </c>
      <c r="C4666" s="3" t="inlineStr">
        <is>
          <t>Expenses</t>
        </is>
      </c>
      <c r="D4666" s="3" t="inlineStr">
        <is>
          <t>2001/000</t>
        </is>
      </c>
      <c r="E4666" s="3" t="inlineStr">
        <is>
          <t>Cost of Sales - SouthWark Project</t>
        </is>
      </c>
      <c r="F4666" s="3" t="n">
        <v>0</v>
      </c>
      <c r="G4666" s="3" t="n">
        <v>30620.97</v>
      </c>
    </row>
    <row r="4667">
      <c r="A4667" s="3" t="inlineStr">
        <is>
          <t>Cape Projects Construction (Pty) Ltd</t>
        </is>
      </c>
      <c r="B4667" s="4" t="n">
        <v>45260</v>
      </c>
      <c r="C4667" s="3" t="inlineStr">
        <is>
          <t>Expenses</t>
        </is>
      </c>
      <c r="D4667" s="3" t="inlineStr">
        <is>
          <t>2002/109</t>
        </is>
      </c>
      <c r="E4667" s="3" t="inlineStr">
        <is>
          <t>COS - SoHo External SITE LABOUR</t>
        </is>
      </c>
      <c r="F4667" s="3" t="n">
        <v>7408.46</v>
      </c>
      <c r="G4667" s="3" t="n">
        <v>7408.46</v>
      </c>
    </row>
    <row r="4668">
      <c r="A4668" s="3" t="inlineStr">
        <is>
          <t>Cape Projects Construction (Pty) Ltd</t>
        </is>
      </c>
      <c r="B4668" s="4" t="n">
        <v>45260</v>
      </c>
      <c r="C4668" s="3" t="inlineStr">
        <is>
          <t>Expenses</t>
        </is>
      </c>
      <c r="D4668" s="3" t="inlineStr">
        <is>
          <t>2002/250</t>
        </is>
      </c>
      <c r="E4668" s="3" t="inlineStr">
        <is>
          <t>COS - Security</t>
        </is>
      </c>
      <c r="F4668" s="3" t="n">
        <v>0</v>
      </c>
      <c r="G4668" s="3" t="n">
        <v>10516.44</v>
      </c>
    </row>
    <row r="4669">
      <c r="A4669" s="3" t="inlineStr">
        <is>
          <t>Cape Projects Construction (Pty) Ltd</t>
        </is>
      </c>
      <c r="B4669" s="4" t="n">
        <v>45260</v>
      </c>
      <c r="C4669" s="3" t="inlineStr">
        <is>
          <t>Expenses</t>
        </is>
      </c>
      <c r="D4669" s="3" t="inlineStr">
        <is>
          <t>2002/252</t>
        </is>
      </c>
      <c r="E4669" s="3" t="inlineStr">
        <is>
          <t>COS - Security - Guarding</t>
        </is>
      </c>
      <c r="F4669" s="3" t="n">
        <v>16000</v>
      </c>
      <c r="G4669" s="3" t="n">
        <v>89620.91</v>
      </c>
    </row>
    <row r="4670">
      <c r="A4670" s="3" t="inlineStr">
        <is>
          <t>Cape Projects Construction (Pty) Ltd</t>
        </is>
      </c>
      <c r="B4670" s="4" t="n">
        <v>45260</v>
      </c>
      <c r="C4670" s="3" t="inlineStr">
        <is>
          <t>Expenses</t>
        </is>
      </c>
      <c r="D4670" s="3" t="inlineStr">
        <is>
          <t>2006/000</t>
        </is>
      </c>
      <c r="E4670" s="3" t="inlineStr">
        <is>
          <t>COS - Endulini Construction</t>
        </is>
      </c>
      <c r="F4670" s="3" t="n">
        <v>58881.4</v>
      </c>
      <c r="G4670" s="3" t="n">
        <v>340547.74</v>
      </c>
    </row>
    <row r="4671">
      <c r="A4671" s="3" t="inlineStr">
        <is>
          <t>Cape Projects Construction (Pty) Ltd</t>
        </is>
      </c>
      <c r="B4671" s="4" t="n">
        <v>45260</v>
      </c>
      <c r="C4671" s="3" t="inlineStr">
        <is>
          <t>Expenses</t>
        </is>
      </c>
      <c r="D4671" s="3" t="inlineStr">
        <is>
          <t>2006/100</t>
        </is>
      </c>
      <c r="E4671" s="3" t="inlineStr">
        <is>
          <t>COS - Endulini P and G</t>
        </is>
      </c>
      <c r="F4671" s="3" t="n">
        <v>2263.78</v>
      </c>
      <c r="G4671" s="3" t="n">
        <v>160161.36</v>
      </c>
    </row>
    <row r="4672">
      <c r="A4672" s="3" t="inlineStr">
        <is>
          <t>Cape Projects Construction (Pty) Ltd</t>
        </is>
      </c>
      <c r="B4672" s="4" t="n">
        <v>45260</v>
      </c>
      <c r="C4672" s="3" t="inlineStr">
        <is>
          <t>Expenses</t>
        </is>
      </c>
      <c r="D4672" s="3" t="inlineStr">
        <is>
          <t>2006/200</t>
        </is>
      </c>
      <c r="E4672" s="3" t="inlineStr">
        <is>
          <t>COS - Insurance</t>
        </is>
      </c>
      <c r="F4672" s="3" t="n">
        <v>0</v>
      </c>
      <c r="G4672" s="3" t="n">
        <v>19969.43</v>
      </c>
    </row>
    <row r="4673">
      <c r="A4673" s="3" t="inlineStr">
        <is>
          <t>Cape Projects Construction (Pty) Ltd</t>
        </is>
      </c>
      <c r="B4673" s="4" t="n">
        <v>45260</v>
      </c>
      <c r="C4673" s="3" t="inlineStr">
        <is>
          <t>Expenses</t>
        </is>
      </c>
      <c r="D4673" s="3" t="inlineStr">
        <is>
          <t>2006/450</t>
        </is>
      </c>
      <c r="E4673" s="3" t="inlineStr">
        <is>
          <t>COS - Endulini - Computer expenses</t>
        </is>
      </c>
      <c r="F4673" s="3" t="n">
        <v>0</v>
      </c>
      <c r="G4673" s="3" t="n">
        <v>26340.75</v>
      </c>
    </row>
    <row r="4674">
      <c r="A4674" s="3" t="inlineStr">
        <is>
          <t>Cape Projects Construction (Pty) Ltd</t>
        </is>
      </c>
      <c r="B4674" s="4" t="n">
        <v>45260</v>
      </c>
      <c r="C4674" s="3" t="inlineStr">
        <is>
          <t>Expenses</t>
        </is>
      </c>
      <c r="D4674" s="3" t="inlineStr">
        <is>
          <t>2006/800</t>
        </is>
      </c>
      <c r="E4674" s="3" t="inlineStr">
        <is>
          <t>COS - Endulini - Telephone &amp; Internet</t>
        </is>
      </c>
      <c r="F4674" s="3" t="n">
        <v>0</v>
      </c>
      <c r="G4674" s="3" t="n">
        <v>760.87</v>
      </c>
    </row>
    <row r="4675">
      <c r="A4675" s="3" t="inlineStr">
        <is>
          <t>Cape Projects Construction (Pty) Ltd</t>
        </is>
      </c>
      <c r="B4675" s="4" t="n">
        <v>45260</v>
      </c>
      <c r="C4675" s="3" t="inlineStr">
        <is>
          <t>Expenses</t>
        </is>
      </c>
      <c r="D4675" s="3" t="inlineStr">
        <is>
          <t>2007/000</t>
        </is>
      </c>
      <c r="E4675" s="3" t="inlineStr">
        <is>
          <t>COS - Repairs &amp; Maintenance - SW Southwark</t>
        </is>
      </c>
      <c r="F4675" s="3" t="n">
        <v>0</v>
      </c>
      <c r="G4675" s="3" t="n">
        <v>27752.22</v>
      </c>
    </row>
    <row r="4676">
      <c r="A4676" s="3" t="inlineStr">
        <is>
          <t>Cape Projects Construction (Pty) Ltd</t>
        </is>
      </c>
      <c r="B4676" s="4" t="n">
        <v>45260</v>
      </c>
      <c r="C4676" s="3" t="inlineStr">
        <is>
          <t>Expenses</t>
        </is>
      </c>
      <c r="D4676" s="3" t="inlineStr">
        <is>
          <t>2008/000</t>
        </is>
      </c>
      <c r="E4676" s="3" t="inlineStr">
        <is>
          <t>COS - Repairs &amp; Maintenance - SH Soho</t>
        </is>
      </c>
      <c r="F4676" s="3" t="n">
        <v>0</v>
      </c>
      <c r="G4676" s="3" t="n">
        <v>7565.57</v>
      </c>
    </row>
    <row r="4677">
      <c r="A4677" s="3" t="inlineStr">
        <is>
          <t>Cape Projects Construction (Pty) Ltd</t>
        </is>
      </c>
      <c r="B4677" s="4" t="n">
        <v>45260</v>
      </c>
      <c r="C4677" s="3" t="inlineStr">
        <is>
          <t>Expenses</t>
        </is>
      </c>
      <c r="D4677" s="3" t="inlineStr">
        <is>
          <t>2011/300</t>
        </is>
      </c>
      <c r="E4677" s="3" t="inlineStr">
        <is>
          <t>COS - Heron Fields - Printing &amp; Stationary</t>
        </is>
      </c>
      <c r="F4677" s="3" t="n">
        <v>0</v>
      </c>
      <c r="G4677" s="3" t="n">
        <v>1129.57</v>
      </c>
    </row>
    <row r="4678">
      <c r="A4678" s="3" t="inlineStr">
        <is>
          <t>Cape Projects Construction (Pty) Ltd</t>
        </is>
      </c>
      <c r="B4678" s="4" t="n">
        <v>45260</v>
      </c>
      <c r="C4678" s="3" t="inlineStr">
        <is>
          <t>Expenses</t>
        </is>
      </c>
      <c r="D4678" s="3" t="inlineStr">
        <is>
          <t>2011/500</t>
        </is>
      </c>
      <c r="E4678" s="3" t="inlineStr">
        <is>
          <t>COS - Heron Fields - Construction</t>
        </is>
      </c>
      <c r="F4678" s="3" t="n">
        <v>34156.45</v>
      </c>
      <c r="G4678" s="3" t="n">
        <v>1633224.08</v>
      </c>
    </row>
    <row r="4679">
      <c r="A4679" s="3" t="inlineStr">
        <is>
          <t>Cape Projects Construction (Pty) Ltd</t>
        </is>
      </c>
      <c r="B4679" s="4" t="n">
        <v>45260</v>
      </c>
      <c r="C4679" s="3" t="inlineStr">
        <is>
          <t>Expenses</t>
        </is>
      </c>
      <c r="D4679" s="3" t="inlineStr">
        <is>
          <t>2011/600</t>
        </is>
      </c>
      <c r="E4679" s="3" t="inlineStr">
        <is>
          <t>COS - Heron Fields - P &amp; G</t>
        </is>
      </c>
      <c r="F4679" s="3" t="n">
        <v>4110.17</v>
      </c>
      <c r="G4679" s="3" t="n">
        <v>335718.86</v>
      </c>
    </row>
    <row r="4680">
      <c r="A4680" s="3" t="inlineStr">
        <is>
          <t>Cape Projects Construction (Pty) Ltd</t>
        </is>
      </c>
      <c r="B4680" s="4" t="n">
        <v>45260</v>
      </c>
      <c r="C4680" s="3" t="inlineStr">
        <is>
          <t>Expenses</t>
        </is>
      </c>
      <c r="D4680" s="3" t="inlineStr">
        <is>
          <t>2011/700</t>
        </is>
      </c>
      <c r="E4680" s="3" t="inlineStr">
        <is>
          <t>COS - Heron Fields - Health &amp; Safety</t>
        </is>
      </c>
      <c r="F4680" s="3" t="n">
        <v>0</v>
      </c>
      <c r="G4680" s="3" t="n">
        <v>694.78</v>
      </c>
    </row>
    <row r="4681">
      <c r="A4681" s="3" t="inlineStr">
        <is>
          <t>Cape Projects Construction (Pty) Ltd</t>
        </is>
      </c>
      <c r="B4681" s="4" t="n">
        <v>45260</v>
      </c>
      <c r="C4681" s="3" t="inlineStr">
        <is>
          <t>Expenses</t>
        </is>
      </c>
      <c r="D4681" s="3" t="inlineStr">
        <is>
          <t>2011/900</t>
        </is>
      </c>
      <c r="E4681" s="3" t="inlineStr">
        <is>
          <t>COS - Heron - Internet</t>
        </is>
      </c>
      <c r="F4681" s="3" t="n">
        <v>1797.39</v>
      </c>
      <c r="G4681" s="3" t="n">
        <v>13682.28</v>
      </c>
    </row>
    <row r="4682">
      <c r="A4682" s="3" t="inlineStr">
        <is>
          <t>Cape Projects Construction (Pty) Ltd</t>
        </is>
      </c>
      <c r="B4682" s="4" t="n">
        <v>45260</v>
      </c>
      <c r="C4682" s="3" t="inlineStr">
        <is>
          <t>Expenses</t>
        </is>
      </c>
      <c r="D4682" s="3" t="inlineStr">
        <is>
          <t>2012/001</t>
        </is>
      </c>
      <c r="E4682" s="3" t="inlineStr">
        <is>
          <t>COS - Heron View - Printing &amp; Stationary</t>
        </is>
      </c>
      <c r="F4682" s="3" t="n">
        <v>5843.48</v>
      </c>
      <c r="G4682" s="3" t="n">
        <v>28253.64</v>
      </c>
    </row>
    <row r="4683">
      <c r="A4683" s="3" t="inlineStr">
        <is>
          <t>Cape Projects Construction (Pty) Ltd</t>
        </is>
      </c>
      <c r="B4683" s="4" t="n">
        <v>45260</v>
      </c>
      <c r="C4683" s="3" t="inlineStr">
        <is>
          <t>Expenses</t>
        </is>
      </c>
      <c r="D4683" s="3" t="inlineStr">
        <is>
          <t>2012/002</t>
        </is>
      </c>
      <c r="E4683" s="3" t="inlineStr">
        <is>
          <t>COS - Heron View - Construction</t>
        </is>
      </c>
      <c r="F4683" s="3" t="n">
        <v>10559669.02</v>
      </c>
      <c r="G4683" s="3" t="n">
        <v>37318053.89</v>
      </c>
    </row>
    <row r="4684">
      <c r="A4684" s="3" t="inlineStr">
        <is>
          <t>Cape Projects Construction (Pty) Ltd</t>
        </is>
      </c>
      <c r="B4684" s="4" t="n">
        <v>45260</v>
      </c>
      <c r="C4684" s="3" t="inlineStr">
        <is>
          <t>Expenses</t>
        </is>
      </c>
      <c r="D4684" s="3" t="inlineStr">
        <is>
          <t>2012/003</t>
        </is>
      </c>
      <c r="E4684" s="3" t="inlineStr">
        <is>
          <t>COS - Heron View - P&amp;G</t>
        </is>
      </c>
      <c r="F4684" s="3" t="n">
        <v>1665.25</v>
      </c>
      <c r="G4684" s="3" t="n">
        <v>547235.14</v>
      </c>
    </row>
    <row r="4685">
      <c r="A4685" s="3" t="inlineStr">
        <is>
          <t>Cape Projects Construction (Pty) Ltd</t>
        </is>
      </c>
      <c r="B4685" s="4" t="n">
        <v>45260</v>
      </c>
      <c r="C4685" s="3" t="inlineStr">
        <is>
          <t>Expenses</t>
        </is>
      </c>
      <c r="D4685" s="3" t="inlineStr">
        <is>
          <t>2013/000</t>
        </is>
      </c>
      <c r="E4685" s="3" t="inlineStr">
        <is>
          <t>COS - Bakhoven</t>
        </is>
      </c>
      <c r="F4685" s="3" t="n">
        <v>0</v>
      </c>
      <c r="G4685" s="3" t="n">
        <v>17292.48</v>
      </c>
    </row>
    <row r="4686">
      <c r="A4686" s="3" t="inlineStr">
        <is>
          <t>Cape Projects Construction (Pty) Ltd</t>
        </is>
      </c>
      <c r="B4686" s="4" t="n">
        <v>45260</v>
      </c>
      <c r="C4686" s="3" t="inlineStr">
        <is>
          <t>Revenue</t>
        </is>
      </c>
      <c r="D4686" s="3" t="inlineStr">
        <is>
          <t>2750/000</t>
        </is>
      </c>
      <c r="E4686" s="3" t="inlineStr">
        <is>
          <t>Interest Received - FNB</t>
        </is>
      </c>
      <c r="F4686" s="3" t="n">
        <v>-699.89</v>
      </c>
      <c r="G4686" s="3" t="n">
        <v>-1490.02</v>
      </c>
    </row>
    <row r="4687">
      <c r="A4687" s="3" t="inlineStr">
        <is>
          <t>Cape Projects Construction (Pty) Ltd</t>
        </is>
      </c>
      <c r="B4687" s="4" t="n">
        <v>45260</v>
      </c>
      <c r="C4687" s="3" t="inlineStr">
        <is>
          <t>Revenue</t>
        </is>
      </c>
      <c r="D4687" s="3" t="inlineStr">
        <is>
          <t>2751/001</t>
        </is>
      </c>
      <c r="E4687" s="3" t="inlineStr">
        <is>
          <t>Interest received - Momentum</t>
        </is>
      </c>
      <c r="F4687" s="3" t="n">
        <v>0</v>
      </c>
      <c r="G4687" s="3" t="n">
        <v>-34.23</v>
      </c>
    </row>
    <row r="4688">
      <c r="A4688" s="3" t="inlineStr">
        <is>
          <t>Heron Fields (Pty) Ltd</t>
        </is>
      </c>
      <c r="B4688" s="4" t="n">
        <v>45260</v>
      </c>
      <c r="C4688" s="3" t="inlineStr">
        <is>
          <t>Revenue</t>
        </is>
      </c>
      <c r="D4688" s="3" t="inlineStr">
        <is>
          <t>2755/001</t>
        </is>
      </c>
      <c r="E4688" s="3" t="inlineStr">
        <is>
          <t>Interest Received - Momentum</t>
        </is>
      </c>
      <c r="F4688" s="3" t="n">
        <v>-289283.88</v>
      </c>
      <c r="G4688" s="3" t="n">
        <v>-2370660.93</v>
      </c>
    </row>
    <row r="4689">
      <c r="A4689" s="3" t="inlineStr">
        <is>
          <t>Heron Fields (Pty) Ltd</t>
        </is>
      </c>
      <c r="B4689" s="4" t="n">
        <v>45260</v>
      </c>
      <c r="C4689" s="3" t="inlineStr">
        <is>
          <t>Expenses</t>
        </is>
      </c>
      <c r="D4689" s="3" t="inlineStr">
        <is>
          <t>3000/000</t>
        </is>
      </c>
      <c r="E4689" s="3" t="inlineStr">
        <is>
          <t>Accounting Fees</t>
        </is>
      </c>
      <c r="F4689" s="3" t="n">
        <v>0</v>
      </c>
      <c r="G4689" s="3" t="n">
        <v>15024.96</v>
      </c>
    </row>
    <row r="4690">
      <c r="A4690" s="3" t="inlineStr">
        <is>
          <t>Heron Fields (Pty) Ltd</t>
        </is>
      </c>
      <c r="B4690" s="4" t="n">
        <v>45260</v>
      </c>
      <c r="C4690" s="3" t="inlineStr">
        <is>
          <t>Expenses</t>
        </is>
      </c>
      <c r="D4690" s="3" t="inlineStr">
        <is>
          <t>3000/100</t>
        </is>
      </c>
      <c r="E4690" s="3" t="inlineStr">
        <is>
          <t>Accounting - CIPC</t>
        </is>
      </c>
      <c r="F4690" s="3" t="n">
        <v>0</v>
      </c>
      <c r="G4690" s="3" t="n">
        <v>3050</v>
      </c>
    </row>
    <row r="4691">
      <c r="A4691" s="3" t="inlineStr">
        <is>
          <t>Cape Projects Construction (Pty) Ltd</t>
        </is>
      </c>
      <c r="B4691" s="4" t="n">
        <v>45260</v>
      </c>
      <c r="C4691" s="3" t="inlineStr">
        <is>
          <t>Expenses</t>
        </is>
      </c>
      <c r="D4691" s="3" t="inlineStr">
        <is>
          <t>3001/000</t>
        </is>
      </c>
      <c r="E4691" s="3" t="inlineStr">
        <is>
          <t>Accounting Fees - Other</t>
        </is>
      </c>
      <c r="F4691" s="3" t="n">
        <v>0</v>
      </c>
      <c r="G4691" s="3" t="n">
        <v>1280</v>
      </c>
    </row>
    <row r="4692">
      <c r="A4692" s="3" t="inlineStr">
        <is>
          <t>Cape Projects Construction (Pty) Ltd</t>
        </is>
      </c>
      <c r="B4692" s="4" t="n">
        <v>45260</v>
      </c>
      <c r="C4692" s="3" t="inlineStr">
        <is>
          <t>Expenses</t>
        </is>
      </c>
      <c r="D4692" s="3" t="inlineStr">
        <is>
          <t>3002/000</t>
        </is>
      </c>
      <c r="E4692" s="3" t="inlineStr">
        <is>
          <t>Accounting Fees - Audit</t>
        </is>
      </c>
      <c r="F4692" s="3" t="n">
        <v>0</v>
      </c>
      <c r="G4692" s="3" t="n">
        <v>11170</v>
      </c>
    </row>
    <row r="4693">
      <c r="A4693" s="3" t="inlineStr">
        <is>
          <t>Cape Projects Construction (Pty) Ltd</t>
        </is>
      </c>
      <c r="B4693" s="4" t="n">
        <v>45260</v>
      </c>
      <c r="C4693" s="3" t="inlineStr">
        <is>
          <t>Expenses</t>
        </is>
      </c>
      <c r="D4693" s="3" t="inlineStr">
        <is>
          <t>3050/000</t>
        </is>
      </c>
      <c r="E4693" s="3" t="inlineStr">
        <is>
          <t>Advertising _AND_ Promotions</t>
        </is>
      </c>
      <c r="F4693" s="3" t="n">
        <v>0</v>
      </c>
      <c r="G4693" s="3" t="n">
        <v>10975</v>
      </c>
    </row>
    <row r="4694">
      <c r="A4694" s="3" t="inlineStr">
        <is>
          <t>Heron Fields (Pty) Ltd</t>
        </is>
      </c>
      <c r="B4694" s="4" t="n">
        <v>45260</v>
      </c>
      <c r="C4694" s="3" t="inlineStr">
        <is>
          <t>Expenses</t>
        </is>
      </c>
      <c r="D4694" s="3" t="inlineStr">
        <is>
          <t>3050/000</t>
        </is>
      </c>
      <c r="E4694" s="3" t="inlineStr">
        <is>
          <t>Advertising _AND_ Promotions</t>
        </is>
      </c>
      <c r="F4694" s="3" t="n">
        <v>7641.04</v>
      </c>
      <c r="G4694" s="3" t="n">
        <v>177983.09</v>
      </c>
    </row>
    <row r="4695">
      <c r="A4695" s="3" t="inlineStr">
        <is>
          <t>Heron View (Pty) Ltd</t>
        </is>
      </c>
      <c r="B4695" s="4" t="n">
        <v>45260</v>
      </c>
      <c r="C4695" s="3" t="inlineStr">
        <is>
          <t>Expenses</t>
        </is>
      </c>
      <c r="D4695" s="3" t="inlineStr">
        <is>
          <t>3050/000</t>
        </is>
      </c>
      <c r="E4695" s="3" t="inlineStr">
        <is>
          <t>Advertising _AND_ Promotions</t>
        </is>
      </c>
      <c r="F4695" s="3" t="n">
        <v>0</v>
      </c>
      <c r="G4695" s="3" t="n">
        <v>52426.47</v>
      </c>
    </row>
    <row r="4696">
      <c r="A4696" s="3" t="inlineStr">
        <is>
          <t>Heron Fields (Pty) Ltd</t>
        </is>
      </c>
      <c r="B4696" s="4" t="n">
        <v>45260</v>
      </c>
      <c r="C4696" s="3" t="inlineStr">
        <is>
          <t>Expenses</t>
        </is>
      </c>
      <c r="D4696" s="3" t="inlineStr">
        <is>
          <t>3050/100</t>
        </is>
      </c>
      <c r="E4696" s="3" t="inlineStr">
        <is>
          <t>Advertising - Property24</t>
        </is>
      </c>
      <c r="F4696" s="3" t="n">
        <v>0</v>
      </c>
      <c r="G4696" s="3" t="n">
        <v>12480</v>
      </c>
    </row>
    <row r="4697">
      <c r="A4697" s="3" t="inlineStr">
        <is>
          <t>Cape Projects Construction (Pty) Ltd</t>
        </is>
      </c>
      <c r="B4697" s="4" t="n">
        <v>45260</v>
      </c>
      <c r="C4697" s="3" t="inlineStr">
        <is>
          <t>Expenses</t>
        </is>
      </c>
      <c r="D4697" s="3" t="inlineStr">
        <is>
          <t>3050/150</t>
        </is>
      </c>
      <c r="E4697" s="3" t="inlineStr">
        <is>
          <t>Advertising - Design Fees</t>
        </is>
      </c>
      <c r="F4697" s="3" t="n">
        <v>0</v>
      </c>
      <c r="G4697" s="3" t="n">
        <v>295</v>
      </c>
    </row>
    <row r="4698">
      <c r="A4698" s="3" t="inlineStr">
        <is>
          <t>Heron Fields (Pty) Ltd</t>
        </is>
      </c>
      <c r="B4698" s="4" t="n">
        <v>45260</v>
      </c>
      <c r="C4698" s="3" t="inlineStr">
        <is>
          <t>Expenses</t>
        </is>
      </c>
      <c r="D4698" s="3" t="inlineStr">
        <is>
          <t>3050/300</t>
        </is>
      </c>
      <c r="E4698" s="3" t="inlineStr">
        <is>
          <t>Advertising - Real Marketing</t>
        </is>
      </c>
      <c r="F4698" s="3" t="n">
        <v>0</v>
      </c>
      <c r="G4698" s="3" t="n">
        <v>10250</v>
      </c>
    </row>
    <row r="4699">
      <c r="A4699" s="3" t="inlineStr">
        <is>
          <t>Heron View (Pty) Ltd</t>
        </is>
      </c>
      <c r="B4699" s="4" t="n">
        <v>45260</v>
      </c>
      <c r="C4699" s="3" t="inlineStr">
        <is>
          <t>Expenses</t>
        </is>
      </c>
      <c r="D4699" s="3" t="inlineStr">
        <is>
          <t>3050/300</t>
        </is>
      </c>
      <c r="E4699" s="3" t="inlineStr">
        <is>
          <t>Advertising - Thinkink</t>
        </is>
      </c>
      <c r="F4699" s="3" t="n">
        <v>0</v>
      </c>
      <c r="G4699" s="3" t="n">
        <v>17855</v>
      </c>
    </row>
    <row r="4700">
      <c r="A4700" s="3" t="inlineStr">
        <is>
          <t>Heron View (Pty) Ltd</t>
        </is>
      </c>
      <c r="B4700" s="4" t="n">
        <v>45260</v>
      </c>
      <c r="C4700" s="3" t="inlineStr">
        <is>
          <t>Expenses</t>
        </is>
      </c>
      <c r="D4700" s="3" t="inlineStr">
        <is>
          <t>3050/400</t>
        </is>
      </c>
      <c r="E4700" s="3" t="inlineStr">
        <is>
          <t>Advertising - Pure Brand Activation</t>
        </is>
      </c>
      <c r="F4700" s="3" t="n">
        <v>0</v>
      </c>
      <c r="G4700" s="3" t="n">
        <v>14569.1</v>
      </c>
    </row>
    <row r="4701">
      <c r="A4701" s="3" t="inlineStr">
        <is>
          <t>Cape Projects Construction (Pty) Ltd</t>
        </is>
      </c>
      <c r="B4701" s="4" t="n">
        <v>45260</v>
      </c>
      <c r="C4701" s="3" t="inlineStr">
        <is>
          <t>Expenses</t>
        </is>
      </c>
      <c r="D4701" s="3" t="inlineStr">
        <is>
          <t>3050/450</t>
        </is>
      </c>
      <c r="E4701" s="3" t="inlineStr">
        <is>
          <t>Advertising - Other</t>
        </is>
      </c>
      <c r="F4701" s="3" t="n">
        <v>0</v>
      </c>
      <c r="G4701" s="3" t="n">
        <v>1597</v>
      </c>
    </row>
    <row r="4702">
      <c r="A4702" s="3" t="inlineStr">
        <is>
          <t>Heron View (Pty) Ltd</t>
        </is>
      </c>
      <c r="B4702" s="4" t="n">
        <v>45260</v>
      </c>
      <c r="C4702" s="3" t="inlineStr">
        <is>
          <t>Expenses</t>
        </is>
      </c>
      <c r="D4702" s="3" t="inlineStr">
        <is>
          <t>3050/500</t>
        </is>
      </c>
      <c r="E4702" s="3" t="inlineStr">
        <is>
          <t>Advertising - Real Marketing</t>
        </is>
      </c>
      <c r="F4702" s="3" t="n">
        <v>0</v>
      </c>
      <c r="G4702" s="3" t="n">
        <v>18500</v>
      </c>
    </row>
    <row r="4703">
      <c r="A4703" s="3" t="inlineStr">
        <is>
          <t>Cape Projects Construction (Pty) Ltd</t>
        </is>
      </c>
      <c r="B4703" s="4" t="n">
        <v>45260</v>
      </c>
      <c r="C4703" s="3" t="inlineStr">
        <is>
          <t>Expenses</t>
        </is>
      </c>
      <c r="D4703" s="3" t="inlineStr">
        <is>
          <t>3200/000</t>
        </is>
      </c>
      <c r="E4703" s="3" t="inlineStr">
        <is>
          <t>Bank Charges</t>
        </is>
      </c>
      <c r="F4703" s="3" t="n">
        <v>1423.87</v>
      </c>
      <c r="G4703" s="3" t="n">
        <v>16125.98</v>
      </c>
    </row>
    <row r="4704">
      <c r="A4704" s="3" t="inlineStr">
        <is>
          <t>Heron Fields (Pty) Ltd</t>
        </is>
      </c>
      <c r="B4704" s="4" t="n">
        <v>45260</v>
      </c>
      <c r="C4704" s="3" t="inlineStr">
        <is>
          <t>Expenses</t>
        </is>
      </c>
      <c r="D4704" s="3" t="inlineStr">
        <is>
          <t>3200/000</t>
        </is>
      </c>
      <c r="E4704" s="3" t="inlineStr">
        <is>
          <t>Bank Charges</t>
        </is>
      </c>
      <c r="F4704" s="3" t="n">
        <v>398.2</v>
      </c>
      <c r="G4704" s="3" t="n">
        <v>3981.69</v>
      </c>
    </row>
    <row r="4705">
      <c r="A4705" s="3" t="inlineStr">
        <is>
          <t>Cape Projects Construction (Pty) Ltd</t>
        </is>
      </c>
      <c r="B4705" s="4" t="n">
        <v>45260</v>
      </c>
      <c r="C4705" s="3" t="inlineStr">
        <is>
          <t>Expenses</t>
        </is>
      </c>
      <c r="D4705" s="3" t="inlineStr">
        <is>
          <t>3250/000</t>
        </is>
      </c>
      <c r="E4705" s="3" t="inlineStr">
        <is>
          <t>Cleaning</t>
        </is>
      </c>
      <c r="F4705" s="3" t="n">
        <v>216.48</v>
      </c>
      <c r="G4705" s="3" t="n">
        <v>728.37</v>
      </c>
    </row>
    <row r="4706">
      <c r="A4706" s="3" t="inlineStr">
        <is>
          <t>Cape Projects Construction (Pty) Ltd</t>
        </is>
      </c>
      <c r="B4706" s="4" t="n">
        <v>45260</v>
      </c>
      <c r="C4706" s="3" t="inlineStr">
        <is>
          <t>Expenses</t>
        </is>
      </c>
      <c r="D4706" s="3" t="inlineStr">
        <is>
          <t>3255/000</t>
        </is>
      </c>
      <c r="E4706" s="3" t="inlineStr">
        <is>
          <t>Cell Phone - CT Office</t>
        </is>
      </c>
      <c r="F4706" s="3" t="n">
        <v>0</v>
      </c>
      <c r="G4706" s="3" t="n">
        <v>4123</v>
      </c>
    </row>
    <row r="4707">
      <c r="A4707" s="3" t="inlineStr">
        <is>
          <t>Cape Projects Construction (Pty) Ltd</t>
        </is>
      </c>
      <c r="B4707" s="4" t="n">
        <v>45260</v>
      </c>
      <c r="C4707" s="3" t="inlineStr">
        <is>
          <t>Expenses</t>
        </is>
      </c>
      <c r="D4707" s="3" t="inlineStr">
        <is>
          <t>3256/000</t>
        </is>
      </c>
      <c r="E4707" s="3" t="inlineStr">
        <is>
          <t>Cell Phone - Nick Morgan</t>
        </is>
      </c>
      <c r="F4707" s="3" t="n">
        <v>0</v>
      </c>
      <c r="G4707" s="3" t="n">
        <v>26779.67</v>
      </c>
    </row>
    <row r="4708">
      <c r="A4708" s="3" t="inlineStr">
        <is>
          <t>Cape Projects Construction (Pty) Ltd</t>
        </is>
      </c>
      <c r="B4708" s="4" t="n">
        <v>45260</v>
      </c>
      <c r="C4708" s="3" t="inlineStr">
        <is>
          <t>Expenses</t>
        </is>
      </c>
      <c r="D4708" s="3" t="inlineStr">
        <is>
          <t>3300/000</t>
        </is>
      </c>
      <c r="E4708" s="3" t="inlineStr">
        <is>
          <t>Computer Expenses</t>
        </is>
      </c>
      <c r="F4708" s="3" t="n">
        <v>1100</v>
      </c>
      <c r="G4708" s="3" t="n">
        <v>6402.65</v>
      </c>
    </row>
    <row r="4709">
      <c r="A4709" s="3" t="inlineStr">
        <is>
          <t>Cape Projects Construction (Pty) Ltd</t>
        </is>
      </c>
      <c r="B4709" s="4" t="n">
        <v>45260</v>
      </c>
      <c r="C4709" s="3" t="inlineStr">
        <is>
          <t>Expenses</t>
        </is>
      </c>
      <c r="D4709" s="3" t="inlineStr">
        <is>
          <t>3300/100</t>
        </is>
      </c>
      <c r="E4709" s="3" t="inlineStr">
        <is>
          <t>Computer Exp - IT, Internet/Hosting Fee</t>
        </is>
      </c>
      <c r="F4709" s="3" t="n">
        <v>3230</v>
      </c>
      <c r="G4709" s="3" t="n">
        <v>35869</v>
      </c>
    </row>
    <row r="4710">
      <c r="A4710" s="3" t="inlineStr">
        <is>
          <t>Heron Fields (Pty) Ltd</t>
        </is>
      </c>
      <c r="B4710" s="4" t="n">
        <v>45260</v>
      </c>
      <c r="C4710" s="3" t="inlineStr">
        <is>
          <t>Expenses</t>
        </is>
      </c>
      <c r="D4710" s="3" t="inlineStr">
        <is>
          <t>3350/100</t>
        </is>
      </c>
      <c r="E4710" s="3" t="inlineStr">
        <is>
          <t>Consulting Fees - Admin and Finance</t>
        </is>
      </c>
      <c r="F4710" s="3" t="n">
        <v>115333</v>
      </c>
      <c r="G4710" s="3" t="n">
        <v>1054082.57</v>
      </c>
    </row>
    <row r="4711">
      <c r="A4711" s="3" t="inlineStr">
        <is>
          <t>Cape Projects Construction (Pty) Ltd</t>
        </is>
      </c>
      <c r="B4711" s="4" t="n">
        <v>45260</v>
      </c>
      <c r="C4711" s="3" t="inlineStr">
        <is>
          <t>Expenses</t>
        </is>
      </c>
      <c r="D4711" s="3" t="inlineStr">
        <is>
          <t>3350/300</t>
        </is>
      </c>
      <c r="E4711" s="3" t="inlineStr">
        <is>
          <t>Consulting Fees - Admin and Finance</t>
        </is>
      </c>
      <c r="F4711" s="3" t="n">
        <v>124297</v>
      </c>
      <c r="G4711" s="3" t="n">
        <v>1107037.7</v>
      </c>
    </row>
    <row r="4712">
      <c r="A4712" s="3" t="inlineStr">
        <is>
          <t>Heron Fields (Pty) Ltd</t>
        </is>
      </c>
      <c r="B4712" s="4" t="n">
        <v>45260</v>
      </c>
      <c r="C4712" s="3" t="inlineStr">
        <is>
          <t>Expenses</t>
        </is>
      </c>
      <c r="D4712" s="3" t="inlineStr">
        <is>
          <t>3351/000</t>
        </is>
      </c>
      <c r="E4712" s="3" t="inlineStr">
        <is>
          <t>Consulting fees - Trustee</t>
        </is>
      </c>
      <c r="F4712" s="3" t="n">
        <v>4200</v>
      </c>
      <c r="G4712" s="3" t="n">
        <v>22100</v>
      </c>
    </row>
    <row r="4713">
      <c r="A4713" s="3" t="inlineStr">
        <is>
          <t>Heron View (Pty) Ltd</t>
        </is>
      </c>
      <c r="B4713" s="4" t="n">
        <v>45260</v>
      </c>
      <c r="C4713" s="3" t="inlineStr">
        <is>
          <t>Expenses</t>
        </is>
      </c>
      <c r="D4713" s="3" t="inlineStr">
        <is>
          <t>3351/000</t>
        </is>
      </c>
      <c r="E4713" s="3" t="inlineStr">
        <is>
          <t>Consulting fees - Trustee</t>
        </is>
      </c>
      <c r="F4713" s="3" t="n">
        <v>11250</v>
      </c>
      <c r="G4713" s="3" t="n">
        <v>52000</v>
      </c>
    </row>
    <row r="4714">
      <c r="A4714" s="3" t="inlineStr">
        <is>
          <t>Cape Projects Construction (Pty) Ltd</t>
        </is>
      </c>
      <c r="B4714" s="4" t="n">
        <v>45260</v>
      </c>
      <c r="C4714" s="3" t="inlineStr">
        <is>
          <t>Expenses</t>
        </is>
      </c>
      <c r="D4714" s="3" t="inlineStr">
        <is>
          <t>3400/000</t>
        </is>
      </c>
      <c r="E4714" s="3" t="inlineStr">
        <is>
          <t>Courier _AND_ Postage</t>
        </is>
      </c>
      <c r="F4714" s="3" t="n">
        <v>0</v>
      </c>
      <c r="G4714" s="3" t="n">
        <v>331.09</v>
      </c>
    </row>
    <row r="4715">
      <c r="A4715" s="3" t="inlineStr">
        <is>
          <t>Cape Projects Construction (Pty) Ltd</t>
        </is>
      </c>
      <c r="B4715" s="4" t="n">
        <v>45260</v>
      </c>
      <c r="C4715" s="3" t="inlineStr">
        <is>
          <t>Expenses</t>
        </is>
      </c>
      <c r="D4715" s="3" t="inlineStr">
        <is>
          <t>3450/001</t>
        </is>
      </c>
      <c r="E4715" s="3" t="inlineStr">
        <is>
          <t>Depreciation - Computer Equipment</t>
        </is>
      </c>
      <c r="F4715" s="3" t="n">
        <v>4549.49</v>
      </c>
      <c r="G4715" s="3" t="n">
        <v>32687.01</v>
      </c>
    </row>
    <row r="4716">
      <c r="A4716" s="3" t="inlineStr">
        <is>
          <t>Cape Projects Construction (Pty) Ltd</t>
        </is>
      </c>
      <c r="B4716" s="4" t="n">
        <v>45260</v>
      </c>
      <c r="C4716" s="3" t="inlineStr">
        <is>
          <t>Expenses</t>
        </is>
      </c>
      <c r="D4716" s="3" t="inlineStr">
        <is>
          <t>3450/002</t>
        </is>
      </c>
      <c r="E4716" s="3" t="inlineStr">
        <is>
          <t>Depreciation - Generator Fixed Asset</t>
        </is>
      </c>
      <c r="F4716" s="3" t="n">
        <v>1188.7</v>
      </c>
      <c r="G4716" s="3" t="n">
        <v>8707.57</v>
      </c>
    </row>
    <row r="4717">
      <c r="A4717" s="3" t="inlineStr">
        <is>
          <t>Cape Projects Construction (Pty) Ltd</t>
        </is>
      </c>
      <c r="B4717" s="4" t="n">
        <v>45260</v>
      </c>
      <c r="C4717" s="3" t="inlineStr">
        <is>
          <t>Expenses</t>
        </is>
      </c>
      <c r="D4717" s="3" t="inlineStr">
        <is>
          <t>3450/030</t>
        </is>
      </c>
      <c r="E4717" s="3" t="inlineStr">
        <is>
          <t>Depreciation - Furniture and Fittings</t>
        </is>
      </c>
      <c r="F4717" s="3" t="n">
        <v>547.67</v>
      </c>
      <c r="G4717" s="3" t="n">
        <v>4929.09</v>
      </c>
    </row>
    <row r="4718">
      <c r="A4718" s="3" t="inlineStr">
        <is>
          <t>Heron Fields (Pty) Ltd</t>
        </is>
      </c>
      <c r="B4718" s="4" t="n">
        <v>45260</v>
      </c>
      <c r="C4718" s="3" t="inlineStr">
        <is>
          <t>Expenses</t>
        </is>
      </c>
      <c r="D4718" s="3" t="inlineStr">
        <is>
          <t>3650/000</t>
        </is>
      </c>
      <c r="E4718" s="3" t="inlineStr">
        <is>
          <t>CoCT - Electricity</t>
        </is>
      </c>
      <c r="F4718" s="3" t="n">
        <v>498.69</v>
      </c>
      <c r="G4718" s="3" t="n">
        <v>224762.54</v>
      </c>
    </row>
    <row r="4719">
      <c r="A4719" s="3" t="inlineStr">
        <is>
          <t>Cape Projects Construction (Pty) Ltd</t>
        </is>
      </c>
      <c r="B4719" s="4" t="n">
        <v>45260</v>
      </c>
      <c r="C4719" s="3" t="inlineStr">
        <is>
          <t>Expenses</t>
        </is>
      </c>
      <c r="D4719" s="3" t="inlineStr">
        <is>
          <t>3650/000</t>
        </is>
      </c>
      <c r="E4719" s="3" t="inlineStr">
        <is>
          <t>Electricity _AND_ Water</t>
        </is>
      </c>
      <c r="F4719" s="3" t="n">
        <v>7400.09</v>
      </c>
      <c r="G4719" s="3" t="n">
        <v>60974.72</v>
      </c>
    </row>
    <row r="4720">
      <c r="A4720" s="3" t="inlineStr">
        <is>
          <t>Heron Fields (Pty) Ltd</t>
        </is>
      </c>
      <c r="B4720" s="4" t="n">
        <v>45260</v>
      </c>
      <c r="C4720" s="3" t="inlineStr">
        <is>
          <t>Expenses</t>
        </is>
      </c>
      <c r="D4720" s="3" t="inlineStr">
        <is>
          <t>3660/000</t>
        </is>
      </c>
      <c r="E4720" s="3" t="inlineStr">
        <is>
          <t>CoCT - Water</t>
        </is>
      </c>
      <c r="F4720" s="3" t="n">
        <v>1058.21</v>
      </c>
      <c r="G4720" s="3" t="n">
        <v>93188.60000000001</v>
      </c>
    </row>
    <row r="4721">
      <c r="A4721" s="3" t="inlineStr">
        <is>
          <t>Heron Fields (Pty) Ltd</t>
        </is>
      </c>
      <c r="B4721" s="4" t="n">
        <v>45260</v>
      </c>
      <c r="C4721" s="3" t="inlineStr">
        <is>
          <t>Expenses</t>
        </is>
      </c>
      <c r="D4721" s="3" t="inlineStr">
        <is>
          <t>3670/000</t>
        </is>
      </c>
      <c r="E4721" s="3" t="inlineStr">
        <is>
          <t>CoCT - Refuse</t>
        </is>
      </c>
      <c r="F4721" s="3" t="n">
        <v>0</v>
      </c>
      <c r="G4721" s="3" t="n">
        <v>46978.37</v>
      </c>
    </row>
    <row r="4722">
      <c r="A4722" s="3" t="inlineStr">
        <is>
          <t>Heron Fields (Pty) Ltd</t>
        </is>
      </c>
      <c r="B4722" s="4" t="n">
        <v>45260</v>
      </c>
      <c r="C4722" s="3" t="inlineStr">
        <is>
          <t>Expenses</t>
        </is>
      </c>
      <c r="D4722" s="3" t="inlineStr">
        <is>
          <t>3700/000</t>
        </is>
      </c>
      <c r="E4722" s="3" t="inlineStr">
        <is>
          <t>Entertainment Expenses</t>
        </is>
      </c>
      <c r="F4722" s="3" t="n">
        <v>0</v>
      </c>
      <c r="G4722" s="3" t="n">
        <v>39.47</v>
      </c>
    </row>
    <row r="4723">
      <c r="A4723" s="3" t="inlineStr">
        <is>
          <t>Heron Fields (Pty) Ltd</t>
        </is>
      </c>
      <c r="B4723" s="4" t="n">
        <v>45260</v>
      </c>
      <c r="C4723" s="3" t="inlineStr">
        <is>
          <t>Expenses</t>
        </is>
      </c>
      <c r="D4723" s="3" t="inlineStr">
        <is>
          <t>3800/000</t>
        </is>
      </c>
      <c r="E4723" s="3" t="inlineStr">
        <is>
          <t>General Expenses</t>
        </is>
      </c>
      <c r="F4723" s="3" t="n">
        <v>0</v>
      </c>
      <c r="G4723" s="3" t="n">
        <v>199.99</v>
      </c>
    </row>
    <row r="4724">
      <c r="A4724" s="3" t="inlineStr">
        <is>
          <t>Heron Fields (Pty) Ltd</t>
        </is>
      </c>
      <c r="B4724" s="4" t="n">
        <v>45260</v>
      </c>
      <c r="C4724" s="3" t="inlineStr">
        <is>
          <t>Expenses</t>
        </is>
      </c>
      <c r="D4724" s="3" t="inlineStr">
        <is>
          <t>3850/000</t>
        </is>
      </c>
      <c r="E4724" s="3" t="inlineStr">
        <is>
          <t>Insurance</t>
        </is>
      </c>
      <c r="F4724" s="3" t="n">
        <v>12118.18</v>
      </c>
      <c r="G4724" s="3" t="n">
        <v>85382.16</v>
      </c>
    </row>
    <row r="4725">
      <c r="A4725" s="3" t="inlineStr">
        <is>
          <t>Cape Projects Construction (Pty) Ltd</t>
        </is>
      </c>
      <c r="B4725" s="4" t="n">
        <v>45260</v>
      </c>
      <c r="C4725" s="3" t="inlineStr">
        <is>
          <t>Expenses</t>
        </is>
      </c>
      <c r="D4725" s="3" t="inlineStr">
        <is>
          <t>3850/001</t>
        </is>
      </c>
      <c r="E4725" s="3" t="inlineStr">
        <is>
          <t>Insurance - Santam</t>
        </is>
      </c>
      <c r="F4725" s="3" t="n">
        <v>2211.15</v>
      </c>
      <c r="G4725" s="3" t="n">
        <v>18574.96</v>
      </c>
    </row>
    <row r="4726">
      <c r="A4726" s="3" t="inlineStr">
        <is>
          <t>Cape Projects Construction (Pty) Ltd</t>
        </is>
      </c>
      <c r="B4726" s="4" t="n">
        <v>45260</v>
      </c>
      <c r="C4726" s="3" t="inlineStr">
        <is>
          <t>Expenses</t>
        </is>
      </c>
      <c r="D4726" s="3" t="inlineStr">
        <is>
          <t>3850/004</t>
        </is>
      </c>
      <c r="E4726" s="3" t="inlineStr">
        <is>
          <t>Insurance - A_AND_G</t>
        </is>
      </c>
      <c r="F4726" s="3" t="n">
        <v>0</v>
      </c>
      <c r="G4726" s="3" t="n">
        <v>24242.76</v>
      </c>
    </row>
    <row r="4727">
      <c r="A4727" s="3" t="inlineStr">
        <is>
          <t>Heron Fields (Pty) Ltd</t>
        </is>
      </c>
      <c r="B4727" s="4" t="n">
        <v>45260</v>
      </c>
      <c r="C4727" s="3" t="inlineStr">
        <is>
          <t>Expenses</t>
        </is>
      </c>
      <c r="D4727" s="3" t="inlineStr">
        <is>
          <t>3900/000</t>
        </is>
      </c>
      <c r="E4727" s="3" t="inlineStr">
        <is>
          <t>Interest Paid</t>
        </is>
      </c>
      <c r="F4727" s="3" t="n">
        <v>0</v>
      </c>
      <c r="G4727" s="3" t="n">
        <v>-533.8</v>
      </c>
    </row>
    <row r="4728">
      <c r="A4728" s="3" t="inlineStr">
        <is>
          <t>Heron Fields (Pty) Ltd</t>
        </is>
      </c>
      <c r="B4728" s="4" t="n">
        <v>45260</v>
      </c>
      <c r="C4728" s="3" t="inlineStr">
        <is>
          <t>Expenses</t>
        </is>
      </c>
      <c r="D4728" s="3" t="inlineStr">
        <is>
          <t>3900/111</t>
        </is>
      </c>
      <c r="E4728" s="3" t="inlineStr">
        <is>
          <t>Interest Paid - Investors @ 6.25%</t>
        </is>
      </c>
      <c r="F4728" s="3" t="n">
        <v>0</v>
      </c>
      <c r="G4728" s="3" t="n">
        <v>167246.17</v>
      </c>
    </row>
    <row r="4729">
      <c r="A4729" s="3" t="inlineStr">
        <is>
          <t>Heron Fields (Pty) Ltd</t>
        </is>
      </c>
      <c r="B4729" s="4" t="n">
        <v>45260</v>
      </c>
      <c r="C4729" s="3" t="inlineStr">
        <is>
          <t>Expenses</t>
        </is>
      </c>
      <c r="D4729" s="3" t="inlineStr">
        <is>
          <t>3900/115</t>
        </is>
      </c>
      <c r="E4729" s="3" t="inlineStr">
        <is>
          <t>Interest Paid - Investors @ 6.5%</t>
        </is>
      </c>
      <c r="F4729" s="3" t="n">
        <v>0</v>
      </c>
      <c r="G4729" s="3" t="n">
        <v>72942.48</v>
      </c>
    </row>
    <row r="4730">
      <c r="A4730" s="3" t="inlineStr">
        <is>
          <t>Heron Fields (Pty) Ltd</t>
        </is>
      </c>
      <c r="B4730" s="4" t="n">
        <v>45260</v>
      </c>
      <c r="C4730" s="3" t="inlineStr">
        <is>
          <t>Expenses</t>
        </is>
      </c>
      <c r="D4730" s="3" t="inlineStr">
        <is>
          <t>3900/117</t>
        </is>
      </c>
      <c r="E4730" s="3" t="inlineStr">
        <is>
          <t>Interest Paid - Investors @ 6.75%</t>
        </is>
      </c>
      <c r="F4730" s="3" t="n">
        <v>0</v>
      </c>
      <c r="G4730" s="3" t="n">
        <v>44124.67</v>
      </c>
    </row>
    <row r="4731">
      <c r="A4731" s="3" t="inlineStr">
        <is>
          <t>Heron Fields (Pty) Ltd</t>
        </is>
      </c>
      <c r="B4731" s="4" t="n">
        <v>45260</v>
      </c>
      <c r="C4731" s="3" t="inlineStr">
        <is>
          <t>Expenses</t>
        </is>
      </c>
      <c r="D4731" s="3" t="inlineStr">
        <is>
          <t>3900/120</t>
        </is>
      </c>
      <c r="E4731" s="3" t="inlineStr">
        <is>
          <t>Interest Paid - Investors @ 7%</t>
        </is>
      </c>
      <c r="F4731" s="3" t="n">
        <v>0</v>
      </c>
      <c r="G4731" s="3" t="n">
        <v>11678.33</v>
      </c>
    </row>
    <row r="4732">
      <c r="A4732" s="3" t="inlineStr">
        <is>
          <t>Heron View (Pty) Ltd</t>
        </is>
      </c>
      <c r="B4732" s="4" t="n">
        <v>45260</v>
      </c>
      <c r="C4732" s="3" t="inlineStr">
        <is>
          <t>Expenses</t>
        </is>
      </c>
      <c r="D4732" s="3" t="inlineStr">
        <is>
          <t>3900/120</t>
        </is>
      </c>
      <c r="E4732" s="3" t="inlineStr">
        <is>
          <t>Interest Paid - Investors @ 7%</t>
        </is>
      </c>
      <c r="F4732" s="3" t="n">
        <v>0</v>
      </c>
      <c r="G4732" s="3" t="n">
        <v>1607.78</v>
      </c>
    </row>
    <row r="4733">
      <c r="A4733" s="3" t="inlineStr">
        <is>
          <t>Heron Fields (Pty) Ltd</t>
        </is>
      </c>
      <c r="B4733" s="4" t="n">
        <v>45260</v>
      </c>
      <c r="C4733" s="3" t="inlineStr">
        <is>
          <t>Expenses</t>
        </is>
      </c>
      <c r="D4733" s="3" t="inlineStr">
        <is>
          <t>3900/126</t>
        </is>
      </c>
      <c r="E4733" s="3" t="inlineStr">
        <is>
          <t>Interest Paid - Investors @ 7.5%</t>
        </is>
      </c>
      <c r="F4733" s="3" t="n">
        <v>0</v>
      </c>
      <c r="G4733" s="3" t="n">
        <v>1252.24</v>
      </c>
    </row>
    <row r="4734">
      <c r="A4734" s="3" t="inlineStr">
        <is>
          <t>Heron View (Pty) Ltd</t>
        </is>
      </c>
      <c r="B4734" s="4" t="n">
        <v>45260</v>
      </c>
      <c r="C4734" s="3" t="inlineStr">
        <is>
          <t>Expenses</t>
        </is>
      </c>
      <c r="D4734" s="3" t="inlineStr">
        <is>
          <t>3900/126</t>
        </is>
      </c>
      <c r="E4734" s="3" t="inlineStr">
        <is>
          <t>Interest Paid - Investors @ 7.5%</t>
        </is>
      </c>
      <c r="F4734" s="3" t="n">
        <v>0</v>
      </c>
      <c r="G4734" s="3" t="n">
        <v>1507.16</v>
      </c>
    </row>
    <row r="4735">
      <c r="A4735" s="3" t="inlineStr">
        <is>
          <t>Heron Fields (Pty) Ltd</t>
        </is>
      </c>
      <c r="B4735" s="4" t="n">
        <v>45260</v>
      </c>
      <c r="C4735" s="3" t="inlineStr">
        <is>
          <t>Expenses</t>
        </is>
      </c>
      <c r="D4735" s="3" t="inlineStr">
        <is>
          <t>3900/133</t>
        </is>
      </c>
      <c r="E4735" s="3" t="inlineStr">
        <is>
          <t>Interest Paid - Investors @ 8.25%</t>
        </is>
      </c>
      <c r="F4735" s="3" t="n">
        <v>0</v>
      </c>
      <c r="G4735" s="3" t="n">
        <v>5515.07</v>
      </c>
    </row>
    <row r="4736">
      <c r="A4736" s="3" t="inlineStr">
        <is>
          <t>Heron View (Pty) Ltd</t>
        </is>
      </c>
      <c r="B4736" s="4" t="n">
        <v>45260</v>
      </c>
      <c r="C4736" s="3" t="inlineStr">
        <is>
          <t>Expenses</t>
        </is>
      </c>
      <c r="D4736" s="3" t="inlineStr">
        <is>
          <t>3900/133</t>
        </is>
      </c>
      <c r="E4736" s="3" t="inlineStr">
        <is>
          <t>Interest Paid - Investors @ 8.25%</t>
        </is>
      </c>
      <c r="F4736" s="3" t="n">
        <v>4972.6</v>
      </c>
      <c r="G4736" s="3" t="n">
        <v>31078.79</v>
      </c>
    </row>
    <row r="4737">
      <c r="A4737" s="3" t="inlineStr">
        <is>
          <t>Heron Fields (Pty) Ltd</t>
        </is>
      </c>
      <c r="B4737" s="4" t="n">
        <v>45260</v>
      </c>
      <c r="C4737" s="3" t="inlineStr">
        <is>
          <t>Expenses</t>
        </is>
      </c>
      <c r="D4737" s="3" t="inlineStr">
        <is>
          <t>3900/140</t>
        </is>
      </c>
      <c r="E4737" s="3" t="inlineStr">
        <is>
          <t>Interest Paid - Investors @ 9%</t>
        </is>
      </c>
      <c r="F4737" s="3" t="n">
        <v>0</v>
      </c>
      <c r="G4737" s="3" t="n">
        <v>591.78</v>
      </c>
    </row>
    <row r="4738">
      <c r="A4738" s="3" t="inlineStr">
        <is>
          <t>Heron View (Pty) Ltd</t>
        </is>
      </c>
      <c r="B4738" s="4" t="n">
        <v>45260</v>
      </c>
      <c r="C4738" s="3" t="inlineStr">
        <is>
          <t>Expenses</t>
        </is>
      </c>
      <c r="D4738" s="3" t="inlineStr">
        <is>
          <t>3900/140</t>
        </is>
      </c>
      <c r="E4738" s="3" t="inlineStr">
        <is>
          <t>Interest Paid - Investors @ 9%</t>
        </is>
      </c>
      <c r="F4738" s="3" t="n">
        <v>577.21</v>
      </c>
      <c r="G4738" s="3" t="n">
        <v>62815.58</v>
      </c>
    </row>
    <row r="4739">
      <c r="A4739" s="3" t="inlineStr">
        <is>
          <t>Heron View (Pty) Ltd</t>
        </is>
      </c>
      <c r="B4739" s="4" t="n">
        <v>45260</v>
      </c>
      <c r="C4739" s="3" t="inlineStr">
        <is>
          <t>Expenses</t>
        </is>
      </c>
      <c r="D4739" s="3" t="inlineStr">
        <is>
          <t>3900/147</t>
        </is>
      </c>
      <c r="E4739" s="3" t="inlineStr">
        <is>
          <t>Interest Paid - Investors @ 9.75%</t>
        </is>
      </c>
      <c r="F4739" s="3" t="n">
        <v>0</v>
      </c>
      <c r="G4739" s="3" t="n">
        <v>2537.9</v>
      </c>
    </row>
    <row r="4740">
      <c r="A4740" s="3" t="inlineStr">
        <is>
          <t>Heron View (Pty) Ltd</t>
        </is>
      </c>
      <c r="B4740" s="4" t="n">
        <v>45260</v>
      </c>
      <c r="C4740" s="3" t="inlineStr">
        <is>
          <t>Expenses</t>
        </is>
      </c>
      <c r="D4740" s="3" t="inlineStr">
        <is>
          <t>3900/150</t>
        </is>
      </c>
      <c r="E4740" s="3" t="inlineStr">
        <is>
          <t>Interest Paid - Investors @ 10%</t>
        </is>
      </c>
      <c r="F4740" s="3" t="n">
        <v>0</v>
      </c>
      <c r="G4740" s="3" t="n">
        <v>5709.59</v>
      </c>
    </row>
    <row r="4741">
      <c r="A4741" s="3" t="inlineStr">
        <is>
          <t>Heron View (Pty) Ltd</t>
        </is>
      </c>
      <c r="B4741" s="4" t="n">
        <v>45260</v>
      </c>
      <c r="C4741" s="3" t="inlineStr">
        <is>
          <t>Expenses</t>
        </is>
      </c>
      <c r="D4741" s="3" t="inlineStr">
        <is>
          <t>3900/155</t>
        </is>
      </c>
      <c r="E4741" s="3" t="inlineStr">
        <is>
          <t>Interest Paid - Investors @ 10.5%</t>
        </is>
      </c>
      <c r="F4741" s="3" t="n">
        <v>0</v>
      </c>
      <c r="G4741" s="3" t="n">
        <v>19334.38</v>
      </c>
    </row>
    <row r="4742">
      <c r="A4742" s="3" t="inlineStr">
        <is>
          <t>Heron View (Pty) Ltd</t>
        </is>
      </c>
      <c r="B4742" s="4" t="n">
        <v>45260</v>
      </c>
      <c r="C4742" s="3" t="inlineStr">
        <is>
          <t>Expenses</t>
        </is>
      </c>
      <c r="D4742" s="3" t="inlineStr">
        <is>
          <t>3900/160</t>
        </is>
      </c>
      <c r="E4742" s="3" t="inlineStr">
        <is>
          <t>Interest Paid - Investors @ 11%</t>
        </is>
      </c>
      <c r="F4742" s="3" t="n">
        <v>0</v>
      </c>
      <c r="G4742" s="3" t="n">
        <v>9131.51</v>
      </c>
    </row>
    <row r="4743">
      <c r="A4743" s="3" t="inlineStr">
        <is>
          <t>Heron Fields (Pty) Ltd</t>
        </is>
      </c>
      <c r="B4743" s="4" t="n">
        <v>45260</v>
      </c>
      <c r="C4743" s="3" t="inlineStr">
        <is>
          <t>Expenses</t>
        </is>
      </c>
      <c r="D4743" s="3" t="inlineStr">
        <is>
          <t>3900/190</t>
        </is>
      </c>
      <c r="E4743" s="3" t="inlineStr">
        <is>
          <t>Interest Paid - Investors @ 14%</t>
        </is>
      </c>
      <c r="F4743" s="3" t="n">
        <v>0</v>
      </c>
      <c r="G4743" s="3" t="n">
        <v>400367.2</v>
      </c>
    </row>
    <row r="4744">
      <c r="A4744" s="3" t="inlineStr">
        <is>
          <t>Heron View (Pty) Ltd</t>
        </is>
      </c>
      <c r="B4744" s="4" t="n">
        <v>45260</v>
      </c>
      <c r="C4744" s="3" t="inlineStr">
        <is>
          <t>Expenses</t>
        </is>
      </c>
      <c r="D4744" s="3" t="inlineStr">
        <is>
          <t>3900/190</t>
        </is>
      </c>
      <c r="E4744" s="3" t="inlineStr">
        <is>
          <t>Interest Paid - Investors @ 14%</t>
        </is>
      </c>
      <c r="F4744" s="3" t="n">
        <v>15468.15</v>
      </c>
      <c r="G4744" s="3" t="n">
        <v>605212.3</v>
      </c>
    </row>
    <row r="4745">
      <c r="A4745" s="3" t="inlineStr">
        <is>
          <t>Heron Fields (Pty) Ltd</t>
        </is>
      </c>
      <c r="B4745" s="4" t="n">
        <v>45260</v>
      </c>
      <c r="C4745" s="3" t="inlineStr">
        <is>
          <t>Expenses</t>
        </is>
      </c>
      <c r="D4745" s="3" t="inlineStr">
        <is>
          <t>3900/200</t>
        </is>
      </c>
      <c r="E4745" s="3" t="inlineStr">
        <is>
          <t>Interest Paid - Investors @ 15%</t>
        </is>
      </c>
      <c r="F4745" s="3" t="n">
        <v>0</v>
      </c>
      <c r="G4745" s="3" t="n">
        <v>333349.31</v>
      </c>
    </row>
    <row r="4746">
      <c r="A4746" s="3" t="inlineStr">
        <is>
          <t>Heron Fields (Pty) Ltd</t>
        </is>
      </c>
      <c r="B4746" s="4" t="n">
        <v>45260</v>
      </c>
      <c r="C4746" s="3" t="inlineStr">
        <is>
          <t>Expenses</t>
        </is>
      </c>
      <c r="D4746" s="3" t="inlineStr">
        <is>
          <t>3900/210</t>
        </is>
      </c>
      <c r="E4746" s="3" t="inlineStr">
        <is>
          <t>Interest Paid - Investors @ 16%</t>
        </is>
      </c>
      <c r="F4746" s="3" t="n">
        <v>0</v>
      </c>
      <c r="G4746" s="3" t="n">
        <v>47473.98</v>
      </c>
    </row>
    <row r="4747">
      <c r="A4747" s="3" t="inlineStr">
        <is>
          <t>Heron View (Pty) Ltd</t>
        </is>
      </c>
      <c r="B4747" s="4" t="n">
        <v>45260</v>
      </c>
      <c r="C4747" s="3" t="inlineStr">
        <is>
          <t>Expenses</t>
        </is>
      </c>
      <c r="D4747" s="3" t="inlineStr">
        <is>
          <t>3900/210</t>
        </is>
      </c>
      <c r="E4747" s="3" t="inlineStr">
        <is>
          <t>Interest Paid - Investors @ 16%</t>
        </is>
      </c>
      <c r="F4747" s="3" t="n">
        <v>0</v>
      </c>
      <c r="G4747" s="3" t="n">
        <v>128315.62</v>
      </c>
    </row>
    <row r="4748">
      <c r="A4748" s="3" t="inlineStr">
        <is>
          <t>Heron Fields (Pty) Ltd</t>
        </is>
      </c>
      <c r="B4748" s="4" t="n">
        <v>45260</v>
      </c>
      <c r="C4748" s="3" t="inlineStr">
        <is>
          <t>Expenses</t>
        </is>
      </c>
      <c r="D4748" s="3" t="inlineStr">
        <is>
          <t>3900/230</t>
        </is>
      </c>
      <c r="E4748" s="3" t="inlineStr">
        <is>
          <t>Interest Paid - Investors @ 18%</t>
        </is>
      </c>
      <c r="F4748" s="3" t="n">
        <v>0</v>
      </c>
      <c r="G4748" s="3" t="n">
        <v>3197167.68</v>
      </c>
    </row>
    <row r="4749">
      <c r="A4749" s="3" t="inlineStr">
        <is>
          <t>Heron View (Pty) Ltd</t>
        </is>
      </c>
      <c r="B4749" s="4" t="n">
        <v>45260</v>
      </c>
      <c r="C4749" s="3" t="inlineStr">
        <is>
          <t>Expenses</t>
        </is>
      </c>
      <c r="D4749" s="3" t="inlineStr">
        <is>
          <t>3900/230</t>
        </is>
      </c>
      <c r="E4749" s="3" t="inlineStr">
        <is>
          <t>Interest Paid - Investors @ 18%</t>
        </is>
      </c>
      <c r="F4749" s="3" t="n">
        <v>204164.39</v>
      </c>
      <c r="G4749" s="3" t="n">
        <v>1632566.08</v>
      </c>
    </row>
    <row r="4750">
      <c r="A4750" s="3" t="inlineStr">
        <is>
          <t>Cape Projects Construction (Pty) Ltd</t>
        </is>
      </c>
      <c r="B4750" s="4" t="n">
        <v>45260</v>
      </c>
      <c r="C4750" s="3" t="inlineStr">
        <is>
          <t>Expenses</t>
        </is>
      </c>
      <c r="D4750" s="3" t="inlineStr">
        <is>
          <t>4000/000</t>
        </is>
      </c>
      <c r="E4750" s="3" t="inlineStr">
        <is>
          <t>Legal Fees</t>
        </is>
      </c>
      <c r="F4750" s="3" t="n">
        <v>0</v>
      </c>
      <c r="G4750" s="3" t="n">
        <v>5202.88</v>
      </c>
    </row>
    <row r="4751">
      <c r="A4751" s="3" t="inlineStr">
        <is>
          <t>Heron View (Pty) Ltd</t>
        </is>
      </c>
      <c r="B4751" s="4" t="n">
        <v>45260</v>
      </c>
      <c r="C4751" s="3" t="inlineStr">
        <is>
          <t>Expenses</t>
        </is>
      </c>
      <c r="D4751" s="3" t="inlineStr">
        <is>
          <t>4050/000</t>
        </is>
      </c>
      <c r="E4751" s="3" t="inlineStr">
        <is>
          <t>Levies</t>
        </is>
      </c>
      <c r="F4751" s="3" t="n">
        <v>0</v>
      </c>
      <c r="G4751" s="3" t="n">
        <v>95314.44</v>
      </c>
    </row>
    <row r="4752">
      <c r="A4752" s="3" t="inlineStr">
        <is>
          <t>Heron Fields (Pty) Ltd</t>
        </is>
      </c>
      <c r="B4752" s="4" t="n">
        <v>45260</v>
      </c>
      <c r="C4752" s="3" t="inlineStr">
        <is>
          <t>Expenses</t>
        </is>
      </c>
      <c r="D4752" s="3" t="inlineStr">
        <is>
          <t>4050/100</t>
        </is>
      </c>
      <c r="E4752" s="3" t="inlineStr">
        <is>
          <t>Developers Levies</t>
        </is>
      </c>
      <c r="F4752" s="3" t="n">
        <v>0</v>
      </c>
      <c r="G4752" s="3" t="n">
        <v>76865.83</v>
      </c>
    </row>
    <row r="4753">
      <c r="A4753" s="3" t="inlineStr">
        <is>
          <t>Heron Fields (Pty) Ltd</t>
        </is>
      </c>
      <c r="B4753" s="4" t="n">
        <v>45260</v>
      </c>
      <c r="C4753" s="3" t="inlineStr">
        <is>
          <t>Expenses</t>
        </is>
      </c>
      <c r="D4753" s="3" t="inlineStr">
        <is>
          <t>4050/200</t>
        </is>
      </c>
      <c r="E4753" s="3" t="inlineStr">
        <is>
          <t>Levies - Amari</t>
        </is>
      </c>
      <c r="F4753" s="3" t="n">
        <v>5862.1</v>
      </c>
      <c r="G4753" s="3" t="n">
        <v>19675.57</v>
      </c>
    </row>
    <row r="4754">
      <c r="A4754" s="3" t="inlineStr">
        <is>
          <t>Heron View (Pty) Ltd</t>
        </is>
      </c>
      <c r="B4754" s="4" t="n">
        <v>45260</v>
      </c>
      <c r="C4754" s="3" t="inlineStr">
        <is>
          <t>Expenses</t>
        </is>
      </c>
      <c r="D4754" s="3" t="inlineStr">
        <is>
          <t>4070/000</t>
        </is>
      </c>
      <c r="E4754" s="3" t="inlineStr">
        <is>
          <t>Management fees - OMH</t>
        </is>
      </c>
      <c r="F4754" s="3" t="n">
        <v>0</v>
      </c>
      <c r="G4754" s="3" t="n">
        <v>400000</v>
      </c>
    </row>
    <row r="4755">
      <c r="A4755" s="3" t="inlineStr">
        <is>
          <t>Heron Fields (Pty) Ltd</t>
        </is>
      </c>
      <c r="B4755" s="4" t="n">
        <v>45260</v>
      </c>
      <c r="C4755" s="3" t="inlineStr">
        <is>
          <t>Expenses</t>
        </is>
      </c>
      <c r="D4755" s="3" t="inlineStr">
        <is>
          <t>4100/001</t>
        </is>
      </c>
      <c r="E4755" s="3" t="inlineStr">
        <is>
          <t>Momentum Admin Fee</t>
        </is>
      </c>
      <c r="F4755" s="3" t="n">
        <v>17979.75</v>
      </c>
      <c r="G4755" s="3" t="n">
        <v>109670.12</v>
      </c>
    </row>
    <row r="4756">
      <c r="A4756" s="3" t="inlineStr">
        <is>
          <t>Cape Projects Construction (Pty) Ltd</t>
        </is>
      </c>
      <c r="B4756" s="4" t="n">
        <v>45260</v>
      </c>
      <c r="C4756" s="3" t="inlineStr">
        <is>
          <t>Expenses</t>
        </is>
      </c>
      <c r="D4756" s="3" t="inlineStr">
        <is>
          <t>4150/000</t>
        </is>
      </c>
      <c r="E4756" s="3" t="inlineStr">
        <is>
          <t>Motor Vehicle Expenses</t>
        </is>
      </c>
      <c r="F4756" s="3" t="n">
        <v>0</v>
      </c>
      <c r="G4756" s="3" t="n">
        <v>362</v>
      </c>
    </row>
    <row r="4757">
      <c r="A4757" s="3" t="inlineStr">
        <is>
          <t>Heron Fields (Pty) Ltd</t>
        </is>
      </c>
      <c r="B4757" s="4" t="n">
        <v>45260</v>
      </c>
      <c r="C4757" s="3" t="inlineStr">
        <is>
          <t>Expenses</t>
        </is>
      </c>
      <c r="D4757" s="3" t="inlineStr">
        <is>
          <t>4150/000</t>
        </is>
      </c>
      <c r="E4757" s="3" t="inlineStr">
        <is>
          <t>Motor Vehicle Expenses</t>
        </is>
      </c>
      <c r="F4757" s="3" t="n">
        <v>0</v>
      </c>
      <c r="G4757" s="3" t="n">
        <v>20</v>
      </c>
    </row>
    <row r="4758">
      <c r="A4758" s="3" t="inlineStr">
        <is>
          <t>Cape Projects Construction (Pty) Ltd</t>
        </is>
      </c>
      <c r="B4758" s="4" t="n">
        <v>45260</v>
      </c>
      <c r="C4758" s="3" t="inlineStr">
        <is>
          <t>Expenses</t>
        </is>
      </c>
      <c r="D4758" s="3" t="inlineStr">
        <is>
          <t>4150/010</t>
        </is>
      </c>
      <c r="E4758" s="3" t="inlineStr">
        <is>
          <t>Motor Vehicle - Petrol _AND_ Oil</t>
        </is>
      </c>
      <c r="F4758" s="3" t="n">
        <v>3911.97</v>
      </c>
      <c r="G4758" s="3" t="n">
        <v>35750.31</v>
      </c>
    </row>
    <row r="4759">
      <c r="A4759" s="3" t="inlineStr">
        <is>
          <t>Cape Projects Construction (Pty) Ltd</t>
        </is>
      </c>
      <c r="B4759" s="4" t="n">
        <v>45260</v>
      </c>
      <c r="C4759" s="3" t="inlineStr">
        <is>
          <t>Expenses</t>
        </is>
      </c>
      <c r="D4759" s="3" t="inlineStr">
        <is>
          <t>4150/020</t>
        </is>
      </c>
      <c r="E4759" s="3" t="inlineStr">
        <is>
          <t>Motor Vehicle - Repairs _AND_ Maint.</t>
        </is>
      </c>
      <c r="F4759" s="3" t="n">
        <v>0</v>
      </c>
      <c r="G4759" s="3" t="n">
        <v>3668.3</v>
      </c>
    </row>
    <row r="4760">
      <c r="A4760" s="3" t="inlineStr">
        <is>
          <t>Cape Projects Construction (Pty) Ltd</t>
        </is>
      </c>
      <c r="B4760" s="4" t="n">
        <v>45260</v>
      </c>
      <c r="C4760" s="3" t="inlineStr">
        <is>
          <t>Expenses</t>
        </is>
      </c>
      <c r="D4760" s="3" t="inlineStr">
        <is>
          <t>4150/030</t>
        </is>
      </c>
      <c r="E4760" s="3" t="inlineStr">
        <is>
          <t>Motor Vehicle - Insurance _AND_ Licence</t>
        </is>
      </c>
      <c r="F4760" s="3" t="n">
        <v>0</v>
      </c>
      <c r="G4760" s="3" t="n">
        <v>1069</v>
      </c>
    </row>
    <row r="4761">
      <c r="A4761" s="3" t="inlineStr">
        <is>
          <t>Cape Projects Construction (Pty) Ltd</t>
        </is>
      </c>
      <c r="B4761" s="4" t="n">
        <v>45260</v>
      </c>
      <c r="C4761" s="3" t="inlineStr">
        <is>
          <t>Expenses</t>
        </is>
      </c>
      <c r="D4761" s="3" t="inlineStr">
        <is>
          <t>4200/000</t>
        </is>
      </c>
      <c r="E4761" s="3" t="inlineStr">
        <is>
          <t>Printing _AND_ Stationery</t>
        </is>
      </c>
      <c r="F4761" s="3" t="n">
        <v>2706.92</v>
      </c>
      <c r="G4761" s="3" t="n">
        <v>33625.1</v>
      </c>
    </row>
    <row r="4762">
      <c r="A4762" s="3" t="inlineStr">
        <is>
          <t>Cape Projects Construction (Pty) Ltd</t>
        </is>
      </c>
      <c r="B4762" s="4" t="n">
        <v>45260</v>
      </c>
      <c r="C4762" s="3" t="inlineStr">
        <is>
          <t>Expenses</t>
        </is>
      </c>
      <c r="D4762" s="3" t="inlineStr">
        <is>
          <t>4201/000</t>
        </is>
      </c>
      <c r="E4762" s="3" t="inlineStr">
        <is>
          <t>Printing - Printer rental</t>
        </is>
      </c>
      <c r="F4762" s="3" t="n">
        <v>2280.91</v>
      </c>
      <c r="G4762" s="3" t="n">
        <v>19054.62</v>
      </c>
    </row>
    <row r="4763">
      <c r="A4763" s="3" t="inlineStr">
        <is>
          <t>Cape Projects Construction (Pty) Ltd</t>
        </is>
      </c>
      <c r="B4763" s="4" t="n">
        <v>45260</v>
      </c>
      <c r="C4763" s="3" t="inlineStr">
        <is>
          <t>Expenses</t>
        </is>
      </c>
      <c r="D4763" s="3" t="inlineStr">
        <is>
          <t>4300/000</t>
        </is>
      </c>
      <c r="E4763" s="3" t="inlineStr">
        <is>
          <t>Rent Paid</t>
        </is>
      </c>
      <c r="F4763" s="3" t="n">
        <v>31820</v>
      </c>
      <c r="G4763" s="3" t="n">
        <v>268620</v>
      </c>
    </row>
    <row r="4764">
      <c r="A4764" s="3" t="inlineStr">
        <is>
          <t>Cape Projects Construction (Pty) Ltd</t>
        </is>
      </c>
      <c r="B4764" s="4" t="n">
        <v>45260</v>
      </c>
      <c r="C4764" s="3" t="inlineStr">
        <is>
          <t>Expenses</t>
        </is>
      </c>
      <c r="D4764" s="3" t="inlineStr">
        <is>
          <t>4310/000</t>
        </is>
      </c>
      <c r="E4764" s="3" t="inlineStr">
        <is>
          <t>Rates</t>
        </is>
      </c>
      <c r="F4764" s="3" t="n">
        <v>989.75</v>
      </c>
      <c r="G4764" s="3" t="n">
        <v>10058.29</v>
      </c>
    </row>
    <row r="4765">
      <c r="A4765" s="3" t="inlineStr">
        <is>
          <t>Heron Fields (Pty) Ltd</t>
        </is>
      </c>
      <c r="B4765" s="4" t="n">
        <v>45260</v>
      </c>
      <c r="C4765" s="3" t="inlineStr">
        <is>
          <t>Expenses</t>
        </is>
      </c>
      <c r="D4765" s="3" t="inlineStr">
        <is>
          <t>4310/000</t>
        </is>
      </c>
      <c r="E4765" s="3" t="inlineStr">
        <is>
          <t>Rates - Heron</t>
        </is>
      </c>
      <c r="F4765" s="3" t="n">
        <v>213951.5</v>
      </c>
      <c r="G4765" s="3" t="n">
        <v>211633.66</v>
      </c>
    </row>
    <row r="4766">
      <c r="A4766" s="3" t="inlineStr">
        <is>
          <t>Cape Projects Construction (Pty) Ltd</t>
        </is>
      </c>
      <c r="B4766" s="4" t="n">
        <v>45260</v>
      </c>
      <c r="C4766" s="3" t="inlineStr">
        <is>
          <t>Expenses</t>
        </is>
      </c>
      <c r="D4766" s="3" t="inlineStr">
        <is>
          <t>4350/000</t>
        </is>
      </c>
      <c r="E4766" s="3" t="inlineStr">
        <is>
          <t>Repairs _AND_ Maintenance</t>
        </is>
      </c>
      <c r="F4766" s="3" t="n">
        <v>599.97</v>
      </c>
      <c r="G4766" s="3" t="n">
        <v>16125.02</v>
      </c>
    </row>
    <row r="4767">
      <c r="A4767" s="3" t="inlineStr">
        <is>
          <t>Heron Fields (Pty) Ltd</t>
        </is>
      </c>
      <c r="B4767" s="4" t="n">
        <v>45260</v>
      </c>
      <c r="C4767" s="3" t="inlineStr">
        <is>
          <t>Expenses</t>
        </is>
      </c>
      <c r="D4767" s="3" t="inlineStr">
        <is>
          <t>4350/000</t>
        </is>
      </c>
      <c r="E4767" s="3" t="inlineStr">
        <is>
          <t>Repairs _AND_ Maintenance</t>
        </is>
      </c>
      <c r="F4767" s="3" t="n">
        <v>0</v>
      </c>
      <c r="G4767" s="3" t="n">
        <v>34547.28</v>
      </c>
    </row>
    <row r="4768">
      <c r="A4768" s="3" t="inlineStr">
        <is>
          <t>Heron View (Pty) Ltd</t>
        </is>
      </c>
      <c r="B4768" s="4" t="n">
        <v>45260</v>
      </c>
      <c r="C4768" s="3" t="inlineStr">
        <is>
          <t>Expenses</t>
        </is>
      </c>
      <c r="D4768" s="3" t="inlineStr">
        <is>
          <t>4350/000</t>
        </is>
      </c>
      <c r="E4768" s="3" t="inlineStr">
        <is>
          <t>Repairs _AND_ Maintenance</t>
        </is>
      </c>
      <c r="F4768" s="3" t="n">
        <v>0</v>
      </c>
      <c r="G4768" s="3" t="n">
        <v>15563.49</v>
      </c>
    </row>
    <row r="4769">
      <c r="A4769" s="3" t="inlineStr">
        <is>
          <t>Cape Projects Construction (Pty) Ltd</t>
        </is>
      </c>
      <c r="B4769" s="4" t="n">
        <v>45260</v>
      </c>
      <c r="C4769" s="3" t="inlineStr">
        <is>
          <t>Expenses</t>
        </is>
      </c>
      <c r="D4769" s="3" t="inlineStr">
        <is>
          <t>4400/000</t>
        </is>
      </c>
      <c r="E4769" s="3" t="inlineStr">
        <is>
          <t>Salaries _AND_ Wages</t>
        </is>
      </c>
      <c r="F4769" s="3" t="n">
        <v>448756.2</v>
      </c>
      <c r="G4769" s="3" t="n">
        <v>3332419.13</v>
      </c>
    </row>
    <row r="4770">
      <c r="A4770" s="3" t="inlineStr">
        <is>
          <t>Cape Projects Construction (Pty) Ltd</t>
        </is>
      </c>
      <c r="B4770" s="4" t="n">
        <v>45260</v>
      </c>
      <c r="C4770" s="3" t="inlineStr">
        <is>
          <t>Expenses</t>
        </is>
      </c>
      <c r="D4770" s="3" t="inlineStr">
        <is>
          <t>4402</t>
        </is>
      </c>
      <c r="E4770" s="3" t="inlineStr">
        <is>
          <t>Salaries &amp; Wages - WCA</t>
        </is>
      </c>
      <c r="F4770" s="3" t="n">
        <v>0</v>
      </c>
      <c r="G4770" s="3" t="n">
        <v>5192.13</v>
      </c>
    </row>
    <row r="4771">
      <c r="A4771" s="3" t="inlineStr">
        <is>
          <t>Cape Projects Construction (Pty) Ltd</t>
        </is>
      </c>
      <c r="B4771" s="4" t="n">
        <v>45260</v>
      </c>
      <c r="C4771" s="3" t="inlineStr">
        <is>
          <t>Expenses</t>
        </is>
      </c>
      <c r="D4771" s="3" t="inlineStr">
        <is>
          <t>4403/000</t>
        </is>
      </c>
      <c r="E4771" s="3" t="inlineStr">
        <is>
          <t>Security</t>
        </is>
      </c>
      <c r="F4771" s="3" t="n">
        <v>191.17</v>
      </c>
      <c r="G4771" s="3" t="n">
        <v>1623.65</v>
      </c>
    </row>
    <row r="4772">
      <c r="A4772" s="3" t="inlineStr">
        <is>
          <t>Heron Fields (Pty) Ltd</t>
        </is>
      </c>
      <c r="B4772" s="4" t="n">
        <v>45260</v>
      </c>
      <c r="C4772" s="3" t="inlineStr">
        <is>
          <t>Expenses</t>
        </is>
      </c>
      <c r="D4772" s="3" t="inlineStr">
        <is>
          <t>4420/000</t>
        </is>
      </c>
      <c r="E4772" s="3" t="inlineStr">
        <is>
          <t>Security</t>
        </is>
      </c>
      <c r="F4772" s="3" t="n">
        <v>7198.71</v>
      </c>
      <c r="G4772" s="3" t="n">
        <v>7198.71</v>
      </c>
    </row>
    <row r="4773">
      <c r="A4773" s="3" t="inlineStr">
        <is>
          <t>Cape Projects Construction (Pty) Ltd</t>
        </is>
      </c>
      <c r="B4773" s="4" t="n">
        <v>45260</v>
      </c>
      <c r="C4773" s="3" t="inlineStr">
        <is>
          <t>Expenses</t>
        </is>
      </c>
      <c r="D4773" s="3" t="inlineStr">
        <is>
          <t>4420/000</t>
        </is>
      </c>
      <c r="E4773" s="3" t="inlineStr">
        <is>
          <t>Small Assets</t>
        </is>
      </c>
      <c r="F4773" s="3" t="n">
        <v>0</v>
      </c>
      <c r="G4773" s="3" t="n">
        <v>31010.74</v>
      </c>
    </row>
    <row r="4774">
      <c r="A4774" s="3" t="inlineStr">
        <is>
          <t>Heron Fields (Pty) Ltd</t>
        </is>
      </c>
      <c r="B4774" s="4" t="n">
        <v>45260</v>
      </c>
      <c r="C4774" s="3" t="inlineStr">
        <is>
          <t>Expenses</t>
        </is>
      </c>
      <c r="D4774" s="3" t="inlineStr">
        <is>
          <t>4420/001</t>
        </is>
      </c>
      <c r="E4774" s="3" t="inlineStr">
        <is>
          <t>Security - ADT</t>
        </is>
      </c>
      <c r="F4774" s="3" t="n">
        <v>366.14</v>
      </c>
      <c r="G4774" s="3" t="n">
        <v>3181.98</v>
      </c>
    </row>
    <row r="4775">
      <c r="A4775" s="3" t="inlineStr">
        <is>
          <t>Cape Projects Construction (Pty) Ltd</t>
        </is>
      </c>
      <c r="B4775" s="4" t="n">
        <v>45260</v>
      </c>
      <c r="C4775" s="3" t="inlineStr">
        <is>
          <t>Expenses</t>
        </is>
      </c>
      <c r="D4775" s="3" t="inlineStr">
        <is>
          <t>4450/000</t>
        </is>
      </c>
      <c r="E4775" s="3" t="inlineStr">
        <is>
          <t>Staff Training</t>
        </is>
      </c>
      <c r="F4775" s="3" t="n">
        <v>1190.1</v>
      </c>
      <c r="G4775" s="3" t="n">
        <v>3452.7</v>
      </c>
    </row>
    <row r="4776">
      <c r="A4776" s="3" t="inlineStr">
        <is>
          <t>Cape Projects Construction (Pty) Ltd</t>
        </is>
      </c>
      <c r="B4776" s="4" t="n">
        <v>45260</v>
      </c>
      <c r="C4776" s="3" t="inlineStr">
        <is>
          <t>Expenses</t>
        </is>
      </c>
      <c r="D4776" s="3" t="inlineStr">
        <is>
          <t>4500/000</t>
        </is>
      </c>
      <c r="E4776" s="3" t="inlineStr">
        <is>
          <t>Staff Welfare _AND_ Refreshmts</t>
        </is>
      </c>
      <c r="F4776" s="3" t="n">
        <v>1697.41</v>
      </c>
      <c r="G4776" s="3" t="n">
        <v>32833.54</v>
      </c>
    </row>
    <row r="4777">
      <c r="A4777" s="3" t="inlineStr">
        <is>
          <t>Cape Projects Construction (Pty) Ltd</t>
        </is>
      </c>
      <c r="B4777" s="4" t="n">
        <v>45260</v>
      </c>
      <c r="C4777" s="3" t="inlineStr">
        <is>
          <t>Expenses</t>
        </is>
      </c>
      <c r="D4777" s="3" t="inlineStr">
        <is>
          <t>4550/000</t>
        </is>
      </c>
      <c r="E4777" s="3" t="inlineStr">
        <is>
          <t>Subscriptions / Licenses</t>
        </is>
      </c>
      <c r="F4777" s="3" t="n">
        <v>0</v>
      </c>
      <c r="G4777" s="3" t="n">
        <v>13527.97</v>
      </c>
    </row>
    <row r="4778">
      <c r="A4778" s="3" t="inlineStr">
        <is>
          <t>Cape Projects Construction (Pty) Ltd</t>
        </is>
      </c>
      <c r="B4778" s="4" t="n">
        <v>45260</v>
      </c>
      <c r="C4778" s="3" t="inlineStr">
        <is>
          <t>Expenses</t>
        </is>
      </c>
      <c r="D4778" s="3" t="inlineStr">
        <is>
          <t>4550/001</t>
        </is>
      </c>
      <c r="E4778" s="3" t="inlineStr">
        <is>
          <t>Subscriptions &amp; Licenses - Sage payroll</t>
        </is>
      </c>
      <c r="F4778" s="3" t="n">
        <v>747</v>
      </c>
      <c r="G4778" s="3" t="n">
        <v>6723</v>
      </c>
    </row>
    <row r="4779">
      <c r="A4779" s="3" t="inlineStr">
        <is>
          <t>Cape Projects Construction (Pty) Ltd</t>
        </is>
      </c>
      <c r="B4779" s="4" t="n">
        <v>45260</v>
      </c>
      <c r="C4779" s="3" t="inlineStr">
        <is>
          <t>Expenses</t>
        </is>
      </c>
      <c r="D4779" s="3" t="inlineStr">
        <is>
          <t>4550/002</t>
        </is>
      </c>
      <c r="E4779" s="3" t="inlineStr">
        <is>
          <t>Subscriptions &amp; Licenses - Caseware</t>
        </is>
      </c>
      <c r="F4779" s="3" t="n">
        <v>0</v>
      </c>
      <c r="G4779" s="3" t="n">
        <v>10825.49</v>
      </c>
    </row>
    <row r="4780">
      <c r="A4780" s="3" t="inlineStr">
        <is>
          <t>Cape Projects Construction (Pty) Ltd</t>
        </is>
      </c>
      <c r="B4780" s="4" t="n">
        <v>45260</v>
      </c>
      <c r="C4780" s="3" t="inlineStr">
        <is>
          <t>Expenses</t>
        </is>
      </c>
      <c r="D4780" s="3" t="inlineStr">
        <is>
          <t>4550/003</t>
        </is>
      </c>
      <c r="E4780" s="3" t="inlineStr">
        <is>
          <t>Subscriptions &amp; Licenses - Xero</t>
        </is>
      </c>
      <c r="F4780" s="3" t="n">
        <v>600</v>
      </c>
      <c r="G4780" s="3" t="n">
        <v>5400</v>
      </c>
    </row>
    <row r="4781">
      <c r="A4781" s="3" t="inlineStr">
        <is>
          <t>Cape Projects Construction (Pty) Ltd</t>
        </is>
      </c>
      <c r="B4781" s="4" t="n">
        <v>45260</v>
      </c>
      <c r="C4781" s="3" t="inlineStr">
        <is>
          <t>Expenses</t>
        </is>
      </c>
      <c r="D4781" s="3" t="inlineStr">
        <is>
          <t>4550/004</t>
        </is>
      </c>
      <c r="E4781" s="3" t="inlineStr">
        <is>
          <t>Subscriptions - Smartsheet</t>
        </is>
      </c>
      <c r="F4781" s="3" t="n">
        <v>1215.69</v>
      </c>
      <c r="G4781" s="3" t="n">
        <v>7796.41</v>
      </c>
    </row>
    <row r="4782">
      <c r="A4782" s="3" t="inlineStr">
        <is>
          <t>Cape Projects Construction (Pty) Ltd</t>
        </is>
      </c>
      <c r="B4782" s="4" t="n">
        <v>45260</v>
      </c>
      <c r="C4782" s="3" t="inlineStr">
        <is>
          <t>Expenses</t>
        </is>
      </c>
      <c r="D4782" s="3" t="inlineStr">
        <is>
          <t>4550/007</t>
        </is>
      </c>
      <c r="E4782" s="3" t="inlineStr">
        <is>
          <t>Subscription &amp; Licenses - ERS Bio</t>
        </is>
      </c>
      <c r="F4782" s="3" t="n">
        <v>1437.86</v>
      </c>
      <c r="G4782" s="3" t="n">
        <v>1437.86</v>
      </c>
    </row>
    <row r="4783">
      <c r="A4783" s="3" t="inlineStr">
        <is>
          <t>Cape Projects Construction (Pty) Ltd</t>
        </is>
      </c>
      <c r="B4783" s="4" t="n">
        <v>45260</v>
      </c>
      <c r="C4783" s="3" t="inlineStr">
        <is>
          <t>Expenses</t>
        </is>
      </c>
      <c r="D4783" s="3" t="inlineStr">
        <is>
          <t>4550/008</t>
        </is>
      </c>
      <c r="E4783" s="3" t="inlineStr">
        <is>
          <t>Subscriptions  - Adobe</t>
        </is>
      </c>
      <c r="F4783" s="3" t="n">
        <v>0</v>
      </c>
      <c r="G4783" s="3" t="n">
        <v>4498.72</v>
      </c>
    </row>
    <row r="4784">
      <c r="A4784" s="3" t="inlineStr">
        <is>
          <t>Heron Fields (Pty) Ltd</t>
        </is>
      </c>
      <c r="B4784" s="4" t="n">
        <v>45260</v>
      </c>
      <c r="C4784" s="3" t="inlineStr">
        <is>
          <t>Expenses</t>
        </is>
      </c>
      <c r="D4784" s="3" t="inlineStr">
        <is>
          <t>4550/100</t>
        </is>
      </c>
      <c r="E4784" s="3" t="inlineStr">
        <is>
          <t>Subscriptions - Xero</t>
        </is>
      </c>
      <c r="F4784" s="3" t="n">
        <v>600</v>
      </c>
      <c r="G4784" s="3" t="n">
        <v>5400</v>
      </c>
    </row>
    <row r="4785">
      <c r="A4785" s="3" t="inlineStr">
        <is>
          <t>Heron View (Pty) Ltd</t>
        </is>
      </c>
      <c r="B4785" s="4" t="n">
        <v>45260</v>
      </c>
      <c r="C4785" s="3" t="inlineStr">
        <is>
          <t>Expenses</t>
        </is>
      </c>
      <c r="D4785" s="3" t="inlineStr">
        <is>
          <t>4550/100</t>
        </is>
      </c>
      <c r="E4785" s="3" t="inlineStr">
        <is>
          <t>Subscriptions - Xero</t>
        </is>
      </c>
      <c r="F4785" s="3" t="n">
        <v>600</v>
      </c>
      <c r="G4785" s="3" t="n">
        <v>5400</v>
      </c>
    </row>
    <row r="4786">
      <c r="A4786" s="3" t="inlineStr">
        <is>
          <t>Heron Fields (Pty) Ltd</t>
        </is>
      </c>
      <c r="B4786" s="4" t="n">
        <v>45260</v>
      </c>
      <c r="C4786" s="3" t="inlineStr">
        <is>
          <t>Expenses</t>
        </is>
      </c>
      <c r="D4786" s="3" t="inlineStr">
        <is>
          <t>4550/200</t>
        </is>
      </c>
      <c r="E4786" s="3" t="inlineStr">
        <is>
          <t>Subscription - NHBRC</t>
        </is>
      </c>
      <c r="F4786" s="3" t="n">
        <v>0</v>
      </c>
      <c r="G4786" s="3" t="n">
        <v>526.3200000000001</v>
      </c>
    </row>
    <row r="4787">
      <c r="A4787" s="3" t="inlineStr">
        <is>
          <t>Cape Projects Construction (Pty) Ltd</t>
        </is>
      </c>
      <c r="B4787" s="4" t="n">
        <v>45260</v>
      </c>
      <c r="C4787" s="3" t="inlineStr">
        <is>
          <t>Expenses</t>
        </is>
      </c>
      <c r="D4787" s="3" t="inlineStr">
        <is>
          <t>4560</t>
        </is>
      </c>
      <c r="E4787" s="3" t="inlineStr">
        <is>
          <t>Secretarial fees - CIPC</t>
        </is>
      </c>
      <c r="F4787" s="3" t="n">
        <v>0</v>
      </c>
      <c r="G4787" s="3" t="n">
        <v>4000</v>
      </c>
    </row>
    <row r="4788">
      <c r="A4788" s="3" t="inlineStr">
        <is>
          <t>Cape Projects Construction (Pty) Ltd</t>
        </is>
      </c>
      <c r="B4788" s="4" t="n">
        <v>45260</v>
      </c>
      <c r="C4788" s="3" t="inlineStr">
        <is>
          <t>Expenses</t>
        </is>
      </c>
      <c r="D4788" s="3" t="inlineStr">
        <is>
          <t>4600/000</t>
        </is>
      </c>
      <c r="E4788" s="3" t="inlineStr">
        <is>
          <t>Telephone _AND_ Fax</t>
        </is>
      </c>
      <c r="F4788" s="3" t="n">
        <v>0</v>
      </c>
      <c r="G4788" s="3" t="n">
        <v>11566.33</v>
      </c>
    </row>
    <row r="4789">
      <c r="A4789" s="3" t="inlineStr">
        <is>
          <t>Cape Projects Construction (Pty) Ltd</t>
        </is>
      </c>
      <c r="B4789" s="4" t="n">
        <v>45260</v>
      </c>
      <c r="C4789" s="3" t="inlineStr">
        <is>
          <t>Expenses</t>
        </is>
      </c>
      <c r="D4789" s="3" t="inlineStr">
        <is>
          <t>4700/000</t>
        </is>
      </c>
      <c r="E4789" s="3" t="inlineStr">
        <is>
          <t>PAYE Contributions</t>
        </is>
      </c>
      <c r="F4789" s="3" t="n">
        <v>98374.47</v>
      </c>
      <c r="G4789" s="3" t="n">
        <v>746532.5699999999</v>
      </c>
    </row>
    <row r="4790">
      <c r="A4790" s="3" t="inlineStr">
        <is>
          <t>Cape Projects Construction (Pty) Ltd</t>
        </is>
      </c>
      <c r="B4790" s="4" t="n">
        <v>45260</v>
      </c>
      <c r="C4790" s="3" t="inlineStr">
        <is>
          <t>Expenses</t>
        </is>
      </c>
      <c r="D4790" s="3" t="inlineStr">
        <is>
          <t>4720/000</t>
        </is>
      </c>
      <c r="E4790" s="3" t="inlineStr">
        <is>
          <t>SDL Contributions</t>
        </is>
      </c>
      <c r="F4790" s="3" t="n">
        <v>5370.73</v>
      </c>
      <c r="G4790" s="3" t="n">
        <v>39697.19</v>
      </c>
    </row>
    <row r="4791">
      <c r="A4791" s="3" t="inlineStr">
        <is>
          <t>Cape Projects Construction (Pty) Ltd</t>
        </is>
      </c>
      <c r="B4791" s="4" t="n">
        <v>45260</v>
      </c>
      <c r="C4791" s="3" t="inlineStr">
        <is>
          <t>Expenses</t>
        </is>
      </c>
      <c r="D4791" s="3" t="inlineStr">
        <is>
          <t>4730/000</t>
        </is>
      </c>
      <c r="E4791" s="3" t="inlineStr">
        <is>
          <t>UIF Company Contributions</t>
        </is>
      </c>
      <c r="F4791" s="3" t="n">
        <v>3093.33</v>
      </c>
      <c r="G4791" s="3" t="n">
        <v>21823.68</v>
      </c>
    </row>
    <row r="4792">
      <c r="A4792" s="3" t="inlineStr">
        <is>
          <t>Cape Projects Construction (Pty) Ltd</t>
        </is>
      </c>
      <c r="B4792" s="4" t="n">
        <v>45260</v>
      </c>
      <c r="C4792" s="3" t="inlineStr">
        <is>
          <t>Expenses</t>
        </is>
      </c>
      <c r="D4792" s="3" t="inlineStr">
        <is>
          <t>4731/000</t>
        </is>
      </c>
      <c r="E4792" s="3" t="inlineStr">
        <is>
          <t>UIF Employee Contribution</t>
        </is>
      </c>
      <c r="F4792" s="3" t="n">
        <v>3093.33</v>
      </c>
      <c r="G4792" s="3" t="n">
        <v>21823.68</v>
      </c>
    </row>
    <row r="4793">
      <c r="A4793" s="3" t="inlineStr">
        <is>
          <t>Cape Projects Construction (Pty) Ltd</t>
        </is>
      </c>
      <c r="B4793" s="4" t="n">
        <v>45260</v>
      </c>
      <c r="C4793" s="3" t="inlineStr">
        <is>
          <t>Expenses</t>
        </is>
      </c>
      <c r="D4793" s="3" t="inlineStr">
        <is>
          <t>4740/000</t>
        </is>
      </c>
      <c r="E4793" s="3" t="inlineStr">
        <is>
          <t>BIBC Company Contribution</t>
        </is>
      </c>
      <c r="F4793" s="3" t="n">
        <v>0</v>
      </c>
      <c r="G4793" s="3" t="n">
        <v>15075.35</v>
      </c>
    </row>
    <row r="4794">
      <c r="A4794" s="3" t="inlineStr">
        <is>
          <t>Cape Projects Construction (Pty) Ltd</t>
        </is>
      </c>
      <c r="B4794" s="4" t="n">
        <v>45260</v>
      </c>
      <c r="C4794" s="3" t="inlineStr">
        <is>
          <t>Expenses</t>
        </is>
      </c>
      <c r="D4794" s="3" t="inlineStr">
        <is>
          <t>4741/000</t>
        </is>
      </c>
      <c r="E4794" s="3" t="inlineStr">
        <is>
          <t>BIBC Employee Contribution</t>
        </is>
      </c>
      <c r="F4794" s="3" t="n">
        <v>0</v>
      </c>
      <c r="G4794" s="3" t="n">
        <v>4562.1</v>
      </c>
    </row>
    <row r="4795">
      <c r="A4795" s="3" t="inlineStr">
        <is>
          <t>Heron Fields (Pty) Ltd</t>
        </is>
      </c>
      <c r="B4795" s="4" t="n">
        <v>45260</v>
      </c>
      <c r="C4795" s="3" t="inlineStr">
        <is>
          <t>Equity</t>
        </is>
      </c>
      <c r="D4795" s="3" t="inlineStr">
        <is>
          <t>5100-000</t>
        </is>
      </c>
      <c r="E4795" s="3" t="inlineStr">
        <is>
          <t>Share Capital</t>
        </is>
      </c>
      <c r="F4795" s="3" t="n">
        <v>0</v>
      </c>
      <c r="G4795" s="3" t="n">
        <v>-100</v>
      </c>
    </row>
    <row r="4796">
      <c r="A4796" s="3" t="inlineStr">
        <is>
          <t>Cape Projects Construction (Pty) Ltd</t>
        </is>
      </c>
      <c r="B4796" s="4" t="n">
        <v>45260</v>
      </c>
      <c r="C4796" s="3" t="inlineStr">
        <is>
          <t>Equity</t>
        </is>
      </c>
      <c r="D4796" s="3" t="inlineStr">
        <is>
          <t>5100/000</t>
        </is>
      </c>
      <c r="E4796" s="3" t="inlineStr">
        <is>
          <t>Share Capital / Members Contribution</t>
        </is>
      </c>
      <c r="F4796" s="3" t="n">
        <v>0</v>
      </c>
      <c r="G4796" s="3" t="n">
        <v>-120</v>
      </c>
    </row>
    <row r="4797">
      <c r="A4797" s="3" t="inlineStr">
        <is>
          <t>Cape Projects Construction (Pty) Ltd</t>
        </is>
      </c>
      <c r="B4797" s="4" t="n">
        <v>45260</v>
      </c>
      <c r="C4797" s="3" t="inlineStr">
        <is>
          <t>Equity</t>
        </is>
      </c>
      <c r="D4797" s="3" t="inlineStr">
        <is>
          <t>5200/000</t>
        </is>
      </c>
      <c r="E4797" s="3" t="inlineStr">
        <is>
          <t>Retained Earnings / Loss</t>
        </is>
      </c>
      <c r="F4797" s="3" t="n">
        <v>0</v>
      </c>
      <c r="G4797" s="3" t="n">
        <v>-296075.58</v>
      </c>
    </row>
    <row r="4798">
      <c r="A4798" s="3" t="inlineStr">
        <is>
          <t>Heron Fields (Pty) Ltd</t>
        </is>
      </c>
      <c r="B4798" s="4" t="n">
        <v>45260</v>
      </c>
      <c r="C4798" s="3" t="inlineStr">
        <is>
          <t>Equity</t>
        </is>
      </c>
      <c r="D4798" s="3" t="inlineStr">
        <is>
          <t>5200/000</t>
        </is>
      </c>
      <c r="E4798" s="3" t="inlineStr">
        <is>
          <t>Retained Earnings / Loss</t>
        </is>
      </c>
      <c r="F4798" s="3" t="n">
        <v>0</v>
      </c>
      <c r="G4798" s="3" t="n">
        <v>-17843179.58</v>
      </c>
    </row>
    <row r="4799">
      <c r="A4799" s="3" t="inlineStr">
        <is>
          <t>Heron View (Pty) Ltd</t>
        </is>
      </c>
      <c r="B4799" s="4" t="n">
        <v>45260</v>
      </c>
      <c r="C4799" s="3" t="inlineStr">
        <is>
          <t>Equity</t>
        </is>
      </c>
      <c r="D4799" s="3" t="inlineStr">
        <is>
          <t>5200/000</t>
        </is>
      </c>
      <c r="E4799" s="3" t="inlineStr">
        <is>
          <t>Retained Earnings / Loss</t>
        </is>
      </c>
      <c r="F4799" s="3" t="n">
        <v>0</v>
      </c>
      <c r="G4799" s="3" t="n">
        <v>70398.12</v>
      </c>
    </row>
    <row r="4800">
      <c r="A4800" s="3" t="inlineStr">
        <is>
          <t>Heron Fields (Pty) Ltd</t>
        </is>
      </c>
      <c r="B4800" s="4" t="n">
        <v>45260</v>
      </c>
      <c r="C4800" s="3" t="inlineStr">
        <is>
          <t>Assets</t>
        </is>
      </c>
      <c r="D4800" s="3" t="inlineStr">
        <is>
          <t>5300/001</t>
        </is>
      </c>
      <c r="E4800" s="3" t="inlineStr">
        <is>
          <t>Revaluation of Land stock</t>
        </is>
      </c>
      <c r="F4800" s="3" t="n">
        <v>0</v>
      </c>
      <c r="G4800" s="3" t="n">
        <v>17562360.85</v>
      </c>
    </row>
    <row r="4801">
      <c r="A4801" s="3" t="inlineStr">
        <is>
          <t>Heron Fields (Pty) Ltd</t>
        </is>
      </c>
      <c r="B4801" s="4" t="n">
        <v>45260</v>
      </c>
      <c r="C4801" s="3" t="inlineStr">
        <is>
          <t>Assets</t>
        </is>
      </c>
      <c r="D4801" s="3" t="inlineStr">
        <is>
          <t>5400/000</t>
        </is>
      </c>
      <c r="E4801" s="3" t="inlineStr">
        <is>
          <t>Deposit: Ruiterwacht development</t>
        </is>
      </c>
      <c r="F4801" s="3" t="n">
        <v>1800000</v>
      </c>
      <c r="G4801" s="3" t="n">
        <v>4950000</v>
      </c>
    </row>
    <row r="4802">
      <c r="A4802" s="3" t="inlineStr">
        <is>
          <t>Cape Projects Construction (Pty) Ltd</t>
        </is>
      </c>
      <c r="B4802" s="4" t="n">
        <v>45260</v>
      </c>
      <c r="C4802" s="3" t="inlineStr">
        <is>
          <t>Assets</t>
        </is>
      </c>
      <c r="D4802" s="3" t="inlineStr">
        <is>
          <t>5400/150</t>
        </is>
      </c>
      <c r="E4802" s="3" t="inlineStr">
        <is>
          <t>Loan - Quinate</t>
        </is>
      </c>
      <c r="F4802" s="3" t="n">
        <v>-2377423.63</v>
      </c>
      <c r="G4802" s="3" t="n">
        <v>-2267423.63</v>
      </c>
    </row>
    <row r="4803">
      <c r="A4803" s="3" t="inlineStr">
        <is>
          <t>Cape Projects Construction (Pty) Ltd</t>
        </is>
      </c>
      <c r="B4803" s="4" t="n">
        <v>45260</v>
      </c>
      <c r="C4803" s="3" t="inlineStr">
        <is>
          <t>Assets</t>
        </is>
      </c>
      <c r="D4803" s="3" t="inlineStr">
        <is>
          <t>5400/220</t>
        </is>
      </c>
      <c r="E4803" s="3" t="inlineStr">
        <is>
          <t>Members Loan - WH</t>
        </is>
      </c>
      <c r="F4803" s="3" t="n">
        <v>0</v>
      </c>
      <c r="G4803" s="3" t="n">
        <v>-4342.5</v>
      </c>
    </row>
    <row r="4804">
      <c r="A4804" s="3" t="inlineStr">
        <is>
          <t>Cape Projects Construction (Pty) Ltd</t>
        </is>
      </c>
      <c r="B4804" s="4" t="n">
        <v>45260</v>
      </c>
      <c r="C4804" s="3" t="inlineStr">
        <is>
          <t>Assets</t>
        </is>
      </c>
      <c r="D4804" s="3" t="inlineStr">
        <is>
          <t>5400/300</t>
        </is>
      </c>
      <c r="E4804" s="3" t="inlineStr">
        <is>
          <t>Loan - Opportunity ResidentialCUST ACC</t>
        </is>
      </c>
      <c r="F4804" s="3" t="n">
        <v>0</v>
      </c>
      <c r="G4804" s="3" t="n">
        <v>4702.35</v>
      </c>
    </row>
    <row r="4805">
      <c r="A4805" s="3" t="inlineStr">
        <is>
          <t>Cape Projects Construction (Pty) Ltd</t>
        </is>
      </c>
      <c r="B4805" s="4" t="n">
        <v>45260</v>
      </c>
      <c r="C4805" s="3" t="inlineStr">
        <is>
          <t>Assets</t>
        </is>
      </c>
      <c r="D4805" s="3" t="inlineStr">
        <is>
          <t>5400/450</t>
        </is>
      </c>
      <c r="E4805" s="3" t="inlineStr">
        <is>
          <t>Loan - Opportunity Investment</t>
        </is>
      </c>
      <c r="F4805" s="3" t="n">
        <v>200000</v>
      </c>
      <c r="G4805" s="3" t="n">
        <v>-2001000</v>
      </c>
    </row>
    <row r="4806">
      <c r="A4806" s="3" t="inlineStr">
        <is>
          <t>Cape Projects Construction (Pty) Ltd</t>
        </is>
      </c>
      <c r="B4806" s="4" t="n">
        <v>45260</v>
      </c>
      <c r="C4806" s="3" t="inlineStr">
        <is>
          <t>Assets</t>
        </is>
      </c>
      <c r="D4806" s="3" t="inlineStr">
        <is>
          <t>5400/500</t>
        </is>
      </c>
      <c r="E4806" s="3" t="inlineStr">
        <is>
          <t>Loan - Blou Mamba Trust</t>
        </is>
      </c>
      <c r="F4806" s="3" t="n">
        <v>0</v>
      </c>
      <c r="G4806" s="3" t="n">
        <v>4342.5</v>
      </c>
    </row>
    <row r="4807">
      <c r="A4807" s="3" t="inlineStr">
        <is>
          <t>Cape Projects Construction (Pty) Ltd</t>
        </is>
      </c>
      <c r="B4807" s="4" t="n">
        <v>45260</v>
      </c>
      <c r="C4807" s="3" t="inlineStr">
        <is>
          <t>Assets</t>
        </is>
      </c>
      <c r="D4807" s="3" t="inlineStr">
        <is>
          <t>5400/550</t>
        </is>
      </c>
      <c r="E4807" s="3" t="inlineStr">
        <is>
          <t>Loan - Trademark</t>
        </is>
      </c>
      <c r="F4807" s="3" t="n">
        <v>-56800</v>
      </c>
      <c r="G4807" s="3" t="n">
        <v>-19400</v>
      </c>
    </row>
    <row r="4808">
      <c r="A4808" s="3" t="inlineStr">
        <is>
          <t>Cape Projects Construction (Pty) Ltd</t>
        </is>
      </c>
      <c r="B4808" s="4" t="n">
        <v>45260</v>
      </c>
      <c r="C4808" s="3" t="inlineStr">
        <is>
          <t>Assets</t>
        </is>
      </c>
      <c r="D4808" s="3" t="inlineStr">
        <is>
          <t>5400/600</t>
        </is>
      </c>
      <c r="E4808" s="3" t="inlineStr">
        <is>
          <t>Loan - Heron Projects</t>
        </is>
      </c>
      <c r="F4808" s="3" t="n">
        <v>255202</v>
      </c>
      <c r="G4808" s="3" t="n">
        <v>-18309738.42</v>
      </c>
    </row>
    <row r="4809">
      <c r="A4809" s="3" t="inlineStr">
        <is>
          <t>Cape Projects Construction (Pty) Ltd</t>
        </is>
      </c>
      <c r="B4809" s="4" t="n">
        <v>45260</v>
      </c>
      <c r="C4809" s="3" t="inlineStr">
        <is>
          <t>Assets</t>
        </is>
      </c>
      <c r="D4809" s="3" t="inlineStr">
        <is>
          <t>5400/650</t>
        </is>
      </c>
      <c r="E4809" s="3" t="inlineStr">
        <is>
          <t>Loan - Noble Shield</t>
        </is>
      </c>
      <c r="F4809" s="3" t="n">
        <v>-96800</v>
      </c>
      <c r="G4809" s="3" t="n">
        <v>-201989.44</v>
      </c>
    </row>
    <row r="4810">
      <c r="A4810" s="3" t="inlineStr">
        <is>
          <t>Cape Projects Construction (Pty) Ltd</t>
        </is>
      </c>
      <c r="B4810" s="4" t="n">
        <v>45260</v>
      </c>
      <c r="C4810" s="3" t="inlineStr">
        <is>
          <t>Assets</t>
        </is>
      </c>
      <c r="D4810" s="3" t="inlineStr">
        <is>
          <t>5400/750</t>
        </is>
      </c>
      <c r="E4810" s="3" t="inlineStr">
        <is>
          <t>Loan - Endulini</t>
        </is>
      </c>
      <c r="F4810" s="3" t="n">
        <v>1270500</v>
      </c>
      <c r="G4810" s="3" t="n">
        <v>26672687.4</v>
      </c>
    </row>
    <row r="4811">
      <c r="A4811" s="3" t="inlineStr">
        <is>
          <t>Cape Projects Construction (Pty) Ltd</t>
        </is>
      </c>
      <c r="B4811" s="4" t="n">
        <v>45260</v>
      </c>
      <c r="C4811" s="3" t="inlineStr">
        <is>
          <t>Assets</t>
        </is>
      </c>
      <c r="D4811" s="3" t="inlineStr">
        <is>
          <t>5400/800</t>
        </is>
      </c>
      <c r="E4811" s="3" t="inlineStr">
        <is>
          <t>Loan - Opportunity Management Holdings</t>
        </is>
      </c>
      <c r="F4811" s="3" t="n">
        <v>-40000</v>
      </c>
      <c r="G4811" s="3" t="n">
        <v>37399</v>
      </c>
    </row>
    <row r="4812">
      <c r="A4812" s="3" t="inlineStr">
        <is>
          <t>Heron View (Pty) Ltd</t>
        </is>
      </c>
      <c r="B4812" s="4" t="n">
        <v>45260</v>
      </c>
      <c r="C4812" s="3" t="inlineStr">
        <is>
          <t>Liabilities</t>
        </is>
      </c>
      <c r="D4812" s="3" t="inlineStr">
        <is>
          <t>5500/001</t>
        </is>
      </c>
      <c r="E4812" s="3" t="inlineStr">
        <is>
          <t>Loan - Heron Fields</t>
        </is>
      </c>
      <c r="F4812" s="3" t="n">
        <v>-7854363.6</v>
      </c>
      <c r="G4812" s="3" t="n">
        <v>-51286984.4</v>
      </c>
    </row>
    <row r="4813">
      <c r="A4813" s="3" t="inlineStr">
        <is>
          <t>Heron Fields (Pty) Ltd</t>
        </is>
      </c>
      <c r="B4813" s="4" t="n">
        <v>45260</v>
      </c>
      <c r="C4813" s="3" t="inlineStr">
        <is>
          <t>Liabilities</t>
        </is>
      </c>
      <c r="D4813" s="3" t="inlineStr">
        <is>
          <t>5500/020</t>
        </is>
      </c>
      <c r="E4813" s="3" t="inlineStr">
        <is>
          <t>Loan - Cape Projects Construction</t>
        </is>
      </c>
      <c r="F4813" s="3" t="n">
        <v>-255202</v>
      </c>
      <c r="G4813" s="3" t="n">
        <v>18309738.42</v>
      </c>
    </row>
    <row r="4814">
      <c r="A4814" s="3" t="inlineStr">
        <is>
          <t>Heron Fields (Pty) Ltd</t>
        </is>
      </c>
      <c r="B4814" s="4" t="n">
        <v>45260</v>
      </c>
      <c r="C4814" s="3" t="inlineStr">
        <is>
          <t>Liabilities</t>
        </is>
      </c>
      <c r="D4814" s="3" t="inlineStr">
        <is>
          <t>5500/030</t>
        </is>
      </c>
      <c r="E4814" s="3" t="inlineStr">
        <is>
          <t>Loan - Opportunity Global Investments</t>
        </is>
      </c>
      <c r="F4814" s="3" t="n">
        <v>50000</v>
      </c>
      <c r="G4814" s="3" t="n">
        <v>4094275</v>
      </c>
    </row>
    <row r="4815">
      <c r="A4815" s="3" t="inlineStr">
        <is>
          <t>Heron Fields (Pty) Ltd</t>
        </is>
      </c>
      <c r="B4815" s="4" t="n">
        <v>45260</v>
      </c>
      <c r="C4815" s="3" t="inlineStr">
        <is>
          <t>Liabilities</t>
        </is>
      </c>
      <c r="D4815" s="3" t="inlineStr">
        <is>
          <t>5500/050</t>
        </is>
      </c>
      <c r="E4815" s="3" t="inlineStr">
        <is>
          <t>Loan - Heron View</t>
        </is>
      </c>
      <c r="F4815" s="3" t="n">
        <v>7853163.6</v>
      </c>
      <c r="G4815" s="3" t="n">
        <v>51285784.4</v>
      </c>
    </row>
    <row r="4816">
      <c r="A4816" s="3" t="inlineStr">
        <is>
          <t>Heron Fields (Pty) Ltd</t>
        </is>
      </c>
      <c r="B4816" s="4" t="n">
        <v>45260</v>
      </c>
      <c r="C4816" s="3" t="inlineStr">
        <is>
          <t>Liabilities</t>
        </is>
      </c>
      <c r="D4816" s="3" t="inlineStr">
        <is>
          <t>5500/060</t>
        </is>
      </c>
      <c r="E4816" s="3" t="inlineStr">
        <is>
          <t>Loan - Opportunity Management Holdings</t>
        </is>
      </c>
      <c r="F4816" s="3" t="n">
        <v>0</v>
      </c>
      <c r="G4816" s="3" t="n">
        <v>42100</v>
      </c>
    </row>
    <row r="4817">
      <c r="A4817" s="3" t="inlineStr">
        <is>
          <t>Heron Fields (Pty) Ltd</t>
        </is>
      </c>
      <c r="B4817" s="4" t="n">
        <v>45260</v>
      </c>
      <c r="C4817" s="3" t="inlineStr">
        <is>
          <t>Liabilities</t>
        </is>
      </c>
      <c r="D4817" s="3" t="inlineStr">
        <is>
          <t>5500/070</t>
        </is>
      </c>
      <c r="E4817" s="3" t="inlineStr">
        <is>
          <t>Loan - Noble Shield</t>
        </is>
      </c>
      <c r="F4817" s="3" t="n">
        <v>20370.22</v>
      </c>
      <c r="G4817" s="3" t="n">
        <v>0</v>
      </c>
    </row>
    <row r="4818">
      <c r="A4818" s="3" t="inlineStr">
        <is>
          <t>Heron Fields (Pty) Ltd</t>
        </is>
      </c>
      <c r="B4818" s="4" t="n">
        <v>45260</v>
      </c>
      <c r="C4818" s="3" t="inlineStr">
        <is>
          <t>Liabilities</t>
        </is>
      </c>
      <c r="D4818" s="3" t="inlineStr">
        <is>
          <t>5500/080</t>
        </is>
      </c>
      <c r="E4818" s="3" t="inlineStr">
        <is>
          <t>Loan - NSST2 Trust</t>
        </is>
      </c>
      <c r="F4818" s="3" t="n">
        <v>500</v>
      </c>
      <c r="G4818" s="3" t="n">
        <v>500</v>
      </c>
    </row>
    <row r="4819">
      <c r="A4819" s="3" t="inlineStr">
        <is>
          <t>Heron Fields (Pty) Ltd</t>
        </is>
      </c>
      <c r="B4819" s="4" t="n">
        <v>45260</v>
      </c>
      <c r="C4819" s="3" t="inlineStr">
        <is>
          <t>Assets</t>
        </is>
      </c>
      <c r="D4819" s="3" t="inlineStr">
        <is>
          <t>6150/050</t>
        </is>
      </c>
      <c r="E4819" s="3" t="inlineStr">
        <is>
          <t>Endulini - C301</t>
        </is>
      </c>
      <c r="F4819" s="3" t="n">
        <v>1304260.87</v>
      </c>
      <c r="G4819" s="3" t="n">
        <v>1304260.87</v>
      </c>
    </row>
    <row r="4820">
      <c r="A4820" s="3" t="inlineStr">
        <is>
          <t>Cape Projects Construction (Pty) Ltd</t>
        </is>
      </c>
      <c r="B4820" s="4" t="n">
        <v>45260</v>
      </c>
      <c r="C4820" s="3" t="inlineStr">
        <is>
          <t>Assets</t>
        </is>
      </c>
      <c r="D4820" s="3" t="inlineStr">
        <is>
          <t>6200/010</t>
        </is>
      </c>
      <c r="E4820" s="3" t="inlineStr">
        <is>
          <t>Motor Vehicles - @ Cost</t>
        </is>
      </c>
      <c r="F4820" s="3" t="n">
        <v>0</v>
      </c>
      <c r="G4820" s="3" t="n">
        <v>216064.1</v>
      </c>
    </row>
    <row r="4821">
      <c r="A4821" s="3" t="inlineStr">
        <is>
          <t>Cape Projects Construction (Pty) Ltd</t>
        </is>
      </c>
      <c r="B4821" s="4" t="n">
        <v>45260</v>
      </c>
      <c r="C4821" s="3" t="inlineStr">
        <is>
          <t>Assets</t>
        </is>
      </c>
      <c r="D4821" s="3" t="inlineStr">
        <is>
          <t>6200/020</t>
        </is>
      </c>
      <c r="E4821" s="3" t="inlineStr">
        <is>
          <t>Motor Vehicles - Accum Depre</t>
        </is>
      </c>
      <c r="F4821" s="3" t="n">
        <v>0</v>
      </c>
      <c r="G4821" s="3" t="n">
        <v>-216063.1</v>
      </c>
    </row>
    <row r="4822">
      <c r="A4822" s="3" t="inlineStr">
        <is>
          <t>Cape Projects Construction (Pty) Ltd</t>
        </is>
      </c>
      <c r="B4822" s="4" t="n">
        <v>45260</v>
      </c>
      <c r="C4822" s="3" t="inlineStr">
        <is>
          <t>Assets</t>
        </is>
      </c>
      <c r="D4822" s="3" t="inlineStr">
        <is>
          <t>6250/010</t>
        </is>
      </c>
      <c r="E4822" s="3" t="inlineStr">
        <is>
          <t>Computer Equipment - @ Cost</t>
        </is>
      </c>
      <c r="F4822" s="3" t="n">
        <v>0</v>
      </c>
      <c r="G4822" s="3" t="n">
        <v>178152.48</v>
      </c>
    </row>
    <row r="4823">
      <c r="A4823" s="3" t="inlineStr">
        <is>
          <t>Cape Projects Construction (Pty) Ltd</t>
        </is>
      </c>
      <c r="B4823" s="4" t="n">
        <v>45260</v>
      </c>
      <c r="C4823" s="3" t="inlineStr">
        <is>
          <t>Assets</t>
        </is>
      </c>
      <c r="D4823" s="3" t="inlineStr">
        <is>
          <t>6250/020</t>
        </is>
      </c>
      <c r="E4823" s="3" t="inlineStr">
        <is>
          <t>Computer Equipment - Accum Depre</t>
        </is>
      </c>
      <c r="F4823" s="3" t="n">
        <v>-4549.49</v>
      </c>
      <c r="G4823" s="3" t="n">
        <v>-75610</v>
      </c>
    </row>
    <row r="4824">
      <c r="A4824" s="3" t="inlineStr">
        <is>
          <t>Cape Projects Construction (Pty) Ltd</t>
        </is>
      </c>
      <c r="B4824" s="4" t="n">
        <v>45260</v>
      </c>
      <c r="C4824" s="3" t="inlineStr">
        <is>
          <t>Assets</t>
        </is>
      </c>
      <c r="D4824" s="3" t="inlineStr">
        <is>
          <t>6350/010</t>
        </is>
      </c>
      <c r="E4824" s="3" t="inlineStr">
        <is>
          <t>Furniture _AND_ Fittings - @ Cost</t>
        </is>
      </c>
      <c r="F4824" s="3" t="n">
        <v>0</v>
      </c>
      <c r="G4824" s="3" t="n">
        <v>37955.3</v>
      </c>
    </row>
    <row r="4825">
      <c r="A4825" s="3" t="inlineStr">
        <is>
          <t>Cape Projects Construction (Pty) Ltd</t>
        </is>
      </c>
      <c r="B4825" s="4" t="n">
        <v>45260</v>
      </c>
      <c r="C4825" s="3" t="inlineStr">
        <is>
          <t>Assets</t>
        </is>
      </c>
      <c r="D4825" s="3" t="inlineStr">
        <is>
          <t>6350/020</t>
        </is>
      </c>
      <c r="E4825" s="3" t="inlineStr">
        <is>
          <t>Furniture _AND_ Fittings - Accum Depre</t>
        </is>
      </c>
      <c r="F4825" s="3" t="n">
        <v>-547.67</v>
      </c>
      <c r="G4825" s="3" t="n">
        <v>-10823.64</v>
      </c>
    </row>
    <row r="4826">
      <c r="A4826" s="3" t="inlineStr">
        <is>
          <t>Cape Projects Construction (Pty) Ltd</t>
        </is>
      </c>
      <c r="B4826" s="4" t="n">
        <v>45260</v>
      </c>
      <c r="C4826" s="3" t="inlineStr">
        <is>
          <t>Assets</t>
        </is>
      </c>
      <c r="D4826" s="3" t="inlineStr">
        <is>
          <t>6600/010</t>
        </is>
      </c>
      <c r="E4826" s="3" t="inlineStr">
        <is>
          <t>Generator Fixed Asset - @ Cost</t>
        </is>
      </c>
      <c r="F4826" s="3" t="n">
        <v>0</v>
      </c>
      <c r="G4826" s="3" t="n">
        <v>71322</v>
      </c>
    </row>
    <row r="4827">
      <c r="A4827" s="3" t="inlineStr">
        <is>
          <t>Cape Projects Construction (Pty) Ltd</t>
        </is>
      </c>
      <c r="B4827" s="4" t="n">
        <v>45260</v>
      </c>
      <c r="C4827" s="3" t="inlineStr">
        <is>
          <t>Assets</t>
        </is>
      </c>
      <c r="D4827" s="3" t="inlineStr">
        <is>
          <t>6600/020</t>
        </is>
      </c>
      <c r="E4827" s="3" t="inlineStr">
        <is>
          <t>Generator Fixed Asset - Accum Depre</t>
        </is>
      </c>
      <c r="F4827" s="3" t="n">
        <v>-1188.7</v>
      </c>
      <c r="G4827" s="3" t="n">
        <v>-11833.13</v>
      </c>
    </row>
    <row r="4828">
      <c r="A4828" s="3" t="inlineStr">
        <is>
          <t>Heron Fields (Pty) Ltd</t>
        </is>
      </c>
      <c r="B4828" s="4" t="n">
        <v>45260</v>
      </c>
      <c r="C4828" s="3" t="inlineStr">
        <is>
          <t>Assets</t>
        </is>
      </c>
      <c r="D4828" s="3" t="inlineStr">
        <is>
          <t>7610/395</t>
        </is>
      </c>
      <c r="E4828" s="3" t="inlineStr">
        <is>
          <t>HF CIP NHBRC</t>
        </is>
      </c>
      <c r="F4828" s="3" t="n">
        <v>0</v>
      </c>
      <c r="G4828" s="3" t="n">
        <v>874505.75</v>
      </c>
    </row>
    <row r="4829">
      <c r="A4829" s="3" t="inlineStr">
        <is>
          <t>Heron View (Pty) Ltd</t>
        </is>
      </c>
      <c r="B4829" s="4" t="n">
        <v>45260</v>
      </c>
      <c r="C4829" s="3" t="inlineStr">
        <is>
          <t>Assets</t>
        </is>
      </c>
      <c r="D4829" s="3" t="inlineStr">
        <is>
          <t>7610/395</t>
        </is>
      </c>
      <c r="E4829" s="3" t="inlineStr">
        <is>
          <t>Heron CIP NHBRC</t>
        </is>
      </c>
      <c r="F4829" s="3" t="n">
        <v>321335</v>
      </c>
      <c r="G4829" s="3" t="n">
        <v>2459685.86</v>
      </c>
    </row>
    <row r="4830">
      <c r="A4830" s="3" t="inlineStr">
        <is>
          <t>Heron Fields (Pty) Ltd</t>
        </is>
      </c>
      <c r="B4830" s="4" t="n">
        <v>45260</v>
      </c>
      <c r="C4830" s="3" t="inlineStr">
        <is>
          <t>Assets</t>
        </is>
      </c>
      <c r="D4830" s="3" t="inlineStr">
        <is>
          <t>7620/100</t>
        </is>
      </c>
      <c r="E4830" s="3" t="inlineStr">
        <is>
          <t>Heron View Land</t>
        </is>
      </c>
      <c r="F4830" s="3" t="n">
        <v>0</v>
      </c>
      <c r="G4830" s="3" t="n">
        <v>26200000</v>
      </c>
    </row>
    <row r="4831">
      <c r="A4831" s="3" t="inlineStr">
        <is>
          <t>Heron Fields (Pty) Ltd</t>
        </is>
      </c>
      <c r="B4831" s="4" t="n">
        <v>45260</v>
      </c>
      <c r="C4831" s="3" t="inlineStr">
        <is>
          <t>Assets</t>
        </is>
      </c>
      <c r="D4831" s="3" t="inlineStr">
        <is>
          <t>7620/101</t>
        </is>
      </c>
      <c r="E4831" s="3" t="inlineStr">
        <is>
          <t>HF CIP Bond Registration Fee</t>
        </is>
      </c>
      <c r="F4831" s="3" t="n">
        <v>0</v>
      </c>
      <c r="G4831" s="3" t="n">
        <v>68427</v>
      </c>
    </row>
    <row r="4832">
      <c r="A4832" s="3" t="inlineStr">
        <is>
          <t>Heron Fields (Pty) Ltd</t>
        </is>
      </c>
      <c r="B4832" s="4" t="n">
        <v>45260</v>
      </c>
      <c r="C4832" s="3" t="inlineStr">
        <is>
          <t>Assets</t>
        </is>
      </c>
      <c r="D4832" s="3" t="inlineStr">
        <is>
          <t>7620/102</t>
        </is>
      </c>
      <c r="E4832" s="3" t="inlineStr">
        <is>
          <t>HF CIP Transfer Fee</t>
        </is>
      </c>
      <c r="F4832" s="3" t="n">
        <v>0</v>
      </c>
      <c r="G4832" s="3" t="n">
        <v>103812</v>
      </c>
    </row>
    <row r="4833">
      <c r="A4833" s="3" t="inlineStr">
        <is>
          <t>Heron Fields (Pty) Ltd</t>
        </is>
      </c>
      <c r="B4833" s="4" t="n">
        <v>45260</v>
      </c>
      <c r="C4833" s="3" t="inlineStr">
        <is>
          <t>Assets</t>
        </is>
      </c>
      <c r="D4833" s="3" t="inlineStr">
        <is>
          <t>7620/220</t>
        </is>
      </c>
      <c r="E4833" s="3" t="inlineStr">
        <is>
          <t>HF CIP Architectural Designs</t>
        </is>
      </c>
      <c r="F4833" s="3" t="n">
        <v>0</v>
      </c>
      <c r="G4833" s="3" t="n">
        <v>314087</v>
      </c>
    </row>
    <row r="4834">
      <c r="A4834" s="3" t="inlineStr">
        <is>
          <t>Heron View (Pty) Ltd</t>
        </is>
      </c>
      <c r="B4834" s="4" t="n">
        <v>45260</v>
      </c>
      <c r="C4834" s="3" t="inlineStr">
        <is>
          <t>Assets</t>
        </is>
      </c>
      <c r="D4834" s="3" t="inlineStr">
        <is>
          <t>7620/220</t>
        </is>
      </c>
      <c r="E4834" s="3" t="inlineStr">
        <is>
          <t>Heron View CIP Architectural Designs</t>
        </is>
      </c>
      <c r="F4834" s="3" t="n">
        <v>0</v>
      </c>
      <c r="G4834" s="3" t="n">
        <v>765978.5</v>
      </c>
    </row>
    <row r="4835">
      <c r="A4835" s="3" t="inlineStr">
        <is>
          <t>Heron Fields (Pty) Ltd</t>
        </is>
      </c>
      <c r="B4835" s="4" t="n">
        <v>45260</v>
      </c>
      <c r="C4835" s="3" t="inlineStr">
        <is>
          <t>Assets</t>
        </is>
      </c>
      <c r="D4835" s="3" t="inlineStr">
        <is>
          <t>7620/230</t>
        </is>
      </c>
      <c r="E4835" s="3" t="inlineStr">
        <is>
          <t>HF CIP Construction Management</t>
        </is>
      </c>
      <c r="F4835" s="3" t="n">
        <v>0</v>
      </c>
      <c r="G4835" s="3" t="n">
        <v>139500</v>
      </c>
    </row>
    <row r="4836">
      <c r="A4836" s="3" t="inlineStr">
        <is>
          <t>Heron Fields (Pty) Ltd</t>
        </is>
      </c>
      <c r="B4836" s="4" t="n">
        <v>45260</v>
      </c>
      <c r="C4836" s="3" t="inlineStr">
        <is>
          <t>Assets</t>
        </is>
      </c>
      <c r="D4836" s="3" t="inlineStr">
        <is>
          <t>7620/240</t>
        </is>
      </c>
      <c r="E4836" s="3" t="inlineStr">
        <is>
          <t>HF CIP Civil Engineering</t>
        </is>
      </c>
      <c r="F4836" s="3" t="n">
        <v>0</v>
      </c>
      <c r="G4836" s="3" t="n">
        <v>8557641.800000001</v>
      </c>
    </row>
    <row r="4837">
      <c r="A4837" s="3" t="inlineStr">
        <is>
          <t>Heron Fields (Pty) Ltd</t>
        </is>
      </c>
      <c r="B4837" s="4" t="n">
        <v>45260</v>
      </c>
      <c r="C4837" s="3" t="inlineStr">
        <is>
          <t>Assets</t>
        </is>
      </c>
      <c r="D4837" s="3" t="inlineStr">
        <is>
          <t>7620/245</t>
        </is>
      </c>
      <c r="E4837" s="3" t="inlineStr">
        <is>
          <t>HF CIP Development fee</t>
        </is>
      </c>
      <c r="F4837" s="3" t="n">
        <v>0</v>
      </c>
      <c r="G4837" s="3" t="n">
        <v>13807.78</v>
      </c>
    </row>
    <row r="4838">
      <c r="A4838" s="3" t="inlineStr">
        <is>
          <t>Heron Fields (Pty) Ltd</t>
        </is>
      </c>
      <c r="B4838" s="4" t="n">
        <v>45260</v>
      </c>
      <c r="C4838" s="3" t="inlineStr">
        <is>
          <t>Assets</t>
        </is>
      </c>
      <c r="D4838" s="3" t="inlineStr">
        <is>
          <t>7620/250</t>
        </is>
      </c>
      <c r="E4838" s="3" t="inlineStr">
        <is>
          <t>HF CIP Land Surveyor</t>
        </is>
      </c>
      <c r="F4838" s="3" t="n">
        <v>0</v>
      </c>
      <c r="G4838" s="3" t="n">
        <v>197060.09</v>
      </c>
    </row>
    <row r="4839">
      <c r="A4839" s="3" t="inlineStr">
        <is>
          <t>Heron View (Pty) Ltd</t>
        </is>
      </c>
      <c r="B4839" s="4" t="n">
        <v>45260</v>
      </c>
      <c r="C4839" s="3" t="inlineStr">
        <is>
          <t>Assets</t>
        </is>
      </c>
      <c r="D4839" s="3" t="inlineStr">
        <is>
          <t>7620/250</t>
        </is>
      </c>
      <c r="E4839" s="3" t="inlineStr">
        <is>
          <t>Heron View CIP Land Surveyor</t>
        </is>
      </c>
      <c r="F4839" s="3" t="n">
        <v>71191</v>
      </c>
      <c r="G4839" s="3" t="n">
        <v>321942.47</v>
      </c>
    </row>
    <row r="4840">
      <c r="A4840" s="3" t="inlineStr">
        <is>
          <t>Heron Fields (Pty) Ltd</t>
        </is>
      </c>
      <c r="B4840" s="4" t="n">
        <v>45260</v>
      </c>
      <c r="C4840" s="3" t="inlineStr">
        <is>
          <t>Assets</t>
        </is>
      </c>
      <c r="D4840" s="3" t="inlineStr">
        <is>
          <t>7620/255</t>
        </is>
      </c>
      <c r="E4840" s="3" t="inlineStr">
        <is>
          <t>HF CIP Landscaping</t>
        </is>
      </c>
      <c r="F4840" s="3" t="n">
        <v>0</v>
      </c>
      <c r="G4840" s="3" t="n">
        <v>7500</v>
      </c>
    </row>
    <row r="4841">
      <c r="A4841" s="3" t="inlineStr">
        <is>
          <t>Heron View (Pty) Ltd</t>
        </is>
      </c>
      <c r="B4841" s="4" t="n">
        <v>45260</v>
      </c>
      <c r="C4841" s="3" t="inlineStr">
        <is>
          <t>Assets</t>
        </is>
      </c>
      <c r="D4841" s="3" t="inlineStr">
        <is>
          <t>7620/255</t>
        </is>
      </c>
      <c r="E4841" s="3" t="inlineStr">
        <is>
          <t>Heron View CIP Landscaping</t>
        </is>
      </c>
      <c r="F4841" s="3" t="n">
        <v>0</v>
      </c>
      <c r="G4841" s="3" t="n">
        <v>114370.5</v>
      </c>
    </row>
    <row r="4842">
      <c r="A4842" s="3" t="inlineStr">
        <is>
          <t>Heron Fields (Pty) Ltd</t>
        </is>
      </c>
      <c r="B4842" s="4" t="n">
        <v>45260</v>
      </c>
      <c r="C4842" s="3" t="inlineStr">
        <is>
          <t>Assets</t>
        </is>
      </c>
      <c r="D4842" s="3" t="inlineStr">
        <is>
          <t>7620/260</t>
        </is>
      </c>
      <c r="E4842" s="3" t="inlineStr">
        <is>
          <t>HF CIP Mechanical Engineers</t>
        </is>
      </c>
      <c r="F4842" s="3" t="n">
        <v>0</v>
      </c>
      <c r="G4842" s="3" t="n">
        <v>146256.38</v>
      </c>
    </row>
    <row r="4843">
      <c r="A4843" s="3" t="inlineStr">
        <is>
          <t>Heron Fields (Pty) Ltd</t>
        </is>
      </c>
      <c r="B4843" s="4" t="n">
        <v>45260</v>
      </c>
      <c r="C4843" s="3" t="inlineStr">
        <is>
          <t>Assets</t>
        </is>
      </c>
      <c r="D4843" s="3" t="inlineStr">
        <is>
          <t>7620/265</t>
        </is>
      </c>
      <c r="E4843" s="3" t="inlineStr">
        <is>
          <t>HF CIP Health &amp; Safety</t>
        </is>
      </c>
      <c r="F4843" s="3" t="n">
        <v>0</v>
      </c>
      <c r="G4843" s="3" t="n">
        <v>20600</v>
      </c>
    </row>
    <row r="4844">
      <c r="A4844" s="3" t="inlineStr">
        <is>
          <t>Heron Fields (Pty) Ltd</t>
        </is>
      </c>
      <c r="B4844" s="4" t="n">
        <v>45260</v>
      </c>
      <c r="C4844" s="3" t="inlineStr">
        <is>
          <t>Assets</t>
        </is>
      </c>
      <c r="D4844" s="3" t="inlineStr">
        <is>
          <t>7620/270</t>
        </is>
      </c>
      <c r="E4844" s="3" t="inlineStr">
        <is>
          <t>HF CIP Geotechnical</t>
        </is>
      </c>
      <c r="F4844" s="3" t="n">
        <v>0</v>
      </c>
      <c r="G4844" s="3" t="n">
        <v>15175</v>
      </c>
    </row>
    <row r="4845">
      <c r="A4845" s="3" t="inlineStr">
        <is>
          <t>Heron Fields (Pty) Ltd</t>
        </is>
      </c>
      <c r="B4845" s="4" t="n">
        <v>45260</v>
      </c>
      <c r="C4845" s="3" t="inlineStr">
        <is>
          <t>Assets</t>
        </is>
      </c>
      <c r="D4845" s="3" t="inlineStr">
        <is>
          <t>7620/275</t>
        </is>
      </c>
      <c r="E4845" s="3" t="inlineStr">
        <is>
          <t>HF CIP Retaining Wall</t>
        </is>
      </c>
      <c r="F4845" s="3" t="n">
        <v>0</v>
      </c>
      <c r="G4845" s="3" t="n">
        <v>570856.08</v>
      </c>
    </row>
    <row r="4846">
      <c r="A4846" s="3" t="inlineStr">
        <is>
          <t>Heron Fields (Pty) Ltd</t>
        </is>
      </c>
      <c r="B4846" s="4" t="n">
        <v>45260</v>
      </c>
      <c r="C4846" s="3" t="inlineStr">
        <is>
          <t>Assets</t>
        </is>
      </c>
      <c r="D4846" s="3" t="inlineStr">
        <is>
          <t>7620/280</t>
        </is>
      </c>
      <c r="E4846" s="3" t="inlineStr">
        <is>
          <t>HF CIP Site Establishment</t>
        </is>
      </c>
      <c r="F4846" s="3" t="n">
        <v>0</v>
      </c>
      <c r="G4846" s="3" t="n">
        <v>47748851.51</v>
      </c>
    </row>
    <row r="4847">
      <c r="A4847" s="3" t="inlineStr">
        <is>
          <t>Heron View (Pty) Ltd</t>
        </is>
      </c>
      <c r="B4847" s="4" t="n">
        <v>45260</v>
      </c>
      <c r="C4847" s="3" t="inlineStr">
        <is>
          <t>Assets</t>
        </is>
      </c>
      <c r="D4847" s="3" t="inlineStr">
        <is>
          <t>7620/280</t>
        </is>
      </c>
      <c r="E4847" s="3" t="inlineStr">
        <is>
          <t>Heron View CIP Site Establishment</t>
        </is>
      </c>
      <c r="F4847" s="3" t="n">
        <v>11562012.71</v>
      </c>
      <c r="G4847" s="3" t="n">
        <v>31135708.78</v>
      </c>
    </row>
    <row r="4848">
      <c r="A4848" s="3" t="inlineStr">
        <is>
          <t>Heron Fields (Pty) Ltd</t>
        </is>
      </c>
      <c r="B4848" s="4" t="n">
        <v>45260</v>
      </c>
      <c r="C4848" s="3" t="inlineStr">
        <is>
          <t>Assets</t>
        </is>
      </c>
      <c r="D4848" s="3" t="inlineStr">
        <is>
          <t>7620/285</t>
        </is>
      </c>
      <c r="E4848" s="3" t="inlineStr">
        <is>
          <t>HF CIP Structuring Fee - Invest</t>
        </is>
      </c>
      <c r="F4848" s="3" t="n">
        <v>0</v>
      </c>
      <c r="G4848" s="3" t="n">
        <v>3850818.04</v>
      </c>
    </row>
    <row r="4849">
      <c r="A4849" s="3" t="inlineStr">
        <is>
          <t>Heron View (Pty) Ltd</t>
        </is>
      </c>
      <c r="B4849" s="4" t="n">
        <v>45260</v>
      </c>
      <c r="C4849" s="3" t="inlineStr">
        <is>
          <t>Assets</t>
        </is>
      </c>
      <c r="D4849" s="3" t="inlineStr">
        <is>
          <t>7620/285</t>
        </is>
      </c>
      <c r="E4849" s="3" t="inlineStr">
        <is>
          <t>Heron View CIP Structuring Fee - Invest</t>
        </is>
      </c>
      <c r="F4849" s="3" t="n">
        <v>0</v>
      </c>
      <c r="G4849" s="3" t="n">
        <v>1826086.96</v>
      </c>
    </row>
    <row r="4850">
      <c r="A4850" s="3" t="inlineStr">
        <is>
          <t>Heron Fields (Pty) Ltd</t>
        </is>
      </c>
      <c r="B4850" s="4" t="n">
        <v>45260</v>
      </c>
      <c r="C4850" s="3" t="inlineStr">
        <is>
          <t>Assets</t>
        </is>
      </c>
      <c r="D4850" s="3" t="inlineStr">
        <is>
          <t>7620/287</t>
        </is>
      </c>
      <c r="E4850" s="3" t="inlineStr">
        <is>
          <t>HF CIP Structuring Fee - Development</t>
        </is>
      </c>
      <c r="F4850" s="3" t="n">
        <v>0</v>
      </c>
      <c r="G4850" s="3" t="n">
        <v>782608.0699999999</v>
      </c>
    </row>
    <row r="4851">
      <c r="A4851" s="3" t="inlineStr">
        <is>
          <t>Heron View (Pty) Ltd</t>
        </is>
      </c>
      <c r="B4851" s="4" t="n">
        <v>45260</v>
      </c>
      <c r="C4851" s="3" t="inlineStr">
        <is>
          <t>Assets</t>
        </is>
      </c>
      <c r="D4851" s="3" t="inlineStr">
        <is>
          <t>7620/287</t>
        </is>
      </c>
      <c r="E4851" s="3" t="inlineStr">
        <is>
          <t>Heron View CIP Structuring Fee - Development</t>
        </is>
      </c>
      <c r="F4851" s="3" t="n">
        <v>0</v>
      </c>
      <c r="G4851" s="3" t="n">
        <v>217391.3</v>
      </c>
    </row>
    <row r="4852">
      <c r="A4852" s="3" t="inlineStr">
        <is>
          <t>Heron Fields (Pty) Ltd</t>
        </is>
      </c>
      <c r="B4852" s="4" t="n">
        <v>45260</v>
      </c>
      <c r="C4852" s="3" t="inlineStr">
        <is>
          <t>Assets</t>
        </is>
      </c>
      <c r="D4852" s="3" t="inlineStr">
        <is>
          <t>7620/290</t>
        </is>
      </c>
      <c r="E4852" s="3" t="inlineStr">
        <is>
          <t>HF CIP Town Planning</t>
        </is>
      </c>
      <c r="F4852" s="3" t="n">
        <v>0</v>
      </c>
      <c r="G4852" s="3" t="n">
        <v>166550</v>
      </c>
    </row>
    <row r="4853">
      <c r="A4853" s="3" t="inlineStr">
        <is>
          <t>Heron View (Pty) Ltd</t>
        </is>
      </c>
      <c r="B4853" s="4" t="n">
        <v>45260</v>
      </c>
      <c r="C4853" s="3" t="inlineStr">
        <is>
          <t>Assets</t>
        </is>
      </c>
      <c r="D4853" s="3" t="inlineStr">
        <is>
          <t>7620/290</t>
        </is>
      </c>
      <c r="E4853" s="3" t="inlineStr">
        <is>
          <t>Heron View CIP Town Planning</t>
        </is>
      </c>
      <c r="F4853" s="3" t="n">
        <v>0</v>
      </c>
      <c r="G4853" s="3" t="n">
        <v>2834.7</v>
      </c>
    </row>
    <row r="4854">
      <c r="A4854" s="3" t="inlineStr">
        <is>
          <t>Heron Fields (Pty) Ltd</t>
        </is>
      </c>
      <c r="B4854" s="4" t="n">
        <v>45260</v>
      </c>
      <c r="C4854" s="3" t="inlineStr">
        <is>
          <t>Assets</t>
        </is>
      </c>
      <c r="D4854" s="3" t="inlineStr">
        <is>
          <t>7620/295</t>
        </is>
      </c>
      <c r="E4854" s="3" t="inlineStr">
        <is>
          <t>HF CIP Traffic Planning</t>
        </is>
      </c>
      <c r="F4854" s="3" t="n">
        <v>0</v>
      </c>
      <c r="G4854" s="3" t="n">
        <v>45000</v>
      </c>
    </row>
    <row r="4855">
      <c r="A4855" s="3" t="inlineStr">
        <is>
          <t>Heron Fields (Pty) Ltd</t>
        </is>
      </c>
      <c r="B4855" s="4" t="n">
        <v>45260</v>
      </c>
      <c r="C4855" s="3" t="inlineStr">
        <is>
          <t>Assets</t>
        </is>
      </c>
      <c r="D4855" s="3" t="inlineStr">
        <is>
          <t>7620/600</t>
        </is>
      </c>
      <c r="E4855" s="3" t="inlineStr">
        <is>
          <t>HF CIP Eco work</t>
        </is>
      </c>
      <c r="F4855" s="3" t="n">
        <v>6000</v>
      </c>
      <c r="G4855" s="3" t="n">
        <v>185000</v>
      </c>
    </row>
    <row r="4856">
      <c r="A4856" s="3" t="inlineStr">
        <is>
          <t>Heron View (Pty) Ltd</t>
        </is>
      </c>
      <c r="B4856" s="4" t="n">
        <v>45260</v>
      </c>
      <c r="C4856" s="3" t="inlineStr">
        <is>
          <t>Assets</t>
        </is>
      </c>
      <c r="D4856" s="3" t="inlineStr">
        <is>
          <t>7620/605</t>
        </is>
      </c>
      <c r="E4856" s="3" t="inlineStr">
        <is>
          <t>Heron View CIP Structural Engineers</t>
        </is>
      </c>
      <c r="F4856" s="3" t="n">
        <v>17500</v>
      </c>
      <c r="G4856" s="3" t="n">
        <v>666877.14</v>
      </c>
    </row>
    <row r="4857">
      <c r="A4857" s="3" t="inlineStr">
        <is>
          <t>Heron View (Pty) Ltd</t>
        </is>
      </c>
      <c r="B4857" s="4" t="n">
        <v>45260</v>
      </c>
      <c r="C4857" s="3" t="inlineStr">
        <is>
          <t>Assets</t>
        </is>
      </c>
      <c r="D4857" s="3" t="inlineStr">
        <is>
          <t>7620/610</t>
        </is>
      </c>
      <c r="E4857" s="3" t="inlineStr">
        <is>
          <t>HV CIP Retaining wall</t>
        </is>
      </c>
      <c r="F4857" s="3" t="n">
        <v>0</v>
      </c>
      <c r="G4857" s="3" t="n">
        <v>66190.11</v>
      </c>
    </row>
    <row r="4858">
      <c r="A4858" s="3" t="inlineStr">
        <is>
          <t>Heron Fields (Pty) Ltd</t>
        </is>
      </c>
      <c r="B4858" s="4" t="n">
        <v>45260</v>
      </c>
      <c r="C4858" s="3" t="inlineStr">
        <is>
          <t>Assets</t>
        </is>
      </c>
      <c r="D4858" s="3" t="inlineStr">
        <is>
          <t>7620/630</t>
        </is>
      </c>
      <c r="E4858" s="3" t="inlineStr">
        <is>
          <t>HF CIP CoCT development contribution</t>
        </is>
      </c>
      <c r="F4858" s="3" t="n">
        <v>0</v>
      </c>
      <c r="G4858" s="3" t="n">
        <v>3252759.95</v>
      </c>
    </row>
    <row r="4859">
      <c r="A4859" s="3" t="inlineStr">
        <is>
          <t>Heron View (Pty) Ltd</t>
        </is>
      </c>
      <c r="B4859" s="4" t="n">
        <v>45260</v>
      </c>
      <c r="C4859" s="3" t="inlineStr">
        <is>
          <t>Assets</t>
        </is>
      </c>
      <c r="D4859" s="3" t="inlineStr">
        <is>
          <t>7620/630</t>
        </is>
      </c>
      <c r="E4859" s="3" t="inlineStr">
        <is>
          <t>Heron CIP - CoCT development contribution</t>
        </is>
      </c>
      <c r="F4859" s="3" t="n">
        <v>530.35</v>
      </c>
      <c r="G4859" s="3" t="n">
        <v>1673231.19</v>
      </c>
    </row>
    <row r="4860">
      <c r="A4860" s="3" t="inlineStr">
        <is>
          <t>Heron Fields (Pty) Ltd</t>
        </is>
      </c>
      <c r="B4860" s="4" t="n">
        <v>45260</v>
      </c>
      <c r="C4860" s="3" t="inlineStr">
        <is>
          <t>Assets</t>
        </is>
      </c>
      <c r="D4860" s="3" t="inlineStr">
        <is>
          <t>7620/640</t>
        </is>
      </c>
      <c r="E4860" s="3" t="inlineStr">
        <is>
          <t>HF CIP Project costs</t>
        </is>
      </c>
      <c r="F4860" s="3" t="n">
        <v>0</v>
      </c>
      <c r="G4860" s="3" t="n">
        <v>622274.51</v>
      </c>
    </row>
    <row r="4861">
      <c r="A4861" s="3" t="inlineStr">
        <is>
          <t>Heron View (Pty) Ltd</t>
        </is>
      </c>
      <c r="B4861" s="4" t="n">
        <v>45260</v>
      </c>
      <c r="C4861" s="3" t="inlineStr">
        <is>
          <t>Assets</t>
        </is>
      </c>
      <c r="D4861" s="3" t="inlineStr">
        <is>
          <t>7620/650</t>
        </is>
      </c>
      <c r="E4861" s="3" t="inlineStr">
        <is>
          <t>CIP - Construction Management</t>
        </is>
      </c>
      <c r="F4861" s="3" t="n">
        <v>0</v>
      </c>
      <c r="G4861" s="3" t="n">
        <v>76530</v>
      </c>
    </row>
    <row r="4862">
      <c r="A4862" s="3" t="inlineStr">
        <is>
          <t>Heron Fields (Pty) Ltd</t>
        </is>
      </c>
      <c r="B4862" s="4" t="n">
        <v>45260</v>
      </c>
      <c r="C4862" s="3" t="inlineStr">
        <is>
          <t>Assets</t>
        </is>
      </c>
      <c r="D4862" s="3" t="inlineStr">
        <is>
          <t>7620/650</t>
        </is>
      </c>
      <c r="E4862" s="3" t="inlineStr">
        <is>
          <t>HF CIP Electrical</t>
        </is>
      </c>
      <c r="F4862" s="3" t="n">
        <v>0</v>
      </c>
      <c r="G4862" s="3" t="n">
        <v>985049.6800000001</v>
      </c>
    </row>
    <row r="4863">
      <c r="A4863" s="3" t="inlineStr">
        <is>
          <t>Heron View (Pty) Ltd</t>
        </is>
      </c>
      <c r="B4863" s="4" t="n">
        <v>45260</v>
      </c>
      <c r="C4863" s="3" t="inlineStr">
        <is>
          <t>Assets</t>
        </is>
      </c>
      <c r="D4863" s="3" t="inlineStr">
        <is>
          <t>7620/660</t>
        </is>
      </c>
      <c r="E4863" s="3" t="inlineStr">
        <is>
          <t>HV CIP Health &amp; Safety</t>
        </is>
      </c>
      <c r="F4863" s="3" t="n">
        <v>1400</v>
      </c>
      <c r="G4863" s="3" t="n">
        <v>27200</v>
      </c>
    </row>
    <row r="4864">
      <c r="A4864" s="3" t="inlineStr">
        <is>
          <t>Heron View (Pty) Ltd</t>
        </is>
      </c>
      <c r="B4864" s="4" t="n">
        <v>45260</v>
      </c>
      <c r="C4864" s="3" t="inlineStr">
        <is>
          <t>Assets</t>
        </is>
      </c>
      <c r="D4864" s="3" t="inlineStr">
        <is>
          <t>7620/670</t>
        </is>
      </c>
      <c r="E4864" s="3" t="inlineStr">
        <is>
          <t>HV CIP - Project costs CPSD</t>
        </is>
      </c>
      <c r="F4864" s="3" t="n">
        <v>334782.61</v>
      </c>
      <c r="G4864" s="3" t="n">
        <v>1689130.43</v>
      </c>
    </row>
    <row r="4865">
      <c r="A4865" s="3" t="inlineStr">
        <is>
          <t>Heron View (Pty) Ltd</t>
        </is>
      </c>
      <c r="B4865" s="4" t="n">
        <v>45260</v>
      </c>
      <c r="C4865" s="3" t="inlineStr">
        <is>
          <t>Assets</t>
        </is>
      </c>
      <c r="D4865" s="3" t="inlineStr">
        <is>
          <t>7620/680</t>
        </is>
      </c>
      <c r="E4865" s="3" t="inlineStr">
        <is>
          <t>HV CIP Elextrical</t>
        </is>
      </c>
      <c r="F4865" s="3" t="n">
        <v>0</v>
      </c>
      <c r="G4865" s="3" t="n">
        <v>1540502.11</v>
      </c>
    </row>
    <row r="4866">
      <c r="A4866" s="3" t="inlineStr">
        <is>
          <t>Heron View (Pty) Ltd</t>
        </is>
      </c>
      <c r="B4866" s="4" t="n">
        <v>45260</v>
      </c>
      <c r="C4866" s="3" t="inlineStr">
        <is>
          <t>Assets</t>
        </is>
      </c>
      <c r="D4866" s="3" t="inlineStr">
        <is>
          <t>7620/690</t>
        </is>
      </c>
      <c r="E4866" s="3" t="inlineStr">
        <is>
          <t>HV CIP Site Establishment</t>
        </is>
      </c>
      <c r="F4866" s="3" t="n">
        <v>0</v>
      </c>
      <c r="G4866" s="3" t="n">
        <v>20707183.05</v>
      </c>
    </row>
    <row r="4867">
      <c r="A4867" s="3" t="inlineStr">
        <is>
          <t>Heron Fields (Pty) Ltd</t>
        </is>
      </c>
      <c r="B4867" s="4" t="n">
        <v>45260</v>
      </c>
      <c r="C4867" s="3" t="inlineStr">
        <is>
          <t>Assets</t>
        </is>
      </c>
      <c r="D4867" s="3" t="inlineStr">
        <is>
          <t>7620/750</t>
        </is>
      </c>
      <c r="E4867" s="3" t="inlineStr">
        <is>
          <t>HF CIP Project costs CPSD</t>
        </is>
      </c>
      <c r="F4867" s="3" t="n">
        <v>0</v>
      </c>
      <c r="G4867" s="3" t="n">
        <v>2148883.15</v>
      </c>
    </row>
    <row r="4868">
      <c r="A4868" s="3" t="inlineStr">
        <is>
          <t>Heron Fields (Pty) Ltd</t>
        </is>
      </c>
      <c r="B4868" s="4" t="n">
        <v>45260</v>
      </c>
      <c r="C4868" s="3" t="inlineStr">
        <is>
          <t>Assets</t>
        </is>
      </c>
      <c r="D4868" s="3" t="inlineStr">
        <is>
          <t>7620/800</t>
        </is>
      </c>
      <c r="E4868" s="3" t="inlineStr">
        <is>
          <t>HF CIP GL Conradie</t>
        </is>
      </c>
      <c r="F4868" s="3" t="n">
        <v>0</v>
      </c>
      <c r="G4868" s="3" t="n">
        <v>1068455</v>
      </c>
    </row>
    <row r="4869">
      <c r="A4869" s="3" t="inlineStr">
        <is>
          <t>Heron View (Pty) Ltd</t>
        </is>
      </c>
      <c r="B4869" s="4" t="n">
        <v>45260</v>
      </c>
      <c r="C4869" s="3" t="inlineStr">
        <is>
          <t>Assets</t>
        </is>
      </c>
      <c r="D4869" s="3" t="inlineStr">
        <is>
          <t>7620/800</t>
        </is>
      </c>
      <c r="E4869" s="3" t="inlineStr">
        <is>
          <t>HV CIP GL Conradie</t>
        </is>
      </c>
      <c r="F4869" s="3" t="n">
        <v>0</v>
      </c>
      <c r="G4869" s="3" t="n">
        <v>2188325.96</v>
      </c>
    </row>
    <row r="4870">
      <c r="A4870" s="3" t="inlineStr">
        <is>
          <t>Heron Fields (Pty) Ltd</t>
        </is>
      </c>
      <c r="B4870" s="4" t="n">
        <v>45260</v>
      </c>
      <c r="C4870" s="3" t="inlineStr">
        <is>
          <t>Assets</t>
        </is>
      </c>
      <c r="D4870" s="3" t="inlineStr">
        <is>
          <t>7700/010</t>
        </is>
      </c>
      <c r="E4870" s="3" t="inlineStr">
        <is>
          <t>Construction 28 Feb 23 HF</t>
        </is>
      </c>
      <c r="F4870" s="3" t="n">
        <v>0</v>
      </c>
      <c r="G4870" s="3" t="n">
        <v>-24427668.44</v>
      </c>
    </row>
    <row r="4871">
      <c r="A4871" s="3" t="inlineStr">
        <is>
          <t>Cape Projects Construction (Pty) Ltd</t>
        </is>
      </c>
      <c r="B4871" s="4" t="n">
        <v>45260</v>
      </c>
      <c r="C4871" s="3" t="inlineStr">
        <is>
          <t>Assets</t>
        </is>
      </c>
      <c r="D4871" s="3" t="inlineStr">
        <is>
          <t>7800/000</t>
        </is>
      </c>
      <c r="E4871" s="3" t="inlineStr">
        <is>
          <t>Deposits paid</t>
        </is>
      </c>
      <c r="F4871" s="3" t="n">
        <v>0</v>
      </c>
      <c r="G4871" s="3" t="n">
        <v>29600</v>
      </c>
    </row>
    <row r="4872">
      <c r="A4872" s="3" t="inlineStr">
        <is>
          <t>Cape Projects Construction (Pty) Ltd</t>
        </is>
      </c>
      <c r="B4872" s="4" t="n">
        <v>45260</v>
      </c>
      <c r="C4872" s="3" t="inlineStr">
        <is>
          <t>Assets</t>
        </is>
      </c>
      <c r="D4872" s="3" t="inlineStr">
        <is>
          <t>8000/000</t>
        </is>
      </c>
      <c r="E4872" s="3" t="inlineStr">
        <is>
          <t>Customer Control Account</t>
        </is>
      </c>
      <c r="F4872" s="3" t="n">
        <v>5182814.62</v>
      </c>
      <c r="G4872" s="3" t="n">
        <v>3020533.29</v>
      </c>
    </row>
    <row r="4873">
      <c r="A4873" s="3" t="inlineStr">
        <is>
          <t>Heron Fields (Pty) Ltd</t>
        </is>
      </c>
      <c r="B4873" s="4" t="n">
        <v>45260</v>
      </c>
      <c r="C4873" s="3" t="inlineStr">
        <is>
          <t>Assets</t>
        </is>
      </c>
      <c r="D4873" s="3" t="inlineStr">
        <is>
          <t>8000/000</t>
        </is>
      </c>
      <c r="E4873" s="3" t="inlineStr">
        <is>
          <t>Customer Control Account</t>
        </is>
      </c>
      <c r="F4873" s="3" t="n">
        <v>2040.87</v>
      </c>
      <c r="G4873" s="3" t="n">
        <v>368275.04</v>
      </c>
    </row>
    <row r="4874">
      <c r="A4874" s="3" t="inlineStr">
        <is>
          <t>Cape Projects Construction (Pty) Ltd</t>
        </is>
      </c>
      <c r="B4874" s="4" t="n">
        <v>45260</v>
      </c>
      <c r="C4874" s="3" t="inlineStr">
        <is>
          <t>Assets</t>
        </is>
      </c>
      <c r="D4874" s="3" t="inlineStr">
        <is>
          <t>8200/020</t>
        </is>
      </c>
      <c r="E4874" s="3" t="inlineStr">
        <is>
          <t>Staff Loans</t>
        </is>
      </c>
      <c r="F4874" s="3" t="n">
        <v>-5704.85</v>
      </c>
      <c r="G4874" s="3" t="n">
        <v>0</v>
      </c>
    </row>
    <row r="4875">
      <c r="A4875" s="3" t="inlineStr">
        <is>
          <t>Cape Projects Construction (Pty) Ltd</t>
        </is>
      </c>
      <c r="B4875" s="4" t="n">
        <v>45260</v>
      </c>
      <c r="C4875" s="3" t="inlineStr">
        <is>
          <t>Assets</t>
        </is>
      </c>
      <c r="D4875" s="3" t="inlineStr">
        <is>
          <t>8200/030</t>
        </is>
      </c>
      <c r="E4875" s="3" t="inlineStr">
        <is>
          <t>Staff Loan - Ntuthuka</t>
        </is>
      </c>
      <c r="F4875" s="3" t="n">
        <v>-1755.17</v>
      </c>
      <c r="G4875" s="3" t="n">
        <v>-1755.17</v>
      </c>
    </row>
    <row r="4876">
      <c r="A4876" s="3" t="inlineStr">
        <is>
          <t>Heron Fields (Pty) Ltd</t>
        </is>
      </c>
      <c r="B4876" s="4" t="n">
        <v>45260</v>
      </c>
      <c r="C4876" s="3" t="inlineStr">
        <is>
          <t>Assets</t>
        </is>
      </c>
      <c r="D4876" s="3" t="inlineStr">
        <is>
          <t>8400/000</t>
        </is>
      </c>
      <c r="E4876" s="3" t="inlineStr">
        <is>
          <t>RMB - 62882379087</t>
        </is>
      </c>
      <c r="F4876" s="3" t="n">
        <v>-2267027.42</v>
      </c>
      <c r="G4876" s="3" t="n">
        <v>58972.41</v>
      </c>
    </row>
    <row r="4877">
      <c r="A4877" s="3" t="inlineStr">
        <is>
          <t>Cape Projects Construction (Pty) Ltd</t>
        </is>
      </c>
      <c r="B4877" s="4" t="n">
        <v>45260</v>
      </c>
      <c r="C4877" s="3" t="inlineStr">
        <is>
          <t>Assets</t>
        </is>
      </c>
      <c r="D4877" s="3" t="inlineStr">
        <is>
          <t>8400/000</t>
        </is>
      </c>
      <c r="E4877" s="3" t="inlineStr">
        <is>
          <t>RMB 62275138470</t>
        </is>
      </c>
      <c r="F4877" s="3" t="n">
        <v>501579.28</v>
      </c>
      <c r="G4877" s="3" t="n">
        <v>674999.29</v>
      </c>
    </row>
    <row r="4878">
      <c r="A4878" s="3" t="inlineStr">
        <is>
          <t>Cape Projects Construction (Pty) Ltd</t>
        </is>
      </c>
      <c r="B4878" s="4" t="n">
        <v>45260</v>
      </c>
      <c r="C4878" s="3" t="inlineStr">
        <is>
          <t>Assets</t>
        </is>
      </c>
      <c r="D4878" s="3" t="inlineStr">
        <is>
          <t>8410/000</t>
        </is>
      </c>
      <c r="E4878" s="3" t="inlineStr">
        <is>
          <t>Petty Cash</t>
        </is>
      </c>
      <c r="F4878" s="3" t="n">
        <v>0</v>
      </c>
      <c r="G4878" s="3" t="n">
        <v>-1188</v>
      </c>
    </row>
    <row r="4879">
      <c r="A4879" s="3" t="inlineStr">
        <is>
          <t>Cape Projects Construction (Pty) Ltd</t>
        </is>
      </c>
      <c r="B4879" s="4" t="n">
        <v>45260</v>
      </c>
      <c r="C4879" s="3" t="inlineStr">
        <is>
          <t>Assets</t>
        </is>
      </c>
      <c r="D4879" s="3" t="inlineStr">
        <is>
          <t>8420/000</t>
        </is>
      </c>
      <c r="E4879" s="3" t="inlineStr">
        <is>
          <t>Momentum Priv Acc RU502230981</t>
        </is>
      </c>
      <c r="F4879" s="3" t="n">
        <v>0</v>
      </c>
      <c r="G4879" s="3" t="n">
        <v>571.55</v>
      </c>
    </row>
    <row r="4880">
      <c r="A4880" s="3" t="inlineStr">
        <is>
          <t>Heron Fields (Pty) Ltd</t>
        </is>
      </c>
      <c r="B4880" s="4" t="n">
        <v>45260</v>
      </c>
      <c r="C4880" s="3" t="inlineStr">
        <is>
          <t>Assets</t>
        </is>
      </c>
      <c r="D4880" s="3" t="inlineStr">
        <is>
          <t>8420/000</t>
        </is>
      </c>
      <c r="E4880" s="3" t="inlineStr">
        <is>
          <t>Petty Cash</t>
        </is>
      </c>
      <c r="F4880" s="3" t="n">
        <v>0</v>
      </c>
      <c r="G4880" s="3" t="n">
        <v>8620</v>
      </c>
    </row>
    <row r="4881">
      <c r="A4881" s="3" t="inlineStr">
        <is>
          <t>Heron Fields (Pty) Ltd</t>
        </is>
      </c>
      <c r="B4881" s="4" t="n">
        <v>45260</v>
      </c>
      <c r="C4881" s="3" t="inlineStr">
        <is>
          <t>Assets</t>
        </is>
      </c>
      <c r="D4881" s="3" t="inlineStr">
        <is>
          <t>8430/000</t>
        </is>
      </c>
      <c r="E4881" s="3" t="inlineStr">
        <is>
          <t>Momentum Private Account RU502230151</t>
        </is>
      </c>
      <c r="F4881" s="3" t="n">
        <v>0</v>
      </c>
      <c r="G4881" s="3" t="n">
        <v>871.91</v>
      </c>
    </row>
    <row r="4882">
      <c r="A4882" s="3" t="inlineStr">
        <is>
          <t>Heron Fields (Pty) Ltd</t>
        </is>
      </c>
      <c r="B4882" s="4" t="n">
        <v>45260</v>
      </c>
      <c r="C4882" s="3" t="inlineStr">
        <is>
          <t>Assets</t>
        </is>
      </c>
      <c r="D4882" s="3" t="inlineStr">
        <is>
          <t>8440/000</t>
        </is>
      </c>
      <c r="E4882" s="3" t="inlineStr">
        <is>
          <t>Momentum Investors Account RU502229930</t>
        </is>
      </c>
      <c r="F4882" s="3" t="n">
        <v>-5406628.48</v>
      </c>
      <c r="G4882" s="3" t="n">
        <v>36229574.13</v>
      </c>
    </row>
    <row r="4883">
      <c r="A4883" s="3" t="inlineStr">
        <is>
          <t>Heron Fields (Pty) Ltd</t>
        </is>
      </c>
      <c r="B4883" s="4" t="n">
        <v>45260</v>
      </c>
      <c r="C4883" s="3" t="inlineStr">
        <is>
          <t>Assets</t>
        </is>
      </c>
      <c r="D4883" s="3" t="inlineStr">
        <is>
          <t>8450/000</t>
        </is>
      </c>
      <c r="E4883" s="3" t="inlineStr">
        <is>
          <t>ABSA Current Acc : 4109071013</t>
        </is>
      </c>
      <c r="F4883" s="3" t="n">
        <v>0</v>
      </c>
      <c r="G4883" s="3" t="n">
        <v>500</v>
      </c>
    </row>
    <row r="4884">
      <c r="A4884" s="3" t="inlineStr">
        <is>
          <t>Cape Projects Construction (Pty) Ltd</t>
        </is>
      </c>
      <c r="B4884" s="4" t="n">
        <v>45260</v>
      </c>
      <c r="C4884" s="3" t="inlineStr">
        <is>
          <t>Liabilities</t>
        </is>
      </c>
      <c r="D4884" s="3" t="inlineStr">
        <is>
          <t>860</t>
        </is>
      </c>
      <c r="E4884" s="3" t="inlineStr">
        <is>
          <t>Rounding</t>
        </is>
      </c>
      <c r="F4884" s="3" t="n">
        <v>-0.66</v>
      </c>
      <c r="G4884" s="3" t="n">
        <v>-30.41</v>
      </c>
    </row>
    <row r="4885">
      <c r="A4885" s="3" t="inlineStr">
        <is>
          <t>Heron Fields (Pty) Ltd</t>
        </is>
      </c>
      <c r="B4885" s="4" t="n">
        <v>45260</v>
      </c>
      <c r="C4885" s="3" t="inlineStr">
        <is>
          <t>Liabilities</t>
        </is>
      </c>
      <c r="D4885" s="3" t="inlineStr">
        <is>
          <t>860</t>
        </is>
      </c>
      <c r="E4885" s="3" t="inlineStr">
        <is>
          <t>Rounding</t>
        </is>
      </c>
      <c r="F4885" s="3" t="n">
        <v>0</v>
      </c>
      <c r="G4885" s="3" t="n">
        <v>0.14</v>
      </c>
    </row>
    <row r="4886">
      <c r="A4886" s="3" t="inlineStr">
        <is>
          <t>Heron View (Pty) Ltd</t>
        </is>
      </c>
      <c r="B4886" s="4" t="n">
        <v>45260</v>
      </c>
      <c r="C4886" s="3" t="inlineStr">
        <is>
          <t>Liabilities</t>
        </is>
      </c>
      <c r="D4886" s="3" t="inlineStr">
        <is>
          <t>860</t>
        </is>
      </c>
      <c r="E4886" s="3" t="inlineStr">
        <is>
          <t>Rounding</t>
        </is>
      </c>
      <c r="F4886" s="3" t="n">
        <v>0</v>
      </c>
      <c r="G4886" s="3" t="n">
        <v>-0.06</v>
      </c>
    </row>
    <row r="4887">
      <c r="A4887" s="3" t="inlineStr">
        <is>
          <t>Cape Projects Construction (Pty) Ltd</t>
        </is>
      </c>
      <c r="B4887" s="4" t="n">
        <v>45260</v>
      </c>
      <c r="C4887" s="3" t="inlineStr">
        <is>
          <t>Liabilities</t>
        </is>
      </c>
      <c r="D4887" s="3" t="inlineStr">
        <is>
          <t>9000/000</t>
        </is>
      </c>
      <c r="E4887" s="3" t="inlineStr">
        <is>
          <t>Supplier Control Account</t>
        </is>
      </c>
      <c r="F4887" s="3" t="n">
        <v>-4541213.81</v>
      </c>
      <c r="G4887" s="3" t="n">
        <v>-7238018.1</v>
      </c>
    </row>
    <row r="4888">
      <c r="A4888" s="3" t="inlineStr">
        <is>
          <t>Heron Fields (Pty) Ltd</t>
        </is>
      </c>
      <c r="B4888" s="4" t="n">
        <v>45260</v>
      </c>
      <c r="C4888" s="3" t="inlineStr">
        <is>
          <t>Liabilities</t>
        </is>
      </c>
      <c r="D4888" s="3" t="inlineStr">
        <is>
          <t>9000/000</t>
        </is>
      </c>
      <c r="E4888" s="3" t="inlineStr">
        <is>
          <t>Supplier Control Account</t>
        </is>
      </c>
      <c r="F4888" s="3" t="n">
        <v>-3423878.32</v>
      </c>
      <c r="G4888" s="3" t="n">
        <v>-164244993.18</v>
      </c>
    </row>
    <row r="4889">
      <c r="A4889" s="3" t="inlineStr">
        <is>
          <t>Heron View (Pty) Ltd</t>
        </is>
      </c>
      <c r="B4889" s="4" t="n">
        <v>45260</v>
      </c>
      <c r="C4889" s="3" t="inlineStr">
        <is>
          <t>Liabilities</t>
        </is>
      </c>
      <c r="D4889" s="3" t="inlineStr">
        <is>
          <t>9000/000</t>
        </is>
      </c>
      <c r="E4889" s="3" t="inlineStr">
        <is>
          <t>Supplier Control Account</t>
        </is>
      </c>
      <c r="F4889" s="3" t="n">
        <v>-4876492.29</v>
      </c>
      <c r="G4889" s="3" t="n">
        <v>-4059487.42</v>
      </c>
    </row>
    <row r="4890">
      <c r="A4890" s="3" t="inlineStr">
        <is>
          <t>Cape Projects Construction (Pty) Ltd</t>
        </is>
      </c>
      <c r="B4890" s="4" t="n">
        <v>45260</v>
      </c>
      <c r="C4890" s="3" t="inlineStr">
        <is>
          <t>Liabilities</t>
        </is>
      </c>
      <c r="D4890" s="3" t="inlineStr">
        <is>
          <t>9200/000</t>
        </is>
      </c>
      <c r="E4890" s="3" t="inlineStr">
        <is>
          <t>Sundry Suppliers</t>
        </is>
      </c>
      <c r="F4890" s="3" t="n">
        <v>0</v>
      </c>
      <c r="G4890" s="3" t="n">
        <v>1309</v>
      </c>
    </row>
    <row r="4891">
      <c r="A4891" s="3" t="inlineStr">
        <is>
          <t>Cape Projects Construction (Pty) Ltd</t>
        </is>
      </c>
      <c r="B4891" s="4" t="n">
        <v>45260</v>
      </c>
      <c r="C4891" s="3" t="inlineStr">
        <is>
          <t>Liabilities</t>
        </is>
      </c>
      <c r="D4891" s="3" t="inlineStr">
        <is>
          <t>9250/010</t>
        </is>
      </c>
      <c r="E4891" s="3" t="inlineStr">
        <is>
          <t>SALARY CONTROL</t>
        </is>
      </c>
      <c r="F4891" s="3" t="n">
        <v>1755.17</v>
      </c>
      <c r="G4891" s="3" t="n">
        <v>1755.17</v>
      </c>
    </row>
    <row r="4892">
      <c r="A4892" s="3" t="inlineStr">
        <is>
          <t>Cape Projects Construction (Pty) Ltd</t>
        </is>
      </c>
      <c r="B4892" s="4" t="n">
        <v>45260</v>
      </c>
      <c r="C4892" s="3" t="inlineStr">
        <is>
          <t>Liabilities</t>
        </is>
      </c>
      <c r="D4892" s="3" t="inlineStr">
        <is>
          <t>9250/020</t>
        </is>
      </c>
      <c r="E4892" s="3" t="inlineStr">
        <is>
          <t>PAYE, UIF AND SDL CONTROL</t>
        </is>
      </c>
      <c r="F4892" s="3" t="n">
        <v>-9672.17</v>
      </c>
      <c r="G4892" s="3" t="n">
        <v>-109931.86</v>
      </c>
    </row>
    <row r="4893">
      <c r="A4893" s="3" t="inlineStr">
        <is>
          <t>Cape Projects Construction (Pty) Ltd</t>
        </is>
      </c>
      <c r="B4893" s="4" t="n">
        <v>45260</v>
      </c>
      <c r="C4893" s="3" t="inlineStr">
        <is>
          <t>Liabilities</t>
        </is>
      </c>
      <c r="D4893" s="3" t="inlineStr">
        <is>
          <t>9250/030</t>
        </is>
      </c>
      <c r="E4893" s="3" t="inlineStr">
        <is>
          <t>BIBC CONTROL</t>
        </is>
      </c>
      <c r="F4893" s="3" t="n">
        <v>0</v>
      </c>
      <c r="G4893" s="3" t="n">
        <v>-49413.95</v>
      </c>
    </row>
    <row r="4894">
      <c r="A4894" s="3" t="inlineStr">
        <is>
          <t>Cape Projects Construction (Pty) Ltd</t>
        </is>
      </c>
      <c r="B4894" s="4" t="n">
        <v>45260</v>
      </c>
      <c r="C4894" s="3" t="inlineStr">
        <is>
          <t>Liabilities</t>
        </is>
      </c>
      <c r="D4894" s="3" t="inlineStr">
        <is>
          <t>9350/000</t>
        </is>
      </c>
      <c r="E4894" s="3" t="inlineStr">
        <is>
          <t>Dividends Payable</t>
        </is>
      </c>
      <c r="F4894" s="3" t="n">
        <v>0</v>
      </c>
      <c r="G4894" s="3" t="n">
        <v>130000</v>
      </c>
    </row>
    <row r="4895">
      <c r="A4895" s="3" t="inlineStr">
        <is>
          <t>Cape Projects Construction (Pty) Ltd</t>
        </is>
      </c>
      <c r="B4895" s="4" t="n">
        <v>45260</v>
      </c>
      <c r="C4895" s="3" t="inlineStr">
        <is>
          <t>Liabilities</t>
        </is>
      </c>
      <c r="D4895" s="3" t="inlineStr">
        <is>
          <t>9500/000</t>
        </is>
      </c>
      <c r="E4895" s="3" t="inlineStr">
        <is>
          <t>VAT Control Account</t>
        </is>
      </c>
      <c r="F4895" s="3" t="n">
        <v>-159518.98</v>
      </c>
      <c r="G4895" s="3" t="n">
        <v>-274210.04</v>
      </c>
    </row>
    <row r="4896">
      <c r="A4896" s="3" t="inlineStr">
        <is>
          <t>Heron Fields (Pty) Ltd</t>
        </is>
      </c>
      <c r="B4896" s="4" t="n">
        <v>45260</v>
      </c>
      <c r="C4896" s="3" t="inlineStr">
        <is>
          <t>Liabilities</t>
        </is>
      </c>
      <c r="D4896" s="3" t="inlineStr">
        <is>
          <t>9500/000</t>
        </is>
      </c>
      <c r="E4896" s="3" t="inlineStr">
        <is>
          <t>Vat / Tax Control Account</t>
        </is>
      </c>
      <c r="F4896" s="3" t="n">
        <v>252979.02</v>
      </c>
      <c r="G4896" s="3" t="n">
        <v>-4231311.46</v>
      </c>
    </row>
    <row r="4897">
      <c r="A4897" s="3" t="inlineStr">
        <is>
          <t>Heron View (Pty) Ltd</t>
        </is>
      </c>
      <c r="B4897" s="4" t="n">
        <v>45260</v>
      </c>
      <c r="C4897" s="3" t="inlineStr">
        <is>
          <t>Liabilities</t>
        </is>
      </c>
      <c r="D4897" s="3" t="inlineStr">
        <is>
          <t>9500/000</t>
        </is>
      </c>
      <c r="E4897" s="3" t="inlineStr">
        <is>
          <t>Vat / Tax Control Account</t>
        </is>
      </c>
      <c r="F4897" s="3" t="n">
        <v>1586027.25</v>
      </c>
      <c r="G4897" s="3" t="n">
        <v>6202488.95</v>
      </c>
    </row>
    <row r="4898">
      <c r="A4898" s="3" t="inlineStr">
        <is>
          <t>Cape Projects Construction (Pty) Ltd</t>
        </is>
      </c>
      <c r="B4898" s="4" t="n">
        <v>45260</v>
      </c>
      <c r="C4898" s="3" t="inlineStr">
        <is>
          <t>Liabilities</t>
        </is>
      </c>
      <c r="D4898" s="3" t="inlineStr">
        <is>
          <t>9510/000</t>
        </is>
      </c>
      <c r="E4898" s="3" t="inlineStr">
        <is>
          <t>Tax Provision Account</t>
        </is>
      </c>
      <c r="F4898" s="3" t="n">
        <v>0</v>
      </c>
      <c r="G4898" s="3" t="n">
        <v>-1869.8</v>
      </c>
    </row>
    <row r="4899">
      <c r="A4899" s="3" t="inlineStr">
        <is>
          <t>Heron Fields (Pty) Ltd</t>
        </is>
      </c>
      <c r="B4899" s="4" t="n">
        <v>45260</v>
      </c>
      <c r="C4899" s="3" t="inlineStr">
        <is>
          <t>Liabilities</t>
        </is>
      </c>
      <c r="D4899" s="3" t="inlineStr">
        <is>
          <t>9520/000</t>
        </is>
      </c>
      <c r="E4899" s="3" t="inlineStr">
        <is>
          <t>Income Tax Payable</t>
        </is>
      </c>
      <c r="F4899" s="3" t="n">
        <v>0</v>
      </c>
      <c r="G4899" s="3" t="n">
        <v>59039.93</v>
      </c>
    </row>
    <row r="4900">
      <c r="A4900" s="3" t="inlineStr">
        <is>
          <t>Heron View (Pty) Ltd</t>
        </is>
      </c>
      <c r="B4900" s="4" t="n">
        <v>45260</v>
      </c>
      <c r="C4900" s="3" t="inlineStr">
        <is>
          <t>Liabilities</t>
        </is>
      </c>
      <c r="D4900" s="3" t="inlineStr">
        <is>
          <t>9899/C102</t>
        </is>
      </c>
      <c r="E4900" s="3" t="inlineStr">
        <is>
          <t>Sales - Unit Reg Control C102</t>
        </is>
      </c>
      <c r="F4900" s="3" t="n">
        <v>0</v>
      </c>
      <c r="G4900" s="3" t="n">
        <v>-0.4</v>
      </c>
    </row>
    <row r="4901">
      <c r="A4901" s="3" t="inlineStr">
        <is>
          <t>Cape Projects Construction (Pty) Ltd</t>
        </is>
      </c>
      <c r="B4901" s="4" t="n">
        <v>45260</v>
      </c>
      <c r="C4901" s="3" t="inlineStr">
        <is>
          <t>Liabilities</t>
        </is>
      </c>
      <c r="D4901" s="3" t="inlineStr">
        <is>
          <t>B/S</t>
        </is>
      </c>
      <c r="E4901" s="3" t="inlineStr">
        <is>
          <t>Taxation Payable</t>
        </is>
      </c>
      <c r="F4901" s="3" t="n">
        <v>0</v>
      </c>
      <c r="G4901" s="3" t="n">
        <v>1869.8</v>
      </c>
    </row>
    <row r="4902">
      <c r="A4902" s="3" t="inlineStr">
        <is>
          <t>Cape Projects Construction (Pty) Ltd</t>
        </is>
      </c>
      <c r="B4902" s="4" t="n">
        <v>45260</v>
      </c>
      <c r="C4902" s="3" t="inlineStr">
        <is>
          <t>Liabilities</t>
        </is>
      </c>
      <c r="D4902" s="3" t="inlineStr">
        <is>
          <t>TEMP/ACC</t>
        </is>
      </c>
      <c r="E4902" s="3" t="inlineStr">
        <is>
          <t>Conversion Account</t>
        </is>
      </c>
      <c r="F4902" s="3" t="n">
        <v>0</v>
      </c>
      <c r="G4902" s="3" t="n">
        <v>-254.99</v>
      </c>
    </row>
    <row r="4903">
      <c r="A4903" s="3" t="inlineStr">
        <is>
          <t>Heron Fields (Pty) Ltd</t>
        </is>
      </c>
      <c r="B4903" s="4" t="n">
        <v>45291</v>
      </c>
      <c r="C4903" s="3" t="inlineStr">
        <is>
          <t>Revenue</t>
        </is>
      </c>
      <c r="D4903" s="3" t="inlineStr">
        <is>
          <t>1000/100</t>
        </is>
      </c>
      <c r="E4903" s="3" t="inlineStr">
        <is>
          <t>Sales - Heron Fields</t>
        </is>
      </c>
      <c r="F4903" s="3" t="n">
        <v>0</v>
      </c>
      <c r="G4903" s="3" t="n">
        <v>-28096347.83</v>
      </c>
    </row>
    <row r="4904">
      <c r="A4904" s="3" t="inlineStr">
        <is>
          <t>Heron View (Pty) Ltd</t>
        </is>
      </c>
      <c r="B4904" s="4" t="n">
        <v>45291</v>
      </c>
      <c r="C4904" s="3" t="inlineStr">
        <is>
          <t>Revenue</t>
        </is>
      </c>
      <c r="D4904" s="3" t="inlineStr">
        <is>
          <t>1000/100</t>
        </is>
      </c>
      <c r="E4904" s="3" t="inlineStr">
        <is>
          <t>Sales - Heron View Sales</t>
        </is>
      </c>
      <c r="F4904" s="3" t="n">
        <v>-1552086.96</v>
      </c>
      <c r="G4904" s="3" t="n">
        <v>-22902956.55</v>
      </c>
    </row>
    <row r="4905">
      <c r="A4905" s="3" t="inlineStr">
        <is>
          <t>Heron Fields (Pty) Ltd</t>
        </is>
      </c>
      <c r="B4905" s="4" t="n">
        <v>45291</v>
      </c>
      <c r="C4905" s="3" t="inlineStr">
        <is>
          <t>Revenue</t>
        </is>
      </c>
      <c r="D4905" s="3" t="inlineStr">
        <is>
          <t>1000/101</t>
        </is>
      </c>
      <c r="E4905" s="3" t="inlineStr">
        <is>
          <t>Sales - Heron Fields occupational rent</t>
        </is>
      </c>
      <c r="F4905" s="3" t="n">
        <v>0</v>
      </c>
      <c r="G4905" s="3" t="n">
        <v>-102388.85</v>
      </c>
    </row>
    <row r="4906">
      <c r="A4906" s="3" t="inlineStr">
        <is>
          <t>Heron View (Pty) Ltd</t>
        </is>
      </c>
      <c r="B4906" s="4" t="n">
        <v>45291</v>
      </c>
      <c r="C4906" s="3" t="inlineStr">
        <is>
          <t>Revenue</t>
        </is>
      </c>
      <c r="D4906" s="3" t="inlineStr">
        <is>
          <t>1000/101</t>
        </is>
      </c>
      <c r="E4906" s="3" t="inlineStr">
        <is>
          <t>Sales - Heron View Occupational Rent</t>
        </is>
      </c>
      <c r="F4906" s="3" t="n">
        <v>-5070.96</v>
      </c>
      <c r="G4906" s="3" t="n">
        <v>-83896.75999999999</v>
      </c>
    </row>
    <row r="4907">
      <c r="A4907" s="3" t="inlineStr">
        <is>
          <t>Cape Projects Construction (Pty) Ltd</t>
        </is>
      </c>
      <c r="B4907" s="4" t="n">
        <v>45291</v>
      </c>
      <c r="C4907" s="3" t="inlineStr">
        <is>
          <t>Revenue</t>
        </is>
      </c>
      <c r="D4907" s="3" t="inlineStr">
        <is>
          <t>1040/100</t>
        </is>
      </c>
      <c r="E4907" s="3" t="inlineStr">
        <is>
          <t>Fees - Construction - Heron</t>
        </is>
      </c>
      <c r="F4907" s="3" t="n">
        <v>-4126090.71</v>
      </c>
      <c r="G4907" s="3" t="n">
        <v>-50825340.56</v>
      </c>
    </row>
    <row r="4908">
      <c r="A4908" s="3" t="inlineStr">
        <is>
          <t>Cape Projects Construction (Pty) Ltd</t>
        </is>
      </c>
      <c r="B4908" s="4" t="n">
        <v>45291</v>
      </c>
      <c r="C4908" s="3" t="inlineStr">
        <is>
          <t>Revenue</t>
        </is>
      </c>
      <c r="D4908" s="3" t="inlineStr">
        <is>
          <t>1070/000</t>
        </is>
      </c>
      <c r="E4908" s="3" t="inlineStr">
        <is>
          <t>Rent - CT Office</t>
        </is>
      </c>
      <c r="F4908" s="3" t="n">
        <v>0</v>
      </c>
      <c r="G4908" s="3" t="n">
        <v>3490.94</v>
      </c>
    </row>
    <row r="4909">
      <c r="A4909" s="3" t="inlineStr">
        <is>
          <t>Heron Fields (Pty) Ltd</t>
        </is>
      </c>
      <c r="B4909" s="4" t="n">
        <v>45291</v>
      </c>
      <c r="C4909" s="3" t="inlineStr">
        <is>
          <t>Revenue</t>
        </is>
      </c>
      <c r="D4909" s="3" t="inlineStr">
        <is>
          <t>1500/002</t>
        </is>
      </c>
      <c r="E4909" s="3" t="inlineStr">
        <is>
          <t>Rental Income</t>
        </is>
      </c>
      <c r="F4909" s="3" t="n">
        <v>-43104.84</v>
      </c>
      <c r="G4909" s="3" t="n">
        <v>-192234.91</v>
      </c>
    </row>
    <row r="4910">
      <c r="A4910" s="3" t="inlineStr">
        <is>
          <t>Heron View (Pty) Ltd</t>
        </is>
      </c>
      <c r="B4910" s="4" t="n">
        <v>45291</v>
      </c>
      <c r="C4910" s="3" t="inlineStr">
        <is>
          <t>Revenue</t>
        </is>
      </c>
      <c r="D4910" s="3" t="inlineStr">
        <is>
          <t>1500/002</t>
        </is>
      </c>
      <c r="E4910" s="3" t="inlineStr">
        <is>
          <t>Rental Income</t>
        </is>
      </c>
      <c r="F4910" s="3" t="n">
        <v>0</v>
      </c>
      <c r="G4910" s="3" t="n">
        <v>-13883</v>
      </c>
    </row>
    <row r="4911">
      <c r="A4911" s="3" t="inlineStr">
        <is>
          <t>Heron Fields (Pty) Ltd</t>
        </is>
      </c>
      <c r="B4911" s="4" t="n">
        <v>45291</v>
      </c>
      <c r="C4911" s="3" t="inlineStr">
        <is>
          <t>Expenses</t>
        </is>
      </c>
      <c r="D4911" s="3" t="inlineStr">
        <is>
          <t>2000/011</t>
        </is>
      </c>
      <c r="E4911" s="3" t="inlineStr">
        <is>
          <t>COS - Heron View Showhouse</t>
        </is>
      </c>
      <c r="F4911" s="3" t="n">
        <v>0</v>
      </c>
      <c r="G4911" s="3" t="n">
        <v>45300.43</v>
      </c>
    </row>
    <row r="4912">
      <c r="A4912" s="3" t="inlineStr">
        <is>
          <t>Heron View (Pty) Ltd</t>
        </is>
      </c>
      <c r="B4912" s="4" t="n">
        <v>45291</v>
      </c>
      <c r="C4912" s="3" t="inlineStr">
        <is>
          <t>Expenses</t>
        </is>
      </c>
      <c r="D4912" s="3" t="inlineStr">
        <is>
          <t>2000/030</t>
        </is>
      </c>
      <c r="E4912" s="3" t="inlineStr">
        <is>
          <t>COS - HV COCT Rates clearance</t>
        </is>
      </c>
      <c r="F4912" s="3" t="n">
        <v>0</v>
      </c>
      <c r="G4912" s="3" t="n">
        <v>237142.94</v>
      </c>
    </row>
    <row r="4913">
      <c r="A4913" s="3" t="inlineStr">
        <is>
          <t>Heron Fields (Pty) Ltd</t>
        </is>
      </c>
      <c r="B4913" s="4" t="n">
        <v>45291</v>
      </c>
      <c r="C4913" s="3" t="inlineStr">
        <is>
          <t>Expenses</t>
        </is>
      </c>
      <c r="D4913" s="3" t="inlineStr">
        <is>
          <t>2000/040</t>
        </is>
      </c>
      <c r="E4913" s="3" t="inlineStr">
        <is>
          <t>COS - Legal Fees</t>
        </is>
      </c>
      <c r="F4913" s="3" t="n">
        <v>0</v>
      </c>
      <c r="G4913" s="3" t="n">
        <v>685713.49</v>
      </c>
    </row>
    <row r="4914">
      <c r="A4914" s="3" t="inlineStr">
        <is>
          <t>Heron View (Pty) Ltd</t>
        </is>
      </c>
      <c r="B4914" s="4" t="n">
        <v>45291</v>
      </c>
      <c r="C4914" s="3" t="inlineStr">
        <is>
          <t>Expenses</t>
        </is>
      </c>
      <c r="D4914" s="3" t="inlineStr">
        <is>
          <t>2000/040</t>
        </is>
      </c>
      <c r="E4914" s="3" t="inlineStr">
        <is>
          <t>COS - Legal Fees</t>
        </is>
      </c>
      <c r="F4914" s="3" t="n">
        <v>39833.63</v>
      </c>
      <c r="G4914" s="3" t="n">
        <v>514947.93</v>
      </c>
    </row>
    <row r="4915">
      <c r="A4915" s="3" t="inlineStr">
        <is>
          <t>Heron View (Pty) Ltd</t>
        </is>
      </c>
      <c r="B4915" s="4" t="n">
        <v>45291</v>
      </c>
      <c r="C4915" s="3" t="inlineStr">
        <is>
          <t>Expenses</t>
        </is>
      </c>
      <c r="D4915" s="3" t="inlineStr">
        <is>
          <t>2000/041</t>
        </is>
      </c>
      <c r="E4915" s="3" t="inlineStr">
        <is>
          <t>COS - Legal Fees Opening of Sec Title Fees</t>
        </is>
      </c>
      <c r="F4915" s="3" t="n">
        <v>0</v>
      </c>
      <c r="G4915" s="3" t="n">
        <v>79174.94</v>
      </c>
    </row>
    <row r="4916">
      <c r="A4916" s="3" t="inlineStr">
        <is>
          <t>Heron Fields (Pty) Ltd</t>
        </is>
      </c>
      <c r="B4916" s="4" t="n">
        <v>45291</v>
      </c>
      <c r="C4916" s="3" t="inlineStr">
        <is>
          <t>Expenses</t>
        </is>
      </c>
      <c r="D4916" s="3" t="inlineStr">
        <is>
          <t>2000/041</t>
        </is>
      </c>
      <c r="E4916" s="3" t="inlineStr">
        <is>
          <t>COS - Legal Fees Opening of Sec Title Scheme</t>
        </is>
      </c>
      <c r="F4916" s="3" t="n">
        <v>0</v>
      </c>
      <c r="G4916" s="3" t="n">
        <v>10540</v>
      </c>
    </row>
    <row r="4917">
      <c r="A4917" s="3" t="inlineStr">
        <is>
          <t>Heron Fields (Pty) Ltd</t>
        </is>
      </c>
      <c r="B4917" s="4" t="n">
        <v>45291</v>
      </c>
      <c r="C4917" s="3" t="inlineStr">
        <is>
          <t>Expenses</t>
        </is>
      </c>
      <c r="D4917" s="3" t="inlineStr">
        <is>
          <t>2000/050</t>
        </is>
      </c>
      <c r="E4917" s="3" t="inlineStr">
        <is>
          <t>COS - Rates clearance</t>
        </is>
      </c>
      <c r="F4917" s="3" t="n">
        <v>0</v>
      </c>
      <c r="G4917" s="3" t="n">
        <v>44864.59</v>
      </c>
    </row>
    <row r="4918">
      <c r="A4918" s="3" t="inlineStr">
        <is>
          <t>Heron Fields (Pty) Ltd</t>
        </is>
      </c>
      <c r="B4918" s="4" t="n">
        <v>45291</v>
      </c>
      <c r="C4918" s="3" t="inlineStr">
        <is>
          <t>Expenses</t>
        </is>
      </c>
      <c r="D4918" s="3" t="inlineStr">
        <is>
          <t>2000/060</t>
        </is>
      </c>
      <c r="E4918" s="3" t="inlineStr">
        <is>
          <t>COS - Levies</t>
        </is>
      </c>
      <c r="F4918" s="3" t="n">
        <v>0</v>
      </c>
      <c r="G4918" s="3" t="n">
        <v>381069.48</v>
      </c>
    </row>
    <row r="4919">
      <c r="A4919" s="3" t="inlineStr">
        <is>
          <t>Heron Fields (Pty) Ltd</t>
        </is>
      </c>
      <c r="B4919" s="4" t="n">
        <v>45291</v>
      </c>
      <c r="C4919" s="3" t="inlineStr">
        <is>
          <t>Expenses</t>
        </is>
      </c>
      <c r="D4919" s="3" t="inlineStr">
        <is>
          <t>2000/070</t>
        </is>
      </c>
      <c r="E4919" s="3" t="inlineStr">
        <is>
          <t>COS - Commission HF Units</t>
        </is>
      </c>
      <c r="F4919" s="3" t="n">
        <v>0</v>
      </c>
      <c r="G4919" s="3" t="n">
        <v>1405686.97</v>
      </c>
    </row>
    <row r="4920">
      <c r="A4920" s="3" t="inlineStr">
        <is>
          <t>Heron View (Pty) Ltd</t>
        </is>
      </c>
      <c r="B4920" s="4" t="n">
        <v>45291</v>
      </c>
      <c r="C4920" s="3" t="inlineStr">
        <is>
          <t>Expenses</t>
        </is>
      </c>
      <c r="D4920" s="3" t="inlineStr">
        <is>
          <t>2000/070</t>
        </is>
      </c>
      <c r="E4920" s="3" t="inlineStr">
        <is>
          <t>COS - Commission HV Units</t>
        </is>
      </c>
      <c r="F4920" s="3" t="n">
        <v>77386.96000000001</v>
      </c>
      <c r="G4920" s="3" t="n">
        <v>1146017.36</v>
      </c>
    </row>
    <row r="4921">
      <c r="A4921" s="3" t="inlineStr">
        <is>
          <t>Heron Fields (Pty) Ltd</t>
        </is>
      </c>
      <c r="B4921" s="4" t="n">
        <v>45291</v>
      </c>
      <c r="C4921" s="3" t="inlineStr">
        <is>
          <t>Expenses</t>
        </is>
      </c>
      <c r="D4921" s="3" t="inlineStr">
        <is>
          <t>2000/080</t>
        </is>
      </c>
      <c r="E4921" s="3" t="inlineStr">
        <is>
          <t>COS - Showhouse - HF</t>
        </is>
      </c>
      <c r="F4921" s="3" t="n">
        <v>0</v>
      </c>
      <c r="G4921" s="3" t="n">
        <v>1005.47</v>
      </c>
    </row>
    <row r="4922">
      <c r="A4922" s="3" t="inlineStr">
        <is>
          <t>Heron View (Pty) Ltd</t>
        </is>
      </c>
      <c r="B4922" s="4" t="n">
        <v>45291</v>
      </c>
      <c r="C4922" s="3" t="inlineStr">
        <is>
          <t>Expenses</t>
        </is>
      </c>
      <c r="D4922" s="3" t="inlineStr">
        <is>
          <t>2000/080</t>
        </is>
      </c>
      <c r="E4922" s="3" t="inlineStr">
        <is>
          <t>COS - Showhouse - HV</t>
        </is>
      </c>
      <c r="F4922" s="3" t="n">
        <v>0</v>
      </c>
      <c r="G4922" s="3" t="n">
        <v>6212.85</v>
      </c>
    </row>
    <row r="4923">
      <c r="A4923" s="3" t="inlineStr">
        <is>
          <t>Heron Fields (Pty) Ltd</t>
        </is>
      </c>
      <c r="B4923" s="4" t="n">
        <v>45291</v>
      </c>
      <c r="C4923" s="3" t="inlineStr">
        <is>
          <t>Expenses</t>
        </is>
      </c>
      <c r="D4923" s="3" t="inlineStr">
        <is>
          <t>2000/090</t>
        </is>
      </c>
      <c r="E4923" s="3" t="inlineStr">
        <is>
          <t>COS - Electricity</t>
        </is>
      </c>
      <c r="F4923" s="3" t="n">
        <v>0</v>
      </c>
      <c r="G4923" s="3" t="n">
        <v>250</v>
      </c>
    </row>
    <row r="4924">
      <c r="A4924" s="3" t="inlineStr">
        <is>
          <t>Heron View (Pty) Ltd</t>
        </is>
      </c>
      <c r="B4924" s="4" t="n">
        <v>45291</v>
      </c>
      <c r="C4924" s="3" t="inlineStr">
        <is>
          <t>Expenses</t>
        </is>
      </c>
      <c r="D4924" s="3" t="inlineStr">
        <is>
          <t>2000/090</t>
        </is>
      </c>
      <c r="E4924" s="3" t="inlineStr">
        <is>
          <t>COS - Electricity</t>
        </is>
      </c>
      <c r="F4924" s="3" t="n">
        <v>200</v>
      </c>
      <c r="G4924" s="3" t="n">
        <v>473.92</v>
      </c>
    </row>
    <row r="4925">
      <c r="A4925" s="3" t="inlineStr">
        <is>
          <t>Heron Fields (Pty) Ltd</t>
        </is>
      </c>
      <c r="B4925" s="4" t="n">
        <v>45291</v>
      </c>
      <c r="C4925" s="3" t="inlineStr">
        <is>
          <t>Expenses</t>
        </is>
      </c>
      <c r="D4925" s="3" t="inlineStr">
        <is>
          <t>2000/100</t>
        </is>
      </c>
      <c r="E4925" s="3" t="inlineStr">
        <is>
          <t>COS - Inverters</t>
        </is>
      </c>
      <c r="F4925" s="3" t="n">
        <v>0</v>
      </c>
      <c r="G4925" s="3" t="n">
        <v>31600</v>
      </c>
    </row>
    <row r="4926">
      <c r="A4926" s="3" t="inlineStr">
        <is>
          <t>Cape Projects Construction (Pty) Ltd</t>
        </is>
      </c>
      <c r="B4926" s="4" t="n">
        <v>45291</v>
      </c>
      <c r="C4926" s="3" t="inlineStr">
        <is>
          <t>Expenses</t>
        </is>
      </c>
      <c r="D4926" s="3" t="inlineStr">
        <is>
          <t>2000/500</t>
        </is>
      </c>
      <c r="E4926" s="3" t="inlineStr">
        <is>
          <t>COS - Electricity Cost Endulini</t>
        </is>
      </c>
      <c r="F4926" s="3" t="n">
        <v>0</v>
      </c>
      <c r="G4926" s="3" t="n">
        <v>286.96</v>
      </c>
    </row>
    <row r="4927">
      <c r="A4927" s="3" t="inlineStr">
        <is>
          <t>Cape Projects Construction (Pty) Ltd</t>
        </is>
      </c>
      <c r="B4927" s="4" t="n">
        <v>45291</v>
      </c>
      <c r="C4927" s="3" t="inlineStr">
        <is>
          <t>Expenses</t>
        </is>
      </c>
      <c r="D4927" s="3" t="inlineStr">
        <is>
          <t>2000/501</t>
        </is>
      </c>
      <c r="E4927" s="3" t="inlineStr">
        <is>
          <t>COS - Electricity Cost Heron Field</t>
        </is>
      </c>
      <c r="F4927" s="3" t="n">
        <v>0</v>
      </c>
      <c r="G4927" s="3" t="n">
        <v>86.95999999999999</v>
      </c>
    </row>
    <row r="4928">
      <c r="A4928" s="3" t="inlineStr">
        <is>
          <t>Cape Projects Construction (Pty) Ltd</t>
        </is>
      </c>
      <c r="B4928" s="4" t="n">
        <v>45291</v>
      </c>
      <c r="C4928" s="3" t="inlineStr">
        <is>
          <t>Expenses</t>
        </is>
      </c>
      <c r="D4928" s="3" t="inlineStr">
        <is>
          <t>2001/000</t>
        </is>
      </c>
      <c r="E4928" s="3" t="inlineStr">
        <is>
          <t>Cost of Sales - SouthWark Project</t>
        </is>
      </c>
      <c r="F4928" s="3" t="n">
        <v>0</v>
      </c>
      <c r="G4928" s="3" t="n">
        <v>30620.97</v>
      </c>
    </row>
    <row r="4929">
      <c r="A4929" s="3" t="inlineStr">
        <is>
          <t>Cape Projects Construction (Pty) Ltd</t>
        </is>
      </c>
      <c r="B4929" s="4" t="n">
        <v>45291</v>
      </c>
      <c r="C4929" s="3" t="inlineStr">
        <is>
          <t>Expenses</t>
        </is>
      </c>
      <c r="D4929" s="3" t="inlineStr">
        <is>
          <t>2002/109</t>
        </is>
      </c>
      <c r="E4929" s="3" t="inlineStr">
        <is>
          <t>COS - SoHo External SITE LABOUR</t>
        </is>
      </c>
      <c r="F4929" s="3" t="n">
        <v>0</v>
      </c>
      <c r="G4929" s="3" t="n">
        <v>7408.46</v>
      </c>
    </row>
    <row r="4930">
      <c r="A4930" s="3" t="inlineStr">
        <is>
          <t>Cape Projects Construction (Pty) Ltd</t>
        </is>
      </c>
      <c r="B4930" s="4" t="n">
        <v>45291</v>
      </c>
      <c r="C4930" s="3" t="inlineStr">
        <is>
          <t>Expenses</t>
        </is>
      </c>
      <c r="D4930" s="3" t="inlineStr">
        <is>
          <t>2002/250</t>
        </is>
      </c>
      <c r="E4930" s="3" t="inlineStr">
        <is>
          <t>COS - Security</t>
        </is>
      </c>
      <c r="F4930" s="3" t="n">
        <v>0</v>
      </c>
      <c r="G4930" s="3" t="n">
        <v>10516.44</v>
      </c>
    </row>
    <row r="4931">
      <c r="A4931" s="3" t="inlineStr">
        <is>
          <t>Cape Projects Construction (Pty) Ltd</t>
        </is>
      </c>
      <c r="B4931" s="4" t="n">
        <v>45291</v>
      </c>
      <c r="C4931" s="3" t="inlineStr">
        <is>
          <t>Expenses</t>
        </is>
      </c>
      <c r="D4931" s="3" t="inlineStr">
        <is>
          <t>2002/252</t>
        </is>
      </c>
      <c r="E4931" s="3" t="inlineStr">
        <is>
          <t>COS - Security - Guarding</t>
        </is>
      </c>
      <c r="F4931" s="3" t="n">
        <v>8250</v>
      </c>
      <c r="G4931" s="3" t="n">
        <v>97870.91</v>
      </c>
    </row>
    <row r="4932">
      <c r="A4932" s="3" t="inlineStr">
        <is>
          <t>Cape Projects Construction (Pty) Ltd</t>
        </is>
      </c>
      <c r="B4932" s="4" t="n">
        <v>45291</v>
      </c>
      <c r="C4932" s="3" t="inlineStr">
        <is>
          <t>Expenses</t>
        </is>
      </c>
      <c r="D4932" s="3" t="inlineStr">
        <is>
          <t>2006/000</t>
        </is>
      </c>
      <c r="E4932" s="3" t="inlineStr">
        <is>
          <t>COS - Endulini Construction</t>
        </is>
      </c>
      <c r="F4932" s="3" t="n">
        <v>11600</v>
      </c>
      <c r="G4932" s="3" t="n">
        <v>352147.74</v>
      </c>
    </row>
    <row r="4933">
      <c r="A4933" s="3" t="inlineStr">
        <is>
          <t>Cape Projects Construction (Pty) Ltd</t>
        </is>
      </c>
      <c r="B4933" s="4" t="n">
        <v>45291</v>
      </c>
      <c r="C4933" s="3" t="inlineStr">
        <is>
          <t>Expenses</t>
        </is>
      </c>
      <c r="D4933" s="3" t="inlineStr">
        <is>
          <t>2006/100</t>
        </is>
      </c>
      <c r="E4933" s="3" t="inlineStr">
        <is>
          <t>COS - Endulini P and G</t>
        </is>
      </c>
      <c r="F4933" s="3" t="n">
        <v>0</v>
      </c>
      <c r="G4933" s="3" t="n">
        <v>160161.36</v>
      </c>
    </row>
    <row r="4934">
      <c r="A4934" s="3" t="inlineStr">
        <is>
          <t>Cape Projects Construction (Pty) Ltd</t>
        </is>
      </c>
      <c r="B4934" s="4" t="n">
        <v>45291</v>
      </c>
      <c r="C4934" s="3" t="inlineStr">
        <is>
          <t>Expenses</t>
        </is>
      </c>
      <c r="D4934" s="3" t="inlineStr">
        <is>
          <t>2006/200</t>
        </is>
      </c>
      <c r="E4934" s="3" t="inlineStr">
        <is>
          <t>COS - Insurance</t>
        </is>
      </c>
      <c r="F4934" s="3" t="n">
        <v>0</v>
      </c>
      <c r="G4934" s="3" t="n">
        <v>19969.43</v>
      </c>
    </row>
    <row r="4935">
      <c r="A4935" s="3" t="inlineStr">
        <is>
          <t>Cape Projects Construction (Pty) Ltd</t>
        </is>
      </c>
      <c r="B4935" s="4" t="n">
        <v>45291</v>
      </c>
      <c r="C4935" s="3" t="inlineStr">
        <is>
          <t>Expenses</t>
        </is>
      </c>
      <c r="D4935" s="3" t="inlineStr">
        <is>
          <t>2006/450</t>
        </is>
      </c>
      <c r="E4935" s="3" t="inlineStr">
        <is>
          <t>COS - Endulini - Computer expenses</t>
        </is>
      </c>
      <c r="F4935" s="3" t="n">
        <v>0</v>
      </c>
      <c r="G4935" s="3" t="n">
        <v>26340.75</v>
      </c>
    </row>
    <row r="4936">
      <c r="A4936" s="3" t="inlineStr">
        <is>
          <t>Cape Projects Construction (Pty) Ltd</t>
        </is>
      </c>
      <c r="B4936" s="4" t="n">
        <v>45291</v>
      </c>
      <c r="C4936" s="3" t="inlineStr">
        <is>
          <t>Expenses</t>
        </is>
      </c>
      <c r="D4936" s="3" t="inlineStr">
        <is>
          <t>2006/800</t>
        </is>
      </c>
      <c r="E4936" s="3" t="inlineStr">
        <is>
          <t>COS - Endulini - Telephone &amp; Internet</t>
        </is>
      </c>
      <c r="F4936" s="3" t="n">
        <v>0</v>
      </c>
      <c r="G4936" s="3" t="n">
        <v>760.87</v>
      </c>
    </row>
    <row r="4937">
      <c r="A4937" s="3" t="inlineStr">
        <is>
          <t>Cape Projects Construction (Pty) Ltd</t>
        </is>
      </c>
      <c r="B4937" s="4" t="n">
        <v>45291</v>
      </c>
      <c r="C4937" s="3" t="inlineStr">
        <is>
          <t>Expenses</t>
        </is>
      </c>
      <c r="D4937" s="3" t="inlineStr">
        <is>
          <t>2007/000</t>
        </is>
      </c>
      <c r="E4937" s="3" t="inlineStr">
        <is>
          <t>COS - Repairs &amp; Maintenance - SW Southwark</t>
        </is>
      </c>
      <c r="F4937" s="3" t="n">
        <v>0</v>
      </c>
      <c r="G4937" s="3" t="n">
        <v>27752.22</v>
      </c>
    </row>
    <row r="4938">
      <c r="A4938" s="3" t="inlineStr">
        <is>
          <t>Cape Projects Construction (Pty) Ltd</t>
        </is>
      </c>
      <c r="B4938" s="4" t="n">
        <v>45291</v>
      </c>
      <c r="C4938" s="3" t="inlineStr">
        <is>
          <t>Expenses</t>
        </is>
      </c>
      <c r="D4938" s="3" t="inlineStr">
        <is>
          <t>2008/000</t>
        </is>
      </c>
      <c r="E4938" s="3" t="inlineStr">
        <is>
          <t>COS - Repairs &amp; Maintenance - SH Soho</t>
        </is>
      </c>
      <c r="F4938" s="3" t="n">
        <v>0</v>
      </c>
      <c r="G4938" s="3" t="n">
        <v>7565.57</v>
      </c>
    </row>
    <row r="4939">
      <c r="A4939" s="3" t="inlineStr">
        <is>
          <t>Cape Projects Construction (Pty) Ltd</t>
        </is>
      </c>
      <c r="B4939" s="4" t="n">
        <v>45291</v>
      </c>
      <c r="C4939" s="3" t="inlineStr">
        <is>
          <t>Expenses</t>
        </is>
      </c>
      <c r="D4939" s="3" t="inlineStr">
        <is>
          <t>2011/100</t>
        </is>
      </c>
      <c r="E4939" s="3" t="inlineStr">
        <is>
          <t>COS - Heron Fields - Garden Services</t>
        </is>
      </c>
      <c r="F4939" s="3" t="n">
        <v>680</v>
      </c>
      <c r="G4939" s="3" t="n">
        <v>680</v>
      </c>
    </row>
    <row r="4940">
      <c r="A4940" s="3" t="inlineStr">
        <is>
          <t>Cape Projects Construction (Pty) Ltd</t>
        </is>
      </c>
      <c r="B4940" s="4" t="n">
        <v>45291</v>
      </c>
      <c r="C4940" s="3" t="inlineStr">
        <is>
          <t>Expenses</t>
        </is>
      </c>
      <c r="D4940" s="3" t="inlineStr">
        <is>
          <t>2011/300</t>
        </is>
      </c>
      <c r="E4940" s="3" t="inlineStr">
        <is>
          <t>COS - Heron Fields - Printing &amp; Stationary</t>
        </is>
      </c>
      <c r="F4940" s="3" t="n">
        <v>0</v>
      </c>
      <c r="G4940" s="3" t="n">
        <v>1129.57</v>
      </c>
    </row>
    <row r="4941">
      <c r="A4941" s="3" t="inlineStr">
        <is>
          <t>Cape Projects Construction (Pty) Ltd</t>
        </is>
      </c>
      <c r="B4941" s="4" t="n">
        <v>45291</v>
      </c>
      <c r="C4941" s="3" t="inlineStr">
        <is>
          <t>Expenses</t>
        </is>
      </c>
      <c r="D4941" s="3" t="inlineStr">
        <is>
          <t>2011/500</t>
        </is>
      </c>
      <c r="E4941" s="3" t="inlineStr">
        <is>
          <t>COS - Heron Fields - Construction</t>
        </is>
      </c>
      <c r="F4941" s="3" t="n">
        <v>5715</v>
      </c>
      <c r="G4941" s="3" t="n">
        <v>1638939.08</v>
      </c>
    </row>
    <row r="4942">
      <c r="A4942" s="3" t="inlineStr">
        <is>
          <t>Cape Projects Construction (Pty) Ltd</t>
        </is>
      </c>
      <c r="B4942" s="4" t="n">
        <v>45291</v>
      </c>
      <c r="C4942" s="3" t="inlineStr">
        <is>
          <t>Expenses</t>
        </is>
      </c>
      <c r="D4942" s="3" t="inlineStr">
        <is>
          <t>2011/600</t>
        </is>
      </c>
      <c r="E4942" s="3" t="inlineStr">
        <is>
          <t>COS - Heron Fields - P &amp; G</t>
        </is>
      </c>
      <c r="F4942" s="3" t="n">
        <v>4313.09</v>
      </c>
      <c r="G4942" s="3" t="n">
        <v>340031.95</v>
      </c>
    </row>
    <row r="4943">
      <c r="A4943" s="3" t="inlineStr">
        <is>
          <t>Cape Projects Construction (Pty) Ltd</t>
        </is>
      </c>
      <c r="B4943" s="4" t="n">
        <v>45291</v>
      </c>
      <c r="C4943" s="3" t="inlineStr">
        <is>
          <t>Expenses</t>
        </is>
      </c>
      <c r="D4943" s="3" t="inlineStr">
        <is>
          <t>2011/700</t>
        </is>
      </c>
      <c r="E4943" s="3" t="inlineStr">
        <is>
          <t>COS - Heron Fields - Health &amp; Safety</t>
        </is>
      </c>
      <c r="F4943" s="3" t="n">
        <v>0</v>
      </c>
      <c r="G4943" s="3" t="n">
        <v>694.78</v>
      </c>
    </row>
    <row r="4944">
      <c r="A4944" s="3" t="inlineStr">
        <is>
          <t>Cape Projects Construction (Pty) Ltd</t>
        </is>
      </c>
      <c r="B4944" s="4" t="n">
        <v>45291</v>
      </c>
      <c r="C4944" s="3" t="inlineStr">
        <is>
          <t>Expenses</t>
        </is>
      </c>
      <c r="D4944" s="3" t="inlineStr">
        <is>
          <t>2011/900</t>
        </is>
      </c>
      <c r="E4944" s="3" t="inlineStr">
        <is>
          <t>COS - Heron - Internet</t>
        </is>
      </c>
      <c r="F4944" s="3" t="n">
        <v>1797.39</v>
      </c>
      <c r="G4944" s="3" t="n">
        <v>15479.67</v>
      </c>
    </row>
    <row r="4945">
      <c r="A4945" s="3" t="inlineStr">
        <is>
          <t>Cape Projects Construction (Pty) Ltd</t>
        </is>
      </c>
      <c r="B4945" s="4" t="n">
        <v>45291</v>
      </c>
      <c r="C4945" s="3" t="inlineStr">
        <is>
          <t>Expenses</t>
        </is>
      </c>
      <c r="D4945" s="3" t="inlineStr">
        <is>
          <t>2012/001</t>
        </is>
      </c>
      <c r="E4945" s="3" t="inlineStr">
        <is>
          <t>COS - Heron View - Printing &amp; Stationary</t>
        </is>
      </c>
      <c r="F4945" s="3" t="n">
        <v>2242.61</v>
      </c>
      <c r="G4945" s="3" t="n">
        <v>30496.25</v>
      </c>
    </row>
    <row r="4946">
      <c r="A4946" s="3" t="inlineStr">
        <is>
          <t>Cape Projects Construction (Pty) Ltd</t>
        </is>
      </c>
      <c r="B4946" s="4" t="n">
        <v>45291</v>
      </c>
      <c r="C4946" s="3" t="inlineStr">
        <is>
          <t>Expenses</t>
        </is>
      </c>
      <c r="D4946" s="3" t="inlineStr">
        <is>
          <t>2012/002</t>
        </is>
      </c>
      <c r="E4946" s="3" t="inlineStr">
        <is>
          <t>COS - Heron View - Construction</t>
        </is>
      </c>
      <c r="F4946" s="3" t="n">
        <v>3086415.9</v>
      </c>
      <c r="G4946" s="3" t="n">
        <v>40404469.79</v>
      </c>
    </row>
    <row r="4947">
      <c r="A4947" s="3" t="inlineStr">
        <is>
          <t>Cape Projects Construction (Pty) Ltd</t>
        </is>
      </c>
      <c r="B4947" s="4" t="n">
        <v>45291</v>
      </c>
      <c r="C4947" s="3" t="inlineStr">
        <is>
          <t>Expenses</t>
        </is>
      </c>
      <c r="D4947" s="3" t="inlineStr">
        <is>
          <t>2012/003</t>
        </is>
      </c>
      <c r="E4947" s="3" t="inlineStr">
        <is>
          <t>COS - Heron View - P&amp;G</t>
        </is>
      </c>
      <c r="F4947" s="3" t="n">
        <v>1443.35</v>
      </c>
      <c r="G4947" s="3" t="n">
        <v>548678.49</v>
      </c>
    </row>
    <row r="4948">
      <c r="A4948" s="3" t="inlineStr">
        <is>
          <t>Cape Projects Construction (Pty) Ltd</t>
        </is>
      </c>
      <c r="B4948" s="4" t="n">
        <v>45291</v>
      </c>
      <c r="C4948" s="3" t="inlineStr">
        <is>
          <t>Expenses</t>
        </is>
      </c>
      <c r="D4948" s="3" t="inlineStr">
        <is>
          <t>2013/000</t>
        </is>
      </c>
      <c r="E4948" s="3" t="inlineStr">
        <is>
          <t>COS - Bakhoven</t>
        </is>
      </c>
      <c r="F4948" s="3" t="n">
        <v>0</v>
      </c>
      <c r="G4948" s="3" t="n">
        <v>17292.48</v>
      </c>
    </row>
    <row r="4949">
      <c r="A4949" s="3" t="inlineStr">
        <is>
          <t>Cape Projects Construction (Pty) Ltd</t>
        </is>
      </c>
      <c r="B4949" s="4" t="n">
        <v>45291</v>
      </c>
      <c r="C4949" s="3" t="inlineStr">
        <is>
          <t>Revenue</t>
        </is>
      </c>
      <c r="D4949" s="3" t="inlineStr">
        <is>
          <t>2750/000</t>
        </is>
      </c>
      <c r="E4949" s="3" t="inlineStr">
        <is>
          <t>Interest Received - FNB</t>
        </is>
      </c>
      <c r="F4949" s="3" t="n">
        <v>-813</v>
      </c>
      <c r="G4949" s="3" t="n">
        <v>-2303.02</v>
      </c>
    </row>
    <row r="4950">
      <c r="A4950" s="3" t="inlineStr">
        <is>
          <t>Cape Projects Construction (Pty) Ltd</t>
        </is>
      </c>
      <c r="B4950" s="4" t="n">
        <v>45291</v>
      </c>
      <c r="C4950" s="3" t="inlineStr">
        <is>
          <t>Revenue</t>
        </is>
      </c>
      <c r="D4950" s="3" t="inlineStr">
        <is>
          <t>2751/001</t>
        </is>
      </c>
      <c r="E4950" s="3" t="inlineStr">
        <is>
          <t>Interest received - Momentum</t>
        </is>
      </c>
      <c r="F4950" s="3" t="n">
        <v>0</v>
      </c>
      <c r="G4950" s="3" t="n">
        <v>-34.23</v>
      </c>
    </row>
    <row r="4951">
      <c r="A4951" s="3" t="inlineStr">
        <is>
          <t>Heron Fields (Pty) Ltd</t>
        </is>
      </c>
      <c r="B4951" s="4" t="n">
        <v>45291</v>
      </c>
      <c r="C4951" s="3" t="inlineStr">
        <is>
          <t>Revenue</t>
        </is>
      </c>
      <c r="D4951" s="3" t="inlineStr">
        <is>
          <t>2753/000</t>
        </is>
      </c>
      <c r="E4951" s="3" t="inlineStr">
        <is>
          <t>Interest Received - Deposits</t>
        </is>
      </c>
      <c r="F4951" s="3" t="n">
        <v>-4254.98</v>
      </c>
      <c r="G4951" s="3" t="n">
        <v>-4254.98</v>
      </c>
    </row>
    <row r="4952">
      <c r="A4952" s="3" t="inlineStr">
        <is>
          <t>Heron Fields (Pty) Ltd</t>
        </is>
      </c>
      <c r="B4952" s="4" t="n">
        <v>45291</v>
      </c>
      <c r="C4952" s="3" t="inlineStr">
        <is>
          <t>Revenue</t>
        </is>
      </c>
      <c r="D4952" s="3" t="inlineStr">
        <is>
          <t>2755/001</t>
        </is>
      </c>
      <c r="E4952" s="3" t="inlineStr">
        <is>
          <t>Interest Received - Momentum</t>
        </is>
      </c>
      <c r="F4952" s="3" t="n">
        <v>-158795.4</v>
      </c>
      <c r="G4952" s="3" t="n">
        <v>-2529456.33</v>
      </c>
    </row>
    <row r="4953">
      <c r="A4953" s="3" t="inlineStr">
        <is>
          <t>Heron Fields (Pty) Ltd</t>
        </is>
      </c>
      <c r="B4953" s="4" t="n">
        <v>45291</v>
      </c>
      <c r="C4953" s="3" t="inlineStr">
        <is>
          <t>Expenses</t>
        </is>
      </c>
      <c r="D4953" s="3" t="inlineStr">
        <is>
          <t>3000/000</t>
        </is>
      </c>
      <c r="E4953" s="3" t="inlineStr">
        <is>
          <t>Accounting Fees</t>
        </is>
      </c>
      <c r="F4953" s="3" t="n">
        <v>0</v>
      </c>
      <c r="G4953" s="3" t="n">
        <v>15024.96</v>
      </c>
    </row>
    <row r="4954">
      <c r="A4954" s="3" t="inlineStr">
        <is>
          <t>Heron Fields (Pty) Ltd</t>
        </is>
      </c>
      <c r="B4954" s="4" t="n">
        <v>45291</v>
      </c>
      <c r="C4954" s="3" t="inlineStr">
        <is>
          <t>Expenses</t>
        </is>
      </c>
      <c r="D4954" s="3" t="inlineStr">
        <is>
          <t>3000/100</t>
        </is>
      </c>
      <c r="E4954" s="3" t="inlineStr">
        <is>
          <t>Accounting - CIPC</t>
        </is>
      </c>
      <c r="F4954" s="3" t="n">
        <v>0</v>
      </c>
      <c r="G4954" s="3" t="n">
        <v>3050</v>
      </c>
    </row>
    <row r="4955">
      <c r="A4955" s="3" t="inlineStr">
        <is>
          <t>Cape Projects Construction (Pty) Ltd</t>
        </is>
      </c>
      <c r="B4955" s="4" t="n">
        <v>45291</v>
      </c>
      <c r="C4955" s="3" t="inlineStr">
        <is>
          <t>Expenses</t>
        </is>
      </c>
      <c r="D4955" s="3" t="inlineStr">
        <is>
          <t>3001/000</t>
        </is>
      </c>
      <c r="E4955" s="3" t="inlineStr">
        <is>
          <t>Accounting Fees - Other</t>
        </is>
      </c>
      <c r="F4955" s="3" t="n">
        <v>0</v>
      </c>
      <c r="G4955" s="3" t="n">
        <v>1280</v>
      </c>
    </row>
    <row r="4956">
      <c r="A4956" s="3" t="inlineStr">
        <is>
          <t>Cape Projects Construction (Pty) Ltd</t>
        </is>
      </c>
      <c r="B4956" s="4" t="n">
        <v>45291</v>
      </c>
      <c r="C4956" s="3" t="inlineStr">
        <is>
          <t>Expenses</t>
        </is>
      </c>
      <c r="D4956" s="3" t="inlineStr">
        <is>
          <t>3002/000</t>
        </is>
      </c>
      <c r="E4956" s="3" t="inlineStr">
        <is>
          <t>Accounting Fees - Audit</t>
        </is>
      </c>
      <c r="F4956" s="3" t="n">
        <v>0</v>
      </c>
      <c r="G4956" s="3" t="n">
        <v>11170</v>
      </c>
    </row>
    <row r="4957">
      <c r="A4957" s="3" t="inlineStr">
        <is>
          <t>Cape Projects Construction (Pty) Ltd</t>
        </is>
      </c>
      <c r="B4957" s="4" t="n">
        <v>45291</v>
      </c>
      <c r="C4957" s="3" t="inlineStr">
        <is>
          <t>Expenses</t>
        </is>
      </c>
      <c r="D4957" s="3" t="inlineStr">
        <is>
          <t>3050/000</t>
        </is>
      </c>
      <c r="E4957" s="3" t="inlineStr">
        <is>
          <t>Advertising _AND_ Promotions</t>
        </is>
      </c>
      <c r="F4957" s="3" t="n">
        <v>0</v>
      </c>
      <c r="G4957" s="3" t="n">
        <v>10975</v>
      </c>
    </row>
    <row r="4958">
      <c r="A4958" s="3" t="inlineStr">
        <is>
          <t>Heron Fields (Pty) Ltd</t>
        </is>
      </c>
      <c r="B4958" s="4" t="n">
        <v>45291</v>
      </c>
      <c r="C4958" s="3" t="inlineStr">
        <is>
          <t>Expenses</t>
        </is>
      </c>
      <c r="D4958" s="3" t="inlineStr">
        <is>
          <t>3050/000</t>
        </is>
      </c>
      <c r="E4958" s="3" t="inlineStr">
        <is>
          <t>Advertising _AND_ Promotions</t>
        </is>
      </c>
      <c r="F4958" s="3" t="n">
        <v>931.25</v>
      </c>
      <c r="G4958" s="3" t="n">
        <v>178914.34</v>
      </c>
    </row>
    <row r="4959">
      <c r="A4959" s="3" t="inlineStr">
        <is>
          <t>Heron View (Pty) Ltd</t>
        </is>
      </c>
      <c r="B4959" s="4" t="n">
        <v>45291</v>
      </c>
      <c r="C4959" s="3" t="inlineStr">
        <is>
          <t>Expenses</t>
        </is>
      </c>
      <c r="D4959" s="3" t="inlineStr">
        <is>
          <t>3050/000</t>
        </is>
      </c>
      <c r="E4959" s="3" t="inlineStr">
        <is>
          <t>Advertising _AND_ Promotions</t>
        </is>
      </c>
      <c r="F4959" s="3" t="n">
        <v>431.25</v>
      </c>
      <c r="G4959" s="3" t="n">
        <v>52857.72</v>
      </c>
    </row>
    <row r="4960">
      <c r="A4960" s="3" t="inlineStr">
        <is>
          <t>Heron Fields (Pty) Ltd</t>
        </is>
      </c>
      <c r="B4960" s="4" t="n">
        <v>45291</v>
      </c>
      <c r="C4960" s="3" t="inlineStr">
        <is>
          <t>Expenses</t>
        </is>
      </c>
      <c r="D4960" s="3" t="inlineStr">
        <is>
          <t>3050/100</t>
        </is>
      </c>
      <c r="E4960" s="3" t="inlineStr">
        <is>
          <t>Advertising - Property24</t>
        </is>
      </c>
      <c r="F4960" s="3" t="n">
        <v>0</v>
      </c>
      <c r="G4960" s="3" t="n">
        <v>12480</v>
      </c>
    </row>
    <row r="4961">
      <c r="A4961" s="3" t="inlineStr">
        <is>
          <t>Cape Projects Construction (Pty) Ltd</t>
        </is>
      </c>
      <c r="B4961" s="4" t="n">
        <v>45291</v>
      </c>
      <c r="C4961" s="3" t="inlineStr">
        <is>
          <t>Expenses</t>
        </is>
      </c>
      <c r="D4961" s="3" t="inlineStr">
        <is>
          <t>3050/150</t>
        </is>
      </c>
      <c r="E4961" s="3" t="inlineStr">
        <is>
          <t>Advertising - Design Fees</t>
        </is>
      </c>
      <c r="F4961" s="3" t="n">
        <v>0</v>
      </c>
      <c r="G4961" s="3" t="n">
        <v>295</v>
      </c>
    </row>
    <row r="4962">
      <c r="A4962" s="3" t="inlineStr">
        <is>
          <t>Heron Fields (Pty) Ltd</t>
        </is>
      </c>
      <c r="B4962" s="4" t="n">
        <v>45291</v>
      </c>
      <c r="C4962" s="3" t="inlineStr">
        <is>
          <t>Expenses</t>
        </is>
      </c>
      <c r="D4962" s="3" t="inlineStr">
        <is>
          <t>3050/300</t>
        </is>
      </c>
      <c r="E4962" s="3" t="inlineStr">
        <is>
          <t>Advertising - Real Marketing</t>
        </is>
      </c>
      <c r="F4962" s="3" t="n">
        <v>0</v>
      </c>
      <c r="G4962" s="3" t="n">
        <v>10250</v>
      </c>
    </row>
    <row r="4963">
      <c r="A4963" s="3" t="inlineStr">
        <is>
          <t>Heron View (Pty) Ltd</t>
        </is>
      </c>
      <c r="B4963" s="4" t="n">
        <v>45291</v>
      </c>
      <c r="C4963" s="3" t="inlineStr">
        <is>
          <t>Expenses</t>
        </is>
      </c>
      <c r="D4963" s="3" t="inlineStr">
        <is>
          <t>3050/300</t>
        </is>
      </c>
      <c r="E4963" s="3" t="inlineStr">
        <is>
          <t>Advertising - Thinkink</t>
        </is>
      </c>
      <c r="F4963" s="3" t="n">
        <v>0</v>
      </c>
      <c r="G4963" s="3" t="n">
        <v>17855</v>
      </c>
    </row>
    <row r="4964">
      <c r="A4964" s="3" t="inlineStr">
        <is>
          <t>Heron View (Pty) Ltd</t>
        </is>
      </c>
      <c r="B4964" s="4" t="n">
        <v>45291</v>
      </c>
      <c r="C4964" s="3" t="inlineStr">
        <is>
          <t>Expenses</t>
        </is>
      </c>
      <c r="D4964" s="3" t="inlineStr">
        <is>
          <t>3050/400</t>
        </is>
      </c>
      <c r="E4964" s="3" t="inlineStr">
        <is>
          <t>Advertising - Pure Brand Activation</t>
        </is>
      </c>
      <c r="F4964" s="3" t="n">
        <v>0</v>
      </c>
      <c r="G4964" s="3" t="n">
        <v>14569.1</v>
      </c>
    </row>
    <row r="4965">
      <c r="A4965" s="3" t="inlineStr">
        <is>
          <t>Cape Projects Construction (Pty) Ltd</t>
        </is>
      </c>
      <c r="B4965" s="4" t="n">
        <v>45291</v>
      </c>
      <c r="C4965" s="3" t="inlineStr">
        <is>
          <t>Expenses</t>
        </is>
      </c>
      <c r="D4965" s="3" t="inlineStr">
        <is>
          <t>3050/450</t>
        </is>
      </c>
      <c r="E4965" s="3" t="inlineStr">
        <is>
          <t>Advertising - Other</t>
        </is>
      </c>
      <c r="F4965" s="3" t="n">
        <v>0</v>
      </c>
      <c r="G4965" s="3" t="n">
        <v>1597</v>
      </c>
    </row>
    <row r="4966">
      <c r="A4966" s="3" t="inlineStr">
        <is>
          <t>Heron View (Pty) Ltd</t>
        </is>
      </c>
      <c r="B4966" s="4" t="n">
        <v>45291</v>
      </c>
      <c r="C4966" s="3" t="inlineStr">
        <is>
          <t>Expenses</t>
        </is>
      </c>
      <c r="D4966" s="3" t="inlineStr">
        <is>
          <t>3050/500</t>
        </is>
      </c>
      <c r="E4966" s="3" t="inlineStr">
        <is>
          <t>Advertising - Real Marketing</t>
        </is>
      </c>
      <c r="F4966" s="3" t="n">
        <v>0</v>
      </c>
      <c r="G4966" s="3" t="n">
        <v>18500</v>
      </c>
    </row>
    <row r="4967">
      <c r="A4967" s="3" t="inlineStr">
        <is>
          <t>Cape Projects Construction (Pty) Ltd</t>
        </is>
      </c>
      <c r="B4967" s="4" t="n">
        <v>45291</v>
      </c>
      <c r="C4967" s="3" t="inlineStr">
        <is>
          <t>Expenses</t>
        </is>
      </c>
      <c r="D4967" s="3" t="inlineStr">
        <is>
          <t>3200/000</t>
        </is>
      </c>
      <c r="E4967" s="3" t="inlineStr">
        <is>
          <t>Bank Charges</t>
        </is>
      </c>
      <c r="F4967" s="3" t="n">
        <v>1798.31</v>
      </c>
      <c r="G4967" s="3" t="n">
        <v>17924.29</v>
      </c>
    </row>
    <row r="4968">
      <c r="A4968" s="3" t="inlineStr">
        <is>
          <t>Heron Fields (Pty) Ltd</t>
        </is>
      </c>
      <c r="B4968" s="4" t="n">
        <v>45291</v>
      </c>
      <c r="C4968" s="3" t="inlineStr">
        <is>
          <t>Expenses</t>
        </is>
      </c>
      <c r="D4968" s="3" t="inlineStr">
        <is>
          <t>3200/000</t>
        </is>
      </c>
      <c r="E4968" s="3" t="inlineStr">
        <is>
          <t>Bank Charges</t>
        </is>
      </c>
      <c r="F4968" s="3" t="n">
        <v>369.23</v>
      </c>
      <c r="G4968" s="3" t="n">
        <v>4350.92</v>
      </c>
    </row>
    <row r="4969">
      <c r="A4969" s="3" t="inlineStr">
        <is>
          <t>Cape Projects Construction (Pty) Ltd</t>
        </is>
      </c>
      <c r="B4969" s="4" t="n">
        <v>45291</v>
      </c>
      <c r="C4969" s="3" t="inlineStr">
        <is>
          <t>Expenses</t>
        </is>
      </c>
      <c r="D4969" s="3" t="inlineStr">
        <is>
          <t>3250/000</t>
        </is>
      </c>
      <c r="E4969" s="3" t="inlineStr">
        <is>
          <t>Cleaning</t>
        </is>
      </c>
      <c r="F4969" s="3" t="n">
        <v>0</v>
      </c>
      <c r="G4969" s="3" t="n">
        <v>728.37</v>
      </c>
    </row>
    <row r="4970">
      <c r="A4970" s="3" t="inlineStr">
        <is>
          <t>Cape Projects Construction (Pty) Ltd</t>
        </is>
      </c>
      <c r="B4970" s="4" t="n">
        <v>45291</v>
      </c>
      <c r="C4970" s="3" t="inlineStr">
        <is>
          <t>Expenses</t>
        </is>
      </c>
      <c r="D4970" s="3" t="inlineStr">
        <is>
          <t>3255/000</t>
        </is>
      </c>
      <c r="E4970" s="3" t="inlineStr">
        <is>
          <t>Cell Phone - CT Office</t>
        </is>
      </c>
      <c r="F4970" s="3" t="n">
        <v>0</v>
      </c>
      <c r="G4970" s="3" t="n">
        <v>4123</v>
      </c>
    </row>
    <row r="4971">
      <c r="A4971" s="3" t="inlineStr">
        <is>
          <t>Cape Projects Construction (Pty) Ltd</t>
        </is>
      </c>
      <c r="B4971" s="4" t="n">
        <v>45291</v>
      </c>
      <c r="C4971" s="3" t="inlineStr">
        <is>
          <t>Expenses</t>
        </is>
      </c>
      <c r="D4971" s="3" t="inlineStr">
        <is>
          <t>3256/000</t>
        </is>
      </c>
      <c r="E4971" s="3" t="inlineStr">
        <is>
          <t>Cell Phone - Nick Morgan</t>
        </is>
      </c>
      <c r="F4971" s="3" t="n">
        <v>0</v>
      </c>
      <c r="G4971" s="3" t="n">
        <v>26779.67</v>
      </c>
    </row>
    <row r="4972">
      <c r="A4972" s="3" t="inlineStr">
        <is>
          <t>Cape Projects Construction (Pty) Ltd</t>
        </is>
      </c>
      <c r="B4972" s="4" t="n">
        <v>45291</v>
      </c>
      <c r="C4972" s="3" t="inlineStr">
        <is>
          <t>Expenses</t>
        </is>
      </c>
      <c r="D4972" s="3" t="inlineStr">
        <is>
          <t>3300/000</t>
        </is>
      </c>
      <c r="E4972" s="3" t="inlineStr">
        <is>
          <t>Computer Expenses</t>
        </is>
      </c>
      <c r="F4972" s="3" t="n">
        <v>0</v>
      </c>
      <c r="G4972" s="3" t="n">
        <v>6402.65</v>
      </c>
    </row>
    <row r="4973">
      <c r="A4973" s="3" t="inlineStr">
        <is>
          <t>Cape Projects Construction (Pty) Ltd</t>
        </is>
      </c>
      <c r="B4973" s="4" t="n">
        <v>45291</v>
      </c>
      <c r="C4973" s="3" t="inlineStr">
        <is>
          <t>Expenses</t>
        </is>
      </c>
      <c r="D4973" s="3" t="inlineStr">
        <is>
          <t>3300/100</t>
        </is>
      </c>
      <c r="E4973" s="3" t="inlineStr">
        <is>
          <t>Computer Exp - IT, Internet/Hosting Fee</t>
        </is>
      </c>
      <c r="F4973" s="3" t="n">
        <v>3230</v>
      </c>
      <c r="G4973" s="3" t="n">
        <v>39099</v>
      </c>
    </row>
    <row r="4974">
      <c r="A4974" s="3" t="inlineStr">
        <is>
          <t>Heron Fields (Pty) Ltd</t>
        </is>
      </c>
      <c r="B4974" s="4" t="n">
        <v>45291</v>
      </c>
      <c r="C4974" s="3" t="inlineStr">
        <is>
          <t>Expenses</t>
        </is>
      </c>
      <c r="D4974" s="3" t="inlineStr">
        <is>
          <t>3350/100</t>
        </is>
      </c>
      <c r="E4974" s="3" t="inlineStr">
        <is>
          <t>Consulting Fees - Admin and Finance</t>
        </is>
      </c>
      <c r="F4974" s="3" t="n">
        <v>116233</v>
      </c>
      <c r="G4974" s="3" t="n">
        <v>1170315.57</v>
      </c>
    </row>
    <row r="4975">
      <c r="A4975" s="3" t="inlineStr">
        <is>
          <t>Cape Projects Construction (Pty) Ltd</t>
        </is>
      </c>
      <c r="B4975" s="4" t="n">
        <v>45291</v>
      </c>
      <c r="C4975" s="3" t="inlineStr">
        <is>
          <t>Expenses</t>
        </is>
      </c>
      <c r="D4975" s="3" t="inlineStr">
        <is>
          <t>3350/300</t>
        </is>
      </c>
      <c r="E4975" s="3" t="inlineStr">
        <is>
          <t>Consulting Fees - Admin and Finance</t>
        </is>
      </c>
      <c r="F4975" s="3" t="n">
        <v>125097.01</v>
      </c>
      <c r="G4975" s="3" t="n">
        <v>1232134.71</v>
      </c>
    </row>
    <row r="4976">
      <c r="A4976" s="3" t="inlineStr">
        <is>
          <t>Heron Fields (Pty) Ltd</t>
        </is>
      </c>
      <c r="B4976" s="4" t="n">
        <v>45291</v>
      </c>
      <c r="C4976" s="3" t="inlineStr">
        <is>
          <t>Expenses</t>
        </is>
      </c>
      <c r="D4976" s="3" t="inlineStr">
        <is>
          <t>3351/000</t>
        </is>
      </c>
      <c r="E4976" s="3" t="inlineStr">
        <is>
          <t>Consulting fees - Trustee</t>
        </is>
      </c>
      <c r="F4976" s="3" t="n">
        <v>0</v>
      </c>
      <c r="G4976" s="3" t="n">
        <v>22100</v>
      </c>
    </row>
    <row r="4977">
      <c r="A4977" s="3" t="inlineStr">
        <is>
          <t>Heron View (Pty) Ltd</t>
        </is>
      </c>
      <c r="B4977" s="4" t="n">
        <v>45291</v>
      </c>
      <c r="C4977" s="3" t="inlineStr">
        <is>
          <t>Expenses</t>
        </is>
      </c>
      <c r="D4977" s="3" t="inlineStr">
        <is>
          <t>3351/000</t>
        </is>
      </c>
      <c r="E4977" s="3" t="inlineStr">
        <is>
          <t>Consulting fees - Trustee</t>
        </is>
      </c>
      <c r="F4977" s="3" t="n">
        <v>14250</v>
      </c>
      <c r="G4977" s="3" t="n">
        <v>66250</v>
      </c>
    </row>
    <row r="4978">
      <c r="A4978" s="3" t="inlineStr">
        <is>
          <t>Cape Projects Construction (Pty) Ltd</t>
        </is>
      </c>
      <c r="B4978" s="4" t="n">
        <v>45291</v>
      </c>
      <c r="C4978" s="3" t="inlineStr">
        <is>
          <t>Expenses</t>
        </is>
      </c>
      <c r="D4978" s="3" t="inlineStr">
        <is>
          <t>3400/000</t>
        </is>
      </c>
      <c r="E4978" s="3" t="inlineStr">
        <is>
          <t>Courier _AND_ Postage</t>
        </is>
      </c>
      <c r="F4978" s="3" t="n">
        <v>0</v>
      </c>
      <c r="G4978" s="3" t="n">
        <v>331.09</v>
      </c>
    </row>
    <row r="4979">
      <c r="A4979" s="3" t="inlineStr">
        <is>
          <t>Cape Projects Construction (Pty) Ltd</t>
        </is>
      </c>
      <c r="B4979" s="4" t="n">
        <v>45291</v>
      </c>
      <c r="C4979" s="3" t="inlineStr">
        <is>
          <t>Expenses</t>
        </is>
      </c>
      <c r="D4979" s="3" t="inlineStr">
        <is>
          <t>3450/001</t>
        </is>
      </c>
      <c r="E4979" s="3" t="inlineStr">
        <is>
          <t>Depreciation - Computer Equipment</t>
        </is>
      </c>
      <c r="F4979" s="3" t="n">
        <v>4562.87</v>
      </c>
      <c r="G4979" s="3" t="n">
        <v>37249.88</v>
      </c>
    </row>
    <row r="4980">
      <c r="A4980" s="3" t="inlineStr">
        <is>
          <t>Cape Projects Construction (Pty) Ltd</t>
        </is>
      </c>
      <c r="B4980" s="4" t="n">
        <v>45291</v>
      </c>
      <c r="C4980" s="3" t="inlineStr">
        <is>
          <t>Expenses</t>
        </is>
      </c>
      <c r="D4980" s="3" t="inlineStr">
        <is>
          <t>3450/002</t>
        </is>
      </c>
      <c r="E4980" s="3" t="inlineStr">
        <is>
          <t>Depreciation - Generator Fixed Asset</t>
        </is>
      </c>
      <c r="F4980" s="3" t="n">
        <v>1188.69</v>
      </c>
      <c r="G4980" s="3" t="n">
        <v>9896.26</v>
      </c>
    </row>
    <row r="4981">
      <c r="A4981" s="3" t="inlineStr">
        <is>
          <t>Cape Projects Construction (Pty) Ltd</t>
        </is>
      </c>
      <c r="B4981" s="4" t="n">
        <v>45291</v>
      </c>
      <c r="C4981" s="3" t="inlineStr">
        <is>
          <t>Expenses</t>
        </is>
      </c>
      <c r="D4981" s="3" t="inlineStr">
        <is>
          <t>3450/030</t>
        </is>
      </c>
      <c r="E4981" s="3" t="inlineStr">
        <is>
          <t>Depreciation - Furniture and Fittings</t>
        </is>
      </c>
      <c r="F4981" s="3" t="n">
        <v>547.6799999999999</v>
      </c>
      <c r="G4981" s="3" t="n">
        <v>5476.77</v>
      </c>
    </row>
    <row r="4982">
      <c r="A4982" s="3" t="inlineStr">
        <is>
          <t>Heron Fields (Pty) Ltd</t>
        </is>
      </c>
      <c r="B4982" s="4" t="n">
        <v>45291</v>
      </c>
      <c r="C4982" s="3" t="inlineStr">
        <is>
          <t>Expenses</t>
        </is>
      </c>
      <c r="D4982" s="3" t="inlineStr">
        <is>
          <t>3650/000</t>
        </is>
      </c>
      <c r="E4982" s="3" t="inlineStr">
        <is>
          <t>CoCT - Electricity</t>
        </is>
      </c>
      <c r="F4982" s="3" t="n">
        <v>-971.22</v>
      </c>
      <c r="G4982" s="3" t="n">
        <v>223791.32</v>
      </c>
    </row>
    <row r="4983">
      <c r="A4983" s="3" t="inlineStr">
        <is>
          <t>Cape Projects Construction (Pty) Ltd</t>
        </is>
      </c>
      <c r="B4983" s="4" t="n">
        <v>45291</v>
      </c>
      <c r="C4983" s="3" t="inlineStr">
        <is>
          <t>Expenses</t>
        </is>
      </c>
      <c r="D4983" s="3" t="inlineStr">
        <is>
          <t>3650/000</t>
        </is>
      </c>
      <c r="E4983" s="3" t="inlineStr">
        <is>
          <t>Electricity _AND_ Water</t>
        </is>
      </c>
      <c r="F4983" s="3" t="n">
        <v>0</v>
      </c>
      <c r="G4983" s="3" t="n">
        <v>60974.72</v>
      </c>
    </row>
    <row r="4984">
      <c r="A4984" s="3" t="inlineStr">
        <is>
          <t>Heron Fields (Pty) Ltd</t>
        </is>
      </c>
      <c r="B4984" s="4" t="n">
        <v>45291</v>
      </c>
      <c r="C4984" s="3" t="inlineStr">
        <is>
          <t>Expenses</t>
        </is>
      </c>
      <c r="D4984" s="3" t="inlineStr">
        <is>
          <t>3660/000</t>
        </is>
      </c>
      <c r="E4984" s="3" t="inlineStr">
        <is>
          <t>CoCT - Water</t>
        </is>
      </c>
      <c r="F4984" s="3" t="n">
        <v>971.22</v>
      </c>
      <c r="G4984" s="3" t="n">
        <v>94159.82000000001</v>
      </c>
    </row>
    <row r="4985">
      <c r="A4985" s="3" t="inlineStr">
        <is>
          <t>Heron View (Pty) Ltd</t>
        </is>
      </c>
      <c r="B4985" s="4" t="n">
        <v>45291</v>
      </c>
      <c r="C4985" s="3" t="inlineStr">
        <is>
          <t>Expenses</t>
        </is>
      </c>
      <c r="D4985" s="3" t="inlineStr">
        <is>
          <t>3660/000</t>
        </is>
      </c>
      <c r="E4985" s="3" t="inlineStr">
        <is>
          <t>Water</t>
        </is>
      </c>
      <c r="F4985" s="3" t="n">
        <v>19.64</v>
      </c>
      <c r="G4985" s="3" t="n">
        <v>19.64</v>
      </c>
    </row>
    <row r="4986">
      <c r="A4986" s="3" t="inlineStr">
        <is>
          <t>Heron Fields (Pty) Ltd</t>
        </is>
      </c>
      <c r="B4986" s="4" t="n">
        <v>45291</v>
      </c>
      <c r="C4986" s="3" t="inlineStr">
        <is>
          <t>Expenses</t>
        </is>
      </c>
      <c r="D4986" s="3" t="inlineStr">
        <is>
          <t>3670/000</t>
        </is>
      </c>
      <c r="E4986" s="3" t="inlineStr">
        <is>
          <t>CoCT - Refuse</t>
        </is>
      </c>
      <c r="F4986" s="3" t="n">
        <v>0</v>
      </c>
      <c r="G4986" s="3" t="n">
        <v>46978.37</v>
      </c>
    </row>
    <row r="4987">
      <c r="A4987" s="3" t="inlineStr">
        <is>
          <t>Heron Fields (Pty) Ltd</t>
        </is>
      </c>
      <c r="B4987" s="4" t="n">
        <v>45291</v>
      </c>
      <c r="C4987" s="3" t="inlineStr">
        <is>
          <t>Expenses</t>
        </is>
      </c>
      <c r="D4987" s="3" t="inlineStr">
        <is>
          <t>3700/000</t>
        </is>
      </c>
      <c r="E4987" s="3" t="inlineStr">
        <is>
          <t>Entertainment Expenses</t>
        </is>
      </c>
      <c r="F4987" s="3" t="n">
        <v>0</v>
      </c>
      <c r="G4987" s="3" t="n">
        <v>39.47</v>
      </c>
    </row>
    <row r="4988">
      <c r="A4988" s="3" t="inlineStr">
        <is>
          <t>Heron Fields (Pty) Ltd</t>
        </is>
      </c>
      <c r="B4988" s="4" t="n">
        <v>45291</v>
      </c>
      <c r="C4988" s="3" t="inlineStr">
        <is>
          <t>Expenses</t>
        </is>
      </c>
      <c r="D4988" s="3" t="inlineStr">
        <is>
          <t>3800/000</t>
        </is>
      </c>
      <c r="E4988" s="3" t="inlineStr">
        <is>
          <t>General Expenses</t>
        </is>
      </c>
      <c r="F4988" s="3" t="n">
        <v>2956.52</v>
      </c>
      <c r="G4988" s="3" t="n">
        <v>3156.51</v>
      </c>
    </row>
    <row r="4989">
      <c r="A4989" s="3" t="inlineStr">
        <is>
          <t>Heron Fields (Pty) Ltd</t>
        </is>
      </c>
      <c r="B4989" s="4" t="n">
        <v>45291</v>
      </c>
      <c r="C4989" s="3" t="inlineStr">
        <is>
          <t>Expenses</t>
        </is>
      </c>
      <c r="D4989" s="3" t="inlineStr">
        <is>
          <t>3850/000</t>
        </is>
      </c>
      <c r="E4989" s="3" t="inlineStr">
        <is>
          <t>Insurance</t>
        </is>
      </c>
      <c r="F4989" s="3" t="n">
        <v>17021.08</v>
      </c>
      <c r="G4989" s="3" t="n">
        <v>102403.24</v>
      </c>
    </row>
    <row r="4990">
      <c r="A4990" s="3" t="inlineStr">
        <is>
          <t>Cape Projects Construction (Pty) Ltd</t>
        </is>
      </c>
      <c r="B4990" s="4" t="n">
        <v>45291</v>
      </c>
      <c r="C4990" s="3" t="inlineStr">
        <is>
          <t>Expenses</t>
        </is>
      </c>
      <c r="D4990" s="3" t="inlineStr">
        <is>
          <t>3850/001</t>
        </is>
      </c>
      <c r="E4990" s="3" t="inlineStr">
        <is>
          <t>Insurance - Santam</t>
        </is>
      </c>
      <c r="F4990" s="3" t="n">
        <v>6204.53</v>
      </c>
      <c r="G4990" s="3" t="n">
        <v>24779.49</v>
      </c>
    </row>
    <row r="4991">
      <c r="A4991" s="3" t="inlineStr">
        <is>
          <t>Cape Projects Construction (Pty) Ltd</t>
        </is>
      </c>
      <c r="B4991" s="4" t="n">
        <v>45291</v>
      </c>
      <c r="C4991" s="3" t="inlineStr">
        <is>
          <t>Expenses</t>
        </is>
      </c>
      <c r="D4991" s="3" t="inlineStr">
        <is>
          <t>3850/004</t>
        </is>
      </c>
      <c r="E4991" s="3" t="inlineStr">
        <is>
          <t>Insurance - A_AND_G</t>
        </is>
      </c>
      <c r="F4991" s="3" t="n">
        <v>0</v>
      </c>
      <c r="G4991" s="3" t="n">
        <v>24242.76</v>
      </c>
    </row>
    <row r="4992">
      <c r="A4992" s="3" t="inlineStr">
        <is>
          <t>Heron Fields (Pty) Ltd</t>
        </is>
      </c>
      <c r="B4992" s="4" t="n">
        <v>45291</v>
      </c>
      <c r="C4992" s="3" t="inlineStr">
        <is>
          <t>Expenses</t>
        </is>
      </c>
      <c r="D4992" s="3" t="inlineStr">
        <is>
          <t>3900/000</t>
        </is>
      </c>
      <c r="E4992" s="3" t="inlineStr">
        <is>
          <t>Interest Paid</t>
        </is>
      </c>
      <c r="F4992" s="3" t="n">
        <v>0</v>
      </c>
      <c r="G4992" s="3" t="n">
        <v>-533.8</v>
      </c>
    </row>
    <row r="4993">
      <c r="A4993" s="3" t="inlineStr">
        <is>
          <t>Heron Fields (Pty) Ltd</t>
        </is>
      </c>
      <c r="B4993" s="4" t="n">
        <v>45291</v>
      </c>
      <c r="C4993" s="3" t="inlineStr">
        <is>
          <t>Expenses</t>
        </is>
      </c>
      <c r="D4993" s="3" t="inlineStr">
        <is>
          <t>3900/111</t>
        </is>
      </c>
      <c r="E4993" s="3" t="inlineStr">
        <is>
          <t>Interest Paid - Investors @ 6.25%</t>
        </is>
      </c>
      <c r="F4993" s="3" t="n">
        <v>0</v>
      </c>
      <c r="G4993" s="3" t="n">
        <v>167246.17</v>
      </c>
    </row>
    <row r="4994">
      <c r="A4994" s="3" t="inlineStr">
        <is>
          <t>Heron Fields (Pty) Ltd</t>
        </is>
      </c>
      <c r="B4994" s="4" t="n">
        <v>45291</v>
      </c>
      <c r="C4994" s="3" t="inlineStr">
        <is>
          <t>Expenses</t>
        </is>
      </c>
      <c r="D4994" s="3" t="inlineStr">
        <is>
          <t>3900/115</t>
        </is>
      </c>
      <c r="E4994" s="3" t="inlineStr">
        <is>
          <t>Interest Paid - Investors @ 6.5%</t>
        </is>
      </c>
      <c r="F4994" s="3" t="n">
        <v>0</v>
      </c>
      <c r="G4994" s="3" t="n">
        <v>72942.48</v>
      </c>
    </row>
    <row r="4995">
      <c r="A4995" s="3" t="inlineStr">
        <is>
          <t>Heron Fields (Pty) Ltd</t>
        </is>
      </c>
      <c r="B4995" s="4" t="n">
        <v>45291</v>
      </c>
      <c r="C4995" s="3" t="inlineStr">
        <is>
          <t>Expenses</t>
        </is>
      </c>
      <c r="D4995" s="3" t="inlineStr">
        <is>
          <t>3900/117</t>
        </is>
      </c>
      <c r="E4995" s="3" t="inlineStr">
        <is>
          <t>Interest Paid - Investors @ 6.75%</t>
        </is>
      </c>
      <c r="F4995" s="3" t="n">
        <v>0</v>
      </c>
      <c r="G4995" s="3" t="n">
        <v>44124.67</v>
      </c>
    </row>
    <row r="4996">
      <c r="A4996" s="3" t="inlineStr">
        <is>
          <t>Heron Fields (Pty) Ltd</t>
        </is>
      </c>
      <c r="B4996" s="4" t="n">
        <v>45291</v>
      </c>
      <c r="C4996" s="3" t="inlineStr">
        <is>
          <t>Expenses</t>
        </is>
      </c>
      <c r="D4996" s="3" t="inlineStr">
        <is>
          <t>3900/120</t>
        </is>
      </c>
      <c r="E4996" s="3" t="inlineStr">
        <is>
          <t>Interest Paid - Investors @ 7%</t>
        </is>
      </c>
      <c r="F4996" s="3" t="n">
        <v>0</v>
      </c>
      <c r="G4996" s="3" t="n">
        <v>11678.33</v>
      </c>
    </row>
    <row r="4997">
      <c r="A4997" s="3" t="inlineStr">
        <is>
          <t>Heron View (Pty) Ltd</t>
        </is>
      </c>
      <c r="B4997" s="4" t="n">
        <v>45291</v>
      </c>
      <c r="C4997" s="3" t="inlineStr">
        <is>
          <t>Expenses</t>
        </is>
      </c>
      <c r="D4997" s="3" t="inlineStr">
        <is>
          <t>3900/120</t>
        </is>
      </c>
      <c r="E4997" s="3" t="inlineStr">
        <is>
          <t>Interest Paid - Investors @ 7%</t>
        </is>
      </c>
      <c r="F4997" s="3" t="n">
        <v>0</v>
      </c>
      <c r="G4997" s="3" t="n">
        <v>1607.78</v>
      </c>
    </row>
    <row r="4998">
      <c r="A4998" s="3" t="inlineStr">
        <is>
          <t>Heron Fields (Pty) Ltd</t>
        </is>
      </c>
      <c r="B4998" s="4" t="n">
        <v>45291</v>
      </c>
      <c r="C4998" s="3" t="inlineStr">
        <is>
          <t>Expenses</t>
        </is>
      </c>
      <c r="D4998" s="3" t="inlineStr">
        <is>
          <t>3900/126</t>
        </is>
      </c>
      <c r="E4998" s="3" t="inlineStr">
        <is>
          <t>Interest Paid - Investors @ 7.5%</t>
        </is>
      </c>
      <c r="F4998" s="3" t="n">
        <v>0</v>
      </c>
      <c r="G4998" s="3" t="n">
        <v>1252.24</v>
      </c>
    </row>
    <row r="4999">
      <c r="A4999" s="3" t="inlineStr">
        <is>
          <t>Heron View (Pty) Ltd</t>
        </is>
      </c>
      <c r="B4999" s="4" t="n">
        <v>45291</v>
      </c>
      <c r="C4999" s="3" t="inlineStr">
        <is>
          <t>Expenses</t>
        </is>
      </c>
      <c r="D4999" s="3" t="inlineStr">
        <is>
          <t>3900/126</t>
        </is>
      </c>
      <c r="E4999" s="3" t="inlineStr">
        <is>
          <t>Interest Paid - Investors @ 7.5%</t>
        </is>
      </c>
      <c r="F4999" s="3" t="n">
        <v>0</v>
      </c>
      <c r="G4999" s="3" t="n">
        <v>1507.16</v>
      </c>
    </row>
    <row r="5000">
      <c r="A5000" s="3" t="inlineStr">
        <is>
          <t>Heron Fields (Pty) Ltd</t>
        </is>
      </c>
      <c r="B5000" s="4" t="n">
        <v>45291</v>
      </c>
      <c r="C5000" s="3" t="inlineStr">
        <is>
          <t>Expenses</t>
        </is>
      </c>
      <c r="D5000" s="3" t="inlineStr">
        <is>
          <t>3900/133</t>
        </is>
      </c>
      <c r="E5000" s="3" t="inlineStr">
        <is>
          <t>Interest Paid - Investors @ 8.25%</t>
        </is>
      </c>
      <c r="F5000" s="3" t="n">
        <v>0</v>
      </c>
      <c r="G5000" s="3" t="n">
        <v>5515.07</v>
      </c>
    </row>
    <row r="5001">
      <c r="A5001" s="3" t="inlineStr">
        <is>
          <t>Heron View (Pty) Ltd</t>
        </is>
      </c>
      <c r="B5001" s="4" t="n">
        <v>45291</v>
      </c>
      <c r="C5001" s="3" t="inlineStr">
        <is>
          <t>Expenses</t>
        </is>
      </c>
      <c r="D5001" s="3" t="inlineStr">
        <is>
          <t>3900/133</t>
        </is>
      </c>
      <c r="E5001" s="3" t="inlineStr">
        <is>
          <t>Interest Paid - Investors @ 8.25%</t>
        </is>
      </c>
      <c r="F5001" s="3" t="n">
        <v>2034.25</v>
      </c>
      <c r="G5001" s="3" t="n">
        <v>33113.04</v>
      </c>
    </row>
    <row r="5002">
      <c r="A5002" s="3" t="inlineStr">
        <is>
          <t>Heron Fields (Pty) Ltd</t>
        </is>
      </c>
      <c r="B5002" s="4" t="n">
        <v>45291</v>
      </c>
      <c r="C5002" s="3" t="inlineStr">
        <is>
          <t>Expenses</t>
        </is>
      </c>
      <c r="D5002" s="3" t="inlineStr">
        <is>
          <t>3900/140</t>
        </is>
      </c>
      <c r="E5002" s="3" t="inlineStr">
        <is>
          <t>Interest Paid - Investors @ 9%</t>
        </is>
      </c>
      <c r="F5002" s="3" t="n">
        <v>0</v>
      </c>
      <c r="G5002" s="3" t="n">
        <v>591.78</v>
      </c>
    </row>
    <row r="5003">
      <c r="A5003" s="3" t="inlineStr">
        <is>
          <t>Heron View (Pty) Ltd</t>
        </is>
      </c>
      <c r="B5003" s="4" t="n">
        <v>45291</v>
      </c>
      <c r="C5003" s="3" t="inlineStr">
        <is>
          <t>Expenses</t>
        </is>
      </c>
      <c r="D5003" s="3" t="inlineStr">
        <is>
          <t>3900/140</t>
        </is>
      </c>
      <c r="E5003" s="3" t="inlineStr">
        <is>
          <t>Interest Paid - Investors @ 9%</t>
        </is>
      </c>
      <c r="F5003" s="3" t="n">
        <v>6322.22</v>
      </c>
      <c r="G5003" s="3" t="n">
        <v>69137.8</v>
      </c>
    </row>
    <row r="5004">
      <c r="A5004" s="3" t="inlineStr">
        <is>
          <t>Heron View (Pty) Ltd</t>
        </is>
      </c>
      <c r="B5004" s="4" t="n">
        <v>45291</v>
      </c>
      <c r="C5004" s="3" t="inlineStr">
        <is>
          <t>Expenses</t>
        </is>
      </c>
      <c r="D5004" s="3" t="inlineStr">
        <is>
          <t>3900/147</t>
        </is>
      </c>
      <c r="E5004" s="3" t="inlineStr">
        <is>
          <t>Interest Paid - Investors @ 9.75%</t>
        </is>
      </c>
      <c r="F5004" s="3" t="n">
        <v>0</v>
      </c>
      <c r="G5004" s="3" t="n">
        <v>2537.9</v>
      </c>
    </row>
    <row r="5005">
      <c r="A5005" s="3" t="inlineStr">
        <is>
          <t>Heron View (Pty) Ltd</t>
        </is>
      </c>
      <c r="B5005" s="4" t="n">
        <v>45291</v>
      </c>
      <c r="C5005" s="3" t="inlineStr">
        <is>
          <t>Expenses</t>
        </is>
      </c>
      <c r="D5005" s="3" t="inlineStr">
        <is>
          <t>3900/150</t>
        </is>
      </c>
      <c r="E5005" s="3" t="inlineStr">
        <is>
          <t>Interest Paid - Investors @ 10%</t>
        </is>
      </c>
      <c r="F5005" s="3" t="n">
        <v>0</v>
      </c>
      <c r="G5005" s="3" t="n">
        <v>5709.59</v>
      </c>
    </row>
    <row r="5006">
      <c r="A5006" s="3" t="inlineStr">
        <is>
          <t>Heron View (Pty) Ltd</t>
        </is>
      </c>
      <c r="B5006" s="4" t="n">
        <v>45291</v>
      </c>
      <c r="C5006" s="3" t="inlineStr">
        <is>
          <t>Expenses</t>
        </is>
      </c>
      <c r="D5006" s="3" t="inlineStr">
        <is>
          <t>3900/155</t>
        </is>
      </c>
      <c r="E5006" s="3" t="inlineStr">
        <is>
          <t>Interest Paid - Investors @ 10.5%</t>
        </is>
      </c>
      <c r="F5006" s="3" t="n">
        <v>0</v>
      </c>
      <c r="G5006" s="3" t="n">
        <v>19334.38</v>
      </c>
    </row>
    <row r="5007">
      <c r="A5007" s="3" t="inlineStr">
        <is>
          <t>Heron View (Pty) Ltd</t>
        </is>
      </c>
      <c r="B5007" s="4" t="n">
        <v>45291</v>
      </c>
      <c r="C5007" s="3" t="inlineStr">
        <is>
          <t>Expenses</t>
        </is>
      </c>
      <c r="D5007" s="3" t="inlineStr">
        <is>
          <t>3900/160</t>
        </is>
      </c>
      <c r="E5007" s="3" t="inlineStr">
        <is>
          <t>Interest Paid - Investors @ 11%</t>
        </is>
      </c>
      <c r="F5007" s="3" t="n">
        <v>0</v>
      </c>
      <c r="G5007" s="3" t="n">
        <v>9131.51</v>
      </c>
    </row>
    <row r="5008">
      <c r="A5008" s="3" t="inlineStr">
        <is>
          <t>Heron Fields (Pty) Ltd</t>
        </is>
      </c>
      <c r="B5008" s="4" t="n">
        <v>45291</v>
      </c>
      <c r="C5008" s="3" t="inlineStr">
        <is>
          <t>Expenses</t>
        </is>
      </c>
      <c r="D5008" s="3" t="inlineStr">
        <is>
          <t>3900/190</t>
        </is>
      </c>
      <c r="E5008" s="3" t="inlineStr">
        <is>
          <t>Interest Paid - Investors @ 14%</t>
        </is>
      </c>
      <c r="F5008" s="3" t="n">
        <v>0</v>
      </c>
      <c r="G5008" s="3" t="n">
        <v>400367.2</v>
      </c>
    </row>
    <row r="5009">
      <c r="A5009" s="3" t="inlineStr">
        <is>
          <t>Heron View (Pty) Ltd</t>
        </is>
      </c>
      <c r="B5009" s="4" t="n">
        <v>45291</v>
      </c>
      <c r="C5009" s="3" t="inlineStr">
        <is>
          <t>Expenses</t>
        </is>
      </c>
      <c r="D5009" s="3" t="inlineStr">
        <is>
          <t>3900/190</t>
        </is>
      </c>
      <c r="E5009" s="3" t="inlineStr">
        <is>
          <t>Interest Paid - Investors @ 14%</t>
        </is>
      </c>
      <c r="F5009" s="3" t="n">
        <v>0</v>
      </c>
      <c r="G5009" s="3" t="n">
        <v>605212.3</v>
      </c>
    </row>
    <row r="5010">
      <c r="A5010" s="3" t="inlineStr">
        <is>
          <t>Heron Fields (Pty) Ltd</t>
        </is>
      </c>
      <c r="B5010" s="4" t="n">
        <v>45291</v>
      </c>
      <c r="C5010" s="3" t="inlineStr">
        <is>
          <t>Expenses</t>
        </is>
      </c>
      <c r="D5010" s="3" t="inlineStr">
        <is>
          <t>3900/200</t>
        </is>
      </c>
      <c r="E5010" s="3" t="inlineStr">
        <is>
          <t>Interest Paid - Investors @ 15%</t>
        </is>
      </c>
      <c r="F5010" s="3" t="n">
        <v>0</v>
      </c>
      <c r="G5010" s="3" t="n">
        <v>333349.31</v>
      </c>
    </row>
    <row r="5011">
      <c r="A5011" s="3" t="inlineStr">
        <is>
          <t>Heron Fields (Pty) Ltd</t>
        </is>
      </c>
      <c r="B5011" s="4" t="n">
        <v>45291</v>
      </c>
      <c r="C5011" s="3" t="inlineStr">
        <is>
          <t>Expenses</t>
        </is>
      </c>
      <c r="D5011" s="3" t="inlineStr">
        <is>
          <t>3900/210</t>
        </is>
      </c>
      <c r="E5011" s="3" t="inlineStr">
        <is>
          <t>Interest Paid - Investors @ 16%</t>
        </is>
      </c>
      <c r="F5011" s="3" t="n">
        <v>0</v>
      </c>
      <c r="G5011" s="3" t="n">
        <v>47473.98</v>
      </c>
    </row>
    <row r="5012">
      <c r="A5012" s="3" t="inlineStr">
        <is>
          <t>Heron View (Pty) Ltd</t>
        </is>
      </c>
      <c r="B5012" s="4" t="n">
        <v>45291</v>
      </c>
      <c r="C5012" s="3" t="inlineStr">
        <is>
          <t>Expenses</t>
        </is>
      </c>
      <c r="D5012" s="3" t="inlineStr">
        <is>
          <t>3900/210</t>
        </is>
      </c>
      <c r="E5012" s="3" t="inlineStr">
        <is>
          <t>Interest Paid - Investors @ 16%</t>
        </is>
      </c>
      <c r="F5012" s="3" t="n">
        <v>92712.32000000001</v>
      </c>
      <c r="G5012" s="3" t="n">
        <v>221027.94</v>
      </c>
    </row>
    <row r="5013">
      <c r="A5013" s="3" t="inlineStr">
        <is>
          <t>Heron Fields (Pty) Ltd</t>
        </is>
      </c>
      <c r="B5013" s="4" t="n">
        <v>45291</v>
      </c>
      <c r="C5013" s="3" t="inlineStr">
        <is>
          <t>Expenses</t>
        </is>
      </c>
      <c r="D5013" s="3" t="inlineStr">
        <is>
          <t>3900/230</t>
        </is>
      </c>
      <c r="E5013" s="3" t="inlineStr">
        <is>
          <t>Interest Paid - Investors @ 18%</t>
        </is>
      </c>
      <c r="F5013" s="3" t="n">
        <v>0</v>
      </c>
      <c r="G5013" s="3" t="n">
        <v>3197167.68</v>
      </c>
    </row>
    <row r="5014">
      <c r="A5014" s="3" t="inlineStr">
        <is>
          <t>Heron View (Pty) Ltd</t>
        </is>
      </c>
      <c r="B5014" s="4" t="n">
        <v>45291</v>
      </c>
      <c r="C5014" s="3" t="inlineStr">
        <is>
          <t>Expenses</t>
        </is>
      </c>
      <c r="D5014" s="3" t="inlineStr">
        <is>
          <t>3900/230</t>
        </is>
      </c>
      <c r="E5014" s="3" t="inlineStr">
        <is>
          <t>Interest Paid - Investors @ 18%</t>
        </is>
      </c>
      <c r="F5014" s="3" t="n">
        <v>105583.63</v>
      </c>
      <c r="G5014" s="3" t="n">
        <v>1738149.71</v>
      </c>
    </row>
    <row r="5015">
      <c r="A5015" s="3" t="inlineStr">
        <is>
          <t>Cape Projects Construction (Pty) Ltd</t>
        </is>
      </c>
      <c r="B5015" s="4" t="n">
        <v>45291</v>
      </c>
      <c r="C5015" s="3" t="inlineStr">
        <is>
          <t>Expenses</t>
        </is>
      </c>
      <c r="D5015" s="3" t="inlineStr">
        <is>
          <t>4000/000</t>
        </is>
      </c>
      <c r="E5015" s="3" t="inlineStr">
        <is>
          <t>Legal Fees</t>
        </is>
      </c>
      <c r="F5015" s="3" t="n">
        <v>0</v>
      </c>
      <c r="G5015" s="3" t="n">
        <v>5202.88</v>
      </c>
    </row>
    <row r="5016">
      <c r="A5016" s="3" t="inlineStr">
        <is>
          <t>Heron View (Pty) Ltd</t>
        </is>
      </c>
      <c r="B5016" s="4" t="n">
        <v>45291</v>
      </c>
      <c r="C5016" s="3" t="inlineStr">
        <is>
          <t>Expenses</t>
        </is>
      </c>
      <c r="D5016" s="3" t="inlineStr">
        <is>
          <t>4040/000</t>
        </is>
      </c>
      <c r="E5016" s="3" t="inlineStr">
        <is>
          <t>Levies - Special Levies</t>
        </is>
      </c>
      <c r="F5016" s="3" t="n">
        <v>66011.50999999999</v>
      </c>
      <c r="G5016" s="3" t="n">
        <v>66011.50999999999</v>
      </c>
    </row>
    <row r="5017">
      <c r="A5017" s="3" t="inlineStr">
        <is>
          <t>Heron View (Pty) Ltd</t>
        </is>
      </c>
      <c r="B5017" s="4" t="n">
        <v>45291</v>
      </c>
      <c r="C5017" s="3" t="inlineStr">
        <is>
          <t>Expenses</t>
        </is>
      </c>
      <c r="D5017" s="3" t="inlineStr">
        <is>
          <t>4050/000</t>
        </is>
      </c>
      <c r="E5017" s="3" t="inlineStr">
        <is>
          <t>Levies</t>
        </is>
      </c>
      <c r="F5017" s="3" t="n">
        <v>-92227.34</v>
      </c>
      <c r="G5017" s="3" t="n">
        <v>3087.1</v>
      </c>
    </row>
    <row r="5018">
      <c r="A5018" s="3" t="inlineStr">
        <is>
          <t>Heron Fields (Pty) Ltd</t>
        </is>
      </c>
      <c r="B5018" s="4" t="n">
        <v>45291</v>
      </c>
      <c r="C5018" s="3" t="inlineStr">
        <is>
          <t>Expenses</t>
        </is>
      </c>
      <c r="D5018" s="3" t="inlineStr">
        <is>
          <t>4050/100</t>
        </is>
      </c>
      <c r="E5018" s="3" t="inlineStr">
        <is>
          <t>Developers Levies</t>
        </is>
      </c>
      <c r="F5018" s="3" t="n">
        <v>0</v>
      </c>
      <c r="G5018" s="3" t="n">
        <v>76865.83</v>
      </c>
    </row>
    <row r="5019">
      <c r="A5019" s="3" t="inlineStr">
        <is>
          <t>Heron Fields (Pty) Ltd</t>
        </is>
      </c>
      <c r="B5019" s="4" t="n">
        <v>45291</v>
      </c>
      <c r="C5019" s="3" t="inlineStr">
        <is>
          <t>Expenses</t>
        </is>
      </c>
      <c r="D5019" s="3" t="inlineStr">
        <is>
          <t>4050/200</t>
        </is>
      </c>
      <c r="E5019" s="3" t="inlineStr">
        <is>
          <t>Levies - Amari</t>
        </is>
      </c>
      <c r="F5019" s="3" t="n">
        <v>5105.18</v>
      </c>
      <c r="G5019" s="3" t="n">
        <v>24780.75</v>
      </c>
    </row>
    <row r="5020">
      <c r="A5020" s="3" t="inlineStr">
        <is>
          <t>Heron View (Pty) Ltd</t>
        </is>
      </c>
      <c r="B5020" s="4" t="n">
        <v>45291</v>
      </c>
      <c r="C5020" s="3" t="inlineStr">
        <is>
          <t>Expenses</t>
        </is>
      </c>
      <c r="D5020" s="3" t="inlineStr">
        <is>
          <t>4060/000</t>
        </is>
      </c>
      <c r="E5020" s="3" t="inlineStr">
        <is>
          <t>Levies - Developer</t>
        </is>
      </c>
      <c r="F5020" s="3" t="n">
        <v>11879.1</v>
      </c>
      <c r="G5020" s="3" t="n">
        <v>11879.1</v>
      </c>
    </row>
    <row r="5021">
      <c r="A5021" s="3" t="inlineStr">
        <is>
          <t>Heron View (Pty) Ltd</t>
        </is>
      </c>
      <c r="B5021" s="4" t="n">
        <v>45291</v>
      </c>
      <c r="C5021" s="3" t="inlineStr">
        <is>
          <t>Expenses</t>
        </is>
      </c>
      <c r="D5021" s="3" t="inlineStr">
        <is>
          <t>4070/000</t>
        </is>
      </c>
      <c r="E5021" s="3" t="inlineStr">
        <is>
          <t>Management fees - OMH</t>
        </is>
      </c>
      <c r="F5021" s="3" t="n">
        <v>0</v>
      </c>
      <c r="G5021" s="3" t="n">
        <v>400000</v>
      </c>
    </row>
    <row r="5022">
      <c r="A5022" s="3" t="inlineStr">
        <is>
          <t>Heron Fields (Pty) Ltd</t>
        </is>
      </c>
      <c r="B5022" s="4" t="n">
        <v>45291</v>
      </c>
      <c r="C5022" s="3" t="inlineStr">
        <is>
          <t>Expenses</t>
        </is>
      </c>
      <c r="D5022" s="3" t="inlineStr">
        <is>
          <t>4100/001</t>
        </is>
      </c>
      <c r="E5022" s="3" t="inlineStr">
        <is>
          <t>Momentum Admin Fee</t>
        </is>
      </c>
      <c r="F5022" s="3" t="n">
        <v>11793.8</v>
      </c>
      <c r="G5022" s="3" t="n">
        <v>121463.92</v>
      </c>
    </row>
    <row r="5023">
      <c r="A5023" s="3" t="inlineStr">
        <is>
          <t>Cape Projects Construction (Pty) Ltd</t>
        </is>
      </c>
      <c r="B5023" s="4" t="n">
        <v>45291</v>
      </c>
      <c r="C5023" s="3" t="inlineStr">
        <is>
          <t>Expenses</t>
        </is>
      </c>
      <c r="D5023" s="3" t="inlineStr">
        <is>
          <t>4150/000</t>
        </is>
      </c>
      <c r="E5023" s="3" t="inlineStr">
        <is>
          <t>Motor Vehicle Expenses</t>
        </is>
      </c>
      <c r="F5023" s="3" t="n">
        <v>0</v>
      </c>
      <c r="G5023" s="3" t="n">
        <v>362</v>
      </c>
    </row>
    <row r="5024">
      <c r="A5024" s="3" t="inlineStr">
        <is>
          <t>Heron Fields (Pty) Ltd</t>
        </is>
      </c>
      <c r="B5024" s="4" t="n">
        <v>45291</v>
      </c>
      <c r="C5024" s="3" t="inlineStr">
        <is>
          <t>Expenses</t>
        </is>
      </c>
      <c r="D5024" s="3" t="inlineStr">
        <is>
          <t>4150/000</t>
        </is>
      </c>
      <c r="E5024" s="3" t="inlineStr">
        <is>
          <t>Motor Vehicle Expenses</t>
        </is>
      </c>
      <c r="F5024" s="3" t="n">
        <v>0</v>
      </c>
      <c r="G5024" s="3" t="n">
        <v>20</v>
      </c>
    </row>
    <row r="5025">
      <c r="A5025" s="3" t="inlineStr">
        <is>
          <t>Cape Projects Construction (Pty) Ltd</t>
        </is>
      </c>
      <c r="B5025" s="4" t="n">
        <v>45291</v>
      </c>
      <c r="C5025" s="3" t="inlineStr">
        <is>
          <t>Expenses</t>
        </is>
      </c>
      <c r="D5025" s="3" t="inlineStr">
        <is>
          <t>4150/010</t>
        </is>
      </c>
      <c r="E5025" s="3" t="inlineStr">
        <is>
          <t>Motor Vehicle - Petrol _AND_ Oil</t>
        </is>
      </c>
      <c r="F5025" s="3" t="n">
        <v>3281.84</v>
      </c>
      <c r="G5025" s="3" t="n">
        <v>39032.15</v>
      </c>
    </row>
    <row r="5026">
      <c r="A5026" s="3" t="inlineStr">
        <is>
          <t>Cape Projects Construction (Pty) Ltd</t>
        </is>
      </c>
      <c r="B5026" s="4" t="n">
        <v>45291</v>
      </c>
      <c r="C5026" s="3" t="inlineStr">
        <is>
          <t>Expenses</t>
        </is>
      </c>
      <c r="D5026" s="3" t="inlineStr">
        <is>
          <t>4150/020</t>
        </is>
      </c>
      <c r="E5026" s="3" t="inlineStr">
        <is>
          <t>Motor Vehicle - Repairs _AND_ Maint.</t>
        </is>
      </c>
      <c r="F5026" s="3" t="n">
        <v>0</v>
      </c>
      <c r="G5026" s="3" t="n">
        <v>3668.3</v>
      </c>
    </row>
    <row r="5027">
      <c r="A5027" s="3" t="inlineStr">
        <is>
          <t>Cape Projects Construction (Pty) Ltd</t>
        </is>
      </c>
      <c r="B5027" s="4" t="n">
        <v>45291</v>
      </c>
      <c r="C5027" s="3" t="inlineStr">
        <is>
          <t>Expenses</t>
        </is>
      </c>
      <c r="D5027" s="3" t="inlineStr">
        <is>
          <t>4150/030</t>
        </is>
      </c>
      <c r="E5027" s="3" t="inlineStr">
        <is>
          <t>Motor Vehicle - Insurance _AND_ Licence</t>
        </is>
      </c>
      <c r="F5027" s="3" t="n">
        <v>0</v>
      </c>
      <c r="G5027" s="3" t="n">
        <v>1069</v>
      </c>
    </row>
    <row r="5028">
      <c r="A5028" s="3" t="inlineStr">
        <is>
          <t>Cape Projects Construction (Pty) Ltd</t>
        </is>
      </c>
      <c r="B5028" s="4" t="n">
        <v>45291</v>
      </c>
      <c r="C5028" s="3" t="inlineStr">
        <is>
          <t>Expenses</t>
        </is>
      </c>
      <c r="D5028" s="3" t="inlineStr">
        <is>
          <t>4200/000</t>
        </is>
      </c>
      <c r="E5028" s="3" t="inlineStr">
        <is>
          <t>Printing _AND_ Stationery</t>
        </is>
      </c>
      <c r="F5028" s="3" t="n">
        <v>4891.29</v>
      </c>
      <c r="G5028" s="3" t="n">
        <v>38516.39</v>
      </c>
    </row>
    <row r="5029">
      <c r="A5029" s="3" t="inlineStr">
        <is>
          <t>Cape Projects Construction (Pty) Ltd</t>
        </is>
      </c>
      <c r="B5029" s="4" t="n">
        <v>45291</v>
      </c>
      <c r="C5029" s="3" t="inlineStr">
        <is>
          <t>Expenses</t>
        </is>
      </c>
      <c r="D5029" s="3" t="inlineStr">
        <is>
          <t>4201/000</t>
        </is>
      </c>
      <c r="E5029" s="3" t="inlineStr">
        <is>
          <t>Printing - Printer rental</t>
        </is>
      </c>
      <c r="F5029" s="3" t="n">
        <v>2401.59</v>
      </c>
      <c r="G5029" s="3" t="n">
        <v>21456.21</v>
      </c>
    </row>
    <row r="5030">
      <c r="A5030" s="3" t="inlineStr">
        <is>
          <t>Cape Projects Construction (Pty) Ltd</t>
        </is>
      </c>
      <c r="B5030" s="4" t="n">
        <v>45291</v>
      </c>
      <c r="C5030" s="3" t="inlineStr">
        <is>
          <t>Expenses</t>
        </is>
      </c>
      <c r="D5030" s="3" t="inlineStr">
        <is>
          <t>4300/000</t>
        </is>
      </c>
      <c r="E5030" s="3" t="inlineStr">
        <is>
          <t>Rent Paid</t>
        </is>
      </c>
      <c r="F5030" s="3" t="n">
        <v>31820</v>
      </c>
      <c r="G5030" s="3" t="n">
        <v>300440</v>
      </c>
    </row>
    <row r="5031">
      <c r="A5031" s="3" t="inlineStr">
        <is>
          <t>Cape Projects Construction (Pty) Ltd</t>
        </is>
      </c>
      <c r="B5031" s="4" t="n">
        <v>45291</v>
      </c>
      <c r="C5031" s="3" t="inlineStr">
        <is>
          <t>Expenses</t>
        </is>
      </c>
      <c r="D5031" s="3" t="inlineStr">
        <is>
          <t>4310/000</t>
        </is>
      </c>
      <c r="E5031" s="3" t="inlineStr">
        <is>
          <t>Rates</t>
        </is>
      </c>
      <c r="F5031" s="3" t="n">
        <v>9027.469999999999</v>
      </c>
      <c r="G5031" s="3" t="n">
        <v>19085.76</v>
      </c>
    </row>
    <row r="5032">
      <c r="A5032" s="3" t="inlineStr">
        <is>
          <t>Heron Fields (Pty) Ltd</t>
        </is>
      </c>
      <c r="B5032" s="4" t="n">
        <v>45291</v>
      </c>
      <c r="C5032" s="3" t="inlineStr">
        <is>
          <t>Expenses</t>
        </is>
      </c>
      <c r="D5032" s="3" t="inlineStr">
        <is>
          <t>4310/000</t>
        </is>
      </c>
      <c r="E5032" s="3" t="inlineStr">
        <is>
          <t>Rates - Heron</t>
        </is>
      </c>
      <c r="F5032" s="3" t="n">
        <v>0</v>
      </c>
      <c r="G5032" s="3" t="n">
        <v>211633.66</v>
      </c>
    </row>
    <row r="5033">
      <c r="A5033" s="3" t="inlineStr">
        <is>
          <t>Cape Projects Construction (Pty) Ltd</t>
        </is>
      </c>
      <c r="B5033" s="4" t="n">
        <v>45291</v>
      </c>
      <c r="C5033" s="3" t="inlineStr">
        <is>
          <t>Expenses</t>
        </is>
      </c>
      <c r="D5033" s="3" t="inlineStr">
        <is>
          <t>4350/000</t>
        </is>
      </c>
      <c r="E5033" s="3" t="inlineStr">
        <is>
          <t>Repairs _AND_ Maintenance</t>
        </is>
      </c>
      <c r="F5033" s="3" t="n">
        <v>0</v>
      </c>
      <c r="G5033" s="3" t="n">
        <v>16125.02</v>
      </c>
    </row>
    <row r="5034">
      <c r="A5034" s="3" t="inlineStr">
        <is>
          <t>Heron Fields (Pty) Ltd</t>
        </is>
      </c>
      <c r="B5034" s="4" t="n">
        <v>45291</v>
      </c>
      <c r="C5034" s="3" t="inlineStr">
        <is>
          <t>Expenses</t>
        </is>
      </c>
      <c r="D5034" s="3" t="inlineStr">
        <is>
          <t>4350/000</t>
        </is>
      </c>
      <c r="E5034" s="3" t="inlineStr">
        <is>
          <t>Repairs _AND_ Maintenance</t>
        </is>
      </c>
      <c r="F5034" s="3" t="n">
        <v>0</v>
      </c>
      <c r="G5034" s="3" t="n">
        <v>34547.28</v>
      </c>
    </row>
    <row r="5035">
      <c r="A5035" s="3" t="inlineStr">
        <is>
          <t>Heron View (Pty) Ltd</t>
        </is>
      </c>
      <c r="B5035" s="4" t="n">
        <v>45291</v>
      </c>
      <c r="C5035" s="3" t="inlineStr">
        <is>
          <t>Expenses</t>
        </is>
      </c>
      <c r="D5035" s="3" t="inlineStr">
        <is>
          <t>4350/000</t>
        </is>
      </c>
      <c r="E5035" s="3" t="inlineStr">
        <is>
          <t>Repairs _AND_ Maintenance</t>
        </is>
      </c>
      <c r="F5035" s="3" t="n">
        <v>0</v>
      </c>
      <c r="G5035" s="3" t="n">
        <v>15563.49</v>
      </c>
    </row>
    <row r="5036">
      <c r="A5036" s="3" t="inlineStr">
        <is>
          <t>Cape Projects Construction (Pty) Ltd</t>
        </is>
      </c>
      <c r="B5036" s="4" t="n">
        <v>45291</v>
      </c>
      <c r="C5036" s="3" t="inlineStr">
        <is>
          <t>Expenses</t>
        </is>
      </c>
      <c r="D5036" s="3" t="inlineStr">
        <is>
          <t>4400/000</t>
        </is>
      </c>
      <c r="E5036" s="3" t="inlineStr">
        <is>
          <t>Salaries _AND_ Wages</t>
        </is>
      </c>
      <c r="F5036" s="3" t="n">
        <v>463088.48</v>
      </c>
      <c r="G5036" s="3" t="n">
        <v>3795507.61</v>
      </c>
    </row>
    <row r="5037">
      <c r="A5037" s="3" t="inlineStr">
        <is>
          <t>Cape Projects Construction (Pty) Ltd</t>
        </is>
      </c>
      <c r="B5037" s="4" t="n">
        <v>45291</v>
      </c>
      <c r="C5037" s="3" t="inlineStr">
        <is>
          <t>Expenses</t>
        </is>
      </c>
      <c r="D5037" s="3" t="inlineStr">
        <is>
          <t>4402</t>
        </is>
      </c>
      <c r="E5037" s="3" t="inlineStr">
        <is>
          <t>Salaries &amp; Wages - WCA</t>
        </is>
      </c>
      <c r="F5037" s="3" t="n">
        <v>0</v>
      </c>
      <c r="G5037" s="3" t="n">
        <v>5192.13</v>
      </c>
    </row>
    <row r="5038">
      <c r="A5038" s="3" t="inlineStr">
        <is>
          <t>Cape Projects Construction (Pty) Ltd</t>
        </is>
      </c>
      <c r="B5038" s="4" t="n">
        <v>45291</v>
      </c>
      <c r="C5038" s="3" t="inlineStr">
        <is>
          <t>Expenses</t>
        </is>
      </c>
      <c r="D5038" s="3" t="inlineStr">
        <is>
          <t>4403/000</t>
        </is>
      </c>
      <c r="E5038" s="3" t="inlineStr">
        <is>
          <t>Security</t>
        </is>
      </c>
      <c r="F5038" s="3" t="n">
        <v>191.17</v>
      </c>
      <c r="G5038" s="3" t="n">
        <v>1814.82</v>
      </c>
    </row>
    <row r="5039">
      <c r="A5039" s="3" t="inlineStr">
        <is>
          <t>Heron Fields (Pty) Ltd</t>
        </is>
      </c>
      <c r="B5039" s="4" t="n">
        <v>45291</v>
      </c>
      <c r="C5039" s="3" t="inlineStr">
        <is>
          <t>Expenses</t>
        </is>
      </c>
      <c r="D5039" s="3" t="inlineStr">
        <is>
          <t>4420/000</t>
        </is>
      </c>
      <c r="E5039" s="3" t="inlineStr">
        <is>
          <t>Security</t>
        </is>
      </c>
      <c r="F5039" s="3" t="n">
        <v>0</v>
      </c>
      <c r="G5039" s="3" t="n">
        <v>7198.71</v>
      </c>
    </row>
    <row r="5040">
      <c r="A5040" s="3" t="inlineStr">
        <is>
          <t>Cape Projects Construction (Pty) Ltd</t>
        </is>
      </c>
      <c r="B5040" s="4" t="n">
        <v>45291</v>
      </c>
      <c r="C5040" s="3" t="inlineStr">
        <is>
          <t>Expenses</t>
        </is>
      </c>
      <c r="D5040" s="3" t="inlineStr">
        <is>
          <t>4420/000</t>
        </is>
      </c>
      <c r="E5040" s="3" t="inlineStr">
        <is>
          <t>Small Assets</t>
        </is>
      </c>
      <c r="F5040" s="3" t="n">
        <v>0</v>
      </c>
      <c r="G5040" s="3" t="n">
        <v>31010.74</v>
      </c>
    </row>
    <row r="5041">
      <c r="A5041" s="3" t="inlineStr">
        <is>
          <t>Heron Fields (Pty) Ltd</t>
        </is>
      </c>
      <c r="B5041" s="4" t="n">
        <v>45291</v>
      </c>
      <c r="C5041" s="3" t="inlineStr">
        <is>
          <t>Expenses</t>
        </is>
      </c>
      <c r="D5041" s="3" t="inlineStr">
        <is>
          <t>4420/001</t>
        </is>
      </c>
      <c r="E5041" s="3" t="inlineStr">
        <is>
          <t>Security - ADT</t>
        </is>
      </c>
      <c r="F5041" s="3" t="n">
        <v>1119.77</v>
      </c>
      <c r="G5041" s="3" t="n">
        <v>4301.75</v>
      </c>
    </row>
    <row r="5042">
      <c r="A5042" s="3" t="inlineStr">
        <is>
          <t>Cape Projects Construction (Pty) Ltd</t>
        </is>
      </c>
      <c r="B5042" s="4" t="n">
        <v>45291</v>
      </c>
      <c r="C5042" s="3" t="inlineStr">
        <is>
          <t>Expenses</t>
        </is>
      </c>
      <c r="D5042" s="3" t="inlineStr">
        <is>
          <t>4450/000</t>
        </is>
      </c>
      <c r="E5042" s="3" t="inlineStr">
        <is>
          <t>Staff Training</t>
        </is>
      </c>
      <c r="F5042" s="3" t="n">
        <v>0</v>
      </c>
      <c r="G5042" s="3" t="n">
        <v>3452.7</v>
      </c>
    </row>
    <row r="5043">
      <c r="A5043" s="3" t="inlineStr">
        <is>
          <t>Cape Projects Construction (Pty) Ltd</t>
        </is>
      </c>
      <c r="B5043" s="4" t="n">
        <v>45291</v>
      </c>
      <c r="C5043" s="3" t="inlineStr">
        <is>
          <t>Expenses</t>
        </is>
      </c>
      <c r="D5043" s="3" t="inlineStr">
        <is>
          <t>4500/000</t>
        </is>
      </c>
      <c r="E5043" s="3" t="inlineStr">
        <is>
          <t>Staff Welfare _AND_ Refreshmts</t>
        </is>
      </c>
      <c r="F5043" s="3" t="n">
        <v>1639.02</v>
      </c>
      <c r="G5043" s="3" t="n">
        <v>34472.56</v>
      </c>
    </row>
    <row r="5044">
      <c r="A5044" s="3" t="inlineStr">
        <is>
          <t>Cape Projects Construction (Pty) Ltd</t>
        </is>
      </c>
      <c r="B5044" s="4" t="n">
        <v>45291</v>
      </c>
      <c r="C5044" s="3" t="inlineStr">
        <is>
          <t>Expenses</t>
        </is>
      </c>
      <c r="D5044" s="3" t="inlineStr">
        <is>
          <t>4550/000</t>
        </is>
      </c>
      <c r="E5044" s="3" t="inlineStr">
        <is>
          <t>Subscriptions / Licenses</t>
        </is>
      </c>
      <c r="F5044" s="3" t="n">
        <v>0</v>
      </c>
      <c r="G5044" s="3" t="n">
        <v>13527.97</v>
      </c>
    </row>
    <row r="5045">
      <c r="A5045" s="3" t="inlineStr">
        <is>
          <t>Cape Projects Construction (Pty) Ltd</t>
        </is>
      </c>
      <c r="B5045" s="4" t="n">
        <v>45291</v>
      </c>
      <c r="C5045" s="3" t="inlineStr">
        <is>
          <t>Expenses</t>
        </is>
      </c>
      <c r="D5045" s="3" t="inlineStr">
        <is>
          <t>4550/001</t>
        </is>
      </c>
      <c r="E5045" s="3" t="inlineStr">
        <is>
          <t>Subscriptions &amp; Licenses - Sage payroll</t>
        </is>
      </c>
      <c r="F5045" s="3" t="n">
        <v>747</v>
      </c>
      <c r="G5045" s="3" t="n">
        <v>7470</v>
      </c>
    </row>
    <row r="5046">
      <c r="A5046" s="3" t="inlineStr">
        <is>
          <t>Cape Projects Construction (Pty) Ltd</t>
        </is>
      </c>
      <c r="B5046" s="4" t="n">
        <v>45291</v>
      </c>
      <c r="C5046" s="3" t="inlineStr">
        <is>
          <t>Expenses</t>
        </is>
      </c>
      <c r="D5046" s="3" t="inlineStr">
        <is>
          <t>4550/002</t>
        </is>
      </c>
      <c r="E5046" s="3" t="inlineStr">
        <is>
          <t>Subscriptions &amp; Licenses - Caseware</t>
        </is>
      </c>
      <c r="F5046" s="3" t="n">
        <v>0</v>
      </c>
      <c r="G5046" s="3" t="n">
        <v>10825.49</v>
      </c>
    </row>
    <row r="5047">
      <c r="A5047" s="3" t="inlineStr">
        <is>
          <t>Cape Projects Construction (Pty) Ltd</t>
        </is>
      </c>
      <c r="B5047" s="4" t="n">
        <v>45291</v>
      </c>
      <c r="C5047" s="3" t="inlineStr">
        <is>
          <t>Expenses</t>
        </is>
      </c>
      <c r="D5047" s="3" t="inlineStr">
        <is>
          <t>4550/003</t>
        </is>
      </c>
      <c r="E5047" s="3" t="inlineStr">
        <is>
          <t>Subscriptions &amp; Licenses - Xero</t>
        </is>
      </c>
      <c r="F5047" s="3" t="n">
        <v>600</v>
      </c>
      <c r="G5047" s="3" t="n">
        <v>6000</v>
      </c>
    </row>
    <row r="5048">
      <c r="A5048" s="3" t="inlineStr">
        <is>
          <t>Cape Projects Construction (Pty) Ltd</t>
        </is>
      </c>
      <c r="B5048" s="4" t="n">
        <v>45291</v>
      </c>
      <c r="C5048" s="3" t="inlineStr">
        <is>
          <t>Expenses</t>
        </is>
      </c>
      <c r="D5048" s="3" t="inlineStr">
        <is>
          <t>4550/004</t>
        </is>
      </c>
      <c r="E5048" s="3" t="inlineStr">
        <is>
          <t>Subscriptions - Smartsheet</t>
        </is>
      </c>
      <c r="F5048" s="3" t="n">
        <v>1089</v>
      </c>
      <c r="G5048" s="3" t="n">
        <v>8885.41</v>
      </c>
    </row>
    <row r="5049">
      <c r="A5049" s="3" t="inlineStr">
        <is>
          <t>Cape Projects Construction (Pty) Ltd</t>
        </is>
      </c>
      <c r="B5049" s="4" t="n">
        <v>45291</v>
      </c>
      <c r="C5049" s="3" t="inlineStr">
        <is>
          <t>Expenses</t>
        </is>
      </c>
      <c r="D5049" s="3" t="inlineStr">
        <is>
          <t>4550/007</t>
        </is>
      </c>
      <c r="E5049" s="3" t="inlineStr">
        <is>
          <t>Subscription &amp; Licenses - ERS Bio</t>
        </is>
      </c>
      <c r="F5049" s="3" t="n">
        <v>718.9299999999999</v>
      </c>
      <c r="G5049" s="3" t="n">
        <v>2156.79</v>
      </c>
    </row>
    <row r="5050">
      <c r="A5050" s="3" t="inlineStr">
        <is>
          <t>Cape Projects Construction (Pty) Ltd</t>
        </is>
      </c>
      <c r="B5050" s="4" t="n">
        <v>45291</v>
      </c>
      <c r="C5050" s="3" t="inlineStr">
        <is>
          <t>Expenses</t>
        </is>
      </c>
      <c r="D5050" s="3" t="inlineStr">
        <is>
          <t>4550/008</t>
        </is>
      </c>
      <c r="E5050" s="3" t="inlineStr">
        <is>
          <t>Subscriptions  - Adobe</t>
        </is>
      </c>
      <c r="F5050" s="3" t="n">
        <v>0</v>
      </c>
      <c r="G5050" s="3" t="n">
        <v>4498.72</v>
      </c>
    </row>
    <row r="5051">
      <c r="A5051" s="3" t="inlineStr">
        <is>
          <t>Heron Fields (Pty) Ltd</t>
        </is>
      </c>
      <c r="B5051" s="4" t="n">
        <v>45291</v>
      </c>
      <c r="C5051" s="3" t="inlineStr">
        <is>
          <t>Expenses</t>
        </is>
      </c>
      <c r="D5051" s="3" t="inlineStr">
        <is>
          <t>4550/100</t>
        </is>
      </c>
      <c r="E5051" s="3" t="inlineStr">
        <is>
          <t>Subscriptions - Xero</t>
        </is>
      </c>
      <c r="F5051" s="3" t="n">
        <v>600</v>
      </c>
      <c r="G5051" s="3" t="n">
        <v>6000</v>
      </c>
    </row>
    <row r="5052">
      <c r="A5052" s="3" t="inlineStr">
        <is>
          <t>Heron View (Pty) Ltd</t>
        </is>
      </c>
      <c r="B5052" s="4" t="n">
        <v>45291</v>
      </c>
      <c r="C5052" s="3" t="inlineStr">
        <is>
          <t>Expenses</t>
        </is>
      </c>
      <c r="D5052" s="3" t="inlineStr">
        <is>
          <t>4550/100</t>
        </is>
      </c>
      <c r="E5052" s="3" t="inlineStr">
        <is>
          <t>Subscriptions - Xero</t>
        </is>
      </c>
      <c r="F5052" s="3" t="n">
        <v>600</v>
      </c>
      <c r="G5052" s="3" t="n">
        <v>6000</v>
      </c>
    </row>
    <row r="5053">
      <c r="A5053" s="3" t="inlineStr">
        <is>
          <t>Heron Fields (Pty) Ltd</t>
        </is>
      </c>
      <c r="B5053" s="4" t="n">
        <v>45291</v>
      </c>
      <c r="C5053" s="3" t="inlineStr">
        <is>
          <t>Expenses</t>
        </is>
      </c>
      <c r="D5053" s="3" t="inlineStr">
        <is>
          <t>4550/200</t>
        </is>
      </c>
      <c r="E5053" s="3" t="inlineStr">
        <is>
          <t>Subscription - NHBRC</t>
        </is>
      </c>
      <c r="F5053" s="3" t="n">
        <v>0</v>
      </c>
      <c r="G5053" s="3" t="n">
        <v>526.3200000000001</v>
      </c>
    </row>
    <row r="5054">
      <c r="A5054" s="3" t="inlineStr">
        <is>
          <t>Cape Projects Construction (Pty) Ltd</t>
        </is>
      </c>
      <c r="B5054" s="4" t="n">
        <v>45291</v>
      </c>
      <c r="C5054" s="3" t="inlineStr">
        <is>
          <t>Expenses</t>
        </is>
      </c>
      <c r="D5054" s="3" t="inlineStr">
        <is>
          <t>4560</t>
        </is>
      </c>
      <c r="E5054" s="3" t="inlineStr">
        <is>
          <t>Secretarial fees - CIPC</t>
        </is>
      </c>
      <c r="F5054" s="3" t="n">
        <v>0</v>
      </c>
      <c r="G5054" s="3" t="n">
        <v>4000</v>
      </c>
    </row>
    <row r="5055">
      <c r="A5055" s="3" t="inlineStr">
        <is>
          <t>Cape Projects Construction (Pty) Ltd</t>
        </is>
      </c>
      <c r="B5055" s="4" t="n">
        <v>45291</v>
      </c>
      <c r="C5055" s="3" t="inlineStr">
        <is>
          <t>Expenses</t>
        </is>
      </c>
      <c r="D5055" s="3" t="inlineStr">
        <is>
          <t>4600/000</t>
        </is>
      </c>
      <c r="E5055" s="3" t="inlineStr">
        <is>
          <t>Telephone _AND_ Fax</t>
        </is>
      </c>
      <c r="F5055" s="3" t="n">
        <v>0</v>
      </c>
      <c r="G5055" s="3" t="n">
        <v>11566.33</v>
      </c>
    </row>
    <row r="5056">
      <c r="A5056" s="3" t="inlineStr">
        <is>
          <t>Cape Projects Construction (Pty) Ltd</t>
        </is>
      </c>
      <c r="B5056" s="4" t="n">
        <v>45291</v>
      </c>
      <c r="C5056" s="3" t="inlineStr">
        <is>
          <t>Expenses</t>
        </is>
      </c>
      <c r="D5056" s="3" t="inlineStr">
        <is>
          <t>4700/000</t>
        </is>
      </c>
      <c r="E5056" s="3" t="inlineStr">
        <is>
          <t>PAYE Contributions</t>
        </is>
      </c>
      <c r="F5056" s="3" t="n">
        <v>101779.19</v>
      </c>
      <c r="G5056" s="3" t="n">
        <v>848311.76</v>
      </c>
    </row>
    <row r="5057">
      <c r="A5057" s="3" t="inlineStr">
        <is>
          <t>Cape Projects Construction (Pty) Ltd</t>
        </is>
      </c>
      <c r="B5057" s="4" t="n">
        <v>45291</v>
      </c>
      <c r="C5057" s="3" t="inlineStr">
        <is>
          <t>Expenses</t>
        </is>
      </c>
      <c r="D5057" s="3" t="inlineStr">
        <is>
          <t>4720/000</t>
        </is>
      </c>
      <c r="E5057" s="3" t="inlineStr">
        <is>
          <t>SDL Contributions</t>
        </is>
      </c>
      <c r="F5057" s="3" t="n">
        <v>5533.95</v>
      </c>
      <c r="G5057" s="3" t="n">
        <v>45231.14</v>
      </c>
    </row>
    <row r="5058">
      <c r="A5058" s="3" t="inlineStr">
        <is>
          <t>Cape Projects Construction (Pty) Ltd</t>
        </is>
      </c>
      <c r="B5058" s="4" t="n">
        <v>45291</v>
      </c>
      <c r="C5058" s="3" t="inlineStr">
        <is>
          <t>Expenses</t>
        </is>
      </c>
      <c r="D5058" s="3" t="inlineStr">
        <is>
          <t>4730/000</t>
        </is>
      </c>
      <c r="E5058" s="3" t="inlineStr">
        <is>
          <t>UIF Company Contributions</t>
        </is>
      </c>
      <c r="F5058" s="3" t="n">
        <v>3179.47</v>
      </c>
      <c r="G5058" s="3" t="n">
        <v>25003.15</v>
      </c>
    </row>
    <row r="5059">
      <c r="A5059" s="3" t="inlineStr">
        <is>
          <t>Cape Projects Construction (Pty) Ltd</t>
        </is>
      </c>
      <c r="B5059" s="4" t="n">
        <v>45291</v>
      </c>
      <c r="C5059" s="3" t="inlineStr">
        <is>
          <t>Expenses</t>
        </is>
      </c>
      <c r="D5059" s="3" t="inlineStr">
        <is>
          <t>4731/000</t>
        </is>
      </c>
      <c r="E5059" s="3" t="inlineStr">
        <is>
          <t>UIF Employee Contribution</t>
        </is>
      </c>
      <c r="F5059" s="3" t="n">
        <v>3179.47</v>
      </c>
      <c r="G5059" s="3" t="n">
        <v>25003.15</v>
      </c>
    </row>
    <row r="5060">
      <c r="A5060" s="3" t="inlineStr">
        <is>
          <t>Cape Projects Construction (Pty) Ltd</t>
        </is>
      </c>
      <c r="B5060" s="4" t="n">
        <v>45291</v>
      </c>
      <c r="C5060" s="3" t="inlineStr">
        <is>
          <t>Expenses</t>
        </is>
      </c>
      <c r="D5060" s="3" t="inlineStr">
        <is>
          <t>4740/000</t>
        </is>
      </c>
      <c r="E5060" s="3" t="inlineStr">
        <is>
          <t>BIBC Company Contribution</t>
        </is>
      </c>
      <c r="F5060" s="3" t="n">
        <v>0</v>
      </c>
      <c r="G5060" s="3" t="n">
        <v>15075.35</v>
      </c>
    </row>
    <row r="5061">
      <c r="A5061" s="3" t="inlineStr">
        <is>
          <t>Cape Projects Construction (Pty) Ltd</t>
        </is>
      </c>
      <c r="B5061" s="4" t="n">
        <v>45291</v>
      </c>
      <c r="C5061" s="3" t="inlineStr">
        <is>
          <t>Expenses</t>
        </is>
      </c>
      <c r="D5061" s="3" t="inlineStr">
        <is>
          <t>4741/000</t>
        </is>
      </c>
      <c r="E5061" s="3" t="inlineStr">
        <is>
          <t>BIBC Employee Contribution</t>
        </is>
      </c>
      <c r="F5061" s="3" t="n">
        <v>0</v>
      </c>
      <c r="G5061" s="3" t="n">
        <v>4562.1</v>
      </c>
    </row>
    <row r="5062">
      <c r="A5062" s="3" t="inlineStr">
        <is>
          <t>Heron Fields (Pty) Ltd</t>
        </is>
      </c>
      <c r="B5062" s="4" t="n">
        <v>45291</v>
      </c>
      <c r="C5062" s="3" t="inlineStr">
        <is>
          <t>Equity</t>
        </is>
      </c>
      <c r="D5062" s="3" t="inlineStr">
        <is>
          <t>5100-000</t>
        </is>
      </c>
      <c r="E5062" s="3" t="inlineStr">
        <is>
          <t>Share Capital</t>
        </is>
      </c>
      <c r="F5062" s="3" t="n">
        <v>0</v>
      </c>
      <c r="G5062" s="3" t="n">
        <v>-100</v>
      </c>
    </row>
    <row r="5063">
      <c r="A5063" s="3" t="inlineStr">
        <is>
          <t>Cape Projects Construction (Pty) Ltd</t>
        </is>
      </c>
      <c r="B5063" s="4" t="n">
        <v>45291</v>
      </c>
      <c r="C5063" s="3" t="inlineStr">
        <is>
          <t>Equity</t>
        </is>
      </c>
      <c r="D5063" s="3" t="inlineStr">
        <is>
          <t>5100/000</t>
        </is>
      </c>
      <c r="E5063" s="3" t="inlineStr">
        <is>
          <t>Share Capital / Members Contribution</t>
        </is>
      </c>
      <c r="F5063" s="3" t="n">
        <v>0</v>
      </c>
      <c r="G5063" s="3" t="n">
        <v>-120</v>
      </c>
    </row>
    <row r="5064">
      <c r="A5064" s="3" t="inlineStr">
        <is>
          <t>Cape Projects Construction (Pty) Ltd</t>
        </is>
      </c>
      <c r="B5064" s="4" t="n">
        <v>45291</v>
      </c>
      <c r="C5064" s="3" t="inlineStr">
        <is>
          <t>Equity</t>
        </is>
      </c>
      <c r="D5064" s="3" t="inlineStr">
        <is>
          <t>5200/000</t>
        </is>
      </c>
      <c r="E5064" s="3" t="inlineStr">
        <is>
          <t>Retained Earnings / Loss</t>
        </is>
      </c>
      <c r="F5064" s="3" t="n">
        <v>0</v>
      </c>
      <c r="G5064" s="3" t="n">
        <v>-296075.58</v>
      </c>
    </row>
    <row r="5065">
      <c r="A5065" s="3" t="inlineStr">
        <is>
          <t>Heron Fields (Pty) Ltd</t>
        </is>
      </c>
      <c r="B5065" s="4" t="n">
        <v>45291</v>
      </c>
      <c r="C5065" s="3" t="inlineStr">
        <is>
          <t>Equity</t>
        </is>
      </c>
      <c r="D5065" s="3" t="inlineStr">
        <is>
          <t>5200/000</t>
        </is>
      </c>
      <c r="E5065" s="3" t="inlineStr">
        <is>
          <t>Retained Earnings / Loss</t>
        </is>
      </c>
      <c r="F5065" s="3" t="n">
        <v>0</v>
      </c>
      <c r="G5065" s="3" t="n">
        <v>-17843179.58</v>
      </c>
    </row>
    <row r="5066">
      <c r="A5066" s="3" t="inlineStr">
        <is>
          <t>Heron View (Pty) Ltd</t>
        </is>
      </c>
      <c r="B5066" s="4" t="n">
        <v>45291</v>
      </c>
      <c r="C5066" s="3" t="inlineStr">
        <is>
          <t>Equity</t>
        </is>
      </c>
      <c r="D5066" s="3" t="inlineStr">
        <is>
          <t>5200/000</t>
        </is>
      </c>
      <c r="E5066" s="3" t="inlineStr">
        <is>
          <t>Retained Earnings / Loss</t>
        </is>
      </c>
      <c r="F5066" s="3" t="n">
        <v>0</v>
      </c>
      <c r="G5066" s="3" t="n">
        <v>70398.12</v>
      </c>
    </row>
    <row r="5067">
      <c r="A5067" s="3" t="inlineStr">
        <is>
          <t>Heron Fields (Pty) Ltd</t>
        </is>
      </c>
      <c r="B5067" s="4" t="n">
        <v>45291</v>
      </c>
      <c r="C5067" s="3" t="inlineStr">
        <is>
          <t>Assets</t>
        </is>
      </c>
      <c r="D5067" s="3" t="inlineStr">
        <is>
          <t>5300/001</t>
        </is>
      </c>
      <c r="E5067" s="3" t="inlineStr">
        <is>
          <t>Revaluation of Land stock</t>
        </is>
      </c>
      <c r="F5067" s="3" t="n">
        <v>0</v>
      </c>
      <c r="G5067" s="3" t="n">
        <v>17562360.85</v>
      </c>
    </row>
    <row r="5068">
      <c r="A5068" s="3" t="inlineStr">
        <is>
          <t>Heron Fields (Pty) Ltd</t>
        </is>
      </c>
      <c r="B5068" s="4" t="n">
        <v>45291</v>
      </c>
      <c r="C5068" s="3" t="inlineStr">
        <is>
          <t>Assets</t>
        </is>
      </c>
      <c r="D5068" s="3" t="inlineStr">
        <is>
          <t>5400/000</t>
        </is>
      </c>
      <c r="E5068" s="3" t="inlineStr">
        <is>
          <t>Deposit: Ruiterwacht development</t>
        </is>
      </c>
      <c r="F5068" s="3" t="n">
        <v>8507359</v>
      </c>
      <c r="G5068" s="3" t="n">
        <v>13457359</v>
      </c>
    </row>
    <row r="5069">
      <c r="A5069" s="3" t="inlineStr">
        <is>
          <t>Cape Projects Construction (Pty) Ltd</t>
        </is>
      </c>
      <c r="B5069" s="4" t="n">
        <v>45291</v>
      </c>
      <c r="C5069" s="3" t="inlineStr">
        <is>
          <t>Assets</t>
        </is>
      </c>
      <c r="D5069" s="3" t="inlineStr">
        <is>
          <t>5400/150</t>
        </is>
      </c>
      <c r="E5069" s="3" t="inlineStr">
        <is>
          <t>Loan - Quinate</t>
        </is>
      </c>
      <c r="F5069" s="3" t="n">
        <v>-2800000</v>
      </c>
      <c r="G5069" s="3" t="n">
        <v>-5067423.63</v>
      </c>
    </row>
    <row r="5070">
      <c r="A5070" s="3" t="inlineStr">
        <is>
          <t>Cape Projects Construction (Pty) Ltd</t>
        </is>
      </c>
      <c r="B5070" s="4" t="n">
        <v>45291</v>
      </c>
      <c r="C5070" s="3" t="inlineStr">
        <is>
          <t>Assets</t>
        </is>
      </c>
      <c r="D5070" s="3" t="inlineStr">
        <is>
          <t>5400/220</t>
        </is>
      </c>
      <c r="E5070" s="3" t="inlineStr">
        <is>
          <t>Members Loan - WH</t>
        </is>
      </c>
      <c r="F5070" s="3" t="n">
        <v>0</v>
      </c>
      <c r="G5070" s="3" t="n">
        <v>-4342.5</v>
      </c>
    </row>
    <row r="5071">
      <c r="A5071" s="3" t="inlineStr">
        <is>
          <t>Cape Projects Construction (Pty) Ltd</t>
        </is>
      </c>
      <c r="B5071" s="4" t="n">
        <v>45291</v>
      </c>
      <c r="C5071" s="3" t="inlineStr">
        <is>
          <t>Assets</t>
        </is>
      </c>
      <c r="D5071" s="3" t="inlineStr">
        <is>
          <t>5400/300</t>
        </is>
      </c>
      <c r="E5071" s="3" t="inlineStr">
        <is>
          <t>Loan - Opportunity ResidentialCUST ACC</t>
        </is>
      </c>
      <c r="F5071" s="3" t="n">
        <v>0</v>
      </c>
      <c r="G5071" s="3" t="n">
        <v>4702.35</v>
      </c>
    </row>
    <row r="5072">
      <c r="A5072" s="3" t="inlineStr">
        <is>
          <t>Cape Projects Construction (Pty) Ltd</t>
        </is>
      </c>
      <c r="B5072" s="4" t="n">
        <v>45291</v>
      </c>
      <c r="C5072" s="3" t="inlineStr">
        <is>
          <t>Assets</t>
        </is>
      </c>
      <c r="D5072" s="3" t="inlineStr">
        <is>
          <t>5400/450</t>
        </is>
      </c>
      <c r="E5072" s="3" t="inlineStr">
        <is>
          <t>Loan - Opportunity Investment</t>
        </is>
      </c>
      <c r="F5072" s="3" t="n">
        <v>430000</v>
      </c>
      <c r="G5072" s="3" t="n">
        <v>-1571000</v>
      </c>
    </row>
    <row r="5073">
      <c r="A5073" s="3" t="inlineStr">
        <is>
          <t>Cape Projects Construction (Pty) Ltd</t>
        </is>
      </c>
      <c r="B5073" s="4" t="n">
        <v>45291</v>
      </c>
      <c r="C5073" s="3" t="inlineStr">
        <is>
          <t>Assets</t>
        </is>
      </c>
      <c r="D5073" s="3" t="inlineStr">
        <is>
          <t>5400/500</t>
        </is>
      </c>
      <c r="E5073" s="3" t="inlineStr">
        <is>
          <t>Loan - Blou Mamba Trust</t>
        </is>
      </c>
      <c r="F5073" s="3" t="n">
        <v>0</v>
      </c>
      <c r="G5073" s="3" t="n">
        <v>4342.5</v>
      </c>
    </row>
    <row r="5074">
      <c r="A5074" s="3" t="inlineStr">
        <is>
          <t>Cape Projects Construction (Pty) Ltd</t>
        </is>
      </c>
      <c r="B5074" s="4" t="n">
        <v>45291</v>
      </c>
      <c r="C5074" s="3" t="inlineStr">
        <is>
          <t>Assets</t>
        </is>
      </c>
      <c r="D5074" s="3" t="inlineStr">
        <is>
          <t>5400/550</t>
        </is>
      </c>
      <c r="E5074" s="3" t="inlineStr">
        <is>
          <t>Loan - Trademark</t>
        </is>
      </c>
      <c r="F5074" s="3" t="n">
        <v>600</v>
      </c>
      <c r="G5074" s="3" t="n">
        <v>-18800</v>
      </c>
    </row>
    <row r="5075">
      <c r="A5075" s="3" t="inlineStr">
        <is>
          <t>Cape Projects Construction (Pty) Ltd</t>
        </is>
      </c>
      <c r="B5075" s="4" t="n">
        <v>45291</v>
      </c>
      <c r="C5075" s="3" t="inlineStr">
        <is>
          <t>Assets</t>
        </is>
      </c>
      <c r="D5075" s="3" t="inlineStr">
        <is>
          <t>5400/600</t>
        </is>
      </c>
      <c r="E5075" s="3" t="inlineStr">
        <is>
          <t>Loan - Heron Projects</t>
        </is>
      </c>
      <c r="F5075" s="3" t="n">
        <v>-3665000</v>
      </c>
      <c r="G5075" s="3" t="n">
        <v>-21974738.42</v>
      </c>
    </row>
    <row r="5076">
      <c r="A5076" s="3" t="inlineStr">
        <is>
          <t>Cape Projects Construction (Pty) Ltd</t>
        </is>
      </c>
      <c r="B5076" s="4" t="n">
        <v>45291</v>
      </c>
      <c r="C5076" s="3" t="inlineStr">
        <is>
          <t>Assets</t>
        </is>
      </c>
      <c r="D5076" s="3" t="inlineStr">
        <is>
          <t>5400/650</t>
        </is>
      </c>
      <c r="E5076" s="3" t="inlineStr">
        <is>
          <t>Loan - Noble Shield</t>
        </is>
      </c>
      <c r="F5076" s="3" t="n">
        <v>600</v>
      </c>
      <c r="G5076" s="3" t="n">
        <v>-201389.44</v>
      </c>
    </row>
    <row r="5077">
      <c r="A5077" s="3" t="inlineStr">
        <is>
          <t>Cape Projects Construction (Pty) Ltd</t>
        </is>
      </c>
      <c r="B5077" s="4" t="n">
        <v>45291</v>
      </c>
      <c r="C5077" s="3" t="inlineStr">
        <is>
          <t>Assets</t>
        </is>
      </c>
      <c r="D5077" s="3" t="inlineStr">
        <is>
          <t>5400/750</t>
        </is>
      </c>
      <c r="E5077" s="3" t="inlineStr">
        <is>
          <t>Loan - Endulini</t>
        </is>
      </c>
      <c r="F5077" s="3" t="n">
        <v>-280000</v>
      </c>
      <c r="G5077" s="3" t="n">
        <v>26392687.4</v>
      </c>
    </row>
    <row r="5078">
      <c r="A5078" s="3" t="inlineStr">
        <is>
          <t>Cape Projects Construction (Pty) Ltd</t>
        </is>
      </c>
      <c r="B5078" s="4" t="n">
        <v>45291</v>
      </c>
      <c r="C5078" s="3" t="inlineStr">
        <is>
          <t>Assets</t>
        </is>
      </c>
      <c r="D5078" s="3" t="inlineStr">
        <is>
          <t>5400/800</t>
        </is>
      </c>
      <c r="E5078" s="3" t="inlineStr">
        <is>
          <t>Loan - Opportunity Management Holdings</t>
        </is>
      </c>
      <c r="F5078" s="3" t="n">
        <v>100000</v>
      </c>
      <c r="G5078" s="3" t="n">
        <v>137399</v>
      </c>
    </row>
    <row r="5079">
      <c r="A5079" s="3" t="inlineStr">
        <is>
          <t>Heron View (Pty) Ltd</t>
        </is>
      </c>
      <c r="B5079" s="4" t="n">
        <v>45291</v>
      </c>
      <c r="C5079" s="3" t="inlineStr">
        <is>
          <t>Liabilities</t>
        </is>
      </c>
      <c r="D5079" s="3" t="inlineStr">
        <is>
          <t>5500/001</t>
        </is>
      </c>
      <c r="E5079" s="3" t="inlineStr">
        <is>
          <t>Loan - Heron Fields</t>
        </is>
      </c>
      <c r="F5079" s="3" t="n">
        <v>-8863256.539999999</v>
      </c>
      <c r="G5079" s="3" t="n">
        <v>-60150240.94</v>
      </c>
    </row>
    <row r="5080">
      <c r="A5080" s="3" t="inlineStr">
        <is>
          <t>Heron Fields (Pty) Ltd</t>
        </is>
      </c>
      <c r="B5080" s="4" t="n">
        <v>45291</v>
      </c>
      <c r="C5080" s="3" t="inlineStr">
        <is>
          <t>Liabilities</t>
        </is>
      </c>
      <c r="D5080" s="3" t="inlineStr">
        <is>
          <t>5500/020</t>
        </is>
      </c>
      <c r="E5080" s="3" t="inlineStr">
        <is>
          <t>Loan - Cape Projects Construction</t>
        </is>
      </c>
      <c r="F5080" s="3" t="n">
        <v>3665000</v>
      </c>
      <c r="G5080" s="3" t="n">
        <v>21974738.42</v>
      </c>
    </row>
    <row r="5081">
      <c r="A5081" s="3" t="inlineStr">
        <is>
          <t>Heron Fields (Pty) Ltd</t>
        </is>
      </c>
      <c r="B5081" s="4" t="n">
        <v>45291</v>
      </c>
      <c r="C5081" s="3" t="inlineStr">
        <is>
          <t>Liabilities</t>
        </is>
      </c>
      <c r="D5081" s="3" t="inlineStr">
        <is>
          <t>5500/030</t>
        </is>
      </c>
      <c r="E5081" s="3" t="inlineStr">
        <is>
          <t>Loan - Opportunity Global Investments</t>
        </is>
      </c>
      <c r="F5081" s="3" t="n">
        <v>0</v>
      </c>
      <c r="G5081" s="3" t="n">
        <v>4094275</v>
      </c>
    </row>
    <row r="5082">
      <c r="A5082" s="3" t="inlineStr">
        <is>
          <t>Heron Fields (Pty) Ltd</t>
        </is>
      </c>
      <c r="B5082" s="4" t="n">
        <v>45291</v>
      </c>
      <c r="C5082" s="3" t="inlineStr">
        <is>
          <t>Liabilities</t>
        </is>
      </c>
      <c r="D5082" s="3" t="inlineStr">
        <is>
          <t>5500/050</t>
        </is>
      </c>
      <c r="E5082" s="3" t="inlineStr">
        <is>
          <t>Loan - Heron View</t>
        </is>
      </c>
      <c r="F5082" s="3" t="n">
        <v>8863256.539999999</v>
      </c>
      <c r="G5082" s="3" t="n">
        <v>60149040.94</v>
      </c>
    </row>
    <row r="5083">
      <c r="A5083" s="3" t="inlineStr">
        <is>
          <t>Heron Fields (Pty) Ltd</t>
        </is>
      </c>
      <c r="B5083" s="4" t="n">
        <v>45291</v>
      </c>
      <c r="C5083" s="3" t="inlineStr">
        <is>
          <t>Liabilities</t>
        </is>
      </c>
      <c r="D5083" s="3" t="inlineStr">
        <is>
          <t>5500/060</t>
        </is>
      </c>
      <c r="E5083" s="3" t="inlineStr">
        <is>
          <t>Loan - Opportunity Management Holdings</t>
        </is>
      </c>
      <c r="F5083" s="3" t="n">
        <v>0</v>
      </c>
      <c r="G5083" s="3" t="n">
        <v>42100</v>
      </c>
    </row>
    <row r="5084">
      <c r="A5084" s="3" t="inlineStr">
        <is>
          <t>Heron Fields (Pty) Ltd</t>
        </is>
      </c>
      <c r="B5084" s="4" t="n">
        <v>45291</v>
      </c>
      <c r="C5084" s="3" t="inlineStr">
        <is>
          <t>Liabilities</t>
        </is>
      </c>
      <c r="D5084" s="3" t="inlineStr">
        <is>
          <t>5500/080</t>
        </is>
      </c>
      <c r="E5084" s="3" t="inlineStr">
        <is>
          <t>Loan - NSST2 Trust</t>
        </is>
      </c>
      <c r="F5084" s="3" t="n">
        <v>0</v>
      </c>
      <c r="G5084" s="3" t="n">
        <v>500</v>
      </c>
    </row>
    <row r="5085">
      <c r="A5085" s="3" t="inlineStr">
        <is>
          <t>Heron Fields (Pty) Ltd</t>
        </is>
      </c>
      <c r="B5085" s="4" t="n">
        <v>45291</v>
      </c>
      <c r="C5085" s="3" t="inlineStr">
        <is>
          <t>Assets</t>
        </is>
      </c>
      <c r="D5085" s="3" t="inlineStr">
        <is>
          <t>6150/010</t>
        </is>
      </c>
      <c r="E5085" s="3" t="inlineStr">
        <is>
          <t>Endulini -  A204</t>
        </is>
      </c>
      <c r="F5085" s="3" t="n">
        <v>1304260.87</v>
      </c>
      <c r="G5085" s="3" t="n">
        <v>1304260.87</v>
      </c>
    </row>
    <row r="5086">
      <c r="A5086" s="3" t="inlineStr">
        <is>
          <t>Heron Fields (Pty) Ltd</t>
        </is>
      </c>
      <c r="B5086" s="4" t="n">
        <v>45291</v>
      </c>
      <c r="C5086" s="3" t="inlineStr">
        <is>
          <t>Assets</t>
        </is>
      </c>
      <c r="D5086" s="3" t="inlineStr">
        <is>
          <t>6150/020</t>
        </is>
      </c>
      <c r="E5086" s="3" t="inlineStr">
        <is>
          <t>Endulini - A304</t>
        </is>
      </c>
      <c r="F5086" s="3" t="n">
        <v>1356434.78</v>
      </c>
      <c r="G5086" s="3" t="n">
        <v>1356434.78</v>
      </c>
    </row>
    <row r="5087">
      <c r="A5087" s="3" t="inlineStr">
        <is>
          <t>Heron Fields (Pty) Ltd</t>
        </is>
      </c>
      <c r="B5087" s="4" t="n">
        <v>45291</v>
      </c>
      <c r="C5087" s="3" t="inlineStr">
        <is>
          <t>Assets</t>
        </is>
      </c>
      <c r="D5087" s="3" t="inlineStr">
        <is>
          <t>6150/030</t>
        </is>
      </c>
      <c r="E5087" s="3" t="inlineStr">
        <is>
          <t>Endulini - B101</t>
        </is>
      </c>
      <c r="F5087" s="3" t="n">
        <v>1373826.09</v>
      </c>
      <c r="G5087" s="3" t="n">
        <v>1373826.09</v>
      </c>
    </row>
    <row r="5088">
      <c r="A5088" s="3" t="inlineStr">
        <is>
          <t>Heron Fields (Pty) Ltd</t>
        </is>
      </c>
      <c r="B5088" s="4" t="n">
        <v>45291</v>
      </c>
      <c r="C5088" s="3" t="inlineStr">
        <is>
          <t>Assets</t>
        </is>
      </c>
      <c r="D5088" s="3" t="inlineStr">
        <is>
          <t>6150/040</t>
        </is>
      </c>
      <c r="E5088" s="3" t="inlineStr">
        <is>
          <t>Endulini - A306</t>
        </is>
      </c>
      <c r="F5088" s="3" t="n">
        <v>1391217.39</v>
      </c>
      <c r="G5088" s="3" t="n">
        <v>1391217.39</v>
      </c>
    </row>
    <row r="5089">
      <c r="A5089" s="3" t="inlineStr">
        <is>
          <t>Heron Fields (Pty) Ltd</t>
        </is>
      </c>
      <c r="B5089" s="4" t="n">
        <v>45291</v>
      </c>
      <c r="C5089" s="3" t="inlineStr">
        <is>
          <t>Assets</t>
        </is>
      </c>
      <c r="D5089" s="3" t="inlineStr">
        <is>
          <t>6150/050</t>
        </is>
      </c>
      <c r="E5089" s="3" t="inlineStr">
        <is>
          <t>Endulini - C301</t>
        </is>
      </c>
      <c r="F5089" s="3" t="n">
        <v>0</v>
      </c>
      <c r="G5089" s="3" t="n">
        <v>1304260.87</v>
      </c>
    </row>
    <row r="5090">
      <c r="A5090" s="3" t="inlineStr">
        <is>
          <t>Cape Projects Construction (Pty) Ltd</t>
        </is>
      </c>
      <c r="B5090" s="4" t="n">
        <v>45291</v>
      </c>
      <c r="C5090" s="3" t="inlineStr">
        <is>
          <t>Assets</t>
        </is>
      </c>
      <c r="D5090" s="3" t="inlineStr">
        <is>
          <t>6200/010</t>
        </is>
      </c>
      <c r="E5090" s="3" t="inlineStr">
        <is>
          <t>Motor Vehicles - @ Cost</t>
        </is>
      </c>
      <c r="F5090" s="3" t="n">
        <v>0</v>
      </c>
      <c r="G5090" s="3" t="n">
        <v>216064.1</v>
      </c>
    </row>
    <row r="5091">
      <c r="A5091" s="3" t="inlineStr">
        <is>
          <t>Cape Projects Construction (Pty) Ltd</t>
        </is>
      </c>
      <c r="B5091" s="4" t="n">
        <v>45291</v>
      </c>
      <c r="C5091" s="3" t="inlineStr">
        <is>
          <t>Assets</t>
        </is>
      </c>
      <c r="D5091" s="3" t="inlineStr">
        <is>
          <t>6200/020</t>
        </is>
      </c>
      <c r="E5091" s="3" t="inlineStr">
        <is>
          <t>Motor Vehicles - Accum Depre</t>
        </is>
      </c>
      <c r="F5091" s="3" t="n">
        <v>0</v>
      </c>
      <c r="G5091" s="3" t="n">
        <v>-216063.1</v>
      </c>
    </row>
    <row r="5092">
      <c r="A5092" s="3" t="inlineStr">
        <is>
          <t>Cape Projects Construction (Pty) Ltd</t>
        </is>
      </c>
      <c r="B5092" s="4" t="n">
        <v>45291</v>
      </c>
      <c r="C5092" s="3" t="inlineStr">
        <is>
          <t>Assets</t>
        </is>
      </c>
      <c r="D5092" s="3" t="inlineStr">
        <is>
          <t>6250/010</t>
        </is>
      </c>
      <c r="E5092" s="3" t="inlineStr">
        <is>
          <t>Computer Equipment - @ Cost</t>
        </is>
      </c>
      <c r="F5092" s="3" t="n">
        <v>0</v>
      </c>
      <c r="G5092" s="3" t="n">
        <v>178152.48</v>
      </c>
    </row>
    <row r="5093">
      <c r="A5093" s="3" t="inlineStr">
        <is>
          <t>Cape Projects Construction (Pty) Ltd</t>
        </is>
      </c>
      <c r="B5093" s="4" t="n">
        <v>45291</v>
      </c>
      <c r="C5093" s="3" t="inlineStr">
        <is>
          <t>Assets</t>
        </is>
      </c>
      <c r="D5093" s="3" t="inlineStr">
        <is>
          <t>6250/020</t>
        </is>
      </c>
      <c r="E5093" s="3" t="inlineStr">
        <is>
          <t>Computer Equipment - Accum Depre</t>
        </is>
      </c>
      <c r="F5093" s="3" t="n">
        <v>-4562.87</v>
      </c>
      <c r="G5093" s="3" t="n">
        <v>-80172.87</v>
      </c>
    </row>
    <row r="5094">
      <c r="A5094" s="3" t="inlineStr">
        <is>
          <t>Cape Projects Construction (Pty) Ltd</t>
        </is>
      </c>
      <c r="B5094" s="4" t="n">
        <v>45291</v>
      </c>
      <c r="C5094" s="3" t="inlineStr">
        <is>
          <t>Assets</t>
        </is>
      </c>
      <c r="D5094" s="3" t="inlineStr">
        <is>
          <t>6350/010</t>
        </is>
      </c>
      <c r="E5094" s="3" t="inlineStr">
        <is>
          <t>Furniture _AND_ Fittings - @ Cost</t>
        </is>
      </c>
      <c r="F5094" s="3" t="n">
        <v>0</v>
      </c>
      <c r="G5094" s="3" t="n">
        <v>37955.3</v>
      </c>
    </row>
    <row r="5095">
      <c r="A5095" s="3" t="inlineStr">
        <is>
          <t>Cape Projects Construction (Pty) Ltd</t>
        </is>
      </c>
      <c r="B5095" s="4" t="n">
        <v>45291</v>
      </c>
      <c r="C5095" s="3" t="inlineStr">
        <is>
          <t>Assets</t>
        </is>
      </c>
      <c r="D5095" s="3" t="inlineStr">
        <is>
          <t>6350/020</t>
        </is>
      </c>
      <c r="E5095" s="3" t="inlineStr">
        <is>
          <t>Furniture _AND_ Fittings - Accum Depre</t>
        </is>
      </c>
      <c r="F5095" s="3" t="n">
        <v>-547.6799999999999</v>
      </c>
      <c r="G5095" s="3" t="n">
        <v>-11371.32</v>
      </c>
    </row>
    <row r="5096">
      <c r="A5096" s="3" t="inlineStr">
        <is>
          <t>Cape Projects Construction (Pty) Ltd</t>
        </is>
      </c>
      <c r="B5096" s="4" t="n">
        <v>45291</v>
      </c>
      <c r="C5096" s="3" t="inlineStr">
        <is>
          <t>Assets</t>
        </is>
      </c>
      <c r="D5096" s="3" t="inlineStr">
        <is>
          <t>6600/010</t>
        </is>
      </c>
      <c r="E5096" s="3" t="inlineStr">
        <is>
          <t>Generator Fixed Asset - @ Cost</t>
        </is>
      </c>
      <c r="F5096" s="3" t="n">
        <v>0</v>
      </c>
      <c r="G5096" s="3" t="n">
        <v>71322</v>
      </c>
    </row>
    <row r="5097">
      <c r="A5097" s="3" t="inlineStr">
        <is>
          <t>Cape Projects Construction (Pty) Ltd</t>
        </is>
      </c>
      <c r="B5097" s="4" t="n">
        <v>45291</v>
      </c>
      <c r="C5097" s="3" t="inlineStr">
        <is>
          <t>Assets</t>
        </is>
      </c>
      <c r="D5097" s="3" t="inlineStr">
        <is>
          <t>6600/020</t>
        </is>
      </c>
      <c r="E5097" s="3" t="inlineStr">
        <is>
          <t>Generator Fixed Asset - Accum Depre</t>
        </is>
      </c>
      <c r="F5097" s="3" t="n">
        <v>-1188.69</v>
      </c>
      <c r="G5097" s="3" t="n">
        <v>-13021.82</v>
      </c>
    </row>
    <row r="5098">
      <c r="A5098" s="3" t="inlineStr">
        <is>
          <t>Heron Fields (Pty) Ltd</t>
        </is>
      </c>
      <c r="B5098" s="4" t="n">
        <v>45291</v>
      </c>
      <c r="C5098" s="3" t="inlineStr">
        <is>
          <t>Assets</t>
        </is>
      </c>
      <c r="D5098" s="3" t="inlineStr">
        <is>
          <t>7610/395</t>
        </is>
      </c>
      <c r="E5098" s="3" t="inlineStr">
        <is>
          <t>HF CIP NHBRC</t>
        </is>
      </c>
      <c r="F5098" s="3" t="n">
        <v>0</v>
      </c>
      <c r="G5098" s="3" t="n">
        <v>874505.75</v>
      </c>
    </row>
    <row r="5099">
      <c r="A5099" s="3" t="inlineStr">
        <is>
          <t>Heron View (Pty) Ltd</t>
        </is>
      </c>
      <c r="B5099" s="4" t="n">
        <v>45291</v>
      </c>
      <c r="C5099" s="3" t="inlineStr">
        <is>
          <t>Assets</t>
        </is>
      </c>
      <c r="D5099" s="3" t="inlineStr">
        <is>
          <t>7610/395</t>
        </is>
      </c>
      <c r="E5099" s="3" t="inlineStr">
        <is>
          <t>Heron CIP NHBRC</t>
        </is>
      </c>
      <c r="F5099" s="3" t="n">
        <v>12815.22</v>
      </c>
      <c r="G5099" s="3" t="n">
        <v>2472501.08</v>
      </c>
    </row>
    <row r="5100">
      <c r="A5100" s="3" t="inlineStr">
        <is>
          <t>Heron Fields (Pty) Ltd</t>
        </is>
      </c>
      <c r="B5100" s="4" t="n">
        <v>45291</v>
      </c>
      <c r="C5100" s="3" t="inlineStr">
        <is>
          <t>Assets</t>
        </is>
      </c>
      <c r="D5100" s="3" t="inlineStr">
        <is>
          <t>7620/100</t>
        </is>
      </c>
      <c r="E5100" s="3" t="inlineStr">
        <is>
          <t>Heron View Land</t>
        </is>
      </c>
      <c r="F5100" s="3" t="n">
        <v>0</v>
      </c>
      <c r="G5100" s="3" t="n">
        <v>26200000</v>
      </c>
    </row>
    <row r="5101">
      <c r="A5101" s="3" t="inlineStr">
        <is>
          <t>Heron Fields (Pty) Ltd</t>
        </is>
      </c>
      <c r="B5101" s="4" t="n">
        <v>45291</v>
      </c>
      <c r="C5101" s="3" t="inlineStr">
        <is>
          <t>Assets</t>
        </is>
      </c>
      <c r="D5101" s="3" t="inlineStr">
        <is>
          <t>7620/101</t>
        </is>
      </c>
      <c r="E5101" s="3" t="inlineStr">
        <is>
          <t>HF CIP Bond Registration Fee</t>
        </is>
      </c>
      <c r="F5101" s="3" t="n">
        <v>0</v>
      </c>
      <c r="G5101" s="3" t="n">
        <v>68427</v>
      </c>
    </row>
    <row r="5102">
      <c r="A5102" s="3" t="inlineStr">
        <is>
          <t>Heron Fields (Pty) Ltd</t>
        </is>
      </c>
      <c r="B5102" s="4" t="n">
        <v>45291</v>
      </c>
      <c r="C5102" s="3" t="inlineStr">
        <is>
          <t>Assets</t>
        </is>
      </c>
      <c r="D5102" s="3" t="inlineStr">
        <is>
          <t>7620/102</t>
        </is>
      </c>
      <c r="E5102" s="3" t="inlineStr">
        <is>
          <t>HF CIP Transfer Fee</t>
        </is>
      </c>
      <c r="F5102" s="3" t="n">
        <v>0</v>
      </c>
      <c r="G5102" s="3" t="n">
        <v>103812</v>
      </c>
    </row>
    <row r="5103">
      <c r="A5103" s="3" t="inlineStr">
        <is>
          <t>Heron Fields (Pty) Ltd</t>
        </is>
      </c>
      <c r="B5103" s="4" t="n">
        <v>45291</v>
      </c>
      <c r="C5103" s="3" t="inlineStr">
        <is>
          <t>Assets</t>
        </is>
      </c>
      <c r="D5103" s="3" t="inlineStr">
        <is>
          <t>7620/220</t>
        </is>
      </c>
      <c r="E5103" s="3" t="inlineStr">
        <is>
          <t>HF CIP Architectural Designs</t>
        </is>
      </c>
      <c r="F5103" s="3" t="n">
        <v>0</v>
      </c>
      <c r="G5103" s="3" t="n">
        <v>314087</v>
      </c>
    </row>
    <row r="5104">
      <c r="A5104" s="3" t="inlineStr">
        <is>
          <t>Heron View (Pty) Ltd</t>
        </is>
      </c>
      <c r="B5104" s="4" t="n">
        <v>45291</v>
      </c>
      <c r="C5104" s="3" t="inlineStr">
        <is>
          <t>Assets</t>
        </is>
      </c>
      <c r="D5104" s="3" t="inlineStr">
        <is>
          <t>7620/220</t>
        </is>
      </c>
      <c r="E5104" s="3" t="inlineStr">
        <is>
          <t>Heron View CIP Architectural Designs</t>
        </is>
      </c>
      <c r="F5104" s="3" t="n">
        <v>6300</v>
      </c>
      <c r="G5104" s="3" t="n">
        <v>772278.5</v>
      </c>
    </row>
    <row r="5105">
      <c r="A5105" s="3" t="inlineStr">
        <is>
          <t>Heron Fields (Pty) Ltd</t>
        </is>
      </c>
      <c r="B5105" s="4" t="n">
        <v>45291</v>
      </c>
      <c r="C5105" s="3" t="inlineStr">
        <is>
          <t>Assets</t>
        </is>
      </c>
      <c r="D5105" s="3" t="inlineStr">
        <is>
          <t>7620/230</t>
        </is>
      </c>
      <c r="E5105" s="3" t="inlineStr">
        <is>
          <t>HF CIP Construction Management</t>
        </is>
      </c>
      <c r="F5105" s="3" t="n">
        <v>0</v>
      </c>
      <c r="G5105" s="3" t="n">
        <v>139500</v>
      </c>
    </row>
    <row r="5106">
      <c r="A5106" s="3" t="inlineStr">
        <is>
          <t>Heron Fields (Pty) Ltd</t>
        </is>
      </c>
      <c r="B5106" s="4" t="n">
        <v>45291</v>
      </c>
      <c r="C5106" s="3" t="inlineStr">
        <is>
          <t>Assets</t>
        </is>
      </c>
      <c r="D5106" s="3" t="inlineStr">
        <is>
          <t>7620/240</t>
        </is>
      </c>
      <c r="E5106" s="3" t="inlineStr">
        <is>
          <t>HF CIP Civil Engineering</t>
        </is>
      </c>
      <c r="F5106" s="3" t="n">
        <v>0</v>
      </c>
      <c r="G5106" s="3" t="n">
        <v>8557641.800000001</v>
      </c>
    </row>
    <row r="5107">
      <c r="A5107" s="3" t="inlineStr">
        <is>
          <t>Heron Fields (Pty) Ltd</t>
        </is>
      </c>
      <c r="B5107" s="4" t="n">
        <v>45291</v>
      </c>
      <c r="C5107" s="3" t="inlineStr">
        <is>
          <t>Assets</t>
        </is>
      </c>
      <c r="D5107" s="3" t="inlineStr">
        <is>
          <t>7620/245</t>
        </is>
      </c>
      <c r="E5107" s="3" t="inlineStr">
        <is>
          <t>HF CIP Development fee</t>
        </is>
      </c>
      <c r="F5107" s="3" t="n">
        <v>0</v>
      </c>
      <c r="G5107" s="3" t="n">
        <v>13807.78</v>
      </c>
    </row>
    <row r="5108">
      <c r="A5108" s="3" t="inlineStr">
        <is>
          <t>Heron Fields (Pty) Ltd</t>
        </is>
      </c>
      <c r="B5108" s="4" t="n">
        <v>45291</v>
      </c>
      <c r="C5108" s="3" t="inlineStr">
        <is>
          <t>Assets</t>
        </is>
      </c>
      <c r="D5108" s="3" t="inlineStr">
        <is>
          <t>7620/250</t>
        </is>
      </c>
      <c r="E5108" s="3" t="inlineStr">
        <is>
          <t>HF CIP Land Surveyor</t>
        </is>
      </c>
      <c r="F5108" s="3" t="n">
        <v>0</v>
      </c>
      <c r="G5108" s="3" t="n">
        <v>197060.09</v>
      </c>
    </row>
    <row r="5109">
      <c r="A5109" s="3" t="inlineStr">
        <is>
          <t>Heron View (Pty) Ltd</t>
        </is>
      </c>
      <c r="B5109" s="4" t="n">
        <v>45291</v>
      </c>
      <c r="C5109" s="3" t="inlineStr">
        <is>
          <t>Assets</t>
        </is>
      </c>
      <c r="D5109" s="3" t="inlineStr">
        <is>
          <t>7620/250</t>
        </is>
      </c>
      <c r="E5109" s="3" t="inlineStr">
        <is>
          <t>Heron View CIP Land Surveyor</t>
        </is>
      </c>
      <c r="F5109" s="3" t="n">
        <v>0</v>
      </c>
      <c r="G5109" s="3" t="n">
        <v>321942.47</v>
      </c>
    </row>
    <row r="5110">
      <c r="A5110" s="3" t="inlineStr">
        <is>
          <t>Heron Fields (Pty) Ltd</t>
        </is>
      </c>
      <c r="B5110" s="4" t="n">
        <v>45291</v>
      </c>
      <c r="C5110" s="3" t="inlineStr">
        <is>
          <t>Assets</t>
        </is>
      </c>
      <c r="D5110" s="3" t="inlineStr">
        <is>
          <t>7620/255</t>
        </is>
      </c>
      <c r="E5110" s="3" t="inlineStr">
        <is>
          <t>HF CIP Landscaping</t>
        </is>
      </c>
      <c r="F5110" s="3" t="n">
        <v>0</v>
      </c>
      <c r="G5110" s="3" t="n">
        <v>7500</v>
      </c>
    </row>
    <row r="5111">
      <c r="A5111" s="3" t="inlineStr">
        <is>
          <t>Heron View (Pty) Ltd</t>
        </is>
      </c>
      <c r="B5111" s="4" t="n">
        <v>45291</v>
      </c>
      <c r="C5111" s="3" t="inlineStr">
        <is>
          <t>Assets</t>
        </is>
      </c>
      <c r="D5111" s="3" t="inlineStr">
        <is>
          <t>7620/255</t>
        </is>
      </c>
      <c r="E5111" s="3" t="inlineStr">
        <is>
          <t>Heron View CIP Landscaping</t>
        </is>
      </c>
      <c r="F5111" s="3" t="n">
        <v>0</v>
      </c>
      <c r="G5111" s="3" t="n">
        <v>114370.5</v>
      </c>
    </row>
    <row r="5112">
      <c r="A5112" s="3" t="inlineStr">
        <is>
          <t>Heron Fields (Pty) Ltd</t>
        </is>
      </c>
      <c r="B5112" s="4" t="n">
        <v>45291</v>
      </c>
      <c r="C5112" s="3" t="inlineStr">
        <is>
          <t>Assets</t>
        </is>
      </c>
      <c r="D5112" s="3" t="inlineStr">
        <is>
          <t>7620/260</t>
        </is>
      </c>
      <c r="E5112" s="3" t="inlineStr">
        <is>
          <t>HF CIP Mechanical Engineers</t>
        </is>
      </c>
      <c r="F5112" s="3" t="n">
        <v>0</v>
      </c>
      <c r="G5112" s="3" t="n">
        <v>146256.38</v>
      </c>
    </row>
    <row r="5113">
      <c r="A5113" s="3" t="inlineStr">
        <is>
          <t>Heron Fields (Pty) Ltd</t>
        </is>
      </c>
      <c r="B5113" s="4" t="n">
        <v>45291</v>
      </c>
      <c r="C5113" s="3" t="inlineStr">
        <is>
          <t>Assets</t>
        </is>
      </c>
      <c r="D5113" s="3" t="inlineStr">
        <is>
          <t>7620/265</t>
        </is>
      </c>
      <c r="E5113" s="3" t="inlineStr">
        <is>
          <t>HF CIP Health &amp; Safety</t>
        </is>
      </c>
      <c r="F5113" s="3" t="n">
        <v>0</v>
      </c>
      <c r="G5113" s="3" t="n">
        <v>20600</v>
      </c>
    </row>
    <row r="5114">
      <c r="A5114" s="3" t="inlineStr">
        <is>
          <t>Heron Fields (Pty) Ltd</t>
        </is>
      </c>
      <c r="B5114" s="4" t="n">
        <v>45291</v>
      </c>
      <c r="C5114" s="3" t="inlineStr">
        <is>
          <t>Assets</t>
        </is>
      </c>
      <c r="D5114" s="3" t="inlineStr">
        <is>
          <t>7620/270</t>
        </is>
      </c>
      <c r="E5114" s="3" t="inlineStr">
        <is>
          <t>HF CIP Geotechnical</t>
        </is>
      </c>
      <c r="F5114" s="3" t="n">
        <v>0</v>
      </c>
      <c r="G5114" s="3" t="n">
        <v>15175</v>
      </c>
    </row>
    <row r="5115">
      <c r="A5115" s="3" t="inlineStr">
        <is>
          <t>Heron Fields (Pty) Ltd</t>
        </is>
      </c>
      <c r="B5115" s="4" t="n">
        <v>45291</v>
      </c>
      <c r="C5115" s="3" t="inlineStr">
        <is>
          <t>Assets</t>
        </is>
      </c>
      <c r="D5115" s="3" t="inlineStr">
        <is>
          <t>7620/275</t>
        </is>
      </c>
      <c r="E5115" s="3" t="inlineStr">
        <is>
          <t>HF CIP Retaining Wall</t>
        </is>
      </c>
      <c r="F5115" s="3" t="n">
        <v>0</v>
      </c>
      <c r="G5115" s="3" t="n">
        <v>570856.08</v>
      </c>
    </row>
    <row r="5116">
      <c r="A5116" s="3" t="inlineStr">
        <is>
          <t>Heron Fields (Pty) Ltd</t>
        </is>
      </c>
      <c r="B5116" s="4" t="n">
        <v>45291</v>
      </c>
      <c r="C5116" s="3" t="inlineStr">
        <is>
          <t>Assets</t>
        </is>
      </c>
      <c r="D5116" s="3" t="inlineStr">
        <is>
          <t>7620/280</t>
        </is>
      </c>
      <c r="E5116" s="3" t="inlineStr">
        <is>
          <t>HF CIP Site Establishment</t>
        </is>
      </c>
      <c r="F5116" s="3" t="n">
        <v>0</v>
      </c>
      <c r="G5116" s="3" t="n">
        <v>47748851.51</v>
      </c>
    </row>
    <row r="5117">
      <c r="A5117" s="3" t="inlineStr">
        <is>
          <t>Heron View (Pty) Ltd</t>
        </is>
      </c>
      <c r="B5117" s="4" t="n">
        <v>45291</v>
      </c>
      <c r="C5117" s="3" t="inlineStr">
        <is>
          <t>Assets</t>
        </is>
      </c>
      <c r="D5117" s="3" t="inlineStr">
        <is>
          <t>7620/280</t>
        </is>
      </c>
      <c r="E5117" s="3" t="inlineStr">
        <is>
          <t>Heron View CIP Site Establishment</t>
        </is>
      </c>
      <c r="F5117" s="3" t="n">
        <v>8526090.710000001</v>
      </c>
      <c r="G5117" s="3" t="n">
        <v>39661799.49</v>
      </c>
    </row>
    <row r="5118">
      <c r="A5118" s="3" t="inlineStr">
        <is>
          <t>Heron Fields (Pty) Ltd</t>
        </is>
      </c>
      <c r="B5118" s="4" t="n">
        <v>45291</v>
      </c>
      <c r="C5118" s="3" t="inlineStr">
        <is>
          <t>Assets</t>
        </is>
      </c>
      <c r="D5118" s="3" t="inlineStr">
        <is>
          <t>7620/285</t>
        </is>
      </c>
      <c r="E5118" s="3" t="inlineStr">
        <is>
          <t>HF CIP Structuring Fee - Invest</t>
        </is>
      </c>
      <c r="F5118" s="3" t="n">
        <v>0</v>
      </c>
      <c r="G5118" s="3" t="n">
        <v>3850818.04</v>
      </c>
    </row>
    <row r="5119">
      <c r="A5119" s="3" t="inlineStr">
        <is>
          <t>Heron View (Pty) Ltd</t>
        </is>
      </c>
      <c r="B5119" s="4" t="n">
        <v>45291</v>
      </c>
      <c r="C5119" s="3" t="inlineStr">
        <is>
          <t>Assets</t>
        </is>
      </c>
      <c r="D5119" s="3" t="inlineStr">
        <is>
          <t>7620/285</t>
        </is>
      </c>
      <c r="E5119" s="3" t="inlineStr">
        <is>
          <t>Heron View CIP Structuring Fee - Invest</t>
        </is>
      </c>
      <c r="F5119" s="3" t="n">
        <v>0</v>
      </c>
      <c r="G5119" s="3" t="n">
        <v>1826086.96</v>
      </c>
    </row>
    <row r="5120">
      <c r="A5120" s="3" t="inlineStr">
        <is>
          <t>Heron Fields (Pty) Ltd</t>
        </is>
      </c>
      <c r="B5120" s="4" t="n">
        <v>45291</v>
      </c>
      <c r="C5120" s="3" t="inlineStr">
        <is>
          <t>Assets</t>
        </is>
      </c>
      <c r="D5120" s="3" t="inlineStr">
        <is>
          <t>7620/287</t>
        </is>
      </c>
      <c r="E5120" s="3" t="inlineStr">
        <is>
          <t>HF CIP Structuring Fee - Development</t>
        </is>
      </c>
      <c r="F5120" s="3" t="n">
        <v>0</v>
      </c>
      <c r="G5120" s="3" t="n">
        <v>782608.0699999999</v>
      </c>
    </row>
    <row r="5121">
      <c r="A5121" s="3" t="inlineStr">
        <is>
          <t>Heron View (Pty) Ltd</t>
        </is>
      </c>
      <c r="B5121" s="4" t="n">
        <v>45291</v>
      </c>
      <c r="C5121" s="3" t="inlineStr">
        <is>
          <t>Assets</t>
        </is>
      </c>
      <c r="D5121" s="3" t="inlineStr">
        <is>
          <t>7620/287</t>
        </is>
      </c>
      <c r="E5121" s="3" t="inlineStr">
        <is>
          <t>Heron View CIP Structuring Fee - Development</t>
        </is>
      </c>
      <c r="F5121" s="3" t="n">
        <v>0</v>
      </c>
      <c r="G5121" s="3" t="n">
        <v>217391.3</v>
      </c>
    </row>
    <row r="5122">
      <c r="A5122" s="3" t="inlineStr">
        <is>
          <t>Heron Fields (Pty) Ltd</t>
        </is>
      </c>
      <c r="B5122" s="4" t="n">
        <v>45291</v>
      </c>
      <c r="C5122" s="3" t="inlineStr">
        <is>
          <t>Assets</t>
        </is>
      </c>
      <c r="D5122" s="3" t="inlineStr">
        <is>
          <t>7620/290</t>
        </is>
      </c>
      <c r="E5122" s="3" t="inlineStr">
        <is>
          <t>HF CIP Town Planning</t>
        </is>
      </c>
      <c r="F5122" s="3" t="n">
        <v>0</v>
      </c>
      <c r="G5122" s="3" t="n">
        <v>166550</v>
      </c>
    </row>
    <row r="5123">
      <c r="A5123" s="3" t="inlineStr">
        <is>
          <t>Heron View (Pty) Ltd</t>
        </is>
      </c>
      <c r="B5123" s="4" t="n">
        <v>45291</v>
      </c>
      <c r="C5123" s="3" t="inlineStr">
        <is>
          <t>Assets</t>
        </is>
      </c>
      <c r="D5123" s="3" t="inlineStr">
        <is>
          <t>7620/290</t>
        </is>
      </c>
      <c r="E5123" s="3" t="inlineStr">
        <is>
          <t>Heron View CIP Town Planning</t>
        </is>
      </c>
      <c r="F5123" s="3" t="n">
        <v>0</v>
      </c>
      <c r="G5123" s="3" t="n">
        <v>2834.7</v>
      </c>
    </row>
    <row r="5124">
      <c r="A5124" s="3" t="inlineStr">
        <is>
          <t>Heron Fields (Pty) Ltd</t>
        </is>
      </c>
      <c r="B5124" s="4" t="n">
        <v>45291</v>
      </c>
      <c r="C5124" s="3" t="inlineStr">
        <is>
          <t>Assets</t>
        </is>
      </c>
      <c r="D5124" s="3" t="inlineStr">
        <is>
          <t>7620/295</t>
        </is>
      </c>
      <c r="E5124" s="3" t="inlineStr">
        <is>
          <t>HF CIP Traffic Planning</t>
        </is>
      </c>
      <c r="F5124" s="3" t="n">
        <v>0</v>
      </c>
      <c r="G5124" s="3" t="n">
        <v>45000</v>
      </c>
    </row>
    <row r="5125">
      <c r="A5125" s="3" t="inlineStr">
        <is>
          <t>Heron Fields (Pty) Ltd</t>
        </is>
      </c>
      <c r="B5125" s="4" t="n">
        <v>45291</v>
      </c>
      <c r="C5125" s="3" t="inlineStr">
        <is>
          <t>Assets</t>
        </is>
      </c>
      <c r="D5125" s="3" t="inlineStr">
        <is>
          <t>7620/600</t>
        </is>
      </c>
      <c r="E5125" s="3" t="inlineStr">
        <is>
          <t>HF CIP Eco work</t>
        </is>
      </c>
      <c r="F5125" s="3" t="n">
        <v>6000</v>
      </c>
      <c r="G5125" s="3" t="n">
        <v>191000</v>
      </c>
    </row>
    <row r="5126">
      <c r="A5126" s="3" t="inlineStr">
        <is>
          <t>Heron View (Pty) Ltd</t>
        </is>
      </c>
      <c r="B5126" s="4" t="n">
        <v>45291</v>
      </c>
      <c r="C5126" s="3" t="inlineStr">
        <is>
          <t>Assets</t>
        </is>
      </c>
      <c r="D5126" s="3" t="inlineStr">
        <is>
          <t>7620/605</t>
        </is>
      </c>
      <c r="E5126" s="3" t="inlineStr">
        <is>
          <t>Heron View CIP Structural Engineers</t>
        </is>
      </c>
      <c r="F5126" s="3" t="n">
        <v>0</v>
      </c>
      <c r="G5126" s="3" t="n">
        <v>666877.14</v>
      </c>
    </row>
    <row r="5127">
      <c r="A5127" s="3" t="inlineStr">
        <is>
          <t>Heron View (Pty) Ltd</t>
        </is>
      </c>
      <c r="B5127" s="4" t="n">
        <v>45291</v>
      </c>
      <c r="C5127" s="3" t="inlineStr">
        <is>
          <t>Assets</t>
        </is>
      </c>
      <c r="D5127" s="3" t="inlineStr">
        <is>
          <t>7620/610</t>
        </is>
      </c>
      <c r="E5127" s="3" t="inlineStr">
        <is>
          <t>HV CIP Retaining wall</t>
        </is>
      </c>
      <c r="F5127" s="3" t="n">
        <v>0</v>
      </c>
      <c r="G5127" s="3" t="n">
        <v>66190.11</v>
      </c>
    </row>
    <row r="5128">
      <c r="A5128" s="3" t="inlineStr">
        <is>
          <t>Heron Fields (Pty) Ltd</t>
        </is>
      </c>
      <c r="B5128" s="4" t="n">
        <v>45291</v>
      </c>
      <c r="C5128" s="3" t="inlineStr">
        <is>
          <t>Assets</t>
        </is>
      </c>
      <c r="D5128" s="3" t="inlineStr">
        <is>
          <t>7620/630</t>
        </is>
      </c>
      <c r="E5128" s="3" t="inlineStr">
        <is>
          <t>HF CIP CoCT development contribution</t>
        </is>
      </c>
      <c r="F5128" s="3" t="n">
        <v>0</v>
      </c>
      <c r="G5128" s="3" t="n">
        <v>3252759.95</v>
      </c>
    </row>
    <row r="5129">
      <c r="A5129" s="3" t="inlineStr">
        <is>
          <t>Heron View (Pty) Ltd</t>
        </is>
      </c>
      <c r="B5129" s="4" t="n">
        <v>45291</v>
      </c>
      <c r="C5129" s="3" t="inlineStr">
        <is>
          <t>Assets</t>
        </is>
      </c>
      <c r="D5129" s="3" t="inlineStr">
        <is>
          <t>7620/630</t>
        </is>
      </c>
      <c r="E5129" s="3" t="inlineStr">
        <is>
          <t>Heron CIP - CoCT development contribution</t>
        </is>
      </c>
      <c r="F5129" s="3" t="n">
        <v>0</v>
      </c>
      <c r="G5129" s="3" t="n">
        <v>1673231.19</v>
      </c>
    </row>
    <row r="5130">
      <c r="A5130" s="3" t="inlineStr">
        <is>
          <t>Heron Fields (Pty) Ltd</t>
        </is>
      </c>
      <c r="B5130" s="4" t="n">
        <v>45291</v>
      </c>
      <c r="C5130" s="3" t="inlineStr">
        <is>
          <t>Assets</t>
        </is>
      </c>
      <c r="D5130" s="3" t="inlineStr">
        <is>
          <t>7620/640</t>
        </is>
      </c>
      <c r="E5130" s="3" t="inlineStr">
        <is>
          <t>HF CIP Project costs</t>
        </is>
      </c>
      <c r="F5130" s="3" t="n">
        <v>0</v>
      </c>
      <c r="G5130" s="3" t="n">
        <v>622274.51</v>
      </c>
    </row>
    <row r="5131">
      <c r="A5131" s="3" t="inlineStr">
        <is>
          <t>Heron View (Pty) Ltd</t>
        </is>
      </c>
      <c r="B5131" s="4" t="n">
        <v>45291</v>
      </c>
      <c r="C5131" s="3" t="inlineStr">
        <is>
          <t>Assets</t>
        </is>
      </c>
      <c r="D5131" s="3" t="inlineStr">
        <is>
          <t>7620/650</t>
        </is>
      </c>
      <c r="E5131" s="3" t="inlineStr">
        <is>
          <t>CIP - Construction Management</t>
        </is>
      </c>
      <c r="F5131" s="3" t="n">
        <v>0</v>
      </c>
      <c r="G5131" s="3" t="n">
        <v>76530</v>
      </c>
    </row>
    <row r="5132">
      <c r="A5132" s="3" t="inlineStr">
        <is>
          <t>Heron Fields (Pty) Ltd</t>
        </is>
      </c>
      <c r="B5132" s="4" t="n">
        <v>45291</v>
      </c>
      <c r="C5132" s="3" t="inlineStr">
        <is>
          <t>Assets</t>
        </is>
      </c>
      <c r="D5132" s="3" t="inlineStr">
        <is>
          <t>7620/650</t>
        </is>
      </c>
      <c r="E5132" s="3" t="inlineStr">
        <is>
          <t>HF CIP Electrical</t>
        </is>
      </c>
      <c r="F5132" s="3" t="n">
        <v>0</v>
      </c>
      <c r="G5132" s="3" t="n">
        <v>985049.6800000001</v>
      </c>
    </row>
    <row r="5133">
      <c r="A5133" s="3" t="inlineStr">
        <is>
          <t>Heron View (Pty) Ltd</t>
        </is>
      </c>
      <c r="B5133" s="4" t="n">
        <v>45291</v>
      </c>
      <c r="C5133" s="3" t="inlineStr">
        <is>
          <t>Assets</t>
        </is>
      </c>
      <c r="D5133" s="3" t="inlineStr">
        <is>
          <t>7620/660</t>
        </is>
      </c>
      <c r="E5133" s="3" t="inlineStr">
        <is>
          <t>HV CIP Health &amp; Safety</t>
        </is>
      </c>
      <c r="F5133" s="3" t="n">
        <v>0</v>
      </c>
      <c r="G5133" s="3" t="n">
        <v>27200</v>
      </c>
    </row>
    <row r="5134">
      <c r="A5134" s="3" t="inlineStr">
        <is>
          <t>Heron View (Pty) Ltd</t>
        </is>
      </c>
      <c r="B5134" s="4" t="n">
        <v>45291</v>
      </c>
      <c r="C5134" s="3" t="inlineStr">
        <is>
          <t>Assets</t>
        </is>
      </c>
      <c r="D5134" s="3" t="inlineStr">
        <is>
          <t>7620/670</t>
        </is>
      </c>
      <c r="E5134" s="3" t="inlineStr">
        <is>
          <t>HV CIP - Project costs CPSD</t>
        </is>
      </c>
      <c r="F5134" s="3" t="n">
        <v>465217.39</v>
      </c>
      <c r="G5134" s="3" t="n">
        <v>2154347.82</v>
      </c>
    </row>
    <row r="5135">
      <c r="A5135" s="3" t="inlineStr">
        <is>
          <t>Heron View (Pty) Ltd</t>
        </is>
      </c>
      <c r="B5135" s="4" t="n">
        <v>45291</v>
      </c>
      <c r="C5135" s="3" t="inlineStr">
        <is>
          <t>Assets</t>
        </is>
      </c>
      <c r="D5135" s="3" t="inlineStr">
        <is>
          <t>7620/680</t>
        </is>
      </c>
      <c r="E5135" s="3" t="inlineStr">
        <is>
          <t>HV CIP Elextrical</t>
        </is>
      </c>
      <c r="F5135" s="3" t="n">
        <v>0</v>
      </c>
      <c r="G5135" s="3" t="n">
        <v>1540502.11</v>
      </c>
    </row>
    <row r="5136">
      <c r="A5136" s="3" t="inlineStr">
        <is>
          <t>Heron View (Pty) Ltd</t>
        </is>
      </c>
      <c r="B5136" s="4" t="n">
        <v>45291</v>
      </c>
      <c r="C5136" s="3" t="inlineStr">
        <is>
          <t>Assets</t>
        </is>
      </c>
      <c r="D5136" s="3" t="inlineStr">
        <is>
          <t>7620/690</t>
        </is>
      </c>
      <c r="E5136" s="3" t="inlineStr">
        <is>
          <t>HV CIP Site Establishment</t>
        </is>
      </c>
      <c r="F5136" s="3" t="n">
        <v>-4400000</v>
      </c>
      <c r="G5136" s="3" t="n">
        <v>16307183.05</v>
      </c>
    </row>
    <row r="5137">
      <c r="A5137" s="3" t="inlineStr">
        <is>
          <t>Heron Fields (Pty) Ltd</t>
        </is>
      </c>
      <c r="B5137" s="4" t="n">
        <v>45291</v>
      </c>
      <c r="C5137" s="3" t="inlineStr">
        <is>
          <t>Assets</t>
        </is>
      </c>
      <c r="D5137" s="3" t="inlineStr">
        <is>
          <t>7620/750</t>
        </is>
      </c>
      <c r="E5137" s="3" t="inlineStr">
        <is>
          <t>HF CIP Project costs CPSD</t>
        </is>
      </c>
      <c r="F5137" s="3" t="n">
        <v>0</v>
      </c>
      <c r="G5137" s="3" t="n">
        <v>2148883.15</v>
      </c>
    </row>
    <row r="5138">
      <c r="A5138" s="3" t="inlineStr">
        <is>
          <t>Heron Fields (Pty) Ltd</t>
        </is>
      </c>
      <c r="B5138" s="4" t="n">
        <v>45291</v>
      </c>
      <c r="C5138" s="3" t="inlineStr">
        <is>
          <t>Assets</t>
        </is>
      </c>
      <c r="D5138" s="3" t="inlineStr">
        <is>
          <t>7620/800</t>
        </is>
      </c>
      <c r="E5138" s="3" t="inlineStr">
        <is>
          <t>HF CIP GL Conradie</t>
        </is>
      </c>
      <c r="F5138" s="3" t="n">
        <v>0</v>
      </c>
      <c r="G5138" s="3" t="n">
        <v>1068455</v>
      </c>
    </row>
    <row r="5139">
      <c r="A5139" s="3" t="inlineStr">
        <is>
          <t>Heron View (Pty) Ltd</t>
        </is>
      </c>
      <c r="B5139" s="4" t="n">
        <v>45291</v>
      </c>
      <c r="C5139" s="3" t="inlineStr">
        <is>
          <t>Assets</t>
        </is>
      </c>
      <c r="D5139" s="3" t="inlineStr">
        <is>
          <t>7620/800</t>
        </is>
      </c>
      <c r="E5139" s="3" t="inlineStr">
        <is>
          <t>HV CIP GL Conradie</t>
        </is>
      </c>
      <c r="F5139" s="3" t="n">
        <v>0</v>
      </c>
      <c r="G5139" s="3" t="n">
        <v>2188325.96</v>
      </c>
    </row>
    <row r="5140">
      <c r="A5140" s="3" t="inlineStr">
        <is>
          <t>Heron Fields (Pty) Ltd</t>
        </is>
      </c>
      <c r="B5140" s="4" t="n">
        <v>45291</v>
      </c>
      <c r="C5140" s="3" t="inlineStr">
        <is>
          <t>Assets</t>
        </is>
      </c>
      <c r="D5140" s="3" t="inlineStr">
        <is>
          <t>7700/010</t>
        </is>
      </c>
      <c r="E5140" s="3" t="inlineStr">
        <is>
          <t>Construction 28 Feb 23 HF</t>
        </is>
      </c>
      <c r="F5140" s="3" t="n">
        <v>0</v>
      </c>
      <c r="G5140" s="3" t="n">
        <v>-24427668.44</v>
      </c>
    </row>
    <row r="5141">
      <c r="A5141" s="3" t="inlineStr">
        <is>
          <t>Cape Projects Construction (Pty) Ltd</t>
        </is>
      </c>
      <c r="B5141" s="4" t="n">
        <v>45291</v>
      </c>
      <c r="C5141" s="3" t="inlineStr">
        <is>
          <t>Assets</t>
        </is>
      </c>
      <c r="D5141" s="3" t="inlineStr">
        <is>
          <t>7800/000</t>
        </is>
      </c>
      <c r="E5141" s="3" t="inlineStr">
        <is>
          <t>Deposits paid</t>
        </is>
      </c>
      <c r="F5141" s="3" t="n">
        <v>0</v>
      </c>
      <c r="G5141" s="3" t="n">
        <v>29600</v>
      </c>
    </row>
    <row r="5142">
      <c r="A5142" s="3" t="inlineStr">
        <is>
          <t>Cape Projects Construction (Pty) Ltd</t>
        </is>
      </c>
      <c r="B5142" s="4" t="n">
        <v>45291</v>
      </c>
      <c r="C5142" s="3" t="inlineStr">
        <is>
          <t>Assets</t>
        </is>
      </c>
      <c r="D5142" s="3" t="inlineStr">
        <is>
          <t>8000/000</t>
        </is>
      </c>
      <c r="E5142" s="3" t="inlineStr">
        <is>
          <t>Customer Control Account</t>
        </is>
      </c>
      <c r="F5142" s="3" t="n">
        <v>95004.32000000001</v>
      </c>
      <c r="G5142" s="3" t="n">
        <v>3115537.61</v>
      </c>
    </row>
    <row r="5143">
      <c r="A5143" s="3" t="inlineStr">
        <is>
          <t>Heron Fields (Pty) Ltd</t>
        </is>
      </c>
      <c r="B5143" s="4" t="n">
        <v>45291</v>
      </c>
      <c r="C5143" s="3" t="inlineStr">
        <is>
          <t>Assets</t>
        </is>
      </c>
      <c r="D5143" s="3" t="inlineStr">
        <is>
          <t>8000/000</t>
        </is>
      </c>
      <c r="E5143" s="3" t="inlineStr">
        <is>
          <t>Customer Control Account</t>
        </is>
      </c>
      <c r="F5143" s="3" t="n">
        <v>1054.98</v>
      </c>
      <c r="G5143" s="3" t="n">
        <v>369330.02</v>
      </c>
    </row>
    <row r="5144">
      <c r="A5144" s="3" t="inlineStr">
        <is>
          <t>Heron View (Pty) Ltd</t>
        </is>
      </c>
      <c r="B5144" s="4" t="n">
        <v>45291</v>
      </c>
      <c r="C5144" s="3" t="inlineStr">
        <is>
          <t>Assets</t>
        </is>
      </c>
      <c r="D5144" s="3" t="inlineStr">
        <is>
          <t>8000/000</t>
        </is>
      </c>
      <c r="E5144" s="3" t="inlineStr">
        <is>
          <t>Customer Control Account</t>
        </is>
      </c>
      <c r="F5144" s="3" t="n">
        <v>232.69</v>
      </c>
      <c r="G5144" s="3" t="n">
        <v>232.69</v>
      </c>
    </row>
    <row r="5145">
      <c r="A5145" s="3" t="inlineStr">
        <is>
          <t>Cape Projects Construction (Pty) Ltd</t>
        </is>
      </c>
      <c r="B5145" s="4" t="n">
        <v>45291</v>
      </c>
      <c r="C5145" s="3" t="inlineStr">
        <is>
          <t>Assets</t>
        </is>
      </c>
      <c r="D5145" s="3" t="inlineStr">
        <is>
          <t>8200/030</t>
        </is>
      </c>
      <c r="E5145" s="3" t="inlineStr">
        <is>
          <t>Staff Loan - Ntuthuka</t>
        </is>
      </c>
      <c r="F5145" s="3" t="n">
        <v>0</v>
      </c>
      <c r="G5145" s="3" t="n">
        <v>-1755.17</v>
      </c>
    </row>
    <row r="5146">
      <c r="A5146" s="3" t="inlineStr">
        <is>
          <t>Heron Fields (Pty) Ltd</t>
        </is>
      </c>
      <c r="B5146" s="4" t="n">
        <v>45291</v>
      </c>
      <c r="C5146" s="3" t="inlineStr">
        <is>
          <t>Assets</t>
        </is>
      </c>
      <c r="D5146" s="3" t="inlineStr">
        <is>
          <t>8400/000</t>
        </is>
      </c>
      <c r="E5146" s="3" t="inlineStr">
        <is>
          <t>RMB - 62882379087</t>
        </is>
      </c>
      <c r="F5146" s="3" t="n">
        <v>34422.97</v>
      </c>
      <c r="G5146" s="3" t="n">
        <v>93395.38</v>
      </c>
    </row>
    <row r="5147">
      <c r="A5147" s="3" t="inlineStr">
        <is>
          <t>Cape Projects Construction (Pty) Ltd</t>
        </is>
      </c>
      <c r="B5147" s="4" t="n">
        <v>45291</v>
      </c>
      <c r="C5147" s="3" t="inlineStr">
        <is>
          <t>Assets</t>
        </is>
      </c>
      <c r="D5147" s="3" t="inlineStr">
        <is>
          <t>8400/000</t>
        </is>
      </c>
      <c r="E5147" s="3" t="inlineStr">
        <is>
          <t>RMB 62275138470</t>
        </is>
      </c>
      <c r="F5147" s="3" t="n">
        <v>-642123.33</v>
      </c>
      <c r="G5147" s="3" t="n">
        <v>32875.96</v>
      </c>
    </row>
    <row r="5148">
      <c r="A5148" s="3" t="inlineStr">
        <is>
          <t>Cape Projects Construction (Pty) Ltd</t>
        </is>
      </c>
      <c r="B5148" s="4" t="n">
        <v>45291</v>
      </c>
      <c r="C5148" s="3" t="inlineStr">
        <is>
          <t>Assets</t>
        </is>
      </c>
      <c r="D5148" s="3" t="inlineStr">
        <is>
          <t>8410/000</t>
        </is>
      </c>
      <c r="E5148" s="3" t="inlineStr">
        <is>
          <t>Petty Cash</t>
        </is>
      </c>
      <c r="F5148" s="3" t="n">
        <v>0</v>
      </c>
      <c r="G5148" s="3" t="n">
        <v>-1188</v>
      </c>
    </row>
    <row r="5149">
      <c r="A5149" s="3" t="inlineStr">
        <is>
          <t>Cape Projects Construction (Pty) Ltd</t>
        </is>
      </c>
      <c r="B5149" s="4" t="n">
        <v>45291</v>
      </c>
      <c r="C5149" s="3" t="inlineStr">
        <is>
          <t>Assets</t>
        </is>
      </c>
      <c r="D5149" s="3" t="inlineStr">
        <is>
          <t>8420/000</t>
        </is>
      </c>
      <c r="E5149" s="3" t="inlineStr">
        <is>
          <t>Momentum Priv Acc RU502230981</t>
        </is>
      </c>
      <c r="F5149" s="3" t="n">
        <v>0</v>
      </c>
      <c r="G5149" s="3" t="n">
        <v>571.55</v>
      </c>
    </row>
    <row r="5150">
      <c r="A5150" s="3" t="inlineStr">
        <is>
          <t>Heron Fields (Pty) Ltd</t>
        </is>
      </c>
      <c r="B5150" s="4" t="n">
        <v>45291</v>
      </c>
      <c r="C5150" s="3" t="inlineStr">
        <is>
          <t>Assets</t>
        </is>
      </c>
      <c r="D5150" s="3" t="inlineStr">
        <is>
          <t>8420/000</t>
        </is>
      </c>
      <c r="E5150" s="3" t="inlineStr">
        <is>
          <t>Petty Cash</t>
        </is>
      </c>
      <c r="F5150" s="3" t="n">
        <v>0</v>
      </c>
      <c r="G5150" s="3" t="n">
        <v>8620</v>
      </c>
    </row>
    <row r="5151">
      <c r="A5151" s="3" t="inlineStr">
        <is>
          <t>Heron Fields (Pty) Ltd</t>
        </is>
      </c>
      <c r="B5151" s="4" t="n">
        <v>45291</v>
      </c>
      <c r="C5151" s="3" t="inlineStr">
        <is>
          <t>Assets</t>
        </is>
      </c>
      <c r="D5151" s="3" t="inlineStr">
        <is>
          <t>8430/000</t>
        </is>
      </c>
      <c r="E5151" s="3" t="inlineStr">
        <is>
          <t>Momentum Private Account RU502230151</t>
        </is>
      </c>
      <c r="F5151" s="3" t="n">
        <v>0</v>
      </c>
      <c r="G5151" s="3" t="n">
        <v>871.91</v>
      </c>
    </row>
    <row r="5152">
      <c r="A5152" s="3" t="inlineStr">
        <is>
          <t>Heron Fields (Pty) Ltd</t>
        </is>
      </c>
      <c r="B5152" s="4" t="n">
        <v>45291</v>
      </c>
      <c r="C5152" s="3" t="inlineStr">
        <is>
          <t>Assets</t>
        </is>
      </c>
      <c r="D5152" s="3" t="inlineStr">
        <is>
          <t>8440/000</t>
        </is>
      </c>
      <c r="E5152" s="3" t="inlineStr">
        <is>
          <t>Momentum Investors Account RU502229930</t>
        </is>
      </c>
      <c r="F5152" s="3" t="n">
        <v>-18481711.17</v>
      </c>
      <c r="G5152" s="3" t="n">
        <v>17747862.96</v>
      </c>
    </row>
    <row r="5153">
      <c r="A5153" s="3" t="inlineStr">
        <is>
          <t>Heron Fields (Pty) Ltd</t>
        </is>
      </c>
      <c r="B5153" s="4" t="n">
        <v>45291</v>
      </c>
      <c r="C5153" s="3" t="inlineStr">
        <is>
          <t>Assets</t>
        </is>
      </c>
      <c r="D5153" s="3" t="inlineStr">
        <is>
          <t>8450/000</t>
        </is>
      </c>
      <c r="E5153" s="3" t="inlineStr">
        <is>
          <t>ABSA Current Acc : 4109071013</t>
        </is>
      </c>
      <c r="F5153" s="3" t="n">
        <v>0</v>
      </c>
      <c r="G5153" s="3" t="n">
        <v>500</v>
      </c>
    </row>
    <row r="5154">
      <c r="A5154" s="3" t="inlineStr">
        <is>
          <t>Cape Projects Construction (Pty) Ltd</t>
        </is>
      </c>
      <c r="B5154" s="4" t="n">
        <v>45291</v>
      </c>
      <c r="C5154" s="3" t="inlineStr">
        <is>
          <t>Liabilities</t>
        </is>
      </c>
      <c r="D5154" s="3" t="inlineStr">
        <is>
          <t>860</t>
        </is>
      </c>
      <c r="E5154" s="3" t="inlineStr">
        <is>
          <t>Rounding</t>
        </is>
      </c>
      <c r="F5154" s="3" t="n">
        <v>29.59</v>
      </c>
      <c r="G5154" s="3" t="n">
        <v>-0.82</v>
      </c>
    </row>
    <row r="5155">
      <c r="A5155" s="3" t="inlineStr">
        <is>
          <t>Heron Fields (Pty) Ltd</t>
        </is>
      </c>
      <c r="B5155" s="4" t="n">
        <v>45291</v>
      </c>
      <c r="C5155" s="3" t="inlineStr">
        <is>
          <t>Liabilities</t>
        </is>
      </c>
      <c r="D5155" s="3" t="inlineStr">
        <is>
          <t>860</t>
        </is>
      </c>
      <c r="E5155" s="3" t="inlineStr">
        <is>
          <t>Rounding</t>
        </is>
      </c>
      <c r="F5155" s="3" t="n">
        <v>0</v>
      </c>
      <c r="G5155" s="3" t="n">
        <v>0.14</v>
      </c>
    </row>
    <row r="5156">
      <c r="A5156" s="3" t="inlineStr">
        <is>
          <t>Heron View (Pty) Ltd</t>
        </is>
      </c>
      <c r="B5156" s="4" t="n">
        <v>45291</v>
      </c>
      <c r="C5156" s="3" t="inlineStr">
        <is>
          <t>Liabilities</t>
        </is>
      </c>
      <c r="D5156" s="3" t="inlineStr">
        <is>
          <t>860</t>
        </is>
      </c>
      <c r="E5156" s="3" t="inlineStr">
        <is>
          <t>Rounding</t>
        </is>
      </c>
      <c r="F5156" s="3" t="n">
        <v>0.03</v>
      </c>
      <c r="G5156" s="3" t="n">
        <v>-0.03</v>
      </c>
    </row>
    <row r="5157">
      <c r="A5157" s="3" t="inlineStr">
        <is>
          <t>Cape Projects Construction (Pty) Ltd</t>
        </is>
      </c>
      <c r="B5157" s="4" t="n">
        <v>45291</v>
      </c>
      <c r="C5157" s="3" t="inlineStr">
        <is>
          <t>Liabilities</t>
        </is>
      </c>
      <c r="D5157" s="3" t="inlineStr">
        <is>
          <t>9000/000</t>
        </is>
      </c>
      <c r="E5157" s="3" t="inlineStr">
        <is>
          <t>Supplier Control Account</t>
        </is>
      </c>
      <c r="F5157" s="3" t="n">
        <v>6767146.17</v>
      </c>
      <c r="G5157" s="3" t="n">
        <v>-470871.93</v>
      </c>
    </row>
    <row r="5158">
      <c r="A5158" s="3" t="inlineStr">
        <is>
          <t>Heron Fields (Pty) Ltd</t>
        </is>
      </c>
      <c r="B5158" s="4" t="n">
        <v>45291</v>
      </c>
      <c r="C5158" s="3" t="inlineStr">
        <is>
          <t>Liabilities</t>
        </is>
      </c>
      <c r="D5158" s="3" t="inlineStr">
        <is>
          <t>9000/000</t>
        </is>
      </c>
      <c r="E5158" s="3" t="inlineStr">
        <is>
          <t>Supplier Control Account</t>
        </is>
      </c>
      <c r="F5158" s="3" t="n">
        <v>-8808460.949999999</v>
      </c>
      <c r="G5158" s="3" t="n">
        <v>-173053454.13</v>
      </c>
    </row>
    <row r="5159">
      <c r="A5159" s="3" t="inlineStr">
        <is>
          <t>Heron View (Pty) Ltd</t>
        </is>
      </c>
      <c r="B5159" s="4" t="n">
        <v>45291</v>
      </c>
      <c r="C5159" s="3" t="inlineStr">
        <is>
          <t>Liabilities</t>
        </is>
      </c>
      <c r="D5159" s="3" t="inlineStr">
        <is>
          <t>9000/000</t>
        </is>
      </c>
      <c r="E5159" s="3" t="inlineStr">
        <is>
          <t>Supplier Control Account</t>
        </is>
      </c>
      <c r="F5159" s="3" t="n">
        <v>5012006.46</v>
      </c>
      <c r="G5159" s="3" t="n">
        <v>952519.04</v>
      </c>
    </row>
    <row r="5160">
      <c r="A5160" s="3" t="inlineStr">
        <is>
          <t>Cape Projects Construction (Pty) Ltd</t>
        </is>
      </c>
      <c r="B5160" s="4" t="n">
        <v>45291</v>
      </c>
      <c r="C5160" s="3" t="inlineStr">
        <is>
          <t>Liabilities</t>
        </is>
      </c>
      <c r="D5160" s="3" t="inlineStr">
        <is>
          <t>9200/000</t>
        </is>
      </c>
      <c r="E5160" s="3" t="inlineStr">
        <is>
          <t>Sundry Suppliers</t>
        </is>
      </c>
      <c r="F5160" s="3" t="n">
        <v>0</v>
      </c>
      <c r="G5160" s="3" t="n">
        <v>1309</v>
      </c>
    </row>
    <row r="5161">
      <c r="A5161" s="3" t="inlineStr">
        <is>
          <t>Cape Projects Construction (Pty) Ltd</t>
        </is>
      </c>
      <c r="B5161" s="4" t="n">
        <v>45291</v>
      </c>
      <c r="C5161" s="3" t="inlineStr">
        <is>
          <t>Liabilities</t>
        </is>
      </c>
      <c r="D5161" s="3" t="inlineStr">
        <is>
          <t>9250/010</t>
        </is>
      </c>
      <c r="E5161" s="3" t="inlineStr">
        <is>
          <t>SALARY CONTROL</t>
        </is>
      </c>
      <c r="F5161" s="3" t="n">
        <v>0</v>
      </c>
      <c r="G5161" s="3" t="n">
        <v>1755.17</v>
      </c>
    </row>
    <row r="5162">
      <c r="A5162" s="3" t="inlineStr">
        <is>
          <t>Cape Projects Construction (Pty) Ltd</t>
        </is>
      </c>
      <c r="B5162" s="4" t="n">
        <v>45291</v>
      </c>
      <c r="C5162" s="3" t="inlineStr">
        <is>
          <t>Liabilities</t>
        </is>
      </c>
      <c r="D5162" s="3" t="inlineStr">
        <is>
          <t>9250/020</t>
        </is>
      </c>
      <c r="E5162" s="3" t="inlineStr">
        <is>
          <t>PAYE, UIF AND SDL CONTROL</t>
        </is>
      </c>
      <c r="F5162" s="3" t="n">
        <v>-3740.22</v>
      </c>
      <c r="G5162" s="3" t="n">
        <v>-113672.08</v>
      </c>
    </row>
    <row r="5163">
      <c r="A5163" s="3" t="inlineStr">
        <is>
          <t>Cape Projects Construction (Pty) Ltd</t>
        </is>
      </c>
      <c r="B5163" s="4" t="n">
        <v>45291</v>
      </c>
      <c r="C5163" s="3" t="inlineStr">
        <is>
          <t>Liabilities</t>
        </is>
      </c>
      <c r="D5163" s="3" t="inlineStr">
        <is>
          <t>9250/030</t>
        </is>
      </c>
      <c r="E5163" s="3" t="inlineStr">
        <is>
          <t>BIBC CONTROL</t>
        </is>
      </c>
      <c r="F5163" s="3" t="n">
        <v>0</v>
      </c>
      <c r="G5163" s="3" t="n">
        <v>-49413.95</v>
      </c>
    </row>
    <row r="5164">
      <c r="A5164" s="3" t="inlineStr">
        <is>
          <t>Cape Projects Construction (Pty) Ltd</t>
        </is>
      </c>
      <c r="B5164" s="4" t="n">
        <v>45291</v>
      </c>
      <c r="C5164" s="3" t="inlineStr">
        <is>
          <t>Liabilities</t>
        </is>
      </c>
      <c r="D5164" s="3" t="inlineStr">
        <is>
          <t>9350/000</t>
        </is>
      </c>
      <c r="E5164" s="3" t="inlineStr">
        <is>
          <t>Dividends Payable</t>
        </is>
      </c>
      <c r="F5164" s="3" t="n">
        <v>0</v>
      </c>
      <c r="G5164" s="3" t="n">
        <v>130000</v>
      </c>
    </row>
    <row r="5165">
      <c r="A5165" s="3" t="inlineStr">
        <is>
          <t>Cape Projects Construction (Pty) Ltd</t>
        </is>
      </c>
      <c r="B5165" s="4" t="n">
        <v>45291</v>
      </c>
      <c r="C5165" s="3" t="inlineStr">
        <is>
          <t>Liabilities</t>
        </is>
      </c>
      <c r="D5165" s="3" t="inlineStr">
        <is>
          <t>9500/000</t>
        </is>
      </c>
      <c r="E5165" s="3" t="inlineStr">
        <is>
          <t>VAT Control Account</t>
        </is>
      </c>
      <c r="F5165" s="3" t="n">
        <v>232432.12</v>
      </c>
      <c r="G5165" s="3" t="n">
        <v>-41777.92</v>
      </c>
    </row>
    <row r="5166">
      <c r="A5166" s="3" t="inlineStr">
        <is>
          <t>Heron Fields (Pty) Ltd</t>
        </is>
      </c>
      <c r="B5166" s="4" t="n">
        <v>45291</v>
      </c>
      <c r="C5166" s="3" t="inlineStr">
        <is>
          <t>Liabilities</t>
        </is>
      </c>
      <c r="D5166" s="3" t="inlineStr">
        <is>
          <t>9500/000</t>
        </is>
      </c>
      <c r="E5166" s="3" t="inlineStr">
        <is>
          <t>Vat / Tax Control Account</t>
        </is>
      </c>
      <c r="F5166" s="3" t="n">
        <v>837364.89</v>
      </c>
      <c r="G5166" s="3" t="n">
        <v>-3393946.57</v>
      </c>
    </row>
    <row r="5167">
      <c r="A5167" s="3" t="inlineStr">
        <is>
          <t>Heron View (Pty) Ltd</t>
        </is>
      </c>
      <c r="B5167" s="4" t="n">
        <v>45291</v>
      </c>
      <c r="C5167" s="3" t="inlineStr">
        <is>
          <t>Liabilities</t>
        </is>
      </c>
      <c r="D5167" s="3" t="inlineStr">
        <is>
          <t>9500/000</t>
        </is>
      </c>
      <c r="E5167" s="3" t="inlineStr">
        <is>
          <t>Vat / Tax Control Account</t>
        </is>
      </c>
      <c r="F5167" s="3" t="n">
        <v>472714.79</v>
      </c>
      <c r="G5167" s="3" t="n">
        <v>6675203.74</v>
      </c>
    </row>
    <row r="5168">
      <c r="A5168" s="3" t="inlineStr">
        <is>
          <t>Cape Projects Construction (Pty) Ltd</t>
        </is>
      </c>
      <c r="B5168" s="4" t="n">
        <v>45291</v>
      </c>
      <c r="C5168" s="3" t="inlineStr">
        <is>
          <t>Liabilities</t>
        </is>
      </c>
      <c r="D5168" s="3" t="inlineStr">
        <is>
          <t>9510/000</t>
        </is>
      </c>
      <c r="E5168" s="3" t="inlineStr">
        <is>
          <t>Tax Provision Account</t>
        </is>
      </c>
      <c r="F5168" s="3" t="n">
        <v>0</v>
      </c>
      <c r="G5168" s="3" t="n">
        <v>-1869.8</v>
      </c>
    </row>
    <row r="5169">
      <c r="A5169" s="3" t="inlineStr">
        <is>
          <t>Heron Fields (Pty) Ltd</t>
        </is>
      </c>
      <c r="B5169" s="4" t="n">
        <v>45291</v>
      </c>
      <c r="C5169" s="3" t="inlineStr">
        <is>
          <t>Liabilities</t>
        </is>
      </c>
      <c r="D5169" s="3" t="inlineStr">
        <is>
          <t>9520/000</t>
        </is>
      </c>
      <c r="E5169" s="3" t="inlineStr">
        <is>
          <t>Income Tax Payable</t>
        </is>
      </c>
      <c r="F5169" s="3" t="n">
        <v>0</v>
      </c>
      <c r="G5169" s="3" t="n">
        <v>59039.93</v>
      </c>
    </row>
    <row r="5170">
      <c r="A5170" s="3" t="inlineStr">
        <is>
          <t>Heron View (Pty) Ltd</t>
        </is>
      </c>
      <c r="B5170" s="4" t="n">
        <v>45291</v>
      </c>
      <c r="C5170" s="3" t="inlineStr">
        <is>
          <t>Liabilities</t>
        </is>
      </c>
      <c r="D5170" s="3" t="inlineStr">
        <is>
          <t>9899/C102</t>
        </is>
      </c>
      <c r="E5170" s="3" t="inlineStr">
        <is>
          <t>Sales - Unit Reg Control C102</t>
        </is>
      </c>
      <c r="F5170" s="3" t="n">
        <v>0</v>
      </c>
      <c r="G5170" s="3" t="n">
        <v>-0.4</v>
      </c>
    </row>
    <row r="5171">
      <c r="A5171" s="3" t="inlineStr">
        <is>
          <t>Cape Projects Construction (Pty) Ltd</t>
        </is>
      </c>
      <c r="B5171" s="4" t="n">
        <v>45291</v>
      </c>
      <c r="C5171" s="3" t="inlineStr">
        <is>
          <t>Liabilities</t>
        </is>
      </c>
      <c r="D5171" s="3" t="inlineStr">
        <is>
          <t>B/S</t>
        </is>
      </c>
      <c r="E5171" s="3" t="inlineStr">
        <is>
          <t>Taxation Payable</t>
        </is>
      </c>
      <c r="F5171" s="3" t="n">
        <v>0</v>
      </c>
      <c r="G5171" s="3" t="n">
        <v>1869.8</v>
      </c>
    </row>
    <row r="5172">
      <c r="A5172" s="3" t="inlineStr">
        <is>
          <t>Cape Projects Construction (Pty) Ltd</t>
        </is>
      </c>
      <c r="B5172" s="4" t="n">
        <v>45291</v>
      </c>
      <c r="C5172" s="3" t="inlineStr">
        <is>
          <t>Liabilities</t>
        </is>
      </c>
      <c r="D5172" s="3" t="inlineStr">
        <is>
          <t>TEMP/ACC</t>
        </is>
      </c>
      <c r="E5172" s="3" t="inlineStr">
        <is>
          <t>Conversion Account</t>
        </is>
      </c>
      <c r="F5172" s="3" t="n">
        <v>0</v>
      </c>
      <c r="G5172" s="3" t="n">
        <v>-254.99</v>
      </c>
    </row>
    <row r="5173">
      <c r="A5173" s="3" t="inlineStr">
        <is>
          <t>Heron Fields (Pty) Ltd</t>
        </is>
      </c>
      <c r="B5173" s="4" t="n">
        <v>45322</v>
      </c>
      <c r="C5173" s="3" t="inlineStr">
        <is>
          <t>Revenue</t>
        </is>
      </c>
      <c r="D5173" s="3" t="inlineStr">
        <is>
          <t>1000/100</t>
        </is>
      </c>
      <c r="E5173" s="3" t="inlineStr">
        <is>
          <t>Sales - Heron Fields</t>
        </is>
      </c>
      <c r="F5173" s="3" t="n">
        <v>0</v>
      </c>
      <c r="G5173" s="3" t="n">
        <v>-28096347.83</v>
      </c>
    </row>
    <row r="5174">
      <c r="A5174" s="3" t="inlineStr">
        <is>
          <t>Heron View (Pty) Ltd</t>
        </is>
      </c>
      <c r="B5174" s="4" t="n">
        <v>45322</v>
      </c>
      <c r="C5174" s="3" t="inlineStr">
        <is>
          <t>Revenue</t>
        </is>
      </c>
      <c r="D5174" s="3" t="inlineStr">
        <is>
          <t>1000/100</t>
        </is>
      </c>
      <c r="E5174" s="3" t="inlineStr">
        <is>
          <t>Sales - Heron View Sales</t>
        </is>
      </c>
      <c r="F5174" s="3" t="n">
        <v>-6969130.45</v>
      </c>
      <c r="G5174" s="3" t="n">
        <v>-29872087</v>
      </c>
    </row>
    <row r="5175">
      <c r="A5175" s="3" t="inlineStr">
        <is>
          <t>Heron Fields (Pty) Ltd</t>
        </is>
      </c>
      <c r="B5175" s="4" t="n">
        <v>45322</v>
      </c>
      <c r="C5175" s="3" t="inlineStr">
        <is>
          <t>Revenue</t>
        </is>
      </c>
      <c r="D5175" s="3" t="inlineStr">
        <is>
          <t>1000/101</t>
        </is>
      </c>
      <c r="E5175" s="3" t="inlineStr">
        <is>
          <t>Sales - Heron Fields occupational rent</t>
        </is>
      </c>
      <c r="F5175" s="3" t="n">
        <v>0</v>
      </c>
      <c r="G5175" s="3" t="n">
        <v>-102388.85</v>
      </c>
    </row>
    <row r="5176">
      <c r="A5176" s="3" t="inlineStr">
        <is>
          <t>Heron View (Pty) Ltd</t>
        </is>
      </c>
      <c r="B5176" s="4" t="n">
        <v>45322</v>
      </c>
      <c r="C5176" s="3" t="inlineStr">
        <is>
          <t>Revenue</t>
        </is>
      </c>
      <c r="D5176" s="3" t="inlineStr">
        <is>
          <t>1000/101</t>
        </is>
      </c>
      <c r="E5176" s="3" t="inlineStr">
        <is>
          <t>Sales - Heron View Occupational Rent</t>
        </is>
      </c>
      <c r="F5176" s="3" t="n">
        <v>-4800</v>
      </c>
      <c r="G5176" s="3" t="n">
        <v>-88696.75999999999</v>
      </c>
    </row>
    <row r="5177">
      <c r="A5177" s="3" t="inlineStr">
        <is>
          <t>Cape Projects Construction (Pty) Ltd</t>
        </is>
      </c>
      <c r="B5177" s="4" t="n">
        <v>45322</v>
      </c>
      <c r="C5177" s="3" t="inlineStr">
        <is>
          <t>Revenue</t>
        </is>
      </c>
      <c r="D5177" s="3" t="inlineStr">
        <is>
          <t>1040/100</t>
        </is>
      </c>
      <c r="E5177" s="3" t="inlineStr">
        <is>
          <t>Fees - Construction - Heron</t>
        </is>
      </c>
      <c r="F5177" s="3" t="n">
        <v>-4442252.29</v>
      </c>
      <c r="G5177" s="3" t="n">
        <v>-55267592.85</v>
      </c>
    </row>
    <row r="5178">
      <c r="A5178" s="3" t="inlineStr">
        <is>
          <t>Cape Projects Construction (Pty) Ltd</t>
        </is>
      </c>
      <c r="B5178" s="4" t="n">
        <v>45322</v>
      </c>
      <c r="C5178" s="3" t="inlineStr">
        <is>
          <t>Revenue</t>
        </is>
      </c>
      <c r="D5178" s="3" t="inlineStr">
        <is>
          <t>1070/000</t>
        </is>
      </c>
      <c r="E5178" s="3" t="inlineStr">
        <is>
          <t>Rent - CT Office</t>
        </is>
      </c>
      <c r="F5178" s="3" t="n">
        <v>0</v>
      </c>
      <c r="G5178" s="3" t="n">
        <v>3490.94</v>
      </c>
    </row>
    <row r="5179">
      <c r="A5179" s="3" t="inlineStr">
        <is>
          <t>Heron Fields (Pty) Ltd</t>
        </is>
      </c>
      <c r="B5179" s="4" t="n">
        <v>45322</v>
      </c>
      <c r="C5179" s="3" t="inlineStr">
        <is>
          <t>Revenue</t>
        </is>
      </c>
      <c r="D5179" s="3" t="inlineStr">
        <is>
          <t>1500/002</t>
        </is>
      </c>
      <c r="E5179" s="3" t="inlineStr">
        <is>
          <t>Rental Income</t>
        </is>
      </c>
      <c r="F5179" s="3" t="n">
        <v>-142177.41</v>
      </c>
      <c r="G5179" s="3" t="n">
        <v>-334412.32</v>
      </c>
    </row>
    <row r="5180">
      <c r="A5180" s="3" t="inlineStr">
        <is>
          <t>Heron View (Pty) Ltd</t>
        </is>
      </c>
      <c r="B5180" s="4" t="n">
        <v>45322</v>
      </c>
      <c r="C5180" s="3" t="inlineStr">
        <is>
          <t>Revenue</t>
        </is>
      </c>
      <c r="D5180" s="3" t="inlineStr">
        <is>
          <t>1500/002</t>
        </is>
      </c>
      <c r="E5180" s="3" t="inlineStr">
        <is>
          <t>Rental Income</t>
        </is>
      </c>
      <c r="F5180" s="3" t="n">
        <v>0</v>
      </c>
      <c r="G5180" s="3" t="n">
        <v>-13883</v>
      </c>
    </row>
    <row r="5181">
      <c r="A5181" s="3" t="inlineStr">
        <is>
          <t>Heron Fields (Pty) Ltd</t>
        </is>
      </c>
      <c r="B5181" s="4" t="n">
        <v>45322</v>
      </c>
      <c r="C5181" s="3" t="inlineStr">
        <is>
          <t>Expenses</t>
        </is>
      </c>
      <c r="D5181" s="3" t="inlineStr">
        <is>
          <t>2000/011</t>
        </is>
      </c>
      <c r="E5181" s="3" t="inlineStr">
        <is>
          <t>COS - Heron View Showhouse</t>
        </is>
      </c>
      <c r="F5181" s="3" t="n">
        <v>0</v>
      </c>
      <c r="G5181" s="3" t="n">
        <v>45300.43</v>
      </c>
    </row>
    <row r="5182">
      <c r="A5182" s="3" t="inlineStr">
        <is>
          <t>Heron View (Pty) Ltd</t>
        </is>
      </c>
      <c r="B5182" s="4" t="n">
        <v>45322</v>
      </c>
      <c r="C5182" s="3" t="inlineStr">
        <is>
          <t>Expenses</t>
        </is>
      </c>
      <c r="D5182" s="3" t="inlineStr">
        <is>
          <t>2000/030</t>
        </is>
      </c>
      <c r="E5182" s="3" t="inlineStr">
        <is>
          <t>COS - HV COCT Rates clearance</t>
        </is>
      </c>
      <c r="F5182" s="3" t="n">
        <v>0</v>
      </c>
      <c r="G5182" s="3" t="n">
        <v>237142.94</v>
      </c>
    </row>
    <row r="5183">
      <c r="A5183" s="3" t="inlineStr">
        <is>
          <t>Heron Fields (Pty) Ltd</t>
        </is>
      </c>
      <c r="B5183" s="4" t="n">
        <v>45322</v>
      </c>
      <c r="C5183" s="3" t="inlineStr">
        <is>
          <t>Expenses</t>
        </is>
      </c>
      <c r="D5183" s="3" t="inlineStr">
        <is>
          <t>2000/040</t>
        </is>
      </c>
      <c r="E5183" s="3" t="inlineStr">
        <is>
          <t>COS - Legal Fees</t>
        </is>
      </c>
      <c r="F5183" s="3" t="n">
        <v>0</v>
      </c>
      <c r="G5183" s="3" t="n">
        <v>685713.49</v>
      </c>
    </row>
    <row r="5184">
      <c r="A5184" s="3" t="inlineStr">
        <is>
          <t>Heron View (Pty) Ltd</t>
        </is>
      </c>
      <c r="B5184" s="4" t="n">
        <v>45322</v>
      </c>
      <c r="C5184" s="3" t="inlineStr">
        <is>
          <t>Expenses</t>
        </is>
      </c>
      <c r="D5184" s="3" t="inlineStr">
        <is>
          <t>2000/040</t>
        </is>
      </c>
      <c r="E5184" s="3" t="inlineStr">
        <is>
          <t>COS - Legal Fees</t>
        </is>
      </c>
      <c r="F5184" s="3" t="n">
        <v>155834.92</v>
      </c>
      <c r="G5184" s="3" t="n">
        <v>670782.85</v>
      </c>
    </row>
    <row r="5185">
      <c r="A5185" s="3" t="inlineStr">
        <is>
          <t>Heron View (Pty) Ltd</t>
        </is>
      </c>
      <c r="B5185" s="4" t="n">
        <v>45322</v>
      </c>
      <c r="C5185" s="3" t="inlineStr">
        <is>
          <t>Expenses</t>
        </is>
      </c>
      <c r="D5185" s="3" t="inlineStr">
        <is>
          <t>2000/041</t>
        </is>
      </c>
      <c r="E5185" s="3" t="inlineStr">
        <is>
          <t>COS - Legal Fees Opening of Sec Title Fees</t>
        </is>
      </c>
      <c r="F5185" s="3" t="n">
        <v>0</v>
      </c>
      <c r="G5185" s="3" t="n">
        <v>79174.94</v>
      </c>
    </row>
    <row r="5186">
      <c r="A5186" s="3" t="inlineStr">
        <is>
          <t>Heron Fields (Pty) Ltd</t>
        </is>
      </c>
      <c r="B5186" s="4" t="n">
        <v>45322</v>
      </c>
      <c r="C5186" s="3" t="inlineStr">
        <is>
          <t>Expenses</t>
        </is>
      </c>
      <c r="D5186" s="3" t="inlineStr">
        <is>
          <t>2000/041</t>
        </is>
      </c>
      <c r="E5186" s="3" t="inlineStr">
        <is>
          <t>COS - Legal Fees Opening of Sec Title Scheme</t>
        </is>
      </c>
      <c r="F5186" s="3" t="n">
        <v>0</v>
      </c>
      <c r="G5186" s="3" t="n">
        <v>10540</v>
      </c>
    </row>
    <row r="5187">
      <c r="A5187" s="3" t="inlineStr">
        <is>
          <t>Heron Fields (Pty) Ltd</t>
        </is>
      </c>
      <c r="B5187" s="4" t="n">
        <v>45322</v>
      </c>
      <c r="C5187" s="3" t="inlineStr">
        <is>
          <t>Expenses</t>
        </is>
      </c>
      <c r="D5187" s="3" t="inlineStr">
        <is>
          <t>2000/050</t>
        </is>
      </c>
      <c r="E5187" s="3" t="inlineStr">
        <is>
          <t>COS - Rates clearance</t>
        </is>
      </c>
      <c r="F5187" s="3" t="n">
        <v>0</v>
      </c>
      <c r="G5187" s="3" t="n">
        <v>44864.59</v>
      </c>
    </row>
    <row r="5188">
      <c r="A5188" s="3" t="inlineStr">
        <is>
          <t>Heron Fields (Pty) Ltd</t>
        </is>
      </c>
      <c r="B5188" s="4" t="n">
        <v>45322</v>
      </c>
      <c r="C5188" s="3" t="inlineStr">
        <is>
          <t>Expenses</t>
        </is>
      </c>
      <c r="D5188" s="3" t="inlineStr">
        <is>
          <t>2000/060</t>
        </is>
      </c>
      <c r="E5188" s="3" t="inlineStr">
        <is>
          <t>COS - Levies</t>
        </is>
      </c>
      <c r="F5188" s="3" t="n">
        <v>0</v>
      </c>
      <c r="G5188" s="3" t="n">
        <v>381069.48</v>
      </c>
    </row>
    <row r="5189">
      <c r="A5189" s="3" t="inlineStr">
        <is>
          <t>Heron Fields (Pty) Ltd</t>
        </is>
      </c>
      <c r="B5189" s="4" t="n">
        <v>45322</v>
      </c>
      <c r="C5189" s="3" t="inlineStr">
        <is>
          <t>Expenses</t>
        </is>
      </c>
      <c r="D5189" s="3" t="inlineStr">
        <is>
          <t>2000/070</t>
        </is>
      </c>
      <c r="E5189" s="3" t="inlineStr">
        <is>
          <t>COS - Commission HF Units</t>
        </is>
      </c>
      <c r="F5189" s="3" t="n">
        <v>0</v>
      </c>
      <c r="G5189" s="3" t="n">
        <v>1405686.97</v>
      </c>
    </row>
    <row r="5190">
      <c r="A5190" s="3" t="inlineStr">
        <is>
          <t>Heron View (Pty) Ltd</t>
        </is>
      </c>
      <c r="B5190" s="4" t="n">
        <v>45322</v>
      </c>
      <c r="C5190" s="3" t="inlineStr">
        <is>
          <t>Expenses</t>
        </is>
      </c>
      <c r="D5190" s="3" t="inlineStr">
        <is>
          <t>2000/070</t>
        </is>
      </c>
      <c r="E5190" s="3" t="inlineStr">
        <is>
          <t>COS - Commission HV Units</t>
        </is>
      </c>
      <c r="F5190" s="3" t="n">
        <v>349108.7</v>
      </c>
      <c r="G5190" s="3" t="n">
        <v>1495126.06</v>
      </c>
    </row>
    <row r="5191">
      <c r="A5191" s="3" t="inlineStr">
        <is>
          <t>Heron Fields (Pty) Ltd</t>
        </is>
      </c>
      <c r="B5191" s="4" t="n">
        <v>45322</v>
      </c>
      <c r="C5191" s="3" t="inlineStr">
        <is>
          <t>Expenses</t>
        </is>
      </c>
      <c r="D5191" s="3" t="inlineStr">
        <is>
          <t>2000/080</t>
        </is>
      </c>
      <c r="E5191" s="3" t="inlineStr">
        <is>
          <t>COS - Showhouse - HF</t>
        </is>
      </c>
      <c r="F5191" s="3" t="n">
        <v>0</v>
      </c>
      <c r="G5191" s="3" t="n">
        <v>1005.47</v>
      </c>
    </row>
    <row r="5192">
      <c r="A5192" s="3" t="inlineStr">
        <is>
          <t>Heron View (Pty) Ltd</t>
        </is>
      </c>
      <c r="B5192" s="4" t="n">
        <v>45322</v>
      </c>
      <c r="C5192" s="3" t="inlineStr">
        <is>
          <t>Expenses</t>
        </is>
      </c>
      <c r="D5192" s="3" t="inlineStr">
        <is>
          <t>2000/080</t>
        </is>
      </c>
      <c r="E5192" s="3" t="inlineStr">
        <is>
          <t>COS - Showhouse - HV</t>
        </is>
      </c>
      <c r="F5192" s="3" t="n">
        <v>0</v>
      </c>
      <c r="G5192" s="3" t="n">
        <v>6212.85</v>
      </c>
    </row>
    <row r="5193">
      <c r="A5193" s="3" t="inlineStr">
        <is>
          <t>Heron Fields (Pty) Ltd</t>
        </is>
      </c>
      <c r="B5193" s="4" t="n">
        <v>45322</v>
      </c>
      <c r="C5193" s="3" t="inlineStr">
        <is>
          <t>Expenses</t>
        </is>
      </c>
      <c r="D5193" s="3" t="inlineStr">
        <is>
          <t>2000/090</t>
        </is>
      </c>
      <c r="E5193" s="3" t="inlineStr">
        <is>
          <t>COS - Electricity</t>
        </is>
      </c>
      <c r="F5193" s="3" t="n">
        <v>0</v>
      </c>
      <c r="G5193" s="3" t="n">
        <v>250</v>
      </c>
    </row>
    <row r="5194">
      <c r="A5194" s="3" t="inlineStr">
        <is>
          <t>Heron View (Pty) Ltd</t>
        </is>
      </c>
      <c r="B5194" s="4" t="n">
        <v>45322</v>
      </c>
      <c r="C5194" s="3" t="inlineStr">
        <is>
          <t>Expenses</t>
        </is>
      </c>
      <c r="D5194" s="3" t="inlineStr">
        <is>
          <t>2000/090</t>
        </is>
      </c>
      <c r="E5194" s="3" t="inlineStr">
        <is>
          <t>COS - Electricity</t>
        </is>
      </c>
      <c r="F5194" s="3" t="n">
        <v>0</v>
      </c>
      <c r="G5194" s="3" t="n">
        <v>473.92</v>
      </c>
    </row>
    <row r="5195">
      <c r="A5195" s="3" t="inlineStr">
        <is>
          <t>Heron Fields (Pty) Ltd</t>
        </is>
      </c>
      <c r="B5195" s="4" t="n">
        <v>45322</v>
      </c>
      <c r="C5195" s="3" t="inlineStr">
        <is>
          <t>Expenses</t>
        </is>
      </c>
      <c r="D5195" s="3" t="inlineStr">
        <is>
          <t>2000/100</t>
        </is>
      </c>
      <c r="E5195" s="3" t="inlineStr">
        <is>
          <t>COS - Inverters</t>
        </is>
      </c>
      <c r="F5195" s="3" t="n">
        <v>0</v>
      </c>
      <c r="G5195" s="3" t="n">
        <v>31600</v>
      </c>
    </row>
    <row r="5196">
      <c r="A5196" s="3" t="inlineStr">
        <is>
          <t>Cape Projects Construction (Pty) Ltd</t>
        </is>
      </c>
      <c r="B5196" s="4" t="n">
        <v>45322</v>
      </c>
      <c r="C5196" s="3" t="inlineStr">
        <is>
          <t>Expenses</t>
        </is>
      </c>
      <c r="D5196" s="3" t="inlineStr">
        <is>
          <t>2000/500</t>
        </is>
      </c>
      <c r="E5196" s="3" t="inlineStr">
        <is>
          <t>COS - Electricity Cost Endulini</t>
        </is>
      </c>
      <c r="F5196" s="3" t="n">
        <v>0</v>
      </c>
      <c r="G5196" s="3" t="n">
        <v>286.96</v>
      </c>
    </row>
    <row r="5197">
      <c r="A5197" s="3" t="inlineStr">
        <is>
          <t>Cape Projects Construction (Pty) Ltd</t>
        </is>
      </c>
      <c r="B5197" s="4" t="n">
        <v>45322</v>
      </c>
      <c r="C5197" s="3" t="inlineStr">
        <is>
          <t>Expenses</t>
        </is>
      </c>
      <c r="D5197" s="3" t="inlineStr">
        <is>
          <t>2000/501</t>
        </is>
      </c>
      <c r="E5197" s="3" t="inlineStr">
        <is>
          <t>COS - Electricity Cost Heron Field</t>
        </is>
      </c>
      <c r="F5197" s="3" t="n">
        <v>0</v>
      </c>
      <c r="G5197" s="3" t="n">
        <v>86.95999999999999</v>
      </c>
    </row>
    <row r="5198">
      <c r="A5198" s="3" t="inlineStr">
        <is>
          <t>Cape Projects Construction (Pty) Ltd</t>
        </is>
      </c>
      <c r="B5198" s="4" t="n">
        <v>45322</v>
      </c>
      <c r="C5198" s="3" t="inlineStr">
        <is>
          <t>Expenses</t>
        </is>
      </c>
      <c r="D5198" s="3" t="inlineStr">
        <is>
          <t>2001/000</t>
        </is>
      </c>
      <c r="E5198" s="3" t="inlineStr">
        <is>
          <t>Cost of Sales - SouthWark Project</t>
        </is>
      </c>
      <c r="F5198" s="3" t="n">
        <v>0</v>
      </c>
      <c r="G5198" s="3" t="n">
        <v>30620.97</v>
      </c>
    </row>
    <row r="5199">
      <c r="A5199" s="3" t="inlineStr">
        <is>
          <t>Cape Projects Construction (Pty) Ltd</t>
        </is>
      </c>
      <c r="B5199" s="4" t="n">
        <v>45322</v>
      </c>
      <c r="C5199" s="3" t="inlineStr">
        <is>
          <t>Expenses</t>
        </is>
      </c>
      <c r="D5199" s="3" t="inlineStr">
        <is>
          <t>2002/109</t>
        </is>
      </c>
      <c r="E5199" s="3" t="inlineStr">
        <is>
          <t>COS - SoHo External SITE LABOUR</t>
        </is>
      </c>
      <c r="F5199" s="3" t="n">
        <v>0</v>
      </c>
      <c r="G5199" s="3" t="n">
        <v>7408.46</v>
      </c>
    </row>
    <row r="5200">
      <c r="A5200" s="3" t="inlineStr">
        <is>
          <t>Cape Projects Construction (Pty) Ltd</t>
        </is>
      </c>
      <c r="B5200" s="4" t="n">
        <v>45322</v>
      </c>
      <c r="C5200" s="3" t="inlineStr">
        <is>
          <t>Expenses</t>
        </is>
      </c>
      <c r="D5200" s="3" t="inlineStr">
        <is>
          <t>2002/250</t>
        </is>
      </c>
      <c r="E5200" s="3" t="inlineStr">
        <is>
          <t>COS - Security</t>
        </is>
      </c>
      <c r="F5200" s="3" t="n">
        <v>0</v>
      </c>
      <c r="G5200" s="3" t="n">
        <v>10516.44</v>
      </c>
    </row>
    <row r="5201">
      <c r="A5201" s="3" t="inlineStr">
        <is>
          <t>Cape Projects Construction (Pty) Ltd</t>
        </is>
      </c>
      <c r="B5201" s="4" t="n">
        <v>45322</v>
      </c>
      <c r="C5201" s="3" t="inlineStr">
        <is>
          <t>Expenses</t>
        </is>
      </c>
      <c r="D5201" s="3" t="inlineStr">
        <is>
          <t>2002/252</t>
        </is>
      </c>
      <c r="E5201" s="3" t="inlineStr">
        <is>
          <t>COS - Security - Guarding</t>
        </is>
      </c>
      <c r="F5201" s="3" t="n">
        <v>54384.77</v>
      </c>
      <c r="G5201" s="3" t="n">
        <v>152255.68</v>
      </c>
    </row>
    <row r="5202">
      <c r="A5202" s="3" t="inlineStr">
        <is>
          <t>Cape Projects Construction (Pty) Ltd</t>
        </is>
      </c>
      <c r="B5202" s="4" t="n">
        <v>45322</v>
      </c>
      <c r="C5202" s="3" t="inlineStr">
        <is>
          <t>Expenses</t>
        </is>
      </c>
      <c r="D5202" s="3" t="inlineStr">
        <is>
          <t>2006/000</t>
        </is>
      </c>
      <c r="E5202" s="3" t="inlineStr">
        <is>
          <t>COS - Endulini Construction</t>
        </is>
      </c>
      <c r="F5202" s="3" t="n">
        <v>0</v>
      </c>
      <c r="G5202" s="3" t="n">
        <v>352147.74</v>
      </c>
    </row>
    <row r="5203">
      <c r="A5203" s="3" t="inlineStr">
        <is>
          <t>Cape Projects Construction (Pty) Ltd</t>
        </is>
      </c>
      <c r="B5203" s="4" t="n">
        <v>45322</v>
      </c>
      <c r="C5203" s="3" t="inlineStr">
        <is>
          <t>Expenses</t>
        </is>
      </c>
      <c r="D5203" s="3" t="inlineStr">
        <is>
          <t>2006/100</t>
        </is>
      </c>
      <c r="E5203" s="3" t="inlineStr">
        <is>
          <t>COS - Endulini P and G</t>
        </is>
      </c>
      <c r="F5203" s="3" t="n">
        <v>344.34</v>
      </c>
      <c r="G5203" s="3" t="n">
        <v>160505.7</v>
      </c>
    </row>
    <row r="5204">
      <c r="A5204" s="3" t="inlineStr">
        <is>
          <t>Cape Projects Construction (Pty) Ltd</t>
        </is>
      </c>
      <c r="B5204" s="4" t="n">
        <v>45322</v>
      </c>
      <c r="C5204" s="3" t="inlineStr">
        <is>
          <t>Expenses</t>
        </is>
      </c>
      <c r="D5204" s="3" t="inlineStr">
        <is>
          <t>2006/200</t>
        </is>
      </c>
      <c r="E5204" s="3" t="inlineStr">
        <is>
          <t>COS - Insurance</t>
        </is>
      </c>
      <c r="F5204" s="3" t="n">
        <v>0</v>
      </c>
      <c r="G5204" s="3" t="n">
        <v>19969.43</v>
      </c>
    </row>
    <row r="5205">
      <c r="A5205" s="3" t="inlineStr">
        <is>
          <t>Cape Projects Construction (Pty) Ltd</t>
        </is>
      </c>
      <c r="B5205" s="4" t="n">
        <v>45322</v>
      </c>
      <c r="C5205" s="3" t="inlineStr">
        <is>
          <t>Expenses</t>
        </is>
      </c>
      <c r="D5205" s="3" t="inlineStr">
        <is>
          <t>2006/450</t>
        </is>
      </c>
      <c r="E5205" s="3" t="inlineStr">
        <is>
          <t>COS - Endulini - Computer expenses</t>
        </is>
      </c>
      <c r="F5205" s="3" t="n">
        <v>0</v>
      </c>
      <c r="G5205" s="3" t="n">
        <v>26340.75</v>
      </c>
    </row>
    <row r="5206">
      <c r="A5206" s="3" t="inlineStr">
        <is>
          <t>Cape Projects Construction (Pty) Ltd</t>
        </is>
      </c>
      <c r="B5206" s="4" t="n">
        <v>45322</v>
      </c>
      <c r="C5206" s="3" t="inlineStr">
        <is>
          <t>Expenses</t>
        </is>
      </c>
      <c r="D5206" s="3" t="inlineStr">
        <is>
          <t>2006/800</t>
        </is>
      </c>
      <c r="E5206" s="3" t="inlineStr">
        <is>
          <t>COS - Endulini - Telephone &amp; Internet</t>
        </is>
      </c>
      <c r="F5206" s="3" t="n">
        <v>0</v>
      </c>
      <c r="G5206" s="3" t="n">
        <v>760.87</v>
      </c>
    </row>
    <row r="5207">
      <c r="A5207" s="3" t="inlineStr">
        <is>
          <t>Cape Projects Construction (Pty) Ltd</t>
        </is>
      </c>
      <c r="B5207" s="4" t="n">
        <v>45322</v>
      </c>
      <c r="C5207" s="3" t="inlineStr">
        <is>
          <t>Expenses</t>
        </is>
      </c>
      <c r="D5207" s="3" t="inlineStr">
        <is>
          <t>2007/000</t>
        </is>
      </c>
      <c r="E5207" s="3" t="inlineStr">
        <is>
          <t>COS - Repairs &amp; Maintenance - SW Southwark</t>
        </is>
      </c>
      <c r="F5207" s="3" t="n">
        <v>0</v>
      </c>
      <c r="G5207" s="3" t="n">
        <v>27752.22</v>
      </c>
    </row>
    <row r="5208">
      <c r="A5208" s="3" t="inlineStr">
        <is>
          <t>Cape Projects Construction (Pty) Ltd</t>
        </is>
      </c>
      <c r="B5208" s="4" t="n">
        <v>45322</v>
      </c>
      <c r="C5208" s="3" t="inlineStr">
        <is>
          <t>Expenses</t>
        </is>
      </c>
      <c r="D5208" s="3" t="inlineStr">
        <is>
          <t>2008/000</t>
        </is>
      </c>
      <c r="E5208" s="3" t="inlineStr">
        <is>
          <t>COS - Repairs &amp; Maintenance - SH Soho</t>
        </is>
      </c>
      <c r="F5208" s="3" t="n">
        <v>0</v>
      </c>
      <c r="G5208" s="3" t="n">
        <v>7565.57</v>
      </c>
    </row>
    <row r="5209">
      <c r="A5209" s="3" t="inlineStr">
        <is>
          <t>Cape Projects Construction (Pty) Ltd</t>
        </is>
      </c>
      <c r="B5209" s="4" t="n">
        <v>45322</v>
      </c>
      <c r="C5209" s="3" t="inlineStr">
        <is>
          <t>Expenses</t>
        </is>
      </c>
      <c r="D5209" s="3" t="inlineStr">
        <is>
          <t>2011/100</t>
        </is>
      </c>
      <c r="E5209" s="3" t="inlineStr">
        <is>
          <t>COS - Heron Fields - Garden Services</t>
        </is>
      </c>
      <c r="F5209" s="3" t="n">
        <v>0</v>
      </c>
      <c r="G5209" s="3" t="n">
        <v>680</v>
      </c>
    </row>
    <row r="5210">
      <c r="A5210" s="3" t="inlineStr">
        <is>
          <t>Cape Projects Construction (Pty) Ltd</t>
        </is>
      </c>
      <c r="B5210" s="4" t="n">
        <v>45322</v>
      </c>
      <c r="C5210" s="3" t="inlineStr">
        <is>
          <t>Expenses</t>
        </is>
      </c>
      <c r="D5210" s="3" t="inlineStr">
        <is>
          <t>2011/300</t>
        </is>
      </c>
      <c r="E5210" s="3" t="inlineStr">
        <is>
          <t>COS - Heron Fields - Printing &amp; Stationary</t>
        </is>
      </c>
      <c r="F5210" s="3" t="n">
        <v>0</v>
      </c>
      <c r="G5210" s="3" t="n">
        <v>1129.57</v>
      </c>
    </row>
    <row r="5211">
      <c r="A5211" s="3" t="inlineStr">
        <is>
          <t>Cape Projects Construction (Pty) Ltd</t>
        </is>
      </c>
      <c r="B5211" s="4" t="n">
        <v>45322</v>
      </c>
      <c r="C5211" s="3" t="inlineStr">
        <is>
          <t>Expenses</t>
        </is>
      </c>
      <c r="D5211" s="3" t="inlineStr">
        <is>
          <t>2011/500</t>
        </is>
      </c>
      <c r="E5211" s="3" t="inlineStr">
        <is>
          <t>COS - Heron Fields - Construction</t>
        </is>
      </c>
      <c r="F5211" s="3" t="n">
        <v>900</v>
      </c>
      <c r="G5211" s="3" t="n">
        <v>1639839.08</v>
      </c>
    </row>
    <row r="5212">
      <c r="A5212" s="3" t="inlineStr">
        <is>
          <t>Cape Projects Construction (Pty) Ltd</t>
        </is>
      </c>
      <c r="B5212" s="4" t="n">
        <v>45322</v>
      </c>
      <c r="C5212" s="3" t="inlineStr">
        <is>
          <t>Expenses</t>
        </is>
      </c>
      <c r="D5212" s="3" t="inlineStr">
        <is>
          <t>2011/600</t>
        </is>
      </c>
      <c r="E5212" s="3" t="inlineStr">
        <is>
          <t>COS - Heron Fields - P &amp; G</t>
        </is>
      </c>
      <c r="F5212" s="3" t="n">
        <v>3791.59</v>
      </c>
      <c r="G5212" s="3" t="n">
        <v>343823.54</v>
      </c>
    </row>
    <row r="5213">
      <c r="A5213" s="3" t="inlineStr">
        <is>
          <t>Cape Projects Construction (Pty) Ltd</t>
        </is>
      </c>
      <c r="B5213" s="4" t="n">
        <v>45322</v>
      </c>
      <c r="C5213" s="3" t="inlineStr">
        <is>
          <t>Expenses</t>
        </is>
      </c>
      <c r="D5213" s="3" t="inlineStr">
        <is>
          <t>2011/700</t>
        </is>
      </c>
      <c r="E5213" s="3" t="inlineStr">
        <is>
          <t>COS - Heron Fields - Health &amp; Safety</t>
        </is>
      </c>
      <c r="F5213" s="3" t="n">
        <v>0</v>
      </c>
      <c r="G5213" s="3" t="n">
        <v>694.78</v>
      </c>
    </row>
    <row r="5214">
      <c r="A5214" s="3" t="inlineStr">
        <is>
          <t>Cape Projects Construction (Pty) Ltd</t>
        </is>
      </c>
      <c r="B5214" s="4" t="n">
        <v>45322</v>
      </c>
      <c r="C5214" s="3" t="inlineStr">
        <is>
          <t>Expenses</t>
        </is>
      </c>
      <c r="D5214" s="3" t="inlineStr">
        <is>
          <t>2011/900</t>
        </is>
      </c>
      <c r="E5214" s="3" t="inlineStr">
        <is>
          <t>COS - Heron - Internet</t>
        </is>
      </c>
      <c r="F5214" s="3" t="n">
        <v>1849.57</v>
      </c>
      <c r="G5214" s="3" t="n">
        <v>17329.24</v>
      </c>
    </row>
    <row r="5215">
      <c r="A5215" s="3" t="inlineStr">
        <is>
          <t>Cape Projects Construction (Pty) Ltd</t>
        </is>
      </c>
      <c r="B5215" s="4" t="n">
        <v>45322</v>
      </c>
      <c r="C5215" s="3" t="inlineStr">
        <is>
          <t>Expenses</t>
        </is>
      </c>
      <c r="D5215" s="3" t="inlineStr">
        <is>
          <t>2012/001</t>
        </is>
      </c>
      <c r="E5215" s="3" t="inlineStr">
        <is>
          <t>COS - Heron View - Printing &amp; Stationary</t>
        </is>
      </c>
      <c r="F5215" s="3" t="n">
        <v>3036.13</v>
      </c>
      <c r="G5215" s="3" t="n">
        <v>33532.38</v>
      </c>
    </row>
    <row r="5216">
      <c r="A5216" s="3" t="inlineStr">
        <is>
          <t>Cape Projects Construction (Pty) Ltd</t>
        </is>
      </c>
      <c r="B5216" s="4" t="n">
        <v>45322</v>
      </c>
      <c r="C5216" s="3" t="inlineStr">
        <is>
          <t>Expenses</t>
        </is>
      </c>
      <c r="D5216" s="3" t="inlineStr">
        <is>
          <t>2012/002</t>
        </is>
      </c>
      <c r="E5216" s="3" t="inlineStr">
        <is>
          <t>COS - Heron View - Construction</t>
        </is>
      </c>
      <c r="F5216" s="3" t="n">
        <v>2951807.99</v>
      </c>
      <c r="G5216" s="3" t="n">
        <v>43356277.78</v>
      </c>
    </row>
    <row r="5217">
      <c r="A5217" s="3" t="inlineStr">
        <is>
          <t>Cape Projects Construction (Pty) Ltd</t>
        </is>
      </c>
      <c r="B5217" s="4" t="n">
        <v>45322</v>
      </c>
      <c r="C5217" s="3" t="inlineStr">
        <is>
          <t>Expenses</t>
        </is>
      </c>
      <c r="D5217" s="3" t="inlineStr">
        <is>
          <t>2012/003</t>
        </is>
      </c>
      <c r="E5217" s="3" t="inlineStr">
        <is>
          <t>COS - Heron View - P&amp;G</t>
        </is>
      </c>
      <c r="F5217" s="3" t="n">
        <v>518.37</v>
      </c>
      <c r="G5217" s="3" t="n">
        <v>549196.86</v>
      </c>
    </row>
    <row r="5218">
      <c r="A5218" s="3" t="inlineStr">
        <is>
          <t>Cape Projects Construction (Pty) Ltd</t>
        </is>
      </c>
      <c r="B5218" s="4" t="n">
        <v>45322</v>
      </c>
      <c r="C5218" s="3" t="inlineStr">
        <is>
          <t>Expenses</t>
        </is>
      </c>
      <c r="D5218" s="3" t="inlineStr">
        <is>
          <t>2013/000</t>
        </is>
      </c>
      <c r="E5218" s="3" t="inlineStr">
        <is>
          <t>COS - Bakhoven</t>
        </is>
      </c>
      <c r="F5218" s="3" t="n">
        <v>0</v>
      </c>
      <c r="G5218" s="3" t="n">
        <v>17292.48</v>
      </c>
    </row>
    <row r="5219">
      <c r="A5219" s="3" t="inlineStr">
        <is>
          <t>Cape Projects Construction (Pty) Ltd</t>
        </is>
      </c>
      <c r="B5219" s="4" t="n">
        <v>45322</v>
      </c>
      <c r="C5219" s="3" t="inlineStr">
        <is>
          <t>Revenue</t>
        </is>
      </c>
      <c r="D5219" s="3" t="inlineStr">
        <is>
          <t>2750/000</t>
        </is>
      </c>
      <c r="E5219" s="3" t="inlineStr">
        <is>
          <t>Interest Received - FNB</t>
        </is>
      </c>
      <c r="F5219" s="3" t="n">
        <v>-296.71</v>
      </c>
      <c r="G5219" s="3" t="n">
        <v>-2599.73</v>
      </c>
    </row>
    <row r="5220">
      <c r="A5220" s="3" t="inlineStr">
        <is>
          <t>Cape Projects Construction (Pty) Ltd</t>
        </is>
      </c>
      <c r="B5220" s="4" t="n">
        <v>45322</v>
      </c>
      <c r="C5220" s="3" t="inlineStr">
        <is>
          <t>Revenue</t>
        </is>
      </c>
      <c r="D5220" s="3" t="inlineStr">
        <is>
          <t>2751/001</t>
        </is>
      </c>
      <c r="E5220" s="3" t="inlineStr">
        <is>
          <t>Interest received - Momentum</t>
        </is>
      </c>
      <c r="F5220" s="3" t="n">
        <v>0</v>
      </c>
      <c r="G5220" s="3" t="n">
        <v>-34.23</v>
      </c>
    </row>
    <row r="5221">
      <c r="A5221" s="3" t="inlineStr">
        <is>
          <t>Heron Fields (Pty) Ltd</t>
        </is>
      </c>
      <c r="B5221" s="4" t="n">
        <v>45322</v>
      </c>
      <c r="C5221" s="3" t="inlineStr">
        <is>
          <t>Revenue</t>
        </is>
      </c>
      <c r="D5221" s="3" t="inlineStr">
        <is>
          <t>2753/000</t>
        </is>
      </c>
      <c r="E5221" s="3" t="inlineStr">
        <is>
          <t>Interest Received - Deposits</t>
        </is>
      </c>
      <c r="F5221" s="3" t="n">
        <v>-1291.18</v>
      </c>
      <c r="G5221" s="3" t="n">
        <v>-5546.16</v>
      </c>
    </row>
    <row r="5222">
      <c r="A5222" s="3" t="inlineStr">
        <is>
          <t>Heron Fields (Pty) Ltd</t>
        </is>
      </c>
      <c r="B5222" s="4" t="n">
        <v>45322</v>
      </c>
      <c r="C5222" s="3" t="inlineStr">
        <is>
          <t>Revenue</t>
        </is>
      </c>
      <c r="D5222" s="3" t="inlineStr">
        <is>
          <t>2755/001</t>
        </is>
      </c>
      <c r="E5222" s="3" t="inlineStr">
        <is>
          <t>Interest Received - Momentum</t>
        </is>
      </c>
      <c r="F5222" s="3" t="n">
        <v>-125751.22</v>
      </c>
      <c r="G5222" s="3" t="n">
        <v>-2655207.55</v>
      </c>
    </row>
    <row r="5223">
      <c r="A5223" s="3" t="inlineStr">
        <is>
          <t>Heron Fields (Pty) Ltd</t>
        </is>
      </c>
      <c r="B5223" s="4" t="n">
        <v>45322</v>
      </c>
      <c r="C5223" s="3" t="inlineStr">
        <is>
          <t>Expenses</t>
        </is>
      </c>
      <c r="D5223" s="3" t="inlineStr">
        <is>
          <t>3000/000</t>
        </is>
      </c>
      <c r="E5223" s="3" t="inlineStr">
        <is>
          <t>Accounting Fees</t>
        </is>
      </c>
      <c r="F5223" s="3" t="n">
        <v>0</v>
      </c>
      <c r="G5223" s="3" t="n">
        <v>15024.96</v>
      </c>
    </row>
    <row r="5224">
      <c r="A5224" s="3" t="inlineStr">
        <is>
          <t>Heron Fields (Pty) Ltd</t>
        </is>
      </c>
      <c r="B5224" s="4" t="n">
        <v>45322</v>
      </c>
      <c r="C5224" s="3" t="inlineStr">
        <is>
          <t>Expenses</t>
        </is>
      </c>
      <c r="D5224" s="3" t="inlineStr">
        <is>
          <t>3000/100</t>
        </is>
      </c>
      <c r="E5224" s="3" t="inlineStr">
        <is>
          <t>Accounting - CIPC</t>
        </is>
      </c>
      <c r="F5224" s="3" t="n">
        <v>0</v>
      </c>
      <c r="G5224" s="3" t="n">
        <v>3050</v>
      </c>
    </row>
    <row r="5225">
      <c r="A5225" s="3" t="inlineStr">
        <is>
          <t>Cape Projects Construction (Pty) Ltd</t>
        </is>
      </c>
      <c r="B5225" s="4" t="n">
        <v>45322</v>
      </c>
      <c r="C5225" s="3" t="inlineStr">
        <is>
          <t>Expenses</t>
        </is>
      </c>
      <c r="D5225" s="3" t="inlineStr">
        <is>
          <t>3001/000</t>
        </is>
      </c>
      <c r="E5225" s="3" t="inlineStr">
        <is>
          <t>Accounting Fees - Other</t>
        </is>
      </c>
      <c r="F5225" s="3" t="n">
        <v>0</v>
      </c>
      <c r="G5225" s="3" t="n">
        <v>1280</v>
      </c>
    </row>
    <row r="5226">
      <c r="A5226" s="3" t="inlineStr">
        <is>
          <t>Cape Projects Construction (Pty) Ltd</t>
        </is>
      </c>
      <c r="B5226" s="4" t="n">
        <v>45322</v>
      </c>
      <c r="C5226" s="3" t="inlineStr">
        <is>
          <t>Expenses</t>
        </is>
      </c>
      <c r="D5226" s="3" t="inlineStr">
        <is>
          <t>3002/000</t>
        </is>
      </c>
      <c r="E5226" s="3" t="inlineStr">
        <is>
          <t>Accounting Fees - Audit</t>
        </is>
      </c>
      <c r="F5226" s="3" t="n">
        <v>0</v>
      </c>
      <c r="G5226" s="3" t="n">
        <v>11170</v>
      </c>
    </row>
    <row r="5227">
      <c r="A5227" s="3" t="inlineStr">
        <is>
          <t>Cape Projects Construction (Pty) Ltd</t>
        </is>
      </c>
      <c r="B5227" s="4" t="n">
        <v>45322</v>
      </c>
      <c r="C5227" s="3" t="inlineStr">
        <is>
          <t>Expenses</t>
        </is>
      </c>
      <c r="D5227" s="3" t="inlineStr">
        <is>
          <t>3050/000</t>
        </is>
      </c>
      <c r="E5227" s="3" t="inlineStr">
        <is>
          <t>Advertising _AND_ Promotions</t>
        </is>
      </c>
      <c r="F5227" s="3" t="n">
        <v>0</v>
      </c>
      <c r="G5227" s="3" t="n">
        <v>10975</v>
      </c>
    </row>
    <row r="5228">
      <c r="A5228" s="3" t="inlineStr">
        <is>
          <t>Heron Fields (Pty) Ltd</t>
        </is>
      </c>
      <c r="B5228" s="4" t="n">
        <v>45322</v>
      </c>
      <c r="C5228" s="3" t="inlineStr">
        <is>
          <t>Expenses</t>
        </is>
      </c>
      <c r="D5228" s="3" t="inlineStr">
        <is>
          <t>3050/000</t>
        </is>
      </c>
      <c r="E5228" s="3" t="inlineStr">
        <is>
          <t>Advertising _AND_ Promotions</t>
        </is>
      </c>
      <c r="F5228" s="3" t="n">
        <v>0</v>
      </c>
      <c r="G5228" s="3" t="n">
        <v>178914.34</v>
      </c>
    </row>
    <row r="5229">
      <c r="A5229" s="3" t="inlineStr">
        <is>
          <t>Heron View (Pty) Ltd</t>
        </is>
      </c>
      <c r="B5229" s="4" t="n">
        <v>45322</v>
      </c>
      <c r="C5229" s="3" t="inlineStr">
        <is>
          <t>Expenses</t>
        </is>
      </c>
      <c r="D5229" s="3" t="inlineStr">
        <is>
          <t>3050/000</t>
        </is>
      </c>
      <c r="E5229" s="3" t="inlineStr">
        <is>
          <t>Advertising _AND_ Promotions</t>
        </is>
      </c>
      <c r="F5229" s="3" t="n">
        <v>0</v>
      </c>
      <c r="G5229" s="3" t="n">
        <v>52857.72</v>
      </c>
    </row>
    <row r="5230">
      <c r="A5230" s="3" t="inlineStr">
        <is>
          <t>Heron Fields (Pty) Ltd</t>
        </is>
      </c>
      <c r="B5230" s="4" t="n">
        <v>45322</v>
      </c>
      <c r="C5230" s="3" t="inlineStr">
        <is>
          <t>Expenses</t>
        </is>
      </c>
      <c r="D5230" s="3" t="inlineStr">
        <is>
          <t>3050/100</t>
        </is>
      </c>
      <c r="E5230" s="3" t="inlineStr">
        <is>
          <t>Advertising - Property24</t>
        </is>
      </c>
      <c r="F5230" s="3" t="n">
        <v>0</v>
      </c>
      <c r="G5230" s="3" t="n">
        <v>12480</v>
      </c>
    </row>
    <row r="5231">
      <c r="A5231" s="3" t="inlineStr">
        <is>
          <t>Cape Projects Construction (Pty) Ltd</t>
        </is>
      </c>
      <c r="B5231" s="4" t="n">
        <v>45322</v>
      </c>
      <c r="C5231" s="3" t="inlineStr">
        <is>
          <t>Expenses</t>
        </is>
      </c>
      <c r="D5231" s="3" t="inlineStr">
        <is>
          <t>3050/150</t>
        </is>
      </c>
      <c r="E5231" s="3" t="inlineStr">
        <is>
          <t>Advertising - Design Fees</t>
        </is>
      </c>
      <c r="F5231" s="3" t="n">
        <v>0</v>
      </c>
      <c r="G5231" s="3" t="n">
        <v>295</v>
      </c>
    </row>
    <row r="5232">
      <c r="A5232" s="3" t="inlineStr">
        <is>
          <t>Heron Fields (Pty) Ltd</t>
        </is>
      </c>
      <c r="B5232" s="4" t="n">
        <v>45322</v>
      </c>
      <c r="C5232" s="3" t="inlineStr">
        <is>
          <t>Expenses</t>
        </is>
      </c>
      <c r="D5232" s="3" t="inlineStr">
        <is>
          <t>3050/300</t>
        </is>
      </c>
      <c r="E5232" s="3" t="inlineStr">
        <is>
          <t>Advertising - Real Marketing</t>
        </is>
      </c>
      <c r="F5232" s="3" t="n">
        <v>0</v>
      </c>
      <c r="G5232" s="3" t="n">
        <v>10250</v>
      </c>
    </row>
    <row r="5233">
      <c r="A5233" s="3" t="inlineStr">
        <is>
          <t>Heron View (Pty) Ltd</t>
        </is>
      </c>
      <c r="B5233" s="4" t="n">
        <v>45322</v>
      </c>
      <c r="C5233" s="3" t="inlineStr">
        <is>
          <t>Expenses</t>
        </is>
      </c>
      <c r="D5233" s="3" t="inlineStr">
        <is>
          <t>3050/300</t>
        </is>
      </c>
      <c r="E5233" s="3" t="inlineStr">
        <is>
          <t>Advertising - Thinkink</t>
        </is>
      </c>
      <c r="F5233" s="3" t="n">
        <v>0</v>
      </c>
      <c r="G5233" s="3" t="n">
        <v>17855</v>
      </c>
    </row>
    <row r="5234">
      <c r="A5234" s="3" t="inlineStr">
        <is>
          <t>Heron View (Pty) Ltd</t>
        </is>
      </c>
      <c r="B5234" s="4" t="n">
        <v>45322</v>
      </c>
      <c r="C5234" s="3" t="inlineStr">
        <is>
          <t>Expenses</t>
        </is>
      </c>
      <c r="D5234" s="3" t="inlineStr">
        <is>
          <t>3050/400</t>
        </is>
      </c>
      <c r="E5234" s="3" t="inlineStr">
        <is>
          <t>Advertising - Pure Brand Activation</t>
        </is>
      </c>
      <c r="F5234" s="3" t="n">
        <v>0</v>
      </c>
      <c r="G5234" s="3" t="n">
        <v>14569.1</v>
      </c>
    </row>
    <row r="5235">
      <c r="A5235" s="3" t="inlineStr">
        <is>
          <t>Cape Projects Construction (Pty) Ltd</t>
        </is>
      </c>
      <c r="B5235" s="4" t="n">
        <v>45322</v>
      </c>
      <c r="C5235" s="3" t="inlineStr">
        <is>
          <t>Expenses</t>
        </is>
      </c>
      <c r="D5235" s="3" t="inlineStr">
        <is>
          <t>3050/450</t>
        </is>
      </c>
      <c r="E5235" s="3" t="inlineStr">
        <is>
          <t>Advertising - Other</t>
        </is>
      </c>
      <c r="F5235" s="3" t="n">
        <v>0</v>
      </c>
      <c r="G5235" s="3" t="n">
        <v>1597</v>
      </c>
    </row>
    <row r="5236">
      <c r="A5236" s="3" t="inlineStr">
        <is>
          <t>Heron View (Pty) Ltd</t>
        </is>
      </c>
      <c r="B5236" s="4" t="n">
        <v>45322</v>
      </c>
      <c r="C5236" s="3" t="inlineStr">
        <is>
          <t>Expenses</t>
        </is>
      </c>
      <c r="D5236" s="3" t="inlineStr">
        <is>
          <t>3050/500</t>
        </is>
      </c>
      <c r="E5236" s="3" t="inlineStr">
        <is>
          <t>Advertising - Real Marketing</t>
        </is>
      </c>
      <c r="F5236" s="3" t="n">
        <v>0</v>
      </c>
      <c r="G5236" s="3" t="n">
        <v>18500</v>
      </c>
    </row>
    <row r="5237">
      <c r="A5237" s="3" t="inlineStr">
        <is>
          <t>Cape Projects Construction (Pty) Ltd</t>
        </is>
      </c>
      <c r="B5237" s="4" t="n">
        <v>45322</v>
      </c>
      <c r="C5237" s="3" t="inlineStr">
        <is>
          <t>Expenses</t>
        </is>
      </c>
      <c r="D5237" s="3" t="inlineStr">
        <is>
          <t>3200/000</t>
        </is>
      </c>
      <c r="E5237" s="3" t="inlineStr">
        <is>
          <t>Bank Charges</t>
        </is>
      </c>
      <c r="F5237" s="3" t="n">
        <v>2245.76</v>
      </c>
      <c r="G5237" s="3" t="n">
        <v>20170.05</v>
      </c>
    </row>
    <row r="5238">
      <c r="A5238" s="3" t="inlineStr">
        <is>
          <t>Heron Fields (Pty) Ltd</t>
        </is>
      </c>
      <c r="B5238" s="4" t="n">
        <v>45322</v>
      </c>
      <c r="C5238" s="3" t="inlineStr">
        <is>
          <t>Expenses</t>
        </is>
      </c>
      <c r="D5238" s="3" t="inlineStr">
        <is>
          <t>3200/000</t>
        </is>
      </c>
      <c r="E5238" s="3" t="inlineStr">
        <is>
          <t>Bank Charges</t>
        </is>
      </c>
      <c r="F5238" s="3" t="n">
        <v>399.76</v>
      </c>
      <c r="G5238" s="3" t="n">
        <v>4750.68</v>
      </c>
    </row>
    <row r="5239">
      <c r="A5239" s="3" t="inlineStr">
        <is>
          <t>Cape Projects Construction (Pty) Ltd</t>
        </is>
      </c>
      <c r="B5239" s="4" t="n">
        <v>45322</v>
      </c>
      <c r="C5239" s="3" t="inlineStr">
        <is>
          <t>Expenses</t>
        </is>
      </c>
      <c r="D5239" s="3" t="inlineStr">
        <is>
          <t>3250/000</t>
        </is>
      </c>
      <c r="E5239" s="3" t="inlineStr">
        <is>
          <t>Cleaning</t>
        </is>
      </c>
      <c r="F5239" s="3" t="n">
        <v>483.52</v>
      </c>
      <c r="G5239" s="3" t="n">
        <v>1211.89</v>
      </c>
    </row>
    <row r="5240">
      <c r="A5240" s="3" t="inlineStr">
        <is>
          <t>Cape Projects Construction (Pty) Ltd</t>
        </is>
      </c>
      <c r="B5240" s="4" t="n">
        <v>45322</v>
      </c>
      <c r="C5240" s="3" t="inlineStr">
        <is>
          <t>Expenses</t>
        </is>
      </c>
      <c r="D5240" s="3" t="inlineStr">
        <is>
          <t>3255/000</t>
        </is>
      </c>
      <c r="E5240" s="3" t="inlineStr">
        <is>
          <t>Cell Phone - CT Office</t>
        </is>
      </c>
      <c r="F5240" s="3" t="n">
        <v>0</v>
      </c>
      <c r="G5240" s="3" t="n">
        <v>4123</v>
      </c>
    </row>
    <row r="5241">
      <c r="A5241" s="3" t="inlineStr">
        <is>
          <t>Cape Projects Construction (Pty) Ltd</t>
        </is>
      </c>
      <c r="B5241" s="4" t="n">
        <v>45322</v>
      </c>
      <c r="C5241" s="3" t="inlineStr">
        <is>
          <t>Expenses</t>
        </is>
      </c>
      <c r="D5241" s="3" t="inlineStr">
        <is>
          <t>3256/000</t>
        </is>
      </c>
      <c r="E5241" s="3" t="inlineStr">
        <is>
          <t>Cell Phone - Nick Morgan</t>
        </is>
      </c>
      <c r="F5241" s="3" t="n">
        <v>0</v>
      </c>
      <c r="G5241" s="3" t="n">
        <v>26779.67</v>
      </c>
    </row>
    <row r="5242">
      <c r="A5242" s="3" t="inlineStr">
        <is>
          <t>Cape Projects Construction (Pty) Ltd</t>
        </is>
      </c>
      <c r="B5242" s="4" t="n">
        <v>45322</v>
      </c>
      <c r="C5242" s="3" t="inlineStr">
        <is>
          <t>Expenses</t>
        </is>
      </c>
      <c r="D5242" s="3" t="inlineStr">
        <is>
          <t>3300/000</t>
        </is>
      </c>
      <c r="E5242" s="3" t="inlineStr">
        <is>
          <t>Computer Expenses</t>
        </is>
      </c>
      <c r="F5242" s="3" t="n">
        <v>0</v>
      </c>
      <c r="G5242" s="3" t="n">
        <v>6402.65</v>
      </c>
    </row>
    <row r="5243">
      <c r="A5243" s="3" t="inlineStr">
        <is>
          <t>Cape Projects Construction (Pty) Ltd</t>
        </is>
      </c>
      <c r="B5243" s="4" t="n">
        <v>45322</v>
      </c>
      <c r="C5243" s="3" t="inlineStr">
        <is>
          <t>Expenses</t>
        </is>
      </c>
      <c r="D5243" s="3" t="inlineStr">
        <is>
          <t>3300/100</t>
        </is>
      </c>
      <c r="E5243" s="3" t="inlineStr">
        <is>
          <t>Computer Exp - IT, Internet/Hosting Fee</t>
        </is>
      </c>
      <c r="F5243" s="3" t="n">
        <v>3975</v>
      </c>
      <c r="G5243" s="3" t="n">
        <v>43074</v>
      </c>
    </row>
    <row r="5244">
      <c r="A5244" s="3" t="inlineStr">
        <is>
          <t>Heron Fields (Pty) Ltd</t>
        </is>
      </c>
      <c r="B5244" s="4" t="n">
        <v>45322</v>
      </c>
      <c r="C5244" s="3" t="inlineStr">
        <is>
          <t>Expenses</t>
        </is>
      </c>
      <c r="D5244" s="3" t="inlineStr">
        <is>
          <t>3350/100</t>
        </is>
      </c>
      <c r="E5244" s="3" t="inlineStr">
        <is>
          <t>Consulting Fees - Admin and Finance</t>
        </is>
      </c>
      <c r="F5244" s="3" t="n">
        <v>120475.57</v>
      </c>
      <c r="G5244" s="3" t="n">
        <v>1290791.14</v>
      </c>
    </row>
    <row r="5245">
      <c r="A5245" s="3" t="inlineStr">
        <is>
          <t>Cape Projects Construction (Pty) Ltd</t>
        </is>
      </c>
      <c r="B5245" s="4" t="n">
        <v>45322</v>
      </c>
      <c r="C5245" s="3" t="inlineStr">
        <is>
          <t>Expenses</t>
        </is>
      </c>
      <c r="D5245" s="3" t="inlineStr">
        <is>
          <t>3350/300</t>
        </is>
      </c>
      <c r="E5245" s="3" t="inlineStr">
        <is>
          <t>Consulting Fees - Admin and Finance</t>
        </is>
      </c>
      <c r="F5245" s="3" t="n">
        <v>128868.17</v>
      </c>
      <c r="G5245" s="3" t="n">
        <v>1361002.88</v>
      </c>
    </row>
    <row r="5246">
      <c r="A5246" s="3" t="inlineStr">
        <is>
          <t>Heron Fields (Pty) Ltd</t>
        </is>
      </c>
      <c r="B5246" s="4" t="n">
        <v>45322</v>
      </c>
      <c r="C5246" s="3" t="inlineStr">
        <is>
          <t>Expenses</t>
        </is>
      </c>
      <c r="D5246" s="3" t="inlineStr">
        <is>
          <t>3351/000</t>
        </is>
      </c>
      <c r="E5246" s="3" t="inlineStr">
        <is>
          <t>Consulting fees - Trustee</t>
        </is>
      </c>
      <c r="F5246" s="3" t="n">
        <v>4200</v>
      </c>
      <c r="G5246" s="3" t="n">
        <v>26300</v>
      </c>
    </row>
    <row r="5247">
      <c r="A5247" s="3" t="inlineStr">
        <is>
          <t>Heron View (Pty) Ltd</t>
        </is>
      </c>
      <c r="B5247" s="4" t="n">
        <v>45322</v>
      </c>
      <c r="C5247" s="3" t="inlineStr">
        <is>
          <t>Expenses</t>
        </is>
      </c>
      <c r="D5247" s="3" t="inlineStr">
        <is>
          <t>3351/000</t>
        </is>
      </c>
      <c r="E5247" s="3" t="inlineStr">
        <is>
          <t>Consulting fees - Trustee</t>
        </is>
      </c>
      <c r="F5247" s="3" t="n">
        <v>10500</v>
      </c>
      <c r="G5247" s="3" t="n">
        <v>76750</v>
      </c>
    </row>
    <row r="5248">
      <c r="A5248" s="3" t="inlineStr">
        <is>
          <t>Cape Projects Construction (Pty) Ltd</t>
        </is>
      </c>
      <c r="B5248" s="4" t="n">
        <v>45322</v>
      </c>
      <c r="C5248" s="3" t="inlineStr">
        <is>
          <t>Expenses</t>
        </is>
      </c>
      <c r="D5248" s="3" t="inlineStr">
        <is>
          <t>3400/000</t>
        </is>
      </c>
      <c r="E5248" s="3" t="inlineStr">
        <is>
          <t>Courier _AND_ Postage</t>
        </is>
      </c>
      <c r="F5248" s="3" t="n">
        <v>0</v>
      </c>
      <c r="G5248" s="3" t="n">
        <v>331.09</v>
      </c>
    </row>
    <row r="5249">
      <c r="A5249" s="3" t="inlineStr">
        <is>
          <t>Cape Projects Construction (Pty) Ltd</t>
        </is>
      </c>
      <c r="B5249" s="4" t="n">
        <v>45322</v>
      </c>
      <c r="C5249" s="3" t="inlineStr">
        <is>
          <t>Expenses</t>
        </is>
      </c>
      <c r="D5249" s="3" t="inlineStr">
        <is>
          <t>3450/001</t>
        </is>
      </c>
      <c r="E5249" s="3" t="inlineStr">
        <is>
          <t>Depreciation - Computer Equipment</t>
        </is>
      </c>
      <c r="F5249" s="3" t="n">
        <v>4562.87</v>
      </c>
      <c r="G5249" s="3" t="n">
        <v>41812.75</v>
      </c>
    </row>
    <row r="5250">
      <c r="A5250" s="3" t="inlineStr">
        <is>
          <t>Cape Projects Construction (Pty) Ltd</t>
        </is>
      </c>
      <c r="B5250" s="4" t="n">
        <v>45322</v>
      </c>
      <c r="C5250" s="3" t="inlineStr">
        <is>
          <t>Expenses</t>
        </is>
      </c>
      <c r="D5250" s="3" t="inlineStr">
        <is>
          <t>3450/002</t>
        </is>
      </c>
      <c r="E5250" s="3" t="inlineStr">
        <is>
          <t>Depreciation - Generator Fixed Asset</t>
        </is>
      </c>
      <c r="F5250" s="3" t="n">
        <v>1188.71</v>
      </c>
      <c r="G5250" s="3" t="n">
        <v>11084.97</v>
      </c>
    </row>
    <row r="5251">
      <c r="A5251" s="3" t="inlineStr">
        <is>
          <t>Cape Projects Construction (Pty) Ltd</t>
        </is>
      </c>
      <c r="B5251" s="4" t="n">
        <v>45322</v>
      </c>
      <c r="C5251" s="3" t="inlineStr">
        <is>
          <t>Expenses</t>
        </is>
      </c>
      <c r="D5251" s="3" t="inlineStr">
        <is>
          <t>3450/030</t>
        </is>
      </c>
      <c r="E5251" s="3" t="inlineStr">
        <is>
          <t>Depreciation - Furniture and Fittings</t>
        </is>
      </c>
      <c r="F5251" s="3" t="n">
        <v>547.6799999999999</v>
      </c>
      <c r="G5251" s="3" t="n">
        <v>6024.45</v>
      </c>
    </row>
    <row r="5252">
      <c r="A5252" s="3" t="inlineStr">
        <is>
          <t>Heron Fields (Pty) Ltd</t>
        </is>
      </c>
      <c r="B5252" s="4" t="n">
        <v>45322</v>
      </c>
      <c r="C5252" s="3" t="inlineStr">
        <is>
          <t>Expenses</t>
        </is>
      </c>
      <c r="D5252" s="3" t="inlineStr">
        <is>
          <t>3650/000</t>
        </is>
      </c>
      <c r="E5252" s="3" t="inlineStr">
        <is>
          <t>CoCT - Electricity</t>
        </is>
      </c>
      <c r="F5252" s="3" t="n">
        <v>68.37</v>
      </c>
      <c r="G5252" s="3" t="n">
        <v>223859.69</v>
      </c>
    </row>
    <row r="5253">
      <c r="A5253" s="3" t="inlineStr">
        <is>
          <t>Cape Projects Construction (Pty) Ltd</t>
        </is>
      </c>
      <c r="B5253" s="4" t="n">
        <v>45322</v>
      </c>
      <c r="C5253" s="3" t="inlineStr">
        <is>
          <t>Expenses</t>
        </is>
      </c>
      <c r="D5253" s="3" t="inlineStr">
        <is>
          <t>3650/000</t>
        </is>
      </c>
      <c r="E5253" s="3" t="inlineStr">
        <is>
          <t>Electricity _AND_ Water</t>
        </is>
      </c>
      <c r="F5253" s="3" t="n">
        <v>0</v>
      </c>
      <c r="G5253" s="3" t="n">
        <v>60974.72</v>
      </c>
    </row>
    <row r="5254">
      <c r="A5254" s="3" t="inlineStr">
        <is>
          <t>Heron Fields (Pty) Ltd</t>
        </is>
      </c>
      <c r="B5254" s="4" t="n">
        <v>45322</v>
      </c>
      <c r="C5254" s="3" t="inlineStr">
        <is>
          <t>Expenses</t>
        </is>
      </c>
      <c r="D5254" s="3" t="inlineStr">
        <is>
          <t>3660/000</t>
        </is>
      </c>
      <c r="E5254" s="3" t="inlineStr">
        <is>
          <t>CoCT - Water</t>
        </is>
      </c>
      <c r="F5254" s="3" t="n">
        <v>-147.72</v>
      </c>
      <c r="G5254" s="3" t="n">
        <v>94012.10000000001</v>
      </c>
    </row>
    <row r="5255">
      <c r="A5255" s="3" t="inlineStr">
        <is>
          <t>Heron View (Pty) Ltd</t>
        </is>
      </c>
      <c r="B5255" s="4" t="n">
        <v>45322</v>
      </c>
      <c r="C5255" s="3" t="inlineStr">
        <is>
          <t>Expenses</t>
        </is>
      </c>
      <c r="D5255" s="3" t="inlineStr">
        <is>
          <t>3660/000</t>
        </is>
      </c>
      <c r="E5255" s="3" t="inlineStr">
        <is>
          <t>Water</t>
        </is>
      </c>
      <c r="F5255" s="3" t="n">
        <v>0</v>
      </c>
      <c r="G5255" s="3" t="n">
        <v>19.64</v>
      </c>
    </row>
    <row r="5256">
      <c r="A5256" s="3" t="inlineStr">
        <is>
          <t>Heron Fields (Pty) Ltd</t>
        </is>
      </c>
      <c r="B5256" s="4" t="n">
        <v>45322</v>
      </c>
      <c r="C5256" s="3" t="inlineStr">
        <is>
          <t>Expenses</t>
        </is>
      </c>
      <c r="D5256" s="3" t="inlineStr">
        <is>
          <t>3670/000</t>
        </is>
      </c>
      <c r="E5256" s="3" t="inlineStr">
        <is>
          <t>CoCT - Refuse</t>
        </is>
      </c>
      <c r="F5256" s="3" t="n">
        <v>0</v>
      </c>
      <c r="G5256" s="3" t="n">
        <v>46978.37</v>
      </c>
    </row>
    <row r="5257">
      <c r="A5257" s="3" t="inlineStr">
        <is>
          <t>Heron Fields (Pty) Ltd</t>
        </is>
      </c>
      <c r="B5257" s="4" t="n">
        <v>45322</v>
      </c>
      <c r="C5257" s="3" t="inlineStr">
        <is>
          <t>Expenses</t>
        </is>
      </c>
      <c r="D5257" s="3" t="inlineStr">
        <is>
          <t>3700/000</t>
        </is>
      </c>
      <c r="E5257" s="3" t="inlineStr">
        <is>
          <t>Entertainment Expenses</t>
        </is>
      </c>
      <c r="F5257" s="3" t="n">
        <v>0</v>
      </c>
      <c r="G5257" s="3" t="n">
        <v>39.47</v>
      </c>
    </row>
    <row r="5258">
      <c r="A5258" s="3" t="inlineStr">
        <is>
          <t>Heron Fields (Pty) Ltd</t>
        </is>
      </c>
      <c r="B5258" s="4" t="n">
        <v>45322</v>
      </c>
      <c r="C5258" s="3" t="inlineStr">
        <is>
          <t>Expenses</t>
        </is>
      </c>
      <c r="D5258" s="3" t="inlineStr">
        <is>
          <t>3800/000</t>
        </is>
      </c>
      <c r="E5258" s="3" t="inlineStr">
        <is>
          <t>General Expenses</t>
        </is>
      </c>
      <c r="F5258" s="3" t="n">
        <v>0</v>
      </c>
      <c r="G5258" s="3" t="n">
        <v>3156.51</v>
      </c>
    </row>
    <row r="5259">
      <c r="A5259" s="3" t="inlineStr">
        <is>
          <t>Heron Fields (Pty) Ltd</t>
        </is>
      </c>
      <c r="B5259" s="4" t="n">
        <v>45322</v>
      </c>
      <c r="C5259" s="3" t="inlineStr">
        <is>
          <t>Expenses</t>
        </is>
      </c>
      <c r="D5259" s="3" t="inlineStr">
        <is>
          <t>3850/000</t>
        </is>
      </c>
      <c r="E5259" s="3" t="inlineStr">
        <is>
          <t>Insurance</t>
        </is>
      </c>
      <c r="F5259" s="3" t="n">
        <v>15043.78</v>
      </c>
      <c r="G5259" s="3" t="n">
        <v>117447.02</v>
      </c>
    </row>
    <row r="5260">
      <c r="A5260" s="3" t="inlineStr">
        <is>
          <t>Cape Projects Construction (Pty) Ltd</t>
        </is>
      </c>
      <c r="B5260" s="4" t="n">
        <v>45322</v>
      </c>
      <c r="C5260" s="3" t="inlineStr">
        <is>
          <t>Expenses</t>
        </is>
      </c>
      <c r="D5260" s="3" t="inlineStr">
        <is>
          <t>3850/001</t>
        </is>
      </c>
      <c r="E5260" s="3" t="inlineStr">
        <is>
          <t>Insurance - Santam</t>
        </is>
      </c>
      <c r="F5260" s="3" t="n">
        <v>0</v>
      </c>
      <c r="G5260" s="3" t="n">
        <v>24779.49</v>
      </c>
    </row>
    <row r="5261">
      <c r="A5261" s="3" t="inlineStr">
        <is>
          <t>Cape Projects Construction (Pty) Ltd</t>
        </is>
      </c>
      <c r="B5261" s="4" t="n">
        <v>45322</v>
      </c>
      <c r="C5261" s="3" t="inlineStr">
        <is>
          <t>Expenses</t>
        </is>
      </c>
      <c r="D5261" s="3" t="inlineStr">
        <is>
          <t>3850/004</t>
        </is>
      </c>
      <c r="E5261" s="3" t="inlineStr">
        <is>
          <t>Insurance - A_AND_G</t>
        </is>
      </c>
      <c r="F5261" s="3" t="n">
        <v>0</v>
      </c>
      <c r="G5261" s="3" t="n">
        <v>24242.76</v>
      </c>
    </row>
    <row r="5262">
      <c r="A5262" s="3" t="inlineStr">
        <is>
          <t>Heron Fields (Pty) Ltd</t>
        </is>
      </c>
      <c r="B5262" s="4" t="n">
        <v>45322</v>
      </c>
      <c r="C5262" s="3" t="inlineStr">
        <is>
          <t>Expenses</t>
        </is>
      </c>
      <c r="D5262" s="3" t="inlineStr">
        <is>
          <t>3900/000</t>
        </is>
      </c>
      <c r="E5262" s="3" t="inlineStr">
        <is>
          <t>Interest Paid</t>
        </is>
      </c>
      <c r="F5262" s="3" t="n">
        <v>0</v>
      </c>
      <c r="G5262" s="3" t="n">
        <v>-533.8</v>
      </c>
    </row>
    <row r="5263">
      <c r="A5263" s="3" t="inlineStr">
        <is>
          <t>Heron Fields (Pty) Ltd</t>
        </is>
      </c>
      <c r="B5263" s="4" t="n">
        <v>45322</v>
      </c>
      <c r="C5263" s="3" t="inlineStr">
        <is>
          <t>Expenses</t>
        </is>
      </c>
      <c r="D5263" s="3" t="inlineStr">
        <is>
          <t>3900/111</t>
        </is>
      </c>
      <c r="E5263" s="3" t="inlineStr">
        <is>
          <t>Interest Paid - Investors @ 6.25%</t>
        </is>
      </c>
      <c r="F5263" s="3" t="n">
        <v>0</v>
      </c>
      <c r="G5263" s="3" t="n">
        <v>167246.17</v>
      </c>
    </row>
    <row r="5264">
      <c r="A5264" s="3" t="inlineStr">
        <is>
          <t>Heron Fields (Pty) Ltd</t>
        </is>
      </c>
      <c r="B5264" s="4" t="n">
        <v>45322</v>
      </c>
      <c r="C5264" s="3" t="inlineStr">
        <is>
          <t>Expenses</t>
        </is>
      </c>
      <c r="D5264" s="3" t="inlineStr">
        <is>
          <t>3900/115</t>
        </is>
      </c>
      <c r="E5264" s="3" t="inlineStr">
        <is>
          <t>Interest Paid - Investors @ 6.5%</t>
        </is>
      </c>
      <c r="F5264" s="3" t="n">
        <v>0</v>
      </c>
      <c r="G5264" s="3" t="n">
        <v>72942.48</v>
      </c>
    </row>
    <row r="5265">
      <c r="A5265" s="3" t="inlineStr">
        <is>
          <t>Heron Fields (Pty) Ltd</t>
        </is>
      </c>
      <c r="B5265" s="4" t="n">
        <v>45322</v>
      </c>
      <c r="C5265" s="3" t="inlineStr">
        <is>
          <t>Expenses</t>
        </is>
      </c>
      <c r="D5265" s="3" t="inlineStr">
        <is>
          <t>3900/117</t>
        </is>
      </c>
      <c r="E5265" s="3" t="inlineStr">
        <is>
          <t>Interest Paid - Investors @ 6.75%</t>
        </is>
      </c>
      <c r="F5265" s="3" t="n">
        <v>0</v>
      </c>
      <c r="G5265" s="3" t="n">
        <v>44124.67</v>
      </c>
    </row>
    <row r="5266">
      <c r="A5266" s="3" t="inlineStr">
        <is>
          <t>Heron Fields (Pty) Ltd</t>
        </is>
      </c>
      <c r="B5266" s="4" t="n">
        <v>45322</v>
      </c>
      <c r="C5266" s="3" t="inlineStr">
        <is>
          <t>Expenses</t>
        </is>
      </c>
      <c r="D5266" s="3" t="inlineStr">
        <is>
          <t>3900/120</t>
        </is>
      </c>
      <c r="E5266" s="3" t="inlineStr">
        <is>
          <t>Interest Paid - Investors @ 7%</t>
        </is>
      </c>
      <c r="F5266" s="3" t="n">
        <v>0</v>
      </c>
      <c r="G5266" s="3" t="n">
        <v>11678.33</v>
      </c>
    </row>
    <row r="5267">
      <c r="A5267" s="3" t="inlineStr">
        <is>
          <t>Heron View (Pty) Ltd</t>
        </is>
      </c>
      <c r="B5267" s="4" t="n">
        <v>45322</v>
      </c>
      <c r="C5267" s="3" t="inlineStr">
        <is>
          <t>Expenses</t>
        </is>
      </c>
      <c r="D5267" s="3" t="inlineStr">
        <is>
          <t>3900/120</t>
        </is>
      </c>
      <c r="E5267" s="3" t="inlineStr">
        <is>
          <t>Interest Paid - Investors @ 7%</t>
        </is>
      </c>
      <c r="F5267" s="3" t="n">
        <v>10319.93</v>
      </c>
      <c r="G5267" s="3" t="n">
        <v>11927.71</v>
      </c>
    </row>
    <row r="5268">
      <c r="A5268" s="3" t="inlineStr">
        <is>
          <t>Heron Fields (Pty) Ltd</t>
        </is>
      </c>
      <c r="B5268" s="4" t="n">
        <v>45322</v>
      </c>
      <c r="C5268" s="3" t="inlineStr">
        <is>
          <t>Expenses</t>
        </is>
      </c>
      <c r="D5268" s="3" t="inlineStr">
        <is>
          <t>3900/126</t>
        </is>
      </c>
      <c r="E5268" s="3" t="inlineStr">
        <is>
          <t>Interest Paid - Investors @ 7.5%</t>
        </is>
      </c>
      <c r="F5268" s="3" t="n">
        <v>0</v>
      </c>
      <c r="G5268" s="3" t="n">
        <v>1252.24</v>
      </c>
    </row>
    <row r="5269">
      <c r="A5269" s="3" t="inlineStr">
        <is>
          <t>Heron View (Pty) Ltd</t>
        </is>
      </c>
      <c r="B5269" s="4" t="n">
        <v>45322</v>
      </c>
      <c r="C5269" s="3" t="inlineStr">
        <is>
          <t>Expenses</t>
        </is>
      </c>
      <c r="D5269" s="3" t="inlineStr">
        <is>
          <t>3900/126</t>
        </is>
      </c>
      <c r="E5269" s="3" t="inlineStr">
        <is>
          <t>Interest Paid - Investors @ 7.5%</t>
        </is>
      </c>
      <c r="F5269" s="3" t="n">
        <v>29501.74</v>
      </c>
      <c r="G5269" s="3" t="n">
        <v>31008.9</v>
      </c>
    </row>
    <row r="5270">
      <c r="A5270" s="3" t="inlineStr">
        <is>
          <t>Heron Fields (Pty) Ltd</t>
        </is>
      </c>
      <c r="B5270" s="4" t="n">
        <v>45322</v>
      </c>
      <c r="C5270" s="3" t="inlineStr">
        <is>
          <t>Expenses</t>
        </is>
      </c>
      <c r="D5270" s="3" t="inlineStr">
        <is>
          <t>3900/133</t>
        </is>
      </c>
      <c r="E5270" s="3" t="inlineStr">
        <is>
          <t>Interest Paid - Investors @ 8.25%</t>
        </is>
      </c>
      <c r="F5270" s="3" t="n">
        <v>0</v>
      </c>
      <c r="G5270" s="3" t="n">
        <v>5515.07</v>
      </c>
    </row>
    <row r="5271">
      <c r="A5271" s="3" t="inlineStr">
        <is>
          <t>Heron View (Pty) Ltd</t>
        </is>
      </c>
      <c r="B5271" s="4" t="n">
        <v>45322</v>
      </c>
      <c r="C5271" s="3" t="inlineStr">
        <is>
          <t>Expenses</t>
        </is>
      </c>
      <c r="D5271" s="3" t="inlineStr">
        <is>
          <t>3900/133</t>
        </is>
      </c>
      <c r="E5271" s="3" t="inlineStr">
        <is>
          <t>Interest Paid - Investors @ 8.25%</t>
        </is>
      </c>
      <c r="F5271" s="3" t="n">
        <v>621.26</v>
      </c>
      <c r="G5271" s="3" t="n">
        <v>33734.3</v>
      </c>
    </row>
    <row r="5272">
      <c r="A5272" s="3" t="inlineStr">
        <is>
          <t>Heron Fields (Pty) Ltd</t>
        </is>
      </c>
      <c r="B5272" s="4" t="n">
        <v>45322</v>
      </c>
      <c r="C5272" s="3" t="inlineStr">
        <is>
          <t>Expenses</t>
        </is>
      </c>
      <c r="D5272" s="3" t="inlineStr">
        <is>
          <t>3900/140</t>
        </is>
      </c>
      <c r="E5272" s="3" t="inlineStr">
        <is>
          <t>Interest Paid - Investors @ 9%</t>
        </is>
      </c>
      <c r="F5272" s="3" t="n">
        <v>0</v>
      </c>
      <c r="G5272" s="3" t="n">
        <v>591.78</v>
      </c>
    </row>
    <row r="5273">
      <c r="A5273" s="3" t="inlineStr">
        <is>
          <t>Heron View (Pty) Ltd</t>
        </is>
      </c>
      <c r="B5273" s="4" t="n">
        <v>45322</v>
      </c>
      <c r="C5273" s="3" t="inlineStr">
        <is>
          <t>Expenses</t>
        </is>
      </c>
      <c r="D5273" s="3" t="inlineStr">
        <is>
          <t>3900/140</t>
        </is>
      </c>
      <c r="E5273" s="3" t="inlineStr">
        <is>
          <t>Interest Paid - Investors @ 9%</t>
        </is>
      </c>
      <c r="F5273" s="3" t="n">
        <v>0</v>
      </c>
      <c r="G5273" s="3" t="n">
        <v>69137.8</v>
      </c>
    </row>
    <row r="5274">
      <c r="A5274" s="3" t="inlineStr">
        <is>
          <t>Heron View (Pty) Ltd</t>
        </is>
      </c>
      <c r="B5274" s="4" t="n">
        <v>45322</v>
      </c>
      <c r="C5274" s="3" t="inlineStr">
        <is>
          <t>Expenses</t>
        </is>
      </c>
      <c r="D5274" s="3" t="inlineStr">
        <is>
          <t>3900/147</t>
        </is>
      </c>
      <c r="E5274" s="3" t="inlineStr">
        <is>
          <t>Interest Paid - Investors @ 9.75%</t>
        </is>
      </c>
      <c r="F5274" s="3" t="n">
        <v>0</v>
      </c>
      <c r="G5274" s="3" t="n">
        <v>2537.9</v>
      </c>
    </row>
    <row r="5275">
      <c r="A5275" s="3" t="inlineStr">
        <is>
          <t>Heron View (Pty) Ltd</t>
        </is>
      </c>
      <c r="B5275" s="4" t="n">
        <v>45322</v>
      </c>
      <c r="C5275" s="3" t="inlineStr">
        <is>
          <t>Expenses</t>
        </is>
      </c>
      <c r="D5275" s="3" t="inlineStr">
        <is>
          <t>3900/150</t>
        </is>
      </c>
      <c r="E5275" s="3" t="inlineStr">
        <is>
          <t>Interest Paid - Investors @ 10%</t>
        </is>
      </c>
      <c r="F5275" s="3" t="n">
        <v>0</v>
      </c>
      <c r="G5275" s="3" t="n">
        <v>5709.59</v>
      </c>
    </row>
    <row r="5276">
      <c r="A5276" s="3" t="inlineStr">
        <is>
          <t>Heron View (Pty) Ltd</t>
        </is>
      </c>
      <c r="B5276" s="4" t="n">
        <v>45322</v>
      </c>
      <c r="C5276" s="3" t="inlineStr">
        <is>
          <t>Expenses</t>
        </is>
      </c>
      <c r="D5276" s="3" t="inlineStr">
        <is>
          <t>3900/155</t>
        </is>
      </c>
      <c r="E5276" s="3" t="inlineStr">
        <is>
          <t>Interest Paid - Investors @ 10.5%</t>
        </is>
      </c>
      <c r="F5276" s="3" t="n">
        <v>0</v>
      </c>
      <c r="G5276" s="3" t="n">
        <v>19334.38</v>
      </c>
    </row>
    <row r="5277">
      <c r="A5277" s="3" t="inlineStr">
        <is>
          <t>Heron View (Pty) Ltd</t>
        </is>
      </c>
      <c r="B5277" s="4" t="n">
        <v>45322</v>
      </c>
      <c r="C5277" s="3" t="inlineStr">
        <is>
          <t>Expenses</t>
        </is>
      </c>
      <c r="D5277" s="3" t="inlineStr">
        <is>
          <t>3900/160</t>
        </is>
      </c>
      <c r="E5277" s="3" t="inlineStr">
        <is>
          <t>Interest Paid - Investors @ 11%</t>
        </is>
      </c>
      <c r="F5277" s="3" t="n">
        <v>0</v>
      </c>
      <c r="G5277" s="3" t="n">
        <v>9131.51</v>
      </c>
    </row>
    <row r="5278">
      <c r="A5278" s="3" t="inlineStr">
        <is>
          <t>Heron Fields (Pty) Ltd</t>
        </is>
      </c>
      <c r="B5278" s="4" t="n">
        <v>45322</v>
      </c>
      <c r="C5278" s="3" t="inlineStr">
        <is>
          <t>Expenses</t>
        </is>
      </c>
      <c r="D5278" s="3" t="inlineStr">
        <is>
          <t>3900/190</t>
        </is>
      </c>
      <c r="E5278" s="3" t="inlineStr">
        <is>
          <t>Interest Paid - Investors @ 14%</t>
        </is>
      </c>
      <c r="F5278" s="3" t="n">
        <v>0</v>
      </c>
      <c r="G5278" s="3" t="n">
        <v>400367.2</v>
      </c>
    </row>
    <row r="5279">
      <c r="A5279" s="3" t="inlineStr">
        <is>
          <t>Heron View (Pty) Ltd</t>
        </is>
      </c>
      <c r="B5279" s="4" t="n">
        <v>45322</v>
      </c>
      <c r="C5279" s="3" t="inlineStr">
        <is>
          <t>Expenses</t>
        </is>
      </c>
      <c r="D5279" s="3" t="inlineStr">
        <is>
          <t>3900/190</t>
        </is>
      </c>
      <c r="E5279" s="3" t="inlineStr">
        <is>
          <t>Interest Paid - Investors @ 14%</t>
        </is>
      </c>
      <c r="F5279" s="3" t="n">
        <v>78686.33</v>
      </c>
      <c r="G5279" s="3" t="n">
        <v>683898.63</v>
      </c>
    </row>
    <row r="5280">
      <c r="A5280" s="3" t="inlineStr">
        <is>
          <t>Heron Fields (Pty) Ltd</t>
        </is>
      </c>
      <c r="B5280" s="4" t="n">
        <v>45322</v>
      </c>
      <c r="C5280" s="3" t="inlineStr">
        <is>
          <t>Expenses</t>
        </is>
      </c>
      <c r="D5280" s="3" t="inlineStr">
        <is>
          <t>3900/200</t>
        </is>
      </c>
      <c r="E5280" s="3" t="inlineStr">
        <is>
          <t>Interest Paid - Investors @ 15%</t>
        </is>
      </c>
      <c r="F5280" s="3" t="n">
        <v>0</v>
      </c>
      <c r="G5280" s="3" t="n">
        <v>333349.31</v>
      </c>
    </row>
    <row r="5281">
      <c r="A5281" s="3" t="inlineStr">
        <is>
          <t>Heron Fields (Pty) Ltd</t>
        </is>
      </c>
      <c r="B5281" s="4" t="n">
        <v>45322</v>
      </c>
      <c r="C5281" s="3" t="inlineStr">
        <is>
          <t>Expenses</t>
        </is>
      </c>
      <c r="D5281" s="3" t="inlineStr">
        <is>
          <t>3900/210</t>
        </is>
      </c>
      <c r="E5281" s="3" t="inlineStr">
        <is>
          <t>Interest Paid - Investors @ 16%</t>
        </is>
      </c>
      <c r="F5281" s="3" t="n">
        <v>0</v>
      </c>
      <c r="G5281" s="3" t="n">
        <v>47473.98</v>
      </c>
    </row>
    <row r="5282">
      <c r="A5282" s="3" t="inlineStr">
        <is>
          <t>Heron View (Pty) Ltd</t>
        </is>
      </c>
      <c r="B5282" s="4" t="n">
        <v>45322</v>
      </c>
      <c r="C5282" s="3" t="inlineStr">
        <is>
          <t>Expenses</t>
        </is>
      </c>
      <c r="D5282" s="3" t="inlineStr">
        <is>
          <t>3900/210</t>
        </is>
      </c>
      <c r="E5282" s="3" t="inlineStr">
        <is>
          <t>Interest Paid - Investors @ 16%</t>
        </is>
      </c>
      <c r="F5282" s="3" t="n">
        <v>52778.08</v>
      </c>
      <c r="G5282" s="3" t="n">
        <v>273806.02</v>
      </c>
    </row>
    <row r="5283">
      <c r="A5283" s="3" t="inlineStr">
        <is>
          <t>Heron Fields (Pty) Ltd</t>
        </is>
      </c>
      <c r="B5283" s="4" t="n">
        <v>45322</v>
      </c>
      <c r="C5283" s="3" t="inlineStr">
        <is>
          <t>Expenses</t>
        </is>
      </c>
      <c r="D5283" s="3" t="inlineStr">
        <is>
          <t>3900/230</t>
        </is>
      </c>
      <c r="E5283" s="3" t="inlineStr">
        <is>
          <t>Interest Paid - Investors @ 18%</t>
        </is>
      </c>
      <c r="F5283" s="3" t="n">
        <v>0</v>
      </c>
      <c r="G5283" s="3" t="n">
        <v>3197167.68</v>
      </c>
    </row>
    <row r="5284">
      <c r="A5284" s="3" t="inlineStr">
        <is>
          <t>Heron View (Pty) Ltd</t>
        </is>
      </c>
      <c r="B5284" s="4" t="n">
        <v>45322</v>
      </c>
      <c r="C5284" s="3" t="inlineStr">
        <is>
          <t>Expenses</t>
        </is>
      </c>
      <c r="D5284" s="3" t="inlineStr">
        <is>
          <t>3900/230</t>
        </is>
      </c>
      <c r="E5284" s="3" t="inlineStr">
        <is>
          <t>Interest Paid - Investors @ 18%</t>
        </is>
      </c>
      <c r="F5284" s="3" t="n">
        <v>1185476.01</v>
      </c>
      <c r="G5284" s="3" t="n">
        <v>2923625.72</v>
      </c>
    </row>
    <row r="5285">
      <c r="A5285" s="3" t="inlineStr">
        <is>
          <t>Cape Projects Construction (Pty) Ltd</t>
        </is>
      </c>
      <c r="B5285" s="4" t="n">
        <v>45322</v>
      </c>
      <c r="C5285" s="3" t="inlineStr">
        <is>
          <t>Expenses</t>
        </is>
      </c>
      <c r="D5285" s="3" t="inlineStr">
        <is>
          <t>4000/000</t>
        </is>
      </c>
      <c r="E5285" s="3" t="inlineStr">
        <is>
          <t>Legal Fees</t>
        </is>
      </c>
      <c r="F5285" s="3" t="n">
        <v>0</v>
      </c>
      <c r="G5285" s="3" t="n">
        <v>5202.88</v>
      </c>
    </row>
    <row r="5286">
      <c r="A5286" s="3" t="inlineStr">
        <is>
          <t>Heron View (Pty) Ltd</t>
        </is>
      </c>
      <c r="B5286" s="4" t="n">
        <v>45322</v>
      </c>
      <c r="C5286" s="3" t="inlineStr">
        <is>
          <t>Expenses</t>
        </is>
      </c>
      <c r="D5286" s="3" t="inlineStr">
        <is>
          <t>4040/000</t>
        </is>
      </c>
      <c r="E5286" s="3" t="inlineStr">
        <is>
          <t>Levies - Special Levies</t>
        </is>
      </c>
      <c r="F5286" s="3" t="n">
        <v>0</v>
      </c>
      <c r="G5286" s="3" t="n">
        <v>66011.50999999999</v>
      </c>
    </row>
    <row r="5287">
      <c r="A5287" s="3" t="inlineStr">
        <is>
          <t>Heron View (Pty) Ltd</t>
        </is>
      </c>
      <c r="B5287" s="4" t="n">
        <v>45322</v>
      </c>
      <c r="C5287" s="3" t="inlineStr">
        <is>
          <t>Expenses</t>
        </is>
      </c>
      <c r="D5287" s="3" t="inlineStr">
        <is>
          <t>4050/000</t>
        </is>
      </c>
      <c r="E5287" s="3" t="inlineStr">
        <is>
          <t>Levies</t>
        </is>
      </c>
      <c r="F5287" s="3" t="n">
        <v>1773.44</v>
      </c>
      <c r="G5287" s="3" t="n">
        <v>4860.54</v>
      </c>
    </row>
    <row r="5288">
      <c r="A5288" s="3" t="inlineStr">
        <is>
          <t>Heron Fields (Pty) Ltd</t>
        </is>
      </c>
      <c r="B5288" s="4" t="n">
        <v>45322</v>
      </c>
      <c r="C5288" s="3" t="inlineStr">
        <is>
          <t>Expenses</t>
        </is>
      </c>
      <c r="D5288" s="3" t="inlineStr">
        <is>
          <t>4050/100</t>
        </is>
      </c>
      <c r="E5288" s="3" t="inlineStr">
        <is>
          <t>Developers Levies</t>
        </is>
      </c>
      <c r="F5288" s="3" t="n">
        <v>0</v>
      </c>
      <c r="G5288" s="3" t="n">
        <v>76865.83</v>
      </c>
    </row>
    <row r="5289">
      <c r="A5289" s="3" t="inlineStr">
        <is>
          <t>Heron Fields (Pty) Ltd</t>
        </is>
      </c>
      <c r="B5289" s="4" t="n">
        <v>45322</v>
      </c>
      <c r="C5289" s="3" t="inlineStr">
        <is>
          <t>Expenses</t>
        </is>
      </c>
      <c r="D5289" s="3" t="inlineStr">
        <is>
          <t>4050/200</t>
        </is>
      </c>
      <c r="E5289" s="3" t="inlineStr">
        <is>
          <t>Levies - Amari</t>
        </is>
      </c>
      <c r="F5289" s="3" t="n">
        <v>3292.17</v>
      </c>
      <c r="G5289" s="3" t="n">
        <v>28072.92</v>
      </c>
    </row>
    <row r="5290">
      <c r="A5290" s="3" t="inlineStr">
        <is>
          <t>Heron View (Pty) Ltd</t>
        </is>
      </c>
      <c r="B5290" s="4" t="n">
        <v>45322</v>
      </c>
      <c r="C5290" s="3" t="inlineStr">
        <is>
          <t>Expenses</t>
        </is>
      </c>
      <c r="D5290" s="3" t="inlineStr">
        <is>
          <t>4060/000</t>
        </is>
      </c>
      <c r="E5290" s="3" t="inlineStr">
        <is>
          <t>Levies - Developer</t>
        </is>
      </c>
      <c r="F5290" s="3" t="n">
        <v>0</v>
      </c>
      <c r="G5290" s="3" t="n">
        <v>11879.1</v>
      </c>
    </row>
    <row r="5291">
      <c r="A5291" s="3" t="inlineStr">
        <is>
          <t>Heron View (Pty) Ltd</t>
        </is>
      </c>
      <c r="B5291" s="4" t="n">
        <v>45322</v>
      </c>
      <c r="C5291" s="3" t="inlineStr">
        <is>
          <t>Expenses</t>
        </is>
      </c>
      <c r="D5291" s="3" t="inlineStr">
        <is>
          <t>4070/000</t>
        </is>
      </c>
      <c r="E5291" s="3" t="inlineStr">
        <is>
          <t>Management fees - OMH</t>
        </is>
      </c>
      <c r="F5291" s="3" t="n">
        <v>0</v>
      </c>
      <c r="G5291" s="3" t="n">
        <v>400000</v>
      </c>
    </row>
    <row r="5292">
      <c r="A5292" s="3" t="inlineStr">
        <is>
          <t>Heron Fields (Pty) Ltd</t>
        </is>
      </c>
      <c r="B5292" s="4" t="n">
        <v>45322</v>
      </c>
      <c r="C5292" s="3" t="inlineStr">
        <is>
          <t>Expenses</t>
        </is>
      </c>
      <c r="D5292" s="3" t="inlineStr">
        <is>
          <t>4100/001</t>
        </is>
      </c>
      <c r="E5292" s="3" t="inlineStr">
        <is>
          <t>Momentum Admin Fee</t>
        </is>
      </c>
      <c r="F5292" s="3" t="n">
        <v>7192.15</v>
      </c>
      <c r="G5292" s="3" t="n">
        <v>128656.07</v>
      </c>
    </row>
    <row r="5293">
      <c r="A5293" s="3" t="inlineStr">
        <is>
          <t>Cape Projects Construction (Pty) Ltd</t>
        </is>
      </c>
      <c r="B5293" s="4" t="n">
        <v>45322</v>
      </c>
      <c r="C5293" s="3" t="inlineStr">
        <is>
          <t>Expenses</t>
        </is>
      </c>
      <c r="D5293" s="3" t="inlineStr">
        <is>
          <t>4150/000</t>
        </is>
      </c>
      <c r="E5293" s="3" t="inlineStr">
        <is>
          <t>Motor Vehicle Expenses</t>
        </is>
      </c>
      <c r="F5293" s="3" t="n">
        <v>0</v>
      </c>
      <c r="G5293" s="3" t="n">
        <v>362</v>
      </c>
    </row>
    <row r="5294">
      <c r="A5294" s="3" t="inlineStr">
        <is>
          <t>Heron Fields (Pty) Ltd</t>
        </is>
      </c>
      <c r="B5294" s="4" t="n">
        <v>45322</v>
      </c>
      <c r="C5294" s="3" t="inlineStr">
        <is>
          <t>Expenses</t>
        </is>
      </c>
      <c r="D5294" s="3" t="inlineStr">
        <is>
          <t>4150/000</t>
        </is>
      </c>
      <c r="E5294" s="3" t="inlineStr">
        <is>
          <t>Motor Vehicle Expenses</t>
        </is>
      </c>
      <c r="F5294" s="3" t="n">
        <v>0</v>
      </c>
      <c r="G5294" s="3" t="n">
        <v>20</v>
      </c>
    </row>
    <row r="5295">
      <c r="A5295" s="3" t="inlineStr">
        <is>
          <t>Cape Projects Construction (Pty) Ltd</t>
        </is>
      </c>
      <c r="B5295" s="4" t="n">
        <v>45322</v>
      </c>
      <c r="C5295" s="3" t="inlineStr">
        <is>
          <t>Expenses</t>
        </is>
      </c>
      <c r="D5295" s="3" t="inlineStr">
        <is>
          <t>4150/010</t>
        </is>
      </c>
      <c r="E5295" s="3" t="inlineStr">
        <is>
          <t>Motor Vehicle - Petrol _AND_ Oil</t>
        </is>
      </c>
      <c r="F5295" s="3" t="n">
        <v>1463.16</v>
      </c>
      <c r="G5295" s="3" t="n">
        <v>40495.31</v>
      </c>
    </row>
    <row r="5296">
      <c r="A5296" s="3" t="inlineStr">
        <is>
          <t>Cape Projects Construction (Pty) Ltd</t>
        </is>
      </c>
      <c r="B5296" s="4" t="n">
        <v>45322</v>
      </c>
      <c r="C5296" s="3" t="inlineStr">
        <is>
          <t>Expenses</t>
        </is>
      </c>
      <c r="D5296" s="3" t="inlineStr">
        <is>
          <t>4150/020</t>
        </is>
      </c>
      <c r="E5296" s="3" t="inlineStr">
        <is>
          <t>Motor Vehicle - Repairs _AND_ Maint.</t>
        </is>
      </c>
      <c r="F5296" s="3" t="n">
        <v>0</v>
      </c>
      <c r="G5296" s="3" t="n">
        <v>3668.3</v>
      </c>
    </row>
    <row r="5297">
      <c r="A5297" s="3" t="inlineStr">
        <is>
          <t>Cape Projects Construction (Pty) Ltd</t>
        </is>
      </c>
      <c r="B5297" s="4" t="n">
        <v>45322</v>
      </c>
      <c r="C5297" s="3" t="inlineStr">
        <is>
          <t>Expenses</t>
        </is>
      </c>
      <c r="D5297" s="3" t="inlineStr">
        <is>
          <t>4150/030</t>
        </is>
      </c>
      <c r="E5297" s="3" t="inlineStr">
        <is>
          <t>Motor Vehicle - Insurance _AND_ Licence</t>
        </is>
      </c>
      <c r="F5297" s="3" t="n">
        <v>0</v>
      </c>
      <c r="G5297" s="3" t="n">
        <v>1069</v>
      </c>
    </row>
    <row r="5298">
      <c r="A5298" s="3" t="inlineStr">
        <is>
          <t>Cape Projects Construction (Pty) Ltd</t>
        </is>
      </c>
      <c r="B5298" s="4" t="n">
        <v>45322</v>
      </c>
      <c r="C5298" s="3" t="inlineStr">
        <is>
          <t>Expenses</t>
        </is>
      </c>
      <c r="D5298" s="3" t="inlineStr">
        <is>
          <t>4200/000</t>
        </is>
      </c>
      <c r="E5298" s="3" t="inlineStr">
        <is>
          <t>Printing _AND_ Stationery</t>
        </is>
      </c>
      <c r="F5298" s="3" t="n">
        <v>6631.55</v>
      </c>
      <c r="G5298" s="3" t="n">
        <v>45147.94</v>
      </c>
    </row>
    <row r="5299">
      <c r="A5299" s="3" t="inlineStr">
        <is>
          <t>Cape Projects Construction (Pty) Ltd</t>
        </is>
      </c>
      <c r="B5299" s="4" t="n">
        <v>45322</v>
      </c>
      <c r="C5299" s="3" t="inlineStr">
        <is>
          <t>Expenses</t>
        </is>
      </c>
      <c r="D5299" s="3" t="inlineStr">
        <is>
          <t>4201/000</t>
        </is>
      </c>
      <c r="E5299" s="3" t="inlineStr">
        <is>
          <t>Printing - Printer rental</t>
        </is>
      </c>
      <c r="F5299" s="3" t="n">
        <v>2233.3</v>
      </c>
      <c r="G5299" s="3" t="n">
        <v>23689.51</v>
      </c>
    </row>
    <row r="5300">
      <c r="A5300" s="3" t="inlineStr">
        <is>
          <t>Cape Projects Construction (Pty) Ltd</t>
        </is>
      </c>
      <c r="B5300" s="4" t="n">
        <v>45322</v>
      </c>
      <c r="C5300" s="3" t="inlineStr">
        <is>
          <t>Expenses</t>
        </is>
      </c>
      <c r="D5300" s="3" t="inlineStr">
        <is>
          <t>4300/000</t>
        </is>
      </c>
      <c r="E5300" s="3" t="inlineStr">
        <is>
          <t>Rent Paid</t>
        </is>
      </c>
      <c r="F5300" s="3" t="n">
        <v>31820</v>
      </c>
      <c r="G5300" s="3" t="n">
        <v>332260</v>
      </c>
    </row>
    <row r="5301">
      <c r="A5301" s="3" t="inlineStr">
        <is>
          <t>Cape Projects Construction (Pty) Ltd</t>
        </is>
      </c>
      <c r="B5301" s="4" t="n">
        <v>45322</v>
      </c>
      <c r="C5301" s="3" t="inlineStr">
        <is>
          <t>Expenses</t>
        </is>
      </c>
      <c r="D5301" s="3" t="inlineStr">
        <is>
          <t>4310/000</t>
        </is>
      </c>
      <c r="E5301" s="3" t="inlineStr">
        <is>
          <t>Rates</t>
        </is>
      </c>
      <c r="F5301" s="3" t="n">
        <v>8257.370000000001</v>
      </c>
      <c r="G5301" s="3" t="n">
        <v>27343.13</v>
      </c>
    </row>
    <row r="5302">
      <c r="A5302" s="3" t="inlineStr">
        <is>
          <t>Heron Fields (Pty) Ltd</t>
        </is>
      </c>
      <c r="B5302" s="4" t="n">
        <v>45322</v>
      </c>
      <c r="C5302" s="3" t="inlineStr">
        <is>
          <t>Expenses</t>
        </is>
      </c>
      <c r="D5302" s="3" t="inlineStr">
        <is>
          <t>4310/000</t>
        </is>
      </c>
      <c r="E5302" s="3" t="inlineStr">
        <is>
          <t>Rates - Heron</t>
        </is>
      </c>
      <c r="F5302" s="3" t="n">
        <v>0</v>
      </c>
      <c r="G5302" s="3" t="n">
        <v>211633.66</v>
      </c>
    </row>
    <row r="5303">
      <c r="A5303" s="3" t="inlineStr">
        <is>
          <t>Cape Projects Construction (Pty) Ltd</t>
        </is>
      </c>
      <c r="B5303" s="4" t="n">
        <v>45322</v>
      </c>
      <c r="C5303" s="3" t="inlineStr">
        <is>
          <t>Expenses</t>
        </is>
      </c>
      <c r="D5303" s="3" t="inlineStr">
        <is>
          <t>4350/000</t>
        </is>
      </c>
      <c r="E5303" s="3" t="inlineStr">
        <is>
          <t>Repairs _AND_ Maintenance</t>
        </is>
      </c>
      <c r="F5303" s="3" t="n">
        <v>0</v>
      </c>
      <c r="G5303" s="3" t="n">
        <v>16125.02</v>
      </c>
    </row>
    <row r="5304">
      <c r="A5304" s="3" t="inlineStr">
        <is>
          <t>Heron Fields (Pty) Ltd</t>
        </is>
      </c>
      <c r="B5304" s="4" t="n">
        <v>45322</v>
      </c>
      <c r="C5304" s="3" t="inlineStr">
        <is>
          <t>Expenses</t>
        </is>
      </c>
      <c r="D5304" s="3" t="inlineStr">
        <is>
          <t>4350/000</t>
        </is>
      </c>
      <c r="E5304" s="3" t="inlineStr">
        <is>
          <t>Repairs _AND_ Maintenance</t>
        </is>
      </c>
      <c r="F5304" s="3" t="n">
        <v>0</v>
      </c>
      <c r="G5304" s="3" t="n">
        <v>34547.28</v>
      </c>
    </row>
    <row r="5305">
      <c r="A5305" s="3" t="inlineStr">
        <is>
          <t>Heron View (Pty) Ltd</t>
        </is>
      </c>
      <c r="B5305" s="4" t="n">
        <v>45322</v>
      </c>
      <c r="C5305" s="3" t="inlineStr">
        <is>
          <t>Expenses</t>
        </is>
      </c>
      <c r="D5305" s="3" t="inlineStr">
        <is>
          <t>4350/000</t>
        </is>
      </c>
      <c r="E5305" s="3" t="inlineStr">
        <is>
          <t>Repairs _AND_ Maintenance</t>
        </is>
      </c>
      <c r="F5305" s="3" t="n">
        <v>7583.63</v>
      </c>
      <c r="G5305" s="3" t="n">
        <v>23147.12</v>
      </c>
    </row>
    <row r="5306">
      <c r="A5306" s="3" t="inlineStr">
        <is>
          <t>Cape Projects Construction (Pty) Ltd</t>
        </is>
      </c>
      <c r="B5306" s="4" t="n">
        <v>45322</v>
      </c>
      <c r="C5306" s="3" t="inlineStr">
        <is>
          <t>Expenses</t>
        </is>
      </c>
      <c r="D5306" s="3" t="inlineStr">
        <is>
          <t>4400/000</t>
        </is>
      </c>
      <c r="E5306" s="3" t="inlineStr">
        <is>
          <t>Salaries _AND_ Wages</t>
        </is>
      </c>
      <c r="F5306" s="3" t="n">
        <v>441360.94</v>
      </c>
      <c r="G5306" s="3" t="n">
        <v>4236868.55</v>
      </c>
    </row>
    <row r="5307">
      <c r="A5307" s="3" t="inlineStr">
        <is>
          <t>Cape Projects Construction (Pty) Ltd</t>
        </is>
      </c>
      <c r="B5307" s="4" t="n">
        <v>45322</v>
      </c>
      <c r="C5307" s="3" t="inlineStr">
        <is>
          <t>Expenses</t>
        </is>
      </c>
      <c r="D5307" s="3" t="inlineStr">
        <is>
          <t>4402</t>
        </is>
      </c>
      <c r="E5307" s="3" t="inlineStr">
        <is>
          <t>Salaries &amp; Wages - WCA</t>
        </is>
      </c>
      <c r="F5307" s="3" t="n">
        <v>0</v>
      </c>
      <c r="G5307" s="3" t="n">
        <v>5192.13</v>
      </c>
    </row>
    <row r="5308">
      <c r="A5308" s="3" t="inlineStr">
        <is>
          <t>Cape Projects Construction (Pty) Ltd</t>
        </is>
      </c>
      <c r="B5308" s="4" t="n">
        <v>45322</v>
      </c>
      <c r="C5308" s="3" t="inlineStr">
        <is>
          <t>Expenses</t>
        </is>
      </c>
      <c r="D5308" s="3" t="inlineStr">
        <is>
          <t>4403/000</t>
        </is>
      </c>
      <c r="E5308" s="3" t="inlineStr">
        <is>
          <t>Security</t>
        </is>
      </c>
      <c r="F5308" s="3" t="n">
        <v>191.17</v>
      </c>
      <c r="G5308" s="3" t="n">
        <v>2005.99</v>
      </c>
    </row>
    <row r="5309">
      <c r="A5309" s="3" t="inlineStr">
        <is>
          <t>Heron Fields (Pty) Ltd</t>
        </is>
      </c>
      <c r="B5309" s="4" t="n">
        <v>45322</v>
      </c>
      <c r="C5309" s="3" t="inlineStr">
        <is>
          <t>Expenses</t>
        </is>
      </c>
      <c r="D5309" s="3" t="inlineStr">
        <is>
          <t>4420/000</t>
        </is>
      </c>
      <c r="E5309" s="3" t="inlineStr">
        <is>
          <t>Security</t>
        </is>
      </c>
      <c r="F5309" s="3" t="n">
        <v>0</v>
      </c>
      <c r="G5309" s="3" t="n">
        <v>7198.71</v>
      </c>
    </row>
    <row r="5310">
      <c r="A5310" s="3" t="inlineStr">
        <is>
          <t>Cape Projects Construction (Pty) Ltd</t>
        </is>
      </c>
      <c r="B5310" s="4" t="n">
        <v>45322</v>
      </c>
      <c r="C5310" s="3" t="inlineStr">
        <is>
          <t>Expenses</t>
        </is>
      </c>
      <c r="D5310" s="3" t="inlineStr">
        <is>
          <t>4420/000</t>
        </is>
      </c>
      <c r="E5310" s="3" t="inlineStr">
        <is>
          <t>Small Assets</t>
        </is>
      </c>
      <c r="F5310" s="3" t="n">
        <v>2431.25</v>
      </c>
      <c r="G5310" s="3" t="n">
        <v>33441.99</v>
      </c>
    </row>
    <row r="5311">
      <c r="A5311" s="3" t="inlineStr">
        <is>
          <t>Heron Fields (Pty) Ltd</t>
        </is>
      </c>
      <c r="B5311" s="4" t="n">
        <v>45322</v>
      </c>
      <c r="C5311" s="3" t="inlineStr">
        <is>
          <t>Expenses</t>
        </is>
      </c>
      <c r="D5311" s="3" t="inlineStr">
        <is>
          <t>4420/001</t>
        </is>
      </c>
      <c r="E5311" s="3" t="inlineStr">
        <is>
          <t>Security - ADT</t>
        </is>
      </c>
      <c r="F5311" s="3" t="n">
        <v>0</v>
      </c>
      <c r="G5311" s="3" t="n">
        <v>4301.75</v>
      </c>
    </row>
    <row r="5312">
      <c r="A5312" s="3" t="inlineStr">
        <is>
          <t>Cape Projects Construction (Pty) Ltd</t>
        </is>
      </c>
      <c r="B5312" s="4" t="n">
        <v>45322</v>
      </c>
      <c r="C5312" s="3" t="inlineStr">
        <is>
          <t>Expenses</t>
        </is>
      </c>
      <c r="D5312" s="3" t="inlineStr">
        <is>
          <t>4450/000</t>
        </is>
      </c>
      <c r="E5312" s="3" t="inlineStr">
        <is>
          <t>Staff Training</t>
        </is>
      </c>
      <c r="F5312" s="3" t="n">
        <v>0</v>
      </c>
      <c r="G5312" s="3" t="n">
        <v>3452.7</v>
      </c>
    </row>
    <row r="5313">
      <c r="A5313" s="3" t="inlineStr">
        <is>
          <t>Cape Projects Construction (Pty) Ltd</t>
        </is>
      </c>
      <c r="B5313" s="4" t="n">
        <v>45322</v>
      </c>
      <c r="C5313" s="3" t="inlineStr">
        <is>
          <t>Expenses</t>
        </is>
      </c>
      <c r="D5313" s="3" t="inlineStr">
        <is>
          <t>4500/000</t>
        </is>
      </c>
      <c r="E5313" s="3" t="inlineStr">
        <is>
          <t>Staff Welfare _AND_ Refreshmts</t>
        </is>
      </c>
      <c r="F5313" s="3" t="n">
        <v>2314.69</v>
      </c>
      <c r="G5313" s="3" t="n">
        <v>36787.25</v>
      </c>
    </row>
    <row r="5314">
      <c r="A5314" s="3" t="inlineStr">
        <is>
          <t>Cape Projects Construction (Pty) Ltd</t>
        </is>
      </c>
      <c r="B5314" s="4" t="n">
        <v>45322</v>
      </c>
      <c r="C5314" s="3" t="inlineStr">
        <is>
          <t>Expenses</t>
        </is>
      </c>
      <c r="D5314" s="3" t="inlineStr">
        <is>
          <t>4550/000</t>
        </is>
      </c>
      <c r="E5314" s="3" t="inlineStr">
        <is>
          <t>Subscriptions / Licenses</t>
        </is>
      </c>
      <c r="F5314" s="3" t="n">
        <v>0</v>
      </c>
      <c r="G5314" s="3" t="n">
        <v>13527.97</v>
      </c>
    </row>
    <row r="5315">
      <c r="A5315" s="3" t="inlineStr">
        <is>
          <t>Cape Projects Construction (Pty) Ltd</t>
        </is>
      </c>
      <c r="B5315" s="4" t="n">
        <v>45322</v>
      </c>
      <c r="C5315" s="3" t="inlineStr">
        <is>
          <t>Expenses</t>
        </is>
      </c>
      <c r="D5315" s="3" t="inlineStr">
        <is>
          <t>4550/001</t>
        </is>
      </c>
      <c r="E5315" s="3" t="inlineStr">
        <is>
          <t>Subscriptions &amp; Licenses - Sage payroll</t>
        </is>
      </c>
      <c r="F5315" s="3" t="n">
        <v>0</v>
      </c>
      <c r="G5315" s="3" t="n">
        <v>7470</v>
      </c>
    </row>
    <row r="5316">
      <c r="A5316" s="3" t="inlineStr">
        <is>
          <t>Cape Projects Construction (Pty) Ltd</t>
        </is>
      </c>
      <c r="B5316" s="4" t="n">
        <v>45322</v>
      </c>
      <c r="C5316" s="3" t="inlineStr">
        <is>
          <t>Expenses</t>
        </is>
      </c>
      <c r="D5316" s="3" t="inlineStr">
        <is>
          <t>4550/002</t>
        </is>
      </c>
      <c r="E5316" s="3" t="inlineStr">
        <is>
          <t>Subscriptions &amp; Licenses - Caseware</t>
        </is>
      </c>
      <c r="F5316" s="3" t="n">
        <v>0</v>
      </c>
      <c r="G5316" s="3" t="n">
        <v>10825.49</v>
      </c>
    </row>
    <row r="5317">
      <c r="A5317" s="3" t="inlineStr">
        <is>
          <t>Cape Projects Construction (Pty) Ltd</t>
        </is>
      </c>
      <c r="B5317" s="4" t="n">
        <v>45322</v>
      </c>
      <c r="C5317" s="3" t="inlineStr">
        <is>
          <t>Expenses</t>
        </is>
      </c>
      <c r="D5317" s="3" t="inlineStr">
        <is>
          <t>4550/003</t>
        </is>
      </c>
      <c r="E5317" s="3" t="inlineStr">
        <is>
          <t>Subscriptions &amp; Licenses - Xero</t>
        </is>
      </c>
      <c r="F5317" s="3" t="n">
        <v>600</v>
      </c>
      <c r="G5317" s="3" t="n">
        <v>6600</v>
      </c>
    </row>
    <row r="5318">
      <c r="A5318" s="3" t="inlineStr">
        <is>
          <t>Cape Projects Construction (Pty) Ltd</t>
        </is>
      </c>
      <c r="B5318" s="4" t="n">
        <v>45322</v>
      </c>
      <c r="C5318" s="3" t="inlineStr">
        <is>
          <t>Expenses</t>
        </is>
      </c>
      <c r="D5318" s="3" t="inlineStr">
        <is>
          <t>4550/004</t>
        </is>
      </c>
      <c r="E5318" s="3" t="inlineStr">
        <is>
          <t>Subscriptions - Smartsheet</t>
        </is>
      </c>
      <c r="F5318" s="3" t="n">
        <v>2178</v>
      </c>
      <c r="G5318" s="3" t="n">
        <v>11063.41</v>
      </c>
    </row>
    <row r="5319">
      <c r="A5319" s="3" t="inlineStr">
        <is>
          <t>Cape Projects Construction (Pty) Ltd</t>
        </is>
      </c>
      <c r="B5319" s="4" t="n">
        <v>45322</v>
      </c>
      <c r="C5319" s="3" t="inlineStr">
        <is>
          <t>Expenses</t>
        </is>
      </c>
      <c r="D5319" s="3" t="inlineStr">
        <is>
          <t>4550/007</t>
        </is>
      </c>
      <c r="E5319" s="3" t="inlineStr">
        <is>
          <t>Subscription &amp; Licenses - ERS Bio</t>
        </is>
      </c>
      <c r="F5319" s="3" t="n">
        <v>718.9299999999999</v>
      </c>
      <c r="G5319" s="3" t="n">
        <v>2875.72</v>
      </c>
    </row>
    <row r="5320">
      <c r="A5320" s="3" t="inlineStr">
        <is>
          <t>Cape Projects Construction (Pty) Ltd</t>
        </is>
      </c>
      <c r="B5320" s="4" t="n">
        <v>45322</v>
      </c>
      <c r="C5320" s="3" t="inlineStr">
        <is>
          <t>Expenses</t>
        </is>
      </c>
      <c r="D5320" s="3" t="inlineStr">
        <is>
          <t>4550/008</t>
        </is>
      </c>
      <c r="E5320" s="3" t="inlineStr">
        <is>
          <t>Subscriptions  - Adobe</t>
        </is>
      </c>
      <c r="F5320" s="3" t="n">
        <v>0</v>
      </c>
      <c r="G5320" s="3" t="n">
        <v>4498.72</v>
      </c>
    </row>
    <row r="5321">
      <c r="A5321" s="3" t="inlineStr">
        <is>
          <t>Heron Fields (Pty) Ltd</t>
        </is>
      </c>
      <c r="B5321" s="4" t="n">
        <v>45322</v>
      </c>
      <c r="C5321" s="3" t="inlineStr">
        <is>
          <t>Expenses</t>
        </is>
      </c>
      <c r="D5321" s="3" t="inlineStr">
        <is>
          <t>4550/100</t>
        </is>
      </c>
      <c r="E5321" s="3" t="inlineStr">
        <is>
          <t>Subscriptions - Xero</t>
        </is>
      </c>
      <c r="F5321" s="3" t="n">
        <v>600</v>
      </c>
      <c r="G5321" s="3" t="n">
        <v>6600</v>
      </c>
    </row>
    <row r="5322">
      <c r="A5322" s="3" t="inlineStr">
        <is>
          <t>Heron View (Pty) Ltd</t>
        </is>
      </c>
      <c r="B5322" s="4" t="n">
        <v>45322</v>
      </c>
      <c r="C5322" s="3" t="inlineStr">
        <is>
          <t>Expenses</t>
        </is>
      </c>
      <c r="D5322" s="3" t="inlineStr">
        <is>
          <t>4550/100</t>
        </is>
      </c>
      <c r="E5322" s="3" t="inlineStr">
        <is>
          <t>Subscriptions - Xero</t>
        </is>
      </c>
      <c r="F5322" s="3" t="n">
        <v>600</v>
      </c>
      <c r="G5322" s="3" t="n">
        <v>6600</v>
      </c>
    </row>
    <row r="5323">
      <c r="A5323" s="3" t="inlineStr">
        <is>
          <t>Heron Fields (Pty) Ltd</t>
        </is>
      </c>
      <c r="B5323" s="4" t="n">
        <v>45322</v>
      </c>
      <c r="C5323" s="3" t="inlineStr">
        <is>
          <t>Expenses</t>
        </is>
      </c>
      <c r="D5323" s="3" t="inlineStr">
        <is>
          <t>4550/200</t>
        </is>
      </c>
      <c r="E5323" s="3" t="inlineStr">
        <is>
          <t>Subscription - NHBRC</t>
        </is>
      </c>
      <c r="F5323" s="3" t="n">
        <v>0</v>
      </c>
      <c r="G5323" s="3" t="n">
        <v>526.3200000000001</v>
      </c>
    </row>
    <row r="5324">
      <c r="A5324" s="3" t="inlineStr">
        <is>
          <t>Cape Projects Construction (Pty) Ltd</t>
        </is>
      </c>
      <c r="B5324" s="4" t="n">
        <v>45322</v>
      </c>
      <c r="C5324" s="3" t="inlineStr">
        <is>
          <t>Expenses</t>
        </is>
      </c>
      <c r="D5324" s="3" t="inlineStr">
        <is>
          <t>4560</t>
        </is>
      </c>
      <c r="E5324" s="3" t="inlineStr">
        <is>
          <t>Secretarial fees - CIPC</t>
        </is>
      </c>
      <c r="F5324" s="3" t="n">
        <v>0</v>
      </c>
      <c r="G5324" s="3" t="n">
        <v>4000</v>
      </c>
    </row>
    <row r="5325">
      <c r="A5325" s="3" t="inlineStr">
        <is>
          <t>Cape Projects Construction (Pty) Ltd</t>
        </is>
      </c>
      <c r="B5325" s="4" t="n">
        <v>45322</v>
      </c>
      <c r="C5325" s="3" t="inlineStr">
        <is>
          <t>Expenses</t>
        </is>
      </c>
      <c r="D5325" s="3" t="inlineStr">
        <is>
          <t>4600/000</t>
        </is>
      </c>
      <c r="E5325" s="3" t="inlineStr">
        <is>
          <t>Telephone _AND_ Fax</t>
        </is>
      </c>
      <c r="F5325" s="3" t="n">
        <v>0</v>
      </c>
      <c r="G5325" s="3" t="n">
        <v>11566.33</v>
      </c>
    </row>
    <row r="5326">
      <c r="A5326" s="3" t="inlineStr">
        <is>
          <t>Cape Projects Construction (Pty) Ltd</t>
        </is>
      </c>
      <c r="B5326" s="4" t="n">
        <v>45322</v>
      </c>
      <c r="C5326" s="3" t="inlineStr">
        <is>
          <t>Expenses</t>
        </is>
      </c>
      <c r="D5326" s="3" t="inlineStr">
        <is>
          <t>4700/000</t>
        </is>
      </c>
      <c r="E5326" s="3" t="inlineStr">
        <is>
          <t>PAYE Contributions</t>
        </is>
      </c>
      <c r="F5326" s="3" t="n">
        <v>95761.31</v>
      </c>
      <c r="G5326" s="3" t="n">
        <v>944073.0699999999</v>
      </c>
    </row>
    <row r="5327">
      <c r="A5327" s="3" t="inlineStr">
        <is>
          <t>Cape Projects Construction (Pty) Ltd</t>
        </is>
      </c>
      <c r="B5327" s="4" t="n">
        <v>45322</v>
      </c>
      <c r="C5327" s="3" t="inlineStr">
        <is>
          <t>Expenses</t>
        </is>
      </c>
      <c r="D5327" s="3" t="inlineStr">
        <is>
          <t>4720/000</t>
        </is>
      </c>
      <c r="E5327" s="3" t="inlineStr">
        <is>
          <t>SDL Contributions</t>
        </is>
      </c>
      <c r="F5327" s="3" t="n">
        <v>5237.23</v>
      </c>
      <c r="G5327" s="3" t="n">
        <v>50468.37</v>
      </c>
    </row>
    <row r="5328">
      <c r="A5328" s="3" t="inlineStr">
        <is>
          <t>Cape Projects Construction (Pty) Ltd</t>
        </is>
      </c>
      <c r="B5328" s="4" t="n">
        <v>45322</v>
      </c>
      <c r="C5328" s="3" t="inlineStr">
        <is>
          <t>Expenses</t>
        </is>
      </c>
      <c r="D5328" s="3" t="inlineStr">
        <is>
          <t>4730/000</t>
        </is>
      </c>
      <c r="E5328" s="3" t="inlineStr">
        <is>
          <t>UIF Company Contributions</t>
        </is>
      </c>
      <c r="F5328" s="3" t="n">
        <v>3004.75</v>
      </c>
      <c r="G5328" s="3" t="n">
        <v>28007.9</v>
      </c>
    </row>
    <row r="5329">
      <c r="A5329" s="3" t="inlineStr">
        <is>
          <t>Cape Projects Construction (Pty) Ltd</t>
        </is>
      </c>
      <c r="B5329" s="4" t="n">
        <v>45322</v>
      </c>
      <c r="C5329" s="3" t="inlineStr">
        <is>
          <t>Expenses</t>
        </is>
      </c>
      <c r="D5329" s="3" t="inlineStr">
        <is>
          <t>4731/000</t>
        </is>
      </c>
      <c r="E5329" s="3" t="inlineStr">
        <is>
          <t>UIF Employee Contribution</t>
        </is>
      </c>
      <c r="F5329" s="3" t="n">
        <v>3004.75</v>
      </c>
      <c r="G5329" s="3" t="n">
        <v>28007.9</v>
      </c>
    </row>
    <row r="5330">
      <c r="A5330" s="3" t="inlineStr">
        <is>
          <t>Cape Projects Construction (Pty) Ltd</t>
        </is>
      </c>
      <c r="B5330" s="4" t="n">
        <v>45322</v>
      </c>
      <c r="C5330" s="3" t="inlineStr">
        <is>
          <t>Expenses</t>
        </is>
      </c>
      <c r="D5330" s="3" t="inlineStr">
        <is>
          <t>4740/000</t>
        </is>
      </c>
      <c r="E5330" s="3" t="inlineStr">
        <is>
          <t>BIBC Company Contribution</t>
        </is>
      </c>
      <c r="F5330" s="3" t="n">
        <v>0</v>
      </c>
      <c r="G5330" s="3" t="n">
        <v>15075.35</v>
      </c>
    </row>
    <row r="5331">
      <c r="A5331" s="3" t="inlineStr">
        <is>
          <t>Cape Projects Construction (Pty) Ltd</t>
        </is>
      </c>
      <c r="B5331" s="4" t="n">
        <v>45322</v>
      </c>
      <c r="C5331" s="3" t="inlineStr">
        <is>
          <t>Expenses</t>
        </is>
      </c>
      <c r="D5331" s="3" t="inlineStr">
        <is>
          <t>4741/000</t>
        </is>
      </c>
      <c r="E5331" s="3" t="inlineStr">
        <is>
          <t>BIBC Employee Contribution</t>
        </is>
      </c>
      <c r="F5331" s="3" t="n">
        <v>0</v>
      </c>
      <c r="G5331" s="3" t="n">
        <v>4562.1</v>
      </c>
    </row>
    <row r="5332">
      <c r="A5332" s="3" t="inlineStr">
        <is>
          <t>Heron Fields (Pty) Ltd</t>
        </is>
      </c>
      <c r="B5332" s="4" t="n">
        <v>45322</v>
      </c>
      <c r="C5332" s="3" t="inlineStr">
        <is>
          <t>Equity</t>
        </is>
      </c>
      <c r="D5332" s="3" t="inlineStr">
        <is>
          <t>5100-000</t>
        </is>
      </c>
      <c r="E5332" s="3" t="inlineStr">
        <is>
          <t>Share Capital</t>
        </is>
      </c>
      <c r="F5332" s="3" t="n">
        <v>0</v>
      </c>
      <c r="G5332" s="3" t="n">
        <v>-100</v>
      </c>
    </row>
    <row r="5333">
      <c r="A5333" s="3" t="inlineStr">
        <is>
          <t>Cape Projects Construction (Pty) Ltd</t>
        </is>
      </c>
      <c r="B5333" s="4" t="n">
        <v>45322</v>
      </c>
      <c r="C5333" s="3" t="inlineStr">
        <is>
          <t>Equity</t>
        </is>
      </c>
      <c r="D5333" s="3" t="inlineStr">
        <is>
          <t>5100/000</t>
        </is>
      </c>
      <c r="E5333" s="3" t="inlineStr">
        <is>
          <t>Share Capital / Members Contribution</t>
        </is>
      </c>
      <c r="F5333" s="3" t="n">
        <v>0</v>
      </c>
      <c r="G5333" s="3" t="n">
        <v>-120</v>
      </c>
    </row>
    <row r="5334">
      <c r="A5334" s="3" t="inlineStr">
        <is>
          <t>Cape Projects Construction (Pty) Ltd</t>
        </is>
      </c>
      <c r="B5334" s="4" t="n">
        <v>45322</v>
      </c>
      <c r="C5334" s="3" t="inlineStr">
        <is>
          <t>Equity</t>
        </is>
      </c>
      <c r="D5334" s="3" t="inlineStr">
        <is>
          <t>5200/000</t>
        </is>
      </c>
      <c r="E5334" s="3" t="inlineStr">
        <is>
          <t>Retained Earnings / Loss</t>
        </is>
      </c>
      <c r="F5334" s="3" t="n">
        <v>0</v>
      </c>
      <c r="G5334" s="3" t="n">
        <v>-296075.58</v>
      </c>
    </row>
    <row r="5335">
      <c r="A5335" s="3" t="inlineStr">
        <is>
          <t>Heron Fields (Pty) Ltd</t>
        </is>
      </c>
      <c r="B5335" s="4" t="n">
        <v>45322</v>
      </c>
      <c r="C5335" s="3" t="inlineStr">
        <is>
          <t>Equity</t>
        </is>
      </c>
      <c r="D5335" s="3" t="inlineStr">
        <is>
          <t>5200/000</t>
        </is>
      </c>
      <c r="E5335" s="3" t="inlineStr">
        <is>
          <t>Retained Earnings / Loss</t>
        </is>
      </c>
      <c r="F5335" s="3" t="n">
        <v>0</v>
      </c>
      <c r="G5335" s="3" t="n">
        <v>-17843179.58</v>
      </c>
    </row>
    <row r="5336">
      <c r="A5336" s="3" t="inlineStr">
        <is>
          <t>Heron View (Pty) Ltd</t>
        </is>
      </c>
      <c r="B5336" s="4" t="n">
        <v>45322</v>
      </c>
      <c r="C5336" s="3" t="inlineStr">
        <is>
          <t>Equity</t>
        </is>
      </c>
      <c r="D5336" s="3" t="inlineStr">
        <is>
          <t>5200/000</t>
        </is>
      </c>
      <c r="E5336" s="3" t="inlineStr">
        <is>
          <t>Retained Earnings / Loss</t>
        </is>
      </c>
      <c r="F5336" s="3" t="n">
        <v>0</v>
      </c>
      <c r="G5336" s="3" t="n">
        <v>70398.12</v>
      </c>
    </row>
    <row r="5337">
      <c r="A5337" s="3" t="inlineStr">
        <is>
          <t>Heron Fields (Pty) Ltd</t>
        </is>
      </c>
      <c r="B5337" s="4" t="n">
        <v>45322</v>
      </c>
      <c r="C5337" s="3" t="inlineStr">
        <is>
          <t>Assets</t>
        </is>
      </c>
      <c r="D5337" s="3" t="inlineStr">
        <is>
          <t>5300/001</t>
        </is>
      </c>
      <c r="E5337" s="3" t="inlineStr">
        <is>
          <t>Revaluation of Land stock</t>
        </is>
      </c>
      <c r="F5337" s="3" t="n">
        <v>0</v>
      </c>
      <c r="G5337" s="3" t="n">
        <v>17562360.85</v>
      </c>
    </row>
    <row r="5338">
      <c r="A5338" s="3" t="inlineStr">
        <is>
          <t>Heron Fields (Pty) Ltd</t>
        </is>
      </c>
      <c r="B5338" s="4" t="n">
        <v>45322</v>
      </c>
      <c r="C5338" s="3" t="inlineStr">
        <is>
          <t>Assets</t>
        </is>
      </c>
      <c r="D5338" s="3" t="inlineStr">
        <is>
          <t>5400/000</t>
        </is>
      </c>
      <c r="E5338" s="3" t="inlineStr">
        <is>
          <t>Deposit: Ruiterwacht development</t>
        </is>
      </c>
      <c r="F5338" s="3" t="n">
        <v>0</v>
      </c>
      <c r="G5338" s="3" t="n">
        <v>13457359</v>
      </c>
    </row>
    <row r="5339">
      <c r="A5339" s="3" t="inlineStr">
        <is>
          <t>Cape Projects Construction (Pty) Ltd</t>
        </is>
      </c>
      <c r="B5339" s="4" t="n">
        <v>45322</v>
      </c>
      <c r="C5339" s="3" t="inlineStr">
        <is>
          <t>Assets</t>
        </is>
      </c>
      <c r="D5339" s="3" t="inlineStr">
        <is>
          <t>5400/150</t>
        </is>
      </c>
      <c r="E5339" s="3" t="inlineStr">
        <is>
          <t>Loan - Quinate</t>
        </is>
      </c>
      <c r="F5339" s="3" t="n">
        <v>1010000</v>
      </c>
      <c r="G5339" s="3" t="n">
        <v>-4057423.63</v>
      </c>
    </row>
    <row r="5340">
      <c r="A5340" s="3" t="inlineStr">
        <is>
          <t>Cape Projects Construction (Pty) Ltd</t>
        </is>
      </c>
      <c r="B5340" s="4" t="n">
        <v>45322</v>
      </c>
      <c r="C5340" s="3" t="inlineStr">
        <is>
          <t>Assets</t>
        </is>
      </c>
      <c r="D5340" s="3" t="inlineStr">
        <is>
          <t>5400/220</t>
        </is>
      </c>
      <c r="E5340" s="3" t="inlineStr">
        <is>
          <t>Members Loan - WH</t>
        </is>
      </c>
      <c r="F5340" s="3" t="n">
        <v>0</v>
      </c>
      <c r="G5340" s="3" t="n">
        <v>-4342.5</v>
      </c>
    </row>
    <row r="5341">
      <c r="A5341" s="3" t="inlineStr">
        <is>
          <t>Cape Projects Construction (Pty) Ltd</t>
        </is>
      </c>
      <c r="B5341" s="4" t="n">
        <v>45322</v>
      </c>
      <c r="C5341" s="3" t="inlineStr">
        <is>
          <t>Assets</t>
        </is>
      </c>
      <c r="D5341" s="3" t="inlineStr">
        <is>
          <t>5400/300</t>
        </is>
      </c>
      <c r="E5341" s="3" t="inlineStr">
        <is>
          <t>Loan - Opportunity ResidentialCUST ACC</t>
        </is>
      </c>
      <c r="F5341" s="3" t="n">
        <v>0</v>
      </c>
      <c r="G5341" s="3" t="n">
        <v>4702.35</v>
      </c>
    </row>
    <row r="5342">
      <c r="A5342" s="3" t="inlineStr">
        <is>
          <t>Cape Projects Construction (Pty) Ltd</t>
        </is>
      </c>
      <c r="B5342" s="4" t="n">
        <v>45322</v>
      </c>
      <c r="C5342" s="3" t="inlineStr">
        <is>
          <t>Assets</t>
        </is>
      </c>
      <c r="D5342" s="3" t="inlineStr">
        <is>
          <t>5400/450</t>
        </is>
      </c>
      <c r="E5342" s="3" t="inlineStr">
        <is>
          <t>Loan - Opportunity Investment</t>
        </is>
      </c>
      <c r="F5342" s="3" t="n">
        <v>0</v>
      </c>
      <c r="G5342" s="3" t="n">
        <v>-1571000</v>
      </c>
    </row>
    <row r="5343">
      <c r="A5343" s="3" t="inlineStr">
        <is>
          <t>Cape Projects Construction (Pty) Ltd</t>
        </is>
      </c>
      <c r="B5343" s="4" t="n">
        <v>45322</v>
      </c>
      <c r="C5343" s="3" t="inlineStr">
        <is>
          <t>Assets</t>
        </is>
      </c>
      <c r="D5343" s="3" t="inlineStr">
        <is>
          <t>5400/500</t>
        </is>
      </c>
      <c r="E5343" s="3" t="inlineStr">
        <is>
          <t>Loan - Blou Mamba Trust</t>
        </is>
      </c>
      <c r="F5343" s="3" t="n">
        <v>0</v>
      </c>
      <c r="G5343" s="3" t="n">
        <v>4342.5</v>
      </c>
    </row>
    <row r="5344">
      <c r="A5344" s="3" t="inlineStr">
        <is>
          <t>Cape Projects Construction (Pty) Ltd</t>
        </is>
      </c>
      <c r="B5344" s="4" t="n">
        <v>45322</v>
      </c>
      <c r="C5344" s="3" t="inlineStr">
        <is>
          <t>Assets</t>
        </is>
      </c>
      <c r="D5344" s="3" t="inlineStr">
        <is>
          <t>5400/550</t>
        </is>
      </c>
      <c r="E5344" s="3" t="inlineStr">
        <is>
          <t>Loan - Trademark</t>
        </is>
      </c>
      <c r="F5344" s="3" t="n">
        <v>600</v>
      </c>
      <c r="G5344" s="3" t="n">
        <v>-18200</v>
      </c>
    </row>
    <row r="5345">
      <c r="A5345" s="3" t="inlineStr">
        <is>
          <t>Cape Projects Construction (Pty) Ltd</t>
        </is>
      </c>
      <c r="B5345" s="4" t="n">
        <v>45322</v>
      </c>
      <c r="C5345" s="3" t="inlineStr">
        <is>
          <t>Assets</t>
        </is>
      </c>
      <c r="D5345" s="3" t="inlineStr">
        <is>
          <t>5400/600</t>
        </is>
      </c>
      <c r="E5345" s="3" t="inlineStr">
        <is>
          <t>Loan - Heron Projects</t>
        </is>
      </c>
      <c r="F5345" s="3" t="n">
        <v>-800000</v>
      </c>
      <c r="G5345" s="3" t="n">
        <v>-22774738.42</v>
      </c>
    </row>
    <row r="5346">
      <c r="A5346" s="3" t="inlineStr">
        <is>
          <t>Cape Projects Construction (Pty) Ltd</t>
        </is>
      </c>
      <c r="B5346" s="4" t="n">
        <v>45322</v>
      </c>
      <c r="C5346" s="3" t="inlineStr">
        <is>
          <t>Assets</t>
        </is>
      </c>
      <c r="D5346" s="3" t="inlineStr">
        <is>
          <t>5400/650</t>
        </is>
      </c>
      <c r="E5346" s="3" t="inlineStr">
        <is>
          <t>Loan - Noble Shield</t>
        </is>
      </c>
      <c r="F5346" s="3" t="n">
        <v>600</v>
      </c>
      <c r="G5346" s="3" t="n">
        <v>-200789.44</v>
      </c>
    </row>
    <row r="5347">
      <c r="A5347" s="3" t="inlineStr">
        <is>
          <t>Cape Projects Construction (Pty) Ltd</t>
        </is>
      </c>
      <c r="B5347" s="4" t="n">
        <v>45322</v>
      </c>
      <c r="C5347" s="3" t="inlineStr">
        <is>
          <t>Assets</t>
        </is>
      </c>
      <c r="D5347" s="3" t="inlineStr">
        <is>
          <t>5400/750</t>
        </is>
      </c>
      <c r="E5347" s="3" t="inlineStr">
        <is>
          <t>Loan - Endulini</t>
        </is>
      </c>
      <c r="F5347" s="3" t="n">
        <v>-1430000</v>
      </c>
      <c r="G5347" s="3" t="n">
        <v>24962687.4</v>
      </c>
    </row>
    <row r="5348">
      <c r="A5348" s="3" t="inlineStr">
        <is>
          <t>Cape Projects Construction (Pty) Ltd</t>
        </is>
      </c>
      <c r="B5348" s="4" t="n">
        <v>45322</v>
      </c>
      <c r="C5348" s="3" t="inlineStr">
        <is>
          <t>Assets</t>
        </is>
      </c>
      <c r="D5348" s="3" t="inlineStr">
        <is>
          <t>5400/800</t>
        </is>
      </c>
      <c r="E5348" s="3" t="inlineStr">
        <is>
          <t>Loan - Opportunity Management Holdings</t>
        </is>
      </c>
      <c r="F5348" s="3" t="n">
        <v>0</v>
      </c>
      <c r="G5348" s="3" t="n">
        <v>137399</v>
      </c>
    </row>
    <row r="5349">
      <c r="A5349" s="3" t="inlineStr">
        <is>
          <t>Heron View (Pty) Ltd</t>
        </is>
      </c>
      <c r="B5349" s="4" t="n">
        <v>45322</v>
      </c>
      <c r="C5349" s="3" t="inlineStr">
        <is>
          <t>Liabilities</t>
        </is>
      </c>
      <c r="D5349" s="3" t="inlineStr">
        <is>
          <t>5500/001</t>
        </is>
      </c>
      <c r="E5349" s="3" t="inlineStr">
        <is>
          <t>Loan - Heron Fields</t>
        </is>
      </c>
      <c r="F5349" s="3" t="n">
        <v>3512117.92</v>
      </c>
      <c r="G5349" s="3" t="n">
        <v>-56638123.02</v>
      </c>
    </row>
    <row r="5350">
      <c r="A5350" s="3" t="inlineStr">
        <is>
          <t>Heron Fields (Pty) Ltd</t>
        </is>
      </c>
      <c r="B5350" s="4" t="n">
        <v>45322</v>
      </c>
      <c r="C5350" s="3" t="inlineStr">
        <is>
          <t>Liabilities</t>
        </is>
      </c>
      <c r="D5350" s="3" t="inlineStr">
        <is>
          <t>5500/020</t>
        </is>
      </c>
      <c r="E5350" s="3" t="inlineStr">
        <is>
          <t>Loan - Cape Projects Construction</t>
        </is>
      </c>
      <c r="F5350" s="3" t="n">
        <v>800000</v>
      </c>
      <c r="G5350" s="3" t="n">
        <v>22774738.42</v>
      </c>
    </row>
    <row r="5351">
      <c r="A5351" s="3" t="inlineStr">
        <is>
          <t>Heron Fields (Pty) Ltd</t>
        </is>
      </c>
      <c r="B5351" s="4" t="n">
        <v>45322</v>
      </c>
      <c r="C5351" s="3" t="inlineStr">
        <is>
          <t>Liabilities</t>
        </is>
      </c>
      <c r="D5351" s="3" t="inlineStr">
        <is>
          <t>5500/030</t>
        </is>
      </c>
      <c r="E5351" s="3" t="inlineStr">
        <is>
          <t>Loan - Opportunity Global Investments</t>
        </is>
      </c>
      <c r="F5351" s="3" t="n">
        <v>0</v>
      </c>
      <c r="G5351" s="3" t="n">
        <v>4094275</v>
      </c>
    </row>
    <row r="5352">
      <c r="A5352" s="3" t="inlineStr">
        <is>
          <t>Heron Fields (Pty) Ltd</t>
        </is>
      </c>
      <c r="B5352" s="4" t="n">
        <v>45322</v>
      </c>
      <c r="C5352" s="3" t="inlineStr">
        <is>
          <t>Liabilities</t>
        </is>
      </c>
      <c r="D5352" s="3" t="inlineStr">
        <is>
          <t>5500/050</t>
        </is>
      </c>
      <c r="E5352" s="3" t="inlineStr">
        <is>
          <t>Loan - Heron View</t>
        </is>
      </c>
      <c r="F5352" s="3" t="n">
        <v>-3512118.45</v>
      </c>
      <c r="G5352" s="3" t="n">
        <v>56636922.49</v>
      </c>
    </row>
    <row r="5353">
      <c r="A5353" s="3" t="inlineStr">
        <is>
          <t>Heron Fields (Pty) Ltd</t>
        </is>
      </c>
      <c r="B5353" s="4" t="n">
        <v>45322</v>
      </c>
      <c r="C5353" s="3" t="inlineStr">
        <is>
          <t>Liabilities</t>
        </is>
      </c>
      <c r="D5353" s="3" t="inlineStr">
        <is>
          <t>5500/051</t>
        </is>
      </c>
      <c r="E5353" s="3" t="inlineStr">
        <is>
          <t>Loan - HV N204</t>
        </is>
      </c>
      <c r="F5353" s="3" t="n">
        <v>10000</v>
      </c>
      <c r="G5353" s="3" t="n">
        <v>10000</v>
      </c>
    </row>
    <row r="5354">
      <c r="A5354" s="3" t="inlineStr">
        <is>
          <t>Heron Fields (Pty) Ltd</t>
        </is>
      </c>
      <c r="B5354" s="4" t="n">
        <v>45322</v>
      </c>
      <c r="C5354" s="3" t="inlineStr">
        <is>
          <t>Liabilities</t>
        </is>
      </c>
      <c r="D5354" s="3" t="inlineStr">
        <is>
          <t>5500/060</t>
        </is>
      </c>
      <c r="E5354" s="3" t="inlineStr">
        <is>
          <t>Loan - Opportunity Management Holdings</t>
        </is>
      </c>
      <c r="F5354" s="3" t="n">
        <v>-10000</v>
      </c>
      <c r="G5354" s="3" t="n">
        <v>32100</v>
      </c>
    </row>
    <row r="5355">
      <c r="A5355" s="3" t="inlineStr">
        <is>
          <t>Heron Fields (Pty) Ltd</t>
        </is>
      </c>
      <c r="B5355" s="4" t="n">
        <v>45322</v>
      </c>
      <c r="C5355" s="3" t="inlineStr">
        <is>
          <t>Liabilities</t>
        </is>
      </c>
      <c r="D5355" s="3" t="inlineStr">
        <is>
          <t>5500/080</t>
        </is>
      </c>
      <c r="E5355" s="3" t="inlineStr">
        <is>
          <t>Loan - NSST2 Trust</t>
        </is>
      </c>
      <c r="F5355" s="3" t="n">
        <v>0</v>
      </c>
      <c r="G5355" s="3" t="n">
        <v>500</v>
      </c>
    </row>
    <row r="5356">
      <c r="A5356" s="3" t="inlineStr">
        <is>
          <t>Heron Fields (Pty) Ltd</t>
        </is>
      </c>
      <c r="B5356" s="4" t="n">
        <v>45322</v>
      </c>
      <c r="C5356" s="3" t="inlineStr">
        <is>
          <t>Assets</t>
        </is>
      </c>
      <c r="D5356" s="3" t="inlineStr">
        <is>
          <t>6150/010</t>
        </is>
      </c>
      <c r="E5356" s="3" t="inlineStr">
        <is>
          <t>Endulini -  A204</t>
        </is>
      </c>
      <c r="F5356" s="3" t="n">
        <v>0</v>
      </c>
      <c r="G5356" s="3" t="n">
        <v>1304260.87</v>
      </c>
    </row>
    <row r="5357">
      <c r="A5357" s="3" t="inlineStr">
        <is>
          <t>Heron Fields (Pty) Ltd</t>
        </is>
      </c>
      <c r="B5357" s="4" t="n">
        <v>45322</v>
      </c>
      <c r="C5357" s="3" t="inlineStr">
        <is>
          <t>Assets</t>
        </is>
      </c>
      <c r="D5357" s="3" t="inlineStr">
        <is>
          <t>6150/020</t>
        </is>
      </c>
      <c r="E5357" s="3" t="inlineStr">
        <is>
          <t>Endulini - A304</t>
        </is>
      </c>
      <c r="F5357" s="3" t="n">
        <v>0</v>
      </c>
      <c r="G5357" s="3" t="n">
        <v>1356434.78</v>
      </c>
    </row>
    <row r="5358">
      <c r="A5358" s="3" t="inlineStr">
        <is>
          <t>Heron Fields (Pty) Ltd</t>
        </is>
      </c>
      <c r="B5358" s="4" t="n">
        <v>45322</v>
      </c>
      <c r="C5358" s="3" t="inlineStr">
        <is>
          <t>Assets</t>
        </is>
      </c>
      <c r="D5358" s="3" t="inlineStr">
        <is>
          <t>6150/030</t>
        </is>
      </c>
      <c r="E5358" s="3" t="inlineStr">
        <is>
          <t>Endulini - B101</t>
        </is>
      </c>
      <c r="F5358" s="3" t="n">
        <v>0</v>
      </c>
      <c r="G5358" s="3" t="n">
        <v>1373826.09</v>
      </c>
    </row>
    <row r="5359">
      <c r="A5359" s="3" t="inlineStr">
        <is>
          <t>Heron Fields (Pty) Ltd</t>
        </is>
      </c>
      <c r="B5359" s="4" t="n">
        <v>45322</v>
      </c>
      <c r="C5359" s="3" t="inlineStr">
        <is>
          <t>Assets</t>
        </is>
      </c>
      <c r="D5359" s="3" t="inlineStr">
        <is>
          <t>6150/040</t>
        </is>
      </c>
      <c r="E5359" s="3" t="inlineStr">
        <is>
          <t>Endulini - A306</t>
        </is>
      </c>
      <c r="F5359" s="3" t="n">
        <v>0</v>
      </c>
      <c r="G5359" s="3" t="n">
        <v>1391217.39</v>
      </c>
    </row>
    <row r="5360">
      <c r="A5360" s="3" t="inlineStr">
        <is>
          <t>Heron Fields (Pty) Ltd</t>
        </is>
      </c>
      <c r="B5360" s="4" t="n">
        <v>45322</v>
      </c>
      <c r="C5360" s="3" t="inlineStr">
        <is>
          <t>Assets</t>
        </is>
      </c>
      <c r="D5360" s="3" t="inlineStr">
        <is>
          <t>6150/050</t>
        </is>
      </c>
      <c r="E5360" s="3" t="inlineStr">
        <is>
          <t>Endulini - C301</t>
        </is>
      </c>
      <c r="F5360" s="3" t="n">
        <v>0</v>
      </c>
      <c r="G5360" s="3" t="n">
        <v>1304260.87</v>
      </c>
    </row>
    <row r="5361">
      <c r="A5361" s="3" t="inlineStr">
        <is>
          <t>Cape Projects Construction (Pty) Ltd</t>
        </is>
      </c>
      <c r="B5361" s="4" t="n">
        <v>45322</v>
      </c>
      <c r="C5361" s="3" t="inlineStr">
        <is>
          <t>Assets</t>
        </is>
      </c>
      <c r="D5361" s="3" t="inlineStr">
        <is>
          <t>6200/010</t>
        </is>
      </c>
      <c r="E5361" s="3" t="inlineStr">
        <is>
          <t>Motor Vehicles - @ Cost</t>
        </is>
      </c>
      <c r="F5361" s="3" t="n">
        <v>0</v>
      </c>
      <c r="G5361" s="3" t="n">
        <v>216064.1</v>
      </c>
    </row>
    <row r="5362">
      <c r="A5362" s="3" t="inlineStr">
        <is>
          <t>Cape Projects Construction (Pty) Ltd</t>
        </is>
      </c>
      <c r="B5362" s="4" t="n">
        <v>45322</v>
      </c>
      <c r="C5362" s="3" t="inlineStr">
        <is>
          <t>Assets</t>
        </is>
      </c>
      <c r="D5362" s="3" t="inlineStr">
        <is>
          <t>6200/020</t>
        </is>
      </c>
      <c r="E5362" s="3" t="inlineStr">
        <is>
          <t>Motor Vehicles - Accum Depre</t>
        </is>
      </c>
      <c r="F5362" s="3" t="n">
        <v>0</v>
      </c>
      <c r="G5362" s="3" t="n">
        <v>-216063.1</v>
      </c>
    </row>
    <row r="5363">
      <c r="A5363" s="3" t="inlineStr">
        <is>
          <t>Cape Projects Construction (Pty) Ltd</t>
        </is>
      </c>
      <c r="B5363" s="4" t="n">
        <v>45322</v>
      </c>
      <c r="C5363" s="3" t="inlineStr">
        <is>
          <t>Assets</t>
        </is>
      </c>
      <c r="D5363" s="3" t="inlineStr">
        <is>
          <t>6250/010</t>
        </is>
      </c>
      <c r="E5363" s="3" t="inlineStr">
        <is>
          <t>Computer Equipment - @ Cost</t>
        </is>
      </c>
      <c r="F5363" s="3" t="n">
        <v>0</v>
      </c>
      <c r="G5363" s="3" t="n">
        <v>178152.48</v>
      </c>
    </row>
    <row r="5364">
      <c r="A5364" s="3" t="inlineStr">
        <is>
          <t>Cape Projects Construction (Pty) Ltd</t>
        </is>
      </c>
      <c r="B5364" s="4" t="n">
        <v>45322</v>
      </c>
      <c r="C5364" s="3" t="inlineStr">
        <is>
          <t>Assets</t>
        </is>
      </c>
      <c r="D5364" s="3" t="inlineStr">
        <is>
          <t>6250/020</t>
        </is>
      </c>
      <c r="E5364" s="3" t="inlineStr">
        <is>
          <t>Computer Equipment - Accum Depre</t>
        </is>
      </c>
      <c r="F5364" s="3" t="n">
        <v>-4562.87</v>
      </c>
      <c r="G5364" s="3" t="n">
        <v>-84735.74000000001</v>
      </c>
    </row>
    <row r="5365">
      <c r="A5365" s="3" t="inlineStr">
        <is>
          <t>Cape Projects Construction (Pty) Ltd</t>
        </is>
      </c>
      <c r="B5365" s="4" t="n">
        <v>45322</v>
      </c>
      <c r="C5365" s="3" t="inlineStr">
        <is>
          <t>Assets</t>
        </is>
      </c>
      <c r="D5365" s="3" t="inlineStr">
        <is>
          <t>6350/010</t>
        </is>
      </c>
      <c r="E5365" s="3" t="inlineStr">
        <is>
          <t>Furniture _AND_ Fittings - @ Cost</t>
        </is>
      </c>
      <c r="F5365" s="3" t="n">
        <v>0</v>
      </c>
      <c r="G5365" s="3" t="n">
        <v>37955.3</v>
      </c>
    </row>
    <row r="5366">
      <c r="A5366" s="3" t="inlineStr">
        <is>
          <t>Cape Projects Construction (Pty) Ltd</t>
        </is>
      </c>
      <c r="B5366" s="4" t="n">
        <v>45322</v>
      </c>
      <c r="C5366" s="3" t="inlineStr">
        <is>
          <t>Assets</t>
        </is>
      </c>
      <c r="D5366" s="3" t="inlineStr">
        <is>
          <t>6350/020</t>
        </is>
      </c>
      <c r="E5366" s="3" t="inlineStr">
        <is>
          <t>Furniture _AND_ Fittings - Accum Depre</t>
        </is>
      </c>
      <c r="F5366" s="3" t="n">
        <v>-547.6799999999999</v>
      </c>
      <c r="G5366" s="3" t="n">
        <v>-11919</v>
      </c>
    </row>
    <row r="5367">
      <c r="A5367" s="3" t="inlineStr">
        <is>
          <t>Cape Projects Construction (Pty) Ltd</t>
        </is>
      </c>
      <c r="B5367" s="4" t="n">
        <v>45322</v>
      </c>
      <c r="C5367" s="3" t="inlineStr">
        <is>
          <t>Assets</t>
        </is>
      </c>
      <c r="D5367" s="3" t="inlineStr">
        <is>
          <t>6600/010</t>
        </is>
      </c>
      <c r="E5367" s="3" t="inlineStr">
        <is>
          <t>Generator Fixed Asset - @ Cost</t>
        </is>
      </c>
      <c r="F5367" s="3" t="n">
        <v>0</v>
      </c>
      <c r="G5367" s="3" t="n">
        <v>71322</v>
      </c>
    </row>
    <row r="5368">
      <c r="A5368" s="3" t="inlineStr">
        <is>
          <t>Cape Projects Construction (Pty) Ltd</t>
        </is>
      </c>
      <c r="B5368" s="4" t="n">
        <v>45322</v>
      </c>
      <c r="C5368" s="3" t="inlineStr">
        <is>
          <t>Assets</t>
        </is>
      </c>
      <c r="D5368" s="3" t="inlineStr">
        <is>
          <t>6600/020</t>
        </is>
      </c>
      <c r="E5368" s="3" t="inlineStr">
        <is>
          <t>Generator Fixed Asset - Accum Depre</t>
        </is>
      </c>
      <c r="F5368" s="3" t="n">
        <v>-1188.71</v>
      </c>
      <c r="G5368" s="3" t="n">
        <v>-14210.53</v>
      </c>
    </row>
    <row r="5369">
      <c r="A5369" s="3" t="inlineStr">
        <is>
          <t>Heron Fields (Pty) Ltd</t>
        </is>
      </c>
      <c r="B5369" s="4" t="n">
        <v>45322</v>
      </c>
      <c r="C5369" s="3" t="inlineStr">
        <is>
          <t>Assets</t>
        </is>
      </c>
      <c r="D5369" s="3" t="inlineStr">
        <is>
          <t>7610/395</t>
        </is>
      </c>
      <c r="E5369" s="3" t="inlineStr">
        <is>
          <t>HF CIP NHBRC</t>
        </is>
      </c>
      <c r="F5369" s="3" t="n">
        <v>0</v>
      </c>
      <c r="G5369" s="3" t="n">
        <v>874505.75</v>
      </c>
    </row>
    <row r="5370">
      <c r="A5370" s="3" t="inlineStr">
        <is>
          <t>Heron View (Pty) Ltd</t>
        </is>
      </c>
      <c r="B5370" s="4" t="n">
        <v>45322</v>
      </c>
      <c r="C5370" s="3" t="inlineStr">
        <is>
          <t>Assets</t>
        </is>
      </c>
      <c r="D5370" s="3" t="inlineStr">
        <is>
          <t>7610/395</t>
        </is>
      </c>
      <c r="E5370" s="3" t="inlineStr">
        <is>
          <t>Heron CIP NHBRC</t>
        </is>
      </c>
      <c r="F5370" s="3" t="n">
        <v>0</v>
      </c>
      <c r="G5370" s="3" t="n">
        <v>2472501.08</v>
      </c>
    </row>
    <row r="5371">
      <c r="A5371" s="3" t="inlineStr">
        <is>
          <t>Heron Fields (Pty) Ltd</t>
        </is>
      </c>
      <c r="B5371" s="4" t="n">
        <v>45322</v>
      </c>
      <c r="C5371" s="3" t="inlineStr">
        <is>
          <t>Assets</t>
        </is>
      </c>
      <c r="D5371" s="3" t="inlineStr">
        <is>
          <t>7620/100</t>
        </is>
      </c>
      <c r="E5371" s="3" t="inlineStr">
        <is>
          <t>Heron View Land</t>
        </is>
      </c>
      <c r="F5371" s="3" t="n">
        <v>0</v>
      </c>
      <c r="G5371" s="3" t="n">
        <v>26200000</v>
      </c>
    </row>
    <row r="5372">
      <c r="A5372" s="3" t="inlineStr">
        <is>
          <t>Heron Fields (Pty) Ltd</t>
        </is>
      </c>
      <c r="B5372" s="4" t="n">
        <v>45322</v>
      </c>
      <c r="C5372" s="3" t="inlineStr">
        <is>
          <t>Assets</t>
        </is>
      </c>
      <c r="D5372" s="3" t="inlineStr">
        <is>
          <t>7620/101</t>
        </is>
      </c>
      <c r="E5372" s="3" t="inlineStr">
        <is>
          <t>HF CIP Bond Registration Fee</t>
        </is>
      </c>
      <c r="F5372" s="3" t="n">
        <v>0</v>
      </c>
      <c r="G5372" s="3" t="n">
        <v>68427</v>
      </c>
    </row>
    <row r="5373">
      <c r="A5373" s="3" t="inlineStr">
        <is>
          <t>Heron Fields (Pty) Ltd</t>
        </is>
      </c>
      <c r="B5373" s="4" t="n">
        <v>45322</v>
      </c>
      <c r="C5373" s="3" t="inlineStr">
        <is>
          <t>Assets</t>
        </is>
      </c>
      <c r="D5373" s="3" t="inlineStr">
        <is>
          <t>7620/102</t>
        </is>
      </c>
      <c r="E5373" s="3" t="inlineStr">
        <is>
          <t>HF CIP Transfer Fee</t>
        </is>
      </c>
      <c r="F5373" s="3" t="n">
        <v>0</v>
      </c>
      <c r="G5373" s="3" t="n">
        <v>103812</v>
      </c>
    </row>
    <row r="5374">
      <c r="A5374" s="3" t="inlineStr">
        <is>
          <t>Heron Fields (Pty) Ltd</t>
        </is>
      </c>
      <c r="B5374" s="4" t="n">
        <v>45322</v>
      </c>
      <c r="C5374" s="3" t="inlineStr">
        <is>
          <t>Assets</t>
        </is>
      </c>
      <c r="D5374" s="3" t="inlineStr">
        <is>
          <t>7620/220</t>
        </is>
      </c>
      <c r="E5374" s="3" t="inlineStr">
        <is>
          <t>HF CIP Architectural Designs</t>
        </is>
      </c>
      <c r="F5374" s="3" t="n">
        <v>0</v>
      </c>
      <c r="G5374" s="3" t="n">
        <v>314087</v>
      </c>
    </row>
    <row r="5375">
      <c r="A5375" s="3" t="inlineStr">
        <is>
          <t>Heron View (Pty) Ltd</t>
        </is>
      </c>
      <c r="B5375" s="4" t="n">
        <v>45322</v>
      </c>
      <c r="C5375" s="3" t="inlineStr">
        <is>
          <t>Assets</t>
        </is>
      </c>
      <c r="D5375" s="3" t="inlineStr">
        <is>
          <t>7620/220</t>
        </is>
      </c>
      <c r="E5375" s="3" t="inlineStr">
        <is>
          <t>Heron View CIP Architectural Designs</t>
        </is>
      </c>
      <c r="F5375" s="3" t="n">
        <v>-82041.59</v>
      </c>
      <c r="G5375" s="3" t="n">
        <v>690236.91</v>
      </c>
    </row>
    <row r="5376">
      <c r="A5376" s="3" t="inlineStr">
        <is>
          <t>Heron Fields (Pty) Ltd</t>
        </is>
      </c>
      <c r="B5376" s="4" t="n">
        <v>45322</v>
      </c>
      <c r="C5376" s="3" t="inlineStr">
        <is>
          <t>Assets</t>
        </is>
      </c>
      <c r="D5376" s="3" t="inlineStr">
        <is>
          <t>7620/230</t>
        </is>
      </c>
      <c r="E5376" s="3" t="inlineStr">
        <is>
          <t>HF CIP Construction Management</t>
        </is>
      </c>
      <c r="F5376" s="3" t="n">
        <v>0</v>
      </c>
      <c r="G5376" s="3" t="n">
        <v>139500</v>
      </c>
    </row>
    <row r="5377">
      <c r="A5377" s="3" t="inlineStr">
        <is>
          <t>Heron Fields (Pty) Ltd</t>
        </is>
      </c>
      <c r="B5377" s="4" t="n">
        <v>45322</v>
      </c>
      <c r="C5377" s="3" t="inlineStr">
        <is>
          <t>Assets</t>
        </is>
      </c>
      <c r="D5377" s="3" t="inlineStr">
        <is>
          <t>7620/240</t>
        </is>
      </c>
      <c r="E5377" s="3" t="inlineStr">
        <is>
          <t>HF CIP Civil Engineering</t>
        </is>
      </c>
      <c r="F5377" s="3" t="n">
        <v>0</v>
      </c>
      <c r="G5377" s="3" t="n">
        <v>8557641.800000001</v>
      </c>
    </row>
    <row r="5378">
      <c r="A5378" s="3" t="inlineStr">
        <is>
          <t>Heron Fields (Pty) Ltd</t>
        </is>
      </c>
      <c r="B5378" s="4" t="n">
        <v>45322</v>
      </c>
      <c r="C5378" s="3" t="inlineStr">
        <is>
          <t>Assets</t>
        </is>
      </c>
      <c r="D5378" s="3" t="inlineStr">
        <is>
          <t>7620/245</t>
        </is>
      </c>
      <c r="E5378" s="3" t="inlineStr">
        <is>
          <t>HF CIP Development fee</t>
        </is>
      </c>
      <c r="F5378" s="3" t="n">
        <v>0</v>
      </c>
      <c r="G5378" s="3" t="n">
        <v>13807.78</v>
      </c>
    </row>
    <row r="5379">
      <c r="A5379" s="3" t="inlineStr">
        <is>
          <t>Heron Fields (Pty) Ltd</t>
        </is>
      </c>
      <c r="B5379" s="4" t="n">
        <v>45322</v>
      </c>
      <c r="C5379" s="3" t="inlineStr">
        <is>
          <t>Assets</t>
        </is>
      </c>
      <c r="D5379" s="3" t="inlineStr">
        <is>
          <t>7620/250</t>
        </is>
      </c>
      <c r="E5379" s="3" t="inlineStr">
        <is>
          <t>HF CIP Land Surveyor</t>
        </is>
      </c>
      <c r="F5379" s="3" t="n">
        <v>0</v>
      </c>
      <c r="G5379" s="3" t="n">
        <v>197060.09</v>
      </c>
    </row>
    <row r="5380">
      <c r="A5380" s="3" t="inlineStr">
        <is>
          <t>Heron View (Pty) Ltd</t>
        </is>
      </c>
      <c r="B5380" s="4" t="n">
        <v>45322</v>
      </c>
      <c r="C5380" s="3" t="inlineStr">
        <is>
          <t>Assets</t>
        </is>
      </c>
      <c r="D5380" s="3" t="inlineStr">
        <is>
          <t>7620/250</t>
        </is>
      </c>
      <c r="E5380" s="3" t="inlineStr">
        <is>
          <t>Heron View CIP Land Surveyor</t>
        </is>
      </c>
      <c r="F5380" s="3" t="n">
        <v>0</v>
      </c>
      <c r="G5380" s="3" t="n">
        <v>321942.47</v>
      </c>
    </row>
    <row r="5381">
      <c r="A5381" s="3" t="inlineStr">
        <is>
          <t>Heron Fields (Pty) Ltd</t>
        </is>
      </c>
      <c r="B5381" s="4" t="n">
        <v>45322</v>
      </c>
      <c r="C5381" s="3" t="inlineStr">
        <is>
          <t>Assets</t>
        </is>
      </c>
      <c r="D5381" s="3" t="inlineStr">
        <is>
          <t>7620/255</t>
        </is>
      </c>
      <c r="E5381" s="3" t="inlineStr">
        <is>
          <t>HF CIP Landscaping</t>
        </is>
      </c>
      <c r="F5381" s="3" t="n">
        <v>0</v>
      </c>
      <c r="G5381" s="3" t="n">
        <v>7500</v>
      </c>
    </row>
    <row r="5382">
      <c r="A5382" s="3" t="inlineStr">
        <is>
          <t>Heron View (Pty) Ltd</t>
        </is>
      </c>
      <c r="B5382" s="4" t="n">
        <v>45322</v>
      </c>
      <c r="C5382" s="3" t="inlineStr">
        <is>
          <t>Assets</t>
        </is>
      </c>
      <c r="D5382" s="3" t="inlineStr">
        <is>
          <t>7620/255</t>
        </is>
      </c>
      <c r="E5382" s="3" t="inlineStr">
        <is>
          <t>Heron View CIP Landscaping</t>
        </is>
      </c>
      <c r="F5382" s="3" t="n">
        <v>0</v>
      </c>
      <c r="G5382" s="3" t="n">
        <v>114370.5</v>
      </c>
    </row>
    <row r="5383">
      <c r="A5383" s="3" t="inlineStr">
        <is>
          <t>Heron Fields (Pty) Ltd</t>
        </is>
      </c>
      <c r="B5383" s="4" t="n">
        <v>45322</v>
      </c>
      <c r="C5383" s="3" t="inlineStr">
        <is>
          <t>Assets</t>
        </is>
      </c>
      <c r="D5383" s="3" t="inlineStr">
        <is>
          <t>7620/260</t>
        </is>
      </c>
      <c r="E5383" s="3" t="inlineStr">
        <is>
          <t>HF CIP Mechanical Engineers</t>
        </is>
      </c>
      <c r="F5383" s="3" t="n">
        <v>0</v>
      </c>
      <c r="G5383" s="3" t="n">
        <v>146256.38</v>
      </c>
    </row>
    <row r="5384">
      <c r="A5384" s="3" t="inlineStr">
        <is>
          <t>Heron Fields (Pty) Ltd</t>
        </is>
      </c>
      <c r="B5384" s="4" t="n">
        <v>45322</v>
      </c>
      <c r="C5384" s="3" t="inlineStr">
        <is>
          <t>Assets</t>
        </is>
      </c>
      <c r="D5384" s="3" t="inlineStr">
        <is>
          <t>7620/265</t>
        </is>
      </c>
      <c r="E5384" s="3" t="inlineStr">
        <is>
          <t>HF CIP Health &amp; Safety</t>
        </is>
      </c>
      <c r="F5384" s="3" t="n">
        <v>0</v>
      </c>
      <c r="G5384" s="3" t="n">
        <v>20600</v>
      </c>
    </row>
    <row r="5385">
      <c r="A5385" s="3" t="inlineStr">
        <is>
          <t>Heron Fields (Pty) Ltd</t>
        </is>
      </c>
      <c r="B5385" s="4" t="n">
        <v>45322</v>
      </c>
      <c r="C5385" s="3" t="inlineStr">
        <is>
          <t>Assets</t>
        </is>
      </c>
      <c r="D5385" s="3" t="inlineStr">
        <is>
          <t>7620/270</t>
        </is>
      </c>
      <c r="E5385" s="3" t="inlineStr">
        <is>
          <t>HF CIP Geotechnical</t>
        </is>
      </c>
      <c r="F5385" s="3" t="n">
        <v>0</v>
      </c>
      <c r="G5385" s="3" t="n">
        <v>15175</v>
      </c>
    </row>
    <row r="5386">
      <c r="A5386" s="3" t="inlineStr">
        <is>
          <t>Heron Fields (Pty) Ltd</t>
        </is>
      </c>
      <c r="B5386" s="4" t="n">
        <v>45322</v>
      </c>
      <c r="C5386" s="3" t="inlineStr">
        <is>
          <t>Assets</t>
        </is>
      </c>
      <c r="D5386" s="3" t="inlineStr">
        <is>
          <t>7620/275</t>
        </is>
      </c>
      <c r="E5386" s="3" t="inlineStr">
        <is>
          <t>HF CIP Retaining Wall</t>
        </is>
      </c>
      <c r="F5386" s="3" t="n">
        <v>0</v>
      </c>
      <c r="G5386" s="3" t="n">
        <v>570856.08</v>
      </c>
    </row>
    <row r="5387">
      <c r="A5387" s="3" t="inlineStr">
        <is>
          <t>Heron Fields (Pty) Ltd</t>
        </is>
      </c>
      <c r="B5387" s="4" t="n">
        <v>45322</v>
      </c>
      <c r="C5387" s="3" t="inlineStr">
        <is>
          <t>Assets</t>
        </is>
      </c>
      <c r="D5387" s="3" t="inlineStr">
        <is>
          <t>7620/280</t>
        </is>
      </c>
      <c r="E5387" s="3" t="inlineStr">
        <is>
          <t>HF CIP Site Establishment</t>
        </is>
      </c>
      <c r="F5387" s="3" t="n">
        <v>0</v>
      </c>
      <c r="G5387" s="3" t="n">
        <v>47748851.51</v>
      </c>
    </row>
    <row r="5388">
      <c r="A5388" s="3" t="inlineStr">
        <is>
          <t>Heron View (Pty) Ltd</t>
        </is>
      </c>
      <c r="B5388" s="4" t="n">
        <v>45322</v>
      </c>
      <c r="C5388" s="3" t="inlineStr">
        <is>
          <t>Assets</t>
        </is>
      </c>
      <c r="D5388" s="3" t="inlineStr">
        <is>
          <t>7620/280</t>
        </is>
      </c>
      <c r="E5388" s="3" t="inlineStr">
        <is>
          <t>Heron View CIP Site Establishment</t>
        </is>
      </c>
      <c r="F5388" s="3" t="n">
        <v>4442252.29</v>
      </c>
      <c r="G5388" s="3" t="n">
        <v>44104051.78</v>
      </c>
    </row>
    <row r="5389">
      <c r="A5389" s="3" t="inlineStr">
        <is>
          <t>Heron Fields (Pty) Ltd</t>
        </is>
      </c>
      <c r="B5389" s="4" t="n">
        <v>45322</v>
      </c>
      <c r="C5389" s="3" t="inlineStr">
        <is>
          <t>Assets</t>
        </is>
      </c>
      <c r="D5389" s="3" t="inlineStr">
        <is>
          <t>7620/285</t>
        </is>
      </c>
      <c r="E5389" s="3" t="inlineStr">
        <is>
          <t>HF CIP Structuring Fee - Invest</t>
        </is>
      </c>
      <c r="F5389" s="3" t="n">
        <v>0</v>
      </c>
      <c r="G5389" s="3" t="n">
        <v>3850818.04</v>
      </c>
    </row>
    <row r="5390">
      <c r="A5390" s="3" t="inlineStr">
        <is>
          <t>Heron View (Pty) Ltd</t>
        </is>
      </c>
      <c r="B5390" s="4" t="n">
        <v>45322</v>
      </c>
      <c r="C5390" s="3" t="inlineStr">
        <is>
          <t>Assets</t>
        </is>
      </c>
      <c r="D5390" s="3" t="inlineStr">
        <is>
          <t>7620/285</t>
        </is>
      </c>
      <c r="E5390" s="3" t="inlineStr">
        <is>
          <t>Heron View CIP Structuring Fee - Invest</t>
        </is>
      </c>
      <c r="F5390" s="3" t="n">
        <v>0</v>
      </c>
      <c r="G5390" s="3" t="n">
        <v>1826086.96</v>
      </c>
    </row>
    <row r="5391">
      <c r="A5391" s="3" t="inlineStr">
        <is>
          <t>Heron Fields (Pty) Ltd</t>
        </is>
      </c>
      <c r="B5391" s="4" t="n">
        <v>45322</v>
      </c>
      <c r="C5391" s="3" t="inlineStr">
        <is>
          <t>Assets</t>
        </is>
      </c>
      <c r="D5391" s="3" t="inlineStr">
        <is>
          <t>7620/287</t>
        </is>
      </c>
      <c r="E5391" s="3" t="inlineStr">
        <is>
          <t>HF CIP Structuring Fee - Development</t>
        </is>
      </c>
      <c r="F5391" s="3" t="n">
        <v>0</v>
      </c>
      <c r="G5391" s="3" t="n">
        <v>782608.0699999999</v>
      </c>
    </row>
    <row r="5392">
      <c r="A5392" s="3" t="inlineStr">
        <is>
          <t>Heron View (Pty) Ltd</t>
        </is>
      </c>
      <c r="B5392" s="4" t="n">
        <v>45322</v>
      </c>
      <c r="C5392" s="3" t="inlineStr">
        <is>
          <t>Assets</t>
        </is>
      </c>
      <c r="D5392" s="3" t="inlineStr">
        <is>
          <t>7620/287</t>
        </is>
      </c>
      <c r="E5392" s="3" t="inlineStr">
        <is>
          <t>Heron View CIP Structuring Fee - Development</t>
        </is>
      </c>
      <c r="F5392" s="3" t="n">
        <v>0</v>
      </c>
      <c r="G5392" s="3" t="n">
        <v>217391.3</v>
      </c>
    </row>
    <row r="5393">
      <c r="A5393" s="3" t="inlineStr">
        <is>
          <t>Heron Fields (Pty) Ltd</t>
        </is>
      </c>
      <c r="B5393" s="4" t="n">
        <v>45322</v>
      </c>
      <c r="C5393" s="3" t="inlineStr">
        <is>
          <t>Assets</t>
        </is>
      </c>
      <c r="D5393" s="3" t="inlineStr">
        <is>
          <t>7620/290</t>
        </is>
      </c>
      <c r="E5393" s="3" t="inlineStr">
        <is>
          <t>HF CIP Town Planning</t>
        </is>
      </c>
      <c r="F5393" s="3" t="n">
        <v>0</v>
      </c>
      <c r="G5393" s="3" t="n">
        <v>166550</v>
      </c>
    </row>
    <row r="5394">
      <c r="A5394" s="3" t="inlineStr">
        <is>
          <t>Heron View (Pty) Ltd</t>
        </is>
      </c>
      <c r="B5394" s="4" t="n">
        <v>45322</v>
      </c>
      <c r="C5394" s="3" t="inlineStr">
        <is>
          <t>Assets</t>
        </is>
      </c>
      <c r="D5394" s="3" t="inlineStr">
        <is>
          <t>7620/290</t>
        </is>
      </c>
      <c r="E5394" s="3" t="inlineStr">
        <is>
          <t>Heron View CIP Town Planning</t>
        </is>
      </c>
      <c r="F5394" s="3" t="n">
        <v>0</v>
      </c>
      <c r="G5394" s="3" t="n">
        <v>2834.7</v>
      </c>
    </row>
    <row r="5395">
      <c r="A5395" s="3" t="inlineStr">
        <is>
          <t>Heron Fields (Pty) Ltd</t>
        </is>
      </c>
      <c r="B5395" s="4" t="n">
        <v>45322</v>
      </c>
      <c r="C5395" s="3" t="inlineStr">
        <is>
          <t>Assets</t>
        </is>
      </c>
      <c r="D5395" s="3" t="inlineStr">
        <is>
          <t>7620/295</t>
        </is>
      </c>
      <c r="E5395" s="3" t="inlineStr">
        <is>
          <t>HF CIP Traffic Planning</t>
        </is>
      </c>
      <c r="F5395" s="3" t="n">
        <v>0</v>
      </c>
      <c r="G5395" s="3" t="n">
        <v>45000</v>
      </c>
    </row>
    <row r="5396">
      <c r="A5396" s="3" t="inlineStr">
        <is>
          <t>Heron Fields (Pty) Ltd</t>
        </is>
      </c>
      <c r="B5396" s="4" t="n">
        <v>45322</v>
      </c>
      <c r="C5396" s="3" t="inlineStr">
        <is>
          <t>Assets</t>
        </is>
      </c>
      <c r="D5396" s="3" t="inlineStr">
        <is>
          <t>7620/600</t>
        </is>
      </c>
      <c r="E5396" s="3" t="inlineStr">
        <is>
          <t>HF CIP Eco work</t>
        </is>
      </c>
      <c r="F5396" s="3" t="n">
        <v>6000</v>
      </c>
      <c r="G5396" s="3" t="n">
        <v>197000</v>
      </c>
    </row>
    <row r="5397">
      <c r="A5397" s="3" t="inlineStr">
        <is>
          <t>Heron View (Pty) Ltd</t>
        </is>
      </c>
      <c r="B5397" s="4" t="n">
        <v>45322</v>
      </c>
      <c r="C5397" s="3" t="inlineStr">
        <is>
          <t>Assets</t>
        </is>
      </c>
      <c r="D5397" s="3" t="inlineStr">
        <is>
          <t>7620/605</t>
        </is>
      </c>
      <c r="E5397" s="3" t="inlineStr">
        <is>
          <t>Heron View CIP Structural Engineers</t>
        </is>
      </c>
      <c r="F5397" s="3" t="n">
        <v>0</v>
      </c>
      <c r="G5397" s="3" t="n">
        <v>666877.14</v>
      </c>
    </row>
    <row r="5398">
      <c r="A5398" s="3" t="inlineStr">
        <is>
          <t>Heron View (Pty) Ltd</t>
        </is>
      </c>
      <c r="B5398" s="4" t="n">
        <v>45322</v>
      </c>
      <c r="C5398" s="3" t="inlineStr">
        <is>
          <t>Assets</t>
        </is>
      </c>
      <c r="D5398" s="3" t="inlineStr">
        <is>
          <t>7620/610</t>
        </is>
      </c>
      <c r="E5398" s="3" t="inlineStr">
        <is>
          <t>HV CIP Retaining wall</t>
        </is>
      </c>
      <c r="F5398" s="3" t="n">
        <v>0</v>
      </c>
      <c r="G5398" s="3" t="n">
        <v>66190.11</v>
      </c>
    </row>
    <row r="5399">
      <c r="A5399" s="3" t="inlineStr">
        <is>
          <t>Heron Fields (Pty) Ltd</t>
        </is>
      </c>
      <c r="B5399" s="4" t="n">
        <v>45322</v>
      </c>
      <c r="C5399" s="3" t="inlineStr">
        <is>
          <t>Assets</t>
        </is>
      </c>
      <c r="D5399" s="3" t="inlineStr">
        <is>
          <t>7620/630</t>
        </is>
      </c>
      <c r="E5399" s="3" t="inlineStr">
        <is>
          <t>HF CIP CoCT development contribution</t>
        </is>
      </c>
      <c r="F5399" s="3" t="n">
        <v>0</v>
      </c>
      <c r="G5399" s="3" t="n">
        <v>3252759.95</v>
      </c>
    </row>
    <row r="5400">
      <c r="A5400" s="3" t="inlineStr">
        <is>
          <t>Heron View (Pty) Ltd</t>
        </is>
      </c>
      <c r="B5400" s="4" t="n">
        <v>45322</v>
      </c>
      <c r="C5400" s="3" t="inlineStr">
        <is>
          <t>Assets</t>
        </is>
      </c>
      <c r="D5400" s="3" t="inlineStr">
        <is>
          <t>7620/630</t>
        </is>
      </c>
      <c r="E5400" s="3" t="inlineStr">
        <is>
          <t>Heron CIP - CoCT development contribution</t>
        </is>
      </c>
      <c r="F5400" s="3" t="n">
        <v>0</v>
      </c>
      <c r="G5400" s="3" t="n">
        <v>1673231.19</v>
      </c>
    </row>
    <row r="5401">
      <c r="A5401" s="3" t="inlineStr">
        <is>
          <t>Heron Fields (Pty) Ltd</t>
        </is>
      </c>
      <c r="B5401" s="4" t="n">
        <v>45322</v>
      </c>
      <c r="C5401" s="3" t="inlineStr">
        <is>
          <t>Assets</t>
        </is>
      </c>
      <c r="D5401" s="3" t="inlineStr">
        <is>
          <t>7620/640</t>
        </is>
      </c>
      <c r="E5401" s="3" t="inlineStr">
        <is>
          <t>HF CIP Project costs</t>
        </is>
      </c>
      <c r="F5401" s="3" t="n">
        <v>0</v>
      </c>
      <c r="G5401" s="3" t="n">
        <v>622274.51</v>
      </c>
    </row>
    <row r="5402">
      <c r="A5402" s="3" t="inlineStr">
        <is>
          <t>Heron View (Pty) Ltd</t>
        </is>
      </c>
      <c r="B5402" s="4" t="n">
        <v>45322</v>
      </c>
      <c r="C5402" s="3" t="inlineStr">
        <is>
          <t>Assets</t>
        </is>
      </c>
      <c r="D5402" s="3" t="inlineStr">
        <is>
          <t>7620/650</t>
        </is>
      </c>
      <c r="E5402" s="3" t="inlineStr">
        <is>
          <t>CIP - Construction Management</t>
        </is>
      </c>
      <c r="F5402" s="3" t="n">
        <v>0</v>
      </c>
      <c r="G5402" s="3" t="n">
        <v>76530</v>
      </c>
    </row>
    <row r="5403">
      <c r="A5403" s="3" t="inlineStr">
        <is>
          <t>Heron Fields (Pty) Ltd</t>
        </is>
      </c>
      <c r="B5403" s="4" t="n">
        <v>45322</v>
      </c>
      <c r="C5403" s="3" t="inlineStr">
        <is>
          <t>Assets</t>
        </is>
      </c>
      <c r="D5403" s="3" t="inlineStr">
        <is>
          <t>7620/650</t>
        </is>
      </c>
      <c r="E5403" s="3" t="inlineStr">
        <is>
          <t>HF CIP Electrical</t>
        </is>
      </c>
      <c r="F5403" s="3" t="n">
        <v>0</v>
      </c>
      <c r="G5403" s="3" t="n">
        <v>985049.6800000001</v>
      </c>
    </row>
    <row r="5404">
      <c r="A5404" s="3" t="inlineStr">
        <is>
          <t>Heron View (Pty) Ltd</t>
        </is>
      </c>
      <c r="B5404" s="4" t="n">
        <v>45322</v>
      </c>
      <c r="C5404" s="3" t="inlineStr">
        <is>
          <t>Assets</t>
        </is>
      </c>
      <c r="D5404" s="3" t="inlineStr">
        <is>
          <t>7620/660</t>
        </is>
      </c>
      <c r="E5404" s="3" t="inlineStr">
        <is>
          <t>HV CIP Health &amp; Safety</t>
        </is>
      </c>
      <c r="F5404" s="3" t="n">
        <v>1400</v>
      </c>
      <c r="G5404" s="3" t="n">
        <v>28600</v>
      </c>
    </row>
    <row r="5405">
      <c r="A5405" s="3" t="inlineStr">
        <is>
          <t>Heron View (Pty) Ltd</t>
        </is>
      </c>
      <c r="B5405" s="4" t="n">
        <v>45322</v>
      </c>
      <c r="C5405" s="3" t="inlineStr">
        <is>
          <t>Assets</t>
        </is>
      </c>
      <c r="D5405" s="3" t="inlineStr">
        <is>
          <t>7620/670</t>
        </is>
      </c>
      <c r="E5405" s="3" t="inlineStr">
        <is>
          <t>HV CIP - Project costs CPSD</t>
        </is>
      </c>
      <c r="F5405" s="3" t="n">
        <v>204347.83</v>
      </c>
      <c r="G5405" s="3" t="n">
        <v>2358695.65</v>
      </c>
    </row>
    <row r="5406">
      <c r="A5406" s="3" t="inlineStr">
        <is>
          <t>Heron View (Pty) Ltd</t>
        </is>
      </c>
      <c r="B5406" s="4" t="n">
        <v>45322</v>
      </c>
      <c r="C5406" s="3" t="inlineStr">
        <is>
          <t>Assets</t>
        </is>
      </c>
      <c r="D5406" s="3" t="inlineStr">
        <is>
          <t>7620/680</t>
        </is>
      </c>
      <c r="E5406" s="3" t="inlineStr">
        <is>
          <t>HV CIP Elextrical</t>
        </is>
      </c>
      <c r="F5406" s="3" t="n">
        <v>0</v>
      </c>
      <c r="G5406" s="3" t="n">
        <v>1540502.11</v>
      </c>
    </row>
    <row r="5407">
      <c r="A5407" s="3" t="inlineStr">
        <is>
          <t>Heron View (Pty) Ltd</t>
        </is>
      </c>
      <c r="B5407" s="4" t="n">
        <v>45322</v>
      </c>
      <c r="C5407" s="3" t="inlineStr">
        <is>
          <t>Assets</t>
        </is>
      </c>
      <c r="D5407" s="3" t="inlineStr">
        <is>
          <t>7620/690</t>
        </is>
      </c>
      <c r="E5407" s="3" t="inlineStr">
        <is>
          <t>HV CIP Site Establishment</t>
        </is>
      </c>
      <c r="F5407" s="3" t="n">
        <v>0</v>
      </c>
      <c r="G5407" s="3" t="n">
        <v>16307183.05</v>
      </c>
    </row>
    <row r="5408">
      <c r="A5408" s="3" t="inlineStr">
        <is>
          <t>Heron Fields (Pty) Ltd</t>
        </is>
      </c>
      <c r="B5408" s="4" t="n">
        <v>45322</v>
      </c>
      <c r="C5408" s="3" t="inlineStr">
        <is>
          <t>Assets</t>
        </is>
      </c>
      <c r="D5408" s="3" t="inlineStr">
        <is>
          <t>7620/750</t>
        </is>
      </c>
      <c r="E5408" s="3" t="inlineStr">
        <is>
          <t>HF CIP Project costs CPSD</t>
        </is>
      </c>
      <c r="F5408" s="3" t="n">
        <v>0</v>
      </c>
      <c r="G5408" s="3" t="n">
        <v>2148883.15</v>
      </c>
    </row>
    <row r="5409">
      <c r="A5409" s="3" t="inlineStr">
        <is>
          <t>Heron Fields (Pty) Ltd</t>
        </is>
      </c>
      <c r="B5409" s="4" t="n">
        <v>45322</v>
      </c>
      <c r="C5409" s="3" t="inlineStr">
        <is>
          <t>Assets</t>
        </is>
      </c>
      <c r="D5409" s="3" t="inlineStr">
        <is>
          <t>7620/800</t>
        </is>
      </c>
      <c r="E5409" s="3" t="inlineStr">
        <is>
          <t>HF CIP GL Conradie</t>
        </is>
      </c>
      <c r="F5409" s="3" t="n">
        <v>0</v>
      </c>
      <c r="G5409" s="3" t="n">
        <v>1068455</v>
      </c>
    </row>
    <row r="5410">
      <c r="A5410" s="3" t="inlineStr">
        <is>
          <t>Heron View (Pty) Ltd</t>
        </is>
      </c>
      <c r="B5410" s="4" t="n">
        <v>45322</v>
      </c>
      <c r="C5410" s="3" t="inlineStr">
        <is>
          <t>Assets</t>
        </is>
      </c>
      <c r="D5410" s="3" t="inlineStr">
        <is>
          <t>7620/800</t>
        </is>
      </c>
      <c r="E5410" s="3" t="inlineStr">
        <is>
          <t>HV CIP GL Conradie</t>
        </is>
      </c>
      <c r="F5410" s="3" t="n">
        <v>0</v>
      </c>
      <c r="G5410" s="3" t="n">
        <v>2188325.96</v>
      </c>
    </row>
    <row r="5411">
      <c r="A5411" s="3" t="inlineStr">
        <is>
          <t>Heron Fields (Pty) Ltd</t>
        </is>
      </c>
      <c r="B5411" s="4" t="n">
        <v>45322</v>
      </c>
      <c r="C5411" s="3" t="inlineStr">
        <is>
          <t>Assets</t>
        </is>
      </c>
      <c r="D5411" s="3" t="inlineStr">
        <is>
          <t>7700/010</t>
        </is>
      </c>
      <c r="E5411" s="3" t="inlineStr">
        <is>
          <t>Construction 28 Feb 23 HF</t>
        </is>
      </c>
      <c r="F5411" s="3" t="n">
        <v>0</v>
      </c>
      <c r="G5411" s="3" t="n">
        <v>-24427668.44</v>
      </c>
    </row>
    <row r="5412">
      <c r="A5412" s="3" t="inlineStr">
        <is>
          <t>Cape Projects Construction (Pty) Ltd</t>
        </is>
      </c>
      <c r="B5412" s="4" t="n">
        <v>45322</v>
      </c>
      <c r="C5412" s="3" t="inlineStr">
        <is>
          <t>Assets</t>
        </is>
      </c>
      <c r="D5412" s="3" t="inlineStr">
        <is>
          <t>7800/000</t>
        </is>
      </c>
      <c r="E5412" s="3" t="inlineStr">
        <is>
          <t>Deposits paid</t>
        </is>
      </c>
      <c r="F5412" s="3" t="n">
        <v>0</v>
      </c>
      <c r="G5412" s="3" t="n">
        <v>29600</v>
      </c>
    </row>
    <row r="5413">
      <c r="A5413" s="3" t="inlineStr">
        <is>
          <t>Cape Projects Construction (Pty) Ltd</t>
        </is>
      </c>
      <c r="B5413" s="4" t="n">
        <v>45322</v>
      </c>
      <c r="C5413" s="3" t="inlineStr">
        <is>
          <t>Assets</t>
        </is>
      </c>
      <c r="D5413" s="3" t="inlineStr">
        <is>
          <t>8000/000</t>
        </is>
      </c>
      <c r="E5413" s="3" t="inlineStr">
        <is>
          <t>Customer Control Account</t>
        </is>
      </c>
      <c r="F5413" s="3" t="n">
        <v>2308590.13</v>
      </c>
      <c r="G5413" s="3" t="n">
        <v>5424127.74</v>
      </c>
    </row>
    <row r="5414">
      <c r="A5414" s="3" t="inlineStr">
        <is>
          <t>Heron Fields (Pty) Ltd</t>
        </is>
      </c>
      <c r="B5414" s="4" t="n">
        <v>45322</v>
      </c>
      <c r="C5414" s="3" t="inlineStr">
        <is>
          <t>Assets</t>
        </is>
      </c>
      <c r="D5414" s="3" t="inlineStr">
        <is>
          <t>8000/000</t>
        </is>
      </c>
      <c r="E5414" s="3" t="inlineStr">
        <is>
          <t>Customer Control Account</t>
        </is>
      </c>
      <c r="F5414" s="3" t="n">
        <v>1695.67</v>
      </c>
      <c r="G5414" s="3" t="n">
        <v>371025.69</v>
      </c>
    </row>
    <row r="5415">
      <c r="A5415" s="3" t="inlineStr">
        <is>
          <t>Heron View (Pty) Ltd</t>
        </is>
      </c>
      <c r="B5415" s="4" t="n">
        <v>45322</v>
      </c>
      <c r="C5415" s="3" t="inlineStr">
        <is>
          <t>Assets</t>
        </is>
      </c>
      <c r="D5415" s="3" t="inlineStr">
        <is>
          <t>8000/000</t>
        </is>
      </c>
      <c r="E5415" s="3" t="inlineStr">
        <is>
          <t>Customer Control Account</t>
        </is>
      </c>
      <c r="F5415" s="3" t="n">
        <v>77.05</v>
      </c>
      <c r="G5415" s="3" t="n">
        <v>309.74</v>
      </c>
    </row>
    <row r="5416">
      <c r="A5416" s="3" t="inlineStr">
        <is>
          <t>Cape Projects Construction (Pty) Ltd</t>
        </is>
      </c>
      <c r="B5416" s="4" t="n">
        <v>45322</v>
      </c>
      <c r="C5416" s="3" t="inlineStr">
        <is>
          <t>Assets</t>
        </is>
      </c>
      <c r="D5416" s="3" t="inlineStr">
        <is>
          <t>8200/030</t>
        </is>
      </c>
      <c r="E5416" s="3" t="inlineStr">
        <is>
          <t>Staff Loan - Ntuthuka</t>
        </is>
      </c>
      <c r="F5416" s="3" t="n">
        <v>-1755.17</v>
      </c>
      <c r="G5416" s="3" t="n">
        <v>-3510.34</v>
      </c>
    </row>
    <row r="5417">
      <c r="A5417" s="3" t="inlineStr">
        <is>
          <t>Heron Fields (Pty) Ltd</t>
        </is>
      </c>
      <c r="B5417" s="4" t="n">
        <v>45322</v>
      </c>
      <c r="C5417" s="3" t="inlineStr">
        <is>
          <t>Assets</t>
        </is>
      </c>
      <c r="D5417" s="3" t="inlineStr">
        <is>
          <t>8400/000</t>
        </is>
      </c>
      <c r="E5417" s="3" t="inlineStr">
        <is>
          <t>RMB - 62882379087</t>
        </is>
      </c>
      <c r="F5417" s="3" t="n">
        <v>3099673.61</v>
      </c>
      <c r="G5417" s="3" t="n">
        <v>3193068.99</v>
      </c>
    </row>
    <row r="5418">
      <c r="A5418" s="3" t="inlineStr">
        <is>
          <t>Cape Projects Construction (Pty) Ltd</t>
        </is>
      </c>
      <c r="B5418" s="4" t="n">
        <v>45322</v>
      </c>
      <c r="C5418" s="3" t="inlineStr">
        <is>
          <t>Assets</t>
        </is>
      </c>
      <c r="D5418" s="3" t="inlineStr">
        <is>
          <t>8400/000</t>
        </is>
      </c>
      <c r="E5418" s="3" t="inlineStr">
        <is>
          <t>RMB 62275138470</t>
        </is>
      </c>
      <c r="F5418" s="3" t="n">
        <v>335026.51</v>
      </c>
      <c r="G5418" s="3" t="n">
        <v>367902.47</v>
      </c>
    </row>
    <row r="5419">
      <c r="A5419" s="3" t="inlineStr">
        <is>
          <t>Cape Projects Construction (Pty) Ltd</t>
        </is>
      </c>
      <c r="B5419" s="4" t="n">
        <v>45322</v>
      </c>
      <c r="C5419" s="3" t="inlineStr">
        <is>
          <t>Assets</t>
        </is>
      </c>
      <c r="D5419" s="3" t="inlineStr">
        <is>
          <t>8410/000</t>
        </is>
      </c>
      <c r="E5419" s="3" t="inlineStr">
        <is>
          <t>Petty Cash</t>
        </is>
      </c>
      <c r="F5419" s="3" t="n">
        <v>0</v>
      </c>
      <c r="G5419" s="3" t="n">
        <v>-1188</v>
      </c>
    </row>
    <row r="5420">
      <c r="A5420" s="3" t="inlineStr">
        <is>
          <t>Cape Projects Construction (Pty) Ltd</t>
        </is>
      </c>
      <c r="B5420" s="4" t="n">
        <v>45322</v>
      </c>
      <c r="C5420" s="3" t="inlineStr">
        <is>
          <t>Assets</t>
        </is>
      </c>
      <c r="D5420" s="3" t="inlineStr">
        <is>
          <t>8420/000</t>
        </is>
      </c>
      <c r="E5420" s="3" t="inlineStr">
        <is>
          <t>Momentum Priv Acc RU502230981</t>
        </is>
      </c>
      <c r="F5420" s="3" t="n">
        <v>0</v>
      </c>
      <c r="G5420" s="3" t="n">
        <v>571.55</v>
      </c>
    </row>
    <row r="5421">
      <c r="A5421" s="3" t="inlineStr">
        <is>
          <t>Heron Fields (Pty) Ltd</t>
        </is>
      </c>
      <c r="B5421" s="4" t="n">
        <v>45322</v>
      </c>
      <c r="C5421" s="3" t="inlineStr">
        <is>
          <t>Assets</t>
        </is>
      </c>
      <c r="D5421" s="3" t="inlineStr">
        <is>
          <t>8420/000</t>
        </is>
      </c>
      <c r="E5421" s="3" t="inlineStr">
        <is>
          <t>Petty Cash</t>
        </is>
      </c>
      <c r="F5421" s="3" t="n">
        <v>0</v>
      </c>
      <c r="G5421" s="3" t="n">
        <v>8620</v>
      </c>
    </row>
    <row r="5422">
      <c r="A5422" s="3" t="inlineStr">
        <is>
          <t>Heron Fields (Pty) Ltd</t>
        </is>
      </c>
      <c r="B5422" s="4" t="n">
        <v>45322</v>
      </c>
      <c r="C5422" s="3" t="inlineStr">
        <is>
          <t>Assets</t>
        </is>
      </c>
      <c r="D5422" s="3" t="inlineStr">
        <is>
          <t>8430/000</t>
        </is>
      </c>
      <c r="E5422" s="3" t="inlineStr">
        <is>
          <t>Momentum Private Account RU502230151</t>
        </is>
      </c>
      <c r="F5422" s="3" t="n">
        <v>0</v>
      </c>
      <c r="G5422" s="3" t="n">
        <v>871.91</v>
      </c>
    </row>
    <row r="5423">
      <c r="A5423" s="3" t="inlineStr">
        <is>
          <t>Heron Fields (Pty) Ltd</t>
        </is>
      </c>
      <c r="B5423" s="4" t="n">
        <v>45322</v>
      </c>
      <c r="C5423" s="3" t="inlineStr">
        <is>
          <t>Assets</t>
        </is>
      </c>
      <c r="D5423" s="3" t="inlineStr">
        <is>
          <t>8440/000</t>
        </is>
      </c>
      <c r="E5423" s="3" t="inlineStr">
        <is>
          <t>Momentum Investors Account RU502229930</t>
        </is>
      </c>
      <c r="F5423" s="3" t="n">
        <v>-5132986.59</v>
      </c>
      <c r="G5423" s="3" t="n">
        <v>12614876.37</v>
      </c>
    </row>
    <row r="5424">
      <c r="A5424" s="3" t="inlineStr">
        <is>
          <t>Heron Fields (Pty) Ltd</t>
        </is>
      </c>
      <c r="B5424" s="4" t="n">
        <v>45322</v>
      </c>
      <c r="C5424" s="3" t="inlineStr">
        <is>
          <t>Assets</t>
        </is>
      </c>
      <c r="D5424" s="3" t="inlineStr">
        <is>
          <t>8450/000</t>
        </is>
      </c>
      <c r="E5424" s="3" t="inlineStr">
        <is>
          <t>ABSA Current Acc : 4109071013</t>
        </is>
      </c>
      <c r="F5424" s="3" t="n">
        <v>150000</v>
      </c>
      <c r="G5424" s="3" t="n">
        <v>150500</v>
      </c>
    </row>
    <row r="5425">
      <c r="A5425" s="3" t="inlineStr">
        <is>
          <t>Cape Projects Construction (Pty) Ltd</t>
        </is>
      </c>
      <c r="B5425" s="4" t="n">
        <v>45322</v>
      </c>
      <c r="C5425" s="3" t="inlineStr">
        <is>
          <t>Liabilities</t>
        </is>
      </c>
      <c r="D5425" s="3" t="inlineStr">
        <is>
          <t>860</t>
        </is>
      </c>
      <c r="E5425" s="3" t="inlineStr">
        <is>
          <t>Rounding</t>
        </is>
      </c>
      <c r="F5425" s="3" t="n">
        <v>0.27</v>
      </c>
      <c r="G5425" s="3" t="n">
        <v>-0.55</v>
      </c>
    </row>
    <row r="5426">
      <c r="A5426" s="3" t="inlineStr">
        <is>
          <t>Heron Fields (Pty) Ltd</t>
        </is>
      </c>
      <c r="B5426" s="4" t="n">
        <v>45322</v>
      </c>
      <c r="C5426" s="3" t="inlineStr">
        <is>
          <t>Liabilities</t>
        </is>
      </c>
      <c r="D5426" s="3" t="inlineStr">
        <is>
          <t>860</t>
        </is>
      </c>
      <c r="E5426" s="3" t="inlineStr">
        <is>
          <t>Rounding</t>
        </is>
      </c>
      <c r="F5426" s="3" t="n">
        <v>-0.1</v>
      </c>
      <c r="G5426" s="3" t="n">
        <v>0.04</v>
      </c>
    </row>
    <row r="5427">
      <c r="A5427" s="3" t="inlineStr">
        <is>
          <t>Heron View (Pty) Ltd</t>
        </is>
      </c>
      <c r="B5427" s="4" t="n">
        <v>45322</v>
      </c>
      <c r="C5427" s="3" t="inlineStr">
        <is>
          <t>Liabilities</t>
        </is>
      </c>
      <c r="D5427" s="3" t="inlineStr">
        <is>
          <t>860</t>
        </is>
      </c>
      <c r="E5427" s="3" t="inlineStr">
        <is>
          <t>Rounding</t>
        </is>
      </c>
      <c r="F5427" s="3" t="n">
        <v>0</v>
      </c>
      <c r="G5427" s="3" t="n">
        <v>-0.03</v>
      </c>
    </row>
    <row r="5428">
      <c r="A5428" s="3" t="inlineStr">
        <is>
          <t>Cape Projects Construction (Pty) Ltd</t>
        </is>
      </c>
      <c r="B5428" s="4" t="n">
        <v>45322</v>
      </c>
      <c r="C5428" s="3" t="inlineStr">
        <is>
          <t>Liabilities</t>
        </is>
      </c>
      <c r="D5428" s="3" t="inlineStr">
        <is>
          <t>9000/000</t>
        </is>
      </c>
      <c r="E5428" s="3" t="inlineStr">
        <is>
          <t>Supplier Control Account</t>
        </is>
      </c>
      <c r="F5428" s="3" t="n">
        <v>-539720.01</v>
      </c>
      <c r="G5428" s="3" t="n">
        <v>-1010591.94</v>
      </c>
    </row>
    <row r="5429">
      <c r="A5429" s="3" t="inlineStr">
        <is>
          <t>Heron Fields (Pty) Ltd</t>
        </is>
      </c>
      <c r="B5429" s="4" t="n">
        <v>45322</v>
      </c>
      <c r="C5429" s="3" t="inlineStr">
        <is>
          <t>Liabilities</t>
        </is>
      </c>
      <c r="D5429" s="3" t="inlineStr">
        <is>
          <t>9000/000</t>
        </is>
      </c>
      <c r="E5429" s="3" t="inlineStr">
        <is>
          <t>Supplier Control Account</t>
        </is>
      </c>
      <c r="F5429" s="3" t="n">
        <v>4683510.14</v>
      </c>
      <c r="G5429" s="3" t="n">
        <v>-168369943.99</v>
      </c>
    </row>
    <row r="5430">
      <c r="A5430" s="3" t="inlineStr">
        <is>
          <t>Heron View (Pty) Ltd</t>
        </is>
      </c>
      <c r="B5430" s="4" t="n">
        <v>45322</v>
      </c>
      <c r="C5430" s="3" t="inlineStr">
        <is>
          <t>Liabilities</t>
        </is>
      </c>
      <c r="D5430" s="3" t="inlineStr">
        <is>
          <t>9000/000</t>
        </is>
      </c>
      <c r="E5430" s="3" t="inlineStr">
        <is>
          <t>Supplier Control Account</t>
        </is>
      </c>
      <c r="F5430" s="3" t="n">
        <v>-2700103.19</v>
      </c>
      <c r="G5430" s="3" t="n">
        <v>-1747584.15</v>
      </c>
    </row>
    <row r="5431">
      <c r="A5431" s="3" t="inlineStr">
        <is>
          <t>Cape Projects Construction (Pty) Ltd</t>
        </is>
      </c>
      <c r="B5431" s="4" t="n">
        <v>45322</v>
      </c>
      <c r="C5431" s="3" t="inlineStr">
        <is>
          <t>Liabilities</t>
        </is>
      </c>
      <c r="D5431" s="3" t="inlineStr">
        <is>
          <t>9200/000</t>
        </is>
      </c>
      <c r="E5431" s="3" t="inlineStr">
        <is>
          <t>Sundry Suppliers</t>
        </is>
      </c>
      <c r="F5431" s="3" t="n">
        <v>0</v>
      </c>
      <c r="G5431" s="3" t="n">
        <v>1309</v>
      </c>
    </row>
    <row r="5432">
      <c r="A5432" s="3" t="inlineStr">
        <is>
          <t>Cape Projects Construction (Pty) Ltd</t>
        </is>
      </c>
      <c r="B5432" s="4" t="n">
        <v>45322</v>
      </c>
      <c r="C5432" s="3" t="inlineStr">
        <is>
          <t>Liabilities</t>
        </is>
      </c>
      <c r="D5432" s="3" t="inlineStr">
        <is>
          <t>9250/010</t>
        </is>
      </c>
      <c r="E5432" s="3" t="inlineStr">
        <is>
          <t>SALARY CONTROL</t>
        </is>
      </c>
      <c r="F5432" s="3" t="n">
        <v>-1755.17</v>
      </c>
      <c r="G5432" s="3" t="n">
        <v>0</v>
      </c>
    </row>
    <row r="5433">
      <c r="A5433" s="3" t="inlineStr">
        <is>
          <t>Cape Projects Construction (Pty) Ltd</t>
        </is>
      </c>
      <c r="B5433" s="4" t="n">
        <v>45322</v>
      </c>
      <c r="C5433" s="3" t="inlineStr">
        <is>
          <t>Liabilities</t>
        </is>
      </c>
      <c r="D5433" s="3" t="inlineStr">
        <is>
          <t>9250/020</t>
        </is>
      </c>
      <c r="E5433" s="3" t="inlineStr">
        <is>
          <t>PAYE, UIF AND SDL CONTROL</t>
        </is>
      </c>
      <c r="F5433" s="3" t="n">
        <v>6664.04</v>
      </c>
      <c r="G5433" s="3" t="n">
        <v>-107008.04</v>
      </c>
    </row>
    <row r="5434">
      <c r="A5434" s="3" t="inlineStr">
        <is>
          <t>Cape Projects Construction (Pty) Ltd</t>
        </is>
      </c>
      <c r="B5434" s="4" t="n">
        <v>45322</v>
      </c>
      <c r="C5434" s="3" t="inlineStr">
        <is>
          <t>Liabilities</t>
        </is>
      </c>
      <c r="D5434" s="3" t="inlineStr">
        <is>
          <t>9250/030</t>
        </is>
      </c>
      <c r="E5434" s="3" t="inlineStr">
        <is>
          <t>BIBC CONTROL</t>
        </is>
      </c>
      <c r="F5434" s="3" t="n">
        <v>0</v>
      </c>
      <c r="G5434" s="3" t="n">
        <v>-49413.95</v>
      </c>
    </row>
    <row r="5435">
      <c r="A5435" s="3" t="inlineStr">
        <is>
          <t>Cape Projects Construction (Pty) Ltd</t>
        </is>
      </c>
      <c r="B5435" s="4" t="n">
        <v>45322</v>
      </c>
      <c r="C5435" s="3" t="inlineStr">
        <is>
          <t>Liabilities</t>
        </is>
      </c>
      <c r="D5435" s="3" t="inlineStr">
        <is>
          <t>9350/000</t>
        </is>
      </c>
      <c r="E5435" s="3" t="inlineStr">
        <is>
          <t>Dividends Payable</t>
        </is>
      </c>
      <c r="F5435" s="3" t="n">
        <v>0</v>
      </c>
      <c r="G5435" s="3" t="n">
        <v>130000</v>
      </c>
    </row>
    <row r="5436">
      <c r="A5436" s="3" t="inlineStr">
        <is>
          <t>Cape Projects Construction (Pty) Ltd</t>
        </is>
      </c>
      <c r="B5436" s="4" t="n">
        <v>45322</v>
      </c>
      <c r="C5436" s="3" t="inlineStr">
        <is>
          <t>Liabilities</t>
        </is>
      </c>
      <c r="D5436" s="3" t="inlineStr">
        <is>
          <t>9500/000</t>
        </is>
      </c>
      <c r="E5436" s="3" t="inlineStr">
        <is>
          <t>VAT Control Account</t>
        </is>
      </c>
      <c r="F5436" s="3" t="n">
        <v>-205115.27</v>
      </c>
      <c r="G5436" s="3" t="n">
        <v>-246893.19</v>
      </c>
    </row>
    <row r="5437">
      <c r="A5437" s="3" t="inlineStr">
        <is>
          <t>Heron Fields (Pty) Ltd</t>
        </is>
      </c>
      <c r="B5437" s="4" t="n">
        <v>45322</v>
      </c>
      <c r="C5437" s="3" t="inlineStr">
        <is>
          <t>Liabilities</t>
        </is>
      </c>
      <c r="D5437" s="3" t="inlineStr">
        <is>
          <t>9500/000</t>
        </is>
      </c>
      <c r="E5437" s="3" t="inlineStr">
        <is>
          <t>Vat / Tax Control Account</t>
        </is>
      </c>
      <c r="F5437" s="3" t="n">
        <v>22321.45</v>
      </c>
      <c r="G5437" s="3" t="n">
        <v>-3371625.12</v>
      </c>
    </row>
    <row r="5438">
      <c r="A5438" s="3" t="inlineStr">
        <is>
          <t>Heron View (Pty) Ltd</t>
        </is>
      </c>
      <c r="B5438" s="4" t="n">
        <v>45322</v>
      </c>
      <c r="C5438" s="3" t="inlineStr">
        <is>
          <t>Liabilities</t>
        </is>
      </c>
      <c r="D5438" s="3" t="inlineStr">
        <is>
          <t>9500/000</t>
        </is>
      </c>
      <c r="E5438" s="3" t="inlineStr">
        <is>
          <t>Vat / Tax Control Account</t>
        </is>
      </c>
      <c r="F5438" s="3" t="n">
        <v>-286903.9</v>
      </c>
      <c r="G5438" s="3" t="n">
        <v>6388299.84</v>
      </c>
    </row>
    <row r="5439">
      <c r="A5439" s="3" t="inlineStr">
        <is>
          <t>Cape Projects Construction (Pty) Ltd</t>
        </is>
      </c>
      <c r="B5439" s="4" t="n">
        <v>45322</v>
      </c>
      <c r="C5439" s="3" t="inlineStr">
        <is>
          <t>Liabilities</t>
        </is>
      </c>
      <c r="D5439" s="3" t="inlineStr">
        <is>
          <t>9510/000</t>
        </is>
      </c>
      <c r="E5439" s="3" t="inlineStr">
        <is>
          <t>Tax Provision Account</t>
        </is>
      </c>
      <c r="F5439" s="3" t="n">
        <v>0</v>
      </c>
      <c r="G5439" s="3" t="n">
        <v>-1869.8</v>
      </c>
    </row>
    <row r="5440">
      <c r="A5440" s="3" t="inlineStr">
        <is>
          <t>Heron Fields (Pty) Ltd</t>
        </is>
      </c>
      <c r="B5440" s="4" t="n">
        <v>45322</v>
      </c>
      <c r="C5440" s="3" t="inlineStr">
        <is>
          <t>Liabilities</t>
        </is>
      </c>
      <c r="D5440" s="3" t="inlineStr">
        <is>
          <t>9520/000</t>
        </is>
      </c>
      <c r="E5440" s="3" t="inlineStr">
        <is>
          <t>Income Tax Payable</t>
        </is>
      </c>
      <c r="F5440" s="3" t="n">
        <v>0</v>
      </c>
      <c r="G5440" s="3" t="n">
        <v>59039.93</v>
      </c>
    </row>
    <row r="5441">
      <c r="A5441" s="3" t="inlineStr">
        <is>
          <t>Heron View (Pty) Ltd</t>
        </is>
      </c>
      <c r="B5441" s="4" t="n">
        <v>45322</v>
      </c>
      <c r="C5441" s="3" t="inlineStr">
        <is>
          <t>Liabilities</t>
        </is>
      </c>
      <c r="D5441" s="3" t="inlineStr">
        <is>
          <t>9899/C102</t>
        </is>
      </c>
      <c r="E5441" s="3" t="inlineStr">
        <is>
          <t>Sales - Unit Reg Control C102</t>
        </is>
      </c>
      <c r="F5441" s="3" t="n">
        <v>0</v>
      </c>
      <c r="G5441" s="3" t="n">
        <v>-0.4</v>
      </c>
    </row>
    <row r="5442">
      <c r="A5442" s="3" t="inlineStr">
        <is>
          <t>Cape Projects Construction (Pty) Ltd</t>
        </is>
      </c>
      <c r="B5442" s="4" t="n">
        <v>45322</v>
      </c>
      <c r="C5442" s="3" t="inlineStr">
        <is>
          <t>Liabilities</t>
        </is>
      </c>
      <c r="D5442" s="3" t="inlineStr">
        <is>
          <t>B/S</t>
        </is>
      </c>
      <c r="E5442" s="3" t="inlineStr">
        <is>
          <t>Taxation Payable</t>
        </is>
      </c>
      <c r="F5442" s="3" t="n">
        <v>0</v>
      </c>
      <c r="G5442" s="3" t="n">
        <v>1869.8</v>
      </c>
    </row>
    <row r="5443">
      <c r="A5443" s="3" t="inlineStr">
        <is>
          <t>Cape Projects Construction (Pty) Ltd</t>
        </is>
      </c>
      <c r="B5443" s="4" t="n">
        <v>45322</v>
      </c>
      <c r="C5443" s="3" t="inlineStr">
        <is>
          <t>Assets</t>
        </is>
      </c>
      <c r="D5443" s="3" t="inlineStr">
        <is>
          <t>Blessing</t>
        </is>
      </c>
      <c r="E5443" s="3" t="inlineStr">
        <is>
          <t>Staff Loan - Ntuthuka</t>
        </is>
      </c>
      <c r="F5443" s="3" t="n">
        <v>-1755.17</v>
      </c>
      <c r="G5443" s="3" t="n">
        <v>-3510.34</v>
      </c>
    </row>
    <row r="5444">
      <c r="A5444" s="3" t="inlineStr">
        <is>
          <t>Cape Projects Construction (Pty) Ltd</t>
        </is>
      </c>
      <c r="B5444" s="4" t="n">
        <v>45322</v>
      </c>
      <c r="C5444" s="3" t="inlineStr">
        <is>
          <t>Liabilities</t>
        </is>
      </c>
      <c r="D5444" s="3" t="inlineStr">
        <is>
          <t>TEMP/ACC</t>
        </is>
      </c>
      <c r="E5444" s="3" t="inlineStr">
        <is>
          <t>Conversion Account</t>
        </is>
      </c>
      <c r="F5444" s="3" t="n">
        <v>0</v>
      </c>
      <c r="G5444" s="3" t="n">
        <v>-254.99</v>
      </c>
    </row>
    <row r="5445">
      <c r="A5445" s="3" t="inlineStr">
        <is>
          <t>Heron Fields (Pty) Ltd</t>
        </is>
      </c>
      <c r="B5445" s="4" t="n">
        <v>45323</v>
      </c>
      <c r="C5445" s="3" t="inlineStr">
        <is>
          <t>Revenue</t>
        </is>
      </c>
      <c r="D5445" s="3" t="inlineStr">
        <is>
          <t>1000/100</t>
        </is>
      </c>
      <c r="E5445" s="3" t="inlineStr">
        <is>
          <t>Sales - Heron Fields</t>
        </is>
      </c>
      <c r="F5445" s="3" t="n">
        <v>0</v>
      </c>
      <c r="G5445" s="3" t="n">
        <v>-28096347.83</v>
      </c>
    </row>
    <row r="5446">
      <c r="A5446" s="3" t="inlineStr">
        <is>
          <t>Heron View (Pty) Ltd</t>
        </is>
      </c>
      <c r="B5446" s="4" t="n">
        <v>45323</v>
      </c>
      <c r="C5446" s="3" t="inlineStr">
        <is>
          <t>Revenue</t>
        </is>
      </c>
      <c r="D5446" s="3" t="inlineStr">
        <is>
          <t>1000/100</t>
        </is>
      </c>
      <c r="E5446" s="3" t="inlineStr">
        <is>
          <t>Sales - Heron View Sales</t>
        </is>
      </c>
      <c r="F5446" s="3" t="n">
        <v>-1477391.3</v>
      </c>
      <c r="G5446" s="3" t="n">
        <v>-31349478.3</v>
      </c>
    </row>
    <row r="5447">
      <c r="A5447" s="3" t="inlineStr">
        <is>
          <t>Heron Fields (Pty) Ltd</t>
        </is>
      </c>
      <c r="B5447" s="4" t="n">
        <v>45323</v>
      </c>
      <c r="C5447" s="3" t="inlineStr">
        <is>
          <t>Revenue</t>
        </is>
      </c>
      <c r="D5447" s="3" t="inlineStr">
        <is>
          <t>1000/101</t>
        </is>
      </c>
      <c r="E5447" s="3" t="inlineStr">
        <is>
          <t>Sales - Heron Fields occupational rent</t>
        </is>
      </c>
      <c r="F5447" s="3" t="n">
        <v>0</v>
      </c>
      <c r="G5447" s="3" t="n">
        <v>-102388.85</v>
      </c>
    </row>
    <row r="5448">
      <c r="A5448" s="3" t="inlineStr">
        <is>
          <t>Heron View (Pty) Ltd</t>
        </is>
      </c>
      <c r="B5448" s="4" t="n">
        <v>45323</v>
      </c>
      <c r="C5448" s="3" t="inlineStr">
        <is>
          <t>Revenue</t>
        </is>
      </c>
      <c r="D5448" s="3" t="inlineStr">
        <is>
          <t>1000/101</t>
        </is>
      </c>
      <c r="E5448" s="3" t="inlineStr">
        <is>
          <t>Sales - Heron View Occupational Rent</t>
        </is>
      </c>
      <c r="F5448" s="3" t="n">
        <v>-1200</v>
      </c>
      <c r="G5448" s="3" t="n">
        <v>-89896.75999999999</v>
      </c>
    </row>
    <row r="5449">
      <c r="A5449" s="3" t="inlineStr">
        <is>
          <t>Cape Projects Construction (Pty) Ltd</t>
        </is>
      </c>
      <c r="B5449" s="4" t="n">
        <v>45323</v>
      </c>
      <c r="C5449" s="3" t="inlineStr">
        <is>
          <t>Revenue</t>
        </is>
      </c>
      <c r="D5449" s="3" t="inlineStr">
        <is>
          <t>1040/100</t>
        </is>
      </c>
      <c r="E5449" s="3" t="inlineStr">
        <is>
          <t>Fees - Construction - Heron</t>
        </is>
      </c>
      <c r="F5449" s="3" t="n">
        <v>0</v>
      </c>
      <c r="G5449" s="3" t="n">
        <v>-55267592.85</v>
      </c>
    </row>
    <row r="5450">
      <c r="A5450" s="3" t="inlineStr">
        <is>
          <t>Cape Projects Construction (Pty) Ltd</t>
        </is>
      </c>
      <c r="B5450" s="4" t="n">
        <v>45323</v>
      </c>
      <c r="C5450" s="3" t="inlineStr">
        <is>
          <t>Revenue</t>
        </is>
      </c>
      <c r="D5450" s="3" t="inlineStr">
        <is>
          <t>1070/000</t>
        </is>
      </c>
      <c r="E5450" s="3" t="inlineStr">
        <is>
          <t>Rent - CT Office</t>
        </is>
      </c>
      <c r="F5450" s="3" t="n">
        <v>0</v>
      </c>
      <c r="G5450" s="3" t="n">
        <v>3490.94</v>
      </c>
    </row>
    <row r="5451">
      <c r="A5451" s="3" t="inlineStr">
        <is>
          <t>Heron Fields (Pty) Ltd</t>
        </is>
      </c>
      <c r="B5451" s="4" t="n">
        <v>45323</v>
      </c>
      <c r="C5451" s="3" t="inlineStr">
        <is>
          <t>Revenue</t>
        </is>
      </c>
      <c r="D5451" s="3" t="inlineStr">
        <is>
          <t>1500/002</t>
        </is>
      </c>
      <c r="E5451" s="3" t="inlineStr">
        <is>
          <t>Rental Income</t>
        </is>
      </c>
      <c r="F5451" s="3" t="n">
        <v>-18500</v>
      </c>
      <c r="G5451" s="3" t="n">
        <v>-352912.32</v>
      </c>
    </row>
    <row r="5452">
      <c r="A5452" s="3" t="inlineStr">
        <is>
          <t>Heron View (Pty) Ltd</t>
        </is>
      </c>
      <c r="B5452" s="4" t="n">
        <v>45323</v>
      </c>
      <c r="C5452" s="3" t="inlineStr">
        <is>
          <t>Revenue</t>
        </is>
      </c>
      <c r="D5452" s="3" t="inlineStr">
        <is>
          <t>1500/002</t>
        </is>
      </c>
      <c r="E5452" s="3" t="inlineStr">
        <is>
          <t>Rental Income</t>
        </is>
      </c>
      <c r="F5452" s="3" t="n">
        <v>0</v>
      </c>
      <c r="G5452" s="3" t="n">
        <v>-13883</v>
      </c>
    </row>
    <row r="5453">
      <c r="A5453" s="3" t="inlineStr">
        <is>
          <t>Heron Fields (Pty) Ltd</t>
        </is>
      </c>
      <c r="B5453" s="4" t="n">
        <v>45323</v>
      </c>
      <c r="C5453" s="3" t="inlineStr">
        <is>
          <t>Expenses</t>
        </is>
      </c>
      <c r="D5453" s="3" t="inlineStr">
        <is>
          <t>2000/011</t>
        </is>
      </c>
      <c r="E5453" s="3" t="inlineStr">
        <is>
          <t>COS - Heron View Showhouse</t>
        </is>
      </c>
      <c r="F5453" s="3" t="n">
        <v>0</v>
      </c>
      <c r="G5453" s="3" t="n">
        <v>45300.43</v>
      </c>
    </row>
    <row r="5454">
      <c r="A5454" s="3" t="inlineStr">
        <is>
          <t>Heron View (Pty) Ltd</t>
        </is>
      </c>
      <c r="B5454" s="4" t="n">
        <v>45323</v>
      </c>
      <c r="C5454" s="3" t="inlineStr">
        <is>
          <t>Expenses</t>
        </is>
      </c>
      <c r="D5454" s="3" t="inlineStr">
        <is>
          <t>2000/030</t>
        </is>
      </c>
      <c r="E5454" s="3" t="inlineStr">
        <is>
          <t>COS - HV COCT Rates clearance</t>
        </is>
      </c>
      <c r="F5454" s="3" t="n">
        <v>0</v>
      </c>
      <c r="G5454" s="3" t="n">
        <v>237142.94</v>
      </c>
    </row>
    <row r="5455">
      <c r="A5455" s="3" t="inlineStr">
        <is>
          <t>Heron Fields (Pty) Ltd</t>
        </is>
      </c>
      <c r="B5455" s="4" t="n">
        <v>45323</v>
      </c>
      <c r="C5455" s="3" t="inlineStr">
        <is>
          <t>Expenses</t>
        </is>
      </c>
      <c r="D5455" s="3" t="inlineStr">
        <is>
          <t>2000/040</t>
        </is>
      </c>
      <c r="E5455" s="3" t="inlineStr">
        <is>
          <t>COS - Legal Fees</t>
        </is>
      </c>
      <c r="F5455" s="3" t="n">
        <v>0</v>
      </c>
      <c r="G5455" s="3" t="n">
        <v>685713.49</v>
      </c>
    </row>
    <row r="5456">
      <c r="A5456" s="3" t="inlineStr">
        <is>
          <t>Heron View (Pty) Ltd</t>
        </is>
      </c>
      <c r="B5456" s="4" t="n">
        <v>45323</v>
      </c>
      <c r="C5456" s="3" t="inlineStr">
        <is>
          <t>Expenses</t>
        </is>
      </c>
      <c r="D5456" s="3" t="inlineStr">
        <is>
          <t>2000/040</t>
        </is>
      </c>
      <c r="E5456" s="3" t="inlineStr">
        <is>
          <t>COS - Legal Fees</t>
        </is>
      </c>
      <c r="F5456" s="3" t="n">
        <v>79153.85000000001</v>
      </c>
      <c r="G5456" s="3" t="n">
        <v>749936.7</v>
      </c>
    </row>
    <row r="5457">
      <c r="A5457" s="3" t="inlineStr">
        <is>
          <t>Heron View (Pty) Ltd</t>
        </is>
      </c>
      <c r="B5457" s="4" t="n">
        <v>45323</v>
      </c>
      <c r="C5457" s="3" t="inlineStr">
        <is>
          <t>Expenses</t>
        </is>
      </c>
      <c r="D5457" s="3" t="inlineStr">
        <is>
          <t>2000/041</t>
        </is>
      </c>
      <c r="E5457" s="3" t="inlineStr">
        <is>
          <t>COS - Legal Fees Opening of Sec Title Fees</t>
        </is>
      </c>
      <c r="F5457" s="3" t="n">
        <v>0</v>
      </c>
      <c r="G5457" s="3" t="n">
        <v>79174.94</v>
      </c>
    </row>
    <row r="5458">
      <c r="A5458" s="3" t="inlineStr">
        <is>
          <t>Heron Fields (Pty) Ltd</t>
        </is>
      </c>
      <c r="B5458" s="4" t="n">
        <v>45323</v>
      </c>
      <c r="C5458" s="3" t="inlineStr">
        <is>
          <t>Expenses</t>
        </is>
      </c>
      <c r="D5458" s="3" t="inlineStr">
        <is>
          <t>2000/041</t>
        </is>
      </c>
      <c r="E5458" s="3" t="inlineStr">
        <is>
          <t>COS - Legal Fees Opening of Sec Title Scheme</t>
        </is>
      </c>
      <c r="F5458" s="3" t="n">
        <v>0</v>
      </c>
      <c r="G5458" s="3" t="n">
        <v>10540</v>
      </c>
    </row>
    <row r="5459">
      <c r="A5459" s="3" t="inlineStr">
        <is>
          <t>Heron Fields (Pty) Ltd</t>
        </is>
      </c>
      <c r="B5459" s="4" t="n">
        <v>45323</v>
      </c>
      <c r="C5459" s="3" t="inlineStr">
        <is>
          <t>Expenses</t>
        </is>
      </c>
      <c r="D5459" s="3" t="inlineStr">
        <is>
          <t>2000/050</t>
        </is>
      </c>
      <c r="E5459" s="3" t="inlineStr">
        <is>
          <t>COS - Rates clearance</t>
        </is>
      </c>
      <c r="F5459" s="3" t="n">
        <v>0</v>
      </c>
      <c r="G5459" s="3" t="n">
        <v>44864.59</v>
      </c>
    </row>
    <row r="5460">
      <c r="A5460" s="3" t="inlineStr">
        <is>
          <t>Heron Fields (Pty) Ltd</t>
        </is>
      </c>
      <c r="B5460" s="4" t="n">
        <v>45323</v>
      </c>
      <c r="C5460" s="3" t="inlineStr">
        <is>
          <t>Expenses</t>
        </is>
      </c>
      <c r="D5460" s="3" t="inlineStr">
        <is>
          <t>2000/060</t>
        </is>
      </c>
      <c r="E5460" s="3" t="inlineStr">
        <is>
          <t>COS - Levies</t>
        </is>
      </c>
      <c r="F5460" s="3" t="n">
        <v>0</v>
      </c>
      <c r="G5460" s="3" t="n">
        <v>381069.48</v>
      </c>
    </row>
    <row r="5461">
      <c r="A5461" s="3" t="inlineStr">
        <is>
          <t>Heron Fields (Pty) Ltd</t>
        </is>
      </c>
      <c r="B5461" s="4" t="n">
        <v>45323</v>
      </c>
      <c r="C5461" s="3" t="inlineStr">
        <is>
          <t>Expenses</t>
        </is>
      </c>
      <c r="D5461" s="3" t="inlineStr">
        <is>
          <t>2000/070</t>
        </is>
      </c>
      <c r="E5461" s="3" t="inlineStr">
        <is>
          <t>COS - Commission HF Units</t>
        </is>
      </c>
      <c r="F5461" s="3" t="n">
        <v>0</v>
      </c>
      <c r="G5461" s="3" t="n">
        <v>1405686.97</v>
      </c>
    </row>
    <row r="5462">
      <c r="A5462" s="3" t="inlineStr">
        <is>
          <t>Heron View (Pty) Ltd</t>
        </is>
      </c>
      <c r="B5462" s="4" t="n">
        <v>45323</v>
      </c>
      <c r="C5462" s="3" t="inlineStr">
        <is>
          <t>Expenses</t>
        </is>
      </c>
      <c r="D5462" s="3" t="inlineStr">
        <is>
          <t>2000/070</t>
        </is>
      </c>
      <c r="E5462" s="3" t="inlineStr">
        <is>
          <t>COS - Commission HV Units</t>
        </is>
      </c>
      <c r="F5462" s="3" t="n">
        <v>73908.7</v>
      </c>
      <c r="G5462" s="3" t="n">
        <v>1569034.76</v>
      </c>
    </row>
    <row r="5463">
      <c r="A5463" s="3" t="inlineStr">
        <is>
          <t>Heron Fields (Pty) Ltd</t>
        </is>
      </c>
      <c r="B5463" s="4" t="n">
        <v>45323</v>
      </c>
      <c r="C5463" s="3" t="inlineStr">
        <is>
          <t>Expenses</t>
        </is>
      </c>
      <c r="D5463" s="3" t="inlineStr">
        <is>
          <t>2000/080</t>
        </is>
      </c>
      <c r="E5463" s="3" t="inlineStr">
        <is>
          <t>COS - Showhouse - HF</t>
        </is>
      </c>
      <c r="F5463" s="3" t="n">
        <v>0</v>
      </c>
      <c r="G5463" s="3" t="n">
        <v>1005.47</v>
      </c>
    </row>
    <row r="5464">
      <c r="A5464" s="3" t="inlineStr">
        <is>
          <t>Heron View (Pty) Ltd</t>
        </is>
      </c>
      <c r="B5464" s="4" t="n">
        <v>45323</v>
      </c>
      <c r="C5464" s="3" t="inlineStr">
        <is>
          <t>Expenses</t>
        </is>
      </c>
      <c r="D5464" s="3" t="inlineStr">
        <is>
          <t>2000/080</t>
        </is>
      </c>
      <c r="E5464" s="3" t="inlineStr">
        <is>
          <t>COS - Showhouse - HV</t>
        </is>
      </c>
      <c r="F5464" s="3" t="n">
        <v>0</v>
      </c>
      <c r="G5464" s="3" t="n">
        <v>6212.85</v>
      </c>
    </row>
    <row r="5465">
      <c r="A5465" s="3" t="inlineStr">
        <is>
          <t>Heron Fields (Pty) Ltd</t>
        </is>
      </c>
      <c r="B5465" s="4" t="n">
        <v>45323</v>
      </c>
      <c r="C5465" s="3" t="inlineStr">
        <is>
          <t>Expenses</t>
        </is>
      </c>
      <c r="D5465" s="3" t="inlineStr">
        <is>
          <t>2000/090</t>
        </is>
      </c>
      <c r="E5465" s="3" t="inlineStr">
        <is>
          <t>COS - Electricity</t>
        </is>
      </c>
      <c r="F5465" s="3" t="n">
        <v>0</v>
      </c>
      <c r="G5465" s="3" t="n">
        <v>250</v>
      </c>
    </row>
    <row r="5466">
      <c r="A5466" s="3" t="inlineStr">
        <is>
          <t>Heron View (Pty) Ltd</t>
        </is>
      </c>
      <c r="B5466" s="4" t="n">
        <v>45323</v>
      </c>
      <c r="C5466" s="3" t="inlineStr">
        <is>
          <t>Expenses</t>
        </is>
      </c>
      <c r="D5466" s="3" t="inlineStr">
        <is>
          <t>2000/090</t>
        </is>
      </c>
      <c r="E5466" s="3" t="inlineStr">
        <is>
          <t>COS - Electricity</t>
        </is>
      </c>
      <c r="F5466" s="3" t="n">
        <v>0</v>
      </c>
      <c r="G5466" s="3" t="n">
        <v>473.92</v>
      </c>
    </row>
    <row r="5467">
      <c r="A5467" s="3" t="inlineStr">
        <is>
          <t>Heron Fields (Pty) Ltd</t>
        </is>
      </c>
      <c r="B5467" s="4" t="n">
        <v>45323</v>
      </c>
      <c r="C5467" s="3" t="inlineStr">
        <is>
          <t>Expenses</t>
        </is>
      </c>
      <c r="D5467" s="3" t="inlineStr">
        <is>
          <t>2000/100</t>
        </is>
      </c>
      <c r="E5467" s="3" t="inlineStr">
        <is>
          <t>COS - Inverters</t>
        </is>
      </c>
      <c r="F5467" s="3" t="n">
        <v>0</v>
      </c>
      <c r="G5467" s="3" t="n">
        <v>31600</v>
      </c>
    </row>
    <row r="5468">
      <c r="A5468" s="3" t="inlineStr">
        <is>
          <t>Cape Projects Construction (Pty) Ltd</t>
        </is>
      </c>
      <c r="B5468" s="4" t="n">
        <v>45323</v>
      </c>
      <c r="C5468" s="3" t="inlineStr">
        <is>
          <t>Expenses</t>
        </is>
      </c>
      <c r="D5468" s="3" t="inlineStr">
        <is>
          <t>2000/500</t>
        </is>
      </c>
      <c r="E5468" s="3" t="inlineStr">
        <is>
          <t>COS - Electricity Cost Endulini</t>
        </is>
      </c>
      <c r="F5468" s="3" t="n">
        <v>0</v>
      </c>
      <c r="G5468" s="3" t="n">
        <v>286.96</v>
      </c>
    </row>
    <row r="5469">
      <c r="A5469" s="3" t="inlineStr">
        <is>
          <t>Cape Projects Construction (Pty) Ltd</t>
        </is>
      </c>
      <c r="B5469" s="4" t="n">
        <v>45323</v>
      </c>
      <c r="C5469" s="3" t="inlineStr">
        <is>
          <t>Expenses</t>
        </is>
      </c>
      <c r="D5469" s="3" t="inlineStr">
        <is>
          <t>2000/501</t>
        </is>
      </c>
      <c r="E5469" s="3" t="inlineStr">
        <is>
          <t>COS - Electricity Cost Heron Field</t>
        </is>
      </c>
      <c r="F5469" s="3" t="n">
        <v>0</v>
      </c>
      <c r="G5469" s="3" t="n">
        <v>86.95999999999999</v>
      </c>
    </row>
    <row r="5470">
      <c r="A5470" s="3" t="inlineStr">
        <is>
          <t>Cape Projects Construction (Pty) Ltd</t>
        </is>
      </c>
      <c r="B5470" s="4" t="n">
        <v>45323</v>
      </c>
      <c r="C5470" s="3" t="inlineStr">
        <is>
          <t>Expenses</t>
        </is>
      </c>
      <c r="D5470" s="3" t="inlineStr">
        <is>
          <t>2001/000</t>
        </is>
      </c>
      <c r="E5470" s="3" t="inlineStr">
        <is>
          <t>Cost of Sales - SouthWark Project</t>
        </is>
      </c>
      <c r="F5470" s="3" t="n">
        <v>0</v>
      </c>
      <c r="G5470" s="3" t="n">
        <v>30620.97</v>
      </c>
    </row>
    <row r="5471">
      <c r="A5471" s="3" t="inlineStr">
        <is>
          <t>Cape Projects Construction (Pty) Ltd</t>
        </is>
      </c>
      <c r="B5471" s="4" t="n">
        <v>45323</v>
      </c>
      <c r="C5471" s="3" t="inlineStr">
        <is>
          <t>Expenses</t>
        </is>
      </c>
      <c r="D5471" s="3" t="inlineStr">
        <is>
          <t>2002/109</t>
        </is>
      </c>
      <c r="E5471" s="3" t="inlineStr">
        <is>
          <t>COS - SoHo External SITE LABOUR</t>
        </is>
      </c>
      <c r="F5471" s="3" t="n">
        <v>0</v>
      </c>
      <c r="G5471" s="3" t="n">
        <v>7408.46</v>
      </c>
    </row>
    <row r="5472">
      <c r="A5472" s="3" t="inlineStr">
        <is>
          <t>Cape Projects Construction (Pty) Ltd</t>
        </is>
      </c>
      <c r="B5472" s="4" t="n">
        <v>45323</v>
      </c>
      <c r="C5472" s="3" t="inlineStr">
        <is>
          <t>Expenses</t>
        </is>
      </c>
      <c r="D5472" s="3" t="inlineStr">
        <is>
          <t>2002/250</t>
        </is>
      </c>
      <c r="E5472" s="3" t="inlineStr">
        <is>
          <t>COS - Security</t>
        </is>
      </c>
      <c r="F5472" s="3" t="n">
        <v>0</v>
      </c>
      <c r="G5472" s="3" t="n">
        <v>10516.44</v>
      </c>
    </row>
    <row r="5473">
      <c r="A5473" s="3" t="inlineStr">
        <is>
          <t>Cape Projects Construction (Pty) Ltd</t>
        </is>
      </c>
      <c r="B5473" s="4" t="n">
        <v>45323</v>
      </c>
      <c r="C5473" s="3" t="inlineStr">
        <is>
          <t>Expenses</t>
        </is>
      </c>
      <c r="D5473" s="3" t="inlineStr">
        <is>
          <t>2002/252</t>
        </is>
      </c>
      <c r="E5473" s="3" t="inlineStr">
        <is>
          <t>COS - Security - Guarding</t>
        </is>
      </c>
      <c r="F5473" s="3" t="n">
        <v>0</v>
      </c>
      <c r="G5473" s="3" t="n">
        <v>152255.68</v>
      </c>
    </row>
    <row r="5474">
      <c r="A5474" s="3" t="inlineStr">
        <is>
          <t>Cape Projects Construction (Pty) Ltd</t>
        </is>
      </c>
      <c r="B5474" s="4" t="n">
        <v>45323</v>
      </c>
      <c r="C5474" s="3" t="inlineStr">
        <is>
          <t>Expenses</t>
        </is>
      </c>
      <c r="D5474" s="3" t="inlineStr">
        <is>
          <t>2006/000</t>
        </is>
      </c>
      <c r="E5474" s="3" t="inlineStr">
        <is>
          <t>COS - Endulini Construction</t>
        </is>
      </c>
      <c r="F5474" s="3" t="n">
        <v>0</v>
      </c>
      <c r="G5474" s="3" t="n">
        <v>352147.74</v>
      </c>
    </row>
    <row r="5475">
      <c r="A5475" s="3" t="inlineStr">
        <is>
          <t>Cape Projects Construction (Pty) Ltd</t>
        </is>
      </c>
      <c r="B5475" s="4" t="n">
        <v>45323</v>
      </c>
      <c r="C5475" s="3" t="inlineStr">
        <is>
          <t>Expenses</t>
        </is>
      </c>
      <c r="D5475" s="3" t="inlineStr">
        <is>
          <t>2006/100</t>
        </is>
      </c>
      <c r="E5475" s="3" t="inlineStr">
        <is>
          <t>COS - Endulini P and G</t>
        </is>
      </c>
      <c r="F5475" s="3" t="n">
        <v>0</v>
      </c>
      <c r="G5475" s="3" t="n">
        <v>160505.7</v>
      </c>
    </row>
    <row r="5476">
      <c r="A5476" s="3" t="inlineStr">
        <is>
          <t>Cape Projects Construction (Pty) Ltd</t>
        </is>
      </c>
      <c r="B5476" s="4" t="n">
        <v>45323</v>
      </c>
      <c r="C5476" s="3" t="inlineStr">
        <is>
          <t>Expenses</t>
        </is>
      </c>
      <c r="D5476" s="3" t="inlineStr">
        <is>
          <t>2006/200</t>
        </is>
      </c>
      <c r="E5476" s="3" t="inlineStr">
        <is>
          <t>COS - Insurance</t>
        </is>
      </c>
      <c r="F5476" s="3" t="n">
        <v>0</v>
      </c>
      <c r="G5476" s="3" t="n">
        <v>19969.43</v>
      </c>
    </row>
    <row r="5477">
      <c r="A5477" s="3" t="inlineStr">
        <is>
          <t>Cape Projects Construction (Pty) Ltd</t>
        </is>
      </c>
      <c r="B5477" s="4" t="n">
        <v>45323</v>
      </c>
      <c r="C5477" s="3" t="inlineStr">
        <is>
          <t>Expenses</t>
        </is>
      </c>
      <c r="D5477" s="3" t="inlineStr">
        <is>
          <t>2006/450</t>
        </is>
      </c>
      <c r="E5477" s="3" t="inlineStr">
        <is>
          <t>COS - Endulini - Computer expenses</t>
        </is>
      </c>
      <c r="F5477" s="3" t="n">
        <v>0</v>
      </c>
      <c r="G5477" s="3" t="n">
        <v>26340.75</v>
      </c>
    </row>
    <row r="5478">
      <c r="A5478" s="3" t="inlineStr">
        <is>
          <t>Cape Projects Construction (Pty) Ltd</t>
        </is>
      </c>
      <c r="B5478" s="4" t="n">
        <v>45323</v>
      </c>
      <c r="C5478" s="3" t="inlineStr">
        <is>
          <t>Expenses</t>
        </is>
      </c>
      <c r="D5478" s="3" t="inlineStr">
        <is>
          <t>2006/700</t>
        </is>
      </c>
      <c r="E5478" s="3" t="inlineStr">
        <is>
          <t>COS - Endulini - Fuel</t>
        </is>
      </c>
      <c r="F5478" s="3" t="n">
        <v>300</v>
      </c>
      <c r="G5478" s="3" t="n">
        <v>300</v>
      </c>
    </row>
    <row r="5479">
      <c r="A5479" s="3" t="inlineStr">
        <is>
          <t>Cape Projects Construction (Pty) Ltd</t>
        </is>
      </c>
      <c r="B5479" s="4" t="n">
        <v>45323</v>
      </c>
      <c r="C5479" s="3" t="inlineStr">
        <is>
          <t>Expenses</t>
        </is>
      </c>
      <c r="D5479" s="3" t="inlineStr">
        <is>
          <t>2006/800</t>
        </is>
      </c>
      <c r="E5479" s="3" t="inlineStr">
        <is>
          <t>COS - Endulini - Telephone &amp; Internet</t>
        </is>
      </c>
      <c r="F5479" s="3" t="n">
        <v>0</v>
      </c>
      <c r="G5479" s="3" t="n">
        <v>760.87</v>
      </c>
    </row>
    <row r="5480">
      <c r="A5480" s="3" t="inlineStr">
        <is>
          <t>Cape Projects Construction (Pty) Ltd</t>
        </is>
      </c>
      <c r="B5480" s="4" t="n">
        <v>45323</v>
      </c>
      <c r="C5480" s="3" t="inlineStr">
        <is>
          <t>Expenses</t>
        </is>
      </c>
      <c r="D5480" s="3" t="inlineStr">
        <is>
          <t>2007/000</t>
        </is>
      </c>
      <c r="E5480" s="3" t="inlineStr">
        <is>
          <t>COS - Repairs &amp; Maintenance - SW Southwark</t>
        </is>
      </c>
      <c r="F5480" s="3" t="n">
        <v>0</v>
      </c>
      <c r="G5480" s="3" t="n">
        <v>27752.22</v>
      </c>
    </row>
    <row r="5481">
      <c r="A5481" s="3" t="inlineStr">
        <is>
          <t>Cape Projects Construction (Pty) Ltd</t>
        </is>
      </c>
      <c r="B5481" s="4" t="n">
        <v>45323</v>
      </c>
      <c r="C5481" s="3" t="inlineStr">
        <is>
          <t>Expenses</t>
        </is>
      </c>
      <c r="D5481" s="3" t="inlineStr">
        <is>
          <t>2008/000</t>
        </is>
      </c>
      <c r="E5481" s="3" t="inlineStr">
        <is>
          <t>COS - Repairs &amp; Maintenance - SH Soho</t>
        </is>
      </c>
      <c r="F5481" s="3" t="n">
        <v>0</v>
      </c>
      <c r="G5481" s="3" t="n">
        <v>7565.57</v>
      </c>
    </row>
    <row r="5482">
      <c r="A5482" s="3" t="inlineStr">
        <is>
          <t>Cape Projects Construction (Pty) Ltd</t>
        </is>
      </c>
      <c r="B5482" s="4" t="n">
        <v>45323</v>
      </c>
      <c r="C5482" s="3" t="inlineStr">
        <is>
          <t>Expenses</t>
        </is>
      </c>
      <c r="D5482" s="3" t="inlineStr">
        <is>
          <t>2011/100</t>
        </is>
      </c>
      <c r="E5482" s="3" t="inlineStr">
        <is>
          <t>COS - Heron Fields - Garden Services</t>
        </is>
      </c>
      <c r="F5482" s="3" t="n">
        <v>0</v>
      </c>
      <c r="G5482" s="3" t="n">
        <v>680</v>
      </c>
    </row>
    <row r="5483">
      <c r="A5483" s="3" t="inlineStr">
        <is>
          <t>Cape Projects Construction (Pty) Ltd</t>
        </is>
      </c>
      <c r="B5483" s="4" t="n">
        <v>45323</v>
      </c>
      <c r="C5483" s="3" t="inlineStr">
        <is>
          <t>Expenses</t>
        </is>
      </c>
      <c r="D5483" s="3" t="inlineStr">
        <is>
          <t>2011/300</t>
        </is>
      </c>
      <c r="E5483" s="3" t="inlineStr">
        <is>
          <t>COS - Heron Fields - Printing &amp; Stationary</t>
        </is>
      </c>
      <c r="F5483" s="3" t="n">
        <v>0</v>
      </c>
      <c r="G5483" s="3" t="n">
        <v>1129.57</v>
      </c>
    </row>
    <row r="5484">
      <c r="A5484" s="3" t="inlineStr">
        <is>
          <t>Cape Projects Construction (Pty) Ltd</t>
        </is>
      </c>
      <c r="B5484" s="4" t="n">
        <v>45323</v>
      </c>
      <c r="C5484" s="3" t="inlineStr">
        <is>
          <t>Expenses</t>
        </is>
      </c>
      <c r="D5484" s="3" t="inlineStr">
        <is>
          <t>2011/500</t>
        </is>
      </c>
      <c r="E5484" s="3" t="inlineStr">
        <is>
          <t>COS - Heron Fields - Construction</t>
        </is>
      </c>
      <c r="F5484" s="3" t="n">
        <v>0</v>
      </c>
      <c r="G5484" s="3" t="n">
        <v>1639839.08</v>
      </c>
    </row>
    <row r="5485">
      <c r="A5485" s="3" t="inlineStr">
        <is>
          <t>Cape Projects Construction (Pty) Ltd</t>
        </is>
      </c>
      <c r="B5485" s="4" t="n">
        <v>45323</v>
      </c>
      <c r="C5485" s="3" t="inlineStr">
        <is>
          <t>Expenses</t>
        </is>
      </c>
      <c r="D5485" s="3" t="inlineStr">
        <is>
          <t>2011/600</t>
        </is>
      </c>
      <c r="E5485" s="3" t="inlineStr">
        <is>
          <t>COS - Heron Fields - P &amp; G</t>
        </is>
      </c>
      <c r="F5485" s="3" t="n">
        <v>2901.76</v>
      </c>
      <c r="G5485" s="3" t="n">
        <v>346725.3</v>
      </c>
    </row>
    <row r="5486">
      <c r="A5486" s="3" t="inlineStr">
        <is>
          <t>Cape Projects Construction (Pty) Ltd</t>
        </is>
      </c>
      <c r="B5486" s="4" t="n">
        <v>45323</v>
      </c>
      <c r="C5486" s="3" t="inlineStr">
        <is>
          <t>Expenses</t>
        </is>
      </c>
      <c r="D5486" s="3" t="inlineStr">
        <is>
          <t>2011/700</t>
        </is>
      </c>
      <c r="E5486" s="3" t="inlineStr">
        <is>
          <t>COS - Heron Fields - Health &amp; Safety</t>
        </is>
      </c>
      <c r="F5486" s="3" t="n">
        <v>0</v>
      </c>
      <c r="G5486" s="3" t="n">
        <v>694.78</v>
      </c>
    </row>
    <row r="5487">
      <c r="A5487" s="3" t="inlineStr">
        <is>
          <t>Cape Projects Construction (Pty) Ltd</t>
        </is>
      </c>
      <c r="B5487" s="4" t="n">
        <v>45323</v>
      </c>
      <c r="C5487" s="3" t="inlineStr">
        <is>
          <t>Expenses</t>
        </is>
      </c>
      <c r="D5487" s="3" t="inlineStr">
        <is>
          <t>2011/900</t>
        </is>
      </c>
      <c r="E5487" s="3" t="inlineStr">
        <is>
          <t>COS - Heron - Internet</t>
        </is>
      </c>
      <c r="F5487" s="3" t="n">
        <v>1849.57</v>
      </c>
      <c r="G5487" s="3" t="n">
        <v>19178.81</v>
      </c>
    </row>
    <row r="5488">
      <c r="A5488" s="3" t="inlineStr">
        <is>
          <t>Cape Projects Construction (Pty) Ltd</t>
        </is>
      </c>
      <c r="B5488" s="4" t="n">
        <v>45323</v>
      </c>
      <c r="C5488" s="3" t="inlineStr">
        <is>
          <t>Expenses</t>
        </is>
      </c>
      <c r="D5488" s="3" t="inlineStr">
        <is>
          <t>2012/001</t>
        </is>
      </c>
      <c r="E5488" s="3" t="inlineStr">
        <is>
          <t>COS - Heron View - Printing &amp; Stationary</t>
        </is>
      </c>
      <c r="F5488" s="3" t="n">
        <v>0</v>
      </c>
      <c r="G5488" s="3" t="n">
        <v>33532.38</v>
      </c>
    </row>
    <row r="5489">
      <c r="A5489" s="3" t="inlineStr">
        <is>
          <t>Cape Projects Construction (Pty) Ltd</t>
        </is>
      </c>
      <c r="B5489" s="4" t="n">
        <v>45323</v>
      </c>
      <c r="C5489" s="3" t="inlineStr">
        <is>
          <t>Expenses</t>
        </is>
      </c>
      <c r="D5489" s="3" t="inlineStr">
        <is>
          <t>2012/002</t>
        </is>
      </c>
      <c r="E5489" s="3" t="inlineStr">
        <is>
          <t>COS - Heron View - Construction</t>
        </is>
      </c>
      <c r="F5489" s="3" t="n">
        <v>32750.81</v>
      </c>
      <c r="G5489" s="3" t="n">
        <v>43389028.59</v>
      </c>
    </row>
    <row r="5490">
      <c r="A5490" s="3" t="inlineStr">
        <is>
          <t>Cape Projects Construction (Pty) Ltd</t>
        </is>
      </c>
      <c r="B5490" s="4" t="n">
        <v>45323</v>
      </c>
      <c r="C5490" s="3" t="inlineStr">
        <is>
          <t>Expenses</t>
        </is>
      </c>
      <c r="D5490" s="3" t="inlineStr">
        <is>
          <t>2012/003</t>
        </is>
      </c>
      <c r="E5490" s="3" t="inlineStr">
        <is>
          <t>COS - Heron View - P&amp;G</t>
        </is>
      </c>
      <c r="F5490" s="3" t="n">
        <v>0</v>
      </c>
      <c r="G5490" s="3" t="n">
        <v>549196.86</v>
      </c>
    </row>
    <row r="5491">
      <c r="A5491" s="3" t="inlineStr">
        <is>
          <t>Cape Projects Construction (Pty) Ltd</t>
        </is>
      </c>
      <c r="B5491" s="4" t="n">
        <v>45323</v>
      </c>
      <c r="C5491" s="3" t="inlineStr">
        <is>
          <t>Expenses</t>
        </is>
      </c>
      <c r="D5491" s="3" t="inlineStr">
        <is>
          <t>2013/000</t>
        </is>
      </c>
      <c r="E5491" s="3" t="inlineStr">
        <is>
          <t>COS - Bakhoven</t>
        </is>
      </c>
      <c r="F5491" s="3" t="n">
        <v>0</v>
      </c>
      <c r="G5491" s="3" t="n">
        <v>17292.48</v>
      </c>
    </row>
    <row r="5492">
      <c r="A5492" s="3" t="inlineStr">
        <is>
          <t>Cape Projects Construction (Pty) Ltd</t>
        </is>
      </c>
      <c r="B5492" s="4" t="n">
        <v>45323</v>
      </c>
      <c r="C5492" s="3" t="inlineStr">
        <is>
          <t>Revenue</t>
        </is>
      </c>
      <c r="D5492" s="3" t="inlineStr">
        <is>
          <t>2750/000</t>
        </is>
      </c>
      <c r="E5492" s="3" t="inlineStr">
        <is>
          <t>Interest Received - FNB</t>
        </is>
      </c>
      <c r="F5492" s="3" t="n">
        <v>0</v>
      </c>
      <c r="G5492" s="3" t="n">
        <v>-2599.73</v>
      </c>
    </row>
    <row r="5493">
      <c r="A5493" s="3" t="inlineStr">
        <is>
          <t>Cape Projects Construction (Pty) Ltd</t>
        </is>
      </c>
      <c r="B5493" s="4" t="n">
        <v>45323</v>
      </c>
      <c r="C5493" s="3" t="inlineStr">
        <is>
          <t>Revenue</t>
        </is>
      </c>
      <c r="D5493" s="3" t="inlineStr">
        <is>
          <t>2751/001</t>
        </is>
      </c>
      <c r="E5493" s="3" t="inlineStr">
        <is>
          <t>Interest received - Momentum</t>
        </is>
      </c>
      <c r="F5493" s="3" t="n">
        <v>0</v>
      </c>
      <c r="G5493" s="3" t="n">
        <v>-34.23</v>
      </c>
    </row>
    <row r="5494">
      <c r="A5494" s="3" t="inlineStr">
        <is>
          <t>Heron Fields (Pty) Ltd</t>
        </is>
      </c>
      <c r="B5494" s="4" t="n">
        <v>45323</v>
      </c>
      <c r="C5494" s="3" t="inlineStr">
        <is>
          <t>Revenue</t>
        </is>
      </c>
      <c r="D5494" s="3" t="inlineStr">
        <is>
          <t>2753/000</t>
        </is>
      </c>
      <c r="E5494" s="3" t="inlineStr">
        <is>
          <t>Interest Received - Deposits</t>
        </is>
      </c>
      <c r="F5494" s="3" t="n">
        <v>0</v>
      </c>
      <c r="G5494" s="3" t="n">
        <v>-5546.16</v>
      </c>
    </row>
    <row r="5495">
      <c r="A5495" s="3" t="inlineStr">
        <is>
          <t>Heron Fields (Pty) Ltd</t>
        </is>
      </c>
      <c r="B5495" s="4" t="n">
        <v>45323</v>
      </c>
      <c r="C5495" s="3" t="inlineStr">
        <is>
          <t>Revenue</t>
        </is>
      </c>
      <c r="D5495" s="3" t="inlineStr">
        <is>
          <t>2755/001</t>
        </is>
      </c>
      <c r="E5495" s="3" t="inlineStr">
        <is>
          <t>Interest Received - Momentum</t>
        </is>
      </c>
      <c r="F5495" s="3" t="n">
        <v>0</v>
      </c>
      <c r="G5495" s="3" t="n">
        <v>-2655207.55</v>
      </c>
    </row>
    <row r="5496">
      <c r="A5496" s="3" t="inlineStr">
        <is>
          <t>Heron Fields (Pty) Ltd</t>
        </is>
      </c>
      <c r="B5496" s="4" t="n">
        <v>45323</v>
      </c>
      <c r="C5496" s="3" t="inlineStr">
        <is>
          <t>Expenses</t>
        </is>
      </c>
      <c r="D5496" s="3" t="inlineStr">
        <is>
          <t>3000/000</t>
        </is>
      </c>
      <c r="E5496" s="3" t="inlineStr">
        <is>
          <t>Accounting Fees</t>
        </is>
      </c>
      <c r="F5496" s="3" t="n">
        <v>0</v>
      </c>
      <c r="G5496" s="3" t="n">
        <v>15024.96</v>
      </c>
    </row>
    <row r="5497">
      <c r="A5497" s="3" t="inlineStr">
        <is>
          <t>Heron Fields (Pty) Ltd</t>
        </is>
      </c>
      <c r="B5497" s="4" t="n">
        <v>45323</v>
      </c>
      <c r="C5497" s="3" t="inlineStr">
        <is>
          <t>Expenses</t>
        </is>
      </c>
      <c r="D5497" s="3" t="inlineStr">
        <is>
          <t>3000/100</t>
        </is>
      </c>
      <c r="E5497" s="3" t="inlineStr">
        <is>
          <t>Accounting - CIPC</t>
        </is>
      </c>
      <c r="F5497" s="3" t="n">
        <v>0</v>
      </c>
      <c r="G5497" s="3" t="n">
        <v>3050</v>
      </c>
    </row>
    <row r="5498">
      <c r="A5498" s="3" t="inlineStr">
        <is>
          <t>Cape Projects Construction (Pty) Ltd</t>
        </is>
      </c>
      <c r="B5498" s="4" t="n">
        <v>45323</v>
      </c>
      <c r="C5498" s="3" t="inlineStr">
        <is>
          <t>Expenses</t>
        </is>
      </c>
      <c r="D5498" s="3" t="inlineStr">
        <is>
          <t>3001/000</t>
        </is>
      </c>
      <c r="E5498" s="3" t="inlineStr">
        <is>
          <t>Accounting Fees - Other</t>
        </is>
      </c>
      <c r="F5498" s="3" t="n">
        <v>0</v>
      </c>
      <c r="G5498" s="3" t="n">
        <v>1280</v>
      </c>
    </row>
    <row r="5499">
      <c r="A5499" s="3" t="inlineStr">
        <is>
          <t>Cape Projects Construction (Pty) Ltd</t>
        </is>
      </c>
      <c r="B5499" s="4" t="n">
        <v>45323</v>
      </c>
      <c r="C5499" s="3" t="inlineStr">
        <is>
          <t>Expenses</t>
        </is>
      </c>
      <c r="D5499" s="3" t="inlineStr">
        <is>
          <t>3002/000</t>
        </is>
      </c>
      <c r="E5499" s="3" t="inlineStr">
        <is>
          <t>Accounting Fees - Audit</t>
        </is>
      </c>
      <c r="F5499" s="3" t="n">
        <v>0</v>
      </c>
      <c r="G5499" s="3" t="n">
        <v>11170</v>
      </c>
    </row>
    <row r="5500">
      <c r="A5500" s="3" t="inlineStr">
        <is>
          <t>Cape Projects Construction (Pty) Ltd</t>
        </is>
      </c>
      <c r="B5500" s="4" t="n">
        <v>45323</v>
      </c>
      <c r="C5500" s="3" t="inlineStr">
        <is>
          <t>Expenses</t>
        </is>
      </c>
      <c r="D5500" s="3" t="inlineStr">
        <is>
          <t>3050/000</t>
        </is>
      </c>
      <c r="E5500" s="3" t="inlineStr">
        <is>
          <t>Advertising _AND_ Promotions</t>
        </is>
      </c>
      <c r="F5500" s="3" t="n">
        <v>0</v>
      </c>
      <c r="G5500" s="3" t="n">
        <v>10975</v>
      </c>
    </row>
    <row r="5501">
      <c r="A5501" s="3" t="inlineStr">
        <is>
          <t>Heron Fields (Pty) Ltd</t>
        </is>
      </c>
      <c r="B5501" s="4" t="n">
        <v>45323</v>
      </c>
      <c r="C5501" s="3" t="inlineStr">
        <is>
          <t>Expenses</t>
        </is>
      </c>
      <c r="D5501" s="3" t="inlineStr">
        <is>
          <t>3050/000</t>
        </is>
      </c>
      <c r="E5501" s="3" t="inlineStr">
        <is>
          <t>Advertising _AND_ Promotions</t>
        </is>
      </c>
      <c r="F5501" s="3" t="n">
        <v>500</v>
      </c>
      <c r="G5501" s="3" t="n">
        <v>179414.34</v>
      </c>
    </row>
    <row r="5502">
      <c r="A5502" s="3" t="inlineStr">
        <is>
          <t>Heron View (Pty) Ltd</t>
        </is>
      </c>
      <c r="B5502" s="4" t="n">
        <v>45323</v>
      </c>
      <c r="C5502" s="3" t="inlineStr">
        <is>
          <t>Expenses</t>
        </is>
      </c>
      <c r="D5502" s="3" t="inlineStr">
        <is>
          <t>3050/000</t>
        </is>
      </c>
      <c r="E5502" s="3" t="inlineStr">
        <is>
          <t>Advertising _AND_ Promotions</t>
        </is>
      </c>
      <c r="F5502" s="3" t="n">
        <v>0</v>
      </c>
      <c r="G5502" s="3" t="n">
        <v>52857.72</v>
      </c>
    </row>
    <row r="5503">
      <c r="A5503" s="3" t="inlineStr">
        <is>
          <t>Heron Fields (Pty) Ltd</t>
        </is>
      </c>
      <c r="B5503" s="4" t="n">
        <v>45323</v>
      </c>
      <c r="C5503" s="3" t="inlineStr">
        <is>
          <t>Expenses</t>
        </is>
      </c>
      <c r="D5503" s="3" t="inlineStr">
        <is>
          <t>3050/100</t>
        </is>
      </c>
      <c r="E5503" s="3" t="inlineStr">
        <is>
          <t>Advertising - Property24</t>
        </is>
      </c>
      <c r="F5503" s="3" t="n">
        <v>0</v>
      </c>
      <c r="G5503" s="3" t="n">
        <v>12480</v>
      </c>
    </row>
    <row r="5504">
      <c r="A5504" s="3" t="inlineStr">
        <is>
          <t>Cape Projects Construction (Pty) Ltd</t>
        </is>
      </c>
      <c r="B5504" s="4" t="n">
        <v>45323</v>
      </c>
      <c r="C5504" s="3" t="inlineStr">
        <is>
          <t>Expenses</t>
        </is>
      </c>
      <c r="D5504" s="3" t="inlineStr">
        <is>
          <t>3050/150</t>
        </is>
      </c>
      <c r="E5504" s="3" t="inlineStr">
        <is>
          <t>Advertising - Design Fees</t>
        </is>
      </c>
      <c r="F5504" s="3" t="n">
        <v>0</v>
      </c>
      <c r="G5504" s="3" t="n">
        <v>295</v>
      </c>
    </row>
    <row r="5505">
      <c r="A5505" s="3" t="inlineStr">
        <is>
          <t>Heron Fields (Pty) Ltd</t>
        </is>
      </c>
      <c r="B5505" s="4" t="n">
        <v>45323</v>
      </c>
      <c r="C5505" s="3" t="inlineStr">
        <is>
          <t>Expenses</t>
        </is>
      </c>
      <c r="D5505" s="3" t="inlineStr">
        <is>
          <t>3050/300</t>
        </is>
      </c>
      <c r="E5505" s="3" t="inlineStr">
        <is>
          <t>Advertising - Real Marketing</t>
        </is>
      </c>
      <c r="F5505" s="3" t="n">
        <v>0</v>
      </c>
      <c r="G5505" s="3" t="n">
        <v>10250</v>
      </c>
    </row>
    <row r="5506">
      <c r="A5506" s="3" t="inlineStr">
        <is>
          <t>Heron View (Pty) Ltd</t>
        </is>
      </c>
      <c r="B5506" s="4" t="n">
        <v>45323</v>
      </c>
      <c r="C5506" s="3" t="inlineStr">
        <is>
          <t>Expenses</t>
        </is>
      </c>
      <c r="D5506" s="3" t="inlineStr">
        <is>
          <t>3050/300</t>
        </is>
      </c>
      <c r="E5506" s="3" t="inlineStr">
        <is>
          <t>Advertising - Thinkink</t>
        </is>
      </c>
      <c r="F5506" s="3" t="n">
        <v>0</v>
      </c>
      <c r="G5506" s="3" t="n">
        <v>17855</v>
      </c>
    </row>
    <row r="5507">
      <c r="A5507" s="3" t="inlineStr">
        <is>
          <t>Heron View (Pty) Ltd</t>
        </is>
      </c>
      <c r="B5507" s="4" t="n">
        <v>45323</v>
      </c>
      <c r="C5507" s="3" t="inlineStr">
        <is>
          <t>Expenses</t>
        </is>
      </c>
      <c r="D5507" s="3" t="inlineStr">
        <is>
          <t>3050/400</t>
        </is>
      </c>
      <c r="E5507" s="3" t="inlineStr">
        <is>
          <t>Advertising - Pure Brand Activation</t>
        </is>
      </c>
      <c r="F5507" s="3" t="n">
        <v>0</v>
      </c>
      <c r="G5507" s="3" t="n">
        <v>14569.1</v>
      </c>
    </row>
    <row r="5508">
      <c r="A5508" s="3" t="inlineStr">
        <is>
          <t>Cape Projects Construction (Pty) Ltd</t>
        </is>
      </c>
      <c r="B5508" s="4" t="n">
        <v>45323</v>
      </c>
      <c r="C5508" s="3" t="inlineStr">
        <is>
          <t>Expenses</t>
        </is>
      </c>
      <c r="D5508" s="3" t="inlineStr">
        <is>
          <t>3050/450</t>
        </is>
      </c>
      <c r="E5508" s="3" t="inlineStr">
        <is>
          <t>Advertising - Other</t>
        </is>
      </c>
      <c r="F5508" s="3" t="n">
        <v>0</v>
      </c>
      <c r="G5508" s="3" t="n">
        <v>1597</v>
      </c>
    </row>
    <row r="5509">
      <c r="A5509" s="3" t="inlineStr">
        <is>
          <t>Heron View (Pty) Ltd</t>
        </is>
      </c>
      <c r="B5509" s="4" t="n">
        <v>45323</v>
      </c>
      <c r="C5509" s="3" t="inlineStr">
        <is>
          <t>Expenses</t>
        </is>
      </c>
      <c r="D5509" s="3" t="inlineStr">
        <is>
          <t>3050/500</t>
        </is>
      </c>
      <c r="E5509" s="3" t="inlineStr">
        <is>
          <t>Advertising - Real Marketing</t>
        </is>
      </c>
      <c r="F5509" s="3" t="n">
        <v>0</v>
      </c>
      <c r="G5509" s="3" t="n">
        <v>18500</v>
      </c>
    </row>
    <row r="5510">
      <c r="A5510" s="3" t="inlineStr">
        <is>
          <t>Cape Projects Construction (Pty) Ltd</t>
        </is>
      </c>
      <c r="B5510" s="4" t="n">
        <v>45323</v>
      </c>
      <c r="C5510" s="3" t="inlineStr">
        <is>
          <t>Expenses</t>
        </is>
      </c>
      <c r="D5510" s="3" t="inlineStr">
        <is>
          <t>3200/000</t>
        </is>
      </c>
      <c r="E5510" s="3" t="inlineStr">
        <is>
          <t>Bank Charges</t>
        </is>
      </c>
      <c r="F5510" s="3" t="n">
        <v>0</v>
      </c>
      <c r="G5510" s="3" t="n">
        <v>20862.05</v>
      </c>
    </row>
    <row r="5511">
      <c r="A5511" s="3" t="inlineStr">
        <is>
          <t>Heron Fields (Pty) Ltd</t>
        </is>
      </c>
      <c r="B5511" s="4" t="n">
        <v>45323</v>
      </c>
      <c r="C5511" s="3" t="inlineStr">
        <is>
          <t>Expenses</t>
        </is>
      </c>
      <c r="D5511" s="3" t="inlineStr">
        <is>
          <t>3200/000</t>
        </is>
      </c>
      <c r="E5511" s="3" t="inlineStr">
        <is>
          <t>Bank Charges</t>
        </is>
      </c>
      <c r="F5511" s="3" t="n">
        <v>0</v>
      </c>
      <c r="G5511" s="3" t="n">
        <v>4750.68</v>
      </c>
    </row>
    <row r="5512">
      <c r="A5512" s="3" t="inlineStr">
        <is>
          <t>Cape Projects Construction (Pty) Ltd</t>
        </is>
      </c>
      <c r="B5512" s="4" t="n">
        <v>45323</v>
      </c>
      <c r="C5512" s="3" t="inlineStr">
        <is>
          <t>Expenses</t>
        </is>
      </c>
      <c r="D5512" s="3" t="inlineStr">
        <is>
          <t>3250/000</t>
        </is>
      </c>
      <c r="E5512" s="3" t="inlineStr">
        <is>
          <t>Cleaning</t>
        </is>
      </c>
      <c r="F5512" s="3" t="n">
        <v>0</v>
      </c>
      <c r="G5512" s="3" t="n">
        <v>1211.89</v>
      </c>
    </row>
    <row r="5513">
      <c r="A5513" s="3" t="inlineStr">
        <is>
          <t>Cape Projects Construction (Pty) Ltd</t>
        </is>
      </c>
      <c r="B5513" s="4" t="n">
        <v>45323</v>
      </c>
      <c r="C5513" s="3" t="inlineStr">
        <is>
          <t>Expenses</t>
        </is>
      </c>
      <c r="D5513" s="3" t="inlineStr">
        <is>
          <t>3255/000</t>
        </is>
      </c>
      <c r="E5513" s="3" t="inlineStr">
        <is>
          <t>Cell Phone - CT Office</t>
        </is>
      </c>
      <c r="F5513" s="3" t="n">
        <v>0</v>
      </c>
      <c r="G5513" s="3" t="n">
        <v>4123</v>
      </c>
    </row>
    <row r="5514">
      <c r="A5514" s="3" t="inlineStr">
        <is>
          <t>Cape Projects Construction (Pty) Ltd</t>
        </is>
      </c>
      <c r="B5514" s="4" t="n">
        <v>45323</v>
      </c>
      <c r="C5514" s="3" t="inlineStr">
        <is>
          <t>Expenses</t>
        </is>
      </c>
      <c r="D5514" s="3" t="inlineStr">
        <is>
          <t>3256/000</t>
        </is>
      </c>
      <c r="E5514" s="3" t="inlineStr">
        <is>
          <t>Cell Phone - Nick Morgan</t>
        </is>
      </c>
      <c r="F5514" s="3" t="n">
        <v>0</v>
      </c>
      <c r="G5514" s="3" t="n">
        <v>26779.67</v>
      </c>
    </row>
    <row r="5515">
      <c r="A5515" s="3" t="inlineStr">
        <is>
          <t>Cape Projects Construction (Pty) Ltd</t>
        </is>
      </c>
      <c r="B5515" s="4" t="n">
        <v>45323</v>
      </c>
      <c r="C5515" s="3" t="inlineStr">
        <is>
          <t>Expenses</t>
        </is>
      </c>
      <c r="D5515" s="3" t="inlineStr">
        <is>
          <t>3300/000</t>
        </is>
      </c>
      <c r="E5515" s="3" t="inlineStr">
        <is>
          <t>Computer Expenses</t>
        </is>
      </c>
      <c r="F5515" s="3" t="n">
        <v>0</v>
      </c>
      <c r="G5515" s="3" t="n">
        <v>6402.65</v>
      </c>
    </row>
    <row r="5516">
      <c r="A5516" s="3" t="inlineStr">
        <is>
          <t>Cape Projects Construction (Pty) Ltd</t>
        </is>
      </c>
      <c r="B5516" s="4" t="n">
        <v>45323</v>
      </c>
      <c r="C5516" s="3" t="inlineStr">
        <is>
          <t>Expenses</t>
        </is>
      </c>
      <c r="D5516" s="3" t="inlineStr">
        <is>
          <t>3300/100</t>
        </is>
      </c>
      <c r="E5516" s="3" t="inlineStr">
        <is>
          <t>Computer Exp - IT, Internet/Hosting Fee</t>
        </is>
      </c>
      <c r="F5516" s="3" t="n">
        <v>0</v>
      </c>
      <c r="G5516" s="3" t="n">
        <v>43074</v>
      </c>
    </row>
    <row r="5517">
      <c r="A5517" s="3" t="inlineStr">
        <is>
          <t>Heron Fields (Pty) Ltd</t>
        </is>
      </c>
      <c r="B5517" s="4" t="n">
        <v>45323</v>
      </c>
      <c r="C5517" s="3" t="inlineStr">
        <is>
          <t>Expenses</t>
        </is>
      </c>
      <c r="D5517" s="3" t="inlineStr">
        <is>
          <t>3350/100</t>
        </is>
      </c>
      <c r="E5517" s="3" t="inlineStr">
        <is>
          <t>Consulting Fees - Admin and Finance</t>
        </is>
      </c>
      <c r="F5517" s="3" t="n">
        <v>0</v>
      </c>
      <c r="G5517" s="3" t="n">
        <v>1290791.14</v>
      </c>
    </row>
    <row r="5518">
      <c r="A5518" s="3" t="inlineStr">
        <is>
          <t>Cape Projects Construction (Pty) Ltd</t>
        </is>
      </c>
      <c r="B5518" s="4" t="n">
        <v>45323</v>
      </c>
      <c r="C5518" s="3" t="inlineStr">
        <is>
          <t>Expenses</t>
        </is>
      </c>
      <c r="D5518" s="3" t="inlineStr">
        <is>
          <t>3350/300</t>
        </is>
      </c>
      <c r="E5518" s="3" t="inlineStr">
        <is>
          <t>Consulting Fees - Admin and Finance</t>
        </is>
      </c>
      <c r="F5518" s="3" t="n">
        <v>0</v>
      </c>
      <c r="G5518" s="3" t="n">
        <v>1361002.88</v>
      </c>
    </row>
    <row r="5519">
      <c r="A5519" s="3" t="inlineStr">
        <is>
          <t>Heron Fields (Pty) Ltd</t>
        </is>
      </c>
      <c r="B5519" s="4" t="n">
        <v>45323</v>
      </c>
      <c r="C5519" s="3" t="inlineStr">
        <is>
          <t>Expenses</t>
        </is>
      </c>
      <c r="D5519" s="3" t="inlineStr">
        <is>
          <t>3351/000</t>
        </is>
      </c>
      <c r="E5519" s="3" t="inlineStr">
        <is>
          <t>Consulting fees - Trustee</t>
        </is>
      </c>
      <c r="F5519" s="3" t="n">
        <v>0</v>
      </c>
      <c r="G5519" s="3" t="n">
        <v>26300</v>
      </c>
    </row>
    <row r="5520">
      <c r="A5520" s="3" t="inlineStr">
        <is>
          <t>Heron View (Pty) Ltd</t>
        </is>
      </c>
      <c r="B5520" s="4" t="n">
        <v>45323</v>
      </c>
      <c r="C5520" s="3" t="inlineStr">
        <is>
          <t>Expenses</t>
        </is>
      </c>
      <c r="D5520" s="3" t="inlineStr">
        <is>
          <t>3351/000</t>
        </is>
      </c>
      <c r="E5520" s="3" t="inlineStr">
        <is>
          <t>Consulting fees - Trustee</t>
        </is>
      </c>
      <c r="F5520" s="3" t="n">
        <v>0</v>
      </c>
      <c r="G5520" s="3" t="n">
        <v>76750</v>
      </c>
    </row>
    <row r="5521">
      <c r="A5521" s="3" t="inlineStr">
        <is>
          <t>Cape Projects Construction (Pty) Ltd</t>
        </is>
      </c>
      <c r="B5521" s="4" t="n">
        <v>45323</v>
      </c>
      <c r="C5521" s="3" t="inlineStr">
        <is>
          <t>Expenses</t>
        </is>
      </c>
      <c r="D5521" s="3" t="inlineStr">
        <is>
          <t>3400/000</t>
        </is>
      </c>
      <c r="E5521" s="3" t="inlineStr">
        <is>
          <t>Courier _AND_ Postage</t>
        </is>
      </c>
      <c r="F5521" s="3" t="n">
        <v>0</v>
      </c>
      <c r="G5521" s="3" t="n">
        <v>331.09</v>
      </c>
    </row>
    <row r="5522">
      <c r="A5522" s="3" t="inlineStr">
        <is>
          <t>Cape Projects Construction (Pty) Ltd</t>
        </is>
      </c>
      <c r="B5522" s="4" t="n">
        <v>45323</v>
      </c>
      <c r="C5522" s="3" t="inlineStr">
        <is>
          <t>Expenses</t>
        </is>
      </c>
      <c r="D5522" s="3" t="inlineStr">
        <is>
          <t>3450/001</t>
        </is>
      </c>
      <c r="E5522" s="3" t="inlineStr">
        <is>
          <t>Depreciation - Computer Equipment</t>
        </is>
      </c>
      <c r="F5522" s="3" t="n">
        <v>0</v>
      </c>
      <c r="G5522" s="3" t="n">
        <v>41812.75</v>
      </c>
    </row>
    <row r="5523">
      <c r="A5523" s="3" t="inlineStr">
        <is>
          <t>Cape Projects Construction (Pty) Ltd</t>
        </is>
      </c>
      <c r="B5523" s="4" t="n">
        <v>45323</v>
      </c>
      <c r="C5523" s="3" t="inlineStr">
        <is>
          <t>Expenses</t>
        </is>
      </c>
      <c r="D5523" s="3" t="inlineStr">
        <is>
          <t>3450/002</t>
        </is>
      </c>
      <c r="E5523" s="3" t="inlineStr">
        <is>
          <t>Depreciation - Generator Fixed Asset</t>
        </is>
      </c>
      <c r="F5523" s="3" t="n">
        <v>0</v>
      </c>
      <c r="G5523" s="3" t="n">
        <v>11084.97</v>
      </c>
    </row>
    <row r="5524">
      <c r="A5524" s="3" t="inlineStr">
        <is>
          <t>Cape Projects Construction (Pty) Ltd</t>
        </is>
      </c>
      <c r="B5524" s="4" t="n">
        <v>45323</v>
      </c>
      <c r="C5524" s="3" t="inlineStr">
        <is>
          <t>Expenses</t>
        </is>
      </c>
      <c r="D5524" s="3" t="inlineStr">
        <is>
          <t>3450/030</t>
        </is>
      </c>
      <c r="E5524" s="3" t="inlineStr">
        <is>
          <t>Depreciation - Furniture and Fittings</t>
        </is>
      </c>
      <c r="F5524" s="3" t="n">
        <v>0</v>
      </c>
      <c r="G5524" s="3" t="n">
        <v>6024.45</v>
      </c>
    </row>
    <row r="5525">
      <c r="A5525" s="3" t="inlineStr">
        <is>
          <t>Heron Fields (Pty) Ltd</t>
        </is>
      </c>
      <c r="B5525" s="4" t="n">
        <v>45323</v>
      </c>
      <c r="C5525" s="3" t="inlineStr">
        <is>
          <t>Expenses</t>
        </is>
      </c>
      <c r="D5525" s="3" t="inlineStr">
        <is>
          <t>3650/000</t>
        </is>
      </c>
      <c r="E5525" s="3" t="inlineStr">
        <is>
          <t>CoCT - Electricity</t>
        </is>
      </c>
      <c r="F5525" s="3" t="n">
        <v>0</v>
      </c>
      <c r="G5525" s="3" t="n">
        <v>223859.69</v>
      </c>
    </row>
    <row r="5526">
      <c r="A5526" s="3" t="inlineStr">
        <is>
          <t>Cape Projects Construction (Pty) Ltd</t>
        </is>
      </c>
      <c r="B5526" s="4" t="n">
        <v>45323</v>
      </c>
      <c r="C5526" s="3" t="inlineStr">
        <is>
          <t>Expenses</t>
        </is>
      </c>
      <c r="D5526" s="3" t="inlineStr">
        <is>
          <t>3650/000</t>
        </is>
      </c>
      <c r="E5526" s="3" t="inlineStr">
        <is>
          <t>Electricity _AND_ Water</t>
        </is>
      </c>
      <c r="F5526" s="3" t="n">
        <v>0</v>
      </c>
      <c r="G5526" s="3" t="n">
        <v>60974.72</v>
      </c>
    </row>
    <row r="5527">
      <c r="A5527" s="3" t="inlineStr">
        <is>
          <t>Heron Fields (Pty) Ltd</t>
        </is>
      </c>
      <c r="B5527" s="4" t="n">
        <v>45323</v>
      </c>
      <c r="C5527" s="3" t="inlineStr">
        <is>
          <t>Expenses</t>
        </is>
      </c>
      <c r="D5527" s="3" t="inlineStr">
        <is>
          <t>3660/000</t>
        </is>
      </c>
      <c r="E5527" s="3" t="inlineStr">
        <is>
          <t>CoCT - Water</t>
        </is>
      </c>
      <c r="F5527" s="3" t="n">
        <v>0</v>
      </c>
      <c r="G5527" s="3" t="n">
        <v>94012.10000000001</v>
      </c>
    </row>
    <row r="5528">
      <c r="A5528" s="3" t="inlineStr">
        <is>
          <t>Heron View (Pty) Ltd</t>
        </is>
      </c>
      <c r="B5528" s="4" t="n">
        <v>45323</v>
      </c>
      <c r="C5528" s="3" t="inlineStr">
        <is>
          <t>Expenses</t>
        </is>
      </c>
      <c r="D5528" s="3" t="inlineStr">
        <is>
          <t>3660/000</t>
        </is>
      </c>
      <c r="E5528" s="3" t="inlineStr">
        <is>
          <t>Water</t>
        </is>
      </c>
      <c r="F5528" s="3" t="n">
        <v>752.09</v>
      </c>
      <c r="G5528" s="3" t="n">
        <v>771.73</v>
      </c>
    </row>
    <row r="5529">
      <c r="A5529" s="3" t="inlineStr">
        <is>
          <t>Heron Fields (Pty) Ltd</t>
        </is>
      </c>
      <c r="B5529" s="4" t="n">
        <v>45323</v>
      </c>
      <c r="C5529" s="3" t="inlineStr">
        <is>
          <t>Expenses</t>
        </is>
      </c>
      <c r="D5529" s="3" t="inlineStr">
        <is>
          <t>3670/000</t>
        </is>
      </c>
      <c r="E5529" s="3" t="inlineStr">
        <is>
          <t>CoCT - Refuse</t>
        </is>
      </c>
      <c r="F5529" s="3" t="n">
        <v>0</v>
      </c>
      <c r="G5529" s="3" t="n">
        <v>46978.37</v>
      </c>
    </row>
    <row r="5530">
      <c r="A5530" s="3" t="inlineStr">
        <is>
          <t>Heron Fields (Pty) Ltd</t>
        </is>
      </c>
      <c r="B5530" s="4" t="n">
        <v>45323</v>
      </c>
      <c r="C5530" s="3" t="inlineStr">
        <is>
          <t>Expenses</t>
        </is>
      </c>
      <c r="D5530" s="3" t="inlineStr">
        <is>
          <t>3700/000</t>
        </is>
      </c>
      <c r="E5530" s="3" t="inlineStr">
        <is>
          <t>Entertainment Expenses</t>
        </is>
      </c>
      <c r="F5530" s="3" t="n">
        <v>0</v>
      </c>
      <c r="G5530" s="3" t="n">
        <v>39.47</v>
      </c>
    </row>
    <row r="5531">
      <c r="A5531" s="3" t="inlineStr">
        <is>
          <t>Heron Fields (Pty) Ltd</t>
        </is>
      </c>
      <c r="B5531" s="4" t="n">
        <v>45323</v>
      </c>
      <c r="C5531" s="3" t="inlineStr">
        <is>
          <t>Expenses</t>
        </is>
      </c>
      <c r="D5531" s="3" t="inlineStr">
        <is>
          <t>3800/000</t>
        </is>
      </c>
      <c r="E5531" s="3" t="inlineStr">
        <is>
          <t>General Expenses</t>
        </is>
      </c>
      <c r="F5531" s="3" t="n">
        <v>0</v>
      </c>
      <c r="G5531" s="3" t="n">
        <v>3156.51</v>
      </c>
    </row>
    <row r="5532">
      <c r="A5532" s="3" t="inlineStr">
        <is>
          <t>Cape Projects Construction (Pty) Ltd</t>
        </is>
      </c>
      <c r="B5532" s="4" t="n">
        <v>45323</v>
      </c>
      <c r="C5532" s="3" t="inlineStr">
        <is>
          <t>Expenses</t>
        </is>
      </c>
      <c r="D5532" s="3" t="inlineStr">
        <is>
          <t>3800/010</t>
        </is>
      </c>
      <c r="E5532" s="3" t="inlineStr">
        <is>
          <t>General Expenses - Gifts</t>
        </is>
      </c>
      <c r="F5532" s="3" t="n">
        <v>0</v>
      </c>
      <c r="G5532" s="3" t="n">
        <v>105</v>
      </c>
    </row>
    <row r="5533">
      <c r="A5533" s="3" t="inlineStr">
        <is>
          <t>Heron Fields (Pty) Ltd</t>
        </is>
      </c>
      <c r="B5533" s="4" t="n">
        <v>45323</v>
      </c>
      <c r="C5533" s="3" t="inlineStr">
        <is>
          <t>Expenses</t>
        </is>
      </c>
      <c r="D5533" s="3" t="inlineStr">
        <is>
          <t>3850/000</t>
        </is>
      </c>
      <c r="E5533" s="3" t="inlineStr">
        <is>
          <t>Insurance</t>
        </is>
      </c>
      <c r="F5533" s="3" t="n">
        <v>15124.94</v>
      </c>
      <c r="G5533" s="3" t="n">
        <v>132571.96</v>
      </c>
    </row>
    <row r="5534">
      <c r="A5534" s="3" t="inlineStr">
        <is>
          <t>Cape Projects Construction (Pty) Ltd</t>
        </is>
      </c>
      <c r="B5534" s="4" t="n">
        <v>45323</v>
      </c>
      <c r="C5534" s="3" t="inlineStr">
        <is>
          <t>Expenses</t>
        </is>
      </c>
      <c r="D5534" s="3" t="inlineStr">
        <is>
          <t>3850/001</t>
        </is>
      </c>
      <c r="E5534" s="3" t="inlineStr">
        <is>
          <t>Insurance - Santam</t>
        </is>
      </c>
      <c r="F5534" s="3" t="n">
        <v>2828.34</v>
      </c>
      <c r="G5534" s="3" t="n">
        <v>27607.83</v>
      </c>
    </row>
    <row r="5535">
      <c r="A5535" s="3" t="inlineStr">
        <is>
          <t>Cape Projects Construction (Pty) Ltd</t>
        </is>
      </c>
      <c r="B5535" s="4" t="n">
        <v>45323</v>
      </c>
      <c r="C5535" s="3" t="inlineStr">
        <is>
          <t>Expenses</t>
        </is>
      </c>
      <c r="D5535" s="3" t="inlineStr">
        <is>
          <t>3850/004</t>
        </is>
      </c>
      <c r="E5535" s="3" t="inlineStr">
        <is>
          <t>Insurance - A_AND_G</t>
        </is>
      </c>
      <c r="F5535" s="3" t="n">
        <v>0</v>
      </c>
      <c r="G5535" s="3" t="n">
        <v>24242.76</v>
      </c>
    </row>
    <row r="5536">
      <c r="A5536" s="3" t="inlineStr">
        <is>
          <t>Heron Fields (Pty) Ltd</t>
        </is>
      </c>
      <c r="B5536" s="4" t="n">
        <v>45323</v>
      </c>
      <c r="C5536" s="3" t="inlineStr">
        <is>
          <t>Expenses</t>
        </is>
      </c>
      <c r="D5536" s="3" t="inlineStr">
        <is>
          <t>3900/000</t>
        </is>
      </c>
      <c r="E5536" s="3" t="inlineStr">
        <is>
          <t>Interest Paid</t>
        </is>
      </c>
      <c r="F5536" s="3" t="n">
        <v>0</v>
      </c>
      <c r="G5536" s="3" t="n">
        <v>-533.8</v>
      </c>
    </row>
    <row r="5537">
      <c r="A5537" s="3" t="inlineStr">
        <is>
          <t>Heron Fields (Pty) Ltd</t>
        </is>
      </c>
      <c r="B5537" s="4" t="n">
        <v>45323</v>
      </c>
      <c r="C5537" s="3" t="inlineStr">
        <is>
          <t>Expenses</t>
        </is>
      </c>
      <c r="D5537" s="3" t="inlineStr">
        <is>
          <t>3900/111</t>
        </is>
      </c>
      <c r="E5537" s="3" t="inlineStr">
        <is>
          <t>Interest Paid - Investors @ 6.25%</t>
        </is>
      </c>
      <c r="F5537" s="3" t="n">
        <v>0</v>
      </c>
      <c r="G5537" s="3" t="n">
        <v>167246.17</v>
      </c>
    </row>
    <row r="5538">
      <c r="A5538" s="3" t="inlineStr">
        <is>
          <t>Heron Fields (Pty) Ltd</t>
        </is>
      </c>
      <c r="B5538" s="4" t="n">
        <v>45323</v>
      </c>
      <c r="C5538" s="3" t="inlineStr">
        <is>
          <t>Expenses</t>
        </is>
      </c>
      <c r="D5538" s="3" t="inlineStr">
        <is>
          <t>3900/115</t>
        </is>
      </c>
      <c r="E5538" s="3" t="inlineStr">
        <is>
          <t>Interest Paid - Investors @ 6.5%</t>
        </is>
      </c>
      <c r="F5538" s="3" t="n">
        <v>0</v>
      </c>
      <c r="G5538" s="3" t="n">
        <v>72942.48</v>
      </c>
    </row>
    <row r="5539">
      <c r="A5539" s="3" t="inlineStr">
        <is>
          <t>Heron Fields (Pty) Ltd</t>
        </is>
      </c>
      <c r="B5539" s="4" t="n">
        <v>45323</v>
      </c>
      <c r="C5539" s="3" t="inlineStr">
        <is>
          <t>Expenses</t>
        </is>
      </c>
      <c r="D5539" s="3" t="inlineStr">
        <is>
          <t>3900/117</t>
        </is>
      </c>
      <c r="E5539" s="3" t="inlineStr">
        <is>
          <t>Interest Paid - Investors @ 6.75%</t>
        </is>
      </c>
      <c r="F5539" s="3" t="n">
        <v>0</v>
      </c>
      <c r="G5539" s="3" t="n">
        <v>44124.67</v>
      </c>
    </row>
    <row r="5540">
      <c r="A5540" s="3" t="inlineStr">
        <is>
          <t>Heron Fields (Pty) Ltd</t>
        </is>
      </c>
      <c r="B5540" s="4" t="n">
        <v>45323</v>
      </c>
      <c r="C5540" s="3" t="inlineStr">
        <is>
          <t>Expenses</t>
        </is>
      </c>
      <c r="D5540" s="3" t="inlineStr">
        <is>
          <t>3900/120</t>
        </is>
      </c>
      <c r="E5540" s="3" t="inlineStr">
        <is>
          <t>Interest Paid - Investors @ 7%</t>
        </is>
      </c>
      <c r="F5540" s="3" t="n">
        <v>0</v>
      </c>
      <c r="G5540" s="3" t="n">
        <v>11678.33</v>
      </c>
    </row>
    <row r="5541">
      <c r="A5541" s="3" t="inlineStr">
        <is>
          <t>Heron View (Pty) Ltd</t>
        </is>
      </c>
      <c r="B5541" s="4" t="n">
        <v>45323</v>
      </c>
      <c r="C5541" s="3" t="inlineStr">
        <is>
          <t>Expenses</t>
        </is>
      </c>
      <c r="D5541" s="3" t="inlineStr">
        <is>
          <t>3900/120</t>
        </is>
      </c>
      <c r="E5541" s="3" t="inlineStr">
        <is>
          <t>Interest Paid - Investors @ 7%</t>
        </is>
      </c>
      <c r="F5541" s="3" t="n">
        <v>4217.51</v>
      </c>
      <c r="G5541" s="3" t="n">
        <v>16145.22</v>
      </c>
    </row>
    <row r="5542">
      <c r="A5542" s="3" t="inlineStr">
        <is>
          <t>Heron Fields (Pty) Ltd</t>
        </is>
      </c>
      <c r="B5542" s="4" t="n">
        <v>45323</v>
      </c>
      <c r="C5542" s="3" t="inlineStr">
        <is>
          <t>Expenses</t>
        </is>
      </c>
      <c r="D5542" s="3" t="inlineStr">
        <is>
          <t>3900/126</t>
        </is>
      </c>
      <c r="E5542" s="3" t="inlineStr">
        <is>
          <t>Interest Paid - Investors @ 7.5%</t>
        </is>
      </c>
      <c r="F5542" s="3" t="n">
        <v>0</v>
      </c>
      <c r="G5542" s="3" t="n">
        <v>1252.24</v>
      </c>
    </row>
    <row r="5543">
      <c r="A5543" s="3" t="inlineStr">
        <is>
          <t>Heron View (Pty) Ltd</t>
        </is>
      </c>
      <c r="B5543" s="4" t="n">
        <v>45323</v>
      </c>
      <c r="C5543" s="3" t="inlineStr">
        <is>
          <t>Expenses</t>
        </is>
      </c>
      <c r="D5543" s="3" t="inlineStr">
        <is>
          <t>3900/126</t>
        </is>
      </c>
      <c r="E5543" s="3" t="inlineStr">
        <is>
          <t>Interest Paid - Investors @ 7.5%</t>
        </is>
      </c>
      <c r="F5543" s="3" t="n">
        <v>143.84</v>
      </c>
      <c r="G5543" s="3" t="n">
        <v>31152.74</v>
      </c>
    </row>
    <row r="5544">
      <c r="A5544" s="3" t="inlineStr">
        <is>
          <t>Heron Fields (Pty) Ltd</t>
        </is>
      </c>
      <c r="B5544" s="4" t="n">
        <v>45323</v>
      </c>
      <c r="C5544" s="3" t="inlineStr">
        <is>
          <t>Expenses</t>
        </is>
      </c>
      <c r="D5544" s="3" t="inlineStr">
        <is>
          <t>3900/133</t>
        </is>
      </c>
      <c r="E5544" s="3" t="inlineStr">
        <is>
          <t>Interest Paid - Investors @ 8.25%</t>
        </is>
      </c>
      <c r="F5544" s="3" t="n">
        <v>0</v>
      </c>
      <c r="G5544" s="3" t="n">
        <v>5515.07</v>
      </c>
    </row>
    <row r="5545">
      <c r="A5545" s="3" t="inlineStr">
        <is>
          <t>Heron View (Pty) Ltd</t>
        </is>
      </c>
      <c r="B5545" s="4" t="n">
        <v>45323</v>
      </c>
      <c r="C5545" s="3" t="inlineStr">
        <is>
          <t>Expenses</t>
        </is>
      </c>
      <c r="D5545" s="3" t="inlineStr">
        <is>
          <t>3900/133</t>
        </is>
      </c>
      <c r="E5545" s="3" t="inlineStr">
        <is>
          <t>Interest Paid - Investors @ 8.25%</t>
        </is>
      </c>
      <c r="F5545" s="3" t="n">
        <v>0</v>
      </c>
      <c r="G5545" s="3" t="n">
        <v>33734.3</v>
      </c>
    </row>
    <row r="5546">
      <c r="A5546" s="3" t="inlineStr">
        <is>
          <t>Heron Fields (Pty) Ltd</t>
        </is>
      </c>
      <c r="B5546" s="4" t="n">
        <v>45323</v>
      </c>
      <c r="C5546" s="3" t="inlineStr">
        <is>
          <t>Expenses</t>
        </is>
      </c>
      <c r="D5546" s="3" t="inlineStr">
        <is>
          <t>3900/140</t>
        </is>
      </c>
      <c r="E5546" s="3" t="inlineStr">
        <is>
          <t>Interest Paid - Investors @ 9%</t>
        </is>
      </c>
      <c r="F5546" s="3" t="n">
        <v>0</v>
      </c>
      <c r="G5546" s="3" t="n">
        <v>591.78</v>
      </c>
    </row>
    <row r="5547">
      <c r="A5547" s="3" t="inlineStr">
        <is>
          <t>Heron View (Pty) Ltd</t>
        </is>
      </c>
      <c r="B5547" s="4" t="n">
        <v>45323</v>
      </c>
      <c r="C5547" s="3" t="inlineStr">
        <is>
          <t>Expenses</t>
        </is>
      </c>
      <c r="D5547" s="3" t="inlineStr">
        <is>
          <t>3900/140</t>
        </is>
      </c>
      <c r="E5547" s="3" t="inlineStr">
        <is>
          <t>Interest Paid - Investors @ 9%</t>
        </is>
      </c>
      <c r="F5547" s="3" t="n">
        <v>0</v>
      </c>
      <c r="G5547" s="3" t="n">
        <v>69137.8</v>
      </c>
    </row>
    <row r="5548">
      <c r="A5548" s="3" t="inlineStr">
        <is>
          <t>Heron View (Pty) Ltd</t>
        </is>
      </c>
      <c r="B5548" s="4" t="n">
        <v>45323</v>
      </c>
      <c r="C5548" s="3" t="inlineStr">
        <is>
          <t>Expenses</t>
        </is>
      </c>
      <c r="D5548" s="3" t="inlineStr">
        <is>
          <t>3900/147</t>
        </is>
      </c>
      <c r="E5548" s="3" t="inlineStr">
        <is>
          <t>Interest Paid - Investors @ 9.75%</t>
        </is>
      </c>
      <c r="F5548" s="3" t="n">
        <v>1909.93</v>
      </c>
      <c r="G5548" s="3" t="n">
        <v>4447.83</v>
      </c>
    </row>
    <row r="5549">
      <c r="A5549" s="3" t="inlineStr">
        <is>
          <t>Heron View (Pty) Ltd</t>
        </is>
      </c>
      <c r="B5549" s="4" t="n">
        <v>45323</v>
      </c>
      <c r="C5549" s="3" t="inlineStr">
        <is>
          <t>Expenses</t>
        </is>
      </c>
      <c r="D5549" s="3" t="inlineStr">
        <is>
          <t>3900/150</t>
        </is>
      </c>
      <c r="E5549" s="3" t="inlineStr">
        <is>
          <t>Interest Paid - Investors @ 10%</t>
        </is>
      </c>
      <c r="F5549" s="3" t="n">
        <v>3821.92</v>
      </c>
      <c r="G5549" s="3" t="n">
        <v>9531.51</v>
      </c>
    </row>
    <row r="5550">
      <c r="A5550" s="3" t="inlineStr">
        <is>
          <t>Heron View (Pty) Ltd</t>
        </is>
      </c>
      <c r="B5550" s="4" t="n">
        <v>45323</v>
      </c>
      <c r="C5550" s="3" t="inlineStr">
        <is>
          <t>Expenses</t>
        </is>
      </c>
      <c r="D5550" s="3" t="inlineStr">
        <is>
          <t>3900/155</t>
        </is>
      </c>
      <c r="E5550" s="3" t="inlineStr">
        <is>
          <t>Interest Paid - Investors @ 10.5%</t>
        </is>
      </c>
      <c r="F5550" s="3" t="n">
        <v>0</v>
      </c>
      <c r="G5550" s="3" t="n">
        <v>19334.38</v>
      </c>
    </row>
    <row r="5551">
      <c r="A5551" s="3" t="inlineStr">
        <is>
          <t>Heron View (Pty) Ltd</t>
        </is>
      </c>
      <c r="B5551" s="4" t="n">
        <v>45323</v>
      </c>
      <c r="C5551" s="3" t="inlineStr">
        <is>
          <t>Expenses</t>
        </is>
      </c>
      <c r="D5551" s="3" t="inlineStr">
        <is>
          <t>3900/160</t>
        </is>
      </c>
      <c r="E5551" s="3" t="inlineStr">
        <is>
          <t>Interest Paid - Investors @ 11%</t>
        </is>
      </c>
      <c r="F5551" s="3" t="n">
        <v>0</v>
      </c>
      <c r="G5551" s="3" t="n">
        <v>9131.51</v>
      </c>
    </row>
    <row r="5552">
      <c r="A5552" s="3" t="inlineStr">
        <is>
          <t>Heron Fields (Pty) Ltd</t>
        </is>
      </c>
      <c r="B5552" s="4" t="n">
        <v>45323</v>
      </c>
      <c r="C5552" s="3" t="inlineStr">
        <is>
          <t>Expenses</t>
        </is>
      </c>
      <c r="D5552" s="3" t="inlineStr">
        <is>
          <t>3900/190</t>
        </is>
      </c>
      <c r="E5552" s="3" t="inlineStr">
        <is>
          <t>Interest Paid - Investors @ 14%</t>
        </is>
      </c>
      <c r="F5552" s="3" t="n">
        <v>0</v>
      </c>
      <c r="G5552" s="3" t="n">
        <v>400367.2</v>
      </c>
    </row>
    <row r="5553">
      <c r="A5553" s="3" t="inlineStr">
        <is>
          <t>Heron View (Pty) Ltd</t>
        </is>
      </c>
      <c r="B5553" s="4" t="n">
        <v>45323</v>
      </c>
      <c r="C5553" s="3" t="inlineStr">
        <is>
          <t>Expenses</t>
        </is>
      </c>
      <c r="D5553" s="3" t="inlineStr">
        <is>
          <t>3900/190</t>
        </is>
      </c>
      <c r="E5553" s="3" t="inlineStr">
        <is>
          <t>Interest Paid - Investors @ 14%</t>
        </is>
      </c>
      <c r="F5553" s="3" t="n">
        <v>70767.12</v>
      </c>
      <c r="G5553" s="3" t="n">
        <v>754665.75</v>
      </c>
    </row>
    <row r="5554">
      <c r="A5554" s="3" t="inlineStr">
        <is>
          <t>Heron Fields (Pty) Ltd</t>
        </is>
      </c>
      <c r="B5554" s="4" t="n">
        <v>45323</v>
      </c>
      <c r="C5554" s="3" t="inlineStr">
        <is>
          <t>Expenses</t>
        </is>
      </c>
      <c r="D5554" s="3" t="inlineStr">
        <is>
          <t>3900/200</t>
        </is>
      </c>
      <c r="E5554" s="3" t="inlineStr">
        <is>
          <t>Interest Paid - Investors @ 15%</t>
        </is>
      </c>
      <c r="F5554" s="3" t="n">
        <v>0</v>
      </c>
      <c r="G5554" s="3" t="n">
        <v>333349.31</v>
      </c>
    </row>
    <row r="5555">
      <c r="A5555" s="3" t="inlineStr">
        <is>
          <t>Heron Fields (Pty) Ltd</t>
        </is>
      </c>
      <c r="B5555" s="4" t="n">
        <v>45323</v>
      </c>
      <c r="C5555" s="3" t="inlineStr">
        <is>
          <t>Expenses</t>
        </is>
      </c>
      <c r="D5555" s="3" t="inlineStr">
        <is>
          <t>3900/210</t>
        </is>
      </c>
      <c r="E5555" s="3" t="inlineStr">
        <is>
          <t>Interest Paid - Investors @ 16%</t>
        </is>
      </c>
      <c r="F5555" s="3" t="n">
        <v>0</v>
      </c>
      <c r="G5555" s="3" t="n">
        <v>47473.98</v>
      </c>
    </row>
    <row r="5556">
      <c r="A5556" s="3" t="inlineStr">
        <is>
          <t>Heron View (Pty) Ltd</t>
        </is>
      </c>
      <c r="B5556" s="4" t="n">
        <v>45323</v>
      </c>
      <c r="C5556" s="3" t="inlineStr">
        <is>
          <t>Expenses</t>
        </is>
      </c>
      <c r="D5556" s="3" t="inlineStr">
        <is>
          <t>3900/210</t>
        </is>
      </c>
      <c r="E5556" s="3" t="inlineStr">
        <is>
          <t>Interest Paid - Investors @ 16%</t>
        </is>
      </c>
      <c r="F5556" s="3" t="n">
        <v>0</v>
      </c>
      <c r="G5556" s="3" t="n">
        <v>273806.02</v>
      </c>
    </row>
    <row r="5557">
      <c r="A5557" s="3" t="inlineStr">
        <is>
          <t>Heron Fields (Pty) Ltd</t>
        </is>
      </c>
      <c r="B5557" s="4" t="n">
        <v>45323</v>
      </c>
      <c r="C5557" s="3" t="inlineStr">
        <is>
          <t>Expenses</t>
        </is>
      </c>
      <c r="D5557" s="3" t="inlineStr">
        <is>
          <t>3900/230</t>
        </is>
      </c>
      <c r="E5557" s="3" t="inlineStr">
        <is>
          <t>Interest Paid - Investors @ 18%</t>
        </is>
      </c>
      <c r="F5557" s="3" t="n">
        <v>0</v>
      </c>
      <c r="G5557" s="3" t="n">
        <v>3197167.68</v>
      </c>
    </row>
    <row r="5558">
      <c r="A5558" s="3" t="inlineStr">
        <is>
          <t>Heron View (Pty) Ltd</t>
        </is>
      </c>
      <c r="B5558" s="4" t="n">
        <v>45323</v>
      </c>
      <c r="C5558" s="3" t="inlineStr">
        <is>
          <t>Expenses</t>
        </is>
      </c>
      <c r="D5558" s="3" t="inlineStr">
        <is>
          <t>3900/230</t>
        </is>
      </c>
      <c r="E5558" s="3" t="inlineStr">
        <is>
          <t>Interest Paid - Investors @ 18%</t>
        </is>
      </c>
      <c r="F5558" s="3" t="n">
        <v>170952</v>
      </c>
      <c r="G5558" s="3" t="n">
        <v>3094577.72</v>
      </c>
    </row>
    <row r="5559">
      <c r="A5559" s="3" t="inlineStr">
        <is>
          <t>Cape Projects Construction (Pty) Ltd</t>
        </is>
      </c>
      <c r="B5559" s="4" t="n">
        <v>45323</v>
      </c>
      <c r="C5559" s="3" t="inlineStr">
        <is>
          <t>Expenses</t>
        </is>
      </c>
      <c r="D5559" s="3" t="inlineStr">
        <is>
          <t>4000/000</t>
        </is>
      </c>
      <c r="E5559" s="3" t="inlineStr">
        <is>
          <t>Legal Fees</t>
        </is>
      </c>
      <c r="F5559" s="3" t="n">
        <v>0</v>
      </c>
      <c r="G5559" s="3" t="n">
        <v>5202.88</v>
      </c>
    </row>
    <row r="5560">
      <c r="A5560" s="3" t="inlineStr">
        <is>
          <t>Heron View (Pty) Ltd</t>
        </is>
      </c>
      <c r="B5560" s="4" t="n">
        <v>45323</v>
      </c>
      <c r="C5560" s="3" t="inlineStr">
        <is>
          <t>Expenses</t>
        </is>
      </c>
      <c r="D5560" s="3" t="inlineStr">
        <is>
          <t>4040/000</t>
        </is>
      </c>
      <c r="E5560" s="3" t="inlineStr">
        <is>
          <t>Levies - Special Levies</t>
        </is>
      </c>
      <c r="F5560" s="3" t="n">
        <v>0</v>
      </c>
      <c r="G5560" s="3" t="n">
        <v>66011.50999999999</v>
      </c>
    </row>
    <row r="5561">
      <c r="A5561" s="3" t="inlineStr">
        <is>
          <t>Heron View (Pty) Ltd</t>
        </is>
      </c>
      <c r="B5561" s="4" t="n">
        <v>45323</v>
      </c>
      <c r="C5561" s="3" t="inlineStr">
        <is>
          <t>Expenses</t>
        </is>
      </c>
      <c r="D5561" s="3" t="inlineStr">
        <is>
          <t>4050/000</t>
        </is>
      </c>
      <c r="E5561" s="3" t="inlineStr">
        <is>
          <t>Levies</t>
        </is>
      </c>
      <c r="F5561" s="3" t="n">
        <v>5189</v>
      </c>
      <c r="G5561" s="3" t="n">
        <v>10049.54</v>
      </c>
    </row>
    <row r="5562">
      <c r="A5562" s="3" t="inlineStr">
        <is>
          <t>Heron Fields (Pty) Ltd</t>
        </is>
      </c>
      <c r="B5562" s="4" t="n">
        <v>45323</v>
      </c>
      <c r="C5562" s="3" t="inlineStr">
        <is>
          <t>Expenses</t>
        </is>
      </c>
      <c r="D5562" s="3" t="inlineStr">
        <is>
          <t>4050/100</t>
        </is>
      </c>
      <c r="E5562" s="3" t="inlineStr">
        <is>
          <t>Developers Levies</t>
        </is>
      </c>
      <c r="F5562" s="3" t="n">
        <v>0</v>
      </c>
      <c r="G5562" s="3" t="n">
        <v>76865.83</v>
      </c>
    </row>
    <row r="5563">
      <c r="A5563" s="3" t="inlineStr">
        <is>
          <t>Heron Fields (Pty) Ltd</t>
        </is>
      </c>
      <c r="B5563" s="4" t="n">
        <v>45323</v>
      </c>
      <c r="C5563" s="3" t="inlineStr">
        <is>
          <t>Expenses</t>
        </is>
      </c>
      <c r="D5563" s="3" t="inlineStr">
        <is>
          <t>4050/200</t>
        </is>
      </c>
      <c r="E5563" s="3" t="inlineStr">
        <is>
          <t>Levies - Amari</t>
        </is>
      </c>
      <c r="F5563" s="3" t="n">
        <v>96.59999999999999</v>
      </c>
      <c r="G5563" s="3" t="n">
        <v>28169.52</v>
      </c>
    </row>
    <row r="5564">
      <c r="A5564" s="3" t="inlineStr">
        <is>
          <t>Heron View (Pty) Ltd</t>
        </is>
      </c>
      <c r="B5564" s="4" t="n">
        <v>45323</v>
      </c>
      <c r="C5564" s="3" t="inlineStr">
        <is>
          <t>Expenses</t>
        </is>
      </c>
      <c r="D5564" s="3" t="inlineStr">
        <is>
          <t>4060/000</t>
        </is>
      </c>
      <c r="E5564" s="3" t="inlineStr">
        <is>
          <t>Levies - Developer</t>
        </is>
      </c>
      <c r="F5564" s="3" t="n">
        <v>0</v>
      </c>
      <c r="G5564" s="3" t="n">
        <v>11879.1</v>
      </c>
    </row>
    <row r="5565">
      <c r="A5565" s="3" t="inlineStr">
        <is>
          <t>Heron View (Pty) Ltd</t>
        </is>
      </c>
      <c r="B5565" s="4" t="n">
        <v>45323</v>
      </c>
      <c r="C5565" s="3" t="inlineStr">
        <is>
          <t>Expenses</t>
        </is>
      </c>
      <c r="D5565" s="3" t="inlineStr">
        <is>
          <t>4070/000</t>
        </is>
      </c>
      <c r="E5565" s="3" t="inlineStr">
        <is>
          <t>Management fees - OMH</t>
        </is>
      </c>
      <c r="F5565" s="3" t="n">
        <v>0</v>
      </c>
      <c r="G5565" s="3" t="n">
        <v>400000</v>
      </c>
    </row>
    <row r="5566">
      <c r="A5566" s="3" t="inlineStr">
        <is>
          <t>Heron Fields (Pty) Ltd</t>
        </is>
      </c>
      <c r="B5566" s="4" t="n">
        <v>45323</v>
      </c>
      <c r="C5566" s="3" t="inlineStr">
        <is>
          <t>Expenses</t>
        </is>
      </c>
      <c r="D5566" s="3" t="inlineStr">
        <is>
          <t>4100/001</t>
        </is>
      </c>
      <c r="E5566" s="3" t="inlineStr">
        <is>
          <t>Momentum Admin Fee</t>
        </is>
      </c>
      <c r="F5566" s="3" t="n">
        <v>0</v>
      </c>
      <c r="G5566" s="3" t="n">
        <v>128656.07</v>
      </c>
    </row>
    <row r="5567">
      <c r="A5567" s="3" t="inlineStr">
        <is>
          <t>Cape Projects Construction (Pty) Ltd</t>
        </is>
      </c>
      <c r="B5567" s="4" t="n">
        <v>45323</v>
      </c>
      <c r="C5567" s="3" t="inlineStr">
        <is>
          <t>Expenses</t>
        </is>
      </c>
      <c r="D5567" s="3" t="inlineStr">
        <is>
          <t>4150/000</t>
        </is>
      </c>
      <c r="E5567" s="3" t="inlineStr">
        <is>
          <t>Motor Vehicle Expenses</t>
        </is>
      </c>
      <c r="F5567" s="3" t="n">
        <v>0</v>
      </c>
      <c r="G5567" s="3" t="n">
        <v>362</v>
      </c>
    </row>
    <row r="5568">
      <c r="A5568" s="3" t="inlineStr">
        <is>
          <t>Heron Fields (Pty) Ltd</t>
        </is>
      </c>
      <c r="B5568" s="4" t="n">
        <v>45323</v>
      </c>
      <c r="C5568" s="3" t="inlineStr">
        <is>
          <t>Expenses</t>
        </is>
      </c>
      <c r="D5568" s="3" t="inlineStr">
        <is>
          <t>4150/000</t>
        </is>
      </c>
      <c r="E5568" s="3" t="inlineStr">
        <is>
          <t>Motor Vehicle Expenses</t>
        </is>
      </c>
      <c r="F5568" s="3" t="n">
        <v>0</v>
      </c>
      <c r="G5568" s="3" t="n">
        <v>20</v>
      </c>
    </row>
    <row r="5569">
      <c r="A5569" s="3" t="inlineStr">
        <is>
          <t>Cape Projects Construction (Pty) Ltd</t>
        </is>
      </c>
      <c r="B5569" s="4" t="n">
        <v>45323</v>
      </c>
      <c r="C5569" s="3" t="inlineStr">
        <is>
          <t>Expenses</t>
        </is>
      </c>
      <c r="D5569" s="3" t="inlineStr">
        <is>
          <t>4150/010</t>
        </is>
      </c>
      <c r="E5569" s="3" t="inlineStr">
        <is>
          <t>Motor Vehicle - Petrol _AND_ Oil</t>
        </is>
      </c>
      <c r="F5569" s="3" t="n">
        <v>0</v>
      </c>
      <c r="G5569" s="3" t="n">
        <v>40495.31</v>
      </c>
    </row>
    <row r="5570">
      <c r="A5570" s="3" t="inlineStr">
        <is>
          <t>Cape Projects Construction (Pty) Ltd</t>
        </is>
      </c>
      <c r="B5570" s="4" t="n">
        <v>45323</v>
      </c>
      <c r="C5570" s="3" t="inlineStr">
        <is>
          <t>Expenses</t>
        </is>
      </c>
      <c r="D5570" s="3" t="inlineStr">
        <is>
          <t>4150/020</t>
        </is>
      </c>
      <c r="E5570" s="3" t="inlineStr">
        <is>
          <t>Motor Vehicle - Repairs _AND_ Maint.</t>
        </is>
      </c>
      <c r="F5570" s="3" t="n">
        <v>0</v>
      </c>
      <c r="G5570" s="3" t="n">
        <v>3668.3</v>
      </c>
    </row>
    <row r="5571">
      <c r="A5571" s="3" t="inlineStr">
        <is>
          <t>Cape Projects Construction (Pty) Ltd</t>
        </is>
      </c>
      <c r="B5571" s="4" t="n">
        <v>45323</v>
      </c>
      <c r="C5571" s="3" t="inlineStr">
        <is>
          <t>Expenses</t>
        </is>
      </c>
      <c r="D5571" s="3" t="inlineStr">
        <is>
          <t>4150/030</t>
        </is>
      </c>
      <c r="E5571" s="3" t="inlineStr">
        <is>
          <t>Motor Vehicle - Insurance _AND_ Licence</t>
        </is>
      </c>
      <c r="F5571" s="3" t="n">
        <v>0</v>
      </c>
      <c r="G5571" s="3" t="n">
        <v>1069</v>
      </c>
    </row>
    <row r="5572">
      <c r="A5572" s="3" t="inlineStr">
        <is>
          <t>Cape Projects Construction (Pty) Ltd</t>
        </is>
      </c>
      <c r="B5572" s="4" t="n">
        <v>45323</v>
      </c>
      <c r="C5572" s="3" t="inlineStr">
        <is>
          <t>Expenses</t>
        </is>
      </c>
      <c r="D5572" s="3" t="inlineStr">
        <is>
          <t>4200/000</t>
        </is>
      </c>
      <c r="E5572" s="3" t="inlineStr">
        <is>
          <t>Printing _AND_ Stationery</t>
        </is>
      </c>
      <c r="F5572" s="3" t="n">
        <v>0</v>
      </c>
      <c r="G5572" s="3" t="n">
        <v>45147.94</v>
      </c>
    </row>
    <row r="5573">
      <c r="A5573" s="3" t="inlineStr">
        <is>
          <t>Cape Projects Construction (Pty) Ltd</t>
        </is>
      </c>
      <c r="B5573" s="4" t="n">
        <v>45323</v>
      </c>
      <c r="C5573" s="3" t="inlineStr">
        <is>
          <t>Expenses</t>
        </is>
      </c>
      <c r="D5573" s="3" t="inlineStr">
        <is>
          <t>4201/000</t>
        </is>
      </c>
      <c r="E5573" s="3" t="inlineStr">
        <is>
          <t>Printing - Printer rental</t>
        </is>
      </c>
      <c r="F5573" s="3" t="n">
        <v>751.46</v>
      </c>
      <c r="G5573" s="3" t="n">
        <v>24440.97</v>
      </c>
    </row>
    <row r="5574">
      <c r="A5574" s="3" t="inlineStr">
        <is>
          <t>Cape Projects Construction (Pty) Ltd</t>
        </is>
      </c>
      <c r="B5574" s="4" t="n">
        <v>45323</v>
      </c>
      <c r="C5574" s="3" t="inlineStr">
        <is>
          <t>Expenses</t>
        </is>
      </c>
      <c r="D5574" s="3" t="inlineStr">
        <is>
          <t>4300/000</t>
        </is>
      </c>
      <c r="E5574" s="3" t="inlineStr">
        <is>
          <t>Rent Paid</t>
        </is>
      </c>
      <c r="F5574" s="3" t="n">
        <v>31820</v>
      </c>
      <c r="G5574" s="3" t="n">
        <v>364080</v>
      </c>
    </row>
    <row r="5575">
      <c r="A5575" s="3" t="inlineStr">
        <is>
          <t>Cape Projects Construction (Pty) Ltd</t>
        </is>
      </c>
      <c r="B5575" s="4" t="n">
        <v>45323</v>
      </c>
      <c r="C5575" s="3" t="inlineStr">
        <is>
          <t>Expenses</t>
        </is>
      </c>
      <c r="D5575" s="3" t="inlineStr">
        <is>
          <t>4310/000</t>
        </is>
      </c>
      <c r="E5575" s="3" t="inlineStr">
        <is>
          <t>Rates</t>
        </is>
      </c>
      <c r="F5575" s="3" t="n">
        <v>989.75</v>
      </c>
      <c r="G5575" s="3" t="n">
        <v>28332.88</v>
      </c>
    </row>
    <row r="5576">
      <c r="A5576" s="3" t="inlineStr">
        <is>
          <t>Heron Fields (Pty) Ltd</t>
        </is>
      </c>
      <c r="B5576" s="4" t="n">
        <v>45323</v>
      </c>
      <c r="C5576" s="3" t="inlineStr">
        <is>
          <t>Expenses</t>
        </is>
      </c>
      <c r="D5576" s="3" t="inlineStr">
        <is>
          <t>4310/000</t>
        </is>
      </c>
      <c r="E5576" s="3" t="inlineStr">
        <is>
          <t>Rates - Heron</t>
        </is>
      </c>
      <c r="F5576" s="3" t="n">
        <v>0</v>
      </c>
      <c r="G5576" s="3" t="n">
        <v>211633.66</v>
      </c>
    </row>
    <row r="5577">
      <c r="A5577" s="3" t="inlineStr">
        <is>
          <t>Cape Projects Construction (Pty) Ltd</t>
        </is>
      </c>
      <c r="B5577" s="4" t="n">
        <v>45323</v>
      </c>
      <c r="C5577" s="3" t="inlineStr">
        <is>
          <t>Expenses</t>
        </is>
      </c>
      <c r="D5577" s="3" t="inlineStr">
        <is>
          <t>4350/000</t>
        </is>
      </c>
      <c r="E5577" s="3" t="inlineStr">
        <is>
          <t>Repairs _AND_ Maintenance</t>
        </is>
      </c>
      <c r="F5577" s="3" t="n">
        <v>520</v>
      </c>
      <c r="G5577" s="3" t="n">
        <v>16626.12</v>
      </c>
    </row>
    <row r="5578">
      <c r="A5578" s="3" t="inlineStr">
        <is>
          <t>Heron Fields (Pty) Ltd</t>
        </is>
      </c>
      <c r="B5578" s="4" t="n">
        <v>45323</v>
      </c>
      <c r="C5578" s="3" t="inlineStr">
        <is>
          <t>Expenses</t>
        </is>
      </c>
      <c r="D5578" s="3" t="inlineStr">
        <is>
          <t>4350/000</t>
        </is>
      </c>
      <c r="E5578" s="3" t="inlineStr">
        <is>
          <t>Repairs _AND_ Maintenance</t>
        </is>
      </c>
      <c r="F5578" s="3" t="n">
        <v>0</v>
      </c>
      <c r="G5578" s="3" t="n">
        <v>34547.28</v>
      </c>
    </row>
    <row r="5579">
      <c r="A5579" s="3" t="inlineStr">
        <is>
          <t>Heron View (Pty) Ltd</t>
        </is>
      </c>
      <c r="B5579" s="4" t="n">
        <v>45323</v>
      </c>
      <c r="C5579" s="3" t="inlineStr">
        <is>
          <t>Expenses</t>
        </is>
      </c>
      <c r="D5579" s="3" t="inlineStr">
        <is>
          <t>4350/000</t>
        </is>
      </c>
      <c r="E5579" s="3" t="inlineStr">
        <is>
          <t>Repairs _AND_ Maintenance</t>
        </is>
      </c>
      <c r="F5579" s="3" t="n">
        <v>0</v>
      </c>
      <c r="G5579" s="3" t="n">
        <v>23147.12</v>
      </c>
    </row>
    <row r="5580">
      <c r="A5580" s="3" t="inlineStr">
        <is>
          <t>Cape Projects Construction (Pty) Ltd</t>
        </is>
      </c>
      <c r="B5580" s="4" t="n">
        <v>45323</v>
      </c>
      <c r="C5580" s="3" t="inlineStr">
        <is>
          <t>Expenses</t>
        </is>
      </c>
      <c r="D5580" s="3" t="inlineStr">
        <is>
          <t>4400/000</t>
        </is>
      </c>
      <c r="E5580" s="3" t="inlineStr">
        <is>
          <t>Salaries _AND_ Wages</t>
        </is>
      </c>
      <c r="F5580" s="3" t="n">
        <v>0</v>
      </c>
      <c r="G5580" s="3" t="n">
        <v>4236868.55</v>
      </c>
    </row>
    <row r="5581">
      <c r="A5581" s="3" t="inlineStr">
        <is>
          <t>Cape Projects Construction (Pty) Ltd</t>
        </is>
      </c>
      <c r="B5581" s="4" t="n">
        <v>45323</v>
      </c>
      <c r="C5581" s="3" t="inlineStr">
        <is>
          <t>Expenses</t>
        </is>
      </c>
      <c r="D5581" s="3" t="inlineStr">
        <is>
          <t>4402</t>
        </is>
      </c>
      <c r="E5581" s="3" t="inlineStr">
        <is>
          <t>Salaries &amp; Wages - WCA</t>
        </is>
      </c>
      <c r="F5581" s="3" t="n">
        <v>0</v>
      </c>
      <c r="G5581" s="3" t="n">
        <v>5192.13</v>
      </c>
    </row>
    <row r="5582">
      <c r="A5582" s="3" t="inlineStr">
        <is>
          <t>Cape Projects Construction (Pty) Ltd</t>
        </is>
      </c>
      <c r="B5582" s="4" t="n">
        <v>45323</v>
      </c>
      <c r="C5582" s="3" t="inlineStr">
        <is>
          <t>Expenses</t>
        </is>
      </c>
      <c r="D5582" s="3" t="inlineStr">
        <is>
          <t>4403/000</t>
        </is>
      </c>
      <c r="E5582" s="3" t="inlineStr">
        <is>
          <t>Security</t>
        </is>
      </c>
      <c r="F5582" s="3" t="n">
        <v>0</v>
      </c>
      <c r="G5582" s="3" t="n">
        <v>2005.99</v>
      </c>
    </row>
    <row r="5583">
      <c r="A5583" s="3" t="inlineStr">
        <is>
          <t>Heron Fields (Pty) Ltd</t>
        </is>
      </c>
      <c r="B5583" s="4" t="n">
        <v>45323</v>
      </c>
      <c r="C5583" s="3" t="inlineStr">
        <is>
          <t>Expenses</t>
        </is>
      </c>
      <c r="D5583" s="3" t="inlineStr">
        <is>
          <t>4420/000</t>
        </is>
      </c>
      <c r="E5583" s="3" t="inlineStr">
        <is>
          <t>Security</t>
        </is>
      </c>
      <c r="F5583" s="3" t="n">
        <v>0</v>
      </c>
      <c r="G5583" s="3" t="n">
        <v>7198.71</v>
      </c>
    </row>
    <row r="5584">
      <c r="A5584" s="3" t="inlineStr">
        <is>
          <t>Cape Projects Construction (Pty) Ltd</t>
        </is>
      </c>
      <c r="B5584" s="4" t="n">
        <v>45323</v>
      </c>
      <c r="C5584" s="3" t="inlineStr">
        <is>
          <t>Expenses</t>
        </is>
      </c>
      <c r="D5584" s="3" t="inlineStr">
        <is>
          <t>4420/000</t>
        </is>
      </c>
      <c r="E5584" s="3" t="inlineStr">
        <is>
          <t>Small Assets</t>
        </is>
      </c>
      <c r="F5584" s="3" t="n">
        <v>0</v>
      </c>
      <c r="G5584" s="3" t="n">
        <v>33441.99</v>
      </c>
    </row>
    <row r="5585">
      <c r="A5585" s="3" t="inlineStr">
        <is>
          <t>Heron Fields (Pty) Ltd</t>
        </is>
      </c>
      <c r="B5585" s="4" t="n">
        <v>45323</v>
      </c>
      <c r="C5585" s="3" t="inlineStr">
        <is>
          <t>Expenses</t>
        </is>
      </c>
      <c r="D5585" s="3" t="inlineStr">
        <is>
          <t>4420/001</t>
        </is>
      </c>
      <c r="E5585" s="3" t="inlineStr">
        <is>
          <t>Security - ADT</t>
        </is>
      </c>
      <c r="F5585" s="3" t="n">
        <v>374.64</v>
      </c>
      <c r="G5585" s="3" t="n">
        <v>4676.39</v>
      </c>
    </row>
    <row r="5586">
      <c r="A5586" s="3" t="inlineStr">
        <is>
          <t>Cape Projects Construction (Pty) Ltd</t>
        </is>
      </c>
      <c r="B5586" s="4" t="n">
        <v>45323</v>
      </c>
      <c r="C5586" s="3" t="inlineStr">
        <is>
          <t>Expenses</t>
        </is>
      </c>
      <c r="D5586" s="3" t="inlineStr">
        <is>
          <t>4450/000</t>
        </is>
      </c>
      <c r="E5586" s="3" t="inlineStr">
        <is>
          <t>Staff Training</t>
        </is>
      </c>
      <c r="F5586" s="3" t="n">
        <v>0</v>
      </c>
      <c r="G5586" s="3" t="n">
        <v>3452.7</v>
      </c>
    </row>
    <row r="5587">
      <c r="A5587" s="3" t="inlineStr">
        <is>
          <t>Cape Projects Construction (Pty) Ltd</t>
        </is>
      </c>
      <c r="B5587" s="4" t="n">
        <v>45323</v>
      </c>
      <c r="C5587" s="3" t="inlineStr">
        <is>
          <t>Expenses</t>
        </is>
      </c>
      <c r="D5587" s="3" t="inlineStr">
        <is>
          <t>4500/000</t>
        </is>
      </c>
      <c r="E5587" s="3" t="inlineStr">
        <is>
          <t>Staff Welfare _AND_ Refreshmts</t>
        </is>
      </c>
      <c r="F5587" s="3" t="n">
        <v>0</v>
      </c>
      <c r="G5587" s="3" t="n">
        <v>36787.25</v>
      </c>
    </row>
    <row r="5588">
      <c r="A5588" s="3" t="inlineStr">
        <is>
          <t>Cape Projects Construction (Pty) Ltd</t>
        </is>
      </c>
      <c r="B5588" s="4" t="n">
        <v>45323</v>
      </c>
      <c r="C5588" s="3" t="inlineStr">
        <is>
          <t>Expenses</t>
        </is>
      </c>
      <c r="D5588" s="3" t="inlineStr">
        <is>
          <t>4550/000</t>
        </is>
      </c>
      <c r="E5588" s="3" t="inlineStr">
        <is>
          <t>Subscriptions / Licenses</t>
        </is>
      </c>
      <c r="F5588" s="3" t="n">
        <v>0</v>
      </c>
      <c r="G5588" s="3" t="n">
        <v>13527.97</v>
      </c>
    </row>
    <row r="5589">
      <c r="A5589" s="3" t="inlineStr">
        <is>
          <t>Cape Projects Construction (Pty) Ltd</t>
        </is>
      </c>
      <c r="B5589" s="4" t="n">
        <v>45323</v>
      </c>
      <c r="C5589" s="3" t="inlineStr">
        <is>
          <t>Expenses</t>
        </is>
      </c>
      <c r="D5589" s="3" t="inlineStr">
        <is>
          <t>4550/001</t>
        </is>
      </c>
      <c r="E5589" s="3" t="inlineStr">
        <is>
          <t>Subscriptions &amp; Licenses - Sage payroll</t>
        </is>
      </c>
      <c r="F5589" s="3" t="n">
        <v>0</v>
      </c>
      <c r="G5589" s="3" t="n">
        <v>7470</v>
      </c>
    </row>
    <row r="5590">
      <c r="A5590" s="3" t="inlineStr">
        <is>
          <t>Cape Projects Construction (Pty) Ltd</t>
        </is>
      </c>
      <c r="B5590" s="4" t="n">
        <v>45323</v>
      </c>
      <c r="C5590" s="3" t="inlineStr">
        <is>
          <t>Expenses</t>
        </is>
      </c>
      <c r="D5590" s="3" t="inlineStr">
        <is>
          <t>4550/002</t>
        </is>
      </c>
      <c r="E5590" s="3" t="inlineStr">
        <is>
          <t>Subscriptions &amp; Licenses - Caseware</t>
        </is>
      </c>
      <c r="F5590" s="3" t="n">
        <v>0</v>
      </c>
      <c r="G5590" s="3" t="n">
        <v>10825.49</v>
      </c>
    </row>
    <row r="5591">
      <c r="A5591" s="3" t="inlineStr">
        <is>
          <t>Cape Projects Construction (Pty) Ltd</t>
        </is>
      </c>
      <c r="B5591" s="4" t="n">
        <v>45323</v>
      </c>
      <c r="C5591" s="3" t="inlineStr">
        <is>
          <t>Expenses</t>
        </is>
      </c>
      <c r="D5591" s="3" t="inlineStr">
        <is>
          <t>4550/003</t>
        </is>
      </c>
      <c r="E5591" s="3" t="inlineStr">
        <is>
          <t>Subscriptions &amp; Licenses - Xero</t>
        </is>
      </c>
      <c r="F5591" s="3" t="n">
        <v>0</v>
      </c>
      <c r="G5591" s="3" t="n">
        <v>6600</v>
      </c>
    </row>
    <row r="5592">
      <c r="A5592" s="3" t="inlineStr">
        <is>
          <t>Cape Projects Construction (Pty) Ltd</t>
        </is>
      </c>
      <c r="B5592" s="4" t="n">
        <v>45323</v>
      </c>
      <c r="C5592" s="3" t="inlineStr">
        <is>
          <t>Expenses</t>
        </is>
      </c>
      <c r="D5592" s="3" t="inlineStr">
        <is>
          <t>4550/004</t>
        </is>
      </c>
      <c r="E5592" s="3" t="inlineStr">
        <is>
          <t>Subscriptions - Smartsheet</t>
        </is>
      </c>
      <c r="F5592" s="3" t="n">
        <v>0</v>
      </c>
      <c r="G5592" s="3" t="n">
        <v>11063.41</v>
      </c>
    </row>
    <row r="5593">
      <c r="A5593" s="3" t="inlineStr">
        <is>
          <t>Cape Projects Construction (Pty) Ltd</t>
        </is>
      </c>
      <c r="B5593" s="4" t="n">
        <v>45323</v>
      </c>
      <c r="C5593" s="3" t="inlineStr">
        <is>
          <t>Expenses</t>
        </is>
      </c>
      <c r="D5593" s="3" t="inlineStr">
        <is>
          <t>4550/007</t>
        </is>
      </c>
      <c r="E5593" s="3" t="inlineStr">
        <is>
          <t>Subscription &amp; Licenses - ERS Bio</t>
        </is>
      </c>
      <c r="F5593" s="3" t="n">
        <v>718.9299999999999</v>
      </c>
      <c r="G5593" s="3" t="n">
        <v>3594.65</v>
      </c>
    </row>
    <row r="5594">
      <c r="A5594" s="3" t="inlineStr">
        <is>
          <t>Cape Projects Construction (Pty) Ltd</t>
        </is>
      </c>
      <c r="B5594" s="4" t="n">
        <v>45323</v>
      </c>
      <c r="C5594" s="3" t="inlineStr">
        <is>
          <t>Expenses</t>
        </is>
      </c>
      <c r="D5594" s="3" t="inlineStr">
        <is>
          <t>4550/008</t>
        </is>
      </c>
      <c r="E5594" s="3" t="inlineStr">
        <is>
          <t>Subscriptions  - Adobe</t>
        </is>
      </c>
      <c r="F5594" s="3" t="n">
        <v>0</v>
      </c>
      <c r="G5594" s="3" t="n">
        <v>4498.72</v>
      </c>
    </row>
    <row r="5595">
      <c r="A5595" s="3" t="inlineStr">
        <is>
          <t>Heron Fields (Pty) Ltd</t>
        </is>
      </c>
      <c r="B5595" s="4" t="n">
        <v>45323</v>
      </c>
      <c r="C5595" s="3" t="inlineStr">
        <is>
          <t>Expenses</t>
        </is>
      </c>
      <c r="D5595" s="3" t="inlineStr">
        <is>
          <t>4550/100</t>
        </is>
      </c>
      <c r="E5595" s="3" t="inlineStr">
        <is>
          <t>Subscriptions - Xero</t>
        </is>
      </c>
      <c r="F5595" s="3" t="n">
        <v>0</v>
      </c>
      <c r="G5595" s="3" t="n">
        <v>6600</v>
      </c>
    </row>
    <row r="5596">
      <c r="A5596" s="3" t="inlineStr">
        <is>
          <t>Heron View (Pty) Ltd</t>
        </is>
      </c>
      <c r="B5596" s="4" t="n">
        <v>45323</v>
      </c>
      <c r="C5596" s="3" t="inlineStr">
        <is>
          <t>Expenses</t>
        </is>
      </c>
      <c r="D5596" s="3" t="inlineStr">
        <is>
          <t>4550/100</t>
        </is>
      </c>
      <c r="E5596" s="3" t="inlineStr">
        <is>
          <t>Subscriptions - Xero</t>
        </is>
      </c>
      <c r="F5596" s="3" t="n">
        <v>0</v>
      </c>
      <c r="G5596" s="3" t="n">
        <v>6600</v>
      </c>
    </row>
    <row r="5597">
      <c r="A5597" s="3" t="inlineStr">
        <is>
          <t>Heron Fields (Pty) Ltd</t>
        </is>
      </c>
      <c r="B5597" s="4" t="n">
        <v>45323</v>
      </c>
      <c r="C5597" s="3" t="inlineStr">
        <is>
          <t>Expenses</t>
        </is>
      </c>
      <c r="D5597" s="3" t="inlineStr">
        <is>
          <t>4550/200</t>
        </is>
      </c>
      <c r="E5597" s="3" t="inlineStr">
        <is>
          <t>Subscription - NHBRC</t>
        </is>
      </c>
      <c r="F5597" s="3" t="n">
        <v>0</v>
      </c>
      <c r="G5597" s="3" t="n">
        <v>526.3200000000001</v>
      </c>
    </row>
    <row r="5598">
      <c r="A5598" s="3" t="inlineStr">
        <is>
          <t>Cape Projects Construction (Pty) Ltd</t>
        </is>
      </c>
      <c r="B5598" s="4" t="n">
        <v>45323</v>
      </c>
      <c r="C5598" s="3" t="inlineStr">
        <is>
          <t>Expenses</t>
        </is>
      </c>
      <c r="D5598" s="3" t="inlineStr">
        <is>
          <t>4560</t>
        </is>
      </c>
      <c r="E5598" s="3" t="inlineStr">
        <is>
          <t>Secretarial fees - CIPC</t>
        </is>
      </c>
      <c r="F5598" s="3" t="n">
        <v>0</v>
      </c>
      <c r="G5598" s="3" t="n">
        <v>4000</v>
      </c>
    </row>
    <row r="5599">
      <c r="A5599" s="3" t="inlineStr">
        <is>
          <t>Cape Projects Construction (Pty) Ltd</t>
        </is>
      </c>
      <c r="B5599" s="4" t="n">
        <v>45323</v>
      </c>
      <c r="C5599" s="3" t="inlineStr">
        <is>
          <t>Expenses</t>
        </is>
      </c>
      <c r="D5599" s="3" t="inlineStr">
        <is>
          <t>4600/000</t>
        </is>
      </c>
      <c r="E5599" s="3" t="inlineStr">
        <is>
          <t>Telephone _AND_ Fax</t>
        </is>
      </c>
      <c r="F5599" s="3" t="n">
        <v>0</v>
      </c>
      <c r="G5599" s="3" t="n">
        <v>11566.33</v>
      </c>
    </row>
    <row r="5600">
      <c r="A5600" s="3" t="inlineStr">
        <is>
          <t>Cape Projects Construction (Pty) Ltd</t>
        </is>
      </c>
      <c r="B5600" s="4" t="n">
        <v>45323</v>
      </c>
      <c r="C5600" s="3" t="inlineStr">
        <is>
          <t>Expenses</t>
        </is>
      </c>
      <c r="D5600" s="3" t="inlineStr">
        <is>
          <t>4700/000</t>
        </is>
      </c>
      <c r="E5600" s="3" t="inlineStr">
        <is>
          <t>PAYE Contributions</t>
        </is>
      </c>
      <c r="F5600" s="3" t="n">
        <v>0</v>
      </c>
      <c r="G5600" s="3" t="n">
        <v>944073.0699999999</v>
      </c>
    </row>
    <row r="5601">
      <c r="A5601" s="3" t="inlineStr">
        <is>
          <t>Cape Projects Construction (Pty) Ltd</t>
        </is>
      </c>
      <c r="B5601" s="4" t="n">
        <v>45323</v>
      </c>
      <c r="C5601" s="3" t="inlineStr">
        <is>
          <t>Expenses</t>
        </is>
      </c>
      <c r="D5601" s="3" t="inlineStr">
        <is>
          <t>4720/000</t>
        </is>
      </c>
      <c r="E5601" s="3" t="inlineStr">
        <is>
          <t>SDL Contributions</t>
        </is>
      </c>
      <c r="F5601" s="3" t="n">
        <v>0</v>
      </c>
      <c r="G5601" s="3" t="n">
        <v>50468.37</v>
      </c>
    </row>
    <row r="5602">
      <c r="A5602" s="3" t="inlineStr">
        <is>
          <t>Cape Projects Construction (Pty) Ltd</t>
        </is>
      </c>
      <c r="B5602" s="4" t="n">
        <v>45323</v>
      </c>
      <c r="C5602" s="3" t="inlineStr">
        <is>
          <t>Expenses</t>
        </is>
      </c>
      <c r="D5602" s="3" t="inlineStr">
        <is>
          <t>4730/000</t>
        </is>
      </c>
      <c r="E5602" s="3" t="inlineStr">
        <is>
          <t>UIF Company Contributions</t>
        </is>
      </c>
      <c r="F5602" s="3" t="n">
        <v>0</v>
      </c>
      <c r="G5602" s="3" t="n">
        <v>28007.9</v>
      </c>
    </row>
    <row r="5603">
      <c r="A5603" s="3" t="inlineStr">
        <is>
          <t>Cape Projects Construction (Pty) Ltd</t>
        </is>
      </c>
      <c r="B5603" s="4" t="n">
        <v>45323</v>
      </c>
      <c r="C5603" s="3" t="inlineStr">
        <is>
          <t>Expenses</t>
        </is>
      </c>
      <c r="D5603" s="3" t="inlineStr">
        <is>
          <t>4731/000</t>
        </is>
      </c>
      <c r="E5603" s="3" t="inlineStr">
        <is>
          <t>UIF Employee Contribution</t>
        </is>
      </c>
      <c r="F5603" s="3" t="n">
        <v>0</v>
      </c>
      <c r="G5603" s="3" t="n">
        <v>28007.9</v>
      </c>
    </row>
    <row r="5604">
      <c r="A5604" s="3" t="inlineStr">
        <is>
          <t>Cape Projects Construction (Pty) Ltd</t>
        </is>
      </c>
      <c r="B5604" s="4" t="n">
        <v>45323</v>
      </c>
      <c r="C5604" s="3" t="inlineStr">
        <is>
          <t>Expenses</t>
        </is>
      </c>
      <c r="D5604" s="3" t="inlineStr">
        <is>
          <t>4740/000</t>
        </is>
      </c>
      <c r="E5604" s="3" t="inlineStr">
        <is>
          <t>BIBC Company Contribution</t>
        </is>
      </c>
      <c r="F5604" s="3" t="n">
        <v>0</v>
      </c>
      <c r="G5604" s="3" t="n">
        <v>15075.35</v>
      </c>
    </row>
    <row r="5605">
      <c r="A5605" s="3" t="inlineStr">
        <is>
          <t>Cape Projects Construction (Pty) Ltd</t>
        </is>
      </c>
      <c r="B5605" s="4" t="n">
        <v>45323</v>
      </c>
      <c r="C5605" s="3" t="inlineStr">
        <is>
          <t>Expenses</t>
        </is>
      </c>
      <c r="D5605" s="3" t="inlineStr">
        <is>
          <t>4741/000</t>
        </is>
      </c>
      <c r="E5605" s="3" t="inlineStr">
        <is>
          <t>BIBC Employee Contribution</t>
        </is>
      </c>
      <c r="F5605" s="3" t="n">
        <v>0</v>
      </c>
      <c r="G5605" s="3" t="n">
        <v>4562.1</v>
      </c>
    </row>
    <row r="5606">
      <c r="A5606" s="3" t="inlineStr">
        <is>
          <t>Heron Fields (Pty) Ltd</t>
        </is>
      </c>
      <c r="B5606" s="4" t="n">
        <v>45323</v>
      </c>
      <c r="C5606" s="3" t="inlineStr">
        <is>
          <t>Equity</t>
        </is>
      </c>
      <c r="D5606" s="3" t="inlineStr">
        <is>
          <t>5100-000</t>
        </is>
      </c>
      <c r="E5606" s="3" t="inlineStr">
        <is>
          <t>Share Capital</t>
        </is>
      </c>
      <c r="F5606" s="3" t="n">
        <v>0</v>
      </c>
      <c r="G5606" s="3" t="n">
        <v>-100</v>
      </c>
    </row>
    <row r="5607">
      <c r="A5607" s="3" t="inlineStr">
        <is>
          <t>Cape Projects Construction (Pty) Ltd</t>
        </is>
      </c>
      <c r="B5607" s="4" t="n">
        <v>45323</v>
      </c>
      <c r="C5607" s="3" t="inlineStr">
        <is>
          <t>Equity</t>
        </is>
      </c>
      <c r="D5607" s="3" t="inlineStr">
        <is>
          <t>5100/000</t>
        </is>
      </c>
      <c r="E5607" s="3" t="inlineStr">
        <is>
          <t>Share Capital / Members Contribution</t>
        </is>
      </c>
      <c r="F5607" s="3" t="n">
        <v>0</v>
      </c>
      <c r="G5607" s="3" t="n">
        <v>-120</v>
      </c>
    </row>
    <row r="5608">
      <c r="A5608" s="3" t="inlineStr">
        <is>
          <t>Cape Projects Construction (Pty) Ltd</t>
        </is>
      </c>
      <c r="B5608" s="4" t="n">
        <v>45323</v>
      </c>
      <c r="C5608" s="3" t="inlineStr">
        <is>
          <t>Equity</t>
        </is>
      </c>
      <c r="D5608" s="3" t="inlineStr">
        <is>
          <t>5200/000</t>
        </is>
      </c>
      <c r="E5608" s="3" t="inlineStr">
        <is>
          <t>Retained Earnings / Loss</t>
        </is>
      </c>
      <c r="F5608" s="3" t="n">
        <v>0</v>
      </c>
      <c r="G5608" s="3" t="n">
        <v>-296075.58</v>
      </c>
    </row>
    <row r="5609">
      <c r="A5609" s="3" t="inlineStr">
        <is>
          <t>Heron Fields (Pty) Ltd</t>
        </is>
      </c>
      <c r="B5609" s="4" t="n">
        <v>45323</v>
      </c>
      <c r="C5609" s="3" t="inlineStr">
        <is>
          <t>Equity</t>
        </is>
      </c>
      <c r="D5609" s="3" t="inlineStr">
        <is>
          <t>5200/000</t>
        </is>
      </c>
      <c r="E5609" s="3" t="inlineStr">
        <is>
          <t>Retained Earnings / Loss</t>
        </is>
      </c>
      <c r="F5609" s="3" t="n">
        <v>0</v>
      </c>
      <c r="G5609" s="3" t="n">
        <v>-17843179.58</v>
      </c>
    </row>
    <row r="5610">
      <c r="A5610" s="3" t="inlineStr">
        <is>
          <t>Heron View (Pty) Ltd</t>
        </is>
      </c>
      <c r="B5610" s="4" t="n">
        <v>45323</v>
      </c>
      <c r="C5610" s="3" t="inlineStr">
        <is>
          <t>Equity</t>
        </is>
      </c>
      <c r="D5610" s="3" t="inlineStr">
        <is>
          <t>5200/000</t>
        </is>
      </c>
      <c r="E5610" s="3" t="inlineStr">
        <is>
          <t>Retained Earnings / Loss</t>
        </is>
      </c>
      <c r="F5610" s="3" t="n">
        <v>0</v>
      </c>
      <c r="G5610" s="3" t="n">
        <v>70398.12</v>
      </c>
    </row>
    <row r="5611">
      <c r="A5611" s="3" t="inlineStr">
        <is>
          <t>Heron Fields (Pty) Ltd</t>
        </is>
      </c>
      <c r="B5611" s="4" t="n">
        <v>45323</v>
      </c>
      <c r="C5611" s="3" t="inlineStr">
        <is>
          <t>Assets</t>
        </is>
      </c>
      <c r="D5611" s="3" t="inlineStr">
        <is>
          <t>5300/001</t>
        </is>
      </c>
      <c r="E5611" s="3" t="inlineStr">
        <is>
          <t>Revaluation of Land stock</t>
        </is>
      </c>
      <c r="F5611" s="3" t="n">
        <v>0</v>
      </c>
      <c r="G5611" s="3" t="n">
        <v>17562360.85</v>
      </c>
    </row>
    <row r="5612">
      <c r="A5612" s="3" t="inlineStr">
        <is>
          <t>Heron Fields (Pty) Ltd</t>
        </is>
      </c>
      <c r="B5612" s="4" t="n">
        <v>45323</v>
      </c>
      <c r="C5612" s="3" t="inlineStr">
        <is>
          <t>Assets</t>
        </is>
      </c>
      <c r="D5612" s="3" t="inlineStr">
        <is>
          <t>5400/000</t>
        </is>
      </c>
      <c r="E5612" s="3" t="inlineStr">
        <is>
          <t>Deposit: Ruiterwacht development</t>
        </is>
      </c>
      <c r="F5612" s="3" t="n">
        <v>0</v>
      </c>
      <c r="G5612" s="3" t="n">
        <v>13457359</v>
      </c>
    </row>
    <row r="5613">
      <c r="A5613" s="3" t="inlineStr">
        <is>
          <t>Cape Projects Construction (Pty) Ltd</t>
        </is>
      </c>
      <c r="B5613" s="4" t="n">
        <v>45323</v>
      </c>
      <c r="C5613" s="3" t="inlineStr">
        <is>
          <t>Assets</t>
        </is>
      </c>
      <c r="D5613" s="3" t="inlineStr">
        <is>
          <t>5400/150</t>
        </is>
      </c>
      <c r="E5613" s="3" t="inlineStr">
        <is>
          <t>Loan - Quinate</t>
        </is>
      </c>
      <c r="F5613" s="3" t="n">
        <v>0</v>
      </c>
      <c r="G5613" s="3" t="n">
        <v>-4057423.63</v>
      </c>
    </row>
    <row r="5614">
      <c r="A5614" s="3" t="inlineStr">
        <is>
          <t>Cape Projects Construction (Pty) Ltd</t>
        </is>
      </c>
      <c r="B5614" s="4" t="n">
        <v>45323</v>
      </c>
      <c r="C5614" s="3" t="inlineStr">
        <is>
          <t>Assets</t>
        </is>
      </c>
      <c r="D5614" s="3" t="inlineStr">
        <is>
          <t>5400/220</t>
        </is>
      </c>
      <c r="E5614" s="3" t="inlineStr">
        <is>
          <t>Members Loan - WH</t>
        </is>
      </c>
      <c r="F5614" s="3" t="n">
        <v>0</v>
      </c>
      <c r="G5614" s="3" t="n">
        <v>-4342.5</v>
      </c>
    </row>
    <row r="5615">
      <c r="A5615" s="3" t="inlineStr">
        <is>
          <t>Cape Projects Construction (Pty) Ltd</t>
        </is>
      </c>
      <c r="B5615" s="4" t="n">
        <v>45323</v>
      </c>
      <c r="C5615" s="3" t="inlineStr">
        <is>
          <t>Assets</t>
        </is>
      </c>
      <c r="D5615" s="3" t="inlineStr">
        <is>
          <t>5400/300</t>
        </is>
      </c>
      <c r="E5615" s="3" t="inlineStr">
        <is>
          <t>Loan - Opportunity ResidentialCUST ACC</t>
        </is>
      </c>
      <c r="F5615" s="3" t="n">
        <v>0</v>
      </c>
      <c r="G5615" s="3" t="n">
        <v>4702.35</v>
      </c>
    </row>
    <row r="5616">
      <c r="A5616" s="3" t="inlineStr">
        <is>
          <t>Cape Projects Construction (Pty) Ltd</t>
        </is>
      </c>
      <c r="B5616" s="4" t="n">
        <v>45323</v>
      </c>
      <c r="C5616" s="3" t="inlineStr">
        <is>
          <t>Assets</t>
        </is>
      </c>
      <c r="D5616" s="3" t="inlineStr">
        <is>
          <t>5400/450</t>
        </is>
      </c>
      <c r="E5616" s="3" t="inlineStr">
        <is>
          <t>Loan - Opportunity Investment</t>
        </is>
      </c>
      <c r="F5616" s="3" t="n">
        <v>0</v>
      </c>
      <c r="G5616" s="3" t="n">
        <v>-1571000</v>
      </c>
    </row>
    <row r="5617">
      <c r="A5617" s="3" t="inlineStr">
        <is>
          <t>Cape Projects Construction (Pty) Ltd</t>
        </is>
      </c>
      <c r="B5617" s="4" t="n">
        <v>45323</v>
      </c>
      <c r="C5617" s="3" t="inlineStr">
        <is>
          <t>Assets</t>
        </is>
      </c>
      <c r="D5617" s="3" t="inlineStr">
        <is>
          <t>5400/500</t>
        </is>
      </c>
      <c r="E5617" s="3" t="inlineStr">
        <is>
          <t>Loan - Blou Mamba Trust</t>
        </is>
      </c>
      <c r="F5617" s="3" t="n">
        <v>0</v>
      </c>
      <c r="G5617" s="3" t="n">
        <v>4342.5</v>
      </c>
    </row>
    <row r="5618">
      <c r="A5618" s="3" t="inlineStr">
        <is>
          <t>Cape Projects Construction (Pty) Ltd</t>
        </is>
      </c>
      <c r="B5618" s="4" t="n">
        <v>45323</v>
      </c>
      <c r="C5618" s="3" t="inlineStr">
        <is>
          <t>Assets</t>
        </is>
      </c>
      <c r="D5618" s="3" t="inlineStr">
        <is>
          <t>5400/550</t>
        </is>
      </c>
      <c r="E5618" s="3" t="inlineStr">
        <is>
          <t>Loan - Trademark</t>
        </is>
      </c>
      <c r="F5618" s="3" t="n">
        <v>0</v>
      </c>
      <c r="G5618" s="3" t="n">
        <v>-18200</v>
      </c>
    </row>
    <row r="5619">
      <c r="A5619" s="3" t="inlineStr">
        <is>
          <t>Cape Projects Construction (Pty) Ltd</t>
        </is>
      </c>
      <c r="B5619" s="4" t="n">
        <v>45323</v>
      </c>
      <c r="C5619" s="3" t="inlineStr">
        <is>
          <t>Assets</t>
        </is>
      </c>
      <c r="D5619" s="3" t="inlineStr">
        <is>
          <t>5400/600</t>
        </is>
      </c>
      <c r="E5619" s="3" t="inlineStr">
        <is>
          <t>Loan - Heron Projects</t>
        </is>
      </c>
      <c r="F5619" s="3" t="n">
        <v>0</v>
      </c>
      <c r="G5619" s="3" t="n">
        <v>-22774738.42</v>
      </c>
    </row>
    <row r="5620">
      <c r="A5620" s="3" t="inlineStr">
        <is>
          <t>Cape Projects Construction (Pty) Ltd</t>
        </is>
      </c>
      <c r="B5620" s="4" t="n">
        <v>45323</v>
      </c>
      <c r="C5620" s="3" t="inlineStr">
        <is>
          <t>Assets</t>
        </is>
      </c>
      <c r="D5620" s="3" t="inlineStr">
        <is>
          <t>5400/650</t>
        </is>
      </c>
      <c r="E5620" s="3" t="inlineStr">
        <is>
          <t>Loan - Noble Shield</t>
        </is>
      </c>
      <c r="F5620" s="3" t="n">
        <v>0</v>
      </c>
      <c r="G5620" s="3" t="n">
        <v>-200789.44</v>
      </c>
    </row>
    <row r="5621">
      <c r="A5621" s="3" t="inlineStr">
        <is>
          <t>Cape Projects Construction (Pty) Ltd</t>
        </is>
      </c>
      <c r="B5621" s="4" t="n">
        <v>45323</v>
      </c>
      <c r="C5621" s="3" t="inlineStr">
        <is>
          <t>Assets</t>
        </is>
      </c>
      <c r="D5621" s="3" t="inlineStr">
        <is>
          <t>5400/750</t>
        </is>
      </c>
      <c r="E5621" s="3" t="inlineStr">
        <is>
          <t>Loan - Endulini</t>
        </is>
      </c>
      <c r="F5621" s="3" t="n">
        <v>0</v>
      </c>
      <c r="G5621" s="3" t="n">
        <v>24962687.4</v>
      </c>
    </row>
    <row r="5622">
      <c r="A5622" s="3" t="inlineStr">
        <is>
          <t>Cape Projects Construction (Pty) Ltd</t>
        </is>
      </c>
      <c r="B5622" s="4" t="n">
        <v>45323</v>
      </c>
      <c r="C5622" s="3" t="inlineStr">
        <is>
          <t>Assets</t>
        </is>
      </c>
      <c r="D5622" s="3" t="inlineStr">
        <is>
          <t>5400/800</t>
        </is>
      </c>
      <c r="E5622" s="3" t="inlineStr">
        <is>
          <t>Loan - Opportunity Management Holdings</t>
        </is>
      </c>
      <c r="F5622" s="3" t="n">
        <v>0</v>
      </c>
      <c r="G5622" s="3" t="n">
        <v>137399</v>
      </c>
    </row>
    <row r="5623">
      <c r="A5623" s="3" t="inlineStr">
        <is>
          <t>Heron View (Pty) Ltd</t>
        </is>
      </c>
      <c r="B5623" s="4" t="n">
        <v>45323</v>
      </c>
      <c r="C5623" s="3" t="inlineStr">
        <is>
          <t>Liabilities</t>
        </is>
      </c>
      <c r="D5623" s="3" t="inlineStr">
        <is>
          <t>5500/001</t>
        </is>
      </c>
      <c r="E5623" s="3" t="inlineStr">
        <is>
          <t>Loan - Heron Fields</t>
        </is>
      </c>
      <c r="F5623" s="3" t="n">
        <v>605617.11</v>
      </c>
      <c r="G5623" s="3" t="n">
        <v>-56032505.91</v>
      </c>
    </row>
    <row r="5624">
      <c r="A5624" s="3" t="inlineStr">
        <is>
          <t>Heron Fields (Pty) Ltd</t>
        </is>
      </c>
      <c r="B5624" s="4" t="n">
        <v>45323</v>
      </c>
      <c r="C5624" s="3" t="inlineStr">
        <is>
          <t>Liabilities</t>
        </is>
      </c>
      <c r="D5624" s="3" t="inlineStr">
        <is>
          <t>5500/020</t>
        </is>
      </c>
      <c r="E5624" s="3" t="inlineStr">
        <is>
          <t>Loan - Cape Projects Construction</t>
        </is>
      </c>
      <c r="F5624" s="3" t="n">
        <v>0</v>
      </c>
      <c r="G5624" s="3" t="n">
        <v>22774738.42</v>
      </c>
    </row>
    <row r="5625">
      <c r="A5625" s="3" t="inlineStr">
        <is>
          <t>Heron Fields (Pty) Ltd</t>
        </is>
      </c>
      <c r="B5625" s="4" t="n">
        <v>45323</v>
      </c>
      <c r="C5625" s="3" t="inlineStr">
        <is>
          <t>Liabilities</t>
        </is>
      </c>
      <c r="D5625" s="3" t="inlineStr">
        <is>
          <t>5500/030</t>
        </is>
      </c>
      <c r="E5625" s="3" t="inlineStr">
        <is>
          <t>Loan - Opportunity Global Investments</t>
        </is>
      </c>
      <c r="F5625" s="3" t="n">
        <v>0</v>
      </c>
      <c r="G5625" s="3" t="n">
        <v>4094275</v>
      </c>
    </row>
    <row r="5626">
      <c r="A5626" s="3" t="inlineStr">
        <is>
          <t>Heron Fields (Pty) Ltd</t>
        </is>
      </c>
      <c r="B5626" s="4" t="n">
        <v>45323</v>
      </c>
      <c r="C5626" s="3" t="inlineStr">
        <is>
          <t>Liabilities</t>
        </is>
      </c>
      <c r="D5626" s="3" t="inlineStr">
        <is>
          <t>5500/050</t>
        </is>
      </c>
      <c r="E5626" s="3" t="inlineStr">
        <is>
          <t>Loan - Heron View</t>
        </is>
      </c>
      <c r="F5626" s="3" t="n">
        <v>-605617.11</v>
      </c>
      <c r="G5626" s="3" t="n">
        <v>56031305.38</v>
      </c>
    </row>
    <row r="5627">
      <c r="A5627" s="3" t="inlineStr">
        <is>
          <t>Heron Fields (Pty) Ltd</t>
        </is>
      </c>
      <c r="B5627" s="4" t="n">
        <v>45323</v>
      </c>
      <c r="C5627" s="3" t="inlineStr">
        <is>
          <t>Liabilities</t>
        </is>
      </c>
      <c r="D5627" s="3" t="inlineStr">
        <is>
          <t>5500/051</t>
        </is>
      </c>
      <c r="E5627" s="3" t="inlineStr">
        <is>
          <t>Loan - HV N204</t>
        </is>
      </c>
      <c r="F5627" s="3" t="n">
        <v>0</v>
      </c>
      <c r="G5627" s="3" t="n">
        <v>10000</v>
      </c>
    </row>
    <row r="5628">
      <c r="A5628" s="3" t="inlineStr">
        <is>
          <t>Heron Fields (Pty) Ltd</t>
        </is>
      </c>
      <c r="B5628" s="4" t="n">
        <v>45323</v>
      </c>
      <c r="C5628" s="3" t="inlineStr">
        <is>
          <t>Liabilities</t>
        </is>
      </c>
      <c r="D5628" s="3" t="inlineStr">
        <is>
          <t>5500/060</t>
        </is>
      </c>
      <c r="E5628" s="3" t="inlineStr">
        <is>
          <t>Loan - Opportunity Management Holdings</t>
        </is>
      </c>
      <c r="F5628" s="3" t="n">
        <v>0</v>
      </c>
      <c r="G5628" s="3" t="n">
        <v>32100</v>
      </c>
    </row>
    <row r="5629">
      <c r="A5629" s="3" t="inlineStr">
        <is>
          <t>Heron Fields (Pty) Ltd</t>
        </is>
      </c>
      <c r="B5629" s="4" t="n">
        <v>45323</v>
      </c>
      <c r="C5629" s="3" t="inlineStr">
        <is>
          <t>Liabilities</t>
        </is>
      </c>
      <c r="D5629" s="3" t="inlineStr">
        <is>
          <t>5500/080</t>
        </is>
      </c>
      <c r="E5629" s="3" t="inlineStr">
        <is>
          <t>Loan - NSST2 Trust</t>
        </is>
      </c>
      <c r="F5629" s="3" t="n">
        <v>0</v>
      </c>
      <c r="G5629" s="3" t="n">
        <v>500</v>
      </c>
    </row>
    <row r="5630">
      <c r="A5630" s="3" t="inlineStr">
        <is>
          <t>Heron Fields (Pty) Ltd</t>
        </is>
      </c>
      <c r="B5630" s="4" t="n">
        <v>45323</v>
      </c>
      <c r="C5630" s="3" t="inlineStr">
        <is>
          <t>Assets</t>
        </is>
      </c>
      <c r="D5630" s="3" t="inlineStr">
        <is>
          <t>6150/010</t>
        </is>
      </c>
      <c r="E5630" s="3" t="inlineStr">
        <is>
          <t>Endulini -  A204</t>
        </is>
      </c>
      <c r="F5630" s="3" t="n">
        <v>0</v>
      </c>
      <c r="G5630" s="3" t="n">
        <v>1304260.87</v>
      </c>
    </row>
    <row r="5631">
      <c r="A5631" s="3" t="inlineStr">
        <is>
          <t>Heron Fields (Pty) Ltd</t>
        </is>
      </c>
      <c r="B5631" s="4" t="n">
        <v>45323</v>
      </c>
      <c r="C5631" s="3" t="inlineStr">
        <is>
          <t>Assets</t>
        </is>
      </c>
      <c r="D5631" s="3" t="inlineStr">
        <is>
          <t>6150/020</t>
        </is>
      </c>
      <c r="E5631" s="3" t="inlineStr">
        <is>
          <t>Endulini - A304</t>
        </is>
      </c>
      <c r="F5631" s="3" t="n">
        <v>0</v>
      </c>
      <c r="G5631" s="3" t="n">
        <v>1356434.78</v>
      </c>
    </row>
    <row r="5632">
      <c r="A5632" s="3" t="inlineStr">
        <is>
          <t>Heron Fields (Pty) Ltd</t>
        </is>
      </c>
      <c r="B5632" s="4" t="n">
        <v>45323</v>
      </c>
      <c r="C5632" s="3" t="inlineStr">
        <is>
          <t>Assets</t>
        </is>
      </c>
      <c r="D5632" s="3" t="inlineStr">
        <is>
          <t>6150/030</t>
        </is>
      </c>
      <c r="E5632" s="3" t="inlineStr">
        <is>
          <t>Endulini - B101</t>
        </is>
      </c>
      <c r="F5632" s="3" t="n">
        <v>0</v>
      </c>
      <c r="G5632" s="3" t="n">
        <v>1373826.09</v>
      </c>
    </row>
    <row r="5633">
      <c r="A5633" s="3" t="inlineStr">
        <is>
          <t>Heron Fields (Pty) Ltd</t>
        </is>
      </c>
      <c r="B5633" s="4" t="n">
        <v>45323</v>
      </c>
      <c r="C5633" s="3" t="inlineStr">
        <is>
          <t>Assets</t>
        </is>
      </c>
      <c r="D5633" s="3" t="inlineStr">
        <is>
          <t>6150/040</t>
        </is>
      </c>
      <c r="E5633" s="3" t="inlineStr">
        <is>
          <t>Endulini - A306</t>
        </is>
      </c>
      <c r="F5633" s="3" t="n">
        <v>0</v>
      </c>
      <c r="G5633" s="3" t="n">
        <v>1391217.39</v>
      </c>
    </row>
    <row r="5634">
      <c r="A5634" s="3" t="inlineStr">
        <is>
          <t>Heron Fields (Pty) Ltd</t>
        </is>
      </c>
      <c r="B5634" s="4" t="n">
        <v>45323</v>
      </c>
      <c r="C5634" s="3" t="inlineStr">
        <is>
          <t>Assets</t>
        </is>
      </c>
      <c r="D5634" s="3" t="inlineStr">
        <is>
          <t>6150/050</t>
        </is>
      </c>
      <c r="E5634" s="3" t="inlineStr">
        <is>
          <t>Endulini - C301</t>
        </is>
      </c>
      <c r="F5634" s="3" t="n">
        <v>0</v>
      </c>
      <c r="G5634" s="3" t="n">
        <v>1304260.87</v>
      </c>
    </row>
    <row r="5635">
      <c r="A5635" s="3" t="inlineStr">
        <is>
          <t>Cape Projects Construction (Pty) Ltd</t>
        </is>
      </c>
      <c r="B5635" s="4" t="n">
        <v>45323</v>
      </c>
      <c r="C5635" s="3" t="inlineStr">
        <is>
          <t>Assets</t>
        </is>
      </c>
      <c r="D5635" s="3" t="inlineStr">
        <is>
          <t>6200/010</t>
        </is>
      </c>
      <c r="E5635" s="3" t="inlineStr">
        <is>
          <t>Motor Vehicles - @ Cost</t>
        </is>
      </c>
      <c r="F5635" s="3" t="n">
        <v>0</v>
      </c>
      <c r="G5635" s="3" t="n">
        <v>216064.1</v>
      </c>
    </row>
    <row r="5636">
      <c r="A5636" s="3" t="inlineStr">
        <is>
          <t>Cape Projects Construction (Pty) Ltd</t>
        </is>
      </c>
      <c r="B5636" s="4" t="n">
        <v>45323</v>
      </c>
      <c r="C5636" s="3" t="inlineStr">
        <is>
          <t>Assets</t>
        </is>
      </c>
      <c r="D5636" s="3" t="inlineStr">
        <is>
          <t>6200/020</t>
        </is>
      </c>
      <c r="E5636" s="3" t="inlineStr">
        <is>
          <t>Motor Vehicles - Accum Depre</t>
        </is>
      </c>
      <c r="F5636" s="3" t="n">
        <v>0</v>
      </c>
      <c r="G5636" s="3" t="n">
        <v>-216063.1</v>
      </c>
    </row>
    <row r="5637">
      <c r="A5637" s="3" t="inlineStr">
        <is>
          <t>Cape Projects Construction (Pty) Ltd</t>
        </is>
      </c>
      <c r="B5637" s="4" t="n">
        <v>45323</v>
      </c>
      <c r="C5637" s="3" t="inlineStr">
        <is>
          <t>Assets</t>
        </is>
      </c>
      <c r="D5637" s="3" t="inlineStr">
        <is>
          <t>6250/010</t>
        </is>
      </c>
      <c r="E5637" s="3" t="inlineStr">
        <is>
          <t>Computer Equipment - @ Cost</t>
        </is>
      </c>
      <c r="F5637" s="3" t="n">
        <v>0</v>
      </c>
      <c r="G5637" s="3" t="n">
        <v>178152.48</v>
      </c>
    </row>
    <row r="5638">
      <c r="A5638" s="3" t="inlineStr">
        <is>
          <t>Cape Projects Construction (Pty) Ltd</t>
        </is>
      </c>
      <c r="B5638" s="4" t="n">
        <v>45323</v>
      </c>
      <c r="C5638" s="3" t="inlineStr">
        <is>
          <t>Assets</t>
        </is>
      </c>
      <c r="D5638" s="3" t="inlineStr">
        <is>
          <t>6250/020</t>
        </is>
      </c>
      <c r="E5638" s="3" t="inlineStr">
        <is>
          <t>Computer Equipment - Accum Depre</t>
        </is>
      </c>
      <c r="F5638" s="3" t="n">
        <v>0</v>
      </c>
      <c r="G5638" s="3" t="n">
        <v>-84735.74000000001</v>
      </c>
    </row>
    <row r="5639">
      <c r="A5639" s="3" t="inlineStr">
        <is>
          <t>Cape Projects Construction (Pty) Ltd</t>
        </is>
      </c>
      <c r="B5639" s="4" t="n">
        <v>45323</v>
      </c>
      <c r="C5639" s="3" t="inlineStr">
        <is>
          <t>Assets</t>
        </is>
      </c>
      <c r="D5639" s="3" t="inlineStr">
        <is>
          <t>6350/010</t>
        </is>
      </c>
      <c r="E5639" s="3" t="inlineStr">
        <is>
          <t>Furniture _AND_ Fittings - @ Cost</t>
        </is>
      </c>
      <c r="F5639" s="3" t="n">
        <v>0</v>
      </c>
      <c r="G5639" s="3" t="n">
        <v>37955.3</v>
      </c>
    </row>
    <row r="5640">
      <c r="A5640" s="3" t="inlineStr">
        <is>
          <t>Cape Projects Construction (Pty) Ltd</t>
        </is>
      </c>
      <c r="B5640" s="4" t="n">
        <v>45323</v>
      </c>
      <c r="C5640" s="3" t="inlineStr">
        <is>
          <t>Assets</t>
        </is>
      </c>
      <c r="D5640" s="3" t="inlineStr">
        <is>
          <t>6350/020</t>
        </is>
      </c>
      <c r="E5640" s="3" t="inlineStr">
        <is>
          <t>Furniture _AND_ Fittings - Accum Depre</t>
        </is>
      </c>
      <c r="F5640" s="3" t="n">
        <v>0</v>
      </c>
      <c r="G5640" s="3" t="n">
        <v>-11919</v>
      </c>
    </row>
    <row r="5641">
      <c r="A5641" s="3" t="inlineStr">
        <is>
          <t>Cape Projects Construction (Pty) Ltd</t>
        </is>
      </c>
      <c r="B5641" s="4" t="n">
        <v>45323</v>
      </c>
      <c r="C5641" s="3" t="inlineStr">
        <is>
          <t>Assets</t>
        </is>
      </c>
      <c r="D5641" s="3" t="inlineStr">
        <is>
          <t>6600/010</t>
        </is>
      </c>
      <c r="E5641" s="3" t="inlineStr">
        <is>
          <t>Generator Fixed Asset - @ Cost</t>
        </is>
      </c>
      <c r="F5641" s="3" t="n">
        <v>0</v>
      </c>
      <c r="G5641" s="3" t="n">
        <v>71322</v>
      </c>
    </row>
    <row r="5642">
      <c r="A5642" s="3" t="inlineStr">
        <is>
          <t>Cape Projects Construction (Pty) Ltd</t>
        </is>
      </c>
      <c r="B5642" s="4" t="n">
        <v>45323</v>
      </c>
      <c r="C5642" s="3" t="inlineStr">
        <is>
          <t>Assets</t>
        </is>
      </c>
      <c r="D5642" s="3" t="inlineStr">
        <is>
          <t>6600/020</t>
        </is>
      </c>
      <c r="E5642" s="3" t="inlineStr">
        <is>
          <t>Generator Fixed Asset - Accum Depre</t>
        </is>
      </c>
      <c r="F5642" s="3" t="n">
        <v>0</v>
      </c>
      <c r="G5642" s="3" t="n">
        <v>-14210.53</v>
      </c>
    </row>
    <row r="5643">
      <c r="A5643" s="3" t="inlineStr">
        <is>
          <t>Heron Fields (Pty) Ltd</t>
        </is>
      </c>
      <c r="B5643" s="4" t="n">
        <v>45323</v>
      </c>
      <c r="C5643" s="3" t="inlineStr">
        <is>
          <t>Assets</t>
        </is>
      </c>
      <c r="D5643" s="3" t="inlineStr">
        <is>
          <t>7610/395</t>
        </is>
      </c>
      <c r="E5643" s="3" t="inlineStr">
        <is>
          <t>HF CIP NHBRC</t>
        </is>
      </c>
      <c r="F5643" s="3" t="n">
        <v>0</v>
      </c>
      <c r="G5643" s="3" t="n">
        <v>874505.75</v>
      </c>
    </row>
    <row r="5644">
      <c r="A5644" s="3" t="inlineStr">
        <is>
          <t>Heron View (Pty) Ltd</t>
        </is>
      </c>
      <c r="B5644" s="4" t="n">
        <v>45323</v>
      </c>
      <c r="C5644" s="3" t="inlineStr">
        <is>
          <t>Assets</t>
        </is>
      </c>
      <c r="D5644" s="3" t="inlineStr">
        <is>
          <t>7610/395</t>
        </is>
      </c>
      <c r="E5644" s="3" t="inlineStr">
        <is>
          <t>Heron CIP NHBRC</t>
        </is>
      </c>
      <c r="F5644" s="3" t="n">
        <v>0</v>
      </c>
      <c r="G5644" s="3" t="n">
        <v>2472501.08</v>
      </c>
    </row>
    <row r="5645">
      <c r="A5645" s="3" t="inlineStr">
        <is>
          <t>Heron Fields (Pty) Ltd</t>
        </is>
      </c>
      <c r="B5645" s="4" t="n">
        <v>45323</v>
      </c>
      <c r="C5645" s="3" t="inlineStr">
        <is>
          <t>Assets</t>
        </is>
      </c>
      <c r="D5645" s="3" t="inlineStr">
        <is>
          <t>7620/100</t>
        </is>
      </c>
      <c r="E5645" s="3" t="inlineStr">
        <is>
          <t>Heron View Land</t>
        </is>
      </c>
      <c r="F5645" s="3" t="n">
        <v>0</v>
      </c>
      <c r="G5645" s="3" t="n">
        <v>26200000</v>
      </c>
    </row>
    <row r="5646">
      <c r="A5646" s="3" t="inlineStr">
        <is>
          <t>Heron Fields (Pty) Ltd</t>
        </is>
      </c>
      <c r="B5646" s="4" t="n">
        <v>45323</v>
      </c>
      <c r="C5646" s="3" t="inlineStr">
        <is>
          <t>Assets</t>
        </is>
      </c>
      <c r="D5646" s="3" t="inlineStr">
        <is>
          <t>7620/101</t>
        </is>
      </c>
      <c r="E5646" s="3" t="inlineStr">
        <is>
          <t>HF CIP Bond Registration Fee</t>
        </is>
      </c>
      <c r="F5646" s="3" t="n">
        <v>0</v>
      </c>
      <c r="G5646" s="3" t="n">
        <v>68427</v>
      </c>
    </row>
    <row r="5647">
      <c r="A5647" s="3" t="inlineStr">
        <is>
          <t>Heron Fields (Pty) Ltd</t>
        </is>
      </c>
      <c r="B5647" s="4" t="n">
        <v>45323</v>
      </c>
      <c r="C5647" s="3" t="inlineStr">
        <is>
          <t>Assets</t>
        </is>
      </c>
      <c r="D5647" s="3" t="inlineStr">
        <is>
          <t>7620/102</t>
        </is>
      </c>
      <c r="E5647" s="3" t="inlineStr">
        <is>
          <t>HF CIP Transfer Fee</t>
        </is>
      </c>
      <c r="F5647" s="3" t="n">
        <v>0</v>
      </c>
      <c r="G5647" s="3" t="n">
        <v>103812</v>
      </c>
    </row>
    <row r="5648">
      <c r="A5648" s="3" t="inlineStr">
        <is>
          <t>Heron Fields (Pty) Ltd</t>
        </is>
      </c>
      <c r="B5648" s="4" t="n">
        <v>45323</v>
      </c>
      <c r="C5648" s="3" t="inlineStr">
        <is>
          <t>Assets</t>
        </is>
      </c>
      <c r="D5648" s="3" t="inlineStr">
        <is>
          <t>7620/220</t>
        </is>
      </c>
      <c r="E5648" s="3" t="inlineStr">
        <is>
          <t>HF CIP Architectural Designs</t>
        </is>
      </c>
      <c r="F5648" s="3" t="n">
        <v>0</v>
      </c>
      <c r="G5648" s="3" t="n">
        <v>314087</v>
      </c>
    </row>
    <row r="5649">
      <c r="A5649" s="3" t="inlineStr">
        <is>
          <t>Heron View (Pty) Ltd</t>
        </is>
      </c>
      <c r="B5649" s="4" t="n">
        <v>45323</v>
      </c>
      <c r="C5649" s="3" t="inlineStr">
        <is>
          <t>Assets</t>
        </is>
      </c>
      <c r="D5649" s="3" t="inlineStr">
        <is>
          <t>7620/220</t>
        </is>
      </c>
      <c r="E5649" s="3" t="inlineStr">
        <is>
          <t>Heron View CIP Architectural Designs</t>
        </is>
      </c>
      <c r="F5649" s="3" t="n">
        <v>0</v>
      </c>
      <c r="G5649" s="3" t="n">
        <v>690236.91</v>
      </c>
    </row>
    <row r="5650">
      <c r="A5650" s="3" t="inlineStr">
        <is>
          <t>Heron Fields (Pty) Ltd</t>
        </is>
      </c>
      <c r="B5650" s="4" t="n">
        <v>45323</v>
      </c>
      <c r="C5650" s="3" t="inlineStr">
        <is>
          <t>Assets</t>
        </is>
      </c>
      <c r="D5650" s="3" t="inlineStr">
        <is>
          <t>7620/230</t>
        </is>
      </c>
      <c r="E5650" s="3" t="inlineStr">
        <is>
          <t>HF CIP Construction Management</t>
        </is>
      </c>
      <c r="F5650" s="3" t="n">
        <v>0</v>
      </c>
      <c r="G5650" s="3" t="n">
        <v>139500</v>
      </c>
    </row>
    <row r="5651">
      <c r="A5651" s="3" t="inlineStr">
        <is>
          <t>Heron Fields (Pty) Ltd</t>
        </is>
      </c>
      <c r="B5651" s="4" t="n">
        <v>45323</v>
      </c>
      <c r="C5651" s="3" t="inlineStr">
        <is>
          <t>Assets</t>
        </is>
      </c>
      <c r="D5651" s="3" t="inlineStr">
        <is>
          <t>7620/240</t>
        </is>
      </c>
      <c r="E5651" s="3" t="inlineStr">
        <is>
          <t>HF CIP Civil Engineering</t>
        </is>
      </c>
      <c r="F5651" s="3" t="n">
        <v>0</v>
      </c>
      <c r="G5651" s="3" t="n">
        <v>8557641.800000001</v>
      </c>
    </row>
    <row r="5652">
      <c r="A5652" s="3" t="inlineStr">
        <is>
          <t>Heron Fields (Pty) Ltd</t>
        </is>
      </c>
      <c r="B5652" s="4" t="n">
        <v>45323</v>
      </c>
      <c r="C5652" s="3" t="inlineStr">
        <is>
          <t>Assets</t>
        </is>
      </c>
      <c r="D5652" s="3" t="inlineStr">
        <is>
          <t>7620/245</t>
        </is>
      </c>
      <c r="E5652" s="3" t="inlineStr">
        <is>
          <t>HF CIP Development fee</t>
        </is>
      </c>
      <c r="F5652" s="3" t="n">
        <v>0</v>
      </c>
      <c r="G5652" s="3" t="n">
        <v>13807.78</v>
      </c>
    </row>
    <row r="5653">
      <c r="A5653" s="3" t="inlineStr">
        <is>
          <t>Heron Fields (Pty) Ltd</t>
        </is>
      </c>
      <c r="B5653" s="4" t="n">
        <v>45323</v>
      </c>
      <c r="C5653" s="3" t="inlineStr">
        <is>
          <t>Assets</t>
        </is>
      </c>
      <c r="D5653" s="3" t="inlineStr">
        <is>
          <t>7620/250</t>
        </is>
      </c>
      <c r="E5653" s="3" t="inlineStr">
        <is>
          <t>HF CIP Land Surveyor</t>
        </is>
      </c>
      <c r="F5653" s="3" t="n">
        <v>0</v>
      </c>
      <c r="G5653" s="3" t="n">
        <v>197060.09</v>
      </c>
    </row>
    <row r="5654">
      <c r="A5654" s="3" t="inlineStr">
        <is>
          <t>Heron View (Pty) Ltd</t>
        </is>
      </c>
      <c r="B5654" s="4" t="n">
        <v>45323</v>
      </c>
      <c r="C5654" s="3" t="inlineStr">
        <is>
          <t>Assets</t>
        </is>
      </c>
      <c r="D5654" s="3" t="inlineStr">
        <is>
          <t>7620/250</t>
        </is>
      </c>
      <c r="E5654" s="3" t="inlineStr">
        <is>
          <t>Heron View CIP Land Surveyor</t>
        </is>
      </c>
      <c r="F5654" s="3" t="n">
        <v>0</v>
      </c>
      <c r="G5654" s="3" t="n">
        <v>321942.47</v>
      </c>
    </row>
    <row r="5655">
      <c r="A5655" s="3" t="inlineStr">
        <is>
          <t>Heron Fields (Pty) Ltd</t>
        </is>
      </c>
      <c r="B5655" s="4" t="n">
        <v>45323</v>
      </c>
      <c r="C5655" s="3" t="inlineStr">
        <is>
          <t>Assets</t>
        </is>
      </c>
      <c r="D5655" s="3" t="inlineStr">
        <is>
          <t>7620/255</t>
        </is>
      </c>
      <c r="E5655" s="3" t="inlineStr">
        <is>
          <t>HF CIP Landscaping</t>
        </is>
      </c>
      <c r="F5655" s="3" t="n">
        <v>0</v>
      </c>
      <c r="G5655" s="3" t="n">
        <v>7500</v>
      </c>
    </row>
    <row r="5656">
      <c r="A5656" s="3" t="inlineStr">
        <is>
          <t>Heron View (Pty) Ltd</t>
        </is>
      </c>
      <c r="B5656" s="4" t="n">
        <v>45323</v>
      </c>
      <c r="C5656" s="3" t="inlineStr">
        <is>
          <t>Assets</t>
        </is>
      </c>
      <c r="D5656" s="3" t="inlineStr">
        <is>
          <t>7620/255</t>
        </is>
      </c>
      <c r="E5656" s="3" t="inlineStr">
        <is>
          <t>Heron View CIP Landscaping</t>
        </is>
      </c>
      <c r="F5656" s="3" t="n">
        <v>0</v>
      </c>
      <c r="G5656" s="3" t="n">
        <v>114370.5</v>
      </c>
    </row>
    <row r="5657">
      <c r="A5657" s="3" t="inlineStr">
        <is>
          <t>Heron Fields (Pty) Ltd</t>
        </is>
      </c>
      <c r="B5657" s="4" t="n">
        <v>45323</v>
      </c>
      <c r="C5657" s="3" t="inlineStr">
        <is>
          <t>Assets</t>
        </is>
      </c>
      <c r="D5657" s="3" t="inlineStr">
        <is>
          <t>7620/260</t>
        </is>
      </c>
      <c r="E5657" s="3" t="inlineStr">
        <is>
          <t>HF CIP Mechanical Engineers</t>
        </is>
      </c>
      <c r="F5657" s="3" t="n">
        <v>0</v>
      </c>
      <c r="G5657" s="3" t="n">
        <v>146256.38</v>
      </c>
    </row>
    <row r="5658">
      <c r="A5658" s="3" t="inlineStr">
        <is>
          <t>Heron Fields (Pty) Ltd</t>
        </is>
      </c>
      <c r="B5658" s="4" t="n">
        <v>45323</v>
      </c>
      <c r="C5658" s="3" t="inlineStr">
        <is>
          <t>Assets</t>
        </is>
      </c>
      <c r="D5658" s="3" t="inlineStr">
        <is>
          <t>7620/265</t>
        </is>
      </c>
      <c r="E5658" s="3" t="inlineStr">
        <is>
          <t>HF CIP Health &amp; Safety</t>
        </is>
      </c>
      <c r="F5658" s="3" t="n">
        <v>0</v>
      </c>
      <c r="G5658" s="3" t="n">
        <v>20600</v>
      </c>
    </row>
    <row r="5659">
      <c r="A5659" s="3" t="inlineStr">
        <is>
          <t>Heron Fields (Pty) Ltd</t>
        </is>
      </c>
      <c r="B5659" s="4" t="n">
        <v>45323</v>
      </c>
      <c r="C5659" s="3" t="inlineStr">
        <is>
          <t>Assets</t>
        </is>
      </c>
      <c r="D5659" s="3" t="inlineStr">
        <is>
          <t>7620/270</t>
        </is>
      </c>
      <c r="E5659" s="3" t="inlineStr">
        <is>
          <t>HF CIP Geotechnical</t>
        </is>
      </c>
      <c r="F5659" s="3" t="n">
        <v>0</v>
      </c>
      <c r="G5659" s="3" t="n">
        <v>15175</v>
      </c>
    </row>
    <row r="5660">
      <c r="A5660" s="3" t="inlineStr">
        <is>
          <t>Heron Fields (Pty) Ltd</t>
        </is>
      </c>
      <c r="B5660" s="4" t="n">
        <v>45323</v>
      </c>
      <c r="C5660" s="3" t="inlineStr">
        <is>
          <t>Assets</t>
        </is>
      </c>
      <c r="D5660" s="3" t="inlineStr">
        <is>
          <t>7620/275</t>
        </is>
      </c>
      <c r="E5660" s="3" t="inlineStr">
        <is>
          <t>HF CIP Retaining Wall</t>
        </is>
      </c>
      <c r="F5660" s="3" t="n">
        <v>0</v>
      </c>
      <c r="G5660" s="3" t="n">
        <v>570856.08</v>
      </c>
    </row>
    <row r="5661">
      <c r="A5661" s="3" t="inlineStr">
        <is>
          <t>Heron Fields (Pty) Ltd</t>
        </is>
      </c>
      <c r="B5661" s="4" t="n">
        <v>45323</v>
      </c>
      <c r="C5661" s="3" t="inlineStr">
        <is>
          <t>Assets</t>
        </is>
      </c>
      <c r="D5661" s="3" t="inlineStr">
        <is>
          <t>7620/280</t>
        </is>
      </c>
      <c r="E5661" s="3" t="inlineStr">
        <is>
          <t>HF CIP Site Establishment</t>
        </is>
      </c>
      <c r="F5661" s="3" t="n">
        <v>0</v>
      </c>
      <c r="G5661" s="3" t="n">
        <v>47748851.51</v>
      </c>
    </row>
    <row r="5662">
      <c r="A5662" s="3" t="inlineStr">
        <is>
          <t>Heron View (Pty) Ltd</t>
        </is>
      </c>
      <c r="B5662" s="4" t="n">
        <v>45323</v>
      </c>
      <c r="C5662" s="3" t="inlineStr">
        <is>
          <t>Assets</t>
        </is>
      </c>
      <c r="D5662" s="3" t="inlineStr">
        <is>
          <t>7620/280</t>
        </is>
      </c>
      <c r="E5662" s="3" t="inlineStr">
        <is>
          <t>Heron View CIP Site Establishment</t>
        </is>
      </c>
      <c r="F5662" s="3" t="n">
        <v>0</v>
      </c>
      <c r="G5662" s="3" t="n">
        <v>44104051.78</v>
      </c>
    </row>
    <row r="5663">
      <c r="A5663" s="3" t="inlineStr">
        <is>
          <t>Heron Fields (Pty) Ltd</t>
        </is>
      </c>
      <c r="B5663" s="4" t="n">
        <v>45323</v>
      </c>
      <c r="C5663" s="3" t="inlineStr">
        <is>
          <t>Assets</t>
        </is>
      </c>
      <c r="D5663" s="3" t="inlineStr">
        <is>
          <t>7620/285</t>
        </is>
      </c>
      <c r="E5663" s="3" t="inlineStr">
        <is>
          <t>HF CIP Structuring Fee - Invest</t>
        </is>
      </c>
      <c r="F5663" s="3" t="n">
        <v>0</v>
      </c>
      <c r="G5663" s="3" t="n">
        <v>3850818.04</v>
      </c>
    </row>
    <row r="5664">
      <c r="A5664" s="3" t="inlineStr">
        <is>
          <t>Heron View (Pty) Ltd</t>
        </is>
      </c>
      <c r="B5664" s="4" t="n">
        <v>45323</v>
      </c>
      <c r="C5664" s="3" t="inlineStr">
        <is>
          <t>Assets</t>
        </is>
      </c>
      <c r="D5664" s="3" t="inlineStr">
        <is>
          <t>7620/285</t>
        </is>
      </c>
      <c r="E5664" s="3" t="inlineStr">
        <is>
          <t>Heron View CIP Structuring Fee - Invest</t>
        </is>
      </c>
      <c r="F5664" s="3" t="n">
        <v>0</v>
      </c>
      <c r="G5664" s="3" t="n">
        <v>1826086.96</v>
      </c>
    </row>
    <row r="5665">
      <c r="A5665" s="3" t="inlineStr">
        <is>
          <t>Heron Fields (Pty) Ltd</t>
        </is>
      </c>
      <c r="B5665" s="4" t="n">
        <v>45323</v>
      </c>
      <c r="C5665" s="3" t="inlineStr">
        <is>
          <t>Assets</t>
        </is>
      </c>
      <c r="D5665" s="3" t="inlineStr">
        <is>
          <t>7620/287</t>
        </is>
      </c>
      <c r="E5665" s="3" t="inlineStr">
        <is>
          <t>HF CIP Structuring Fee - Development</t>
        </is>
      </c>
      <c r="F5665" s="3" t="n">
        <v>0</v>
      </c>
      <c r="G5665" s="3" t="n">
        <v>782608.0699999999</v>
      </c>
    </row>
    <row r="5666">
      <c r="A5666" s="3" t="inlineStr">
        <is>
          <t>Heron View (Pty) Ltd</t>
        </is>
      </c>
      <c r="B5666" s="4" t="n">
        <v>45323</v>
      </c>
      <c r="C5666" s="3" t="inlineStr">
        <is>
          <t>Assets</t>
        </is>
      </c>
      <c r="D5666" s="3" t="inlineStr">
        <is>
          <t>7620/287</t>
        </is>
      </c>
      <c r="E5666" s="3" t="inlineStr">
        <is>
          <t>Heron View CIP Structuring Fee - Development</t>
        </is>
      </c>
      <c r="F5666" s="3" t="n">
        <v>0</v>
      </c>
      <c r="G5666" s="3" t="n">
        <v>217391.3</v>
      </c>
    </row>
    <row r="5667">
      <c r="A5667" s="3" t="inlineStr">
        <is>
          <t>Heron Fields (Pty) Ltd</t>
        </is>
      </c>
      <c r="B5667" s="4" t="n">
        <v>45323</v>
      </c>
      <c r="C5667" s="3" t="inlineStr">
        <is>
          <t>Assets</t>
        </is>
      </c>
      <c r="D5667" s="3" t="inlineStr">
        <is>
          <t>7620/290</t>
        </is>
      </c>
      <c r="E5667" s="3" t="inlineStr">
        <is>
          <t>HF CIP Town Planning</t>
        </is>
      </c>
      <c r="F5667" s="3" t="n">
        <v>0</v>
      </c>
      <c r="G5667" s="3" t="n">
        <v>166550</v>
      </c>
    </row>
    <row r="5668">
      <c r="A5668" s="3" t="inlineStr">
        <is>
          <t>Heron View (Pty) Ltd</t>
        </is>
      </c>
      <c r="B5668" s="4" t="n">
        <v>45323</v>
      </c>
      <c r="C5668" s="3" t="inlineStr">
        <is>
          <t>Assets</t>
        </is>
      </c>
      <c r="D5668" s="3" t="inlineStr">
        <is>
          <t>7620/290</t>
        </is>
      </c>
      <c r="E5668" s="3" t="inlineStr">
        <is>
          <t>Heron View CIP Town Planning</t>
        </is>
      </c>
      <c r="F5668" s="3" t="n">
        <v>0</v>
      </c>
      <c r="G5668" s="3" t="n">
        <v>2834.7</v>
      </c>
    </row>
    <row r="5669">
      <c r="A5669" s="3" t="inlineStr">
        <is>
          <t>Heron Fields (Pty) Ltd</t>
        </is>
      </c>
      <c r="B5669" s="4" t="n">
        <v>45323</v>
      </c>
      <c r="C5669" s="3" t="inlineStr">
        <is>
          <t>Assets</t>
        </is>
      </c>
      <c r="D5669" s="3" t="inlineStr">
        <is>
          <t>7620/295</t>
        </is>
      </c>
      <c r="E5669" s="3" t="inlineStr">
        <is>
          <t>HF CIP Traffic Planning</t>
        </is>
      </c>
      <c r="F5669" s="3" t="n">
        <v>0</v>
      </c>
      <c r="G5669" s="3" t="n">
        <v>45000</v>
      </c>
    </row>
    <row r="5670">
      <c r="A5670" s="3" t="inlineStr">
        <is>
          <t>Heron Fields (Pty) Ltd</t>
        </is>
      </c>
      <c r="B5670" s="4" t="n">
        <v>45323</v>
      </c>
      <c r="C5670" s="3" t="inlineStr">
        <is>
          <t>Assets</t>
        </is>
      </c>
      <c r="D5670" s="3" t="inlineStr">
        <is>
          <t>7620/600</t>
        </is>
      </c>
      <c r="E5670" s="3" t="inlineStr">
        <is>
          <t>HF CIP Eco work</t>
        </is>
      </c>
      <c r="F5670" s="3" t="n">
        <v>0</v>
      </c>
      <c r="G5670" s="3" t="n">
        <v>197000</v>
      </c>
    </row>
    <row r="5671">
      <c r="A5671" s="3" t="inlineStr">
        <is>
          <t>Heron View (Pty) Ltd</t>
        </is>
      </c>
      <c r="B5671" s="4" t="n">
        <v>45323</v>
      </c>
      <c r="C5671" s="3" t="inlineStr">
        <is>
          <t>Assets</t>
        </is>
      </c>
      <c r="D5671" s="3" t="inlineStr">
        <is>
          <t>7620/605</t>
        </is>
      </c>
      <c r="E5671" s="3" t="inlineStr">
        <is>
          <t>Heron View CIP Structural Engineers</t>
        </is>
      </c>
      <c r="F5671" s="3" t="n">
        <v>0</v>
      </c>
      <c r="G5671" s="3" t="n">
        <v>666877.14</v>
      </c>
    </row>
    <row r="5672">
      <c r="A5672" s="3" t="inlineStr">
        <is>
          <t>Heron View (Pty) Ltd</t>
        </is>
      </c>
      <c r="B5672" s="4" t="n">
        <v>45323</v>
      </c>
      <c r="C5672" s="3" t="inlineStr">
        <is>
          <t>Assets</t>
        </is>
      </c>
      <c r="D5672" s="3" t="inlineStr">
        <is>
          <t>7620/610</t>
        </is>
      </c>
      <c r="E5672" s="3" t="inlineStr">
        <is>
          <t>HV CIP Retaining wall</t>
        </is>
      </c>
      <c r="F5672" s="3" t="n">
        <v>0</v>
      </c>
      <c r="G5672" s="3" t="n">
        <v>66190.11</v>
      </c>
    </row>
    <row r="5673">
      <c r="A5673" s="3" t="inlineStr">
        <is>
          <t>Heron Fields (Pty) Ltd</t>
        </is>
      </c>
      <c r="B5673" s="4" t="n">
        <v>45323</v>
      </c>
      <c r="C5673" s="3" t="inlineStr">
        <is>
          <t>Assets</t>
        </is>
      </c>
      <c r="D5673" s="3" t="inlineStr">
        <is>
          <t>7620/630</t>
        </is>
      </c>
      <c r="E5673" s="3" t="inlineStr">
        <is>
          <t>HF CIP CoCT development contribution</t>
        </is>
      </c>
      <c r="F5673" s="3" t="n">
        <v>0</v>
      </c>
      <c r="G5673" s="3" t="n">
        <v>3252759.95</v>
      </c>
    </row>
    <row r="5674">
      <c r="A5674" s="3" t="inlineStr">
        <is>
          <t>Heron View (Pty) Ltd</t>
        </is>
      </c>
      <c r="B5674" s="4" t="n">
        <v>45323</v>
      </c>
      <c r="C5674" s="3" t="inlineStr">
        <is>
          <t>Assets</t>
        </is>
      </c>
      <c r="D5674" s="3" t="inlineStr">
        <is>
          <t>7620/630</t>
        </is>
      </c>
      <c r="E5674" s="3" t="inlineStr">
        <is>
          <t>Heron CIP - CoCT development contribution</t>
        </is>
      </c>
      <c r="F5674" s="3" t="n">
        <v>0</v>
      </c>
      <c r="G5674" s="3" t="n">
        <v>1673231.19</v>
      </c>
    </row>
    <row r="5675">
      <c r="A5675" s="3" t="inlineStr">
        <is>
          <t>Heron Fields (Pty) Ltd</t>
        </is>
      </c>
      <c r="B5675" s="4" t="n">
        <v>45323</v>
      </c>
      <c r="C5675" s="3" t="inlineStr">
        <is>
          <t>Assets</t>
        </is>
      </c>
      <c r="D5675" s="3" t="inlineStr">
        <is>
          <t>7620/640</t>
        </is>
      </c>
      <c r="E5675" s="3" t="inlineStr">
        <is>
          <t>HF CIP Project costs</t>
        </is>
      </c>
      <c r="F5675" s="3" t="n">
        <v>0</v>
      </c>
      <c r="G5675" s="3" t="n">
        <v>622274.51</v>
      </c>
    </row>
    <row r="5676">
      <c r="A5676" s="3" t="inlineStr">
        <is>
          <t>Heron View (Pty) Ltd</t>
        </is>
      </c>
      <c r="B5676" s="4" t="n">
        <v>45323</v>
      </c>
      <c r="C5676" s="3" t="inlineStr">
        <is>
          <t>Assets</t>
        </is>
      </c>
      <c r="D5676" s="3" t="inlineStr">
        <is>
          <t>7620/650</t>
        </is>
      </c>
      <c r="E5676" s="3" t="inlineStr">
        <is>
          <t>CIP - Construction Management</t>
        </is>
      </c>
      <c r="F5676" s="3" t="n">
        <v>0</v>
      </c>
      <c r="G5676" s="3" t="n">
        <v>76530</v>
      </c>
    </row>
    <row r="5677">
      <c r="A5677" s="3" t="inlineStr">
        <is>
          <t>Heron Fields (Pty) Ltd</t>
        </is>
      </c>
      <c r="B5677" s="4" t="n">
        <v>45323</v>
      </c>
      <c r="C5677" s="3" t="inlineStr">
        <is>
          <t>Assets</t>
        </is>
      </c>
      <c r="D5677" s="3" t="inlineStr">
        <is>
          <t>7620/650</t>
        </is>
      </c>
      <c r="E5677" s="3" t="inlineStr">
        <is>
          <t>HF CIP Electrical</t>
        </is>
      </c>
      <c r="F5677" s="3" t="n">
        <v>0</v>
      </c>
      <c r="G5677" s="3" t="n">
        <v>985049.6800000001</v>
      </c>
    </row>
    <row r="5678">
      <c r="A5678" s="3" t="inlineStr">
        <is>
          <t>Heron View (Pty) Ltd</t>
        </is>
      </c>
      <c r="B5678" s="4" t="n">
        <v>45323</v>
      </c>
      <c r="C5678" s="3" t="inlineStr">
        <is>
          <t>Assets</t>
        </is>
      </c>
      <c r="D5678" s="3" t="inlineStr">
        <is>
          <t>7620/660</t>
        </is>
      </c>
      <c r="E5678" s="3" t="inlineStr">
        <is>
          <t>HV CIP Health &amp; Safety</t>
        </is>
      </c>
      <c r="F5678" s="3" t="n">
        <v>0</v>
      </c>
      <c r="G5678" s="3" t="n">
        <v>28600</v>
      </c>
    </row>
    <row r="5679">
      <c r="A5679" s="3" t="inlineStr">
        <is>
          <t>Heron View (Pty) Ltd</t>
        </is>
      </c>
      <c r="B5679" s="4" t="n">
        <v>45323</v>
      </c>
      <c r="C5679" s="3" t="inlineStr">
        <is>
          <t>Assets</t>
        </is>
      </c>
      <c r="D5679" s="3" t="inlineStr">
        <is>
          <t>7620/670</t>
        </is>
      </c>
      <c r="E5679" s="3" t="inlineStr">
        <is>
          <t>HV CIP - Project costs CPSD</t>
        </is>
      </c>
      <c r="F5679" s="3" t="n">
        <v>0</v>
      </c>
      <c r="G5679" s="3" t="n">
        <v>2358695.65</v>
      </c>
    </row>
    <row r="5680">
      <c r="A5680" s="3" t="inlineStr">
        <is>
          <t>Heron View (Pty) Ltd</t>
        </is>
      </c>
      <c r="B5680" s="4" t="n">
        <v>45323</v>
      </c>
      <c r="C5680" s="3" t="inlineStr">
        <is>
          <t>Assets</t>
        </is>
      </c>
      <c r="D5680" s="3" t="inlineStr">
        <is>
          <t>7620/680</t>
        </is>
      </c>
      <c r="E5680" s="3" t="inlineStr">
        <is>
          <t>HV CIP Elextrical</t>
        </is>
      </c>
      <c r="F5680" s="3" t="n">
        <v>0</v>
      </c>
      <c r="G5680" s="3" t="n">
        <v>1540502.11</v>
      </c>
    </row>
    <row r="5681">
      <c r="A5681" s="3" t="inlineStr">
        <is>
          <t>Heron View (Pty) Ltd</t>
        </is>
      </c>
      <c r="B5681" s="4" t="n">
        <v>45323</v>
      </c>
      <c r="C5681" s="3" t="inlineStr">
        <is>
          <t>Assets</t>
        </is>
      </c>
      <c r="D5681" s="3" t="inlineStr">
        <is>
          <t>7620/690</t>
        </is>
      </c>
      <c r="E5681" s="3" t="inlineStr">
        <is>
          <t>HV CIP Site Establishment</t>
        </is>
      </c>
      <c r="F5681" s="3" t="n">
        <v>0</v>
      </c>
      <c r="G5681" s="3" t="n">
        <v>16307183.05</v>
      </c>
    </row>
    <row r="5682">
      <c r="A5682" s="3" t="inlineStr">
        <is>
          <t>Heron Fields (Pty) Ltd</t>
        </is>
      </c>
      <c r="B5682" s="4" t="n">
        <v>45323</v>
      </c>
      <c r="C5682" s="3" t="inlineStr">
        <is>
          <t>Assets</t>
        </is>
      </c>
      <c r="D5682" s="3" t="inlineStr">
        <is>
          <t>7620/750</t>
        </is>
      </c>
      <c r="E5682" s="3" t="inlineStr">
        <is>
          <t>HF CIP Project costs CPSD</t>
        </is>
      </c>
      <c r="F5682" s="3" t="n">
        <v>0</v>
      </c>
      <c r="G5682" s="3" t="n">
        <v>2148883.15</v>
      </c>
    </row>
    <row r="5683">
      <c r="A5683" s="3" t="inlineStr">
        <is>
          <t>Heron Fields (Pty) Ltd</t>
        </is>
      </c>
      <c r="B5683" s="4" t="n">
        <v>45323</v>
      </c>
      <c r="C5683" s="3" t="inlineStr">
        <is>
          <t>Assets</t>
        </is>
      </c>
      <c r="D5683" s="3" t="inlineStr">
        <is>
          <t>7620/800</t>
        </is>
      </c>
      <c r="E5683" s="3" t="inlineStr">
        <is>
          <t>HF CIP GL Conradie</t>
        </is>
      </c>
      <c r="F5683" s="3" t="n">
        <v>0</v>
      </c>
      <c r="G5683" s="3" t="n">
        <v>1068455</v>
      </c>
    </row>
    <row r="5684">
      <c r="A5684" s="3" t="inlineStr">
        <is>
          <t>Heron View (Pty) Ltd</t>
        </is>
      </c>
      <c r="B5684" s="4" t="n">
        <v>45323</v>
      </c>
      <c r="C5684" s="3" t="inlineStr">
        <is>
          <t>Assets</t>
        </is>
      </c>
      <c r="D5684" s="3" t="inlineStr">
        <is>
          <t>7620/800</t>
        </is>
      </c>
      <c r="E5684" s="3" t="inlineStr">
        <is>
          <t>HV CIP GL Conradie</t>
        </is>
      </c>
      <c r="F5684" s="3" t="n">
        <v>0</v>
      </c>
      <c r="G5684" s="3" t="n">
        <v>2188325.96</v>
      </c>
    </row>
    <row r="5685">
      <c r="A5685" s="3" t="inlineStr">
        <is>
          <t>Heron Fields (Pty) Ltd</t>
        </is>
      </c>
      <c r="B5685" s="4" t="n">
        <v>45323</v>
      </c>
      <c r="C5685" s="3" t="inlineStr">
        <is>
          <t>Assets</t>
        </is>
      </c>
      <c r="D5685" s="3" t="inlineStr">
        <is>
          <t>7700/010</t>
        </is>
      </c>
      <c r="E5685" s="3" t="inlineStr">
        <is>
          <t>Construction 28 Feb 23 HF</t>
        </is>
      </c>
      <c r="F5685" s="3" t="n">
        <v>0</v>
      </c>
      <c r="G5685" s="3" t="n">
        <v>-24427668.44</v>
      </c>
    </row>
    <row r="5686">
      <c r="A5686" s="3" t="inlineStr">
        <is>
          <t>Cape Projects Construction (Pty) Ltd</t>
        </is>
      </c>
      <c r="B5686" s="4" t="n">
        <v>45323</v>
      </c>
      <c r="C5686" s="3" t="inlineStr">
        <is>
          <t>Assets</t>
        </is>
      </c>
      <c r="D5686" s="3" t="inlineStr">
        <is>
          <t>7800/000</t>
        </is>
      </c>
      <c r="E5686" s="3" t="inlineStr">
        <is>
          <t>Deposits paid</t>
        </is>
      </c>
      <c r="F5686" s="3" t="n">
        <v>0</v>
      </c>
      <c r="G5686" s="3" t="n">
        <v>29600</v>
      </c>
    </row>
    <row r="5687">
      <c r="A5687" s="3" t="inlineStr">
        <is>
          <t>Cape Projects Construction (Pty) Ltd</t>
        </is>
      </c>
      <c r="B5687" s="4" t="n">
        <v>45323</v>
      </c>
      <c r="C5687" s="3" t="inlineStr">
        <is>
          <t>Assets</t>
        </is>
      </c>
      <c r="D5687" s="3" t="inlineStr">
        <is>
          <t>8000/000</t>
        </is>
      </c>
      <c r="E5687" s="3" t="inlineStr">
        <is>
          <t>Customer Control Account</t>
        </is>
      </c>
      <c r="F5687" s="3" t="n">
        <v>0</v>
      </c>
      <c r="G5687" s="3" t="n">
        <v>5424127.74</v>
      </c>
    </row>
    <row r="5688">
      <c r="A5688" s="3" t="inlineStr">
        <is>
          <t>Heron Fields (Pty) Ltd</t>
        </is>
      </c>
      <c r="B5688" s="4" t="n">
        <v>45323</v>
      </c>
      <c r="C5688" s="3" t="inlineStr">
        <is>
          <t>Assets</t>
        </is>
      </c>
      <c r="D5688" s="3" t="inlineStr">
        <is>
          <t>8000/000</t>
        </is>
      </c>
      <c r="E5688" s="3" t="inlineStr">
        <is>
          <t>Customer Control Account</t>
        </is>
      </c>
      <c r="F5688" s="3" t="n">
        <v>0</v>
      </c>
      <c r="G5688" s="3" t="n">
        <v>371025.69</v>
      </c>
    </row>
    <row r="5689">
      <c r="A5689" s="3" t="inlineStr">
        <is>
          <t>Heron View (Pty) Ltd</t>
        </is>
      </c>
      <c r="B5689" s="4" t="n">
        <v>45323</v>
      </c>
      <c r="C5689" s="3" t="inlineStr">
        <is>
          <t>Assets</t>
        </is>
      </c>
      <c r="D5689" s="3" t="inlineStr">
        <is>
          <t>8000/000</t>
        </is>
      </c>
      <c r="E5689" s="3" t="inlineStr">
        <is>
          <t>Customer Control Account</t>
        </is>
      </c>
      <c r="F5689" s="3" t="n">
        <v>729265.62</v>
      </c>
      <c r="G5689" s="3" t="n">
        <v>729575.36</v>
      </c>
    </row>
    <row r="5690">
      <c r="A5690" s="3" t="inlineStr">
        <is>
          <t>Heron Fields (Pty) Ltd</t>
        </is>
      </c>
      <c r="B5690" s="4" t="n">
        <v>45323</v>
      </c>
      <c r="C5690" s="3" t="inlineStr">
        <is>
          <t>Assets</t>
        </is>
      </c>
      <c r="D5690" s="3" t="inlineStr">
        <is>
          <t>8400/000</t>
        </is>
      </c>
      <c r="E5690" s="3" t="inlineStr">
        <is>
          <t>RMB - 62882379087</t>
        </is>
      </c>
      <c r="F5690" s="3" t="n">
        <v>-399024.52</v>
      </c>
      <c r="G5690" s="3" t="n">
        <v>2794044.47</v>
      </c>
    </row>
    <row r="5691">
      <c r="A5691" s="3" t="inlineStr">
        <is>
          <t>Cape Projects Construction (Pty) Ltd</t>
        </is>
      </c>
      <c r="B5691" s="4" t="n">
        <v>45323</v>
      </c>
      <c r="C5691" s="3" t="inlineStr">
        <is>
          <t>Assets</t>
        </is>
      </c>
      <c r="D5691" s="3" t="inlineStr">
        <is>
          <t>8400/000</t>
        </is>
      </c>
      <c r="E5691" s="3" t="inlineStr">
        <is>
          <t>RMB 62275138470</t>
        </is>
      </c>
      <c r="F5691" s="3" t="n">
        <v>-13547.58</v>
      </c>
      <c r="G5691" s="3" t="n">
        <v>353576.79</v>
      </c>
    </row>
    <row r="5692">
      <c r="A5692" s="3" t="inlineStr">
        <is>
          <t>Cape Projects Construction (Pty) Ltd</t>
        </is>
      </c>
      <c r="B5692" s="4" t="n">
        <v>45323</v>
      </c>
      <c r="C5692" s="3" t="inlineStr">
        <is>
          <t>Assets</t>
        </is>
      </c>
      <c r="D5692" s="3" t="inlineStr">
        <is>
          <t>8410/000</t>
        </is>
      </c>
      <c r="E5692" s="3" t="inlineStr">
        <is>
          <t>Petty Cash</t>
        </is>
      </c>
      <c r="F5692" s="3" t="n">
        <v>0</v>
      </c>
      <c r="G5692" s="3" t="n">
        <v>-1188</v>
      </c>
    </row>
    <row r="5693">
      <c r="A5693" s="3" t="inlineStr">
        <is>
          <t>Cape Projects Construction (Pty) Ltd</t>
        </is>
      </c>
      <c r="B5693" s="4" t="n">
        <v>45323</v>
      </c>
      <c r="C5693" s="3" t="inlineStr">
        <is>
          <t>Assets</t>
        </is>
      </c>
      <c r="D5693" s="3" t="inlineStr">
        <is>
          <t>8420/000</t>
        </is>
      </c>
      <c r="E5693" s="3" t="inlineStr">
        <is>
          <t>Momentum Priv Acc RU502230981</t>
        </is>
      </c>
      <c r="F5693" s="3" t="n">
        <v>0</v>
      </c>
      <c r="G5693" s="3" t="n">
        <v>571.55</v>
      </c>
    </row>
    <row r="5694">
      <c r="A5694" s="3" t="inlineStr">
        <is>
          <t>Heron Fields (Pty) Ltd</t>
        </is>
      </c>
      <c r="B5694" s="4" t="n">
        <v>45323</v>
      </c>
      <c r="C5694" s="3" t="inlineStr">
        <is>
          <t>Assets</t>
        </is>
      </c>
      <c r="D5694" s="3" t="inlineStr">
        <is>
          <t>8420/000</t>
        </is>
      </c>
      <c r="E5694" s="3" t="inlineStr">
        <is>
          <t>Petty Cash</t>
        </is>
      </c>
      <c r="F5694" s="3" t="n">
        <v>0</v>
      </c>
      <c r="G5694" s="3" t="n">
        <v>8620</v>
      </c>
    </row>
    <row r="5695">
      <c r="A5695" s="3" t="inlineStr">
        <is>
          <t>Heron Fields (Pty) Ltd</t>
        </is>
      </c>
      <c r="B5695" s="4" t="n">
        <v>45323</v>
      </c>
      <c r="C5695" s="3" t="inlineStr">
        <is>
          <t>Assets</t>
        </is>
      </c>
      <c r="D5695" s="3" t="inlineStr">
        <is>
          <t>8430/000</t>
        </is>
      </c>
      <c r="E5695" s="3" t="inlineStr">
        <is>
          <t>Momentum Private Account RU502230151</t>
        </is>
      </c>
      <c r="F5695" s="3" t="n">
        <v>0</v>
      </c>
      <c r="G5695" s="3" t="n">
        <v>871.91</v>
      </c>
    </row>
    <row r="5696">
      <c r="A5696" s="3" t="inlineStr">
        <is>
          <t>Heron Fields (Pty) Ltd</t>
        </is>
      </c>
      <c r="B5696" s="4" t="n">
        <v>45323</v>
      </c>
      <c r="C5696" s="3" t="inlineStr">
        <is>
          <t>Assets</t>
        </is>
      </c>
      <c r="D5696" s="3" t="inlineStr">
        <is>
          <t>8440/000</t>
        </is>
      </c>
      <c r="E5696" s="3" t="inlineStr">
        <is>
          <t>Momentum Investors Account RU502229930</t>
        </is>
      </c>
      <c r="F5696" s="3" t="n">
        <v>0</v>
      </c>
      <c r="G5696" s="3" t="n">
        <v>12614876.37</v>
      </c>
    </row>
    <row r="5697">
      <c r="A5697" s="3" t="inlineStr">
        <is>
          <t>Heron Fields (Pty) Ltd</t>
        </is>
      </c>
      <c r="B5697" s="4" t="n">
        <v>45323</v>
      </c>
      <c r="C5697" s="3" t="inlineStr">
        <is>
          <t>Assets</t>
        </is>
      </c>
      <c r="D5697" s="3" t="inlineStr">
        <is>
          <t>8450/000</t>
        </is>
      </c>
      <c r="E5697" s="3" t="inlineStr">
        <is>
          <t>ABSA Current Acc : 4109071013</t>
        </is>
      </c>
      <c r="F5697" s="3" t="n">
        <v>0</v>
      </c>
      <c r="G5697" s="3" t="n">
        <v>150500</v>
      </c>
    </row>
    <row r="5698">
      <c r="A5698" s="3" t="inlineStr">
        <is>
          <t>Cape Projects Construction (Pty) Ltd</t>
        </is>
      </c>
      <c r="B5698" s="4" t="n">
        <v>45323</v>
      </c>
      <c r="C5698" s="3" t="inlineStr">
        <is>
          <t>Liabilities</t>
        </is>
      </c>
      <c r="D5698" s="3" t="inlineStr">
        <is>
          <t>860</t>
        </is>
      </c>
      <c r="E5698" s="3" t="inlineStr">
        <is>
          <t>Rounding</t>
        </is>
      </c>
      <c r="F5698" s="3" t="n">
        <v>0.01</v>
      </c>
      <c r="G5698" s="3" t="n">
        <v>-0.48</v>
      </c>
    </row>
    <row r="5699">
      <c r="A5699" s="3" t="inlineStr">
        <is>
          <t>Heron Fields (Pty) Ltd</t>
        </is>
      </c>
      <c r="B5699" s="4" t="n">
        <v>45323</v>
      </c>
      <c r="C5699" s="3" t="inlineStr">
        <is>
          <t>Liabilities</t>
        </is>
      </c>
      <c r="D5699" s="3" t="inlineStr">
        <is>
          <t>860</t>
        </is>
      </c>
      <c r="E5699" s="3" t="inlineStr">
        <is>
          <t>Rounding</t>
        </is>
      </c>
      <c r="F5699" s="3" t="n">
        <v>0</v>
      </c>
      <c r="G5699" s="3" t="n">
        <v>0.04</v>
      </c>
    </row>
    <row r="5700">
      <c r="A5700" s="3" t="inlineStr">
        <is>
          <t>Heron View (Pty) Ltd</t>
        </is>
      </c>
      <c r="B5700" s="4" t="n">
        <v>45323</v>
      </c>
      <c r="C5700" s="3" t="inlineStr">
        <is>
          <t>Liabilities</t>
        </is>
      </c>
      <c r="D5700" s="3" t="inlineStr">
        <is>
          <t>860</t>
        </is>
      </c>
      <c r="E5700" s="3" t="inlineStr">
        <is>
          <t>Rounding</t>
        </is>
      </c>
      <c r="F5700" s="3" t="n">
        <v>0</v>
      </c>
      <c r="G5700" s="3" t="n">
        <v>-0.03</v>
      </c>
    </row>
    <row r="5701">
      <c r="A5701" s="3" t="inlineStr">
        <is>
          <t>Cape Projects Construction (Pty) Ltd</t>
        </is>
      </c>
      <c r="B5701" s="4" t="n">
        <v>45323</v>
      </c>
      <c r="C5701" s="3" t="inlineStr">
        <is>
          <t>Liabilities</t>
        </is>
      </c>
      <c r="D5701" s="3" t="inlineStr">
        <is>
          <t>9000/000</t>
        </is>
      </c>
      <c r="E5701" s="3" t="inlineStr">
        <is>
          <t>Supplier Control Account</t>
        </is>
      </c>
      <c r="F5701" s="3" t="n">
        <v>-73004.16</v>
      </c>
      <c r="G5701" s="3" t="n">
        <v>-1083596.1</v>
      </c>
    </row>
    <row r="5702">
      <c r="A5702" s="3" t="inlineStr">
        <is>
          <t>Heron Fields (Pty) Ltd</t>
        </is>
      </c>
      <c r="B5702" s="4" t="n">
        <v>45323</v>
      </c>
      <c r="C5702" s="3" t="inlineStr">
        <is>
          <t>Liabilities</t>
        </is>
      </c>
      <c r="D5702" s="3" t="inlineStr">
        <is>
          <t>9000/000</t>
        </is>
      </c>
      <c r="E5702" s="3" t="inlineStr">
        <is>
          <t>Supplier Control Account</t>
        </is>
      </c>
      <c r="F5702" s="3" t="n">
        <v>1004720.51</v>
      </c>
      <c r="G5702" s="3" t="n">
        <v>-167365223.48</v>
      </c>
    </row>
    <row r="5703">
      <c r="A5703" s="3" t="inlineStr">
        <is>
          <t>Heron View (Pty) Ltd</t>
        </is>
      </c>
      <c r="B5703" s="4" t="n">
        <v>45323</v>
      </c>
      <c r="C5703" s="3" t="inlineStr">
        <is>
          <t>Liabilities</t>
        </is>
      </c>
      <c r="D5703" s="3" t="inlineStr">
        <is>
          <t>9000/000</t>
        </is>
      </c>
      <c r="E5703" s="3" t="inlineStr">
        <is>
          <t>Supplier Control Account</t>
        </is>
      </c>
      <c r="F5703" s="3" t="n">
        <v>-66779.67</v>
      </c>
      <c r="G5703" s="3" t="n">
        <v>-1814363.82</v>
      </c>
    </row>
    <row r="5704">
      <c r="A5704" s="3" t="inlineStr">
        <is>
          <t>Cape Projects Construction (Pty) Ltd</t>
        </is>
      </c>
      <c r="B5704" s="4" t="n">
        <v>45323</v>
      </c>
      <c r="C5704" s="3" t="inlineStr">
        <is>
          <t>Liabilities</t>
        </is>
      </c>
      <c r="D5704" s="3" t="inlineStr">
        <is>
          <t>9200/000</t>
        </is>
      </c>
      <c r="E5704" s="3" t="inlineStr">
        <is>
          <t>Sundry Suppliers</t>
        </is>
      </c>
      <c r="F5704" s="3" t="n">
        <v>0</v>
      </c>
      <c r="G5704" s="3" t="n">
        <v>1309</v>
      </c>
    </row>
    <row r="5705">
      <c r="A5705" s="3" t="inlineStr">
        <is>
          <t>Cape Projects Construction (Pty) Ltd</t>
        </is>
      </c>
      <c r="B5705" s="4" t="n">
        <v>45323</v>
      </c>
      <c r="C5705" s="3" t="inlineStr">
        <is>
          <t>Liabilities</t>
        </is>
      </c>
      <c r="D5705" s="3" t="inlineStr">
        <is>
          <t>9250/020</t>
        </is>
      </c>
      <c r="E5705" s="3" t="inlineStr">
        <is>
          <t>PAYE, UIF AND SDL CONTROL</t>
        </is>
      </c>
      <c r="F5705" s="3" t="n">
        <v>0</v>
      </c>
      <c r="G5705" s="3" t="n">
        <v>-107008.04</v>
      </c>
    </row>
    <row r="5706">
      <c r="A5706" s="3" t="inlineStr">
        <is>
          <t>Cape Projects Construction (Pty) Ltd</t>
        </is>
      </c>
      <c r="B5706" s="4" t="n">
        <v>45323</v>
      </c>
      <c r="C5706" s="3" t="inlineStr">
        <is>
          <t>Liabilities</t>
        </is>
      </c>
      <c r="D5706" s="3" t="inlineStr">
        <is>
          <t>9250/030</t>
        </is>
      </c>
      <c r="E5706" s="3" t="inlineStr">
        <is>
          <t>BIBC CONTROL</t>
        </is>
      </c>
      <c r="F5706" s="3" t="n">
        <v>0</v>
      </c>
      <c r="G5706" s="3" t="n">
        <v>-49413.95</v>
      </c>
    </row>
    <row r="5707">
      <c r="A5707" s="3" t="inlineStr">
        <is>
          <t>Cape Projects Construction (Pty) Ltd</t>
        </is>
      </c>
      <c r="B5707" s="4" t="n">
        <v>45323</v>
      </c>
      <c r="C5707" s="3" t="inlineStr">
        <is>
          <t>Liabilities</t>
        </is>
      </c>
      <c r="D5707" s="3" t="inlineStr">
        <is>
          <t>9350/000</t>
        </is>
      </c>
      <c r="E5707" s="3" t="inlineStr">
        <is>
          <t>Dividends Payable</t>
        </is>
      </c>
      <c r="F5707" s="3" t="n">
        <v>0</v>
      </c>
      <c r="G5707" s="3" t="n">
        <v>130000</v>
      </c>
    </row>
    <row r="5708">
      <c r="A5708" s="3" t="inlineStr">
        <is>
          <t>Cape Projects Construction (Pty) Ltd</t>
        </is>
      </c>
      <c r="B5708" s="4" t="n">
        <v>45323</v>
      </c>
      <c r="C5708" s="3" t="inlineStr">
        <is>
          <t>Liabilities</t>
        </is>
      </c>
      <c r="D5708" s="3" t="inlineStr">
        <is>
          <t>9500/000</t>
        </is>
      </c>
      <c r="E5708" s="3" t="inlineStr">
        <is>
          <t>VAT Control Account</t>
        </is>
      </c>
      <c r="F5708" s="3" t="n">
        <v>11121.11</v>
      </c>
      <c r="G5708" s="3" t="n">
        <v>-235772.08</v>
      </c>
    </row>
    <row r="5709">
      <c r="A5709" s="3" t="inlineStr">
        <is>
          <t>Heron Fields (Pty) Ltd</t>
        </is>
      </c>
      <c r="B5709" s="4" t="n">
        <v>45323</v>
      </c>
      <c r="C5709" s="3" t="inlineStr">
        <is>
          <t>Liabilities</t>
        </is>
      </c>
      <c r="D5709" s="3" t="inlineStr">
        <is>
          <t>9500/000</t>
        </is>
      </c>
      <c r="E5709" s="3" t="inlineStr">
        <is>
          <t>Vat / Tax Control Account</t>
        </is>
      </c>
      <c r="F5709" s="3" t="n">
        <v>2324.94</v>
      </c>
      <c r="G5709" s="3" t="n">
        <v>-3369300.18</v>
      </c>
    </row>
    <row r="5710">
      <c r="A5710" s="3" t="inlineStr">
        <is>
          <t>Heron View (Pty) Ltd</t>
        </is>
      </c>
      <c r="B5710" s="4" t="n">
        <v>45323</v>
      </c>
      <c r="C5710" s="3" t="inlineStr">
        <is>
          <t>Liabilities</t>
        </is>
      </c>
      <c r="D5710" s="3" t="inlineStr">
        <is>
          <t>9500/000</t>
        </is>
      </c>
      <c r="E5710" s="3" t="inlineStr">
        <is>
          <t>Vat / Tax Control Account</t>
        </is>
      </c>
      <c r="F5710" s="3" t="n">
        <v>-200327.72</v>
      </c>
      <c r="G5710" s="3" t="n">
        <v>6187972.12</v>
      </c>
    </row>
    <row r="5711">
      <c r="A5711" s="3" t="inlineStr">
        <is>
          <t>Cape Projects Construction (Pty) Ltd</t>
        </is>
      </c>
      <c r="B5711" s="4" t="n">
        <v>45323</v>
      </c>
      <c r="C5711" s="3" t="inlineStr">
        <is>
          <t>Liabilities</t>
        </is>
      </c>
      <c r="D5711" s="3" t="inlineStr">
        <is>
          <t>9510/000</t>
        </is>
      </c>
      <c r="E5711" s="3" t="inlineStr">
        <is>
          <t>Tax Provision Account</t>
        </is>
      </c>
      <c r="F5711" s="3" t="n">
        <v>0</v>
      </c>
      <c r="G5711" s="3" t="n">
        <v>-1869.8</v>
      </c>
    </row>
    <row r="5712">
      <c r="A5712" s="3" t="inlineStr">
        <is>
          <t>Heron Fields (Pty) Ltd</t>
        </is>
      </c>
      <c r="B5712" s="4" t="n">
        <v>45323</v>
      </c>
      <c r="C5712" s="3" t="inlineStr">
        <is>
          <t>Liabilities</t>
        </is>
      </c>
      <c r="D5712" s="3" t="inlineStr">
        <is>
          <t>9520/000</t>
        </is>
      </c>
      <c r="E5712" s="3" t="inlineStr">
        <is>
          <t>Income Tax Payable</t>
        </is>
      </c>
      <c r="F5712" s="3" t="n">
        <v>0</v>
      </c>
      <c r="G5712" s="3" t="n">
        <v>59039.93</v>
      </c>
    </row>
    <row r="5713">
      <c r="A5713" s="3" t="inlineStr">
        <is>
          <t>Heron View (Pty) Ltd</t>
        </is>
      </c>
      <c r="B5713" s="4" t="n">
        <v>45323</v>
      </c>
      <c r="C5713" s="3" t="inlineStr">
        <is>
          <t>Liabilities</t>
        </is>
      </c>
      <c r="D5713" s="3" t="inlineStr">
        <is>
          <t>9899/C102</t>
        </is>
      </c>
      <c r="E5713" s="3" t="inlineStr">
        <is>
          <t>Sales - Unit Reg Control C102</t>
        </is>
      </c>
      <c r="F5713" s="3" t="n">
        <v>0</v>
      </c>
      <c r="G5713" s="3" t="n">
        <v>-0.4</v>
      </c>
    </row>
    <row r="5714">
      <c r="A5714" s="3" t="inlineStr">
        <is>
          <t>Cape Projects Construction (Pty) Ltd</t>
        </is>
      </c>
      <c r="B5714" s="4" t="n">
        <v>45323</v>
      </c>
      <c r="C5714" s="3" t="inlineStr">
        <is>
          <t>Liabilities</t>
        </is>
      </c>
      <c r="D5714" s="3" t="inlineStr">
        <is>
          <t>B/S</t>
        </is>
      </c>
      <c r="E5714" s="3" t="inlineStr">
        <is>
          <t>Taxation Payable</t>
        </is>
      </c>
      <c r="F5714" s="3" t="n">
        <v>0</v>
      </c>
      <c r="G5714" s="3" t="n">
        <v>1869.8</v>
      </c>
    </row>
    <row r="5715">
      <c r="A5715" s="3" t="inlineStr">
        <is>
          <t>Cape Projects Construction (Pty) Ltd</t>
        </is>
      </c>
      <c r="B5715" s="4" t="n">
        <v>45323</v>
      </c>
      <c r="C5715" s="3" t="inlineStr">
        <is>
          <t>Assets</t>
        </is>
      </c>
      <c r="D5715" s="3" t="inlineStr">
        <is>
          <t>Blessing</t>
        </is>
      </c>
      <c r="E5715" s="3" t="inlineStr">
        <is>
          <t>Staff Loan - Ntuthuka</t>
        </is>
      </c>
      <c r="F5715" s="3" t="n">
        <v>0</v>
      </c>
      <c r="G5715" s="3" t="n">
        <v>-3510.34</v>
      </c>
    </row>
    <row r="5716">
      <c r="A5716" s="3" t="inlineStr">
        <is>
          <t>Cape Projects Construction (Pty) Ltd</t>
        </is>
      </c>
      <c r="B5716" s="4" t="n">
        <v>45323</v>
      </c>
      <c r="C5716" s="3" t="inlineStr">
        <is>
          <t>Liabilities</t>
        </is>
      </c>
      <c r="D5716" s="3" t="inlineStr">
        <is>
          <t>TEMP/ACC</t>
        </is>
      </c>
      <c r="E5716" s="3" t="inlineStr">
        <is>
          <t>Conversion Account</t>
        </is>
      </c>
      <c r="F5716" s="3" t="n">
        <v>0</v>
      </c>
      <c r="G5716" s="3" t="n">
        <v>-254.99</v>
      </c>
    </row>
    <row r="5717">
      <c r="A5717" s="3" t="inlineStr">
        <is>
          <t>Heron Fields (Pty) Ltd</t>
        </is>
      </c>
      <c r="B5717" s="4" t="n">
        <v>45351</v>
      </c>
      <c r="C5717" s="3" t="inlineStr">
        <is>
          <t>Revenue</t>
        </is>
      </c>
      <c r="D5717" s="3" t="inlineStr">
        <is>
          <t>1000/100</t>
        </is>
      </c>
      <c r="E5717" s="3" t="inlineStr">
        <is>
          <t>Sales - Heron Fields</t>
        </is>
      </c>
      <c r="F5717" s="3" t="n">
        <v>0</v>
      </c>
      <c r="G5717" s="3" t="n">
        <v>-28096347.83</v>
      </c>
    </row>
    <row r="5718">
      <c r="A5718" s="3" t="inlineStr">
        <is>
          <t>Heron View (Pty) Ltd</t>
        </is>
      </c>
      <c r="B5718" s="4" t="n">
        <v>45351</v>
      </c>
      <c r="C5718" s="3" t="inlineStr">
        <is>
          <t>Revenue</t>
        </is>
      </c>
      <c r="D5718" s="3" t="inlineStr">
        <is>
          <t>1000/100</t>
        </is>
      </c>
      <c r="E5718" s="3" t="inlineStr">
        <is>
          <t>Sales - Heron View Sales</t>
        </is>
      </c>
      <c r="F5718" s="3" t="n">
        <v>-11155043.48</v>
      </c>
      <c r="G5718" s="3" t="n">
        <v>-41027130.48</v>
      </c>
    </row>
    <row r="5719">
      <c r="A5719" s="3" t="inlineStr">
        <is>
          <t>Heron Fields (Pty) Ltd</t>
        </is>
      </c>
      <c r="B5719" s="4" t="n">
        <v>45351</v>
      </c>
      <c r="C5719" s="3" t="inlineStr">
        <is>
          <t>Revenue</t>
        </is>
      </c>
      <c r="D5719" s="3" t="inlineStr">
        <is>
          <t>1000/101</t>
        </is>
      </c>
      <c r="E5719" s="3" t="inlineStr">
        <is>
          <t>Sales - Heron Fields occupational rent</t>
        </is>
      </c>
      <c r="F5719" s="3" t="n">
        <v>0</v>
      </c>
      <c r="G5719" s="3" t="n">
        <v>-102388.85</v>
      </c>
    </row>
    <row r="5720">
      <c r="A5720" s="3" t="inlineStr">
        <is>
          <t>Heron View (Pty) Ltd</t>
        </is>
      </c>
      <c r="B5720" s="4" t="n">
        <v>45351</v>
      </c>
      <c r="C5720" s="3" t="inlineStr">
        <is>
          <t>Revenue</t>
        </is>
      </c>
      <c r="D5720" s="3" t="inlineStr">
        <is>
          <t>1000/101</t>
        </is>
      </c>
      <c r="E5720" s="3" t="inlineStr">
        <is>
          <t>Sales - Heron View Occupational Rent</t>
        </is>
      </c>
      <c r="F5720" s="3" t="n">
        <v>-8400</v>
      </c>
      <c r="G5720" s="3" t="n">
        <v>-97096.75999999999</v>
      </c>
    </row>
    <row r="5721">
      <c r="A5721" s="3" t="inlineStr">
        <is>
          <t>Cape Projects Construction (Pty) Ltd</t>
        </is>
      </c>
      <c r="B5721" s="4" t="n">
        <v>45351</v>
      </c>
      <c r="C5721" s="3" t="inlineStr">
        <is>
          <t>Revenue</t>
        </is>
      </c>
      <c r="D5721" s="3" t="inlineStr">
        <is>
          <t>1040/100</t>
        </is>
      </c>
      <c r="E5721" s="3" t="inlineStr">
        <is>
          <t>Fees - Construction - Heron</t>
        </is>
      </c>
      <c r="F5721" s="3" t="n">
        <v>-3921739.13</v>
      </c>
      <c r="G5721" s="3" t="n">
        <v>-59189331.98</v>
      </c>
    </row>
    <row r="5722">
      <c r="A5722" s="3" t="inlineStr">
        <is>
          <t>Cape Projects Construction (Pty) Ltd</t>
        </is>
      </c>
      <c r="B5722" s="4" t="n">
        <v>45351</v>
      </c>
      <c r="C5722" s="3" t="inlineStr">
        <is>
          <t>Revenue</t>
        </is>
      </c>
      <c r="D5722" s="3" t="inlineStr">
        <is>
          <t>1070/000</t>
        </is>
      </c>
      <c r="E5722" s="3" t="inlineStr">
        <is>
          <t>Rent - CT Office</t>
        </is>
      </c>
      <c r="F5722" s="3" t="n">
        <v>0</v>
      </c>
      <c r="G5722" s="3" t="n">
        <v>3490.94</v>
      </c>
    </row>
    <row r="5723">
      <c r="A5723" s="3" t="inlineStr">
        <is>
          <t>Heron Fields (Pty) Ltd</t>
        </is>
      </c>
      <c r="B5723" s="4" t="n">
        <v>45351</v>
      </c>
      <c r="C5723" s="3" t="inlineStr">
        <is>
          <t>Revenue</t>
        </is>
      </c>
      <c r="D5723" s="3" t="inlineStr">
        <is>
          <t>1500/002</t>
        </is>
      </c>
      <c r="E5723" s="3" t="inlineStr">
        <is>
          <t>Rental Income</t>
        </is>
      </c>
      <c r="F5723" s="3" t="n">
        <v>-86500</v>
      </c>
      <c r="G5723" s="3" t="n">
        <v>-420912.32</v>
      </c>
    </row>
    <row r="5724">
      <c r="A5724" s="3" t="inlineStr">
        <is>
          <t>Heron View (Pty) Ltd</t>
        </is>
      </c>
      <c r="B5724" s="4" t="n">
        <v>45351</v>
      </c>
      <c r="C5724" s="3" t="inlineStr">
        <is>
          <t>Revenue</t>
        </is>
      </c>
      <c r="D5724" s="3" t="inlineStr">
        <is>
          <t>1500/002</t>
        </is>
      </c>
      <c r="E5724" s="3" t="inlineStr">
        <is>
          <t>Rental Income</t>
        </is>
      </c>
      <c r="F5724" s="3" t="n">
        <v>0</v>
      </c>
      <c r="G5724" s="3" t="n">
        <v>-13883</v>
      </c>
    </row>
    <row r="5725">
      <c r="A5725" s="3" t="inlineStr">
        <is>
          <t>Heron Fields (Pty) Ltd</t>
        </is>
      </c>
      <c r="B5725" s="4" t="n">
        <v>45351</v>
      </c>
      <c r="C5725" s="3" t="inlineStr">
        <is>
          <t>Expenses</t>
        </is>
      </c>
      <c r="D5725" s="3" t="inlineStr">
        <is>
          <t>2000/011</t>
        </is>
      </c>
      <c r="E5725" s="3" t="inlineStr">
        <is>
          <t>COS - Heron View Showhouse</t>
        </is>
      </c>
      <c r="F5725" s="3" t="n">
        <v>0</v>
      </c>
      <c r="G5725" s="3" t="n">
        <v>45300.43</v>
      </c>
    </row>
    <row r="5726">
      <c r="A5726" s="3" t="inlineStr">
        <is>
          <t>Heron View (Pty) Ltd</t>
        </is>
      </c>
      <c r="B5726" s="4" t="n">
        <v>45351</v>
      </c>
      <c r="C5726" s="3" t="inlineStr">
        <is>
          <t>Expenses</t>
        </is>
      </c>
      <c r="D5726" s="3" t="inlineStr">
        <is>
          <t>2000/030</t>
        </is>
      </c>
      <c r="E5726" s="3" t="inlineStr">
        <is>
          <t>COS - HV COCT Rates clearance</t>
        </is>
      </c>
      <c r="F5726" s="3" t="n">
        <v>8890.959999999999</v>
      </c>
      <c r="G5726" s="3" t="n">
        <v>246033.9</v>
      </c>
    </row>
    <row r="5727">
      <c r="A5727" s="3" t="inlineStr">
        <is>
          <t>Heron Fields (Pty) Ltd</t>
        </is>
      </c>
      <c r="B5727" s="4" t="n">
        <v>45351</v>
      </c>
      <c r="C5727" s="3" t="inlineStr">
        <is>
          <t>Expenses</t>
        </is>
      </c>
      <c r="D5727" s="3" t="inlineStr">
        <is>
          <t>2000/040</t>
        </is>
      </c>
      <c r="E5727" s="3" t="inlineStr">
        <is>
          <t>COS - Legal Fees</t>
        </is>
      </c>
      <c r="F5727" s="3" t="n">
        <v>0</v>
      </c>
      <c r="G5727" s="3" t="n">
        <v>685713.49</v>
      </c>
    </row>
    <row r="5728">
      <c r="A5728" s="3" t="inlineStr">
        <is>
          <t>Heron View (Pty) Ltd</t>
        </is>
      </c>
      <c r="B5728" s="4" t="n">
        <v>45351</v>
      </c>
      <c r="C5728" s="3" t="inlineStr">
        <is>
          <t>Expenses</t>
        </is>
      </c>
      <c r="D5728" s="3" t="inlineStr">
        <is>
          <t>2000/040</t>
        </is>
      </c>
      <c r="E5728" s="3" t="inlineStr">
        <is>
          <t>COS - Legal Fees</t>
        </is>
      </c>
      <c r="F5728" s="3" t="n">
        <v>276922.46</v>
      </c>
      <c r="G5728" s="3" t="n">
        <v>947705.3100000001</v>
      </c>
    </row>
    <row r="5729">
      <c r="A5729" s="3" t="inlineStr">
        <is>
          <t>Heron View (Pty) Ltd</t>
        </is>
      </c>
      <c r="B5729" s="4" t="n">
        <v>45351</v>
      </c>
      <c r="C5729" s="3" t="inlineStr">
        <is>
          <t>Expenses</t>
        </is>
      </c>
      <c r="D5729" s="3" t="inlineStr">
        <is>
          <t>2000/041</t>
        </is>
      </c>
      <c r="E5729" s="3" t="inlineStr">
        <is>
          <t>COS - Legal Fees Opening of Sec Title Fees</t>
        </is>
      </c>
      <c r="F5729" s="3" t="n">
        <v>0</v>
      </c>
      <c r="G5729" s="3" t="n">
        <v>79174.94</v>
      </c>
    </row>
    <row r="5730">
      <c r="A5730" s="3" t="inlineStr">
        <is>
          <t>Heron Fields (Pty) Ltd</t>
        </is>
      </c>
      <c r="B5730" s="4" t="n">
        <v>45351</v>
      </c>
      <c r="C5730" s="3" t="inlineStr">
        <is>
          <t>Expenses</t>
        </is>
      </c>
      <c r="D5730" s="3" t="inlineStr">
        <is>
          <t>2000/041</t>
        </is>
      </c>
      <c r="E5730" s="3" t="inlineStr">
        <is>
          <t>COS - Legal Fees Opening of Sec Title Scheme</t>
        </is>
      </c>
      <c r="F5730" s="3" t="n">
        <v>0</v>
      </c>
      <c r="G5730" s="3" t="n">
        <v>10540</v>
      </c>
    </row>
    <row r="5731">
      <c r="A5731" s="3" t="inlineStr">
        <is>
          <t>Heron Fields (Pty) Ltd</t>
        </is>
      </c>
      <c r="B5731" s="4" t="n">
        <v>45351</v>
      </c>
      <c r="C5731" s="3" t="inlineStr">
        <is>
          <t>Expenses</t>
        </is>
      </c>
      <c r="D5731" s="3" t="inlineStr">
        <is>
          <t>2000/050</t>
        </is>
      </c>
      <c r="E5731" s="3" t="inlineStr">
        <is>
          <t>COS - Rates clearance</t>
        </is>
      </c>
      <c r="F5731" s="3" t="n">
        <v>0</v>
      </c>
      <c r="G5731" s="3" t="n">
        <v>44864.59</v>
      </c>
    </row>
    <row r="5732">
      <c r="A5732" s="3" t="inlineStr">
        <is>
          <t>Heron Fields (Pty) Ltd</t>
        </is>
      </c>
      <c r="B5732" s="4" t="n">
        <v>45351</v>
      </c>
      <c r="C5732" s="3" t="inlineStr">
        <is>
          <t>Expenses</t>
        </is>
      </c>
      <c r="D5732" s="3" t="inlineStr">
        <is>
          <t>2000/060</t>
        </is>
      </c>
      <c r="E5732" s="3" t="inlineStr">
        <is>
          <t>COS - Levies</t>
        </is>
      </c>
      <c r="F5732" s="3" t="n">
        <v>0</v>
      </c>
      <c r="G5732" s="3" t="n">
        <v>381069.48</v>
      </c>
    </row>
    <row r="5733">
      <c r="A5733" s="3" t="inlineStr">
        <is>
          <t>Heron Fields (Pty) Ltd</t>
        </is>
      </c>
      <c r="B5733" s="4" t="n">
        <v>45351</v>
      </c>
      <c r="C5733" s="3" t="inlineStr">
        <is>
          <t>Expenses</t>
        </is>
      </c>
      <c r="D5733" s="3" t="inlineStr">
        <is>
          <t>2000/070</t>
        </is>
      </c>
      <c r="E5733" s="3" t="inlineStr">
        <is>
          <t>COS - Commission HF Units</t>
        </is>
      </c>
      <c r="F5733" s="3" t="n">
        <v>0</v>
      </c>
      <c r="G5733" s="3" t="n">
        <v>1405686.97</v>
      </c>
    </row>
    <row r="5734">
      <c r="A5734" s="3" t="inlineStr">
        <is>
          <t>Heron View (Pty) Ltd</t>
        </is>
      </c>
      <c r="B5734" s="4" t="n">
        <v>45351</v>
      </c>
      <c r="C5734" s="3" t="inlineStr">
        <is>
          <t>Expenses</t>
        </is>
      </c>
      <c r="D5734" s="3" t="inlineStr">
        <is>
          <t>2000/070</t>
        </is>
      </c>
      <c r="E5734" s="3" t="inlineStr">
        <is>
          <t>COS - Commission HV Units</t>
        </is>
      </c>
      <c r="F5734" s="3" t="n">
        <v>556486.98</v>
      </c>
      <c r="G5734" s="3" t="n">
        <v>2051613.04</v>
      </c>
    </row>
    <row r="5735">
      <c r="A5735" s="3" t="inlineStr">
        <is>
          <t>Heron Fields (Pty) Ltd</t>
        </is>
      </c>
      <c r="B5735" s="4" t="n">
        <v>45351</v>
      </c>
      <c r="C5735" s="3" t="inlineStr">
        <is>
          <t>Expenses</t>
        </is>
      </c>
      <c r="D5735" s="3" t="inlineStr">
        <is>
          <t>2000/080</t>
        </is>
      </c>
      <c r="E5735" s="3" t="inlineStr">
        <is>
          <t>COS - Showhouse - HF</t>
        </is>
      </c>
      <c r="F5735" s="3" t="n">
        <v>0</v>
      </c>
      <c r="G5735" s="3" t="n">
        <v>1005.47</v>
      </c>
    </row>
    <row r="5736">
      <c r="A5736" s="3" t="inlineStr">
        <is>
          <t>Heron View (Pty) Ltd</t>
        </is>
      </c>
      <c r="B5736" s="4" t="n">
        <v>45351</v>
      </c>
      <c r="C5736" s="3" t="inlineStr">
        <is>
          <t>Expenses</t>
        </is>
      </c>
      <c r="D5736" s="3" t="inlineStr">
        <is>
          <t>2000/080</t>
        </is>
      </c>
      <c r="E5736" s="3" t="inlineStr">
        <is>
          <t>COS - Showhouse - HV</t>
        </is>
      </c>
      <c r="F5736" s="3" t="n">
        <v>0</v>
      </c>
      <c r="G5736" s="3" t="n">
        <v>6212.85</v>
      </c>
    </row>
    <row r="5737">
      <c r="A5737" s="3" t="inlineStr">
        <is>
          <t>Heron Fields (Pty) Ltd</t>
        </is>
      </c>
      <c r="B5737" s="4" t="n">
        <v>45351</v>
      </c>
      <c r="C5737" s="3" t="inlineStr">
        <is>
          <t>Expenses</t>
        </is>
      </c>
      <c r="D5737" s="3" t="inlineStr">
        <is>
          <t>2000/090</t>
        </is>
      </c>
      <c r="E5737" s="3" t="inlineStr">
        <is>
          <t>COS - Electricity</t>
        </is>
      </c>
      <c r="F5737" s="3" t="n">
        <v>0</v>
      </c>
      <c r="G5737" s="3" t="n">
        <v>250</v>
      </c>
    </row>
    <row r="5738">
      <c r="A5738" s="3" t="inlineStr">
        <is>
          <t>Heron View (Pty) Ltd</t>
        </is>
      </c>
      <c r="B5738" s="4" t="n">
        <v>45351</v>
      </c>
      <c r="C5738" s="3" t="inlineStr">
        <is>
          <t>Expenses</t>
        </is>
      </c>
      <c r="D5738" s="3" t="inlineStr">
        <is>
          <t>2000/090</t>
        </is>
      </c>
      <c r="E5738" s="3" t="inlineStr">
        <is>
          <t>COS - Electricity</t>
        </is>
      </c>
      <c r="F5738" s="3" t="n">
        <v>700</v>
      </c>
      <c r="G5738" s="3" t="n">
        <v>1173.92</v>
      </c>
    </row>
    <row r="5739">
      <c r="A5739" s="3" t="inlineStr">
        <is>
          <t>Heron Fields (Pty) Ltd</t>
        </is>
      </c>
      <c r="B5739" s="4" t="n">
        <v>45351</v>
      </c>
      <c r="C5739" s="3" t="inlineStr">
        <is>
          <t>Expenses</t>
        </is>
      </c>
      <c r="D5739" s="3" t="inlineStr">
        <is>
          <t>2000/100</t>
        </is>
      </c>
      <c r="E5739" s="3" t="inlineStr">
        <is>
          <t>COS - Inverters</t>
        </is>
      </c>
      <c r="F5739" s="3" t="n">
        <v>0</v>
      </c>
      <c r="G5739" s="3" t="n">
        <v>31600</v>
      </c>
    </row>
    <row r="5740">
      <c r="A5740" s="3" t="inlineStr">
        <is>
          <t>Cape Projects Construction (Pty) Ltd</t>
        </is>
      </c>
      <c r="B5740" s="4" t="n">
        <v>45351</v>
      </c>
      <c r="C5740" s="3" t="inlineStr">
        <is>
          <t>Expenses</t>
        </is>
      </c>
      <c r="D5740" s="3" t="inlineStr">
        <is>
          <t>2000/500</t>
        </is>
      </c>
      <c r="E5740" s="3" t="inlineStr">
        <is>
          <t>COS - Electricity Cost Endulini</t>
        </is>
      </c>
      <c r="F5740" s="3" t="n">
        <v>0</v>
      </c>
      <c r="G5740" s="3" t="n">
        <v>286.96</v>
      </c>
    </row>
    <row r="5741">
      <c r="A5741" s="3" t="inlineStr">
        <is>
          <t>Cape Projects Construction (Pty) Ltd</t>
        </is>
      </c>
      <c r="B5741" s="4" t="n">
        <v>45351</v>
      </c>
      <c r="C5741" s="3" t="inlineStr">
        <is>
          <t>Expenses</t>
        </is>
      </c>
      <c r="D5741" s="3" t="inlineStr">
        <is>
          <t>2000/501</t>
        </is>
      </c>
      <c r="E5741" s="3" t="inlineStr">
        <is>
          <t>COS - Electricity Cost Heron Field</t>
        </is>
      </c>
      <c r="F5741" s="3" t="n">
        <v>0</v>
      </c>
      <c r="G5741" s="3" t="n">
        <v>86.95999999999999</v>
      </c>
    </row>
    <row r="5742">
      <c r="A5742" s="3" t="inlineStr">
        <is>
          <t>Cape Projects Construction (Pty) Ltd</t>
        </is>
      </c>
      <c r="B5742" s="4" t="n">
        <v>45351</v>
      </c>
      <c r="C5742" s="3" t="inlineStr">
        <is>
          <t>Expenses</t>
        </is>
      </c>
      <c r="D5742" s="3" t="inlineStr">
        <is>
          <t>2001/000</t>
        </is>
      </c>
      <c r="E5742" s="3" t="inlineStr">
        <is>
          <t>Cost of Sales - SouthWark Project</t>
        </is>
      </c>
      <c r="F5742" s="3" t="n">
        <v>0</v>
      </c>
      <c r="G5742" s="3" t="n">
        <v>30620.97</v>
      </c>
    </row>
    <row r="5743">
      <c r="A5743" s="3" t="inlineStr">
        <is>
          <t>Cape Projects Construction (Pty) Ltd</t>
        </is>
      </c>
      <c r="B5743" s="4" t="n">
        <v>45351</v>
      </c>
      <c r="C5743" s="3" t="inlineStr">
        <is>
          <t>Expenses</t>
        </is>
      </c>
      <c r="D5743" s="3" t="inlineStr">
        <is>
          <t>2002/109</t>
        </is>
      </c>
      <c r="E5743" s="3" t="inlineStr">
        <is>
          <t>COS - SoHo External SITE LABOUR</t>
        </is>
      </c>
      <c r="F5743" s="3" t="n">
        <v>0</v>
      </c>
      <c r="G5743" s="3" t="n">
        <v>7408.46</v>
      </c>
    </row>
    <row r="5744">
      <c r="A5744" s="3" t="inlineStr">
        <is>
          <t>Cape Projects Construction (Pty) Ltd</t>
        </is>
      </c>
      <c r="B5744" s="4" t="n">
        <v>45351</v>
      </c>
      <c r="C5744" s="3" t="inlineStr">
        <is>
          <t>Expenses</t>
        </is>
      </c>
      <c r="D5744" s="3" t="inlineStr">
        <is>
          <t>2002/250</t>
        </is>
      </c>
      <c r="E5744" s="3" t="inlineStr">
        <is>
          <t>COS - Security</t>
        </is>
      </c>
      <c r="F5744" s="3" t="n">
        <v>0</v>
      </c>
      <c r="G5744" s="3" t="n">
        <v>10516.44</v>
      </c>
    </row>
    <row r="5745">
      <c r="A5745" s="3" t="inlineStr">
        <is>
          <t>Cape Projects Construction (Pty) Ltd</t>
        </is>
      </c>
      <c r="B5745" s="4" t="n">
        <v>45351</v>
      </c>
      <c r="C5745" s="3" t="inlineStr">
        <is>
          <t>Expenses</t>
        </is>
      </c>
      <c r="D5745" s="3" t="inlineStr">
        <is>
          <t>2002/252</t>
        </is>
      </c>
      <c r="E5745" s="3" t="inlineStr">
        <is>
          <t>COS - Security - Guarding</t>
        </is>
      </c>
      <c r="F5745" s="3" t="n">
        <v>0</v>
      </c>
      <c r="G5745" s="3" t="n">
        <v>152255.68</v>
      </c>
    </row>
    <row r="5746">
      <c r="A5746" s="3" t="inlineStr">
        <is>
          <t>Cape Projects Construction (Pty) Ltd</t>
        </is>
      </c>
      <c r="B5746" s="4" t="n">
        <v>45351</v>
      </c>
      <c r="C5746" s="3" t="inlineStr">
        <is>
          <t>Expenses</t>
        </is>
      </c>
      <c r="D5746" s="3" t="inlineStr">
        <is>
          <t>2006/000</t>
        </is>
      </c>
      <c r="E5746" s="3" t="inlineStr">
        <is>
          <t>COS - Endulini Construction</t>
        </is>
      </c>
      <c r="F5746" s="3" t="n">
        <v>1525</v>
      </c>
      <c r="G5746" s="3" t="n">
        <v>353672.74</v>
      </c>
    </row>
    <row r="5747">
      <c r="A5747" s="3" t="inlineStr">
        <is>
          <t>Cape Projects Construction (Pty) Ltd</t>
        </is>
      </c>
      <c r="B5747" s="4" t="n">
        <v>45351</v>
      </c>
      <c r="C5747" s="3" t="inlineStr">
        <is>
          <t>Expenses</t>
        </is>
      </c>
      <c r="D5747" s="3" t="inlineStr">
        <is>
          <t>2006/100</t>
        </is>
      </c>
      <c r="E5747" s="3" t="inlineStr">
        <is>
          <t>COS - Endulini P and G</t>
        </is>
      </c>
      <c r="F5747" s="3" t="n">
        <v>20.87</v>
      </c>
      <c r="G5747" s="3" t="n">
        <v>160526.57</v>
      </c>
    </row>
    <row r="5748">
      <c r="A5748" s="3" t="inlineStr">
        <is>
          <t>Cape Projects Construction (Pty) Ltd</t>
        </is>
      </c>
      <c r="B5748" s="4" t="n">
        <v>45351</v>
      </c>
      <c r="C5748" s="3" t="inlineStr">
        <is>
          <t>Expenses</t>
        </is>
      </c>
      <c r="D5748" s="3" t="inlineStr">
        <is>
          <t>2006/200</t>
        </is>
      </c>
      <c r="E5748" s="3" t="inlineStr">
        <is>
          <t>COS - Insurance</t>
        </is>
      </c>
      <c r="F5748" s="3" t="n">
        <v>0</v>
      </c>
      <c r="G5748" s="3" t="n">
        <v>19969.43</v>
      </c>
    </row>
    <row r="5749">
      <c r="A5749" s="3" t="inlineStr">
        <is>
          <t>Cape Projects Construction (Pty) Ltd</t>
        </is>
      </c>
      <c r="B5749" s="4" t="n">
        <v>45351</v>
      </c>
      <c r="C5749" s="3" t="inlineStr">
        <is>
          <t>Expenses</t>
        </is>
      </c>
      <c r="D5749" s="3" t="inlineStr">
        <is>
          <t>2006/450</t>
        </is>
      </c>
      <c r="E5749" s="3" t="inlineStr">
        <is>
          <t>COS - Endulini - Computer expenses</t>
        </is>
      </c>
      <c r="F5749" s="3" t="n">
        <v>0</v>
      </c>
      <c r="G5749" s="3" t="n">
        <v>26340.75</v>
      </c>
    </row>
    <row r="5750">
      <c r="A5750" s="3" t="inlineStr">
        <is>
          <t>Cape Projects Construction (Pty) Ltd</t>
        </is>
      </c>
      <c r="B5750" s="4" t="n">
        <v>45351</v>
      </c>
      <c r="C5750" s="3" t="inlineStr">
        <is>
          <t>Expenses</t>
        </is>
      </c>
      <c r="D5750" s="3" t="inlineStr">
        <is>
          <t>2006/700</t>
        </is>
      </c>
      <c r="E5750" s="3" t="inlineStr">
        <is>
          <t>COS - Endulini - Fuel</t>
        </is>
      </c>
      <c r="F5750" s="3" t="n">
        <v>300</v>
      </c>
      <c r="G5750" s="3" t="n">
        <v>300</v>
      </c>
    </row>
    <row r="5751">
      <c r="A5751" s="3" t="inlineStr">
        <is>
          <t>Cape Projects Construction (Pty) Ltd</t>
        </is>
      </c>
      <c r="B5751" s="4" t="n">
        <v>45351</v>
      </c>
      <c r="C5751" s="3" t="inlineStr">
        <is>
          <t>Expenses</t>
        </is>
      </c>
      <c r="D5751" s="3" t="inlineStr">
        <is>
          <t>2006/800</t>
        </is>
      </c>
      <c r="E5751" s="3" t="inlineStr">
        <is>
          <t>COS - Endulini - Telephone &amp; Internet</t>
        </is>
      </c>
      <c r="F5751" s="3" t="n">
        <v>0</v>
      </c>
      <c r="G5751" s="3" t="n">
        <v>760.87</v>
      </c>
    </row>
    <row r="5752">
      <c r="A5752" s="3" t="inlineStr">
        <is>
          <t>Cape Projects Construction (Pty) Ltd</t>
        </is>
      </c>
      <c r="B5752" s="4" t="n">
        <v>45351</v>
      </c>
      <c r="C5752" s="3" t="inlineStr">
        <is>
          <t>Expenses</t>
        </is>
      </c>
      <c r="D5752" s="3" t="inlineStr">
        <is>
          <t>2007/000</t>
        </is>
      </c>
      <c r="E5752" s="3" t="inlineStr">
        <is>
          <t>COS - Repairs &amp; Maintenance - SW Southwark</t>
        </is>
      </c>
      <c r="F5752" s="3" t="n">
        <v>848</v>
      </c>
      <c r="G5752" s="3" t="n">
        <v>28600.22</v>
      </c>
    </row>
    <row r="5753">
      <c r="A5753" s="3" t="inlineStr">
        <is>
          <t>Cape Projects Construction (Pty) Ltd</t>
        </is>
      </c>
      <c r="B5753" s="4" t="n">
        <v>45351</v>
      </c>
      <c r="C5753" s="3" t="inlineStr">
        <is>
          <t>Expenses</t>
        </is>
      </c>
      <c r="D5753" s="3" t="inlineStr">
        <is>
          <t>2008/000</t>
        </is>
      </c>
      <c r="E5753" s="3" t="inlineStr">
        <is>
          <t>COS - Repairs &amp; Maintenance - SH Soho</t>
        </is>
      </c>
      <c r="F5753" s="3" t="n">
        <v>0</v>
      </c>
      <c r="G5753" s="3" t="n">
        <v>7565.57</v>
      </c>
    </row>
    <row r="5754">
      <c r="A5754" s="3" t="inlineStr">
        <is>
          <t>Cape Projects Construction (Pty) Ltd</t>
        </is>
      </c>
      <c r="B5754" s="4" t="n">
        <v>45351</v>
      </c>
      <c r="C5754" s="3" t="inlineStr">
        <is>
          <t>Expenses</t>
        </is>
      </c>
      <c r="D5754" s="3" t="inlineStr">
        <is>
          <t>2011/100</t>
        </is>
      </c>
      <c r="E5754" s="3" t="inlineStr">
        <is>
          <t>COS - Heron Fields - Garden Services</t>
        </is>
      </c>
      <c r="F5754" s="3" t="n">
        <v>0</v>
      </c>
      <c r="G5754" s="3" t="n">
        <v>680</v>
      </c>
    </row>
    <row r="5755">
      <c r="A5755" s="3" t="inlineStr">
        <is>
          <t>Cape Projects Construction (Pty) Ltd</t>
        </is>
      </c>
      <c r="B5755" s="4" t="n">
        <v>45351</v>
      </c>
      <c r="C5755" s="3" t="inlineStr">
        <is>
          <t>Expenses</t>
        </is>
      </c>
      <c r="D5755" s="3" t="inlineStr">
        <is>
          <t>2011/300</t>
        </is>
      </c>
      <c r="E5755" s="3" t="inlineStr">
        <is>
          <t>COS - Heron Fields - Printing &amp; Stationary</t>
        </is>
      </c>
      <c r="F5755" s="3" t="n">
        <v>0</v>
      </c>
      <c r="G5755" s="3" t="n">
        <v>1129.57</v>
      </c>
    </row>
    <row r="5756">
      <c r="A5756" s="3" t="inlineStr">
        <is>
          <t>Cape Projects Construction (Pty) Ltd</t>
        </is>
      </c>
      <c r="B5756" s="4" t="n">
        <v>45351</v>
      </c>
      <c r="C5756" s="3" t="inlineStr">
        <is>
          <t>Expenses</t>
        </is>
      </c>
      <c r="D5756" s="3" t="inlineStr">
        <is>
          <t>2011/500</t>
        </is>
      </c>
      <c r="E5756" s="3" t="inlineStr">
        <is>
          <t>COS - Heron Fields - Construction</t>
        </is>
      </c>
      <c r="F5756" s="3" t="n">
        <v>390</v>
      </c>
      <c r="G5756" s="3" t="n">
        <v>1640229.08</v>
      </c>
    </row>
    <row r="5757">
      <c r="A5757" s="3" t="inlineStr">
        <is>
          <t>Cape Projects Construction (Pty) Ltd</t>
        </is>
      </c>
      <c r="B5757" s="4" t="n">
        <v>45351</v>
      </c>
      <c r="C5757" s="3" t="inlineStr">
        <is>
          <t>Expenses</t>
        </is>
      </c>
      <c r="D5757" s="3" t="inlineStr">
        <is>
          <t>2011/600</t>
        </is>
      </c>
      <c r="E5757" s="3" t="inlineStr">
        <is>
          <t>COS - Heron Fields - P &amp; G</t>
        </is>
      </c>
      <c r="F5757" s="3" t="n">
        <v>3282.19</v>
      </c>
      <c r="G5757" s="3" t="n">
        <v>347105.73</v>
      </c>
    </row>
    <row r="5758">
      <c r="A5758" s="3" t="inlineStr">
        <is>
          <t>Cape Projects Construction (Pty) Ltd</t>
        </is>
      </c>
      <c r="B5758" s="4" t="n">
        <v>45351</v>
      </c>
      <c r="C5758" s="3" t="inlineStr">
        <is>
          <t>Expenses</t>
        </is>
      </c>
      <c r="D5758" s="3" t="inlineStr">
        <is>
          <t>2011/700</t>
        </is>
      </c>
      <c r="E5758" s="3" t="inlineStr">
        <is>
          <t>COS - Heron Fields - Health &amp; Safety</t>
        </is>
      </c>
      <c r="F5758" s="3" t="n">
        <v>0</v>
      </c>
      <c r="G5758" s="3" t="n">
        <v>694.78</v>
      </c>
    </row>
    <row r="5759">
      <c r="A5759" s="3" t="inlineStr">
        <is>
          <t>Cape Projects Construction (Pty) Ltd</t>
        </is>
      </c>
      <c r="B5759" s="4" t="n">
        <v>45351</v>
      </c>
      <c r="C5759" s="3" t="inlineStr">
        <is>
          <t>Expenses</t>
        </is>
      </c>
      <c r="D5759" s="3" t="inlineStr">
        <is>
          <t>2011/800</t>
        </is>
      </c>
      <c r="E5759" s="3" t="inlineStr">
        <is>
          <t>COS - Heron - Small assets</t>
        </is>
      </c>
      <c r="F5759" s="3" t="n">
        <v>6144.78</v>
      </c>
      <c r="G5759" s="3" t="n">
        <v>6144.78</v>
      </c>
    </row>
    <row r="5760">
      <c r="A5760" s="3" t="inlineStr">
        <is>
          <t>Cape Projects Construction (Pty) Ltd</t>
        </is>
      </c>
      <c r="B5760" s="4" t="n">
        <v>45351</v>
      </c>
      <c r="C5760" s="3" t="inlineStr">
        <is>
          <t>Expenses</t>
        </is>
      </c>
      <c r="D5760" s="3" t="inlineStr">
        <is>
          <t>2011/900</t>
        </is>
      </c>
      <c r="E5760" s="3" t="inlineStr">
        <is>
          <t>COS - Heron - Internet</t>
        </is>
      </c>
      <c r="F5760" s="3" t="n">
        <v>1849.57</v>
      </c>
      <c r="G5760" s="3" t="n">
        <v>19178.81</v>
      </c>
    </row>
    <row r="5761">
      <c r="A5761" s="3" t="inlineStr">
        <is>
          <t>Cape Projects Construction (Pty) Ltd</t>
        </is>
      </c>
      <c r="B5761" s="4" t="n">
        <v>45351</v>
      </c>
      <c r="C5761" s="3" t="inlineStr">
        <is>
          <t>Expenses</t>
        </is>
      </c>
      <c r="D5761" s="3" t="inlineStr">
        <is>
          <t>2012/001</t>
        </is>
      </c>
      <c r="E5761" s="3" t="inlineStr">
        <is>
          <t>COS - Heron View - Printing &amp; Stationary</t>
        </is>
      </c>
      <c r="F5761" s="3" t="n">
        <v>2256.52</v>
      </c>
      <c r="G5761" s="3" t="n">
        <v>35788.9</v>
      </c>
    </row>
    <row r="5762">
      <c r="A5762" s="3" t="inlineStr">
        <is>
          <t>Cape Projects Construction (Pty) Ltd</t>
        </is>
      </c>
      <c r="B5762" s="4" t="n">
        <v>45351</v>
      </c>
      <c r="C5762" s="3" t="inlineStr">
        <is>
          <t>Expenses</t>
        </is>
      </c>
      <c r="D5762" s="3" t="inlineStr">
        <is>
          <t>2012/002</t>
        </is>
      </c>
      <c r="E5762" s="3" t="inlineStr">
        <is>
          <t>COS - Heron View - Construction</t>
        </is>
      </c>
      <c r="F5762" s="3" t="n">
        <v>4423042.03</v>
      </c>
      <c r="G5762" s="3" t="n">
        <v>47779319.81</v>
      </c>
    </row>
    <row r="5763">
      <c r="A5763" s="3" t="inlineStr">
        <is>
          <t>Cape Projects Construction (Pty) Ltd</t>
        </is>
      </c>
      <c r="B5763" s="4" t="n">
        <v>45351</v>
      </c>
      <c r="C5763" s="3" t="inlineStr">
        <is>
          <t>Expenses</t>
        </is>
      </c>
      <c r="D5763" s="3" t="inlineStr">
        <is>
          <t>2012/003</t>
        </is>
      </c>
      <c r="E5763" s="3" t="inlineStr">
        <is>
          <t>COS - Heron View - P&amp;G</t>
        </is>
      </c>
      <c r="F5763" s="3" t="n">
        <v>5069.8</v>
      </c>
      <c r="G5763" s="3" t="n">
        <v>554266.66</v>
      </c>
    </row>
    <row r="5764">
      <c r="A5764" s="3" t="inlineStr">
        <is>
          <t>Cape Projects Construction (Pty) Ltd</t>
        </is>
      </c>
      <c r="B5764" s="4" t="n">
        <v>45351</v>
      </c>
      <c r="C5764" s="3" t="inlineStr">
        <is>
          <t>Expenses</t>
        </is>
      </c>
      <c r="D5764" s="3" t="inlineStr">
        <is>
          <t>2013/000</t>
        </is>
      </c>
      <c r="E5764" s="3" t="inlineStr">
        <is>
          <t>COS - Bakhoven</t>
        </is>
      </c>
      <c r="F5764" s="3" t="n">
        <v>0</v>
      </c>
      <c r="G5764" s="3" t="n">
        <v>17292.48</v>
      </c>
    </row>
    <row r="5765">
      <c r="A5765" s="3" t="inlineStr">
        <is>
          <t>Cape Projects Construction (Pty) Ltd</t>
        </is>
      </c>
      <c r="B5765" s="4" t="n">
        <v>45351</v>
      </c>
      <c r="C5765" s="3" t="inlineStr">
        <is>
          <t>Expenses</t>
        </is>
      </c>
      <c r="D5765" s="3" t="inlineStr">
        <is>
          <t>2100/252</t>
        </is>
      </c>
      <c r="E5765" s="3" t="inlineStr">
        <is>
          <t>COS - Special - Furniture</t>
        </is>
      </c>
      <c r="F5765" s="3" t="n">
        <v>33121.74</v>
      </c>
      <c r="G5765" s="3" t="n">
        <v>33121.74</v>
      </c>
    </row>
    <row r="5766">
      <c r="A5766" s="3" t="inlineStr">
        <is>
          <t>Cape Projects Construction (Pty) Ltd</t>
        </is>
      </c>
      <c r="B5766" s="4" t="n">
        <v>45351</v>
      </c>
      <c r="C5766" s="3" t="inlineStr">
        <is>
          <t>Revenue</t>
        </is>
      </c>
      <c r="D5766" s="3" t="inlineStr">
        <is>
          <t>2750/000</t>
        </is>
      </c>
      <c r="E5766" s="3" t="inlineStr">
        <is>
          <t>Interest Received - FNB</t>
        </is>
      </c>
      <c r="F5766" s="3" t="n">
        <v>-70.13</v>
      </c>
      <c r="G5766" s="3" t="n">
        <v>-2669.86</v>
      </c>
    </row>
    <row r="5767">
      <c r="A5767" s="3" t="inlineStr">
        <is>
          <t>Cape Projects Construction (Pty) Ltd</t>
        </is>
      </c>
      <c r="B5767" s="4" t="n">
        <v>45351</v>
      </c>
      <c r="C5767" s="3" t="inlineStr">
        <is>
          <t>Revenue</t>
        </is>
      </c>
      <c r="D5767" s="3" t="inlineStr">
        <is>
          <t>2751/001</t>
        </is>
      </c>
      <c r="E5767" s="3" t="inlineStr">
        <is>
          <t>Interest received - Momentum</t>
        </is>
      </c>
      <c r="F5767" s="3" t="n">
        <v>0</v>
      </c>
      <c r="G5767" s="3" t="n">
        <v>-34.23</v>
      </c>
    </row>
    <row r="5768">
      <c r="A5768" s="3" t="inlineStr">
        <is>
          <t>Heron Fields (Pty) Ltd</t>
        </is>
      </c>
      <c r="B5768" s="4" t="n">
        <v>45351</v>
      </c>
      <c r="C5768" s="3" t="inlineStr">
        <is>
          <t>Revenue</t>
        </is>
      </c>
      <c r="D5768" s="3" t="inlineStr">
        <is>
          <t>2753/000</t>
        </is>
      </c>
      <c r="E5768" s="3" t="inlineStr">
        <is>
          <t>Interest Received - Deposits</t>
        </is>
      </c>
      <c r="F5768" s="3" t="n">
        <v>0</v>
      </c>
      <c r="G5768" s="3" t="n">
        <v>-5546.16</v>
      </c>
    </row>
    <row r="5769">
      <c r="A5769" s="3" t="inlineStr">
        <is>
          <t>Heron Fields (Pty) Ltd</t>
        </is>
      </c>
      <c r="B5769" s="4" t="n">
        <v>45351</v>
      </c>
      <c r="C5769" s="3" t="inlineStr">
        <is>
          <t>Revenue</t>
        </is>
      </c>
      <c r="D5769" s="3" t="inlineStr">
        <is>
          <t>2755/001</t>
        </is>
      </c>
      <c r="E5769" s="3" t="inlineStr">
        <is>
          <t>Interest Received - Momentum</t>
        </is>
      </c>
      <c r="F5769" s="3" t="n">
        <v>-98307.50999999999</v>
      </c>
      <c r="G5769" s="3" t="n">
        <v>-2753515.06</v>
      </c>
    </row>
    <row r="5770">
      <c r="A5770" s="3" t="inlineStr">
        <is>
          <t>Heron Fields (Pty) Ltd</t>
        </is>
      </c>
      <c r="B5770" s="4" t="n">
        <v>45351</v>
      </c>
      <c r="C5770" s="3" t="inlineStr">
        <is>
          <t>Expenses</t>
        </is>
      </c>
      <c r="D5770" s="3" t="inlineStr">
        <is>
          <t>3000/000</t>
        </is>
      </c>
      <c r="E5770" s="3" t="inlineStr">
        <is>
          <t>Accounting Fees</t>
        </is>
      </c>
      <c r="F5770" s="3" t="n">
        <v>0</v>
      </c>
      <c r="G5770" s="3" t="n">
        <v>15024.96</v>
      </c>
    </row>
    <row r="5771">
      <c r="A5771" s="3" t="inlineStr">
        <is>
          <t>Heron Fields (Pty) Ltd</t>
        </is>
      </c>
      <c r="B5771" s="4" t="n">
        <v>45351</v>
      </c>
      <c r="C5771" s="3" t="inlineStr">
        <is>
          <t>Expenses</t>
        </is>
      </c>
      <c r="D5771" s="3" t="inlineStr">
        <is>
          <t>3000/100</t>
        </is>
      </c>
      <c r="E5771" s="3" t="inlineStr">
        <is>
          <t>Accounting - CIPC</t>
        </is>
      </c>
      <c r="F5771" s="3" t="n">
        <v>0</v>
      </c>
      <c r="G5771" s="3" t="n">
        <v>3050</v>
      </c>
    </row>
    <row r="5772">
      <c r="A5772" s="3" t="inlineStr">
        <is>
          <t>Cape Projects Construction (Pty) Ltd</t>
        </is>
      </c>
      <c r="B5772" s="4" t="n">
        <v>45351</v>
      </c>
      <c r="C5772" s="3" t="inlineStr">
        <is>
          <t>Expenses</t>
        </is>
      </c>
      <c r="D5772" s="3" t="inlineStr">
        <is>
          <t>3001/000</t>
        </is>
      </c>
      <c r="E5772" s="3" t="inlineStr">
        <is>
          <t>Accounting Fees - Other</t>
        </is>
      </c>
      <c r="F5772" s="3" t="n">
        <v>0</v>
      </c>
      <c r="G5772" s="3" t="n">
        <v>1280</v>
      </c>
    </row>
    <row r="5773">
      <c r="A5773" s="3" t="inlineStr">
        <is>
          <t>Cape Projects Construction (Pty) Ltd</t>
        </is>
      </c>
      <c r="B5773" s="4" t="n">
        <v>45351</v>
      </c>
      <c r="C5773" s="3" t="inlineStr">
        <is>
          <t>Expenses</t>
        </is>
      </c>
      <c r="D5773" s="3" t="inlineStr">
        <is>
          <t>3002/000</t>
        </is>
      </c>
      <c r="E5773" s="3" t="inlineStr">
        <is>
          <t>Accounting Fees - Audit</t>
        </is>
      </c>
      <c r="F5773" s="3" t="n">
        <v>0</v>
      </c>
      <c r="G5773" s="3" t="n">
        <v>11170</v>
      </c>
    </row>
    <row r="5774">
      <c r="A5774" s="3" t="inlineStr">
        <is>
          <t>Cape Projects Construction (Pty) Ltd</t>
        </is>
      </c>
      <c r="B5774" s="4" t="n">
        <v>45351</v>
      </c>
      <c r="C5774" s="3" t="inlineStr">
        <is>
          <t>Expenses</t>
        </is>
      </c>
      <c r="D5774" s="3" t="inlineStr">
        <is>
          <t>3050/000</t>
        </is>
      </c>
      <c r="E5774" s="3" t="inlineStr">
        <is>
          <t>Advertising _AND_ Promotions</t>
        </is>
      </c>
      <c r="F5774" s="3" t="n">
        <v>0</v>
      </c>
      <c r="G5774" s="3" t="n">
        <v>10975</v>
      </c>
    </row>
    <row r="5775">
      <c r="A5775" s="3" t="inlineStr">
        <is>
          <t>Heron Fields (Pty) Ltd</t>
        </is>
      </c>
      <c r="B5775" s="4" t="n">
        <v>45351</v>
      </c>
      <c r="C5775" s="3" t="inlineStr">
        <is>
          <t>Expenses</t>
        </is>
      </c>
      <c r="D5775" s="3" t="inlineStr">
        <is>
          <t>3050/000</t>
        </is>
      </c>
      <c r="E5775" s="3" t="inlineStr">
        <is>
          <t>Advertising _AND_ Promotions</t>
        </is>
      </c>
      <c r="F5775" s="3" t="n">
        <v>22000</v>
      </c>
      <c r="G5775" s="3" t="n">
        <v>200914.34</v>
      </c>
    </row>
    <row r="5776">
      <c r="A5776" s="3" t="inlineStr">
        <is>
          <t>Heron View (Pty) Ltd</t>
        </is>
      </c>
      <c r="B5776" s="4" t="n">
        <v>45351</v>
      </c>
      <c r="C5776" s="3" t="inlineStr">
        <is>
          <t>Expenses</t>
        </is>
      </c>
      <c r="D5776" s="3" t="inlineStr">
        <is>
          <t>3050/000</t>
        </is>
      </c>
      <c r="E5776" s="3" t="inlineStr">
        <is>
          <t>Advertising _AND_ Promotions</t>
        </is>
      </c>
      <c r="F5776" s="3" t="n">
        <v>0</v>
      </c>
      <c r="G5776" s="3" t="n">
        <v>52857.72</v>
      </c>
    </row>
    <row r="5777">
      <c r="A5777" s="3" t="inlineStr">
        <is>
          <t>Heron Fields (Pty) Ltd</t>
        </is>
      </c>
      <c r="B5777" s="4" t="n">
        <v>45351</v>
      </c>
      <c r="C5777" s="3" t="inlineStr">
        <is>
          <t>Expenses</t>
        </is>
      </c>
      <c r="D5777" s="3" t="inlineStr">
        <is>
          <t>3050/100</t>
        </is>
      </c>
      <c r="E5777" s="3" t="inlineStr">
        <is>
          <t>Advertising - Property24</t>
        </is>
      </c>
      <c r="F5777" s="3" t="n">
        <v>0</v>
      </c>
      <c r="G5777" s="3" t="n">
        <v>12480</v>
      </c>
    </row>
    <row r="5778">
      <c r="A5778" s="3" t="inlineStr">
        <is>
          <t>Cape Projects Construction (Pty) Ltd</t>
        </is>
      </c>
      <c r="B5778" s="4" t="n">
        <v>45351</v>
      </c>
      <c r="C5778" s="3" t="inlineStr">
        <is>
          <t>Expenses</t>
        </is>
      </c>
      <c r="D5778" s="3" t="inlineStr">
        <is>
          <t>3050/150</t>
        </is>
      </c>
      <c r="E5778" s="3" t="inlineStr">
        <is>
          <t>Advertising - Design Fees</t>
        </is>
      </c>
      <c r="F5778" s="3" t="n">
        <v>0</v>
      </c>
      <c r="G5778" s="3" t="n">
        <v>295</v>
      </c>
    </row>
    <row r="5779">
      <c r="A5779" s="3" t="inlineStr">
        <is>
          <t>Heron Fields (Pty) Ltd</t>
        </is>
      </c>
      <c r="B5779" s="4" t="n">
        <v>45351</v>
      </c>
      <c r="C5779" s="3" t="inlineStr">
        <is>
          <t>Expenses</t>
        </is>
      </c>
      <c r="D5779" s="3" t="inlineStr">
        <is>
          <t>3050/300</t>
        </is>
      </c>
      <c r="E5779" s="3" t="inlineStr">
        <is>
          <t>Advertising - Real Marketing</t>
        </is>
      </c>
      <c r="F5779" s="3" t="n">
        <v>0</v>
      </c>
      <c r="G5779" s="3" t="n">
        <v>10250</v>
      </c>
    </row>
    <row r="5780">
      <c r="A5780" s="3" t="inlineStr">
        <is>
          <t>Heron View (Pty) Ltd</t>
        </is>
      </c>
      <c r="B5780" s="4" t="n">
        <v>45351</v>
      </c>
      <c r="C5780" s="3" t="inlineStr">
        <is>
          <t>Expenses</t>
        </is>
      </c>
      <c r="D5780" s="3" t="inlineStr">
        <is>
          <t>3050/300</t>
        </is>
      </c>
      <c r="E5780" s="3" t="inlineStr">
        <is>
          <t>Advertising - Thinkink</t>
        </is>
      </c>
      <c r="F5780" s="3" t="n">
        <v>0</v>
      </c>
      <c r="G5780" s="3" t="n">
        <v>17855</v>
      </c>
    </row>
    <row r="5781">
      <c r="A5781" s="3" t="inlineStr">
        <is>
          <t>Heron View (Pty) Ltd</t>
        </is>
      </c>
      <c r="B5781" s="4" t="n">
        <v>45351</v>
      </c>
      <c r="C5781" s="3" t="inlineStr">
        <is>
          <t>Expenses</t>
        </is>
      </c>
      <c r="D5781" s="3" t="inlineStr">
        <is>
          <t>3050/400</t>
        </is>
      </c>
      <c r="E5781" s="3" t="inlineStr">
        <is>
          <t>Advertising - Pure Brand Activation</t>
        </is>
      </c>
      <c r="F5781" s="3" t="n">
        <v>0</v>
      </c>
      <c r="G5781" s="3" t="n">
        <v>14569.1</v>
      </c>
    </row>
    <row r="5782">
      <c r="A5782" s="3" t="inlineStr">
        <is>
          <t>Cape Projects Construction (Pty) Ltd</t>
        </is>
      </c>
      <c r="B5782" s="4" t="n">
        <v>45351</v>
      </c>
      <c r="C5782" s="3" t="inlineStr">
        <is>
          <t>Expenses</t>
        </is>
      </c>
      <c r="D5782" s="3" t="inlineStr">
        <is>
          <t>3050/450</t>
        </is>
      </c>
      <c r="E5782" s="3" t="inlineStr">
        <is>
          <t>Advertising - Other</t>
        </is>
      </c>
      <c r="F5782" s="3" t="n">
        <v>0</v>
      </c>
      <c r="G5782" s="3" t="n">
        <v>1597</v>
      </c>
    </row>
    <row r="5783">
      <c r="A5783" s="3" t="inlineStr">
        <is>
          <t>Heron View (Pty) Ltd</t>
        </is>
      </c>
      <c r="B5783" s="4" t="n">
        <v>45351</v>
      </c>
      <c r="C5783" s="3" t="inlineStr">
        <is>
          <t>Expenses</t>
        </is>
      </c>
      <c r="D5783" s="3" t="inlineStr">
        <is>
          <t>3050/500</t>
        </is>
      </c>
      <c r="E5783" s="3" t="inlineStr">
        <is>
          <t>Advertising - Real Marketing</t>
        </is>
      </c>
      <c r="F5783" s="3" t="n">
        <v>0</v>
      </c>
      <c r="G5783" s="3" t="n">
        <v>18500</v>
      </c>
    </row>
    <row r="5784">
      <c r="A5784" s="3" t="inlineStr">
        <is>
          <t>Cape Projects Construction (Pty) Ltd</t>
        </is>
      </c>
      <c r="B5784" s="4" t="n">
        <v>45351</v>
      </c>
      <c r="C5784" s="3" t="inlineStr">
        <is>
          <t>Expenses</t>
        </is>
      </c>
      <c r="D5784" s="3" t="inlineStr">
        <is>
          <t>3200/000</t>
        </is>
      </c>
      <c r="E5784" s="3" t="inlineStr">
        <is>
          <t>Bank Charges</t>
        </is>
      </c>
      <c r="F5784" s="3" t="n">
        <v>1074.49</v>
      </c>
      <c r="G5784" s="3" t="n">
        <v>21936.54</v>
      </c>
    </row>
    <row r="5785">
      <c r="A5785" s="3" t="inlineStr">
        <is>
          <t>Heron Fields (Pty) Ltd</t>
        </is>
      </c>
      <c r="B5785" s="4" t="n">
        <v>45351</v>
      </c>
      <c r="C5785" s="3" t="inlineStr">
        <is>
          <t>Expenses</t>
        </is>
      </c>
      <c r="D5785" s="3" t="inlineStr">
        <is>
          <t>3200/000</t>
        </is>
      </c>
      <c r="E5785" s="3" t="inlineStr">
        <is>
          <t>Bank Charges</t>
        </is>
      </c>
      <c r="F5785" s="3" t="n">
        <v>259.69</v>
      </c>
      <c r="G5785" s="3" t="n">
        <v>5010.37</v>
      </c>
    </row>
    <row r="5786">
      <c r="A5786" s="3" t="inlineStr">
        <is>
          <t>Cape Projects Construction (Pty) Ltd</t>
        </is>
      </c>
      <c r="B5786" s="4" t="n">
        <v>45351</v>
      </c>
      <c r="C5786" s="3" t="inlineStr">
        <is>
          <t>Expenses</t>
        </is>
      </c>
      <c r="D5786" s="3" t="inlineStr">
        <is>
          <t>3250/000</t>
        </is>
      </c>
      <c r="E5786" s="3" t="inlineStr">
        <is>
          <t>Cleaning</t>
        </is>
      </c>
      <c r="F5786" s="3" t="n">
        <v>0</v>
      </c>
      <c r="G5786" s="3" t="n">
        <v>1211.89</v>
      </c>
    </row>
    <row r="5787">
      <c r="A5787" s="3" t="inlineStr">
        <is>
          <t>Cape Projects Construction (Pty) Ltd</t>
        </is>
      </c>
      <c r="B5787" s="4" t="n">
        <v>45351</v>
      </c>
      <c r="C5787" s="3" t="inlineStr">
        <is>
          <t>Expenses</t>
        </is>
      </c>
      <c r="D5787" s="3" t="inlineStr">
        <is>
          <t>3255/000</t>
        </is>
      </c>
      <c r="E5787" s="3" t="inlineStr">
        <is>
          <t>Cell Phone - CT Office</t>
        </is>
      </c>
      <c r="F5787" s="3" t="n">
        <v>0</v>
      </c>
      <c r="G5787" s="3" t="n">
        <v>4123</v>
      </c>
    </row>
    <row r="5788">
      <c r="A5788" s="3" t="inlineStr">
        <is>
          <t>Cape Projects Construction (Pty) Ltd</t>
        </is>
      </c>
      <c r="B5788" s="4" t="n">
        <v>45351</v>
      </c>
      <c r="C5788" s="3" t="inlineStr">
        <is>
          <t>Expenses</t>
        </is>
      </c>
      <c r="D5788" s="3" t="inlineStr">
        <is>
          <t>3256/000</t>
        </is>
      </c>
      <c r="E5788" s="3" t="inlineStr">
        <is>
          <t>Cell Phone - Nick Morgan</t>
        </is>
      </c>
      <c r="F5788" s="3" t="n">
        <v>0</v>
      </c>
      <c r="G5788" s="3" t="n">
        <v>26779.67</v>
      </c>
    </row>
    <row r="5789">
      <c r="A5789" s="3" t="inlineStr">
        <is>
          <t>Cape Projects Construction (Pty) Ltd</t>
        </is>
      </c>
      <c r="B5789" s="4" t="n">
        <v>45351</v>
      </c>
      <c r="C5789" s="3" t="inlineStr">
        <is>
          <t>Expenses</t>
        </is>
      </c>
      <c r="D5789" s="3" t="inlineStr">
        <is>
          <t>3300/000</t>
        </is>
      </c>
      <c r="E5789" s="3" t="inlineStr">
        <is>
          <t>Computer Expenses</t>
        </is>
      </c>
      <c r="F5789" s="3" t="n">
        <v>350</v>
      </c>
      <c r="G5789" s="3" t="n">
        <v>6752.65</v>
      </c>
    </row>
    <row r="5790">
      <c r="A5790" s="3" t="inlineStr">
        <is>
          <t>Cape Projects Construction (Pty) Ltd</t>
        </is>
      </c>
      <c r="B5790" s="4" t="n">
        <v>45351</v>
      </c>
      <c r="C5790" s="3" t="inlineStr">
        <is>
          <t>Expenses</t>
        </is>
      </c>
      <c r="D5790" s="3" t="inlineStr">
        <is>
          <t>3300/100</t>
        </is>
      </c>
      <c r="E5790" s="3" t="inlineStr">
        <is>
          <t>Computer Exp - IT, Internet/Hosting Fee</t>
        </is>
      </c>
      <c r="F5790" s="3" t="n">
        <v>4915</v>
      </c>
      <c r="G5790" s="3" t="n">
        <v>47989</v>
      </c>
    </row>
    <row r="5791">
      <c r="A5791" s="3" t="inlineStr">
        <is>
          <t>Heron Fields (Pty) Ltd</t>
        </is>
      </c>
      <c r="B5791" s="4" t="n">
        <v>45351</v>
      </c>
      <c r="C5791" s="3" t="inlineStr">
        <is>
          <t>Expenses</t>
        </is>
      </c>
      <c r="D5791" s="3" t="inlineStr">
        <is>
          <t>3350/100</t>
        </is>
      </c>
      <c r="E5791" s="3" t="inlineStr">
        <is>
          <t>Consulting Fees - Admin and Finance</t>
        </is>
      </c>
      <c r="F5791" s="3" t="n">
        <v>113979.47</v>
      </c>
      <c r="G5791" s="3" t="n">
        <v>1404770.61</v>
      </c>
    </row>
    <row r="5792">
      <c r="A5792" s="3" t="inlineStr">
        <is>
          <t>Cape Projects Construction (Pty) Ltd</t>
        </is>
      </c>
      <c r="B5792" s="4" t="n">
        <v>45351</v>
      </c>
      <c r="C5792" s="3" t="inlineStr">
        <is>
          <t>Expenses</t>
        </is>
      </c>
      <c r="D5792" s="3" t="inlineStr">
        <is>
          <t>3350/300</t>
        </is>
      </c>
      <c r="E5792" s="3" t="inlineStr">
        <is>
          <t>Consulting Fees - Admin and Finance</t>
        </is>
      </c>
      <c r="F5792" s="3" t="n">
        <v>123093.86</v>
      </c>
      <c r="G5792" s="3" t="n">
        <v>1484096.74</v>
      </c>
    </row>
    <row r="5793">
      <c r="A5793" s="3" t="inlineStr">
        <is>
          <t>Heron Fields (Pty) Ltd</t>
        </is>
      </c>
      <c r="B5793" s="4" t="n">
        <v>45351</v>
      </c>
      <c r="C5793" s="3" t="inlineStr">
        <is>
          <t>Expenses</t>
        </is>
      </c>
      <c r="D5793" s="3" t="inlineStr">
        <is>
          <t>3351/000</t>
        </is>
      </c>
      <c r="E5793" s="3" t="inlineStr">
        <is>
          <t>Consulting fees - Trustee</t>
        </is>
      </c>
      <c r="F5793" s="3" t="n">
        <v>4200</v>
      </c>
      <c r="G5793" s="3" t="n">
        <v>30500</v>
      </c>
    </row>
    <row r="5794">
      <c r="A5794" s="3" t="inlineStr">
        <is>
          <t>Heron View (Pty) Ltd</t>
        </is>
      </c>
      <c r="B5794" s="4" t="n">
        <v>45351</v>
      </c>
      <c r="C5794" s="3" t="inlineStr">
        <is>
          <t>Expenses</t>
        </is>
      </c>
      <c r="D5794" s="3" t="inlineStr">
        <is>
          <t>3351/000</t>
        </is>
      </c>
      <c r="E5794" s="3" t="inlineStr">
        <is>
          <t>Consulting fees - Trustee</t>
        </is>
      </c>
      <c r="F5794" s="3" t="n">
        <v>12750</v>
      </c>
      <c r="G5794" s="3" t="n">
        <v>89500</v>
      </c>
    </row>
    <row r="5795">
      <c r="A5795" s="3" t="inlineStr">
        <is>
          <t>Cape Projects Construction (Pty) Ltd</t>
        </is>
      </c>
      <c r="B5795" s="4" t="n">
        <v>45351</v>
      </c>
      <c r="C5795" s="3" t="inlineStr">
        <is>
          <t>Expenses</t>
        </is>
      </c>
      <c r="D5795" s="3" t="inlineStr">
        <is>
          <t>3400/000</t>
        </is>
      </c>
      <c r="E5795" s="3" t="inlineStr">
        <is>
          <t>Courier _AND_ Postage</t>
        </is>
      </c>
      <c r="F5795" s="3" t="n">
        <v>0</v>
      </c>
      <c r="G5795" s="3" t="n">
        <v>331.09</v>
      </c>
    </row>
    <row r="5796">
      <c r="A5796" s="3" t="inlineStr">
        <is>
          <t>Cape Projects Construction (Pty) Ltd</t>
        </is>
      </c>
      <c r="B5796" s="4" t="n">
        <v>45351</v>
      </c>
      <c r="C5796" s="3" t="inlineStr">
        <is>
          <t>Expenses</t>
        </is>
      </c>
      <c r="D5796" s="3" t="inlineStr">
        <is>
          <t>3450/001</t>
        </is>
      </c>
      <c r="E5796" s="3" t="inlineStr">
        <is>
          <t>Depreciation - Computer Equipment</t>
        </is>
      </c>
      <c r="F5796" s="3" t="n">
        <v>4705.18</v>
      </c>
      <c r="G5796" s="3" t="n">
        <v>46517.93</v>
      </c>
    </row>
    <row r="5797">
      <c r="A5797" s="3" t="inlineStr">
        <is>
          <t>Cape Projects Construction (Pty) Ltd</t>
        </is>
      </c>
      <c r="B5797" s="4" t="n">
        <v>45351</v>
      </c>
      <c r="C5797" s="3" t="inlineStr">
        <is>
          <t>Expenses</t>
        </is>
      </c>
      <c r="D5797" s="3" t="inlineStr">
        <is>
          <t>3450/002</t>
        </is>
      </c>
      <c r="E5797" s="3" t="inlineStr">
        <is>
          <t>Depreciation - Generator Fixed Asset</t>
        </is>
      </c>
      <c r="F5797" s="3" t="n">
        <v>1188.7</v>
      </c>
      <c r="G5797" s="3" t="n">
        <v>12273.67</v>
      </c>
    </row>
    <row r="5798">
      <c r="A5798" s="3" t="inlineStr">
        <is>
          <t>Cape Projects Construction (Pty) Ltd</t>
        </is>
      </c>
      <c r="B5798" s="4" t="n">
        <v>45351</v>
      </c>
      <c r="C5798" s="3" t="inlineStr">
        <is>
          <t>Expenses</t>
        </is>
      </c>
      <c r="D5798" s="3" t="inlineStr">
        <is>
          <t>3450/030</t>
        </is>
      </c>
      <c r="E5798" s="3" t="inlineStr">
        <is>
          <t>Depreciation - Furniture and Fittings</t>
        </is>
      </c>
      <c r="F5798" s="3" t="n">
        <v>547.67</v>
      </c>
      <c r="G5798" s="3" t="n">
        <v>6572.12</v>
      </c>
    </row>
    <row r="5799">
      <c r="A5799" s="3" t="inlineStr">
        <is>
          <t>Heron Fields (Pty) Ltd</t>
        </is>
      </c>
      <c r="B5799" s="4" t="n">
        <v>45351</v>
      </c>
      <c r="C5799" s="3" t="inlineStr">
        <is>
          <t>Expenses</t>
        </is>
      </c>
      <c r="D5799" s="3" t="inlineStr">
        <is>
          <t>3650/000</t>
        </is>
      </c>
      <c r="E5799" s="3" t="inlineStr">
        <is>
          <t>CoCT - Electricity</t>
        </is>
      </c>
      <c r="F5799" s="3" t="n">
        <v>0</v>
      </c>
      <c r="G5799" s="3" t="n">
        <v>223859.69</v>
      </c>
    </row>
    <row r="5800">
      <c r="A5800" s="3" t="inlineStr">
        <is>
          <t>Cape Projects Construction (Pty) Ltd</t>
        </is>
      </c>
      <c r="B5800" s="4" t="n">
        <v>45351</v>
      </c>
      <c r="C5800" s="3" t="inlineStr">
        <is>
          <t>Expenses</t>
        </is>
      </c>
      <c r="D5800" s="3" t="inlineStr">
        <is>
          <t>3650/000</t>
        </is>
      </c>
      <c r="E5800" s="3" t="inlineStr">
        <is>
          <t>Electricity _AND_ Water</t>
        </is>
      </c>
      <c r="F5800" s="3" t="n">
        <v>8076.25</v>
      </c>
      <c r="G5800" s="3" t="n">
        <v>84356.31</v>
      </c>
    </row>
    <row r="5801">
      <c r="A5801" s="3" t="inlineStr">
        <is>
          <t>Heron Fields (Pty) Ltd</t>
        </is>
      </c>
      <c r="B5801" s="4" t="n">
        <v>45351</v>
      </c>
      <c r="C5801" s="3" t="inlineStr">
        <is>
          <t>Expenses</t>
        </is>
      </c>
      <c r="D5801" s="3" t="inlineStr">
        <is>
          <t>3660/000</t>
        </is>
      </c>
      <c r="E5801" s="3" t="inlineStr">
        <is>
          <t>CoCT - Water</t>
        </is>
      </c>
      <c r="F5801" s="3" t="n">
        <v>0</v>
      </c>
      <c r="G5801" s="3" t="n">
        <v>94012.10000000001</v>
      </c>
    </row>
    <row r="5802">
      <c r="A5802" s="3" t="inlineStr">
        <is>
          <t>Heron View (Pty) Ltd</t>
        </is>
      </c>
      <c r="B5802" s="4" t="n">
        <v>45351</v>
      </c>
      <c r="C5802" s="3" t="inlineStr">
        <is>
          <t>Expenses</t>
        </is>
      </c>
      <c r="D5802" s="3" t="inlineStr">
        <is>
          <t>3660/000</t>
        </is>
      </c>
      <c r="E5802" s="3" t="inlineStr">
        <is>
          <t>Water</t>
        </is>
      </c>
      <c r="F5802" s="3" t="n">
        <v>127.69</v>
      </c>
      <c r="G5802" s="3" t="n">
        <v>147.33</v>
      </c>
    </row>
    <row r="5803">
      <c r="A5803" s="3" t="inlineStr">
        <is>
          <t>Heron Fields (Pty) Ltd</t>
        </is>
      </c>
      <c r="B5803" s="4" t="n">
        <v>45351</v>
      </c>
      <c r="C5803" s="3" t="inlineStr">
        <is>
          <t>Expenses</t>
        </is>
      </c>
      <c r="D5803" s="3" t="inlineStr">
        <is>
          <t>3670/000</t>
        </is>
      </c>
      <c r="E5803" s="3" t="inlineStr">
        <is>
          <t>CoCT - Refuse</t>
        </is>
      </c>
      <c r="F5803" s="3" t="n">
        <v>0</v>
      </c>
      <c r="G5803" s="3" t="n">
        <v>46978.37</v>
      </c>
    </row>
    <row r="5804">
      <c r="A5804" s="3" t="inlineStr">
        <is>
          <t>Cape Projects Construction (Pty) Ltd</t>
        </is>
      </c>
      <c r="B5804" s="4" t="n">
        <v>45351</v>
      </c>
      <c r="C5804" s="3" t="inlineStr">
        <is>
          <t>Expenses</t>
        </is>
      </c>
      <c r="D5804" s="3" t="inlineStr">
        <is>
          <t>3700/000</t>
        </is>
      </c>
      <c r="E5804" s="3" t="inlineStr">
        <is>
          <t>Entertainment Expenses</t>
        </is>
      </c>
      <c r="F5804" s="3" t="n">
        <v>84</v>
      </c>
      <c r="G5804" s="3" t="n">
        <v>84</v>
      </c>
    </row>
    <row r="5805">
      <c r="A5805" s="3" t="inlineStr">
        <is>
          <t>Heron Fields (Pty) Ltd</t>
        </is>
      </c>
      <c r="B5805" s="4" t="n">
        <v>45351</v>
      </c>
      <c r="C5805" s="3" t="inlineStr">
        <is>
          <t>Expenses</t>
        </is>
      </c>
      <c r="D5805" s="3" t="inlineStr">
        <is>
          <t>3700/000</t>
        </is>
      </c>
      <c r="E5805" s="3" t="inlineStr">
        <is>
          <t>Entertainment Expenses</t>
        </is>
      </c>
      <c r="F5805" s="3" t="n">
        <v>0</v>
      </c>
      <c r="G5805" s="3" t="n">
        <v>39.47</v>
      </c>
    </row>
    <row r="5806">
      <c r="A5806" s="3" t="inlineStr">
        <is>
          <t>Cape Projects Construction (Pty) Ltd</t>
        </is>
      </c>
      <c r="B5806" s="4" t="n">
        <v>45351</v>
      </c>
      <c r="C5806" s="3" t="inlineStr">
        <is>
          <t>Expenses</t>
        </is>
      </c>
      <c r="D5806" s="3" t="inlineStr">
        <is>
          <t>3800/000</t>
        </is>
      </c>
      <c r="E5806" s="3" t="inlineStr">
        <is>
          <t>General Expenses</t>
        </is>
      </c>
      <c r="F5806" s="3" t="n">
        <v>109.95</v>
      </c>
      <c r="G5806" s="3" t="n">
        <v>109.95</v>
      </c>
    </row>
    <row r="5807">
      <c r="A5807" s="3" t="inlineStr">
        <is>
          <t>Heron Fields (Pty) Ltd</t>
        </is>
      </c>
      <c r="B5807" s="4" t="n">
        <v>45351</v>
      </c>
      <c r="C5807" s="3" t="inlineStr">
        <is>
          <t>Expenses</t>
        </is>
      </c>
      <c r="D5807" s="3" t="inlineStr">
        <is>
          <t>3800/000</t>
        </is>
      </c>
      <c r="E5807" s="3" t="inlineStr">
        <is>
          <t>General Expenses</t>
        </is>
      </c>
      <c r="F5807" s="3" t="n">
        <v>0</v>
      </c>
      <c r="G5807" s="3" t="n">
        <v>3156.51</v>
      </c>
    </row>
    <row r="5808">
      <c r="A5808" s="3" t="inlineStr">
        <is>
          <t>Cape Projects Construction (Pty) Ltd</t>
        </is>
      </c>
      <c r="B5808" s="4" t="n">
        <v>45351</v>
      </c>
      <c r="C5808" s="3" t="inlineStr">
        <is>
          <t>Expenses</t>
        </is>
      </c>
      <c r="D5808" s="3" t="inlineStr">
        <is>
          <t>3800/010</t>
        </is>
      </c>
      <c r="E5808" s="3" t="inlineStr">
        <is>
          <t>General Expenses - Gifts</t>
        </is>
      </c>
      <c r="F5808" s="3" t="n">
        <v>3478.26</v>
      </c>
      <c r="G5808" s="3" t="n">
        <v>3583.26</v>
      </c>
    </row>
    <row r="5809">
      <c r="A5809" s="3" t="inlineStr">
        <is>
          <t>Heron Fields (Pty) Ltd</t>
        </is>
      </c>
      <c r="B5809" s="4" t="n">
        <v>45351</v>
      </c>
      <c r="C5809" s="3" t="inlineStr">
        <is>
          <t>Expenses</t>
        </is>
      </c>
      <c r="D5809" s="3" t="inlineStr">
        <is>
          <t>3850/000</t>
        </is>
      </c>
      <c r="E5809" s="3" t="inlineStr">
        <is>
          <t>Insurance</t>
        </is>
      </c>
      <c r="F5809" s="3" t="n">
        <v>15124.94</v>
      </c>
      <c r="G5809" s="3" t="n">
        <v>132571.96</v>
      </c>
    </row>
    <row r="5810">
      <c r="A5810" s="3" t="inlineStr">
        <is>
          <t>Cape Projects Construction (Pty) Ltd</t>
        </is>
      </c>
      <c r="B5810" s="4" t="n">
        <v>45351</v>
      </c>
      <c r="C5810" s="3" t="inlineStr">
        <is>
          <t>Expenses</t>
        </is>
      </c>
      <c r="D5810" s="3" t="inlineStr">
        <is>
          <t>3850/001</t>
        </is>
      </c>
      <c r="E5810" s="3" t="inlineStr">
        <is>
          <t>Insurance - Santam</t>
        </is>
      </c>
      <c r="F5810" s="3" t="n">
        <v>2828.34</v>
      </c>
      <c r="G5810" s="3" t="n">
        <v>27607.83</v>
      </c>
    </row>
    <row r="5811">
      <c r="A5811" s="3" t="inlineStr">
        <is>
          <t>Cape Projects Construction (Pty) Ltd</t>
        </is>
      </c>
      <c r="B5811" s="4" t="n">
        <v>45351</v>
      </c>
      <c r="C5811" s="3" t="inlineStr">
        <is>
          <t>Expenses</t>
        </is>
      </c>
      <c r="D5811" s="3" t="inlineStr">
        <is>
          <t>3850/004</t>
        </is>
      </c>
      <c r="E5811" s="3" t="inlineStr">
        <is>
          <t>Insurance - A_AND_G</t>
        </is>
      </c>
      <c r="F5811" s="3" t="n">
        <v>0</v>
      </c>
      <c r="G5811" s="3" t="n">
        <v>24242.76</v>
      </c>
    </row>
    <row r="5812">
      <c r="A5812" s="3" t="inlineStr">
        <is>
          <t>Heron Fields (Pty) Ltd</t>
        </is>
      </c>
      <c r="B5812" s="4" t="n">
        <v>45351</v>
      </c>
      <c r="C5812" s="3" t="inlineStr">
        <is>
          <t>Expenses</t>
        </is>
      </c>
      <c r="D5812" s="3" t="inlineStr">
        <is>
          <t>3900/000</t>
        </is>
      </c>
      <c r="E5812" s="3" t="inlineStr">
        <is>
          <t>Interest Paid</t>
        </is>
      </c>
      <c r="F5812" s="3" t="n">
        <v>0</v>
      </c>
      <c r="G5812" s="3" t="n">
        <v>-533.8</v>
      </c>
    </row>
    <row r="5813">
      <c r="A5813" s="3" t="inlineStr">
        <is>
          <t>Heron Fields (Pty) Ltd</t>
        </is>
      </c>
      <c r="B5813" s="4" t="n">
        <v>45351</v>
      </c>
      <c r="C5813" s="3" t="inlineStr">
        <is>
          <t>Expenses</t>
        </is>
      </c>
      <c r="D5813" s="3" t="inlineStr">
        <is>
          <t>3900/111</t>
        </is>
      </c>
      <c r="E5813" s="3" t="inlineStr">
        <is>
          <t>Interest Paid - Investors @ 6.25%</t>
        </is>
      </c>
      <c r="F5813" s="3" t="n">
        <v>0</v>
      </c>
      <c r="G5813" s="3" t="n">
        <v>167246.17</v>
      </c>
    </row>
    <row r="5814">
      <c r="A5814" s="3" t="inlineStr">
        <is>
          <t>Heron Fields (Pty) Ltd</t>
        </is>
      </c>
      <c r="B5814" s="4" t="n">
        <v>45351</v>
      </c>
      <c r="C5814" s="3" t="inlineStr">
        <is>
          <t>Expenses</t>
        </is>
      </c>
      <c r="D5814" s="3" t="inlineStr">
        <is>
          <t>3900/115</t>
        </is>
      </c>
      <c r="E5814" s="3" t="inlineStr">
        <is>
          <t>Interest Paid - Investors @ 6.5%</t>
        </is>
      </c>
      <c r="F5814" s="3" t="n">
        <v>0</v>
      </c>
      <c r="G5814" s="3" t="n">
        <v>72942.48</v>
      </c>
    </row>
    <row r="5815">
      <c r="A5815" s="3" t="inlineStr">
        <is>
          <t>Heron Fields (Pty) Ltd</t>
        </is>
      </c>
      <c r="B5815" s="4" t="n">
        <v>45351</v>
      </c>
      <c r="C5815" s="3" t="inlineStr">
        <is>
          <t>Expenses</t>
        </is>
      </c>
      <c r="D5815" s="3" t="inlineStr">
        <is>
          <t>3900/117</t>
        </is>
      </c>
      <c r="E5815" s="3" t="inlineStr">
        <is>
          <t>Interest Paid - Investors @ 6.75%</t>
        </is>
      </c>
      <c r="F5815" s="3" t="n">
        <v>0</v>
      </c>
      <c r="G5815" s="3" t="n">
        <v>44124.67</v>
      </c>
    </row>
    <row r="5816">
      <c r="A5816" s="3" t="inlineStr">
        <is>
          <t>Heron Fields (Pty) Ltd</t>
        </is>
      </c>
      <c r="B5816" s="4" t="n">
        <v>45351</v>
      </c>
      <c r="C5816" s="3" t="inlineStr">
        <is>
          <t>Expenses</t>
        </is>
      </c>
      <c r="D5816" s="3" t="inlineStr">
        <is>
          <t>3900/120</t>
        </is>
      </c>
      <c r="E5816" s="3" t="inlineStr">
        <is>
          <t>Interest Paid - Investors @ 7%</t>
        </is>
      </c>
      <c r="F5816" s="3" t="n">
        <v>0</v>
      </c>
      <c r="G5816" s="3" t="n">
        <v>11678.33</v>
      </c>
    </row>
    <row r="5817">
      <c r="A5817" s="3" t="inlineStr">
        <is>
          <t>Heron View (Pty) Ltd</t>
        </is>
      </c>
      <c r="B5817" s="4" t="n">
        <v>45351</v>
      </c>
      <c r="C5817" s="3" t="inlineStr">
        <is>
          <t>Expenses</t>
        </is>
      </c>
      <c r="D5817" s="3" t="inlineStr">
        <is>
          <t>3900/120</t>
        </is>
      </c>
      <c r="E5817" s="3" t="inlineStr">
        <is>
          <t>Interest Paid - Investors @ 7%</t>
        </is>
      </c>
      <c r="F5817" s="3" t="n">
        <v>15655.2</v>
      </c>
      <c r="G5817" s="3" t="n">
        <v>27582.91</v>
      </c>
    </row>
    <row r="5818">
      <c r="A5818" s="3" t="inlineStr">
        <is>
          <t>Heron Fields (Pty) Ltd</t>
        </is>
      </c>
      <c r="B5818" s="4" t="n">
        <v>45351</v>
      </c>
      <c r="C5818" s="3" t="inlineStr">
        <is>
          <t>Expenses</t>
        </is>
      </c>
      <c r="D5818" s="3" t="inlineStr">
        <is>
          <t>3900/126</t>
        </is>
      </c>
      <c r="E5818" s="3" t="inlineStr">
        <is>
          <t>Interest Paid - Investors @ 7.5%</t>
        </is>
      </c>
      <c r="F5818" s="3" t="n">
        <v>0</v>
      </c>
      <c r="G5818" s="3" t="n">
        <v>1252.24</v>
      </c>
    </row>
    <row r="5819">
      <c r="A5819" s="3" t="inlineStr">
        <is>
          <t>Heron View (Pty) Ltd</t>
        </is>
      </c>
      <c r="B5819" s="4" t="n">
        <v>45351</v>
      </c>
      <c r="C5819" s="3" t="inlineStr">
        <is>
          <t>Expenses</t>
        </is>
      </c>
      <c r="D5819" s="3" t="inlineStr">
        <is>
          <t>3900/126</t>
        </is>
      </c>
      <c r="E5819" s="3" t="inlineStr">
        <is>
          <t>Interest Paid - Investors @ 7.5%</t>
        </is>
      </c>
      <c r="F5819" s="3" t="n">
        <v>25147.09</v>
      </c>
      <c r="G5819" s="3" t="n">
        <v>56155.99</v>
      </c>
    </row>
    <row r="5820">
      <c r="A5820" s="3" t="inlineStr">
        <is>
          <t>Heron Fields (Pty) Ltd</t>
        </is>
      </c>
      <c r="B5820" s="4" t="n">
        <v>45351</v>
      </c>
      <c r="C5820" s="3" t="inlineStr">
        <is>
          <t>Expenses</t>
        </is>
      </c>
      <c r="D5820" s="3" t="inlineStr">
        <is>
          <t>3900/133</t>
        </is>
      </c>
      <c r="E5820" s="3" t="inlineStr">
        <is>
          <t>Interest Paid - Investors @ 8.25%</t>
        </is>
      </c>
      <c r="F5820" s="3" t="n">
        <v>0</v>
      </c>
      <c r="G5820" s="3" t="n">
        <v>5515.07</v>
      </c>
    </row>
    <row r="5821">
      <c r="A5821" s="3" t="inlineStr">
        <is>
          <t>Heron View (Pty) Ltd</t>
        </is>
      </c>
      <c r="B5821" s="4" t="n">
        <v>45351</v>
      </c>
      <c r="C5821" s="3" t="inlineStr">
        <is>
          <t>Expenses</t>
        </is>
      </c>
      <c r="D5821" s="3" t="inlineStr">
        <is>
          <t>3900/133</t>
        </is>
      </c>
      <c r="E5821" s="3" t="inlineStr">
        <is>
          <t>Interest Paid - Investors @ 8.25%</t>
        </is>
      </c>
      <c r="F5821" s="3" t="n">
        <v>4972.6</v>
      </c>
      <c r="G5821" s="3" t="n">
        <v>38706.9</v>
      </c>
    </row>
    <row r="5822">
      <c r="A5822" s="3" t="inlineStr">
        <is>
          <t>Heron Fields (Pty) Ltd</t>
        </is>
      </c>
      <c r="B5822" s="4" t="n">
        <v>45351</v>
      </c>
      <c r="C5822" s="3" t="inlineStr">
        <is>
          <t>Expenses</t>
        </is>
      </c>
      <c r="D5822" s="3" t="inlineStr">
        <is>
          <t>3900/140</t>
        </is>
      </c>
      <c r="E5822" s="3" t="inlineStr">
        <is>
          <t>Interest Paid - Investors @ 9%</t>
        </is>
      </c>
      <c r="F5822" s="3" t="n">
        <v>0</v>
      </c>
      <c r="G5822" s="3" t="n">
        <v>591.78</v>
      </c>
    </row>
    <row r="5823">
      <c r="A5823" s="3" t="inlineStr">
        <is>
          <t>Heron View (Pty) Ltd</t>
        </is>
      </c>
      <c r="B5823" s="4" t="n">
        <v>45351</v>
      </c>
      <c r="C5823" s="3" t="inlineStr">
        <is>
          <t>Expenses</t>
        </is>
      </c>
      <c r="D5823" s="3" t="inlineStr">
        <is>
          <t>3900/140</t>
        </is>
      </c>
      <c r="E5823" s="3" t="inlineStr">
        <is>
          <t>Interest Paid - Investors @ 9%</t>
        </is>
      </c>
      <c r="F5823" s="3" t="n">
        <v>0</v>
      </c>
      <c r="G5823" s="3" t="n">
        <v>69137.8</v>
      </c>
    </row>
    <row r="5824">
      <c r="A5824" s="3" t="inlineStr">
        <is>
          <t>Heron View (Pty) Ltd</t>
        </is>
      </c>
      <c r="B5824" s="4" t="n">
        <v>45351</v>
      </c>
      <c r="C5824" s="3" t="inlineStr">
        <is>
          <t>Expenses</t>
        </is>
      </c>
      <c r="D5824" s="3" t="inlineStr">
        <is>
          <t>3900/147</t>
        </is>
      </c>
      <c r="E5824" s="3" t="inlineStr">
        <is>
          <t>Interest Paid - Investors @ 9.75%</t>
        </is>
      </c>
      <c r="F5824" s="3" t="n">
        <v>1909.93</v>
      </c>
      <c r="G5824" s="3" t="n">
        <v>4447.83</v>
      </c>
    </row>
    <row r="5825">
      <c r="A5825" s="3" t="inlineStr">
        <is>
          <t>Heron View (Pty) Ltd</t>
        </is>
      </c>
      <c r="B5825" s="4" t="n">
        <v>45351</v>
      </c>
      <c r="C5825" s="3" t="inlineStr">
        <is>
          <t>Expenses</t>
        </is>
      </c>
      <c r="D5825" s="3" t="inlineStr">
        <is>
          <t>3900/150</t>
        </is>
      </c>
      <c r="E5825" s="3" t="inlineStr">
        <is>
          <t>Interest Paid - Investors @ 10%</t>
        </is>
      </c>
      <c r="F5825" s="3" t="n">
        <v>3821.92</v>
      </c>
      <c r="G5825" s="3" t="n">
        <v>9531.51</v>
      </c>
    </row>
    <row r="5826">
      <c r="A5826" s="3" t="inlineStr">
        <is>
          <t>Heron View (Pty) Ltd</t>
        </is>
      </c>
      <c r="B5826" s="4" t="n">
        <v>45351</v>
      </c>
      <c r="C5826" s="3" t="inlineStr">
        <is>
          <t>Expenses</t>
        </is>
      </c>
      <c r="D5826" s="3" t="inlineStr">
        <is>
          <t>3900/155</t>
        </is>
      </c>
      <c r="E5826" s="3" t="inlineStr">
        <is>
          <t>Interest Paid - Investors @ 10.5%</t>
        </is>
      </c>
      <c r="F5826" s="3" t="n">
        <v>0</v>
      </c>
      <c r="G5826" s="3" t="n">
        <v>19334.38</v>
      </c>
    </row>
    <row r="5827">
      <c r="A5827" s="3" t="inlineStr">
        <is>
          <t>Heron View (Pty) Ltd</t>
        </is>
      </c>
      <c r="B5827" s="4" t="n">
        <v>45351</v>
      </c>
      <c r="C5827" s="3" t="inlineStr">
        <is>
          <t>Expenses</t>
        </is>
      </c>
      <c r="D5827" s="3" t="inlineStr">
        <is>
          <t>3900/160</t>
        </is>
      </c>
      <c r="E5827" s="3" t="inlineStr">
        <is>
          <t>Interest Paid - Investors @ 11%</t>
        </is>
      </c>
      <c r="F5827" s="3" t="n">
        <v>0</v>
      </c>
      <c r="G5827" s="3" t="n">
        <v>9131.51</v>
      </c>
    </row>
    <row r="5828">
      <c r="A5828" s="3" t="inlineStr">
        <is>
          <t>Heron Fields (Pty) Ltd</t>
        </is>
      </c>
      <c r="B5828" s="4" t="n">
        <v>45351</v>
      </c>
      <c r="C5828" s="3" t="inlineStr">
        <is>
          <t>Expenses</t>
        </is>
      </c>
      <c r="D5828" s="3" t="inlineStr">
        <is>
          <t>3900/190</t>
        </is>
      </c>
      <c r="E5828" s="3" t="inlineStr">
        <is>
          <t>Interest Paid - Investors @ 14%</t>
        </is>
      </c>
      <c r="F5828" s="3" t="n">
        <v>0</v>
      </c>
      <c r="G5828" s="3" t="n">
        <v>400367.2</v>
      </c>
    </row>
    <row r="5829">
      <c r="A5829" s="3" t="inlineStr">
        <is>
          <t>Heron View (Pty) Ltd</t>
        </is>
      </c>
      <c r="B5829" s="4" t="n">
        <v>45351</v>
      </c>
      <c r="C5829" s="3" t="inlineStr">
        <is>
          <t>Expenses</t>
        </is>
      </c>
      <c r="D5829" s="3" t="inlineStr">
        <is>
          <t>3900/190</t>
        </is>
      </c>
      <c r="E5829" s="3" t="inlineStr">
        <is>
          <t>Interest Paid - Investors @ 14%</t>
        </is>
      </c>
      <c r="F5829" s="3" t="n">
        <v>262448.15</v>
      </c>
      <c r="G5829" s="3" t="n">
        <v>946346.78</v>
      </c>
    </row>
    <row r="5830">
      <c r="A5830" s="3" t="inlineStr">
        <is>
          <t>Heron Fields (Pty) Ltd</t>
        </is>
      </c>
      <c r="B5830" s="4" t="n">
        <v>45351</v>
      </c>
      <c r="C5830" s="3" t="inlineStr">
        <is>
          <t>Expenses</t>
        </is>
      </c>
      <c r="D5830" s="3" t="inlineStr">
        <is>
          <t>3900/200</t>
        </is>
      </c>
      <c r="E5830" s="3" t="inlineStr">
        <is>
          <t>Interest Paid - Investors @ 15%</t>
        </is>
      </c>
      <c r="F5830" s="3" t="n">
        <v>0</v>
      </c>
      <c r="G5830" s="3" t="n">
        <v>333349.31</v>
      </c>
    </row>
    <row r="5831">
      <c r="A5831" s="3" t="inlineStr">
        <is>
          <t>Heron Fields (Pty) Ltd</t>
        </is>
      </c>
      <c r="B5831" s="4" t="n">
        <v>45351</v>
      </c>
      <c r="C5831" s="3" t="inlineStr">
        <is>
          <t>Expenses</t>
        </is>
      </c>
      <c r="D5831" s="3" t="inlineStr">
        <is>
          <t>3900/210</t>
        </is>
      </c>
      <c r="E5831" s="3" t="inlineStr">
        <is>
          <t>Interest Paid - Investors @ 16%</t>
        </is>
      </c>
      <c r="F5831" s="3" t="n">
        <v>0</v>
      </c>
      <c r="G5831" s="3" t="n">
        <v>47473.98</v>
      </c>
    </row>
    <row r="5832">
      <c r="A5832" s="3" t="inlineStr">
        <is>
          <t>Heron View (Pty) Ltd</t>
        </is>
      </c>
      <c r="B5832" s="4" t="n">
        <v>45351</v>
      </c>
      <c r="C5832" s="3" t="inlineStr">
        <is>
          <t>Expenses</t>
        </is>
      </c>
      <c r="D5832" s="3" t="inlineStr">
        <is>
          <t>3900/210</t>
        </is>
      </c>
      <c r="E5832" s="3" t="inlineStr">
        <is>
          <t>Interest Paid - Investors @ 16%</t>
        </is>
      </c>
      <c r="F5832" s="3" t="n">
        <v>314189.8</v>
      </c>
      <c r="G5832" s="3" t="n">
        <v>587995.8199999999</v>
      </c>
    </row>
    <row r="5833">
      <c r="A5833" s="3" t="inlineStr">
        <is>
          <t>Heron Fields (Pty) Ltd</t>
        </is>
      </c>
      <c r="B5833" s="4" t="n">
        <v>45351</v>
      </c>
      <c r="C5833" s="3" t="inlineStr">
        <is>
          <t>Expenses</t>
        </is>
      </c>
      <c r="D5833" s="3" t="inlineStr">
        <is>
          <t>3900/230</t>
        </is>
      </c>
      <c r="E5833" s="3" t="inlineStr">
        <is>
          <t>Interest Paid - Investors @ 18%</t>
        </is>
      </c>
      <c r="F5833" s="3" t="n">
        <v>0</v>
      </c>
      <c r="G5833" s="3" t="n">
        <v>3197167.68</v>
      </c>
    </row>
    <row r="5834">
      <c r="A5834" s="3" t="inlineStr">
        <is>
          <t>Heron View (Pty) Ltd</t>
        </is>
      </c>
      <c r="B5834" s="4" t="n">
        <v>45351</v>
      </c>
      <c r="C5834" s="3" t="inlineStr">
        <is>
          <t>Expenses</t>
        </is>
      </c>
      <c r="D5834" s="3" t="inlineStr">
        <is>
          <t>3900/230</t>
        </is>
      </c>
      <c r="E5834" s="3" t="inlineStr">
        <is>
          <t>Interest Paid - Investors @ 18%</t>
        </is>
      </c>
      <c r="F5834" s="3" t="n">
        <v>1540729.37</v>
      </c>
      <c r="G5834" s="3" t="n">
        <v>4464355.09</v>
      </c>
    </row>
    <row r="5835">
      <c r="A5835" s="3" t="inlineStr">
        <is>
          <t>Cape Projects Construction (Pty) Ltd</t>
        </is>
      </c>
      <c r="B5835" s="4" t="n">
        <v>45351</v>
      </c>
      <c r="C5835" s="3" t="inlineStr">
        <is>
          <t>Expenses</t>
        </is>
      </c>
      <c r="D5835" s="3" t="inlineStr">
        <is>
          <t>4000/000</t>
        </is>
      </c>
      <c r="E5835" s="3" t="inlineStr">
        <is>
          <t>Legal Fees</t>
        </is>
      </c>
      <c r="F5835" s="3" t="n">
        <v>0</v>
      </c>
      <c r="G5835" s="3" t="n">
        <v>5202.88</v>
      </c>
    </row>
    <row r="5836">
      <c r="A5836" s="3" t="inlineStr">
        <is>
          <t>Heron View (Pty) Ltd</t>
        </is>
      </c>
      <c r="B5836" s="4" t="n">
        <v>45351</v>
      </c>
      <c r="C5836" s="3" t="inlineStr">
        <is>
          <t>Expenses</t>
        </is>
      </c>
      <c r="D5836" s="3" t="inlineStr">
        <is>
          <t>4040/000</t>
        </is>
      </c>
      <c r="E5836" s="3" t="inlineStr">
        <is>
          <t>Levies - Special Levies</t>
        </is>
      </c>
      <c r="F5836" s="3" t="n">
        <v>0</v>
      </c>
      <c r="G5836" s="3" t="n">
        <v>66011.50999999999</v>
      </c>
    </row>
    <row r="5837">
      <c r="A5837" s="3" t="inlineStr">
        <is>
          <t>Heron View (Pty) Ltd</t>
        </is>
      </c>
      <c r="B5837" s="4" t="n">
        <v>45351</v>
      </c>
      <c r="C5837" s="3" t="inlineStr">
        <is>
          <t>Expenses</t>
        </is>
      </c>
      <c r="D5837" s="3" t="inlineStr">
        <is>
          <t>4050/000</t>
        </is>
      </c>
      <c r="E5837" s="3" t="inlineStr">
        <is>
          <t>Levies</t>
        </is>
      </c>
      <c r="F5837" s="3" t="n">
        <v>5189</v>
      </c>
      <c r="G5837" s="3" t="n">
        <v>10049.54</v>
      </c>
    </row>
    <row r="5838">
      <c r="A5838" s="3" t="inlineStr">
        <is>
          <t>Heron Fields (Pty) Ltd</t>
        </is>
      </c>
      <c r="B5838" s="4" t="n">
        <v>45351</v>
      </c>
      <c r="C5838" s="3" t="inlineStr">
        <is>
          <t>Expenses</t>
        </is>
      </c>
      <c r="D5838" s="3" t="inlineStr">
        <is>
          <t>4050/100</t>
        </is>
      </c>
      <c r="E5838" s="3" t="inlineStr">
        <is>
          <t>Developers Levies</t>
        </is>
      </c>
      <c r="F5838" s="3" t="n">
        <v>0</v>
      </c>
      <c r="G5838" s="3" t="n">
        <v>76865.83</v>
      </c>
    </row>
    <row r="5839">
      <c r="A5839" s="3" t="inlineStr">
        <is>
          <t>Heron Fields (Pty) Ltd</t>
        </is>
      </c>
      <c r="B5839" s="4" t="n">
        <v>45351</v>
      </c>
      <c r="C5839" s="3" t="inlineStr">
        <is>
          <t>Expenses</t>
        </is>
      </c>
      <c r="D5839" s="3" t="inlineStr">
        <is>
          <t>4050/200</t>
        </is>
      </c>
      <c r="E5839" s="3" t="inlineStr">
        <is>
          <t>Levies - Amari</t>
        </is>
      </c>
      <c r="F5839" s="3" t="n">
        <v>96.59999999999999</v>
      </c>
      <c r="G5839" s="3" t="n">
        <v>28169.52</v>
      </c>
    </row>
    <row r="5840">
      <c r="A5840" s="3" t="inlineStr">
        <is>
          <t>Heron View (Pty) Ltd</t>
        </is>
      </c>
      <c r="B5840" s="4" t="n">
        <v>45351</v>
      </c>
      <c r="C5840" s="3" t="inlineStr">
        <is>
          <t>Expenses</t>
        </is>
      </c>
      <c r="D5840" s="3" t="inlineStr">
        <is>
          <t>4060/000</t>
        </is>
      </c>
      <c r="E5840" s="3" t="inlineStr">
        <is>
          <t>Levies - Developer</t>
        </is>
      </c>
      <c r="F5840" s="3" t="n">
        <v>0</v>
      </c>
      <c r="G5840" s="3" t="n">
        <v>11879.1</v>
      </c>
    </row>
    <row r="5841">
      <c r="A5841" s="3" t="inlineStr">
        <is>
          <t>Heron View (Pty) Ltd</t>
        </is>
      </c>
      <c r="B5841" s="4" t="n">
        <v>45351</v>
      </c>
      <c r="C5841" s="3" t="inlineStr">
        <is>
          <t>Expenses</t>
        </is>
      </c>
      <c r="D5841" s="3" t="inlineStr">
        <is>
          <t>4070/000</t>
        </is>
      </c>
      <c r="E5841" s="3" t="inlineStr">
        <is>
          <t>Management fees - OMH</t>
        </is>
      </c>
      <c r="F5841" s="3" t="n">
        <v>0</v>
      </c>
      <c r="G5841" s="3" t="n">
        <v>400000</v>
      </c>
    </row>
    <row r="5842">
      <c r="A5842" s="3" t="inlineStr">
        <is>
          <t>Heron Fields (Pty) Ltd</t>
        </is>
      </c>
      <c r="B5842" s="4" t="n">
        <v>45351</v>
      </c>
      <c r="C5842" s="3" t="inlineStr">
        <is>
          <t>Expenses</t>
        </is>
      </c>
      <c r="D5842" s="3" t="inlineStr">
        <is>
          <t>4100/001</t>
        </is>
      </c>
      <c r="E5842" s="3" t="inlineStr">
        <is>
          <t>Momentum Admin Fee</t>
        </is>
      </c>
      <c r="F5842" s="3" t="n">
        <v>6479.02</v>
      </c>
      <c r="G5842" s="3" t="n">
        <v>135135.09</v>
      </c>
    </row>
    <row r="5843">
      <c r="A5843" s="3" t="inlineStr">
        <is>
          <t>Cape Projects Construction (Pty) Ltd</t>
        </is>
      </c>
      <c r="B5843" s="4" t="n">
        <v>45351</v>
      </c>
      <c r="C5843" s="3" t="inlineStr">
        <is>
          <t>Expenses</t>
        </is>
      </c>
      <c r="D5843" s="3" t="inlineStr">
        <is>
          <t>4150/000</t>
        </is>
      </c>
      <c r="E5843" s="3" t="inlineStr">
        <is>
          <t>Motor Vehicle Expenses</t>
        </is>
      </c>
      <c r="F5843" s="3" t="n">
        <v>0</v>
      </c>
      <c r="G5843" s="3" t="n">
        <v>362</v>
      </c>
    </row>
    <row r="5844">
      <c r="A5844" s="3" t="inlineStr">
        <is>
          <t>Heron Fields (Pty) Ltd</t>
        </is>
      </c>
      <c r="B5844" s="4" t="n">
        <v>45351</v>
      </c>
      <c r="C5844" s="3" t="inlineStr">
        <is>
          <t>Expenses</t>
        </is>
      </c>
      <c r="D5844" s="3" t="inlineStr">
        <is>
          <t>4150/000</t>
        </is>
      </c>
      <c r="E5844" s="3" t="inlineStr">
        <is>
          <t>Motor Vehicle Expenses</t>
        </is>
      </c>
      <c r="F5844" s="3" t="n">
        <v>0</v>
      </c>
      <c r="G5844" s="3" t="n">
        <v>20</v>
      </c>
    </row>
    <row r="5845">
      <c r="A5845" s="3" t="inlineStr">
        <is>
          <t>Cape Projects Construction (Pty) Ltd</t>
        </is>
      </c>
      <c r="B5845" s="4" t="n">
        <v>45351</v>
      </c>
      <c r="C5845" s="3" t="inlineStr">
        <is>
          <t>Expenses</t>
        </is>
      </c>
      <c r="D5845" s="3" t="inlineStr">
        <is>
          <t>4150/010</t>
        </is>
      </c>
      <c r="E5845" s="3" t="inlineStr">
        <is>
          <t>Motor Vehicle - Petrol _AND_ Oil</t>
        </is>
      </c>
      <c r="F5845" s="3" t="n">
        <v>561.08</v>
      </c>
      <c r="G5845" s="3" t="n">
        <v>41056.39</v>
      </c>
    </row>
    <row r="5846">
      <c r="A5846" s="3" t="inlineStr">
        <is>
          <t>Cape Projects Construction (Pty) Ltd</t>
        </is>
      </c>
      <c r="B5846" s="4" t="n">
        <v>45351</v>
      </c>
      <c r="C5846" s="3" t="inlineStr">
        <is>
          <t>Expenses</t>
        </is>
      </c>
      <c r="D5846" s="3" t="inlineStr">
        <is>
          <t>4150/020</t>
        </is>
      </c>
      <c r="E5846" s="3" t="inlineStr">
        <is>
          <t>Motor Vehicle - Repairs _AND_ Maint.</t>
        </is>
      </c>
      <c r="F5846" s="3" t="n">
        <v>0</v>
      </c>
      <c r="G5846" s="3" t="n">
        <v>3668.3</v>
      </c>
    </row>
    <row r="5847">
      <c r="A5847" s="3" t="inlineStr">
        <is>
          <t>Cape Projects Construction (Pty) Ltd</t>
        </is>
      </c>
      <c r="B5847" s="4" t="n">
        <v>45351</v>
      </c>
      <c r="C5847" s="3" t="inlineStr">
        <is>
          <t>Expenses</t>
        </is>
      </c>
      <c r="D5847" s="3" t="inlineStr">
        <is>
          <t>4150/030</t>
        </is>
      </c>
      <c r="E5847" s="3" t="inlineStr">
        <is>
          <t>Motor Vehicle - Insurance _AND_ Licence</t>
        </is>
      </c>
      <c r="F5847" s="3" t="n">
        <v>0</v>
      </c>
      <c r="G5847" s="3" t="n">
        <v>1069</v>
      </c>
    </row>
    <row r="5848">
      <c r="A5848" s="3" t="inlineStr">
        <is>
          <t>Cape Projects Construction (Pty) Ltd</t>
        </is>
      </c>
      <c r="B5848" s="4" t="n">
        <v>45351</v>
      </c>
      <c r="C5848" s="3" t="inlineStr">
        <is>
          <t>Expenses</t>
        </is>
      </c>
      <c r="D5848" s="3" t="inlineStr">
        <is>
          <t>4200/000</t>
        </is>
      </c>
      <c r="E5848" s="3" t="inlineStr">
        <is>
          <t>Printing _AND_ Stationery</t>
        </is>
      </c>
      <c r="F5848" s="3" t="n">
        <v>3720.45</v>
      </c>
      <c r="G5848" s="3" t="n">
        <v>48868.39</v>
      </c>
    </row>
    <row r="5849">
      <c r="A5849" s="3" t="inlineStr">
        <is>
          <t>Cape Projects Construction (Pty) Ltd</t>
        </is>
      </c>
      <c r="B5849" s="4" t="n">
        <v>45351</v>
      </c>
      <c r="C5849" s="3" t="inlineStr">
        <is>
          <t>Expenses</t>
        </is>
      </c>
      <c r="D5849" s="3" t="inlineStr">
        <is>
          <t>4201/000</t>
        </is>
      </c>
      <c r="E5849" s="3" t="inlineStr">
        <is>
          <t>Printing - Printer rental</t>
        </is>
      </c>
      <c r="F5849" s="3" t="n">
        <v>2568.41</v>
      </c>
      <c r="G5849" s="3" t="n">
        <v>26257.92</v>
      </c>
    </row>
    <row r="5850">
      <c r="A5850" s="3" t="inlineStr">
        <is>
          <t>Cape Projects Construction (Pty) Ltd</t>
        </is>
      </c>
      <c r="B5850" s="4" t="n">
        <v>45351</v>
      </c>
      <c r="C5850" s="3" t="inlineStr">
        <is>
          <t>Expenses</t>
        </is>
      </c>
      <c r="D5850" s="3" t="inlineStr">
        <is>
          <t>4300/000</t>
        </is>
      </c>
      <c r="E5850" s="3" t="inlineStr">
        <is>
          <t>Rent Paid</t>
        </is>
      </c>
      <c r="F5850" s="3" t="n">
        <v>31820</v>
      </c>
      <c r="G5850" s="3" t="n">
        <v>364080</v>
      </c>
    </row>
    <row r="5851">
      <c r="A5851" s="3" t="inlineStr">
        <is>
          <t>Cape Projects Construction (Pty) Ltd</t>
        </is>
      </c>
      <c r="B5851" s="4" t="n">
        <v>45351</v>
      </c>
      <c r="C5851" s="3" t="inlineStr">
        <is>
          <t>Expenses</t>
        </is>
      </c>
      <c r="D5851" s="3" t="inlineStr">
        <is>
          <t>4310/000</t>
        </is>
      </c>
      <c r="E5851" s="3" t="inlineStr">
        <is>
          <t>Rates</t>
        </is>
      </c>
      <c r="F5851" s="3" t="n">
        <v>989.75</v>
      </c>
      <c r="G5851" s="3" t="n">
        <v>13027.54</v>
      </c>
    </row>
    <row r="5852">
      <c r="A5852" s="3" t="inlineStr">
        <is>
          <t>Heron Fields (Pty) Ltd</t>
        </is>
      </c>
      <c r="B5852" s="4" t="n">
        <v>45351</v>
      </c>
      <c r="C5852" s="3" t="inlineStr">
        <is>
          <t>Expenses</t>
        </is>
      </c>
      <c r="D5852" s="3" t="inlineStr">
        <is>
          <t>4310/000</t>
        </is>
      </c>
      <c r="E5852" s="3" t="inlineStr">
        <is>
          <t>Rates - Heron</t>
        </is>
      </c>
      <c r="F5852" s="3" t="n">
        <v>0</v>
      </c>
      <c r="G5852" s="3" t="n">
        <v>211633.66</v>
      </c>
    </row>
    <row r="5853">
      <c r="A5853" s="3" t="inlineStr">
        <is>
          <t>Cape Projects Construction (Pty) Ltd</t>
        </is>
      </c>
      <c r="B5853" s="4" t="n">
        <v>45351</v>
      </c>
      <c r="C5853" s="3" t="inlineStr">
        <is>
          <t>Expenses</t>
        </is>
      </c>
      <c r="D5853" s="3" t="inlineStr">
        <is>
          <t>4350/000</t>
        </is>
      </c>
      <c r="E5853" s="3" t="inlineStr">
        <is>
          <t>Repairs _AND_ Maintenance</t>
        </is>
      </c>
      <c r="F5853" s="3" t="n">
        <v>2870.3</v>
      </c>
      <c r="G5853" s="3" t="n">
        <v>18976.42</v>
      </c>
    </row>
    <row r="5854">
      <c r="A5854" s="3" t="inlineStr">
        <is>
          <t>Heron Fields (Pty) Ltd</t>
        </is>
      </c>
      <c r="B5854" s="4" t="n">
        <v>45351</v>
      </c>
      <c r="C5854" s="3" t="inlineStr">
        <is>
          <t>Expenses</t>
        </is>
      </c>
      <c r="D5854" s="3" t="inlineStr">
        <is>
          <t>4350/000</t>
        </is>
      </c>
      <c r="E5854" s="3" t="inlineStr">
        <is>
          <t>Repairs _AND_ Maintenance</t>
        </is>
      </c>
      <c r="F5854" s="3" t="n">
        <v>0</v>
      </c>
      <c r="G5854" s="3" t="n">
        <v>34547.28</v>
      </c>
    </row>
    <row r="5855">
      <c r="A5855" s="3" t="inlineStr">
        <is>
          <t>Heron View (Pty) Ltd</t>
        </is>
      </c>
      <c r="B5855" s="4" t="n">
        <v>45351</v>
      </c>
      <c r="C5855" s="3" t="inlineStr">
        <is>
          <t>Expenses</t>
        </is>
      </c>
      <c r="D5855" s="3" t="inlineStr">
        <is>
          <t>4350/000</t>
        </is>
      </c>
      <c r="E5855" s="3" t="inlineStr">
        <is>
          <t>Repairs _AND_ Maintenance</t>
        </is>
      </c>
      <c r="F5855" s="3" t="n">
        <v>0</v>
      </c>
      <c r="G5855" s="3" t="n">
        <v>23147.12</v>
      </c>
    </row>
    <row r="5856">
      <c r="A5856" s="3" t="inlineStr">
        <is>
          <t>Cape Projects Construction (Pty) Ltd</t>
        </is>
      </c>
      <c r="B5856" s="4" t="n">
        <v>45351</v>
      </c>
      <c r="C5856" s="3" t="inlineStr">
        <is>
          <t>Expenses</t>
        </is>
      </c>
      <c r="D5856" s="3" t="inlineStr">
        <is>
          <t>4400/000</t>
        </is>
      </c>
      <c r="E5856" s="3" t="inlineStr">
        <is>
          <t>Salaries _AND_ Wages</t>
        </is>
      </c>
      <c r="F5856" s="3" t="n">
        <v>426046.63</v>
      </c>
      <c r="G5856" s="3" t="n">
        <v>4662915.18</v>
      </c>
    </row>
    <row r="5857">
      <c r="A5857" s="3" t="inlineStr">
        <is>
          <t>Cape Projects Construction (Pty) Ltd</t>
        </is>
      </c>
      <c r="B5857" s="4" t="n">
        <v>45351</v>
      </c>
      <c r="C5857" s="3" t="inlineStr">
        <is>
          <t>Expenses</t>
        </is>
      </c>
      <c r="D5857" s="3" t="inlineStr">
        <is>
          <t>4402</t>
        </is>
      </c>
      <c r="E5857" s="3" t="inlineStr">
        <is>
          <t>Salaries &amp; Wages - WCA</t>
        </is>
      </c>
      <c r="F5857" s="3" t="n">
        <v>0</v>
      </c>
      <c r="G5857" s="3" t="n">
        <v>5192.13</v>
      </c>
    </row>
    <row r="5858">
      <c r="A5858" s="3" t="inlineStr">
        <is>
          <t>Cape Projects Construction (Pty) Ltd</t>
        </is>
      </c>
      <c r="B5858" s="4" t="n">
        <v>45351</v>
      </c>
      <c r="C5858" s="3" t="inlineStr">
        <is>
          <t>Expenses</t>
        </is>
      </c>
      <c r="D5858" s="3" t="inlineStr">
        <is>
          <t>4403/000</t>
        </is>
      </c>
      <c r="E5858" s="3" t="inlineStr">
        <is>
          <t>Security</t>
        </is>
      </c>
      <c r="F5858" s="3" t="n">
        <v>0</v>
      </c>
      <c r="G5858" s="3" t="n">
        <v>2005.99</v>
      </c>
    </row>
    <row r="5859">
      <c r="A5859" s="3" t="inlineStr">
        <is>
          <t>Heron Fields (Pty) Ltd</t>
        </is>
      </c>
      <c r="B5859" s="4" t="n">
        <v>45351</v>
      </c>
      <c r="C5859" s="3" t="inlineStr">
        <is>
          <t>Expenses</t>
        </is>
      </c>
      <c r="D5859" s="3" t="inlineStr">
        <is>
          <t>4420/000</t>
        </is>
      </c>
      <c r="E5859" s="3" t="inlineStr">
        <is>
          <t>Security</t>
        </is>
      </c>
      <c r="F5859" s="3" t="n">
        <v>0</v>
      </c>
      <c r="G5859" s="3" t="n">
        <v>7198.71</v>
      </c>
    </row>
    <row r="5860">
      <c r="A5860" s="3" t="inlineStr">
        <is>
          <t>Cape Projects Construction (Pty) Ltd</t>
        </is>
      </c>
      <c r="B5860" s="4" t="n">
        <v>45351</v>
      </c>
      <c r="C5860" s="3" t="inlineStr">
        <is>
          <t>Expenses</t>
        </is>
      </c>
      <c r="D5860" s="3" t="inlineStr">
        <is>
          <t>4420/000</t>
        </is>
      </c>
      <c r="E5860" s="3" t="inlineStr">
        <is>
          <t>Small Assets</t>
        </is>
      </c>
      <c r="F5860" s="3" t="n">
        <v>1129.57</v>
      </c>
      <c r="G5860" s="3" t="n">
        <v>34571.56</v>
      </c>
    </row>
    <row r="5861">
      <c r="A5861" s="3" t="inlineStr">
        <is>
          <t>Heron Fields (Pty) Ltd</t>
        </is>
      </c>
      <c r="B5861" s="4" t="n">
        <v>45351</v>
      </c>
      <c r="C5861" s="3" t="inlineStr">
        <is>
          <t>Expenses</t>
        </is>
      </c>
      <c r="D5861" s="3" t="inlineStr">
        <is>
          <t>4420/001</t>
        </is>
      </c>
      <c r="E5861" s="3" t="inlineStr">
        <is>
          <t>Security - ADT</t>
        </is>
      </c>
      <c r="F5861" s="3" t="n">
        <v>374.64</v>
      </c>
      <c r="G5861" s="3" t="n">
        <v>4676.39</v>
      </c>
    </row>
    <row r="5862">
      <c r="A5862" s="3" t="inlineStr">
        <is>
          <t>Cape Projects Construction (Pty) Ltd</t>
        </is>
      </c>
      <c r="B5862" s="4" t="n">
        <v>45351</v>
      </c>
      <c r="C5862" s="3" t="inlineStr">
        <is>
          <t>Expenses</t>
        </is>
      </c>
      <c r="D5862" s="3" t="inlineStr">
        <is>
          <t>4420/100</t>
        </is>
      </c>
      <c r="E5862" s="3" t="inlineStr">
        <is>
          <t>Small Assets - Show Unit O101</t>
        </is>
      </c>
      <c r="F5862" s="3" t="n">
        <v>79787.21000000001</v>
      </c>
      <c r="G5862" s="3" t="n">
        <v>79787.21000000001</v>
      </c>
    </row>
    <row r="5863">
      <c r="A5863" s="3" t="inlineStr">
        <is>
          <t>Cape Projects Construction (Pty) Ltd</t>
        </is>
      </c>
      <c r="B5863" s="4" t="n">
        <v>45351</v>
      </c>
      <c r="C5863" s="3" t="inlineStr">
        <is>
          <t>Expenses</t>
        </is>
      </c>
      <c r="D5863" s="3" t="inlineStr">
        <is>
          <t>4450/000</t>
        </is>
      </c>
      <c r="E5863" s="3" t="inlineStr">
        <is>
          <t>Staff Training</t>
        </is>
      </c>
      <c r="F5863" s="3" t="n">
        <v>0</v>
      </c>
      <c r="G5863" s="3" t="n">
        <v>3452.7</v>
      </c>
    </row>
    <row r="5864">
      <c r="A5864" s="3" t="inlineStr">
        <is>
          <t>Cape Projects Construction (Pty) Ltd</t>
        </is>
      </c>
      <c r="B5864" s="4" t="n">
        <v>45351</v>
      </c>
      <c r="C5864" s="3" t="inlineStr">
        <is>
          <t>Expenses</t>
        </is>
      </c>
      <c r="D5864" s="3" t="inlineStr">
        <is>
          <t>4500/000</t>
        </is>
      </c>
      <c r="E5864" s="3" t="inlineStr">
        <is>
          <t>Staff Welfare _AND_ Refreshmts</t>
        </is>
      </c>
      <c r="F5864" s="3" t="n">
        <v>3056.21</v>
      </c>
      <c r="G5864" s="3" t="n">
        <v>39843.46</v>
      </c>
    </row>
    <row r="5865">
      <c r="A5865" s="3" t="inlineStr">
        <is>
          <t>Cape Projects Construction (Pty) Ltd</t>
        </is>
      </c>
      <c r="B5865" s="4" t="n">
        <v>45351</v>
      </c>
      <c r="C5865" s="3" t="inlineStr">
        <is>
          <t>Expenses</t>
        </is>
      </c>
      <c r="D5865" s="3" t="inlineStr">
        <is>
          <t>4550/000</t>
        </is>
      </c>
      <c r="E5865" s="3" t="inlineStr">
        <is>
          <t>Subscriptions / Licenses</t>
        </is>
      </c>
      <c r="F5865" s="3" t="n">
        <v>0</v>
      </c>
      <c r="G5865" s="3" t="n">
        <v>13527.97</v>
      </c>
    </row>
    <row r="5866">
      <c r="A5866" s="3" t="inlineStr">
        <is>
          <t>Cape Projects Construction (Pty) Ltd</t>
        </is>
      </c>
      <c r="B5866" s="4" t="n">
        <v>45351</v>
      </c>
      <c r="C5866" s="3" t="inlineStr">
        <is>
          <t>Expenses</t>
        </is>
      </c>
      <c r="D5866" s="3" t="inlineStr">
        <is>
          <t>4550/001</t>
        </is>
      </c>
      <c r="E5866" s="3" t="inlineStr">
        <is>
          <t>Subscriptions &amp; Licenses - Sage payroll</t>
        </is>
      </c>
      <c r="F5866" s="3" t="n">
        <v>0</v>
      </c>
      <c r="G5866" s="3" t="n">
        <v>7470</v>
      </c>
    </row>
    <row r="5867">
      <c r="A5867" s="3" t="inlineStr">
        <is>
          <t>Cape Projects Construction (Pty) Ltd</t>
        </is>
      </c>
      <c r="B5867" s="4" t="n">
        <v>45351</v>
      </c>
      <c r="C5867" s="3" t="inlineStr">
        <is>
          <t>Expenses</t>
        </is>
      </c>
      <c r="D5867" s="3" t="inlineStr">
        <is>
          <t>4550/002</t>
        </is>
      </c>
      <c r="E5867" s="3" t="inlineStr">
        <is>
          <t>Subscriptions &amp; Licenses - Caseware</t>
        </is>
      </c>
      <c r="F5867" s="3" t="n">
        <v>0</v>
      </c>
      <c r="G5867" s="3" t="n">
        <v>10825.49</v>
      </c>
    </row>
    <row r="5868">
      <c r="A5868" s="3" t="inlineStr">
        <is>
          <t>Cape Projects Construction (Pty) Ltd</t>
        </is>
      </c>
      <c r="B5868" s="4" t="n">
        <v>45351</v>
      </c>
      <c r="C5868" s="3" t="inlineStr">
        <is>
          <t>Expenses</t>
        </is>
      </c>
      <c r="D5868" s="3" t="inlineStr">
        <is>
          <t>4550/003</t>
        </is>
      </c>
      <c r="E5868" s="3" t="inlineStr">
        <is>
          <t>Subscriptions &amp; Licenses - Xero</t>
        </is>
      </c>
      <c r="F5868" s="3" t="n">
        <v>600</v>
      </c>
      <c r="G5868" s="3" t="n">
        <v>7200</v>
      </c>
    </row>
    <row r="5869">
      <c r="A5869" s="3" t="inlineStr">
        <is>
          <t>Cape Projects Construction (Pty) Ltd</t>
        </is>
      </c>
      <c r="B5869" s="4" t="n">
        <v>45351</v>
      </c>
      <c r="C5869" s="3" t="inlineStr">
        <is>
          <t>Expenses</t>
        </is>
      </c>
      <c r="D5869" s="3" t="inlineStr">
        <is>
          <t>4550/004</t>
        </is>
      </c>
      <c r="E5869" s="3" t="inlineStr">
        <is>
          <t>Subscriptions - Smartsheet</t>
        </is>
      </c>
      <c r="F5869" s="3" t="n">
        <v>1089</v>
      </c>
      <c r="G5869" s="3" t="n">
        <v>12152.41</v>
      </c>
    </row>
    <row r="5870">
      <c r="A5870" s="3" t="inlineStr">
        <is>
          <t>Cape Projects Construction (Pty) Ltd</t>
        </is>
      </c>
      <c r="B5870" s="4" t="n">
        <v>45351</v>
      </c>
      <c r="C5870" s="3" t="inlineStr">
        <is>
          <t>Expenses</t>
        </is>
      </c>
      <c r="D5870" s="3" t="inlineStr">
        <is>
          <t>4550/007</t>
        </is>
      </c>
      <c r="E5870" s="3" t="inlineStr">
        <is>
          <t>Subscription &amp; Licenses - ERS Bio</t>
        </is>
      </c>
      <c r="F5870" s="3" t="n">
        <v>718.9299999999999</v>
      </c>
      <c r="G5870" s="3" t="n">
        <v>3594.65</v>
      </c>
    </row>
    <row r="5871">
      <c r="A5871" s="3" t="inlineStr">
        <is>
          <t>Cape Projects Construction (Pty) Ltd</t>
        </is>
      </c>
      <c r="B5871" s="4" t="n">
        <v>45351</v>
      </c>
      <c r="C5871" s="3" t="inlineStr">
        <is>
          <t>Expenses</t>
        </is>
      </c>
      <c r="D5871" s="3" t="inlineStr">
        <is>
          <t>4550/008</t>
        </is>
      </c>
      <c r="E5871" s="3" t="inlineStr">
        <is>
          <t>Subscriptions  - Adobe</t>
        </is>
      </c>
      <c r="F5871" s="3" t="n">
        <v>0</v>
      </c>
      <c r="G5871" s="3" t="n">
        <v>4498.72</v>
      </c>
    </row>
    <row r="5872">
      <c r="A5872" s="3" t="inlineStr">
        <is>
          <t>Heron Fields (Pty) Ltd</t>
        </is>
      </c>
      <c r="B5872" s="4" t="n">
        <v>45351</v>
      </c>
      <c r="C5872" s="3" t="inlineStr">
        <is>
          <t>Expenses</t>
        </is>
      </c>
      <c r="D5872" s="3" t="inlineStr">
        <is>
          <t>4550/100</t>
        </is>
      </c>
      <c r="E5872" s="3" t="inlineStr">
        <is>
          <t>Subscriptions - Xero</t>
        </is>
      </c>
      <c r="F5872" s="3" t="n">
        <v>600</v>
      </c>
      <c r="G5872" s="3" t="n">
        <v>7200</v>
      </c>
    </row>
    <row r="5873">
      <c r="A5873" s="3" t="inlineStr">
        <is>
          <t>Heron View (Pty) Ltd</t>
        </is>
      </c>
      <c r="B5873" s="4" t="n">
        <v>45351</v>
      </c>
      <c r="C5873" s="3" t="inlineStr">
        <is>
          <t>Expenses</t>
        </is>
      </c>
      <c r="D5873" s="3" t="inlineStr">
        <is>
          <t>4550/100</t>
        </is>
      </c>
      <c r="E5873" s="3" t="inlineStr">
        <is>
          <t>Subscriptions - Xero</t>
        </is>
      </c>
      <c r="F5873" s="3" t="n">
        <v>600</v>
      </c>
      <c r="G5873" s="3" t="n">
        <v>7200</v>
      </c>
    </row>
    <row r="5874">
      <c r="A5874" s="3" t="inlineStr">
        <is>
          <t>Heron Fields (Pty) Ltd</t>
        </is>
      </c>
      <c r="B5874" s="4" t="n">
        <v>45351</v>
      </c>
      <c r="C5874" s="3" t="inlineStr">
        <is>
          <t>Expenses</t>
        </is>
      </c>
      <c r="D5874" s="3" t="inlineStr">
        <is>
          <t>4550/200</t>
        </is>
      </c>
      <c r="E5874" s="3" t="inlineStr">
        <is>
          <t>Subscription - NHBRC</t>
        </is>
      </c>
      <c r="F5874" s="3" t="n">
        <v>0</v>
      </c>
      <c r="G5874" s="3" t="n">
        <v>526.3200000000001</v>
      </c>
    </row>
    <row r="5875">
      <c r="A5875" s="3" t="inlineStr">
        <is>
          <t>Cape Projects Construction (Pty) Ltd</t>
        </is>
      </c>
      <c r="B5875" s="4" t="n">
        <v>45351</v>
      </c>
      <c r="C5875" s="3" t="inlineStr">
        <is>
          <t>Expenses</t>
        </is>
      </c>
      <c r="D5875" s="3" t="inlineStr">
        <is>
          <t>4560</t>
        </is>
      </c>
      <c r="E5875" s="3" t="inlineStr">
        <is>
          <t>Secretarial fees - CIPC</t>
        </is>
      </c>
      <c r="F5875" s="3" t="n">
        <v>0</v>
      </c>
      <c r="G5875" s="3" t="n">
        <v>4000</v>
      </c>
    </row>
    <row r="5876">
      <c r="A5876" s="3" t="inlineStr">
        <is>
          <t>Cape Projects Construction (Pty) Ltd</t>
        </is>
      </c>
      <c r="B5876" s="4" t="n">
        <v>45351</v>
      </c>
      <c r="C5876" s="3" t="inlineStr">
        <is>
          <t>Expenses</t>
        </is>
      </c>
      <c r="D5876" s="3" t="inlineStr">
        <is>
          <t>4600/000</t>
        </is>
      </c>
      <c r="E5876" s="3" t="inlineStr">
        <is>
          <t>Telephone _AND_ Fax</t>
        </is>
      </c>
      <c r="F5876" s="3" t="n">
        <v>0</v>
      </c>
      <c r="G5876" s="3" t="n">
        <v>11566.33</v>
      </c>
    </row>
    <row r="5877">
      <c r="A5877" s="3" t="inlineStr">
        <is>
          <t>Cape Projects Construction (Pty) Ltd</t>
        </is>
      </c>
      <c r="B5877" s="4" t="n">
        <v>45351</v>
      </c>
      <c r="C5877" s="3" t="inlineStr">
        <is>
          <t>Expenses</t>
        </is>
      </c>
      <c r="D5877" s="3" t="inlineStr">
        <is>
          <t>4700/000</t>
        </is>
      </c>
      <c r="E5877" s="3" t="inlineStr">
        <is>
          <t>PAYE Contributions</t>
        </is>
      </c>
      <c r="F5877" s="3" t="n">
        <v>95150.91</v>
      </c>
      <c r="G5877" s="3" t="n">
        <v>1039223.98</v>
      </c>
    </row>
    <row r="5878">
      <c r="A5878" s="3" t="inlineStr">
        <is>
          <t>Cape Projects Construction (Pty) Ltd</t>
        </is>
      </c>
      <c r="B5878" s="4" t="n">
        <v>45351</v>
      </c>
      <c r="C5878" s="3" t="inlineStr">
        <is>
          <t>Expenses</t>
        </is>
      </c>
      <c r="D5878" s="3" t="inlineStr">
        <is>
          <t>4720/000</t>
        </is>
      </c>
      <c r="E5878" s="3" t="inlineStr">
        <is>
          <t>SDL Contributions</t>
        </is>
      </c>
      <c r="F5878" s="3" t="n">
        <v>5118.73</v>
      </c>
      <c r="G5878" s="3" t="n">
        <v>55587.1</v>
      </c>
    </row>
    <row r="5879">
      <c r="A5879" s="3" t="inlineStr">
        <is>
          <t>Cape Projects Construction (Pty) Ltd</t>
        </is>
      </c>
      <c r="B5879" s="4" t="n">
        <v>45351</v>
      </c>
      <c r="C5879" s="3" t="inlineStr">
        <is>
          <t>Expenses</t>
        </is>
      </c>
      <c r="D5879" s="3" t="inlineStr">
        <is>
          <t>4730/000</t>
        </is>
      </c>
      <c r="E5879" s="3" t="inlineStr">
        <is>
          <t>UIF Company Contributions</t>
        </is>
      </c>
      <c r="F5879" s="3" t="n">
        <v>2925.01</v>
      </c>
      <c r="G5879" s="3" t="n">
        <v>30932.91</v>
      </c>
    </row>
    <row r="5880">
      <c r="A5880" s="3" t="inlineStr">
        <is>
          <t>Cape Projects Construction (Pty) Ltd</t>
        </is>
      </c>
      <c r="B5880" s="4" t="n">
        <v>45351</v>
      </c>
      <c r="C5880" s="3" t="inlineStr">
        <is>
          <t>Expenses</t>
        </is>
      </c>
      <c r="D5880" s="3" t="inlineStr">
        <is>
          <t>4731/000</t>
        </is>
      </c>
      <c r="E5880" s="3" t="inlineStr">
        <is>
          <t>UIF Employee Contribution</t>
        </is>
      </c>
      <c r="F5880" s="3" t="n">
        <v>2925.01</v>
      </c>
      <c r="G5880" s="3" t="n">
        <v>30932.91</v>
      </c>
    </row>
    <row r="5881">
      <c r="A5881" s="3" t="inlineStr">
        <is>
          <t>Cape Projects Construction (Pty) Ltd</t>
        </is>
      </c>
      <c r="B5881" s="4" t="n">
        <v>45351</v>
      </c>
      <c r="C5881" s="3" t="inlineStr">
        <is>
          <t>Expenses</t>
        </is>
      </c>
      <c r="D5881" s="3" t="inlineStr">
        <is>
          <t>4740/000</t>
        </is>
      </c>
      <c r="E5881" s="3" t="inlineStr">
        <is>
          <t>BIBC Company Contribution</t>
        </is>
      </c>
      <c r="F5881" s="3" t="n">
        <v>0</v>
      </c>
      <c r="G5881" s="3" t="n">
        <v>15075.35</v>
      </c>
    </row>
    <row r="5882">
      <c r="A5882" s="3" t="inlineStr">
        <is>
          <t>Cape Projects Construction (Pty) Ltd</t>
        </is>
      </c>
      <c r="B5882" s="4" t="n">
        <v>45351</v>
      </c>
      <c r="C5882" s="3" t="inlineStr">
        <is>
          <t>Expenses</t>
        </is>
      </c>
      <c r="D5882" s="3" t="inlineStr">
        <is>
          <t>4741/000</t>
        </is>
      </c>
      <c r="E5882" s="3" t="inlineStr">
        <is>
          <t>BIBC Employee Contribution</t>
        </is>
      </c>
      <c r="F5882" s="3" t="n">
        <v>0</v>
      </c>
      <c r="G5882" s="3" t="n">
        <v>4562.1</v>
      </c>
    </row>
    <row r="5883">
      <c r="A5883" s="3" t="inlineStr">
        <is>
          <t>Heron Fields (Pty) Ltd</t>
        </is>
      </c>
      <c r="B5883" s="4" t="n">
        <v>45351</v>
      </c>
      <c r="C5883" s="3" t="inlineStr">
        <is>
          <t>Equity</t>
        </is>
      </c>
      <c r="D5883" s="3" t="inlineStr">
        <is>
          <t>5100-000</t>
        </is>
      </c>
      <c r="E5883" s="3" t="inlineStr">
        <is>
          <t>Share Capital</t>
        </is>
      </c>
      <c r="F5883" s="3" t="n">
        <v>0</v>
      </c>
      <c r="G5883" s="3" t="n">
        <v>-100</v>
      </c>
    </row>
    <row r="5884">
      <c r="A5884" s="3" t="inlineStr">
        <is>
          <t>Cape Projects Construction (Pty) Ltd</t>
        </is>
      </c>
      <c r="B5884" s="4" t="n">
        <v>45351</v>
      </c>
      <c r="C5884" s="3" t="inlineStr">
        <is>
          <t>Equity</t>
        </is>
      </c>
      <c r="D5884" s="3" t="inlineStr">
        <is>
          <t>5100/000</t>
        </is>
      </c>
      <c r="E5884" s="3" t="inlineStr">
        <is>
          <t>Share Capital / Members Contribution</t>
        </is>
      </c>
      <c r="F5884" s="3" t="n">
        <v>0</v>
      </c>
      <c r="G5884" s="3" t="n">
        <v>-120</v>
      </c>
    </row>
    <row r="5885">
      <c r="A5885" s="3" t="inlineStr">
        <is>
          <t>Cape Projects Construction (Pty) Ltd</t>
        </is>
      </c>
      <c r="B5885" s="4" t="n">
        <v>45351</v>
      </c>
      <c r="C5885" s="3" t="inlineStr">
        <is>
          <t>Equity</t>
        </is>
      </c>
      <c r="D5885" s="3" t="inlineStr">
        <is>
          <t>5200/000</t>
        </is>
      </c>
      <c r="E5885" s="3" t="inlineStr">
        <is>
          <t>Retained Earnings / Loss</t>
        </is>
      </c>
      <c r="F5885" s="3" t="n">
        <v>0</v>
      </c>
      <c r="G5885" s="3" t="n">
        <v>-296075.58</v>
      </c>
    </row>
    <row r="5886">
      <c r="A5886" s="3" t="inlineStr">
        <is>
          <t>Heron Fields (Pty) Ltd</t>
        </is>
      </c>
      <c r="B5886" s="4" t="n">
        <v>45351</v>
      </c>
      <c r="C5886" s="3" t="inlineStr">
        <is>
          <t>Equity</t>
        </is>
      </c>
      <c r="D5886" s="3" t="inlineStr">
        <is>
          <t>5200/000</t>
        </is>
      </c>
      <c r="E5886" s="3" t="inlineStr">
        <is>
          <t>Retained Earnings / Loss</t>
        </is>
      </c>
      <c r="F5886" s="3" t="n">
        <v>0</v>
      </c>
      <c r="G5886" s="3" t="n">
        <v>-17843179.58</v>
      </c>
    </row>
    <row r="5887">
      <c r="A5887" s="3" t="inlineStr">
        <is>
          <t>Heron View (Pty) Ltd</t>
        </is>
      </c>
      <c r="B5887" s="4" t="n">
        <v>45351</v>
      </c>
      <c r="C5887" s="3" t="inlineStr">
        <is>
          <t>Equity</t>
        </is>
      </c>
      <c r="D5887" s="3" t="inlineStr">
        <is>
          <t>5200/000</t>
        </is>
      </c>
      <c r="E5887" s="3" t="inlineStr">
        <is>
          <t>Retained Earnings / Loss</t>
        </is>
      </c>
      <c r="F5887" s="3" t="n">
        <v>0</v>
      </c>
      <c r="G5887" s="3" t="n">
        <v>70398.12</v>
      </c>
    </row>
    <row r="5888">
      <c r="A5888" s="3" t="inlineStr">
        <is>
          <t>Heron Fields (Pty) Ltd</t>
        </is>
      </c>
      <c r="B5888" s="4" t="n">
        <v>45351</v>
      </c>
      <c r="C5888" s="3" t="inlineStr">
        <is>
          <t>Assets</t>
        </is>
      </c>
      <c r="D5888" s="3" t="inlineStr">
        <is>
          <t>5300/001</t>
        </is>
      </c>
      <c r="E5888" s="3" t="inlineStr">
        <is>
          <t>Revaluation of Land stock</t>
        </is>
      </c>
      <c r="F5888" s="3" t="n">
        <v>0</v>
      </c>
      <c r="G5888" s="3" t="n">
        <v>17562360.85</v>
      </c>
    </row>
    <row r="5889">
      <c r="A5889" s="3" t="inlineStr">
        <is>
          <t>Heron Fields (Pty) Ltd</t>
        </is>
      </c>
      <c r="B5889" s="4" t="n">
        <v>45351</v>
      </c>
      <c r="C5889" s="3" t="inlineStr">
        <is>
          <t>Assets</t>
        </is>
      </c>
      <c r="D5889" s="3" t="inlineStr">
        <is>
          <t>5400/000</t>
        </is>
      </c>
      <c r="E5889" s="3" t="inlineStr">
        <is>
          <t>Deposit: Ruiterwacht development</t>
        </is>
      </c>
      <c r="F5889" s="3" t="n">
        <v>0</v>
      </c>
      <c r="G5889" s="3" t="n">
        <v>13457359</v>
      </c>
    </row>
    <row r="5890">
      <c r="A5890" s="3" t="inlineStr">
        <is>
          <t>Cape Projects Construction (Pty) Ltd</t>
        </is>
      </c>
      <c r="B5890" s="4" t="n">
        <v>45351</v>
      </c>
      <c r="C5890" s="3" t="inlineStr">
        <is>
          <t>Assets</t>
        </is>
      </c>
      <c r="D5890" s="3" t="inlineStr">
        <is>
          <t>5400/150</t>
        </is>
      </c>
      <c r="E5890" s="3" t="inlineStr">
        <is>
          <t>Loan - Quinate</t>
        </is>
      </c>
      <c r="F5890" s="3" t="n">
        <v>40000</v>
      </c>
      <c r="G5890" s="3" t="n">
        <v>-4017423.63</v>
      </c>
    </row>
    <row r="5891">
      <c r="A5891" s="3" t="inlineStr">
        <is>
          <t>Cape Projects Construction (Pty) Ltd</t>
        </is>
      </c>
      <c r="B5891" s="4" t="n">
        <v>45351</v>
      </c>
      <c r="C5891" s="3" t="inlineStr">
        <is>
          <t>Assets</t>
        </is>
      </c>
      <c r="D5891" s="3" t="inlineStr">
        <is>
          <t>5400/220</t>
        </is>
      </c>
      <c r="E5891" s="3" t="inlineStr">
        <is>
          <t>Members Loan - WH</t>
        </is>
      </c>
      <c r="F5891" s="3" t="n">
        <v>0</v>
      </c>
      <c r="G5891" s="3" t="n">
        <v>-4342.5</v>
      </c>
    </row>
    <row r="5892">
      <c r="A5892" s="3" t="inlineStr">
        <is>
          <t>Cape Projects Construction (Pty) Ltd</t>
        </is>
      </c>
      <c r="B5892" s="4" t="n">
        <v>45351</v>
      </c>
      <c r="C5892" s="3" t="inlineStr">
        <is>
          <t>Assets</t>
        </is>
      </c>
      <c r="D5892" s="3" t="inlineStr">
        <is>
          <t>5400/300</t>
        </is>
      </c>
      <c r="E5892" s="3" t="inlineStr">
        <is>
          <t>Loan - Opportunity ResidentialCUST ACC</t>
        </is>
      </c>
      <c r="F5892" s="3" t="n">
        <v>0</v>
      </c>
      <c r="G5892" s="3" t="n">
        <v>4702.35</v>
      </c>
    </row>
    <row r="5893">
      <c r="A5893" s="3" t="inlineStr">
        <is>
          <t>Cape Projects Construction (Pty) Ltd</t>
        </is>
      </c>
      <c r="B5893" s="4" t="n">
        <v>45351</v>
      </c>
      <c r="C5893" s="3" t="inlineStr">
        <is>
          <t>Assets</t>
        </is>
      </c>
      <c r="D5893" s="3" t="inlineStr">
        <is>
          <t>5400/450</t>
        </is>
      </c>
      <c r="E5893" s="3" t="inlineStr">
        <is>
          <t>Loan - Opportunity Investment</t>
        </is>
      </c>
      <c r="F5893" s="3" t="n">
        <v>-185000</v>
      </c>
      <c r="G5893" s="3" t="n">
        <v>-1756000</v>
      </c>
    </row>
    <row r="5894">
      <c r="A5894" s="3" t="inlineStr">
        <is>
          <t>Cape Projects Construction (Pty) Ltd</t>
        </is>
      </c>
      <c r="B5894" s="4" t="n">
        <v>45351</v>
      </c>
      <c r="C5894" s="3" t="inlineStr">
        <is>
          <t>Assets</t>
        </is>
      </c>
      <c r="D5894" s="3" t="inlineStr">
        <is>
          <t>5400/500</t>
        </is>
      </c>
      <c r="E5894" s="3" t="inlineStr">
        <is>
          <t>Loan - Blou Mamba Trust</t>
        </is>
      </c>
      <c r="F5894" s="3" t="n">
        <v>0</v>
      </c>
      <c r="G5894" s="3" t="n">
        <v>4342.5</v>
      </c>
    </row>
    <row r="5895">
      <c r="A5895" s="3" t="inlineStr">
        <is>
          <t>Cape Projects Construction (Pty) Ltd</t>
        </is>
      </c>
      <c r="B5895" s="4" t="n">
        <v>45351</v>
      </c>
      <c r="C5895" s="3" t="inlineStr">
        <is>
          <t>Assets</t>
        </is>
      </c>
      <c r="D5895" s="3" t="inlineStr">
        <is>
          <t>5400/550</t>
        </is>
      </c>
      <c r="E5895" s="3" t="inlineStr">
        <is>
          <t>Loan - Trademark</t>
        </is>
      </c>
      <c r="F5895" s="3" t="n">
        <v>600</v>
      </c>
      <c r="G5895" s="3" t="n">
        <v>-17600</v>
      </c>
    </row>
    <row r="5896">
      <c r="A5896" s="3" t="inlineStr">
        <is>
          <t>Cape Projects Construction (Pty) Ltd</t>
        </is>
      </c>
      <c r="B5896" s="4" t="n">
        <v>45351</v>
      </c>
      <c r="C5896" s="3" t="inlineStr">
        <is>
          <t>Assets</t>
        </is>
      </c>
      <c r="D5896" s="3" t="inlineStr">
        <is>
          <t>5400/600</t>
        </is>
      </c>
      <c r="E5896" s="3" t="inlineStr">
        <is>
          <t>Loan - Heron Projects</t>
        </is>
      </c>
      <c r="F5896" s="3" t="n">
        <v>-3450000</v>
      </c>
      <c r="G5896" s="3" t="n">
        <v>-26224738.42</v>
      </c>
    </row>
    <row r="5897">
      <c r="A5897" s="3" t="inlineStr">
        <is>
          <t>Cape Projects Construction (Pty) Ltd</t>
        </is>
      </c>
      <c r="B5897" s="4" t="n">
        <v>45351</v>
      </c>
      <c r="C5897" s="3" t="inlineStr">
        <is>
          <t>Assets</t>
        </is>
      </c>
      <c r="D5897" s="3" t="inlineStr">
        <is>
          <t>5400/650</t>
        </is>
      </c>
      <c r="E5897" s="3" t="inlineStr">
        <is>
          <t>Loan - Noble Shield</t>
        </is>
      </c>
      <c r="F5897" s="3" t="n">
        <v>600</v>
      </c>
      <c r="G5897" s="3" t="n">
        <v>-200189.44</v>
      </c>
    </row>
    <row r="5898">
      <c r="A5898" s="3" t="inlineStr">
        <is>
          <t>Cape Projects Construction (Pty) Ltd</t>
        </is>
      </c>
      <c r="B5898" s="4" t="n">
        <v>45351</v>
      </c>
      <c r="C5898" s="3" t="inlineStr">
        <is>
          <t>Assets</t>
        </is>
      </c>
      <c r="D5898" s="3" t="inlineStr">
        <is>
          <t>5400/750</t>
        </is>
      </c>
      <c r="E5898" s="3" t="inlineStr">
        <is>
          <t>Loan - Endulini</t>
        </is>
      </c>
      <c r="F5898" s="3" t="n">
        <v>2580000</v>
      </c>
      <c r="G5898" s="3" t="n">
        <v>27542687.4</v>
      </c>
    </row>
    <row r="5899">
      <c r="A5899" s="3" t="inlineStr">
        <is>
          <t>Cape Projects Construction (Pty) Ltd</t>
        </is>
      </c>
      <c r="B5899" s="4" t="n">
        <v>45351</v>
      </c>
      <c r="C5899" s="3" t="inlineStr">
        <is>
          <t>Assets</t>
        </is>
      </c>
      <c r="D5899" s="3" t="inlineStr">
        <is>
          <t>5400/800</t>
        </is>
      </c>
      <c r="E5899" s="3" t="inlineStr">
        <is>
          <t>Loan - Opportunity Management Holdings</t>
        </is>
      </c>
      <c r="F5899" s="3" t="n">
        <v>130000</v>
      </c>
      <c r="G5899" s="3" t="n">
        <v>267399</v>
      </c>
    </row>
    <row r="5900">
      <c r="A5900" s="3" t="inlineStr">
        <is>
          <t>Heron View (Pty) Ltd</t>
        </is>
      </c>
      <c r="B5900" s="4" t="n">
        <v>45351</v>
      </c>
      <c r="C5900" s="3" t="inlineStr">
        <is>
          <t>Liabilities</t>
        </is>
      </c>
      <c r="D5900" s="3" t="inlineStr">
        <is>
          <t>5500/001</t>
        </is>
      </c>
      <c r="E5900" s="3" t="inlineStr">
        <is>
          <t>Loan - Heron Fields</t>
        </is>
      </c>
      <c r="F5900" s="3" t="n">
        <v>8537480.220000001</v>
      </c>
      <c r="G5900" s="3" t="n">
        <v>-48100642.8</v>
      </c>
    </row>
    <row r="5901">
      <c r="A5901" s="3" t="inlineStr">
        <is>
          <t>Heron Fields (Pty) Ltd</t>
        </is>
      </c>
      <c r="B5901" s="4" t="n">
        <v>45351</v>
      </c>
      <c r="C5901" s="3" t="inlineStr">
        <is>
          <t>Liabilities</t>
        </is>
      </c>
      <c r="D5901" s="3" t="inlineStr">
        <is>
          <t>5500/010</t>
        </is>
      </c>
      <c r="E5901" s="3" t="inlineStr">
        <is>
          <t>Loan - Quinate</t>
        </is>
      </c>
      <c r="F5901" s="3" t="n">
        <v>1800000</v>
      </c>
      <c r="G5901" s="3" t="n">
        <v>1800000</v>
      </c>
    </row>
    <row r="5902">
      <c r="A5902" s="3" t="inlineStr">
        <is>
          <t>Heron Fields (Pty) Ltd</t>
        </is>
      </c>
      <c r="B5902" s="4" t="n">
        <v>45351</v>
      </c>
      <c r="C5902" s="3" t="inlineStr">
        <is>
          <t>Liabilities</t>
        </is>
      </c>
      <c r="D5902" s="3" t="inlineStr">
        <is>
          <t>5500/020</t>
        </is>
      </c>
      <c r="E5902" s="3" t="inlineStr">
        <is>
          <t>Loan - Cape Projects Construction</t>
        </is>
      </c>
      <c r="F5902" s="3" t="n">
        <v>3200000</v>
      </c>
      <c r="G5902" s="3" t="n">
        <v>25974738.42</v>
      </c>
    </row>
    <row r="5903">
      <c r="A5903" s="3" t="inlineStr">
        <is>
          <t>Heron Fields (Pty) Ltd</t>
        </is>
      </c>
      <c r="B5903" s="4" t="n">
        <v>45351</v>
      </c>
      <c r="C5903" s="3" t="inlineStr">
        <is>
          <t>Liabilities</t>
        </is>
      </c>
      <c r="D5903" s="3" t="inlineStr">
        <is>
          <t>5500/030</t>
        </is>
      </c>
      <c r="E5903" s="3" t="inlineStr">
        <is>
          <t>Loan - Opportunity Global Investments</t>
        </is>
      </c>
      <c r="F5903" s="3" t="n">
        <v>80000</v>
      </c>
      <c r="G5903" s="3" t="n">
        <v>4174275</v>
      </c>
    </row>
    <row r="5904">
      <c r="A5904" s="3" t="inlineStr">
        <is>
          <t>Heron Fields (Pty) Ltd</t>
        </is>
      </c>
      <c r="B5904" s="4" t="n">
        <v>45351</v>
      </c>
      <c r="C5904" s="3" t="inlineStr">
        <is>
          <t>Liabilities</t>
        </is>
      </c>
      <c r="D5904" s="3" t="inlineStr">
        <is>
          <t>5500/050</t>
        </is>
      </c>
      <c r="E5904" s="3" t="inlineStr">
        <is>
          <t>Loan - Heron View</t>
        </is>
      </c>
      <c r="F5904" s="3" t="n">
        <v>-8924258.369999999</v>
      </c>
      <c r="G5904" s="3" t="n">
        <v>47712664.12</v>
      </c>
    </row>
    <row r="5905">
      <c r="A5905" s="3" t="inlineStr">
        <is>
          <t>Heron Fields (Pty) Ltd</t>
        </is>
      </c>
      <c r="B5905" s="4" t="n">
        <v>45351</v>
      </c>
      <c r="C5905" s="3" t="inlineStr">
        <is>
          <t>Liabilities</t>
        </is>
      </c>
      <c r="D5905" s="3" t="inlineStr">
        <is>
          <t>5500/051</t>
        </is>
      </c>
      <c r="E5905" s="3" t="inlineStr">
        <is>
          <t>Loan - HV N204</t>
        </is>
      </c>
      <c r="F5905" s="3" t="n">
        <v>0</v>
      </c>
      <c r="G5905" s="3" t="n">
        <v>10000</v>
      </c>
    </row>
    <row r="5906">
      <c r="A5906" s="3" t="inlineStr">
        <is>
          <t>Heron Fields (Pty) Ltd</t>
        </is>
      </c>
      <c r="B5906" s="4" t="n">
        <v>45351</v>
      </c>
      <c r="C5906" s="3" t="inlineStr">
        <is>
          <t>Liabilities</t>
        </is>
      </c>
      <c r="D5906" s="3" t="inlineStr">
        <is>
          <t>5500/060</t>
        </is>
      </c>
      <c r="E5906" s="3" t="inlineStr">
        <is>
          <t>Loan - Opportunity Management Holdings</t>
        </is>
      </c>
      <c r="F5906" s="3" t="n">
        <v>-140000</v>
      </c>
      <c r="G5906" s="3" t="n">
        <v>-107900</v>
      </c>
    </row>
    <row r="5907">
      <c r="A5907" s="3" t="inlineStr">
        <is>
          <t>Heron Fields (Pty) Ltd</t>
        </is>
      </c>
      <c r="B5907" s="4" t="n">
        <v>45351</v>
      </c>
      <c r="C5907" s="3" t="inlineStr">
        <is>
          <t>Liabilities</t>
        </is>
      </c>
      <c r="D5907" s="3" t="inlineStr">
        <is>
          <t>5500/080</t>
        </is>
      </c>
      <c r="E5907" s="3" t="inlineStr">
        <is>
          <t>Loan - NSST2 Trust</t>
        </is>
      </c>
      <c r="F5907" s="3" t="n">
        <v>0</v>
      </c>
      <c r="G5907" s="3" t="n">
        <v>500</v>
      </c>
    </row>
    <row r="5908">
      <c r="A5908" s="3" t="inlineStr">
        <is>
          <t>Heron Fields (Pty) Ltd</t>
        </is>
      </c>
      <c r="B5908" s="4" t="n">
        <v>45351</v>
      </c>
      <c r="C5908" s="3" t="inlineStr">
        <is>
          <t>Assets</t>
        </is>
      </c>
      <c r="D5908" s="3" t="inlineStr">
        <is>
          <t>6150/010</t>
        </is>
      </c>
      <c r="E5908" s="3" t="inlineStr">
        <is>
          <t>Endulini -  A204</t>
        </is>
      </c>
      <c r="F5908" s="3" t="n">
        <v>0</v>
      </c>
      <c r="G5908" s="3" t="n">
        <v>1304260.87</v>
      </c>
    </row>
    <row r="5909">
      <c r="A5909" s="3" t="inlineStr">
        <is>
          <t>Heron Fields (Pty) Ltd</t>
        </is>
      </c>
      <c r="B5909" s="4" t="n">
        <v>45351</v>
      </c>
      <c r="C5909" s="3" t="inlineStr">
        <is>
          <t>Assets</t>
        </is>
      </c>
      <c r="D5909" s="3" t="inlineStr">
        <is>
          <t>6150/020</t>
        </is>
      </c>
      <c r="E5909" s="3" t="inlineStr">
        <is>
          <t>Endulini - A304</t>
        </is>
      </c>
      <c r="F5909" s="3" t="n">
        <v>0</v>
      </c>
      <c r="G5909" s="3" t="n">
        <v>1356434.78</v>
      </c>
    </row>
    <row r="5910">
      <c r="A5910" s="3" t="inlineStr">
        <is>
          <t>Heron Fields (Pty) Ltd</t>
        </is>
      </c>
      <c r="B5910" s="4" t="n">
        <v>45351</v>
      </c>
      <c r="C5910" s="3" t="inlineStr">
        <is>
          <t>Assets</t>
        </is>
      </c>
      <c r="D5910" s="3" t="inlineStr">
        <is>
          <t>6150/030</t>
        </is>
      </c>
      <c r="E5910" s="3" t="inlineStr">
        <is>
          <t>Endulini - B101</t>
        </is>
      </c>
      <c r="F5910" s="3" t="n">
        <v>0</v>
      </c>
      <c r="G5910" s="3" t="n">
        <v>1373826.09</v>
      </c>
    </row>
    <row r="5911">
      <c r="A5911" s="3" t="inlineStr">
        <is>
          <t>Heron Fields (Pty) Ltd</t>
        </is>
      </c>
      <c r="B5911" s="4" t="n">
        <v>45351</v>
      </c>
      <c r="C5911" s="3" t="inlineStr">
        <is>
          <t>Assets</t>
        </is>
      </c>
      <c r="D5911" s="3" t="inlineStr">
        <is>
          <t>6150/040</t>
        </is>
      </c>
      <c r="E5911" s="3" t="inlineStr">
        <is>
          <t>Endulini - A306</t>
        </is>
      </c>
      <c r="F5911" s="3" t="n">
        <v>0</v>
      </c>
      <c r="G5911" s="3" t="n">
        <v>1391217.39</v>
      </c>
    </row>
    <row r="5912">
      <c r="A5912" s="3" t="inlineStr">
        <is>
          <t>Heron Fields (Pty) Ltd</t>
        </is>
      </c>
      <c r="B5912" s="4" t="n">
        <v>45351</v>
      </c>
      <c r="C5912" s="3" t="inlineStr">
        <is>
          <t>Assets</t>
        </is>
      </c>
      <c r="D5912" s="3" t="inlineStr">
        <is>
          <t>6150/050</t>
        </is>
      </c>
      <c r="E5912" s="3" t="inlineStr">
        <is>
          <t>Endulini - C301</t>
        </is>
      </c>
      <c r="F5912" s="3" t="n">
        <v>0</v>
      </c>
      <c r="G5912" s="3" t="n">
        <v>1304260.87</v>
      </c>
    </row>
    <row r="5913">
      <c r="A5913" s="3" t="inlineStr">
        <is>
          <t>Cape Projects Construction (Pty) Ltd</t>
        </is>
      </c>
      <c r="B5913" s="4" t="n">
        <v>45351</v>
      </c>
      <c r="C5913" s="3" t="inlineStr">
        <is>
          <t>Assets</t>
        </is>
      </c>
      <c r="D5913" s="3" t="inlineStr">
        <is>
          <t>6200/010</t>
        </is>
      </c>
      <c r="E5913" s="3" t="inlineStr">
        <is>
          <t>Motor Vehicles - @ Cost</t>
        </is>
      </c>
      <c r="F5913" s="3" t="n">
        <v>0</v>
      </c>
      <c r="G5913" s="3" t="n">
        <v>216064.1</v>
      </c>
    </row>
    <row r="5914">
      <c r="A5914" s="3" t="inlineStr">
        <is>
          <t>Cape Projects Construction (Pty) Ltd</t>
        </is>
      </c>
      <c r="B5914" s="4" t="n">
        <v>45351</v>
      </c>
      <c r="C5914" s="3" t="inlineStr">
        <is>
          <t>Assets</t>
        </is>
      </c>
      <c r="D5914" s="3" t="inlineStr">
        <is>
          <t>6200/020</t>
        </is>
      </c>
      <c r="E5914" s="3" t="inlineStr">
        <is>
          <t>Motor Vehicles - Accum Depre</t>
        </is>
      </c>
      <c r="F5914" s="3" t="n">
        <v>0</v>
      </c>
      <c r="G5914" s="3" t="n">
        <v>-216063.1</v>
      </c>
    </row>
    <row r="5915">
      <c r="A5915" s="3" t="inlineStr">
        <is>
          <t>Cape Projects Construction (Pty) Ltd</t>
        </is>
      </c>
      <c r="B5915" s="4" t="n">
        <v>45351</v>
      </c>
      <c r="C5915" s="3" t="inlineStr">
        <is>
          <t>Assets</t>
        </is>
      </c>
      <c r="D5915" s="3" t="inlineStr">
        <is>
          <t>6250/010</t>
        </is>
      </c>
      <c r="E5915" s="3" t="inlineStr">
        <is>
          <t>Computer Equipment - @ Cost</t>
        </is>
      </c>
      <c r="F5915" s="3" t="n">
        <v>6086.09</v>
      </c>
      <c r="G5915" s="3" t="n">
        <v>184238.57</v>
      </c>
    </row>
    <row r="5916">
      <c r="A5916" s="3" t="inlineStr">
        <is>
          <t>Cape Projects Construction (Pty) Ltd</t>
        </is>
      </c>
      <c r="B5916" s="4" t="n">
        <v>45351</v>
      </c>
      <c r="C5916" s="3" t="inlineStr">
        <is>
          <t>Assets</t>
        </is>
      </c>
      <c r="D5916" s="3" t="inlineStr">
        <is>
          <t>6250/020</t>
        </is>
      </c>
      <c r="E5916" s="3" t="inlineStr">
        <is>
          <t>Computer Equipment - Accum Depre</t>
        </is>
      </c>
      <c r="F5916" s="3" t="n">
        <v>-4705.18</v>
      </c>
      <c r="G5916" s="3" t="n">
        <v>-89440.92</v>
      </c>
    </row>
    <row r="5917">
      <c r="A5917" s="3" t="inlineStr">
        <is>
          <t>Cape Projects Construction (Pty) Ltd</t>
        </is>
      </c>
      <c r="B5917" s="4" t="n">
        <v>45351</v>
      </c>
      <c r="C5917" s="3" t="inlineStr">
        <is>
          <t>Assets</t>
        </is>
      </c>
      <c r="D5917" s="3" t="inlineStr">
        <is>
          <t>6350/010</t>
        </is>
      </c>
      <c r="E5917" s="3" t="inlineStr">
        <is>
          <t>Furniture _AND_ Fittings - @ Cost</t>
        </is>
      </c>
      <c r="F5917" s="3" t="n">
        <v>0</v>
      </c>
      <c r="G5917" s="3" t="n">
        <v>37955.3</v>
      </c>
    </row>
    <row r="5918">
      <c r="A5918" s="3" t="inlineStr">
        <is>
          <t>Cape Projects Construction (Pty) Ltd</t>
        </is>
      </c>
      <c r="B5918" s="4" t="n">
        <v>45351</v>
      </c>
      <c r="C5918" s="3" t="inlineStr">
        <is>
          <t>Assets</t>
        </is>
      </c>
      <c r="D5918" s="3" t="inlineStr">
        <is>
          <t>6350/020</t>
        </is>
      </c>
      <c r="E5918" s="3" t="inlineStr">
        <is>
          <t>Furniture _AND_ Fittings - Accum Depre</t>
        </is>
      </c>
      <c r="F5918" s="3" t="n">
        <v>-547.67</v>
      </c>
      <c r="G5918" s="3" t="n">
        <v>-12466.67</v>
      </c>
    </row>
    <row r="5919">
      <c r="A5919" s="3" t="inlineStr">
        <is>
          <t>Cape Projects Construction (Pty) Ltd</t>
        </is>
      </c>
      <c r="B5919" s="4" t="n">
        <v>45351</v>
      </c>
      <c r="C5919" s="3" t="inlineStr">
        <is>
          <t>Assets</t>
        </is>
      </c>
      <c r="D5919" s="3" t="inlineStr">
        <is>
          <t>6600/010</t>
        </is>
      </c>
      <c r="E5919" s="3" t="inlineStr">
        <is>
          <t>Generator Fixed Asset - @ Cost</t>
        </is>
      </c>
      <c r="F5919" s="3" t="n">
        <v>0</v>
      </c>
      <c r="G5919" s="3" t="n">
        <v>71322</v>
      </c>
    </row>
    <row r="5920">
      <c r="A5920" s="3" t="inlineStr">
        <is>
          <t>Cape Projects Construction (Pty) Ltd</t>
        </is>
      </c>
      <c r="B5920" s="4" t="n">
        <v>45351</v>
      </c>
      <c r="C5920" s="3" t="inlineStr">
        <is>
          <t>Assets</t>
        </is>
      </c>
      <c r="D5920" s="3" t="inlineStr">
        <is>
          <t>6600/020</t>
        </is>
      </c>
      <c r="E5920" s="3" t="inlineStr">
        <is>
          <t>Generator Fixed Asset - Accum Depre</t>
        </is>
      </c>
      <c r="F5920" s="3" t="n">
        <v>-1188.7</v>
      </c>
      <c r="G5920" s="3" t="n">
        <v>-15399.23</v>
      </c>
    </row>
    <row r="5921">
      <c r="A5921" s="3" t="inlineStr">
        <is>
          <t>Heron Fields (Pty) Ltd</t>
        </is>
      </c>
      <c r="B5921" s="4" t="n">
        <v>45351</v>
      </c>
      <c r="C5921" s="3" t="inlineStr">
        <is>
          <t>Assets</t>
        </is>
      </c>
      <c r="D5921" s="3" t="inlineStr">
        <is>
          <t>7610/395</t>
        </is>
      </c>
      <c r="E5921" s="3" t="inlineStr">
        <is>
          <t>HF CIP NHBRC</t>
        </is>
      </c>
      <c r="F5921" s="3" t="n">
        <v>0</v>
      </c>
      <c r="G5921" s="3" t="n">
        <v>874505.75</v>
      </c>
    </row>
    <row r="5922">
      <c r="A5922" s="3" t="inlineStr">
        <is>
          <t>Heron View (Pty) Ltd</t>
        </is>
      </c>
      <c r="B5922" s="4" t="n">
        <v>45351</v>
      </c>
      <c r="C5922" s="3" t="inlineStr">
        <is>
          <t>Assets</t>
        </is>
      </c>
      <c r="D5922" s="3" t="inlineStr">
        <is>
          <t>7610/395</t>
        </is>
      </c>
      <c r="E5922" s="3" t="inlineStr">
        <is>
          <t>Heron CIP NHBRC</t>
        </is>
      </c>
      <c r="F5922" s="3" t="n">
        <v>0</v>
      </c>
      <c r="G5922" s="3" t="n">
        <v>2472501.08</v>
      </c>
    </row>
    <row r="5923">
      <c r="A5923" s="3" t="inlineStr">
        <is>
          <t>Heron Fields (Pty) Ltd</t>
        </is>
      </c>
      <c r="B5923" s="4" t="n">
        <v>45351</v>
      </c>
      <c r="C5923" s="3" t="inlineStr">
        <is>
          <t>Assets</t>
        </is>
      </c>
      <c r="D5923" s="3" t="inlineStr">
        <is>
          <t>7620/100</t>
        </is>
      </c>
      <c r="E5923" s="3" t="inlineStr">
        <is>
          <t>Heron View Land</t>
        </is>
      </c>
      <c r="F5923" s="3" t="n">
        <v>0</v>
      </c>
      <c r="G5923" s="3" t="n">
        <v>26200000</v>
      </c>
    </row>
    <row r="5924">
      <c r="A5924" s="3" t="inlineStr">
        <is>
          <t>Heron Fields (Pty) Ltd</t>
        </is>
      </c>
      <c r="B5924" s="4" t="n">
        <v>45351</v>
      </c>
      <c r="C5924" s="3" t="inlineStr">
        <is>
          <t>Assets</t>
        </is>
      </c>
      <c r="D5924" s="3" t="inlineStr">
        <is>
          <t>7620/101</t>
        </is>
      </c>
      <c r="E5924" s="3" t="inlineStr">
        <is>
          <t>HF CIP Bond Registration Fee</t>
        </is>
      </c>
      <c r="F5924" s="3" t="n">
        <v>0</v>
      </c>
      <c r="G5924" s="3" t="n">
        <v>68427</v>
      </c>
    </row>
    <row r="5925">
      <c r="A5925" s="3" t="inlineStr">
        <is>
          <t>Heron Fields (Pty) Ltd</t>
        </is>
      </c>
      <c r="B5925" s="4" t="n">
        <v>45351</v>
      </c>
      <c r="C5925" s="3" t="inlineStr">
        <is>
          <t>Assets</t>
        </is>
      </c>
      <c r="D5925" s="3" t="inlineStr">
        <is>
          <t>7620/102</t>
        </is>
      </c>
      <c r="E5925" s="3" t="inlineStr">
        <is>
          <t>HF CIP Transfer Fee</t>
        </is>
      </c>
      <c r="F5925" s="3" t="n">
        <v>0</v>
      </c>
      <c r="G5925" s="3" t="n">
        <v>103812</v>
      </c>
    </row>
    <row r="5926">
      <c r="A5926" s="3" t="inlineStr">
        <is>
          <t>Heron Fields (Pty) Ltd</t>
        </is>
      </c>
      <c r="B5926" s="4" t="n">
        <v>45351</v>
      </c>
      <c r="C5926" s="3" t="inlineStr">
        <is>
          <t>Assets</t>
        </is>
      </c>
      <c r="D5926" s="3" t="inlineStr">
        <is>
          <t>7620/220</t>
        </is>
      </c>
      <c r="E5926" s="3" t="inlineStr">
        <is>
          <t>HF CIP Architectural Designs</t>
        </is>
      </c>
      <c r="F5926" s="3" t="n">
        <v>0</v>
      </c>
      <c r="G5926" s="3" t="n">
        <v>314087</v>
      </c>
    </row>
    <row r="5927">
      <c r="A5927" s="3" t="inlineStr">
        <is>
          <t>Heron View (Pty) Ltd</t>
        </is>
      </c>
      <c r="B5927" s="4" t="n">
        <v>45351</v>
      </c>
      <c r="C5927" s="3" t="inlineStr">
        <is>
          <t>Assets</t>
        </is>
      </c>
      <c r="D5927" s="3" t="inlineStr">
        <is>
          <t>7620/220</t>
        </is>
      </c>
      <c r="E5927" s="3" t="inlineStr">
        <is>
          <t>Heron View CIP Architectural Designs</t>
        </is>
      </c>
      <c r="F5927" s="3" t="n">
        <v>25315.69</v>
      </c>
      <c r="G5927" s="3" t="n">
        <v>715552.6</v>
      </c>
    </row>
    <row r="5928">
      <c r="A5928" s="3" t="inlineStr">
        <is>
          <t>Heron Fields (Pty) Ltd</t>
        </is>
      </c>
      <c r="B5928" s="4" t="n">
        <v>45351</v>
      </c>
      <c r="C5928" s="3" t="inlineStr">
        <is>
          <t>Assets</t>
        </is>
      </c>
      <c r="D5928" s="3" t="inlineStr">
        <is>
          <t>7620/230</t>
        </is>
      </c>
      <c r="E5928" s="3" t="inlineStr">
        <is>
          <t>HF CIP Construction Management</t>
        </is>
      </c>
      <c r="F5928" s="3" t="n">
        <v>0</v>
      </c>
      <c r="G5928" s="3" t="n">
        <v>139500</v>
      </c>
    </row>
    <row r="5929">
      <c r="A5929" s="3" t="inlineStr">
        <is>
          <t>Heron Fields (Pty) Ltd</t>
        </is>
      </c>
      <c r="B5929" s="4" t="n">
        <v>45351</v>
      </c>
      <c r="C5929" s="3" t="inlineStr">
        <is>
          <t>Assets</t>
        </is>
      </c>
      <c r="D5929" s="3" t="inlineStr">
        <is>
          <t>7620/240</t>
        </is>
      </c>
      <c r="E5929" s="3" t="inlineStr">
        <is>
          <t>HF CIP Civil Engineering</t>
        </is>
      </c>
      <c r="F5929" s="3" t="n">
        <v>0</v>
      </c>
      <c r="G5929" s="3" t="n">
        <v>8557641.800000001</v>
      </c>
    </row>
    <row r="5930">
      <c r="A5930" s="3" t="inlineStr">
        <is>
          <t>Heron Fields (Pty) Ltd</t>
        </is>
      </c>
      <c r="B5930" s="4" t="n">
        <v>45351</v>
      </c>
      <c r="C5930" s="3" t="inlineStr">
        <is>
          <t>Assets</t>
        </is>
      </c>
      <c r="D5930" s="3" t="inlineStr">
        <is>
          <t>7620/245</t>
        </is>
      </c>
      <c r="E5930" s="3" t="inlineStr">
        <is>
          <t>HF CIP Development fee</t>
        </is>
      </c>
      <c r="F5930" s="3" t="n">
        <v>0</v>
      </c>
      <c r="G5930" s="3" t="n">
        <v>13807.78</v>
      </c>
    </row>
    <row r="5931">
      <c r="A5931" s="3" t="inlineStr">
        <is>
          <t>Heron Fields (Pty) Ltd</t>
        </is>
      </c>
      <c r="B5931" s="4" t="n">
        <v>45351</v>
      </c>
      <c r="C5931" s="3" t="inlineStr">
        <is>
          <t>Assets</t>
        </is>
      </c>
      <c r="D5931" s="3" t="inlineStr">
        <is>
          <t>7620/250</t>
        </is>
      </c>
      <c r="E5931" s="3" t="inlineStr">
        <is>
          <t>HF CIP Land Surveyor</t>
        </is>
      </c>
      <c r="F5931" s="3" t="n">
        <v>0</v>
      </c>
      <c r="G5931" s="3" t="n">
        <v>197060.09</v>
      </c>
    </row>
    <row r="5932">
      <c r="A5932" s="3" t="inlineStr">
        <is>
          <t>Heron View (Pty) Ltd</t>
        </is>
      </c>
      <c r="B5932" s="4" t="n">
        <v>45351</v>
      </c>
      <c r="C5932" s="3" t="inlineStr">
        <is>
          <t>Assets</t>
        </is>
      </c>
      <c r="D5932" s="3" t="inlineStr">
        <is>
          <t>7620/250</t>
        </is>
      </c>
      <c r="E5932" s="3" t="inlineStr">
        <is>
          <t>Heron View CIP Land Surveyor</t>
        </is>
      </c>
      <c r="F5932" s="3" t="n">
        <v>0</v>
      </c>
      <c r="G5932" s="3" t="n">
        <v>321942.47</v>
      </c>
    </row>
    <row r="5933">
      <c r="A5933" s="3" t="inlineStr">
        <is>
          <t>Heron Fields (Pty) Ltd</t>
        </is>
      </c>
      <c r="B5933" s="4" t="n">
        <v>45351</v>
      </c>
      <c r="C5933" s="3" t="inlineStr">
        <is>
          <t>Assets</t>
        </is>
      </c>
      <c r="D5933" s="3" t="inlineStr">
        <is>
          <t>7620/255</t>
        </is>
      </c>
      <c r="E5933" s="3" t="inlineStr">
        <is>
          <t>HF CIP Landscaping</t>
        </is>
      </c>
      <c r="F5933" s="3" t="n">
        <v>0</v>
      </c>
      <c r="G5933" s="3" t="n">
        <v>7500</v>
      </c>
    </row>
    <row r="5934">
      <c r="A5934" s="3" t="inlineStr">
        <is>
          <t>Heron View (Pty) Ltd</t>
        </is>
      </c>
      <c r="B5934" s="4" t="n">
        <v>45351</v>
      </c>
      <c r="C5934" s="3" t="inlineStr">
        <is>
          <t>Assets</t>
        </is>
      </c>
      <c r="D5934" s="3" t="inlineStr">
        <is>
          <t>7620/255</t>
        </is>
      </c>
      <c r="E5934" s="3" t="inlineStr">
        <is>
          <t>Heron View CIP Landscaping</t>
        </is>
      </c>
      <c r="F5934" s="3" t="n">
        <v>0</v>
      </c>
      <c r="G5934" s="3" t="n">
        <v>114370.5</v>
      </c>
    </row>
    <row r="5935">
      <c r="A5935" s="3" t="inlineStr">
        <is>
          <t>Heron Fields (Pty) Ltd</t>
        </is>
      </c>
      <c r="B5935" s="4" t="n">
        <v>45351</v>
      </c>
      <c r="C5935" s="3" t="inlineStr">
        <is>
          <t>Assets</t>
        </is>
      </c>
      <c r="D5935" s="3" t="inlineStr">
        <is>
          <t>7620/260</t>
        </is>
      </c>
      <c r="E5935" s="3" t="inlineStr">
        <is>
          <t>HF CIP Mechanical Engineers</t>
        </is>
      </c>
      <c r="F5935" s="3" t="n">
        <v>0</v>
      </c>
      <c r="G5935" s="3" t="n">
        <v>146256.38</v>
      </c>
    </row>
    <row r="5936">
      <c r="A5936" s="3" t="inlineStr">
        <is>
          <t>Heron Fields (Pty) Ltd</t>
        </is>
      </c>
      <c r="B5936" s="4" t="n">
        <v>45351</v>
      </c>
      <c r="C5936" s="3" t="inlineStr">
        <is>
          <t>Assets</t>
        </is>
      </c>
      <c r="D5936" s="3" t="inlineStr">
        <is>
          <t>7620/265</t>
        </is>
      </c>
      <c r="E5936" s="3" t="inlineStr">
        <is>
          <t>HF CIP Health &amp; Safety</t>
        </is>
      </c>
      <c r="F5936" s="3" t="n">
        <v>0</v>
      </c>
      <c r="G5936" s="3" t="n">
        <v>20600</v>
      </c>
    </row>
    <row r="5937">
      <c r="A5937" s="3" t="inlineStr">
        <is>
          <t>Heron Fields (Pty) Ltd</t>
        </is>
      </c>
      <c r="B5937" s="4" t="n">
        <v>45351</v>
      </c>
      <c r="C5937" s="3" t="inlineStr">
        <is>
          <t>Assets</t>
        </is>
      </c>
      <c r="D5937" s="3" t="inlineStr">
        <is>
          <t>7620/270</t>
        </is>
      </c>
      <c r="E5937" s="3" t="inlineStr">
        <is>
          <t>HF CIP Geotechnical</t>
        </is>
      </c>
      <c r="F5937" s="3" t="n">
        <v>0</v>
      </c>
      <c r="G5937" s="3" t="n">
        <v>15175</v>
      </c>
    </row>
    <row r="5938">
      <c r="A5938" s="3" t="inlineStr">
        <is>
          <t>Heron Fields (Pty) Ltd</t>
        </is>
      </c>
      <c r="B5938" s="4" t="n">
        <v>45351</v>
      </c>
      <c r="C5938" s="3" t="inlineStr">
        <is>
          <t>Assets</t>
        </is>
      </c>
      <c r="D5938" s="3" t="inlineStr">
        <is>
          <t>7620/275</t>
        </is>
      </c>
      <c r="E5938" s="3" t="inlineStr">
        <is>
          <t>HF CIP Retaining Wall</t>
        </is>
      </c>
      <c r="F5938" s="3" t="n">
        <v>0</v>
      </c>
      <c r="G5938" s="3" t="n">
        <v>570856.08</v>
      </c>
    </row>
    <row r="5939">
      <c r="A5939" s="3" t="inlineStr">
        <is>
          <t>Heron Fields (Pty) Ltd</t>
        </is>
      </c>
      <c r="B5939" s="4" t="n">
        <v>45351</v>
      </c>
      <c r="C5939" s="3" t="inlineStr">
        <is>
          <t>Assets</t>
        </is>
      </c>
      <c r="D5939" s="3" t="inlineStr">
        <is>
          <t>7620/280</t>
        </is>
      </c>
      <c r="E5939" s="3" t="inlineStr">
        <is>
          <t>HF CIP Site Establishment</t>
        </is>
      </c>
      <c r="F5939" s="3" t="n">
        <v>0</v>
      </c>
      <c r="G5939" s="3" t="n">
        <v>47748851.51</v>
      </c>
    </row>
    <row r="5940">
      <c r="A5940" s="3" t="inlineStr">
        <is>
          <t>Heron View (Pty) Ltd</t>
        </is>
      </c>
      <c r="B5940" s="4" t="n">
        <v>45351</v>
      </c>
      <c r="C5940" s="3" t="inlineStr">
        <is>
          <t>Assets</t>
        </is>
      </c>
      <c r="D5940" s="3" t="inlineStr">
        <is>
          <t>7620/280</t>
        </is>
      </c>
      <c r="E5940" s="3" t="inlineStr">
        <is>
          <t>Heron View CIP Site Establishment</t>
        </is>
      </c>
      <c r="F5940" s="3" t="n">
        <v>3921739.13</v>
      </c>
      <c r="G5940" s="3" t="n">
        <v>48025790.91</v>
      </c>
    </row>
    <row r="5941">
      <c r="A5941" s="3" t="inlineStr">
        <is>
          <t>Heron Fields (Pty) Ltd</t>
        </is>
      </c>
      <c r="B5941" s="4" t="n">
        <v>45351</v>
      </c>
      <c r="C5941" s="3" t="inlineStr">
        <is>
          <t>Assets</t>
        </is>
      </c>
      <c r="D5941" s="3" t="inlineStr">
        <is>
          <t>7620/285</t>
        </is>
      </c>
      <c r="E5941" s="3" t="inlineStr">
        <is>
          <t>HF CIP Structuring Fee - Invest</t>
        </is>
      </c>
      <c r="F5941" s="3" t="n">
        <v>0</v>
      </c>
      <c r="G5941" s="3" t="n">
        <v>3850818.04</v>
      </c>
    </row>
    <row r="5942">
      <c r="A5942" s="3" t="inlineStr">
        <is>
          <t>Heron View (Pty) Ltd</t>
        </is>
      </c>
      <c r="B5942" s="4" t="n">
        <v>45351</v>
      </c>
      <c r="C5942" s="3" t="inlineStr">
        <is>
          <t>Assets</t>
        </is>
      </c>
      <c r="D5942" s="3" t="inlineStr">
        <is>
          <t>7620/285</t>
        </is>
      </c>
      <c r="E5942" s="3" t="inlineStr">
        <is>
          <t>Heron View CIP Structuring Fee - Invest</t>
        </is>
      </c>
      <c r="F5942" s="3" t="n">
        <v>0</v>
      </c>
      <c r="G5942" s="3" t="n">
        <v>1826086.96</v>
      </c>
    </row>
    <row r="5943">
      <c r="A5943" s="3" t="inlineStr">
        <is>
          <t>Heron Fields (Pty) Ltd</t>
        </is>
      </c>
      <c r="B5943" s="4" t="n">
        <v>45351</v>
      </c>
      <c r="C5943" s="3" t="inlineStr">
        <is>
          <t>Assets</t>
        </is>
      </c>
      <c r="D5943" s="3" t="inlineStr">
        <is>
          <t>7620/287</t>
        </is>
      </c>
      <c r="E5943" s="3" t="inlineStr">
        <is>
          <t>HF CIP Structuring Fee - Development</t>
        </is>
      </c>
      <c r="F5943" s="3" t="n">
        <v>0</v>
      </c>
      <c r="G5943" s="3" t="n">
        <v>782608.0699999999</v>
      </c>
    </row>
    <row r="5944">
      <c r="A5944" s="3" t="inlineStr">
        <is>
          <t>Heron View (Pty) Ltd</t>
        </is>
      </c>
      <c r="B5944" s="4" t="n">
        <v>45351</v>
      </c>
      <c r="C5944" s="3" t="inlineStr">
        <is>
          <t>Assets</t>
        </is>
      </c>
      <c r="D5944" s="3" t="inlineStr">
        <is>
          <t>7620/287</t>
        </is>
      </c>
      <c r="E5944" s="3" t="inlineStr">
        <is>
          <t>Heron View CIP Structuring Fee - Development</t>
        </is>
      </c>
      <c r="F5944" s="3" t="n">
        <v>0</v>
      </c>
      <c r="G5944" s="3" t="n">
        <v>217391.3</v>
      </c>
    </row>
    <row r="5945">
      <c r="A5945" s="3" t="inlineStr">
        <is>
          <t>Heron Fields (Pty) Ltd</t>
        </is>
      </c>
      <c r="B5945" s="4" t="n">
        <v>45351</v>
      </c>
      <c r="C5945" s="3" t="inlineStr">
        <is>
          <t>Assets</t>
        </is>
      </c>
      <c r="D5945" s="3" t="inlineStr">
        <is>
          <t>7620/290</t>
        </is>
      </c>
      <c r="E5945" s="3" t="inlineStr">
        <is>
          <t>HF CIP Town Planning</t>
        </is>
      </c>
      <c r="F5945" s="3" t="n">
        <v>0</v>
      </c>
      <c r="G5945" s="3" t="n">
        <v>166550</v>
      </c>
    </row>
    <row r="5946">
      <c r="A5946" s="3" t="inlineStr">
        <is>
          <t>Heron View (Pty) Ltd</t>
        </is>
      </c>
      <c r="B5946" s="4" t="n">
        <v>45351</v>
      </c>
      <c r="C5946" s="3" t="inlineStr">
        <is>
          <t>Assets</t>
        </is>
      </c>
      <c r="D5946" s="3" t="inlineStr">
        <is>
          <t>7620/290</t>
        </is>
      </c>
      <c r="E5946" s="3" t="inlineStr">
        <is>
          <t>Heron View CIP Town Planning</t>
        </is>
      </c>
      <c r="F5946" s="3" t="n">
        <v>0</v>
      </c>
      <c r="G5946" s="3" t="n">
        <v>2834.7</v>
      </c>
    </row>
    <row r="5947">
      <c r="A5947" s="3" t="inlineStr">
        <is>
          <t>Heron Fields (Pty) Ltd</t>
        </is>
      </c>
      <c r="B5947" s="4" t="n">
        <v>45351</v>
      </c>
      <c r="C5947" s="3" t="inlineStr">
        <is>
          <t>Assets</t>
        </is>
      </c>
      <c r="D5947" s="3" t="inlineStr">
        <is>
          <t>7620/295</t>
        </is>
      </c>
      <c r="E5947" s="3" t="inlineStr">
        <is>
          <t>HF CIP Traffic Planning</t>
        </is>
      </c>
      <c r="F5947" s="3" t="n">
        <v>0</v>
      </c>
      <c r="G5947" s="3" t="n">
        <v>45000</v>
      </c>
    </row>
    <row r="5948">
      <c r="A5948" s="3" t="inlineStr">
        <is>
          <t>Heron Fields (Pty) Ltd</t>
        </is>
      </c>
      <c r="B5948" s="4" t="n">
        <v>45351</v>
      </c>
      <c r="C5948" s="3" t="inlineStr">
        <is>
          <t>Assets</t>
        </is>
      </c>
      <c r="D5948" s="3" t="inlineStr">
        <is>
          <t>7620/600</t>
        </is>
      </c>
      <c r="E5948" s="3" t="inlineStr">
        <is>
          <t>HF CIP Eco work</t>
        </is>
      </c>
      <c r="F5948" s="3" t="n">
        <v>6000</v>
      </c>
      <c r="G5948" s="3" t="n">
        <v>203000</v>
      </c>
    </row>
    <row r="5949">
      <c r="A5949" s="3" t="inlineStr">
        <is>
          <t>Heron View (Pty) Ltd</t>
        </is>
      </c>
      <c r="B5949" s="4" t="n">
        <v>45351</v>
      </c>
      <c r="C5949" s="3" t="inlineStr">
        <is>
          <t>Assets</t>
        </is>
      </c>
      <c r="D5949" s="3" t="inlineStr">
        <is>
          <t>7620/605</t>
        </is>
      </c>
      <c r="E5949" s="3" t="inlineStr">
        <is>
          <t>Heron View CIP Structural Engineers</t>
        </is>
      </c>
      <c r="F5949" s="3" t="n">
        <v>0</v>
      </c>
      <c r="G5949" s="3" t="n">
        <v>666877.14</v>
      </c>
    </row>
    <row r="5950">
      <c r="A5950" s="3" t="inlineStr">
        <is>
          <t>Heron View (Pty) Ltd</t>
        </is>
      </c>
      <c r="B5950" s="4" t="n">
        <v>45351</v>
      </c>
      <c r="C5950" s="3" t="inlineStr">
        <is>
          <t>Assets</t>
        </is>
      </c>
      <c r="D5950" s="3" t="inlineStr">
        <is>
          <t>7620/610</t>
        </is>
      </c>
      <c r="E5950" s="3" t="inlineStr">
        <is>
          <t>HV CIP Retaining wall</t>
        </is>
      </c>
      <c r="F5950" s="3" t="n">
        <v>0</v>
      </c>
      <c r="G5950" s="3" t="n">
        <v>66190.11</v>
      </c>
    </row>
    <row r="5951">
      <c r="A5951" s="3" t="inlineStr">
        <is>
          <t>Heron Fields (Pty) Ltd</t>
        </is>
      </c>
      <c r="B5951" s="4" t="n">
        <v>45351</v>
      </c>
      <c r="C5951" s="3" t="inlineStr">
        <is>
          <t>Assets</t>
        </is>
      </c>
      <c r="D5951" s="3" t="inlineStr">
        <is>
          <t>7620/630</t>
        </is>
      </c>
      <c r="E5951" s="3" t="inlineStr">
        <is>
          <t>HF CIP CoCT development contribution</t>
        </is>
      </c>
      <c r="F5951" s="3" t="n">
        <v>0</v>
      </c>
      <c r="G5951" s="3" t="n">
        <v>3252759.95</v>
      </c>
    </row>
    <row r="5952">
      <c r="A5952" s="3" t="inlineStr">
        <is>
          <t>Heron View (Pty) Ltd</t>
        </is>
      </c>
      <c r="B5952" s="4" t="n">
        <v>45351</v>
      </c>
      <c r="C5952" s="3" t="inlineStr">
        <is>
          <t>Assets</t>
        </is>
      </c>
      <c r="D5952" s="3" t="inlineStr">
        <is>
          <t>7620/630</t>
        </is>
      </c>
      <c r="E5952" s="3" t="inlineStr">
        <is>
          <t>Heron CIP - CoCT development contribution</t>
        </is>
      </c>
      <c r="F5952" s="3" t="n">
        <v>0</v>
      </c>
      <c r="G5952" s="3" t="n">
        <v>1673231.19</v>
      </c>
    </row>
    <row r="5953">
      <c r="A5953" s="3" t="inlineStr">
        <is>
          <t>Heron Fields (Pty) Ltd</t>
        </is>
      </c>
      <c r="B5953" s="4" t="n">
        <v>45351</v>
      </c>
      <c r="C5953" s="3" t="inlineStr">
        <is>
          <t>Assets</t>
        </is>
      </c>
      <c r="D5953" s="3" t="inlineStr">
        <is>
          <t>7620/640</t>
        </is>
      </c>
      <c r="E5953" s="3" t="inlineStr">
        <is>
          <t>HF CIP Project costs</t>
        </is>
      </c>
      <c r="F5953" s="3" t="n">
        <v>0</v>
      </c>
      <c r="G5953" s="3" t="n">
        <v>622274.51</v>
      </c>
    </row>
    <row r="5954">
      <c r="A5954" s="3" t="inlineStr">
        <is>
          <t>Heron View (Pty) Ltd</t>
        </is>
      </c>
      <c r="B5954" s="4" t="n">
        <v>45351</v>
      </c>
      <c r="C5954" s="3" t="inlineStr">
        <is>
          <t>Assets</t>
        </is>
      </c>
      <c r="D5954" s="3" t="inlineStr">
        <is>
          <t>7620/650</t>
        </is>
      </c>
      <c r="E5954" s="3" t="inlineStr">
        <is>
          <t>CIP - Construction Management</t>
        </is>
      </c>
      <c r="F5954" s="3" t="n">
        <v>0</v>
      </c>
      <c r="G5954" s="3" t="n">
        <v>76530</v>
      </c>
    </row>
    <row r="5955">
      <c r="A5955" s="3" t="inlineStr">
        <is>
          <t>Heron Fields (Pty) Ltd</t>
        </is>
      </c>
      <c r="B5955" s="4" t="n">
        <v>45351</v>
      </c>
      <c r="C5955" s="3" t="inlineStr">
        <is>
          <t>Assets</t>
        </is>
      </c>
      <c r="D5955" s="3" t="inlineStr">
        <is>
          <t>7620/650</t>
        </is>
      </c>
      <c r="E5955" s="3" t="inlineStr">
        <is>
          <t>HF CIP Electrical</t>
        </is>
      </c>
      <c r="F5955" s="3" t="n">
        <v>0</v>
      </c>
      <c r="G5955" s="3" t="n">
        <v>985049.6800000001</v>
      </c>
    </row>
    <row r="5956">
      <c r="A5956" s="3" t="inlineStr">
        <is>
          <t>Heron View (Pty) Ltd</t>
        </is>
      </c>
      <c r="B5956" s="4" t="n">
        <v>45351</v>
      </c>
      <c r="C5956" s="3" t="inlineStr">
        <is>
          <t>Assets</t>
        </is>
      </c>
      <c r="D5956" s="3" t="inlineStr">
        <is>
          <t>7620/660</t>
        </is>
      </c>
      <c r="E5956" s="3" t="inlineStr">
        <is>
          <t>HV CIP Health &amp; Safety</t>
        </is>
      </c>
      <c r="F5956" s="3" t="n">
        <v>1400</v>
      </c>
      <c r="G5956" s="3" t="n">
        <v>30000</v>
      </c>
    </row>
    <row r="5957">
      <c r="A5957" s="3" t="inlineStr">
        <is>
          <t>Heron View (Pty) Ltd</t>
        </is>
      </c>
      <c r="B5957" s="4" t="n">
        <v>45351</v>
      </c>
      <c r="C5957" s="3" t="inlineStr">
        <is>
          <t>Assets</t>
        </is>
      </c>
      <c r="D5957" s="3" t="inlineStr">
        <is>
          <t>7620/670</t>
        </is>
      </c>
      <c r="E5957" s="3" t="inlineStr">
        <is>
          <t>HV CIP - Project costs CPSD</t>
        </is>
      </c>
      <c r="F5957" s="3" t="n">
        <v>334782.61</v>
      </c>
      <c r="G5957" s="3" t="n">
        <v>2693478.26</v>
      </c>
    </row>
    <row r="5958">
      <c r="A5958" s="3" t="inlineStr">
        <is>
          <t>Heron View (Pty) Ltd</t>
        </is>
      </c>
      <c r="B5958" s="4" t="n">
        <v>45351</v>
      </c>
      <c r="C5958" s="3" t="inlineStr">
        <is>
          <t>Assets</t>
        </is>
      </c>
      <c r="D5958" s="3" t="inlineStr">
        <is>
          <t>7620/680</t>
        </is>
      </c>
      <c r="E5958" s="3" t="inlineStr">
        <is>
          <t>HV CIP Elextrical</t>
        </is>
      </c>
      <c r="F5958" s="3" t="n">
        <v>0</v>
      </c>
      <c r="G5958" s="3" t="n">
        <v>1540502.11</v>
      </c>
    </row>
    <row r="5959">
      <c r="A5959" s="3" t="inlineStr">
        <is>
          <t>Heron View (Pty) Ltd</t>
        </is>
      </c>
      <c r="B5959" s="4" t="n">
        <v>45351</v>
      </c>
      <c r="C5959" s="3" t="inlineStr">
        <is>
          <t>Assets</t>
        </is>
      </c>
      <c r="D5959" s="3" t="inlineStr">
        <is>
          <t>7620/690</t>
        </is>
      </c>
      <c r="E5959" s="3" t="inlineStr">
        <is>
          <t>HV CIP Site Establishment</t>
        </is>
      </c>
      <c r="F5959" s="3" t="n">
        <v>0</v>
      </c>
      <c r="G5959" s="3" t="n">
        <v>16307183.05</v>
      </c>
    </row>
    <row r="5960">
      <c r="A5960" s="3" t="inlineStr">
        <is>
          <t>Heron Fields (Pty) Ltd</t>
        </is>
      </c>
      <c r="B5960" s="4" t="n">
        <v>45351</v>
      </c>
      <c r="C5960" s="3" t="inlineStr">
        <is>
          <t>Assets</t>
        </is>
      </c>
      <c r="D5960" s="3" t="inlineStr">
        <is>
          <t>7620/750</t>
        </is>
      </c>
      <c r="E5960" s="3" t="inlineStr">
        <is>
          <t>HF CIP Project costs CPSD</t>
        </is>
      </c>
      <c r="F5960" s="3" t="n">
        <v>0</v>
      </c>
      <c r="G5960" s="3" t="n">
        <v>2148883.15</v>
      </c>
    </row>
    <row r="5961">
      <c r="A5961" s="3" t="inlineStr">
        <is>
          <t>Heron Fields (Pty) Ltd</t>
        </is>
      </c>
      <c r="B5961" s="4" t="n">
        <v>45351</v>
      </c>
      <c r="C5961" s="3" t="inlineStr">
        <is>
          <t>Assets</t>
        </is>
      </c>
      <c r="D5961" s="3" t="inlineStr">
        <is>
          <t>7620/800</t>
        </is>
      </c>
      <c r="E5961" s="3" t="inlineStr">
        <is>
          <t>HF CIP GL Conradie</t>
        </is>
      </c>
      <c r="F5961" s="3" t="n">
        <v>0</v>
      </c>
      <c r="G5961" s="3" t="n">
        <v>1068455</v>
      </c>
    </row>
    <row r="5962">
      <c r="A5962" s="3" t="inlineStr">
        <is>
          <t>Heron View (Pty) Ltd</t>
        </is>
      </c>
      <c r="B5962" s="4" t="n">
        <v>45351</v>
      </c>
      <c r="C5962" s="3" t="inlineStr">
        <is>
          <t>Assets</t>
        </is>
      </c>
      <c r="D5962" s="3" t="inlineStr">
        <is>
          <t>7620/800</t>
        </is>
      </c>
      <c r="E5962" s="3" t="inlineStr">
        <is>
          <t>HV CIP GL Conradie</t>
        </is>
      </c>
      <c r="F5962" s="3" t="n">
        <v>0</v>
      </c>
      <c r="G5962" s="3" t="n">
        <v>2188325.96</v>
      </c>
    </row>
    <row r="5963">
      <c r="A5963" s="3" t="inlineStr">
        <is>
          <t>Heron Fields (Pty) Ltd</t>
        </is>
      </c>
      <c r="B5963" s="4" t="n">
        <v>45351</v>
      </c>
      <c r="C5963" s="3" t="inlineStr">
        <is>
          <t>Assets</t>
        </is>
      </c>
      <c r="D5963" s="3" t="inlineStr">
        <is>
          <t>7700/010</t>
        </is>
      </c>
      <c r="E5963" s="3" t="inlineStr">
        <is>
          <t>Construction 28 Feb 23 HF</t>
        </is>
      </c>
      <c r="F5963" s="3" t="n">
        <v>0</v>
      </c>
      <c r="G5963" s="3" t="n">
        <v>-24427668.44</v>
      </c>
    </row>
    <row r="5964">
      <c r="A5964" s="3" t="inlineStr">
        <is>
          <t>Cape Projects Construction (Pty) Ltd</t>
        </is>
      </c>
      <c r="B5964" s="4" t="n">
        <v>45351</v>
      </c>
      <c r="C5964" s="3" t="inlineStr">
        <is>
          <t>Assets</t>
        </is>
      </c>
      <c r="D5964" s="3" t="inlineStr">
        <is>
          <t>7800/000</t>
        </is>
      </c>
      <c r="E5964" s="3" t="inlineStr">
        <is>
          <t>Deposits paid</t>
        </is>
      </c>
      <c r="F5964" s="3" t="n">
        <v>0</v>
      </c>
      <c r="G5964" s="3" t="n">
        <v>29600</v>
      </c>
    </row>
    <row r="5965">
      <c r="A5965" s="3" t="inlineStr">
        <is>
          <t>Cape Projects Construction (Pty) Ltd</t>
        </is>
      </c>
      <c r="B5965" s="4" t="n">
        <v>45351</v>
      </c>
      <c r="C5965" s="3" t="inlineStr">
        <is>
          <t>Assets</t>
        </is>
      </c>
      <c r="D5965" s="3" t="inlineStr">
        <is>
          <t>8000/000</t>
        </is>
      </c>
      <c r="E5965" s="3" t="inlineStr">
        <is>
          <t>Customer Control Account</t>
        </is>
      </c>
      <c r="F5965" s="3" t="n">
        <v>110000</v>
      </c>
      <c r="G5965" s="3" t="n">
        <v>5534127.74</v>
      </c>
    </row>
    <row r="5966">
      <c r="A5966" s="3" t="inlineStr">
        <is>
          <t>Heron Fields (Pty) Ltd</t>
        </is>
      </c>
      <c r="B5966" s="4" t="n">
        <v>45351</v>
      </c>
      <c r="C5966" s="3" t="inlineStr">
        <is>
          <t>Assets</t>
        </is>
      </c>
      <c r="D5966" s="3" t="inlineStr">
        <is>
          <t>8000/000</t>
        </is>
      </c>
      <c r="E5966" s="3" t="inlineStr">
        <is>
          <t>Customer Control Account</t>
        </is>
      </c>
      <c r="F5966" s="3" t="n">
        <v>-967.88</v>
      </c>
      <c r="G5966" s="3" t="n">
        <v>370057.81</v>
      </c>
    </row>
    <row r="5967">
      <c r="A5967" s="3" t="inlineStr">
        <is>
          <t>Heron View (Pty) Ltd</t>
        </is>
      </c>
      <c r="B5967" s="4" t="n">
        <v>45351</v>
      </c>
      <c r="C5967" s="3" t="inlineStr">
        <is>
          <t>Assets</t>
        </is>
      </c>
      <c r="D5967" s="3" t="inlineStr">
        <is>
          <t>8000/000</t>
        </is>
      </c>
      <c r="E5967" s="3" t="inlineStr">
        <is>
          <t>Customer Control Account</t>
        </is>
      </c>
      <c r="F5967" s="3" t="n">
        <v>387.11</v>
      </c>
      <c r="G5967" s="3" t="n">
        <v>696.85</v>
      </c>
    </row>
    <row r="5968">
      <c r="A5968" s="3" t="inlineStr">
        <is>
          <t>Cape Projects Construction (Pty) Ltd</t>
        </is>
      </c>
      <c r="B5968" s="4" t="n">
        <v>45351</v>
      </c>
      <c r="C5968" s="3" t="inlineStr">
        <is>
          <t>Assets</t>
        </is>
      </c>
      <c r="D5968" s="3" t="inlineStr">
        <is>
          <t>8200/030</t>
        </is>
      </c>
      <c r="E5968" s="3" t="inlineStr">
        <is>
          <t>Staff Loan - Ntuthuka</t>
        </is>
      </c>
      <c r="F5968" s="3" t="n">
        <v>0</v>
      </c>
      <c r="G5968" s="3" t="n">
        <v>-3510.34</v>
      </c>
    </row>
    <row r="5969">
      <c r="A5969" s="3" t="inlineStr">
        <is>
          <t>Cape Projects Construction (Pty) Ltd</t>
        </is>
      </c>
      <c r="B5969" s="4" t="n">
        <v>45351</v>
      </c>
      <c r="C5969" s="3" t="inlineStr">
        <is>
          <t>Assets</t>
        </is>
      </c>
      <c r="D5969" s="3" t="inlineStr">
        <is>
          <t>8300/000</t>
        </is>
      </c>
      <c r="E5969" s="3" t="inlineStr">
        <is>
          <t>FNB Credit Card 8812 7100 446 6006</t>
        </is>
      </c>
      <c r="F5969" s="3" t="n">
        <v>-173</v>
      </c>
      <c r="G5969" s="3" t="n">
        <v>-1935</v>
      </c>
    </row>
    <row r="5970">
      <c r="A5970" s="3" t="inlineStr">
        <is>
          <t>Heron Fields (Pty) Ltd</t>
        </is>
      </c>
      <c r="B5970" s="4" t="n">
        <v>45351</v>
      </c>
      <c r="C5970" s="3" t="inlineStr">
        <is>
          <t>Assets</t>
        </is>
      </c>
      <c r="D5970" s="3" t="inlineStr">
        <is>
          <t>8400/000</t>
        </is>
      </c>
      <c r="E5970" s="3" t="inlineStr">
        <is>
          <t>RMB - 62882379087</t>
        </is>
      </c>
      <c r="F5970" s="3" t="n">
        <v>-3050995.26</v>
      </c>
      <c r="G5970" s="3" t="n">
        <v>142073.73</v>
      </c>
    </row>
    <row r="5971">
      <c r="A5971" s="3" t="inlineStr">
        <is>
          <t>Cape Projects Construction (Pty) Ltd</t>
        </is>
      </c>
      <c r="B5971" s="4" t="n">
        <v>45351</v>
      </c>
      <c r="C5971" s="3" t="inlineStr">
        <is>
          <t>Assets</t>
        </is>
      </c>
      <c r="D5971" s="3" t="inlineStr">
        <is>
          <t>8400/000</t>
        </is>
      </c>
      <c r="E5971" s="3" t="inlineStr">
        <is>
          <t>RMB 62275138470</t>
        </is>
      </c>
      <c r="F5971" s="3" t="n">
        <v>-77195.53999999999</v>
      </c>
      <c r="G5971" s="3" t="n">
        <v>291690.83</v>
      </c>
    </row>
    <row r="5972">
      <c r="A5972" s="3" t="inlineStr">
        <is>
          <t>Cape Projects Construction (Pty) Ltd</t>
        </is>
      </c>
      <c r="B5972" s="4" t="n">
        <v>45351</v>
      </c>
      <c r="C5972" s="3" t="inlineStr">
        <is>
          <t>Assets</t>
        </is>
      </c>
      <c r="D5972" s="3" t="inlineStr">
        <is>
          <t>8410/000</t>
        </is>
      </c>
      <c r="E5972" s="3" t="inlineStr">
        <is>
          <t>Petty Cash</t>
        </is>
      </c>
      <c r="F5972" s="3" t="n">
        <v>0</v>
      </c>
      <c r="G5972" s="3" t="n">
        <v>-1188</v>
      </c>
    </row>
    <row r="5973">
      <c r="A5973" s="3" t="inlineStr">
        <is>
          <t>Cape Projects Construction (Pty) Ltd</t>
        </is>
      </c>
      <c r="B5973" s="4" t="n">
        <v>45351</v>
      </c>
      <c r="C5973" s="3" t="inlineStr">
        <is>
          <t>Assets</t>
        </is>
      </c>
      <c r="D5973" s="3" t="inlineStr">
        <is>
          <t>8420/000</t>
        </is>
      </c>
      <c r="E5973" s="3" t="inlineStr">
        <is>
          <t>Momentum Priv Acc RU502230981</t>
        </is>
      </c>
      <c r="F5973" s="3" t="n">
        <v>0</v>
      </c>
      <c r="G5973" s="3" t="n">
        <v>571.55</v>
      </c>
    </row>
    <row r="5974">
      <c r="A5974" s="3" t="inlineStr">
        <is>
          <t>Heron Fields (Pty) Ltd</t>
        </is>
      </c>
      <c r="B5974" s="4" t="n">
        <v>45351</v>
      </c>
      <c r="C5974" s="3" t="inlineStr">
        <is>
          <t>Assets</t>
        </is>
      </c>
      <c r="D5974" s="3" t="inlineStr">
        <is>
          <t>8420/000</t>
        </is>
      </c>
      <c r="E5974" s="3" t="inlineStr">
        <is>
          <t>Petty Cash</t>
        </is>
      </c>
      <c r="F5974" s="3" t="n">
        <v>0</v>
      </c>
      <c r="G5974" s="3" t="n">
        <v>8620</v>
      </c>
    </row>
    <row r="5975">
      <c r="A5975" s="3" t="inlineStr">
        <is>
          <t>Heron Fields (Pty) Ltd</t>
        </is>
      </c>
      <c r="B5975" s="4" t="n">
        <v>45351</v>
      </c>
      <c r="C5975" s="3" t="inlineStr">
        <is>
          <t>Assets</t>
        </is>
      </c>
      <c r="D5975" s="3" t="inlineStr">
        <is>
          <t>8430/000</t>
        </is>
      </c>
      <c r="E5975" s="3" t="inlineStr">
        <is>
          <t>Momentum Private Account RU502230151</t>
        </is>
      </c>
      <c r="F5975" s="3" t="n">
        <v>17.22</v>
      </c>
      <c r="G5975" s="3" t="n">
        <v>889.13</v>
      </c>
    </row>
    <row r="5976">
      <c r="A5976" s="3" t="inlineStr">
        <is>
          <t>Heron Fields (Pty) Ltd</t>
        </is>
      </c>
      <c r="B5976" s="4" t="n">
        <v>45351</v>
      </c>
      <c r="C5976" s="3" t="inlineStr">
        <is>
          <t>Assets</t>
        </is>
      </c>
      <c r="D5976" s="3" t="inlineStr">
        <is>
          <t>8440/000</t>
        </is>
      </c>
      <c r="E5976" s="3" t="inlineStr">
        <is>
          <t>Momentum Investors Account RU502229930</t>
        </is>
      </c>
      <c r="F5976" s="3" t="n">
        <v>324114.3</v>
      </c>
      <c r="G5976" s="3" t="n">
        <v>12938990.67</v>
      </c>
    </row>
    <row r="5977">
      <c r="A5977" s="3" t="inlineStr">
        <is>
          <t>Heron Fields (Pty) Ltd</t>
        </is>
      </c>
      <c r="B5977" s="4" t="n">
        <v>45351</v>
      </c>
      <c r="C5977" s="3" t="inlineStr">
        <is>
          <t>Assets</t>
        </is>
      </c>
      <c r="D5977" s="3" t="inlineStr">
        <is>
          <t>8450/000</t>
        </is>
      </c>
      <c r="E5977" s="3" t="inlineStr">
        <is>
          <t>ABSA Current Acc : 4109071013</t>
        </is>
      </c>
      <c r="F5977" s="3" t="n">
        <v>0</v>
      </c>
      <c r="G5977" s="3" t="n">
        <v>150500</v>
      </c>
    </row>
    <row r="5978">
      <c r="A5978" s="3" t="inlineStr">
        <is>
          <t>Cape Projects Construction (Pty) Ltd</t>
        </is>
      </c>
      <c r="B5978" s="4" t="n">
        <v>45351</v>
      </c>
      <c r="C5978" s="3" t="inlineStr">
        <is>
          <t>Liabilities</t>
        </is>
      </c>
      <c r="D5978" s="3" t="inlineStr">
        <is>
          <t>860</t>
        </is>
      </c>
      <c r="E5978" s="3" t="inlineStr">
        <is>
          <t>Rounding</t>
        </is>
      </c>
      <c r="F5978" s="3" t="n">
        <v>-12.49</v>
      </c>
      <c r="G5978" s="3" t="n">
        <v>-13.04</v>
      </c>
    </row>
    <row r="5979">
      <c r="A5979" s="3" t="inlineStr">
        <is>
          <t>Heron Fields (Pty) Ltd</t>
        </is>
      </c>
      <c r="B5979" s="4" t="n">
        <v>45351</v>
      </c>
      <c r="C5979" s="3" t="inlineStr">
        <is>
          <t>Liabilities</t>
        </is>
      </c>
      <c r="D5979" s="3" t="inlineStr">
        <is>
          <t>860</t>
        </is>
      </c>
      <c r="E5979" s="3" t="inlineStr">
        <is>
          <t>Rounding</t>
        </is>
      </c>
      <c r="F5979" s="3" t="n">
        <v>0</v>
      </c>
      <c r="G5979" s="3" t="n">
        <v>0.04</v>
      </c>
    </row>
    <row r="5980">
      <c r="A5980" s="3" t="inlineStr">
        <is>
          <t>Heron View (Pty) Ltd</t>
        </is>
      </c>
      <c r="B5980" s="4" t="n">
        <v>45351</v>
      </c>
      <c r="C5980" s="3" t="inlineStr">
        <is>
          <t>Liabilities</t>
        </is>
      </c>
      <c r="D5980" s="3" t="inlineStr">
        <is>
          <t>860</t>
        </is>
      </c>
      <c r="E5980" s="3" t="inlineStr">
        <is>
          <t>Rounding</t>
        </is>
      </c>
      <c r="F5980" s="3" t="n">
        <v>0</v>
      </c>
      <c r="G5980" s="3" t="n">
        <v>-0.03</v>
      </c>
    </row>
    <row r="5981">
      <c r="A5981" s="3" t="inlineStr">
        <is>
          <t>Cape Projects Construction (Pty) Ltd</t>
        </is>
      </c>
      <c r="B5981" s="4" t="n">
        <v>45351</v>
      </c>
      <c r="C5981" s="3" t="inlineStr">
        <is>
          <t>Liabilities</t>
        </is>
      </c>
      <c r="D5981" s="3" t="inlineStr">
        <is>
          <t>9000/000</t>
        </is>
      </c>
      <c r="E5981" s="3" t="inlineStr">
        <is>
          <t>Supplier Control Account</t>
        </is>
      </c>
      <c r="F5981" s="3" t="n">
        <v>-984574.13</v>
      </c>
      <c r="G5981" s="3" t="n">
        <v>-1995166.07</v>
      </c>
    </row>
    <row r="5982">
      <c r="A5982" s="3" t="inlineStr">
        <is>
          <t>Heron Fields (Pty) Ltd</t>
        </is>
      </c>
      <c r="B5982" s="4" t="n">
        <v>45351</v>
      </c>
      <c r="C5982" s="3" t="inlineStr">
        <is>
          <t>Liabilities</t>
        </is>
      </c>
      <c r="D5982" s="3" t="inlineStr">
        <is>
          <t>9000/000</t>
        </is>
      </c>
      <c r="E5982" s="3" t="inlineStr">
        <is>
          <t>Supplier Control Account</t>
        </is>
      </c>
      <c r="F5982" s="3" t="n">
        <v>6703120.47</v>
      </c>
      <c r="G5982" s="3" t="n">
        <v>-161666823.52</v>
      </c>
    </row>
    <row r="5983">
      <c r="A5983" s="3" t="inlineStr">
        <is>
          <t>Heron View (Pty) Ltd</t>
        </is>
      </c>
      <c r="B5983" s="4" t="n">
        <v>45351</v>
      </c>
      <c r="C5983" s="3" t="inlineStr">
        <is>
          <t>Liabilities</t>
        </is>
      </c>
      <c r="D5983" s="3" t="inlineStr">
        <is>
          <t>9000/000</t>
        </is>
      </c>
      <c r="E5983" s="3" t="inlineStr">
        <is>
          <t>Supplier Control Account</t>
        </is>
      </c>
      <c r="F5983" s="3" t="n">
        <v>-3776617.38</v>
      </c>
      <c r="G5983" s="3" t="n">
        <v>-5524201.53</v>
      </c>
    </row>
    <row r="5984">
      <c r="A5984" s="3" t="inlineStr">
        <is>
          <t>Cape Projects Construction (Pty) Ltd</t>
        </is>
      </c>
      <c r="B5984" s="4" t="n">
        <v>45351</v>
      </c>
      <c r="C5984" s="3" t="inlineStr">
        <is>
          <t>Liabilities</t>
        </is>
      </c>
      <c r="D5984" s="3" t="inlineStr">
        <is>
          <t>9200/000</t>
        </is>
      </c>
      <c r="E5984" s="3" t="inlineStr">
        <is>
          <t>Sundry Suppliers</t>
        </is>
      </c>
      <c r="F5984" s="3" t="n">
        <v>0</v>
      </c>
      <c r="G5984" s="3" t="n">
        <v>1309</v>
      </c>
    </row>
    <row r="5985">
      <c r="A5985" s="3" t="inlineStr">
        <is>
          <t>Cape Projects Construction (Pty) Ltd</t>
        </is>
      </c>
      <c r="B5985" s="4" t="n">
        <v>45351</v>
      </c>
      <c r="C5985" s="3" t="inlineStr">
        <is>
          <t>Liabilities</t>
        </is>
      </c>
      <c r="D5985" s="3" t="inlineStr">
        <is>
          <t>9250/020</t>
        </is>
      </c>
      <c r="E5985" s="3" t="inlineStr">
        <is>
          <t>PAYE, UIF AND SDL CONTROL</t>
        </is>
      </c>
      <c r="F5985" s="3" t="n">
        <v>888.38</v>
      </c>
      <c r="G5985" s="3" t="n">
        <v>-106119.66</v>
      </c>
    </row>
    <row r="5986">
      <c r="A5986" s="3" t="inlineStr">
        <is>
          <t>Cape Projects Construction (Pty) Ltd</t>
        </is>
      </c>
      <c r="B5986" s="4" t="n">
        <v>45351</v>
      </c>
      <c r="C5986" s="3" t="inlineStr">
        <is>
          <t>Liabilities</t>
        </is>
      </c>
      <c r="D5986" s="3" t="inlineStr">
        <is>
          <t>9250/030</t>
        </is>
      </c>
      <c r="E5986" s="3" t="inlineStr">
        <is>
          <t>BIBC CONTROL</t>
        </is>
      </c>
      <c r="F5986" s="3" t="n">
        <v>0</v>
      </c>
      <c r="G5986" s="3" t="n">
        <v>-49413.95</v>
      </c>
    </row>
    <row r="5987">
      <c r="A5987" s="3" t="inlineStr">
        <is>
          <t>Cape Projects Construction (Pty) Ltd</t>
        </is>
      </c>
      <c r="B5987" s="4" t="n">
        <v>45351</v>
      </c>
      <c r="C5987" s="3" t="inlineStr">
        <is>
          <t>Liabilities</t>
        </is>
      </c>
      <c r="D5987" s="3" t="inlineStr">
        <is>
          <t>9350/000</t>
        </is>
      </c>
      <c r="E5987" s="3" t="inlineStr">
        <is>
          <t>Dividends Payable</t>
        </is>
      </c>
      <c r="F5987" s="3" t="n">
        <v>0</v>
      </c>
      <c r="G5987" s="3" t="n">
        <v>130000</v>
      </c>
    </row>
    <row r="5988">
      <c r="A5988" s="3" t="inlineStr">
        <is>
          <t>Cape Projects Construction (Pty) Ltd</t>
        </is>
      </c>
      <c r="B5988" s="4" t="n">
        <v>45351</v>
      </c>
      <c r="C5988" s="3" t="inlineStr">
        <is>
          <t>Liabilities</t>
        </is>
      </c>
      <c r="D5988" s="3" t="inlineStr">
        <is>
          <t>9500/000</t>
        </is>
      </c>
      <c r="E5988" s="3" t="inlineStr">
        <is>
          <t>VAT Control Account</t>
        </is>
      </c>
      <c r="F5988" s="3" t="n">
        <v>72211.91</v>
      </c>
      <c r="G5988" s="3" t="n">
        <v>-174681.28</v>
      </c>
    </row>
    <row r="5989">
      <c r="A5989" s="3" t="inlineStr">
        <is>
          <t>Heron Fields (Pty) Ltd</t>
        </is>
      </c>
      <c r="B5989" s="4" t="n">
        <v>45351</v>
      </c>
      <c r="C5989" s="3" t="inlineStr">
        <is>
          <t>Liabilities</t>
        </is>
      </c>
      <c r="D5989" s="3" t="inlineStr">
        <is>
          <t>9500/000</t>
        </is>
      </c>
      <c r="E5989" s="3" t="inlineStr">
        <is>
          <t>Vat / Tax Control Account</t>
        </is>
      </c>
      <c r="F5989" s="3" t="n">
        <v>24662.67</v>
      </c>
      <c r="G5989" s="3" t="n">
        <v>-3346962.45</v>
      </c>
    </row>
    <row r="5990">
      <c r="A5990" s="3" t="inlineStr">
        <is>
          <t>Heron View (Pty) Ltd</t>
        </is>
      </c>
      <c r="B5990" s="4" t="n">
        <v>45351</v>
      </c>
      <c r="C5990" s="3" t="inlineStr">
        <is>
          <t>Liabilities</t>
        </is>
      </c>
      <c r="D5990" s="3" t="inlineStr">
        <is>
          <t>9500/000</t>
        </is>
      </c>
      <c r="E5990" s="3" t="inlineStr">
        <is>
          <t>Vat / Tax Control Account</t>
        </is>
      </c>
      <c r="F5990" s="3" t="n">
        <v>-911585.05</v>
      </c>
      <c r="G5990" s="3" t="n">
        <v>5476714.79</v>
      </c>
    </row>
    <row r="5991">
      <c r="A5991" s="3" t="inlineStr">
        <is>
          <t>Cape Projects Construction (Pty) Ltd</t>
        </is>
      </c>
      <c r="B5991" s="4" t="n">
        <v>45351</v>
      </c>
      <c r="C5991" s="3" t="inlineStr">
        <is>
          <t>Liabilities</t>
        </is>
      </c>
      <c r="D5991" s="3" t="inlineStr">
        <is>
          <t>9510/000</t>
        </is>
      </c>
      <c r="E5991" s="3" t="inlineStr">
        <is>
          <t>Tax Provision Account</t>
        </is>
      </c>
      <c r="F5991" s="3" t="n">
        <v>0</v>
      </c>
      <c r="G5991" s="3" t="n">
        <v>-1869.8</v>
      </c>
    </row>
    <row r="5992">
      <c r="A5992" s="3" t="inlineStr">
        <is>
          <t>Heron Fields (Pty) Ltd</t>
        </is>
      </c>
      <c r="B5992" s="4" t="n">
        <v>45351</v>
      </c>
      <c r="C5992" s="3" t="inlineStr">
        <is>
          <t>Liabilities</t>
        </is>
      </c>
      <c r="D5992" s="3" t="inlineStr">
        <is>
          <t>9520/000</t>
        </is>
      </c>
      <c r="E5992" s="3" t="inlineStr">
        <is>
          <t>Income Tax Payable</t>
        </is>
      </c>
      <c r="F5992" s="3" t="n">
        <v>0</v>
      </c>
      <c r="G5992" s="3" t="n">
        <v>59039.93</v>
      </c>
    </row>
    <row r="5993">
      <c r="A5993" s="3" t="inlineStr">
        <is>
          <t>Heron View (Pty) Ltd</t>
        </is>
      </c>
      <c r="B5993" s="4" t="n">
        <v>45351</v>
      </c>
      <c r="C5993" s="3" t="inlineStr">
        <is>
          <t>Liabilities</t>
        </is>
      </c>
      <c r="D5993" s="3" t="inlineStr">
        <is>
          <t>9899/C102</t>
        </is>
      </c>
      <c r="E5993" s="3" t="inlineStr">
        <is>
          <t>Sales - Unit Reg Control C102</t>
        </is>
      </c>
      <c r="F5993" s="3" t="n">
        <v>0</v>
      </c>
      <c r="G5993" s="3" t="n">
        <v>-0.4</v>
      </c>
    </row>
    <row r="5994">
      <c r="A5994" s="3" t="inlineStr">
        <is>
          <t>Cape Projects Construction (Pty) Ltd</t>
        </is>
      </c>
      <c r="B5994" s="4" t="n">
        <v>45351</v>
      </c>
      <c r="C5994" s="3" t="inlineStr">
        <is>
          <t>Liabilities</t>
        </is>
      </c>
      <c r="D5994" s="3" t="inlineStr">
        <is>
          <t>B/S</t>
        </is>
      </c>
      <c r="E5994" s="3" t="inlineStr">
        <is>
          <t>Taxation Payable</t>
        </is>
      </c>
      <c r="F5994" s="3" t="n">
        <v>391929.81</v>
      </c>
      <c r="G5994" s="3" t="n">
        <v>393799.61</v>
      </c>
    </row>
    <row r="5995">
      <c r="A5995" s="3" t="inlineStr">
        <is>
          <t>Cape Projects Construction (Pty) Ltd</t>
        </is>
      </c>
      <c r="B5995" s="4" t="n">
        <v>45351</v>
      </c>
      <c r="C5995" s="3" t="inlineStr">
        <is>
          <t>Assets</t>
        </is>
      </c>
      <c r="D5995" s="3" t="inlineStr">
        <is>
          <t>Blessing</t>
        </is>
      </c>
      <c r="E5995" s="3" t="inlineStr">
        <is>
          <t>Staff Loan - Ntuthuka</t>
        </is>
      </c>
      <c r="F5995" s="3" t="n">
        <v>3510.34</v>
      </c>
      <c r="G5995" s="3" t="n">
        <v>0</v>
      </c>
    </row>
    <row r="5996">
      <c r="A5996" s="3" t="inlineStr">
        <is>
          <t>Cape Projects Construction (Pty) Ltd</t>
        </is>
      </c>
      <c r="B5996" s="4" t="n">
        <v>45351</v>
      </c>
      <c r="C5996" s="3" t="inlineStr">
        <is>
          <t>Liabilities</t>
        </is>
      </c>
      <c r="D5996" s="3" t="inlineStr">
        <is>
          <t>TEMP/ACC</t>
        </is>
      </c>
      <c r="E5996" s="3" t="inlineStr">
        <is>
          <t>Conversion Account</t>
        </is>
      </c>
      <c r="F5996" s="3" t="n">
        <v>0</v>
      </c>
      <c r="G5996" s="3" t="n">
        <v>-254.99</v>
      </c>
    </row>
    <row r="5997">
      <c r="A5997" s="3" t="inlineStr">
        <is>
          <t>Heron Fields (Pty) Ltd</t>
        </is>
      </c>
      <c r="B5997" s="4" t="n">
        <v>45352</v>
      </c>
      <c r="C5997" s="3" t="inlineStr">
        <is>
          <t>Revenue</t>
        </is>
      </c>
      <c r="D5997" s="3" t="inlineStr">
        <is>
          <t>1500/002</t>
        </is>
      </c>
      <c r="E5997" s="3" t="inlineStr">
        <is>
          <t>Rental Income</t>
        </is>
      </c>
      <c r="F5997" s="3" t="n">
        <v>-20750</v>
      </c>
      <c r="G5997" s="3" t="n">
        <v>-20750</v>
      </c>
    </row>
    <row r="5998">
      <c r="A5998" s="3" t="inlineStr">
        <is>
          <t>Cape Projects Construction (Pty) Ltd</t>
        </is>
      </c>
      <c r="B5998" s="4" t="n">
        <v>45352</v>
      </c>
      <c r="C5998" s="3" t="inlineStr">
        <is>
          <t>Expenses</t>
        </is>
      </c>
      <c r="D5998" s="3" t="inlineStr">
        <is>
          <t>2011/500</t>
        </is>
      </c>
      <c r="E5998" s="3" t="inlineStr">
        <is>
          <t>COS - Heron Fields - Construction</t>
        </is>
      </c>
      <c r="F5998" s="3" t="n">
        <v>1459.05</v>
      </c>
      <c r="G5998" s="3" t="n">
        <v>1459.05</v>
      </c>
    </row>
    <row r="5999">
      <c r="A5999" s="3" t="inlineStr">
        <is>
          <t>Cape Projects Construction (Pty) Ltd</t>
        </is>
      </c>
      <c r="B5999" s="4" t="n">
        <v>45352</v>
      </c>
      <c r="C5999" s="3" t="inlineStr">
        <is>
          <t>Expenses</t>
        </is>
      </c>
      <c r="D5999" s="3" t="inlineStr">
        <is>
          <t>2011/900</t>
        </is>
      </c>
      <c r="E5999" s="3" t="inlineStr">
        <is>
          <t>COS - Heron - Internet</t>
        </is>
      </c>
      <c r="F5999" s="3" t="n">
        <v>1849.57</v>
      </c>
      <c r="G5999" s="3" t="n">
        <v>1849.57</v>
      </c>
    </row>
    <row r="6000">
      <c r="A6000" s="3" t="inlineStr">
        <is>
          <t>Cape Projects Construction (Pty) Ltd</t>
        </is>
      </c>
      <c r="B6000" s="4" t="n">
        <v>45352</v>
      </c>
      <c r="C6000" s="3" t="inlineStr">
        <is>
          <t>Expenses</t>
        </is>
      </c>
      <c r="D6000" s="3" t="inlineStr">
        <is>
          <t>2012/002</t>
        </is>
      </c>
      <c r="E6000" s="3" t="inlineStr">
        <is>
          <t>COS - Heron View - Construction</t>
        </is>
      </c>
      <c r="F6000" s="3" t="n">
        <v>1185303.73</v>
      </c>
      <c r="G6000" s="3" t="n">
        <v>1185303.73</v>
      </c>
    </row>
    <row r="6001">
      <c r="A6001" s="3" t="inlineStr">
        <is>
          <t>Cape Projects Construction (Pty) Ltd</t>
        </is>
      </c>
      <c r="B6001" s="4" t="n">
        <v>45352</v>
      </c>
      <c r="C6001" s="3" t="inlineStr">
        <is>
          <t>Expenses</t>
        </is>
      </c>
      <c r="D6001" s="3" t="inlineStr">
        <is>
          <t>2012/003</t>
        </is>
      </c>
      <c r="E6001" s="3" t="inlineStr">
        <is>
          <t>COS - Heron View - P&amp;G</t>
        </is>
      </c>
      <c r="F6001" s="3" t="n">
        <v>10800</v>
      </c>
      <c r="G6001" s="3" t="n">
        <v>10800</v>
      </c>
    </row>
    <row r="6002">
      <c r="A6002" s="3" t="inlineStr">
        <is>
          <t>Heron Fields (Pty) Ltd</t>
        </is>
      </c>
      <c r="B6002" s="4" t="n">
        <v>45352</v>
      </c>
      <c r="C6002" s="3" t="inlineStr">
        <is>
          <t>Expenses</t>
        </is>
      </c>
      <c r="D6002" s="3" t="inlineStr">
        <is>
          <t>3050/000</t>
        </is>
      </c>
      <c r="E6002" s="3" t="inlineStr">
        <is>
          <t>Advertising _AND_ Promotions</t>
        </is>
      </c>
      <c r="F6002" s="3" t="n">
        <v>728.8</v>
      </c>
      <c r="G6002" s="3" t="n">
        <v>728.8</v>
      </c>
    </row>
    <row r="6003">
      <c r="A6003" s="3" t="inlineStr">
        <is>
          <t>Heron Fields (Pty) Ltd</t>
        </is>
      </c>
      <c r="B6003" s="4" t="n">
        <v>45352</v>
      </c>
      <c r="C6003" s="3" t="inlineStr">
        <is>
          <t>Expenses</t>
        </is>
      </c>
      <c r="D6003" s="3" t="inlineStr">
        <is>
          <t>3640/000</t>
        </is>
      </c>
      <c r="E6003" s="3" t="inlineStr">
        <is>
          <t>COCT: Developers Rates &amp; Refuse Acc: 236356811</t>
        </is>
      </c>
      <c r="F6003" s="3" t="n">
        <v>124268.36</v>
      </c>
      <c r="G6003" s="3" t="n">
        <v>124268.36</v>
      </c>
    </row>
    <row r="6004">
      <c r="A6004" s="3" t="inlineStr">
        <is>
          <t>Heron Fields (Pty) Ltd</t>
        </is>
      </c>
      <c r="B6004" s="4" t="n">
        <v>45352</v>
      </c>
      <c r="C6004" s="3" t="inlineStr">
        <is>
          <t>Expenses</t>
        </is>
      </c>
      <c r="D6004" s="3" t="inlineStr">
        <is>
          <t>3650/000</t>
        </is>
      </c>
      <c r="E6004" s="3" t="inlineStr">
        <is>
          <t>CoCT - Electricity</t>
        </is>
      </c>
      <c r="F6004" s="3" t="n">
        <v>-3484.49</v>
      </c>
      <c r="G6004" s="3" t="n">
        <v>-3484.49</v>
      </c>
    </row>
    <row r="6005">
      <c r="A6005" s="3" t="inlineStr">
        <is>
          <t>Heron Fields (Pty) Ltd</t>
        </is>
      </c>
      <c r="B6005" s="4" t="n">
        <v>45352</v>
      </c>
      <c r="C6005" s="3" t="inlineStr">
        <is>
          <t>Expenses</t>
        </is>
      </c>
      <c r="D6005" s="3" t="inlineStr">
        <is>
          <t>3660/000</t>
        </is>
      </c>
      <c r="E6005" s="3" t="inlineStr">
        <is>
          <t>CoCT - Water</t>
        </is>
      </c>
      <c r="F6005" s="3" t="n">
        <v>3484.49</v>
      </c>
      <c r="G6005" s="3" t="n">
        <v>3484.49</v>
      </c>
    </row>
    <row r="6006">
      <c r="A6006" s="3" t="inlineStr">
        <is>
          <t>Heron View (Pty) Ltd</t>
        </is>
      </c>
      <c r="B6006" s="4" t="n">
        <v>45352</v>
      </c>
      <c r="C6006" s="3" t="inlineStr">
        <is>
          <t>Expenses</t>
        </is>
      </c>
      <c r="D6006" s="3" t="inlineStr">
        <is>
          <t>3660/000</t>
        </is>
      </c>
      <c r="E6006" s="3" t="inlineStr">
        <is>
          <t>Water</t>
        </is>
      </c>
      <c r="F6006" s="3" t="n">
        <v>75.7</v>
      </c>
      <c r="G6006" s="3" t="n">
        <v>75.7</v>
      </c>
    </row>
    <row r="6007">
      <c r="A6007" s="3" t="inlineStr">
        <is>
          <t>Cape Projects Construction (Pty) Ltd</t>
        </is>
      </c>
      <c r="B6007" s="4" t="n">
        <v>45352</v>
      </c>
      <c r="C6007" s="3" t="inlineStr">
        <is>
          <t>Expenses</t>
        </is>
      </c>
      <c r="D6007" s="3" t="inlineStr">
        <is>
          <t>3850/001</t>
        </is>
      </c>
      <c r="E6007" s="3" t="inlineStr">
        <is>
          <t>Insurance - Santam</t>
        </is>
      </c>
      <c r="F6007" s="3" t="n">
        <v>7410.02</v>
      </c>
      <c r="G6007" s="3" t="n">
        <v>7410.02</v>
      </c>
    </row>
    <row r="6008">
      <c r="A6008" s="3" t="inlineStr">
        <is>
          <t>Heron Fields (Pty) Ltd</t>
        </is>
      </c>
      <c r="B6008" s="4" t="n">
        <v>45352</v>
      </c>
      <c r="C6008" s="3" t="inlineStr">
        <is>
          <t>Expenses</t>
        </is>
      </c>
      <c r="D6008" s="3" t="inlineStr">
        <is>
          <t>3900/000</t>
        </is>
      </c>
      <c r="E6008" s="3" t="inlineStr">
        <is>
          <t>Interest Paid</t>
        </is>
      </c>
      <c r="F6008" s="3" t="n">
        <v>3961.05</v>
      </c>
      <c r="G6008" s="3" t="n">
        <v>3961.05</v>
      </c>
    </row>
    <row r="6009">
      <c r="A6009" s="3" t="inlineStr">
        <is>
          <t>Heron View (Pty) Ltd</t>
        </is>
      </c>
      <c r="B6009" s="4" t="n">
        <v>45352</v>
      </c>
      <c r="C6009" s="3" t="inlineStr">
        <is>
          <t>Expenses</t>
        </is>
      </c>
      <c r="D6009" s="3" t="inlineStr">
        <is>
          <t>4050/000</t>
        </is>
      </c>
      <c r="E6009" s="3" t="inlineStr">
        <is>
          <t>Levies</t>
        </is>
      </c>
      <c r="F6009" s="3" t="n">
        <v>6638.93</v>
      </c>
      <c r="G6009" s="3" t="n">
        <v>6638.93</v>
      </c>
    </row>
    <row r="6010">
      <c r="A6010" s="3" t="inlineStr">
        <is>
          <t>Heron Fields (Pty) Ltd</t>
        </is>
      </c>
      <c r="B6010" s="4" t="n">
        <v>45352</v>
      </c>
      <c r="C6010" s="3" t="inlineStr">
        <is>
          <t>Expenses</t>
        </is>
      </c>
      <c r="D6010" s="3" t="inlineStr">
        <is>
          <t>4050/200</t>
        </is>
      </c>
      <c r="E6010" s="3" t="inlineStr">
        <is>
          <t>Levies - Amari</t>
        </is>
      </c>
      <c r="F6010" s="3" t="n">
        <v>15641.09</v>
      </c>
      <c r="G6010" s="3" t="n">
        <v>15641.09</v>
      </c>
    </row>
    <row r="6011">
      <c r="A6011" s="3" t="inlineStr">
        <is>
          <t>Cape Projects Construction (Pty) Ltd</t>
        </is>
      </c>
      <c r="B6011" s="4" t="n">
        <v>45352</v>
      </c>
      <c r="C6011" s="3" t="inlineStr">
        <is>
          <t>Expenses</t>
        </is>
      </c>
      <c r="D6011" s="3" t="inlineStr">
        <is>
          <t>4150/010</t>
        </is>
      </c>
      <c r="E6011" s="3" t="inlineStr">
        <is>
          <t>Motor Vehicle - Petrol _AND_ Oil</t>
        </is>
      </c>
      <c r="F6011" s="3" t="n">
        <v>1570.3</v>
      </c>
      <c r="G6011" s="3" t="n">
        <v>1570.3</v>
      </c>
    </row>
    <row r="6012">
      <c r="A6012" s="3" t="inlineStr">
        <is>
          <t>Cape Projects Construction (Pty) Ltd</t>
        </is>
      </c>
      <c r="B6012" s="4" t="n">
        <v>45352</v>
      </c>
      <c r="C6012" s="3" t="inlineStr">
        <is>
          <t>Expenses</t>
        </is>
      </c>
      <c r="D6012" s="3" t="inlineStr">
        <is>
          <t>4201/000</t>
        </is>
      </c>
      <c r="E6012" s="3" t="inlineStr">
        <is>
          <t>Printing - Printer rental</t>
        </is>
      </c>
      <c r="F6012" s="3" t="n">
        <v>751.46</v>
      </c>
      <c r="G6012" s="3" t="n">
        <v>751.46</v>
      </c>
    </row>
    <row r="6013">
      <c r="A6013" s="3" t="inlineStr">
        <is>
          <t>Cape Projects Construction (Pty) Ltd</t>
        </is>
      </c>
      <c r="B6013" s="4" t="n">
        <v>45352</v>
      </c>
      <c r="C6013" s="3" t="inlineStr">
        <is>
          <t>Expenses</t>
        </is>
      </c>
      <c r="D6013" s="3" t="inlineStr">
        <is>
          <t>4300/000</t>
        </is>
      </c>
      <c r="E6013" s="3" t="inlineStr">
        <is>
          <t>Rent Paid</t>
        </is>
      </c>
      <c r="F6013" s="3" t="n">
        <v>31820</v>
      </c>
      <c r="G6013" s="3" t="n">
        <v>31820</v>
      </c>
    </row>
    <row r="6014">
      <c r="A6014" s="3" t="inlineStr">
        <is>
          <t>Cape Projects Construction (Pty) Ltd</t>
        </is>
      </c>
      <c r="B6014" s="4" t="n">
        <v>45352</v>
      </c>
      <c r="C6014" s="3" t="inlineStr">
        <is>
          <t>Expenses</t>
        </is>
      </c>
      <c r="D6014" s="3" t="inlineStr">
        <is>
          <t>4310/000</t>
        </is>
      </c>
      <c r="E6014" s="3" t="inlineStr">
        <is>
          <t>Rates</t>
        </is>
      </c>
      <c r="F6014" s="3" t="n">
        <v>989.75</v>
      </c>
      <c r="G6014" s="3" t="n">
        <v>989.75</v>
      </c>
    </row>
    <row r="6015">
      <c r="A6015" s="3" t="inlineStr">
        <is>
          <t>Heron Fields (Pty) Ltd</t>
        </is>
      </c>
      <c r="B6015" s="4" t="n">
        <v>45352</v>
      </c>
      <c r="C6015" s="3" t="inlineStr">
        <is>
          <t>Expenses</t>
        </is>
      </c>
      <c r="D6015" s="3" t="inlineStr">
        <is>
          <t>4420/001</t>
        </is>
      </c>
      <c r="E6015" s="3" t="inlineStr">
        <is>
          <t>Security - ADT</t>
        </is>
      </c>
      <c r="F6015" s="3" t="n">
        <v>374.64</v>
      </c>
      <c r="G6015" s="3" t="n">
        <v>374.64</v>
      </c>
    </row>
    <row r="6016">
      <c r="A6016" s="3" t="inlineStr">
        <is>
          <t>Cape Projects Construction (Pty) Ltd</t>
        </is>
      </c>
      <c r="B6016" s="4" t="n">
        <v>45352</v>
      </c>
      <c r="C6016" s="3" t="inlineStr">
        <is>
          <t>Expenses</t>
        </is>
      </c>
      <c r="D6016" s="3" t="inlineStr">
        <is>
          <t>4550/000</t>
        </is>
      </c>
      <c r="E6016" s="3" t="inlineStr">
        <is>
          <t>Subscriptions / Licenses</t>
        </is>
      </c>
      <c r="F6016" s="3" t="n">
        <v>1150</v>
      </c>
      <c r="G6016" s="3" t="n">
        <v>1150</v>
      </c>
    </row>
    <row r="6017">
      <c r="A6017" s="3" t="inlineStr">
        <is>
          <t>Cape Projects Construction (Pty) Ltd</t>
        </is>
      </c>
      <c r="B6017" s="4" t="n">
        <v>45352</v>
      </c>
      <c r="C6017" s="3" t="inlineStr">
        <is>
          <t>Expenses</t>
        </is>
      </c>
      <c r="D6017" s="3" t="inlineStr">
        <is>
          <t>4550/007</t>
        </is>
      </c>
      <c r="E6017" s="3" t="inlineStr">
        <is>
          <t>Subscription &amp; Licenses - ERS Bio</t>
        </is>
      </c>
      <c r="F6017" s="3" t="n">
        <v>718.9299999999999</v>
      </c>
      <c r="G6017" s="3" t="n">
        <v>718.9299999999999</v>
      </c>
    </row>
    <row r="6018">
      <c r="A6018" s="3" t="inlineStr">
        <is>
          <t>Cape Projects Construction (Pty) Ltd</t>
        </is>
      </c>
      <c r="B6018" s="4" t="n">
        <v>45352</v>
      </c>
      <c r="C6018" s="3" t="inlineStr">
        <is>
          <t>Expenses</t>
        </is>
      </c>
      <c r="D6018" s="3" t="inlineStr">
        <is>
          <t>4600/000</t>
        </is>
      </c>
      <c r="E6018" s="3" t="inlineStr">
        <is>
          <t>Telephone _AND_ Fax</t>
        </is>
      </c>
      <c r="F6018" s="3" t="n">
        <v>3280.99</v>
      </c>
      <c r="G6018" s="3" t="n">
        <v>3280.99</v>
      </c>
    </row>
    <row r="6019">
      <c r="A6019" s="3" t="inlineStr">
        <is>
          <t>Heron Fields (Pty) Ltd</t>
        </is>
      </c>
      <c r="B6019" s="4" t="n">
        <v>45352</v>
      </c>
      <c r="C6019" s="3" t="inlineStr">
        <is>
          <t>Equity</t>
        </is>
      </c>
      <c r="D6019" s="3" t="inlineStr">
        <is>
          <t>5100-000</t>
        </is>
      </c>
      <c r="E6019" s="3" t="inlineStr">
        <is>
          <t>Share Capital</t>
        </is>
      </c>
      <c r="F6019" s="3" t="n">
        <v>0</v>
      </c>
      <c r="G6019" s="3" t="n">
        <v>-100</v>
      </c>
    </row>
    <row r="6020">
      <c r="A6020" s="3" t="inlineStr">
        <is>
          <t>Cape Projects Construction (Pty) Ltd</t>
        </is>
      </c>
      <c r="B6020" s="4" t="n">
        <v>45352</v>
      </c>
      <c r="C6020" s="3" t="inlineStr">
        <is>
          <t>Equity</t>
        </is>
      </c>
      <c r="D6020" s="3" t="inlineStr">
        <is>
          <t>5100/000</t>
        </is>
      </c>
      <c r="E6020" s="3" t="inlineStr">
        <is>
          <t>Share Capital / Members Contribution</t>
        </is>
      </c>
      <c r="F6020" s="3" t="n">
        <v>0</v>
      </c>
      <c r="G6020" s="3" t="n">
        <v>-120</v>
      </c>
    </row>
    <row r="6021">
      <c r="A6021" s="3" t="inlineStr">
        <is>
          <t>Cape Projects Construction (Pty) Ltd</t>
        </is>
      </c>
      <c r="B6021" s="4" t="n">
        <v>45352</v>
      </c>
      <c r="C6021" s="3" t="inlineStr">
        <is>
          <t>Equity</t>
        </is>
      </c>
      <c r="D6021" s="3" t="inlineStr">
        <is>
          <t>5200/000</t>
        </is>
      </c>
      <c r="E6021" s="3" t="inlineStr">
        <is>
          <t>Retained Earnings / Loss</t>
        </is>
      </c>
      <c r="F6021" s="3" t="n">
        <v>0</v>
      </c>
      <c r="G6021" s="3" t="n">
        <v>174615.65</v>
      </c>
    </row>
    <row r="6022">
      <c r="A6022" s="3" t="inlineStr">
        <is>
          <t>Heron Fields (Pty) Ltd</t>
        </is>
      </c>
      <c r="B6022" s="4" t="n">
        <v>45352</v>
      </c>
      <c r="C6022" s="3" t="inlineStr">
        <is>
          <t>Equity</t>
        </is>
      </c>
      <c r="D6022" s="3" t="inlineStr">
        <is>
          <t>5200/000</t>
        </is>
      </c>
      <c r="E6022" s="3" t="inlineStr">
        <is>
          <t>Retained Earnings / Loss</t>
        </is>
      </c>
      <c r="F6022" s="3" t="n">
        <v>0</v>
      </c>
      <c r="G6022" s="3" t="n">
        <v>-39545639.3</v>
      </c>
    </row>
    <row r="6023">
      <c r="A6023" s="3" t="inlineStr">
        <is>
          <t>Heron View (Pty) Ltd</t>
        </is>
      </c>
      <c r="B6023" s="4" t="n">
        <v>45352</v>
      </c>
      <c r="C6023" s="3" t="inlineStr">
        <is>
          <t>Equity</t>
        </is>
      </c>
      <c r="D6023" s="3" t="inlineStr">
        <is>
          <t>5200/000</t>
        </is>
      </c>
      <c r="E6023" s="3" t="inlineStr">
        <is>
          <t>Retained Earnings / Loss</t>
        </is>
      </c>
      <c r="F6023" s="3" t="n">
        <v>0</v>
      </c>
      <c r="G6023" s="3" t="n">
        <v>-30792555.22</v>
      </c>
    </row>
    <row r="6024">
      <c r="A6024" s="3" t="inlineStr">
        <is>
          <t>Heron Fields (Pty) Ltd</t>
        </is>
      </c>
      <c r="B6024" s="4" t="n">
        <v>45352</v>
      </c>
      <c r="C6024" s="3" t="inlineStr">
        <is>
          <t>Assets</t>
        </is>
      </c>
      <c r="D6024" s="3" t="inlineStr">
        <is>
          <t>5300/001</t>
        </is>
      </c>
      <c r="E6024" s="3" t="inlineStr">
        <is>
          <t>Revaluation of Land stock</t>
        </is>
      </c>
      <c r="F6024" s="3" t="n">
        <v>0</v>
      </c>
      <c r="G6024" s="3" t="n">
        <v>17562360.85</v>
      </c>
    </row>
    <row r="6025">
      <c r="A6025" s="3" t="inlineStr">
        <is>
          <t>Heron Fields (Pty) Ltd</t>
        </is>
      </c>
      <c r="B6025" s="4" t="n">
        <v>45352</v>
      </c>
      <c r="C6025" s="3" t="inlineStr">
        <is>
          <t>Assets</t>
        </is>
      </c>
      <c r="D6025" s="3" t="inlineStr">
        <is>
          <t>5400/000</t>
        </is>
      </c>
      <c r="E6025" s="3" t="inlineStr">
        <is>
          <t>Deposit: Ruiterwacht development</t>
        </is>
      </c>
      <c r="F6025" s="3" t="n">
        <v>0</v>
      </c>
      <c r="G6025" s="3" t="n">
        <v>13457359</v>
      </c>
    </row>
    <row r="6026">
      <c r="A6026" s="3" t="inlineStr">
        <is>
          <t>Cape Projects Construction (Pty) Ltd</t>
        </is>
      </c>
      <c r="B6026" s="4" t="n">
        <v>45352</v>
      </c>
      <c r="C6026" s="3" t="inlineStr">
        <is>
          <t>Assets</t>
        </is>
      </c>
      <c r="D6026" s="3" t="inlineStr">
        <is>
          <t>5400/150</t>
        </is>
      </c>
      <c r="E6026" s="3" t="inlineStr">
        <is>
          <t>Loan - Quinate</t>
        </is>
      </c>
      <c r="F6026" s="3" t="n">
        <v>0</v>
      </c>
      <c r="G6026" s="3" t="n">
        <v>-4017423.63</v>
      </c>
    </row>
    <row r="6027">
      <c r="A6027" s="3" t="inlineStr">
        <is>
          <t>Cape Projects Construction (Pty) Ltd</t>
        </is>
      </c>
      <c r="B6027" s="4" t="n">
        <v>45352</v>
      </c>
      <c r="C6027" s="3" t="inlineStr">
        <is>
          <t>Assets</t>
        </is>
      </c>
      <c r="D6027" s="3" t="inlineStr">
        <is>
          <t>5400/160</t>
        </is>
      </c>
      <c r="E6027" s="3" t="inlineStr">
        <is>
          <t>Loan - Sales</t>
        </is>
      </c>
      <c r="F6027" s="3" t="n">
        <v>0</v>
      </c>
      <c r="G6027" s="3" t="n">
        <v>-235000</v>
      </c>
    </row>
    <row r="6028">
      <c r="A6028" s="3" t="inlineStr">
        <is>
          <t>Cape Projects Construction (Pty) Ltd</t>
        </is>
      </c>
      <c r="B6028" s="4" t="n">
        <v>45352</v>
      </c>
      <c r="C6028" s="3" t="inlineStr">
        <is>
          <t>Assets</t>
        </is>
      </c>
      <c r="D6028" s="3" t="inlineStr">
        <is>
          <t>5400/220</t>
        </is>
      </c>
      <c r="E6028" s="3" t="inlineStr">
        <is>
          <t>Members Loan - WH</t>
        </is>
      </c>
      <c r="F6028" s="3" t="n">
        <v>0</v>
      </c>
      <c r="G6028" s="3" t="n">
        <v>-4342.5</v>
      </c>
    </row>
    <row r="6029">
      <c r="A6029" s="3" t="inlineStr">
        <is>
          <t>Cape Projects Construction (Pty) Ltd</t>
        </is>
      </c>
      <c r="B6029" s="4" t="n">
        <v>45352</v>
      </c>
      <c r="C6029" s="3" t="inlineStr">
        <is>
          <t>Assets</t>
        </is>
      </c>
      <c r="D6029" s="3" t="inlineStr">
        <is>
          <t>5400/300</t>
        </is>
      </c>
      <c r="E6029" s="3" t="inlineStr">
        <is>
          <t>Loan - Opportunity ResidentialCUST ACC</t>
        </is>
      </c>
      <c r="F6029" s="3" t="n">
        <v>0</v>
      </c>
      <c r="G6029" s="3" t="n">
        <v>4702.35</v>
      </c>
    </row>
    <row r="6030">
      <c r="A6030" s="3" t="inlineStr">
        <is>
          <t>Cape Projects Construction (Pty) Ltd</t>
        </is>
      </c>
      <c r="B6030" s="4" t="n">
        <v>45352</v>
      </c>
      <c r="C6030" s="3" t="inlineStr">
        <is>
          <t>Assets</t>
        </is>
      </c>
      <c r="D6030" s="3" t="inlineStr">
        <is>
          <t>5400/450</t>
        </is>
      </c>
      <c r="E6030" s="3" t="inlineStr">
        <is>
          <t>Loan - Opportunity Investment</t>
        </is>
      </c>
      <c r="F6030" s="3" t="n">
        <v>0</v>
      </c>
      <c r="G6030" s="3" t="n">
        <v>-1521000</v>
      </c>
    </row>
    <row r="6031">
      <c r="A6031" s="3" t="inlineStr">
        <is>
          <t>Cape Projects Construction (Pty) Ltd</t>
        </is>
      </c>
      <c r="B6031" s="4" t="n">
        <v>45352</v>
      </c>
      <c r="C6031" s="3" t="inlineStr">
        <is>
          <t>Assets</t>
        </is>
      </c>
      <c r="D6031" s="3" t="inlineStr">
        <is>
          <t>5400/500</t>
        </is>
      </c>
      <c r="E6031" s="3" t="inlineStr">
        <is>
          <t>Loan - Blou Mamba Trust</t>
        </is>
      </c>
      <c r="F6031" s="3" t="n">
        <v>0</v>
      </c>
      <c r="G6031" s="3" t="n">
        <v>4342.5</v>
      </c>
    </row>
    <row r="6032">
      <c r="A6032" s="3" t="inlineStr">
        <is>
          <t>Cape Projects Construction (Pty) Ltd</t>
        </is>
      </c>
      <c r="B6032" s="4" t="n">
        <v>45352</v>
      </c>
      <c r="C6032" s="3" t="inlineStr">
        <is>
          <t>Assets</t>
        </is>
      </c>
      <c r="D6032" s="3" t="inlineStr">
        <is>
          <t>5400/550</t>
        </is>
      </c>
      <c r="E6032" s="3" t="inlineStr">
        <is>
          <t>Loan - Trademark</t>
        </is>
      </c>
      <c r="F6032" s="3" t="n">
        <v>0</v>
      </c>
      <c r="G6032" s="3" t="n">
        <v>-17600</v>
      </c>
    </row>
    <row r="6033">
      <c r="A6033" s="3" t="inlineStr">
        <is>
          <t>Cape Projects Construction (Pty) Ltd</t>
        </is>
      </c>
      <c r="B6033" s="4" t="n">
        <v>45352</v>
      </c>
      <c r="C6033" s="3" t="inlineStr">
        <is>
          <t>Assets</t>
        </is>
      </c>
      <c r="D6033" s="3" t="inlineStr">
        <is>
          <t>5400/600</t>
        </is>
      </c>
      <c r="E6033" s="3" t="inlineStr">
        <is>
          <t>Loan - Heron Projects</t>
        </is>
      </c>
      <c r="F6033" s="3" t="n">
        <v>0</v>
      </c>
      <c r="G6033" s="3" t="n">
        <v>-26224738.42</v>
      </c>
    </row>
    <row r="6034">
      <c r="A6034" s="3" t="inlineStr">
        <is>
          <t>Cape Projects Construction (Pty) Ltd</t>
        </is>
      </c>
      <c r="B6034" s="4" t="n">
        <v>45352</v>
      </c>
      <c r="C6034" s="3" t="inlineStr">
        <is>
          <t>Assets</t>
        </is>
      </c>
      <c r="D6034" s="3" t="inlineStr">
        <is>
          <t>5400/650</t>
        </is>
      </c>
      <c r="E6034" s="3" t="inlineStr">
        <is>
          <t>Loan - Noble Shield</t>
        </is>
      </c>
      <c r="F6034" s="3" t="n">
        <v>0</v>
      </c>
      <c r="G6034" s="3" t="n">
        <v>-200189.44</v>
      </c>
    </row>
    <row r="6035">
      <c r="A6035" s="3" t="inlineStr">
        <is>
          <t>Cape Projects Construction (Pty) Ltd</t>
        </is>
      </c>
      <c r="B6035" s="4" t="n">
        <v>45352</v>
      </c>
      <c r="C6035" s="3" t="inlineStr">
        <is>
          <t>Assets</t>
        </is>
      </c>
      <c r="D6035" s="3" t="inlineStr">
        <is>
          <t>5400/750</t>
        </is>
      </c>
      <c r="E6035" s="3" t="inlineStr">
        <is>
          <t>Loan - Endulini</t>
        </is>
      </c>
      <c r="F6035" s="3" t="n">
        <v>0</v>
      </c>
      <c r="G6035" s="3" t="n">
        <v>27542687.4</v>
      </c>
    </row>
    <row r="6036">
      <c r="A6036" s="3" t="inlineStr">
        <is>
          <t>Cape Projects Construction (Pty) Ltd</t>
        </is>
      </c>
      <c r="B6036" s="4" t="n">
        <v>45352</v>
      </c>
      <c r="C6036" s="3" t="inlineStr">
        <is>
          <t>Assets</t>
        </is>
      </c>
      <c r="D6036" s="3" t="inlineStr">
        <is>
          <t>5400/800</t>
        </is>
      </c>
      <c r="E6036" s="3" t="inlineStr">
        <is>
          <t>Loan - Opportunity Management Holdings</t>
        </is>
      </c>
      <c r="F6036" s="3" t="n">
        <v>0</v>
      </c>
      <c r="G6036" s="3" t="n">
        <v>267399</v>
      </c>
    </row>
    <row r="6037">
      <c r="A6037" s="3" t="inlineStr">
        <is>
          <t>Heron View (Pty) Ltd</t>
        </is>
      </c>
      <c r="B6037" s="4" t="n">
        <v>45352</v>
      </c>
      <c r="C6037" s="3" t="inlineStr">
        <is>
          <t>Liabilities</t>
        </is>
      </c>
      <c r="D6037" s="3" t="inlineStr">
        <is>
          <t>5500/001</t>
        </is>
      </c>
      <c r="E6037" s="3" t="inlineStr">
        <is>
          <t>Loan - Heron Fields</t>
        </is>
      </c>
      <c r="F6037" s="3" t="n">
        <v>-31213.04</v>
      </c>
      <c r="G6037" s="3" t="n">
        <v>-49728355.84</v>
      </c>
    </row>
    <row r="6038">
      <c r="A6038" s="3" t="inlineStr">
        <is>
          <t>Heron Fields (Pty) Ltd</t>
        </is>
      </c>
      <c r="B6038" s="4" t="n">
        <v>45352</v>
      </c>
      <c r="C6038" s="3" t="inlineStr">
        <is>
          <t>Liabilities</t>
        </is>
      </c>
      <c r="D6038" s="3" t="inlineStr">
        <is>
          <t>5500/010</t>
        </is>
      </c>
      <c r="E6038" s="3" t="inlineStr">
        <is>
          <t>Loan - Quinate</t>
        </is>
      </c>
      <c r="F6038" s="3" t="n">
        <v>0</v>
      </c>
      <c r="G6038" s="3" t="n">
        <v>1846000</v>
      </c>
    </row>
    <row r="6039">
      <c r="A6039" s="3" t="inlineStr">
        <is>
          <t>Heron Fields (Pty) Ltd</t>
        </is>
      </c>
      <c r="B6039" s="4" t="n">
        <v>45352</v>
      </c>
      <c r="C6039" s="3" t="inlineStr">
        <is>
          <t>Liabilities</t>
        </is>
      </c>
      <c r="D6039" s="3" t="inlineStr">
        <is>
          <t>5500/020</t>
        </is>
      </c>
      <c r="E6039" s="3" t="inlineStr">
        <is>
          <t>Loan - Cape Projects Construction</t>
        </is>
      </c>
      <c r="F6039" s="3" t="n">
        <v>0</v>
      </c>
      <c r="G6039" s="3" t="n">
        <v>25974738.42</v>
      </c>
    </row>
    <row r="6040">
      <c r="A6040" s="3" t="inlineStr">
        <is>
          <t>Heron Fields (Pty) Ltd</t>
        </is>
      </c>
      <c r="B6040" s="4" t="n">
        <v>45352</v>
      </c>
      <c r="C6040" s="3" t="inlineStr">
        <is>
          <t>Liabilities</t>
        </is>
      </c>
      <c r="D6040" s="3" t="inlineStr">
        <is>
          <t>5500/030</t>
        </is>
      </c>
      <c r="E6040" s="3" t="inlineStr">
        <is>
          <t>Loan - Opportunity Global Investments</t>
        </is>
      </c>
      <c r="F6040" s="3" t="n">
        <v>0</v>
      </c>
      <c r="G6040" s="3" t="n">
        <v>2074275</v>
      </c>
    </row>
    <row r="6041">
      <c r="A6041" s="3" t="inlineStr">
        <is>
          <t>Heron Fields (Pty) Ltd</t>
        </is>
      </c>
      <c r="B6041" s="4" t="n">
        <v>45352</v>
      </c>
      <c r="C6041" s="3" t="inlineStr">
        <is>
          <t>Liabilities</t>
        </is>
      </c>
      <c r="D6041" s="3" t="inlineStr">
        <is>
          <t>5500/050</t>
        </is>
      </c>
      <c r="E6041" s="3" t="inlineStr">
        <is>
          <t>Loan - Heron View</t>
        </is>
      </c>
      <c r="F6041" s="3" t="n">
        <v>31213.04</v>
      </c>
      <c r="G6041" s="3" t="n">
        <v>49728355.31</v>
      </c>
    </row>
    <row r="6042">
      <c r="A6042" s="3" t="inlineStr">
        <is>
          <t>Heron Fields (Pty) Ltd</t>
        </is>
      </c>
      <c r="B6042" s="4" t="n">
        <v>45352</v>
      </c>
      <c r="C6042" s="3" t="inlineStr">
        <is>
          <t>Liabilities</t>
        </is>
      </c>
      <c r="D6042" s="3" t="inlineStr">
        <is>
          <t>5500/051</t>
        </is>
      </c>
      <c r="E6042" s="3" t="inlineStr">
        <is>
          <t>Loan - HV N204</t>
        </is>
      </c>
      <c r="F6042" s="3" t="n">
        <v>-2500</v>
      </c>
      <c r="G6042" s="3" t="n">
        <v>7500</v>
      </c>
    </row>
    <row r="6043">
      <c r="A6043" s="3" t="inlineStr">
        <is>
          <t>Heron Fields (Pty) Ltd</t>
        </is>
      </c>
      <c r="B6043" s="4" t="n">
        <v>45352</v>
      </c>
      <c r="C6043" s="3" t="inlineStr">
        <is>
          <t>Liabilities</t>
        </is>
      </c>
      <c r="D6043" s="3" t="inlineStr">
        <is>
          <t>5500/060</t>
        </is>
      </c>
      <c r="E6043" s="3" t="inlineStr">
        <is>
          <t>Loan - Opportunity Management Holdings</t>
        </is>
      </c>
      <c r="F6043" s="3" t="n">
        <v>0</v>
      </c>
      <c r="G6043" s="3" t="n">
        <v>-107900</v>
      </c>
    </row>
    <row r="6044">
      <c r="A6044" s="3" t="inlineStr">
        <is>
          <t>Heron Fields (Pty) Ltd</t>
        </is>
      </c>
      <c r="B6044" s="4" t="n">
        <v>45352</v>
      </c>
      <c r="C6044" s="3" t="inlineStr">
        <is>
          <t>Liabilities</t>
        </is>
      </c>
      <c r="D6044" s="3" t="inlineStr">
        <is>
          <t>5500/080</t>
        </is>
      </c>
      <c r="E6044" s="3" t="inlineStr">
        <is>
          <t>Loan - NSST2 Trust</t>
        </is>
      </c>
      <c r="F6044" s="3" t="n">
        <v>0</v>
      </c>
      <c r="G6044" s="3" t="n">
        <v>500</v>
      </c>
    </row>
    <row r="6045">
      <c r="A6045" s="3" t="inlineStr">
        <is>
          <t>Heron Fields (Pty) Ltd</t>
        </is>
      </c>
      <c r="B6045" s="4" t="n">
        <v>45352</v>
      </c>
      <c r="C6045" s="3" t="inlineStr">
        <is>
          <t>Assets</t>
        </is>
      </c>
      <c r="D6045" s="3" t="inlineStr">
        <is>
          <t>6150/010</t>
        </is>
      </c>
      <c r="E6045" s="3" t="inlineStr">
        <is>
          <t>Endulini -  A204</t>
        </is>
      </c>
      <c r="F6045" s="3" t="n">
        <v>0</v>
      </c>
      <c r="G6045" s="3" t="n">
        <v>1304260.87</v>
      </c>
    </row>
    <row r="6046">
      <c r="A6046" s="3" t="inlineStr">
        <is>
          <t>Heron Fields (Pty) Ltd</t>
        </is>
      </c>
      <c r="B6046" s="4" t="n">
        <v>45352</v>
      </c>
      <c r="C6046" s="3" t="inlineStr">
        <is>
          <t>Assets</t>
        </is>
      </c>
      <c r="D6046" s="3" t="inlineStr">
        <is>
          <t>6150/020</t>
        </is>
      </c>
      <c r="E6046" s="3" t="inlineStr">
        <is>
          <t>Endulini - A304</t>
        </is>
      </c>
      <c r="F6046" s="3" t="n">
        <v>0</v>
      </c>
      <c r="G6046" s="3" t="n">
        <v>1356434.78</v>
      </c>
    </row>
    <row r="6047">
      <c r="A6047" s="3" t="inlineStr">
        <is>
          <t>Heron Fields (Pty) Ltd</t>
        </is>
      </c>
      <c r="B6047" s="4" t="n">
        <v>45352</v>
      </c>
      <c r="C6047" s="3" t="inlineStr">
        <is>
          <t>Assets</t>
        </is>
      </c>
      <c r="D6047" s="3" t="inlineStr">
        <is>
          <t>6150/030</t>
        </is>
      </c>
      <c r="E6047" s="3" t="inlineStr">
        <is>
          <t>Endulini - B101</t>
        </is>
      </c>
      <c r="F6047" s="3" t="n">
        <v>0</v>
      </c>
      <c r="G6047" s="3" t="n">
        <v>1373826.09</v>
      </c>
    </row>
    <row r="6048">
      <c r="A6048" s="3" t="inlineStr">
        <is>
          <t>Heron Fields (Pty) Ltd</t>
        </is>
      </c>
      <c r="B6048" s="4" t="n">
        <v>45352</v>
      </c>
      <c r="C6048" s="3" t="inlineStr">
        <is>
          <t>Assets</t>
        </is>
      </c>
      <c r="D6048" s="3" t="inlineStr">
        <is>
          <t>6150/040</t>
        </is>
      </c>
      <c r="E6048" s="3" t="inlineStr">
        <is>
          <t>Endulini - A306</t>
        </is>
      </c>
      <c r="F6048" s="3" t="n">
        <v>0</v>
      </c>
      <c r="G6048" s="3" t="n">
        <v>1391217.39</v>
      </c>
    </row>
    <row r="6049">
      <c r="A6049" s="3" t="inlineStr">
        <is>
          <t>Heron Fields (Pty) Ltd</t>
        </is>
      </c>
      <c r="B6049" s="4" t="n">
        <v>45352</v>
      </c>
      <c r="C6049" s="3" t="inlineStr">
        <is>
          <t>Assets</t>
        </is>
      </c>
      <c r="D6049" s="3" t="inlineStr">
        <is>
          <t>6150/050</t>
        </is>
      </c>
      <c r="E6049" s="3" t="inlineStr">
        <is>
          <t>Endulini - C301</t>
        </is>
      </c>
      <c r="F6049" s="3" t="n">
        <v>0</v>
      </c>
      <c r="G6049" s="3" t="n">
        <v>1304260.87</v>
      </c>
    </row>
    <row r="6050">
      <c r="A6050" s="3" t="inlineStr">
        <is>
          <t>Cape Projects Construction (Pty) Ltd</t>
        </is>
      </c>
      <c r="B6050" s="4" t="n">
        <v>45352</v>
      </c>
      <c r="C6050" s="3" t="inlineStr">
        <is>
          <t>Assets</t>
        </is>
      </c>
      <c r="D6050" s="3" t="inlineStr">
        <is>
          <t>6200/010</t>
        </is>
      </c>
      <c r="E6050" s="3" t="inlineStr">
        <is>
          <t>Motor Vehicles - @ Cost</t>
        </is>
      </c>
      <c r="F6050" s="3" t="n">
        <v>0</v>
      </c>
      <c r="G6050" s="3" t="n">
        <v>216064.1</v>
      </c>
    </row>
    <row r="6051">
      <c r="A6051" s="3" t="inlineStr">
        <is>
          <t>Cape Projects Construction (Pty) Ltd</t>
        </is>
      </c>
      <c r="B6051" s="4" t="n">
        <v>45352</v>
      </c>
      <c r="C6051" s="3" t="inlineStr">
        <is>
          <t>Assets</t>
        </is>
      </c>
      <c r="D6051" s="3" t="inlineStr">
        <is>
          <t>6200/020</t>
        </is>
      </c>
      <c r="E6051" s="3" t="inlineStr">
        <is>
          <t>Motor Vehicles - Accum Depre</t>
        </is>
      </c>
      <c r="F6051" s="3" t="n">
        <v>0</v>
      </c>
      <c r="G6051" s="3" t="n">
        <v>-216063.1</v>
      </c>
    </row>
    <row r="6052">
      <c r="A6052" s="3" t="inlineStr">
        <is>
          <t>Cape Projects Construction (Pty) Ltd</t>
        </is>
      </c>
      <c r="B6052" s="4" t="n">
        <v>45352</v>
      </c>
      <c r="C6052" s="3" t="inlineStr">
        <is>
          <t>Assets</t>
        </is>
      </c>
      <c r="D6052" s="3" t="inlineStr">
        <is>
          <t>6250/010</t>
        </is>
      </c>
      <c r="E6052" s="3" t="inlineStr">
        <is>
          <t>Computer Equipment - @ Cost</t>
        </is>
      </c>
      <c r="F6052" s="3" t="n">
        <v>0</v>
      </c>
      <c r="G6052" s="3" t="n">
        <v>184238.57</v>
      </c>
    </row>
    <row r="6053">
      <c r="A6053" s="3" t="inlineStr">
        <is>
          <t>Cape Projects Construction (Pty) Ltd</t>
        </is>
      </c>
      <c r="B6053" s="4" t="n">
        <v>45352</v>
      </c>
      <c r="C6053" s="3" t="inlineStr">
        <is>
          <t>Assets</t>
        </is>
      </c>
      <c r="D6053" s="3" t="inlineStr">
        <is>
          <t>6250/020</t>
        </is>
      </c>
      <c r="E6053" s="3" t="inlineStr">
        <is>
          <t>Computer Equipment - Accum Depre</t>
        </is>
      </c>
      <c r="F6053" s="3" t="n">
        <v>0</v>
      </c>
      <c r="G6053" s="3" t="n">
        <v>-89440.92</v>
      </c>
    </row>
    <row r="6054">
      <c r="A6054" s="3" t="inlineStr">
        <is>
          <t>Cape Projects Construction (Pty) Ltd</t>
        </is>
      </c>
      <c r="B6054" s="4" t="n">
        <v>45352</v>
      </c>
      <c r="C6054" s="3" t="inlineStr">
        <is>
          <t>Assets</t>
        </is>
      </c>
      <c r="D6054" s="3" t="inlineStr">
        <is>
          <t>6350/010</t>
        </is>
      </c>
      <c r="E6054" s="3" t="inlineStr">
        <is>
          <t>Furniture _AND_ Fittings - @ Cost</t>
        </is>
      </c>
      <c r="F6054" s="3" t="n">
        <v>0</v>
      </c>
      <c r="G6054" s="3" t="n">
        <v>37955.3</v>
      </c>
    </row>
    <row r="6055">
      <c r="A6055" s="3" t="inlineStr">
        <is>
          <t>Cape Projects Construction (Pty) Ltd</t>
        </is>
      </c>
      <c r="B6055" s="4" t="n">
        <v>45352</v>
      </c>
      <c r="C6055" s="3" t="inlineStr">
        <is>
          <t>Assets</t>
        </is>
      </c>
      <c r="D6055" s="3" t="inlineStr">
        <is>
          <t>6350/020</t>
        </is>
      </c>
      <c r="E6055" s="3" t="inlineStr">
        <is>
          <t>Furniture _AND_ Fittings - Accum Depre</t>
        </is>
      </c>
      <c r="F6055" s="3" t="n">
        <v>0</v>
      </c>
      <c r="G6055" s="3" t="n">
        <v>-12466.67</v>
      </c>
    </row>
    <row r="6056">
      <c r="A6056" s="3" t="inlineStr">
        <is>
          <t>Cape Projects Construction (Pty) Ltd</t>
        </is>
      </c>
      <c r="B6056" s="4" t="n">
        <v>45352</v>
      </c>
      <c r="C6056" s="3" t="inlineStr">
        <is>
          <t>Assets</t>
        </is>
      </c>
      <c r="D6056" s="3" t="inlineStr">
        <is>
          <t>6600/010</t>
        </is>
      </c>
      <c r="E6056" s="3" t="inlineStr">
        <is>
          <t>Generator Fixed Asset - @ Cost</t>
        </is>
      </c>
      <c r="F6056" s="3" t="n">
        <v>0</v>
      </c>
      <c r="G6056" s="3" t="n">
        <v>71322</v>
      </c>
    </row>
    <row r="6057">
      <c r="A6057" s="3" t="inlineStr">
        <is>
          <t>Cape Projects Construction (Pty) Ltd</t>
        </is>
      </c>
      <c r="B6057" s="4" t="n">
        <v>45352</v>
      </c>
      <c r="C6057" s="3" t="inlineStr">
        <is>
          <t>Assets</t>
        </is>
      </c>
      <c r="D6057" s="3" t="inlineStr">
        <is>
          <t>6600/020</t>
        </is>
      </c>
      <c r="E6057" s="3" t="inlineStr">
        <is>
          <t>Generator Fixed Asset - Accum Depre</t>
        </is>
      </c>
      <c r="F6057" s="3" t="n">
        <v>0</v>
      </c>
      <c r="G6057" s="3" t="n">
        <v>-15399.23</v>
      </c>
    </row>
    <row r="6058">
      <c r="A6058" s="3" t="inlineStr">
        <is>
          <t>Heron Fields (Pty) Ltd</t>
        </is>
      </c>
      <c r="B6058" s="4" t="n">
        <v>45352</v>
      </c>
      <c r="C6058" s="3" t="inlineStr">
        <is>
          <t>Assets</t>
        </is>
      </c>
      <c r="D6058" s="3" t="inlineStr">
        <is>
          <t>7610/395</t>
        </is>
      </c>
      <c r="E6058" s="3" t="inlineStr">
        <is>
          <t>HF CIP NHBRC</t>
        </is>
      </c>
      <c r="F6058" s="3" t="n">
        <v>0</v>
      </c>
      <c r="G6058" s="3" t="n">
        <v>874505.75</v>
      </c>
    </row>
    <row r="6059">
      <c r="A6059" s="3" t="inlineStr">
        <is>
          <t>Heron View (Pty) Ltd</t>
        </is>
      </c>
      <c r="B6059" s="4" t="n">
        <v>45352</v>
      </c>
      <c r="C6059" s="3" t="inlineStr">
        <is>
          <t>Assets</t>
        </is>
      </c>
      <c r="D6059" s="3" t="inlineStr">
        <is>
          <t>7610/395</t>
        </is>
      </c>
      <c r="E6059" s="3" t="inlineStr">
        <is>
          <t>Heron CIP NHBRC</t>
        </is>
      </c>
      <c r="F6059" s="3" t="n">
        <v>0</v>
      </c>
      <c r="G6059" s="3" t="n">
        <v>2472501.08</v>
      </c>
    </row>
    <row r="6060">
      <c r="A6060" s="3" t="inlineStr">
        <is>
          <t>Heron Fields (Pty) Ltd</t>
        </is>
      </c>
      <c r="B6060" s="4" t="n">
        <v>45352</v>
      </c>
      <c r="C6060" s="3" t="inlineStr">
        <is>
          <t>Assets</t>
        </is>
      </c>
      <c r="D6060" s="3" t="inlineStr">
        <is>
          <t>7620/100</t>
        </is>
      </c>
      <c r="E6060" s="3" t="inlineStr">
        <is>
          <t>Heron View Land</t>
        </is>
      </c>
      <c r="F6060" s="3" t="n">
        <v>0</v>
      </c>
      <c r="G6060" s="3" t="n">
        <v>26200000</v>
      </c>
    </row>
    <row r="6061">
      <c r="A6061" s="3" t="inlineStr">
        <is>
          <t>Heron Fields (Pty) Ltd</t>
        </is>
      </c>
      <c r="B6061" s="4" t="n">
        <v>45352</v>
      </c>
      <c r="C6061" s="3" t="inlineStr">
        <is>
          <t>Assets</t>
        </is>
      </c>
      <c r="D6061" s="3" t="inlineStr">
        <is>
          <t>7620/101</t>
        </is>
      </c>
      <c r="E6061" s="3" t="inlineStr">
        <is>
          <t>HF CIP Bond Registration Fee</t>
        </is>
      </c>
      <c r="F6061" s="3" t="n">
        <v>0</v>
      </c>
      <c r="G6061" s="3" t="n">
        <v>68427</v>
      </c>
    </row>
    <row r="6062">
      <c r="A6062" s="3" t="inlineStr">
        <is>
          <t>Heron Fields (Pty) Ltd</t>
        </is>
      </c>
      <c r="B6062" s="4" t="n">
        <v>45352</v>
      </c>
      <c r="C6062" s="3" t="inlineStr">
        <is>
          <t>Assets</t>
        </is>
      </c>
      <c r="D6062" s="3" t="inlineStr">
        <is>
          <t>7620/102</t>
        </is>
      </c>
      <c r="E6062" s="3" t="inlineStr">
        <is>
          <t>HF CIP Transfer Fee</t>
        </is>
      </c>
      <c r="F6062" s="3" t="n">
        <v>0</v>
      </c>
      <c r="G6062" s="3" t="n">
        <v>103812</v>
      </c>
    </row>
    <row r="6063">
      <c r="A6063" s="3" t="inlineStr">
        <is>
          <t>Heron Fields (Pty) Ltd</t>
        </is>
      </c>
      <c r="B6063" s="4" t="n">
        <v>45352</v>
      </c>
      <c r="C6063" s="3" t="inlineStr">
        <is>
          <t>Assets</t>
        </is>
      </c>
      <c r="D6063" s="3" t="inlineStr">
        <is>
          <t>7620/220</t>
        </is>
      </c>
      <c r="E6063" s="3" t="inlineStr">
        <is>
          <t>HF CIP Architectural Designs</t>
        </is>
      </c>
      <c r="F6063" s="3" t="n">
        <v>0</v>
      </c>
      <c r="G6063" s="3" t="n">
        <v>314087</v>
      </c>
    </row>
    <row r="6064">
      <c r="A6064" s="3" t="inlineStr">
        <is>
          <t>Heron View (Pty) Ltd</t>
        </is>
      </c>
      <c r="B6064" s="4" t="n">
        <v>45352</v>
      </c>
      <c r="C6064" s="3" t="inlineStr">
        <is>
          <t>Assets</t>
        </is>
      </c>
      <c r="D6064" s="3" t="inlineStr">
        <is>
          <t>7620/220</t>
        </is>
      </c>
      <c r="E6064" s="3" t="inlineStr">
        <is>
          <t>Heron View CIP Architectural Designs</t>
        </is>
      </c>
      <c r="F6064" s="3" t="n">
        <v>0</v>
      </c>
      <c r="G6064" s="3" t="n">
        <v>715552.6</v>
      </c>
    </row>
    <row r="6065">
      <c r="A6065" s="3" t="inlineStr">
        <is>
          <t>Heron Fields (Pty) Ltd</t>
        </is>
      </c>
      <c r="B6065" s="4" t="n">
        <v>45352</v>
      </c>
      <c r="C6065" s="3" t="inlineStr">
        <is>
          <t>Assets</t>
        </is>
      </c>
      <c r="D6065" s="3" t="inlineStr">
        <is>
          <t>7620/230</t>
        </is>
      </c>
      <c r="E6065" s="3" t="inlineStr">
        <is>
          <t>HF CIP Construction Management</t>
        </is>
      </c>
      <c r="F6065" s="3" t="n">
        <v>0</v>
      </c>
      <c r="G6065" s="3" t="n">
        <v>139500</v>
      </c>
    </row>
    <row r="6066">
      <c r="A6066" s="3" t="inlineStr">
        <is>
          <t>Heron Fields (Pty) Ltd</t>
        </is>
      </c>
      <c r="B6066" s="4" t="n">
        <v>45352</v>
      </c>
      <c r="C6066" s="3" t="inlineStr">
        <is>
          <t>Assets</t>
        </is>
      </c>
      <c r="D6066" s="3" t="inlineStr">
        <is>
          <t>7620/240</t>
        </is>
      </c>
      <c r="E6066" s="3" t="inlineStr">
        <is>
          <t>HF CIP Civil Engineering</t>
        </is>
      </c>
      <c r="F6066" s="3" t="n">
        <v>0</v>
      </c>
      <c r="G6066" s="3" t="n">
        <v>8557641.800000001</v>
      </c>
    </row>
    <row r="6067">
      <c r="A6067" s="3" t="inlineStr">
        <is>
          <t>Heron Fields (Pty) Ltd</t>
        </is>
      </c>
      <c r="B6067" s="4" t="n">
        <v>45352</v>
      </c>
      <c r="C6067" s="3" t="inlineStr">
        <is>
          <t>Assets</t>
        </is>
      </c>
      <c r="D6067" s="3" t="inlineStr">
        <is>
          <t>7620/245</t>
        </is>
      </c>
      <c r="E6067" s="3" t="inlineStr">
        <is>
          <t>HF CIP Development fee</t>
        </is>
      </c>
      <c r="F6067" s="3" t="n">
        <v>0</v>
      </c>
      <c r="G6067" s="3" t="n">
        <v>13807.78</v>
      </c>
    </row>
    <row r="6068">
      <c r="A6068" s="3" t="inlineStr">
        <is>
          <t>Heron Fields (Pty) Ltd</t>
        </is>
      </c>
      <c r="B6068" s="4" t="n">
        <v>45352</v>
      </c>
      <c r="C6068" s="3" t="inlineStr">
        <is>
          <t>Assets</t>
        </is>
      </c>
      <c r="D6068" s="3" t="inlineStr">
        <is>
          <t>7620/250</t>
        </is>
      </c>
      <c r="E6068" s="3" t="inlineStr">
        <is>
          <t>HF CIP Land Surveyor</t>
        </is>
      </c>
      <c r="F6068" s="3" t="n">
        <v>0</v>
      </c>
      <c r="G6068" s="3" t="n">
        <v>197060.09</v>
      </c>
    </row>
    <row r="6069">
      <c r="A6069" s="3" t="inlineStr">
        <is>
          <t>Heron View (Pty) Ltd</t>
        </is>
      </c>
      <c r="B6069" s="4" t="n">
        <v>45352</v>
      </c>
      <c r="C6069" s="3" t="inlineStr">
        <is>
          <t>Assets</t>
        </is>
      </c>
      <c r="D6069" s="3" t="inlineStr">
        <is>
          <t>7620/250</t>
        </is>
      </c>
      <c r="E6069" s="3" t="inlineStr">
        <is>
          <t>Heron View CIP Land Surveyor</t>
        </is>
      </c>
      <c r="F6069" s="3" t="n">
        <v>0</v>
      </c>
      <c r="G6069" s="3" t="n">
        <v>321942.47</v>
      </c>
    </row>
    <row r="6070">
      <c r="A6070" s="3" t="inlineStr">
        <is>
          <t>Heron Fields (Pty) Ltd</t>
        </is>
      </c>
      <c r="B6070" s="4" t="n">
        <v>45352</v>
      </c>
      <c r="C6070" s="3" t="inlineStr">
        <is>
          <t>Assets</t>
        </is>
      </c>
      <c r="D6070" s="3" t="inlineStr">
        <is>
          <t>7620/255</t>
        </is>
      </c>
      <c r="E6070" s="3" t="inlineStr">
        <is>
          <t>HF CIP Landscaping</t>
        </is>
      </c>
      <c r="F6070" s="3" t="n">
        <v>0</v>
      </c>
      <c r="G6070" s="3" t="n">
        <v>7500</v>
      </c>
    </row>
    <row r="6071">
      <c r="A6071" s="3" t="inlineStr">
        <is>
          <t>Heron View (Pty) Ltd</t>
        </is>
      </c>
      <c r="B6071" s="4" t="n">
        <v>45352</v>
      </c>
      <c r="C6071" s="3" t="inlineStr">
        <is>
          <t>Assets</t>
        </is>
      </c>
      <c r="D6071" s="3" t="inlineStr">
        <is>
          <t>7620/255</t>
        </is>
      </c>
      <c r="E6071" s="3" t="inlineStr">
        <is>
          <t>Heron View CIP Landscaping</t>
        </is>
      </c>
      <c r="F6071" s="3" t="n">
        <v>0</v>
      </c>
      <c r="G6071" s="3" t="n">
        <v>114370.5</v>
      </c>
    </row>
    <row r="6072">
      <c r="A6072" s="3" t="inlineStr">
        <is>
          <t>Heron Fields (Pty) Ltd</t>
        </is>
      </c>
      <c r="B6072" s="4" t="n">
        <v>45352</v>
      </c>
      <c r="C6072" s="3" t="inlineStr">
        <is>
          <t>Assets</t>
        </is>
      </c>
      <c r="D6072" s="3" t="inlineStr">
        <is>
          <t>7620/260</t>
        </is>
      </c>
      <c r="E6072" s="3" t="inlineStr">
        <is>
          <t>HF CIP Mechanical Engineers</t>
        </is>
      </c>
      <c r="F6072" s="3" t="n">
        <v>0</v>
      </c>
      <c r="G6072" s="3" t="n">
        <v>146256.38</v>
      </c>
    </row>
    <row r="6073">
      <c r="A6073" s="3" t="inlineStr">
        <is>
          <t>Heron Fields (Pty) Ltd</t>
        </is>
      </c>
      <c r="B6073" s="4" t="n">
        <v>45352</v>
      </c>
      <c r="C6073" s="3" t="inlineStr">
        <is>
          <t>Assets</t>
        </is>
      </c>
      <c r="D6073" s="3" t="inlineStr">
        <is>
          <t>7620/265</t>
        </is>
      </c>
      <c r="E6073" s="3" t="inlineStr">
        <is>
          <t>HF CIP Health &amp; Safety</t>
        </is>
      </c>
      <c r="F6073" s="3" t="n">
        <v>0</v>
      </c>
      <c r="G6073" s="3" t="n">
        <v>20600</v>
      </c>
    </row>
    <row r="6074">
      <c r="A6074" s="3" t="inlineStr">
        <is>
          <t>Heron Fields (Pty) Ltd</t>
        </is>
      </c>
      <c r="B6074" s="4" t="n">
        <v>45352</v>
      </c>
      <c r="C6074" s="3" t="inlineStr">
        <is>
          <t>Assets</t>
        </is>
      </c>
      <c r="D6074" s="3" t="inlineStr">
        <is>
          <t>7620/270</t>
        </is>
      </c>
      <c r="E6074" s="3" t="inlineStr">
        <is>
          <t>HF CIP Geotechnical</t>
        </is>
      </c>
      <c r="F6074" s="3" t="n">
        <v>0</v>
      </c>
      <c r="G6074" s="3" t="n">
        <v>15175</v>
      </c>
    </row>
    <row r="6075">
      <c r="A6075" s="3" t="inlineStr">
        <is>
          <t>Heron Fields (Pty) Ltd</t>
        </is>
      </c>
      <c r="B6075" s="4" t="n">
        <v>45352</v>
      </c>
      <c r="C6075" s="3" t="inlineStr">
        <is>
          <t>Assets</t>
        </is>
      </c>
      <c r="D6075" s="3" t="inlineStr">
        <is>
          <t>7620/275</t>
        </is>
      </c>
      <c r="E6075" s="3" t="inlineStr">
        <is>
          <t>HF CIP Retaining Wall</t>
        </is>
      </c>
      <c r="F6075" s="3" t="n">
        <v>0</v>
      </c>
      <c r="G6075" s="3" t="n">
        <v>570856.08</v>
      </c>
    </row>
    <row r="6076">
      <c r="A6076" s="3" t="inlineStr">
        <is>
          <t>Heron Fields (Pty) Ltd</t>
        </is>
      </c>
      <c r="B6076" s="4" t="n">
        <v>45352</v>
      </c>
      <c r="C6076" s="3" t="inlineStr">
        <is>
          <t>Assets</t>
        </is>
      </c>
      <c r="D6076" s="3" t="inlineStr">
        <is>
          <t>7620/280</t>
        </is>
      </c>
      <c r="E6076" s="3" t="inlineStr">
        <is>
          <t>HF CIP Site Establishment</t>
        </is>
      </c>
      <c r="F6076" s="3" t="n">
        <v>0</v>
      </c>
      <c r="G6076" s="3" t="n">
        <v>47748851.51</v>
      </c>
    </row>
    <row r="6077">
      <c r="A6077" s="3" t="inlineStr">
        <is>
          <t>Heron View (Pty) Ltd</t>
        </is>
      </c>
      <c r="B6077" s="4" t="n">
        <v>45352</v>
      </c>
      <c r="C6077" s="3" t="inlineStr">
        <is>
          <t>Assets</t>
        </is>
      </c>
      <c r="D6077" s="3" t="inlineStr">
        <is>
          <t>7620/280</t>
        </is>
      </c>
      <c r="E6077" s="3" t="inlineStr">
        <is>
          <t>Heron View CIP Site Establishment</t>
        </is>
      </c>
      <c r="F6077" s="3" t="n">
        <v>0</v>
      </c>
      <c r="G6077" s="3" t="n">
        <v>48025790.91</v>
      </c>
    </row>
    <row r="6078">
      <c r="A6078" s="3" t="inlineStr">
        <is>
          <t>Heron Fields (Pty) Ltd</t>
        </is>
      </c>
      <c r="B6078" s="4" t="n">
        <v>45352</v>
      </c>
      <c r="C6078" s="3" t="inlineStr">
        <is>
          <t>Assets</t>
        </is>
      </c>
      <c r="D6078" s="3" t="inlineStr">
        <is>
          <t>7620/285</t>
        </is>
      </c>
      <c r="E6078" s="3" t="inlineStr">
        <is>
          <t>HF CIP Structuring Fee - Invest</t>
        </is>
      </c>
      <c r="F6078" s="3" t="n">
        <v>0</v>
      </c>
      <c r="G6078" s="3" t="n">
        <v>3850818.04</v>
      </c>
    </row>
    <row r="6079">
      <c r="A6079" s="3" t="inlineStr">
        <is>
          <t>Heron View (Pty) Ltd</t>
        </is>
      </c>
      <c r="B6079" s="4" t="n">
        <v>45352</v>
      </c>
      <c r="C6079" s="3" t="inlineStr">
        <is>
          <t>Assets</t>
        </is>
      </c>
      <c r="D6079" s="3" t="inlineStr">
        <is>
          <t>7620/285</t>
        </is>
      </c>
      <c r="E6079" s="3" t="inlineStr">
        <is>
          <t>Heron View CIP Structuring Fee - Invest</t>
        </is>
      </c>
      <c r="F6079" s="3" t="n">
        <v>0</v>
      </c>
      <c r="G6079" s="3" t="n">
        <v>1826086.96</v>
      </c>
    </row>
    <row r="6080">
      <c r="A6080" s="3" t="inlineStr">
        <is>
          <t>Heron Fields (Pty) Ltd</t>
        </is>
      </c>
      <c r="B6080" s="4" t="n">
        <v>45352</v>
      </c>
      <c r="C6080" s="3" t="inlineStr">
        <is>
          <t>Assets</t>
        </is>
      </c>
      <c r="D6080" s="3" t="inlineStr">
        <is>
          <t>7620/287</t>
        </is>
      </c>
      <c r="E6080" s="3" t="inlineStr">
        <is>
          <t>HF CIP Structuring Fee - Development</t>
        </is>
      </c>
      <c r="F6080" s="3" t="n">
        <v>0</v>
      </c>
      <c r="G6080" s="3" t="n">
        <v>782608.0699999999</v>
      </c>
    </row>
    <row r="6081">
      <c r="A6081" s="3" t="inlineStr">
        <is>
          <t>Heron View (Pty) Ltd</t>
        </is>
      </c>
      <c r="B6081" s="4" t="n">
        <v>45352</v>
      </c>
      <c r="C6081" s="3" t="inlineStr">
        <is>
          <t>Assets</t>
        </is>
      </c>
      <c r="D6081" s="3" t="inlineStr">
        <is>
          <t>7620/287</t>
        </is>
      </c>
      <c r="E6081" s="3" t="inlineStr">
        <is>
          <t>Heron View CIP Structuring Fee - Development</t>
        </is>
      </c>
      <c r="F6081" s="3" t="n">
        <v>0</v>
      </c>
      <c r="G6081" s="3" t="n">
        <v>217391.3</v>
      </c>
    </row>
    <row r="6082">
      <c r="A6082" s="3" t="inlineStr">
        <is>
          <t>Heron Fields (Pty) Ltd</t>
        </is>
      </c>
      <c r="B6082" s="4" t="n">
        <v>45352</v>
      </c>
      <c r="C6082" s="3" t="inlineStr">
        <is>
          <t>Assets</t>
        </is>
      </c>
      <c r="D6082" s="3" t="inlineStr">
        <is>
          <t>7620/290</t>
        </is>
      </c>
      <c r="E6082" s="3" t="inlineStr">
        <is>
          <t>HF CIP Town Planning</t>
        </is>
      </c>
      <c r="F6082" s="3" t="n">
        <v>0</v>
      </c>
      <c r="G6082" s="3" t="n">
        <v>166550</v>
      </c>
    </row>
    <row r="6083">
      <c r="A6083" s="3" t="inlineStr">
        <is>
          <t>Heron View (Pty) Ltd</t>
        </is>
      </c>
      <c r="B6083" s="4" t="n">
        <v>45352</v>
      </c>
      <c r="C6083" s="3" t="inlineStr">
        <is>
          <t>Assets</t>
        </is>
      </c>
      <c r="D6083" s="3" t="inlineStr">
        <is>
          <t>7620/290</t>
        </is>
      </c>
      <c r="E6083" s="3" t="inlineStr">
        <is>
          <t>Heron View CIP Town Planning</t>
        </is>
      </c>
      <c r="F6083" s="3" t="n">
        <v>0</v>
      </c>
      <c r="G6083" s="3" t="n">
        <v>2834.7</v>
      </c>
    </row>
    <row r="6084">
      <c r="A6084" s="3" t="inlineStr">
        <is>
          <t>Heron Fields (Pty) Ltd</t>
        </is>
      </c>
      <c r="B6084" s="4" t="n">
        <v>45352</v>
      </c>
      <c r="C6084" s="3" t="inlineStr">
        <is>
          <t>Assets</t>
        </is>
      </c>
      <c r="D6084" s="3" t="inlineStr">
        <is>
          <t>7620/295</t>
        </is>
      </c>
      <c r="E6084" s="3" t="inlineStr">
        <is>
          <t>HF CIP Traffic Planning</t>
        </is>
      </c>
      <c r="F6084" s="3" t="n">
        <v>0</v>
      </c>
      <c r="G6084" s="3" t="n">
        <v>45000</v>
      </c>
    </row>
    <row r="6085">
      <c r="A6085" s="3" t="inlineStr">
        <is>
          <t>Heron Fields (Pty) Ltd</t>
        </is>
      </c>
      <c r="B6085" s="4" t="n">
        <v>45352</v>
      </c>
      <c r="C6085" s="3" t="inlineStr">
        <is>
          <t>Assets</t>
        </is>
      </c>
      <c r="D6085" s="3" t="inlineStr">
        <is>
          <t>7620/600</t>
        </is>
      </c>
      <c r="E6085" s="3" t="inlineStr">
        <is>
          <t>HF CIP Eco work</t>
        </is>
      </c>
      <c r="F6085" s="3" t="n">
        <v>0</v>
      </c>
      <c r="G6085" s="3" t="n">
        <v>203000</v>
      </c>
    </row>
    <row r="6086">
      <c r="A6086" s="3" t="inlineStr">
        <is>
          <t>Heron View (Pty) Ltd</t>
        </is>
      </c>
      <c r="B6086" s="4" t="n">
        <v>45352</v>
      </c>
      <c r="C6086" s="3" t="inlineStr">
        <is>
          <t>Assets</t>
        </is>
      </c>
      <c r="D6086" s="3" t="inlineStr">
        <is>
          <t>7620/605</t>
        </is>
      </c>
      <c r="E6086" s="3" t="inlineStr">
        <is>
          <t>Heron View CIP Structural Engineers</t>
        </is>
      </c>
      <c r="F6086" s="3" t="n">
        <v>0</v>
      </c>
      <c r="G6086" s="3" t="n">
        <v>666877.14</v>
      </c>
    </row>
    <row r="6087">
      <c r="A6087" s="3" t="inlineStr">
        <is>
          <t>Heron View (Pty) Ltd</t>
        </is>
      </c>
      <c r="B6087" s="4" t="n">
        <v>45352</v>
      </c>
      <c r="C6087" s="3" t="inlineStr">
        <is>
          <t>Assets</t>
        </is>
      </c>
      <c r="D6087" s="3" t="inlineStr">
        <is>
          <t>7620/610</t>
        </is>
      </c>
      <c r="E6087" s="3" t="inlineStr">
        <is>
          <t>HV CIP Retaining wall</t>
        </is>
      </c>
      <c r="F6087" s="3" t="n">
        <v>0</v>
      </c>
      <c r="G6087" s="3" t="n">
        <v>66190.11</v>
      </c>
    </row>
    <row r="6088">
      <c r="A6088" s="3" t="inlineStr">
        <is>
          <t>Heron Fields (Pty) Ltd</t>
        </is>
      </c>
      <c r="B6088" s="4" t="n">
        <v>45352</v>
      </c>
      <c r="C6088" s="3" t="inlineStr">
        <is>
          <t>Assets</t>
        </is>
      </c>
      <c r="D6088" s="3" t="inlineStr">
        <is>
          <t>7620/630</t>
        </is>
      </c>
      <c r="E6088" s="3" t="inlineStr">
        <is>
          <t>HF CIP CoCT development contribution</t>
        </is>
      </c>
      <c r="F6088" s="3" t="n">
        <v>0</v>
      </c>
      <c r="G6088" s="3" t="n">
        <v>3252759.95</v>
      </c>
    </row>
    <row r="6089">
      <c r="A6089" s="3" t="inlineStr">
        <is>
          <t>Heron View (Pty) Ltd</t>
        </is>
      </c>
      <c r="B6089" s="4" t="n">
        <v>45352</v>
      </c>
      <c r="C6089" s="3" t="inlineStr">
        <is>
          <t>Assets</t>
        </is>
      </c>
      <c r="D6089" s="3" t="inlineStr">
        <is>
          <t>7620/630</t>
        </is>
      </c>
      <c r="E6089" s="3" t="inlineStr">
        <is>
          <t>Heron CIP - CoCT development contribution</t>
        </is>
      </c>
      <c r="F6089" s="3" t="n">
        <v>0</v>
      </c>
      <c r="G6089" s="3" t="n">
        <v>1673231.19</v>
      </c>
    </row>
    <row r="6090">
      <c r="A6090" s="3" t="inlineStr">
        <is>
          <t>Heron Fields (Pty) Ltd</t>
        </is>
      </c>
      <c r="B6090" s="4" t="n">
        <v>45352</v>
      </c>
      <c r="C6090" s="3" t="inlineStr">
        <is>
          <t>Assets</t>
        </is>
      </c>
      <c r="D6090" s="3" t="inlineStr">
        <is>
          <t>7620/640</t>
        </is>
      </c>
      <c r="E6090" s="3" t="inlineStr">
        <is>
          <t>HF CIP Project costs</t>
        </is>
      </c>
      <c r="F6090" s="3" t="n">
        <v>0</v>
      </c>
      <c r="G6090" s="3" t="n">
        <v>622274.51</v>
      </c>
    </row>
    <row r="6091">
      <c r="A6091" s="3" t="inlineStr">
        <is>
          <t>Heron View (Pty) Ltd</t>
        </is>
      </c>
      <c r="B6091" s="4" t="n">
        <v>45352</v>
      </c>
      <c r="C6091" s="3" t="inlineStr">
        <is>
          <t>Assets</t>
        </is>
      </c>
      <c r="D6091" s="3" t="inlineStr">
        <is>
          <t>7620/650</t>
        </is>
      </c>
      <c r="E6091" s="3" t="inlineStr">
        <is>
          <t>CIP - Construction Management</t>
        </is>
      </c>
      <c r="F6091" s="3" t="n">
        <v>0</v>
      </c>
      <c r="G6091" s="3" t="n">
        <v>76530</v>
      </c>
    </row>
    <row r="6092">
      <c r="A6092" s="3" t="inlineStr">
        <is>
          <t>Heron Fields (Pty) Ltd</t>
        </is>
      </c>
      <c r="B6092" s="4" t="n">
        <v>45352</v>
      </c>
      <c r="C6092" s="3" t="inlineStr">
        <is>
          <t>Assets</t>
        </is>
      </c>
      <c r="D6092" s="3" t="inlineStr">
        <is>
          <t>7620/650</t>
        </is>
      </c>
      <c r="E6092" s="3" t="inlineStr">
        <is>
          <t>HF CIP Electrical</t>
        </is>
      </c>
      <c r="F6092" s="3" t="n">
        <v>0</v>
      </c>
      <c r="G6092" s="3" t="n">
        <v>985049.6800000001</v>
      </c>
    </row>
    <row r="6093">
      <c r="A6093" s="3" t="inlineStr">
        <is>
          <t>Heron View (Pty) Ltd</t>
        </is>
      </c>
      <c r="B6093" s="4" t="n">
        <v>45352</v>
      </c>
      <c r="C6093" s="3" t="inlineStr">
        <is>
          <t>Assets</t>
        </is>
      </c>
      <c r="D6093" s="3" t="inlineStr">
        <is>
          <t>7620/660</t>
        </is>
      </c>
      <c r="E6093" s="3" t="inlineStr">
        <is>
          <t>HV CIP Health &amp; Safety</t>
        </is>
      </c>
      <c r="F6093" s="3" t="n">
        <v>0</v>
      </c>
      <c r="G6093" s="3" t="n">
        <v>30000</v>
      </c>
    </row>
    <row r="6094">
      <c r="A6094" s="3" t="inlineStr">
        <is>
          <t>Heron View (Pty) Ltd</t>
        </is>
      </c>
      <c r="B6094" s="4" t="n">
        <v>45352</v>
      </c>
      <c r="C6094" s="3" t="inlineStr">
        <is>
          <t>Assets</t>
        </is>
      </c>
      <c r="D6094" s="3" t="inlineStr">
        <is>
          <t>7620/670</t>
        </is>
      </c>
      <c r="E6094" s="3" t="inlineStr">
        <is>
          <t>HV CIP - Project costs CPSD</t>
        </is>
      </c>
      <c r="F6094" s="3" t="n">
        <v>0</v>
      </c>
      <c r="G6094" s="3" t="n">
        <v>2693478.26</v>
      </c>
    </row>
    <row r="6095">
      <c r="A6095" s="3" t="inlineStr">
        <is>
          <t>Heron View (Pty) Ltd</t>
        </is>
      </c>
      <c r="B6095" s="4" t="n">
        <v>45352</v>
      </c>
      <c r="C6095" s="3" t="inlineStr">
        <is>
          <t>Assets</t>
        </is>
      </c>
      <c r="D6095" s="3" t="inlineStr">
        <is>
          <t>7620/680</t>
        </is>
      </c>
      <c r="E6095" s="3" t="inlineStr">
        <is>
          <t>HV CIP Elextrical</t>
        </is>
      </c>
      <c r="F6095" s="3" t="n">
        <v>0</v>
      </c>
      <c r="G6095" s="3" t="n">
        <v>1540502.11</v>
      </c>
    </row>
    <row r="6096">
      <c r="A6096" s="3" t="inlineStr">
        <is>
          <t>Heron View (Pty) Ltd</t>
        </is>
      </c>
      <c r="B6096" s="4" t="n">
        <v>45352</v>
      </c>
      <c r="C6096" s="3" t="inlineStr">
        <is>
          <t>Assets</t>
        </is>
      </c>
      <c r="D6096" s="3" t="inlineStr">
        <is>
          <t>7620/690</t>
        </is>
      </c>
      <c r="E6096" s="3" t="inlineStr">
        <is>
          <t>HV CIP Site Establishment</t>
        </is>
      </c>
      <c r="F6096" s="3" t="n">
        <v>0</v>
      </c>
      <c r="G6096" s="3" t="n">
        <v>16307183.05</v>
      </c>
    </row>
    <row r="6097">
      <c r="A6097" s="3" t="inlineStr">
        <is>
          <t>Heron Fields (Pty) Ltd</t>
        </is>
      </c>
      <c r="B6097" s="4" t="n">
        <v>45352</v>
      </c>
      <c r="C6097" s="3" t="inlineStr">
        <is>
          <t>Assets</t>
        </is>
      </c>
      <c r="D6097" s="3" t="inlineStr">
        <is>
          <t>7620/750</t>
        </is>
      </c>
      <c r="E6097" s="3" t="inlineStr">
        <is>
          <t>HF CIP Project costs CPSD</t>
        </is>
      </c>
      <c r="F6097" s="3" t="n">
        <v>0</v>
      </c>
      <c r="G6097" s="3" t="n">
        <v>2148883.15</v>
      </c>
    </row>
    <row r="6098">
      <c r="A6098" s="3" t="inlineStr">
        <is>
          <t>Heron Fields (Pty) Ltd</t>
        </is>
      </c>
      <c r="B6098" s="4" t="n">
        <v>45352</v>
      </c>
      <c r="C6098" s="3" t="inlineStr">
        <is>
          <t>Assets</t>
        </is>
      </c>
      <c r="D6098" s="3" t="inlineStr">
        <is>
          <t>7620/800</t>
        </is>
      </c>
      <c r="E6098" s="3" t="inlineStr">
        <is>
          <t>HF CIP GL Conradie</t>
        </is>
      </c>
      <c r="F6098" s="3" t="n">
        <v>0</v>
      </c>
      <c r="G6098" s="3" t="n">
        <v>1068455</v>
      </c>
    </row>
    <row r="6099">
      <c r="A6099" s="3" t="inlineStr">
        <is>
          <t>Heron View (Pty) Ltd</t>
        </is>
      </c>
      <c r="B6099" s="4" t="n">
        <v>45352</v>
      </c>
      <c r="C6099" s="3" t="inlineStr">
        <is>
          <t>Assets</t>
        </is>
      </c>
      <c r="D6099" s="3" t="inlineStr">
        <is>
          <t>7620/800</t>
        </is>
      </c>
      <c r="E6099" s="3" t="inlineStr">
        <is>
          <t>HV CIP GL Conradie</t>
        </is>
      </c>
      <c r="F6099" s="3" t="n">
        <v>0</v>
      </c>
      <c r="G6099" s="3" t="n">
        <v>2188325.96</v>
      </c>
    </row>
    <row r="6100">
      <c r="A6100" s="3" t="inlineStr">
        <is>
          <t>Heron Fields (Pty) Ltd</t>
        </is>
      </c>
      <c r="B6100" s="4" t="n">
        <v>45352</v>
      </c>
      <c r="C6100" s="3" t="inlineStr">
        <is>
          <t>Assets</t>
        </is>
      </c>
      <c r="D6100" s="3" t="inlineStr">
        <is>
          <t>7700/010</t>
        </is>
      </c>
      <c r="E6100" s="3" t="inlineStr">
        <is>
          <t>Construction 28 Feb 23 HF</t>
        </is>
      </c>
      <c r="F6100" s="3" t="n">
        <v>0</v>
      </c>
      <c r="G6100" s="3" t="n">
        <v>-24427668.44</v>
      </c>
    </row>
    <row r="6101">
      <c r="A6101" s="3" t="inlineStr">
        <is>
          <t>Cape Projects Construction (Pty) Ltd</t>
        </is>
      </c>
      <c r="B6101" s="4" t="n">
        <v>45352</v>
      </c>
      <c r="C6101" s="3" t="inlineStr">
        <is>
          <t>Assets</t>
        </is>
      </c>
      <c r="D6101" s="3" t="inlineStr">
        <is>
          <t>7800/000</t>
        </is>
      </c>
      <c r="E6101" s="3" t="inlineStr">
        <is>
          <t>Deposits paid</t>
        </is>
      </c>
      <c r="F6101" s="3" t="n">
        <v>0</v>
      </c>
      <c r="G6101" s="3" t="n">
        <v>29600</v>
      </c>
    </row>
    <row r="6102">
      <c r="A6102" s="3" t="inlineStr">
        <is>
          <t>Cape Projects Construction (Pty) Ltd</t>
        </is>
      </c>
      <c r="B6102" s="4" t="n">
        <v>45352</v>
      </c>
      <c r="C6102" s="3" t="inlineStr">
        <is>
          <t>Assets</t>
        </is>
      </c>
      <c r="D6102" s="3" t="inlineStr">
        <is>
          <t>8000/000</t>
        </is>
      </c>
      <c r="E6102" s="3" t="inlineStr">
        <is>
          <t>Customer Control Account</t>
        </is>
      </c>
      <c r="F6102" s="3" t="n">
        <v>0</v>
      </c>
      <c r="G6102" s="3" t="n">
        <v>5534127.74</v>
      </c>
    </row>
    <row r="6103">
      <c r="A6103" s="3" t="inlineStr">
        <is>
          <t>Heron Fields (Pty) Ltd</t>
        </is>
      </c>
      <c r="B6103" s="4" t="n">
        <v>45352</v>
      </c>
      <c r="C6103" s="3" t="inlineStr">
        <is>
          <t>Assets</t>
        </is>
      </c>
      <c r="D6103" s="3" t="inlineStr">
        <is>
          <t>8000/000</t>
        </is>
      </c>
      <c r="E6103" s="3" t="inlineStr">
        <is>
          <t>Customer Control Account</t>
        </is>
      </c>
      <c r="F6103" s="3" t="n">
        <v>5188.45</v>
      </c>
      <c r="G6103" s="3" t="n">
        <v>375246.26</v>
      </c>
    </row>
    <row r="6104">
      <c r="A6104" s="3" t="inlineStr">
        <is>
          <t>Heron View (Pty) Ltd</t>
        </is>
      </c>
      <c r="B6104" s="4" t="n">
        <v>45352</v>
      </c>
      <c r="C6104" s="3" t="inlineStr">
        <is>
          <t>Assets</t>
        </is>
      </c>
      <c r="D6104" s="3" t="inlineStr">
        <is>
          <t>8000/000</t>
        </is>
      </c>
      <c r="E6104" s="3" t="inlineStr">
        <is>
          <t>Customer Control Account</t>
        </is>
      </c>
      <c r="F6104" s="3" t="n">
        <v>674.77</v>
      </c>
      <c r="G6104" s="3" t="n">
        <v>1371.62</v>
      </c>
    </row>
    <row r="6105">
      <c r="A6105" s="3" t="inlineStr">
        <is>
          <t>Cape Projects Construction (Pty) Ltd</t>
        </is>
      </c>
      <c r="B6105" s="4" t="n">
        <v>45352</v>
      </c>
      <c r="C6105" s="3" t="inlineStr">
        <is>
          <t>Assets</t>
        </is>
      </c>
      <c r="D6105" s="3" t="inlineStr">
        <is>
          <t>8300/000</t>
        </is>
      </c>
      <c r="E6105" s="3" t="inlineStr">
        <is>
          <t>FNB Credit Card 8812 7100 446 6006</t>
        </is>
      </c>
      <c r="F6105" s="3" t="n">
        <v>0</v>
      </c>
      <c r="G6105" s="3" t="n">
        <v>-1935</v>
      </c>
    </row>
    <row r="6106">
      <c r="A6106" s="3" t="inlineStr">
        <is>
          <t>Heron Fields (Pty) Ltd</t>
        </is>
      </c>
      <c r="B6106" s="4" t="n">
        <v>45352</v>
      </c>
      <c r="C6106" s="3" t="inlineStr">
        <is>
          <t>Assets</t>
        </is>
      </c>
      <c r="D6106" s="3" t="inlineStr">
        <is>
          <t>8400/000</t>
        </is>
      </c>
      <c r="E6106" s="3" t="inlineStr">
        <is>
          <t>RMB - 62882379087</t>
        </is>
      </c>
      <c r="F6106" s="3" t="n">
        <v>-16632</v>
      </c>
      <c r="G6106" s="3" t="n">
        <v>134641.73</v>
      </c>
    </row>
    <row r="6107">
      <c r="A6107" s="3" t="inlineStr">
        <is>
          <t>Cape Projects Construction (Pty) Ltd</t>
        </is>
      </c>
      <c r="B6107" s="4" t="n">
        <v>45352</v>
      </c>
      <c r="C6107" s="3" t="inlineStr">
        <is>
          <t>Assets</t>
        </is>
      </c>
      <c r="D6107" s="3" t="inlineStr">
        <is>
          <t>8400/000</t>
        </is>
      </c>
      <c r="E6107" s="3" t="inlineStr">
        <is>
          <t>RMB 62275138470</t>
        </is>
      </c>
      <c r="F6107" s="3" t="n">
        <v>-280172.83</v>
      </c>
      <c r="G6107" s="3" t="n">
        <v>113190.94</v>
      </c>
    </row>
    <row r="6108">
      <c r="A6108" s="3" t="inlineStr">
        <is>
          <t>Cape Projects Construction (Pty) Ltd</t>
        </is>
      </c>
      <c r="B6108" s="4" t="n">
        <v>45352</v>
      </c>
      <c r="C6108" s="3" t="inlineStr">
        <is>
          <t>Assets</t>
        </is>
      </c>
      <c r="D6108" s="3" t="inlineStr">
        <is>
          <t>8410/000</t>
        </is>
      </c>
      <c r="E6108" s="3" t="inlineStr">
        <is>
          <t>Petty Cash</t>
        </is>
      </c>
      <c r="F6108" s="3" t="n">
        <v>0</v>
      </c>
      <c r="G6108" s="3" t="n">
        <v>-1188</v>
      </c>
    </row>
    <row r="6109">
      <c r="A6109" s="3" t="inlineStr">
        <is>
          <t>Cape Projects Construction (Pty) Ltd</t>
        </is>
      </c>
      <c r="B6109" s="4" t="n">
        <v>45352</v>
      </c>
      <c r="C6109" s="3" t="inlineStr">
        <is>
          <t>Assets</t>
        </is>
      </c>
      <c r="D6109" s="3" t="inlineStr">
        <is>
          <t>8420/000</t>
        </is>
      </c>
      <c r="E6109" s="3" t="inlineStr">
        <is>
          <t>Momentum Priv Acc RU502230981</t>
        </is>
      </c>
      <c r="F6109" s="3" t="n">
        <v>0</v>
      </c>
      <c r="G6109" s="3" t="n">
        <v>571.55</v>
      </c>
    </row>
    <row r="6110">
      <c r="A6110" s="3" t="inlineStr">
        <is>
          <t>Heron Fields (Pty) Ltd</t>
        </is>
      </c>
      <c r="B6110" s="4" t="n">
        <v>45352</v>
      </c>
      <c r="C6110" s="3" t="inlineStr">
        <is>
          <t>Assets</t>
        </is>
      </c>
      <c r="D6110" s="3" t="inlineStr">
        <is>
          <t>8420/000</t>
        </is>
      </c>
      <c r="E6110" s="3" t="inlineStr">
        <is>
          <t>Petty Cash</t>
        </is>
      </c>
      <c r="F6110" s="3" t="n">
        <v>0</v>
      </c>
      <c r="G6110" s="3" t="n">
        <v>8620</v>
      </c>
    </row>
    <row r="6111">
      <c r="A6111" s="3" t="inlineStr">
        <is>
          <t>Heron Fields (Pty) Ltd</t>
        </is>
      </c>
      <c r="B6111" s="4" t="n">
        <v>45352</v>
      </c>
      <c r="C6111" s="3" t="inlineStr">
        <is>
          <t>Assets</t>
        </is>
      </c>
      <c r="D6111" s="3" t="inlineStr">
        <is>
          <t>8430/000</t>
        </is>
      </c>
      <c r="E6111" s="3" t="inlineStr">
        <is>
          <t>Momentum Private Account RU502230151</t>
        </is>
      </c>
      <c r="F6111" s="3" t="n">
        <v>0</v>
      </c>
      <c r="G6111" s="3" t="n">
        <v>889.13</v>
      </c>
    </row>
    <row r="6112">
      <c r="A6112" s="3" t="inlineStr">
        <is>
          <t>Heron Fields (Pty) Ltd</t>
        </is>
      </c>
      <c r="B6112" s="4" t="n">
        <v>45352</v>
      </c>
      <c r="C6112" s="3" t="inlineStr">
        <is>
          <t>Assets</t>
        </is>
      </c>
      <c r="D6112" s="3" t="inlineStr">
        <is>
          <t>8440/000</t>
        </is>
      </c>
      <c r="E6112" s="3" t="inlineStr">
        <is>
          <t>Momentum Investors Account RU502229930</t>
        </is>
      </c>
      <c r="F6112" s="3" t="n">
        <v>0</v>
      </c>
      <c r="G6112" s="3" t="n">
        <v>12938990.67</v>
      </c>
    </row>
    <row r="6113">
      <c r="A6113" s="3" t="inlineStr">
        <is>
          <t>Heron Fields (Pty) Ltd</t>
        </is>
      </c>
      <c r="B6113" s="4" t="n">
        <v>45352</v>
      </c>
      <c r="C6113" s="3" t="inlineStr">
        <is>
          <t>Assets</t>
        </is>
      </c>
      <c r="D6113" s="3" t="inlineStr">
        <is>
          <t>8450/000</t>
        </is>
      </c>
      <c r="E6113" s="3" t="inlineStr">
        <is>
          <t>ABSA Current Acc : 4109071013</t>
        </is>
      </c>
      <c r="F6113" s="3" t="n">
        <v>0</v>
      </c>
      <c r="G6113" s="3" t="n">
        <v>150500</v>
      </c>
    </row>
    <row r="6114">
      <c r="A6114" s="3" t="inlineStr">
        <is>
          <t>Cape Projects Construction (Pty) Ltd</t>
        </is>
      </c>
      <c r="B6114" s="4" t="n">
        <v>45352</v>
      </c>
      <c r="C6114" s="3" t="inlineStr">
        <is>
          <t>Liabilities</t>
        </is>
      </c>
      <c r="D6114" s="3" t="inlineStr">
        <is>
          <t>860</t>
        </is>
      </c>
      <c r="E6114" s="3" t="inlineStr">
        <is>
          <t>Rounding</t>
        </is>
      </c>
      <c r="F6114" s="3" t="n">
        <v>0.01</v>
      </c>
      <c r="G6114" s="3" t="n">
        <v>-12.93</v>
      </c>
    </row>
    <row r="6115">
      <c r="A6115" s="3" t="inlineStr">
        <is>
          <t>Heron Fields (Pty) Ltd</t>
        </is>
      </c>
      <c r="B6115" s="4" t="n">
        <v>45352</v>
      </c>
      <c r="C6115" s="3" t="inlineStr">
        <is>
          <t>Liabilities</t>
        </is>
      </c>
      <c r="D6115" s="3" t="inlineStr">
        <is>
          <t>860</t>
        </is>
      </c>
      <c r="E6115" s="3" t="inlineStr">
        <is>
          <t>Rounding</t>
        </is>
      </c>
      <c r="F6115" s="3" t="n">
        <v>0</v>
      </c>
      <c r="G6115" s="3" t="n">
        <v>0.04</v>
      </c>
    </row>
    <row r="6116">
      <c r="A6116" s="3" t="inlineStr">
        <is>
          <t>Heron View (Pty) Ltd</t>
        </is>
      </c>
      <c r="B6116" s="4" t="n">
        <v>45352</v>
      </c>
      <c r="C6116" s="3" t="inlineStr">
        <is>
          <t>Liabilities</t>
        </is>
      </c>
      <c r="D6116" s="3" t="inlineStr">
        <is>
          <t>860</t>
        </is>
      </c>
      <c r="E6116" s="3" t="inlineStr">
        <is>
          <t>Rounding</t>
        </is>
      </c>
      <c r="F6116" s="3" t="n">
        <v>0</v>
      </c>
      <c r="G6116" s="3" t="n">
        <v>-0.03</v>
      </c>
    </row>
    <row r="6117">
      <c r="A6117" s="3" t="inlineStr">
        <is>
          <t>Cape Projects Construction (Pty) Ltd</t>
        </is>
      </c>
      <c r="B6117" s="4" t="n">
        <v>45352</v>
      </c>
      <c r="C6117" s="3" t="inlineStr">
        <is>
          <t>Liabilities</t>
        </is>
      </c>
      <c r="D6117" s="3" t="inlineStr">
        <is>
          <t>9000/000</t>
        </is>
      </c>
      <c r="E6117" s="3" t="inlineStr">
        <is>
          <t>Supplier Control Account</t>
        </is>
      </c>
      <c r="F6117" s="3" t="n">
        <v>-1150637.89</v>
      </c>
      <c r="G6117" s="3" t="n">
        <v>-3247476.9</v>
      </c>
    </row>
    <row r="6118">
      <c r="A6118" s="3" t="inlineStr">
        <is>
          <t>Heron Fields (Pty) Ltd</t>
        </is>
      </c>
      <c r="B6118" s="4" t="n">
        <v>45352</v>
      </c>
      <c r="C6118" s="3" t="inlineStr">
        <is>
          <t>Liabilities</t>
        </is>
      </c>
      <c r="D6118" s="3" t="inlineStr">
        <is>
          <t>9000/000</t>
        </is>
      </c>
      <c r="E6118" s="3" t="inlineStr">
        <is>
          <t>Supplier Control Account</t>
        </is>
      </c>
      <c r="F6118" s="3" t="n">
        <v>-141646.38</v>
      </c>
      <c r="G6118" s="3" t="n">
        <v>-161863669.9</v>
      </c>
    </row>
    <row r="6119">
      <c r="A6119" s="3" t="inlineStr">
        <is>
          <t>Heron View (Pty) Ltd</t>
        </is>
      </c>
      <c r="B6119" s="4" t="n">
        <v>45352</v>
      </c>
      <c r="C6119" s="3" t="inlineStr">
        <is>
          <t>Liabilities</t>
        </is>
      </c>
      <c r="D6119" s="3" t="inlineStr">
        <is>
          <t>9000/000</t>
        </is>
      </c>
      <c r="E6119" s="3" t="inlineStr">
        <is>
          <t>Supplier Control Account</t>
        </is>
      </c>
      <c r="F6119" s="3" t="n">
        <v>23823.64</v>
      </c>
      <c r="G6119" s="3" t="n">
        <v>-3902677.89</v>
      </c>
    </row>
    <row r="6120">
      <c r="A6120" s="3" t="inlineStr">
        <is>
          <t>Cape Projects Construction (Pty) Ltd</t>
        </is>
      </c>
      <c r="B6120" s="4" t="n">
        <v>45352</v>
      </c>
      <c r="C6120" s="3" t="inlineStr">
        <is>
          <t>Liabilities</t>
        </is>
      </c>
      <c r="D6120" s="3" t="inlineStr">
        <is>
          <t>9200/000</t>
        </is>
      </c>
      <c r="E6120" s="3" t="inlineStr">
        <is>
          <t>Sundry Suppliers</t>
        </is>
      </c>
      <c r="F6120" s="3" t="n">
        <v>0</v>
      </c>
      <c r="G6120" s="3" t="n">
        <v>1309</v>
      </c>
    </row>
    <row r="6121">
      <c r="A6121" s="3" t="inlineStr">
        <is>
          <t>Cape Projects Construction (Pty) Ltd</t>
        </is>
      </c>
      <c r="B6121" s="4" t="n">
        <v>45352</v>
      </c>
      <c r="C6121" s="3" t="inlineStr">
        <is>
          <t>Liabilities</t>
        </is>
      </c>
      <c r="D6121" s="3" t="inlineStr">
        <is>
          <t>9250/020</t>
        </is>
      </c>
      <c r="E6121" s="3" t="inlineStr">
        <is>
          <t>PAYE, UIF AND SDL CONTROL</t>
        </is>
      </c>
      <c r="F6121" s="3" t="n">
        <v>0</v>
      </c>
      <c r="G6121" s="3" t="n">
        <v>-106119.66</v>
      </c>
    </row>
    <row r="6122">
      <c r="A6122" s="3" t="inlineStr">
        <is>
          <t>Cape Projects Construction (Pty) Ltd</t>
        </is>
      </c>
      <c r="B6122" s="4" t="n">
        <v>45352</v>
      </c>
      <c r="C6122" s="3" t="inlineStr">
        <is>
          <t>Liabilities</t>
        </is>
      </c>
      <c r="D6122" s="3" t="inlineStr">
        <is>
          <t>9250/030</t>
        </is>
      </c>
      <c r="E6122" s="3" t="inlineStr">
        <is>
          <t>BIBC CONTROL</t>
        </is>
      </c>
      <c r="F6122" s="3" t="n">
        <v>0</v>
      </c>
      <c r="G6122" s="3" t="n">
        <v>-49413.95</v>
      </c>
    </row>
    <row r="6123">
      <c r="A6123" s="3" t="inlineStr">
        <is>
          <t>Cape Projects Construction (Pty) Ltd</t>
        </is>
      </c>
      <c r="B6123" s="4" t="n">
        <v>45352</v>
      </c>
      <c r="C6123" s="3" t="inlineStr">
        <is>
          <t>Liabilities</t>
        </is>
      </c>
      <c r="D6123" s="3" t="inlineStr">
        <is>
          <t>9350/000</t>
        </is>
      </c>
      <c r="E6123" s="3" t="inlineStr">
        <is>
          <t>Dividends Payable</t>
        </is>
      </c>
      <c r="F6123" s="3" t="n">
        <v>0</v>
      </c>
      <c r="G6123" s="3" t="n">
        <v>130000</v>
      </c>
    </row>
    <row r="6124">
      <c r="A6124" s="3" t="inlineStr">
        <is>
          <t>Cape Projects Construction (Pty) Ltd</t>
        </is>
      </c>
      <c r="B6124" s="4" t="n">
        <v>45352</v>
      </c>
      <c r="C6124" s="3" t="inlineStr">
        <is>
          <t>Liabilities</t>
        </is>
      </c>
      <c r="D6124" s="3" t="inlineStr">
        <is>
          <t>9500/000</t>
        </is>
      </c>
      <c r="E6124" s="3" t="inlineStr">
        <is>
          <t>VAT Control Account</t>
        </is>
      </c>
      <c r="F6124" s="3" t="n">
        <v>183706.91</v>
      </c>
      <c r="G6124" s="3" t="n">
        <v>9025.629999999999</v>
      </c>
    </row>
    <row r="6125">
      <c r="A6125" s="3" t="inlineStr">
        <is>
          <t>Heron Fields (Pty) Ltd</t>
        </is>
      </c>
      <c r="B6125" s="4" t="n">
        <v>45352</v>
      </c>
      <c r="C6125" s="3" t="inlineStr">
        <is>
          <t>Liabilities</t>
        </is>
      </c>
      <c r="D6125" s="3" t="inlineStr">
        <is>
          <t>9500/000</t>
        </is>
      </c>
      <c r="E6125" s="3" t="inlineStr">
        <is>
          <t>Vat / Tax Control Account</t>
        </is>
      </c>
      <c r="F6125" s="3" t="n">
        <v>152.95</v>
      </c>
      <c r="G6125" s="3" t="n">
        <v>-3331741.43</v>
      </c>
    </row>
    <row r="6126">
      <c r="A6126" s="3" t="inlineStr">
        <is>
          <t>Heron View (Pty) Ltd</t>
        </is>
      </c>
      <c r="B6126" s="4" t="n">
        <v>45352</v>
      </c>
      <c r="C6126" s="3" t="inlineStr">
        <is>
          <t>Liabilities</t>
        </is>
      </c>
      <c r="D6126" s="3" t="inlineStr">
        <is>
          <t>9500/000</t>
        </is>
      </c>
      <c r="E6126" s="3" t="inlineStr">
        <is>
          <t>Vat / Tax Control Account</t>
        </is>
      </c>
      <c r="F6126" s="3" t="n">
        <v>0</v>
      </c>
      <c r="G6126" s="3" t="n">
        <v>5476714.79</v>
      </c>
    </row>
    <row r="6127">
      <c r="A6127" s="3" t="inlineStr">
        <is>
          <t>Cape Projects Construction (Pty) Ltd</t>
        </is>
      </c>
      <c r="B6127" s="4" t="n">
        <v>45352</v>
      </c>
      <c r="C6127" s="3" t="inlineStr">
        <is>
          <t>Liabilities</t>
        </is>
      </c>
      <c r="D6127" s="3" t="inlineStr">
        <is>
          <t>9510/000</t>
        </is>
      </c>
      <c r="E6127" s="3" t="inlineStr">
        <is>
          <t>Tax Provision Account</t>
        </is>
      </c>
      <c r="F6127" s="3" t="n">
        <v>0</v>
      </c>
      <c r="G6127" s="3" t="n">
        <v>-1869.8</v>
      </c>
    </row>
    <row r="6128">
      <c r="A6128" s="3" t="inlineStr">
        <is>
          <t>Heron Fields (Pty) Ltd</t>
        </is>
      </c>
      <c r="B6128" s="4" t="n">
        <v>45352</v>
      </c>
      <c r="C6128" s="3" t="inlineStr">
        <is>
          <t>Liabilities</t>
        </is>
      </c>
      <c r="D6128" s="3" t="inlineStr">
        <is>
          <t>9520/000</t>
        </is>
      </c>
      <c r="E6128" s="3" t="inlineStr">
        <is>
          <t>Income Tax Payable</t>
        </is>
      </c>
      <c r="F6128" s="3" t="n">
        <v>0</v>
      </c>
      <c r="G6128" s="3" t="n">
        <v>59039.93</v>
      </c>
    </row>
    <row r="6129">
      <c r="A6129" s="3" t="inlineStr">
        <is>
          <t>Heron View (Pty) Ltd</t>
        </is>
      </c>
      <c r="B6129" s="4" t="n">
        <v>45352</v>
      </c>
      <c r="C6129" s="3" t="inlineStr">
        <is>
          <t>Liabilities</t>
        </is>
      </c>
      <c r="D6129" s="3" t="inlineStr">
        <is>
          <t>9899/C102</t>
        </is>
      </c>
      <c r="E6129" s="3" t="inlineStr">
        <is>
          <t>Sales - Unit Reg Control C102</t>
        </is>
      </c>
      <c r="F6129" s="3" t="n">
        <v>0</v>
      </c>
      <c r="G6129" s="3" t="n">
        <v>-0.4</v>
      </c>
    </row>
    <row r="6130">
      <c r="A6130" s="3" t="inlineStr">
        <is>
          <t>Cape Projects Construction (Pty) Ltd</t>
        </is>
      </c>
      <c r="B6130" s="4" t="n">
        <v>45352</v>
      </c>
      <c r="C6130" s="3" t="inlineStr">
        <is>
          <t>Liabilities</t>
        </is>
      </c>
      <c r="D6130" s="3" t="inlineStr">
        <is>
          <t>B/S</t>
        </is>
      </c>
      <c r="E6130" s="3" t="inlineStr">
        <is>
          <t>Taxation Payable</t>
        </is>
      </c>
      <c r="F6130" s="3" t="n">
        <v>0</v>
      </c>
      <c r="G6130" s="3" t="n">
        <v>393799.61</v>
      </c>
    </row>
    <row r="6131">
      <c r="A6131" s="3" t="inlineStr">
        <is>
          <t>Cape Projects Construction (Pty) Ltd</t>
        </is>
      </c>
      <c r="B6131" s="4" t="n">
        <v>45352</v>
      </c>
      <c r="C6131" s="3" t="inlineStr">
        <is>
          <t>Liabilities</t>
        </is>
      </c>
      <c r="D6131" s="3" t="inlineStr">
        <is>
          <t>TEMP/ACC</t>
        </is>
      </c>
      <c r="E6131" s="3" t="inlineStr">
        <is>
          <t>Conversion Account</t>
        </is>
      </c>
      <c r="F6131" s="3" t="n">
        <v>0</v>
      </c>
      <c r="G6131" s="3" t="n">
        <v>-254.99</v>
      </c>
    </row>
    <row r="6132">
      <c r="A6132" s="3" t="inlineStr">
        <is>
          <t>Heron View (Pty) Ltd</t>
        </is>
      </c>
      <c r="B6132" s="4" t="n">
        <v>45382</v>
      </c>
      <c r="C6132" s="3" t="inlineStr">
        <is>
          <t>Revenue</t>
        </is>
      </c>
      <c r="D6132" s="3" t="inlineStr">
        <is>
          <t>1000/100</t>
        </is>
      </c>
      <c r="E6132" s="3" t="inlineStr">
        <is>
          <t>Sales - Heron View Sales</t>
        </is>
      </c>
      <c r="F6132" s="3" t="n">
        <v>-2804173.91</v>
      </c>
      <c r="G6132" s="3" t="n">
        <v>-2804173.91</v>
      </c>
    </row>
    <row r="6133">
      <c r="A6133" s="3" t="inlineStr">
        <is>
          <t>Heron View (Pty) Ltd</t>
        </is>
      </c>
      <c r="B6133" s="4" t="n">
        <v>45382</v>
      </c>
      <c r="C6133" s="3" t="inlineStr">
        <is>
          <t>Revenue</t>
        </is>
      </c>
      <c r="D6133" s="3" t="inlineStr">
        <is>
          <t>1000/101</t>
        </is>
      </c>
      <c r="E6133" s="3" t="inlineStr">
        <is>
          <t>Sales - Heron View Occupational Rent</t>
        </is>
      </c>
      <c r="F6133" s="3" t="n">
        <v>-3561.29</v>
      </c>
      <c r="G6133" s="3" t="n">
        <v>-3561.29</v>
      </c>
    </row>
    <row r="6134">
      <c r="A6134" s="3" t="inlineStr">
        <is>
          <t>Cape Projects Construction (Pty) Ltd</t>
        </is>
      </c>
      <c r="B6134" s="4" t="n">
        <v>45382</v>
      </c>
      <c r="C6134" s="3" t="inlineStr">
        <is>
          <t>Revenue</t>
        </is>
      </c>
      <c r="D6134" s="3" t="inlineStr">
        <is>
          <t>1040/100</t>
        </is>
      </c>
      <c r="E6134" s="3" t="inlineStr">
        <is>
          <t>Fees - Construction - Heron</t>
        </is>
      </c>
      <c r="F6134" s="3" t="n">
        <v>-7021091.6</v>
      </c>
      <c r="G6134" s="3" t="n">
        <v>-7021091.6</v>
      </c>
    </row>
    <row r="6135">
      <c r="A6135" s="3" t="inlineStr">
        <is>
          <t>Heron Fields (Pty) Ltd</t>
        </is>
      </c>
      <c r="B6135" s="4" t="n">
        <v>45382</v>
      </c>
      <c r="C6135" s="3" t="inlineStr">
        <is>
          <t>Revenue</t>
        </is>
      </c>
      <c r="D6135" s="3" t="inlineStr">
        <is>
          <t>1500/002</t>
        </is>
      </c>
      <c r="E6135" s="3" t="inlineStr">
        <is>
          <t>Rental Income</t>
        </is>
      </c>
      <c r="F6135" s="3" t="n">
        <v>-49758.3</v>
      </c>
      <c r="G6135" s="3" t="n">
        <v>-49758.3</v>
      </c>
    </row>
    <row r="6136">
      <c r="A6136" s="3" t="inlineStr">
        <is>
          <t>Heron View (Pty) Ltd</t>
        </is>
      </c>
      <c r="B6136" s="4" t="n">
        <v>45382</v>
      </c>
      <c r="C6136" s="3" t="inlineStr">
        <is>
          <t>Expenses</t>
        </is>
      </c>
      <c r="D6136" s="3" t="inlineStr">
        <is>
          <t>2000/030</t>
        </is>
      </c>
      <c r="E6136" s="3" t="inlineStr">
        <is>
          <t>COS - HV COCT Rates clearance</t>
        </is>
      </c>
      <c r="F6136" s="3" t="n">
        <v>5141.17</v>
      </c>
      <c r="G6136" s="3" t="n">
        <v>5141.17</v>
      </c>
    </row>
    <row r="6137">
      <c r="A6137" s="3" t="inlineStr">
        <is>
          <t>Heron View (Pty) Ltd</t>
        </is>
      </c>
      <c r="B6137" s="4" t="n">
        <v>45382</v>
      </c>
      <c r="C6137" s="3" t="inlineStr">
        <is>
          <t>Expenses</t>
        </is>
      </c>
      <c r="D6137" s="3" t="inlineStr">
        <is>
          <t>2000/040</t>
        </is>
      </c>
      <c r="E6137" s="3" t="inlineStr">
        <is>
          <t>COS - Legal Fees</t>
        </is>
      </c>
      <c r="F6137" s="3" t="n">
        <v>77984.57000000001</v>
      </c>
      <c r="G6137" s="3" t="n">
        <v>77984.57000000001</v>
      </c>
    </row>
    <row r="6138">
      <c r="A6138" s="3" t="inlineStr">
        <is>
          <t>Heron Fields (Pty) Ltd</t>
        </is>
      </c>
      <c r="B6138" s="4" t="n">
        <v>45382</v>
      </c>
      <c r="C6138" s="3" t="inlineStr">
        <is>
          <t>Expenses</t>
        </is>
      </c>
      <c r="D6138" s="3" t="inlineStr">
        <is>
          <t>2000/050</t>
        </is>
      </c>
      <c r="E6138" s="3" t="inlineStr">
        <is>
          <t>COS - Rates clearance</t>
        </is>
      </c>
      <c r="F6138" s="3" t="n">
        <v>8386.200000000001</v>
      </c>
      <c r="G6138" s="3" t="n">
        <v>8386.200000000001</v>
      </c>
    </row>
    <row r="6139">
      <c r="A6139" s="3" t="inlineStr">
        <is>
          <t>Heron View (Pty) Ltd</t>
        </is>
      </c>
      <c r="B6139" s="4" t="n">
        <v>45382</v>
      </c>
      <c r="C6139" s="3" t="inlineStr">
        <is>
          <t>Expenses</t>
        </is>
      </c>
      <c r="D6139" s="3" t="inlineStr">
        <is>
          <t>2000/070</t>
        </is>
      </c>
      <c r="E6139" s="3" t="inlineStr">
        <is>
          <t>COS - Commission HV Units</t>
        </is>
      </c>
      <c r="F6139" s="3" t="n">
        <v>139991.31</v>
      </c>
      <c r="G6139" s="3" t="n">
        <v>139991.31</v>
      </c>
    </row>
    <row r="6140">
      <c r="A6140" s="3" t="inlineStr">
        <is>
          <t>Cape Projects Construction (Pty) Ltd</t>
        </is>
      </c>
      <c r="B6140" s="4" t="n">
        <v>45382</v>
      </c>
      <c r="C6140" s="3" t="inlineStr">
        <is>
          <t>Expenses</t>
        </is>
      </c>
      <c r="D6140" s="3" t="inlineStr">
        <is>
          <t>2006/000</t>
        </is>
      </c>
      <c r="E6140" s="3" t="inlineStr">
        <is>
          <t>COS - Endulini Construction</t>
        </is>
      </c>
      <c r="F6140" s="3" t="n">
        <v>3000</v>
      </c>
      <c r="G6140" s="3" t="n">
        <v>3000</v>
      </c>
    </row>
    <row r="6141">
      <c r="A6141" s="3" t="inlineStr">
        <is>
          <t>Cape Projects Construction (Pty) Ltd</t>
        </is>
      </c>
      <c r="B6141" s="4" t="n">
        <v>45382</v>
      </c>
      <c r="C6141" s="3" t="inlineStr">
        <is>
          <t>Expenses</t>
        </is>
      </c>
      <c r="D6141" s="3" t="inlineStr">
        <is>
          <t>2007/000</t>
        </is>
      </c>
      <c r="E6141" s="3" t="inlineStr">
        <is>
          <t>COS - Repairs &amp; Maintenance - SW Southwark</t>
        </is>
      </c>
      <c r="F6141" s="3" t="n">
        <v>8355.959999999999</v>
      </c>
      <c r="G6141" s="3" t="n">
        <v>8355.959999999999</v>
      </c>
    </row>
    <row r="6142">
      <c r="A6142" s="3" t="inlineStr">
        <is>
          <t>Cape Projects Construction (Pty) Ltd</t>
        </is>
      </c>
      <c r="B6142" s="4" t="n">
        <v>45382</v>
      </c>
      <c r="C6142" s="3" t="inlineStr">
        <is>
          <t>Expenses</t>
        </is>
      </c>
      <c r="D6142" s="3" t="inlineStr">
        <is>
          <t>2011/500</t>
        </is>
      </c>
      <c r="E6142" s="3" t="inlineStr">
        <is>
          <t>COS - Heron Fields - Construction</t>
        </is>
      </c>
      <c r="F6142" s="3" t="n">
        <v>6834.05</v>
      </c>
      <c r="G6142" s="3" t="n">
        <v>6834.05</v>
      </c>
    </row>
    <row r="6143">
      <c r="A6143" s="3" t="inlineStr">
        <is>
          <t>Cape Projects Construction (Pty) Ltd</t>
        </is>
      </c>
      <c r="B6143" s="4" t="n">
        <v>45382</v>
      </c>
      <c r="C6143" s="3" t="inlineStr">
        <is>
          <t>Expenses</t>
        </is>
      </c>
      <c r="D6143" s="3" t="inlineStr">
        <is>
          <t>2011/600</t>
        </is>
      </c>
      <c r="E6143" s="3" t="inlineStr">
        <is>
          <t>COS - Heron Fields - P &amp; G</t>
        </is>
      </c>
      <c r="F6143" s="3" t="n">
        <v>380.43</v>
      </c>
      <c r="G6143" s="3" t="n">
        <v>380.43</v>
      </c>
    </row>
    <row r="6144">
      <c r="A6144" s="3" t="inlineStr">
        <is>
          <t>Cape Projects Construction (Pty) Ltd</t>
        </is>
      </c>
      <c r="B6144" s="4" t="n">
        <v>45382</v>
      </c>
      <c r="C6144" s="3" t="inlineStr">
        <is>
          <t>Expenses</t>
        </is>
      </c>
      <c r="D6144" s="3" t="inlineStr">
        <is>
          <t>2011/900</t>
        </is>
      </c>
      <c r="E6144" s="3" t="inlineStr">
        <is>
          <t>COS - Heron - Internet</t>
        </is>
      </c>
      <c r="F6144" s="3" t="n">
        <v>1849.57</v>
      </c>
      <c r="G6144" s="3" t="n">
        <v>1849.57</v>
      </c>
    </row>
    <row r="6145">
      <c r="A6145" s="3" t="inlineStr">
        <is>
          <t>Cape Projects Construction (Pty) Ltd</t>
        </is>
      </c>
      <c r="B6145" s="4" t="n">
        <v>45382</v>
      </c>
      <c r="C6145" s="3" t="inlineStr">
        <is>
          <t>Expenses</t>
        </is>
      </c>
      <c r="D6145" s="3" t="inlineStr">
        <is>
          <t>2012/002</t>
        </is>
      </c>
      <c r="E6145" s="3" t="inlineStr">
        <is>
          <t>COS - Heron View - Construction</t>
        </is>
      </c>
      <c r="F6145" s="3" t="n">
        <v>5202417.05</v>
      </c>
      <c r="G6145" s="3" t="n">
        <v>5202417.05</v>
      </c>
    </row>
    <row r="6146">
      <c r="A6146" s="3" t="inlineStr">
        <is>
          <t>Cape Projects Construction (Pty) Ltd</t>
        </is>
      </c>
      <c r="B6146" s="4" t="n">
        <v>45382</v>
      </c>
      <c r="C6146" s="3" t="inlineStr">
        <is>
          <t>Expenses</t>
        </is>
      </c>
      <c r="D6146" s="3" t="inlineStr">
        <is>
          <t>2012/003</t>
        </is>
      </c>
      <c r="E6146" s="3" t="inlineStr">
        <is>
          <t>COS - Heron View - P&amp;G</t>
        </is>
      </c>
      <c r="F6146" s="3" t="n">
        <v>11598.75</v>
      </c>
      <c r="G6146" s="3" t="n">
        <v>11598.75</v>
      </c>
    </row>
    <row r="6147">
      <c r="A6147" s="3" t="inlineStr">
        <is>
          <t>Cape Projects Construction (Pty) Ltd</t>
        </is>
      </c>
      <c r="B6147" s="4" t="n">
        <v>45382</v>
      </c>
      <c r="C6147" s="3" t="inlineStr">
        <is>
          <t>Revenue</t>
        </is>
      </c>
      <c r="D6147" s="3" t="inlineStr">
        <is>
          <t>2750/000</t>
        </is>
      </c>
      <c r="E6147" s="3" t="inlineStr">
        <is>
          <t>Interest Received - FNB</t>
        </is>
      </c>
      <c r="F6147" s="3" t="n">
        <v>-66.06</v>
      </c>
      <c r="G6147" s="3" t="n">
        <v>-66.06</v>
      </c>
    </row>
    <row r="6148">
      <c r="A6148" s="3" t="inlineStr">
        <is>
          <t>Heron Fields (Pty) Ltd</t>
        </is>
      </c>
      <c r="B6148" s="4" t="n">
        <v>45382</v>
      </c>
      <c r="C6148" s="3" t="inlineStr">
        <is>
          <t>Revenue</t>
        </is>
      </c>
      <c r="D6148" s="3" t="inlineStr">
        <is>
          <t>2755/001</t>
        </is>
      </c>
      <c r="E6148" s="3" t="inlineStr">
        <is>
          <t>Interest Received - Momentum</t>
        </is>
      </c>
      <c r="F6148" s="3" t="n">
        <v>-69493.67</v>
      </c>
      <c r="G6148" s="3" t="n">
        <v>-69493.67</v>
      </c>
    </row>
    <row r="6149">
      <c r="A6149" s="3" t="inlineStr">
        <is>
          <t>Heron Fields (Pty) Ltd</t>
        </is>
      </c>
      <c r="B6149" s="4" t="n">
        <v>45382</v>
      </c>
      <c r="C6149" s="3" t="inlineStr">
        <is>
          <t>Expenses</t>
        </is>
      </c>
      <c r="D6149" s="3" t="inlineStr">
        <is>
          <t>3050/000</t>
        </is>
      </c>
      <c r="E6149" s="3" t="inlineStr">
        <is>
          <t>Advertising _AND_ Promotions</t>
        </is>
      </c>
      <c r="F6149" s="3" t="n">
        <v>1513.96</v>
      </c>
      <c r="G6149" s="3" t="n">
        <v>1513.96</v>
      </c>
    </row>
    <row r="6150">
      <c r="A6150" s="3" t="inlineStr">
        <is>
          <t>Heron View (Pty) Ltd</t>
        </is>
      </c>
      <c r="B6150" s="4" t="n">
        <v>45382</v>
      </c>
      <c r="C6150" s="3" t="inlineStr">
        <is>
          <t>Expenses</t>
        </is>
      </c>
      <c r="D6150" s="3" t="inlineStr">
        <is>
          <t>3050/000</t>
        </is>
      </c>
      <c r="E6150" s="3" t="inlineStr">
        <is>
          <t>Advertising _AND_ Promotions</t>
        </is>
      </c>
      <c r="F6150" s="3" t="n">
        <v>2300</v>
      </c>
      <c r="G6150" s="3" t="n">
        <v>2300</v>
      </c>
    </row>
    <row r="6151">
      <c r="A6151" s="3" t="inlineStr">
        <is>
          <t>Cape Projects Construction (Pty) Ltd</t>
        </is>
      </c>
      <c r="B6151" s="4" t="n">
        <v>45382</v>
      </c>
      <c r="C6151" s="3" t="inlineStr">
        <is>
          <t>Expenses</t>
        </is>
      </c>
      <c r="D6151" s="3" t="inlineStr">
        <is>
          <t>3050/450</t>
        </is>
      </c>
      <c r="E6151" s="3" t="inlineStr">
        <is>
          <t>Advertising - Other</t>
        </is>
      </c>
      <c r="F6151" s="3" t="n">
        <v>150</v>
      </c>
      <c r="G6151" s="3" t="n">
        <v>150</v>
      </c>
    </row>
    <row r="6152">
      <c r="A6152" s="3" t="inlineStr">
        <is>
          <t>Cape Projects Construction (Pty) Ltd</t>
        </is>
      </c>
      <c r="B6152" s="4" t="n">
        <v>45382</v>
      </c>
      <c r="C6152" s="3" t="inlineStr">
        <is>
          <t>Expenses</t>
        </is>
      </c>
      <c r="D6152" s="3" t="inlineStr">
        <is>
          <t>3200/000</t>
        </is>
      </c>
      <c r="E6152" s="3" t="inlineStr">
        <is>
          <t>Bank Charges</t>
        </is>
      </c>
      <c r="F6152" s="3" t="n">
        <v>1923.15</v>
      </c>
      <c r="G6152" s="3" t="n">
        <v>1923.15</v>
      </c>
    </row>
    <row r="6153">
      <c r="A6153" s="3" t="inlineStr">
        <is>
          <t>Heron Fields (Pty) Ltd</t>
        </is>
      </c>
      <c r="B6153" s="4" t="n">
        <v>45382</v>
      </c>
      <c r="C6153" s="3" t="inlineStr">
        <is>
          <t>Expenses</t>
        </is>
      </c>
      <c r="D6153" s="3" t="inlineStr">
        <is>
          <t>3200/000</t>
        </is>
      </c>
      <c r="E6153" s="3" t="inlineStr">
        <is>
          <t>Bank Charges</t>
        </is>
      </c>
      <c r="F6153" s="3" t="n">
        <v>399.8</v>
      </c>
      <c r="G6153" s="3" t="n">
        <v>399.8</v>
      </c>
    </row>
    <row r="6154">
      <c r="A6154" s="3" t="inlineStr">
        <is>
          <t>Cape Projects Construction (Pty) Ltd</t>
        </is>
      </c>
      <c r="B6154" s="4" t="n">
        <v>45382</v>
      </c>
      <c r="C6154" s="3" t="inlineStr">
        <is>
          <t>Expenses</t>
        </is>
      </c>
      <c r="D6154" s="3" t="inlineStr">
        <is>
          <t>3300/100</t>
        </is>
      </c>
      <c r="E6154" s="3" t="inlineStr">
        <is>
          <t>Computer Exp - IT, Internet/Hosting Fee</t>
        </is>
      </c>
      <c r="F6154" s="3" t="n">
        <v>3725</v>
      </c>
      <c r="G6154" s="3" t="n">
        <v>3725</v>
      </c>
    </row>
    <row r="6155">
      <c r="A6155" s="3" t="inlineStr">
        <is>
          <t>Heron Fields (Pty) Ltd</t>
        </is>
      </c>
      <c r="B6155" s="4" t="n">
        <v>45382</v>
      </c>
      <c r="C6155" s="3" t="inlineStr">
        <is>
          <t>Expenses</t>
        </is>
      </c>
      <c r="D6155" s="3" t="inlineStr">
        <is>
          <t>3350/100</t>
        </is>
      </c>
      <c r="E6155" s="3" t="inlineStr">
        <is>
          <t>Consulting Fees - Admin and Finance</t>
        </is>
      </c>
      <c r="F6155" s="3" t="n">
        <v>124185.32</v>
      </c>
      <c r="G6155" s="3" t="n">
        <v>124185.32</v>
      </c>
    </row>
    <row r="6156">
      <c r="A6156" s="3" t="inlineStr">
        <is>
          <t>Cape Projects Construction (Pty) Ltd</t>
        </is>
      </c>
      <c r="B6156" s="4" t="n">
        <v>45382</v>
      </c>
      <c r="C6156" s="3" t="inlineStr">
        <is>
          <t>Expenses</t>
        </is>
      </c>
      <c r="D6156" s="3" t="inlineStr">
        <is>
          <t>3350/300</t>
        </is>
      </c>
      <c r="E6156" s="3" t="inlineStr">
        <is>
          <t>Consulting Fees - Admin and Finance</t>
        </is>
      </c>
      <c r="F6156" s="3" t="n">
        <v>132006.08</v>
      </c>
      <c r="G6156" s="3" t="n">
        <v>132006.08</v>
      </c>
    </row>
    <row r="6157">
      <c r="A6157" s="3" t="inlineStr">
        <is>
          <t>Heron Fields (Pty) Ltd</t>
        </is>
      </c>
      <c r="B6157" s="4" t="n">
        <v>45382</v>
      </c>
      <c r="C6157" s="3" t="inlineStr">
        <is>
          <t>Expenses</t>
        </is>
      </c>
      <c r="D6157" s="3" t="inlineStr">
        <is>
          <t>3351/000</t>
        </is>
      </c>
      <c r="E6157" s="3" t="inlineStr">
        <is>
          <t>Consulting fees - Trustee</t>
        </is>
      </c>
      <c r="F6157" s="3" t="n">
        <v>4200</v>
      </c>
      <c r="G6157" s="3" t="n">
        <v>4200</v>
      </c>
    </row>
    <row r="6158">
      <c r="A6158" s="3" t="inlineStr">
        <is>
          <t>Heron View (Pty) Ltd</t>
        </is>
      </c>
      <c r="B6158" s="4" t="n">
        <v>45382</v>
      </c>
      <c r="C6158" s="3" t="inlineStr">
        <is>
          <t>Expenses</t>
        </is>
      </c>
      <c r="D6158" s="3" t="inlineStr">
        <is>
          <t>3351/000</t>
        </is>
      </c>
      <c r="E6158" s="3" t="inlineStr">
        <is>
          <t>Consulting fees - Trustee</t>
        </is>
      </c>
      <c r="F6158" s="3" t="n">
        <v>12750</v>
      </c>
      <c r="G6158" s="3" t="n">
        <v>12750</v>
      </c>
    </row>
    <row r="6159">
      <c r="A6159" s="3" t="inlineStr">
        <is>
          <t>Cape Projects Construction (Pty) Ltd</t>
        </is>
      </c>
      <c r="B6159" s="4" t="n">
        <v>45382</v>
      </c>
      <c r="C6159" s="3" t="inlineStr">
        <is>
          <t>Expenses</t>
        </is>
      </c>
      <c r="D6159" s="3" t="inlineStr">
        <is>
          <t>3450/001</t>
        </is>
      </c>
      <c r="E6159" s="3" t="inlineStr">
        <is>
          <t>Depreciation - Computer Equipment</t>
        </is>
      </c>
      <c r="F6159" s="3" t="n">
        <v>5401.36</v>
      </c>
      <c r="G6159" s="3" t="n">
        <v>5401.36</v>
      </c>
    </row>
    <row r="6160">
      <c r="A6160" s="3" t="inlineStr">
        <is>
          <t>Cape Projects Construction (Pty) Ltd</t>
        </is>
      </c>
      <c r="B6160" s="4" t="n">
        <v>45382</v>
      </c>
      <c r="C6160" s="3" t="inlineStr">
        <is>
          <t>Expenses</t>
        </is>
      </c>
      <c r="D6160" s="3" t="inlineStr">
        <is>
          <t>3450/002</t>
        </is>
      </c>
      <c r="E6160" s="3" t="inlineStr">
        <is>
          <t>Depreciation - Generator Fixed Asset</t>
        </is>
      </c>
      <c r="F6160" s="3" t="n">
        <v>1349.81</v>
      </c>
      <c r="G6160" s="3" t="n">
        <v>1349.81</v>
      </c>
    </row>
    <row r="6161">
      <c r="A6161" s="3" t="inlineStr">
        <is>
          <t>Cape Projects Construction (Pty) Ltd</t>
        </is>
      </c>
      <c r="B6161" s="4" t="n">
        <v>45382</v>
      </c>
      <c r="C6161" s="3" t="inlineStr">
        <is>
          <t>Expenses</t>
        </is>
      </c>
      <c r="D6161" s="3" t="inlineStr">
        <is>
          <t>3450/003</t>
        </is>
      </c>
      <c r="E6161" s="3" t="inlineStr">
        <is>
          <t>Depreciation - Motor vehicle</t>
        </is>
      </c>
      <c r="F6161" s="3" t="n">
        <v>1</v>
      </c>
      <c r="G6161" s="3" t="n">
        <v>1</v>
      </c>
    </row>
    <row r="6162">
      <c r="A6162" s="3" t="inlineStr">
        <is>
          <t>Cape Projects Construction (Pty) Ltd</t>
        </is>
      </c>
      <c r="B6162" s="4" t="n">
        <v>45382</v>
      </c>
      <c r="C6162" s="3" t="inlineStr">
        <is>
          <t>Expenses</t>
        </is>
      </c>
      <c r="D6162" s="3" t="inlineStr">
        <is>
          <t>3450/030</t>
        </is>
      </c>
      <c r="E6162" s="3" t="inlineStr">
        <is>
          <t>Depreciation - Furniture and Fittings</t>
        </is>
      </c>
      <c r="F6162" s="3" t="n">
        <v>568.2</v>
      </c>
      <c r="G6162" s="3" t="n">
        <v>568.2</v>
      </c>
    </row>
    <row r="6163">
      <c r="A6163" s="3" t="inlineStr">
        <is>
          <t>Heron Fields (Pty) Ltd</t>
        </is>
      </c>
      <c r="B6163" s="4" t="n">
        <v>45382</v>
      </c>
      <c r="C6163" s="3" t="inlineStr">
        <is>
          <t>Expenses</t>
        </is>
      </c>
      <c r="D6163" s="3" t="inlineStr">
        <is>
          <t>3640/000</t>
        </is>
      </c>
      <c r="E6163" s="3" t="inlineStr">
        <is>
          <t>COCT: Developers Rates &amp; Refuse Acc: 236356811</t>
        </is>
      </c>
      <c r="F6163" s="3" t="n">
        <v>124268.36</v>
      </c>
      <c r="G6163" s="3" t="n">
        <v>124268.36</v>
      </c>
    </row>
    <row r="6164">
      <c r="A6164" s="3" t="inlineStr">
        <is>
          <t>Heron Fields (Pty) Ltd</t>
        </is>
      </c>
      <c r="B6164" s="4" t="n">
        <v>45382</v>
      </c>
      <c r="C6164" s="3" t="inlineStr">
        <is>
          <t>Expenses</t>
        </is>
      </c>
      <c r="D6164" s="3" t="inlineStr">
        <is>
          <t>3650/000</t>
        </is>
      </c>
      <c r="E6164" s="3" t="inlineStr">
        <is>
          <t>CoCT - Electricity</t>
        </is>
      </c>
      <c r="F6164" s="3" t="n">
        <v>109167.48</v>
      </c>
      <c r="G6164" s="3" t="n">
        <v>109167.48</v>
      </c>
    </row>
    <row r="6165">
      <c r="A6165" s="3" t="inlineStr">
        <is>
          <t>Heron Fields (Pty) Ltd</t>
        </is>
      </c>
      <c r="B6165" s="4" t="n">
        <v>45382</v>
      </c>
      <c r="C6165" s="3" t="inlineStr">
        <is>
          <t>Expenses</t>
        </is>
      </c>
      <c r="D6165" s="3" t="inlineStr">
        <is>
          <t>3660/000</t>
        </is>
      </c>
      <c r="E6165" s="3" t="inlineStr">
        <is>
          <t>CoCT - Water</t>
        </is>
      </c>
      <c r="F6165" s="3" t="n">
        <v>3484.49</v>
      </c>
      <c r="G6165" s="3" t="n">
        <v>3484.49</v>
      </c>
    </row>
    <row r="6166">
      <c r="A6166" s="3" t="inlineStr">
        <is>
          <t>Heron View (Pty) Ltd</t>
        </is>
      </c>
      <c r="B6166" s="4" t="n">
        <v>45382</v>
      </c>
      <c r="C6166" s="3" t="inlineStr">
        <is>
          <t>Expenses</t>
        </is>
      </c>
      <c r="D6166" s="3" t="inlineStr">
        <is>
          <t>3660/000</t>
        </is>
      </c>
      <c r="E6166" s="3" t="inlineStr">
        <is>
          <t>Water</t>
        </is>
      </c>
      <c r="F6166" s="3" t="n">
        <v>75.7</v>
      </c>
      <c r="G6166" s="3" t="n">
        <v>75.7</v>
      </c>
    </row>
    <row r="6167">
      <c r="A6167" s="3" t="inlineStr">
        <is>
          <t>Cape Projects Construction (Pty) Ltd</t>
        </is>
      </c>
      <c r="B6167" s="4" t="n">
        <v>45382</v>
      </c>
      <c r="C6167" s="3" t="inlineStr">
        <is>
          <t>Expenses</t>
        </is>
      </c>
      <c r="D6167" s="3" t="inlineStr">
        <is>
          <t>3850/001</t>
        </is>
      </c>
      <c r="E6167" s="3" t="inlineStr">
        <is>
          <t>Insurance - Santam</t>
        </is>
      </c>
      <c r="F6167" s="3" t="n">
        <v>13056.36</v>
      </c>
      <c r="G6167" s="3" t="n">
        <v>13056.36</v>
      </c>
    </row>
    <row r="6168">
      <c r="A6168" s="3" t="inlineStr">
        <is>
          <t>Heron Fields (Pty) Ltd</t>
        </is>
      </c>
      <c r="B6168" s="4" t="n">
        <v>45382</v>
      </c>
      <c r="C6168" s="3" t="inlineStr">
        <is>
          <t>Expenses</t>
        </is>
      </c>
      <c r="D6168" s="3" t="inlineStr">
        <is>
          <t>3900/000</t>
        </is>
      </c>
      <c r="E6168" s="3" t="inlineStr">
        <is>
          <t>Interest Paid</t>
        </is>
      </c>
      <c r="F6168" s="3" t="n">
        <v>5281.4</v>
      </c>
      <c r="G6168" s="3" t="n">
        <v>5281.4</v>
      </c>
    </row>
    <row r="6169">
      <c r="A6169" s="3" t="inlineStr">
        <is>
          <t>Heron View (Pty) Ltd</t>
        </is>
      </c>
      <c r="B6169" s="4" t="n">
        <v>45382</v>
      </c>
      <c r="C6169" s="3" t="inlineStr">
        <is>
          <t>Expenses</t>
        </is>
      </c>
      <c r="D6169" s="3" t="inlineStr">
        <is>
          <t>4050/000</t>
        </is>
      </c>
      <c r="E6169" s="3" t="inlineStr">
        <is>
          <t>Levies</t>
        </is>
      </c>
      <c r="F6169" s="3" t="n">
        <v>6638.93</v>
      </c>
      <c r="G6169" s="3" t="n">
        <v>6638.93</v>
      </c>
    </row>
    <row r="6170">
      <c r="A6170" s="3" t="inlineStr">
        <is>
          <t>Heron Fields (Pty) Ltd</t>
        </is>
      </c>
      <c r="B6170" s="4" t="n">
        <v>45382</v>
      </c>
      <c r="C6170" s="3" t="inlineStr">
        <is>
          <t>Expenses</t>
        </is>
      </c>
      <c r="D6170" s="3" t="inlineStr">
        <is>
          <t>4050/200</t>
        </is>
      </c>
      <c r="E6170" s="3" t="inlineStr">
        <is>
          <t>Levies - Amari</t>
        </is>
      </c>
      <c r="F6170" s="3" t="n">
        <v>15641.09</v>
      </c>
      <c r="G6170" s="3" t="n">
        <v>15641.09</v>
      </c>
    </row>
    <row r="6171">
      <c r="A6171" s="3" t="inlineStr">
        <is>
          <t>Heron Fields (Pty) Ltd</t>
        </is>
      </c>
      <c r="B6171" s="4" t="n">
        <v>45382</v>
      </c>
      <c r="C6171" s="3" t="inlineStr">
        <is>
          <t>Expenses</t>
        </is>
      </c>
      <c r="D6171" s="3" t="inlineStr">
        <is>
          <t>4100/001</t>
        </is>
      </c>
      <c r="E6171" s="3" t="inlineStr">
        <is>
          <t>Momentum Admin Fee</t>
        </is>
      </c>
      <c r="F6171" s="3" t="n">
        <v>5141.02</v>
      </c>
      <c r="G6171" s="3" t="n">
        <v>5141.02</v>
      </c>
    </row>
    <row r="6172">
      <c r="A6172" s="3" t="inlineStr">
        <is>
          <t>Cape Projects Construction (Pty) Ltd</t>
        </is>
      </c>
      <c r="B6172" s="4" t="n">
        <v>45382</v>
      </c>
      <c r="C6172" s="3" t="inlineStr">
        <is>
          <t>Expenses</t>
        </is>
      </c>
      <c r="D6172" s="3" t="inlineStr">
        <is>
          <t>4150/010</t>
        </is>
      </c>
      <c r="E6172" s="3" t="inlineStr">
        <is>
          <t>Motor Vehicle - Petrol _AND_ Oil</t>
        </is>
      </c>
      <c r="F6172" s="3" t="n">
        <v>5008.46</v>
      </c>
      <c r="G6172" s="3" t="n">
        <v>5008.46</v>
      </c>
    </row>
    <row r="6173">
      <c r="A6173" s="3" t="inlineStr">
        <is>
          <t>Cape Projects Construction (Pty) Ltd</t>
        </is>
      </c>
      <c r="B6173" s="4" t="n">
        <v>45382</v>
      </c>
      <c r="C6173" s="3" t="inlineStr">
        <is>
          <t>Expenses</t>
        </is>
      </c>
      <c r="D6173" s="3" t="inlineStr">
        <is>
          <t>4200/000</t>
        </is>
      </c>
      <c r="E6173" s="3" t="inlineStr">
        <is>
          <t>Printing _AND_ Stationery</t>
        </is>
      </c>
      <c r="F6173" s="3" t="n">
        <v>2738.88</v>
      </c>
      <c r="G6173" s="3" t="n">
        <v>2738.88</v>
      </c>
    </row>
    <row r="6174">
      <c r="A6174" s="3" t="inlineStr">
        <is>
          <t>Cape Projects Construction (Pty) Ltd</t>
        </is>
      </c>
      <c r="B6174" s="4" t="n">
        <v>45382</v>
      </c>
      <c r="C6174" s="3" t="inlineStr">
        <is>
          <t>Expenses</t>
        </is>
      </c>
      <c r="D6174" s="3" t="inlineStr">
        <is>
          <t>4201/000</t>
        </is>
      </c>
      <c r="E6174" s="3" t="inlineStr">
        <is>
          <t>Printing - Printer rental</t>
        </is>
      </c>
      <c r="F6174" s="3" t="n">
        <v>1506.47</v>
      </c>
      <c r="G6174" s="3" t="n">
        <v>1506.47</v>
      </c>
    </row>
    <row r="6175">
      <c r="A6175" s="3" t="inlineStr">
        <is>
          <t>Cape Projects Construction (Pty) Ltd</t>
        </is>
      </c>
      <c r="B6175" s="4" t="n">
        <v>45382</v>
      </c>
      <c r="C6175" s="3" t="inlineStr">
        <is>
          <t>Expenses</t>
        </is>
      </c>
      <c r="D6175" s="3" t="inlineStr">
        <is>
          <t>4300/000</t>
        </is>
      </c>
      <c r="E6175" s="3" t="inlineStr">
        <is>
          <t>Rent Paid</t>
        </is>
      </c>
      <c r="F6175" s="3" t="n">
        <v>42181.43</v>
      </c>
      <c r="G6175" s="3" t="n">
        <v>42181.43</v>
      </c>
    </row>
    <row r="6176">
      <c r="A6176" s="3" t="inlineStr">
        <is>
          <t>Cape Projects Construction (Pty) Ltd</t>
        </is>
      </c>
      <c r="B6176" s="4" t="n">
        <v>45382</v>
      </c>
      <c r="C6176" s="3" t="inlineStr">
        <is>
          <t>Expenses</t>
        </is>
      </c>
      <c r="D6176" s="3" t="inlineStr">
        <is>
          <t>4310/000</t>
        </is>
      </c>
      <c r="E6176" s="3" t="inlineStr">
        <is>
          <t>Rates</t>
        </is>
      </c>
      <c r="F6176" s="3" t="n">
        <v>989.75</v>
      </c>
      <c r="G6176" s="3" t="n">
        <v>989.75</v>
      </c>
    </row>
    <row r="6177">
      <c r="A6177" s="3" t="inlineStr">
        <is>
          <t>Cape Projects Construction (Pty) Ltd</t>
        </is>
      </c>
      <c r="B6177" s="4" t="n">
        <v>45382</v>
      </c>
      <c r="C6177" s="3" t="inlineStr">
        <is>
          <t>Expenses</t>
        </is>
      </c>
      <c r="D6177" s="3" t="inlineStr">
        <is>
          <t>4350/000</t>
        </is>
      </c>
      <c r="E6177" s="3" t="inlineStr">
        <is>
          <t>Repairs _AND_ Maintenance</t>
        </is>
      </c>
      <c r="F6177" s="3" t="n">
        <v>95</v>
      </c>
      <c r="G6177" s="3" t="n">
        <v>95</v>
      </c>
    </row>
    <row r="6178">
      <c r="A6178" s="3" t="inlineStr">
        <is>
          <t>Cape Projects Construction (Pty) Ltd</t>
        </is>
      </c>
      <c r="B6178" s="4" t="n">
        <v>45382</v>
      </c>
      <c r="C6178" s="3" t="inlineStr">
        <is>
          <t>Expenses</t>
        </is>
      </c>
      <c r="D6178" s="3" t="inlineStr">
        <is>
          <t>4400/000</t>
        </is>
      </c>
      <c r="E6178" s="3" t="inlineStr">
        <is>
          <t>Salaries _AND_ Wages</t>
        </is>
      </c>
      <c r="F6178" s="3" t="n">
        <v>392992.71</v>
      </c>
      <c r="G6178" s="3" t="n">
        <v>392992.71</v>
      </c>
    </row>
    <row r="6179">
      <c r="A6179" s="3" t="inlineStr">
        <is>
          <t>Heron Fields (Pty) Ltd</t>
        </is>
      </c>
      <c r="B6179" s="4" t="n">
        <v>45382</v>
      </c>
      <c r="C6179" s="3" t="inlineStr">
        <is>
          <t>Expenses</t>
        </is>
      </c>
      <c r="D6179" s="3" t="inlineStr">
        <is>
          <t>4420/001</t>
        </is>
      </c>
      <c r="E6179" s="3" t="inlineStr">
        <is>
          <t>Security - ADT</t>
        </is>
      </c>
      <c r="F6179" s="3" t="n">
        <v>749.28</v>
      </c>
      <c r="G6179" s="3" t="n">
        <v>749.28</v>
      </c>
    </row>
    <row r="6180">
      <c r="A6180" s="3" t="inlineStr">
        <is>
          <t>Cape Projects Construction (Pty) Ltd</t>
        </is>
      </c>
      <c r="B6180" s="4" t="n">
        <v>45382</v>
      </c>
      <c r="C6180" s="3" t="inlineStr">
        <is>
          <t>Expenses</t>
        </is>
      </c>
      <c r="D6180" s="3" t="inlineStr">
        <is>
          <t>4420/100</t>
        </is>
      </c>
      <c r="E6180" s="3" t="inlineStr">
        <is>
          <t>Small Assets - Show Unit O101</t>
        </is>
      </c>
      <c r="F6180" s="3" t="n">
        <v>4356.7</v>
      </c>
      <c r="G6180" s="3" t="n">
        <v>4356.7</v>
      </c>
    </row>
    <row r="6181">
      <c r="A6181" s="3" t="inlineStr">
        <is>
          <t>Cape Projects Construction (Pty) Ltd</t>
        </is>
      </c>
      <c r="B6181" s="4" t="n">
        <v>45382</v>
      </c>
      <c r="C6181" s="3" t="inlineStr">
        <is>
          <t>Expenses</t>
        </is>
      </c>
      <c r="D6181" s="3" t="inlineStr">
        <is>
          <t>4500/000</t>
        </is>
      </c>
      <c r="E6181" s="3" t="inlineStr">
        <is>
          <t>Staff Welfare _AND_ Refreshmts</t>
        </is>
      </c>
      <c r="F6181" s="3" t="n">
        <v>839.1799999999999</v>
      </c>
      <c r="G6181" s="3" t="n">
        <v>839.1799999999999</v>
      </c>
    </row>
    <row r="6182">
      <c r="A6182" s="3" t="inlineStr">
        <is>
          <t>Cape Projects Construction (Pty) Ltd</t>
        </is>
      </c>
      <c r="B6182" s="4" t="n">
        <v>45382</v>
      </c>
      <c r="C6182" s="3" t="inlineStr">
        <is>
          <t>Expenses</t>
        </is>
      </c>
      <c r="D6182" s="3" t="inlineStr">
        <is>
          <t>4550/000</t>
        </is>
      </c>
      <c r="E6182" s="3" t="inlineStr">
        <is>
          <t>Subscriptions / Licenses</t>
        </is>
      </c>
      <c r="F6182" s="3" t="n">
        <v>1150</v>
      </c>
      <c r="G6182" s="3" t="n">
        <v>1150</v>
      </c>
    </row>
    <row r="6183">
      <c r="A6183" s="3" t="inlineStr">
        <is>
          <t>Cape Projects Construction (Pty) Ltd</t>
        </is>
      </c>
      <c r="B6183" s="4" t="n">
        <v>45382</v>
      </c>
      <c r="C6183" s="3" t="inlineStr">
        <is>
          <t>Expenses</t>
        </is>
      </c>
      <c r="D6183" s="3" t="inlineStr">
        <is>
          <t>4550/003</t>
        </is>
      </c>
      <c r="E6183" s="3" t="inlineStr">
        <is>
          <t>Subscriptions &amp; Licenses - Xero</t>
        </is>
      </c>
      <c r="F6183" s="3" t="n">
        <v>600</v>
      </c>
      <c r="G6183" s="3" t="n">
        <v>600</v>
      </c>
    </row>
    <row r="6184">
      <c r="A6184" s="3" t="inlineStr">
        <is>
          <t>Cape Projects Construction (Pty) Ltd</t>
        </is>
      </c>
      <c r="B6184" s="4" t="n">
        <v>45382</v>
      </c>
      <c r="C6184" s="3" t="inlineStr">
        <is>
          <t>Expenses</t>
        </is>
      </c>
      <c r="D6184" s="3" t="inlineStr">
        <is>
          <t>4550/004</t>
        </is>
      </c>
      <c r="E6184" s="3" t="inlineStr">
        <is>
          <t>Subscriptions - Smartsheet</t>
        </is>
      </c>
      <c r="F6184" s="3" t="n">
        <v>1089</v>
      </c>
      <c r="G6184" s="3" t="n">
        <v>1089</v>
      </c>
    </row>
    <row r="6185">
      <c r="A6185" s="3" t="inlineStr">
        <is>
          <t>Cape Projects Construction (Pty) Ltd</t>
        </is>
      </c>
      <c r="B6185" s="4" t="n">
        <v>45382</v>
      </c>
      <c r="C6185" s="3" t="inlineStr">
        <is>
          <t>Expenses</t>
        </is>
      </c>
      <c r="D6185" s="3" t="inlineStr">
        <is>
          <t>4550/007</t>
        </is>
      </c>
      <c r="E6185" s="3" t="inlineStr">
        <is>
          <t>Subscription &amp; Licenses - ERS Bio</t>
        </is>
      </c>
      <c r="F6185" s="3" t="n">
        <v>718.9299999999999</v>
      </c>
      <c r="G6185" s="3" t="n">
        <v>718.9299999999999</v>
      </c>
    </row>
    <row r="6186">
      <c r="A6186" s="3" t="inlineStr">
        <is>
          <t>Heron Fields (Pty) Ltd</t>
        </is>
      </c>
      <c r="B6186" s="4" t="n">
        <v>45382</v>
      </c>
      <c r="C6186" s="3" t="inlineStr">
        <is>
          <t>Expenses</t>
        </is>
      </c>
      <c r="D6186" s="3" t="inlineStr">
        <is>
          <t>4550/100</t>
        </is>
      </c>
      <c r="E6186" s="3" t="inlineStr">
        <is>
          <t>Subscriptions - Xero</t>
        </is>
      </c>
      <c r="F6186" s="3" t="n">
        <v>600</v>
      </c>
      <c r="G6186" s="3" t="n">
        <v>600</v>
      </c>
    </row>
    <row r="6187">
      <c r="A6187" s="3" t="inlineStr">
        <is>
          <t>Heron View (Pty) Ltd</t>
        </is>
      </c>
      <c r="B6187" s="4" t="n">
        <v>45382</v>
      </c>
      <c r="C6187" s="3" t="inlineStr">
        <is>
          <t>Expenses</t>
        </is>
      </c>
      <c r="D6187" s="3" t="inlineStr">
        <is>
          <t>4550/100</t>
        </is>
      </c>
      <c r="E6187" s="3" t="inlineStr">
        <is>
          <t>Subscriptions - Xero</t>
        </is>
      </c>
      <c r="F6187" s="3" t="n">
        <v>600</v>
      </c>
      <c r="G6187" s="3" t="n">
        <v>600</v>
      </c>
    </row>
    <row r="6188">
      <c r="A6188" s="3" t="inlineStr">
        <is>
          <t>Cape Projects Construction (Pty) Ltd</t>
        </is>
      </c>
      <c r="B6188" s="4" t="n">
        <v>45382</v>
      </c>
      <c r="C6188" s="3" t="inlineStr">
        <is>
          <t>Expenses</t>
        </is>
      </c>
      <c r="D6188" s="3" t="inlineStr">
        <is>
          <t>4600/000</t>
        </is>
      </c>
      <c r="E6188" s="3" t="inlineStr">
        <is>
          <t>Telephone _AND_ Fax</t>
        </is>
      </c>
      <c r="F6188" s="3" t="n">
        <v>3280.99</v>
      </c>
      <c r="G6188" s="3" t="n">
        <v>3280.99</v>
      </c>
    </row>
    <row r="6189">
      <c r="A6189" s="3" t="inlineStr">
        <is>
          <t>Cape Projects Construction (Pty) Ltd</t>
        </is>
      </c>
      <c r="B6189" s="4" t="n">
        <v>45382</v>
      </c>
      <c r="C6189" s="3" t="inlineStr">
        <is>
          <t>Expenses</t>
        </is>
      </c>
      <c r="D6189" s="3" t="inlineStr">
        <is>
          <t>4700/000</t>
        </is>
      </c>
      <c r="E6189" s="3" t="inlineStr">
        <is>
          <t>PAYE Contributions</t>
        </is>
      </c>
      <c r="F6189" s="3" t="n">
        <v>91808.89999999999</v>
      </c>
      <c r="G6189" s="3" t="n">
        <v>91808.89999999999</v>
      </c>
    </row>
    <row r="6190">
      <c r="A6190" s="3" t="inlineStr">
        <is>
          <t>Cape Projects Construction (Pty) Ltd</t>
        </is>
      </c>
      <c r="B6190" s="4" t="n">
        <v>45382</v>
      </c>
      <c r="C6190" s="3" t="inlineStr">
        <is>
          <t>Expenses</t>
        </is>
      </c>
      <c r="D6190" s="3" t="inlineStr">
        <is>
          <t>4720/000</t>
        </is>
      </c>
      <c r="E6190" s="3" t="inlineStr">
        <is>
          <t>SDL Contributions</t>
        </is>
      </c>
      <c r="F6190" s="3" t="n">
        <v>4751.38</v>
      </c>
      <c r="G6190" s="3" t="n">
        <v>4751.38</v>
      </c>
    </row>
    <row r="6191">
      <c r="A6191" s="3" t="inlineStr">
        <is>
          <t>Cape Projects Construction (Pty) Ltd</t>
        </is>
      </c>
      <c r="B6191" s="4" t="n">
        <v>45382</v>
      </c>
      <c r="C6191" s="3" t="inlineStr">
        <is>
          <t>Expenses</t>
        </is>
      </c>
      <c r="D6191" s="3" t="inlineStr">
        <is>
          <t>4730/000</t>
        </is>
      </c>
      <c r="E6191" s="3" t="inlineStr">
        <is>
          <t>UIF Company Contributions</t>
        </is>
      </c>
      <c r="F6191" s="3" t="n">
        <v>2583.87</v>
      </c>
      <c r="G6191" s="3" t="n">
        <v>2583.87</v>
      </c>
    </row>
    <row r="6192">
      <c r="A6192" s="3" t="inlineStr">
        <is>
          <t>Cape Projects Construction (Pty) Ltd</t>
        </is>
      </c>
      <c r="B6192" s="4" t="n">
        <v>45382</v>
      </c>
      <c r="C6192" s="3" t="inlineStr">
        <is>
          <t>Expenses</t>
        </is>
      </c>
      <c r="D6192" s="3" t="inlineStr">
        <is>
          <t>4731/000</t>
        </is>
      </c>
      <c r="E6192" s="3" t="inlineStr">
        <is>
          <t>UIF Employee Contribution</t>
        </is>
      </c>
      <c r="F6192" s="3" t="n">
        <v>2583.87</v>
      </c>
      <c r="G6192" s="3" t="n">
        <v>2583.87</v>
      </c>
    </row>
    <row r="6193">
      <c r="A6193" s="3" t="inlineStr">
        <is>
          <t>Heron Fields (Pty) Ltd</t>
        </is>
      </c>
      <c r="B6193" s="4" t="n">
        <v>45382</v>
      </c>
      <c r="C6193" s="3" t="inlineStr">
        <is>
          <t>Equity</t>
        </is>
      </c>
      <c r="D6193" s="3" t="inlineStr">
        <is>
          <t>5100-000</t>
        </is>
      </c>
      <c r="E6193" s="3" t="inlineStr">
        <is>
          <t>Share Capital</t>
        </is>
      </c>
      <c r="F6193" s="3" t="n">
        <v>0</v>
      </c>
      <c r="G6193" s="3" t="n">
        <v>-100</v>
      </c>
    </row>
    <row r="6194">
      <c r="A6194" s="3" t="inlineStr">
        <is>
          <t>Cape Projects Construction (Pty) Ltd</t>
        </is>
      </c>
      <c r="B6194" s="4" t="n">
        <v>45382</v>
      </c>
      <c r="C6194" s="3" t="inlineStr">
        <is>
          <t>Equity</t>
        </is>
      </c>
      <c r="D6194" s="3" t="inlineStr">
        <is>
          <t>5100/000</t>
        </is>
      </c>
      <c r="E6194" s="3" t="inlineStr">
        <is>
          <t>Share Capital / Members Contribution</t>
        </is>
      </c>
      <c r="F6194" s="3" t="n">
        <v>0</v>
      </c>
      <c r="G6194" s="3" t="n">
        <v>-120</v>
      </c>
    </row>
    <row r="6195">
      <c r="A6195" s="3" t="inlineStr">
        <is>
          <t>Cape Projects Construction (Pty) Ltd</t>
        </is>
      </c>
      <c r="B6195" s="4" t="n">
        <v>45382</v>
      </c>
      <c r="C6195" s="3" t="inlineStr">
        <is>
          <t>Equity</t>
        </is>
      </c>
      <c r="D6195" s="3" t="inlineStr">
        <is>
          <t>5200/000</t>
        </is>
      </c>
      <c r="E6195" s="3" t="inlineStr">
        <is>
          <t>Retained Earnings / Loss</t>
        </is>
      </c>
      <c r="F6195" s="3" t="n">
        <v>0</v>
      </c>
      <c r="G6195" s="3" t="n">
        <v>174615.65</v>
      </c>
    </row>
    <row r="6196">
      <c r="A6196" s="3" t="inlineStr">
        <is>
          <t>Heron Fields (Pty) Ltd</t>
        </is>
      </c>
      <c r="B6196" s="4" t="n">
        <v>45382</v>
      </c>
      <c r="C6196" s="3" t="inlineStr">
        <is>
          <t>Equity</t>
        </is>
      </c>
      <c r="D6196" s="3" t="inlineStr">
        <is>
          <t>5200/000</t>
        </is>
      </c>
      <c r="E6196" s="3" t="inlineStr">
        <is>
          <t>Retained Earnings / Loss</t>
        </is>
      </c>
      <c r="F6196" s="3" t="n">
        <v>0</v>
      </c>
      <c r="G6196" s="3" t="n">
        <v>-39545639.3</v>
      </c>
    </row>
    <row r="6197">
      <c r="A6197" s="3" t="inlineStr">
        <is>
          <t>Heron View (Pty) Ltd</t>
        </is>
      </c>
      <c r="B6197" s="4" t="n">
        <v>45382</v>
      </c>
      <c r="C6197" s="3" t="inlineStr">
        <is>
          <t>Equity</t>
        </is>
      </c>
      <c r="D6197" s="3" t="inlineStr">
        <is>
          <t>5200/000</t>
        </is>
      </c>
      <c r="E6197" s="3" t="inlineStr">
        <is>
          <t>Retained Earnings / Loss</t>
        </is>
      </c>
      <c r="F6197" s="3" t="n">
        <v>0</v>
      </c>
      <c r="G6197" s="3" t="n">
        <v>-30792555.22</v>
      </c>
    </row>
    <row r="6198">
      <c r="A6198" s="3" t="inlineStr">
        <is>
          <t>Heron Fields (Pty) Ltd</t>
        </is>
      </c>
      <c r="B6198" s="4" t="n">
        <v>45382</v>
      </c>
      <c r="C6198" s="3" t="inlineStr">
        <is>
          <t>Assets</t>
        </is>
      </c>
      <c r="D6198" s="3" t="inlineStr">
        <is>
          <t>5300/001</t>
        </is>
      </c>
      <c r="E6198" s="3" t="inlineStr">
        <is>
          <t>Revaluation of Land stock</t>
        </is>
      </c>
      <c r="F6198" s="3" t="n">
        <v>0</v>
      </c>
      <c r="G6198" s="3" t="n">
        <v>17562360.85</v>
      </c>
    </row>
    <row r="6199">
      <c r="A6199" s="3" t="inlineStr">
        <is>
          <t>Heron Fields (Pty) Ltd</t>
        </is>
      </c>
      <c r="B6199" s="4" t="n">
        <v>45382</v>
      </c>
      <c r="C6199" s="3" t="inlineStr">
        <is>
          <t>Assets</t>
        </is>
      </c>
      <c r="D6199" s="3" t="inlineStr">
        <is>
          <t>5400/000</t>
        </is>
      </c>
      <c r="E6199" s="3" t="inlineStr">
        <is>
          <t>Deposit: Ruiterwacht development</t>
        </is>
      </c>
      <c r="F6199" s="3" t="n">
        <v>0</v>
      </c>
      <c r="G6199" s="3" t="n">
        <v>13457359</v>
      </c>
    </row>
    <row r="6200">
      <c r="A6200" s="3" t="inlineStr">
        <is>
          <t>Cape Projects Construction (Pty) Ltd</t>
        </is>
      </c>
      <c r="B6200" s="4" t="n">
        <v>45382</v>
      </c>
      <c r="C6200" s="3" t="inlineStr">
        <is>
          <t>Assets</t>
        </is>
      </c>
      <c r="D6200" s="3" t="inlineStr">
        <is>
          <t>5400/150</t>
        </is>
      </c>
      <c r="E6200" s="3" t="inlineStr">
        <is>
          <t>Loan - Quinate</t>
        </is>
      </c>
      <c r="F6200" s="3" t="n">
        <v>0</v>
      </c>
      <c r="G6200" s="3" t="n">
        <v>-4017423.63</v>
      </c>
    </row>
    <row r="6201">
      <c r="A6201" s="3" t="inlineStr">
        <is>
          <t>Cape Projects Construction (Pty) Ltd</t>
        </is>
      </c>
      <c r="B6201" s="4" t="n">
        <v>45382</v>
      </c>
      <c r="C6201" s="3" t="inlineStr">
        <is>
          <t>Assets</t>
        </is>
      </c>
      <c r="D6201" s="3" t="inlineStr">
        <is>
          <t>5400/220</t>
        </is>
      </c>
      <c r="E6201" s="3" t="inlineStr">
        <is>
          <t>Members Loan - WH</t>
        </is>
      </c>
      <c r="F6201" s="3" t="n">
        <v>0</v>
      </c>
      <c r="G6201" s="3" t="n">
        <v>-4342.5</v>
      </c>
    </row>
    <row r="6202">
      <c r="A6202" s="3" t="inlineStr">
        <is>
          <t>Cape Projects Construction (Pty) Ltd</t>
        </is>
      </c>
      <c r="B6202" s="4" t="n">
        <v>45382</v>
      </c>
      <c r="C6202" s="3" t="inlineStr">
        <is>
          <t>Assets</t>
        </is>
      </c>
      <c r="D6202" s="3" t="inlineStr">
        <is>
          <t>5400/300</t>
        </is>
      </c>
      <c r="E6202" s="3" t="inlineStr">
        <is>
          <t>Loan - Opportunity ResidentialCUST ACC</t>
        </is>
      </c>
      <c r="F6202" s="3" t="n">
        <v>0</v>
      </c>
      <c r="G6202" s="3" t="n">
        <v>4702.35</v>
      </c>
    </row>
    <row r="6203">
      <c r="A6203" s="3" t="inlineStr">
        <is>
          <t>Cape Projects Construction (Pty) Ltd</t>
        </is>
      </c>
      <c r="B6203" s="4" t="n">
        <v>45382</v>
      </c>
      <c r="C6203" s="3" t="inlineStr">
        <is>
          <t>Assets</t>
        </is>
      </c>
      <c r="D6203" s="3" t="inlineStr">
        <is>
          <t>5400/450</t>
        </is>
      </c>
      <c r="E6203" s="3" t="inlineStr">
        <is>
          <t>Loan - Opportunity Investment</t>
        </is>
      </c>
      <c r="F6203" s="3" t="n">
        <v>350000</v>
      </c>
      <c r="G6203" s="3" t="n">
        <v>-1406000</v>
      </c>
    </row>
    <row r="6204">
      <c r="A6204" s="3" t="inlineStr">
        <is>
          <t>Cape Projects Construction (Pty) Ltd</t>
        </is>
      </c>
      <c r="B6204" s="4" t="n">
        <v>45382</v>
      </c>
      <c r="C6204" s="3" t="inlineStr">
        <is>
          <t>Assets</t>
        </is>
      </c>
      <c r="D6204" s="3" t="inlineStr">
        <is>
          <t>5400/500</t>
        </is>
      </c>
      <c r="E6204" s="3" t="inlineStr">
        <is>
          <t>Loan - Blou Mamba Trust</t>
        </is>
      </c>
      <c r="F6204" s="3" t="n">
        <v>0</v>
      </c>
      <c r="G6204" s="3" t="n">
        <v>4342.5</v>
      </c>
    </row>
    <row r="6205">
      <c r="A6205" s="3" t="inlineStr">
        <is>
          <t>Cape Projects Construction (Pty) Ltd</t>
        </is>
      </c>
      <c r="B6205" s="4" t="n">
        <v>45382</v>
      </c>
      <c r="C6205" s="3" t="inlineStr">
        <is>
          <t>Assets</t>
        </is>
      </c>
      <c r="D6205" s="3" t="inlineStr">
        <is>
          <t>5400/550</t>
        </is>
      </c>
      <c r="E6205" s="3" t="inlineStr">
        <is>
          <t>Loan - Trademark</t>
        </is>
      </c>
      <c r="F6205" s="3" t="n">
        <v>-39400</v>
      </c>
      <c r="G6205" s="3" t="n">
        <v>-57000</v>
      </c>
    </row>
    <row r="6206">
      <c r="A6206" s="3" t="inlineStr">
        <is>
          <t>Cape Projects Construction (Pty) Ltd</t>
        </is>
      </c>
      <c r="B6206" s="4" t="n">
        <v>45382</v>
      </c>
      <c r="C6206" s="3" t="inlineStr">
        <is>
          <t>Assets</t>
        </is>
      </c>
      <c r="D6206" s="3" t="inlineStr">
        <is>
          <t>5400/600</t>
        </is>
      </c>
      <c r="E6206" s="3" t="inlineStr">
        <is>
          <t>Loan - Heron Projects</t>
        </is>
      </c>
      <c r="F6206" s="3" t="n">
        <v>-950000</v>
      </c>
      <c r="G6206" s="3" t="n">
        <v>-27174738.42</v>
      </c>
    </row>
    <row r="6207">
      <c r="A6207" s="3" t="inlineStr">
        <is>
          <t>Cape Projects Construction (Pty) Ltd</t>
        </is>
      </c>
      <c r="B6207" s="4" t="n">
        <v>45382</v>
      </c>
      <c r="C6207" s="3" t="inlineStr">
        <is>
          <t>Assets</t>
        </is>
      </c>
      <c r="D6207" s="3" t="inlineStr">
        <is>
          <t>5400/650</t>
        </is>
      </c>
      <c r="E6207" s="3" t="inlineStr">
        <is>
          <t>Loan - Noble Shield</t>
        </is>
      </c>
      <c r="F6207" s="3" t="n">
        <v>600</v>
      </c>
      <c r="G6207" s="3" t="n">
        <v>-199589.44</v>
      </c>
    </row>
    <row r="6208">
      <c r="A6208" s="3" t="inlineStr">
        <is>
          <t>Cape Projects Construction (Pty) Ltd</t>
        </is>
      </c>
      <c r="B6208" s="4" t="n">
        <v>45382</v>
      </c>
      <c r="C6208" s="3" t="inlineStr">
        <is>
          <t>Assets</t>
        </is>
      </c>
      <c r="D6208" s="3" t="inlineStr">
        <is>
          <t>5400/750</t>
        </is>
      </c>
      <c r="E6208" s="3" t="inlineStr">
        <is>
          <t>Loan - Endulini</t>
        </is>
      </c>
      <c r="F6208" s="3" t="n">
        <v>-900000</v>
      </c>
      <c r="G6208" s="3" t="n">
        <v>26642687.4</v>
      </c>
    </row>
    <row r="6209">
      <c r="A6209" s="3" t="inlineStr">
        <is>
          <t>Cape Projects Construction (Pty) Ltd</t>
        </is>
      </c>
      <c r="B6209" s="4" t="n">
        <v>45382</v>
      </c>
      <c r="C6209" s="3" t="inlineStr">
        <is>
          <t>Assets</t>
        </is>
      </c>
      <c r="D6209" s="3" t="inlineStr">
        <is>
          <t>5400/800</t>
        </is>
      </c>
      <c r="E6209" s="3" t="inlineStr">
        <is>
          <t>Loan - Opportunity Management Holdings</t>
        </is>
      </c>
      <c r="F6209" s="3" t="n">
        <v>50000</v>
      </c>
      <c r="G6209" s="3" t="n">
        <v>317399</v>
      </c>
    </row>
    <row r="6210">
      <c r="A6210" s="3" t="inlineStr">
        <is>
          <t>Heron View (Pty) Ltd</t>
        </is>
      </c>
      <c r="B6210" s="4" t="n">
        <v>45382</v>
      </c>
      <c r="C6210" s="3" t="inlineStr">
        <is>
          <t>Liabilities</t>
        </is>
      </c>
      <c r="D6210" s="3" t="inlineStr">
        <is>
          <t>5500/001</t>
        </is>
      </c>
      <c r="E6210" s="3" t="inlineStr">
        <is>
          <t>Loan - Heron Fields</t>
        </is>
      </c>
      <c r="F6210" s="3" t="n">
        <v>-5360415.73</v>
      </c>
      <c r="G6210" s="3" t="n">
        <v>-55057558.53</v>
      </c>
    </row>
    <row r="6211">
      <c r="A6211" s="3" t="inlineStr">
        <is>
          <t>Heron Fields (Pty) Ltd</t>
        </is>
      </c>
      <c r="B6211" s="4" t="n">
        <v>45382</v>
      </c>
      <c r="C6211" s="3" t="inlineStr">
        <is>
          <t>Liabilities</t>
        </is>
      </c>
      <c r="D6211" s="3" t="inlineStr">
        <is>
          <t>5500/010</t>
        </is>
      </c>
      <c r="E6211" s="3" t="inlineStr">
        <is>
          <t>Loan - Quinate</t>
        </is>
      </c>
      <c r="F6211" s="3" t="n">
        <v>0</v>
      </c>
      <c r="G6211" s="3" t="n">
        <v>1800000</v>
      </c>
    </row>
    <row r="6212">
      <c r="A6212" s="3" t="inlineStr">
        <is>
          <t>Heron Fields (Pty) Ltd</t>
        </is>
      </c>
      <c r="B6212" s="4" t="n">
        <v>45382</v>
      </c>
      <c r="C6212" s="3" t="inlineStr">
        <is>
          <t>Liabilities</t>
        </is>
      </c>
      <c r="D6212" s="3" t="inlineStr">
        <is>
          <t>5500/020</t>
        </is>
      </c>
      <c r="E6212" s="3" t="inlineStr">
        <is>
          <t>Loan - Cape Projects Construction</t>
        </is>
      </c>
      <c r="F6212" s="3" t="n">
        <v>1150000</v>
      </c>
      <c r="G6212" s="3" t="n">
        <v>27124738.42</v>
      </c>
    </row>
    <row r="6213">
      <c r="A6213" s="3" t="inlineStr">
        <is>
          <t>Heron Fields (Pty) Ltd</t>
        </is>
      </c>
      <c r="B6213" s="4" t="n">
        <v>45382</v>
      </c>
      <c r="C6213" s="3" t="inlineStr">
        <is>
          <t>Liabilities</t>
        </is>
      </c>
      <c r="D6213" s="3" t="inlineStr">
        <is>
          <t>5500/030</t>
        </is>
      </c>
      <c r="E6213" s="3" t="inlineStr">
        <is>
          <t>Loan - Opportunity Global Investments</t>
        </is>
      </c>
      <c r="F6213" s="3" t="n">
        <v>410000</v>
      </c>
      <c r="G6213" s="3" t="n">
        <v>2484275</v>
      </c>
    </row>
    <row r="6214">
      <c r="A6214" s="3" t="inlineStr">
        <is>
          <t>Heron Fields (Pty) Ltd</t>
        </is>
      </c>
      <c r="B6214" s="4" t="n">
        <v>45382</v>
      </c>
      <c r="C6214" s="3" t="inlineStr">
        <is>
          <t>Liabilities</t>
        </is>
      </c>
      <c r="D6214" s="3" t="inlineStr">
        <is>
          <t>5500/050</t>
        </is>
      </c>
      <c r="E6214" s="3" t="inlineStr">
        <is>
          <t>Loan - Heron View</t>
        </is>
      </c>
      <c r="F6214" s="3" t="n">
        <v>5360415.73</v>
      </c>
      <c r="G6214" s="3" t="n">
        <v>55057558</v>
      </c>
    </row>
    <row r="6215">
      <c r="A6215" s="3" t="inlineStr">
        <is>
          <t>Heron Fields (Pty) Ltd</t>
        </is>
      </c>
      <c r="B6215" s="4" t="n">
        <v>45382</v>
      </c>
      <c r="C6215" s="3" t="inlineStr">
        <is>
          <t>Liabilities</t>
        </is>
      </c>
      <c r="D6215" s="3" t="inlineStr">
        <is>
          <t>5500/051</t>
        </is>
      </c>
      <c r="E6215" s="3" t="inlineStr">
        <is>
          <t>Loan - HV N204</t>
        </is>
      </c>
      <c r="F6215" s="3" t="n">
        <v>-2500</v>
      </c>
      <c r="G6215" s="3" t="n">
        <v>7500</v>
      </c>
    </row>
    <row r="6216">
      <c r="A6216" s="3" t="inlineStr">
        <is>
          <t>Heron Fields (Pty) Ltd</t>
        </is>
      </c>
      <c r="B6216" s="4" t="n">
        <v>45382</v>
      </c>
      <c r="C6216" s="3" t="inlineStr">
        <is>
          <t>Liabilities</t>
        </is>
      </c>
      <c r="D6216" s="3" t="inlineStr">
        <is>
          <t>5500/060</t>
        </is>
      </c>
      <c r="E6216" s="3" t="inlineStr">
        <is>
          <t>Loan - Opportunity Management Holdings</t>
        </is>
      </c>
      <c r="F6216" s="3" t="n">
        <v>0</v>
      </c>
      <c r="G6216" s="3" t="n">
        <v>-107900</v>
      </c>
    </row>
    <row r="6217">
      <c r="A6217" s="3" t="inlineStr">
        <is>
          <t>Heron Fields (Pty) Ltd</t>
        </is>
      </c>
      <c r="B6217" s="4" t="n">
        <v>45382</v>
      </c>
      <c r="C6217" s="3" t="inlineStr">
        <is>
          <t>Liabilities</t>
        </is>
      </c>
      <c r="D6217" s="3" t="inlineStr">
        <is>
          <t>5500/080</t>
        </is>
      </c>
      <c r="E6217" s="3" t="inlineStr">
        <is>
          <t>Loan - NSST2 Trust</t>
        </is>
      </c>
      <c r="F6217" s="3" t="n">
        <v>0</v>
      </c>
      <c r="G6217" s="3" t="n">
        <v>500</v>
      </c>
    </row>
    <row r="6218">
      <c r="A6218" s="3" t="inlineStr">
        <is>
          <t>Heron Fields (Pty) Ltd</t>
        </is>
      </c>
      <c r="B6218" s="4" t="n">
        <v>45382</v>
      </c>
      <c r="C6218" s="3" t="inlineStr">
        <is>
          <t>Liabilities</t>
        </is>
      </c>
      <c r="D6218" s="3" t="inlineStr">
        <is>
          <t>5500/090</t>
        </is>
      </c>
      <c r="E6218" s="3" t="inlineStr">
        <is>
          <t>Loan - Purple Block</t>
        </is>
      </c>
      <c r="F6218" s="3" t="n">
        <v>-300000</v>
      </c>
      <c r="G6218" s="3" t="n">
        <v>-300000</v>
      </c>
    </row>
    <row r="6219">
      <c r="A6219" s="3" t="inlineStr">
        <is>
          <t>Heron Fields (Pty) Ltd</t>
        </is>
      </c>
      <c r="B6219" s="4" t="n">
        <v>45382</v>
      </c>
      <c r="C6219" s="3" t="inlineStr">
        <is>
          <t>Assets</t>
        </is>
      </c>
      <c r="D6219" s="3" t="inlineStr">
        <is>
          <t>6150/010</t>
        </is>
      </c>
      <c r="E6219" s="3" t="inlineStr">
        <is>
          <t>Endulini -  A204</t>
        </is>
      </c>
      <c r="F6219" s="3" t="n">
        <v>0</v>
      </c>
      <c r="G6219" s="3" t="n">
        <v>1304260.87</v>
      </c>
    </row>
    <row r="6220">
      <c r="A6220" s="3" t="inlineStr">
        <is>
          <t>Heron Fields (Pty) Ltd</t>
        </is>
      </c>
      <c r="B6220" s="4" t="n">
        <v>45382</v>
      </c>
      <c r="C6220" s="3" t="inlineStr">
        <is>
          <t>Assets</t>
        </is>
      </c>
      <c r="D6220" s="3" t="inlineStr">
        <is>
          <t>6150/020</t>
        </is>
      </c>
      <c r="E6220" s="3" t="inlineStr">
        <is>
          <t>Endulini - A304</t>
        </is>
      </c>
      <c r="F6220" s="3" t="n">
        <v>0</v>
      </c>
      <c r="G6220" s="3" t="n">
        <v>1356434.78</v>
      </c>
    </row>
    <row r="6221">
      <c r="A6221" s="3" t="inlineStr">
        <is>
          <t>Heron Fields (Pty) Ltd</t>
        </is>
      </c>
      <c r="B6221" s="4" t="n">
        <v>45382</v>
      </c>
      <c r="C6221" s="3" t="inlineStr">
        <is>
          <t>Assets</t>
        </is>
      </c>
      <c r="D6221" s="3" t="inlineStr">
        <is>
          <t>6150/030</t>
        </is>
      </c>
      <c r="E6221" s="3" t="inlineStr">
        <is>
          <t>Endulini - B101</t>
        </is>
      </c>
      <c r="F6221" s="3" t="n">
        <v>0</v>
      </c>
      <c r="G6221" s="3" t="n">
        <v>1373826.09</v>
      </c>
    </row>
    <row r="6222">
      <c r="A6222" s="3" t="inlineStr">
        <is>
          <t>Heron Fields (Pty) Ltd</t>
        </is>
      </c>
      <c r="B6222" s="4" t="n">
        <v>45382</v>
      </c>
      <c r="C6222" s="3" t="inlineStr">
        <is>
          <t>Assets</t>
        </is>
      </c>
      <c r="D6222" s="3" t="inlineStr">
        <is>
          <t>6150/040</t>
        </is>
      </c>
      <c r="E6222" s="3" t="inlineStr">
        <is>
          <t>Endulini - A306</t>
        </is>
      </c>
      <c r="F6222" s="3" t="n">
        <v>0</v>
      </c>
      <c r="G6222" s="3" t="n">
        <v>1391217.39</v>
      </c>
    </row>
    <row r="6223">
      <c r="A6223" s="3" t="inlineStr">
        <is>
          <t>Heron Fields (Pty) Ltd</t>
        </is>
      </c>
      <c r="B6223" s="4" t="n">
        <v>45382</v>
      </c>
      <c r="C6223" s="3" t="inlineStr">
        <is>
          <t>Assets</t>
        </is>
      </c>
      <c r="D6223" s="3" t="inlineStr">
        <is>
          <t>6150/050</t>
        </is>
      </c>
      <c r="E6223" s="3" t="inlineStr">
        <is>
          <t>Endulini - C301</t>
        </is>
      </c>
      <c r="F6223" s="3" t="n">
        <v>0</v>
      </c>
      <c r="G6223" s="3" t="n">
        <v>1304260.87</v>
      </c>
    </row>
    <row r="6224">
      <c r="A6224" s="3" t="inlineStr">
        <is>
          <t>Cape Projects Construction (Pty) Ltd</t>
        </is>
      </c>
      <c r="B6224" s="4" t="n">
        <v>45382</v>
      </c>
      <c r="C6224" s="3" t="inlineStr">
        <is>
          <t>Assets</t>
        </is>
      </c>
      <c r="D6224" s="3" t="inlineStr">
        <is>
          <t>6200/010</t>
        </is>
      </c>
      <c r="E6224" s="3" t="inlineStr">
        <is>
          <t>Motor Vehicles - @ Cost</t>
        </is>
      </c>
      <c r="F6224" s="3" t="n">
        <v>0</v>
      </c>
      <c r="G6224" s="3" t="n">
        <v>216064.1</v>
      </c>
    </row>
    <row r="6225">
      <c r="A6225" s="3" t="inlineStr">
        <is>
          <t>Cape Projects Construction (Pty) Ltd</t>
        </is>
      </c>
      <c r="B6225" s="4" t="n">
        <v>45382</v>
      </c>
      <c r="C6225" s="3" t="inlineStr">
        <is>
          <t>Assets</t>
        </is>
      </c>
      <c r="D6225" s="3" t="inlineStr">
        <is>
          <t>6200/020</t>
        </is>
      </c>
      <c r="E6225" s="3" t="inlineStr">
        <is>
          <t>Motor Vehicles - Accum Depre</t>
        </is>
      </c>
      <c r="F6225" s="3" t="n">
        <v>-1</v>
      </c>
      <c r="G6225" s="3" t="n">
        <v>-216064.1</v>
      </c>
    </row>
    <row r="6226">
      <c r="A6226" s="3" t="inlineStr">
        <is>
          <t>Cape Projects Construction (Pty) Ltd</t>
        </is>
      </c>
      <c r="B6226" s="4" t="n">
        <v>45382</v>
      </c>
      <c r="C6226" s="3" t="inlineStr">
        <is>
          <t>Assets</t>
        </is>
      </c>
      <c r="D6226" s="3" t="inlineStr">
        <is>
          <t>6250/010</t>
        </is>
      </c>
      <c r="E6226" s="3" t="inlineStr">
        <is>
          <t>Computer Equipment - @ Cost</t>
        </is>
      </c>
      <c r="F6226" s="3" t="n">
        <v>-14130</v>
      </c>
      <c r="G6226" s="3" t="n">
        <v>170108.57</v>
      </c>
    </row>
    <row r="6227">
      <c r="A6227" s="3" t="inlineStr">
        <is>
          <t>Cape Projects Construction (Pty) Ltd</t>
        </is>
      </c>
      <c r="B6227" s="4" t="n">
        <v>45382</v>
      </c>
      <c r="C6227" s="3" t="inlineStr">
        <is>
          <t>Assets</t>
        </is>
      </c>
      <c r="D6227" s="3" t="inlineStr">
        <is>
          <t>6250/020</t>
        </is>
      </c>
      <c r="E6227" s="3" t="inlineStr">
        <is>
          <t>Computer Equipment - Accum Depre</t>
        </is>
      </c>
      <c r="F6227" s="3" t="n">
        <v>8728.639999999999</v>
      </c>
      <c r="G6227" s="3" t="n">
        <v>-80712.28</v>
      </c>
    </row>
    <row r="6228">
      <c r="A6228" s="3" t="inlineStr">
        <is>
          <t>Cape Projects Construction (Pty) Ltd</t>
        </is>
      </c>
      <c r="B6228" s="4" t="n">
        <v>45382</v>
      </c>
      <c r="C6228" s="3" t="inlineStr">
        <is>
          <t>Assets</t>
        </is>
      </c>
      <c r="D6228" s="3" t="inlineStr">
        <is>
          <t>6350/010</t>
        </is>
      </c>
      <c r="E6228" s="3" t="inlineStr">
        <is>
          <t>Furniture _AND_ Fittings - @ Cost</t>
        </is>
      </c>
      <c r="F6228" s="3" t="n">
        <v>0</v>
      </c>
      <c r="G6228" s="3" t="n">
        <v>37955.3</v>
      </c>
    </row>
    <row r="6229">
      <c r="A6229" s="3" t="inlineStr">
        <is>
          <t>Cape Projects Construction (Pty) Ltd</t>
        </is>
      </c>
      <c r="B6229" s="4" t="n">
        <v>45382</v>
      </c>
      <c r="C6229" s="3" t="inlineStr">
        <is>
          <t>Assets</t>
        </is>
      </c>
      <c r="D6229" s="3" t="inlineStr">
        <is>
          <t>6350/020</t>
        </is>
      </c>
      <c r="E6229" s="3" t="inlineStr">
        <is>
          <t>Furniture _AND_ Fittings - Accum Depre</t>
        </is>
      </c>
      <c r="F6229" s="3" t="n">
        <v>-568.2</v>
      </c>
      <c r="G6229" s="3" t="n">
        <v>-13034.87</v>
      </c>
    </row>
    <row r="6230">
      <c r="A6230" s="3" t="inlineStr">
        <is>
          <t>Cape Projects Construction (Pty) Ltd</t>
        </is>
      </c>
      <c r="B6230" s="4" t="n">
        <v>45382</v>
      </c>
      <c r="C6230" s="3" t="inlineStr">
        <is>
          <t>Assets</t>
        </is>
      </c>
      <c r="D6230" s="3" t="inlineStr">
        <is>
          <t>6600/010</t>
        </is>
      </c>
      <c r="E6230" s="3" t="inlineStr">
        <is>
          <t>Generator Fixed Asset - @ Cost</t>
        </is>
      </c>
      <c r="F6230" s="3" t="n">
        <v>0</v>
      </c>
      <c r="G6230" s="3" t="n">
        <v>71322</v>
      </c>
    </row>
    <row r="6231">
      <c r="A6231" s="3" t="inlineStr">
        <is>
          <t>Cape Projects Construction (Pty) Ltd</t>
        </is>
      </c>
      <c r="B6231" s="4" t="n">
        <v>45382</v>
      </c>
      <c r="C6231" s="3" t="inlineStr">
        <is>
          <t>Assets</t>
        </is>
      </c>
      <c r="D6231" s="3" t="inlineStr">
        <is>
          <t>6600/020</t>
        </is>
      </c>
      <c r="E6231" s="3" t="inlineStr">
        <is>
          <t>Generator Fixed Asset - Accum Depre</t>
        </is>
      </c>
      <c r="F6231" s="3" t="n">
        <v>-1349.81</v>
      </c>
      <c r="G6231" s="3" t="n">
        <v>-16749.04</v>
      </c>
    </row>
    <row r="6232">
      <c r="A6232" s="3" t="inlineStr">
        <is>
          <t>Heron Fields (Pty) Ltd</t>
        </is>
      </c>
      <c r="B6232" s="4" t="n">
        <v>45382</v>
      </c>
      <c r="C6232" s="3" t="inlineStr">
        <is>
          <t>Assets</t>
        </is>
      </c>
      <c r="D6232" s="3" t="inlineStr">
        <is>
          <t>7610/395</t>
        </is>
      </c>
      <c r="E6232" s="3" t="inlineStr">
        <is>
          <t>HF CIP NHBRC</t>
        </is>
      </c>
      <c r="F6232" s="3" t="n">
        <v>0</v>
      </c>
      <c r="G6232" s="3" t="n">
        <v>874505.75</v>
      </c>
    </row>
    <row r="6233">
      <c r="A6233" s="3" t="inlineStr">
        <is>
          <t>Heron View (Pty) Ltd</t>
        </is>
      </c>
      <c r="B6233" s="4" t="n">
        <v>45382</v>
      </c>
      <c r="C6233" s="3" t="inlineStr">
        <is>
          <t>Assets</t>
        </is>
      </c>
      <c r="D6233" s="3" t="inlineStr">
        <is>
          <t>7610/395</t>
        </is>
      </c>
      <c r="E6233" s="3" t="inlineStr">
        <is>
          <t>Heron CIP NHBRC</t>
        </is>
      </c>
      <c r="F6233" s="3" t="n">
        <v>0</v>
      </c>
      <c r="G6233" s="3" t="n">
        <v>2472501.08</v>
      </c>
    </row>
    <row r="6234">
      <c r="A6234" s="3" t="inlineStr">
        <is>
          <t>Heron Fields (Pty) Ltd</t>
        </is>
      </c>
      <c r="B6234" s="4" t="n">
        <v>45382</v>
      </c>
      <c r="C6234" s="3" t="inlineStr">
        <is>
          <t>Assets</t>
        </is>
      </c>
      <c r="D6234" s="3" t="inlineStr">
        <is>
          <t>7620/100</t>
        </is>
      </c>
      <c r="E6234" s="3" t="inlineStr">
        <is>
          <t>Heron View Land</t>
        </is>
      </c>
      <c r="F6234" s="3" t="n">
        <v>0</v>
      </c>
      <c r="G6234" s="3" t="n">
        <v>26200000</v>
      </c>
    </row>
    <row r="6235">
      <c r="A6235" s="3" t="inlineStr">
        <is>
          <t>Heron Fields (Pty) Ltd</t>
        </is>
      </c>
      <c r="B6235" s="4" t="n">
        <v>45382</v>
      </c>
      <c r="C6235" s="3" t="inlineStr">
        <is>
          <t>Assets</t>
        </is>
      </c>
      <c r="D6235" s="3" t="inlineStr">
        <is>
          <t>7620/101</t>
        </is>
      </c>
      <c r="E6235" s="3" t="inlineStr">
        <is>
          <t>HF CIP Bond Registration Fee</t>
        </is>
      </c>
      <c r="F6235" s="3" t="n">
        <v>0</v>
      </c>
      <c r="G6235" s="3" t="n">
        <v>68427</v>
      </c>
    </row>
    <row r="6236">
      <c r="A6236" s="3" t="inlineStr">
        <is>
          <t>Heron Fields (Pty) Ltd</t>
        </is>
      </c>
      <c r="B6236" s="4" t="n">
        <v>45382</v>
      </c>
      <c r="C6236" s="3" t="inlineStr">
        <is>
          <t>Assets</t>
        </is>
      </c>
      <c r="D6236" s="3" t="inlineStr">
        <is>
          <t>7620/102</t>
        </is>
      </c>
      <c r="E6236" s="3" t="inlineStr">
        <is>
          <t>HF CIP Transfer Fee</t>
        </is>
      </c>
      <c r="F6236" s="3" t="n">
        <v>0</v>
      </c>
      <c r="G6236" s="3" t="n">
        <v>103812</v>
      </c>
    </row>
    <row r="6237">
      <c r="A6237" s="3" t="inlineStr">
        <is>
          <t>Heron Fields (Pty) Ltd</t>
        </is>
      </c>
      <c r="B6237" s="4" t="n">
        <v>45382</v>
      </c>
      <c r="C6237" s="3" t="inlineStr">
        <is>
          <t>Assets</t>
        </is>
      </c>
      <c r="D6237" s="3" t="inlineStr">
        <is>
          <t>7620/220</t>
        </is>
      </c>
      <c r="E6237" s="3" t="inlineStr">
        <is>
          <t>HF CIP Architectural Designs</t>
        </is>
      </c>
      <c r="F6237" s="3" t="n">
        <v>0</v>
      </c>
      <c r="G6237" s="3" t="n">
        <v>314087</v>
      </c>
    </row>
    <row r="6238">
      <c r="A6238" s="3" t="inlineStr">
        <is>
          <t>Heron View (Pty) Ltd</t>
        </is>
      </c>
      <c r="B6238" s="4" t="n">
        <v>45382</v>
      </c>
      <c r="C6238" s="3" t="inlineStr">
        <is>
          <t>Assets</t>
        </is>
      </c>
      <c r="D6238" s="3" t="inlineStr">
        <is>
          <t>7620/220</t>
        </is>
      </c>
      <c r="E6238" s="3" t="inlineStr">
        <is>
          <t>Heron View CIP Architectural Designs</t>
        </is>
      </c>
      <c r="F6238" s="3" t="n">
        <v>4000</v>
      </c>
      <c r="G6238" s="3" t="n">
        <v>719552.6</v>
      </c>
    </row>
    <row r="6239">
      <c r="A6239" s="3" t="inlineStr">
        <is>
          <t>Heron Fields (Pty) Ltd</t>
        </is>
      </c>
      <c r="B6239" s="4" t="n">
        <v>45382</v>
      </c>
      <c r="C6239" s="3" t="inlineStr">
        <is>
          <t>Assets</t>
        </is>
      </c>
      <c r="D6239" s="3" t="inlineStr">
        <is>
          <t>7620/230</t>
        </is>
      </c>
      <c r="E6239" s="3" t="inlineStr">
        <is>
          <t>HF CIP Construction Management</t>
        </is>
      </c>
      <c r="F6239" s="3" t="n">
        <v>0</v>
      </c>
      <c r="G6239" s="3" t="n">
        <v>139500</v>
      </c>
    </row>
    <row r="6240">
      <c r="A6240" s="3" t="inlineStr">
        <is>
          <t>Heron Fields (Pty) Ltd</t>
        </is>
      </c>
      <c r="B6240" s="4" t="n">
        <v>45382</v>
      </c>
      <c r="C6240" s="3" t="inlineStr">
        <is>
          <t>Assets</t>
        </is>
      </c>
      <c r="D6240" s="3" t="inlineStr">
        <is>
          <t>7620/240</t>
        </is>
      </c>
      <c r="E6240" s="3" t="inlineStr">
        <is>
          <t>HF CIP Civil Engineering</t>
        </is>
      </c>
      <c r="F6240" s="3" t="n">
        <v>0</v>
      </c>
      <c r="G6240" s="3" t="n">
        <v>8557641.800000001</v>
      </c>
    </row>
    <row r="6241">
      <c r="A6241" s="3" t="inlineStr">
        <is>
          <t>Heron Fields (Pty) Ltd</t>
        </is>
      </c>
      <c r="B6241" s="4" t="n">
        <v>45382</v>
      </c>
      <c r="C6241" s="3" t="inlineStr">
        <is>
          <t>Assets</t>
        </is>
      </c>
      <c r="D6241" s="3" t="inlineStr">
        <is>
          <t>7620/245</t>
        </is>
      </c>
      <c r="E6241" s="3" t="inlineStr">
        <is>
          <t>HF CIP Development fee</t>
        </is>
      </c>
      <c r="F6241" s="3" t="n">
        <v>0</v>
      </c>
      <c r="G6241" s="3" t="n">
        <v>13807.78</v>
      </c>
    </row>
    <row r="6242">
      <c r="A6242" s="3" t="inlineStr">
        <is>
          <t>Heron Fields (Pty) Ltd</t>
        </is>
      </c>
      <c r="B6242" s="4" t="n">
        <v>45382</v>
      </c>
      <c r="C6242" s="3" t="inlineStr">
        <is>
          <t>Assets</t>
        </is>
      </c>
      <c r="D6242" s="3" t="inlineStr">
        <is>
          <t>7620/250</t>
        </is>
      </c>
      <c r="E6242" s="3" t="inlineStr">
        <is>
          <t>HF CIP Land Surveyor</t>
        </is>
      </c>
      <c r="F6242" s="3" t="n">
        <v>0</v>
      </c>
      <c r="G6242" s="3" t="n">
        <v>197060.09</v>
      </c>
    </row>
    <row r="6243">
      <c r="A6243" s="3" t="inlineStr">
        <is>
          <t>Heron View (Pty) Ltd</t>
        </is>
      </c>
      <c r="B6243" s="4" t="n">
        <v>45382</v>
      </c>
      <c r="C6243" s="3" t="inlineStr">
        <is>
          <t>Assets</t>
        </is>
      </c>
      <c r="D6243" s="3" t="inlineStr">
        <is>
          <t>7620/250</t>
        </is>
      </c>
      <c r="E6243" s="3" t="inlineStr">
        <is>
          <t>Heron View CIP Land Surveyor</t>
        </is>
      </c>
      <c r="F6243" s="3" t="n">
        <v>0</v>
      </c>
      <c r="G6243" s="3" t="n">
        <v>321942.47</v>
      </c>
    </row>
    <row r="6244">
      <c r="A6244" s="3" t="inlineStr">
        <is>
          <t>Heron Fields (Pty) Ltd</t>
        </is>
      </c>
      <c r="B6244" s="4" t="n">
        <v>45382</v>
      </c>
      <c r="C6244" s="3" t="inlineStr">
        <is>
          <t>Assets</t>
        </is>
      </c>
      <c r="D6244" s="3" t="inlineStr">
        <is>
          <t>7620/255</t>
        </is>
      </c>
      <c r="E6244" s="3" t="inlineStr">
        <is>
          <t>HF CIP Landscaping</t>
        </is>
      </c>
      <c r="F6244" s="3" t="n">
        <v>0</v>
      </c>
      <c r="G6244" s="3" t="n">
        <v>7500</v>
      </c>
    </row>
    <row r="6245">
      <c r="A6245" s="3" t="inlineStr">
        <is>
          <t>Heron View (Pty) Ltd</t>
        </is>
      </c>
      <c r="B6245" s="4" t="n">
        <v>45382</v>
      </c>
      <c r="C6245" s="3" t="inlineStr">
        <is>
          <t>Assets</t>
        </is>
      </c>
      <c r="D6245" s="3" t="inlineStr">
        <is>
          <t>7620/255</t>
        </is>
      </c>
      <c r="E6245" s="3" t="inlineStr">
        <is>
          <t>Heron View CIP Landscaping</t>
        </is>
      </c>
      <c r="F6245" s="3" t="n">
        <v>0</v>
      </c>
      <c r="G6245" s="3" t="n">
        <v>114370.5</v>
      </c>
    </row>
    <row r="6246">
      <c r="A6246" s="3" t="inlineStr">
        <is>
          <t>Heron Fields (Pty) Ltd</t>
        </is>
      </c>
      <c r="B6246" s="4" t="n">
        <v>45382</v>
      </c>
      <c r="C6246" s="3" t="inlineStr">
        <is>
          <t>Assets</t>
        </is>
      </c>
      <c r="D6246" s="3" t="inlineStr">
        <is>
          <t>7620/260</t>
        </is>
      </c>
      <c r="E6246" s="3" t="inlineStr">
        <is>
          <t>HF CIP Mechanical Engineers</t>
        </is>
      </c>
      <c r="F6246" s="3" t="n">
        <v>0</v>
      </c>
      <c r="G6246" s="3" t="n">
        <v>146256.38</v>
      </c>
    </row>
    <row r="6247">
      <c r="A6247" s="3" t="inlineStr">
        <is>
          <t>Heron Fields (Pty) Ltd</t>
        </is>
      </c>
      <c r="B6247" s="4" t="n">
        <v>45382</v>
      </c>
      <c r="C6247" s="3" t="inlineStr">
        <is>
          <t>Assets</t>
        </is>
      </c>
      <c r="D6247" s="3" t="inlineStr">
        <is>
          <t>7620/265</t>
        </is>
      </c>
      <c r="E6247" s="3" t="inlineStr">
        <is>
          <t>HF CIP Health &amp; Safety</t>
        </is>
      </c>
      <c r="F6247" s="3" t="n">
        <v>0</v>
      </c>
      <c r="G6247" s="3" t="n">
        <v>20600</v>
      </c>
    </row>
    <row r="6248">
      <c r="A6248" s="3" t="inlineStr">
        <is>
          <t>Heron Fields (Pty) Ltd</t>
        </is>
      </c>
      <c r="B6248" s="4" t="n">
        <v>45382</v>
      </c>
      <c r="C6248" s="3" t="inlineStr">
        <is>
          <t>Assets</t>
        </is>
      </c>
      <c r="D6248" s="3" t="inlineStr">
        <is>
          <t>7620/270</t>
        </is>
      </c>
      <c r="E6248" s="3" t="inlineStr">
        <is>
          <t>HF CIP Geotechnical</t>
        </is>
      </c>
      <c r="F6248" s="3" t="n">
        <v>0</v>
      </c>
      <c r="G6248" s="3" t="n">
        <v>15175</v>
      </c>
    </row>
    <row r="6249">
      <c r="A6249" s="3" t="inlineStr">
        <is>
          <t>Heron Fields (Pty) Ltd</t>
        </is>
      </c>
      <c r="B6249" s="4" t="n">
        <v>45382</v>
      </c>
      <c r="C6249" s="3" t="inlineStr">
        <is>
          <t>Assets</t>
        </is>
      </c>
      <c r="D6249" s="3" t="inlineStr">
        <is>
          <t>7620/275</t>
        </is>
      </c>
      <c r="E6249" s="3" t="inlineStr">
        <is>
          <t>HF CIP Retaining Wall</t>
        </is>
      </c>
      <c r="F6249" s="3" t="n">
        <v>0</v>
      </c>
      <c r="G6249" s="3" t="n">
        <v>570856.08</v>
      </c>
    </row>
    <row r="6250">
      <c r="A6250" s="3" t="inlineStr">
        <is>
          <t>Heron Fields (Pty) Ltd</t>
        </is>
      </c>
      <c r="B6250" s="4" t="n">
        <v>45382</v>
      </c>
      <c r="C6250" s="3" t="inlineStr">
        <is>
          <t>Assets</t>
        </is>
      </c>
      <c r="D6250" s="3" t="inlineStr">
        <is>
          <t>7620/280</t>
        </is>
      </c>
      <c r="E6250" s="3" t="inlineStr">
        <is>
          <t>HF CIP Site Establishment</t>
        </is>
      </c>
      <c r="F6250" s="3" t="n">
        <v>0</v>
      </c>
      <c r="G6250" s="3" t="n">
        <v>47748851.51</v>
      </c>
    </row>
    <row r="6251">
      <c r="A6251" s="3" t="inlineStr">
        <is>
          <t>Heron View (Pty) Ltd</t>
        </is>
      </c>
      <c r="B6251" s="4" t="n">
        <v>45382</v>
      </c>
      <c r="C6251" s="3" t="inlineStr">
        <is>
          <t>Assets</t>
        </is>
      </c>
      <c r="D6251" s="3" t="inlineStr">
        <is>
          <t>7620/280</t>
        </is>
      </c>
      <c r="E6251" s="3" t="inlineStr">
        <is>
          <t>Heron View CIP Site Establishment</t>
        </is>
      </c>
      <c r="F6251" s="3" t="n">
        <v>7021091.6</v>
      </c>
      <c r="G6251" s="3" t="n">
        <v>55046882.51</v>
      </c>
    </row>
    <row r="6252">
      <c r="A6252" s="3" t="inlineStr">
        <is>
          <t>Heron Fields (Pty) Ltd</t>
        </is>
      </c>
      <c r="B6252" s="4" t="n">
        <v>45382</v>
      </c>
      <c r="C6252" s="3" t="inlineStr">
        <is>
          <t>Assets</t>
        </is>
      </c>
      <c r="D6252" s="3" t="inlineStr">
        <is>
          <t>7620/285</t>
        </is>
      </c>
      <c r="E6252" s="3" t="inlineStr">
        <is>
          <t>HF CIP Structuring Fee - Invest</t>
        </is>
      </c>
      <c r="F6252" s="3" t="n">
        <v>0</v>
      </c>
      <c r="G6252" s="3" t="n">
        <v>3850818.04</v>
      </c>
    </row>
    <row r="6253">
      <c r="A6253" s="3" t="inlineStr">
        <is>
          <t>Heron View (Pty) Ltd</t>
        </is>
      </c>
      <c r="B6253" s="4" t="n">
        <v>45382</v>
      </c>
      <c r="C6253" s="3" t="inlineStr">
        <is>
          <t>Assets</t>
        </is>
      </c>
      <c r="D6253" s="3" t="inlineStr">
        <is>
          <t>7620/285</t>
        </is>
      </c>
      <c r="E6253" s="3" t="inlineStr">
        <is>
          <t>Heron View CIP Structuring Fee - Invest</t>
        </is>
      </c>
      <c r="F6253" s="3" t="n">
        <v>0</v>
      </c>
      <c r="G6253" s="3" t="n">
        <v>1826086.96</v>
      </c>
    </row>
    <row r="6254">
      <c r="A6254" s="3" t="inlineStr">
        <is>
          <t>Heron Fields (Pty) Ltd</t>
        </is>
      </c>
      <c r="B6254" s="4" t="n">
        <v>45382</v>
      </c>
      <c r="C6254" s="3" t="inlineStr">
        <is>
          <t>Assets</t>
        </is>
      </c>
      <c r="D6254" s="3" t="inlineStr">
        <is>
          <t>7620/287</t>
        </is>
      </c>
      <c r="E6254" s="3" t="inlineStr">
        <is>
          <t>HF CIP Structuring Fee - Development</t>
        </is>
      </c>
      <c r="F6254" s="3" t="n">
        <v>0</v>
      </c>
      <c r="G6254" s="3" t="n">
        <v>782608.0699999999</v>
      </c>
    </row>
    <row r="6255">
      <c r="A6255" s="3" t="inlineStr">
        <is>
          <t>Heron View (Pty) Ltd</t>
        </is>
      </c>
      <c r="B6255" s="4" t="n">
        <v>45382</v>
      </c>
      <c r="C6255" s="3" t="inlineStr">
        <is>
          <t>Assets</t>
        </is>
      </c>
      <c r="D6255" s="3" t="inlineStr">
        <is>
          <t>7620/287</t>
        </is>
      </c>
      <c r="E6255" s="3" t="inlineStr">
        <is>
          <t>Heron View CIP Structuring Fee - Development</t>
        </is>
      </c>
      <c r="F6255" s="3" t="n">
        <v>0</v>
      </c>
      <c r="G6255" s="3" t="n">
        <v>217391.3</v>
      </c>
    </row>
    <row r="6256">
      <c r="A6256" s="3" t="inlineStr">
        <is>
          <t>Heron Fields (Pty) Ltd</t>
        </is>
      </c>
      <c r="B6256" s="4" t="n">
        <v>45382</v>
      </c>
      <c r="C6256" s="3" t="inlineStr">
        <is>
          <t>Assets</t>
        </is>
      </c>
      <c r="D6256" s="3" t="inlineStr">
        <is>
          <t>7620/290</t>
        </is>
      </c>
      <c r="E6256" s="3" t="inlineStr">
        <is>
          <t>HF CIP Town Planning</t>
        </is>
      </c>
      <c r="F6256" s="3" t="n">
        <v>0</v>
      </c>
      <c r="G6256" s="3" t="n">
        <v>166550</v>
      </c>
    </row>
    <row r="6257">
      <c r="A6257" s="3" t="inlineStr">
        <is>
          <t>Heron View (Pty) Ltd</t>
        </is>
      </c>
      <c r="B6257" s="4" t="n">
        <v>45382</v>
      </c>
      <c r="C6257" s="3" t="inlineStr">
        <is>
          <t>Assets</t>
        </is>
      </c>
      <c r="D6257" s="3" t="inlineStr">
        <is>
          <t>7620/290</t>
        </is>
      </c>
      <c r="E6257" s="3" t="inlineStr">
        <is>
          <t>Heron View CIP Town Planning</t>
        </is>
      </c>
      <c r="F6257" s="3" t="n">
        <v>0</v>
      </c>
      <c r="G6257" s="3" t="n">
        <v>2834.7</v>
      </c>
    </row>
    <row r="6258">
      <c r="A6258" s="3" t="inlineStr">
        <is>
          <t>Heron Fields (Pty) Ltd</t>
        </is>
      </c>
      <c r="B6258" s="4" t="n">
        <v>45382</v>
      </c>
      <c r="C6258" s="3" t="inlineStr">
        <is>
          <t>Assets</t>
        </is>
      </c>
      <c r="D6258" s="3" t="inlineStr">
        <is>
          <t>7620/295</t>
        </is>
      </c>
      <c r="E6258" s="3" t="inlineStr">
        <is>
          <t>HF CIP Traffic Planning</t>
        </is>
      </c>
      <c r="F6258" s="3" t="n">
        <v>0</v>
      </c>
      <c r="G6258" s="3" t="n">
        <v>45000</v>
      </c>
    </row>
    <row r="6259">
      <c r="A6259" s="3" t="inlineStr">
        <is>
          <t>Heron Fields (Pty) Ltd</t>
        </is>
      </c>
      <c r="B6259" s="4" t="n">
        <v>45382</v>
      </c>
      <c r="C6259" s="3" t="inlineStr">
        <is>
          <t>Assets</t>
        </is>
      </c>
      <c r="D6259" s="3" t="inlineStr">
        <is>
          <t>7620/600</t>
        </is>
      </c>
      <c r="E6259" s="3" t="inlineStr">
        <is>
          <t>HF CIP Eco work</t>
        </is>
      </c>
      <c r="F6259" s="3" t="n">
        <v>6000</v>
      </c>
      <c r="G6259" s="3" t="n">
        <v>209000</v>
      </c>
    </row>
    <row r="6260">
      <c r="A6260" s="3" t="inlineStr">
        <is>
          <t>Heron View (Pty) Ltd</t>
        </is>
      </c>
      <c r="B6260" s="4" t="n">
        <v>45382</v>
      </c>
      <c r="C6260" s="3" t="inlineStr">
        <is>
          <t>Assets</t>
        </is>
      </c>
      <c r="D6260" s="3" t="inlineStr">
        <is>
          <t>7620/605</t>
        </is>
      </c>
      <c r="E6260" s="3" t="inlineStr">
        <is>
          <t>Heron View CIP Structural Engineers</t>
        </is>
      </c>
      <c r="F6260" s="3" t="n">
        <v>28875</v>
      </c>
      <c r="G6260" s="3" t="n">
        <v>695752.14</v>
      </c>
    </row>
    <row r="6261">
      <c r="A6261" s="3" t="inlineStr">
        <is>
          <t>Heron View (Pty) Ltd</t>
        </is>
      </c>
      <c r="B6261" s="4" t="n">
        <v>45382</v>
      </c>
      <c r="C6261" s="3" t="inlineStr">
        <is>
          <t>Assets</t>
        </is>
      </c>
      <c r="D6261" s="3" t="inlineStr">
        <is>
          <t>7620/610</t>
        </is>
      </c>
      <c r="E6261" s="3" t="inlineStr">
        <is>
          <t>HV CIP Retaining wall</t>
        </is>
      </c>
      <c r="F6261" s="3" t="n">
        <v>0</v>
      </c>
      <c r="G6261" s="3" t="n">
        <v>66190.11</v>
      </c>
    </row>
    <row r="6262">
      <c r="A6262" s="3" t="inlineStr">
        <is>
          <t>Heron Fields (Pty) Ltd</t>
        </is>
      </c>
      <c r="B6262" s="4" t="n">
        <v>45382</v>
      </c>
      <c r="C6262" s="3" t="inlineStr">
        <is>
          <t>Assets</t>
        </is>
      </c>
      <c r="D6262" s="3" t="inlineStr">
        <is>
          <t>7620/630</t>
        </is>
      </c>
      <c r="E6262" s="3" t="inlineStr">
        <is>
          <t>HF CIP CoCT development contribution</t>
        </is>
      </c>
      <c r="F6262" s="3" t="n">
        <v>0</v>
      </c>
      <c r="G6262" s="3" t="n">
        <v>3252759.95</v>
      </c>
    </row>
    <row r="6263">
      <c r="A6263" s="3" t="inlineStr">
        <is>
          <t>Heron View (Pty) Ltd</t>
        </is>
      </c>
      <c r="B6263" s="4" t="n">
        <v>45382</v>
      </c>
      <c r="C6263" s="3" t="inlineStr">
        <is>
          <t>Assets</t>
        </is>
      </c>
      <c r="D6263" s="3" t="inlineStr">
        <is>
          <t>7620/630</t>
        </is>
      </c>
      <c r="E6263" s="3" t="inlineStr">
        <is>
          <t>Heron CIP - CoCT development contribution</t>
        </is>
      </c>
      <c r="F6263" s="3" t="n">
        <v>0</v>
      </c>
      <c r="G6263" s="3" t="n">
        <v>1673231.19</v>
      </c>
    </row>
    <row r="6264">
      <c r="A6264" s="3" t="inlineStr">
        <is>
          <t>Heron Fields (Pty) Ltd</t>
        </is>
      </c>
      <c r="B6264" s="4" t="n">
        <v>45382</v>
      </c>
      <c r="C6264" s="3" t="inlineStr">
        <is>
          <t>Assets</t>
        </is>
      </c>
      <c r="D6264" s="3" t="inlineStr">
        <is>
          <t>7620/640</t>
        </is>
      </c>
      <c r="E6264" s="3" t="inlineStr">
        <is>
          <t>HF CIP Project costs</t>
        </is>
      </c>
      <c r="F6264" s="3" t="n">
        <v>0</v>
      </c>
      <c r="G6264" s="3" t="n">
        <v>622274.51</v>
      </c>
    </row>
    <row r="6265">
      <c r="A6265" s="3" t="inlineStr">
        <is>
          <t>Heron View (Pty) Ltd</t>
        </is>
      </c>
      <c r="B6265" s="4" t="n">
        <v>45382</v>
      </c>
      <c r="C6265" s="3" t="inlineStr">
        <is>
          <t>Assets</t>
        </is>
      </c>
      <c r="D6265" s="3" t="inlineStr">
        <is>
          <t>7620/650</t>
        </is>
      </c>
      <c r="E6265" s="3" t="inlineStr">
        <is>
          <t>CIP - Construction Management</t>
        </is>
      </c>
      <c r="F6265" s="3" t="n">
        <v>0</v>
      </c>
      <c r="G6265" s="3" t="n">
        <v>76530</v>
      </c>
    </row>
    <row r="6266">
      <c r="A6266" s="3" t="inlineStr">
        <is>
          <t>Heron Fields (Pty) Ltd</t>
        </is>
      </c>
      <c r="B6266" s="4" t="n">
        <v>45382</v>
      </c>
      <c r="C6266" s="3" t="inlineStr">
        <is>
          <t>Assets</t>
        </is>
      </c>
      <c r="D6266" s="3" t="inlineStr">
        <is>
          <t>7620/650</t>
        </is>
      </c>
      <c r="E6266" s="3" t="inlineStr">
        <is>
          <t>HF CIP Electrical</t>
        </is>
      </c>
      <c r="F6266" s="3" t="n">
        <v>0</v>
      </c>
      <c r="G6266" s="3" t="n">
        <v>985049.6800000001</v>
      </c>
    </row>
    <row r="6267">
      <c r="A6267" s="3" t="inlineStr">
        <is>
          <t>Heron View (Pty) Ltd</t>
        </is>
      </c>
      <c r="B6267" s="4" t="n">
        <v>45382</v>
      </c>
      <c r="C6267" s="3" t="inlineStr">
        <is>
          <t>Assets</t>
        </is>
      </c>
      <c r="D6267" s="3" t="inlineStr">
        <is>
          <t>7620/660</t>
        </is>
      </c>
      <c r="E6267" s="3" t="inlineStr">
        <is>
          <t>HV CIP Health &amp; Safety</t>
        </is>
      </c>
      <c r="F6267" s="3" t="n">
        <v>1400</v>
      </c>
      <c r="G6267" s="3" t="n">
        <v>31400</v>
      </c>
    </row>
    <row r="6268">
      <c r="A6268" s="3" t="inlineStr">
        <is>
          <t>Heron View (Pty) Ltd</t>
        </is>
      </c>
      <c r="B6268" s="4" t="n">
        <v>45382</v>
      </c>
      <c r="C6268" s="3" t="inlineStr">
        <is>
          <t>Assets</t>
        </is>
      </c>
      <c r="D6268" s="3" t="inlineStr">
        <is>
          <t>7620/670</t>
        </is>
      </c>
      <c r="E6268" s="3" t="inlineStr">
        <is>
          <t>HV CIP - Project costs CPSD</t>
        </is>
      </c>
      <c r="F6268" s="3" t="n">
        <v>334782.61</v>
      </c>
      <c r="G6268" s="3" t="n">
        <v>3028260.87</v>
      </c>
    </row>
    <row r="6269">
      <c r="A6269" s="3" t="inlineStr">
        <is>
          <t>Heron View (Pty) Ltd</t>
        </is>
      </c>
      <c r="B6269" s="4" t="n">
        <v>45382</v>
      </c>
      <c r="C6269" s="3" t="inlineStr">
        <is>
          <t>Assets</t>
        </is>
      </c>
      <c r="D6269" s="3" t="inlineStr">
        <is>
          <t>7620/680</t>
        </is>
      </c>
      <c r="E6269" s="3" t="inlineStr">
        <is>
          <t>HV CIP Elextrical</t>
        </is>
      </c>
      <c r="F6269" s="3" t="n">
        <v>0</v>
      </c>
      <c r="G6269" s="3" t="n">
        <v>1540502.11</v>
      </c>
    </row>
    <row r="6270">
      <c r="A6270" s="3" t="inlineStr">
        <is>
          <t>Heron View (Pty) Ltd</t>
        </is>
      </c>
      <c r="B6270" s="4" t="n">
        <v>45382</v>
      </c>
      <c r="C6270" s="3" t="inlineStr">
        <is>
          <t>Assets</t>
        </is>
      </c>
      <c r="D6270" s="3" t="inlineStr">
        <is>
          <t>7620/690</t>
        </is>
      </c>
      <c r="E6270" s="3" t="inlineStr">
        <is>
          <t>HV CIP Site Establishment</t>
        </is>
      </c>
      <c r="F6270" s="3" t="n">
        <v>0</v>
      </c>
      <c r="G6270" s="3" t="n">
        <v>16307183.05</v>
      </c>
    </row>
    <row r="6271">
      <c r="A6271" s="3" t="inlineStr">
        <is>
          <t>Heron Fields (Pty) Ltd</t>
        </is>
      </c>
      <c r="B6271" s="4" t="n">
        <v>45382</v>
      </c>
      <c r="C6271" s="3" t="inlineStr">
        <is>
          <t>Assets</t>
        </is>
      </c>
      <c r="D6271" s="3" t="inlineStr">
        <is>
          <t>7620/750</t>
        </is>
      </c>
      <c r="E6271" s="3" t="inlineStr">
        <is>
          <t>HF CIP Project costs CPSD</t>
        </is>
      </c>
      <c r="F6271" s="3" t="n">
        <v>0</v>
      </c>
      <c r="G6271" s="3" t="n">
        <v>2148883.15</v>
      </c>
    </row>
    <row r="6272">
      <c r="A6272" s="3" t="inlineStr">
        <is>
          <t>Heron Fields (Pty) Ltd</t>
        </is>
      </c>
      <c r="B6272" s="4" t="n">
        <v>45382</v>
      </c>
      <c r="C6272" s="3" t="inlineStr">
        <is>
          <t>Assets</t>
        </is>
      </c>
      <c r="D6272" s="3" t="inlineStr">
        <is>
          <t>7620/800</t>
        </is>
      </c>
      <c r="E6272" s="3" t="inlineStr">
        <is>
          <t>HF CIP GL Conradie</t>
        </is>
      </c>
      <c r="F6272" s="3" t="n">
        <v>0</v>
      </c>
      <c r="G6272" s="3" t="n">
        <v>1068455</v>
      </c>
    </row>
    <row r="6273">
      <c r="A6273" s="3" t="inlineStr">
        <is>
          <t>Heron View (Pty) Ltd</t>
        </is>
      </c>
      <c r="B6273" s="4" t="n">
        <v>45382</v>
      </c>
      <c r="C6273" s="3" t="inlineStr">
        <is>
          <t>Assets</t>
        </is>
      </c>
      <c r="D6273" s="3" t="inlineStr">
        <is>
          <t>7620/800</t>
        </is>
      </c>
      <c r="E6273" s="3" t="inlineStr">
        <is>
          <t>HV CIP GL Conradie</t>
        </is>
      </c>
      <c r="F6273" s="3" t="n">
        <v>0</v>
      </c>
      <c r="G6273" s="3" t="n">
        <v>2188325.96</v>
      </c>
    </row>
    <row r="6274">
      <c r="A6274" s="3" t="inlineStr">
        <is>
          <t>Heron Fields (Pty) Ltd</t>
        </is>
      </c>
      <c r="B6274" s="4" t="n">
        <v>45382</v>
      </c>
      <c r="C6274" s="3" t="inlineStr">
        <is>
          <t>Assets</t>
        </is>
      </c>
      <c r="D6274" s="3" t="inlineStr">
        <is>
          <t>7700/010</t>
        </is>
      </c>
      <c r="E6274" s="3" t="inlineStr">
        <is>
          <t>Construction 28 Feb 23 HF</t>
        </is>
      </c>
      <c r="F6274" s="3" t="n">
        <v>0</v>
      </c>
      <c r="G6274" s="3" t="n">
        <v>-24427668.44</v>
      </c>
    </row>
    <row r="6275">
      <c r="A6275" s="3" t="inlineStr">
        <is>
          <t>Cape Projects Construction (Pty) Ltd</t>
        </is>
      </c>
      <c r="B6275" s="4" t="n">
        <v>45382</v>
      </c>
      <c r="C6275" s="3" t="inlineStr">
        <is>
          <t>Assets</t>
        </is>
      </c>
      <c r="D6275" s="3" t="inlineStr">
        <is>
          <t>7800/000</t>
        </is>
      </c>
      <c r="E6275" s="3" t="inlineStr">
        <is>
          <t>Deposits paid</t>
        </is>
      </c>
      <c r="F6275" s="3" t="n">
        <v>0</v>
      </c>
      <c r="G6275" s="3" t="n">
        <v>29600</v>
      </c>
    </row>
    <row r="6276">
      <c r="A6276" s="3" t="inlineStr">
        <is>
          <t>Cape Projects Construction (Pty) Ltd</t>
        </is>
      </c>
      <c r="B6276" s="4" t="n">
        <v>45382</v>
      </c>
      <c r="C6276" s="3" t="inlineStr">
        <is>
          <t>Assets</t>
        </is>
      </c>
      <c r="D6276" s="3" t="inlineStr">
        <is>
          <t>8000/000</t>
        </is>
      </c>
      <c r="E6276" s="3" t="inlineStr">
        <is>
          <t>Customer Control Account</t>
        </is>
      </c>
      <c r="F6276" s="3" t="n">
        <v>2674255.34</v>
      </c>
      <c r="G6276" s="3" t="n">
        <v>8208383.08</v>
      </c>
    </row>
    <row r="6277">
      <c r="A6277" s="3" t="inlineStr">
        <is>
          <t>Heron Fields (Pty) Ltd</t>
        </is>
      </c>
      <c r="B6277" s="4" t="n">
        <v>45382</v>
      </c>
      <c r="C6277" s="3" t="inlineStr">
        <is>
          <t>Assets</t>
        </is>
      </c>
      <c r="D6277" s="3" t="inlineStr">
        <is>
          <t>8000/000</t>
        </is>
      </c>
      <c r="E6277" s="3" t="inlineStr">
        <is>
          <t>Customer Control Account</t>
        </is>
      </c>
      <c r="F6277" s="3" t="n">
        <v>4800.32</v>
      </c>
      <c r="G6277" s="3" t="n">
        <v>374858.13</v>
      </c>
    </row>
    <row r="6278">
      <c r="A6278" s="3" t="inlineStr">
        <is>
          <t>Heron View (Pty) Ltd</t>
        </is>
      </c>
      <c r="B6278" s="4" t="n">
        <v>45382</v>
      </c>
      <c r="C6278" s="3" t="inlineStr">
        <is>
          <t>Assets</t>
        </is>
      </c>
      <c r="D6278" s="3" t="inlineStr">
        <is>
          <t>8000/000</t>
        </is>
      </c>
      <c r="E6278" s="3" t="inlineStr">
        <is>
          <t>Customer Control Account</t>
        </is>
      </c>
      <c r="F6278" s="3" t="n">
        <v>2891905.74</v>
      </c>
      <c r="G6278" s="3" t="n">
        <v>2892602.59</v>
      </c>
    </row>
    <row r="6279">
      <c r="A6279" s="3" t="inlineStr">
        <is>
          <t>Cape Projects Construction (Pty) Ltd</t>
        </is>
      </c>
      <c r="B6279" s="4" t="n">
        <v>45382</v>
      </c>
      <c r="C6279" s="3" t="inlineStr">
        <is>
          <t>Assets</t>
        </is>
      </c>
      <c r="D6279" s="3" t="inlineStr">
        <is>
          <t>8300/000</t>
        </is>
      </c>
      <c r="E6279" s="3" t="inlineStr">
        <is>
          <t>FNB Credit Card 8812 7100 446 6006</t>
        </is>
      </c>
      <c r="F6279" s="3" t="n">
        <v>0</v>
      </c>
      <c r="G6279" s="3" t="n">
        <v>-1935</v>
      </c>
    </row>
    <row r="6280">
      <c r="A6280" s="3" t="inlineStr">
        <is>
          <t>Heron Fields (Pty) Ltd</t>
        </is>
      </c>
      <c r="B6280" s="4" t="n">
        <v>45382</v>
      </c>
      <c r="C6280" s="3" t="inlineStr">
        <is>
          <t>Assets</t>
        </is>
      </c>
      <c r="D6280" s="3" t="inlineStr">
        <is>
          <t>8400/000</t>
        </is>
      </c>
      <c r="E6280" s="3" t="inlineStr">
        <is>
          <t>RMB - 62882379087</t>
        </is>
      </c>
      <c r="F6280" s="3" t="n">
        <v>60628.57</v>
      </c>
      <c r="G6280" s="3" t="n">
        <v>202702.3</v>
      </c>
    </row>
    <row r="6281">
      <c r="A6281" s="3" t="inlineStr">
        <is>
          <t>Cape Projects Construction (Pty) Ltd</t>
        </is>
      </c>
      <c r="B6281" s="4" t="n">
        <v>45382</v>
      </c>
      <c r="C6281" s="3" t="inlineStr">
        <is>
          <t>Assets</t>
        </is>
      </c>
      <c r="D6281" s="3" t="inlineStr">
        <is>
          <t>8400/000</t>
        </is>
      </c>
      <c r="E6281" s="3" t="inlineStr">
        <is>
          <t>RMB 62275138470</t>
        </is>
      </c>
      <c r="F6281" s="3" t="n">
        <v>-146715.59</v>
      </c>
      <c r="G6281" s="3" t="n">
        <v>246648.18</v>
      </c>
    </row>
    <row r="6282">
      <c r="A6282" s="3" t="inlineStr">
        <is>
          <t>Cape Projects Construction (Pty) Ltd</t>
        </is>
      </c>
      <c r="B6282" s="4" t="n">
        <v>45382</v>
      </c>
      <c r="C6282" s="3" t="inlineStr">
        <is>
          <t>Assets</t>
        </is>
      </c>
      <c r="D6282" s="3" t="inlineStr">
        <is>
          <t>8410/000</t>
        </is>
      </c>
      <c r="E6282" s="3" t="inlineStr">
        <is>
          <t>Petty Cash</t>
        </is>
      </c>
      <c r="F6282" s="3" t="n">
        <v>0</v>
      </c>
      <c r="G6282" s="3" t="n">
        <v>-1188</v>
      </c>
    </row>
    <row r="6283">
      <c r="A6283" s="3" t="inlineStr">
        <is>
          <t>Cape Projects Construction (Pty) Ltd</t>
        </is>
      </c>
      <c r="B6283" s="4" t="n">
        <v>45382</v>
      </c>
      <c r="C6283" s="3" t="inlineStr">
        <is>
          <t>Assets</t>
        </is>
      </c>
      <c r="D6283" s="3" t="inlineStr">
        <is>
          <t>8420/000</t>
        </is>
      </c>
      <c r="E6283" s="3" t="inlineStr">
        <is>
          <t>Momentum Priv Acc RU502230981</t>
        </is>
      </c>
      <c r="F6283" s="3" t="n">
        <v>0</v>
      </c>
      <c r="G6283" s="3" t="n">
        <v>571.55</v>
      </c>
    </row>
    <row r="6284">
      <c r="A6284" s="3" t="inlineStr">
        <is>
          <t>Heron Fields (Pty) Ltd</t>
        </is>
      </c>
      <c r="B6284" s="4" t="n">
        <v>45382</v>
      </c>
      <c r="C6284" s="3" t="inlineStr">
        <is>
          <t>Assets</t>
        </is>
      </c>
      <c r="D6284" s="3" t="inlineStr">
        <is>
          <t>8420/000</t>
        </is>
      </c>
      <c r="E6284" s="3" t="inlineStr">
        <is>
          <t>Petty Cash</t>
        </is>
      </c>
      <c r="F6284" s="3" t="n">
        <v>0</v>
      </c>
      <c r="G6284" s="3" t="n">
        <v>8620</v>
      </c>
    </row>
    <row r="6285">
      <c r="A6285" s="3" t="inlineStr">
        <is>
          <t>Heron Fields (Pty) Ltd</t>
        </is>
      </c>
      <c r="B6285" s="4" t="n">
        <v>45382</v>
      </c>
      <c r="C6285" s="3" t="inlineStr">
        <is>
          <t>Assets</t>
        </is>
      </c>
      <c r="D6285" s="3" t="inlineStr">
        <is>
          <t>8430/000</t>
        </is>
      </c>
      <c r="E6285" s="3" t="inlineStr">
        <is>
          <t>Momentum Private Account RU502230151</t>
        </is>
      </c>
      <c r="F6285" s="3" t="n">
        <v>0</v>
      </c>
      <c r="G6285" s="3" t="n">
        <v>889.13</v>
      </c>
    </row>
    <row r="6286">
      <c r="A6286" s="3" t="inlineStr">
        <is>
          <t>Heron Fields (Pty) Ltd</t>
        </is>
      </c>
      <c r="B6286" s="4" t="n">
        <v>45382</v>
      </c>
      <c r="C6286" s="3" t="inlineStr">
        <is>
          <t>Assets</t>
        </is>
      </c>
      <c r="D6286" s="3" t="inlineStr">
        <is>
          <t>8440/000</t>
        </is>
      </c>
      <c r="E6286" s="3" t="inlineStr">
        <is>
          <t>Momentum Investors Account RU502229930</t>
        </is>
      </c>
      <c r="F6286" s="3" t="n">
        <v>-7910544.89</v>
      </c>
      <c r="G6286" s="3" t="n">
        <v>5028445.78</v>
      </c>
    </row>
    <row r="6287">
      <c r="A6287" s="3" t="inlineStr">
        <is>
          <t>Heron Fields (Pty) Ltd</t>
        </is>
      </c>
      <c r="B6287" s="4" t="n">
        <v>45382</v>
      </c>
      <c r="C6287" s="3" t="inlineStr">
        <is>
          <t>Assets</t>
        </is>
      </c>
      <c r="D6287" s="3" t="inlineStr">
        <is>
          <t>8450/000</t>
        </is>
      </c>
      <c r="E6287" s="3" t="inlineStr">
        <is>
          <t>ABSA Current Acc : 4109071013</t>
        </is>
      </c>
      <c r="F6287" s="3" t="n">
        <v>0</v>
      </c>
      <c r="G6287" s="3" t="n">
        <v>150500</v>
      </c>
    </row>
    <row r="6288">
      <c r="A6288" s="3" t="inlineStr">
        <is>
          <t>Heron Fields (Pty) Ltd</t>
        </is>
      </c>
      <c r="B6288" s="4" t="n">
        <v>45382</v>
      </c>
      <c r="C6288" s="3" t="inlineStr">
        <is>
          <t>Assets</t>
        </is>
      </c>
      <c r="D6288" s="3" t="inlineStr">
        <is>
          <t>8500/000</t>
        </is>
      </c>
      <c r="E6288" s="3" t="inlineStr">
        <is>
          <t>Laas and Scholtz - Funds in transit</t>
        </is>
      </c>
      <c r="F6288" s="3" t="n">
        <v>-100128.95</v>
      </c>
      <c r="G6288" s="3" t="n">
        <v>-100128.95</v>
      </c>
    </row>
    <row r="6289">
      <c r="A6289" s="3" t="inlineStr">
        <is>
          <t>Cape Projects Construction (Pty) Ltd</t>
        </is>
      </c>
      <c r="B6289" s="4" t="n">
        <v>45382</v>
      </c>
      <c r="C6289" s="3" t="inlineStr">
        <is>
          <t>Liabilities</t>
        </is>
      </c>
      <c r="D6289" s="3" t="inlineStr">
        <is>
          <t>860</t>
        </is>
      </c>
      <c r="E6289" s="3" t="inlineStr">
        <is>
          <t>Rounding</t>
        </is>
      </c>
      <c r="F6289" s="3" t="n">
        <v>-0.12</v>
      </c>
      <c r="G6289" s="3" t="n">
        <v>-13.06</v>
      </c>
    </row>
    <row r="6290">
      <c r="A6290" s="3" t="inlineStr">
        <is>
          <t>Heron Fields (Pty) Ltd</t>
        </is>
      </c>
      <c r="B6290" s="4" t="n">
        <v>45382</v>
      </c>
      <c r="C6290" s="3" t="inlineStr">
        <is>
          <t>Liabilities</t>
        </is>
      </c>
      <c r="D6290" s="3" t="inlineStr">
        <is>
          <t>860</t>
        </is>
      </c>
      <c r="E6290" s="3" t="inlineStr">
        <is>
          <t>Rounding</t>
        </is>
      </c>
      <c r="F6290" s="3" t="n">
        <v>0</v>
      </c>
      <c r="G6290" s="3" t="n">
        <v>0.04</v>
      </c>
    </row>
    <row r="6291">
      <c r="A6291" s="3" t="inlineStr">
        <is>
          <t>Heron View (Pty) Ltd</t>
        </is>
      </c>
      <c r="B6291" s="4" t="n">
        <v>45382</v>
      </c>
      <c r="C6291" s="3" t="inlineStr">
        <is>
          <t>Liabilities</t>
        </is>
      </c>
      <c r="D6291" s="3" t="inlineStr">
        <is>
          <t>860</t>
        </is>
      </c>
      <c r="E6291" s="3" t="inlineStr">
        <is>
          <t>Rounding</t>
        </is>
      </c>
      <c r="F6291" s="3" t="n">
        <v>0</v>
      </c>
      <c r="G6291" s="3" t="n">
        <v>-0.03</v>
      </c>
    </row>
    <row r="6292">
      <c r="A6292" s="3" t="inlineStr">
        <is>
          <t>Cape Projects Construction (Pty) Ltd</t>
        </is>
      </c>
      <c r="B6292" s="4" t="n">
        <v>45382</v>
      </c>
      <c r="C6292" s="3" t="inlineStr">
        <is>
          <t>Liabilities</t>
        </is>
      </c>
      <c r="D6292" s="3" t="inlineStr">
        <is>
          <t>9000/000</t>
        </is>
      </c>
      <c r="E6292" s="3" t="inlineStr">
        <is>
          <t>Supplier Control Account</t>
        </is>
      </c>
      <c r="F6292" s="3" t="n">
        <v>338578.81</v>
      </c>
      <c r="G6292" s="3" t="n">
        <v>-1758260.2</v>
      </c>
    </row>
    <row r="6293">
      <c r="A6293" s="3" t="inlineStr">
        <is>
          <t>Heron Fields (Pty) Ltd</t>
        </is>
      </c>
      <c r="B6293" s="4" t="n">
        <v>45382</v>
      </c>
      <c r="C6293" s="3" t="inlineStr">
        <is>
          <t>Liabilities</t>
        </is>
      </c>
      <c r="D6293" s="3" t="inlineStr">
        <is>
          <t>9000/000</t>
        </is>
      </c>
      <c r="E6293" s="3" t="inlineStr">
        <is>
          <t>Supplier Control Account</t>
        </is>
      </c>
      <c r="F6293" s="3" t="n">
        <v>-116354.22</v>
      </c>
      <c r="G6293" s="3" t="n">
        <v>-161783177.74</v>
      </c>
    </row>
    <row r="6294">
      <c r="A6294" s="3" t="inlineStr">
        <is>
          <t>Heron View (Pty) Ltd</t>
        </is>
      </c>
      <c r="B6294" s="4" t="n">
        <v>45382</v>
      </c>
      <c r="C6294" s="3" t="inlineStr">
        <is>
          <t>Liabilities</t>
        </is>
      </c>
      <c r="D6294" s="3" t="inlineStr">
        <is>
          <t>9000/000</t>
        </is>
      </c>
      <c r="E6294" s="3" t="inlineStr">
        <is>
          <t>Supplier Control Account</t>
        </is>
      </c>
      <c r="F6294" s="3" t="n">
        <v>-3077665.43</v>
      </c>
      <c r="G6294" s="3" t="n">
        <v>-7004166.96</v>
      </c>
    </row>
    <row r="6295">
      <c r="A6295" s="3" t="inlineStr">
        <is>
          <t>Cape Projects Construction (Pty) Ltd</t>
        </is>
      </c>
      <c r="B6295" s="4" t="n">
        <v>45382</v>
      </c>
      <c r="C6295" s="3" t="inlineStr">
        <is>
          <t>Liabilities</t>
        </is>
      </c>
      <c r="D6295" s="3" t="inlineStr">
        <is>
          <t>9200/000</t>
        </is>
      </c>
      <c r="E6295" s="3" t="inlineStr">
        <is>
          <t>Sundry Suppliers</t>
        </is>
      </c>
      <c r="F6295" s="3" t="n">
        <v>-4229.29</v>
      </c>
      <c r="G6295" s="3" t="n">
        <v>-2920.29</v>
      </c>
    </row>
    <row r="6296">
      <c r="A6296" s="3" t="inlineStr">
        <is>
          <t>Cape Projects Construction (Pty) Ltd</t>
        </is>
      </c>
      <c r="B6296" s="4" t="n">
        <v>45382</v>
      </c>
      <c r="C6296" s="3" t="inlineStr">
        <is>
          <t>Liabilities</t>
        </is>
      </c>
      <c r="D6296" s="3" t="inlineStr">
        <is>
          <t>9250/010</t>
        </is>
      </c>
      <c r="E6296" s="3" t="inlineStr">
        <is>
          <t>SALARY CONTROL</t>
        </is>
      </c>
      <c r="F6296" s="3" t="n">
        <v>392992.71</v>
      </c>
      <c r="G6296" s="3" t="n">
        <v>392992.71</v>
      </c>
    </row>
    <row r="6297">
      <c r="A6297" s="3" t="inlineStr">
        <is>
          <t>Cape Projects Construction (Pty) Ltd</t>
        </is>
      </c>
      <c r="B6297" s="4" t="n">
        <v>45382</v>
      </c>
      <c r="C6297" s="3" t="inlineStr">
        <is>
          <t>Liabilities</t>
        </is>
      </c>
      <c r="D6297" s="3" t="inlineStr">
        <is>
          <t>9250/020</t>
        </is>
      </c>
      <c r="E6297" s="3" t="inlineStr">
        <is>
          <t>PAYE, UIF AND SDL CONTROL</t>
        </is>
      </c>
      <c r="F6297" s="3" t="n">
        <v>4391.64</v>
      </c>
      <c r="G6297" s="3" t="n">
        <v>-101728.02</v>
      </c>
    </row>
    <row r="6298">
      <c r="A6298" s="3" t="inlineStr">
        <is>
          <t>Cape Projects Construction (Pty) Ltd</t>
        </is>
      </c>
      <c r="B6298" s="4" t="n">
        <v>45382</v>
      </c>
      <c r="C6298" s="3" t="inlineStr">
        <is>
          <t>Liabilities</t>
        </is>
      </c>
      <c r="D6298" s="3" t="inlineStr">
        <is>
          <t>9250/030</t>
        </is>
      </c>
      <c r="E6298" s="3" t="inlineStr">
        <is>
          <t>BIBC CONTROL</t>
        </is>
      </c>
      <c r="F6298" s="3" t="n">
        <v>0</v>
      </c>
      <c r="G6298" s="3" t="n">
        <v>-49413.95</v>
      </c>
    </row>
    <row r="6299">
      <c r="A6299" s="3" t="inlineStr">
        <is>
          <t>Cape Projects Construction (Pty) Ltd</t>
        </is>
      </c>
      <c r="B6299" s="4" t="n">
        <v>45382</v>
      </c>
      <c r="C6299" s="3" t="inlineStr">
        <is>
          <t>Liabilities</t>
        </is>
      </c>
      <c r="D6299" s="3" t="inlineStr">
        <is>
          <t>9350/000</t>
        </is>
      </c>
      <c r="E6299" s="3" t="inlineStr">
        <is>
          <t>Dividends Payable</t>
        </is>
      </c>
      <c r="F6299" s="3" t="n">
        <v>0</v>
      </c>
      <c r="G6299" s="3" t="n">
        <v>130000</v>
      </c>
    </row>
    <row r="6300">
      <c r="A6300" s="3" t="inlineStr">
        <is>
          <t>Cape Projects Construction (Pty) Ltd</t>
        </is>
      </c>
      <c r="B6300" s="4" t="n">
        <v>45382</v>
      </c>
      <c r="C6300" s="3" t="inlineStr">
        <is>
          <t>Liabilities</t>
        </is>
      </c>
      <c r="D6300" s="3" t="inlineStr">
        <is>
          <t>9500/000</t>
        </is>
      </c>
      <c r="E6300" s="3" t="inlineStr">
        <is>
          <t>VAT Control Account</t>
        </is>
      </c>
      <c r="F6300" s="3" t="n">
        <v>-300895.03</v>
      </c>
      <c r="G6300" s="3" t="n">
        <v>-475576.31</v>
      </c>
    </row>
    <row r="6301">
      <c r="A6301" s="3" t="inlineStr">
        <is>
          <t>Heron Fields (Pty) Ltd</t>
        </is>
      </c>
      <c r="B6301" s="4" t="n">
        <v>45382</v>
      </c>
      <c r="C6301" s="3" t="inlineStr">
        <is>
          <t>Liabilities</t>
        </is>
      </c>
      <c r="D6301" s="3" t="inlineStr">
        <is>
          <t>9500/000</t>
        </is>
      </c>
      <c r="E6301" s="3" t="inlineStr">
        <is>
          <t>Vat / Tax Control Account</t>
        </is>
      </c>
      <c r="F6301" s="3" t="n">
        <v>1153917.01</v>
      </c>
      <c r="G6301" s="3" t="n">
        <v>-2177977.37</v>
      </c>
    </row>
    <row r="6302">
      <c r="A6302" s="3" t="inlineStr">
        <is>
          <t>Heron View (Pty) Ltd</t>
        </is>
      </c>
      <c r="B6302" s="4" t="n">
        <v>45382</v>
      </c>
      <c r="C6302" s="3" t="inlineStr">
        <is>
          <t>Liabilities</t>
        </is>
      </c>
      <c r="D6302" s="3" t="inlineStr">
        <is>
          <t>9500/000</t>
        </is>
      </c>
      <c r="E6302" s="3" t="inlineStr">
        <is>
          <t>Vat / Tax Control Account</t>
        </is>
      </c>
      <c r="F6302" s="3" t="n">
        <v>718279.73</v>
      </c>
      <c r="G6302" s="3" t="n">
        <v>6194994.52</v>
      </c>
    </row>
    <row r="6303">
      <c r="A6303" s="3" t="inlineStr">
        <is>
          <t>Cape Projects Construction (Pty) Ltd</t>
        </is>
      </c>
      <c r="B6303" s="4" t="n">
        <v>45382</v>
      </c>
      <c r="C6303" s="3" t="inlineStr">
        <is>
          <t>Liabilities</t>
        </is>
      </c>
      <c r="D6303" s="3" t="inlineStr">
        <is>
          <t>9510/000</t>
        </is>
      </c>
      <c r="E6303" s="3" t="inlineStr">
        <is>
          <t>Tax Provision Account</t>
        </is>
      </c>
      <c r="F6303" s="3" t="n">
        <v>0</v>
      </c>
      <c r="G6303" s="3" t="n">
        <v>-1869.8</v>
      </c>
    </row>
    <row r="6304">
      <c r="A6304" s="3" t="inlineStr">
        <is>
          <t>Heron Fields (Pty) Ltd</t>
        </is>
      </c>
      <c r="B6304" s="4" t="n">
        <v>45382</v>
      </c>
      <c r="C6304" s="3" t="inlineStr">
        <is>
          <t>Liabilities</t>
        </is>
      </c>
      <c r="D6304" s="3" t="inlineStr">
        <is>
          <t>9520/000</t>
        </is>
      </c>
      <c r="E6304" s="3" t="inlineStr">
        <is>
          <t>Income Tax Payable</t>
        </is>
      </c>
      <c r="F6304" s="3" t="n">
        <v>0</v>
      </c>
      <c r="G6304" s="3" t="n">
        <v>59039.93</v>
      </c>
    </row>
    <row r="6305">
      <c r="A6305" s="3" t="inlineStr">
        <is>
          <t>Heron View (Pty) Ltd</t>
        </is>
      </c>
      <c r="B6305" s="4" t="n">
        <v>45382</v>
      </c>
      <c r="C6305" s="3" t="inlineStr">
        <is>
          <t>Liabilities</t>
        </is>
      </c>
      <c r="D6305" s="3" t="inlineStr">
        <is>
          <t>9899/C102</t>
        </is>
      </c>
      <c r="E6305" s="3" t="inlineStr">
        <is>
          <t>Sales - Unit Reg Control C102</t>
        </is>
      </c>
      <c r="F6305" s="3" t="n">
        <v>0</v>
      </c>
      <c r="G6305" s="3" t="n">
        <v>-0.4</v>
      </c>
    </row>
    <row r="6306">
      <c r="A6306" s="3" t="inlineStr">
        <is>
          <t>Cape Projects Construction (Pty) Ltd</t>
        </is>
      </c>
      <c r="B6306" s="4" t="n">
        <v>45382</v>
      </c>
      <c r="C6306" s="3" t="inlineStr">
        <is>
          <t>Liabilities</t>
        </is>
      </c>
      <c r="D6306" s="3" t="inlineStr">
        <is>
          <t>B/S</t>
        </is>
      </c>
      <c r="E6306" s="3" t="inlineStr">
        <is>
          <t>Taxation Payable</t>
        </is>
      </c>
      <c r="F6306" s="3" t="n">
        <v>0</v>
      </c>
      <c r="G6306" s="3" t="n">
        <v>393799.61</v>
      </c>
    </row>
    <row r="6307">
      <c r="A6307" s="3" t="inlineStr">
        <is>
          <t>Cape Projects Construction (Pty) Ltd</t>
        </is>
      </c>
      <c r="B6307" s="4" t="n">
        <v>45382</v>
      </c>
      <c r="C6307" s="3" t="inlineStr">
        <is>
          <t>Liabilities</t>
        </is>
      </c>
      <c r="D6307" s="3" t="inlineStr">
        <is>
          <t>TEMP/ACC</t>
        </is>
      </c>
      <c r="E6307" s="3" t="inlineStr">
        <is>
          <t>Conversion Account</t>
        </is>
      </c>
      <c r="F6307" s="3" t="n">
        <v>0</v>
      </c>
      <c r="G6307" s="3" t="n">
        <v>-254.99</v>
      </c>
    </row>
    <row r="6308">
      <c r="A6308" s="3" t="inlineStr">
        <is>
          <t>Heron Fields (Pty) Ltd</t>
        </is>
      </c>
      <c r="B6308" s="4" t="n">
        <v>45412</v>
      </c>
      <c r="C6308" s="3" t="inlineStr">
        <is>
          <t>Revenue</t>
        </is>
      </c>
      <c r="D6308" s="3" t="inlineStr">
        <is>
          <t>1000/100</t>
        </is>
      </c>
      <c r="E6308" s="3" t="inlineStr">
        <is>
          <t>Sales - Heron Fields</t>
        </is>
      </c>
      <c r="F6308" s="3" t="n">
        <v>-1304260.87</v>
      </c>
      <c r="G6308" s="3" t="n">
        <v>-1304260.87</v>
      </c>
    </row>
    <row r="6309">
      <c r="A6309" s="3" t="inlineStr">
        <is>
          <t>Heron View (Pty) Ltd</t>
        </is>
      </c>
      <c r="B6309" s="4" t="n">
        <v>45412</v>
      </c>
      <c r="C6309" s="3" t="inlineStr">
        <is>
          <t>Revenue</t>
        </is>
      </c>
      <c r="D6309" s="3" t="inlineStr">
        <is>
          <t>1000/100</t>
        </is>
      </c>
      <c r="E6309" s="3" t="inlineStr">
        <is>
          <t>Sales - Heron View Sales</t>
        </is>
      </c>
      <c r="F6309" s="3" t="n">
        <v>-1304260.87</v>
      </c>
      <c r="G6309" s="3" t="n">
        <v>-4108434.78</v>
      </c>
    </row>
    <row r="6310">
      <c r="A6310" s="3" t="inlineStr">
        <is>
          <t>Heron View (Pty) Ltd</t>
        </is>
      </c>
      <c r="B6310" s="4" t="n">
        <v>45412</v>
      </c>
      <c r="C6310" s="3" t="inlineStr">
        <is>
          <t>Revenue</t>
        </is>
      </c>
      <c r="D6310" s="3" t="inlineStr">
        <is>
          <t>1000/101</t>
        </is>
      </c>
      <c r="E6310" s="3" t="inlineStr">
        <is>
          <t>Sales - Heron View Occupational Rent</t>
        </is>
      </c>
      <c r="F6310" s="3" t="n">
        <v>0</v>
      </c>
      <c r="G6310" s="3" t="n">
        <v>-3561.29</v>
      </c>
    </row>
    <row r="6311">
      <c r="A6311" s="3" t="inlineStr">
        <is>
          <t>Cape Projects Construction (Pty) Ltd</t>
        </is>
      </c>
      <c r="B6311" s="4" t="n">
        <v>45412</v>
      </c>
      <c r="C6311" s="3" t="inlineStr">
        <is>
          <t>Revenue</t>
        </is>
      </c>
      <c r="D6311" s="3" t="inlineStr">
        <is>
          <t>1040/100</t>
        </is>
      </c>
      <c r="E6311" s="3" t="inlineStr">
        <is>
          <t>Fees - Construction - Heron</t>
        </is>
      </c>
      <c r="F6311" s="3" t="n">
        <v>-4119475.14</v>
      </c>
      <c r="G6311" s="3" t="n">
        <v>-11140566.74</v>
      </c>
    </row>
    <row r="6312">
      <c r="A6312" s="3" t="inlineStr">
        <is>
          <t>Heron View (Pty) Ltd</t>
        </is>
      </c>
      <c r="B6312" s="4" t="n">
        <v>45412</v>
      </c>
      <c r="C6312" s="3" t="inlineStr">
        <is>
          <t>Revenue</t>
        </is>
      </c>
      <c r="D6312" s="3" t="inlineStr">
        <is>
          <t>1111/000</t>
        </is>
      </c>
      <c r="E6312" s="3" t="inlineStr">
        <is>
          <t>OMH - Accounting Management fees</t>
        </is>
      </c>
      <c r="F6312" s="3" t="n">
        <v>0</v>
      </c>
      <c r="G6312" s="3" t="n">
        <v>-434782.61</v>
      </c>
    </row>
    <row r="6313">
      <c r="A6313" s="3" t="inlineStr">
        <is>
          <t>Heron View (Pty) Ltd</t>
        </is>
      </c>
      <c r="B6313" s="4" t="n">
        <v>45412</v>
      </c>
      <c r="C6313" s="3" t="inlineStr">
        <is>
          <t>Revenue</t>
        </is>
      </c>
      <c r="D6313" s="3" t="inlineStr">
        <is>
          <t>1111/001</t>
        </is>
      </c>
      <c r="E6313" s="3" t="inlineStr">
        <is>
          <t>CPC - Accounting Management Fee</t>
        </is>
      </c>
      <c r="F6313" s="3" t="n">
        <v>0</v>
      </c>
      <c r="G6313" s="3" t="n">
        <v>-869565.22</v>
      </c>
    </row>
    <row r="6314">
      <c r="A6314" s="3" t="inlineStr">
        <is>
          <t>Heron Fields (Pty) Ltd</t>
        </is>
      </c>
      <c r="B6314" s="4" t="n">
        <v>45412</v>
      </c>
      <c r="C6314" s="3" t="inlineStr">
        <is>
          <t>Revenue</t>
        </is>
      </c>
      <c r="D6314" s="3" t="inlineStr">
        <is>
          <t>1500/002</t>
        </is>
      </c>
      <c r="E6314" s="3" t="inlineStr">
        <is>
          <t>Rental Income</t>
        </is>
      </c>
      <c r="F6314" s="3" t="n">
        <v>-152081.3</v>
      </c>
      <c r="G6314" s="3" t="n">
        <v>-201839.6</v>
      </c>
    </row>
    <row r="6315">
      <c r="A6315" s="3" t="inlineStr">
        <is>
          <t>Heron Fields (Pty) Ltd</t>
        </is>
      </c>
      <c r="B6315" s="4" t="n">
        <v>45412</v>
      </c>
      <c r="C6315" s="3" t="inlineStr">
        <is>
          <t>Revenue</t>
        </is>
      </c>
      <c r="D6315" s="3" t="inlineStr">
        <is>
          <t>1600/100</t>
        </is>
      </c>
      <c r="E6315" s="3" t="inlineStr">
        <is>
          <t>Rental Income - Payprop ABSA</t>
        </is>
      </c>
      <c r="F6315" s="3" t="n">
        <v>-34027.44</v>
      </c>
      <c r="G6315" s="3" t="n">
        <v>-34027.44</v>
      </c>
    </row>
    <row r="6316">
      <c r="A6316" s="3" t="inlineStr">
        <is>
          <t>Heron View (Pty) Ltd</t>
        </is>
      </c>
      <c r="B6316" s="4" t="n">
        <v>45412</v>
      </c>
      <c r="C6316" s="3" t="inlineStr">
        <is>
          <t>Expenses</t>
        </is>
      </c>
      <c r="D6316" s="3" t="inlineStr">
        <is>
          <t>2000/030</t>
        </is>
      </c>
      <c r="E6316" s="3" t="inlineStr">
        <is>
          <t>COS - HV COCT Rates clearance</t>
        </is>
      </c>
      <c r="F6316" s="3" t="n">
        <v>8072.94</v>
      </c>
      <c r="G6316" s="3" t="n">
        <v>13214.11</v>
      </c>
    </row>
    <row r="6317">
      <c r="A6317" s="3" t="inlineStr">
        <is>
          <t>Heron Fields (Pty) Ltd</t>
        </is>
      </c>
      <c r="B6317" s="4" t="n">
        <v>45412</v>
      </c>
      <c r="C6317" s="3" t="inlineStr">
        <is>
          <t>Expenses</t>
        </is>
      </c>
      <c r="D6317" s="3" t="inlineStr">
        <is>
          <t>2000/040</t>
        </is>
      </c>
      <c r="E6317" s="3" t="inlineStr">
        <is>
          <t>COS - Legal Fees</t>
        </is>
      </c>
      <c r="F6317" s="3" t="n">
        <v>38341.94</v>
      </c>
      <c r="G6317" s="3" t="n">
        <v>38341.94</v>
      </c>
    </row>
    <row r="6318">
      <c r="A6318" s="3" t="inlineStr">
        <is>
          <t>Heron View (Pty) Ltd</t>
        </is>
      </c>
      <c r="B6318" s="4" t="n">
        <v>45412</v>
      </c>
      <c r="C6318" s="3" t="inlineStr">
        <is>
          <t>Expenses</t>
        </is>
      </c>
      <c r="D6318" s="3" t="inlineStr">
        <is>
          <t>2000/040</t>
        </is>
      </c>
      <c r="E6318" s="3" t="inlineStr">
        <is>
          <t>COS - Legal Fees</t>
        </is>
      </c>
      <c r="F6318" s="3" t="n">
        <v>19604.25</v>
      </c>
      <c r="G6318" s="3" t="n">
        <v>97588.82000000001</v>
      </c>
    </row>
    <row r="6319">
      <c r="A6319" s="3" t="inlineStr">
        <is>
          <t>Heron Fields (Pty) Ltd</t>
        </is>
      </c>
      <c r="B6319" s="4" t="n">
        <v>45412</v>
      </c>
      <c r="C6319" s="3" t="inlineStr">
        <is>
          <t>Expenses</t>
        </is>
      </c>
      <c r="D6319" s="3" t="inlineStr">
        <is>
          <t>2000/050</t>
        </is>
      </c>
      <c r="E6319" s="3" t="inlineStr">
        <is>
          <t>COS - Rates clearance</t>
        </is>
      </c>
      <c r="F6319" s="3" t="n">
        <v>0</v>
      </c>
      <c r="G6319" s="3" t="n">
        <v>8386.200000000001</v>
      </c>
    </row>
    <row r="6320">
      <c r="A6320" s="3" t="inlineStr">
        <is>
          <t>Heron Fields (Pty) Ltd</t>
        </is>
      </c>
      <c r="B6320" s="4" t="n">
        <v>45412</v>
      </c>
      <c r="C6320" s="3" t="inlineStr">
        <is>
          <t>Expenses</t>
        </is>
      </c>
      <c r="D6320" s="3" t="inlineStr">
        <is>
          <t>2000/070</t>
        </is>
      </c>
      <c r="E6320" s="3" t="inlineStr">
        <is>
          <t>COS - Commission HF Units</t>
        </is>
      </c>
      <c r="F6320" s="3" t="n">
        <v>65213.04</v>
      </c>
      <c r="G6320" s="3" t="n">
        <v>65213.04</v>
      </c>
    </row>
    <row r="6321">
      <c r="A6321" s="3" t="inlineStr">
        <is>
          <t>Heron View (Pty) Ltd</t>
        </is>
      </c>
      <c r="B6321" s="4" t="n">
        <v>45412</v>
      </c>
      <c r="C6321" s="3" t="inlineStr">
        <is>
          <t>Expenses</t>
        </is>
      </c>
      <c r="D6321" s="3" t="inlineStr">
        <is>
          <t>2000/070</t>
        </is>
      </c>
      <c r="E6321" s="3" t="inlineStr">
        <is>
          <t>COS - Commission HV Units</t>
        </is>
      </c>
      <c r="F6321" s="3" t="n">
        <v>65647.83</v>
      </c>
      <c r="G6321" s="3" t="n">
        <v>205639.14</v>
      </c>
    </row>
    <row r="6322">
      <c r="A6322" s="3" t="inlineStr">
        <is>
          <t>Cape Projects Construction (Pty) Ltd</t>
        </is>
      </c>
      <c r="B6322" s="4" t="n">
        <v>45412</v>
      </c>
      <c r="C6322" s="3" t="inlineStr">
        <is>
          <t>Expenses</t>
        </is>
      </c>
      <c r="D6322" s="3" t="inlineStr">
        <is>
          <t>2006/000</t>
        </is>
      </c>
      <c r="E6322" s="3" t="inlineStr">
        <is>
          <t>COS - Endulini Construction</t>
        </is>
      </c>
      <c r="F6322" s="3" t="n">
        <v>16685.25</v>
      </c>
      <c r="G6322" s="3" t="n">
        <v>19685.25</v>
      </c>
    </row>
    <row r="6323">
      <c r="A6323" s="3" t="inlineStr">
        <is>
          <t>Cape Projects Construction (Pty) Ltd</t>
        </is>
      </c>
      <c r="B6323" s="4" t="n">
        <v>45412</v>
      </c>
      <c r="C6323" s="3" t="inlineStr">
        <is>
          <t>Expenses</t>
        </is>
      </c>
      <c r="D6323" s="3" t="inlineStr">
        <is>
          <t>2006/450</t>
        </is>
      </c>
      <c r="E6323" s="3" t="inlineStr">
        <is>
          <t>COS - Endulini - Computer expenses</t>
        </is>
      </c>
      <c r="F6323" s="3" t="n">
        <v>219.96</v>
      </c>
      <c r="G6323" s="3" t="n">
        <v>219.96</v>
      </c>
    </row>
    <row r="6324">
      <c r="A6324" s="3" t="inlineStr">
        <is>
          <t>Cape Projects Construction (Pty) Ltd</t>
        </is>
      </c>
      <c r="B6324" s="4" t="n">
        <v>45412</v>
      </c>
      <c r="C6324" s="3" t="inlineStr">
        <is>
          <t>Expenses</t>
        </is>
      </c>
      <c r="D6324" s="3" t="inlineStr">
        <is>
          <t>2007/000</t>
        </is>
      </c>
      <c r="E6324" s="3" t="inlineStr">
        <is>
          <t>COS - Repairs &amp; Maintenance - SW Southwark</t>
        </is>
      </c>
      <c r="F6324" s="3" t="n">
        <v>0</v>
      </c>
      <c r="G6324" s="3" t="n">
        <v>8355.959999999999</v>
      </c>
    </row>
    <row r="6325">
      <c r="A6325" s="3" t="inlineStr">
        <is>
          <t>Cape Projects Construction (Pty) Ltd</t>
        </is>
      </c>
      <c r="B6325" s="4" t="n">
        <v>45412</v>
      </c>
      <c r="C6325" s="3" t="inlineStr">
        <is>
          <t>Expenses</t>
        </is>
      </c>
      <c r="D6325" s="3" t="inlineStr">
        <is>
          <t>2011/500</t>
        </is>
      </c>
      <c r="E6325" s="3" t="inlineStr">
        <is>
          <t>COS - Heron Fields - Construction</t>
        </is>
      </c>
      <c r="F6325" s="3" t="n">
        <v>2489.57</v>
      </c>
      <c r="G6325" s="3" t="n">
        <v>9323.620000000001</v>
      </c>
    </row>
    <row r="6326">
      <c r="A6326" s="3" t="inlineStr">
        <is>
          <t>Cape Projects Construction (Pty) Ltd</t>
        </is>
      </c>
      <c r="B6326" s="4" t="n">
        <v>45412</v>
      </c>
      <c r="C6326" s="3" t="inlineStr">
        <is>
          <t>Expenses</t>
        </is>
      </c>
      <c r="D6326" s="3" t="inlineStr">
        <is>
          <t>2011/600</t>
        </is>
      </c>
      <c r="E6326" s="3" t="inlineStr">
        <is>
          <t>COS - Heron Fields - P &amp; G</t>
        </is>
      </c>
      <c r="F6326" s="3" t="n">
        <v>543.04</v>
      </c>
      <c r="G6326" s="3" t="n">
        <v>923.47</v>
      </c>
    </row>
    <row r="6327">
      <c r="A6327" s="3" t="inlineStr">
        <is>
          <t>Cape Projects Construction (Pty) Ltd</t>
        </is>
      </c>
      <c r="B6327" s="4" t="n">
        <v>45412</v>
      </c>
      <c r="C6327" s="3" t="inlineStr">
        <is>
          <t>Expenses</t>
        </is>
      </c>
      <c r="D6327" s="3" t="inlineStr">
        <is>
          <t>2011/900</t>
        </is>
      </c>
      <c r="E6327" s="3" t="inlineStr">
        <is>
          <t>COS - Heron - Internet</t>
        </is>
      </c>
      <c r="F6327" s="3" t="n">
        <v>1849.57</v>
      </c>
      <c r="G6327" s="3" t="n">
        <v>3699.14</v>
      </c>
    </row>
    <row r="6328">
      <c r="A6328" s="3" t="inlineStr">
        <is>
          <t>Cape Projects Construction (Pty) Ltd</t>
        </is>
      </c>
      <c r="B6328" s="4" t="n">
        <v>45412</v>
      </c>
      <c r="C6328" s="3" t="inlineStr">
        <is>
          <t>Expenses</t>
        </is>
      </c>
      <c r="D6328" s="3" t="inlineStr">
        <is>
          <t>2012/001</t>
        </is>
      </c>
      <c r="E6328" s="3" t="inlineStr">
        <is>
          <t>COS - Heron View - Printing &amp; Stationary</t>
        </is>
      </c>
      <c r="F6328" s="3" t="n">
        <v>116.5</v>
      </c>
      <c r="G6328" s="3" t="n">
        <v>116.5</v>
      </c>
    </row>
    <row r="6329">
      <c r="A6329" s="3" t="inlineStr">
        <is>
          <t>Cape Projects Construction (Pty) Ltd</t>
        </is>
      </c>
      <c r="B6329" s="4" t="n">
        <v>45412</v>
      </c>
      <c r="C6329" s="3" t="inlineStr">
        <is>
          <t>Expenses</t>
        </is>
      </c>
      <c r="D6329" s="3" t="inlineStr">
        <is>
          <t>2012/002</t>
        </is>
      </c>
      <c r="E6329" s="3" t="inlineStr">
        <is>
          <t>COS - Heron View - Construction</t>
        </is>
      </c>
      <c r="F6329" s="3" t="n">
        <v>5103495.12</v>
      </c>
      <c r="G6329" s="3" t="n">
        <v>10980544.67</v>
      </c>
    </row>
    <row r="6330">
      <c r="A6330" s="3" t="inlineStr">
        <is>
          <t>Cape Projects Construction (Pty) Ltd</t>
        </is>
      </c>
      <c r="B6330" s="4" t="n">
        <v>45412</v>
      </c>
      <c r="C6330" s="3" t="inlineStr">
        <is>
          <t>Expenses</t>
        </is>
      </c>
      <c r="D6330" s="3" t="inlineStr">
        <is>
          <t>2012/003</t>
        </is>
      </c>
      <c r="E6330" s="3" t="inlineStr">
        <is>
          <t>COS - Heron View - P&amp;G</t>
        </is>
      </c>
      <c r="F6330" s="3" t="n">
        <v>673.45</v>
      </c>
      <c r="G6330" s="3" t="n">
        <v>12272.2</v>
      </c>
    </row>
    <row r="6331">
      <c r="A6331" s="3" t="inlineStr">
        <is>
          <t>Cape Projects Construction (Pty) Ltd</t>
        </is>
      </c>
      <c r="B6331" s="4" t="n">
        <v>45412</v>
      </c>
      <c r="C6331" s="3" t="inlineStr">
        <is>
          <t>Expenses</t>
        </is>
      </c>
      <c r="D6331" s="3" t="inlineStr">
        <is>
          <t>2111/001</t>
        </is>
      </c>
      <c r="E6331" s="3" t="inlineStr">
        <is>
          <t>Heron Project - Accounting Management Fee</t>
        </is>
      </c>
      <c r="F6331" s="3" t="n">
        <v>0</v>
      </c>
      <c r="G6331" s="3" t="n">
        <v>869565.22</v>
      </c>
    </row>
    <row r="6332">
      <c r="A6332" s="3" t="inlineStr">
        <is>
          <t>Cape Projects Construction (Pty) Ltd</t>
        </is>
      </c>
      <c r="B6332" s="4" t="n">
        <v>45412</v>
      </c>
      <c r="C6332" s="3" t="inlineStr">
        <is>
          <t>Revenue</t>
        </is>
      </c>
      <c r="D6332" s="3" t="inlineStr">
        <is>
          <t>2750/000</t>
        </is>
      </c>
      <c r="E6332" s="3" t="inlineStr">
        <is>
          <t>Interest Received - FNB</t>
        </is>
      </c>
      <c r="F6332" s="3" t="n">
        <v>-81.98</v>
      </c>
      <c r="G6332" s="3" t="n">
        <v>-148.04</v>
      </c>
    </row>
    <row r="6333">
      <c r="A6333" s="3" t="inlineStr">
        <is>
          <t>Heron Fields (Pty) Ltd</t>
        </is>
      </c>
      <c r="B6333" s="4" t="n">
        <v>45412</v>
      </c>
      <c r="C6333" s="3" t="inlineStr">
        <is>
          <t>Revenue</t>
        </is>
      </c>
      <c r="D6333" s="3" t="inlineStr">
        <is>
          <t>2755/001</t>
        </is>
      </c>
      <c r="E6333" s="3" t="inlineStr">
        <is>
          <t>Interest Received - Momentum</t>
        </is>
      </c>
      <c r="F6333" s="3" t="n">
        <v>-34734.9</v>
      </c>
      <c r="G6333" s="3" t="n">
        <v>-104357.52</v>
      </c>
    </row>
    <row r="6334">
      <c r="A6334" s="3" t="inlineStr">
        <is>
          <t>Heron Fields (Pty) Ltd</t>
        </is>
      </c>
      <c r="B6334" s="4" t="n">
        <v>45412</v>
      </c>
      <c r="C6334" s="3" t="inlineStr">
        <is>
          <t>Expenses</t>
        </is>
      </c>
      <c r="D6334" s="3" t="inlineStr">
        <is>
          <t>3000/000</t>
        </is>
      </c>
      <c r="E6334" s="3" t="inlineStr">
        <is>
          <t>Accounting Fees</t>
        </is>
      </c>
      <c r="F6334" s="3" t="n">
        <v>580</v>
      </c>
      <c r="G6334" s="3" t="n">
        <v>580</v>
      </c>
    </row>
    <row r="6335">
      <c r="A6335" s="3" t="inlineStr">
        <is>
          <t>Cape Projects Construction (Pty) Ltd</t>
        </is>
      </c>
      <c r="B6335" s="4" t="n">
        <v>45412</v>
      </c>
      <c r="C6335" s="3" t="inlineStr">
        <is>
          <t>Expenses</t>
        </is>
      </c>
      <c r="D6335" s="3" t="inlineStr">
        <is>
          <t>3001/000</t>
        </is>
      </c>
      <c r="E6335" s="3" t="inlineStr">
        <is>
          <t>Accounting Fees - Other</t>
        </is>
      </c>
      <c r="F6335" s="3" t="n">
        <v>580</v>
      </c>
      <c r="G6335" s="3" t="n">
        <v>580</v>
      </c>
    </row>
    <row r="6336">
      <c r="A6336" s="3" t="inlineStr">
        <is>
          <t>Heron Fields (Pty) Ltd</t>
        </is>
      </c>
      <c r="B6336" s="4" t="n">
        <v>45412</v>
      </c>
      <c r="C6336" s="3" t="inlineStr">
        <is>
          <t>Expenses</t>
        </is>
      </c>
      <c r="D6336" s="3" t="inlineStr">
        <is>
          <t>3050/000</t>
        </is>
      </c>
      <c r="E6336" s="3" t="inlineStr">
        <is>
          <t>Advertising _AND_ Promotions</t>
        </is>
      </c>
      <c r="F6336" s="3" t="n">
        <v>500</v>
      </c>
      <c r="G6336" s="3" t="n">
        <v>2013.96</v>
      </c>
    </row>
    <row r="6337">
      <c r="A6337" s="3" t="inlineStr">
        <is>
          <t>Heron View (Pty) Ltd</t>
        </is>
      </c>
      <c r="B6337" s="4" t="n">
        <v>45412</v>
      </c>
      <c r="C6337" s="3" t="inlineStr">
        <is>
          <t>Expenses</t>
        </is>
      </c>
      <c r="D6337" s="3" t="inlineStr">
        <is>
          <t>3050/000</t>
        </is>
      </c>
      <c r="E6337" s="3" t="inlineStr">
        <is>
          <t>Advertising _AND_ Promotions</t>
        </is>
      </c>
      <c r="F6337" s="3" t="n">
        <v>2700</v>
      </c>
      <c r="G6337" s="3" t="n">
        <v>5000</v>
      </c>
    </row>
    <row r="6338">
      <c r="A6338" s="3" t="inlineStr">
        <is>
          <t>Cape Projects Construction (Pty) Ltd</t>
        </is>
      </c>
      <c r="B6338" s="4" t="n">
        <v>45412</v>
      </c>
      <c r="C6338" s="3" t="inlineStr">
        <is>
          <t>Expenses</t>
        </is>
      </c>
      <c r="D6338" s="3" t="inlineStr">
        <is>
          <t>3050/450</t>
        </is>
      </c>
      <c r="E6338" s="3" t="inlineStr">
        <is>
          <t>Advertising - Other</t>
        </is>
      </c>
      <c r="F6338" s="3" t="n">
        <v>0</v>
      </c>
      <c r="G6338" s="3" t="n">
        <v>150</v>
      </c>
    </row>
    <row r="6339">
      <c r="A6339" s="3" t="inlineStr">
        <is>
          <t>Cape Projects Construction (Pty) Ltd</t>
        </is>
      </c>
      <c r="B6339" s="4" t="n">
        <v>45412</v>
      </c>
      <c r="C6339" s="3" t="inlineStr">
        <is>
          <t>Expenses</t>
        </is>
      </c>
      <c r="D6339" s="3" t="inlineStr">
        <is>
          <t>3200/000</t>
        </is>
      </c>
      <c r="E6339" s="3" t="inlineStr">
        <is>
          <t>Bank Charges</t>
        </is>
      </c>
      <c r="F6339" s="3" t="n">
        <v>2152.12</v>
      </c>
      <c r="G6339" s="3" t="n">
        <v>4075.27</v>
      </c>
    </row>
    <row r="6340">
      <c r="A6340" s="3" t="inlineStr">
        <is>
          <t>Heron Fields (Pty) Ltd</t>
        </is>
      </c>
      <c r="B6340" s="4" t="n">
        <v>45412</v>
      </c>
      <c r="C6340" s="3" t="inlineStr">
        <is>
          <t>Expenses</t>
        </is>
      </c>
      <c r="D6340" s="3" t="inlineStr">
        <is>
          <t>3200/000</t>
        </is>
      </c>
      <c r="E6340" s="3" t="inlineStr">
        <is>
          <t>Bank Charges</t>
        </is>
      </c>
      <c r="F6340" s="3" t="n">
        <v>432.96</v>
      </c>
      <c r="G6340" s="3" t="n">
        <v>832.76</v>
      </c>
    </row>
    <row r="6341">
      <c r="A6341" s="3" t="inlineStr">
        <is>
          <t>Cape Projects Construction (Pty) Ltd</t>
        </is>
      </c>
      <c r="B6341" s="4" t="n">
        <v>45412</v>
      </c>
      <c r="C6341" s="3" t="inlineStr">
        <is>
          <t>Expenses</t>
        </is>
      </c>
      <c r="D6341" s="3" t="inlineStr">
        <is>
          <t>3300/100</t>
        </is>
      </c>
      <c r="E6341" s="3" t="inlineStr">
        <is>
          <t>Computer Exp - IT, Internet/Hosting Fee</t>
        </is>
      </c>
      <c r="F6341" s="3" t="n">
        <v>3725</v>
      </c>
      <c r="G6341" s="3" t="n">
        <v>7450</v>
      </c>
    </row>
    <row r="6342">
      <c r="A6342" s="3" t="inlineStr">
        <is>
          <t>Heron Fields (Pty) Ltd</t>
        </is>
      </c>
      <c r="B6342" s="4" t="n">
        <v>45412</v>
      </c>
      <c r="C6342" s="3" t="inlineStr">
        <is>
          <t>Expenses</t>
        </is>
      </c>
      <c r="D6342" s="3" t="inlineStr">
        <is>
          <t>3350/100</t>
        </is>
      </c>
      <c r="E6342" s="3" t="inlineStr">
        <is>
          <t>Consulting Fees - Admin and Finance</t>
        </is>
      </c>
      <c r="F6342" s="3" t="n">
        <v>126260.32</v>
      </c>
      <c r="G6342" s="3" t="n">
        <v>250445.64</v>
      </c>
    </row>
    <row r="6343">
      <c r="A6343" s="3" t="inlineStr">
        <is>
          <t>Cape Projects Construction (Pty) Ltd</t>
        </is>
      </c>
      <c r="B6343" s="4" t="n">
        <v>45412</v>
      </c>
      <c r="C6343" s="3" t="inlineStr">
        <is>
          <t>Expenses</t>
        </is>
      </c>
      <c r="D6343" s="3" t="inlineStr">
        <is>
          <t>3350/300</t>
        </is>
      </c>
      <c r="E6343" s="3" t="inlineStr">
        <is>
          <t>Consulting Fees - Admin and Finance</t>
        </is>
      </c>
      <c r="F6343" s="3" t="n">
        <v>132436.08</v>
      </c>
      <c r="G6343" s="3" t="n">
        <v>264442.16</v>
      </c>
    </row>
    <row r="6344">
      <c r="A6344" s="3" t="inlineStr">
        <is>
          <t>Heron Fields (Pty) Ltd</t>
        </is>
      </c>
      <c r="B6344" s="4" t="n">
        <v>45412</v>
      </c>
      <c r="C6344" s="3" t="inlineStr">
        <is>
          <t>Expenses</t>
        </is>
      </c>
      <c r="D6344" s="3" t="inlineStr">
        <is>
          <t>3351/000</t>
        </is>
      </c>
      <c r="E6344" s="3" t="inlineStr">
        <is>
          <t>Consulting fees - Trustee</t>
        </is>
      </c>
      <c r="F6344" s="3" t="n">
        <v>4200</v>
      </c>
      <c r="G6344" s="3" t="n">
        <v>8400</v>
      </c>
    </row>
    <row r="6345">
      <c r="A6345" s="3" t="inlineStr">
        <is>
          <t>Heron View (Pty) Ltd</t>
        </is>
      </c>
      <c r="B6345" s="4" t="n">
        <v>45412</v>
      </c>
      <c r="C6345" s="3" t="inlineStr">
        <is>
          <t>Expenses</t>
        </is>
      </c>
      <c r="D6345" s="3" t="inlineStr">
        <is>
          <t>3351/000</t>
        </is>
      </c>
      <c r="E6345" s="3" t="inlineStr">
        <is>
          <t>Consulting fees - Trustee</t>
        </is>
      </c>
      <c r="F6345" s="3" t="n">
        <v>12750</v>
      </c>
      <c r="G6345" s="3" t="n">
        <v>25500</v>
      </c>
    </row>
    <row r="6346">
      <c r="A6346" s="3" t="inlineStr">
        <is>
          <t>Cape Projects Construction (Pty) Ltd</t>
        </is>
      </c>
      <c r="B6346" s="4" t="n">
        <v>45412</v>
      </c>
      <c r="C6346" s="3" t="inlineStr">
        <is>
          <t>Expenses</t>
        </is>
      </c>
      <c r="D6346" s="3" t="inlineStr">
        <is>
          <t>3450/001</t>
        </is>
      </c>
      <c r="E6346" s="3" t="inlineStr">
        <is>
          <t>Depreciation - Computer Equipment</t>
        </is>
      </c>
      <c r="F6346" s="3" t="n">
        <v>4719.63</v>
      </c>
      <c r="G6346" s="3" t="n">
        <v>10120.99</v>
      </c>
    </row>
    <row r="6347">
      <c r="A6347" s="3" t="inlineStr">
        <is>
          <t>Cape Projects Construction (Pty) Ltd</t>
        </is>
      </c>
      <c r="B6347" s="4" t="n">
        <v>45412</v>
      </c>
      <c r="C6347" s="3" t="inlineStr">
        <is>
          <t>Expenses</t>
        </is>
      </c>
      <c r="D6347" s="3" t="inlineStr">
        <is>
          <t>3450/002</t>
        </is>
      </c>
      <c r="E6347" s="3" t="inlineStr">
        <is>
          <t>Depreciation - Generator Fixed Asset</t>
        </is>
      </c>
      <c r="F6347" s="3" t="n">
        <v>1188.7</v>
      </c>
      <c r="G6347" s="3" t="n">
        <v>2538.51</v>
      </c>
    </row>
    <row r="6348">
      <c r="A6348" s="3" t="inlineStr">
        <is>
          <t>Cape Projects Construction (Pty) Ltd</t>
        </is>
      </c>
      <c r="B6348" s="4" t="n">
        <v>45412</v>
      </c>
      <c r="C6348" s="3" t="inlineStr">
        <is>
          <t>Expenses</t>
        </is>
      </c>
      <c r="D6348" s="3" t="inlineStr">
        <is>
          <t>3450/003</t>
        </is>
      </c>
      <c r="E6348" s="3" t="inlineStr">
        <is>
          <t>Depreciation - Motor vehicle</t>
        </is>
      </c>
      <c r="F6348" s="3" t="n">
        <v>0</v>
      </c>
      <c r="G6348" s="3" t="n">
        <v>1</v>
      </c>
    </row>
    <row r="6349">
      <c r="A6349" s="3" t="inlineStr">
        <is>
          <t>Cape Projects Construction (Pty) Ltd</t>
        </is>
      </c>
      <c r="B6349" s="4" t="n">
        <v>45412</v>
      </c>
      <c r="C6349" s="3" t="inlineStr">
        <is>
          <t>Expenses</t>
        </is>
      </c>
      <c r="D6349" s="3" t="inlineStr">
        <is>
          <t>3450/030</t>
        </is>
      </c>
      <c r="E6349" s="3" t="inlineStr">
        <is>
          <t>Depreciation - Furniture and Fittings</t>
        </is>
      </c>
      <c r="F6349" s="3" t="n">
        <v>547.67</v>
      </c>
      <c r="G6349" s="3" t="n">
        <v>1115.87</v>
      </c>
    </row>
    <row r="6350">
      <c r="A6350" s="3" t="inlineStr">
        <is>
          <t>Heron Fields (Pty) Ltd</t>
        </is>
      </c>
      <c r="B6350" s="4" t="n">
        <v>45412</v>
      </c>
      <c r="C6350" s="3" t="inlineStr">
        <is>
          <t>Expenses</t>
        </is>
      </c>
      <c r="D6350" s="3" t="inlineStr">
        <is>
          <t>3640/000</t>
        </is>
      </c>
      <c r="E6350" s="3" t="inlineStr">
        <is>
          <t>COCT: Developers Rates &amp; Refuse Acc: 236356811</t>
        </is>
      </c>
      <c r="F6350" s="3" t="n">
        <v>1320.35</v>
      </c>
      <c r="G6350" s="3" t="n">
        <v>125588.71</v>
      </c>
    </row>
    <row r="6351">
      <c r="A6351" s="3" t="inlineStr">
        <is>
          <t>Heron Fields (Pty) Ltd</t>
        </is>
      </c>
      <c r="B6351" s="4" t="n">
        <v>45412</v>
      </c>
      <c r="C6351" s="3" t="inlineStr">
        <is>
          <t>Expenses</t>
        </is>
      </c>
      <c r="D6351" s="3" t="inlineStr">
        <is>
          <t>3650/000</t>
        </is>
      </c>
      <c r="E6351" s="3" t="inlineStr">
        <is>
          <t>CoCT - Electricity</t>
        </is>
      </c>
      <c r="F6351" s="3" t="n">
        <v>-1093.19</v>
      </c>
      <c r="G6351" s="3" t="n">
        <v>108074.29</v>
      </c>
    </row>
    <row r="6352">
      <c r="A6352" s="3" t="inlineStr">
        <is>
          <t>Cape Projects Construction (Pty) Ltd</t>
        </is>
      </c>
      <c r="B6352" s="4" t="n">
        <v>45412</v>
      </c>
      <c r="C6352" s="3" t="inlineStr">
        <is>
          <t>Expenses</t>
        </is>
      </c>
      <c r="D6352" s="3" t="inlineStr">
        <is>
          <t>3650/000</t>
        </is>
      </c>
      <c r="E6352" s="3" t="inlineStr">
        <is>
          <t>Electricity _AND_ Water</t>
        </is>
      </c>
      <c r="F6352" s="3" t="n">
        <v>6158.43</v>
      </c>
      <c r="G6352" s="3" t="n">
        <v>6158.43</v>
      </c>
    </row>
    <row r="6353">
      <c r="A6353" s="3" t="inlineStr">
        <is>
          <t>Heron Fields (Pty) Ltd</t>
        </is>
      </c>
      <c r="B6353" s="4" t="n">
        <v>45412</v>
      </c>
      <c r="C6353" s="3" t="inlineStr">
        <is>
          <t>Expenses</t>
        </is>
      </c>
      <c r="D6353" s="3" t="inlineStr">
        <is>
          <t>3660/000</t>
        </is>
      </c>
      <c r="E6353" s="3" t="inlineStr">
        <is>
          <t>CoCT - Water</t>
        </is>
      </c>
      <c r="F6353" s="3" t="n">
        <v>1093.19</v>
      </c>
      <c r="G6353" s="3" t="n">
        <v>4577.68</v>
      </c>
    </row>
    <row r="6354">
      <c r="A6354" s="3" t="inlineStr">
        <is>
          <t>Heron View (Pty) Ltd</t>
        </is>
      </c>
      <c r="B6354" s="4" t="n">
        <v>45412</v>
      </c>
      <c r="C6354" s="3" t="inlineStr">
        <is>
          <t>Expenses</t>
        </is>
      </c>
      <c r="D6354" s="3" t="inlineStr">
        <is>
          <t>3660/000</t>
        </is>
      </c>
      <c r="E6354" s="3" t="inlineStr">
        <is>
          <t>Water</t>
        </is>
      </c>
      <c r="F6354" s="3" t="n">
        <v>-0.01</v>
      </c>
      <c r="G6354" s="3" t="n">
        <v>75.69</v>
      </c>
    </row>
    <row r="6355">
      <c r="A6355" s="3" t="inlineStr">
        <is>
          <t>Cape Projects Construction (Pty) Ltd</t>
        </is>
      </c>
      <c r="B6355" s="4" t="n">
        <v>45412</v>
      </c>
      <c r="C6355" s="3" t="inlineStr">
        <is>
          <t>Expenses</t>
        </is>
      </c>
      <c r="D6355" s="3" t="inlineStr">
        <is>
          <t>3800/000</t>
        </is>
      </c>
      <c r="E6355" s="3" t="inlineStr">
        <is>
          <t>General Expenses</t>
        </is>
      </c>
      <c r="F6355" s="3" t="n">
        <v>191.3</v>
      </c>
      <c r="G6355" s="3" t="n">
        <v>191.3</v>
      </c>
    </row>
    <row r="6356">
      <c r="A6356" s="3" t="inlineStr">
        <is>
          <t>Cape Projects Construction (Pty) Ltd</t>
        </is>
      </c>
      <c r="B6356" s="4" t="n">
        <v>45412</v>
      </c>
      <c r="C6356" s="3" t="inlineStr">
        <is>
          <t>Expenses</t>
        </is>
      </c>
      <c r="D6356" s="3" t="inlineStr">
        <is>
          <t>3850/001</t>
        </is>
      </c>
      <c r="E6356" s="3" t="inlineStr">
        <is>
          <t>Insurance - Santam</t>
        </is>
      </c>
      <c r="F6356" s="3" t="n">
        <v>5836.72</v>
      </c>
      <c r="G6356" s="3" t="n">
        <v>18893.08</v>
      </c>
    </row>
    <row r="6357">
      <c r="A6357" s="3" t="inlineStr">
        <is>
          <t>Heron Fields (Pty) Ltd</t>
        </is>
      </c>
      <c r="B6357" s="4" t="n">
        <v>45412</v>
      </c>
      <c r="C6357" s="3" t="inlineStr">
        <is>
          <t>Expenses</t>
        </is>
      </c>
      <c r="D6357" s="3" t="inlineStr">
        <is>
          <t>3900/000</t>
        </is>
      </c>
      <c r="E6357" s="3" t="inlineStr">
        <is>
          <t>Interest Paid</t>
        </is>
      </c>
      <c r="F6357" s="3" t="n">
        <v>0</v>
      </c>
      <c r="G6357" s="3" t="n">
        <v>5281.4</v>
      </c>
    </row>
    <row r="6358">
      <c r="A6358" s="3" t="inlineStr">
        <is>
          <t>Heron View (Pty) Ltd</t>
        </is>
      </c>
      <c r="B6358" s="4" t="n">
        <v>45412</v>
      </c>
      <c r="C6358" s="3" t="inlineStr">
        <is>
          <t>Expenses</t>
        </is>
      </c>
      <c r="D6358" s="3" t="inlineStr">
        <is>
          <t>3900/120</t>
        </is>
      </c>
      <c r="E6358" s="3" t="inlineStr">
        <is>
          <t>Interest Paid - Investors @ 7%</t>
        </is>
      </c>
      <c r="F6358" s="3" t="n">
        <v>0</v>
      </c>
      <c r="G6358" s="3" t="n">
        <v>575.35</v>
      </c>
    </row>
    <row r="6359">
      <c r="A6359" s="3" t="inlineStr">
        <is>
          <t>Heron View (Pty) Ltd</t>
        </is>
      </c>
      <c r="B6359" s="4" t="n">
        <v>45412</v>
      </c>
      <c r="C6359" s="3" t="inlineStr">
        <is>
          <t>Expenses</t>
        </is>
      </c>
      <c r="D6359" s="3" t="inlineStr">
        <is>
          <t>3900/126</t>
        </is>
      </c>
      <c r="E6359" s="3" t="inlineStr">
        <is>
          <t>Interest Paid - Investors @ 7.5%</t>
        </is>
      </c>
      <c r="F6359" s="3" t="n">
        <v>0</v>
      </c>
      <c r="G6359" s="3" t="n">
        <v>6267.13</v>
      </c>
    </row>
    <row r="6360">
      <c r="A6360" s="3" t="inlineStr">
        <is>
          <t>Heron View (Pty) Ltd</t>
        </is>
      </c>
      <c r="B6360" s="4" t="n">
        <v>45412</v>
      </c>
      <c r="C6360" s="3" t="inlineStr">
        <is>
          <t>Expenses</t>
        </is>
      </c>
      <c r="D6360" s="3" t="inlineStr">
        <is>
          <t>3900/230</t>
        </is>
      </c>
      <c r="E6360" s="3" t="inlineStr">
        <is>
          <t>Interest Paid - Investors @ 18%</t>
        </is>
      </c>
      <c r="F6360" s="3" t="n">
        <v>0</v>
      </c>
      <c r="G6360" s="3" t="n">
        <v>308712.32</v>
      </c>
    </row>
    <row r="6361">
      <c r="A6361" s="3" t="inlineStr">
        <is>
          <t>Heron View (Pty) Ltd</t>
        </is>
      </c>
      <c r="B6361" s="4" t="n">
        <v>45412</v>
      </c>
      <c r="C6361" s="3" t="inlineStr">
        <is>
          <t>Expenses</t>
        </is>
      </c>
      <c r="D6361" s="3" t="inlineStr">
        <is>
          <t>4050/000</t>
        </is>
      </c>
      <c r="E6361" s="3" t="inlineStr">
        <is>
          <t>Levies</t>
        </is>
      </c>
      <c r="F6361" s="3" t="n">
        <v>4158.39</v>
      </c>
      <c r="G6361" s="3" t="n">
        <v>10797.32</v>
      </c>
    </row>
    <row r="6362">
      <c r="A6362" s="3" t="inlineStr">
        <is>
          <t>Heron Fields (Pty) Ltd</t>
        </is>
      </c>
      <c r="B6362" s="4" t="n">
        <v>45412</v>
      </c>
      <c r="C6362" s="3" t="inlineStr">
        <is>
          <t>Expenses</t>
        </is>
      </c>
      <c r="D6362" s="3" t="inlineStr">
        <is>
          <t>4050/200</t>
        </is>
      </c>
      <c r="E6362" s="3" t="inlineStr">
        <is>
          <t>Levies - Amari</t>
        </is>
      </c>
      <c r="F6362" s="3" t="n">
        <v>6060.21</v>
      </c>
      <c r="G6362" s="3" t="n">
        <v>21701.3</v>
      </c>
    </row>
    <row r="6363">
      <c r="A6363" s="3" t="inlineStr">
        <is>
          <t>Heron Fields (Pty) Ltd</t>
        </is>
      </c>
      <c r="B6363" s="4" t="n">
        <v>45412</v>
      </c>
      <c r="C6363" s="3" t="inlineStr">
        <is>
          <t>Expenses</t>
        </is>
      </c>
      <c r="D6363" s="3" t="inlineStr">
        <is>
          <t>4100/001</t>
        </is>
      </c>
      <c r="E6363" s="3" t="inlineStr">
        <is>
          <t>Momentum Admin Fee</t>
        </is>
      </c>
      <c r="F6363" s="3" t="n">
        <v>2086.06</v>
      </c>
      <c r="G6363" s="3" t="n">
        <v>7227.08</v>
      </c>
    </row>
    <row r="6364">
      <c r="A6364" s="3" t="inlineStr">
        <is>
          <t>Cape Projects Construction (Pty) Ltd</t>
        </is>
      </c>
      <c r="B6364" s="4" t="n">
        <v>45412</v>
      </c>
      <c r="C6364" s="3" t="inlineStr">
        <is>
          <t>Expenses</t>
        </is>
      </c>
      <c r="D6364" s="3" t="inlineStr">
        <is>
          <t>4150/010</t>
        </is>
      </c>
      <c r="E6364" s="3" t="inlineStr">
        <is>
          <t>Motor Vehicle - Petrol _AND_ Oil</t>
        </is>
      </c>
      <c r="F6364" s="3" t="n">
        <v>200</v>
      </c>
      <c r="G6364" s="3" t="n">
        <v>5208.46</v>
      </c>
    </row>
    <row r="6365">
      <c r="A6365" s="3" t="inlineStr">
        <is>
          <t>Cape Projects Construction (Pty) Ltd</t>
        </is>
      </c>
      <c r="B6365" s="4" t="n">
        <v>45412</v>
      </c>
      <c r="C6365" s="3" t="inlineStr">
        <is>
          <t>Expenses</t>
        </is>
      </c>
      <c r="D6365" s="3" t="inlineStr">
        <is>
          <t>4200/000</t>
        </is>
      </c>
      <c r="E6365" s="3" t="inlineStr">
        <is>
          <t>Printing _AND_ Stationery</t>
        </is>
      </c>
      <c r="F6365" s="3" t="n">
        <v>2232.92</v>
      </c>
      <c r="G6365" s="3" t="n">
        <v>4971.8</v>
      </c>
    </row>
    <row r="6366">
      <c r="A6366" s="3" t="inlineStr">
        <is>
          <t>Cape Projects Construction (Pty) Ltd</t>
        </is>
      </c>
      <c r="B6366" s="4" t="n">
        <v>45412</v>
      </c>
      <c r="C6366" s="3" t="inlineStr">
        <is>
          <t>Expenses</t>
        </is>
      </c>
      <c r="D6366" s="3" t="inlineStr">
        <is>
          <t>4201/000</t>
        </is>
      </c>
      <c r="E6366" s="3" t="inlineStr">
        <is>
          <t>Printing - Printer rental</t>
        </is>
      </c>
      <c r="F6366" s="3" t="n">
        <v>2409.2</v>
      </c>
      <c r="G6366" s="3" t="n">
        <v>3915.67</v>
      </c>
    </row>
    <row r="6367">
      <c r="A6367" s="3" t="inlineStr">
        <is>
          <t>Cape Projects Construction (Pty) Ltd</t>
        </is>
      </c>
      <c r="B6367" s="4" t="n">
        <v>45412</v>
      </c>
      <c r="C6367" s="3" t="inlineStr">
        <is>
          <t>Expenses</t>
        </is>
      </c>
      <c r="D6367" s="3" t="inlineStr">
        <is>
          <t>4300/000</t>
        </is>
      </c>
      <c r="E6367" s="3" t="inlineStr">
        <is>
          <t>Rent Paid</t>
        </is>
      </c>
      <c r="F6367" s="3" t="n">
        <v>31820</v>
      </c>
      <c r="G6367" s="3" t="n">
        <v>74001.42999999999</v>
      </c>
    </row>
    <row r="6368">
      <c r="A6368" s="3" t="inlineStr">
        <is>
          <t>Cape Projects Construction (Pty) Ltd</t>
        </is>
      </c>
      <c r="B6368" s="4" t="n">
        <v>45412</v>
      </c>
      <c r="C6368" s="3" t="inlineStr">
        <is>
          <t>Expenses</t>
        </is>
      </c>
      <c r="D6368" s="3" t="inlineStr">
        <is>
          <t>4310/000</t>
        </is>
      </c>
      <c r="E6368" s="3" t="inlineStr">
        <is>
          <t>Rates</t>
        </is>
      </c>
      <c r="F6368" s="3" t="n">
        <v>989.75</v>
      </c>
      <c r="G6368" s="3" t="n">
        <v>1979.5</v>
      </c>
    </row>
    <row r="6369">
      <c r="A6369" s="3" t="inlineStr">
        <is>
          <t>Cape Projects Construction (Pty) Ltd</t>
        </is>
      </c>
      <c r="B6369" s="4" t="n">
        <v>45412</v>
      </c>
      <c r="C6369" s="3" t="inlineStr">
        <is>
          <t>Expenses</t>
        </is>
      </c>
      <c r="D6369" s="3" t="inlineStr">
        <is>
          <t>4350/000</t>
        </is>
      </c>
      <c r="E6369" s="3" t="inlineStr">
        <is>
          <t>Repairs _AND_ Maintenance</t>
        </is>
      </c>
      <c r="F6369" s="3" t="n">
        <v>3919.34</v>
      </c>
      <c r="G6369" s="3" t="n">
        <v>7757.53</v>
      </c>
    </row>
    <row r="6370">
      <c r="A6370" s="3" t="inlineStr">
        <is>
          <t>Heron View (Pty) Ltd</t>
        </is>
      </c>
      <c r="B6370" s="4" t="n">
        <v>45412</v>
      </c>
      <c r="C6370" s="3" t="inlineStr">
        <is>
          <t>Expenses</t>
        </is>
      </c>
      <c r="D6370" s="3" t="inlineStr">
        <is>
          <t>4350/000</t>
        </is>
      </c>
      <c r="E6370" s="3" t="inlineStr">
        <is>
          <t>Repairs _AND_ Maintenance</t>
        </is>
      </c>
      <c r="F6370" s="3" t="n">
        <v>2815.04</v>
      </c>
      <c r="G6370" s="3" t="n">
        <v>2815.04</v>
      </c>
    </row>
    <row r="6371">
      <c r="A6371" s="3" t="inlineStr">
        <is>
          <t>Cape Projects Construction (Pty) Ltd</t>
        </is>
      </c>
      <c r="B6371" s="4" t="n">
        <v>45412</v>
      </c>
      <c r="C6371" s="3" t="inlineStr">
        <is>
          <t>Expenses</t>
        </is>
      </c>
      <c r="D6371" s="3" t="inlineStr">
        <is>
          <t>4400/000</t>
        </is>
      </c>
      <c r="E6371" s="3" t="inlineStr">
        <is>
          <t>Salaries _AND_ Wages</t>
        </is>
      </c>
      <c r="F6371" s="3" t="n">
        <v>378433.62</v>
      </c>
      <c r="G6371" s="3" t="n">
        <v>771426.33</v>
      </c>
    </row>
    <row r="6372">
      <c r="A6372" s="3" t="inlineStr">
        <is>
          <t>Heron Fields (Pty) Ltd</t>
        </is>
      </c>
      <c r="B6372" s="4" t="n">
        <v>45412</v>
      </c>
      <c r="C6372" s="3" t="inlineStr">
        <is>
          <t>Expenses</t>
        </is>
      </c>
      <c r="D6372" s="3" t="inlineStr">
        <is>
          <t>4420/001</t>
        </is>
      </c>
      <c r="E6372" s="3" t="inlineStr">
        <is>
          <t>Security - ADT</t>
        </is>
      </c>
      <c r="F6372" s="3" t="n">
        <v>0</v>
      </c>
      <c r="G6372" s="3" t="n">
        <v>749.28</v>
      </c>
    </row>
    <row r="6373">
      <c r="A6373" s="3" t="inlineStr">
        <is>
          <t>Cape Projects Construction (Pty) Ltd</t>
        </is>
      </c>
      <c r="B6373" s="4" t="n">
        <v>45412</v>
      </c>
      <c r="C6373" s="3" t="inlineStr">
        <is>
          <t>Expenses</t>
        </is>
      </c>
      <c r="D6373" s="3" t="inlineStr">
        <is>
          <t>4420/100</t>
        </is>
      </c>
      <c r="E6373" s="3" t="inlineStr">
        <is>
          <t>Small Assets - Show Unit O101</t>
        </is>
      </c>
      <c r="F6373" s="3" t="n">
        <v>0</v>
      </c>
      <c r="G6373" s="3" t="n">
        <v>4356.7</v>
      </c>
    </row>
    <row r="6374">
      <c r="A6374" s="3" t="inlineStr">
        <is>
          <t>Cape Projects Construction (Pty) Ltd</t>
        </is>
      </c>
      <c r="B6374" s="4" t="n">
        <v>45412</v>
      </c>
      <c r="C6374" s="3" t="inlineStr">
        <is>
          <t>Expenses</t>
        </is>
      </c>
      <c r="D6374" s="3" t="inlineStr">
        <is>
          <t>4500/000</t>
        </is>
      </c>
      <c r="E6374" s="3" t="inlineStr">
        <is>
          <t>Staff Welfare _AND_ Refreshmts</t>
        </is>
      </c>
      <c r="F6374" s="3" t="n">
        <v>1584.57</v>
      </c>
      <c r="G6374" s="3" t="n">
        <v>2423.75</v>
      </c>
    </row>
    <row r="6375">
      <c r="A6375" s="3" t="inlineStr">
        <is>
          <t>Cape Projects Construction (Pty) Ltd</t>
        </is>
      </c>
      <c r="B6375" s="4" t="n">
        <v>45412</v>
      </c>
      <c r="C6375" s="3" t="inlineStr">
        <is>
          <t>Expenses</t>
        </is>
      </c>
      <c r="D6375" s="3" t="inlineStr">
        <is>
          <t>4550/000</t>
        </is>
      </c>
      <c r="E6375" s="3" t="inlineStr">
        <is>
          <t>Subscriptions / Licenses</t>
        </is>
      </c>
      <c r="F6375" s="3" t="n">
        <v>8625</v>
      </c>
      <c r="G6375" s="3" t="n">
        <v>9775</v>
      </c>
    </row>
    <row r="6376">
      <c r="A6376" s="3" t="inlineStr">
        <is>
          <t>Cape Projects Construction (Pty) Ltd</t>
        </is>
      </c>
      <c r="B6376" s="4" t="n">
        <v>45412</v>
      </c>
      <c r="C6376" s="3" t="inlineStr">
        <is>
          <t>Expenses</t>
        </is>
      </c>
      <c r="D6376" s="3" t="inlineStr">
        <is>
          <t>4550/001</t>
        </is>
      </c>
      <c r="E6376" s="3" t="inlineStr">
        <is>
          <t>Subscriptions &amp; Licenses - Sage payroll</t>
        </is>
      </c>
      <c r="F6376" s="3" t="n">
        <v>3240</v>
      </c>
      <c r="G6376" s="3" t="n">
        <v>3240</v>
      </c>
    </row>
    <row r="6377">
      <c r="A6377" s="3" t="inlineStr">
        <is>
          <t>Cape Projects Construction (Pty) Ltd</t>
        </is>
      </c>
      <c r="B6377" s="4" t="n">
        <v>45412</v>
      </c>
      <c r="C6377" s="3" t="inlineStr">
        <is>
          <t>Expenses</t>
        </is>
      </c>
      <c r="D6377" s="3" t="inlineStr">
        <is>
          <t>4550/003</t>
        </is>
      </c>
      <c r="E6377" s="3" t="inlineStr">
        <is>
          <t>Subscriptions &amp; Licenses - Xero</t>
        </is>
      </c>
      <c r="F6377" s="3" t="n">
        <v>600</v>
      </c>
      <c r="G6377" s="3" t="n">
        <v>1200</v>
      </c>
    </row>
    <row r="6378">
      <c r="A6378" s="3" t="inlineStr">
        <is>
          <t>Cape Projects Construction (Pty) Ltd</t>
        </is>
      </c>
      <c r="B6378" s="4" t="n">
        <v>45412</v>
      </c>
      <c r="C6378" s="3" t="inlineStr">
        <is>
          <t>Expenses</t>
        </is>
      </c>
      <c r="D6378" s="3" t="inlineStr">
        <is>
          <t>4550/004</t>
        </is>
      </c>
      <c r="E6378" s="3" t="inlineStr">
        <is>
          <t>Subscriptions - Smartsheet</t>
        </is>
      </c>
      <c r="F6378" s="3" t="n">
        <v>1089</v>
      </c>
      <c r="G6378" s="3" t="n">
        <v>2178</v>
      </c>
    </row>
    <row r="6379">
      <c r="A6379" s="3" t="inlineStr">
        <is>
          <t>Cape Projects Construction (Pty) Ltd</t>
        </is>
      </c>
      <c r="B6379" s="4" t="n">
        <v>45412</v>
      </c>
      <c r="C6379" s="3" t="inlineStr">
        <is>
          <t>Expenses</t>
        </is>
      </c>
      <c r="D6379" s="3" t="inlineStr">
        <is>
          <t>4550/007</t>
        </is>
      </c>
      <c r="E6379" s="3" t="inlineStr">
        <is>
          <t>Subscription &amp; Licenses - ERS Bio</t>
        </is>
      </c>
      <c r="F6379" s="3" t="n">
        <v>0</v>
      </c>
      <c r="G6379" s="3" t="n">
        <v>718.9299999999999</v>
      </c>
    </row>
    <row r="6380">
      <c r="A6380" s="3" t="inlineStr">
        <is>
          <t>Heron Fields (Pty) Ltd</t>
        </is>
      </c>
      <c r="B6380" s="4" t="n">
        <v>45412</v>
      </c>
      <c r="C6380" s="3" t="inlineStr">
        <is>
          <t>Expenses</t>
        </is>
      </c>
      <c r="D6380" s="3" t="inlineStr">
        <is>
          <t>4550/100</t>
        </is>
      </c>
      <c r="E6380" s="3" t="inlineStr">
        <is>
          <t>Subscriptions - Xero</t>
        </is>
      </c>
      <c r="F6380" s="3" t="n">
        <v>600</v>
      </c>
      <c r="G6380" s="3" t="n">
        <v>1200</v>
      </c>
    </row>
    <row r="6381">
      <c r="A6381" s="3" t="inlineStr">
        <is>
          <t>Heron View (Pty) Ltd</t>
        </is>
      </c>
      <c r="B6381" s="4" t="n">
        <v>45412</v>
      </c>
      <c r="C6381" s="3" t="inlineStr">
        <is>
          <t>Expenses</t>
        </is>
      </c>
      <c r="D6381" s="3" t="inlineStr">
        <is>
          <t>4550/100</t>
        </is>
      </c>
      <c r="E6381" s="3" t="inlineStr">
        <is>
          <t>Subscriptions - Xero</t>
        </is>
      </c>
      <c r="F6381" s="3" t="n">
        <v>600</v>
      </c>
      <c r="G6381" s="3" t="n">
        <v>1200</v>
      </c>
    </row>
    <row r="6382">
      <c r="A6382" s="3" t="inlineStr">
        <is>
          <t>Cape Projects Construction (Pty) Ltd</t>
        </is>
      </c>
      <c r="B6382" s="4" t="n">
        <v>45412</v>
      </c>
      <c r="C6382" s="3" t="inlineStr">
        <is>
          <t>Expenses</t>
        </is>
      </c>
      <c r="D6382" s="3" t="inlineStr">
        <is>
          <t>4600/000</t>
        </is>
      </c>
      <c r="E6382" s="3" t="inlineStr">
        <is>
          <t>Telephone _AND_ Fax</t>
        </is>
      </c>
      <c r="F6382" s="3" t="n">
        <v>3435.07</v>
      </c>
      <c r="G6382" s="3" t="n">
        <v>6716.06</v>
      </c>
    </row>
    <row r="6383">
      <c r="A6383" s="3" t="inlineStr">
        <is>
          <t>Cape Projects Construction (Pty) Ltd</t>
        </is>
      </c>
      <c r="B6383" s="4" t="n">
        <v>45412</v>
      </c>
      <c r="C6383" s="3" t="inlineStr">
        <is>
          <t>Expenses</t>
        </is>
      </c>
      <c r="D6383" s="3" t="inlineStr">
        <is>
          <t>4700/000</t>
        </is>
      </c>
      <c r="E6383" s="3" t="inlineStr">
        <is>
          <t>PAYE Contributions</t>
        </is>
      </c>
      <c r="F6383" s="3" t="n">
        <v>90747.36</v>
      </c>
      <c r="G6383" s="3" t="n">
        <v>182556.26</v>
      </c>
    </row>
    <row r="6384">
      <c r="A6384" s="3" t="inlineStr">
        <is>
          <t>Cape Projects Construction (Pty) Ltd</t>
        </is>
      </c>
      <c r="B6384" s="4" t="n">
        <v>45412</v>
      </c>
      <c r="C6384" s="3" t="inlineStr">
        <is>
          <t>Expenses</t>
        </is>
      </c>
      <c r="D6384" s="3" t="inlineStr">
        <is>
          <t>4720/000</t>
        </is>
      </c>
      <c r="E6384" s="3" t="inlineStr">
        <is>
          <t>SDL Contributions</t>
        </is>
      </c>
      <c r="F6384" s="3" t="n">
        <v>4593.54</v>
      </c>
      <c r="G6384" s="3" t="n">
        <v>9344.92</v>
      </c>
    </row>
    <row r="6385">
      <c r="A6385" s="3" t="inlineStr">
        <is>
          <t>Cape Projects Construction (Pty) Ltd</t>
        </is>
      </c>
      <c r="B6385" s="4" t="n">
        <v>45412</v>
      </c>
      <c r="C6385" s="3" t="inlineStr">
        <is>
          <t>Expenses</t>
        </is>
      </c>
      <c r="D6385" s="3" t="inlineStr">
        <is>
          <t>4730/000</t>
        </is>
      </c>
      <c r="E6385" s="3" t="inlineStr">
        <is>
          <t>UIF Company Contributions</t>
        </is>
      </c>
      <c r="F6385" s="3" t="n">
        <v>2426.09</v>
      </c>
      <c r="G6385" s="3" t="n">
        <v>5009.96</v>
      </c>
    </row>
    <row r="6386">
      <c r="A6386" s="3" t="inlineStr">
        <is>
          <t>Cape Projects Construction (Pty) Ltd</t>
        </is>
      </c>
      <c r="B6386" s="4" t="n">
        <v>45412</v>
      </c>
      <c r="C6386" s="3" t="inlineStr">
        <is>
          <t>Expenses</t>
        </is>
      </c>
      <c r="D6386" s="3" t="inlineStr">
        <is>
          <t>4731/000</t>
        </is>
      </c>
      <c r="E6386" s="3" t="inlineStr">
        <is>
          <t>UIF Employee Contribution</t>
        </is>
      </c>
      <c r="F6386" s="3" t="n">
        <v>2426.09</v>
      </c>
      <c r="G6386" s="3" t="n">
        <v>5009.96</v>
      </c>
    </row>
    <row r="6387">
      <c r="A6387" s="3" t="inlineStr">
        <is>
          <t>Heron Fields (Pty) Ltd</t>
        </is>
      </c>
      <c r="B6387" s="4" t="n">
        <v>45412</v>
      </c>
      <c r="C6387" s="3" t="inlineStr">
        <is>
          <t>Equity</t>
        </is>
      </c>
      <c r="D6387" s="3" t="inlineStr">
        <is>
          <t>5100-000</t>
        </is>
      </c>
      <c r="E6387" s="3" t="inlineStr">
        <is>
          <t>Share Capital</t>
        </is>
      </c>
      <c r="F6387" s="3" t="n">
        <v>0</v>
      </c>
      <c r="G6387" s="3" t="n">
        <v>-100</v>
      </c>
    </row>
    <row r="6388">
      <c r="A6388" s="3" t="inlineStr">
        <is>
          <t>Cape Projects Construction (Pty) Ltd</t>
        </is>
      </c>
      <c r="B6388" s="4" t="n">
        <v>45412</v>
      </c>
      <c r="C6388" s="3" t="inlineStr">
        <is>
          <t>Equity</t>
        </is>
      </c>
      <c r="D6388" s="3" t="inlineStr">
        <is>
          <t>5100/000</t>
        </is>
      </c>
      <c r="E6388" s="3" t="inlineStr">
        <is>
          <t>Share Capital / Members Contribution</t>
        </is>
      </c>
      <c r="F6388" s="3" t="n">
        <v>0</v>
      </c>
      <c r="G6388" s="3" t="n">
        <v>-120</v>
      </c>
    </row>
    <row r="6389">
      <c r="A6389" s="3" t="inlineStr">
        <is>
          <t>Cape Projects Construction (Pty) Ltd</t>
        </is>
      </c>
      <c r="B6389" s="4" t="n">
        <v>45412</v>
      </c>
      <c r="C6389" s="3" t="inlineStr">
        <is>
          <t>Equity</t>
        </is>
      </c>
      <c r="D6389" s="3" t="inlineStr">
        <is>
          <t>5200/000</t>
        </is>
      </c>
      <c r="E6389" s="3" t="inlineStr">
        <is>
          <t>Retained Earnings / Loss</t>
        </is>
      </c>
      <c r="F6389" s="3" t="n">
        <v>0</v>
      </c>
      <c r="G6389" s="3" t="n">
        <v>17735.34</v>
      </c>
    </row>
    <row r="6390">
      <c r="A6390" s="3" t="inlineStr">
        <is>
          <t>Heron Fields (Pty) Ltd</t>
        </is>
      </c>
      <c r="B6390" s="4" t="n">
        <v>45412</v>
      </c>
      <c r="C6390" s="3" t="inlineStr">
        <is>
          <t>Equity</t>
        </is>
      </c>
      <c r="D6390" s="3" t="inlineStr">
        <is>
          <t>5200/000</t>
        </is>
      </c>
      <c r="E6390" s="3" t="inlineStr">
        <is>
          <t>Retained Earnings / Loss</t>
        </is>
      </c>
      <c r="F6390" s="3" t="n">
        <v>0</v>
      </c>
      <c r="G6390" s="3" t="n">
        <v>-39545639.3</v>
      </c>
    </row>
    <row r="6391">
      <c r="A6391" s="3" t="inlineStr">
        <is>
          <t>Heron View (Pty) Ltd</t>
        </is>
      </c>
      <c r="B6391" s="4" t="n">
        <v>45412</v>
      </c>
      <c r="C6391" s="3" t="inlineStr">
        <is>
          <t>Equity</t>
        </is>
      </c>
      <c r="D6391" s="3" t="inlineStr">
        <is>
          <t>5200/000</t>
        </is>
      </c>
      <c r="E6391" s="3" t="inlineStr">
        <is>
          <t>Retained Earnings / Loss</t>
        </is>
      </c>
      <c r="F6391" s="3" t="n">
        <v>0</v>
      </c>
      <c r="G6391" s="3" t="n">
        <v>-30792555.22</v>
      </c>
    </row>
    <row r="6392">
      <c r="A6392" s="3" t="inlineStr">
        <is>
          <t>Heron Fields (Pty) Ltd</t>
        </is>
      </c>
      <c r="B6392" s="4" t="n">
        <v>45412</v>
      </c>
      <c r="C6392" s="3" t="inlineStr">
        <is>
          <t>Assets</t>
        </is>
      </c>
      <c r="D6392" s="3" t="inlineStr">
        <is>
          <t>5300/001</t>
        </is>
      </c>
      <c r="E6392" s="3" t="inlineStr">
        <is>
          <t>Revaluation of Land stock</t>
        </is>
      </c>
      <c r="F6392" s="3" t="n">
        <v>0</v>
      </c>
      <c r="G6392" s="3" t="n">
        <v>17562360.85</v>
      </c>
    </row>
    <row r="6393">
      <c r="A6393" s="3" t="inlineStr">
        <is>
          <t>Heron Fields (Pty) Ltd</t>
        </is>
      </c>
      <c r="B6393" s="4" t="n">
        <v>45412</v>
      </c>
      <c r="C6393" s="3" t="inlineStr">
        <is>
          <t>Assets</t>
        </is>
      </c>
      <c r="D6393" s="3" t="inlineStr">
        <is>
          <t>5400/000</t>
        </is>
      </c>
      <c r="E6393" s="3" t="inlineStr">
        <is>
          <t>Deposit: Ruiterwacht development</t>
        </is>
      </c>
      <c r="F6393" s="3" t="n">
        <v>0</v>
      </c>
      <c r="G6393" s="3" t="n">
        <v>13457359</v>
      </c>
    </row>
    <row r="6394">
      <c r="A6394" s="3" t="inlineStr">
        <is>
          <t>Cape Projects Construction (Pty) Ltd</t>
        </is>
      </c>
      <c r="B6394" s="4" t="n">
        <v>45412</v>
      </c>
      <c r="C6394" s="3" t="inlineStr">
        <is>
          <t>Assets</t>
        </is>
      </c>
      <c r="D6394" s="3" t="inlineStr">
        <is>
          <t>5400/150</t>
        </is>
      </c>
      <c r="E6394" s="3" t="inlineStr">
        <is>
          <t>Loan - Quinate</t>
        </is>
      </c>
      <c r="F6394" s="3" t="n">
        <v>-30000</v>
      </c>
      <c r="G6394" s="3" t="n">
        <v>-4047423.63</v>
      </c>
    </row>
    <row r="6395">
      <c r="A6395" s="3" t="inlineStr">
        <is>
          <t>Cape Projects Construction (Pty) Ltd</t>
        </is>
      </c>
      <c r="B6395" s="4" t="n">
        <v>45412</v>
      </c>
      <c r="C6395" s="3" t="inlineStr">
        <is>
          <t>Assets</t>
        </is>
      </c>
      <c r="D6395" s="3" t="inlineStr">
        <is>
          <t>5400/160</t>
        </is>
      </c>
      <c r="E6395" s="3" t="inlineStr">
        <is>
          <t>Loan - Sales</t>
        </is>
      </c>
      <c r="F6395" s="3" t="n">
        <v>15000</v>
      </c>
      <c r="G6395" s="3" t="n">
        <v>-145000</v>
      </c>
    </row>
    <row r="6396">
      <c r="A6396" s="3" t="inlineStr">
        <is>
          <t>Cape Projects Construction (Pty) Ltd</t>
        </is>
      </c>
      <c r="B6396" s="4" t="n">
        <v>45412</v>
      </c>
      <c r="C6396" s="3" t="inlineStr">
        <is>
          <t>Assets</t>
        </is>
      </c>
      <c r="D6396" s="3" t="inlineStr">
        <is>
          <t>5400/220</t>
        </is>
      </c>
      <c r="E6396" s="3" t="inlineStr">
        <is>
          <t>Members Loan - WH</t>
        </is>
      </c>
      <c r="F6396" s="3" t="n">
        <v>0</v>
      </c>
      <c r="G6396" s="3" t="n">
        <v>-4342.5</v>
      </c>
    </row>
    <row r="6397">
      <c r="A6397" s="3" t="inlineStr">
        <is>
          <t>Cape Projects Construction (Pty) Ltd</t>
        </is>
      </c>
      <c r="B6397" s="4" t="n">
        <v>45412</v>
      </c>
      <c r="C6397" s="3" t="inlineStr">
        <is>
          <t>Assets</t>
        </is>
      </c>
      <c r="D6397" s="3" t="inlineStr">
        <is>
          <t>5400/300</t>
        </is>
      </c>
      <c r="E6397" s="3" t="inlineStr">
        <is>
          <t>Loan - Opportunity ResidentialCUST ACC</t>
        </is>
      </c>
      <c r="F6397" s="3" t="n">
        <v>0</v>
      </c>
      <c r="G6397" s="3" t="n">
        <v>4702.35</v>
      </c>
    </row>
    <row r="6398">
      <c r="A6398" s="3" t="inlineStr">
        <is>
          <t>Cape Projects Construction (Pty) Ltd</t>
        </is>
      </c>
      <c r="B6398" s="4" t="n">
        <v>45412</v>
      </c>
      <c r="C6398" s="3" t="inlineStr">
        <is>
          <t>Assets</t>
        </is>
      </c>
      <c r="D6398" s="3" t="inlineStr">
        <is>
          <t>5400/450</t>
        </is>
      </c>
      <c r="E6398" s="3" t="inlineStr">
        <is>
          <t>Loan - Opportunity Investment</t>
        </is>
      </c>
      <c r="F6398" s="3" t="n">
        <v>34000</v>
      </c>
      <c r="G6398" s="3" t="n">
        <v>-1212000</v>
      </c>
    </row>
    <row r="6399">
      <c r="A6399" s="3" t="inlineStr">
        <is>
          <t>Cape Projects Construction (Pty) Ltd</t>
        </is>
      </c>
      <c r="B6399" s="4" t="n">
        <v>45412</v>
      </c>
      <c r="C6399" s="3" t="inlineStr">
        <is>
          <t>Assets</t>
        </is>
      </c>
      <c r="D6399" s="3" t="inlineStr">
        <is>
          <t>5400/500</t>
        </is>
      </c>
      <c r="E6399" s="3" t="inlineStr">
        <is>
          <t>Loan - Blou Mamba Trust</t>
        </is>
      </c>
      <c r="F6399" s="3" t="n">
        <v>0</v>
      </c>
      <c r="G6399" s="3" t="n">
        <v>4342.5</v>
      </c>
    </row>
    <row r="6400">
      <c r="A6400" s="3" t="inlineStr">
        <is>
          <t>Cape Projects Construction (Pty) Ltd</t>
        </is>
      </c>
      <c r="B6400" s="4" t="n">
        <v>45412</v>
      </c>
      <c r="C6400" s="3" t="inlineStr">
        <is>
          <t>Assets</t>
        </is>
      </c>
      <c r="D6400" s="3" t="inlineStr">
        <is>
          <t>5400/550</t>
        </is>
      </c>
      <c r="E6400" s="3" t="inlineStr">
        <is>
          <t>Loan - Trademark</t>
        </is>
      </c>
      <c r="F6400" s="3" t="n">
        <v>600</v>
      </c>
      <c r="G6400" s="3" t="n">
        <v>-56400</v>
      </c>
    </row>
    <row r="6401">
      <c r="A6401" s="3" t="inlineStr">
        <is>
          <t>Cape Projects Construction (Pty) Ltd</t>
        </is>
      </c>
      <c r="B6401" s="4" t="n">
        <v>45412</v>
      </c>
      <c r="C6401" s="3" t="inlineStr">
        <is>
          <t>Assets</t>
        </is>
      </c>
      <c r="D6401" s="3" t="inlineStr">
        <is>
          <t>5400/600</t>
        </is>
      </c>
      <c r="E6401" s="3" t="inlineStr">
        <is>
          <t>Loan - Heron Projects</t>
        </is>
      </c>
      <c r="F6401" s="3" t="n">
        <v>-1705000</v>
      </c>
      <c r="G6401" s="3" t="n">
        <v>-28629738.42</v>
      </c>
    </row>
    <row r="6402">
      <c r="A6402" s="3" t="inlineStr">
        <is>
          <t>Cape Projects Construction (Pty) Ltd</t>
        </is>
      </c>
      <c r="B6402" s="4" t="n">
        <v>45412</v>
      </c>
      <c r="C6402" s="3" t="inlineStr">
        <is>
          <t>Assets</t>
        </is>
      </c>
      <c r="D6402" s="3" t="inlineStr">
        <is>
          <t>5400/650</t>
        </is>
      </c>
      <c r="E6402" s="3" t="inlineStr">
        <is>
          <t>Loan - Noble Shield</t>
        </is>
      </c>
      <c r="F6402" s="3" t="n">
        <v>600</v>
      </c>
      <c r="G6402" s="3" t="n">
        <v>-198989.44</v>
      </c>
    </row>
    <row r="6403">
      <c r="A6403" s="3" t="inlineStr">
        <is>
          <t>Cape Projects Construction (Pty) Ltd</t>
        </is>
      </c>
      <c r="B6403" s="4" t="n">
        <v>45412</v>
      </c>
      <c r="C6403" s="3" t="inlineStr">
        <is>
          <t>Assets</t>
        </is>
      </c>
      <c r="D6403" s="3" t="inlineStr">
        <is>
          <t>5400/750</t>
        </is>
      </c>
      <c r="E6403" s="3" t="inlineStr">
        <is>
          <t>Loan - Endulini</t>
        </is>
      </c>
      <c r="F6403" s="3" t="n">
        <v>-150000</v>
      </c>
      <c r="G6403" s="3" t="n">
        <v>26492687.4</v>
      </c>
    </row>
    <row r="6404">
      <c r="A6404" s="3" t="inlineStr">
        <is>
          <t>Cape Projects Construction (Pty) Ltd</t>
        </is>
      </c>
      <c r="B6404" s="4" t="n">
        <v>45412</v>
      </c>
      <c r="C6404" s="3" t="inlineStr">
        <is>
          <t>Assets</t>
        </is>
      </c>
      <c r="D6404" s="3" t="inlineStr">
        <is>
          <t>5400/800</t>
        </is>
      </c>
      <c r="E6404" s="3" t="inlineStr">
        <is>
          <t>Loan - Opportunity Management Holdings</t>
        </is>
      </c>
      <c r="F6404" s="3" t="n">
        <v>0</v>
      </c>
      <c r="G6404" s="3" t="n">
        <v>317399</v>
      </c>
    </row>
    <row r="6405">
      <c r="A6405" s="3" t="inlineStr">
        <is>
          <t>Heron View (Pty) Ltd</t>
        </is>
      </c>
      <c r="B6405" s="4" t="n">
        <v>45412</v>
      </c>
      <c r="C6405" s="3" t="inlineStr">
        <is>
          <t>Liabilities</t>
        </is>
      </c>
      <c r="D6405" s="3" t="inlineStr">
        <is>
          <t>5500/001</t>
        </is>
      </c>
      <c r="E6405" s="3" t="inlineStr">
        <is>
          <t>Loan - Heron Fields</t>
        </is>
      </c>
      <c r="F6405" s="3" t="n">
        <v>-4694873.96</v>
      </c>
      <c r="G6405" s="3" t="n">
        <v>-58752432.49</v>
      </c>
    </row>
    <row r="6406">
      <c r="A6406" s="3" t="inlineStr">
        <is>
          <t>Heron Fields (Pty) Ltd</t>
        </is>
      </c>
      <c r="B6406" s="4" t="n">
        <v>45412</v>
      </c>
      <c r="C6406" s="3" t="inlineStr">
        <is>
          <t>Liabilities</t>
        </is>
      </c>
      <c r="D6406" s="3" t="inlineStr">
        <is>
          <t>5500/010</t>
        </is>
      </c>
      <c r="E6406" s="3" t="inlineStr">
        <is>
          <t>Loan - Quinate</t>
        </is>
      </c>
      <c r="F6406" s="3" t="n">
        <v>0</v>
      </c>
      <c r="G6406" s="3" t="n">
        <v>1846000</v>
      </c>
    </row>
    <row r="6407">
      <c r="A6407" s="3" t="inlineStr">
        <is>
          <t>Heron Fields (Pty) Ltd</t>
        </is>
      </c>
      <c r="B6407" s="4" t="n">
        <v>45412</v>
      </c>
      <c r="C6407" s="3" t="inlineStr">
        <is>
          <t>Liabilities</t>
        </is>
      </c>
      <c r="D6407" s="3" t="inlineStr">
        <is>
          <t>5500/020</t>
        </is>
      </c>
      <c r="E6407" s="3" t="inlineStr">
        <is>
          <t>Loan - Cape Projects Construction</t>
        </is>
      </c>
      <c r="F6407" s="3" t="n">
        <v>1705000</v>
      </c>
      <c r="G6407" s="3" t="n">
        <v>28629738.42</v>
      </c>
    </row>
    <row r="6408">
      <c r="A6408" s="3" t="inlineStr">
        <is>
          <t>Heron Fields (Pty) Ltd</t>
        </is>
      </c>
      <c r="B6408" s="4" t="n">
        <v>45412</v>
      </c>
      <c r="C6408" s="3" t="inlineStr">
        <is>
          <t>Liabilities</t>
        </is>
      </c>
      <c r="D6408" s="3" t="inlineStr">
        <is>
          <t>5500/030</t>
        </is>
      </c>
      <c r="E6408" s="3" t="inlineStr">
        <is>
          <t>Loan - Opportunity Global Investments</t>
        </is>
      </c>
      <c r="F6408" s="3" t="n">
        <v>-380000</v>
      </c>
      <c r="G6408" s="3" t="n">
        <v>2104275</v>
      </c>
    </row>
    <row r="6409">
      <c r="A6409" s="3" t="inlineStr">
        <is>
          <t>Heron Fields (Pty) Ltd</t>
        </is>
      </c>
      <c r="B6409" s="4" t="n">
        <v>45412</v>
      </c>
      <c r="C6409" s="3" t="inlineStr">
        <is>
          <t>Liabilities</t>
        </is>
      </c>
      <c r="D6409" s="3" t="inlineStr">
        <is>
          <t>5500/050</t>
        </is>
      </c>
      <c r="E6409" s="3" t="inlineStr">
        <is>
          <t>Loan - Heron View</t>
        </is>
      </c>
      <c r="F6409" s="3" t="n">
        <v>4694873.96</v>
      </c>
      <c r="G6409" s="3" t="n">
        <v>58752431.96</v>
      </c>
    </row>
    <row r="6410">
      <c r="A6410" s="3" t="inlineStr">
        <is>
          <t>Heron Fields (Pty) Ltd</t>
        </is>
      </c>
      <c r="B6410" s="4" t="n">
        <v>45412</v>
      </c>
      <c r="C6410" s="3" t="inlineStr">
        <is>
          <t>Liabilities</t>
        </is>
      </c>
      <c r="D6410" s="3" t="inlineStr">
        <is>
          <t>5500/051</t>
        </is>
      </c>
      <c r="E6410" s="3" t="inlineStr">
        <is>
          <t>Loan - HV N204</t>
        </is>
      </c>
      <c r="F6410" s="3" t="n">
        <v>-2500</v>
      </c>
      <c r="G6410" s="3" t="n">
        <v>5000</v>
      </c>
    </row>
    <row r="6411">
      <c r="A6411" s="3" t="inlineStr">
        <is>
          <t>Heron Fields (Pty) Ltd</t>
        </is>
      </c>
      <c r="B6411" s="4" t="n">
        <v>45412</v>
      </c>
      <c r="C6411" s="3" t="inlineStr">
        <is>
          <t>Liabilities</t>
        </is>
      </c>
      <c r="D6411" s="3" t="inlineStr">
        <is>
          <t>5500/060</t>
        </is>
      </c>
      <c r="E6411" s="3" t="inlineStr">
        <is>
          <t>Loan - Opportunity Management Holdings</t>
        </is>
      </c>
      <c r="F6411" s="3" t="n">
        <v>107900</v>
      </c>
      <c r="G6411" s="3" t="n">
        <v>0</v>
      </c>
    </row>
    <row r="6412">
      <c r="A6412" s="3" t="inlineStr">
        <is>
          <t>Heron Fields (Pty) Ltd</t>
        </is>
      </c>
      <c r="B6412" s="4" t="n">
        <v>45412</v>
      </c>
      <c r="C6412" s="3" t="inlineStr">
        <is>
          <t>Liabilities</t>
        </is>
      </c>
      <c r="D6412" s="3" t="inlineStr">
        <is>
          <t>5500/080</t>
        </is>
      </c>
      <c r="E6412" s="3" t="inlineStr">
        <is>
          <t>Loan - NSST2 Trust</t>
        </is>
      </c>
      <c r="F6412" s="3" t="n">
        <v>0</v>
      </c>
      <c r="G6412" s="3" t="n">
        <v>500</v>
      </c>
    </row>
    <row r="6413">
      <c r="A6413" s="3" t="inlineStr">
        <is>
          <t>Heron Fields (Pty) Ltd</t>
        </is>
      </c>
      <c r="B6413" s="4" t="n">
        <v>45412</v>
      </c>
      <c r="C6413" s="3" t="inlineStr">
        <is>
          <t>Liabilities</t>
        </is>
      </c>
      <c r="D6413" s="3" t="inlineStr">
        <is>
          <t>5500/090</t>
        </is>
      </c>
      <c r="E6413" s="3" t="inlineStr">
        <is>
          <t>Loan - Purple Block</t>
        </is>
      </c>
      <c r="F6413" s="3" t="n">
        <v>300000</v>
      </c>
      <c r="G6413" s="3" t="n">
        <v>0</v>
      </c>
    </row>
    <row r="6414">
      <c r="A6414" s="3" t="inlineStr">
        <is>
          <t>Cape Projects Construction (Pty) Ltd</t>
        </is>
      </c>
      <c r="B6414" s="4" t="n">
        <v>45412</v>
      </c>
      <c r="C6414" s="3" t="inlineStr">
        <is>
          <t>Liabilities</t>
        </is>
      </c>
      <c r="D6414" s="3" t="inlineStr">
        <is>
          <t>5600/100</t>
        </is>
      </c>
      <c r="E6414" s="3" t="inlineStr">
        <is>
          <t>Motor Vehical Car Repaymts - Toyota</t>
        </is>
      </c>
      <c r="F6414" s="3" t="n">
        <v>2507.05</v>
      </c>
      <c r="G6414" s="3" t="n">
        <v>2507.05</v>
      </c>
    </row>
    <row r="6415">
      <c r="A6415" s="3" t="inlineStr">
        <is>
          <t>Heron Fields (Pty) Ltd</t>
        </is>
      </c>
      <c r="B6415" s="4" t="n">
        <v>45412</v>
      </c>
      <c r="C6415" s="3" t="inlineStr">
        <is>
          <t>Assets</t>
        </is>
      </c>
      <c r="D6415" s="3" t="inlineStr">
        <is>
          <t>6150/010</t>
        </is>
      </c>
      <c r="E6415" s="3" t="inlineStr">
        <is>
          <t>Endulini -  A204</t>
        </is>
      </c>
      <c r="F6415" s="3" t="n">
        <v>0</v>
      </c>
      <c r="G6415" s="3" t="n">
        <v>1304260.87</v>
      </c>
    </row>
    <row r="6416">
      <c r="A6416" s="3" t="inlineStr">
        <is>
          <t>Heron Fields (Pty) Ltd</t>
        </is>
      </c>
      <c r="B6416" s="4" t="n">
        <v>45412</v>
      </c>
      <c r="C6416" s="3" t="inlineStr">
        <is>
          <t>Assets</t>
        </is>
      </c>
      <c r="D6416" s="3" t="inlineStr">
        <is>
          <t>6150/020</t>
        </is>
      </c>
      <c r="E6416" s="3" t="inlineStr">
        <is>
          <t>Endulini - A304</t>
        </is>
      </c>
      <c r="F6416" s="3" t="n">
        <v>0</v>
      </c>
      <c r="G6416" s="3" t="n">
        <v>1356434.78</v>
      </c>
    </row>
    <row r="6417">
      <c r="A6417" s="3" t="inlineStr">
        <is>
          <t>Heron Fields (Pty) Ltd</t>
        </is>
      </c>
      <c r="B6417" s="4" t="n">
        <v>45412</v>
      </c>
      <c r="C6417" s="3" t="inlineStr">
        <is>
          <t>Assets</t>
        </is>
      </c>
      <c r="D6417" s="3" t="inlineStr">
        <is>
          <t>6150/030</t>
        </is>
      </c>
      <c r="E6417" s="3" t="inlineStr">
        <is>
          <t>Endulini - B101</t>
        </is>
      </c>
      <c r="F6417" s="3" t="n">
        <v>0</v>
      </c>
      <c r="G6417" s="3" t="n">
        <v>1373826.09</v>
      </c>
    </row>
    <row r="6418">
      <c r="A6418" s="3" t="inlineStr">
        <is>
          <t>Heron Fields (Pty) Ltd</t>
        </is>
      </c>
      <c r="B6418" s="4" t="n">
        <v>45412</v>
      </c>
      <c r="C6418" s="3" t="inlineStr">
        <is>
          <t>Assets</t>
        </is>
      </c>
      <c r="D6418" s="3" t="inlineStr">
        <is>
          <t>6150/040</t>
        </is>
      </c>
      <c r="E6418" s="3" t="inlineStr">
        <is>
          <t>Endulini - A306</t>
        </is>
      </c>
      <c r="F6418" s="3" t="n">
        <v>0</v>
      </c>
      <c r="G6418" s="3" t="n">
        <v>1391217.39</v>
      </c>
    </row>
    <row r="6419">
      <c r="A6419" s="3" t="inlineStr">
        <is>
          <t>Heron Fields (Pty) Ltd</t>
        </is>
      </c>
      <c r="B6419" s="4" t="n">
        <v>45412</v>
      </c>
      <c r="C6419" s="3" t="inlineStr">
        <is>
          <t>Assets</t>
        </is>
      </c>
      <c r="D6419" s="3" t="inlineStr">
        <is>
          <t>6150/050</t>
        </is>
      </c>
      <c r="E6419" s="3" t="inlineStr">
        <is>
          <t>Endulini - C301</t>
        </is>
      </c>
      <c r="F6419" s="3" t="n">
        <v>0</v>
      </c>
      <c r="G6419" s="3" t="n">
        <v>1304260.87</v>
      </c>
    </row>
    <row r="6420">
      <c r="A6420" s="3" t="inlineStr">
        <is>
          <t>Cape Projects Construction (Pty) Ltd</t>
        </is>
      </c>
      <c r="B6420" s="4" t="n">
        <v>45412</v>
      </c>
      <c r="C6420" s="3" t="inlineStr">
        <is>
          <t>Assets</t>
        </is>
      </c>
      <c r="D6420" s="3" t="inlineStr">
        <is>
          <t>6200/010</t>
        </is>
      </c>
      <c r="E6420" s="3" t="inlineStr">
        <is>
          <t>Motor Vehicles - @ Cost</t>
        </is>
      </c>
      <c r="F6420" s="3" t="n">
        <v>0</v>
      </c>
      <c r="G6420" s="3" t="n">
        <v>216064.1</v>
      </c>
    </row>
    <row r="6421">
      <c r="A6421" s="3" t="inlineStr">
        <is>
          <t>Cape Projects Construction (Pty) Ltd</t>
        </is>
      </c>
      <c r="B6421" s="4" t="n">
        <v>45412</v>
      </c>
      <c r="C6421" s="3" t="inlineStr">
        <is>
          <t>Assets</t>
        </is>
      </c>
      <c r="D6421" s="3" t="inlineStr">
        <is>
          <t>6200/020</t>
        </is>
      </c>
      <c r="E6421" s="3" t="inlineStr">
        <is>
          <t>Motor Vehicles - Accum Depre</t>
        </is>
      </c>
      <c r="F6421" s="3" t="n">
        <v>0</v>
      </c>
      <c r="G6421" s="3" t="n">
        <v>-216064.1</v>
      </c>
    </row>
    <row r="6422">
      <c r="A6422" s="3" t="inlineStr">
        <is>
          <t>Cape Projects Construction (Pty) Ltd</t>
        </is>
      </c>
      <c r="B6422" s="4" t="n">
        <v>45412</v>
      </c>
      <c r="C6422" s="3" t="inlineStr">
        <is>
          <t>Assets</t>
        </is>
      </c>
      <c r="D6422" s="3" t="inlineStr">
        <is>
          <t>6250/010</t>
        </is>
      </c>
      <c r="E6422" s="3" t="inlineStr">
        <is>
          <t>Computer Equipment - @ Cost</t>
        </is>
      </c>
      <c r="F6422" s="3" t="n">
        <v>0</v>
      </c>
      <c r="G6422" s="3" t="n">
        <v>170108.57</v>
      </c>
    </row>
    <row r="6423">
      <c r="A6423" s="3" t="inlineStr">
        <is>
          <t>Cape Projects Construction (Pty) Ltd</t>
        </is>
      </c>
      <c r="B6423" s="4" t="n">
        <v>45412</v>
      </c>
      <c r="C6423" s="3" t="inlineStr">
        <is>
          <t>Assets</t>
        </is>
      </c>
      <c r="D6423" s="3" t="inlineStr">
        <is>
          <t>6250/020</t>
        </is>
      </c>
      <c r="E6423" s="3" t="inlineStr">
        <is>
          <t>Computer Equipment - Accum Depre</t>
        </is>
      </c>
      <c r="F6423" s="3" t="n">
        <v>-4719.63</v>
      </c>
      <c r="G6423" s="3" t="n">
        <v>-85431.91</v>
      </c>
    </row>
    <row r="6424">
      <c r="A6424" s="3" t="inlineStr">
        <is>
          <t>Cape Projects Construction (Pty) Ltd</t>
        </is>
      </c>
      <c r="B6424" s="4" t="n">
        <v>45412</v>
      </c>
      <c r="C6424" s="3" t="inlineStr">
        <is>
          <t>Assets</t>
        </is>
      </c>
      <c r="D6424" s="3" t="inlineStr">
        <is>
          <t>6350/010</t>
        </is>
      </c>
      <c r="E6424" s="3" t="inlineStr">
        <is>
          <t>Furniture _AND_ Fittings - @ Cost</t>
        </is>
      </c>
      <c r="F6424" s="3" t="n">
        <v>0</v>
      </c>
      <c r="G6424" s="3" t="n">
        <v>37955.3</v>
      </c>
    </row>
    <row r="6425">
      <c r="A6425" s="3" t="inlineStr">
        <is>
          <t>Cape Projects Construction (Pty) Ltd</t>
        </is>
      </c>
      <c r="B6425" s="4" t="n">
        <v>45412</v>
      </c>
      <c r="C6425" s="3" t="inlineStr">
        <is>
          <t>Assets</t>
        </is>
      </c>
      <c r="D6425" s="3" t="inlineStr">
        <is>
          <t>6350/020</t>
        </is>
      </c>
      <c r="E6425" s="3" t="inlineStr">
        <is>
          <t>Furniture _AND_ Fittings - Accum Depre</t>
        </is>
      </c>
      <c r="F6425" s="3" t="n">
        <v>-547.67</v>
      </c>
      <c r="G6425" s="3" t="n">
        <v>-13582.54</v>
      </c>
    </row>
    <row r="6426">
      <c r="A6426" s="3" t="inlineStr">
        <is>
          <t>Cape Projects Construction (Pty) Ltd</t>
        </is>
      </c>
      <c r="B6426" s="4" t="n">
        <v>45412</v>
      </c>
      <c r="C6426" s="3" t="inlineStr">
        <is>
          <t>Assets</t>
        </is>
      </c>
      <c r="D6426" s="3" t="inlineStr">
        <is>
          <t>6600/010</t>
        </is>
      </c>
      <c r="E6426" s="3" t="inlineStr">
        <is>
          <t>Generator Fixed Asset - @ Cost</t>
        </is>
      </c>
      <c r="F6426" s="3" t="n">
        <v>0</v>
      </c>
      <c r="G6426" s="3" t="n">
        <v>71322</v>
      </c>
    </row>
    <row r="6427">
      <c r="A6427" s="3" t="inlineStr">
        <is>
          <t>Cape Projects Construction (Pty) Ltd</t>
        </is>
      </c>
      <c r="B6427" s="4" t="n">
        <v>45412</v>
      </c>
      <c r="C6427" s="3" t="inlineStr">
        <is>
          <t>Assets</t>
        </is>
      </c>
      <c r="D6427" s="3" t="inlineStr">
        <is>
          <t>6600/020</t>
        </is>
      </c>
      <c r="E6427" s="3" t="inlineStr">
        <is>
          <t>Generator Fixed Asset - Accum Depre</t>
        </is>
      </c>
      <c r="F6427" s="3" t="n">
        <v>-1188.7</v>
      </c>
      <c r="G6427" s="3" t="n">
        <v>-17937.74</v>
      </c>
    </row>
    <row r="6428">
      <c r="A6428" s="3" t="inlineStr">
        <is>
          <t>Heron Fields (Pty) Ltd</t>
        </is>
      </c>
      <c r="B6428" s="4" t="n">
        <v>45412</v>
      </c>
      <c r="C6428" s="3" t="inlineStr">
        <is>
          <t>Assets</t>
        </is>
      </c>
      <c r="D6428" s="3" t="inlineStr">
        <is>
          <t>7610/395</t>
        </is>
      </c>
      <c r="E6428" s="3" t="inlineStr">
        <is>
          <t>HF CIP NHBRC</t>
        </is>
      </c>
      <c r="F6428" s="3" t="n">
        <v>0</v>
      </c>
      <c r="G6428" s="3" t="n">
        <v>874505.75</v>
      </c>
    </row>
    <row r="6429">
      <c r="A6429" s="3" t="inlineStr">
        <is>
          <t>Heron View (Pty) Ltd</t>
        </is>
      </c>
      <c r="B6429" s="4" t="n">
        <v>45412</v>
      </c>
      <c r="C6429" s="3" t="inlineStr">
        <is>
          <t>Assets</t>
        </is>
      </c>
      <c r="D6429" s="3" t="inlineStr">
        <is>
          <t>7610/395</t>
        </is>
      </c>
      <c r="E6429" s="3" t="inlineStr">
        <is>
          <t>Heron CIP NHBRC</t>
        </is>
      </c>
      <c r="F6429" s="3" t="n">
        <v>0</v>
      </c>
      <c r="G6429" s="3" t="n">
        <v>2472501.08</v>
      </c>
    </row>
    <row r="6430">
      <c r="A6430" s="3" t="inlineStr">
        <is>
          <t>Heron Fields (Pty) Ltd</t>
        </is>
      </c>
      <c r="B6430" s="4" t="n">
        <v>45412</v>
      </c>
      <c r="C6430" s="3" t="inlineStr">
        <is>
          <t>Assets</t>
        </is>
      </c>
      <c r="D6430" s="3" t="inlineStr">
        <is>
          <t>7620/100</t>
        </is>
      </c>
      <c r="E6430" s="3" t="inlineStr">
        <is>
          <t>Heron View Land</t>
        </is>
      </c>
      <c r="F6430" s="3" t="n">
        <v>0</v>
      </c>
      <c r="G6430" s="3" t="n">
        <v>26200000</v>
      </c>
    </row>
    <row r="6431">
      <c r="A6431" s="3" t="inlineStr">
        <is>
          <t>Heron Fields (Pty) Ltd</t>
        </is>
      </c>
      <c r="B6431" s="4" t="n">
        <v>45412</v>
      </c>
      <c r="C6431" s="3" t="inlineStr">
        <is>
          <t>Assets</t>
        </is>
      </c>
      <c r="D6431" s="3" t="inlineStr">
        <is>
          <t>7620/101</t>
        </is>
      </c>
      <c r="E6431" s="3" t="inlineStr">
        <is>
          <t>HF CIP Bond Registration Fee</t>
        </is>
      </c>
      <c r="F6431" s="3" t="n">
        <v>0</v>
      </c>
      <c r="G6431" s="3" t="n">
        <v>68427</v>
      </c>
    </row>
    <row r="6432">
      <c r="A6432" s="3" t="inlineStr">
        <is>
          <t>Heron Fields (Pty) Ltd</t>
        </is>
      </c>
      <c r="B6432" s="4" t="n">
        <v>45412</v>
      </c>
      <c r="C6432" s="3" t="inlineStr">
        <is>
          <t>Assets</t>
        </is>
      </c>
      <c r="D6432" s="3" t="inlineStr">
        <is>
          <t>7620/102</t>
        </is>
      </c>
      <c r="E6432" s="3" t="inlineStr">
        <is>
          <t>HF CIP Transfer Fee</t>
        </is>
      </c>
      <c r="F6432" s="3" t="n">
        <v>0</v>
      </c>
      <c r="G6432" s="3" t="n">
        <v>103812</v>
      </c>
    </row>
    <row r="6433">
      <c r="A6433" s="3" t="inlineStr">
        <is>
          <t>Heron Fields (Pty) Ltd</t>
        </is>
      </c>
      <c r="B6433" s="4" t="n">
        <v>45412</v>
      </c>
      <c r="C6433" s="3" t="inlineStr">
        <is>
          <t>Assets</t>
        </is>
      </c>
      <c r="D6433" s="3" t="inlineStr">
        <is>
          <t>7620/220</t>
        </is>
      </c>
      <c r="E6433" s="3" t="inlineStr">
        <is>
          <t>HF CIP Architectural Designs</t>
        </is>
      </c>
      <c r="F6433" s="3" t="n">
        <v>0</v>
      </c>
      <c r="G6433" s="3" t="n">
        <v>314087</v>
      </c>
    </row>
    <row r="6434">
      <c r="A6434" s="3" t="inlineStr">
        <is>
          <t>Heron View (Pty) Ltd</t>
        </is>
      </c>
      <c r="B6434" s="4" t="n">
        <v>45412</v>
      </c>
      <c r="C6434" s="3" t="inlineStr">
        <is>
          <t>Assets</t>
        </is>
      </c>
      <c r="D6434" s="3" t="inlineStr">
        <is>
          <t>7620/220</t>
        </is>
      </c>
      <c r="E6434" s="3" t="inlineStr">
        <is>
          <t>Heron View CIP Architectural Designs</t>
        </is>
      </c>
      <c r="F6434" s="3" t="n">
        <v>0</v>
      </c>
      <c r="G6434" s="3" t="n">
        <v>719552.6</v>
      </c>
    </row>
    <row r="6435">
      <c r="A6435" s="3" t="inlineStr">
        <is>
          <t>Heron Fields (Pty) Ltd</t>
        </is>
      </c>
      <c r="B6435" s="4" t="n">
        <v>45412</v>
      </c>
      <c r="C6435" s="3" t="inlineStr">
        <is>
          <t>Assets</t>
        </is>
      </c>
      <c r="D6435" s="3" t="inlineStr">
        <is>
          <t>7620/230</t>
        </is>
      </c>
      <c r="E6435" s="3" t="inlineStr">
        <is>
          <t>HF CIP Construction Management</t>
        </is>
      </c>
      <c r="F6435" s="3" t="n">
        <v>0</v>
      </c>
      <c r="G6435" s="3" t="n">
        <v>139500</v>
      </c>
    </row>
    <row r="6436">
      <c r="A6436" s="3" t="inlineStr">
        <is>
          <t>Heron Fields (Pty) Ltd</t>
        </is>
      </c>
      <c r="B6436" s="4" t="n">
        <v>45412</v>
      </c>
      <c r="C6436" s="3" t="inlineStr">
        <is>
          <t>Assets</t>
        </is>
      </c>
      <c r="D6436" s="3" t="inlineStr">
        <is>
          <t>7620/240</t>
        </is>
      </c>
      <c r="E6436" s="3" t="inlineStr">
        <is>
          <t>HF CIP Civil Engineering</t>
        </is>
      </c>
      <c r="F6436" s="3" t="n">
        <v>0</v>
      </c>
      <c r="G6436" s="3" t="n">
        <v>8557641.800000001</v>
      </c>
    </row>
    <row r="6437">
      <c r="A6437" s="3" t="inlineStr">
        <is>
          <t>Heron Fields (Pty) Ltd</t>
        </is>
      </c>
      <c r="B6437" s="4" t="n">
        <v>45412</v>
      </c>
      <c r="C6437" s="3" t="inlineStr">
        <is>
          <t>Assets</t>
        </is>
      </c>
      <c r="D6437" s="3" t="inlineStr">
        <is>
          <t>7620/245</t>
        </is>
      </c>
      <c r="E6437" s="3" t="inlineStr">
        <is>
          <t>HF CIP Development fee</t>
        </is>
      </c>
      <c r="F6437" s="3" t="n">
        <v>0</v>
      </c>
      <c r="G6437" s="3" t="n">
        <v>13807.78</v>
      </c>
    </row>
    <row r="6438">
      <c r="A6438" s="3" t="inlineStr">
        <is>
          <t>Heron Fields (Pty) Ltd</t>
        </is>
      </c>
      <c r="B6438" s="4" t="n">
        <v>45412</v>
      </c>
      <c r="C6438" s="3" t="inlineStr">
        <is>
          <t>Assets</t>
        </is>
      </c>
      <c r="D6438" s="3" t="inlineStr">
        <is>
          <t>7620/250</t>
        </is>
      </c>
      <c r="E6438" s="3" t="inlineStr">
        <is>
          <t>HF CIP Land Surveyor</t>
        </is>
      </c>
      <c r="F6438" s="3" t="n">
        <v>0</v>
      </c>
      <c r="G6438" s="3" t="n">
        <v>197060.09</v>
      </c>
    </row>
    <row r="6439">
      <c r="A6439" s="3" t="inlineStr">
        <is>
          <t>Heron View (Pty) Ltd</t>
        </is>
      </c>
      <c r="B6439" s="4" t="n">
        <v>45412</v>
      </c>
      <c r="C6439" s="3" t="inlineStr">
        <is>
          <t>Assets</t>
        </is>
      </c>
      <c r="D6439" s="3" t="inlineStr">
        <is>
          <t>7620/250</t>
        </is>
      </c>
      <c r="E6439" s="3" t="inlineStr">
        <is>
          <t>Heron View CIP Land Surveyor</t>
        </is>
      </c>
      <c r="F6439" s="3" t="n">
        <v>0</v>
      </c>
      <c r="G6439" s="3" t="n">
        <v>321942.47</v>
      </c>
    </row>
    <row r="6440">
      <c r="A6440" s="3" t="inlineStr">
        <is>
          <t>Heron Fields (Pty) Ltd</t>
        </is>
      </c>
      <c r="B6440" s="4" t="n">
        <v>45412</v>
      </c>
      <c r="C6440" s="3" t="inlineStr">
        <is>
          <t>Assets</t>
        </is>
      </c>
      <c r="D6440" s="3" t="inlineStr">
        <is>
          <t>7620/255</t>
        </is>
      </c>
      <c r="E6440" s="3" t="inlineStr">
        <is>
          <t>HF CIP Landscaping</t>
        </is>
      </c>
      <c r="F6440" s="3" t="n">
        <v>0</v>
      </c>
      <c r="G6440" s="3" t="n">
        <v>7500</v>
      </c>
    </row>
    <row r="6441">
      <c r="A6441" s="3" t="inlineStr">
        <is>
          <t>Heron View (Pty) Ltd</t>
        </is>
      </c>
      <c r="B6441" s="4" t="n">
        <v>45412</v>
      </c>
      <c r="C6441" s="3" t="inlineStr">
        <is>
          <t>Assets</t>
        </is>
      </c>
      <c r="D6441" s="3" t="inlineStr">
        <is>
          <t>7620/255</t>
        </is>
      </c>
      <c r="E6441" s="3" t="inlineStr">
        <is>
          <t>Heron View CIP Landscaping</t>
        </is>
      </c>
      <c r="F6441" s="3" t="n">
        <v>0</v>
      </c>
      <c r="G6441" s="3" t="n">
        <v>114370.5</v>
      </c>
    </row>
    <row r="6442">
      <c r="A6442" s="3" t="inlineStr">
        <is>
          <t>Heron Fields (Pty) Ltd</t>
        </is>
      </c>
      <c r="B6442" s="4" t="n">
        <v>45412</v>
      </c>
      <c r="C6442" s="3" t="inlineStr">
        <is>
          <t>Assets</t>
        </is>
      </c>
      <c r="D6442" s="3" t="inlineStr">
        <is>
          <t>7620/260</t>
        </is>
      </c>
      <c r="E6442" s="3" t="inlineStr">
        <is>
          <t>HF CIP Mechanical Engineers</t>
        </is>
      </c>
      <c r="F6442" s="3" t="n">
        <v>0</v>
      </c>
      <c r="G6442" s="3" t="n">
        <v>146256.38</v>
      </c>
    </row>
    <row r="6443">
      <c r="A6443" s="3" t="inlineStr">
        <is>
          <t>Heron Fields (Pty) Ltd</t>
        </is>
      </c>
      <c r="B6443" s="4" t="n">
        <v>45412</v>
      </c>
      <c r="C6443" s="3" t="inlineStr">
        <is>
          <t>Assets</t>
        </is>
      </c>
      <c r="D6443" s="3" t="inlineStr">
        <is>
          <t>7620/265</t>
        </is>
      </c>
      <c r="E6443" s="3" t="inlineStr">
        <is>
          <t>HF CIP Health &amp; Safety</t>
        </is>
      </c>
      <c r="F6443" s="3" t="n">
        <v>0</v>
      </c>
      <c r="G6443" s="3" t="n">
        <v>20600</v>
      </c>
    </row>
    <row r="6444">
      <c r="A6444" s="3" t="inlineStr">
        <is>
          <t>Heron Fields (Pty) Ltd</t>
        </is>
      </c>
      <c r="B6444" s="4" t="n">
        <v>45412</v>
      </c>
      <c r="C6444" s="3" t="inlineStr">
        <is>
          <t>Assets</t>
        </is>
      </c>
      <c r="D6444" s="3" t="inlineStr">
        <is>
          <t>7620/270</t>
        </is>
      </c>
      <c r="E6444" s="3" t="inlineStr">
        <is>
          <t>HF CIP Geotechnical</t>
        </is>
      </c>
      <c r="F6444" s="3" t="n">
        <v>0</v>
      </c>
      <c r="G6444" s="3" t="n">
        <v>15175</v>
      </c>
    </row>
    <row r="6445">
      <c r="A6445" s="3" t="inlineStr">
        <is>
          <t>Heron Fields (Pty) Ltd</t>
        </is>
      </c>
      <c r="B6445" s="4" t="n">
        <v>45412</v>
      </c>
      <c r="C6445" s="3" t="inlineStr">
        <is>
          <t>Assets</t>
        </is>
      </c>
      <c r="D6445" s="3" t="inlineStr">
        <is>
          <t>7620/275</t>
        </is>
      </c>
      <c r="E6445" s="3" t="inlineStr">
        <is>
          <t>HF CIP Retaining Wall</t>
        </is>
      </c>
      <c r="F6445" s="3" t="n">
        <v>0</v>
      </c>
      <c r="G6445" s="3" t="n">
        <v>570856.08</v>
      </c>
    </row>
    <row r="6446">
      <c r="A6446" s="3" t="inlineStr">
        <is>
          <t>Heron Fields (Pty) Ltd</t>
        </is>
      </c>
      <c r="B6446" s="4" t="n">
        <v>45412</v>
      </c>
      <c r="C6446" s="3" t="inlineStr">
        <is>
          <t>Assets</t>
        </is>
      </c>
      <c r="D6446" s="3" t="inlineStr">
        <is>
          <t>7620/280</t>
        </is>
      </c>
      <c r="E6446" s="3" t="inlineStr">
        <is>
          <t>HF CIP Site Establishment</t>
        </is>
      </c>
      <c r="F6446" s="3" t="n">
        <v>0</v>
      </c>
      <c r="G6446" s="3" t="n">
        <v>47748851.51</v>
      </c>
    </row>
    <row r="6447">
      <c r="A6447" s="3" t="inlineStr">
        <is>
          <t>Heron View (Pty) Ltd</t>
        </is>
      </c>
      <c r="B6447" s="4" t="n">
        <v>45412</v>
      </c>
      <c r="C6447" s="3" t="inlineStr">
        <is>
          <t>Assets</t>
        </is>
      </c>
      <c r="D6447" s="3" t="inlineStr">
        <is>
          <t>7620/280</t>
        </is>
      </c>
      <c r="E6447" s="3" t="inlineStr">
        <is>
          <t>Heron View CIP Site Establishment</t>
        </is>
      </c>
      <c r="F6447" s="3" t="n">
        <v>4119475.14</v>
      </c>
      <c r="G6447" s="3" t="n">
        <v>59166357.65</v>
      </c>
    </row>
    <row r="6448">
      <c r="A6448" s="3" t="inlineStr">
        <is>
          <t>Heron Fields (Pty) Ltd</t>
        </is>
      </c>
      <c r="B6448" s="4" t="n">
        <v>45412</v>
      </c>
      <c r="C6448" s="3" t="inlineStr">
        <is>
          <t>Assets</t>
        </is>
      </c>
      <c r="D6448" s="3" t="inlineStr">
        <is>
          <t>7620/285</t>
        </is>
      </c>
      <c r="E6448" s="3" t="inlineStr">
        <is>
          <t>HF CIP Structuring Fee - Invest</t>
        </is>
      </c>
      <c r="F6448" s="3" t="n">
        <v>0</v>
      </c>
      <c r="G6448" s="3" t="n">
        <v>3850818.04</v>
      </c>
    </row>
    <row r="6449">
      <c r="A6449" s="3" t="inlineStr">
        <is>
          <t>Heron View (Pty) Ltd</t>
        </is>
      </c>
      <c r="B6449" s="4" t="n">
        <v>45412</v>
      </c>
      <c r="C6449" s="3" t="inlineStr">
        <is>
          <t>Assets</t>
        </is>
      </c>
      <c r="D6449" s="3" t="inlineStr">
        <is>
          <t>7620/285</t>
        </is>
      </c>
      <c r="E6449" s="3" t="inlineStr">
        <is>
          <t>Heron View CIP Structuring Fee - Invest</t>
        </is>
      </c>
      <c r="F6449" s="3" t="n">
        <v>0</v>
      </c>
      <c r="G6449" s="3" t="n">
        <v>1826086.96</v>
      </c>
    </row>
    <row r="6450">
      <c r="A6450" s="3" t="inlineStr">
        <is>
          <t>Heron Fields (Pty) Ltd</t>
        </is>
      </c>
      <c r="B6450" s="4" t="n">
        <v>45412</v>
      </c>
      <c r="C6450" s="3" t="inlineStr">
        <is>
          <t>Assets</t>
        </is>
      </c>
      <c r="D6450" s="3" t="inlineStr">
        <is>
          <t>7620/287</t>
        </is>
      </c>
      <c r="E6450" s="3" t="inlineStr">
        <is>
          <t>HF CIP Structuring Fee - Development</t>
        </is>
      </c>
      <c r="F6450" s="3" t="n">
        <v>0</v>
      </c>
      <c r="G6450" s="3" t="n">
        <v>782608.0699999999</v>
      </c>
    </row>
    <row r="6451">
      <c r="A6451" s="3" t="inlineStr">
        <is>
          <t>Heron View (Pty) Ltd</t>
        </is>
      </c>
      <c r="B6451" s="4" t="n">
        <v>45412</v>
      </c>
      <c r="C6451" s="3" t="inlineStr">
        <is>
          <t>Assets</t>
        </is>
      </c>
      <c r="D6451" s="3" t="inlineStr">
        <is>
          <t>7620/287</t>
        </is>
      </c>
      <c r="E6451" s="3" t="inlineStr">
        <is>
          <t>Heron View CIP Structuring Fee - Development</t>
        </is>
      </c>
      <c r="F6451" s="3" t="n">
        <v>0</v>
      </c>
      <c r="G6451" s="3" t="n">
        <v>217391.3</v>
      </c>
    </row>
    <row r="6452">
      <c r="A6452" s="3" t="inlineStr">
        <is>
          <t>Heron Fields (Pty) Ltd</t>
        </is>
      </c>
      <c r="B6452" s="4" t="n">
        <v>45412</v>
      </c>
      <c r="C6452" s="3" t="inlineStr">
        <is>
          <t>Assets</t>
        </is>
      </c>
      <c r="D6452" s="3" t="inlineStr">
        <is>
          <t>7620/290</t>
        </is>
      </c>
      <c r="E6452" s="3" t="inlineStr">
        <is>
          <t>HF CIP Town Planning</t>
        </is>
      </c>
      <c r="F6452" s="3" t="n">
        <v>0</v>
      </c>
      <c r="G6452" s="3" t="n">
        <v>166550</v>
      </c>
    </row>
    <row r="6453">
      <c r="A6453" s="3" t="inlineStr">
        <is>
          <t>Heron View (Pty) Ltd</t>
        </is>
      </c>
      <c r="B6453" s="4" t="n">
        <v>45412</v>
      </c>
      <c r="C6453" s="3" t="inlineStr">
        <is>
          <t>Assets</t>
        </is>
      </c>
      <c r="D6453" s="3" t="inlineStr">
        <is>
          <t>7620/290</t>
        </is>
      </c>
      <c r="E6453" s="3" t="inlineStr">
        <is>
          <t>Heron View CIP Town Planning</t>
        </is>
      </c>
      <c r="F6453" s="3" t="n">
        <v>0</v>
      </c>
      <c r="G6453" s="3" t="n">
        <v>2834.7</v>
      </c>
    </row>
    <row r="6454">
      <c r="A6454" s="3" t="inlineStr">
        <is>
          <t>Heron Fields (Pty) Ltd</t>
        </is>
      </c>
      <c r="B6454" s="4" t="n">
        <v>45412</v>
      </c>
      <c r="C6454" s="3" t="inlineStr">
        <is>
          <t>Assets</t>
        </is>
      </c>
      <c r="D6454" s="3" t="inlineStr">
        <is>
          <t>7620/295</t>
        </is>
      </c>
      <c r="E6454" s="3" t="inlineStr">
        <is>
          <t>HF CIP Traffic Planning</t>
        </is>
      </c>
      <c r="F6454" s="3" t="n">
        <v>0</v>
      </c>
      <c r="G6454" s="3" t="n">
        <v>45000</v>
      </c>
    </row>
    <row r="6455">
      <c r="A6455" s="3" t="inlineStr">
        <is>
          <t>Heron Fields (Pty) Ltd</t>
        </is>
      </c>
      <c r="B6455" s="4" t="n">
        <v>45412</v>
      </c>
      <c r="C6455" s="3" t="inlineStr">
        <is>
          <t>Assets</t>
        </is>
      </c>
      <c r="D6455" s="3" t="inlineStr">
        <is>
          <t>7620/600</t>
        </is>
      </c>
      <c r="E6455" s="3" t="inlineStr">
        <is>
          <t>HF CIP Eco work</t>
        </is>
      </c>
      <c r="F6455" s="3" t="n">
        <v>6000</v>
      </c>
      <c r="G6455" s="3" t="n">
        <v>215000</v>
      </c>
    </row>
    <row r="6456">
      <c r="A6456" s="3" t="inlineStr">
        <is>
          <t>Heron View (Pty) Ltd</t>
        </is>
      </c>
      <c r="B6456" s="4" t="n">
        <v>45412</v>
      </c>
      <c r="C6456" s="3" t="inlineStr">
        <is>
          <t>Assets</t>
        </is>
      </c>
      <c r="D6456" s="3" t="inlineStr">
        <is>
          <t>7620/605</t>
        </is>
      </c>
      <c r="E6456" s="3" t="inlineStr">
        <is>
          <t>Heron View CIP Structural Engineers</t>
        </is>
      </c>
      <c r="F6456" s="3" t="n">
        <v>0</v>
      </c>
      <c r="G6456" s="3" t="n">
        <v>695752.14</v>
      </c>
    </row>
    <row r="6457">
      <c r="A6457" s="3" t="inlineStr">
        <is>
          <t>Heron View (Pty) Ltd</t>
        </is>
      </c>
      <c r="B6457" s="4" t="n">
        <v>45412</v>
      </c>
      <c r="C6457" s="3" t="inlineStr">
        <is>
          <t>Assets</t>
        </is>
      </c>
      <c r="D6457" s="3" t="inlineStr">
        <is>
          <t>7620/610</t>
        </is>
      </c>
      <c r="E6457" s="3" t="inlineStr">
        <is>
          <t>HV CIP Retaining wall</t>
        </is>
      </c>
      <c r="F6457" s="3" t="n">
        <v>0</v>
      </c>
      <c r="G6457" s="3" t="n">
        <v>66190.11</v>
      </c>
    </row>
    <row r="6458">
      <c r="A6458" s="3" t="inlineStr">
        <is>
          <t>Heron Fields (Pty) Ltd</t>
        </is>
      </c>
      <c r="B6458" s="4" t="n">
        <v>45412</v>
      </c>
      <c r="C6458" s="3" t="inlineStr">
        <is>
          <t>Assets</t>
        </is>
      </c>
      <c r="D6458" s="3" t="inlineStr">
        <is>
          <t>7620/630</t>
        </is>
      </c>
      <c r="E6458" s="3" t="inlineStr">
        <is>
          <t>HF CIP CoCT development contribution</t>
        </is>
      </c>
      <c r="F6458" s="3" t="n">
        <v>0</v>
      </c>
      <c r="G6458" s="3" t="n">
        <v>3252759.95</v>
      </c>
    </row>
    <row r="6459">
      <c r="A6459" s="3" t="inlineStr">
        <is>
          <t>Heron View (Pty) Ltd</t>
        </is>
      </c>
      <c r="B6459" s="4" t="n">
        <v>45412</v>
      </c>
      <c r="C6459" s="3" t="inlineStr">
        <is>
          <t>Assets</t>
        </is>
      </c>
      <c r="D6459" s="3" t="inlineStr">
        <is>
          <t>7620/630</t>
        </is>
      </c>
      <c r="E6459" s="3" t="inlineStr">
        <is>
          <t>Heron CIP - CoCT development contribution</t>
        </is>
      </c>
      <c r="F6459" s="3" t="n">
        <v>0</v>
      </c>
      <c r="G6459" s="3" t="n">
        <v>1673231.19</v>
      </c>
    </row>
    <row r="6460">
      <c r="A6460" s="3" t="inlineStr">
        <is>
          <t>Heron Fields (Pty) Ltd</t>
        </is>
      </c>
      <c r="B6460" s="4" t="n">
        <v>45412</v>
      </c>
      <c r="C6460" s="3" t="inlineStr">
        <is>
          <t>Assets</t>
        </is>
      </c>
      <c r="D6460" s="3" t="inlineStr">
        <is>
          <t>7620/640</t>
        </is>
      </c>
      <c r="E6460" s="3" t="inlineStr">
        <is>
          <t>HF CIP Project costs</t>
        </is>
      </c>
      <c r="F6460" s="3" t="n">
        <v>0</v>
      </c>
      <c r="G6460" s="3" t="n">
        <v>622274.51</v>
      </c>
    </row>
    <row r="6461">
      <c r="A6461" s="3" t="inlineStr">
        <is>
          <t>Heron View (Pty) Ltd</t>
        </is>
      </c>
      <c r="B6461" s="4" t="n">
        <v>45412</v>
      </c>
      <c r="C6461" s="3" t="inlineStr">
        <is>
          <t>Assets</t>
        </is>
      </c>
      <c r="D6461" s="3" t="inlineStr">
        <is>
          <t>7620/650</t>
        </is>
      </c>
      <c r="E6461" s="3" t="inlineStr">
        <is>
          <t>CIP - Construction Management</t>
        </is>
      </c>
      <c r="F6461" s="3" t="n">
        <v>0</v>
      </c>
      <c r="G6461" s="3" t="n">
        <v>76530</v>
      </c>
    </row>
    <row r="6462">
      <c r="A6462" s="3" t="inlineStr">
        <is>
          <t>Heron Fields (Pty) Ltd</t>
        </is>
      </c>
      <c r="B6462" s="4" t="n">
        <v>45412</v>
      </c>
      <c r="C6462" s="3" t="inlineStr">
        <is>
          <t>Assets</t>
        </is>
      </c>
      <c r="D6462" s="3" t="inlineStr">
        <is>
          <t>7620/650</t>
        </is>
      </c>
      <c r="E6462" s="3" t="inlineStr">
        <is>
          <t>HF CIP Electrical</t>
        </is>
      </c>
      <c r="F6462" s="3" t="n">
        <v>0</v>
      </c>
      <c r="G6462" s="3" t="n">
        <v>985049.6800000001</v>
      </c>
    </row>
    <row r="6463">
      <c r="A6463" s="3" t="inlineStr">
        <is>
          <t>Heron View (Pty) Ltd</t>
        </is>
      </c>
      <c r="B6463" s="4" t="n">
        <v>45412</v>
      </c>
      <c r="C6463" s="3" t="inlineStr">
        <is>
          <t>Assets</t>
        </is>
      </c>
      <c r="D6463" s="3" t="inlineStr">
        <is>
          <t>7620/660</t>
        </is>
      </c>
      <c r="E6463" s="3" t="inlineStr">
        <is>
          <t>HV CIP Health &amp; Safety</t>
        </is>
      </c>
      <c r="F6463" s="3" t="n">
        <v>0</v>
      </c>
      <c r="G6463" s="3" t="n">
        <v>31400</v>
      </c>
    </row>
    <row r="6464">
      <c r="A6464" s="3" t="inlineStr">
        <is>
          <t>Heron View (Pty) Ltd</t>
        </is>
      </c>
      <c r="B6464" s="4" t="n">
        <v>45412</v>
      </c>
      <c r="C6464" s="3" t="inlineStr">
        <is>
          <t>Assets</t>
        </is>
      </c>
      <c r="D6464" s="3" t="inlineStr">
        <is>
          <t>7620/670</t>
        </is>
      </c>
      <c r="E6464" s="3" t="inlineStr">
        <is>
          <t>HV CIP - Project costs CPSD</t>
        </is>
      </c>
      <c r="F6464" s="3" t="n">
        <v>334782.61</v>
      </c>
      <c r="G6464" s="3" t="n">
        <v>3363043.48</v>
      </c>
    </row>
    <row r="6465">
      <c r="A6465" s="3" t="inlineStr">
        <is>
          <t>Heron View (Pty) Ltd</t>
        </is>
      </c>
      <c r="B6465" s="4" t="n">
        <v>45412</v>
      </c>
      <c r="C6465" s="3" t="inlineStr">
        <is>
          <t>Assets</t>
        </is>
      </c>
      <c r="D6465" s="3" t="inlineStr">
        <is>
          <t>7620/680</t>
        </is>
      </c>
      <c r="E6465" s="3" t="inlineStr">
        <is>
          <t>HV CIP Elextrical</t>
        </is>
      </c>
      <c r="F6465" s="3" t="n">
        <v>256943.76</v>
      </c>
      <c r="G6465" s="3" t="n">
        <v>1797445.87</v>
      </c>
    </row>
    <row r="6466">
      <c r="A6466" s="3" t="inlineStr">
        <is>
          <t>Heron View (Pty) Ltd</t>
        </is>
      </c>
      <c r="B6466" s="4" t="n">
        <v>45412</v>
      </c>
      <c r="C6466" s="3" t="inlineStr">
        <is>
          <t>Assets</t>
        </is>
      </c>
      <c r="D6466" s="3" t="inlineStr">
        <is>
          <t>7620/690</t>
        </is>
      </c>
      <c r="E6466" s="3" t="inlineStr">
        <is>
          <t>HV CIP Site Establishment</t>
        </is>
      </c>
      <c r="F6466" s="3" t="n">
        <v>0</v>
      </c>
      <c r="G6466" s="3" t="n">
        <v>16307183.05</v>
      </c>
    </row>
    <row r="6467">
      <c r="A6467" s="3" t="inlineStr">
        <is>
          <t>Heron Fields (Pty) Ltd</t>
        </is>
      </c>
      <c r="B6467" s="4" t="n">
        <v>45412</v>
      </c>
      <c r="C6467" s="3" t="inlineStr">
        <is>
          <t>Assets</t>
        </is>
      </c>
      <c r="D6467" s="3" t="inlineStr">
        <is>
          <t>7620/750</t>
        </is>
      </c>
      <c r="E6467" s="3" t="inlineStr">
        <is>
          <t>HF CIP Project costs CPSD</t>
        </is>
      </c>
      <c r="F6467" s="3" t="n">
        <v>0</v>
      </c>
      <c r="G6467" s="3" t="n">
        <v>2148883.15</v>
      </c>
    </row>
    <row r="6468">
      <c r="A6468" s="3" t="inlineStr">
        <is>
          <t>Heron Fields (Pty) Ltd</t>
        </is>
      </c>
      <c r="B6468" s="4" t="n">
        <v>45412</v>
      </c>
      <c r="C6468" s="3" t="inlineStr">
        <is>
          <t>Assets</t>
        </is>
      </c>
      <c r="D6468" s="3" t="inlineStr">
        <is>
          <t>7620/800</t>
        </is>
      </c>
      <c r="E6468" s="3" t="inlineStr">
        <is>
          <t>HF CIP GL Conradie</t>
        </is>
      </c>
      <c r="F6468" s="3" t="n">
        <v>0</v>
      </c>
      <c r="G6468" s="3" t="n">
        <v>1068455</v>
      </c>
    </row>
    <row r="6469">
      <c r="A6469" s="3" t="inlineStr">
        <is>
          <t>Heron View (Pty) Ltd</t>
        </is>
      </c>
      <c r="B6469" s="4" t="n">
        <v>45412</v>
      </c>
      <c r="C6469" s="3" t="inlineStr">
        <is>
          <t>Assets</t>
        </is>
      </c>
      <c r="D6469" s="3" t="inlineStr">
        <is>
          <t>7620/800</t>
        </is>
      </c>
      <c r="E6469" s="3" t="inlineStr">
        <is>
          <t>HV CIP GL Conradie</t>
        </is>
      </c>
      <c r="F6469" s="3" t="n">
        <v>0</v>
      </c>
      <c r="G6469" s="3" t="n">
        <v>2188325.96</v>
      </c>
    </row>
    <row r="6470">
      <c r="A6470" s="3" t="inlineStr">
        <is>
          <t>Heron Fields (Pty) Ltd</t>
        </is>
      </c>
      <c r="B6470" s="4" t="n">
        <v>45412</v>
      </c>
      <c r="C6470" s="3" t="inlineStr">
        <is>
          <t>Assets</t>
        </is>
      </c>
      <c r="D6470" s="3" t="inlineStr">
        <is>
          <t>7700/010</t>
        </is>
      </c>
      <c r="E6470" s="3" t="inlineStr">
        <is>
          <t>Construction 28 Feb 23 HF</t>
        </is>
      </c>
      <c r="F6470" s="3" t="n">
        <v>0</v>
      </c>
      <c r="G6470" s="3" t="n">
        <v>-24427668.44</v>
      </c>
    </row>
    <row r="6471">
      <c r="A6471" s="3" t="inlineStr">
        <is>
          <t>Cape Projects Construction (Pty) Ltd</t>
        </is>
      </c>
      <c r="B6471" s="4" t="n">
        <v>45412</v>
      </c>
      <c r="C6471" s="3" t="inlineStr">
        <is>
          <t>Assets</t>
        </is>
      </c>
      <c r="D6471" s="3" t="inlineStr">
        <is>
          <t>7800/000</t>
        </is>
      </c>
      <c r="E6471" s="3" t="inlineStr">
        <is>
          <t>Deposits paid</t>
        </is>
      </c>
      <c r="F6471" s="3" t="n">
        <v>0</v>
      </c>
      <c r="G6471" s="3" t="n">
        <v>29600</v>
      </c>
    </row>
    <row r="6472">
      <c r="A6472" s="3" t="inlineStr">
        <is>
          <t>Cape Projects Construction (Pty) Ltd</t>
        </is>
      </c>
      <c r="B6472" s="4" t="n">
        <v>45412</v>
      </c>
      <c r="C6472" s="3" t="inlineStr">
        <is>
          <t>Assets</t>
        </is>
      </c>
      <c r="D6472" s="3" t="inlineStr">
        <is>
          <t>8000/000</t>
        </is>
      </c>
      <c r="E6472" s="3" t="inlineStr">
        <is>
          <t>Customer Control Account</t>
        </is>
      </c>
      <c r="F6472" s="3" t="n">
        <v>437396.41</v>
      </c>
      <c r="G6472" s="3" t="n">
        <v>8845779.49</v>
      </c>
    </row>
    <row r="6473">
      <c r="A6473" s="3" t="inlineStr">
        <is>
          <t>Heron Fields (Pty) Ltd</t>
        </is>
      </c>
      <c r="B6473" s="4" t="n">
        <v>45412</v>
      </c>
      <c r="C6473" s="3" t="inlineStr">
        <is>
          <t>Assets</t>
        </is>
      </c>
      <c r="D6473" s="3" t="inlineStr">
        <is>
          <t>8000/000</t>
        </is>
      </c>
      <c r="E6473" s="3" t="inlineStr">
        <is>
          <t>Customer Control Account</t>
        </is>
      </c>
      <c r="F6473" s="3" t="n">
        <v>120128.38</v>
      </c>
      <c r="G6473" s="3" t="n">
        <v>494986.51</v>
      </c>
    </row>
    <row r="6474">
      <c r="A6474" s="3" t="inlineStr">
        <is>
          <t>Heron View (Pty) Ltd</t>
        </is>
      </c>
      <c r="B6474" s="4" t="n">
        <v>45412</v>
      </c>
      <c r="C6474" s="3" t="inlineStr">
        <is>
          <t>Assets</t>
        </is>
      </c>
      <c r="D6474" s="3" t="inlineStr">
        <is>
          <t>8000/000</t>
        </is>
      </c>
      <c r="E6474" s="3" t="inlineStr">
        <is>
          <t>Customer Control Account</t>
        </is>
      </c>
      <c r="F6474" s="3" t="n">
        <v>1474056.72</v>
      </c>
      <c r="G6474" s="3" t="n">
        <v>2975428.34</v>
      </c>
    </row>
    <row r="6475">
      <c r="A6475" s="3" t="inlineStr">
        <is>
          <t>Cape Projects Construction (Pty) Ltd</t>
        </is>
      </c>
      <c r="B6475" s="4" t="n">
        <v>45412</v>
      </c>
      <c r="C6475" s="3" t="inlineStr">
        <is>
          <t>Assets</t>
        </is>
      </c>
      <c r="D6475" s="3" t="inlineStr">
        <is>
          <t>8300/000</t>
        </is>
      </c>
      <c r="E6475" s="3" t="inlineStr">
        <is>
          <t>FNB Credit Card 8812 7100 446 6006</t>
        </is>
      </c>
      <c r="F6475" s="3" t="n">
        <v>173</v>
      </c>
      <c r="G6475" s="3" t="n">
        <v>-1762</v>
      </c>
    </row>
    <row r="6476">
      <c r="A6476" s="3" t="inlineStr">
        <is>
          <t>Heron Fields (Pty) Ltd</t>
        </is>
      </c>
      <c r="B6476" s="4" t="n">
        <v>45412</v>
      </c>
      <c r="C6476" s="3" t="inlineStr">
        <is>
          <t>Assets</t>
        </is>
      </c>
      <c r="D6476" s="3" t="inlineStr">
        <is>
          <t>8400/000</t>
        </is>
      </c>
      <c r="E6476" s="3" t="inlineStr">
        <is>
          <t>RMB - 62882379087</t>
        </is>
      </c>
      <c r="F6476" s="3" t="n">
        <v>64837.88</v>
      </c>
      <c r="G6476" s="3" t="n">
        <v>476740.18</v>
      </c>
    </row>
    <row r="6477">
      <c r="A6477" s="3" t="inlineStr">
        <is>
          <t>Cape Projects Construction (Pty) Ltd</t>
        </is>
      </c>
      <c r="B6477" s="4" t="n">
        <v>45412</v>
      </c>
      <c r="C6477" s="3" t="inlineStr">
        <is>
          <t>Assets</t>
        </is>
      </c>
      <c r="D6477" s="3" t="inlineStr">
        <is>
          <t>8400/000</t>
        </is>
      </c>
      <c r="E6477" s="3" t="inlineStr">
        <is>
          <t>RMB 62275138470</t>
        </is>
      </c>
      <c r="F6477" s="3" t="n">
        <v>-23995.71</v>
      </c>
      <c r="G6477" s="3" t="n">
        <v>-329020.47</v>
      </c>
    </row>
    <row r="6478">
      <c r="A6478" s="3" t="inlineStr">
        <is>
          <t>Cape Projects Construction (Pty) Ltd</t>
        </is>
      </c>
      <c r="B6478" s="4" t="n">
        <v>45412</v>
      </c>
      <c r="C6478" s="3" t="inlineStr">
        <is>
          <t>Assets</t>
        </is>
      </c>
      <c r="D6478" s="3" t="inlineStr">
        <is>
          <t>8410/000</t>
        </is>
      </c>
      <c r="E6478" s="3" t="inlineStr">
        <is>
          <t>Petty Cash</t>
        </is>
      </c>
      <c r="F6478" s="3" t="n">
        <v>0</v>
      </c>
      <c r="G6478" s="3" t="n">
        <v>-1188</v>
      </c>
    </row>
    <row r="6479">
      <c r="A6479" s="3" t="inlineStr">
        <is>
          <t>Cape Projects Construction (Pty) Ltd</t>
        </is>
      </c>
      <c r="B6479" s="4" t="n">
        <v>45412</v>
      </c>
      <c r="C6479" s="3" t="inlineStr">
        <is>
          <t>Assets</t>
        </is>
      </c>
      <c r="D6479" s="3" t="inlineStr">
        <is>
          <t>8420/000</t>
        </is>
      </c>
      <c r="E6479" s="3" t="inlineStr">
        <is>
          <t>Momentum Priv Acc RU502230981</t>
        </is>
      </c>
      <c r="F6479" s="3" t="n">
        <v>0</v>
      </c>
      <c r="G6479" s="3" t="n">
        <v>571.55</v>
      </c>
    </row>
    <row r="6480">
      <c r="A6480" s="3" t="inlineStr">
        <is>
          <t>Heron Fields (Pty) Ltd</t>
        </is>
      </c>
      <c r="B6480" s="4" t="n">
        <v>45412</v>
      </c>
      <c r="C6480" s="3" t="inlineStr">
        <is>
          <t>Assets</t>
        </is>
      </c>
      <c r="D6480" s="3" t="inlineStr">
        <is>
          <t>8420/000</t>
        </is>
      </c>
      <c r="E6480" s="3" t="inlineStr">
        <is>
          <t>Petty Cash</t>
        </is>
      </c>
      <c r="F6480" s="3" t="n">
        <v>0</v>
      </c>
      <c r="G6480" s="3" t="n">
        <v>8620</v>
      </c>
    </row>
    <row r="6481">
      <c r="A6481" s="3" t="inlineStr">
        <is>
          <t>Heron Fields (Pty) Ltd</t>
        </is>
      </c>
      <c r="B6481" s="4" t="n">
        <v>45412</v>
      </c>
      <c r="C6481" s="3" t="inlineStr">
        <is>
          <t>Assets</t>
        </is>
      </c>
      <c r="D6481" s="3" t="inlineStr">
        <is>
          <t>8430/000</t>
        </is>
      </c>
      <c r="E6481" s="3" t="inlineStr">
        <is>
          <t>Momentum Private Account RU502230151</t>
        </is>
      </c>
      <c r="F6481" s="3" t="n">
        <v>0</v>
      </c>
      <c r="G6481" s="3" t="n">
        <v>889.13</v>
      </c>
    </row>
    <row r="6482">
      <c r="A6482" s="3" t="inlineStr">
        <is>
          <t>Heron Fields (Pty) Ltd</t>
        </is>
      </c>
      <c r="B6482" s="4" t="n">
        <v>45412</v>
      </c>
      <c r="C6482" s="3" t="inlineStr">
        <is>
          <t>Assets</t>
        </is>
      </c>
      <c r="D6482" s="3" t="inlineStr">
        <is>
          <t>8440/000</t>
        </is>
      </c>
      <c r="E6482" s="3" t="inlineStr">
        <is>
          <t>Momentum Investors Account RU502229930</t>
        </is>
      </c>
      <c r="F6482" s="3" t="n">
        <v>-3317153.36</v>
      </c>
      <c r="G6482" s="3" t="n">
        <v>1711292.42</v>
      </c>
    </row>
    <row r="6483">
      <c r="A6483" s="3" t="inlineStr">
        <is>
          <t>Heron Fields (Pty) Ltd</t>
        </is>
      </c>
      <c r="B6483" s="4" t="n">
        <v>45412</v>
      </c>
      <c r="C6483" s="3" t="inlineStr">
        <is>
          <t>Assets</t>
        </is>
      </c>
      <c r="D6483" s="3" t="inlineStr">
        <is>
          <t>8450/000</t>
        </is>
      </c>
      <c r="E6483" s="3" t="inlineStr">
        <is>
          <t>ABSA Current Acc : 4109071013</t>
        </is>
      </c>
      <c r="F6483" s="3" t="n">
        <v>34027.44</v>
      </c>
      <c r="G6483" s="3" t="n">
        <v>184527.44</v>
      </c>
    </row>
    <row r="6484">
      <c r="A6484" s="3" t="inlineStr">
        <is>
          <t>Heron Fields (Pty) Ltd</t>
        </is>
      </c>
      <c r="B6484" s="4" t="n">
        <v>45412</v>
      </c>
      <c r="C6484" s="3" t="inlineStr">
        <is>
          <t>Assets</t>
        </is>
      </c>
      <c r="D6484" s="3" t="inlineStr">
        <is>
          <t>8500/000</t>
        </is>
      </c>
      <c r="E6484" s="3" t="inlineStr">
        <is>
          <t>Laas and Scholtz - Funds in transit</t>
        </is>
      </c>
      <c r="F6484" s="3" t="n">
        <v>-1772907.12</v>
      </c>
      <c r="G6484" s="3" t="n">
        <v>-1872907.12</v>
      </c>
    </row>
    <row r="6485">
      <c r="A6485" s="3" t="inlineStr">
        <is>
          <t>Cape Projects Construction (Pty) Ltd</t>
        </is>
      </c>
      <c r="B6485" s="4" t="n">
        <v>45412</v>
      </c>
      <c r="C6485" s="3" t="inlineStr">
        <is>
          <t>Liabilities</t>
        </is>
      </c>
      <c r="D6485" s="3" t="inlineStr">
        <is>
          <t>860</t>
        </is>
      </c>
      <c r="E6485" s="3" t="inlineStr">
        <is>
          <t>Rounding</t>
        </is>
      </c>
      <c r="F6485" s="3" t="n">
        <v>-0.24</v>
      </c>
      <c r="G6485" s="3" t="n">
        <v>-13.32</v>
      </c>
    </row>
    <row r="6486">
      <c r="A6486" s="3" t="inlineStr">
        <is>
          <t>Heron Fields (Pty) Ltd</t>
        </is>
      </c>
      <c r="B6486" s="4" t="n">
        <v>45412</v>
      </c>
      <c r="C6486" s="3" t="inlineStr">
        <is>
          <t>Liabilities</t>
        </is>
      </c>
      <c r="D6486" s="3" t="inlineStr">
        <is>
          <t>860</t>
        </is>
      </c>
      <c r="E6486" s="3" t="inlineStr">
        <is>
          <t>Rounding</t>
        </is>
      </c>
      <c r="F6486" s="3" t="n">
        <v>0</v>
      </c>
      <c r="G6486" s="3" t="n">
        <v>0.04</v>
      </c>
    </row>
    <row r="6487">
      <c r="A6487" s="3" t="inlineStr">
        <is>
          <t>Heron View (Pty) Ltd</t>
        </is>
      </c>
      <c r="B6487" s="4" t="n">
        <v>45412</v>
      </c>
      <c r="C6487" s="3" t="inlineStr">
        <is>
          <t>Liabilities</t>
        </is>
      </c>
      <c r="D6487" s="3" t="inlineStr">
        <is>
          <t>860</t>
        </is>
      </c>
      <c r="E6487" s="3" t="inlineStr">
        <is>
          <t>Rounding</t>
        </is>
      </c>
      <c r="F6487" s="3" t="n">
        <v>0.01</v>
      </c>
      <c r="G6487" s="3" t="n">
        <v>-0.02</v>
      </c>
    </row>
    <row r="6488">
      <c r="A6488" s="3" t="inlineStr">
        <is>
          <t>Cape Projects Construction (Pty) Ltd</t>
        </is>
      </c>
      <c r="B6488" s="4" t="n">
        <v>45412</v>
      </c>
      <c r="C6488" s="3" t="inlineStr">
        <is>
          <t>Liabilities</t>
        </is>
      </c>
      <c r="D6488" s="3" t="inlineStr">
        <is>
          <t>9000/000</t>
        </is>
      </c>
      <c r="E6488" s="3" t="inlineStr">
        <is>
          <t>Supplier Control Account</t>
        </is>
      </c>
      <c r="F6488" s="3" t="n">
        <v>-390727.57</v>
      </c>
      <c r="G6488" s="3" t="n">
        <v>-3647034.54</v>
      </c>
    </row>
    <row r="6489">
      <c r="A6489" s="3" t="inlineStr">
        <is>
          <t>Heron Fields (Pty) Ltd</t>
        </is>
      </c>
      <c r="B6489" s="4" t="n">
        <v>45412</v>
      </c>
      <c r="C6489" s="3" t="inlineStr">
        <is>
          <t>Liabilities</t>
        </is>
      </c>
      <c r="D6489" s="3" t="inlineStr">
        <is>
          <t>9000/000</t>
        </is>
      </c>
      <c r="E6489" s="3" t="inlineStr">
        <is>
          <t>Supplier Control Account</t>
        </is>
      </c>
      <c r="F6489" s="3" t="n">
        <v>-120295.47</v>
      </c>
      <c r="G6489" s="3" t="n">
        <v>-160958673.21</v>
      </c>
    </row>
    <row r="6490">
      <c r="A6490" s="3" t="inlineStr">
        <is>
          <t>Heron View (Pty) Ltd</t>
        </is>
      </c>
      <c r="B6490" s="4" t="n">
        <v>45412</v>
      </c>
      <c r="C6490" s="3" t="inlineStr">
        <is>
          <t>Liabilities</t>
        </is>
      </c>
      <c r="D6490" s="3" t="inlineStr">
        <is>
          <t>9000/000</t>
        </is>
      </c>
      <c r="E6490" s="3" t="inlineStr">
        <is>
          <t>Supplier Control Account</t>
        </is>
      </c>
      <c r="F6490" s="3" t="n">
        <v>-826286.63</v>
      </c>
      <c r="G6490" s="3" t="n">
        <v>-7581284.27</v>
      </c>
    </row>
    <row r="6491">
      <c r="A6491" s="3" t="inlineStr">
        <is>
          <t>Cape Projects Construction (Pty) Ltd</t>
        </is>
      </c>
      <c r="B6491" s="4" t="n">
        <v>45412</v>
      </c>
      <c r="C6491" s="3" t="inlineStr">
        <is>
          <t>Liabilities</t>
        </is>
      </c>
      <c r="D6491" s="3" t="inlineStr">
        <is>
          <t>9200/000</t>
        </is>
      </c>
      <c r="E6491" s="3" t="inlineStr">
        <is>
          <t>Sundry Suppliers</t>
        </is>
      </c>
      <c r="F6491" s="3" t="n">
        <v>0</v>
      </c>
      <c r="G6491" s="3" t="n">
        <v>-2920.29</v>
      </c>
    </row>
    <row r="6492">
      <c r="A6492" s="3" t="inlineStr">
        <is>
          <t>Cape Projects Construction (Pty) Ltd</t>
        </is>
      </c>
      <c r="B6492" s="4" t="n">
        <v>45412</v>
      </c>
      <c r="C6492" s="3" t="inlineStr">
        <is>
          <t>Liabilities</t>
        </is>
      </c>
      <c r="D6492" s="3" t="inlineStr">
        <is>
          <t>9250/010</t>
        </is>
      </c>
      <c r="E6492" s="3" t="inlineStr">
        <is>
          <t>SALARY CONTROL</t>
        </is>
      </c>
      <c r="F6492" s="3" t="n">
        <v>378433.62</v>
      </c>
      <c r="G6492" s="3" t="n">
        <v>378433.62</v>
      </c>
    </row>
    <row r="6493">
      <c r="A6493" s="3" t="inlineStr">
        <is>
          <t>Cape Projects Construction (Pty) Ltd</t>
        </is>
      </c>
      <c r="B6493" s="4" t="n">
        <v>45412</v>
      </c>
      <c r="C6493" s="3" t="inlineStr">
        <is>
          <t>Liabilities</t>
        </is>
      </c>
      <c r="D6493" s="3" t="inlineStr">
        <is>
          <t>9250/020</t>
        </is>
      </c>
      <c r="E6493" s="3" t="inlineStr">
        <is>
          <t>PAYE, UIF AND SDL CONTROL</t>
        </is>
      </c>
      <c r="F6493" s="3" t="n">
        <v>12716.81</v>
      </c>
      <c r="G6493" s="3" t="n">
        <v>-89011.21000000001</v>
      </c>
    </row>
    <row r="6494">
      <c r="A6494" s="3" t="inlineStr">
        <is>
          <t>Cape Projects Construction (Pty) Ltd</t>
        </is>
      </c>
      <c r="B6494" s="4" t="n">
        <v>45412</v>
      </c>
      <c r="C6494" s="3" t="inlineStr">
        <is>
          <t>Liabilities</t>
        </is>
      </c>
      <c r="D6494" s="3" t="inlineStr">
        <is>
          <t>9250/030</t>
        </is>
      </c>
      <c r="E6494" s="3" t="inlineStr">
        <is>
          <t>BIBC CONTROL</t>
        </is>
      </c>
      <c r="F6494" s="3" t="n">
        <v>0</v>
      </c>
      <c r="G6494" s="3" t="n">
        <v>-49413.95</v>
      </c>
    </row>
    <row r="6495">
      <c r="A6495" s="3" t="inlineStr">
        <is>
          <t>Cape Projects Construction (Pty) Ltd</t>
        </is>
      </c>
      <c r="B6495" s="4" t="n">
        <v>45412</v>
      </c>
      <c r="C6495" s="3" t="inlineStr">
        <is>
          <t>Liabilities</t>
        </is>
      </c>
      <c r="D6495" s="3" t="inlineStr">
        <is>
          <t>9350/000</t>
        </is>
      </c>
      <c r="E6495" s="3" t="inlineStr">
        <is>
          <t>Dividends Payable</t>
        </is>
      </c>
      <c r="F6495" s="3" t="n">
        <v>0</v>
      </c>
      <c r="G6495" s="3" t="n">
        <v>130000</v>
      </c>
    </row>
    <row r="6496">
      <c r="A6496" s="3" t="inlineStr">
        <is>
          <t>Cape Projects Construction (Pty) Ltd</t>
        </is>
      </c>
      <c r="B6496" s="4" t="n">
        <v>45412</v>
      </c>
      <c r="C6496" s="3" t="inlineStr">
        <is>
          <t>Liabilities</t>
        </is>
      </c>
      <c r="D6496" s="3" t="inlineStr">
        <is>
          <t>9500/000</t>
        </is>
      </c>
      <c r="E6496" s="3" t="inlineStr">
        <is>
          <t>VAT Control Account</t>
        </is>
      </c>
      <c r="F6496" s="3" t="n">
        <v>100363.95</v>
      </c>
      <c r="G6496" s="3" t="n">
        <v>-166553.25</v>
      </c>
    </row>
    <row r="6497">
      <c r="A6497" s="3" t="inlineStr">
        <is>
          <t>Heron Fields (Pty) Ltd</t>
        </is>
      </c>
      <c r="B6497" s="4" t="n">
        <v>45412</v>
      </c>
      <c r="C6497" s="3" t="inlineStr">
        <is>
          <t>Liabilities</t>
        </is>
      </c>
      <c r="D6497" s="3" t="inlineStr">
        <is>
          <t>9500/000</t>
        </is>
      </c>
      <c r="E6497" s="3" t="inlineStr">
        <is>
          <t>Vat / Tax Control Account</t>
        </is>
      </c>
      <c r="F6497" s="3" t="n">
        <v>-160402.08</v>
      </c>
      <c r="G6497" s="3" t="n">
        <v>-2338379.45</v>
      </c>
    </row>
    <row r="6498">
      <c r="A6498" s="3" t="inlineStr">
        <is>
          <t>Heron View (Pty) Ltd</t>
        </is>
      </c>
      <c r="B6498" s="4" t="n">
        <v>45412</v>
      </c>
      <c r="C6498" s="3" t="inlineStr">
        <is>
          <t>Liabilities</t>
        </is>
      </c>
      <c r="D6498" s="3" t="inlineStr">
        <is>
          <t>9500/000</t>
        </is>
      </c>
      <c r="E6498" s="3" t="inlineStr">
        <is>
          <t>Vat / Tax Control Account</t>
        </is>
      </c>
      <c r="F6498" s="3" t="n">
        <v>523814.77</v>
      </c>
      <c r="G6498" s="3" t="n">
        <v>6523157.12</v>
      </c>
    </row>
    <row r="6499">
      <c r="A6499" s="3" t="inlineStr">
        <is>
          <t>Cape Projects Construction (Pty) Ltd</t>
        </is>
      </c>
      <c r="B6499" s="4" t="n">
        <v>45412</v>
      </c>
      <c r="C6499" s="3" t="inlineStr">
        <is>
          <t>Liabilities</t>
        </is>
      </c>
      <c r="D6499" s="3" t="inlineStr">
        <is>
          <t>9510/000</t>
        </is>
      </c>
      <c r="E6499" s="3" t="inlineStr">
        <is>
          <t>Tax Provision Account</t>
        </is>
      </c>
      <c r="F6499" s="3" t="n">
        <v>0</v>
      </c>
      <c r="G6499" s="3" t="n">
        <v>-1869.8</v>
      </c>
    </row>
    <row r="6500">
      <c r="A6500" s="3" t="inlineStr">
        <is>
          <t>Heron Fields (Pty) Ltd</t>
        </is>
      </c>
      <c r="B6500" s="4" t="n">
        <v>45412</v>
      </c>
      <c r="C6500" s="3" t="inlineStr">
        <is>
          <t>Liabilities</t>
        </is>
      </c>
      <c r="D6500" s="3" t="inlineStr">
        <is>
          <t>9520/000</t>
        </is>
      </c>
      <c r="E6500" s="3" t="inlineStr">
        <is>
          <t>Income Tax Payable</t>
        </is>
      </c>
      <c r="F6500" s="3" t="n">
        <v>0</v>
      </c>
      <c r="G6500" s="3" t="n">
        <v>59039.93</v>
      </c>
    </row>
    <row r="6501">
      <c r="A6501" s="3" t="inlineStr">
        <is>
          <t>Heron View (Pty) Ltd</t>
        </is>
      </c>
      <c r="B6501" s="4" t="n">
        <v>45412</v>
      </c>
      <c r="C6501" s="3" t="inlineStr">
        <is>
          <t>Liabilities</t>
        </is>
      </c>
      <c r="D6501" s="3" t="inlineStr">
        <is>
          <t>9899/C102</t>
        </is>
      </c>
      <c r="E6501" s="3" t="inlineStr">
        <is>
          <t>Sales - Unit Reg Control C102</t>
        </is>
      </c>
      <c r="F6501" s="3" t="n">
        <v>0</v>
      </c>
      <c r="G6501" s="3" t="n">
        <v>-0.4</v>
      </c>
    </row>
    <row r="6502">
      <c r="A6502" s="3" t="inlineStr">
        <is>
          <t>Heron View (Pty) Ltd</t>
        </is>
      </c>
      <c r="B6502" s="4" t="n">
        <v>45412</v>
      </c>
      <c r="C6502" s="3" t="inlineStr">
        <is>
          <t>Liabilities</t>
        </is>
      </c>
      <c r="D6502" s="3" t="inlineStr">
        <is>
          <t>9899/D203</t>
        </is>
      </c>
      <c r="E6502" s="3" t="inlineStr">
        <is>
          <t>Sales - Unit Reg Control D203</t>
        </is>
      </c>
      <c r="F6502" s="3" t="n">
        <v>0</v>
      </c>
      <c r="G6502" s="3" t="n">
        <v>1326506.85</v>
      </c>
    </row>
    <row r="6503">
      <c r="A6503" s="3" t="inlineStr">
        <is>
          <t>Cape Projects Construction (Pty) Ltd</t>
        </is>
      </c>
      <c r="B6503" s="4" t="n">
        <v>45412</v>
      </c>
      <c r="C6503" s="3" t="inlineStr">
        <is>
          <t>Liabilities</t>
        </is>
      </c>
      <c r="D6503" s="3" t="inlineStr">
        <is>
          <t>B/S</t>
        </is>
      </c>
      <c r="E6503" s="3" t="inlineStr">
        <is>
          <t>Taxation Payable</t>
        </is>
      </c>
      <c r="F6503" s="3" t="n">
        <v>0</v>
      </c>
      <c r="G6503" s="3" t="n">
        <v>393799.61</v>
      </c>
    </row>
    <row r="6504">
      <c r="A6504" s="3" t="inlineStr">
        <is>
          <t>Cape Projects Construction (Pty) Ltd</t>
        </is>
      </c>
      <c r="B6504" s="4" t="n">
        <v>45412</v>
      </c>
      <c r="C6504" s="3" t="inlineStr">
        <is>
          <t>Liabilities</t>
        </is>
      </c>
      <c r="D6504" s="3" t="inlineStr">
        <is>
          <t>TEMP/ACC</t>
        </is>
      </c>
      <c r="E6504" s="3" t="inlineStr">
        <is>
          <t>Conversion Account</t>
        </is>
      </c>
      <c r="F6504" s="3" t="n">
        <v>0</v>
      </c>
      <c r="G6504" s="3" t="n">
        <v>-254.99</v>
      </c>
    </row>
    <row r="6505">
      <c r="A6505" s="3" t="inlineStr">
        <is>
          <t>Heron Fields (Pty) Ltd</t>
        </is>
      </c>
      <c r="B6505" s="4" t="n">
        <v>45443</v>
      </c>
      <c r="C6505" s="3" t="inlineStr">
        <is>
          <t>Revenue</t>
        </is>
      </c>
      <c r="D6505" s="3" t="inlineStr">
        <is>
          <t>1000/100</t>
        </is>
      </c>
      <c r="E6505" s="3" t="inlineStr">
        <is>
          <t>Sales - Heron Fields</t>
        </is>
      </c>
      <c r="F6505" s="3" t="n">
        <v>0</v>
      </c>
      <c r="G6505" s="3" t="n">
        <v>-1304260.87</v>
      </c>
    </row>
    <row r="6506">
      <c r="A6506" s="3" t="inlineStr">
        <is>
          <t>Heron View (Pty) Ltd</t>
        </is>
      </c>
      <c r="B6506" s="4" t="n">
        <v>45443</v>
      </c>
      <c r="C6506" s="3" t="inlineStr">
        <is>
          <t>Revenue</t>
        </is>
      </c>
      <c r="D6506" s="3" t="inlineStr">
        <is>
          <t>1000/100</t>
        </is>
      </c>
      <c r="E6506" s="3" t="inlineStr">
        <is>
          <t>Sales - Heron View Sales</t>
        </is>
      </c>
      <c r="F6506" s="3" t="n">
        <v>-1479373.91</v>
      </c>
      <c r="G6506" s="3" t="n">
        <v>-5587808.69</v>
      </c>
    </row>
    <row r="6507">
      <c r="A6507" s="3" t="inlineStr">
        <is>
          <t>Heron View (Pty) Ltd</t>
        </is>
      </c>
      <c r="B6507" s="4" t="n">
        <v>45443</v>
      </c>
      <c r="C6507" s="3" t="inlineStr">
        <is>
          <t>Revenue</t>
        </is>
      </c>
      <c r="D6507" s="3" t="inlineStr">
        <is>
          <t>1000/101</t>
        </is>
      </c>
      <c r="E6507" s="3" t="inlineStr">
        <is>
          <t>Sales - Heron View Occupational Rent</t>
        </is>
      </c>
      <c r="F6507" s="3" t="n">
        <v>-3100</v>
      </c>
      <c r="G6507" s="3" t="n">
        <v>-6661.29</v>
      </c>
    </row>
    <row r="6508">
      <c r="A6508" s="3" t="inlineStr">
        <is>
          <t>Cape Projects Construction (Pty) Ltd</t>
        </is>
      </c>
      <c r="B6508" s="4" t="n">
        <v>45443</v>
      </c>
      <c r="C6508" s="3" t="inlineStr">
        <is>
          <t>Revenue</t>
        </is>
      </c>
      <c r="D6508" s="3" t="inlineStr">
        <is>
          <t>1040/100</t>
        </is>
      </c>
      <c r="E6508" s="3" t="inlineStr">
        <is>
          <t>Fees - Construction - Heron</t>
        </is>
      </c>
      <c r="F6508" s="3" t="n">
        <v>-2263040.14</v>
      </c>
      <c r="G6508" s="3" t="n">
        <v>-13403606.88</v>
      </c>
    </row>
    <row r="6509">
      <c r="A6509" s="3" t="inlineStr">
        <is>
          <t>Cape Projects Construction (Pty) Ltd</t>
        </is>
      </c>
      <c r="B6509" s="4" t="n">
        <v>45443</v>
      </c>
      <c r="C6509" s="3" t="inlineStr">
        <is>
          <t>Revenue</t>
        </is>
      </c>
      <c r="D6509" s="3" t="inlineStr">
        <is>
          <t>1050/034</t>
        </is>
      </c>
      <c r="E6509" s="3" t="inlineStr">
        <is>
          <t>Accounting fees Endulini</t>
        </is>
      </c>
      <c r="F6509" s="3" t="n">
        <v>0</v>
      </c>
      <c r="G6509" s="3" t="n">
        <v>-1000000</v>
      </c>
    </row>
    <row r="6510">
      <c r="A6510" s="3" t="inlineStr">
        <is>
          <t>Heron View (Pty) Ltd</t>
        </is>
      </c>
      <c r="B6510" s="4" t="n">
        <v>45443</v>
      </c>
      <c r="C6510" s="3" t="inlineStr">
        <is>
          <t>Revenue</t>
        </is>
      </c>
      <c r="D6510" s="3" t="inlineStr">
        <is>
          <t>1111/000</t>
        </is>
      </c>
      <c r="E6510" s="3" t="inlineStr">
        <is>
          <t>OMH - Accounting Management fees</t>
        </is>
      </c>
      <c r="F6510" s="3" t="n">
        <v>0</v>
      </c>
      <c r="G6510" s="3" t="n">
        <v>-434782.61</v>
      </c>
    </row>
    <row r="6511">
      <c r="A6511" s="3" t="inlineStr">
        <is>
          <t>Heron View (Pty) Ltd</t>
        </is>
      </c>
      <c r="B6511" s="4" t="n">
        <v>45443</v>
      </c>
      <c r="C6511" s="3" t="inlineStr">
        <is>
          <t>Revenue</t>
        </is>
      </c>
      <c r="D6511" s="3" t="inlineStr">
        <is>
          <t>1111/001</t>
        </is>
      </c>
      <c r="E6511" s="3" t="inlineStr">
        <is>
          <t>CPC - Accounting Management Fee</t>
        </is>
      </c>
      <c r="F6511" s="3" t="n">
        <v>0</v>
      </c>
      <c r="G6511" s="3" t="n">
        <v>-869565.22</v>
      </c>
    </row>
    <row r="6512">
      <c r="A6512" s="3" t="inlineStr">
        <is>
          <t>Heron View (Pty) Ltd</t>
        </is>
      </c>
      <c r="B6512" s="4" t="n">
        <v>45443</v>
      </c>
      <c r="C6512" s="3" t="inlineStr">
        <is>
          <t>Revenue</t>
        </is>
      </c>
      <c r="D6512" s="3" t="inlineStr">
        <is>
          <t>1200/100</t>
        </is>
      </c>
      <c r="E6512" s="3" t="inlineStr">
        <is>
          <t>Recovery of Costs - Showhouse</t>
        </is>
      </c>
      <c r="F6512" s="3" t="n">
        <v>-32173.91</v>
      </c>
      <c r="G6512" s="3" t="n">
        <v>-32173.91</v>
      </c>
    </row>
    <row r="6513">
      <c r="A6513" s="3" t="inlineStr">
        <is>
          <t>Heron Fields (Pty) Ltd</t>
        </is>
      </c>
      <c r="B6513" s="4" t="n">
        <v>45443</v>
      </c>
      <c r="C6513" s="3" t="inlineStr">
        <is>
          <t>Revenue</t>
        </is>
      </c>
      <c r="D6513" s="3" t="inlineStr">
        <is>
          <t>1500/002</t>
        </is>
      </c>
      <c r="E6513" s="3" t="inlineStr">
        <is>
          <t>Rental Income</t>
        </is>
      </c>
      <c r="F6513" s="3" t="n">
        <v>-82174</v>
      </c>
      <c r="G6513" s="3" t="n">
        <v>-284013.6</v>
      </c>
    </row>
    <row r="6514">
      <c r="A6514" s="3" t="inlineStr">
        <is>
          <t>Heron Fields (Pty) Ltd</t>
        </is>
      </c>
      <c r="B6514" s="4" t="n">
        <v>45443</v>
      </c>
      <c r="C6514" s="3" t="inlineStr">
        <is>
          <t>Revenue</t>
        </is>
      </c>
      <c r="D6514" s="3" t="inlineStr">
        <is>
          <t>1600/100</t>
        </is>
      </c>
      <c r="E6514" s="3" t="inlineStr">
        <is>
          <t>Rental Income - Payprop ABSA</t>
        </is>
      </c>
      <c r="F6514" s="3" t="n">
        <v>-40000</v>
      </c>
      <c r="G6514" s="3" t="n">
        <v>-74027.44</v>
      </c>
    </row>
    <row r="6515">
      <c r="A6515" s="3" t="inlineStr">
        <is>
          <t>Heron View (Pty) Ltd</t>
        </is>
      </c>
      <c r="B6515" s="4" t="n">
        <v>45443</v>
      </c>
      <c r="C6515" s="3" t="inlineStr">
        <is>
          <t>Expenses</t>
        </is>
      </c>
      <c r="D6515" s="3" t="inlineStr">
        <is>
          <t>2000/030</t>
        </is>
      </c>
      <c r="E6515" s="3" t="inlineStr">
        <is>
          <t>COS - HV COCT Rates clearance</t>
        </is>
      </c>
      <c r="F6515" s="3" t="n">
        <v>17392.37</v>
      </c>
      <c r="G6515" s="3" t="n">
        <v>30606.48</v>
      </c>
    </row>
    <row r="6516">
      <c r="A6516" s="3" t="inlineStr">
        <is>
          <t>Heron Fields (Pty) Ltd</t>
        </is>
      </c>
      <c r="B6516" s="4" t="n">
        <v>45443</v>
      </c>
      <c r="C6516" s="3" t="inlineStr">
        <is>
          <t>Expenses</t>
        </is>
      </c>
      <c r="D6516" s="3" t="inlineStr">
        <is>
          <t>2000/040</t>
        </is>
      </c>
      <c r="E6516" s="3" t="inlineStr">
        <is>
          <t>COS - Legal Fees</t>
        </is>
      </c>
      <c r="F6516" s="3" t="n">
        <v>0</v>
      </c>
      <c r="G6516" s="3" t="n">
        <v>38341.94</v>
      </c>
    </row>
    <row r="6517">
      <c r="A6517" s="3" t="inlineStr">
        <is>
          <t>Heron View (Pty) Ltd</t>
        </is>
      </c>
      <c r="B6517" s="4" t="n">
        <v>45443</v>
      </c>
      <c r="C6517" s="3" t="inlineStr">
        <is>
          <t>Expenses</t>
        </is>
      </c>
      <c r="D6517" s="3" t="inlineStr">
        <is>
          <t>2000/040</t>
        </is>
      </c>
      <c r="E6517" s="3" t="inlineStr">
        <is>
          <t>COS - Legal Fees</t>
        </is>
      </c>
      <c r="F6517" s="3" t="n">
        <v>40024.61</v>
      </c>
      <c r="G6517" s="3" t="n">
        <v>137613.43</v>
      </c>
    </row>
    <row r="6518">
      <c r="A6518" s="3" t="inlineStr">
        <is>
          <t>Heron View (Pty) Ltd</t>
        </is>
      </c>
      <c r="B6518" s="4" t="n">
        <v>45443</v>
      </c>
      <c r="C6518" s="3" t="inlineStr">
        <is>
          <t>Expenses</t>
        </is>
      </c>
      <c r="D6518" s="3" t="inlineStr">
        <is>
          <t>2000/041</t>
        </is>
      </c>
      <c r="E6518" s="3" t="inlineStr">
        <is>
          <t>COS - Legal Fees Opening of Sec Title Fees</t>
        </is>
      </c>
      <c r="F6518" s="3" t="n">
        <v>14800</v>
      </c>
      <c r="G6518" s="3" t="n">
        <v>14800</v>
      </c>
    </row>
    <row r="6519">
      <c r="A6519" s="3" t="inlineStr">
        <is>
          <t>Heron Fields (Pty) Ltd</t>
        </is>
      </c>
      <c r="B6519" s="4" t="n">
        <v>45443</v>
      </c>
      <c r="C6519" s="3" t="inlineStr">
        <is>
          <t>Expenses</t>
        </is>
      </c>
      <c r="D6519" s="3" t="inlineStr">
        <is>
          <t>2000/050</t>
        </is>
      </c>
      <c r="E6519" s="3" t="inlineStr">
        <is>
          <t>COS - Rates clearance</t>
        </is>
      </c>
      <c r="F6519" s="3" t="n">
        <v>69935.42999999999</v>
      </c>
      <c r="G6519" s="3" t="n">
        <v>78321.63</v>
      </c>
    </row>
    <row r="6520">
      <c r="A6520" s="3" t="inlineStr">
        <is>
          <t>Heron Fields (Pty) Ltd</t>
        </is>
      </c>
      <c r="B6520" s="4" t="n">
        <v>45443</v>
      </c>
      <c r="C6520" s="3" t="inlineStr">
        <is>
          <t>Expenses</t>
        </is>
      </c>
      <c r="D6520" s="3" t="inlineStr">
        <is>
          <t>2000/070</t>
        </is>
      </c>
      <c r="E6520" s="3" t="inlineStr">
        <is>
          <t>COS - Commission HF Units</t>
        </is>
      </c>
      <c r="F6520" s="3" t="n">
        <v>0</v>
      </c>
      <c r="G6520" s="3" t="n">
        <v>65213.04</v>
      </c>
    </row>
    <row r="6521">
      <c r="A6521" s="3" t="inlineStr">
        <is>
          <t>Heron View (Pty) Ltd</t>
        </is>
      </c>
      <c r="B6521" s="4" t="n">
        <v>45443</v>
      </c>
      <c r="C6521" s="3" t="inlineStr">
        <is>
          <t>Expenses</t>
        </is>
      </c>
      <c r="D6521" s="3" t="inlineStr">
        <is>
          <t>2000/070</t>
        </is>
      </c>
      <c r="E6521" s="3" t="inlineStr">
        <is>
          <t>COS - Commission HV Units</t>
        </is>
      </c>
      <c r="F6521" s="3" t="n">
        <v>73473.91</v>
      </c>
      <c r="G6521" s="3" t="n">
        <v>279113.05</v>
      </c>
    </row>
    <row r="6522">
      <c r="A6522" s="3" t="inlineStr">
        <is>
          <t>Cape Projects Construction (Pty) Ltd</t>
        </is>
      </c>
      <c r="B6522" s="4" t="n">
        <v>45443</v>
      </c>
      <c r="C6522" s="3" t="inlineStr">
        <is>
          <t>Expenses</t>
        </is>
      </c>
      <c r="D6522" s="3" t="inlineStr">
        <is>
          <t>2006/000</t>
        </is>
      </c>
      <c r="E6522" s="3" t="inlineStr">
        <is>
          <t>COS - Endulini Construction</t>
        </is>
      </c>
      <c r="F6522" s="3" t="n">
        <v>0</v>
      </c>
      <c r="G6522" s="3" t="n">
        <v>19685.25</v>
      </c>
    </row>
    <row r="6523">
      <c r="A6523" s="3" t="inlineStr">
        <is>
          <t>Cape Projects Construction (Pty) Ltd</t>
        </is>
      </c>
      <c r="B6523" s="4" t="n">
        <v>45443</v>
      </c>
      <c r="C6523" s="3" t="inlineStr">
        <is>
          <t>Expenses</t>
        </is>
      </c>
      <c r="D6523" s="3" t="inlineStr">
        <is>
          <t>2006/450</t>
        </is>
      </c>
      <c r="E6523" s="3" t="inlineStr">
        <is>
          <t>COS - Endulini - Computer expenses</t>
        </is>
      </c>
      <c r="F6523" s="3" t="n">
        <v>0</v>
      </c>
      <c r="G6523" s="3" t="n">
        <v>219.96</v>
      </c>
    </row>
    <row r="6524">
      <c r="A6524" s="3" t="inlineStr">
        <is>
          <t>Cape Projects Construction (Pty) Ltd</t>
        </is>
      </c>
      <c r="B6524" s="4" t="n">
        <v>45443</v>
      </c>
      <c r="C6524" s="3" t="inlineStr">
        <is>
          <t>Expenses</t>
        </is>
      </c>
      <c r="D6524" s="3" t="inlineStr">
        <is>
          <t>2007/000</t>
        </is>
      </c>
      <c r="E6524" s="3" t="inlineStr">
        <is>
          <t>COS - Repairs &amp; Maintenance - SW Southwark</t>
        </is>
      </c>
      <c r="F6524" s="3" t="n">
        <v>0</v>
      </c>
      <c r="G6524" s="3" t="n">
        <v>8355.959999999999</v>
      </c>
    </row>
    <row r="6525">
      <c r="A6525" s="3" t="inlineStr">
        <is>
          <t>Cape Projects Construction (Pty) Ltd</t>
        </is>
      </c>
      <c r="B6525" s="4" t="n">
        <v>45443</v>
      </c>
      <c r="C6525" s="3" t="inlineStr">
        <is>
          <t>Expenses</t>
        </is>
      </c>
      <c r="D6525" s="3" t="inlineStr">
        <is>
          <t>2011/500</t>
        </is>
      </c>
      <c r="E6525" s="3" t="inlineStr">
        <is>
          <t>COS - Heron Fields - Construction</t>
        </is>
      </c>
      <c r="F6525" s="3" t="n">
        <v>7975</v>
      </c>
      <c r="G6525" s="3" t="n">
        <v>17298.62</v>
      </c>
    </row>
    <row r="6526">
      <c r="A6526" s="3" t="inlineStr">
        <is>
          <t>Cape Projects Construction (Pty) Ltd</t>
        </is>
      </c>
      <c r="B6526" s="4" t="n">
        <v>45443</v>
      </c>
      <c r="C6526" s="3" t="inlineStr">
        <is>
          <t>Expenses</t>
        </is>
      </c>
      <c r="D6526" s="3" t="inlineStr">
        <is>
          <t>2011/600</t>
        </is>
      </c>
      <c r="E6526" s="3" t="inlineStr">
        <is>
          <t>COS - Heron Fields - P &amp; G</t>
        </is>
      </c>
      <c r="F6526" s="3" t="n">
        <v>543.04</v>
      </c>
      <c r="G6526" s="3" t="n">
        <v>1466.51</v>
      </c>
    </row>
    <row r="6527">
      <c r="A6527" s="3" t="inlineStr">
        <is>
          <t>Cape Projects Construction (Pty) Ltd</t>
        </is>
      </c>
      <c r="B6527" s="4" t="n">
        <v>45443</v>
      </c>
      <c r="C6527" s="3" t="inlineStr">
        <is>
          <t>Expenses</t>
        </is>
      </c>
      <c r="D6527" s="3" t="inlineStr">
        <is>
          <t>2011/900</t>
        </is>
      </c>
      <c r="E6527" s="3" t="inlineStr">
        <is>
          <t>COS - Heron - Internet</t>
        </is>
      </c>
      <c r="F6527" s="3" t="n">
        <v>1901.74</v>
      </c>
      <c r="G6527" s="3" t="n">
        <v>5600.88</v>
      </c>
    </row>
    <row r="6528">
      <c r="A6528" s="3" t="inlineStr">
        <is>
          <t>Cape Projects Construction (Pty) Ltd</t>
        </is>
      </c>
      <c r="B6528" s="4" t="n">
        <v>45443</v>
      </c>
      <c r="C6528" s="3" t="inlineStr">
        <is>
          <t>Expenses</t>
        </is>
      </c>
      <c r="D6528" s="3" t="inlineStr">
        <is>
          <t>2012/001</t>
        </is>
      </c>
      <c r="E6528" s="3" t="inlineStr">
        <is>
          <t>COS - Heron View - Printing &amp; Stationary</t>
        </is>
      </c>
      <c r="F6528" s="3" t="n">
        <v>0</v>
      </c>
      <c r="G6528" s="3" t="n">
        <v>116.5</v>
      </c>
    </row>
    <row r="6529">
      <c r="A6529" s="3" t="inlineStr">
        <is>
          <t>Cape Projects Construction (Pty) Ltd</t>
        </is>
      </c>
      <c r="B6529" s="4" t="n">
        <v>45443</v>
      </c>
      <c r="C6529" s="3" t="inlineStr">
        <is>
          <t>Expenses</t>
        </is>
      </c>
      <c r="D6529" s="3" t="inlineStr">
        <is>
          <t>2012/002</t>
        </is>
      </c>
      <c r="E6529" s="3" t="inlineStr">
        <is>
          <t>COS - Heron View - Construction</t>
        </is>
      </c>
      <c r="F6529" s="3" t="n">
        <v>2416379.44</v>
      </c>
      <c r="G6529" s="3" t="n">
        <v>13428359.86</v>
      </c>
    </row>
    <row r="6530">
      <c r="A6530" s="3" t="inlineStr">
        <is>
          <t>Cape Projects Construction (Pty) Ltd</t>
        </is>
      </c>
      <c r="B6530" s="4" t="n">
        <v>45443</v>
      </c>
      <c r="C6530" s="3" t="inlineStr">
        <is>
          <t>Expenses</t>
        </is>
      </c>
      <c r="D6530" s="3" t="inlineStr">
        <is>
          <t>2012/003</t>
        </is>
      </c>
      <c r="E6530" s="3" t="inlineStr">
        <is>
          <t>COS - Heron View - P&amp;G</t>
        </is>
      </c>
      <c r="F6530" s="3" t="n">
        <v>0</v>
      </c>
      <c r="G6530" s="3" t="n">
        <v>12272.2</v>
      </c>
    </row>
    <row r="6531">
      <c r="A6531" s="3" t="inlineStr">
        <is>
          <t>Cape Projects Construction (Pty) Ltd</t>
        </is>
      </c>
      <c r="B6531" s="4" t="n">
        <v>45443</v>
      </c>
      <c r="C6531" s="3" t="inlineStr">
        <is>
          <t>Expenses</t>
        </is>
      </c>
      <c r="D6531" s="3" t="inlineStr">
        <is>
          <t>2111/001</t>
        </is>
      </c>
      <c r="E6531" s="3" t="inlineStr">
        <is>
          <t>Heron Project - Accounting Management Fee</t>
        </is>
      </c>
      <c r="F6531" s="3" t="n">
        <v>0</v>
      </c>
      <c r="G6531" s="3" t="n">
        <v>869565.22</v>
      </c>
    </row>
    <row r="6532">
      <c r="A6532" s="3" t="inlineStr">
        <is>
          <t>Cape Projects Construction (Pty) Ltd</t>
        </is>
      </c>
      <c r="B6532" s="4" t="n">
        <v>45443</v>
      </c>
      <c r="C6532" s="3" t="inlineStr">
        <is>
          <t>Revenue</t>
        </is>
      </c>
      <c r="D6532" s="3" t="inlineStr">
        <is>
          <t>2750/000</t>
        </is>
      </c>
      <c r="E6532" s="3" t="inlineStr">
        <is>
          <t>Interest Received - FNB</t>
        </is>
      </c>
      <c r="F6532" s="3" t="n">
        <v>-168.62</v>
      </c>
      <c r="G6532" s="3" t="n">
        <v>-316.66</v>
      </c>
    </row>
    <row r="6533">
      <c r="A6533" s="3" t="inlineStr">
        <is>
          <t>Heron Fields (Pty) Ltd</t>
        </is>
      </c>
      <c r="B6533" s="4" t="n">
        <v>45443</v>
      </c>
      <c r="C6533" s="3" t="inlineStr">
        <is>
          <t>Revenue</t>
        </is>
      </c>
      <c r="D6533" s="3" t="inlineStr">
        <is>
          <t>2755/001</t>
        </is>
      </c>
      <c r="E6533" s="3" t="inlineStr">
        <is>
          <t>Interest Received - Momentum</t>
        </is>
      </c>
      <c r="F6533" s="3" t="n">
        <v>-1373.09</v>
      </c>
      <c r="G6533" s="3" t="n">
        <v>-105730.61</v>
      </c>
    </row>
    <row r="6534">
      <c r="A6534" s="3" t="inlineStr">
        <is>
          <t>Heron Fields (Pty) Ltd</t>
        </is>
      </c>
      <c r="B6534" s="4" t="n">
        <v>45443</v>
      </c>
      <c r="C6534" s="3" t="inlineStr">
        <is>
          <t>Expenses</t>
        </is>
      </c>
      <c r="D6534" s="3" t="inlineStr">
        <is>
          <t>3000/000</t>
        </is>
      </c>
      <c r="E6534" s="3" t="inlineStr">
        <is>
          <t>Accounting Fees</t>
        </is>
      </c>
      <c r="F6534" s="3" t="n">
        <v>0</v>
      </c>
      <c r="G6534" s="3" t="n">
        <v>580</v>
      </c>
    </row>
    <row r="6535">
      <c r="A6535" s="3" t="inlineStr">
        <is>
          <t>Cape Projects Construction (Pty) Ltd</t>
        </is>
      </c>
      <c r="B6535" s="4" t="n">
        <v>45443</v>
      </c>
      <c r="C6535" s="3" t="inlineStr">
        <is>
          <t>Expenses</t>
        </is>
      </c>
      <c r="D6535" s="3" t="inlineStr">
        <is>
          <t>3001/000</t>
        </is>
      </c>
      <c r="E6535" s="3" t="inlineStr">
        <is>
          <t>Accounting Fees - Other</t>
        </is>
      </c>
      <c r="F6535" s="3" t="n">
        <v>0</v>
      </c>
      <c r="G6535" s="3" t="n">
        <v>580</v>
      </c>
    </row>
    <row r="6536">
      <c r="A6536" s="3" t="inlineStr">
        <is>
          <t>Heron Fields (Pty) Ltd</t>
        </is>
      </c>
      <c r="B6536" s="4" t="n">
        <v>45443</v>
      </c>
      <c r="C6536" s="3" t="inlineStr">
        <is>
          <t>Expenses</t>
        </is>
      </c>
      <c r="D6536" s="3" t="inlineStr">
        <is>
          <t>3050/000</t>
        </is>
      </c>
      <c r="E6536" s="3" t="inlineStr">
        <is>
          <t>Advertising _AND_ Promotions</t>
        </is>
      </c>
      <c r="F6536" s="3" t="n">
        <v>3396</v>
      </c>
      <c r="G6536" s="3" t="n">
        <v>5409.96</v>
      </c>
    </row>
    <row r="6537">
      <c r="A6537" s="3" t="inlineStr">
        <is>
          <t>Heron View (Pty) Ltd</t>
        </is>
      </c>
      <c r="B6537" s="4" t="n">
        <v>45443</v>
      </c>
      <c r="C6537" s="3" t="inlineStr">
        <is>
          <t>Expenses</t>
        </is>
      </c>
      <c r="D6537" s="3" t="inlineStr">
        <is>
          <t>3050/000</t>
        </is>
      </c>
      <c r="E6537" s="3" t="inlineStr">
        <is>
          <t>Advertising _AND_ Promotions</t>
        </is>
      </c>
      <c r="F6537" s="3" t="n">
        <v>0</v>
      </c>
      <c r="G6537" s="3" t="n">
        <v>5000</v>
      </c>
    </row>
    <row r="6538">
      <c r="A6538" s="3" t="inlineStr">
        <is>
          <t>Cape Projects Construction (Pty) Ltd</t>
        </is>
      </c>
      <c r="B6538" s="4" t="n">
        <v>45443</v>
      </c>
      <c r="C6538" s="3" t="inlineStr">
        <is>
          <t>Expenses</t>
        </is>
      </c>
      <c r="D6538" s="3" t="inlineStr">
        <is>
          <t>3050/450</t>
        </is>
      </c>
      <c r="E6538" s="3" t="inlineStr">
        <is>
          <t>Advertising - Other</t>
        </is>
      </c>
      <c r="F6538" s="3" t="n">
        <v>0</v>
      </c>
      <c r="G6538" s="3" t="n">
        <v>150</v>
      </c>
    </row>
    <row r="6539">
      <c r="A6539" s="3" t="inlineStr">
        <is>
          <t>Cape Projects Construction (Pty) Ltd</t>
        </is>
      </c>
      <c r="B6539" s="4" t="n">
        <v>45443</v>
      </c>
      <c r="C6539" s="3" t="inlineStr">
        <is>
          <t>Expenses</t>
        </is>
      </c>
      <c r="D6539" s="3" t="inlineStr">
        <is>
          <t>3200/000</t>
        </is>
      </c>
      <c r="E6539" s="3" t="inlineStr">
        <is>
          <t>Bank Charges</t>
        </is>
      </c>
      <c r="F6539" s="3" t="n">
        <v>1844.44</v>
      </c>
      <c r="G6539" s="3" t="n">
        <v>5919.71</v>
      </c>
    </row>
    <row r="6540">
      <c r="A6540" s="3" t="inlineStr">
        <is>
          <t>Heron Fields (Pty) Ltd</t>
        </is>
      </c>
      <c r="B6540" s="4" t="n">
        <v>45443</v>
      </c>
      <c r="C6540" s="3" t="inlineStr">
        <is>
          <t>Expenses</t>
        </is>
      </c>
      <c r="D6540" s="3" t="inlineStr">
        <is>
          <t>3200/000</t>
        </is>
      </c>
      <c r="E6540" s="3" t="inlineStr">
        <is>
          <t>Bank Charges</t>
        </is>
      </c>
      <c r="F6540" s="3" t="n">
        <v>426.08</v>
      </c>
      <c r="G6540" s="3" t="n">
        <v>1258.84</v>
      </c>
    </row>
    <row r="6541">
      <c r="A6541" s="3" t="inlineStr">
        <is>
          <t>Cape Projects Construction (Pty) Ltd</t>
        </is>
      </c>
      <c r="B6541" s="4" t="n">
        <v>45443</v>
      </c>
      <c r="C6541" s="3" t="inlineStr">
        <is>
          <t>Expenses</t>
        </is>
      </c>
      <c r="D6541" s="3" t="inlineStr">
        <is>
          <t>3300/100</t>
        </is>
      </c>
      <c r="E6541" s="3" t="inlineStr">
        <is>
          <t>Computer Exp - IT, Internet/Hosting Fee</t>
        </is>
      </c>
      <c r="F6541" s="3" t="n">
        <v>3725</v>
      </c>
      <c r="G6541" s="3" t="n">
        <v>11175</v>
      </c>
    </row>
    <row r="6542">
      <c r="A6542" s="3" t="inlineStr">
        <is>
          <t>Heron Fields (Pty) Ltd</t>
        </is>
      </c>
      <c r="B6542" s="4" t="n">
        <v>45443</v>
      </c>
      <c r="C6542" s="3" t="inlineStr">
        <is>
          <t>Expenses</t>
        </is>
      </c>
      <c r="D6542" s="3" t="inlineStr">
        <is>
          <t>3350/100</t>
        </is>
      </c>
      <c r="E6542" s="3" t="inlineStr">
        <is>
          <t>Consulting Fees - Admin and Finance</t>
        </is>
      </c>
      <c r="F6542" s="3" t="n">
        <v>91600.32000000001</v>
      </c>
      <c r="G6542" s="3" t="n">
        <v>342045.96</v>
      </c>
    </row>
    <row r="6543">
      <c r="A6543" s="3" t="inlineStr">
        <is>
          <t>Cape Projects Construction (Pty) Ltd</t>
        </is>
      </c>
      <c r="B6543" s="4" t="n">
        <v>45443</v>
      </c>
      <c r="C6543" s="3" t="inlineStr">
        <is>
          <t>Expenses</t>
        </is>
      </c>
      <c r="D6543" s="3" t="inlineStr">
        <is>
          <t>3350/300</t>
        </is>
      </c>
      <c r="E6543" s="3" t="inlineStr">
        <is>
          <t>Consulting Fees - Admin and Finance</t>
        </is>
      </c>
      <c r="F6543" s="3" t="n">
        <v>105436.08</v>
      </c>
      <c r="G6543" s="3" t="n">
        <v>369878.24</v>
      </c>
    </row>
    <row r="6544">
      <c r="A6544" s="3" t="inlineStr">
        <is>
          <t>Heron Fields (Pty) Ltd</t>
        </is>
      </c>
      <c r="B6544" s="4" t="n">
        <v>45443</v>
      </c>
      <c r="C6544" s="3" t="inlineStr">
        <is>
          <t>Expenses</t>
        </is>
      </c>
      <c r="D6544" s="3" t="inlineStr">
        <is>
          <t>3351/000</t>
        </is>
      </c>
      <c r="E6544" s="3" t="inlineStr">
        <is>
          <t>Consulting fees - Trustee</t>
        </is>
      </c>
      <c r="F6544" s="3" t="n">
        <v>4200</v>
      </c>
      <c r="G6544" s="3" t="n">
        <v>12600</v>
      </c>
    </row>
    <row r="6545">
      <c r="A6545" s="3" t="inlineStr">
        <is>
          <t>Heron View (Pty) Ltd</t>
        </is>
      </c>
      <c r="B6545" s="4" t="n">
        <v>45443</v>
      </c>
      <c r="C6545" s="3" t="inlineStr">
        <is>
          <t>Expenses</t>
        </is>
      </c>
      <c r="D6545" s="3" t="inlineStr">
        <is>
          <t>3351/000</t>
        </is>
      </c>
      <c r="E6545" s="3" t="inlineStr">
        <is>
          <t>Consulting fees - Trustee</t>
        </is>
      </c>
      <c r="F6545" s="3" t="n">
        <v>9750</v>
      </c>
      <c r="G6545" s="3" t="n">
        <v>35250</v>
      </c>
    </row>
    <row r="6546">
      <c r="A6546" s="3" t="inlineStr">
        <is>
          <t>Cape Projects Construction (Pty) Ltd</t>
        </is>
      </c>
      <c r="B6546" s="4" t="n">
        <v>45443</v>
      </c>
      <c r="C6546" s="3" t="inlineStr">
        <is>
          <t>Expenses</t>
        </is>
      </c>
      <c r="D6546" s="3" t="inlineStr">
        <is>
          <t>3450/001</t>
        </is>
      </c>
      <c r="E6546" s="3" t="inlineStr">
        <is>
          <t>Depreciation - Computer Equipment</t>
        </is>
      </c>
      <c r="F6546" s="3" t="n">
        <v>0</v>
      </c>
      <c r="G6546" s="3" t="n">
        <v>10120.99</v>
      </c>
    </row>
    <row r="6547">
      <c r="A6547" s="3" t="inlineStr">
        <is>
          <t>Cape Projects Construction (Pty) Ltd</t>
        </is>
      </c>
      <c r="B6547" s="4" t="n">
        <v>45443</v>
      </c>
      <c r="C6547" s="3" t="inlineStr">
        <is>
          <t>Expenses</t>
        </is>
      </c>
      <c r="D6547" s="3" t="inlineStr">
        <is>
          <t>3450/002</t>
        </is>
      </c>
      <c r="E6547" s="3" t="inlineStr">
        <is>
          <t>Depreciation - Generator Fixed Asset</t>
        </is>
      </c>
      <c r="F6547" s="3" t="n">
        <v>0</v>
      </c>
      <c r="G6547" s="3" t="n">
        <v>2538.51</v>
      </c>
    </row>
    <row r="6548">
      <c r="A6548" s="3" t="inlineStr">
        <is>
          <t>Cape Projects Construction (Pty) Ltd</t>
        </is>
      </c>
      <c r="B6548" s="4" t="n">
        <v>45443</v>
      </c>
      <c r="C6548" s="3" t="inlineStr">
        <is>
          <t>Expenses</t>
        </is>
      </c>
      <c r="D6548" s="3" t="inlineStr">
        <is>
          <t>3450/003</t>
        </is>
      </c>
      <c r="E6548" s="3" t="inlineStr">
        <is>
          <t>Depreciation - Motor vehicle</t>
        </is>
      </c>
      <c r="F6548" s="3" t="n">
        <v>0</v>
      </c>
      <c r="G6548" s="3" t="n">
        <v>1</v>
      </c>
    </row>
    <row r="6549">
      <c r="A6549" s="3" t="inlineStr">
        <is>
          <t>Cape Projects Construction (Pty) Ltd</t>
        </is>
      </c>
      <c r="B6549" s="4" t="n">
        <v>45443</v>
      </c>
      <c r="C6549" s="3" t="inlineStr">
        <is>
          <t>Expenses</t>
        </is>
      </c>
      <c r="D6549" s="3" t="inlineStr">
        <is>
          <t>3450/030</t>
        </is>
      </c>
      <c r="E6549" s="3" t="inlineStr">
        <is>
          <t>Depreciation - Furniture and Fittings</t>
        </is>
      </c>
      <c r="F6549" s="3" t="n">
        <v>0</v>
      </c>
      <c r="G6549" s="3" t="n">
        <v>1115.87</v>
      </c>
    </row>
    <row r="6550">
      <c r="A6550" s="3" t="inlineStr">
        <is>
          <t>Heron Fields (Pty) Ltd</t>
        </is>
      </c>
      <c r="B6550" s="4" t="n">
        <v>45443</v>
      </c>
      <c r="C6550" s="3" t="inlineStr">
        <is>
          <t>Expenses</t>
        </is>
      </c>
      <c r="D6550" s="3" t="inlineStr">
        <is>
          <t>3640/000</t>
        </is>
      </c>
      <c r="E6550" s="3" t="inlineStr">
        <is>
          <t>COCT: Developers Rates &amp; Refuse Acc: 236356811</t>
        </is>
      </c>
      <c r="F6550" s="3" t="n">
        <v>0</v>
      </c>
      <c r="G6550" s="3" t="n">
        <v>125588.71</v>
      </c>
    </row>
    <row r="6551">
      <c r="A6551" s="3" t="inlineStr">
        <is>
          <t>Heron Fields (Pty) Ltd</t>
        </is>
      </c>
      <c r="B6551" s="4" t="n">
        <v>45443</v>
      </c>
      <c r="C6551" s="3" t="inlineStr">
        <is>
          <t>Expenses</t>
        </is>
      </c>
      <c r="D6551" s="3" t="inlineStr">
        <is>
          <t>3650/000</t>
        </is>
      </c>
      <c r="E6551" s="3" t="inlineStr">
        <is>
          <t>CoCT - Electricity</t>
        </is>
      </c>
      <c r="F6551" s="3" t="n">
        <v>0</v>
      </c>
      <c r="G6551" s="3" t="n">
        <v>108074.29</v>
      </c>
    </row>
    <row r="6552">
      <c r="A6552" s="3" t="inlineStr">
        <is>
          <t>Heron View (Pty) Ltd</t>
        </is>
      </c>
      <c r="B6552" s="4" t="n">
        <v>45443</v>
      </c>
      <c r="C6552" s="3" t="inlineStr">
        <is>
          <t>Expenses</t>
        </is>
      </c>
      <c r="D6552" s="3" t="inlineStr">
        <is>
          <t>3650/000</t>
        </is>
      </c>
      <c r="E6552" s="3" t="inlineStr">
        <is>
          <t>Electricity</t>
        </is>
      </c>
      <c r="F6552" s="3" t="n">
        <v>9396.76</v>
      </c>
      <c r="G6552" s="3" t="n">
        <v>9396.76</v>
      </c>
    </row>
    <row r="6553">
      <c r="A6553" s="3" t="inlineStr">
        <is>
          <t>Cape Projects Construction (Pty) Ltd</t>
        </is>
      </c>
      <c r="B6553" s="4" t="n">
        <v>45443</v>
      </c>
      <c r="C6553" s="3" t="inlineStr">
        <is>
          <t>Expenses</t>
        </is>
      </c>
      <c r="D6553" s="3" t="inlineStr">
        <is>
          <t>3650/000</t>
        </is>
      </c>
      <c r="E6553" s="3" t="inlineStr">
        <is>
          <t>Electricity _AND_ Water</t>
        </is>
      </c>
      <c r="F6553" s="3" t="n">
        <v>6600.41</v>
      </c>
      <c r="G6553" s="3" t="n">
        <v>12758.84</v>
      </c>
    </row>
    <row r="6554">
      <c r="A6554" s="3" t="inlineStr">
        <is>
          <t>Heron Fields (Pty) Ltd</t>
        </is>
      </c>
      <c r="B6554" s="4" t="n">
        <v>45443</v>
      </c>
      <c r="C6554" s="3" t="inlineStr">
        <is>
          <t>Expenses</t>
        </is>
      </c>
      <c r="D6554" s="3" t="inlineStr">
        <is>
          <t>3660/000</t>
        </is>
      </c>
      <c r="E6554" s="3" t="inlineStr">
        <is>
          <t>CoCT - Water</t>
        </is>
      </c>
      <c r="F6554" s="3" t="n">
        <v>0</v>
      </c>
      <c r="G6554" s="3" t="n">
        <v>4577.68</v>
      </c>
    </row>
    <row r="6555">
      <c r="A6555" s="3" t="inlineStr">
        <is>
          <t>Heron View (Pty) Ltd</t>
        </is>
      </c>
      <c r="B6555" s="4" t="n">
        <v>45443</v>
      </c>
      <c r="C6555" s="3" t="inlineStr">
        <is>
          <t>Expenses</t>
        </is>
      </c>
      <c r="D6555" s="3" t="inlineStr">
        <is>
          <t>3660/000</t>
        </is>
      </c>
      <c r="E6555" s="3" t="inlineStr">
        <is>
          <t>Water</t>
        </is>
      </c>
      <c r="F6555" s="3" t="n">
        <v>40.36</v>
      </c>
      <c r="G6555" s="3" t="n">
        <v>116.05</v>
      </c>
    </row>
    <row r="6556">
      <c r="A6556" s="3" t="inlineStr">
        <is>
          <t>Cape Projects Construction (Pty) Ltd</t>
        </is>
      </c>
      <c r="B6556" s="4" t="n">
        <v>45443</v>
      </c>
      <c r="C6556" s="3" t="inlineStr">
        <is>
          <t>Expenses</t>
        </is>
      </c>
      <c r="D6556" s="3" t="inlineStr">
        <is>
          <t>3800/000</t>
        </is>
      </c>
      <c r="E6556" s="3" t="inlineStr">
        <is>
          <t>General Expenses</t>
        </is>
      </c>
      <c r="F6556" s="3" t="n">
        <v>0</v>
      </c>
      <c r="G6556" s="3" t="n">
        <v>191.3</v>
      </c>
    </row>
    <row r="6557">
      <c r="A6557" s="3" t="inlineStr">
        <is>
          <t>Cape Projects Construction (Pty) Ltd</t>
        </is>
      </c>
      <c r="B6557" s="4" t="n">
        <v>45443</v>
      </c>
      <c r="C6557" s="3" t="inlineStr">
        <is>
          <t>Expenses</t>
        </is>
      </c>
      <c r="D6557" s="3" t="inlineStr">
        <is>
          <t>3850/001</t>
        </is>
      </c>
      <c r="E6557" s="3" t="inlineStr">
        <is>
          <t>Insurance - Santam</t>
        </is>
      </c>
      <c r="F6557" s="3" t="n">
        <v>0</v>
      </c>
      <c r="G6557" s="3" t="n">
        <v>18893.08</v>
      </c>
    </row>
    <row r="6558">
      <c r="A6558" s="3" t="inlineStr">
        <is>
          <t>Heron Fields (Pty) Ltd</t>
        </is>
      </c>
      <c r="B6558" s="4" t="n">
        <v>45443</v>
      </c>
      <c r="C6558" s="3" t="inlineStr">
        <is>
          <t>Expenses</t>
        </is>
      </c>
      <c r="D6558" s="3" t="inlineStr">
        <is>
          <t>3900/000</t>
        </is>
      </c>
      <c r="E6558" s="3" t="inlineStr">
        <is>
          <t>Interest Paid</t>
        </is>
      </c>
      <c r="F6558" s="3" t="n">
        <v>0</v>
      </c>
      <c r="G6558" s="3" t="n">
        <v>5281.4</v>
      </c>
    </row>
    <row r="6559">
      <c r="A6559" s="3" t="inlineStr">
        <is>
          <t>Heron View (Pty) Ltd</t>
        </is>
      </c>
      <c r="B6559" s="4" t="n">
        <v>45443</v>
      </c>
      <c r="C6559" s="3" t="inlineStr">
        <is>
          <t>Expenses</t>
        </is>
      </c>
      <c r="D6559" s="3" t="inlineStr">
        <is>
          <t>3900/120</t>
        </is>
      </c>
      <c r="E6559" s="3" t="inlineStr">
        <is>
          <t>Interest Paid - Investors @ 7%</t>
        </is>
      </c>
      <c r="F6559" s="3" t="n">
        <v>0</v>
      </c>
      <c r="G6559" s="3" t="n">
        <v>575.35</v>
      </c>
    </row>
    <row r="6560">
      <c r="A6560" s="3" t="inlineStr">
        <is>
          <t>Heron View (Pty) Ltd</t>
        </is>
      </c>
      <c r="B6560" s="4" t="n">
        <v>45443</v>
      </c>
      <c r="C6560" s="3" t="inlineStr">
        <is>
          <t>Expenses</t>
        </is>
      </c>
      <c r="D6560" s="3" t="inlineStr">
        <is>
          <t>3900/126</t>
        </is>
      </c>
      <c r="E6560" s="3" t="inlineStr">
        <is>
          <t>Interest Paid - Investors @ 7.5%</t>
        </is>
      </c>
      <c r="F6560" s="3" t="n">
        <v>0</v>
      </c>
      <c r="G6560" s="3" t="n">
        <v>6267.13</v>
      </c>
    </row>
    <row r="6561">
      <c r="A6561" s="3" t="inlineStr">
        <is>
          <t>Heron View (Pty) Ltd</t>
        </is>
      </c>
      <c r="B6561" s="4" t="n">
        <v>45443</v>
      </c>
      <c r="C6561" s="3" t="inlineStr">
        <is>
          <t>Expenses</t>
        </is>
      </c>
      <c r="D6561" s="3" t="inlineStr">
        <is>
          <t>3900/230</t>
        </is>
      </c>
      <c r="E6561" s="3" t="inlineStr">
        <is>
          <t>Interest Paid - Investors @ 18%</t>
        </is>
      </c>
      <c r="F6561" s="3" t="n">
        <v>0</v>
      </c>
      <c r="G6561" s="3" t="n">
        <v>308712.32</v>
      </c>
    </row>
    <row r="6562">
      <c r="A6562" s="3" t="inlineStr">
        <is>
          <t>Heron View (Pty) Ltd</t>
        </is>
      </c>
      <c r="B6562" s="4" t="n">
        <v>45443</v>
      </c>
      <c r="C6562" s="3" t="inlineStr">
        <is>
          <t>Expenses</t>
        </is>
      </c>
      <c r="D6562" s="3" t="inlineStr">
        <is>
          <t>4050/000</t>
        </is>
      </c>
      <c r="E6562" s="3" t="inlineStr">
        <is>
          <t>Levies</t>
        </is>
      </c>
      <c r="F6562" s="3" t="n">
        <v>5429</v>
      </c>
      <c r="G6562" s="3" t="n">
        <v>16226.32</v>
      </c>
    </row>
    <row r="6563">
      <c r="A6563" s="3" t="inlineStr">
        <is>
          <t>Heron Fields (Pty) Ltd</t>
        </is>
      </c>
      <c r="B6563" s="4" t="n">
        <v>45443</v>
      </c>
      <c r="C6563" s="3" t="inlineStr">
        <is>
          <t>Expenses</t>
        </is>
      </c>
      <c r="D6563" s="3" t="inlineStr">
        <is>
          <t>4050/200</t>
        </is>
      </c>
      <c r="E6563" s="3" t="inlineStr">
        <is>
          <t>Levies - Amari</t>
        </is>
      </c>
      <c r="F6563" s="3" t="n">
        <v>6060.18</v>
      </c>
      <c r="G6563" s="3" t="n">
        <v>27761.48</v>
      </c>
    </row>
    <row r="6564">
      <c r="A6564" s="3" t="inlineStr">
        <is>
          <t>Heron Fields (Pty) Ltd</t>
        </is>
      </c>
      <c r="B6564" s="4" t="n">
        <v>45443</v>
      </c>
      <c r="C6564" s="3" t="inlineStr">
        <is>
          <t>Expenses</t>
        </is>
      </c>
      <c r="D6564" s="3" t="inlineStr">
        <is>
          <t>4100/001</t>
        </is>
      </c>
      <c r="E6564" s="3" t="inlineStr">
        <is>
          <t>Momentum Admin Fee</t>
        </is>
      </c>
      <c r="F6564" s="3" t="n">
        <v>1173.03</v>
      </c>
      <c r="G6564" s="3" t="n">
        <v>8400.110000000001</v>
      </c>
    </row>
    <row r="6565">
      <c r="A6565" s="3" t="inlineStr">
        <is>
          <t>Cape Projects Construction (Pty) Ltd</t>
        </is>
      </c>
      <c r="B6565" s="4" t="n">
        <v>45443</v>
      </c>
      <c r="C6565" s="3" t="inlineStr">
        <is>
          <t>Expenses</t>
        </is>
      </c>
      <c r="D6565" s="3" t="inlineStr">
        <is>
          <t>4150/010</t>
        </is>
      </c>
      <c r="E6565" s="3" t="inlineStr">
        <is>
          <t>Motor Vehicle - Petrol _AND_ Oil</t>
        </is>
      </c>
      <c r="F6565" s="3" t="n">
        <v>5724.8</v>
      </c>
      <c r="G6565" s="3" t="n">
        <v>10933.26</v>
      </c>
    </row>
    <row r="6566">
      <c r="A6566" s="3" t="inlineStr">
        <is>
          <t>Cape Projects Construction (Pty) Ltd</t>
        </is>
      </c>
      <c r="B6566" s="4" t="n">
        <v>45443</v>
      </c>
      <c r="C6566" s="3" t="inlineStr">
        <is>
          <t>Expenses</t>
        </is>
      </c>
      <c r="D6566" s="3" t="inlineStr">
        <is>
          <t>4200/000</t>
        </is>
      </c>
      <c r="E6566" s="3" t="inlineStr">
        <is>
          <t>Printing _AND_ Stationery</t>
        </is>
      </c>
      <c r="F6566" s="3" t="n">
        <v>0</v>
      </c>
      <c r="G6566" s="3" t="n">
        <v>4971.8</v>
      </c>
    </row>
    <row r="6567">
      <c r="A6567" s="3" t="inlineStr">
        <is>
          <t>Cape Projects Construction (Pty) Ltd</t>
        </is>
      </c>
      <c r="B6567" s="4" t="n">
        <v>45443</v>
      </c>
      <c r="C6567" s="3" t="inlineStr">
        <is>
          <t>Expenses</t>
        </is>
      </c>
      <c r="D6567" s="3" t="inlineStr">
        <is>
          <t>4201/000</t>
        </is>
      </c>
      <c r="E6567" s="3" t="inlineStr">
        <is>
          <t>Printing - Printer rental</t>
        </is>
      </c>
      <c r="F6567" s="3" t="n">
        <v>2383.97</v>
      </c>
      <c r="G6567" s="3" t="n">
        <v>6299.64</v>
      </c>
    </row>
    <row r="6568">
      <c r="A6568" s="3" t="inlineStr">
        <is>
          <t>Cape Projects Construction (Pty) Ltd</t>
        </is>
      </c>
      <c r="B6568" s="4" t="n">
        <v>45443</v>
      </c>
      <c r="C6568" s="3" t="inlineStr">
        <is>
          <t>Expenses</t>
        </is>
      </c>
      <c r="D6568" s="3" t="inlineStr">
        <is>
          <t>4300/000</t>
        </is>
      </c>
      <c r="E6568" s="3" t="inlineStr">
        <is>
          <t>Rent Paid</t>
        </is>
      </c>
      <c r="F6568" s="3" t="n">
        <v>31820</v>
      </c>
      <c r="G6568" s="3" t="n">
        <v>105821.43</v>
      </c>
    </row>
    <row r="6569">
      <c r="A6569" s="3" t="inlineStr">
        <is>
          <t>Cape Projects Construction (Pty) Ltd</t>
        </is>
      </c>
      <c r="B6569" s="4" t="n">
        <v>45443</v>
      </c>
      <c r="C6569" s="3" t="inlineStr">
        <is>
          <t>Expenses</t>
        </is>
      </c>
      <c r="D6569" s="3" t="inlineStr">
        <is>
          <t>4310/000</t>
        </is>
      </c>
      <c r="E6569" s="3" t="inlineStr">
        <is>
          <t>Rates</t>
        </is>
      </c>
      <c r="F6569" s="3" t="n">
        <v>989.75</v>
      </c>
      <c r="G6569" s="3" t="n">
        <v>2969.25</v>
      </c>
    </row>
    <row r="6570">
      <c r="A6570" s="3" t="inlineStr">
        <is>
          <t>Cape Projects Construction (Pty) Ltd</t>
        </is>
      </c>
      <c r="B6570" s="4" t="n">
        <v>45443</v>
      </c>
      <c r="C6570" s="3" t="inlineStr">
        <is>
          <t>Expenses</t>
        </is>
      </c>
      <c r="D6570" s="3" t="inlineStr">
        <is>
          <t>4350/000</t>
        </is>
      </c>
      <c r="E6570" s="3" t="inlineStr">
        <is>
          <t>Repairs _AND_ Maintenance</t>
        </is>
      </c>
      <c r="F6570" s="3" t="n">
        <v>3370.9</v>
      </c>
      <c r="G6570" s="3" t="n">
        <v>11732.84</v>
      </c>
    </row>
    <row r="6571">
      <c r="A6571" s="3" t="inlineStr">
        <is>
          <t>Heron View (Pty) Ltd</t>
        </is>
      </c>
      <c r="B6571" s="4" t="n">
        <v>45443</v>
      </c>
      <c r="C6571" s="3" t="inlineStr">
        <is>
          <t>Expenses</t>
        </is>
      </c>
      <c r="D6571" s="3" t="inlineStr">
        <is>
          <t>4350/000</t>
        </is>
      </c>
      <c r="E6571" s="3" t="inlineStr">
        <is>
          <t>Repairs _AND_ Maintenance</t>
        </is>
      </c>
      <c r="F6571" s="3" t="n">
        <v>0</v>
      </c>
      <c r="G6571" s="3" t="n">
        <v>2815.04</v>
      </c>
    </row>
    <row r="6572">
      <c r="A6572" s="3" t="inlineStr">
        <is>
          <t>Cape Projects Construction (Pty) Ltd</t>
        </is>
      </c>
      <c r="B6572" s="4" t="n">
        <v>45443</v>
      </c>
      <c r="C6572" s="3" t="inlineStr">
        <is>
          <t>Expenses</t>
        </is>
      </c>
      <c r="D6572" s="3" t="inlineStr">
        <is>
          <t>4400/000</t>
        </is>
      </c>
      <c r="E6572" s="3" t="inlineStr">
        <is>
          <t>Salaries _AND_ Wages</t>
        </is>
      </c>
      <c r="F6572" s="3" t="n">
        <v>0</v>
      </c>
      <c r="G6572" s="3" t="n">
        <v>771426.33</v>
      </c>
    </row>
    <row r="6573">
      <c r="A6573" s="3" t="inlineStr">
        <is>
          <t>Heron Fields (Pty) Ltd</t>
        </is>
      </c>
      <c r="B6573" s="4" t="n">
        <v>45443</v>
      </c>
      <c r="C6573" s="3" t="inlineStr">
        <is>
          <t>Expenses</t>
        </is>
      </c>
      <c r="D6573" s="3" t="inlineStr">
        <is>
          <t>4420/001</t>
        </is>
      </c>
      <c r="E6573" s="3" t="inlineStr">
        <is>
          <t>Security - ADT</t>
        </is>
      </c>
      <c r="F6573" s="3" t="n">
        <v>374.64</v>
      </c>
      <c r="G6573" s="3" t="n">
        <v>1123.92</v>
      </c>
    </row>
    <row r="6574">
      <c r="A6574" s="3" t="inlineStr">
        <is>
          <t>Cape Projects Construction (Pty) Ltd</t>
        </is>
      </c>
      <c r="B6574" s="4" t="n">
        <v>45443</v>
      </c>
      <c r="C6574" s="3" t="inlineStr">
        <is>
          <t>Expenses</t>
        </is>
      </c>
      <c r="D6574" s="3" t="inlineStr">
        <is>
          <t>4420/100</t>
        </is>
      </c>
      <c r="E6574" s="3" t="inlineStr">
        <is>
          <t>Small Assets - Show Unit O101</t>
        </is>
      </c>
      <c r="F6574" s="3" t="n">
        <v>865.63</v>
      </c>
      <c r="G6574" s="3" t="n">
        <v>5222.33</v>
      </c>
    </row>
    <row r="6575">
      <c r="A6575" s="3" t="inlineStr">
        <is>
          <t>Cape Projects Construction (Pty) Ltd</t>
        </is>
      </c>
      <c r="B6575" s="4" t="n">
        <v>45443</v>
      </c>
      <c r="C6575" s="3" t="inlineStr">
        <is>
          <t>Expenses</t>
        </is>
      </c>
      <c r="D6575" s="3" t="inlineStr">
        <is>
          <t>4500/000</t>
        </is>
      </c>
      <c r="E6575" s="3" t="inlineStr">
        <is>
          <t>Staff Welfare _AND_ Refreshmts</t>
        </is>
      </c>
      <c r="F6575" s="3" t="n">
        <v>3907.75</v>
      </c>
      <c r="G6575" s="3" t="n">
        <v>6838.99</v>
      </c>
    </row>
    <row r="6576">
      <c r="A6576" s="3" t="inlineStr">
        <is>
          <t>Cape Projects Construction (Pty) Ltd</t>
        </is>
      </c>
      <c r="B6576" s="4" t="n">
        <v>45443</v>
      </c>
      <c r="C6576" s="3" t="inlineStr">
        <is>
          <t>Expenses</t>
        </is>
      </c>
      <c r="D6576" s="3" t="inlineStr">
        <is>
          <t>4550/000</t>
        </is>
      </c>
      <c r="E6576" s="3" t="inlineStr">
        <is>
          <t>Subscriptions / Licenses</t>
        </is>
      </c>
      <c r="F6576" s="3" t="n">
        <v>0</v>
      </c>
      <c r="G6576" s="3" t="n">
        <v>9775</v>
      </c>
    </row>
    <row r="6577">
      <c r="A6577" s="3" t="inlineStr">
        <is>
          <t>Cape Projects Construction (Pty) Ltd</t>
        </is>
      </c>
      <c r="B6577" s="4" t="n">
        <v>45443</v>
      </c>
      <c r="C6577" s="3" t="inlineStr">
        <is>
          <t>Expenses</t>
        </is>
      </c>
      <c r="D6577" s="3" t="inlineStr">
        <is>
          <t>4550/001</t>
        </is>
      </c>
      <c r="E6577" s="3" t="inlineStr">
        <is>
          <t>Subscriptions &amp; Licenses - Sage payroll</t>
        </is>
      </c>
      <c r="F6577" s="3" t="n">
        <v>810</v>
      </c>
      <c r="G6577" s="3" t="n">
        <v>4050</v>
      </c>
    </row>
    <row r="6578">
      <c r="A6578" s="3" t="inlineStr">
        <is>
          <t>Cape Projects Construction (Pty) Ltd</t>
        </is>
      </c>
      <c r="B6578" s="4" t="n">
        <v>45443</v>
      </c>
      <c r="C6578" s="3" t="inlineStr">
        <is>
          <t>Expenses</t>
        </is>
      </c>
      <c r="D6578" s="3" t="inlineStr">
        <is>
          <t>4550/003</t>
        </is>
      </c>
      <c r="E6578" s="3" t="inlineStr">
        <is>
          <t>Subscriptions &amp; Licenses - Xero</t>
        </is>
      </c>
      <c r="F6578" s="3" t="n">
        <v>600</v>
      </c>
      <c r="G6578" s="3" t="n">
        <v>1800</v>
      </c>
    </row>
    <row r="6579">
      <c r="A6579" s="3" t="inlineStr">
        <is>
          <t>Cape Projects Construction (Pty) Ltd</t>
        </is>
      </c>
      <c r="B6579" s="4" t="n">
        <v>45443</v>
      </c>
      <c r="C6579" s="3" t="inlineStr">
        <is>
          <t>Expenses</t>
        </is>
      </c>
      <c r="D6579" s="3" t="inlineStr">
        <is>
          <t>4550/004</t>
        </is>
      </c>
      <c r="E6579" s="3" t="inlineStr">
        <is>
          <t>Subscriptions - Smartsheet</t>
        </is>
      </c>
      <c r="F6579" s="3" t="n">
        <v>0</v>
      </c>
      <c r="G6579" s="3" t="n">
        <v>2178</v>
      </c>
    </row>
    <row r="6580">
      <c r="A6580" s="3" t="inlineStr">
        <is>
          <t>Cape Projects Construction (Pty) Ltd</t>
        </is>
      </c>
      <c r="B6580" s="4" t="n">
        <v>45443</v>
      </c>
      <c r="C6580" s="3" t="inlineStr">
        <is>
          <t>Expenses</t>
        </is>
      </c>
      <c r="D6580" s="3" t="inlineStr">
        <is>
          <t>4550/007</t>
        </is>
      </c>
      <c r="E6580" s="3" t="inlineStr">
        <is>
          <t>Subscription &amp; Licenses - ERS Bio</t>
        </is>
      </c>
      <c r="F6580" s="3" t="n">
        <v>0</v>
      </c>
      <c r="G6580" s="3" t="n">
        <v>718.9299999999999</v>
      </c>
    </row>
    <row r="6581">
      <c r="A6581" s="3" t="inlineStr">
        <is>
          <t>Heron Fields (Pty) Ltd</t>
        </is>
      </c>
      <c r="B6581" s="4" t="n">
        <v>45443</v>
      </c>
      <c r="C6581" s="3" t="inlineStr">
        <is>
          <t>Expenses</t>
        </is>
      </c>
      <c r="D6581" s="3" t="inlineStr">
        <is>
          <t>4550/100</t>
        </is>
      </c>
      <c r="E6581" s="3" t="inlineStr">
        <is>
          <t>Subscriptions - Xero</t>
        </is>
      </c>
      <c r="F6581" s="3" t="n">
        <v>600</v>
      </c>
      <c r="G6581" s="3" t="n">
        <v>1800</v>
      </c>
    </row>
    <row r="6582">
      <c r="A6582" s="3" t="inlineStr">
        <is>
          <t>Heron View (Pty) Ltd</t>
        </is>
      </c>
      <c r="B6582" s="4" t="n">
        <v>45443</v>
      </c>
      <c r="C6582" s="3" t="inlineStr">
        <is>
          <t>Expenses</t>
        </is>
      </c>
      <c r="D6582" s="3" t="inlineStr">
        <is>
          <t>4550/100</t>
        </is>
      </c>
      <c r="E6582" s="3" t="inlineStr">
        <is>
          <t>Subscriptions - Xero</t>
        </is>
      </c>
      <c r="F6582" s="3" t="n">
        <v>600</v>
      </c>
      <c r="G6582" s="3" t="n">
        <v>1800</v>
      </c>
    </row>
    <row r="6583">
      <c r="A6583" s="3" t="inlineStr">
        <is>
          <t>Cape Projects Construction (Pty) Ltd</t>
        </is>
      </c>
      <c r="B6583" s="4" t="n">
        <v>45443</v>
      </c>
      <c r="C6583" s="3" t="inlineStr">
        <is>
          <t>Expenses</t>
        </is>
      </c>
      <c r="D6583" s="3" t="inlineStr">
        <is>
          <t>4600/000</t>
        </is>
      </c>
      <c r="E6583" s="3" t="inlineStr">
        <is>
          <t>Telephone _AND_ Fax</t>
        </is>
      </c>
      <c r="F6583" s="3" t="n">
        <v>3667.52</v>
      </c>
      <c r="G6583" s="3" t="n">
        <v>10383.58</v>
      </c>
    </row>
    <row r="6584">
      <c r="A6584" s="3" t="inlineStr">
        <is>
          <t>Cape Projects Construction (Pty) Ltd</t>
        </is>
      </c>
      <c r="B6584" s="4" t="n">
        <v>45443</v>
      </c>
      <c r="C6584" s="3" t="inlineStr">
        <is>
          <t>Expenses</t>
        </is>
      </c>
      <c r="D6584" s="3" t="inlineStr">
        <is>
          <t>4700/000</t>
        </is>
      </c>
      <c r="E6584" s="3" t="inlineStr">
        <is>
          <t>PAYE Contributions</t>
        </is>
      </c>
      <c r="F6584" s="3" t="n">
        <v>0</v>
      </c>
      <c r="G6584" s="3" t="n">
        <v>182556.26</v>
      </c>
    </row>
    <row r="6585">
      <c r="A6585" s="3" t="inlineStr">
        <is>
          <t>Cape Projects Construction (Pty) Ltd</t>
        </is>
      </c>
      <c r="B6585" s="4" t="n">
        <v>45443</v>
      </c>
      <c r="C6585" s="3" t="inlineStr">
        <is>
          <t>Expenses</t>
        </is>
      </c>
      <c r="D6585" s="3" t="inlineStr">
        <is>
          <t>4720/000</t>
        </is>
      </c>
      <c r="E6585" s="3" t="inlineStr">
        <is>
          <t>SDL Contributions</t>
        </is>
      </c>
      <c r="F6585" s="3" t="n">
        <v>0</v>
      </c>
      <c r="G6585" s="3" t="n">
        <v>9344.92</v>
      </c>
    </row>
    <row r="6586">
      <c r="A6586" s="3" t="inlineStr">
        <is>
          <t>Cape Projects Construction (Pty) Ltd</t>
        </is>
      </c>
      <c r="B6586" s="4" t="n">
        <v>45443</v>
      </c>
      <c r="C6586" s="3" t="inlineStr">
        <is>
          <t>Expenses</t>
        </is>
      </c>
      <c r="D6586" s="3" t="inlineStr">
        <is>
          <t>4730/000</t>
        </is>
      </c>
      <c r="E6586" s="3" t="inlineStr">
        <is>
          <t>UIF Company Contributions</t>
        </is>
      </c>
      <c r="F6586" s="3" t="n">
        <v>0</v>
      </c>
      <c r="G6586" s="3" t="n">
        <v>5009.96</v>
      </c>
    </row>
    <row r="6587">
      <c r="A6587" s="3" t="inlineStr">
        <is>
          <t>Cape Projects Construction (Pty) Ltd</t>
        </is>
      </c>
      <c r="B6587" s="4" t="n">
        <v>45443</v>
      </c>
      <c r="C6587" s="3" t="inlineStr">
        <is>
          <t>Expenses</t>
        </is>
      </c>
      <c r="D6587" s="3" t="inlineStr">
        <is>
          <t>4731/000</t>
        </is>
      </c>
      <c r="E6587" s="3" t="inlineStr">
        <is>
          <t>UIF Employee Contribution</t>
        </is>
      </c>
      <c r="F6587" s="3" t="n">
        <v>0</v>
      </c>
      <c r="G6587" s="3" t="n">
        <v>5009.96</v>
      </c>
    </row>
    <row r="6588">
      <c r="A6588" s="3" t="inlineStr">
        <is>
          <t>Heron Fields (Pty) Ltd</t>
        </is>
      </c>
      <c r="B6588" s="4" t="n">
        <v>45443</v>
      </c>
      <c r="C6588" s="3" t="inlineStr">
        <is>
          <t>Equity</t>
        </is>
      </c>
      <c r="D6588" s="3" t="inlineStr">
        <is>
          <t>5100-000</t>
        </is>
      </c>
      <c r="E6588" s="3" t="inlineStr">
        <is>
          <t>Share Capital</t>
        </is>
      </c>
      <c r="F6588" s="3" t="n">
        <v>0</v>
      </c>
      <c r="G6588" s="3" t="n">
        <v>-100</v>
      </c>
    </row>
    <row r="6589">
      <c r="A6589" s="3" t="inlineStr">
        <is>
          <t>Cape Projects Construction (Pty) Ltd</t>
        </is>
      </c>
      <c r="B6589" s="4" t="n">
        <v>45443</v>
      </c>
      <c r="C6589" s="3" t="inlineStr">
        <is>
          <t>Equity</t>
        </is>
      </c>
      <c r="D6589" s="3" t="inlineStr">
        <is>
          <t>5100/000</t>
        </is>
      </c>
      <c r="E6589" s="3" t="inlineStr">
        <is>
          <t>Share Capital / Members Contribution</t>
        </is>
      </c>
      <c r="F6589" s="3" t="n">
        <v>0</v>
      </c>
      <c r="G6589" s="3" t="n">
        <v>-120</v>
      </c>
    </row>
    <row r="6590">
      <c r="A6590" s="3" t="inlineStr">
        <is>
          <t>Cape Projects Construction (Pty) Ltd</t>
        </is>
      </c>
      <c r="B6590" s="4" t="n">
        <v>45443</v>
      </c>
      <c r="C6590" s="3" t="inlineStr">
        <is>
          <t>Equity</t>
        </is>
      </c>
      <c r="D6590" s="3" t="inlineStr">
        <is>
          <t>5200/000</t>
        </is>
      </c>
      <c r="E6590" s="3" t="inlineStr">
        <is>
          <t>Retained Earnings / Loss</t>
        </is>
      </c>
      <c r="F6590" s="3" t="n">
        <v>0</v>
      </c>
      <c r="G6590" s="3" t="n">
        <v>511734.13</v>
      </c>
    </row>
    <row r="6591">
      <c r="A6591" s="3" t="inlineStr">
        <is>
          <t>Heron Fields (Pty) Ltd</t>
        </is>
      </c>
      <c r="B6591" s="4" t="n">
        <v>45443</v>
      </c>
      <c r="C6591" s="3" t="inlineStr">
        <is>
          <t>Equity</t>
        </is>
      </c>
      <c r="D6591" s="3" t="inlineStr">
        <is>
          <t>5200/000</t>
        </is>
      </c>
      <c r="E6591" s="3" t="inlineStr">
        <is>
          <t>Retained Earnings / Loss</t>
        </is>
      </c>
      <c r="F6591" s="3" t="n">
        <v>0</v>
      </c>
      <c r="G6591" s="3" t="n">
        <v>-39564532.87</v>
      </c>
    </row>
    <row r="6592">
      <c r="A6592" s="3" t="inlineStr">
        <is>
          <t>Heron View (Pty) Ltd</t>
        </is>
      </c>
      <c r="B6592" s="4" t="n">
        <v>45443</v>
      </c>
      <c r="C6592" s="3" t="inlineStr">
        <is>
          <t>Equity</t>
        </is>
      </c>
      <c r="D6592" s="3" t="inlineStr">
        <is>
          <t>5200/000</t>
        </is>
      </c>
      <c r="E6592" s="3" t="inlineStr">
        <is>
          <t>Retained Earnings / Loss</t>
        </is>
      </c>
      <c r="F6592" s="3" t="n">
        <v>0</v>
      </c>
      <c r="G6592" s="3" t="n">
        <v>-30792555.22</v>
      </c>
    </row>
    <row r="6593">
      <c r="A6593" s="3" t="inlineStr">
        <is>
          <t>Heron Fields (Pty) Ltd</t>
        </is>
      </c>
      <c r="B6593" s="4" t="n">
        <v>45443</v>
      </c>
      <c r="C6593" s="3" t="inlineStr">
        <is>
          <t>Assets</t>
        </is>
      </c>
      <c r="D6593" s="3" t="inlineStr">
        <is>
          <t>5300/001</t>
        </is>
      </c>
      <c r="E6593" s="3" t="inlineStr">
        <is>
          <t>Revaluation of Land stock</t>
        </is>
      </c>
      <c r="F6593" s="3" t="n">
        <v>0</v>
      </c>
      <c r="G6593" s="3" t="n">
        <v>17562360.85</v>
      </c>
    </row>
    <row r="6594">
      <c r="A6594" s="3" t="inlineStr">
        <is>
          <t>Heron Fields (Pty) Ltd</t>
        </is>
      </c>
      <c r="B6594" s="4" t="n">
        <v>45443</v>
      </c>
      <c r="C6594" s="3" t="inlineStr">
        <is>
          <t>Assets</t>
        </is>
      </c>
      <c r="D6594" s="3" t="inlineStr">
        <is>
          <t>5400/000</t>
        </is>
      </c>
      <c r="E6594" s="3" t="inlineStr">
        <is>
          <t>Deposit: Ruiterwacht development</t>
        </is>
      </c>
      <c r="F6594" s="3" t="n">
        <v>0</v>
      </c>
      <c r="G6594" s="3" t="n">
        <v>13457359</v>
      </c>
    </row>
    <row r="6595">
      <c r="A6595" s="3" t="inlineStr">
        <is>
          <t>Cape Projects Construction (Pty) Ltd</t>
        </is>
      </c>
      <c r="B6595" s="4" t="n">
        <v>45443</v>
      </c>
      <c r="C6595" s="3" t="inlineStr">
        <is>
          <t>Assets</t>
        </is>
      </c>
      <c r="D6595" s="3" t="inlineStr">
        <is>
          <t>5400/150</t>
        </is>
      </c>
      <c r="E6595" s="3" t="inlineStr">
        <is>
          <t>Loan - Quinate</t>
        </is>
      </c>
      <c r="F6595" s="3" t="n">
        <v>-81000</v>
      </c>
      <c r="G6595" s="3" t="n">
        <v>-4128423.63</v>
      </c>
    </row>
    <row r="6596">
      <c r="A6596" s="3" t="inlineStr">
        <is>
          <t>Cape Projects Construction (Pty) Ltd</t>
        </is>
      </c>
      <c r="B6596" s="4" t="n">
        <v>45443</v>
      </c>
      <c r="C6596" s="3" t="inlineStr">
        <is>
          <t>Assets</t>
        </is>
      </c>
      <c r="D6596" s="3" t="inlineStr">
        <is>
          <t>5400/160</t>
        </is>
      </c>
      <c r="E6596" s="3" t="inlineStr">
        <is>
          <t>Loan - Sales</t>
        </is>
      </c>
      <c r="F6596" s="3" t="n">
        <v>0</v>
      </c>
      <c r="G6596" s="3" t="n">
        <v>-145000</v>
      </c>
    </row>
    <row r="6597">
      <c r="A6597" s="3" t="inlineStr">
        <is>
          <t>Cape Projects Construction (Pty) Ltd</t>
        </is>
      </c>
      <c r="B6597" s="4" t="n">
        <v>45443</v>
      </c>
      <c r="C6597" s="3" t="inlineStr">
        <is>
          <t>Assets</t>
        </is>
      </c>
      <c r="D6597" s="3" t="inlineStr">
        <is>
          <t>5400/220</t>
        </is>
      </c>
      <c r="E6597" s="3" t="inlineStr">
        <is>
          <t>Members Loan - WH</t>
        </is>
      </c>
      <c r="F6597" s="3" t="n">
        <v>0</v>
      </c>
      <c r="G6597" s="3" t="n">
        <v>-4342.5</v>
      </c>
    </row>
    <row r="6598">
      <c r="A6598" s="3" t="inlineStr">
        <is>
          <t>Cape Projects Construction (Pty) Ltd</t>
        </is>
      </c>
      <c r="B6598" s="4" t="n">
        <v>45443</v>
      </c>
      <c r="C6598" s="3" t="inlineStr">
        <is>
          <t>Assets</t>
        </is>
      </c>
      <c r="D6598" s="3" t="inlineStr">
        <is>
          <t>5400/300</t>
        </is>
      </c>
      <c r="E6598" s="3" t="inlineStr">
        <is>
          <t>Loan - Opportunity ResidentialCUST ACC</t>
        </is>
      </c>
      <c r="F6598" s="3" t="n">
        <v>0</v>
      </c>
      <c r="G6598" s="3" t="n">
        <v>4702.35</v>
      </c>
    </row>
    <row r="6599">
      <c r="A6599" s="3" t="inlineStr">
        <is>
          <t>Cape Projects Construction (Pty) Ltd</t>
        </is>
      </c>
      <c r="B6599" s="4" t="n">
        <v>45443</v>
      </c>
      <c r="C6599" s="3" t="inlineStr">
        <is>
          <t>Assets</t>
        </is>
      </c>
      <c r="D6599" s="3" t="inlineStr">
        <is>
          <t>5400/450</t>
        </is>
      </c>
      <c r="E6599" s="3" t="inlineStr">
        <is>
          <t>Loan - Opportunity Investment</t>
        </is>
      </c>
      <c r="F6599" s="3" t="n">
        <v>32000</v>
      </c>
      <c r="G6599" s="3" t="n">
        <v>-1180000</v>
      </c>
    </row>
    <row r="6600">
      <c r="A6600" s="3" t="inlineStr">
        <is>
          <t>Cape Projects Construction (Pty) Ltd</t>
        </is>
      </c>
      <c r="B6600" s="4" t="n">
        <v>45443</v>
      </c>
      <c r="C6600" s="3" t="inlineStr">
        <is>
          <t>Assets</t>
        </is>
      </c>
      <c r="D6600" s="3" t="inlineStr">
        <is>
          <t>5400/500</t>
        </is>
      </c>
      <c r="E6600" s="3" t="inlineStr">
        <is>
          <t>Loan - Blou Mamba Trust</t>
        </is>
      </c>
      <c r="F6600" s="3" t="n">
        <v>0</v>
      </c>
      <c r="G6600" s="3" t="n">
        <v>4342.5</v>
      </c>
    </row>
    <row r="6601">
      <c r="A6601" s="3" t="inlineStr">
        <is>
          <t>Cape Projects Construction (Pty) Ltd</t>
        </is>
      </c>
      <c r="B6601" s="4" t="n">
        <v>45443</v>
      </c>
      <c r="C6601" s="3" t="inlineStr">
        <is>
          <t>Assets</t>
        </is>
      </c>
      <c r="D6601" s="3" t="inlineStr">
        <is>
          <t>5400/550</t>
        </is>
      </c>
      <c r="E6601" s="3" t="inlineStr">
        <is>
          <t>Loan - Trademark</t>
        </is>
      </c>
      <c r="F6601" s="3" t="n">
        <v>600</v>
      </c>
      <c r="G6601" s="3" t="n">
        <v>-55800</v>
      </c>
    </row>
    <row r="6602">
      <c r="A6602" s="3" t="inlineStr">
        <is>
          <t>Cape Projects Construction (Pty) Ltd</t>
        </is>
      </c>
      <c r="B6602" s="4" t="n">
        <v>45443</v>
      </c>
      <c r="C6602" s="3" t="inlineStr">
        <is>
          <t>Assets</t>
        </is>
      </c>
      <c r="D6602" s="3" t="inlineStr">
        <is>
          <t>5400/600</t>
        </is>
      </c>
      <c r="E6602" s="3" t="inlineStr">
        <is>
          <t>Loan - Heron Projects</t>
        </is>
      </c>
      <c r="F6602" s="3" t="n">
        <v>-4946500</v>
      </c>
      <c r="G6602" s="3" t="n">
        <v>-33576238.42</v>
      </c>
    </row>
    <row r="6603">
      <c r="A6603" s="3" t="inlineStr">
        <is>
          <t>Cape Projects Construction (Pty) Ltd</t>
        </is>
      </c>
      <c r="B6603" s="4" t="n">
        <v>45443</v>
      </c>
      <c r="C6603" s="3" t="inlineStr">
        <is>
          <t>Assets</t>
        </is>
      </c>
      <c r="D6603" s="3" t="inlineStr">
        <is>
          <t>5400/650</t>
        </is>
      </c>
      <c r="E6603" s="3" t="inlineStr">
        <is>
          <t>Loan - Noble Shield</t>
        </is>
      </c>
      <c r="F6603" s="3" t="n">
        <v>-50024.5</v>
      </c>
      <c r="G6603" s="3" t="n">
        <v>-249013.94</v>
      </c>
    </row>
    <row r="6604">
      <c r="A6604" s="3" t="inlineStr">
        <is>
          <t>Cape Projects Construction (Pty) Ltd</t>
        </is>
      </c>
      <c r="B6604" s="4" t="n">
        <v>45443</v>
      </c>
      <c r="C6604" s="3" t="inlineStr">
        <is>
          <t>Assets</t>
        </is>
      </c>
      <c r="D6604" s="3" t="inlineStr">
        <is>
          <t>5400/750</t>
        </is>
      </c>
      <c r="E6604" s="3" t="inlineStr">
        <is>
          <t>Loan - Endulini</t>
        </is>
      </c>
      <c r="F6604" s="3" t="n">
        <v>-1300000</v>
      </c>
      <c r="G6604" s="3" t="n">
        <v>25192687.4</v>
      </c>
    </row>
    <row r="6605">
      <c r="A6605" s="3" t="inlineStr">
        <is>
          <t>Cape Projects Construction (Pty) Ltd</t>
        </is>
      </c>
      <c r="B6605" s="4" t="n">
        <v>45443</v>
      </c>
      <c r="C6605" s="3" t="inlineStr">
        <is>
          <t>Assets</t>
        </is>
      </c>
      <c r="D6605" s="3" t="inlineStr">
        <is>
          <t>5400/800</t>
        </is>
      </c>
      <c r="E6605" s="3" t="inlineStr">
        <is>
          <t>Loan - Opportunity Management Holdings</t>
        </is>
      </c>
      <c r="F6605" s="3" t="n">
        <v>50000</v>
      </c>
      <c r="G6605" s="3" t="n">
        <v>367399</v>
      </c>
    </row>
    <row r="6606">
      <c r="A6606" s="3" t="inlineStr">
        <is>
          <t>Heron View (Pty) Ltd</t>
        </is>
      </c>
      <c r="B6606" s="4" t="n">
        <v>45443</v>
      </c>
      <c r="C6606" s="3" t="inlineStr">
        <is>
          <t>Liabilities</t>
        </is>
      </c>
      <c r="D6606" s="3" t="inlineStr">
        <is>
          <t>5500/001</t>
        </is>
      </c>
      <c r="E6606" s="3" t="inlineStr">
        <is>
          <t>Loan - Heron Fields</t>
        </is>
      </c>
      <c r="F6606" s="3" t="n">
        <v>-85672.42999999999</v>
      </c>
      <c r="G6606" s="3" t="n">
        <v>-58838104.92</v>
      </c>
    </row>
    <row r="6607">
      <c r="A6607" s="3" t="inlineStr">
        <is>
          <t>Heron Fields (Pty) Ltd</t>
        </is>
      </c>
      <c r="B6607" s="4" t="n">
        <v>45443</v>
      </c>
      <c r="C6607" s="3" t="inlineStr">
        <is>
          <t>Liabilities</t>
        </is>
      </c>
      <c r="D6607" s="3" t="inlineStr">
        <is>
          <t>5500/010</t>
        </is>
      </c>
      <c r="E6607" s="3" t="inlineStr">
        <is>
          <t>Loan - Quinate</t>
        </is>
      </c>
      <c r="F6607" s="3" t="n">
        <v>0</v>
      </c>
      <c r="G6607" s="3" t="n">
        <v>1846000</v>
      </c>
    </row>
    <row r="6608">
      <c r="A6608" s="3" t="inlineStr">
        <is>
          <t>Heron Fields (Pty) Ltd</t>
        </is>
      </c>
      <c r="B6608" s="4" t="n">
        <v>45443</v>
      </c>
      <c r="C6608" s="3" t="inlineStr">
        <is>
          <t>Liabilities</t>
        </is>
      </c>
      <c r="D6608" s="3" t="inlineStr">
        <is>
          <t>5500/020</t>
        </is>
      </c>
      <c r="E6608" s="3" t="inlineStr">
        <is>
          <t>Loan - Cape Projects Construction</t>
        </is>
      </c>
      <c r="F6608" s="3" t="n">
        <v>4946500</v>
      </c>
      <c r="G6608" s="3" t="n">
        <v>33576238.42</v>
      </c>
    </row>
    <row r="6609">
      <c r="A6609" s="3" t="inlineStr">
        <is>
          <t>Heron Fields (Pty) Ltd</t>
        </is>
      </c>
      <c r="B6609" s="4" t="n">
        <v>45443</v>
      </c>
      <c r="C6609" s="3" t="inlineStr">
        <is>
          <t>Liabilities</t>
        </is>
      </c>
      <c r="D6609" s="3" t="inlineStr">
        <is>
          <t>5500/030</t>
        </is>
      </c>
      <c r="E6609" s="3" t="inlineStr">
        <is>
          <t>Loan - Opportunity Global Investments</t>
        </is>
      </c>
      <c r="F6609" s="3" t="n">
        <v>35000</v>
      </c>
      <c r="G6609" s="3" t="n">
        <v>2139275</v>
      </c>
    </row>
    <row r="6610">
      <c r="A6610" s="3" t="inlineStr">
        <is>
          <t>Heron Fields (Pty) Ltd</t>
        </is>
      </c>
      <c r="B6610" s="4" t="n">
        <v>45443</v>
      </c>
      <c r="C6610" s="3" t="inlineStr">
        <is>
          <t>Liabilities</t>
        </is>
      </c>
      <c r="D6610" s="3" t="inlineStr">
        <is>
          <t>5500/050</t>
        </is>
      </c>
      <c r="E6610" s="3" t="inlineStr">
        <is>
          <t>Loan - Heron View</t>
        </is>
      </c>
      <c r="F6610" s="3" t="n">
        <v>85671.71000000001</v>
      </c>
      <c r="G6610" s="3" t="n">
        <v>59038103.67</v>
      </c>
    </row>
    <row r="6611">
      <c r="A6611" s="3" t="inlineStr">
        <is>
          <t>Heron Fields (Pty) Ltd</t>
        </is>
      </c>
      <c r="B6611" s="4" t="n">
        <v>45443</v>
      </c>
      <c r="C6611" s="3" t="inlineStr">
        <is>
          <t>Liabilities</t>
        </is>
      </c>
      <c r="D6611" s="3" t="inlineStr">
        <is>
          <t>5500/051</t>
        </is>
      </c>
      <c r="E6611" s="3" t="inlineStr">
        <is>
          <t>Loan - HV N204</t>
        </is>
      </c>
      <c r="F6611" s="3" t="n">
        <v>-5000</v>
      </c>
      <c r="G6611" s="3" t="n">
        <v>0</v>
      </c>
    </row>
    <row r="6612">
      <c r="A6612" s="3" t="inlineStr">
        <is>
          <t>Heron Fields (Pty) Ltd</t>
        </is>
      </c>
      <c r="B6612" s="4" t="n">
        <v>45443</v>
      </c>
      <c r="C6612" s="3" t="inlineStr">
        <is>
          <t>Liabilities</t>
        </is>
      </c>
      <c r="D6612" s="3" t="inlineStr">
        <is>
          <t>5500/060</t>
        </is>
      </c>
      <c r="E6612" s="3" t="inlineStr">
        <is>
          <t>Loan - Opportunity Management Holdings</t>
        </is>
      </c>
      <c r="F6612" s="3" t="n">
        <v>-54000</v>
      </c>
      <c r="G6612" s="3" t="n">
        <v>-54000</v>
      </c>
    </row>
    <row r="6613">
      <c r="A6613" s="3" t="inlineStr">
        <is>
          <t>Heron Fields (Pty) Ltd</t>
        </is>
      </c>
      <c r="B6613" s="4" t="n">
        <v>45443</v>
      </c>
      <c r="C6613" s="3" t="inlineStr">
        <is>
          <t>Liabilities</t>
        </is>
      </c>
      <c r="D6613" s="3" t="inlineStr">
        <is>
          <t>5500/080</t>
        </is>
      </c>
      <c r="E6613" s="3" t="inlineStr">
        <is>
          <t>Loan - NSST2 Trust</t>
        </is>
      </c>
      <c r="F6613" s="3" t="n">
        <v>500</v>
      </c>
      <c r="G6613" s="3" t="n">
        <v>1000</v>
      </c>
    </row>
    <row r="6614">
      <c r="A6614" s="3" t="inlineStr">
        <is>
          <t>Cape Projects Construction (Pty) Ltd</t>
        </is>
      </c>
      <c r="B6614" s="4" t="n">
        <v>45443</v>
      </c>
      <c r="C6614" s="3" t="inlineStr">
        <is>
          <t>Liabilities</t>
        </is>
      </c>
      <c r="D6614" s="3" t="inlineStr">
        <is>
          <t>5600/100</t>
        </is>
      </c>
      <c r="E6614" s="3" t="inlineStr">
        <is>
          <t>Motor Vehical Car Repaymts - Toyota</t>
        </is>
      </c>
      <c r="F6614" s="3" t="n">
        <v>0</v>
      </c>
      <c r="G6614" s="3" t="n">
        <v>2507.05</v>
      </c>
    </row>
    <row r="6615">
      <c r="A6615" s="3" t="inlineStr">
        <is>
          <t>Heron Fields (Pty) Ltd</t>
        </is>
      </c>
      <c r="B6615" s="4" t="n">
        <v>45443</v>
      </c>
      <c r="C6615" s="3" t="inlineStr">
        <is>
          <t>Assets</t>
        </is>
      </c>
      <c r="D6615" s="3" t="inlineStr">
        <is>
          <t>6150/010</t>
        </is>
      </c>
      <c r="E6615" s="3" t="inlineStr">
        <is>
          <t>Endulini -  A204</t>
        </is>
      </c>
      <c r="F6615" s="3" t="n">
        <v>0</v>
      </c>
      <c r="G6615" s="3" t="n">
        <v>1304260.87</v>
      </c>
    </row>
    <row r="6616">
      <c r="A6616" s="3" t="inlineStr">
        <is>
          <t>Heron Fields (Pty) Ltd</t>
        </is>
      </c>
      <c r="B6616" s="4" t="n">
        <v>45443</v>
      </c>
      <c r="C6616" s="3" t="inlineStr">
        <is>
          <t>Assets</t>
        </is>
      </c>
      <c r="D6616" s="3" t="inlineStr">
        <is>
          <t>6150/020</t>
        </is>
      </c>
      <c r="E6616" s="3" t="inlineStr">
        <is>
          <t>Endulini - A304</t>
        </is>
      </c>
      <c r="F6616" s="3" t="n">
        <v>0</v>
      </c>
      <c r="G6616" s="3" t="n">
        <v>1356434.78</v>
      </c>
    </row>
    <row r="6617">
      <c r="A6617" s="3" t="inlineStr">
        <is>
          <t>Heron Fields (Pty) Ltd</t>
        </is>
      </c>
      <c r="B6617" s="4" t="n">
        <v>45443</v>
      </c>
      <c r="C6617" s="3" t="inlineStr">
        <is>
          <t>Assets</t>
        </is>
      </c>
      <c r="D6617" s="3" t="inlineStr">
        <is>
          <t>6150/030</t>
        </is>
      </c>
      <c r="E6617" s="3" t="inlineStr">
        <is>
          <t>Endulini - B101</t>
        </is>
      </c>
      <c r="F6617" s="3" t="n">
        <v>0</v>
      </c>
      <c r="G6617" s="3" t="n">
        <v>1373826.09</v>
      </c>
    </row>
    <row r="6618">
      <c r="A6618" s="3" t="inlineStr">
        <is>
          <t>Heron Fields (Pty) Ltd</t>
        </is>
      </c>
      <c r="B6618" s="4" t="n">
        <v>45443</v>
      </c>
      <c r="C6618" s="3" t="inlineStr">
        <is>
          <t>Assets</t>
        </is>
      </c>
      <c r="D6618" s="3" t="inlineStr">
        <is>
          <t>6150/040</t>
        </is>
      </c>
      <c r="E6618" s="3" t="inlineStr">
        <is>
          <t>Endulini - A306</t>
        </is>
      </c>
      <c r="F6618" s="3" t="n">
        <v>0</v>
      </c>
      <c r="G6618" s="3" t="n">
        <v>1391217.39</v>
      </c>
    </row>
    <row r="6619">
      <c r="A6619" s="3" t="inlineStr">
        <is>
          <t>Heron Fields (Pty) Ltd</t>
        </is>
      </c>
      <c r="B6619" s="4" t="n">
        <v>45443</v>
      </c>
      <c r="C6619" s="3" t="inlineStr">
        <is>
          <t>Assets</t>
        </is>
      </c>
      <c r="D6619" s="3" t="inlineStr">
        <is>
          <t>6150/050</t>
        </is>
      </c>
      <c r="E6619" s="3" t="inlineStr">
        <is>
          <t>Endulini - C301</t>
        </is>
      </c>
      <c r="F6619" s="3" t="n">
        <v>0</v>
      </c>
      <c r="G6619" s="3" t="n">
        <v>1304260.87</v>
      </c>
    </row>
    <row r="6620">
      <c r="A6620" s="3" t="inlineStr">
        <is>
          <t>Cape Projects Construction (Pty) Ltd</t>
        </is>
      </c>
      <c r="B6620" s="4" t="n">
        <v>45443</v>
      </c>
      <c r="C6620" s="3" t="inlineStr">
        <is>
          <t>Assets</t>
        </is>
      </c>
      <c r="D6620" s="3" t="inlineStr">
        <is>
          <t>6200/010</t>
        </is>
      </c>
      <c r="E6620" s="3" t="inlineStr">
        <is>
          <t>Motor Vehicles - @ Cost</t>
        </is>
      </c>
      <c r="F6620" s="3" t="n">
        <v>0</v>
      </c>
      <c r="G6620" s="3" t="n">
        <v>216064.1</v>
      </c>
    </row>
    <row r="6621">
      <c r="A6621" s="3" t="inlineStr">
        <is>
          <t>Cape Projects Construction (Pty) Ltd</t>
        </is>
      </c>
      <c r="B6621" s="4" t="n">
        <v>45443</v>
      </c>
      <c r="C6621" s="3" t="inlineStr">
        <is>
          <t>Assets</t>
        </is>
      </c>
      <c r="D6621" s="3" t="inlineStr">
        <is>
          <t>6200/020</t>
        </is>
      </c>
      <c r="E6621" s="3" t="inlineStr">
        <is>
          <t>Motor Vehicles - Accum Depre</t>
        </is>
      </c>
      <c r="F6621" s="3" t="n">
        <v>0</v>
      </c>
      <c r="G6621" s="3" t="n">
        <v>-216064.1</v>
      </c>
    </row>
    <row r="6622">
      <c r="A6622" s="3" t="inlineStr">
        <is>
          <t>Cape Projects Construction (Pty) Ltd</t>
        </is>
      </c>
      <c r="B6622" s="4" t="n">
        <v>45443</v>
      </c>
      <c r="C6622" s="3" t="inlineStr">
        <is>
          <t>Assets</t>
        </is>
      </c>
      <c r="D6622" s="3" t="inlineStr">
        <is>
          <t>6250/010</t>
        </is>
      </c>
      <c r="E6622" s="3" t="inlineStr">
        <is>
          <t>Computer Equipment - @ Cost</t>
        </is>
      </c>
      <c r="F6622" s="3" t="n">
        <v>0</v>
      </c>
      <c r="G6622" s="3" t="n">
        <v>170108.57</v>
      </c>
    </row>
    <row r="6623">
      <c r="A6623" s="3" t="inlineStr">
        <is>
          <t>Cape Projects Construction (Pty) Ltd</t>
        </is>
      </c>
      <c r="B6623" s="4" t="n">
        <v>45443</v>
      </c>
      <c r="C6623" s="3" t="inlineStr">
        <is>
          <t>Assets</t>
        </is>
      </c>
      <c r="D6623" s="3" t="inlineStr">
        <is>
          <t>6250/020</t>
        </is>
      </c>
      <c r="E6623" s="3" t="inlineStr">
        <is>
          <t>Computer Equipment - Accum Depre</t>
        </is>
      </c>
      <c r="F6623" s="3" t="n">
        <v>0</v>
      </c>
      <c r="G6623" s="3" t="n">
        <v>-85431.91</v>
      </c>
    </row>
    <row r="6624">
      <c r="A6624" s="3" t="inlineStr">
        <is>
          <t>Cape Projects Construction (Pty) Ltd</t>
        </is>
      </c>
      <c r="B6624" s="4" t="n">
        <v>45443</v>
      </c>
      <c r="C6624" s="3" t="inlineStr">
        <is>
          <t>Assets</t>
        </is>
      </c>
      <c r="D6624" s="3" t="inlineStr">
        <is>
          <t>6350/010</t>
        </is>
      </c>
      <c r="E6624" s="3" t="inlineStr">
        <is>
          <t>Furniture _AND_ Fittings - @ Cost</t>
        </is>
      </c>
      <c r="F6624" s="3" t="n">
        <v>0</v>
      </c>
      <c r="G6624" s="3" t="n">
        <v>37955.3</v>
      </c>
    </row>
    <row r="6625">
      <c r="A6625" s="3" t="inlineStr">
        <is>
          <t>Cape Projects Construction (Pty) Ltd</t>
        </is>
      </c>
      <c r="B6625" s="4" t="n">
        <v>45443</v>
      </c>
      <c r="C6625" s="3" t="inlineStr">
        <is>
          <t>Assets</t>
        </is>
      </c>
      <c r="D6625" s="3" t="inlineStr">
        <is>
          <t>6350/020</t>
        </is>
      </c>
      <c r="E6625" s="3" t="inlineStr">
        <is>
          <t>Furniture _AND_ Fittings - Accum Depre</t>
        </is>
      </c>
      <c r="F6625" s="3" t="n">
        <v>0</v>
      </c>
      <c r="G6625" s="3" t="n">
        <v>-13582.54</v>
      </c>
    </row>
    <row r="6626">
      <c r="A6626" s="3" t="inlineStr">
        <is>
          <t>Cape Projects Construction (Pty) Ltd</t>
        </is>
      </c>
      <c r="B6626" s="4" t="n">
        <v>45443</v>
      </c>
      <c r="C6626" s="3" t="inlineStr">
        <is>
          <t>Assets</t>
        </is>
      </c>
      <c r="D6626" s="3" t="inlineStr">
        <is>
          <t>6600/010</t>
        </is>
      </c>
      <c r="E6626" s="3" t="inlineStr">
        <is>
          <t>Generator Fixed Asset - @ Cost</t>
        </is>
      </c>
      <c r="F6626" s="3" t="n">
        <v>0</v>
      </c>
      <c r="G6626" s="3" t="n">
        <v>71322</v>
      </c>
    </row>
    <row r="6627">
      <c r="A6627" s="3" t="inlineStr">
        <is>
          <t>Cape Projects Construction (Pty) Ltd</t>
        </is>
      </c>
      <c r="B6627" s="4" t="n">
        <v>45443</v>
      </c>
      <c r="C6627" s="3" t="inlineStr">
        <is>
          <t>Assets</t>
        </is>
      </c>
      <c r="D6627" s="3" t="inlineStr">
        <is>
          <t>6600/020</t>
        </is>
      </c>
      <c r="E6627" s="3" t="inlineStr">
        <is>
          <t>Generator Fixed Asset - Accum Depre</t>
        </is>
      </c>
      <c r="F6627" s="3" t="n">
        <v>0</v>
      </c>
      <c r="G6627" s="3" t="n">
        <v>-17937.74</v>
      </c>
    </row>
    <row r="6628">
      <c r="A6628" s="3" t="inlineStr">
        <is>
          <t>Heron Fields (Pty) Ltd</t>
        </is>
      </c>
      <c r="B6628" s="4" t="n">
        <v>45443</v>
      </c>
      <c r="C6628" s="3" t="inlineStr">
        <is>
          <t>Assets</t>
        </is>
      </c>
      <c r="D6628" s="3" t="inlineStr">
        <is>
          <t>7610/395</t>
        </is>
      </c>
      <c r="E6628" s="3" t="inlineStr">
        <is>
          <t>HF CIP NHBRC</t>
        </is>
      </c>
      <c r="F6628" s="3" t="n">
        <v>0</v>
      </c>
      <c r="G6628" s="3" t="n">
        <v>874505.75</v>
      </c>
    </row>
    <row r="6629">
      <c r="A6629" s="3" t="inlineStr">
        <is>
          <t>Heron View (Pty) Ltd</t>
        </is>
      </c>
      <c r="B6629" s="4" t="n">
        <v>45443</v>
      </c>
      <c r="C6629" s="3" t="inlineStr">
        <is>
          <t>Assets</t>
        </is>
      </c>
      <c r="D6629" s="3" t="inlineStr">
        <is>
          <t>7610/395</t>
        </is>
      </c>
      <c r="E6629" s="3" t="inlineStr">
        <is>
          <t>Heron CIP NHBRC</t>
        </is>
      </c>
      <c r="F6629" s="3" t="n">
        <v>0</v>
      </c>
      <c r="G6629" s="3" t="n">
        <v>2472501.08</v>
      </c>
    </row>
    <row r="6630">
      <c r="A6630" s="3" t="inlineStr">
        <is>
          <t>Heron Fields (Pty) Ltd</t>
        </is>
      </c>
      <c r="B6630" s="4" t="n">
        <v>45443</v>
      </c>
      <c r="C6630" s="3" t="inlineStr">
        <is>
          <t>Assets</t>
        </is>
      </c>
      <c r="D6630" s="3" t="inlineStr">
        <is>
          <t>7620/100</t>
        </is>
      </c>
      <c r="E6630" s="3" t="inlineStr">
        <is>
          <t>Heron View Land</t>
        </is>
      </c>
      <c r="F6630" s="3" t="n">
        <v>0</v>
      </c>
      <c r="G6630" s="3" t="n">
        <v>26200000</v>
      </c>
    </row>
    <row r="6631">
      <c r="A6631" s="3" t="inlineStr">
        <is>
          <t>Heron Fields (Pty) Ltd</t>
        </is>
      </c>
      <c r="B6631" s="4" t="n">
        <v>45443</v>
      </c>
      <c r="C6631" s="3" t="inlineStr">
        <is>
          <t>Assets</t>
        </is>
      </c>
      <c r="D6631" s="3" t="inlineStr">
        <is>
          <t>7620/101</t>
        </is>
      </c>
      <c r="E6631" s="3" t="inlineStr">
        <is>
          <t>HF CIP Bond Registration Fee</t>
        </is>
      </c>
      <c r="F6631" s="3" t="n">
        <v>0</v>
      </c>
      <c r="G6631" s="3" t="n">
        <v>68427</v>
      </c>
    </row>
    <row r="6632">
      <c r="A6632" s="3" t="inlineStr">
        <is>
          <t>Heron Fields (Pty) Ltd</t>
        </is>
      </c>
      <c r="B6632" s="4" t="n">
        <v>45443</v>
      </c>
      <c r="C6632" s="3" t="inlineStr">
        <is>
          <t>Assets</t>
        </is>
      </c>
      <c r="D6632" s="3" t="inlineStr">
        <is>
          <t>7620/102</t>
        </is>
      </c>
      <c r="E6632" s="3" t="inlineStr">
        <is>
          <t>HF CIP Transfer Fee</t>
        </is>
      </c>
      <c r="F6632" s="3" t="n">
        <v>0</v>
      </c>
      <c r="G6632" s="3" t="n">
        <v>103812</v>
      </c>
    </row>
    <row r="6633">
      <c r="A6633" s="3" t="inlineStr">
        <is>
          <t>Heron Fields (Pty) Ltd</t>
        </is>
      </c>
      <c r="B6633" s="4" t="n">
        <v>45443</v>
      </c>
      <c r="C6633" s="3" t="inlineStr">
        <is>
          <t>Assets</t>
        </is>
      </c>
      <c r="D6633" s="3" t="inlineStr">
        <is>
          <t>7620/220</t>
        </is>
      </c>
      <c r="E6633" s="3" t="inlineStr">
        <is>
          <t>HF CIP Architectural Designs</t>
        </is>
      </c>
      <c r="F6633" s="3" t="n">
        <v>0</v>
      </c>
      <c r="G6633" s="3" t="n">
        <v>314087</v>
      </c>
    </row>
    <row r="6634">
      <c r="A6634" s="3" t="inlineStr">
        <is>
          <t>Heron View (Pty) Ltd</t>
        </is>
      </c>
      <c r="B6634" s="4" t="n">
        <v>45443</v>
      </c>
      <c r="C6634" s="3" t="inlineStr">
        <is>
          <t>Assets</t>
        </is>
      </c>
      <c r="D6634" s="3" t="inlineStr">
        <is>
          <t>7620/220</t>
        </is>
      </c>
      <c r="E6634" s="3" t="inlineStr">
        <is>
          <t>Heron View CIP Architectural Designs</t>
        </is>
      </c>
      <c r="F6634" s="3" t="n">
        <v>0</v>
      </c>
      <c r="G6634" s="3" t="n">
        <v>719552.6</v>
      </c>
    </row>
    <row r="6635">
      <c r="A6635" s="3" t="inlineStr">
        <is>
          <t>Heron Fields (Pty) Ltd</t>
        </is>
      </c>
      <c r="B6635" s="4" t="n">
        <v>45443</v>
      </c>
      <c r="C6635" s="3" t="inlineStr">
        <is>
          <t>Assets</t>
        </is>
      </c>
      <c r="D6635" s="3" t="inlineStr">
        <is>
          <t>7620/230</t>
        </is>
      </c>
      <c r="E6635" s="3" t="inlineStr">
        <is>
          <t>HF CIP Construction Management</t>
        </is>
      </c>
      <c r="F6635" s="3" t="n">
        <v>0</v>
      </c>
      <c r="G6635" s="3" t="n">
        <v>139500</v>
      </c>
    </row>
    <row r="6636">
      <c r="A6636" s="3" t="inlineStr">
        <is>
          <t>Heron Fields (Pty) Ltd</t>
        </is>
      </c>
      <c r="B6636" s="4" t="n">
        <v>45443</v>
      </c>
      <c r="C6636" s="3" t="inlineStr">
        <is>
          <t>Assets</t>
        </is>
      </c>
      <c r="D6636" s="3" t="inlineStr">
        <is>
          <t>7620/240</t>
        </is>
      </c>
      <c r="E6636" s="3" t="inlineStr">
        <is>
          <t>HF CIP Civil Engineering</t>
        </is>
      </c>
      <c r="F6636" s="3" t="n">
        <v>0</v>
      </c>
      <c r="G6636" s="3" t="n">
        <v>8557641.800000001</v>
      </c>
    </row>
    <row r="6637">
      <c r="A6637" s="3" t="inlineStr">
        <is>
          <t>Heron Fields (Pty) Ltd</t>
        </is>
      </c>
      <c r="B6637" s="4" t="n">
        <v>45443</v>
      </c>
      <c r="C6637" s="3" t="inlineStr">
        <is>
          <t>Assets</t>
        </is>
      </c>
      <c r="D6637" s="3" t="inlineStr">
        <is>
          <t>7620/245</t>
        </is>
      </c>
      <c r="E6637" s="3" t="inlineStr">
        <is>
          <t>HF CIP Development fee</t>
        </is>
      </c>
      <c r="F6637" s="3" t="n">
        <v>0</v>
      </c>
      <c r="G6637" s="3" t="n">
        <v>13807.78</v>
      </c>
    </row>
    <row r="6638">
      <c r="A6638" s="3" t="inlineStr">
        <is>
          <t>Heron Fields (Pty) Ltd</t>
        </is>
      </c>
      <c r="B6638" s="4" t="n">
        <v>45443</v>
      </c>
      <c r="C6638" s="3" t="inlineStr">
        <is>
          <t>Assets</t>
        </is>
      </c>
      <c r="D6638" s="3" t="inlineStr">
        <is>
          <t>7620/250</t>
        </is>
      </c>
      <c r="E6638" s="3" t="inlineStr">
        <is>
          <t>HF CIP Land Surveyor</t>
        </is>
      </c>
      <c r="F6638" s="3" t="n">
        <v>0</v>
      </c>
      <c r="G6638" s="3" t="n">
        <v>197060.09</v>
      </c>
    </row>
    <row r="6639">
      <c r="A6639" s="3" t="inlineStr">
        <is>
          <t>Heron View (Pty) Ltd</t>
        </is>
      </c>
      <c r="B6639" s="4" t="n">
        <v>45443</v>
      </c>
      <c r="C6639" s="3" t="inlineStr">
        <is>
          <t>Assets</t>
        </is>
      </c>
      <c r="D6639" s="3" t="inlineStr">
        <is>
          <t>7620/250</t>
        </is>
      </c>
      <c r="E6639" s="3" t="inlineStr">
        <is>
          <t>Heron View CIP Land Surveyor</t>
        </is>
      </c>
      <c r="F6639" s="3" t="n">
        <v>0</v>
      </c>
      <c r="G6639" s="3" t="n">
        <v>321942.47</v>
      </c>
    </row>
    <row r="6640">
      <c r="A6640" s="3" t="inlineStr">
        <is>
          <t>Heron Fields (Pty) Ltd</t>
        </is>
      </c>
      <c r="B6640" s="4" t="n">
        <v>45443</v>
      </c>
      <c r="C6640" s="3" t="inlineStr">
        <is>
          <t>Assets</t>
        </is>
      </c>
      <c r="D6640" s="3" t="inlineStr">
        <is>
          <t>7620/255</t>
        </is>
      </c>
      <c r="E6640" s="3" t="inlineStr">
        <is>
          <t>HF CIP Landscaping</t>
        </is>
      </c>
      <c r="F6640" s="3" t="n">
        <v>0</v>
      </c>
      <c r="G6640" s="3" t="n">
        <v>7500</v>
      </c>
    </row>
    <row r="6641">
      <c r="A6641" s="3" t="inlineStr">
        <is>
          <t>Heron View (Pty) Ltd</t>
        </is>
      </c>
      <c r="B6641" s="4" t="n">
        <v>45443</v>
      </c>
      <c r="C6641" s="3" t="inlineStr">
        <is>
          <t>Assets</t>
        </is>
      </c>
      <c r="D6641" s="3" t="inlineStr">
        <is>
          <t>7620/255</t>
        </is>
      </c>
      <c r="E6641" s="3" t="inlineStr">
        <is>
          <t>Heron View CIP Landscaping</t>
        </is>
      </c>
      <c r="F6641" s="3" t="n">
        <v>0</v>
      </c>
      <c r="G6641" s="3" t="n">
        <v>114370.5</v>
      </c>
    </row>
    <row r="6642">
      <c r="A6642" s="3" t="inlineStr">
        <is>
          <t>Heron Fields (Pty) Ltd</t>
        </is>
      </c>
      <c r="B6642" s="4" t="n">
        <v>45443</v>
      </c>
      <c r="C6642" s="3" t="inlineStr">
        <is>
          <t>Assets</t>
        </is>
      </c>
      <c r="D6642" s="3" t="inlineStr">
        <is>
          <t>7620/260</t>
        </is>
      </c>
      <c r="E6642" s="3" t="inlineStr">
        <is>
          <t>HF CIP Mechanical Engineers</t>
        </is>
      </c>
      <c r="F6642" s="3" t="n">
        <v>0</v>
      </c>
      <c r="G6642" s="3" t="n">
        <v>146256.38</v>
      </c>
    </row>
    <row r="6643">
      <c r="A6643" s="3" t="inlineStr">
        <is>
          <t>Heron Fields (Pty) Ltd</t>
        </is>
      </c>
      <c r="B6643" s="4" t="n">
        <v>45443</v>
      </c>
      <c r="C6643" s="3" t="inlineStr">
        <is>
          <t>Assets</t>
        </is>
      </c>
      <c r="D6643" s="3" t="inlineStr">
        <is>
          <t>7620/265</t>
        </is>
      </c>
      <c r="E6643" s="3" t="inlineStr">
        <is>
          <t>HF CIP Health &amp; Safety</t>
        </is>
      </c>
      <c r="F6643" s="3" t="n">
        <v>0</v>
      </c>
      <c r="G6643" s="3" t="n">
        <v>20600</v>
      </c>
    </row>
    <row r="6644">
      <c r="A6644" s="3" t="inlineStr">
        <is>
          <t>Heron Fields (Pty) Ltd</t>
        </is>
      </c>
      <c r="B6644" s="4" t="n">
        <v>45443</v>
      </c>
      <c r="C6644" s="3" t="inlineStr">
        <is>
          <t>Assets</t>
        </is>
      </c>
      <c r="D6644" s="3" t="inlineStr">
        <is>
          <t>7620/270</t>
        </is>
      </c>
      <c r="E6644" s="3" t="inlineStr">
        <is>
          <t>HF CIP Geotechnical</t>
        </is>
      </c>
      <c r="F6644" s="3" t="n">
        <v>0</v>
      </c>
      <c r="G6644" s="3" t="n">
        <v>15175</v>
      </c>
    </row>
    <row r="6645">
      <c r="A6645" s="3" t="inlineStr">
        <is>
          <t>Heron Fields (Pty) Ltd</t>
        </is>
      </c>
      <c r="B6645" s="4" t="n">
        <v>45443</v>
      </c>
      <c r="C6645" s="3" t="inlineStr">
        <is>
          <t>Assets</t>
        </is>
      </c>
      <c r="D6645" s="3" t="inlineStr">
        <is>
          <t>7620/275</t>
        </is>
      </c>
      <c r="E6645" s="3" t="inlineStr">
        <is>
          <t>HF CIP Retaining Wall</t>
        </is>
      </c>
      <c r="F6645" s="3" t="n">
        <v>0</v>
      </c>
      <c r="G6645" s="3" t="n">
        <v>570856.08</v>
      </c>
    </row>
    <row r="6646">
      <c r="A6646" s="3" t="inlineStr">
        <is>
          <t>Heron Fields (Pty) Ltd</t>
        </is>
      </c>
      <c r="B6646" s="4" t="n">
        <v>45443</v>
      </c>
      <c r="C6646" s="3" t="inlineStr">
        <is>
          <t>Assets</t>
        </is>
      </c>
      <c r="D6646" s="3" t="inlineStr">
        <is>
          <t>7620/280</t>
        </is>
      </c>
      <c r="E6646" s="3" t="inlineStr">
        <is>
          <t>HF CIP Site Establishment</t>
        </is>
      </c>
      <c r="F6646" s="3" t="n">
        <v>0</v>
      </c>
      <c r="G6646" s="3" t="n">
        <v>47748851.51</v>
      </c>
    </row>
    <row r="6647">
      <c r="A6647" s="3" t="inlineStr">
        <is>
          <t>Heron View (Pty) Ltd</t>
        </is>
      </c>
      <c r="B6647" s="4" t="n">
        <v>45443</v>
      </c>
      <c r="C6647" s="3" t="inlineStr">
        <is>
          <t>Assets</t>
        </is>
      </c>
      <c r="D6647" s="3" t="inlineStr">
        <is>
          <t>7620/280</t>
        </is>
      </c>
      <c r="E6647" s="3" t="inlineStr">
        <is>
          <t>Heron View CIP Site Establishment</t>
        </is>
      </c>
      <c r="F6647" s="3" t="n">
        <v>2263040.14</v>
      </c>
      <c r="G6647" s="3" t="n">
        <v>61429397.79</v>
      </c>
    </row>
    <row r="6648">
      <c r="A6648" s="3" t="inlineStr">
        <is>
          <t>Heron Fields (Pty) Ltd</t>
        </is>
      </c>
      <c r="B6648" s="4" t="n">
        <v>45443</v>
      </c>
      <c r="C6648" s="3" t="inlineStr">
        <is>
          <t>Assets</t>
        </is>
      </c>
      <c r="D6648" s="3" t="inlineStr">
        <is>
          <t>7620/285</t>
        </is>
      </c>
      <c r="E6648" s="3" t="inlineStr">
        <is>
          <t>HF CIP Structuring Fee - Invest</t>
        </is>
      </c>
      <c r="F6648" s="3" t="n">
        <v>0</v>
      </c>
      <c r="G6648" s="3" t="n">
        <v>3850818.04</v>
      </c>
    </row>
    <row r="6649">
      <c r="A6649" s="3" t="inlineStr">
        <is>
          <t>Heron View (Pty) Ltd</t>
        </is>
      </c>
      <c r="B6649" s="4" t="n">
        <v>45443</v>
      </c>
      <c r="C6649" s="3" t="inlineStr">
        <is>
          <t>Assets</t>
        </is>
      </c>
      <c r="D6649" s="3" t="inlineStr">
        <is>
          <t>7620/285</t>
        </is>
      </c>
      <c r="E6649" s="3" t="inlineStr">
        <is>
          <t>Heron View CIP Structuring Fee - Invest</t>
        </is>
      </c>
      <c r="F6649" s="3" t="n">
        <v>0</v>
      </c>
      <c r="G6649" s="3" t="n">
        <v>1826086.96</v>
      </c>
    </row>
    <row r="6650">
      <c r="A6650" s="3" t="inlineStr">
        <is>
          <t>Heron Fields (Pty) Ltd</t>
        </is>
      </c>
      <c r="B6650" s="4" t="n">
        <v>45443</v>
      </c>
      <c r="C6650" s="3" t="inlineStr">
        <is>
          <t>Assets</t>
        </is>
      </c>
      <c r="D6650" s="3" t="inlineStr">
        <is>
          <t>7620/287</t>
        </is>
      </c>
      <c r="E6650" s="3" t="inlineStr">
        <is>
          <t>HF CIP Structuring Fee - Development</t>
        </is>
      </c>
      <c r="F6650" s="3" t="n">
        <v>0</v>
      </c>
      <c r="G6650" s="3" t="n">
        <v>782608.0699999999</v>
      </c>
    </row>
    <row r="6651">
      <c r="A6651" s="3" t="inlineStr">
        <is>
          <t>Heron View (Pty) Ltd</t>
        </is>
      </c>
      <c r="B6651" s="4" t="n">
        <v>45443</v>
      </c>
      <c r="C6651" s="3" t="inlineStr">
        <is>
          <t>Assets</t>
        </is>
      </c>
      <c r="D6651" s="3" t="inlineStr">
        <is>
          <t>7620/287</t>
        </is>
      </c>
      <c r="E6651" s="3" t="inlineStr">
        <is>
          <t>Heron View CIP Structuring Fee - Development</t>
        </is>
      </c>
      <c r="F6651" s="3" t="n">
        <v>0</v>
      </c>
      <c r="G6651" s="3" t="n">
        <v>217391.3</v>
      </c>
    </row>
    <row r="6652">
      <c r="A6652" s="3" t="inlineStr">
        <is>
          <t>Heron Fields (Pty) Ltd</t>
        </is>
      </c>
      <c r="B6652" s="4" t="n">
        <v>45443</v>
      </c>
      <c r="C6652" s="3" t="inlineStr">
        <is>
          <t>Assets</t>
        </is>
      </c>
      <c r="D6652" s="3" t="inlineStr">
        <is>
          <t>7620/290</t>
        </is>
      </c>
      <c r="E6652" s="3" t="inlineStr">
        <is>
          <t>HF CIP Town Planning</t>
        </is>
      </c>
      <c r="F6652" s="3" t="n">
        <v>0</v>
      </c>
      <c r="G6652" s="3" t="n">
        <v>166550</v>
      </c>
    </row>
    <row r="6653">
      <c r="A6653" s="3" t="inlineStr">
        <is>
          <t>Heron View (Pty) Ltd</t>
        </is>
      </c>
      <c r="B6653" s="4" t="n">
        <v>45443</v>
      </c>
      <c r="C6653" s="3" t="inlineStr">
        <is>
          <t>Assets</t>
        </is>
      </c>
      <c r="D6653" s="3" t="inlineStr">
        <is>
          <t>7620/290</t>
        </is>
      </c>
      <c r="E6653" s="3" t="inlineStr">
        <is>
          <t>Heron View CIP Town Planning</t>
        </is>
      </c>
      <c r="F6653" s="3" t="n">
        <v>0</v>
      </c>
      <c r="G6653" s="3" t="n">
        <v>2834.7</v>
      </c>
    </row>
    <row r="6654">
      <c r="A6654" s="3" t="inlineStr">
        <is>
          <t>Heron Fields (Pty) Ltd</t>
        </is>
      </c>
      <c r="B6654" s="4" t="n">
        <v>45443</v>
      </c>
      <c r="C6654" s="3" t="inlineStr">
        <is>
          <t>Assets</t>
        </is>
      </c>
      <c r="D6654" s="3" t="inlineStr">
        <is>
          <t>7620/295</t>
        </is>
      </c>
      <c r="E6654" s="3" t="inlineStr">
        <is>
          <t>HF CIP Traffic Planning</t>
        </is>
      </c>
      <c r="F6654" s="3" t="n">
        <v>0</v>
      </c>
      <c r="G6654" s="3" t="n">
        <v>45000</v>
      </c>
    </row>
    <row r="6655">
      <c r="A6655" s="3" t="inlineStr">
        <is>
          <t>Heron Fields (Pty) Ltd</t>
        </is>
      </c>
      <c r="B6655" s="4" t="n">
        <v>45443</v>
      </c>
      <c r="C6655" s="3" t="inlineStr">
        <is>
          <t>Assets</t>
        </is>
      </c>
      <c r="D6655" s="3" t="inlineStr">
        <is>
          <t>7620/600</t>
        </is>
      </c>
      <c r="E6655" s="3" t="inlineStr">
        <is>
          <t>HF CIP Eco work</t>
        </is>
      </c>
      <c r="F6655" s="3" t="n">
        <v>6000</v>
      </c>
      <c r="G6655" s="3" t="n">
        <v>221000</v>
      </c>
    </row>
    <row r="6656">
      <c r="A6656" s="3" t="inlineStr">
        <is>
          <t>Heron View (Pty) Ltd</t>
        </is>
      </c>
      <c r="B6656" s="4" t="n">
        <v>45443</v>
      </c>
      <c r="C6656" s="3" t="inlineStr">
        <is>
          <t>Assets</t>
        </is>
      </c>
      <c r="D6656" s="3" t="inlineStr">
        <is>
          <t>7620/605</t>
        </is>
      </c>
      <c r="E6656" s="3" t="inlineStr">
        <is>
          <t>Heron View CIP Structural Engineers</t>
        </is>
      </c>
      <c r="F6656" s="3" t="n">
        <v>0</v>
      </c>
      <c r="G6656" s="3" t="n">
        <v>695752.14</v>
      </c>
    </row>
    <row r="6657">
      <c r="A6657" s="3" t="inlineStr">
        <is>
          <t>Heron View (Pty) Ltd</t>
        </is>
      </c>
      <c r="B6657" s="4" t="n">
        <v>45443</v>
      </c>
      <c r="C6657" s="3" t="inlineStr">
        <is>
          <t>Assets</t>
        </is>
      </c>
      <c r="D6657" s="3" t="inlineStr">
        <is>
          <t>7620/610</t>
        </is>
      </c>
      <c r="E6657" s="3" t="inlineStr">
        <is>
          <t>HV CIP Retaining wall</t>
        </is>
      </c>
      <c r="F6657" s="3" t="n">
        <v>0</v>
      </c>
      <c r="G6657" s="3" t="n">
        <v>66190.11</v>
      </c>
    </row>
    <row r="6658">
      <c r="A6658" s="3" t="inlineStr">
        <is>
          <t>Heron Fields (Pty) Ltd</t>
        </is>
      </c>
      <c r="B6658" s="4" t="n">
        <v>45443</v>
      </c>
      <c r="C6658" s="3" t="inlineStr">
        <is>
          <t>Assets</t>
        </is>
      </c>
      <c r="D6658" s="3" t="inlineStr">
        <is>
          <t>7620/630</t>
        </is>
      </c>
      <c r="E6658" s="3" t="inlineStr">
        <is>
          <t>HF CIP CoCT development contribution</t>
        </is>
      </c>
      <c r="F6658" s="3" t="n">
        <v>0</v>
      </c>
      <c r="G6658" s="3" t="n">
        <v>3252759.95</v>
      </c>
    </row>
    <row r="6659">
      <c r="A6659" s="3" t="inlineStr">
        <is>
          <t>Heron View (Pty) Ltd</t>
        </is>
      </c>
      <c r="B6659" s="4" t="n">
        <v>45443</v>
      </c>
      <c r="C6659" s="3" t="inlineStr">
        <is>
          <t>Assets</t>
        </is>
      </c>
      <c r="D6659" s="3" t="inlineStr">
        <is>
          <t>7620/630</t>
        </is>
      </c>
      <c r="E6659" s="3" t="inlineStr">
        <is>
          <t>Heron CIP - CoCT development contribution</t>
        </is>
      </c>
      <c r="F6659" s="3" t="n">
        <v>0</v>
      </c>
      <c r="G6659" s="3" t="n">
        <v>1673231.19</v>
      </c>
    </row>
    <row r="6660">
      <c r="A6660" s="3" t="inlineStr">
        <is>
          <t>Heron Fields (Pty) Ltd</t>
        </is>
      </c>
      <c r="B6660" s="4" t="n">
        <v>45443</v>
      </c>
      <c r="C6660" s="3" t="inlineStr">
        <is>
          <t>Assets</t>
        </is>
      </c>
      <c r="D6660" s="3" t="inlineStr">
        <is>
          <t>7620/640</t>
        </is>
      </c>
      <c r="E6660" s="3" t="inlineStr">
        <is>
          <t>HF CIP Project costs</t>
        </is>
      </c>
      <c r="F6660" s="3" t="n">
        <v>0</v>
      </c>
      <c r="G6660" s="3" t="n">
        <v>622274.51</v>
      </c>
    </row>
    <row r="6661">
      <c r="A6661" s="3" t="inlineStr">
        <is>
          <t>Heron View (Pty) Ltd</t>
        </is>
      </c>
      <c r="B6661" s="4" t="n">
        <v>45443</v>
      </c>
      <c r="C6661" s="3" t="inlineStr">
        <is>
          <t>Assets</t>
        </is>
      </c>
      <c r="D6661" s="3" t="inlineStr">
        <is>
          <t>7620/650</t>
        </is>
      </c>
      <c r="E6661" s="3" t="inlineStr">
        <is>
          <t>CIP - Construction Management</t>
        </is>
      </c>
      <c r="F6661" s="3" t="n">
        <v>0</v>
      </c>
      <c r="G6661" s="3" t="n">
        <v>76530</v>
      </c>
    </row>
    <row r="6662">
      <c r="A6662" s="3" t="inlineStr">
        <is>
          <t>Heron Fields (Pty) Ltd</t>
        </is>
      </c>
      <c r="B6662" s="4" t="n">
        <v>45443</v>
      </c>
      <c r="C6662" s="3" t="inlineStr">
        <is>
          <t>Assets</t>
        </is>
      </c>
      <c r="D6662" s="3" t="inlineStr">
        <is>
          <t>7620/650</t>
        </is>
      </c>
      <c r="E6662" s="3" t="inlineStr">
        <is>
          <t>HF CIP Electrical</t>
        </is>
      </c>
      <c r="F6662" s="3" t="n">
        <v>0</v>
      </c>
      <c r="G6662" s="3" t="n">
        <v>985049.6800000001</v>
      </c>
    </row>
    <row r="6663">
      <c r="A6663" s="3" t="inlineStr">
        <is>
          <t>Heron View (Pty) Ltd</t>
        </is>
      </c>
      <c r="B6663" s="4" t="n">
        <v>45443</v>
      </c>
      <c r="C6663" s="3" t="inlineStr">
        <is>
          <t>Assets</t>
        </is>
      </c>
      <c r="D6663" s="3" t="inlineStr">
        <is>
          <t>7620/660</t>
        </is>
      </c>
      <c r="E6663" s="3" t="inlineStr">
        <is>
          <t>HV CIP Health &amp; Safety</t>
        </is>
      </c>
      <c r="F6663" s="3" t="n">
        <v>2800</v>
      </c>
      <c r="G6663" s="3" t="n">
        <v>34200</v>
      </c>
    </row>
    <row r="6664">
      <c r="A6664" s="3" t="inlineStr">
        <is>
          <t>Heron View (Pty) Ltd</t>
        </is>
      </c>
      <c r="B6664" s="4" t="n">
        <v>45443</v>
      </c>
      <c r="C6664" s="3" t="inlineStr">
        <is>
          <t>Assets</t>
        </is>
      </c>
      <c r="D6664" s="3" t="inlineStr">
        <is>
          <t>7620/670</t>
        </is>
      </c>
      <c r="E6664" s="3" t="inlineStr">
        <is>
          <t>HV CIP - Project costs CPSD</t>
        </is>
      </c>
      <c r="F6664" s="3" t="n">
        <v>0</v>
      </c>
      <c r="G6664" s="3" t="n">
        <v>3363043.48</v>
      </c>
    </row>
    <row r="6665">
      <c r="A6665" s="3" t="inlineStr">
        <is>
          <t>Heron View (Pty) Ltd</t>
        </is>
      </c>
      <c r="B6665" s="4" t="n">
        <v>45443</v>
      </c>
      <c r="C6665" s="3" t="inlineStr">
        <is>
          <t>Assets</t>
        </is>
      </c>
      <c r="D6665" s="3" t="inlineStr">
        <is>
          <t>7620/680</t>
        </is>
      </c>
      <c r="E6665" s="3" t="inlineStr">
        <is>
          <t>HV CIP Elextrical</t>
        </is>
      </c>
      <c r="F6665" s="3" t="n">
        <v>0</v>
      </c>
      <c r="G6665" s="3" t="n">
        <v>1797445.87</v>
      </c>
    </row>
    <row r="6666">
      <c r="A6666" s="3" t="inlineStr">
        <is>
          <t>Heron View (Pty) Ltd</t>
        </is>
      </c>
      <c r="B6666" s="4" t="n">
        <v>45443</v>
      </c>
      <c r="C6666" s="3" t="inlineStr">
        <is>
          <t>Assets</t>
        </is>
      </c>
      <c r="D6666" s="3" t="inlineStr">
        <is>
          <t>7620/690</t>
        </is>
      </c>
      <c r="E6666" s="3" t="inlineStr">
        <is>
          <t>HV CIP Site Establishment</t>
        </is>
      </c>
      <c r="F6666" s="3" t="n">
        <v>0</v>
      </c>
      <c r="G6666" s="3" t="n">
        <v>16307183.05</v>
      </c>
    </row>
    <row r="6667">
      <c r="A6667" s="3" t="inlineStr">
        <is>
          <t>Heron Fields (Pty) Ltd</t>
        </is>
      </c>
      <c r="B6667" s="4" t="n">
        <v>45443</v>
      </c>
      <c r="C6667" s="3" t="inlineStr">
        <is>
          <t>Assets</t>
        </is>
      </c>
      <c r="D6667" s="3" t="inlineStr">
        <is>
          <t>7620/750</t>
        </is>
      </c>
      <c r="E6667" s="3" t="inlineStr">
        <is>
          <t>HF CIP Project costs CPSD</t>
        </is>
      </c>
      <c r="F6667" s="3" t="n">
        <v>0</v>
      </c>
      <c r="G6667" s="3" t="n">
        <v>2148883.15</v>
      </c>
    </row>
    <row r="6668">
      <c r="A6668" s="3" t="inlineStr">
        <is>
          <t>Heron Fields (Pty) Ltd</t>
        </is>
      </c>
      <c r="B6668" s="4" t="n">
        <v>45443</v>
      </c>
      <c r="C6668" s="3" t="inlineStr">
        <is>
          <t>Assets</t>
        </is>
      </c>
      <c r="D6668" s="3" t="inlineStr">
        <is>
          <t>7620/800</t>
        </is>
      </c>
      <c r="E6668" s="3" t="inlineStr">
        <is>
          <t>HF CIP GL Conradie</t>
        </is>
      </c>
      <c r="F6668" s="3" t="n">
        <v>0</v>
      </c>
      <c r="G6668" s="3" t="n">
        <v>1068455</v>
      </c>
    </row>
    <row r="6669">
      <c r="A6669" s="3" t="inlineStr">
        <is>
          <t>Heron View (Pty) Ltd</t>
        </is>
      </c>
      <c r="B6669" s="4" t="n">
        <v>45443</v>
      </c>
      <c r="C6669" s="3" t="inlineStr">
        <is>
          <t>Assets</t>
        </is>
      </c>
      <c r="D6669" s="3" t="inlineStr">
        <is>
          <t>7620/800</t>
        </is>
      </c>
      <c r="E6669" s="3" t="inlineStr">
        <is>
          <t>HV CIP GL Conradie</t>
        </is>
      </c>
      <c r="F6669" s="3" t="n">
        <v>0</v>
      </c>
      <c r="G6669" s="3" t="n">
        <v>2188325.96</v>
      </c>
    </row>
    <row r="6670">
      <c r="A6670" s="3" t="inlineStr">
        <is>
          <t>Heron Fields (Pty) Ltd</t>
        </is>
      </c>
      <c r="B6670" s="4" t="n">
        <v>45443</v>
      </c>
      <c r="C6670" s="3" t="inlineStr">
        <is>
          <t>Assets</t>
        </is>
      </c>
      <c r="D6670" s="3" t="inlineStr">
        <is>
          <t>7700/010</t>
        </is>
      </c>
      <c r="E6670" s="3" t="inlineStr">
        <is>
          <t>Construction 28 Feb 23 HF</t>
        </is>
      </c>
      <c r="F6670" s="3" t="n">
        <v>0</v>
      </c>
      <c r="G6670" s="3" t="n">
        <v>-24427668.44</v>
      </c>
    </row>
    <row r="6671">
      <c r="A6671" s="3" t="inlineStr">
        <is>
          <t>Cape Projects Construction (Pty) Ltd</t>
        </is>
      </c>
      <c r="B6671" s="4" t="n">
        <v>45443</v>
      </c>
      <c r="C6671" s="3" t="inlineStr">
        <is>
          <t>Assets</t>
        </is>
      </c>
      <c r="D6671" s="3" t="inlineStr">
        <is>
          <t>7800/000</t>
        </is>
      </c>
      <c r="E6671" s="3" t="inlineStr">
        <is>
          <t>Deposits paid</t>
        </is>
      </c>
      <c r="F6671" s="3" t="n">
        <v>0</v>
      </c>
      <c r="G6671" s="3" t="n">
        <v>29600</v>
      </c>
    </row>
    <row r="6672">
      <c r="A6672" s="3" t="inlineStr">
        <is>
          <t>Cape Projects Construction (Pty) Ltd</t>
        </is>
      </c>
      <c r="B6672" s="4" t="n">
        <v>45443</v>
      </c>
      <c r="C6672" s="3" t="inlineStr">
        <is>
          <t>Assets</t>
        </is>
      </c>
      <c r="D6672" s="3" t="inlineStr">
        <is>
          <t>8000/000</t>
        </is>
      </c>
      <c r="E6672" s="3" t="inlineStr">
        <is>
          <t>Customer Control Account</t>
        </is>
      </c>
      <c r="F6672" s="3" t="n">
        <v>2602496.16</v>
      </c>
      <c r="G6672" s="3" t="n">
        <v>12398275.65</v>
      </c>
    </row>
    <row r="6673">
      <c r="A6673" s="3" t="inlineStr">
        <is>
          <t>Heron Fields (Pty) Ltd</t>
        </is>
      </c>
      <c r="B6673" s="4" t="n">
        <v>45443</v>
      </c>
      <c r="C6673" s="3" t="inlineStr">
        <is>
          <t>Assets</t>
        </is>
      </c>
      <c r="D6673" s="3" t="inlineStr">
        <is>
          <t>8000/000</t>
        </is>
      </c>
      <c r="E6673" s="3" t="inlineStr">
        <is>
          <t>Customer Control Account</t>
        </is>
      </c>
      <c r="F6673" s="3" t="n">
        <v>152.91</v>
      </c>
      <c r="G6673" s="3" t="n">
        <v>495139.42</v>
      </c>
    </row>
    <row r="6674">
      <c r="A6674" s="3" t="inlineStr">
        <is>
          <t>Heron View (Pty) Ltd</t>
        </is>
      </c>
      <c r="B6674" s="4" t="n">
        <v>45443</v>
      </c>
      <c r="C6674" s="3" t="inlineStr">
        <is>
          <t>Assets</t>
        </is>
      </c>
      <c r="D6674" s="3" t="inlineStr">
        <is>
          <t>8000/000</t>
        </is>
      </c>
      <c r="E6674" s="3" t="inlineStr">
        <is>
          <t>Customer Control Account</t>
        </is>
      </c>
      <c r="F6674" s="3" t="n">
        <v>1460578.41</v>
      </c>
      <c r="G6674" s="3" t="n">
        <v>4436006.75</v>
      </c>
    </row>
    <row r="6675">
      <c r="A6675" s="3" t="inlineStr">
        <is>
          <t>Cape Projects Construction (Pty) Ltd</t>
        </is>
      </c>
      <c r="B6675" s="4" t="n">
        <v>45443</v>
      </c>
      <c r="C6675" s="3" t="inlineStr">
        <is>
          <t>Assets</t>
        </is>
      </c>
      <c r="D6675" s="3" t="inlineStr">
        <is>
          <t>8300/000</t>
        </is>
      </c>
      <c r="E6675" s="3" t="inlineStr">
        <is>
          <t>FNB Credit Card 8812 7100 446 6006</t>
        </is>
      </c>
      <c r="F6675" s="3" t="n">
        <v>173</v>
      </c>
      <c r="G6675" s="3" t="n">
        <v>-1589</v>
      </c>
    </row>
    <row r="6676">
      <c r="A6676" s="3" t="inlineStr">
        <is>
          <t>Heron Fields (Pty) Ltd</t>
        </is>
      </c>
      <c r="B6676" s="4" t="n">
        <v>45443</v>
      </c>
      <c r="C6676" s="3" t="inlineStr">
        <is>
          <t>Assets</t>
        </is>
      </c>
      <c r="D6676" s="3" t="inlineStr">
        <is>
          <t>8400/000</t>
        </is>
      </c>
      <c r="E6676" s="3" t="inlineStr">
        <is>
          <t>RMB - 62882379087</t>
        </is>
      </c>
      <c r="F6676" s="3" t="n">
        <v>1625478.25</v>
      </c>
      <c r="G6676" s="3" t="n">
        <v>1893018.43</v>
      </c>
    </row>
    <row r="6677">
      <c r="A6677" s="3" t="inlineStr">
        <is>
          <t>Cape Projects Construction (Pty) Ltd</t>
        </is>
      </c>
      <c r="B6677" s="4" t="n">
        <v>45443</v>
      </c>
      <c r="C6677" s="3" t="inlineStr">
        <is>
          <t>Assets</t>
        </is>
      </c>
      <c r="D6677" s="3" t="inlineStr">
        <is>
          <t>8400/000</t>
        </is>
      </c>
      <c r="E6677" s="3" t="inlineStr">
        <is>
          <t>RMB 62275138470</t>
        </is>
      </c>
      <c r="F6677" s="3" t="n">
        <v>73867.25999999999</v>
      </c>
      <c r="G6677" s="3" t="n">
        <v>-56265.11</v>
      </c>
    </row>
    <row r="6678">
      <c r="A6678" s="3" t="inlineStr">
        <is>
          <t>Cape Projects Construction (Pty) Ltd</t>
        </is>
      </c>
      <c r="B6678" s="4" t="n">
        <v>45443</v>
      </c>
      <c r="C6678" s="3" t="inlineStr">
        <is>
          <t>Assets</t>
        </is>
      </c>
      <c r="D6678" s="3" t="inlineStr">
        <is>
          <t>8410/000</t>
        </is>
      </c>
      <c r="E6678" s="3" t="inlineStr">
        <is>
          <t>Petty Cash</t>
        </is>
      </c>
      <c r="F6678" s="3" t="n">
        <v>0</v>
      </c>
      <c r="G6678" s="3" t="n">
        <v>-1188</v>
      </c>
    </row>
    <row r="6679">
      <c r="A6679" s="3" t="inlineStr">
        <is>
          <t>Cape Projects Construction (Pty) Ltd</t>
        </is>
      </c>
      <c r="B6679" s="4" t="n">
        <v>45443</v>
      </c>
      <c r="C6679" s="3" t="inlineStr">
        <is>
          <t>Assets</t>
        </is>
      </c>
      <c r="D6679" s="3" t="inlineStr">
        <is>
          <t>8420/000</t>
        </is>
      </c>
      <c r="E6679" s="3" t="inlineStr">
        <is>
          <t>Momentum Priv Acc RU502230981</t>
        </is>
      </c>
      <c r="F6679" s="3" t="n">
        <v>0</v>
      </c>
      <c r="G6679" s="3" t="n">
        <v>571.55</v>
      </c>
    </row>
    <row r="6680">
      <c r="A6680" s="3" t="inlineStr">
        <is>
          <t>Heron Fields (Pty) Ltd</t>
        </is>
      </c>
      <c r="B6680" s="4" t="n">
        <v>45443</v>
      </c>
      <c r="C6680" s="3" t="inlineStr">
        <is>
          <t>Assets</t>
        </is>
      </c>
      <c r="D6680" s="3" t="inlineStr">
        <is>
          <t>8420/000</t>
        </is>
      </c>
      <c r="E6680" s="3" t="inlineStr">
        <is>
          <t>Petty Cash</t>
        </is>
      </c>
      <c r="F6680" s="3" t="n">
        <v>0</v>
      </c>
      <c r="G6680" s="3" t="n">
        <v>8620</v>
      </c>
    </row>
    <row r="6681">
      <c r="A6681" s="3" t="inlineStr">
        <is>
          <t>Heron Fields (Pty) Ltd</t>
        </is>
      </c>
      <c r="B6681" s="4" t="n">
        <v>45443</v>
      </c>
      <c r="C6681" s="3" t="inlineStr">
        <is>
          <t>Assets</t>
        </is>
      </c>
      <c r="D6681" s="3" t="inlineStr">
        <is>
          <t>8430/000</t>
        </is>
      </c>
      <c r="E6681" s="3" t="inlineStr">
        <is>
          <t>Momentum Private Account RU502230151</t>
        </is>
      </c>
      <c r="F6681" s="3" t="n">
        <v>0</v>
      </c>
      <c r="G6681" s="3" t="n">
        <v>889.13</v>
      </c>
    </row>
    <row r="6682">
      <c r="A6682" s="3" t="inlineStr">
        <is>
          <t>Heron Fields (Pty) Ltd</t>
        </is>
      </c>
      <c r="B6682" s="4" t="n">
        <v>45443</v>
      </c>
      <c r="C6682" s="3" t="inlineStr">
        <is>
          <t>Assets</t>
        </is>
      </c>
      <c r="D6682" s="3" t="inlineStr">
        <is>
          <t>8440/000</t>
        </is>
      </c>
      <c r="E6682" s="3" t="inlineStr">
        <is>
          <t>Momentum Investors Account RU502229930</t>
        </is>
      </c>
      <c r="F6682" s="3" t="n">
        <v>-1570386.85</v>
      </c>
      <c r="G6682" s="3" t="n">
        <v>159799.14</v>
      </c>
    </row>
    <row r="6683">
      <c r="A6683" s="3" t="inlineStr">
        <is>
          <t>Heron Fields (Pty) Ltd</t>
        </is>
      </c>
      <c r="B6683" s="4" t="n">
        <v>45443</v>
      </c>
      <c r="C6683" s="3" t="inlineStr">
        <is>
          <t>Assets</t>
        </is>
      </c>
      <c r="D6683" s="3" t="inlineStr">
        <is>
          <t>8450/000</t>
        </is>
      </c>
      <c r="E6683" s="3" t="inlineStr">
        <is>
          <t>ABSA Current Acc : 4109071013</t>
        </is>
      </c>
      <c r="F6683" s="3" t="n">
        <v>-26386.68</v>
      </c>
      <c r="G6683" s="3" t="n">
        <v>158140.76</v>
      </c>
    </row>
    <row r="6684">
      <c r="A6684" s="3" t="inlineStr">
        <is>
          <t>Heron Fields (Pty) Ltd</t>
        </is>
      </c>
      <c r="B6684" s="4" t="n">
        <v>45443</v>
      </c>
      <c r="C6684" s="3" t="inlineStr">
        <is>
          <t>Assets</t>
        </is>
      </c>
      <c r="D6684" s="3" t="inlineStr">
        <is>
          <t>8500/000</t>
        </is>
      </c>
      <c r="E6684" s="3" t="inlineStr">
        <is>
          <t>Laas and Scholtz - Funds in transit</t>
        </is>
      </c>
      <c r="F6684" s="3" t="n">
        <v>-1929589.04</v>
      </c>
      <c r="G6684" s="3" t="n">
        <v>-3802496.16</v>
      </c>
    </row>
    <row r="6685">
      <c r="A6685" s="3" t="inlineStr">
        <is>
          <t>Cape Projects Construction (Pty) Ltd</t>
        </is>
      </c>
      <c r="B6685" s="4" t="n">
        <v>45443</v>
      </c>
      <c r="C6685" s="3" t="inlineStr">
        <is>
          <t>Liabilities</t>
        </is>
      </c>
      <c r="D6685" s="3" t="inlineStr">
        <is>
          <t>860</t>
        </is>
      </c>
      <c r="E6685" s="3" t="inlineStr">
        <is>
          <t>Rounding</t>
        </is>
      </c>
      <c r="F6685" s="3" t="n">
        <v>-0.03</v>
      </c>
      <c r="G6685" s="3" t="n">
        <v>-13.59</v>
      </c>
    </row>
    <row r="6686">
      <c r="A6686" s="3" t="inlineStr">
        <is>
          <t>Heron Fields (Pty) Ltd</t>
        </is>
      </c>
      <c r="B6686" s="4" t="n">
        <v>45443</v>
      </c>
      <c r="C6686" s="3" t="inlineStr">
        <is>
          <t>Liabilities</t>
        </is>
      </c>
      <c r="D6686" s="3" t="inlineStr">
        <is>
          <t>860</t>
        </is>
      </c>
      <c r="E6686" s="3" t="inlineStr">
        <is>
          <t>Rounding</t>
        </is>
      </c>
      <c r="F6686" s="3" t="n">
        <v>0.03</v>
      </c>
      <c r="G6686" s="3" t="n">
        <v>0.07000000000000001</v>
      </c>
    </row>
    <row r="6687">
      <c r="A6687" s="3" t="inlineStr">
        <is>
          <t>Heron View (Pty) Ltd</t>
        </is>
      </c>
      <c r="B6687" s="4" t="n">
        <v>45443</v>
      </c>
      <c r="C6687" s="3" t="inlineStr">
        <is>
          <t>Liabilities</t>
        </is>
      </c>
      <c r="D6687" s="3" t="inlineStr">
        <is>
          <t>860</t>
        </is>
      </c>
      <c r="E6687" s="3" t="inlineStr">
        <is>
          <t>Rounding</t>
        </is>
      </c>
      <c r="F6687" s="3" t="n">
        <v>0.02</v>
      </c>
      <c r="G6687" s="3" t="n">
        <v>0.01</v>
      </c>
    </row>
    <row r="6688">
      <c r="A6688" s="3" t="inlineStr">
        <is>
          <t>Cape Projects Construction (Pty) Ltd</t>
        </is>
      </c>
      <c r="B6688" s="4" t="n">
        <v>45443</v>
      </c>
      <c r="C6688" s="3" t="inlineStr">
        <is>
          <t>Liabilities</t>
        </is>
      </c>
      <c r="D6688" s="3" t="inlineStr">
        <is>
          <t>9000/000</t>
        </is>
      </c>
      <c r="E6688" s="3" t="inlineStr">
        <is>
          <t>Supplier Control Account</t>
        </is>
      </c>
      <c r="F6688" s="3" t="n">
        <v>2847876.6</v>
      </c>
      <c r="G6688" s="3" t="n">
        <v>-1400764.66</v>
      </c>
    </row>
    <row r="6689">
      <c r="A6689" s="3" t="inlineStr">
        <is>
          <t>Heron Fields (Pty) Ltd</t>
        </is>
      </c>
      <c r="B6689" s="4" t="n">
        <v>45443</v>
      </c>
      <c r="C6689" s="3" t="inlineStr">
        <is>
          <t>Liabilities</t>
        </is>
      </c>
      <c r="D6689" s="3" t="inlineStr">
        <is>
          <t>9000/000</t>
        </is>
      </c>
      <c r="E6689" s="3" t="inlineStr">
        <is>
          <t>Supplier Control Account</t>
        </is>
      </c>
      <c r="F6689" s="3" t="n">
        <v>-1918642.03</v>
      </c>
      <c r="G6689" s="3" t="n">
        <v>-151283663.36</v>
      </c>
    </row>
    <row r="6690">
      <c r="A6690" s="3" t="inlineStr">
        <is>
          <t>Heron View (Pty) Ltd</t>
        </is>
      </c>
      <c r="B6690" s="4" t="n">
        <v>45443</v>
      </c>
      <c r="C6690" s="3" t="inlineStr">
        <is>
          <t>Liabilities</t>
        </is>
      </c>
      <c r="D6690" s="3" t="inlineStr">
        <is>
          <t>9000/000</t>
        </is>
      </c>
      <c r="E6690" s="3" t="inlineStr">
        <is>
          <t>Supplier Control Account</t>
        </is>
      </c>
      <c r="F6690" s="3" t="n">
        <v>-2427732.72</v>
      </c>
      <c r="G6690" s="3" t="n">
        <v>-10009016.99</v>
      </c>
    </row>
    <row r="6691">
      <c r="A6691" s="3" t="inlineStr">
        <is>
          <t>Cape Projects Construction (Pty) Ltd</t>
        </is>
      </c>
      <c r="B6691" s="4" t="n">
        <v>45443</v>
      </c>
      <c r="C6691" s="3" t="inlineStr">
        <is>
          <t>Liabilities</t>
        </is>
      </c>
      <c r="D6691" s="3" t="inlineStr">
        <is>
          <t>9200/000</t>
        </is>
      </c>
      <c r="E6691" s="3" t="inlineStr">
        <is>
          <t>Sundry Suppliers</t>
        </is>
      </c>
      <c r="F6691" s="3" t="n">
        <v>0</v>
      </c>
      <c r="G6691" s="3" t="n">
        <v>-2920.29</v>
      </c>
    </row>
    <row r="6692">
      <c r="A6692" s="3" t="inlineStr">
        <is>
          <t>Cape Projects Construction (Pty) Ltd</t>
        </is>
      </c>
      <c r="B6692" s="4" t="n">
        <v>45443</v>
      </c>
      <c r="C6692" s="3" t="inlineStr">
        <is>
          <t>Liabilities</t>
        </is>
      </c>
      <c r="D6692" s="3" t="inlineStr">
        <is>
          <t>9250/010</t>
        </is>
      </c>
      <c r="E6692" s="3" t="inlineStr">
        <is>
          <t>SALARY CONTROL</t>
        </is>
      </c>
      <c r="F6692" s="3" t="n">
        <v>366361.83</v>
      </c>
      <c r="G6692" s="3" t="n">
        <v>366361.83</v>
      </c>
    </row>
    <row r="6693">
      <c r="A6693" s="3" t="inlineStr">
        <is>
          <t>Cape Projects Construction (Pty) Ltd</t>
        </is>
      </c>
      <c r="B6693" s="4" t="n">
        <v>45443</v>
      </c>
      <c r="C6693" s="3" t="inlineStr">
        <is>
          <t>Liabilities</t>
        </is>
      </c>
      <c r="D6693" s="3" t="inlineStr">
        <is>
          <t>9250/020</t>
        </is>
      </c>
      <c r="E6693" s="3" t="inlineStr">
        <is>
          <t>PAYE, UIF AND SDL CONTROL</t>
        </is>
      </c>
      <c r="F6693" s="3" t="n">
        <v>100193.08</v>
      </c>
      <c r="G6693" s="3" t="n">
        <v>11181.87</v>
      </c>
    </row>
    <row r="6694">
      <c r="A6694" s="3" t="inlineStr">
        <is>
          <t>Cape Projects Construction (Pty) Ltd</t>
        </is>
      </c>
      <c r="B6694" s="4" t="n">
        <v>45443</v>
      </c>
      <c r="C6694" s="3" t="inlineStr">
        <is>
          <t>Liabilities</t>
        </is>
      </c>
      <c r="D6694" s="3" t="inlineStr">
        <is>
          <t>9250/030</t>
        </is>
      </c>
      <c r="E6694" s="3" t="inlineStr">
        <is>
          <t>BIBC CONTROL</t>
        </is>
      </c>
      <c r="F6694" s="3" t="n">
        <v>3156.9</v>
      </c>
      <c r="G6694" s="3" t="n">
        <v>-46257.05</v>
      </c>
    </row>
    <row r="6695">
      <c r="A6695" s="3" t="inlineStr">
        <is>
          <t>Cape Projects Construction (Pty) Ltd</t>
        </is>
      </c>
      <c r="B6695" s="4" t="n">
        <v>45443</v>
      </c>
      <c r="C6695" s="3" t="inlineStr">
        <is>
          <t>Liabilities</t>
        </is>
      </c>
      <c r="D6695" s="3" t="inlineStr">
        <is>
          <t>9350/000</t>
        </is>
      </c>
      <c r="E6695" s="3" t="inlineStr">
        <is>
          <t>Dividends Payable</t>
        </is>
      </c>
      <c r="F6695" s="3" t="n">
        <v>0</v>
      </c>
      <c r="G6695" s="3" t="n">
        <v>130000</v>
      </c>
    </row>
    <row r="6696">
      <c r="A6696" s="3" t="inlineStr">
        <is>
          <t>Cape Projects Construction (Pty) Ltd</t>
        </is>
      </c>
      <c r="B6696" s="4" t="n">
        <v>45443</v>
      </c>
      <c r="C6696" s="3" t="inlineStr">
        <is>
          <t>Liabilities</t>
        </is>
      </c>
      <c r="D6696" s="3" t="inlineStr">
        <is>
          <t>9500/000</t>
        </is>
      </c>
      <c r="E6696" s="3" t="inlineStr">
        <is>
          <t>VAT Control Account</t>
        </is>
      </c>
      <c r="F6696" s="3" t="n">
        <v>-34536.99</v>
      </c>
      <c r="G6696" s="3" t="n">
        <v>-274918.06</v>
      </c>
    </row>
    <row r="6697">
      <c r="A6697" s="3" t="inlineStr">
        <is>
          <t>Heron Fields (Pty) Ltd</t>
        </is>
      </c>
      <c r="B6697" s="4" t="n">
        <v>45443</v>
      </c>
      <c r="C6697" s="3" t="inlineStr">
        <is>
          <t>Liabilities</t>
        </is>
      </c>
      <c r="D6697" s="3" t="inlineStr">
        <is>
          <t>9500/000</t>
        </is>
      </c>
      <c r="E6697" s="3" t="inlineStr">
        <is>
          <t>Vat / Tax Control Account</t>
        </is>
      </c>
      <c r="F6697" s="3" t="n">
        <v>-3245407.61</v>
      </c>
      <c r="G6697" s="3" t="n">
        <v>-5583787.06</v>
      </c>
    </row>
    <row r="6698">
      <c r="A6698" s="3" t="inlineStr">
        <is>
          <t>Heron View (Pty) Ltd</t>
        </is>
      </c>
      <c r="B6698" s="4" t="n">
        <v>45443</v>
      </c>
      <c r="C6698" s="3" t="inlineStr">
        <is>
          <t>Liabilities</t>
        </is>
      </c>
      <c r="D6698" s="3" t="inlineStr">
        <is>
          <t>9500/000</t>
        </is>
      </c>
      <c r="E6698" s="3" t="inlineStr">
        <is>
          <t>Vat / Tax Control Account</t>
        </is>
      </c>
      <c r="F6698" s="3" t="n">
        <v>130727.39</v>
      </c>
      <c r="G6698" s="3" t="n">
        <v>6653884.51</v>
      </c>
    </row>
    <row r="6699">
      <c r="A6699" s="3" t="inlineStr">
        <is>
          <t>Cape Projects Construction (Pty) Ltd</t>
        </is>
      </c>
      <c r="B6699" s="4" t="n">
        <v>45443</v>
      </c>
      <c r="C6699" s="3" t="inlineStr">
        <is>
          <t>Liabilities</t>
        </is>
      </c>
      <c r="D6699" s="3" t="inlineStr">
        <is>
          <t>9510/000</t>
        </is>
      </c>
      <c r="E6699" s="3" t="inlineStr">
        <is>
          <t>Tax Provision Account</t>
        </is>
      </c>
      <c r="F6699" s="3" t="n">
        <v>0</v>
      </c>
      <c r="G6699" s="3" t="n">
        <v>-1869.8</v>
      </c>
    </row>
    <row r="6700">
      <c r="A6700" s="3" t="inlineStr">
        <is>
          <t>Heron Fields (Pty) Ltd</t>
        </is>
      </c>
      <c r="B6700" s="4" t="n">
        <v>45443</v>
      </c>
      <c r="C6700" s="3" t="inlineStr">
        <is>
          <t>Liabilities</t>
        </is>
      </c>
      <c r="D6700" s="3" t="inlineStr">
        <is>
          <t>9520/000</t>
        </is>
      </c>
      <c r="E6700" s="3" t="inlineStr">
        <is>
          <t>Income Tax Payable</t>
        </is>
      </c>
      <c r="F6700" s="3" t="n">
        <v>0</v>
      </c>
      <c r="G6700" s="3" t="n">
        <v>59039.93</v>
      </c>
    </row>
    <row r="6701">
      <c r="A6701" s="3" t="inlineStr">
        <is>
          <t>Heron View (Pty) Ltd</t>
        </is>
      </c>
      <c r="B6701" s="4" t="n">
        <v>45443</v>
      </c>
      <c r="C6701" s="3" t="inlineStr">
        <is>
          <t>Liabilities</t>
        </is>
      </c>
      <c r="D6701" s="3" t="inlineStr">
        <is>
          <t>9899/C102</t>
        </is>
      </c>
      <c r="E6701" s="3" t="inlineStr">
        <is>
          <t>Sales - Unit Reg Control C102</t>
        </is>
      </c>
      <c r="F6701" s="3" t="n">
        <v>0</v>
      </c>
      <c r="G6701" s="3" t="n">
        <v>-0.4</v>
      </c>
    </row>
    <row r="6702">
      <c r="A6702" s="3" t="inlineStr">
        <is>
          <t>Heron View (Pty) Ltd</t>
        </is>
      </c>
      <c r="B6702" s="4" t="n">
        <v>45443</v>
      </c>
      <c r="C6702" s="3" t="inlineStr">
        <is>
          <t>Liabilities</t>
        </is>
      </c>
      <c r="D6702" s="3" t="inlineStr">
        <is>
          <t>9899/D203</t>
        </is>
      </c>
      <c r="E6702" s="3" t="inlineStr">
        <is>
          <t>Sales - Unit Reg Control D203</t>
        </is>
      </c>
      <c r="F6702" s="3" t="n">
        <v>0</v>
      </c>
      <c r="G6702" s="3" t="n">
        <v>1326506.85</v>
      </c>
    </row>
    <row r="6703">
      <c r="A6703" s="3" t="inlineStr">
        <is>
          <t>Cape Projects Construction (Pty) Ltd</t>
        </is>
      </c>
      <c r="B6703" s="4" t="n">
        <v>45443</v>
      </c>
      <c r="C6703" s="3" t="inlineStr">
        <is>
          <t>Liabilities</t>
        </is>
      </c>
      <c r="D6703" s="3" t="inlineStr">
        <is>
          <t>B/S</t>
        </is>
      </c>
      <c r="E6703" s="3" t="inlineStr">
        <is>
          <t>Taxation Payable</t>
        </is>
      </c>
      <c r="F6703" s="3" t="n">
        <v>0</v>
      </c>
      <c r="G6703" s="3" t="n">
        <v>393799.61</v>
      </c>
    </row>
    <row r="6704">
      <c r="A6704" s="3" t="inlineStr">
        <is>
          <t>Cape Projects Construction (Pty) Ltd</t>
        </is>
      </c>
      <c r="B6704" s="4" t="n">
        <v>45443</v>
      </c>
      <c r="C6704" s="3" t="inlineStr">
        <is>
          <t>Liabilities</t>
        </is>
      </c>
      <c r="D6704" s="3" t="inlineStr">
        <is>
          <t>TEMP/ACC</t>
        </is>
      </c>
      <c r="E6704" s="3" t="inlineStr">
        <is>
          <t>Conversion Account</t>
        </is>
      </c>
      <c r="F6704" s="3" t="n">
        <v>0</v>
      </c>
      <c r="G6704" s="3" t="n">
        <v>-254.99</v>
      </c>
    </row>
    <row r="6705">
      <c r="A6705" s="3" t="inlineStr">
        <is>
          <t>Quinate Consulting (Pty) Ltd</t>
        </is>
      </c>
      <c r="B6705" s="4" t="n">
        <v>44561</v>
      </c>
      <c r="C6705" s="3" t="inlineStr">
        <is>
          <t>Revenue</t>
        </is>
      </c>
      <c r="D6705" s="3" t="inlineStr">
        <is>
          <t>1000/011</t>
        </is>
      </c>
      <c r="E6705" s="3" t="inlineStr">
        <is>
          <t>Rent Received - Soho Unit 23</t>
        </is>
      </c>
      <c r="F6705" s="3" t="n">
        <v>0</v>
      </c>
      <c r="G6705" s="3" t="n">
        <v>-110869.57</v>
      </c>
    </row>
    <row r="6706">
      <c r="A6706" s="3" t="inlineStr">
        <is>
          <t>Quinate Consulting (Pty) Ltd</t>
        </is>
      </c>
      <c r="B6706" s="4" t="n">
        <v>44561</v>
      </c>
      <c r="C6706" s="3" t="inlineStr">
        <is>
          <t>Revenue</t>
        </is>
      </c>
      <c r="D6706" s="3" t="inlineStr">
        <is>
          <t>1000/012</t>
        </is>
      </c>
      <c r="E6706" s="3" t="inlineStr">
        <is>
          <t>Rent Received - Soho Unit 24</t>
        </is>
      </c>
      <c r="F6706" s="3" t="n">
        <v>-13500</v>
      </c>
      <c r="G6706" s="3" t="n">
        <v>-133239.13</v>
      </c>
    </row>
    <row r="6707">
      <c r="A6707" s="3" t="inlineStr">
        <is>
          <t>Quinate Consulting (Pty) Ltd</t>
        </is>
      </c>
      <c r="B6707" s="4" t="n">
        <v>44561</v>
      </c>
      <c r="C6707" s="3" t="inlineStr">
        <is>
          <t>Revenue</t>
        </is>
      </c>
      <c r="D6707" s="3" t="inlineStr">
        <is>
          <t>1000/013</t>
        </is>
      </c>
      <c r="E6707" s="3" t="inlineStr">
        <is>
          <t>Rent Recieved - Soho Unit 20</t>
        </is>
      </c>
      <c r="F6707" s="3" t="n">
        <v>-12500</v>
      </c>
      <c r="G6707" s="3" t="n">
        <v>-123369.57</v>
      </c>
    </row>
    <row r="6708">
      <c r="A6708" s="3" t="inlineStr">
        <is>
          <t>Quinate Consulting (Pty) Ltd</t>
        </is>
      </c>
      <c r="B6708" s="4" t="n">
        <v>44561</v>
      </c>
      <c r="C6708" s="3" t="inlineStr">
        <is>
          <t>Revenue</t>
        </is>
      </c>
      <c r="D6708" s="3" t="inlineStr">
        <is>
          <t>1000/014</t>
        </is>
      </c>
      <c r="E6708" s="3" t="inlineStr">
        <is>
          <t>Rent Received - CT Office</t>
        </is>
      </c>
      <c r="F6708" s="3" t="n">
        <v>0</v>
      </c>
      <c r="G6708" s="3" t="n">
        <v>-28451.16</v>
      </c>
    </row>
    <row r="6709">
      <c r="A6709" s="3" t="inlineStr">
        <is>
          <t>Quinate Consulting (Pty) Ltd</t>
        </is>
      </c>
      <c r="B6709" s="4" t="n">
        <v>44561</v>
      </c>
      <c r="C6709" s="3" t="inlineStr">
        <is>
          <t>Revenue</t>
        </is>
      </c>
      <c r="D6709" s="3" t="inlineStr">
        <is>
          <t>1000/015</t>
        </is>
      </c>
      <c r="E6709" s="3" t="inlineStr">
        <is>
          <t>Rent Received - Southwark Unit 1</t>
        </is>
      </c>
      <c r="F6709" s="3" t="n">
        <v>-10000</v>
      </c>
      <c r="G6709" s="3" t="n">
        <v>-98695.64999999999</v>
      </c>
    </row>
    <row r="6710">
      <c r="A6710" s="3" t="inlineStr">
        <is>
          <t>Quinate Consulting (Pty) Ltd</t>
        </is>
      </c>
      <c r="B6710" s="4" t="n">
        <v>44561</v>
      </c>
      <c r="C6710" s="3" t="inlineStr">
        <is>
          <t>Revenue</t>
        </is>
      </c>
      <c r="D6710" s="3" t="inlineStr">
        <is>
          <t>1000/016</t>
        </is>
      </c>
      <c r="E6710" s="3" t="inlineStr">
        <is>
          <t>Rent Recieved - Southwark Unit 21</t>
        </is>
      </c>
      <c r="F6710" s="3" t="n">
        <v>-10000</v>
      </c>
      <c r="G6710" s="3" t="n">
        <v>-98695.64999999999</v>
      </c>
    </row>
    <row r="6711">
      <c r="A6711" s="3" t="inlineStr">
        <is>
          <t>Opportunity Global Sales (PTY) LTD</t>
        </is>
      </c>
      <c r="B6711" s="4" t="n">
        <v>44561</v>
      </c>
      <c r="C6711" s="3" t="inlineStr">
        <is>
          <t>Revenue</t>
        </is>
      </c>
      <c r="D6711" s="3" t="inlineStr">
        <is>
          <t>1000/020</t>
        </is>
      </c>
      <c r="E6711" s="3" t="inlineStr">
        <is>
          <t>Sales - Comm on Southwark Project</t>
        </is>
      </c>
      <c r="F6711" s="3" t="n">
        <v>0</v>
      </c>
      <c r="G6711" s="3" t="n">
        <v>-81686.96000000001</v>
      </c>
    </row>
    <row r="6712">
      <c r="A6712" s="3" t="inlineStr">
        <is>
          <t>Opportunity Global Sales (PTY) LTD</t>
        </is>
      </c>
      <c r="B6712" s="4" t="n">
        <v>44561</v>
      </c>
      <c r="C6712" s="3" t="inlineStr">
        <is>
          <t>Revenue</t>
        </is>
      </c>
      <c r="D6712" s="3" t="inlineStr">
        <is>
          <t>1000/030</t>
        </is>
      </c>
      <c r="E6712" s="3" t="inlineStr">
        <is>
          <t>Sales - Comm on Heron View Land Purchase</t>
        </is>
      </c>
      <c r="F6712" s="3" t="n">
        <v>0</v>
      </c>
      <c r="G6712" s="3" t="n">
        <v>-197217.39</v>
      </c>
    </row>
    <row r="6713">
      <c r="A6713" s="3" t="inlineStr">
        <is>
          <t>Quinate Consulting (Pty) Ltd</t>
        </is>
      </c>
      <c r="B6713" s="4" t="n">
        <v>44561</v>
      </c>
      <c r="C6713" s="3" t="inlineStr">
        <is>
          <t>Revenue</t>
        </is>
      </c>
      <c r="D6713" s="3" t="inlineStr">
        <is>
          <t>1000/040</t>
        </is>
      </c>
      <c r="E6713" s="3" t="inlineStr">
        <is>
          <t>Fees - Admin</t>
        </is>
      </c>
      <c r="F6713" s="3" t="n">
        <v>0</v>
      </c>
      <c r="G6713" s="3" t="n">
        <v>-500</v>
      </c>
    </row>
    <row r="6714">
      <c r="A6714" s="3" t="inlineStr">
        <is>
          <t>Opportunity Global Sales (PTY) LTD</t>
        </is>
      </c>
      <c r="B6714" s="4" t="n">
        <v>44561</v>
      </c>
      <c r="C6714" s="3" t="inlineStr">
        <is>
          <t>Revenue</t>
        </is>
      </c>
      <c r="D6714" s="3" t="inlineStr">
        <is>
          <t>1000/100</t>
        </is>
      </c>
      <c r="E6714" s="3" t="inlineStr">
        <is>
          <t>Sales - Comm on External Sales</t>
        </is>
      </c>
      <c r="F6714" s="3" t="n">
        <v>0</v>
      </c>
      <c r="G6714" s="3" t="n">
        <v>-209287.5</v>
      </c>
    </row>
    <row r="6715">
      <c r="A6715" s="3" t="inlineStr">
        <is>
          <t>Noble Shield (Pty) Ltd ta Go Letting</t>
        </is>
      </c>
      <c r="B6715" s="4" t="n">
        <v>44561</v>
      </c>
      <c r="C6715" s="3" t="inlineStr">
        <is>
          <t>Revenue</t>
        </is>
      </c>
      <c r="D6715" s="3" t="inlineStr">
        <is>
          <t>1000/100</t>
        </is>
      </c>
      <c r="E6715" s="3" t="inlineStr">
        <is>
          <t>Sales - Payprop 328 - Michelle</t>
        </is>
      </c>
      <c r="F6715" s="3" t="n">
        <v>-80304.78999999999</v>
      </c>
      <c r="G6715" s="3" t="n">
        <v>-301056.55</v>
      </c>
    </row>
    <row r="6716">
      <c r="A6716" s="3" t="inlineStr">
        <is>
          <t>Opportunity Global Sales (PTY) LTD</t>
        </is>
      </c>
      <c r="B6716" s="4" t="n">
        <v>44561</v>
      </c>
      <c r="C6716" s="3" t="inlineStr">
        <is>
          <t>Revenue</t>
        </is>
      </c>
      <c r="D6716" s="3" t="inlineStr">
        <is>
          <t>1000/120</t>
        </is>
      </c>
      <c r="E6716" s="3" t="inlineStr">
        <is>
          <t>Sales - Admin Fees on Rental Units</t>
        </is>
      </c>
      <c r="F6716" s="3" t="n">
        <v>-434.78</v>
      </c>
      <c r="G6716" s="3" t="n">
        <v>-26521.77</v>
      </c>
    </row>
    <row r="6717">
      <c r="A6717" s="3" t="inlineStr">
        <is>
          <t>Opportunity Global Sales (PTY) LTD</t>
        </is>
      </c>
      <c r="B6717" s="4" t="n">
        <v>44561</v>
      </c>
      <c r="C6717" s="3" t="inlineStr">
        <is>
          <t>Revenue</t>
        </is>
      </c>
      <c r="D6717" s="3" t="inlineStr">
        <is>
          <t>1000/150</t>
        </is>
      </c>
      <c r="E6717" s="3" t="inlineStr">
        <is>
          <t>Sales - Comm on External Rental</t>
        </is>
      </c>
      <c r="F6717" s="3" t="n">
        <v>-14217.39</v>
      </c>
      <c r="G6717" s="3" t="n">
        <v>-206299.47</v>
      </c>
    </row>
    <row r="6718">
      <c r="A6718" s="3" t="inlineStr">
        <is>
          <t>Opportunity Global Investment (PTY) LTD</t>
        </is>
      </c>
      <c r="B6718" s="4" t="n">
        <v>44561</v>
      </c>
      <c r="C6718" s="3" t="inlineStr">
        <is>
          <t>Revenue</t>
        </is>
      </c>
      <c r="D6718" s="3" t="inlineStr">
        <is>
          <t>1000/220</t>
        </is>
      </c>
      <c r="E6718" s="3" t="inlineStr">
        <is>
          <t>Sales - Investor Raising Fee</t>
        </is>
      </c>
      <c r="F6718" s="3" t="n">
        <v>0</v>
      </c>
      <c r="G6718" s="3" t="n">
        <v>-579853.86</v>
      </c>
    </row>
    <row r="6719">
      <c r="A6719" s="3" t="inlineStr">
        <is>
          <t>Opportunity Global Investment (PTY) LTD</t>
        </is>
      </c>
      <c r="B6719" s="4" t="n">
        <v>44561</v>
      </c>
      <c r="C6719" s="3" t="inlineStr">
        <is>
          <t>Revenue</t>
        </is>
      </c>
      <c r="D6719" s="3" t="inlineStr">
        <is>
          <t>1000/300</t>
        </is>
      </c>
      <c r="E6719" s="3" t="inlineStr">
        <is>
          <t>Sales - Investor Management - Endulini</t>
        </is>
      </c>
      <c r="F6719" s="3" t="n">
        <v>0</v>
      </c>
      <c r="G6719" s="3" t="n">
        <v>-500969.35</v>
      </c>
    </row>
    <row r="6720">
      <c r="A6720" s="3" t="inlineStr">
        <is>
          <t>Trademark Holdings (Pty) Ltd</t>
        </is>
      </c>
      <c r="B6720" s="4" t="n">
        <v>44561</v>
      </c>
      <c r="C6720" s="3" t="inlineStr">
        <is>
          <t>Revenue</t>
        </is>
      </c>
      <c r="D6720" s="3" t="inlineStr">
        <is>
          <t>1000/300</t>
        </is>
      </c>
      <c r="E6720" s="3" t="inlineStr">
        <is>
          <t>Sales - Payprop - Lara</t>
        </is>
      </c>
      <c r="F6720" s="3" t="n">
        <v>-93087.98</v>
      </c>
      <c r="G6720" s="3" t="n">
        <v>-369285.26</v>
      </c>
    </row>
    <row r="6721">
      <c r="A6721" s="3" t="inlineStr">
        <is>
          <t>Opportunity Global Investment (PTY) LTD</t>
        </is>
      </c>
      <c r="B6721" s="4" t="n">
        <v>44561</v>
      </c>
      <c r="C6721" s="3" t="inlineStr">
        <is>
          <t>Revenue</t>
        </is>
      </c>
      <c r="D6721" s="3" t="inlineStr">
        <is>
          <t>1000/350</t>
        </is>
      </c>
      <c r="E6721" s="3" t="inlineStr">
        <is>
          <t>Sales - Investor Management - Heron Fields</t>
        </is>
      </c>
      <c r="F6721" s="3" t="n">
        <v>-257612.85</v>
      </c>
      <c r="G6721" s="3" t="n">
        <v>-1812717.84</v>
      </c>
    </row>
    <row r="6722">
      <c r="A6722" s="3" t="inlineStr">
        <is>
          <t>Opportunity Global Sales (PTY) LTD</t>
        </is>
      </c>
      <c r="B6722" s="4" t="n">
        <v>44561</v>
      </c>
      <c r="C6722" s="3" t="inlineStr">
        <is>
          <t>Revenue</t>
        </is>
      </c>
      <c r="D6722" s="3" t="inlineStr">
        <is>
          <t>1000/900</t>
        </is>
      </c>
      <c r="E6722" s="3" t="inlineStr">
        <is>
          <t>Sales - Comm on Rental Units</t>
        </is>
      </c>
      <c r="F6722" s="3" t="n">
        <v>0</v>
      </c>
      <c r="G6722" s="3" t="n">
        <v>-43346.97</v>
      </c>
    </row>
    <row r="6723">
      <c r="A6723" s="3" t="inlineStr">
        <is>
          <t>Quinate Consulting (Pty) Ltd</t>
        </is>
      </c>
      <c r="B6723" s="4" t="n">
        <v>44561</v>
      </c>
      <c r="C6723" s="3" t="inlineStr">
        <is>
          <t>Revenue</t>
        </is>
      </c>
      <c r="D6723" s="3" t="inlineStr">
        <is>
          <t>1001/100</t>
        </is>
      </c>
      <c r="E6723" s="3" t="inlineStr">
        <is>
          <t>Sales - Southwark Village Units</t>
        </is>
      </c>
      <c r="F6723" s="3" t="n">
        <v>0</v>
      </c>
      <c r="G6723" s="3" t="n">
        <v>-1303478.26</v>
      </c>
    </row>
    <row r="6724">
      <c r="A6724" s="3" t="inlineStr">
        <is>
          <t>Quinate Consulting (Pty) Ltd</t>
        </is>
      </c>
      <c r="B6724" s="4" t="n">
        <v>44561</v>
      </c>
      <c r="C6724" s="3" t="inlineStr">
        <is>
          <t>Revenue</t>
        </is>
      </c>
      <c r="D6724" s="3" t="inlineStr">
        <is>
          <t>1004/000</t>
        </is>
      </c>
      <c r="E6724" s="3" t="inlineStr">
        <is>
          <t>Interest received</t>
        </is>
      </c>
      <c r="F6724" s="3" t="n">
        <v>-278.59</v>
      </c>
      <c r="G6724" s="3" t="n">
        <v>-746.86</v>
      </c>
    </row>
    <row r="6725">
      <c r="A6725" s="3" t="inlineStr">
        <is>
          <t>Opportunity Management Holdings (PTY) LTD</t>
        </is>
      </c>
      <c r="B6725" s="4" t="n">
        <v>44561</v>
      </c>
      <c r="C6725" s="3" t="inlineStr">
        <is>
          <t>Revenue</t>
        </is>
      </c>
      <c r="D6725" s="3" t="inlineStr">
        <is>
          <t>1100/001</t>
        </is>
      </c>
      <c r="E6725" s="3" t="inlineStr">
        <is>
          <t>Salary Recharges</t>
        </is>
      </c>
      <c r="F6725" s="3" t="n">
        <v>-310060.32</v>
      </c>
      <c r="G6725" s="3" t="n">
        <v>-910563.97</v>
      </c>
    </row>
    <row r="6726">
      <c r="A6726" s="3" t="inlineStr">
        <is>
          <t>Endulini (Pty) Ltd</t>
        </is>
      </c>
      <c r="B6726" s="4" t="n">
        <v>44561</v>
      </c>
      <c r="C6726" s="3" t="inlineStr">
        <is>
          <t>Revenue</t>
        </is>
      </c>
      <c r="D6726" s="3" t="inlineStr">
        <is>
          <t>1100/100</t>
        </is>
      </c>
      <c r="E6726" s="3" t="inlineStr">
        <is>
          <t>Sales - Endulini - Exstras</t>
        </is>
      </c>
      <c r="F6726" s="3" t="n">
        <v>0</v>
      </c>
      <c r="G6726" s="3" t="n">
        <v>-31257</v>
      </c>
    </row>
    <row r="6727">
      <c r="A6727" s="3" t="inlineStr">
        <is>
          <t>Endulini (Pty) Ltd</t>
        </is>
      </c>
      <c r="B6727" s="4" t="n">
        <v>44561</v>
      </c>
      <c r="C6727" s="3" t="inlineStr">
        <is>
          <t>Revenue</t>
        </is>
      </c>
      <c r="D6727" s="3" t="inlineStr">
        <is>
          <t>1100/150</t>
        </is>
      </c>
      <c r="E6727" s="3" t="inlineStr">
        <is>
          <t>Sales - Endulini - Extras admin fee</t>
        </is>
      </c>
      <c r="F6727" s="3" t="n">
        <v>0</v>
      </c>
      <c r="G6727" s="3" t="n">
        <v>-3000</v>
      </c>
    </row>
    <row r="6728">
      <c r="A6728" s="3" t="inlineStr">
        <is>
          <t>Endulini (Pty) Ltd</t>
        </is>
      </c>
      <c r="B6728" s="4" t="n">
        <v>44561</v>
      </c>
      <c r="C6728" s="3" t="inlineStr">
        <is>
          <t>Revenue</t>
        </is>
      </c>
      <c r="D6728" s="3" t="inlineStr">
        <is>
          <t>1500/001</t>
        </is>
      </c>
      <c r="E6728" s="3" t="inlineStr">
        <is>
          <t>Revaluation of Land</t>
        </is>
      </c>
      <c r="F6728" s="3" t="n">
        <v>0</v>
      </c>
      <c r="G6728" s="3" t="n">
        <v>-6084085.78</v>
      </c>
    </row>
    <row r="6729">
      <c r="A6729" s="3" t="inlineStr">
        <is>
          <t>Quinate Consulting (Pty) Ltd</t>
        </is>
      </c>
      <c r="B6729" s="4" t="n">
        <v>44561</v>
      </c>
      <c r="C6729" s="3" t="inlineStr">
        <is>
          <t>Expenses</t>
        </is>
      </c>
      <c r="D6729" s="3" t="inlineStr">
        <is>
          <t>2000/010</t>
        </is>
      </c>
      <c r="E6729" s="3" t="inlineStr">
        <is>
          <t>COS - Professional Fees - South Wark</t>
        </is>
      </c>
      <c r="F6729" s="3" t="n">
        <v>0</v>
      </c>
      <c r="G6729" s="3" t="n">
        <v>20000</v>
      </c>
    </row>
    <row r="6730">
      <c r="A6730" s="3" t="inlineStr">
        <is>
          <t>Quinate Consulting (Pty) Ltd</t>
        </is>
      </c>
      <c r="B6730" s="4" t="n">
        <v>44561</v>
      </c>
      <c r="C6730" s="3" t="inlineStr">
        <is>
          <t>Expenses</t>
        </is>
      </c>
      <c r="D6730" s="3" t="inlineStr">
        <is>
          <t>2000/029</t>
        </is>
      </c>
      <c r="E6730" s="3" t="inlineStr">
        <is>
          <t>COS - Investment Southwark</t>
        </is>
      </c>
      <c r="F6730" s="3" t="n">
        <v>-288604.35</v>
      </c>
      <c r="G6730" s="3" t="n">
        <v>0</v>
      </c>
    </row>
    <row r="6731">
      <c r="A6731" s="3" t="inlineStr">
        <is>
          <t>Endulini (Pty) Ltd</t>
        </is>
      </c>
      <c r="B6731" s="4" t="n">
        <v>44561</v>
      </c>
      <c r="C6731" s="3" t="inlineStr">
        <is>
          <t>Expenses</t>
        </is>
      </c>
      <c r="D6731" s="3" t="inlineStr">
        <is>
          <t>2000/100</t>
        </is>
      </c>
      <c r="E6731" s="3" t="inlineStr">
        <is>
          <t>COS - Commission Endulini</t>
        </is>
      </c>
      <c r="F6731" s="3" t="n">
        <v>0</v>
      </c>
      <c r="G6731" s="3" t="n">
        <v>597087.25</v>
      </c>
    </row>
    <row r="6732">
      <c r="A6732" s="3" t="inlineStr">
        <is>
          <t>Noble Shield (Pty) Ltd ta Go Letting</t>
        </is>
      </c>
      <c r="B6732" s="4" t="n">
        <v>44561</v>
      </c>
      <c r="C6732" s="3" t="inlineStr">
        <is>
          <t>Expenses</t>
        </is>
      </c>
      <c r="D6732" s="3" t="inlineStr">
        <is>
          <t>2000/100</t>
        </is>
      </c>
      <c r="E6732" s="3" t="inlineStr">
        <is>
          <t>COS - Commission Paid</t>
        </is>
      </c>
      <c r="F6732" s="3" t="n">
        <v>14575.84</v>
      </c>
      <c r="G6732" s="3" t="n">
        <v>135117.16</v>
      </c>
    </row>
    <row r="6733">
      <c r="A6733" s="3" t="inlineStr">
        <is>
          <t>Opportunity Global Sales (PTY) LTD</t>
        </is>
      </c>
      <c r="B6733" s="4" t="n">
        <v>44561</v>
      </c>
      <c r="C6733" s="3" t="inlineStr">
        <is>
          <t>Expenses</t>
        </is>
      </c>
      <c r="D6733" s="3" t="inlineStr">
        <is>
          <t>2000/125</t>
        </is>
      </c>
      <c r="E6733" s="3" t="inlineStr">
        <is>
          <t>Commission Paid - Referal commission</t>
        </is>
      </c>
      <c r="F6733" s="3" t="n">
        <v>0</v>
      </c>
      <c r="G6733" s="3" t="n">
        <v>5000</v>
      </c>
    </row>
    <row r="6734">
      <c r="A6734" s="3" t="inlineStr">
        <is>
          <t>Opportunity Global Investment (PTY) LTD</t>
        </is>
      </c>
      <c r="B6734" s="4" t="n">
        <v>44561</v>
      </c>
      <c r="C6734" s="3" t="inlineStr">
        <is>
          <t>Expenses</t>
        </is>
      </c>
      <c r="D6734" s="3" t="inlineStr">
        <is>
          <t>2000/125</t>
        </is>
      </c>
      <c r="E6734" s="3" t="inlineStr">
        <is>
          <t>Referral commission - Endulini</t>
        </is>
      </c>
      <c r="F6734" s="3" t="n">
        <v>0</v>
      </c>
      <c r="G6734" s="3" t="n">
        <v>133472.92</v>
      </c>
    </row>
    <row r="6735">
      <c r="A6735" s="3" t="inlineStr">
        <is>
          <t>Opportunity Global Investment (PTY) LTD</t>
        </is>
      </c>
      <c r="B6735" s="4" t="n">
        <v>44561</v>
      </c>
      <c r="C6735" s="3" t="inlineStr">
        <is>
          <t>Expenses</t>
        </is>
      </c>
      <c r="D6735" s="3" t="inlineStr">
        <is>
          <t>2000/130</t>
        </is>
      </c>
      <c r="E6735" s="3" t="inlineStr">
        <is>
          <t>Referral commission - Heron Fields</t>
        </is>
      </c>
      <c r="F6735" s="3" t="n">
        <v>0</v>
      </c>
      <c r="G6735" s="3" t="n">
        <v>332192.35</v>
      </c>
    </row>
    <row r="6736">
      <c r="A6736" s="3" t="inlineStr">
        <is>
          <t>Opportunity Global Sales (PTY) LTD</t>
        </is>
      </c>
      <c r="B6736" s="4" t="n">
        <v>44561</v>
      </c>
      <c r="C6736" s="3" t="inlineStr">
        <is>
          <t>Expenses</t>
        </is>
      </c>
      <c r="D6736" s="3" t="inlineStr">
        <is>
          <t>2000/131</t>
        </is>
      </c>
      <c r="E6736" s="3" t="inlineStr">
        <is>
          <t>COS - Sales Comm Endulini - Anthony</t>
        </is>
      </c>
      <c r="F6736" s="3" t="n">
        <v>26919.97</v>
      </c>
      <c r="G6736" s="3" t="n">
        <v>101544.62</v>
      </c>
    </row>
    <row r="6737">
      <c r="A6737" s="3" t="inlineStr">
        <is>
          <t>Opportunity Global Sales (PTY) LTD</t>
        </is>
      </c>
      <c r="B6737" s="4" t="n">
        <v>44561</v>
      </c>
      <c r="C6737" s="3" t="inlineStr">
        <is>
          <t>Expenses</t>
        </is>
      </c>
      <c r="D6737" s="3" t="inlineStr">
        <is>
          <t>2000/132</t>
        </is>
      </c>
      <c r="E6737" s="3" t="inlineStr">
        <is>
          <t>COS - Sales Comm Endulini - Minette</t>
        </is>
      </c>
      <c r="F6737" s="3" t="n">
        <v>0</v>
      </c>
      <c r="G6737" s="3" t="n">
        <v>79673.60000000001</v>
      </c>
    </row>
    <row r="6738">
      <c r="A6738" s="3" t="inlineStr">
        <is>
          <t>Opportunity Global Sales (PTY) LTD</t>
        </is>
      </c>
      <c r="B6738" s="4" t="n">
        <v>44561</v>
      </c>
      <c r="C6738" s="3" t="inlineStr">
        <is>
          <t>Expenses</t>
        </is>
      </c>
      <c r="D6738" s="3" t="inlineStr">
        <is>
          <t>2000/133</t>
        </is>
      </c>
      <c r="E6738" s="3" t="inlineStr">
        <is>
          <t>COS - Sales Comm Endulini - External Agents</t>
        </is>
      </c>
      <c r="F6738" s="3" t="n">
        <v>0</v>
      </c>
      <c r="G6738" s="3" t="n">
        <v>9966.629999999999</v>
      </c>
    </row>
    <row r="6739">
      <c r="A6739" s="3" t="inlineStr">
        <is>
          <t>Opportunity Global Sales (PTY) LTD</t>
        </is>
      </c>
      <c r="B6739" s="4" t="n">
        <v>44561</v>
      </c>
      <c r="C6739" s="3" t="inlineStr">
        <is>
          <t>Expenses</t>
        </is>
      </c>
      <c r="D6739" s="3" t="inlineStr">
        <is>
          <t>2000/134</t>
        </is>
      </c>
      <c r="E6739" s="3" t="inlineStr">
        <is>
          <t>COS - Sales Comm External - Other</t>
        </is>
      </c>
      <c r="F6739" s="3" t="n">
        <v>0</v>
      </c>
      <c r="G6739" s="3" t="n">
        <v>53906.25</v>
      </c>
    </row>
    <row r="6740">
      <c r="A6740" s="3" t="inlineStr">
        <is>
          <t>Opportunity Global Sales (PTY) LTD</t>
        </is>
      </c>
      <c r="B6740" s="4" t="n">
        <v>44561</v>
      </c>
      <c r="C6740" s="3" t="inlineStr">
        <is>
          <t>Expenses</t>
        </is>
      </c>
      <c r="D6740" s="3" t="inlineStr">
        <is>
          <t>2000/135</t>
        </is>
      </c>
      <c r="E6740" s="3" t="inlineStr">
        <is>
          <t>COS - Sales Comm External - Minette</t>
        </is>
      </c>
      <c r="F6740" s="3" t="n">
        <v>0</v>
      </c>
      <c r="G6740" s="3" t="n">
        <v>104768.64</v>
      </c>
    </row>
    <row r="6741">
      <c r="A6741" s="3" t="inlineStr">
        <is>
          <t>Opportunity Global Sales (PTY) LTD</t>
        </is>
      </c>
      <c r="B6741" s="4" t="n">
        <v>44561</v>
      </c>
      <c r="C6741" s="3" t="inlineStr">
        <is>
          <t>Expenses</t>
        </is>
      </c>
      <c r="D6741" s="3" t="inlineStr">
        <is>
          <t>2000/137</t>
        </is>
      </c>
      <c r="E6741" s="3" t="inlineStr">
        <is>
          <t>COS - Rental Comm External - Minette</t>
        </is>
      </c>
      <c r="F6741" s="3" t="n">
        <v>15911</v>
      </c>
      <c r="G6741" s="3" t="n">
        <v>101007.43</v>
      </c>
    </row>
    <row r="6742">
      <c r="A6742" s="3" t="inlineStr">
        <is>
          <t>Opportunity Global Sales (PTY) LTD</t>
        </is>
      </c>
      <c r="B6742" s="4" t="n">
        <v>44561</v>
      </c>
      <c r="C6742" s="3" t="inlineStr">
        <is>
          <t>Expenses</t>
        </is>
      </c>
      <c r="D6742" s="3" t="inlineStr">
        <is>
          <t>2000/139</t>
        </is>
      </c>
      <c r="E6742" s="3" t="inlineStr">
        <is>
          <t>COS - Sales Comm Heron Fields - Minette</t>
        </is>
      </c>
      <c r="F6742" s="3" t="n">
        <v>30516.11</v>
      </c>
      <c r="G6742" s="3" t="n">
        <v>30516.11</v>
      </c>
    </row>
    <row r="6743">
      <c r="A6743" s="3" t="inlineStr">
        <is>
          <t>Opportunity Global Sales (PTY) LTD</t>
        </is>
      </c>
      <c r="B6743" s="4" t="n">
        <v>44561</v>
      </c>
      <c r="C6743" s="3" t="inlineStr">
        <is>
          <t>Expenses</t>
        </is>
      </c>
      <c r="D6743" s="3" t="inlineStr">
        <is>
          <t>2000/150</t>
        </is>
      </c>
      <c r="E6743" s="3" t="inlineStr">
        <is>
          <t>COS - Commission Paid Southwark Project</t>
        </is>
      </c>
      <c r="F6743" s="3" t="n">
        <v>0</v>
      </c>
      <c r="G6743" s="3" t="n">
        <v>4320.43</v>
      </c>
    </row>
    <row r="6744">
      <c r="A6744" s="3" t="inlineStr">
        <is>
          <t>Trademark Holdings (Pty) Ltd</t>
        </is>
      </c>
      <c r="B6744" s="4" t="n">
        <v>44561</v>
      </c>
      <c r="C6744" s="3" t="inlineStr">
        <is>
          <t>Expenses</t>
        </is>
      </c>
      <c r="D6744" s="3" t="inlineStr">
        <is>
          <t>2000/300</t>
        </is>
      </c>
      <c r="E6744" s="3" t="inlineStr">
        <is>
          <t>COS - Commission Paid</t>
        </is>
      </c>
      <c r="F6744" s="3" t="n">
        <v>16649.56</v>
      </c>
      <c r="G6744" s="3" t="n">
        <v>120635.44</v>
      </c>
    </row>
    <row r="6745">
      <c r="A6745" s="3" t="inlineStr">
        <is>
          <t>Opportunity Global Sales (PTY) LTD</t>
        </is>
      </c>
      <c r="B6745" s="4" t="n">
        <v>44561</v>
      </c>
      <c r="C6745" s="3" t="inlineStr">
        <is>
          <t>Expenses</t>
        </is>
      </c>
      <c r="D6745" s="3" t="inlineStr">
        <is>
          <t>2000/700</t>
        </is>
      </c>
      <c r="E6745" s="3" t="inlineStr">
        <is>
          <t>Referral Fees - Projects</t>
        </is>
      </c>
      <c r="F6745" s="3" t="n">
        <v>0</v>
      </c>
      <c r="G6745" s="3" t="n">
        <v>10000</v>
      </c>
    </row>
    <row r="6746">
      <c r="A6746" s="3" t="inlineStr">
        <is>
          <t>Quinate Consulting (Pty) Ltd</t>
        </is>
      </c>
      <c r="B6746" s="4" t="n">
        <v>44561</v>
      </c>
      <c r="C6746" s="3" t="inlineStr">
        <is>
          <t>Expenses</t>
        </is>
      </c>
      <c r="D6746" s="3" t="inlineStr">
        <is>
          <t>2001/120</t>
        </is>
      </c>
      <c r="E6746" s="3" t="inlineStr">
        <is>
          <t>COS - Commission - South Wark</t>
        </is>
      </c>
      <c r="F6746" s="3" t="n">
        <v>0</v>
      </c>
      <c r="G6746" s="3" t="n">
        <v>78208.7</v>
      </c>
    </row>
    <row r="6747">
      <c r="A6747" s="3" t="inlineStr">
        <is>
          <t>Quinate Consulting (Pty) Ltd</t>
        </is>
      </c>
      <c r="B6747" s="4" t="n">
        <v>44561</v>
      </c>
      <c r="C6747" s="3" t="inlineStr">
        <is>
          <t>Expenses</t>
        </is>
      </c>
      <c r="D6747" s="3" t="inlineStr">
        <is>
          <t>2001/150</t>
        </is>
      </c>
      <c r="E6747" s="3" t="inlineStr">
        <is>
          <t>COS - Legal Fees - Bond</t>
        </is>
      </c>
      <c r="F6747" s="3" t="n">
        <v>0</v>
      </c>
      <c r="G6747" s="3" t="n">
        <v>19963</v>
      </c>
    </row>
    <row r="6748">
      <c r="A6748" s="3" t="inlineStr">
        <is>
          <t>Quinate Consulting (Pty) Ltd</t>
        </is>
      </c>
      <c r="B6748" s="4" t="n">
        <v>44561</v>
      </c>
      <c r="C6748" s="3" t="inlineStr">
        <is>
          <t>Expenses</t>
        </is>
      </c>
      <c r="D6748" s="3" t="inlineStr">
        <is>
          <t>2001/180</t>
        </is>
      </c>
      <c r="E6748" s="3" t="inlineStr">
        <is>
          <t>COS - Legal fees - Release fees</t>
        </is>
      </c>
      <c r="F6748" s="3" t="n">
        <v>0</v>
      </c>
      <c r="G6748" s="3" t="n">
        <v>2095</v>
      </c>
    </row>
    <row r="6749">
      <c r="A6749" s="3" t="inlineStr">
        <is>
          <t>Quinate Consulting (Pty) Ltd</t>
        </is>
      </c>
      <c r="B6749" s="4" t="n">
        <v>44561</v>
      </c>
      <c r="C6749" s="3" t="inlineStr">
        <is>
          <t>Expenses</t>
        </is>
      </c>
      <c r="D6749" s="3" t="inlineStr">
        <is>
          <t>2001/190</t>
        </is>
      </c>
      <c r="E6749" s="3" t="inlineStr">
        <is>
          <t>COS - Legal fees - Transfers</t>
        </is>
      </c>
      <c r="F6749" s="3" t="n">
        <v>0</v>
      </c>
      <c r="G6749" s="3" t="n">
        <v>20038</v>
      </c>
    </row>
    <row r="6750">
      <c r="A6750" s="3" t="inlineStr">
        <is>
          <t>Quinate Consulting (Pty) Ltd</t>
        </is>
      </c>
      <c r="B6750" s="4" t="n">
        <v>44561</v>
      </c>
      <c r="C6750" s="3" t="inlineStr">
        <is>
          <t>Expenses</t>
        </is>
      </c>
      <c r="D6750" s="3" t="inlineStr">
        <is>
          <t>2006/012</t>
        </is>
      </c>
      <c r="E6750" s="3" t="inlineStr">
        <is>
          <t>COS - Engineering Prof fees</t>
        </is>
      </c>
      <c r="F6750" s="3" t="n">
        <v>0</v>
      </c>
      <c r="G6750" s="3" t="n">
        <v>-39000</v>
      </c>
    </row>
    <row r="6751">
      <c r="A6751" s="3" t="inlineStr">
        <is>
          <t>Quinate Consulting (Pty) Ltd</t>
        </is>
      </c>
      <c r="B6751" s="4" t="n">
        <v>44561</v>
      </c>
      <c r="C6751" s="3" t="inlineStr">
        <is>
          <t>Expenses</t>
        </is>
      </c>
      <c r="D6751" s="3" t="inlineStr">
        <is>
          <t>2200/000</t>
        </is>
      </c>
      <c r="E6751" s="3" t="inlineStr">
        <is>
          <t>COS - C2M Certificate for transfer</t>
        </is>
      </c>
      <c r="F6751" s="3" t="n">
        <v>0</v>
      </c>
      <c r="G6751" s="3" t="n">
        <v>-2408.55</v>
      </c>
    </row>
    <row r="6752">
      <c r="A6752" s="3" t="inlineStr">
        <is>
          <t>Quinate Consulting (Pty) Ltd</t>
        </is>
      </c>
      <c r="B6752" s="4" t="n">
        <v>44561</v>
      </c>
      <c r="C6752" s="3" t="inlineStr">
        <is>
          <t>Revenue</t>
        </is>
      </c>
      <c r="D6752" s="3" t="inlineStr">
        <is>
          <t>2400/200</t>
        </is>
      </c>
      <c r="E6752" s="3" t="inlineStr">
        <is>
          <t>Recovery Acc - Electricity SH</t>
        </is>
      </c>
      <c r="F6752" s="3" t="n">
        <v>-19572.34</v>
      </c>
      <c r="G6752" s="3" t="n">
        <v>-200144.15</v>
      </c>
    </row>
    <row r="6753">
      <c r="A6753" s="3" t="inlineStr">
        <is>
          <t>Quinate Consulting (Pty) Ltd</t>
        </is>
      </c>
      <c r="B6753" s="4" t="n">
        <v>44561</v>
      </c>
      <c r="C6753" s="3" t="inlineStr">
        <is>
          <t>Revenue</t>
        </is>
      </c>
      <c r="D6753" s="3" t="inlineStr">
        <is>
          <t>2400/300</t>
        </is>
      </c>
      <c r="E6753" s="3" t="inlineStr">
        <is>
          <t>Recovery Account - Electricity SW</t>
        </is>
      </c>
      <c r="F6753" s="3" t="n">
        <v>-13866.42</v>
      </c>
      <c r="G6753" s="3" t="n">
        <v>-236632.85</v>
      </c>
    </row>
    <row r="6754">
      <c r="A6754" s="3" t="inlineStr">
        <is>
          <t>Quinate Consulting (Pty) Ltd</t>
        </is>
      </c>
      <c r="B6754" s="4" t="n">
        <v>44561</v>
      </c>
      <c r="C6754" s="3" t="inlineStr">
        <is>
          <t>Revenue</t>
        </is>
      </c>
      <c r="D6754" s="3" t="inlineStr">
        <is>
          <t>2400/400</t>
        </is>
      </c>
      <c r="E6754" s="3" t="inlineStr">
        <is>
          <t>Recovery - Heron Projects</t>
        </is>
      </c>
      <c r="F6754" s="3" t="n">
        <v>0</v>
      </c>
      <c r="G6754" s="3" t="n">
        <v>-265825</v>
      </c>
    </row>
    <row r="6755">
      <c r="A6755" s="3" t="inlineStr">
        <is>
          <t>Opportunity Global Investment (PTY) LTD</t>
        </is>
      </c>
      <c r="B6755" s="4" t="n">
        <v>44561</v>
      </c>
      <c r="C6755" s="3" t="inlineStr">
        <is>
          <t>Revenue</t>
        </is>
      </c>
      <c r="D6755" s="3" t="inlineStr">
        <is>
          <t>2700/000</t>
        </is>
      </c>
      <c r="E6755" s="3" t="inlineStr">
        <is>
          <t>Discount Received for Cash</t>
        </is>
      </c>
      <c r="F6755" s="3" t="n">
        <v>0</v>
      </c>
      <c r="G6755" s="3" t="n">
        <v>-0.34</v>
      </c>
    </row>
    <row r="6756">
      <c r="A6756" s="3" t="inlineStr">
        <is>
          <t>Opportunity Management Holdings (PTY) LTD</t>
        </is>
      </c>
      <c r="B6756" s="4" t="n">
        <v>44561</v>
      </c>
      <c r="C6756" s="3" t="inlineStr">
        <is>
          <t>Revenue</t>
        </is>
      </c>
      <c r="D6756" s="3" t="inlineStr">
        <is>
          <t>2750/000</t>
        </is>
      </c>
      <c r="E6756" s="3" t="inlineStr">
        <is>
          <t>Interest Received</t>
        </is>
      </c>
      <c r="F6756" s="3" t="n">
        <v>0</v>
      </c>
      <c r="G6756" s="3" t="n">
        <v>-0.21</v>
      </c>
    </row>
    <row r="6757">
      <c r="A6757" s="3" t="inlineStr">
        <is>
          <t>Opportunity Global Investment (PTY) LTD</t>
        </is>
      </c>
      <c r="B6757" s="4" t="n">
        <v>44561</v>
      </c>
      <c r="C6757" s="3" t="inlineStr">
        <is>
          <t>Revenue</t>
        </is>
      </c>
      <c r="D6757" s="3" t="inlineStr">
        <is>
          <t>2750/000</t>
        </is>
      </c>
      <c r="E6757" s="3" t="inlineStr">
        <is>
          <t>Interest Received - Bank</t>
        </is>
      </c>
      <c r="F6757" s="3" t="n">
        <v>0</v>
      </c>
      <c r="G6757" s="3" t="n">
        <v>-1959.31</v>
      </c>
    </row>
    <row r="6758">
      <c r="A6758" s="3" t="inlineStr">
        <is>
          <t>Quinate Consulting (Pty) Ltd</t>
        </is>
      </c>
      <c r="B6758" s="4" t="n">
        <v>44561</v>
      </c>
      <c r="C6758" s="3" t="inlineStr">
        <is>
          <t>Revenue</t>
        </is>
      </c>
      <c r="D6758" s="3" t="inlineStr">
        <is>
          <t>2751/000</t>
        </is>
      </c>
      <c r="E6758" s="3" t="inlineStr">
        <is>
          <t>Interest Received - Bank</t>
        </is>
      </c>
      <c r="F6758" s="3" t="n">
        <v>0</v>
      </c>
      <c r="G6758" s="3" t="n">
        <v>-250.81</v>
      </c>
    </row>
    <row r="6759">
      <c r="A6759" s="3" t="inlineStr">
        <is>
          <t>Opportunity Global Investment (PTY) LTD</t>
        </is>
      </c>
      <c r="B6759" s="4" t="n">
        <v>44561</v>
      </c>
      <c r="C6759" s="3" t="inlineStr">
        <is>
          <t>Revenue</t>
        </is>
      </c>
      <c r="D6759" s="3" t="inlineStr">
        <is>
          <t>2753/000</t>
        </is>
      </c>
      <c r="E6759" s="3" t="inlineStr">
        <is>
          <t>Interest received - Momentum</t>
        </is>
      </c>
      <c r="F6759" s="3" t="n">
        <v>-48.56</v>
      </c>
      <c r="G6759" s="3" t="n">
        <v>-3402.21</v>
      </c>
    </row>
    <row r="6760">
      <c r="A6760" s="3" t="inlineStr">
        <is>
          <t>Quinate Consulting (Pty) Ltd</t>
        </is>
      </c>
      <c r="B6760" s="4" t="n">
        <v>44561</v>
      </c>
      <c r="C6760" s="3" t="inlineStr">
        <is>
          <t>Revenue</t>
        </is>
      </c>
      <c r="D6760" s="3" t="inlineStr">
        <is>
          <t>2753/001</t>
        </is>
      </c>
      <c r="E6760" s="3" t="inlineStr">
        <is>
          <t>Interest Received - Deposit Grey Heron</t>
        </is>
      </c>
      <c r="F6760" s="3" t="n">
        <v>0</v>
      </c>
      <c r="G6760" s="3" t="n">
        <v>-14626.61</v>
      </c>
    </row>
    <row r="6761">
      <c r="A6761" s="3" t="inlineStr">
        <is>
          <t>Opportunity Global Investment (PTY) LTD</t>
        </is>
      </c>
      <c r="B6761" s="4" t="n">
        <v>44561</v>
      </c>
      <c r="C6761" s="3" t="inlineStr">
        <is>
          <t>Revenue</t>
        </is>
      </c>
      <c r="D6761" s="3" t="inlineStr">
        <is>
          <t>2754/000</t>
        </is>
      </c>
      <c r="E6761" s="3" t="inlineStr">
        <is>
          <t>Interest Received - SARS</t>
        </is>
      </c>
      <c r="F6761" s="3" t="n">
        <v>0</v>
      </c>
      <c r="G6761" s="3" t="n">
        <v>-38.78</v>
      </c>
    </row>
    <row r="6762">
      <c r="A6762" s="3" t="inlineStr">
        <is>
          <t>Endulini (Pty) Ltd</t>
        </is>
      </c>
      <c r="B6762" s="4" t="n">
        <v>44561</v>
      </c>
      <c r="C6762" s="3" t="inlineStr">
        <is>
          <t>Revenue</t>
        </is>
      </c>
      <c r="D6762" s="3" t="inlineStr">
        <is>
          <t>2755/001</t>
        </is>
      </c>
      <c r="E6762" s="3" t="inlineStr">
        <is>
          <t>Interest Received - Momentum</t>
        </is>
      </c>
      <c r="F6762" s="3" t="n">
        <v>0</v>
      </c>
      <c r="G6762" s="3" t="n">
        <v>-16986.88</v>
      </c>
    </row>
    <row r="6763">
      <c r="A6763" s="3" t="inlineStr">
        <is>
          <t>Quinate Consulting (Pty) Ltd</t>
        </is>
      </c>
      <c r="B6763" s="4" t="n">
        <v>44561</v>
      </c>
      <c r="C6763" s="3" t="inlineStr">
        <is>
          <t>Revenue</t>
        </is>
      </c>
      <c r="D6763" s="3" t="inlineStr">
        <is>
          <t>2910/001</t>
        </is>
      </c>
      <c r="E6763" s="3" t="inlineStr">
        <is>
          <t>Insurance Claims - Old Mutual</t>
        </is>
      </c>
      <c r="F6763" s="3" t="n">
        <v>0</v>
      </c>
      <c r="G6763" s="3" t="n">
        <v>-875</v>
      </c>
    </row>
    <row r="6764">
      <c r="A6764" s="3" t="inlineStr">
        <is>
          <t>Opportunity Global Investment (PTY) LTD</t>
        </is>
      </c>
      <c r="B6764" s="4" t="n">
        <v>44561</v>
      </c>
      <c r="C6764" s="3" t="inlineStr">
        <is>
          <t>Expenses</t>
        </is>
      </c>
      <c r="D6764" s="3" t="inlineStr">
        <is>
          <t>3000/110</t>
        </is>
      </c>
      <c r="E6764" s="3" t="inlineStr">
        <is>
          <t>Accounting Fees - Payroll</t>
        </is>
      </c>
      <c r="F6764" s="3" t="n">
        <v>0</v>
      </c>
      <c r="G6764" s="3" t="n">
        <v>3625</v>
      </c>
    </row>
    <row r="6765">
      <c r="A6765" s="3" t="inlineStr">
        <is>
          <t>Opportunity Global Investment (PTY) LTD</t>
        </is>
      </c>
      <c r="B6765" s="4" t="n">
        <v>44561</v>
      </c>
      <c r="C6765" s="3" t="inlineStr">
        <is>
          <t>Expenses</t>
        </is>
      </c>
      <c r="D6765" s="3" t="inlineStr">
        <is>
          <t>3000/111</t>
        </is>
      </c>
      <c r="E6765" s="3" t="inlineStr">
        <is>
          <t>Accounting Fees - Tax Department</t>
        </is>
      </c>
      <c r="F6765" s="3" t="n">
        <v>0</v>
      </c>
      <c r="G6765" s="3" t="n">
        <v>1300</v>
      </c>
    </row>
    <row r="6766">
      <c r="A6766" s="3" t="inlineStr">
        <is>
          <t>Opportunity Global Investment (PTY) LTD</t>
        </is>
      </c>
      <c r="B6766" s="4" t="n">
        <v>44561</v>
      </c>
      <c r="C6766" s="3" t="inlineStr">
        <is>
          <t>Expenses</t>
        </is>
      </c>
      <c r="D6766" s="3" t="inlineStr">
        <is>
          <t>3000/150</t>
        </is>
      </c>
      <c r="E6766" s="3" t="inlineStr">
        <is>
          <t>Accounting Fees - Audit</t>
        </is>
      </c>
      <c r="F6766" s="3" t="n">
        <v>0</v>
      </c>
      <c r="G6766" s="3" t="n">
        <v>10950</v>
      </c>
    </row>
    <row r="6767">
      <c r="A6767" s="3" t="inlineStr">
        <is>
          <t>Opportunity Global Investment (PTY) LTD</t>
        </is>
      </c>
      <c r="B6767" s="4" t="n">
        <v>44561</v>
      </c>
      <c r="C6767" s="3" t="inlineStr">
        <is>
          <t>Expenses</t>
        </is>
      </c>
      <c r="D6767" s="3" t="inlineStr">
        <is>
          <t>3000/200</t>
        </is>
      </c>
      <c r="E6767" s="3" t="inlineStr">
        <is>
          <t>Accounting Fees - General</t>
        </is>
      </c>
      <c r="F6767" s="3" t="n">
        <v>0</v>
      </c>
      <c r="G6767" s="3" t="n">
        <v>6442.83</v>
      </c>
    </row>
    <row r="6768">
      <c r="A6768" s="3" t="inlineStr">
        <is>
          <t>Noble Shield (Pty) Ltd ta Go Letting</t>
        </is>
      </c>
      <c r="B6768" s="4" t="n">
        <v>44561</v>
      </c>
      <c r="C6768" s="3" t="inlineStr">
        <is>
          <t>Expenses</t>
        </is>
      </c>
      <c r="D6768" s="3" t="inlineStr">
        <is>
          <t>3000/400</t>
        </is>
      </c>
      <c r="E6768" s="3" t="inlineStr">
        <is>
          <t>Accounting Fees - CipC</t>
        </is>
      </c>
      <c r="F6768" s="3" t="n">
        <v>0</v>
      </c>
      <c r="G6768" s="3" t="n">
        <v>100</v>
      </c>
    </row>
    <row r="6769">
      <c r="A6769" s="3" t="inlineStr">
        <is>
          <t>Quinate Consulting (Pty) Ltd</t>
        </is>
      </c>
      <c r="B6769" s="4" t="n">
        <v>44561</v>
      </c>
      <c r="C6769" s="3" t="inlineStr">
        <is>
          <t>Expenses</t>
        </is>
      </c>
      <c r="D6769" s="3" t="inlineStr">
        <is>
          <t>3001/000</t>
        </is>
      </c>
      <c r="E6769" s="3" t="inlineStr">
        <is>
          <t>Accounting fees - Other</t>
        </is>
      </c>
      <c r="F6769" s="3" t="n">
        <v>0</v>
      </c>
      <c r="G6769" s="3" t="n">
        <v>2215</v>
      </c>
    </row>
    <row r="6770">
      <c r="A6770" s="3" t="inlineStr">
        <is>
          <t>Quinate Consulting (Pty) Ltd</t>
        </is>
      </c>
      <c r="B6770" s="4" t="n">
        <v>44561</v>
      </c>
      <c r="C6770" s="3" t="inlineStr">
        <is>
          <t>Expenses</t>
        </is>
      </c>
      <c r="D6770" s="3" t="inlineStr">
        <is>
          <t>3002/000</t>
        </is>
      </c>
      <c r="E6770" s="3" t="inlineStr">
        <is>
          <t>Accounting Fees - Tax Dept.</t>
        </is>
      </c>
      <c r="F6770" s="3" t="n">
        <v>0</v>
      </c>
      <c r="G6770" s="3" t="n">
        <v>1397.5</v>
      </c>
    </row>
    <row r="6771">
      <c r="A6771" s="3" t="inlineStr">
        <is>
          <t>Quinate Consulting (Pty) Ltd</t>
        </is>
      </c>
      <c r="B6771" s="4" t="n">
        <v>44561</v>
      </c>
      <c r="C6771" s="3" t="inlineStr">
        <is>
          <t>Expenses</t>
        </is>
      </c>
      <c r="D6771" s="3" t="inlineStr">
        <is>
          <t>3003/000</t>
        </is>
      </c>
      <c r="E6771" s="3" t="inlineStr">
        <is>
          <t>Accounting fees - Warwick</t>
        </is>
      </c>
      <c r="F6771" s="3" t="n">
        <v>0</v>
      </c>
      <c r="G6771" s="3" t="n">
        <v>54000</v>
      </c>
    </row>
    <row r="6772">
      <c r="A6772" s="3" t="inlineStr">
        <is>
          <t>Quinate Consulting (Pty) Ltd</t>
        </is>
      </c>
      <c r="B6772" s="4" t="n">
        <v>44561</v>
      </c>
      <c r="C6772" s="3" t="inlineStr">
        <is>
          <t>Expenses</t>
        </is>
      </c>
      <c r="D6772" s="3" t="inlineStr">
        <is>
          <t>3004/000</t>
        </is>
      </c>
      <c r="E6772" s="3" t="inlineStr">
        <is>
          <t>Accounting fees - J Theart</t>
        </is>
      </c>
      <c r="F6772" s="3" t="n">
        <v>0</v>
      </c>
      <c r="G6772" s="3" t="n">
        <v>45000</v>
      </c>
    </row>
    <row r="6773">
      <c r="A6773" s="3" t="inlineStr">
        <is>
          <t>Opportunity Management Holdings (PTY) LTD</t>
        </is>
      </c>
      <c r="B6773" s="4" t="n">
        <v>44561</v>
      </c>
      <c r="C6773" s="3" t="inlineStr">
        <is>
          <t>Expenses</t>
        </is>
      </c>
      <c r="D6773" s="3" t="inlineStr">
        <is>
          <t>3004/000</t>
        </is>
      </c>
      <c r="E6773" s="3" t="inlineStr">
        <is>
          <t>Accounting fees - Janine Theart</t>
        </is>
      </c>
      <c r="F6773" s="3" t="n">
        <v>16250</v>
      </c>
      <c r="G6773" s="3" t="n">
        <v>48750</v>
      </c>
    </row>
    <row r="6774">
      <c r="A6774" s="3" t="inlineStr">
        <is>
          <t>Quinate Consulting (Pty) Ltd</t>
        </is>
      </c>
      <c r="B6774" s="4" t="n">
        <v>44561</v>
      </c>
      <c r="C6774" s="3" t="inlineStr">
        <is>
          <t>Expenses</t>
        </is>
      </c>
      <c r="D6774" s="3" t="inlineStr">
        <is>
          <t>3005/000</t>
        </is>
      </c>
      <c r="E6774" s="3" t="inlineStr">
        <is>
          <t>Accounting fees - Audit</t>
        </is>
      </c>
      <c r="F6774" s="3" t="n">
        <v>2500</v>
      </c>
      <c r="G6774" s="3" t="n">
        <v>41000</v>
      </c>
    </row>
    <row r="6775">
      <c r="A6775" s="3" t="inlineStr">
        <is>
          <t>Opportunity Management Holdings (PTY) LTD</t>
        </is>
      </c>
      <c r="B6775" s="4" t="n">
        <v>44561</v>
      </c>
      <c r="C6775" s="3" t="inlineStr">
        <is>
          <t>Expenses</t>
        </is>
      </c>
      <c r="D6775" s="3" t="inlineStr">
        <is>
          <t>3005/000</t>
        </is>
      </c>
      <c r="E6775" s="3" t="inlineStr">
        <is>
          <t>Accounting fees - Deric Dudley</t>
        </is>
      </c>
      <c r="F6775" s="3" t="n">
        <v>44000</v>
      </c>
      <c r="G6775" s="3" t="n">
        <v>132000</v>
      </c>
    </row>
    <row r="6776">
      <c r="A6776" s="3" t="inlineStr">
        <is>
          <t>Opportunity Management Holdings (PTY) LTD</t>
        </is>
      </c>
      <c r="B6776" s="4" t="n">
        <v>44561</v>
      </c>
      <c r="C6776" s="3" t="inlineStr">
        <is>
          <t>Expenses</t>
        </is>
      </c>
      <c r="D6776" s="3" t="inlineStr">
        <is>
          <t>3006/000</t>
        </is>
      </c>
      <c r="E6776" s="3" t="inlineStr">
        <is>
          <t>Accounting fees - CIPC</t>
        </is>
      </c>
      <c r="F6776" s="3" t="n">
        <v>100</v>
      </c>
      <c r="G6776" s="3" t="n">
        <v>350</v>
      </c>
    </row>
    <row r="6777">
      <c r="A6777" s="3" t="inlineStr">
        <is>
          <t>Opportunity Management Holdings (PTY) LTD</t>
        </is>
      </c>
      <c r="B6777" s="4" t="n">
        <v>44561</v>
      </c>
      <c r="C6777" s="3" t="inlineStr">
        <is>
          <t>Expenses</t>
        </is>
      </c>
      <c r="D6777" s="3" t="inlineStr">
        <is>
          <t>3007/000</t>
        </is>
      </c>
      <c r="E6777" s="3" t="inlineStr">
        <is>
          <t>Accounting fees - Warwick</t>
        </is>
      </c>
      <c r="F6777" s="3" t="n">
        <v>34500</v>
      </c>
      <c r="G6777" s="3" t="n">
        <v>103500</v>
      </c>
    </row>
    <row r="6778">
      <c r="A6778" s="3" t="inlineStr">
        <is>
          <t>Noble Shield (Pty) Ltd ta Go Letting</t>
        </is>
      </c>
      <c r="B6778" s="4" t="n">
        <v>44561</v>
      </c>
      <c r="C6778" s="3" t="inlineStr">
        <is>
          <t>Expenses</t>
        </is>
      </c>
      <c r="D6778" s="3" t="inlineStr">
        <is>
          <t>3050/000</t>
        </is>
      </c>
      <c r="E6778" s="3" t="inlineStr">
        <is>
          <t>Advertising _AND_ Promotions</t>
        </is>
      </c>
      <c r="F6778" s="3" t="n">
        <v>0</v>
      </c>
      <c r="G6778" s="3" t="n">
        <v>3862.5</v>
      </c>
    </row>
    <row r="6779">
      <c r="A6779" s="3" t="inlineStr">
        <is>
          <t>Opportunity Global Investment (PTY) LTD</t>
        </is>
      </c>
      <c r="B6779" s="4" t="n">
        <v>44561</v>
      </c>
      <c r="C6779" s="3" t="inlineStr">
        <is>
          <t>Expenses</t>
        </is>
      </c>
      <c r="D6779" s="3" t="inlineStr">
        <is>
          <t>3050/000</t>
        </is>
      </c>
      <c r="E6779" s="3" t="inlineStr">
        <is>
          <t>Advertising and Promotions</t>
        </is>
      </c>
      <c r="F6779" s="3" t="n">
        <v>65305</v>
      </c>
      <c r="G6779" s="3" t="n">
        <v>878711.5600000001</v>
      </c>
    </row>
    <row r="6780">
      <c r="A6780" s="3" t="inlineStr">
        <is>
          <t>Opportunity Global Sales (PTY) LTD</t>
        </is>
      </c>
      <c r="B6780" s="4" t="n">
        <v>44561</v>
      </c>
      <c r="C6780" s="3" t="inlineStr">
        <is>
          <t>Expenses</t>
        </is>
      </c>
      <c r="D6780" s="3" t="inlineStr">
        <is>
          <t>3050/000</t>
        </is>
      </c>
      <c r="E6780" s="3" t="inlineStr">
        <is>
          <t>Advertising and Promotions</t>
        </is>
      </c>
      <c r="F6780" s="3" t="n">
        <v>0</v>
      </c>
      <c r="G6780" s="3" t="n">
        <v>9877</v>
      </c>
    </row>
    <row r="6781">
      <c r="A6781" s="3" t="inlineStr">
        <is>
          <t>Endulini (Pty) Ltd</t>
        </is>
      </c>
      <c r="B6781" s="4" t="n">
        <v>44561</v>
      </c>
      <c r="C6781" s="3" t="inlineStr">
        <is>
          <t>Expenses</t>
        </is>
      </c>
      <c r="D6781" s="3" t="inlineStr">
        <is>
          <t>3050/001</t>
        </is>
      </c>
      <c r="E6781" s="3" t="inlineStr">
        <is>
          <t>Advertising _AND_ Promotions - Media Agenda</t>
        </is>
      </c>
      <c r="F6781" s="3" t="n">
        <v>0</v>
      </c>
      <c r="G6781" s="3" t="n">
        <v>11707.5</v>
      </c>
    </row>
    <row r="6782">
      <c r="A6782" s="3" t="inlineStr">
        <is>
          <t>Endulini (Pty) Ltd</t>
        </is>
      </c>
      <c r="B6782" s="4" t="n">
        <v>44561</v>
      </c>
      <c r="C6782" s="3" t="inlineStr">
        <is>
          <t>Expenses</t>
        </is>
      </c>
      <c r="D6782" s="3" t="inlineStr">
        <is>
          <t>3050/002</t>
        </is>
      </c>
      <c r="E6782" s="3" t="inlineStr">
        <is>
          <t>Advertising - Other</t>
        </is>
      </c>
      <c r="F6782" s="3" t="n">
        <v>3750</v>
      </c>
      <c r="G6782" s="3" t="n">
        <v>37478.8</v>
      </c>
    </row>
    <row r="6783">
      <c r="A6783" s="3" t="inlineStr">
        <is>
          <t>Noble Shield (Pty) Ltd ta Go Letting</t>
        </is>
      </c>
      <c r="B6783" s="4" t="n">
        <v>44561</v>
      </c>
      <c r="C6783" s="3" t="inlineStr">
        <is>
          <t>Expenses</t>
        </is>
      </c>
      <c r="D6783" s="3" t="inlineStr">
        <is>
          <t>3050/050</t>
        </is>
      </c>
      <c r="E6783" s="3" t="inlineStr">
        <is>
          <t>Advertising - Prop 24</t>
        </is>
      </c>
      <c r="F6783" s="3" t="n">
        <v>2601.3</v>
      </c>
      <c r="G6783" s="3" t="n">
        <v>9236.799999999999</v>
      </c>
    </row>
    <row r="6784">
      <c r="A6784" s="3" t="inlineStr">
        <is>
          <t>Trademark Holdings (Pty) Ltd</t>
        </is>
      </c>
      <c r="B6784" s="4" t="n">
        <v>44561</v>
      </c>
      <c r="C6784" s="3" t="inlineStr">
        <is>
          <t>Expenses</t>
        </is>
      </c>
      <c r="D6784" s="3" t="inlineStr">
        <is>
          <t>3050/060</t>
        </is>
      </c>
      <c r="E6784" s="3" t="inlineStr">
        <is>
          <t>Advertising - Other</t>
        </is>
      </c>
      <c r="F6784" s="3" t="n">
        <v>0</v>
      </c>
      <c r="G6784" s="3" t="n">
        <v>7595.75</v>
      </c>
    </row>
    <row r="6785">
      <c r="A6785" s="3" t="inlineStr">
        <is>
          <t>Noble Shield (Pty) Ltd ta Go Letting</t>
        </is>
      </c>
      <c r="B6785" s="4" t="n">
        <v>44561</v>
      </c>
      <c r="C6785" s="3" t="inlineStr">
        <is>
          <t>Expenses</t>
        </is>
      </c>
      <c r="D6785" s="3" t="inlineStr">
        <is>
          <t>3050/070</t>
        </is>
      </c>
      <c r="E6785" s="3" t="inlineStr">
        <is>
          <t>Advertising - Facebook</t>
        </is>
      </c>
      <c r="F6785" s="3" t="n">
        <v>1583.61</v>
      </c>
      <c r="G6785" s="3" t="n">
        <v>3317.35</v>
      </c>
    </row>
    <row r="6786">
      <c r="A6786" s="3" t="inlineStr">
        <is>
          <t>Opportunity Global Sales (PTY) LTD</t>
        </is>
      </c>
      <c r="B6786" s="4" t="n">
        <v>44561</v>
      </c>
      <c r="C6786" s="3" t="inlineStr">
        <is>
          <t>Expenses</t>
        </is>
      </c>
      <c r="D6786" s="3" t="inlineStr">
        <is>
          <t>3050/100</t>
        </is>
      </c>
      <c r="E6786" s="3" t="inlineStr">
        <is>
          <t>Advertising - Facebook</t>
        </is>
      </c>
      <c r="F6786" s="3" t="n">
        <v>3314.95</v>
      </c>
      <c r="G6786" s="3" t="n">
        <v>12453.93</v>
      </c>
    </row>
    <row r="6787">
      <c r="A6787" s="3" t="inlineStr">
        <is>
          <t>Opportunity Global Sales (PTY) LTD</t>
        </is>
      </c>
      <c r="B6787" s="4" t="n">
        <v>44561</v>
      </c>
      <c r="C6787" s="3" t="inlineStr">
        <is>
          <t>Expenses</t>
        </is>
      </c>
      <c r="D6787" s="3" t="inlineStr">
        <is>
          <t>3050/140</t>
        </is>
      </c>
      <c r="E6787" s="3" t="inlineStr">
        <is>
          <t>Advertising - Media Agenda</t>
        </is>
      </c>
      <c r="F6787" s="3" t="n">
        <v>0</v>
      </c>
      <c r="G6787" s="3" t="n">
        <v>1142.5</v>
      </c>
    </row>
    <row r="6788">
      <c r="A6788" s="3" t="inlineStr">
        <is>
          <t>Opportunity Global Sales (PTY) LTD</t>
        </is>
      </c>
      <c r="B6788" s="4" t="n">
        <v>44561</v>
      </c>
      <c r="C6788" s="3" t="inlineStr">
        <is>
          <t>Expenses</t>
        </is>
      </c>
      <c r="D6788" s="3" t="inlineStr">
        <is>
          <t>3050/250</t>
        </is>
      </c>
      <c r="E6788" s="3" t="inlineStr">
        <is>
          <t>Advertising - General</t>
        </is>
      </c>
      <c r="F6788" s="3" t="n">
        <v>1800</v>
      </c>
      <c r="G6788" s="3" t="n">
        <v>17910.63</v>
      </c>
    </row>
    <row r="6789">
      <c r="A6789" s="3" t="inlineStr">
        <is>
          <t>Opportunity Global Sales (PTY) LTD</t>
        </is>
      </c>
      <c r="B6789" s="4" t="n">
        <v>44561</v>
      </c>
      <c r="C6789" s="3" t="inlineStr">
        <is>
          <t>Expenses</t>
        </is>
      </c>
      <c r="D6789" s="3" t="inlineStr">
        <is>
          <t>3050/300</t>
        </is>
      </c>
      <c r="E6789" s="3" t="inlineStr">
        <is>
          <t>Repairs and Maintenance - Endulini Sales Office</t>
        </is>
      </c>
      <c r="F6789" s="3" t="n">
        <v>0</v>
      </c>
      <c r="G6789" s="3" t="n">
        <v>791.1799999999999</v>
      </c>
    </row>
    <row r="6790">
      <c r="A6790" s="3" t="inlineStr">
        <is>
          <t>Quinate Consulting (Pty) Ltd</t>
        </is>
      </c>
      <c r="B6790" s="4" t="n">
        <v>44561</v>
      </c>
      <c r="C6790" s="3" t="inlineStr">
        <is>
          <t>Expenses</t>
        </is>
      </c>
      <c r="D6790" s="3" t="inlineStr">
        <is>
          <t>3050/400</t>
        </is>
      </c>
      <c r="E6790" s="3" t="inlineStr">
        <is>
          <t>Advertising - Prop24</t>
        </is>
      </c>
      <c r="F6790" s="3" t="n">
        <v>13669</v>
      </c>
      <c r="G6790" s="3" t="n">
        <v>130905</v>
      </c>
    </row>
    <row r="6791">
      <c r="A6791" s="3" t="inlineStr">
        <is>
          <t>Opportunity Global Sales (PTY) LTD</t>
        </is>
      </c>
      <c r="B6791" s="4" t="n">
        <v>44561</v>
      </c>
      <c r="C6791" s="3" t="inlineStr">
        <is>
          <t>Expenses</t>
        </is>
      </c>
      <c r="D6791" s="3" t="inlineStr">
        <is>
          <t>3050/400</t>
        </is>
      </c>
      <c r="E6791" s="3" t="inlineStr">
        <is>
          <t>Repairs &amp; Maintenance Heron sales office</t>
        </is>
      </c>
      <c r="F6791" s="3" t="n">
        <v>0</v>
      </c>
      <c r="G6791" s="3" t="n">
        <v>1330.45</v>
      </c>
    </row>
    <row r="6792">
      <c r="A6792" s="3" t="inlineStr">
        <is>
          <t>Quinate Consulting (Pty) Ltd</t>
        </is>
      </c>
      <c r="B6792" s="4" t="n">
        <v>44561</v>
      </c>
      <c r="C6792" s="3" t="inlineStr">
        <is>
          <t>Expenses</t>
        </is>
      </c>
      <c r="D6792" s="3" t="inlineStr">
        <is>
          <t>3050/450</t>
        </is>
      </c>
      <c r="E6792" s="3" t="inlineStr">
        <is>
          <t>Advertising - Facebook</t>
        </is>
      </c>
      <c r="F6792" s="3" t="n">
        <v>2849.58</v>
      </c>
      <c r="G6792" s="3" t="n">
        <v>55599.75</v>
      </c>
    </row>
    <row r="6793">
      <c r="A6793" s="3" t="inlineStr">
        <is>
          <t>Quinate Consulting (Pty) Ltd</t>
        </is>
      </c>
      <c r="B6793" s="4" t="n">
        <v>44561</v>
      </c>
      <c r="C6793" s="3" t="inlineStr">
        <is>
          <t>Expenses</t>
        </is>
      </c>
      <c r="D6793" s="3" t="inlineStr">
        <is>
          <t>3050/500</t>
        </is>
      </c>
      <c r="E6793" s="3" t="inlineStr">
        <is>
          <t>Advertising _AND_ Promotions - other South W</t>
        </is>
      </c>
      <c r="F6793" s="3" t="n">
        <v>0</v>
      </c>
      <c r="G6793" s="3" t="n">
        <v>9061.6</v>
      </c>
    </row>
    <row r="6794">
      <c r="A6794" s="3" t="inlineStr">
        <is>
          <t>Quinate Consulting (Pty) Ltd</t>
        </is>
      </c>
      <c r="B6794" s="4" t="n">
        <v>44561</v>
      </c>
      <c r="C6794" s="3" t="inlineStr">
        <is>
          <t>Expenses</t>
        </is>
      </c>
      <c r="D6794" s="3" t="inlineStr">
        <is>
          <t>3050/560</t>
        </is>
      </c>
      <c r="E6794" s="3" t="inlineStr">
        <is>
          <t>Advertising - SwiftShutter</t>
        </is>
      </c>
      <c r="F6794" s="3" t="n">
        <v>0</v>
      </c>
      <c r="G6794" s="3" t="n">
        <v>13184.73</v>
      </c>
    </row>
    <row r="6795">
      <c r="A6795" s="3" t="inlineStr">
        <is>
          <t>Quinate Consulting (Pty) Ltd</t>
        </is>
      </c>
      <c r="B6795" s="4" t="n">
        <v>44561</v>
      </c>
      <c r="C6795" s="3" t="inlineStr">
        <is>
          <t>Expenses</t>
        </is>
      </c>
      <c r="D6795" s="3" t="inlineStr">
        <is>
          <t>3050/600</t>
        </is>
      </c>
      <c r="E6795" s="3" t="inlineStr">
        <is>
          <t>Advertising _AND_ Promotions - Other</t>
        </is>
      </c>
      <c r="F6795" s="3" t="n">
        <v>0</v>
      </c>
      <c r="G6795" s="3" t="n">
        <v>2139.25</v>
      </c>
    </row>
    <row r="6796">
      <c r="A6796" s="3" t="inlineStr">
        <is>
          <t>Quinate Consulting (Pty) Ltd</t>
        </is>
      </c>
      <c r="B6796" s="4" t="n">
        <v>44561</v>
      </c>
      <c r="C6796" s="3" t="inlineStr">
        <is>
          <t>Expenses</t>
        </is>
      </c>
      <c r="D6796" s="3" t="inlineStr">
        <is>
          <t>3050/650</t>
        </is>
      </c>
      <c r="E6796" s="3" t="inlineStr">
        <is>
          <t>Advertising _AND_ Promotions - Google</t>
        </is>
      </c>
      <c r="F6796" s="3" t="n">
        <v>0</v>
      </c>
      <c r="G6796" s="3" t="n">
        <v>330.03</v>
      </c>
    </row>
    <row r="6797">
      <c r="A6797" s="3" t="inlineStr">
        <is>
          <t>Opportunity Global Investment (PTY) LTD</t>
        </is>
      </c>
      <c r="B6797" s="4" t="n">
        <v>44561</v>
      </c>
      <c r="C6797" s="3" t="inlineStr">
        <is>
          <t>Expenses</t>
        </is>
      </c>
      <c r="D6797" s="3" t="inlineStr">
        <is>
          <t>3051/000</t>
        </is>
      </c>
      <c r="E6797" s="3" t="inlineStr">
        <is>
          <t>Advertising - Facebook</t>
        </is>
      </c>
      <c r="F6797" s="3" t="n">
        <v>16513.72</v>
      </c>
      <c r="G6797" s="3" t="n">
        <v>102681.07</v>
      </c>
    </row>
    <row r="6798">
      <c r="A6798" s="3" t="inlineStr">
        <is>
          <t>Opportunity Global Investment (PTY) LTD</t>
        </is>
      </c>
      <c r="B6798" s="4" t="n">
        <v>44561</v>
      </c>
      <c r="C6798" s="3" t="inlineStr">
        <is>
          <t>Expenses</t>
        </is>
      </c>
      <c r="D6798" s="3" t="inlineStr">
        <is>
          <t>3053/000</t>
        </is>
      </c>
      <c r="E6798" s="3" t="inlineStr">
        <is>
          <t>Advertising - Google Ads</t>
        </is>
      </c>
      <c r="F6798" s="3" t="n">
        <v>841.9400000000001</v>
      </c>
      <c r="G6798" s="3" t="n">
        <v>3941.45</v>
      </c>
    </row>
    <row r="6799">
      <c r="A6799" s="3" t="inlineStr">
        <is>
          <t>Opportunity Global Investment (PTY) LTD</t>
        </is>
      </c>
      <c r="B6799" s="4" t="n">
        <v>44561</v>
      </c>
      <c r="C6799" s="3" t="inlineStr">
        <is>
          <t>Expenses</t>
        </is>
      </c>
      <c r="D6799" s="3" t="inlineStr">
        <is>
          <t>3061/001</t>
        </is>
      </c>
      <c r="E6799" s="3" t="inlineStr">
        <is>
          <t>Admin cost - Payprop</t>
        </is>
      </c>
      <c r="F6799" s="3" t="n">
        <v>0</v>
      </c>
      <c r="G6799" s="3" t="n">
        <v>1565.22</v>
      </c>
    </row>
    <row r="6800">
      <c r="A6800" s="3" t="inlineStr">
        <is>
          <t>Endulini (Pty) Ltd</t>
        </is>
      </c>
      <c r="B6800" s="4" t="n">
        <v>44561</v>
      </c>
      <c r="C6800" s="3" t="inlineStr">
        <is>
          <t>Expenses</t>
        </is>
      </c>
      <c r="D6800" s="3" t="inlineStr">
        <is>
          <t>3200/000</t>
        </is>
      </c>
      <c r="E6800" s="3" t="inlineStr">
        <is>
          <t>Bank Charges</t>
        </is>
      </c>
      <c r="F6800" s="3" t="n">
        <v>448.44</v>
      </c>
      <c r="G6800" s="3" t="n">
        <v>1711.68</v>
      </c>
    </row>
    <row r="6801">
      <c r="A6801" s="3" t="inlineStr">
        <is>
          <t>Noble Shield (Pty) Ltd ta Go Letting</t>
        </is>
      </c>
      <c r="B6801" s="4" t="n">
        <v>44561</v>
      </c>
      <c r="C6801" s="3" t="inlineStr">
        <is>
          <t>Expenses</t>
        </is>
      </c>
      <c r="D6801" s="3" t="inlineStr">
        <is>
          <t>3200/000</t>
        </is>
      </c>
      <c r="E6801" s="3" t="inlineStr">
        <is>
          <t>Bank Charges</t>
        </is>
      </c>
      <c r="F6801" s="3" t="n">
        <v>1118.06</v>
      </c>
      <c r="G6801" s="3" t="n">
        <v>4236.86</v>
      </c>
    </row>
    <row r="6802">
      <c r="A6802" s="3" t="inlineStr">
        <is>
          <t>Opportunity Global Investment (PTY) LTD</t>
        </is>
      </c>
      <c r="B6802" s="4" t="n">
        <v>44561</v>
      </c>
      <c r="C6802" s="3" t="inlineStr">
        <is>
          <t>Expenses</t>
        </is>
      </c>
      <c r="D6802" s="3" t="inlineStr">
        <is>
          <t>3200/000</t>
        </is>
      </c>
      <c r="E6802" s="3" t="inlineStr">
        <is>
          <t>Bank Charges</t>
        </is>
      </c>
      <c r="F6802" s="3" t="n">
        <v>1081.77</v>
      </c>
      <c r="G6802" s="3" t="n">
        <v>7271.36</v>
      </c>
    </row>
    <row r="6803">
      <c r="A6803" s="3" t="inlineStr">
        <is>
          <t>Opportunity Global Sales (PTY) LTD</t>
        </is>
      </c>
      <c r="B6803" s="4" t="n">
        <v>44561</v>
      </c>
      <c r="C6803" s="3" t="inlineStr">
        <is>
          <t>Expenses</t>
        </is>
      </c>
      <c r="D6803" s="3" t="inlineStr">
        <is>
          <t>3200/000</t>
        </is>
      </c>
      <c r="E6803" s="3" t="inlineStr">
        <is>
          <t>Bank Charges</t>
        </is>
      </c>
      <c r="F6803" s="3" t="n">
        <v>576.83</v>
      </c>
      <c r="G6803" s="3" t="n">
        <v>5054.92</v>
      </c>
    </row>
    <row r="6804">
      <c r="A6804" s="3" t="inlineStr">
        <is>
          <t>Opportunity Management Holdings (PTY) LTD</t>
        </is>
      </c>
      <c r="B6804" s="4" t="n">
        <v>44561</v>
      </c>
      <c r="C6804" s="3" t="inlineStr">
        <is>
          <t>Expenses</t>
        </is>
      </c>
      <c r="D6804" s="3" t="inlineStr">
        <is>
          <t>3200/000</t>
        </is>
      </c>
      <c r="E6804" s="3" t="inlineStr">
        <is>
          <t>Bank Charges</t>
        </is>
      </c>
      <c r="F6804" s="3" t="n">
        <v>1064.06</v>
      </c>
      <c r="G6804" s="3" t="n">
        <v>3960.86</v>
      </c>
    </row>
    <row r="6805">
      <c r="A6805" s="3" t="inlineStr">
        <is>
          <t>Quinate Consulting (Pty) Ltd</t>
        </is>
      </c>
      <c r="B6805" s="4" t="n">
        <v>44561</v>
      </c>
      <c r="C6805" s="3" t="inlineStr">
        <is>
          <t>Expenses</t>
        </is>
      </c>
      <c r="D6805" s="3" t="inlineStr">
        <is>
          <t>3200/000</t>
        </is>
      </c>
      <c r="E6805" s="3" t="inlineStr">
        <is>
          <t>Bank Charges</t>
        </is>
      </c>
      <c r="F6805" s="3" t="n">
        <v>1626.24</v>
      </c>
      <c r="G6805" s="3" t="n">
        <v>15293.88</v>
      </c>
    </row>
    <row r="6806">
      <c r="A6806" s="3" t="inlineStr">
        <is>
          <t>Trademark Holdings (Pty) Ltd</t>
        </is>
      </c>
      <c r="B6806" s="4" t="n">
        <v>44561</v>
      </c>
      <c r="C6806" s="3" t="inlineStr">
        <is>
          <t>Expenses</t>
        </is>
      </c>
      <c r="D6806" s="3" t="inlineStr">
        <is>
          <t>3200/000</t>
        </is>
      </c>
      <c r="E6806" s="3" t="inlineStr">
        <is>
          <t>Bank Charges</t>
        </is>
      </c>
      <c r="F6806" s="3" t="n">
        <v>527.55</v>
      </c>
      <c r="G6806" s="3" t="n">
        <v>2588</v>
      </c>
    </row>
    <row r="6807">
      <c r="A6807" s="3" t="inlineStr">
        <is>
          <t>Quinate Consulting (Pty) Ltd</t>
        </is>
      </c>
      <c r="B6807" s="4" t="n">
        <v>44561</v>
      </c>
      <c r="C6807" s="3" t="inlineStr">
        <is>
          <t>Expenses</t>
        </is>
      </c>
      <c r="D6807" s="3" t="inlineStr">
        <is>
          <t>3220/000</t>
        </is>
      </c>
      <c r="E6807" s="3" t="inlineStr">
        <is>
          <t>Bank Charges - Bond Fees</t>
        </is>
      </c>
      <c r="F6807" s="3" t="n">
        <v>73.91</v>
      </c>
      <c r="G6807" s="3" t="n">
        <v>7521.21</v>
      </c>
    </row>
    <row r="6808">
      <c r="A6808" s="3" t="inlineStr">
        <is>
          <t>Noble Shield (Pty) Ltd ta Go Letting</t>
        </is>
      </c>
      <c r="B6808" s="4" t="n">
        <v>44561</v>
      </c>
      <c r="C6808" s="3" t="inlineStr">
        <is>
          <t>Expenses</t>
        </is>
      </c>
      <c r="D6808" s="3" t="inlineStr">
        <is>
          <t>3230/000</t>
        </is>
      </c>
      <c r="E6808" s="3" t="inlineStr">
        <is>
          <t>Cell Phone - NM</t>
        </is>
      </c>
      <c r="F6808" s="3" t="n">
        <v>2223.84</v>
      </c>
      <c r="G6808" s="3" t="n">
        <v>9103.17</v>
      </c>
    </row>
    <row r="6809">
      <c r="A6809" s="3" t="inlineStr">
        <is>
          <t>Noble Shield (Pty) Ltd ta Go Letting</t>
        </is>
      </c>
      <c r="B6809" s="4" t="n">
        <v>44561</v>
      </c>
      <c r="C6809" s="3" t="inlineStr">
        <is>
          <t>Expenses</t>
        </is>
      </c>
      <c r="D6809" s="3" t="inlineStr">
        <is>
          <t>3233/000</t>
        </is>
      </c>
      <c r="E6809" s="3" t="inlineStr">
        <is>
          <t>Cell Data - Other</t>
        </is>
      </c>
      <c r="F6809" s="3" t="n">
        <v>199</v>
      </c>
      <c r="G6809" s="3" t="n">
        <v>995</v>
      </c>
    </row>
    <row r="6810">
      <c r="A6810" s="3" t="inlineStr">
        <is>
          <t>Noble Shield (Pty) Ltd ta Go Letting</t>
        </is>
      </c>
      <c r="B6810" s="4" t="n">
        <v>44561</v>
      </c>
      <c r="C6810" s="3" t="inlineStr">
        <is>
          <t>Expenses</t>
        </is>
      </c>
      <c r="D6810" s="3" t="inlineStr">
        <is>
          <t>3233/100</t>
        </is>
      </c>
      <c r="E6810" s="3" t="inlineStr">
        <is>
          <t>Cell Data - Sales office Wifi</t>
        </is>
      </c>
      <c r="F6810" s="3" t="n">
        <v>369</v>
      </c>
      <c r="G6810" s="3" t="n">
        <v>1206</v>
      </c>
    </row>
    <row r="6811">
      <c r="A6811" s="3" t="inlineStr">
        <is>
          <t>Noble Shield (Pty) Ltd ta Go Letting</t>
        </is>
      </c>
      <c r="B6811" s="4" t="n">
        <v>44561</v>
      </c>
      <c r="C6811" s="3" t="inlineStr">
        <is>
          <t>Expenses</t>
        </is>
      </c>
      <c r="D6811" s="3" t="inlineStr">
        <is>
          <t>3250/000</t>
        </is>
      </c>
      <c r="E6811" s="3" t="inlineStr">
        <is>
          <t>Cleaning</t>
        </is>
      </c>
      <c r="F6811" s="3" t="n">
        <v>0</v>
      </c>
      <c r="G6811" s="3" t="n">
        <v>294.92</v>
      </c>
    </row>
    <row r="6812">
      <c r="A6812" s="3" t="inlineStr">
        <is>
          <t>Opportunity Global Investment (PTY) LTD</t>
        </is>
      </c>
      <c r="B6812" s="4" t="n">
        <v>44561</v>
      </c>
      <c r="C6812" s="3" t="inlineStr">
        <is>
          <t>Expenses</t>
        </is>
      </c>
      <c r="D6812" s="3" t="inlineStr">
        <is>
          <t>3250/000</t>
        </is>
      </c>
      <c r="E6812" s="3" t="inlineStr">
        <is>
          <t>Cleaning</t>
        </is>
      </c>
      <c r="F6812" s="3" t="n">
        <v>2700</v>
      </c>
      <c r="G6812" s="3" t="n">
        <v>26900</v>
      </c>
    </row>
    <row r="6813">
      <c r="A6813" s="3" t="inlineStr">
        <is>
          <t>Quinate Consulting (Pty) Ltd</t>
        </is>
      </c>
      <c r="B6813" s="4" t="n">
        <v>44561</v>
      </c>
      <c r="C6813" s="3" t="inlineStr">
        <is>
          <t>Expenses</t>
        </is>
      </c>
      <c r="D6813" s="3" t="inlineStr">
        <is>
          <t>3250/000</t>
        </is>
      </c>
      <c r="E6813" s="3" t="inlineStr">
        <is>
          <t>Cleaning</t>
        </is>
      </c>
      <c r="F6813" s="3" t="n">
        <v>0</v>
      </c>
      <c r="G6813" s="3" t="n">
        <v>6700.98</v>
      </c>
    </row>
    <row r="6814">
      <c r="A6814" s="3" t="inlineStr">
        <is>
          <t>Trademark Holdings (Pty) Ltd</t>
        </is>
      </c>
      <c r="B6814" s="4" t="n">
        <v>44561</v>
      </c>
      <c r="C6814" s="3" t="inlineStr">
        <is>
          <t>Expenses</t>
        </is>
      </c>
      <c r="D6814" s="3" t="inlineStr">
        <is>
          <t>3250/000</t>
        </is>
      </c>
      <c r="E6814" s="3" t="inlineStr">
        <is>
          <t>Cleaning</t>
        </is>
      </c>
      <c r="F6814" s="3" t="n">
        <v>472</v>
      </c>
      <c r="G6814" s="3" t="n">
        <v>3304</v>
      </c>
    </row>
    <row r="6815">
      <c r="A6815" s="3" t="inlineStr">
        <is>
          <t>Noble Shield (Pty) Ltd ta Go Letting</t>
        </is>
      </c>
      <c r="B6815" s="4" t="n">
        <v>44561</v>
      </c>
      <c r="C6815" s="3" t="inlineStr">
        <is>
          <t>Expenses</t>
        </is>
      </c>
      <c r="D6815" s="3" t="inlineStr">
        <is>
          <t>3300/000</t>
        </is>
      </c>
      <c r="E6815" s="3" t="inlineStr">
        <is>
          <t>Computer Expenses</t>
        </is>
      </c>
      <c r="F6815" s="3" t="n">
        <v>0</v>
      </c>
      <c r="G6815" s="3" t="n">
        <v>3027.5</v>
      </c>
    </row>
    <row r="6816">
      <c r="A6816" s="3" t="inlineStr">
        <is>
          <t>Opportunity Global Sales (PTY) LTD</t>
        </is>
      </c>
      <c r="B6816" s="4" t="n">
        <v>44561</v>
      </c>
      <c r="C6816" s="3" t="inlineStr">
        <is>
          <t>Expenses</t>
        </is>
      </c>
      <c r="D6816" s="3" t="inlineStr">
        <is>
          <t>3300/000</t>
        </is>
      </c>
      <c r="E6816" s="3" t="inlineStr">
        <is>
          <t>Computer Expenses</t>
        </is>
      </c>
      <c r="F6816" s="3" t="n">
        <v>0</v>
      </c>
      <c r="G6816" s="3" t="n">
        <v>757.83</v>
      </c>
    </row>
    <row r="6817">
      <c r="A6817" s="3" t="inlineStr">
        <is>
          <t>Quinate Consulting (Pty) Ltd</t>
        </is>
      </c>
      <c r="B6817" s="4" t="n">
        <v>44561</v>
      </c>
      <c r="C6817" s="3" t="inlineStr">
        <is>
          <t>Expenses</t>
        </is>
      </c>
      <c r="D6817" s="3" t="inlineStr">
        <is>
          <t>3300/000</t>
        </is>
      </c>
      <c r="E6817" s="3" t="inlineStr">
        <is>
          <t>Computer Expenses</t>
        </is>
      </c>
      <c r="F6817" s="3" t="n">
        <v>1700</v>
      </c>
      <c r="G6817" s="3" t="n">
        <v>35251.99</v>
      </c>
    </row>
    <row r="6818">
      <c r="A6818" s="3" t="inlineStr">
        <is>
          <t>Noble Shield (Pty) Ltd ta Go Letting</t>
        </is>
      </c>
      <c r="B6818" s="4" t="n">
        <v>44561</v>
      </c>
      <c r="C6818" s="3" t="inlineStr">
        <is>
          <t>Expenses</t>
        </is>
      </c>
      <c r="D6818" s="3" t="inlineStr">
        <is>
          <t>3300/120</t>
        </is>
      </c>
      <c r="E6818" s="3" t="inlineStr">
        <is>
          <t>Computer IT - Software Propworx</t>
        </is>
      </c>
      <c r="F6818" s="3" t="n">
        <v>1926.25</v>
      </c>
      <c r="G6818" s="3" t="n">
        <v>5778.75</v>
      </c>
    </row>
    <row r="6819">
      <c r="A6819" s="3" t="inlineStr">
        <is>
          <t>Trademark Holdings (Pty) Ltd</t>
        </is>
      </c>
      <c r="B6819" s="4" t="n">
        <v>44561</v>
      </c>
      <c r="C6819" s="3" t="inlineStr">
        <is>
          <t>Expenses</t>
        </is>
      </c>
      <c r="D6819" s="3" t="inlineStr">
        <is>
          <t>3300/125</t>
        </is>
      </c>
      <c r="E6819" s="3" t="inlineStr">
        <is>
          <t>Computer IT - CT</t>
        </is>
      </c>
      <c r="F6819" s="3" t="n">
        <v>0</v>
      </c>
      <c r="G6819" s="3" t="n">
        <v>106.38</v>
      </c>
    </row>
    <row r="6820">
      <c r="A6820" s="3" t="inlineStr">
        <is>
          <t>Trademark Holdings (Pty) Ltd</t>
        </is>
      </c>
      <c r="B6820" s="4" t="n">
        <v>44561</v>
      </c>
      <c r="C6820" s="3" t="inlineStr">
        <is>
          <t>Expenses</t>
        </is>
      </c>
      <c r="D6820" s="3" t="inlineStr">
        <is>
          <t>3300/130</t>
        </is>
      </c>
      <c r="E6820" s="3" t="inlineStr">
        <is>
          <t>Computer IT - Internet/Hosting Fees</t>
        </is>
      </c>
      <c r="F6820" s="3" t="n">
        <v>4042.25</v>
      </c>
      <c r="G6820" s="3" t="n">
        <v>14616.5</v>
      </c>
    </row>
    <row r="6821">
      <c r="A6821" s="3" t="inlineStr">
        <is>
          <t>Trademark Holdings (Pty) Ltd</t>
        </is>
      </c>
      <c r="B6821" s="4" t="n">
        <v>44561</v>
      </c>
      <c r="C6821" s="3" t="inlineStr">
        <is>
          <t>Expenses</t>
        </is>
      </c>
      <c r="D6821" s="3" t="inlineStr">
        <is>
          <t>3300/145</t>
        </is>
      </c>
      <c r="E6821" s="3" t="inlineStr">
        <is>
          <t>Computer IT - Cloud Solve</t>
        </is>
      </c>
      <c r="F6821" s="3" t="n">
        <v>3600</v>
      </c>
      <c r="G6821" s="3" t="n">
        <v>14400</v>
      </c>
    </row>
    <row r="6822">
      <c r="A6822" s="3" t="inlineStr">
        <is>
          <t>Noble Shield (Pty) Ltd ta Go Letting</t>
        </is>
      </c>
      <c r="B6822" s="4" t="n">
        <v>44561</v>
      </c>
      <c r="C6822" s="3" t="inlineStr">
        <is>
          <t>Expenses</t>
        </is>
      </c>
      <c r="D6822" s="3" t="inlineStr">
        <is>
          <t>3300/170</t>
        </is>
      </c>
      <c r="E6822" s="3" t="inlineStr">
        <is>
          <t>Computer IT - VDB office Fibre</t>
        </is>
      </c>
      <c r="F6822" s="3" t="n">
        <v>790</v>
      </c>
      <c r="G6822" s="3" t="n">
        <v>3950</v>
      </c>
    </row>
    <row r="6823">
      <c r="A6823" s="3" t="inlineStr">
        <is>
          <t>Opportunity Global Sales (PTY) LTD</t>
        </is>
      </c>
      <c r="B6823" s="4" t="n">
        <v>44561</v>
      </c>
      <c r="C6823" s="3" t="inlineStr">
        <is>
          <t>Expenses</t>
        </is>
      </c>
      <c r="D6823" s="3" t="inlineStr">
        <is>
          <t>3301/000</t>
        </is>
      </c>
      <c r="E6823" s="3" t="inlineStr">
        <is>
          <t>Computer Expense - Xero setup</t>
        </is>
      </c>
      <c r="F6823" s="3" t="n">
        <v>0</v>
      </c>
      <c r="G6823" s="3" t="n">
        <v>3000</v>
      </c>
    </row>
    <row r="6824">
      <c r="A6824" s="3" t="inlineStr">
        <is>
          <t>Noble Shield (Pty) Ltd ta Go Letting</t>
        </is>
      </c>
      <c r="B6824" s="4" t="n">
        <v>44561</v>
      </c>
      <c r="C6824" s="3" t="inlineStr">
        <is>
          <t>Expenses</t>
        </is>
      </c>
      <c r="D6824" s="3" t="inlineStr">
        <is>
          <t>3301/000</t>
        </is>
      </c>
      <c r="E6824" s="3" t="inlineStr">
        <is>
          <t>Computer Expenses - Xero Setup</t>
        </is>
      </c>
      <c r="F6824" s="3" t="n">
        <v>0</v>
      </c>
      <c r="G6824" s="3" t="n">
        <v>3000</v>
      </c>
    </row>
    <row r="6825">
      <c r="A6825" s="3" t="inlineStr">
        <is>
          <t>Trademark Holdings (Pty) Ltd</t>
        </is>
      </c>
      <c r="B6825" s="4" t="n">
        <v>44561</v>
      </c>
      <c r="C6825" s="3" t="inlineStr">
        <is>
          <t>Expenses</t>
        </is>
      </c>
      <c r="D6825" s="3" t="inlineStr">
        <is>
          <t>3301/000</t>
        </is>
      </c>
      <c r="E6825" s="3" t="inlineStr">
        <is>
          <t>Computer Expenses - Xero Setup</t>
        </is>
      </c>
      <c r="F6825" s="3" t="n">
        <v>0</v>
      </c>
      <c r="G6825" s="3" t="n">
        <v>3000</v>
      </c>
    </row>
    <row r="6826">
      <c r="A6826" s="3" t="inlineStr">
        <is>
          <t>Opportunity Global Investment (PTY) LTD</t>
        </is>
      </c>
      <c r="B6826" s="4" t="n">
        <v>44561</v>
      </c>
      <c r="C6826" s="3" t="inlineStr">
        <is>
          <t>Expenses</t>
        </is>
      </c>
      <c r="D6826" s="3" t="inlineStr">
        <is>
          <t>3301/000</t>
        </is>
      </c>
      <c r="E6826" s="3" t="inlineStr">
        <is>
          <t>Computer Expenses - Xero setup</t>
        </is>
      </c>
      <c r="F6826" s="3" t="n">
        <v>0</v>
      </c>
      <c r="G6826" s="3" t="n">
        <v>3000</v>
      </c>
    </row>
    <row r="6827">
      <c r="A6827" s="3" t="inlineStr">
        <is>
          <t>Opportunity Global Investment (PTY) LTD</t>
        </is>
      </c>
      <c r="B6827" s="4" t="n">
        <v>44561</v>
      </c>
      <c r="C6827" s="3" t="inlineStr">
        <is>
          <t>Expenses</t>
        </is>
      </c>
      <c r="D6827" s="3" t="inlineStr">
        <is>
          <t>3310/200</t>
        </is>
      </c>
      <c r="E6827" s="3" t="inlineStr">
        <is>
          <t>Commission Paid - Other</t>
        </is>
      </c>
      <c r="F6827" s="3" t="n">
        <v>0</v>
      </c>
      <c r="G6827" s="3" t="n">
        <v>40988.41</v>
      </c>
    </row>
    <row r="6828">
      <c r="A6828" s="3" t="inlineStr">
        <is>
          <t>Quinate Consulting (Pty) Ltd</t>
        </is>
      </c>
      <c r="B6828" s="4" t="n">
        <v>44561</v>
      </c>
      <c r="C6828" s="3" t="inlineStr">
        <is>
          <t>Expenses</t>
        </is>
      </c>
      <c r="D6828" s="3" t="inlineStr">
        <is>
          <t>3320/000</t>
        </is>
      </c>
      <c r="E6828" s="3" t="inlineStr">
        <is>
          <t>Commission Paid</t>
        </is>
      </c>
      <c r="F6828" s="3" t="n">
        <v>0</v>
      </c>
      <c r="G6828" s="3" t="n">
        <v>3558.8</v>
      </c>
    </row>
    <row r="6829">
      <c r="A6829" s="3" t="inlineStr">
        <is>
          <t>Opportunity Global Investment (PTY) LTD</t>
        </is>
      </c>
      <c r="B6829" s="4" t="n">
        <v>44561</v>
      </c>
      <c r="C6829" s="3" t="inlineStr">
        <is>
          <t>Expenses</t>
        </is>
      </c>
      <c r="D6829" s="3" t="inlineStr">
        <is>
          <t>3350/000</t>
        </is>
      </c>
      <c r="E6829" s="3" t="inlineStr">
        <is>
          <t>Consulting Fees</t>
        </is>
      </c>
      <c r="F6829" s="3" t="n">
        <v>0</v>
      </c>
      <c r="G6829" s="3" t="n">
        <v>27970</v>
      </c>
    </row>
    <row r="6830">
      <c r="A6830" s="3" t="inlineStr">
        <is>
          <t>Quinate Consulting (Pty) Ltd</t>
        </is>
      </c>
      <c r="B6830" s="4" t="n">
        <v>44561</v>
      </c>
      <c r="C6830" s="3" t="inlineStr">
        <is>
          <t>Expenses</t>
        </is>
      </c>
      <c r="D6830" s="3" t="inlineStr">
        <is>
          <t>3350/100</t>
        </is>
      </c>
      <c r="E6830" s="3" t="inlineStr">
        <is>
          <t>Consulting Fees</t>
        </is>
      </c>
      <c r="F6830" s="3" t="n">
        <v>0</v>
      </c>
      <c r="G6830" s="3" t="n">
        <v>-25750</v>
      </c>
    </row>
    <row r="6831">
      <c r="A6831" s="3" t="inlineStr">
        <is>
          <t>Endulini (Pty) Ltd</t>
        </is>
      </c>
      <c r="B6831" s="4" t="n">
        <v>44561</v>
      </c>
      <c r="C6831" s="3" t="inlineStr">
        <is>
          <t>Expenses</t>
        </is>
      </c>
      <c r="D6831" s="3" t="inlineStr">
        <is>
          <t>3350/100</t>
        </is>
      </c>
      <c r="E6831" s="3" t="inlineStr">
        <is>
          <t>Consulting Fees - Admin and Finance</t>
        </is>
      </c>
      <c r="F6831" s="3" t="n">
        <v>76348.10000000001</v>
      </c>
      <c r="G6831" s="3" t="n">
        <v>290913.83</v>
      </c>
    </row>
    <row r="6832">
      <c r="A6832" s="3" t="inlineStr">
        <is>
          <t>Opportunity Global Investment (PTY) LTD</t>
        </is>
      </c>
      <c r="B6832" s="4" t="n">
        <v>44561</v>
      </c>
      <c r="C6832" s="3" t="inlineStr">
        <is>
          <t>Expenses</t>
        </is>
      </c>
      <c r="D6832" s="3" t="inlineStr">
        <is>
          <t>3350/100</t>
        </is>
      </c>
      <c r="E6832" s="3" t="inlineStr">
        <is>
          <t>Consulting Fees - Admin and Finance</t>
        </is>
      </c>
      <c r="F6832" s="3" t="n">
        <v>4775</v>
      </c>
      <c r="G6832" s="3" t="n">
        <v>15600</v>
      </c>
    </row>
    <row r="6833">
      <c r="A6833" s="3" t="inlineStr">
        <is>
          <t>Opportunity Global Sales (PTY) LTD</t>
        </is>
      </c>
      <c r="B6833" s="4" t="n">
        <v>44561</v>
      </c>
      <c r="C6833" s="3" t="inlineStr">
        <is>
          <t>Expenses</t>
        </is>
      </c>
      <c r="D6833" s="3" t="inlineStr">
        <is>
          <t>3350/100</t>
        </is>
      </c>
      <c r="E6833" s="3" t="inlineStr">
        <is>
          <t>Consulting Fees - Admin and Finance</t>
        </is>
      </c>
      <c r="F6833" s="3" t="n">
        <v>5860</v>
      </c>
      <c r="G6833" s="3" t="n">
        <v>23190</v>
      </c>
    </row>
    <row r="6834">
      <c r="A6834" s="3" t="inlineStr">
        <is>
          <t>Quinate Consulting (Pty) Ltd</t>
        </is>
      </c>
      <c r="B6834" s="4" t="n">
        <v>44561</v>
      </c>
      <c r="C6834" s="3" t="inlineStr">
        <is>
          <t>Expenses</t>
        </is>
      </c>
      <c r="D6834" s="3" t="inlineStr">
        <is>
          <t>3350/300</t>
        </is>
      </c>
      <c r="E6834" s="3" t="inlineStr">
        <is>
          <t>Consulting Fees - Admin and Finance</t>
        </is>
      </c>
      <c r="F6834" s="3" t="n">
        <v>20000</v>
      </c>
      <c r="G6834" s="3" t="n">
        <v>20000</v>
      </c>
    </row>
    <row r="6835">
      <c r="A6835" s="3" t="inlineStr">
        <is>
          <t>Opportunity Global Investment (PTY) LTD</t>
        </is>
      </c>
      <c r="B6835" s="4" t="n">
        <v>44561</v>
      </c>
      <c r="C6835" s="3" t="inlineStr">
        <is>
          <t>Expenses</t>
        </is>
      </c>
      <c r="D6835" s="3" t="inlineStr">
        <is>
          <t>3351/000</t>
        </is>
      </c>
      <c r="E6835" s="3" t="inlineStr">
        <is>
          <t>Consulting Fees - HR Joblaw</t>
        </is>
      </c>
      <c r="F6835" s="3" t="n">
        <v>1350</v>
      </c>
      <c r="G6835" s="3" t="n">
        <v>14092.9</v>
      </c>
    </row>
    <row r="6836">
      <c r="A6836" s="3" t="inlineStr">
        <is>
          <t>Quinate Consulting (Pty) Ltd</t>
        </is>
      </c>
      <c r="B6836" s="4" t="n">
        <v>44561</v>
      </c>
      <c r="C6836" s="3" t="inlineStr">
        <is>
          <t>Expenses</t>
        </is>
      </c>
      <c r="D6836" s="3" t="inlineStr">
        <is>
          <t>3351/000</t>
        </is>
      </c>
      <c r="E6836" s="3" t="inlineStr">
        <is>
          <t>Consulting fees - Trustees</t>
        </is>
      </c>
      <c r="F6836" s="3" t="n">
        <v>5000</v>
      </c>
      <c r="G6836" s="3" t="n">
        <v>74678.48</v>
      </c>
    </row>
    <row r="6837">
      <c r="A6837" s="3" t="inlineStr">
        <is>
          <t>Opportunity Global Investment (PTY) LTD</t>
        </is>
      </c>
      <c r="B6837" s="4" t="n">
        <v>44561</v>
      </c>
      <c r="C6837" s="3" t="inlineStr">
        <is>
          <t>Expenses</t>
        </is>
      </c>
      <c r="D6837" s="3" t="inlineStr">
        <is>
          <t>3352/000</t>
        </is>
      </c>
      <c r="E6837" s="3" t="inlineStr">
        <is>
          <t>Consulting Fees - Kert Scalzini</t>
        </is>
      </c>
      <c r="F6837" s="3" t="n">
        <v>10000</v>
      </c>
      <c r="G6837" s="3" t="n">
        <v>80000</v>
      </c>
    </row>
    <row r="6838">
      <c r="A6838" s="3" t="inlineStr">
        <is>
          <t>Opportunity Global Investment (PTY) LTD</t>
        </is>
      </c>
      <c r="B6838" s="4" t="n">
        <v>44561</v>
      </c>
      <c r="C6838" s="3" t="inlineStr">
        <is>
          <t>Expenses</t>
        </is>
      </c>
      <c r="D6838" s="3" t="inlineStr">
        <is>
          <t>3353/000</t>
        </is>
      </c>
      <c r="E6838" s="3" t="inlineStr">
        <is>
          <t>Consulting Fees - Yolanda Steyn</t>
        </is>
      </c>
      <c r="F6838" s="3" t="n">
        <v>9600</v>
      </c>
      <c r="G6838" s="3" t="n">
        <v>9600</v>
      </c>
    </row>
    <row r="6839">
      <c r="A6839" s="3" t="inlineStr">
        <is>
          <t>Quinate Consulting (Pty) Ltd</t>
        </is>
      </c>
      <c r="B6839" s="4" t="n">
        <v>44561</v>
      </c>
      <c r="C6839" s="3" t="inlineStr">
        <is>
          <t>Expenses</t>
        </is>
      </c>
      <c r="D6839" s="3" t="inlineStr">
        <is>
          <t>3450/001</t>
        </is>
      </c>
      <c r="E6839" s="3" t="inlineStr">
        <is>
          <t>Depreciation - Computer Equipment</t>
        </is>
      </c>
      <c r="F6839" s="3" t="n">
        <v>0</v>
      </c>
      <c r="G6839" s="3" t="n">
        <v>22826.49</v>
      </c>
    </row>
    <row r="6840">
      <c r="A6840" s="3" t="inlineStr">
        <is>
          <t>Quinate Consulting (Pty) Ltd</t>
        </is>
      </c>
      <c r="B6840" s="4" t="n">
        <v>44561</v>
      </c>
      <c r="C6840" s="3" t="inlineStr">
        <is>
          <t>Expenses</t>
        </is>
      </c>
      <c r="D6840" s="3" t="inlineStr">
        <is>
          <t>3450/002</t>
        </is>
      </c>
      <c r="E6840" s="3" t="inlineStr">
        <is>
          <t>Depreciation - Site Containers</t>
        </is>
      </c>
      <c r="F6840" s="3" t="n">
        <v>0</v>
      </c>
      <c r="G6840" s="3" t="n">
        <v>2869.56</v>
      </c>
    </row>
    <row r="6841">
      <c r="A6841" s="3" t="inlineStr">
        <is>
          <t>Quinate Consulting (Pty) Ltd</t>
        </is>
      </c>
      <c r="B6841" s="4" t="n">
        <v>44561</v>
      </c>
      <c r="C6841" s="3" t="inlineStr">
        <is>
          <t>Expenses</t>
        </is>
      </c>
      <c r="D6841" s="3" t="inlineStr">
        <is>
          <t>3600/000</t>
        </is>
      </c>
      <c r="E6841" s="3" t="inlineStr">
        <is>
          <t>Donations</t>
        </is>
      </c>
      <c r="F6841" s="3" t="n">
        <v>500</v>
      </c>
      <c r="G6841" s="3" t="n">
        <v>4000</v>
      </c>
    </row>
    <row r="6842">
      <c r="A6842" s="3" t="inlineStr">
        <is>
          <t>Noble Shield (Pty) Ltd ta Go Letting</t>
        </is>
      </c>
      <c r="B6842" s="4" t="n">
        <v>44561</v>
      </c>
      <c r="C6842" s="3" t="inlineStr">
        <is>
          <t>Expenses</t>
        </is>
      </c>
      <c r="D6842" s="3" t="inlineStr">
        <is>
          <t>3650/000</t>
        </is>
      </c>
      <c r="E6842" s="3" t="inlineStr">
        <is>
          <t>Electricity _AND_ Water</t>
        </is>
      </c>
      <c r="F6842" s="3" t="n">
        <v>0</v>
      </c>
      <c r="G6842" s="3" t="n">
        <v>2000</v>
      </c>
    </row>
    <row r="6843">
      <c r="A6843" s="3" t="inlineStr">
        <is>
          <t>Opportunity Global Investment (PTY) LTD</t>
        </is>
      </c>
      <c r="B6843" s="4" t="n">
        <v>44561</v>
      </c>
      <c r="C6843" s="3" t="inlineStr">
        <is>
          <t>Expenses</t>
        </is>
      </c>
      <c r="D6843" s="3" t="inlineStr">
        <is>
          <t>3650/000</t>
        </is>
      </c>
      <c r="E6843" s="3" t="inlineStr">
        <is>
          <t>Electricity _AND_ Water</t>
        </is>
      </c>
      <c r="F6843" s="3" t="n">
        <v>2950</v>
      </c>
      <c r="G6843" s="3" t="n">
        <v>29750</v>
      </c>
    </row>
    <row r="6844">
      <c r="A6844" s="3" t="inlineStr">
        <is>
          <t>Quinate Consulting (Pty) Ltd</t>
        </is>
      </c>
      <c r="B6844" s="4" t="n">
        <v>44561</v>
      </c>
      <c r="C6844" s="3" t="inlineStr">
        <is>
          <t>Expenses</t>
        </is>
      </c>
      <c r="D6844" s="3" t="inlineStr">
        <is>
          <t>3650/000</t>
        </is>
      </c>
      <c r="E6844" s="3" t="inlineStr">
        <is>
          <t>Electricity _AND_ Water - CT Office</t>
        </is>
      </c>
      <c r="F6844" s="3" t="n">
        <v>0</v>
      </c>
      <c r="G6844" s="3" t="n">
        <v>55503.05</v>
      </c>
    </row>
    <row r="6845">
      <c r="A6845" s="3" t="inlineStr">
        <is>
          <t>Endulini (Pty) Ltd</t>
        </is>
      </c>
      <c r="B6845" s="4" t="n">
        <v>44561</v>
      </c>
      <c r="C6845" s="3" t="inlineStr">
        <is>
          <t>Expenses</t>
        </is>
      </c>
      <c r="D6845" s="3" t="inlineStr">
        <is>
          <t>3650/000</t>
        </is>
      </c>
      <c r="E6845" s="3" t="inlineStr">
        <is>
          <t>Water</t>
        </is>
      </c>
      <c r="F6845" s="3" t="n">
        <v>3373.83</v>
      </c>
      <c r="G6845" s="3" t="n">
        <v>40817.57</v>
      </c>
    </row>
    <row r="6846">
      <c r="A6846" s="3" t="inlineStr">
        <is>
          <t>Noble Shield (Pty) Ltd ta Go Letting</t>
        </is>
      </c>
      <c r="B6846" s="4" t="n">
        <v>44561</v>
      </c>
      <c r="C6846" s="3" t="inlineStr">
        <is>
          <t>Expenses</t>
        </is>
      </c>
      <c r="D6846" s="3" t="inlineStr">
        <is>
          <t>3651/000</t>
        </is>
      </c>
      <c r="E6846" s="3" t="inlineStr">
        <is>
          <t>Electricity _AND_ Water - Rentals</t>
        </is>
      </c>
      <c r="F6846" s="3" t="n">
        <v>1000</v>
      </c>
      <c r="G6846" s="3" t="n">
        <v>1000</v>
      </c>
    </row>
    <row r="6847">
      <c r="A6847" s="3" t="inlineStr">
        <is>
          <t>Quinate Consulting (Pty) Ltd</t>
        </is>
      </c>
      <c r="B6847" s="4" t="n">
        <v>44561</v>
      </c>
      <c r="C6847" s="3" t="inlineStr">
        <is>
          <t>Expenses</t>
        </is>
      </c>
      <c r="D6847" s="3" t="inlineStr">
        <is>
          <t>3651/000</t>
        </is>
      </c>
      <c r="E6847" s="3" t="inlineStr">
        <is>
          <t>Electricity _AND_ Water - Southwark</t>
        </is>
      </c>
      <c r="F6847" s="3" t="n">
        <v>18275.66</v>
      </c>
      <c r="G6847" s="3" t="n">
        <v>222201.6</v>
      </c>
    </row>
    <row r="6848">
      <c r="A6848" s="3" t="inlineStr">
        <is>
          <t>Quinate Consulting (Pty) Ltd</t>
        </is>
      </c>
      <c r="B6848" s="4" t="n">
        <v>44561</v>
      </c>
      <c r="C6848" s="3" t="inlineStr">
        <is>
          <t>Expenses</t>
        </is>
      </c>
      <c r="D6848" s="3" t="inlineStr">
        <is>
          <t>3652/000</t>
        </is>
      </c>
      <c r="E6848" s="3" t="inlineStr">
        <is>
          <t>Electricity _AND_ Water - Soho</t>
        </is>
      </c>
      <c r="F6848" s="3" t="n">
        <v>17627.06</v>
      </c>
      <c r="G6848" s="3" t="n">
        <v>205510.62</v>
      </c>
    </row>
    <row r="6849">
      <c r="A6849" s="3" t="inlineStr">
        <is>
          <t>Noble Shield (Pty) Ltd ta Go Letting</t>
        </is>
      </c>
      <c r="B6849" s="4" t="n">
        <v>44561</v>
      </c>
      <c r="C6849" s="3" t="inlineStr">
        <is>
          <t>Expenses</t>
        </is>
      </c>
      <c r="D6849" s="3" t="inlineStr">
        <is>
          <t>3700/000</t>
        </is>
      </c>
      <c r="E6849" s="3" t="inlineStr">
        <is>
          <t>Entertainment Expenses</t>
        </is>
      </c>
      <c r="F6849" s="3" t="n">
        <v>0</v>
      </c>
      <c r="G6849" s="3" t="n">
        <v>1200</v>
      </c>
    </row>
    <row r="6850">
      <c r="A6850" s="3" t="inlineStr">
        <is>
          <t>Opportunity Global Investment (PTY) LTD</t>
        </is>
      </c>
      <c r="B6850" s="4" t="n">
        <v>44561</v>
      </c>
      <c r="C6850" s="3" t="inlineStr">
        <is>
          <t>Expenses</t>
        </is>
      </c>
      <c r="D6850" s="3" t="inlineStr">
        <is>
          <t>3700/000</t>
        </is>
      </c>
      <c r="E6850" s="3" t="inlineStr">
        <is>
          <t>Entertainment Expenses</t>
        </is>
      </c>
      <c r="F6850" s="3" t="n">
        <v>1137.11</v>
      </c>
      <c r="G6850" s="3" t="n">
        <v>16143.59</v>
      </c>
    </row>
    <row r="6851">
      <c r="A6851" s="3" t="inlineStr">
        <is>
          <t>Opportunity Global Sales (PTY) LTD</t>
        </is>
      </c>
      <c r="B6851" s="4" t="n">
        <v>44561</v>
      </c>
      <c r="C6851" s="3" t="inlineStr">
        <is>
          <t>Expenses</t>
        </is>
      </c>
      <c r="D6851" s="3" t="inlineStr">
        <is>
          <t>3700/000</t>
        </is>
      </c>
      <c r="E6851" s="3" t="inlineStr">
        <is>
          <t>Entertainment Expenses</t>
        </is>
      </c>
      <c r="F6851" s="3" t="n">
        <v>0</v>
      </c>
      <c r="G6851" s="3" t="n">
        <v>844</v>
      </c>
    </row>
    <row r="6852">
      <c r="A6852" s="3" t="inlineStr">
        <is>
          <t>Quinate Consulting (Pty) Ltd</t>
        </is>
      </c>
      <c r="B6852" s="4" t="n">
        <v>44561</v>
      </c>
      <c r="C6852" s="3" t="inlineStr">
        <is>
          <t>Expenses</t>
        </is>
      </c>
      <c r="D6852" s="3" t="inlineStr">
        <is>
          <t>3700/000</t>
        </is>
      </c>
      <c r="E6852" s="3" t="inlineStr">
        <is>
          <t>Entertainment Expenses</t>
        </is>
      </c>
      <c r="F6852" s="3" t="n">
        <v>486</v>
      </c>
      <c r="G6852" s="3" t="n">
        <v>19992.12</v>
      </c>
    </row>
    <row r="6853">
      <c r="A6853" s="3" t="inlineStr">
        <is>
          <t>Quinate Consulting (Pty) Ltd</t>
        </is>
      </c>
      <c r="B6853" s="4" t="n">
        <v>44561</v>
      </c>
      <c r="C6853" s="3" t="inlineStr">
        <is>
          <t>Expenses</t>
        </is>
      </c>
      <c r="D6853" s="3" t="inlineStr">
        <is>
          <t>3750/000</t>
        </is>
      </c>
      <c r="E6853" s="3" t="inlineStr">
        <is>
          <t>Finance Charges</t>
        </is>
      </c>
      <c r="F6853" s="3" t="n">
        <v>0</v>
      </c>
      <c r="G6853" s="3" t="n">
        <v>149</v>
      </c>
    </row>
    <row r="6854">
      <c r="A6854" s="3" t="inlineStr">
        <is>
          <t>Noble Shield (Pty) Ltd ta Go Letting</t>
        </is>
      </c>
      <c r="B6854" s="4" t="n">
        <v>44561</v>
      </c>
      <c r="C6854" s="3" t="inlineStr">
        <is>
          <t>Expenses</t>
        </is>
      </c>
      <c r="D6854" s="3" t="inlineStr">
        <is>
          <t>3850/100</t>
        </is>
      </c>
      <c r="E6854" s="3" t="inlineStr">
        <is>
          <t>Insurance - Santam</t>
        </is>
      </c>
      <c r="F6854" s="3" t="n">
        <v>2629.11</v>
      </c>
      <c r="G6854" s="3" t="n">
        <v>10516.44</v>
      </c>
    </row>
    <row r="6855">
      <c r="A6855" s="3" t="inlineStr">
        <is>
          <t>Noble Shield (Pty) Ltd ta Go Letting</t>
        </is>
      </c>
      <c r="B6855" s="4" t="n">
        <v>44561</v>
      </c>
      <c r="C6855" s="3" t="inlineStr">
        <is>
          <t>Expenses</t>
        </is>
      </c>
      <c r="D6855" s="3" t="inlineStr">
        <is>
          <t>3850/200</t>
        </is>
      </c>
      <c r="E6855" s="3" t="inlineStr">
        <is>
          <t>Insurance - A_AND_G</t>
        </is>
      </c>
      <c r="F6855" s="3" t="n">
        <v>3364.32</v>
      </c>
      <c r="G6855" s="3" t="n">
        <v>8410.799999999999</v>
      </c>
    </row>
    <row r="6856">
      <c r="A6856" s="3" t="inlineStr">
        <is>
          <t>Quinate Consulting (Pty) Ltd</t>
        </is>
      </c>
      <c r="B6856" s="4" t="n">
        <v>44561</v>
      </c>
      <c r="C6856" s="3" t="inlineStr">
        <is>
          <t>Expenses</t>
        </is>
      </c>
      <c r="D6856" s="3" t="inlineStr">
        <is>
          <t>3851/000</t>
        </is>
      </c>
      <c r="E6856" s="3" t="inlineStr">
        <is>
          <t>Insurance - Momentum</t>
        </is>
      </c>
      <c r="F6856" s="3" t="n">
        <v>6825.93</v>
      </c>
      <c r="G6856" s="3" t="n">
        <v>54587.85</v>
      </c>
    </row>
    <row r="6857">
      <c r="A6857" s="3" t="inlineStr">
        <is>
          <t>Quinate Consulting (Pty) Ltd</t>
        </is>
      </c>
      <c r="B6857" s="4" t="n">
        <v>44561</v>
      </c>
      <c r="C6857" s="3" t="inlineStr">
        <is>
          <t>Expenses</t>
        </is>
      </c>
      <c r="D6857" s="3" t="inlineStr">
        <is>
          <t>3852/000</t>
        </is>
      </c>
      <c r="E6857" s="3" t="inlineStr">
        <is>
          <t>Insurance - Old Mutual</t>
        </is>
      </c>
      <c r="F6857" s="3" t="n">
        <v>0</v>
      </c>
      <c r="G6857" s="3" t="n">
        <v>18269.59</v>
      </c>
    </row>
    <row r="6858">
      <c r="A6858" s="3" t="inlineStr">
        <is>
          <t>Endulini (Pty) Ltd</t>
        </is>
      </c>
      <c r="B6858" s="4" t="n">
        <v>44561</v>
      </c>
      <c r="C6858" s="3" t="inlineStr">
        <is>
          <t>Expenses</t>
        </is>
      </c>
      <c r="D6858" s="3" t="inlineStr">
        <is>
          <t>3900/000</t>
        </is>
      </c>
      <c r="E6858" s="3" t="inlineStr">
        <is>
          <t>Interest Paid</t>
        </is>
      </c>
      <c r="F6858" s="3" t="n">
        <v>0</v>
      </c>
      <c r="G6858" s="3" t="n">
        <v>36.99</v>
      </c>
    </row>
    <row r="6859">
      <c r="A6859" s="3" t="inlineStr">
        <is>
          <t>Quinate Consulting (Pty) Ltd</t>
        </is>
      </c>
      <c r="B6859" s="4" t="n">
        <v>44561</v>
      </c>
      <c r="C6859" s="3" t="inlineStr">
        <is>
          <t>Expenses</t>
        </is>
      </c>
      <c r="D6859" s="3" t="inlineStr">
        <is>
          <t>3900/000</t>
        </is>
      </c>
      <c r="E6859" s="3" t="inlineStr">
        <is>
          <t>Interest Paid</t>
        </is>
      </c>
      <c r="F6859" s="3" t="n">
        <v>1273.16</v>
      </c>
      <c r="G6859" s="3" t="n">
        <v>1273.16</v>
      </c>
    </row>
    <row r="6860">
      <c r="A6860" s="3" t="inlineStr">
        <is>
          <t>Quinate Consulting (Pty) Ltd</t>
        </is>
      </c>
      <c r="B6860" s="4" t="n">
        <v>44561</v>
      </c>
      <c r="C6860" s="3" t="inlineStr">
        <is>
          <t>Expenses</t>
        </is>
      </c>
      <c r="D6860" s="3" t="inlineStr">
        <is>
          <t>3900/050</t>
        </is>
      </c>
      <c r="E6860" s="3" t="inlineStr">
        <is>
          <t>Interest Paid - STD Bond Accounts</t>
        </is>
      </c>
      <c r="F6860" s="3" t="n">
        <v>27408.39</v>
      </c>
      <c r="G6860" s="3" t="n">
        <v>381015.61</v>
      </c>
    </row>
    <row r="6861">
      <c r="A6861" s="3" t="inlineStr">
        <is>
          <t>Quinate Consulting (Pty) Ltd</t>
        </is>
      </c>
      <c r="B6861" s="4" t="n">
        <v>44561</v>
      </c>
      <c r="C6861" s="3" t="inlineStr">
        <is>
          <t>Expenses</t>
        </is>
      </c>
      <c r="D6861" s="3" t="inlineStr">
        <is>
          <t>3900/131</t>
        </is>
      </c>
      <c r="E6861" s="3" t="inlineStr">
        <is>
          <t>Interest Paid - Investors @ 9%</t>
        </is>
      </c>
      <c r="F6861" s="3" t="n">
        <v>0</v>
      </c>
      <c r="G6861" s="3" t="n">
        <v>7857.47</v>
      </c>
    </row>
    <row r="6862">
      <c r="A6862" s="3" t="inlineStr">
        <is>
          <t>Quinate Consulting (Pty) Ltd</t>
        </is>
      </c>
      <c r="B6862" s="4" t="n">
        <v>44561</v>
      </c>
      <c r="C6862" s="3" t="inlineStr">
        <is>
          <t>Expenses</t>
        </is>
      </c>
      <c r="D6862" s="3" t="inlineStr">
        <is>
          <t>3900/132</t>
        </is>
      </c>
      <c r="E6862" s="3" t="inlineStr">
        <is>
          <t>Interest Paid - Investors @ 18%</t>
        </is>
      </c>
      <c r="F6862" s="3" t="n">
        <v>0</v>
      </c>
      <c r="G6862" s="3" t="n">
        <v>483020.78</v>
      </c>
    </row>
    <row r="6863">
      <c r="A6863" s="3" t="inlineStr">
        <is>
          <t>Quinate Consulting (Pty) Ltd</t>
        </is>
      </c>
      <c r="B6863" s="4" t="n">
        <v>44561</v>
      </c>
      <c r="C6863" s="3" t="inlineStr">
        <is>
          <t>Expenses</t>
        </is>
      </c>
      <c r="D6863" s="3" t="inlineStr">
        <is>
          <t>3900/150</t>
        </is>
      </c>
      <c r="E6863" s="3" t="inlineStr">
        <is>
          <t>Interest Paid - Suppliers</t>
        </is>
      </c>
      <c r="F6863" s="3" t="n">
        <v>139.64</v>
      </c>
      <c r="G6863" s="3" t="n">
        <v>5125.08</v>
      </c>
    </row>
    <row r="6864">
      <c r="A6864" s="3" t="inlineStr">
        <is>
          <t>Quinate Consulting (Pty) Ltd</t>
        </is>
      </c>
      <c r="B6864" s="4" t="n">
        <v>44561</v>
      </c>
      <c r="C6864" s="3" t="inlineStr">
        <is>
          <t>Expenses</t>
        </is>
      </c>
      <c r="D6864" s="3" t="inlineStr">
        <is>
          <t>3900/152</t>
        </is>
      </c>
      <c r="E6864" s="3" t="inlineStr">
        <is>
          <t>Interest Paid - Gengis</t>
        </is>
      </c>
      <c r="F6864" s="3" t="n">
        <v>0</v>
      </c>
      <c r="G6864" s="3" t="n">
        <v>30378.08</v>
      </c>
    </row>
    <row r="6865">
      <c r="A6865" s="3" t="inlineStr">
        <is>
          <t>Opportunity Management Holdings (PTY) LTD</t>
        </is>
      </c>
      <c r="B6865" s="4" t="n">
        <v>44561</v>
      </c>
      <c r="C6865" s="3" t="inlineStr">
        <is>
          <t>Expenses</t>
        </is>
      </c>
      <c r="D6865" s="3" t="inlineStr">
        <is>
          <t>3900/300</t>
        </is>
      </c>
      <c r="E6865" s="3" t="inlineStr">
        <is>
          <t>Interest Paid - Other</t>
        </is>
      </c>
      <c r="F6865" s="3" t="n">
        <v>1.79</v>
      </c>
      <c r="G6865" s="3" t="n">
        <v>1.79</v>
      </c>
    </row>
    <row r="6866">
      <c r="A6866" s="3" t="inlineStr">
        <is>
          <t>Trademark Holdings (Pty) Ltd</t>
        </is>
      </c>
      <c r="B6866" s="4" t="n">
        <v>44561</v>
      </c>
      <c r="C6866" s="3" t="inlineStr">
        <is>
          <t>Expenses</t>
        </is>
      </c>
      <c r="D6866" s="3" t="inlineStr">
        <is>
          <t>3910/000</t>
        </is>
      </c>
      <c r="E6866" s="3" t="inlineStr">
        <is>
          <t>Penalties/Interest - SARS</t>
        </is>
      </c>
      <c r="F6866" s="3" t="n">
        <v>0</v>
      </c>
      <c r="G6866" s="3" t="n">
        <v>57.04</v>
      </c>
    </row>
    <row r="6867">
      <c r="A6867" s="3" t="inlineStr">
        <is>
          <t>Endulini (Pty) Ltd</t>
        </is>
      </c>
      <c r="B6867" s="4" t="n">
        <v>44561</v>
      </c>
      <c r="C6867" s="3" t="inlineStr">
        <is>
          <t>Expenses</t>
        </is>
      </c>
      <c r="D6867" s="3" t="inlineStr">
        <is>
          <t>4000/000</t>
        </is>
      </c>
      <c r="E6867" s="3" t="inlineStr">
        <is>
          <t>Legal Fees</t>
        </is>
      </c>
      <c r="F6867" s="3" t="n">
        <v>0</v>
      </c>
      <c r="G6867" s="3" t="n">
        <v>11.5</v>
      </c>
    </row>
    <row r="6868">
      <c r="A6868" s="3" t="inlineStr">
        <is>
          <t>Quinate Consulting (Pty) Ltd</t>
        </is>
      </c>
      <c r="B6868" s="4" t="n">
        <v>44561</v>
      </c>
      <c r="C6868" s="3" t="inlineStr">
        <is>
          <t>Expenses</t>
        </is>
      </c>
      <c r="D6868" s="3" t="inlineStr">
        <is>
          <t>4000/000</t>
        </is>
      </c>
      <c r="E6868" s="3" t="inlineStr">
        <is>
          <t>Legal Fees</t>
        </is>
      </c>
      <c r="F6868" s="3" t="n">
        <v>0</v>
      </c>
      <c r="G6868" s="3" t="n">
        <v>747.5</v>
      </c>
    </row>
    <row r="6869">
      <c r="A6869" s="3" t="inlineStr">
        <is>
          <t>Quinate Consulting (Pty) Ltd</t>
        </is>
      </c>
      <c r="B6869" s="4" t="n">
        <v>44561</v>
      </c>
      <c r="C6869" s="3" t="inlineStr">
        <is>
          <t>Expenses</t>
        </is>
      </c>
      <c r="D6869" s="3" t="inlineStr">
        <is>
          <t>4065/000</t>
        </is>
      </c>
      <c r="E6869" s="3" t="inlineStr">
        <is>
          <t>Levies - SoHo</t>
        </is>
      </c>
      <c r="F6869" s="3" t="n">
        <v>5950.83</v>
      </c>
      <c r="G6869" s="3" t="n">
        <v>59570.4</v>
      </c>
    </row>
    <row r="6870">
      <c r="A6870" s="3" t="inlineStr">
        <is>
          <t>Quinate Consulting (Pty) Ltd</t>
        </is>
      </c>
      <c r="B6870" s="4" t="n">
        <v>44561</v>
      </c>
      <c r="C6870" s="3" t="inlineStr">
        <is>
          <t>Expenses</t>
        </is>
      </c>
      <c r="D6870" s="3" t="inlineStr">
        <is>
          <t>4066/000</t>
        </is>
      </c>
      <c r="E6870" s="3" t="inlineStr">
        <is>
          <t>Levies - Southwark</t>
        </is>
      </c>
      <c r="F6870" s="3" t="n">
        <v>3422.18</v>
      </c>
      <c r="G6870" s="3" t="n">
        <v>29310.65</v>
      </c>
    </row>
    <row r="6871">
      <c r="A6871" s="3" t="inlineStr">
        <is>
          <t>Endulini (Pty) Ltd</t>
        </is>
      </c>
      <c r="B6871" s="4" t="n">
        <v>44561</v>
      </c>
      <c r="C6871" s="3" t="inlineStr">
        <is>
          <t>Expenses</t>
        </is>
      </c>
      <c r="D6871" s="3" t="inlineStr">
        <is>
          <t>4100/001</t>
        </is>
      </c>
      <c r="E6871" s="3" t="inlineStr">
        <is>
          <t>Momentum Admin Fee</t>
        </is>
      </c>
      <c r="F6871" s="3" t="n">
        <v>0</v>
      </c>
      <c r="G6871" s="3" t="n">
        <v>49708.84</v>
      </c>
    </row>
    <row r="6872">
      <c r="A6872" s="3" t="inlineStr">
        <is>
          <t>Opportunity Global Investment (PTY) LTD</t>
        </is>
      </c>
      <c r="B6872" s="4" t="n">
        <v>44561</v>
      </c>
      <c r="C6872" s="3" t="inlineStr">
        <is>
          <t>Expenses</t>
        </is>
      </c>
      <c r="D6872" s="3" t="inlineStr">
        <is>
          <t>4100/100</t>
        </is>
      </c>
      <c r="E6872" s="3" t="inlineStr">
        <is>
          <t>Members Salaries - Nick Morgan</t>
        </is>
      </c>
      <c r="F6872" s="3" t="n">
        <v>30567.7</v>
      </c>
      <c r="G6872" s="3" t="n">
        <v>307496.87</v>
      </c>
    </row>
    <row r="6873">
      <c r="A6873" s="3" t="inlineStr">
        <is>
          <t>Quinate Consulting (Pty) Ltd</t>
        </is>
      </c>
      <c r="B6873" s="4" t="n">
        <v>44561</v>
      </c>
      <c r="C6873" s="3" t="inlineStr">
        <is>
          <t>Expenses</t>
        </is>
      </c>
      <c r="D6873" s="3" t="inlineStr">
        <is>
          <t>4150/010</t>
        </is>
      </c>
      <c r="E6873" s="3" t="inlineStr">
        <is>
          <t>Motor Vehicle - Petrol _AND_ Oil</t>
        </is>
      </c>
      <c r="F6873" s="3" t="n">
        <v>0</v>
      </c>
      <c r="G6873" s="3" t="n">
        <v>1911.05</v>
      </c>
    </row>
    <row r="6874">
      <c r="A6874" s="3" t="inlineStr">
        <is>
          <t>Endulini (Pty) Ltd</t>
        </is>
      </c>
      <c r="B6874" s="4" t="n">
        <v>44561</v>
      </c>
      <c r="C6874" s="3" t="inlineStr">
        <is>
          <t>Expenses</t>
        </is>
      </c>
      <c r="D6874" s="3" t="inlineStr">
        <is>
          <t>4200/000</t>
        </is>
      </c>
      <c r="E6874" s="3" t="inlineStr">
        <is>
          <t>Printing _AND_ Stationery</t>
        </is>
      </c>
      <c r="F6874" s="3" t="n">
        <v>0</v>
      </c>
      <c r="G6874" s="3" t="n">
        <v>127.5</v>
      </c>
    </row>
    <row r="6875">
      <c r="A6875" s="3" t="inlineStr">
        <is>
          <t>Opportunity Global Investment (PTY) LTD</t>
        </is>
      </c>
      <c r="B6875" s="4" t="n">
        <v>44561</v>
      </c>
      <c r="C6875" s="3" t="inlineStr">
        <is>
          <t>Expenses</t>
        </is>
      </c>
      <c r="D6875" s="3" t="inlineStr">
        <is>
          <t>4200/000</t>
        </is>
      </c>
      <c r="E6875" s="3" t="inlineStr">
        <is>
          <t>Printing _AND_ Stationery</t>
        </is>
      </c>
      <c r="F6875" s="3" t="n">
        <v>2367</v>
      </c>
      <c r="G6875" s="3" t="n">
        <v>26595.38</v>
      </c>
    </row>
    <row r="6876">
      <c r="A6876" s="3" t="inlineStr">
        <is>
          <t>Opportunity Global Sales (PTY) LTD</t>
        </is>
      </c>
      <c r="B6876" s="4" t="n">
        <v>44561</v>
      </c>
      <c r="C6876" s="3" t="inlineStr">
        <is>
          <t>Expenses</t>
        </is>
      </c>
      <c r="D6876" s="3" t="inlineStr">
        <is>
          <t>4200/000</t>
        </is>
      </c>
      <c r="E6876" s="3" t="inlineStr">
        <is>
          <t>Printing _AND_ Stationery</t>
        </is>
      </c>
      <c r="F6876" s="3" t="n">
        <v>0</v>
      </c>
      <c r="G6876" s="3" t="n">
        <v>3520.82</v>
      </c>
    </row>
    <row r="6877">
      <c r="A6877" s="3" t="inlineStr">
        <is>
          <t>Quinate Consulting (Pty) Ltd</t>
        </is>
      </c>
      <c r="B6877" s="4" t="n">
        <v>44561</v>
      </c>
      <c r="C6877" s="3" t="inlineStr">
        <is>
          <t>Expenses</t>
        </is>
      </c>
      <c r="D6877" s="3" t="inlineStr">
        <is>
          <t>4200/000</t>
        </is>
      </c>
      <c r="E6877" s="3" t="inlineStr">
        <is>
          <t>Printing _AND_ Stationery</t>
        </is>
      </c>
      <c r="F6877" s="3" t="n">
        <v>0</v>
      </c>
      <c r="G6877" s="3" t="n">
        <v>15758.25</v>
      </c>
    </row>
    <row r="6878">
      <c r="A6878" s="3" t="inlineStr">
        <is>
          <t>Noble Shield (Pty) Ltd ta Go Letting</t>
        </is>
      </c>
      <c r="B6878" s="4" t="n">
        <v>44561</v>
      </c>
      <c r="C6878" s="3" t="inlineStr">
        <is>
          <t>Expenses</t>
        </is>
      </c>
      <c r="D6878" s="3" t="inlineStr">
        <is>
          <t>4200/100</t>
        </is>
      </c>
      <c r="E6878" s="3" t="inlineStr">
        <is>
          <t>Printing - Merchant West- Printer Rental</t>
        </is>
      </c>
      <c r="F6878" s="3" t="n">
        <v>1617.02</v>
      </c>
      <c r="G6878" s="3" t="n">
        <v>6468.08</v>
      </c>
    </row>
    <row r="6879">
      <c r="A6879" s="3" t="inlineStr">
        <is>
          <t>Noble Shield (Pty) Ltd ta Go Letting</t>
        </is>
      </c>
      <c r="B6879" s="4" t="n">
        <v>44561</v>
      </c>
      <c r="C6879" s="3" t="inlineStr">
        <is>
          <t>Expenses</t>
        </is>
      </c>
      <c r="D6879" s="3" t="inlineStr">
        <is>
          <t>4200/120</t>
        </is>
      </c>
      <c r="E6879" s="3" t="inlineStr">
        <is>
          <t>Printing - Ivy Line - Prints</t>
        </is>
      </c>
      <c r="F6879" s="3" t="n">
        <v>429.35</v>
      </c>
      <c r="G6879" s="3" t="n">
        <v>2262.95</v>
      </c>
    </row>
    <row r="6880">
      <c r="A6880" s="3" t="inlineStr">
        <is>
          <t>Noble Shield (Pty) Ltd ta Go Letting</t>
        </is>
      </c>
      <c r="B6880" s="4" t="n">
        <v>44561</v>
      </c>
      <c r="C6880" s="3" t="inlineStr">
        <is>
          <t>Expenses</t>
        </is>
      </c>
      <c r="D6880" s="3" t="inlineStr">
        <is>
          <t>4200/180</t>
        </is>
      </c>
      <c r="E6880" s="3" t="inlineStr">
        <is>
          <t>Printing - Ikon</t>
        </is>
      </c>
      <c r="F6880" s="3" t="n">
        <v>550.34</v>
      </c>
      <c r="G6880" s="3" t="n">
        <v>2360.9</v>
      </c>
    </row>
    <row r="6881">
      <c r="A6881" s="3" t="inlineStr">
        <is>
          <t>Noble Shield (Pty) Ltd ta Go Letting</t>
        </is>
      </c>
      <c r="B6881" s="4" t="n">
        <v>44561</v>
      </c>
      <c r="C6881" s="3" t="inlineStr">
        <is>
          <t>Expenses</t>
        </is>
      </c>
      <c r="D6881" s="3" t="inlineStr">
        <is>
          <t>4200/190</t>
        </is>
      </c>
      <c r="E6881" s="3" t="inlineStr">
        <is>
          <t>Printing - Centrafin printer rental</t>
        </is>
      </c>
      <c r="F6881" s="3" t="n">
        <v>2242.5</v>
      </c>
      <c r="G6881" s="3" t="n">
        <v>8970</v>
      </c>
    </row>
    <row r="6882">
      <c r="A6882" s="3" t="inlineStr">
        <is>
          <t>Noble Shield (Pty) Ltd ta Go Letting</t>
        </is>
      </c>
      <c r="B6882" s="4" t="n">
        <v>44561</v>
      </c>
      <c r="C6882" s="3" t="inlineStr">
        <is>
          <t>Expenses</t>
        </is>
      </c>
      <c r="D6882" s="3" t="inlineStr">
        <is>
          <t>4200/200</t>
        </is>
      </c>
      <c r="E6882" s="3" t="inlineStr">
        <is>
          <t>Printing - General Stationery VDB Office</t>
        </is>
      </c>
      <c r="F6882" s="3" t="n">
        <v>0</v>
      </c>
      <c r="G6882" s="3" t="n">
        <v>382.59</v>
      </c>
    </row>
    <row r="6883">
      <c r="A6883" s="3" t="inlineStr">
        <is>
          <t>Opportunity Global Investment (PTY) LTD</t>
        </is>
      </c>
      <c r="B6883" s="4" t="n">
        <v>44561</v>
      </c>
      <c r="C6883" s="3" t="inlineStr">
        <is>
          <t>Expenses</t>
        </is>
      </c>
      <c r="D6883" s="3" t="inlineStr">
        <is>
          <t>4220/000</t>
        </is>
      </c>
      <c r="E6883" s="3" t="inlineStr">
        <is>
          <t>Motor Vehicle Expenses - Petrol _AND_ Oil</t>
        </is>
      </c>
      <c r="F6883" s="3" t="n">
        <v>0</v>
      </c>
      <c r="G6883" s="3" t="n">
        <v>6428.95</v>
      </c>
    </row>
    <row r="6884">
      <c r="A6884" s="3" t="inlineStr">
        <is>
          <t>Opportunity Global Sales (PTY) LTD</t>
        </is>
      </c>
      <c r="B6884" s="4" t="n">
        <v>44561</v>
      </c>
      <c r="C6884" s="3" t="inlineStr">
        <is>
          <t>Expenses</t>
        </is>
      </c>
      <c r="D6884" s="3" t="inlineStr">
        <is>
          <t>4220/000</t>
        </is>
      </c>
      <c r="E6884" s="3" t="inlineStr">
        <is>
          <t>Motor Vehicle Expenses - Petrol _AND_ Oil</t>
        </is>
      </c>
      <c r="F6884" s="3" t="n">
        <v>0</v>
      </c>
      <c r="G6884" s="3" t="n">
        <v>2075.96</v>
      </c>
    </row>
    <row r="6885">
      <c r="A6885" s="3" t="inlineStr">
        <is>
          <t>Noble Shield (Pty) Ltd ta Go Letting</t>
        </is>
      </c>
      <c r="B6885" s="4" t="n">
        <v>44561</v>
      </c>
      <c r="C6885" s="3" t="inlineStr">
        <is>
          <t>Expenses</t>
        </is>
      </c>
      <c r="D6885" s="3" t="inlineStr">
        <is>
          <t>4290/000</t>
        </is>
      </c>
      <c r="E6885" s="3" t="inlineStr">
        <is>
          <t>Refreshments - CT Office</t>
        </is>
      </c>
      <c r="F6885" s="3" t="n">
        <v>663.55</v>
      </c>
      <c r="G6885" s="3" t="n">
        <v>2576</v>
      </c>
    </row>
    <row r="6886">
      <c r="A6886" s="3" t="inlineStr">
        <is>
          <t>Opportunity Global Investment (PTY) LTD</t>
        </is>
      </c>
      <c r="B6886" s="4" t="n">
        <v>44561</v>
      </c>
      <c r="C6886" s="3" t="inlineStr">
        <is>
          <t>Expenses</t>
        </is>
      </c>
      <c r="D6886" s="3" t="inlineStr">
        <is>
          <t>4290/000</t>
        </is>
      </c>
      <c r="E6886" s="3" t="inlineStr">
        <is>
          <t>Rent</t>
        </is>
      </c>
      <c r="F6886" s="3" t="n">
        <v>8770</v>
      </c>
      <c r="G6886" s="3" t="n">
        <v>87700</v>
      </c>
    </row>
    <row r="6887">
      <c r="A6887" s="3" t="inlineStr">
        <is>
          <t>Noble Shield (Pty) Ltd ta Go Letting</t>
        </is>
      </c>
      <c r="B6887" s="4" t="n">
        <v>44561</v>
      </c>
      <c r="C6887" s="3" t="inlineStr">
        <is>
          <t>Expenses</t>
        </is>
      </c>
      <c r="D6887" s="3" t="inlineStr">
        <is>
          <t>4291/000</t>
        </is>
      </c>
      <c r="E6887" s="3" t="inlineStr">
        <is>
          <t>Refreshments - VDB Office</t>
        </is>
      </c>
      <c r="F6887" s="3" t="n">
        <v>341.93</v>
      </c>
      <c r="G6887" s="3" t="n">
        <v>761.62</v>
      </c>
    </row>
    <row r="6888">
      <c r="A6888" s="3" t="inlineStr">
        <is>
          <t>Quinate Consulting (Pty) Ltd</t>
        </is>
      </c>
      <c r="B6888" s="4" t="n">
        <v>44561</v>
      </c>
      <c r="C6888" s="3" t="inlineStr">
        <is>
          <t>Expenses</t>
        </is>
      </c>
      <c r="D6888" s="3" t="inlineStr">
        <is>
          <t>4300/000</t>
        </is>
      </c>
      <c r="E6888" s="3" t="inlineStr">
        <is>
          <t>Rent Paid</t>
        </is>
      </c>
      <c r="F6888" s="3" t="n">
        <v>0</v>
      </c>
      <c r="G6888" s="3" t="n">
        <v>159974.04</v>
      </c>
    </row>
    <row r="6889">
      <c r="A6889" s="3" t="inlineStr">
        <is>
          <t>Trademark Holdings (Pty) Ltd</t>
        </is>
      </c>
      <c r="B6889" s="4" t="n">
        <v>44561</v>
      </c>
      <c r="C6889" s="3" t="inlineStr">
        <is>
          <t>Expenses</t>
        </is>
      </c>
      <c r="D6889" s="3" t="inlineStr">
        <is>
          <t>4300/000</t>
        </is>
      </c>
      <c r="E6889" s="3" t="inlineStr">
        <is>
          <t>Rent Paid</t>
        </is>
      </c>
      <c r="F6889" s="3" t="n">
        <v>5985.31</v>
      </c>
      <c r="G6889" s="3" t="n">
        <v>23941.24</v>
      </c>
    </row>
    <row r="6890">
      <c r="A6890" s="3" t="inlineStr">
        <is>
          <t>Endulini (Pty) Ltd</t>
        </is>
      </c>
      <c r="B6890" s="4" t="n">
        <v>44561</v>
      </c>
      <c r="C6890" s="3" t="inlineStr">
        <is>
          <t>Expenses</t>
        </is>
      </c>
      <c r="D6890" s="3" t="inlineStr">
        <is>
          <t>4310/000</t>
        </is>
      </c>
      <c r="E6890" s="3" t="inlineStr">
        <is>
          <t>Rates</t>
        </is>
      </c>
      <c r="F6890" s="3" t="n">
        <v>4134.1</v>
      </c>
      <c r="G6890" s="3" t="n">
        <v>27126.44</v>
      </c>
    </row>
    <row r="6891">
      <c r="A6891" s="3" t="inlineStr">
        <is>
          <t>Opportunity Global Investment (PTY) LTD</t>
        </is>
      </c>
      <c r="B6891" s="4" t="n">
        <v>44561</v>
      </c>
      <c r="C6891" s="3" t="inlineStr">
        <is>
          <t>Expenses</t>
        </is>
      </c>
      <c r="D6891" s="3" t="inlineStr">
        <is>
          <t>4310/000</t>
        </is>
      </c>
      <c r="E6891" s="3" t="inlineStr">
        <is>
          <t>Refreshments</t>
        </is>
      </c>
      <c r="F6891" s="3" t="n">
        <v>2521</v>
      </c>
      <c r="G6891" s="3" t="n">
        <v>25808.43</v>
      </c>
    </row>
    <row r="6892">
      <c r="A6892" s="3" t="inlineStr">
        <is>
          <t>Quinate Consulting (Pty) Ltd</t>
        </is>
      </c>
      <c r="B6892" s="4" t="n">
        <v>44561</v>
      </c>
      <c r="C6892" s="3" t="inlineStr">
        <is>
          <t>Expenses</t>
        </is>
      </c>
      <c r="D6892" s="3" t="inlineStr">
        <is>
          <t>4312/000</t>
        </is>
      </c>
      <c r="E6892" s="3" t="inlineStr">
        <is>
          <t>Rates - SoHo Units</t>
        </is>
      </c>
      <c r="F6892" s="3" t="n">
        <v>2416.62</v>
      </c>
      <c r="G6892" s="3" t="n">
        <v>23428.05</v>
      </c>
    </row>
    <row r="6893">
      <c r="A6893" s="3" t="inlineStr">
        <is>
          <t>Quinate Consulting (Pty) Ltd</t>
        </is>
      </c>
      <c r="B6893" s="4" t="n">
        <v>44561</v>
      </c>
      <c r="C6893" s="3" t="inlineStr">
        <is>
          <t>Expenses</t>
        </is>
      </c>
      <c r="D6893" s="3" t="inlineStr">
        <is>
          <t>4314/000</t>
        </is>
      </c>
      <c r="E6893" s="3" t="inlineStr">
        <is>
          <t>Rates - CT Office</t>
        </is>
      </c>
      <c r="F6893" s="3" t="n">
        <v>0</v>
      </c>
      <c r="G6893" s="3" t="n">
        <v>4596.96</v>
      </c>
    </row>
    <row r="6894">
      <c r="A6894" s="3" t="inlineStr">
        <is>
          <t>Quinate Consulting (Pty) Ltd</t>
        </is>
      </c>
      <c r="B6894" s="4" t="n">
        <v>44561</v>
      </c>
      <c r="C6894" s="3" t="inlineStr">
        <is>
          <t>Expenses</t>
        </is>
      </c>
      <c r="D6894" s="3" t="inlineStr">
        <is>
          <t>4320/000</t>
        </is>
      </c>
      <c r="E6894" s="3" t="inlineStr">
        <is>
          <t>Refreshments</t>
        </is>
      </c>
      <c r="F6894" s="3" t="n">
        <v>0</v>
      </c>
      <c r="G6894" s="3" t="n">
        <v>159</v>
      </c>
    </row>
    <row r="6895">
      <c r="A6895" s="3" t="inlineStr">
        <is>
          <t>Noble Shield (Pty) Ltd ta Go Letting</t>
        </is>
      </c>
      <c r="B6895" s="4" t="n">
        <v>44561</v>
      </c>
      <c r="C6895" s="3" t="inlineStr">
        <is>
          <t>Expenses</t>
        </is>
      </c>
      <c r="D6895" s="3" t="inlineStr">
        <is>
          <t>4350/000</t>
        </is>
      </c>
      <c r="E6895" s="3" t="inlineStr">
        <is>
          <t>Repairs _AND_ Maintenance</t>
        </is>
      </c>
      <c r="F6895" s="3" t="n">
        <v>0</v>
      </c>
      <c r="G6895" s="3" t="n">
        <v>719</v>
      </c>
    </row>
    <row r="6896">
      <c r="A6896" s="3" t="inlineStr">
        <is>
          <t>Quinate Consulting (Pty) Ltd</t>
        </is>
      </c>
      <c r="B6896" s="4" t="n">
        <v>44561</v>
      </c>
      <c r="C6896" s="3" t="inlineStr">
        <is>
          <t>Expenses</t>
        </is>
      </c>
      <c r="D6896" s="3" t="inlineStr">
        <is>
          <t>4350/000</t>
        </is>
      </c>
      <c r="E6896" s="3" t="inlineStr">
        <is>
          <t>Repairs and Maintenance - Southwark Units</t>
        </is>
      </c>
      <c r="F6896" s="3" t="n">
        <v>0</v>
      </c>
      <c r="G6896" s="3" t="n">
        <v>5984.63</v>
      </c>
    </row>
    <row r="6897">
      <c r="A6897" s="3" t="inlineStr">
        <is>
          <t>Opportunity Global Investment (PTY) LTD</t>
        </is>
      </c>
      <c r="B6897" s="4" t="n">
        <v>44561</v>
      </c>
      <c r="C6897" s="3" t="inlineStr">
        <is>
          <t>Expenses</t>
        </is>
      </c>
      <c r="D6897" s="3" t="inlineStr">
        <is>
          <t>4360/000</t>
        </is>
      </c>
      <c r="E6897" s="3" t="inlineStr">
        <is>
          <t>Secretarial - CIPC</t>
        </is>
      </c>
      <c r="F6897" s="3" t="n">
        <v>0</v>
      </c>
      <c r="G6897" s="3" t="n">
        <v>450</v>
      </c>
    </row>
    <row r="6898">
      <c r="A6898" s="3" t="inlineStr">
        <is>
          <t>Opportunity Global Sales (PTY) LTD</t>
        </is>
      </c>
      <c r="B6898" s="4" t="n">
        <v>44561</v>
      </c>
      <c r="C6898" s="3" t="inlineStr">
        <is>
          <t>Expenses</t>
        </is>
      </c>
      <c r="D6898" s="3" t="inlineStr">
        <is>
          <t>4390/000</t>
        </is>
      </c>
      <c r="E6898" s="3" t="inlineStr">
        <is>
          <t>Small Assets</t>
        </is>
      </c>
      <c r="F6898" s="3" t="n">
        <v>0</v>
      </c>
      <c r="G6898" s="3" t="n">
        <v>826.0700000000001</v>
      </c>
    </row>
    <row r="6899">
      <c r="A6899" s="3" t="inlineStr">
        <is>
          <t>Noble Shield (Pty) Ltd ta Go Letting</t>
        </is>
      </c>
      <c r="B6899" s="4" t="n">
        <v>44561</v>
      </c>
      <c r="C6899" s="3" t="inlineStr">
        <is>
          <t>Expenses</t>
        </is>
      </c>
      <c r="D6899" s="3" t="inlineStr">
        <is>
          <t>4400/000</t>
        </is>
      </c>
      <c r="E6899" s="3" t="inlineStr">
        <is>
          <t>Salaries _AND_ Wages</t>
        </is>
      </c>
      <c r="F6899" s="3" t="n">
        <v>21838.94</v>
      </c>
      <c r="G6899" s="3" t="n">
        <v>88105.78999999999</v>
      </c>
    </row>
    <row r="6900">
      <c r="A6900" s="3" t="inlineStr">
        <is>
          <t>Opportunity Global Investment (PTY) LTD</t>
        </is>
      </c>
      <c r="B6900" s="4" t="n">
        <v>44561</v>
      </c>
      <c r="C6900" s="3" t="inlineStr">
        <is>
          <t>Expenses</t>
        </is>
      </c>
      <c r="D6900" s="3" t="inlineStr">
        <is>
          <t>4400/000</t>
        </is>
      </c>
      <c r="E6900" s="3" t="inlineStr">
        <is>
          <t>Salaries _AND_ Wages</t>
        </is>
      </c>
      <c r="F6900" s="3" t="n">
        <v>0</v>
      </c>
      <c r="G6900" s="3" t="n">
        <v>38417.99</v>
      </c>
    </row>
    <row r="6901">
      <c r="A6901" s="3" t="inlineStr">
        <is>
          <t>Opportunity Global Sales (PTY) LTD</t>
        </is>
      </c>
      <c r="B6901" s="4" t="n">
        <v>44561</v>
      </c>
      <c r="C6901" s="3" t="inlineStr">
        <is>
          <t>Expenses</t>
        </is>
      </c>
      <c r="D6901" s="3" t="inlineStr">
        <is>
          <t>4400/000</t>
        </is>
      </c>
      <c r="E6901" s="3" t="inlineStr">
        <is>
          <t>Salaries _AND_ Wages</t>
        </is>
      </c>
      <c r="F6901" s="3" t="n">
        <v>34379.71</v>
      </c>
      <c r="G6901" s="3" t="n">
        <v>374256.2</v>
      </c>
    </row>
    <row r="6902">
      <c r="A6902" s="3" t="inlineStr">
        <is>
          <t>Opportunity Management Holdings (PTY) LTD</t>
        </is>
      </c>
      <c r="B6902" s="4" t="n">
        <v>44561</v>
      </c>
      <c r="C6902" s="3" t="inlineStr">
        <is>
          <t>Expenses</t>
        </is>
      </c>
      <c r="D6902" s="3" t="inlineStr">
        <is>
          <t>4400/000</t>
        </is>
      </c>
      <c r="E6902" s="3" t="inlineStr">
        <is>
          <t>Salaries _AND_ Wages</t>
        </is>
      </c>
      <c r="F6902" s="3" t="n">
        <v>175645.96</v>
      </c>
      <c r="G6902" s="3" t="n">
        <v>508709.83</v>
      </c>
    </row>
    <row r="6903">
      <c r="A6903" s="3" t="inlineStr">
        <is>
          <t>Trademark Holdings (Pty) Ltd</t>
        </is>
      </c>
      <c r="B6903" s="4" t="n">
        <v>44561</v>
      </c>
      <c r="C6903" s="3" t="inlineStr">
        <is>
          <t>Expenses</t>
        </is>
      </c>
      <c r="D6903" s="3" t="inlineStr">
        <is>
          <t>4400/000</t>
        </is>
      </c>
      <c r="E6903" s="3" t="inlineStr">
        <is>
          <t>Salaries _AND_ Wages</t>
        </is>
      </c>
      <c r="F6903" s="3" t="n">
        <v>37874.45</v>
      </c>
      <c r="G6903" s="3" t="n">
        <v>146822.51</v>
      </c>
    </row>
    <row r="6904">
      <c r="A6904" s="3" t="inlineStr">
        <is>
          <t>Opportunity Global Investment (PTY) LTD</t>
        </is>
      </c>
      <c r="B6904" s="4" t="n">
        <v>44561</v>
      </c>
      <c r="C6904" s="3" t="inlineStr">
        <is>
          <t>Expenses</t>
        </is>
      </c>
      <c r="D6904" s="3" t="inlineStr">
        <is>
          <t>4410/000</t>
        </is>
      </c>
      <c r="E6904" s="3" t="inlineStr">
        <is>
          <t>Salaries _AND_ Wages - WCA</t>
        </is>
      </c>
      <c r="F6904" s="3" t="n">
        <v>0</v>
      </c>
      <c r="G6904" s="3" t="n">
        <v>13109.81</v>
      </c>
    </row>
    <row r="6905">
      <c r="A6905" s="3" t="inlineStr">
        <is>
          <t>Quinate Consulting (Pty) Ltd</t>
        </is>
      </c>
      <c r="B6905" s="4" t="n">
        <v>44561</v>
      </c>
      <c r="C6905" s="3" t="inlineStr">
        <is>
          <t>Expenses</t>
        </is>
      </c>
      <c r="D6905" s="3" t="inlineStr">
        <is>
          <t>4430/000</t>
        </is>
      </c>
      <c r="E6905" s="3" t="inlineStr">
        <is>
          <t>Small Assets</t>
        </is>
      </c>
      <c r="F6905" s="3" t="n">
        <v>0</v>
      </c>
      <c r="G6905" s="3" t="n">
        <v>16261.78</v>
      </c>
    </row>
    <row r="6906">
      <c r="A6906" s="3" t="inlineStr">
        <is>
          <t>Opportunity Global Investment (PTY) LTD</t>
        </is>
      </c>
      <c r="B6906" s="4" t="n">
        <v>44561</v>
      </c>
      <c r="C6906" s="3" t="inlineStr">
        <is>
          <t>Expenses</t>
        </is>
      </c>
      <c r="D6906" s="3" t="inlineStr">
        <is>
          <t>4450/000</t>
        </is>
      </c>
      <c r="E6906" s="3" t="inlineStr">
        <is>
          <t>Staff Training</t>
        </is>
      </c>
      <c r="F6906" s="3" t="n">
        <v>0</v>
      </c>
      <c r="G6906" s="3" t="n">
        <v>1913.04</v>
      </c>
    </row>
    <row r="6907">
      <c r="A6907" s="3" t="inlineStr">
        <is>
          <t>Noble Shield (Pty) Ltd ta Go Letting</t>
        </is>
      </c>
      <c r="B6907" s="4" t="n">
        <v>44561</v>
      </c>
      <c r="C6907" s="3" t="inlineStr">
        <is>
          <t>Expenses</t>
        </is>
      </c>
      <c r="D6907" s="3" t="inlineStr">
        <is>
          <t>4500/000</t>
        </is>
      </c>
      <c r="E6907" s="3" t="inlineStr">
        <is>
          <t>Staff Welfare</t>
        </is>
      </c>
      <c r="F6907" s="3" t="n">
        <v>0</v>
      </c>
      <c r="G6907" s="3" t="n">
        <v>1900.95</v>
      </c>
    </row>
    <row r="6908">
      <c r="A6908" s="3" t="inlineStr">
        <is>
          <t>Opportunity Global Investment (PTY) LTD</t>
        </is>
      </c>
      <c r="B6908" s="4" t="n">
        <v>44561</v>
      </c>
      <c r="C6908" s="3" t="inlineStr">
        <is>
          <t>Expenses</t>
        </is>
      </c>
      <c r="D6908" s="3" t="inlineStr">
        <is>
          <t>4500/000</t>
        </is>
      </c>
      <c r="E6908" s="3" t="inlineStr">
        <is>
          <t>Staff Welfare</t>
        </is>
      </c>
      <c r="F6908" s="3" t="n">
        <v>0</v>
      </c>
      <c r="G6908" s="3" t="n">
        <v>3260</v>
      </c>
    </row>
    <row r="6909">
      <c r="A6909" s="3" t="inlineStr">
        <is>
          <t>Quinate Consulting (Pty) Ltd</t>
        </is>
      </c>
      <c r="B6909" s="4" t="n">
        <v>44561</v>
      </c>
      <c r="C6909" s="3" t="inlineStr">
        <is>
          <t>Expenses</t>
        </is>
      </c>
      <c r="D6909" s="3" t="inlineStr">
        <is>
          <t>4500/000</t>
        </is>
      </c>
      <c r="E6909" s="3" t="inlineStr">
        <is>
          <t>Staff Welfare</t>
        </is>
      </c>
      <c r="F6909" s="3" t="n">
        <v>0</v>
      </c>
      <c r="G6909" s="3" t="n">
        <v>13287.03</v>
      </c>
    </row>
    <row r="6910">
      <c r="A6910" s="3" t="inlineStr">
        <is>
          <t>Noble Shield (Pty) Ltd ta Go Letting</t>
        </is>
      </c>
      <c r="B6910" s="4" t="n">
        <v>44561</v>
      </c>
      <c r="C6910" s="3" t="inlineStr">
        <is>
          <t>Expenses</t>
        </is>
      </c>
      <c r="D6910" s="3" t="inlineStr">
        <is>
          <t>4520/000</t>
        </is>
      </c>
      <c r="E6910" s="3" t="inlineStr">
        <is>
          <t>Security</t>
        </is>
      </c>
      <c r="F6910" s="3" t="n">
        <v>673.1900000000001</v>
      </c>
      <c r="G6910" s="3" t="n">
        <v>3099.78</v>
      </c>
    </row>
    <row r="6911">
      <c r="A6911" s="3" t="inlineStr">
        <is>
          <t>Opportunity Global Investment (PTY) LTD</t>
        </is>
      </c>
      <c r="B6911" s="4" t="n">
        <v>44561</v>
      </c>
      <c r="C6911" s="3" t="inlineStr">
        <is>
          <t>Expenses</t>
        </is>
      </c>
      <c r="D6911" s="3" t="inlineStr">
        <is>
          <t>4550/000</t>
        </is>
      </c>
      <c r="E6911" s="3" t="inlineStr">
        <is>
          <t>Subscriptions</t>
        </is>
      </c>
      <c r="F6911" s="3" t="n">
        <v>539.12</v>
      </c>
      <c r="G6911" s="3" t="n">
        <v>539.12</v>
      </c>
    </row>
    <row r="6912">
      <c r="A6912" s="3" t="inlineStr">
        <is>
          <t>Opportunity Global Sales (PTY) LTD</t>
        </is>
      </c>
      <c r="B6912" s="4" t="n">
        <v>44561</v>
      </c>
      <c r="C6912" s="3" t="inlineStr">
        <is>
          <t>Expenses</t>
        </is>
      </c>
      <c r="D6912" s="3" t="inlineStr">
        <is>
          <t>4550/000</t>
        </is>
      </c>
      <c r="E6912" s="3" t="inlineStr">
        <is>
          <t>Subscriptions - General</t>
        </is>
      </c>
      <c r="F6912" s="3" t="n">
        <v>0</v>
      </c>
      <c r="G6912" s="3" t="n">
        <v>2152.5</v>
      </c>
    </row>
    <row r="6913">
      <c r="A6913" s="3" t="inlineStr">
        <is>
          <t>Quinate Consulting (Pty) Ltd</t>
        </is>
      </c>
      <c r="B6913" s="4" t="n">
        <v>44561</v>
      </c>
      <c r="C6913" s="3" t="inlineStr">
        <is>
          <t>Expenses</t>
        </is>
      </c>
      <c r="D6913" s="3" t="inlineStr">
        <is>
          <t>4550/000</t>
        </is>
      </c>
      <c r="E6913" s="3" t="inlineStr">
        <is>
          <t>Subscriptions / Licenses</t>
        </is>
      </c>
      <c r="F6913" s="3" t="n">
        <v>6441.67</v>
      </c>
      <c r="G6913" s="3" t="n">
        <v>53421.02</v>
      </c>
    </row>
    <row r="6914">
      <c r="A6914" s="3" t="inlineStr">
        <is>
          <t>Noble Shield (Pty) Ltd ta Go Letting</t>
        </is>
      </c>
      <c r="B6914" s="4" t="n">
        <v>44561</v>
      </c>
      <c r="C6914" s="3" t="inlineStr">
        <is>
          <t>Expenses</t>
        </is>
      </c>
      <c r="D6914" s="3" t="inlineStr">
        <is>
          <t>4550/100</t>
        </is>
      </c>
      <c r="E6914" s="3" t="inlineStr">
        <is>
          <t>Subscriptions - EAAB</t>
        </is>
      </c>
      <c r="F6914" s="3" t="n">
        <v>2500</v>
      </c>
      <c r="G6914" s="3" t="n">
        <v>3010</v>
      </c>
    </row>
    <row r="6915">
      <c r="A6915" s="3" t="inlineStr">
        <is>
          <t>Trademark Holdings (Pty) Ltd</t>
        </is>
      </c>
      <c r="B6915" s="4" t="n">
        <v>44561</v>
      </c>
      <c r="C6915" s="3" t="inlineStr">
        <is>
          <t>Expenses</t>
        </is>
      </c>
      <c r="D6915" s="3" t="inlineStr">
        <is>
          <t>4550/100</t>
        </is>
      </c>
      <c r="E6915" s="3" t="inlineStr">
        <is>
          <t>Subscriptions - EAAB</t>
        </is>
      </c>
      <c r="F6915" s="3" t="n">
        <v>0</v>
      </c>
      <c r="G6915" s="3" t="n">
        <v>1710</v>
      </c>
    </row>
    <row r="6916">
      <c r="A6916" s="3" t="inlineStr">
        <is>
          <t>Opportunity Global Investment (PTY) LTD</t>
        </is>
      </c>
      <c r="B6916" s="4" t="n">
        <v>44561</v>
      </c>
      <c r="C6916" s="3" t="inlineStr">
        <is>
          <t>Expenses</t>
        </is>
      </c>
      <c r="D6916" s="3" t="inlineStr">
        <is>
          <t>4550/100</t>
        </is>
      </c>
      <c r="E6916" s="3" t="inlineStr">
        <is>
          <t>Subscriptions - Zoho</t>
        </is>
      </c>
      <c r="F6916" s="3" t="n">
        <v>0</v>
      </c>
      <c r="G6916" s="3" t="n">
        <v>600</v>
      </c>
    </row>
    <row r="6917">
      <c r="A6917" s="3" t="inlineStr">
        <is>
          <t>Opportunity Global Investment (PTY) LTD</t>
        </is>
      </c>
      <c r="B6917" s="4" t="n">
        <v>44561</v>
      </c>
      <c r="C6917" s="3" t="inlineStr">
        <is>
          <t>Expenses</t>
        </is>
      </c>
      <c r="D6917" s="3" t="inlineStr">
        <is>
          <t>4550/150</t>
        </is>
      </c>
      <c r="E6917" s="3" t="inlineStr">
        <is>
          <t>Subscriptions - Webbox</t>
        </is>
      </c>
      <c r="F6917" s="3" t="n">
        <v>1165</v>
      </c>
      <c r="G6917" s="3" t="n">
        <v>16404</v>
      </c>
    </row>
    <row r="6918">
      <c r="A6918" s="3" t="inlineStr">
        <is>
          <t>Opportunity Global Investment (PTY) LTD</t>
        </is>
      </c>
      <c r="B6918" s="4" t="n">
        <v>44561</v>
      </c>
      <c r="C6918" s="3" t="inlineStr">
        <is>
          <t>Expenses</t>
        </is>
      </c>
      <c r="D6918" s="3" t="inlineStr">
        <is>
          <t>4550/200</t>
        </is>
      </c>
      <c r="E6918" s="3" t="inlineStr">
        <is>
          <t>Subscriptions - Zoom</t>
        </is>
      </c>
      <c r="F6918" s="3" t="n">
        <v>244.95</v>
      </c>
      <c r="G6918" s="3" t="n">
        <v>1635.95</v>
      </c>
    </row>
    <row r="6919">
      <c r="A6919" s="3" t="inlineStr">
        <is>
          <t>Opportunity Global Investment (PTY) LTD</t>
        </is>
      </c>
      <c r="B6919" s="4" t="n">
        <v>44561</v>
      </c>
      <c r="C6919" s="3" t="inlineStr">
        <is>
          <t>Expenses</t>
        </is>
      </c>
      <c r="D6919" s="3" t="inlineStr">
        <is>
          <t>4550/250</t>
        </is>
      </c>
      <c r="E6919" s="3" t="inlineStr">
        <is>
          <t>Subscriptions - LinkedIn</t>
        </is>
      </c>
      <c r="F6919" s="3" t="n">
        <v>1000.49</v>
      </c>
      <c r="G6919" s="3" t="n">
        <v>7003.43</v>
      </c>
    </row>
    <row r="6920">
      <c r="A6920" s="3" t="inlineStr">
        <is>
          <t>Noble Shield (Pty) Ltd ta Go Letting</t>
        </is>
      </c>
      <c r="B6920" s="4" t="n">
        <v>44561</v>
      </c>
      <c r="C6920" s="3" t="inlineStr">
        <is>
          <t>Expenses</t>
        </is>
      </c>
      <c r="D6920" s="3" t="inlineStr">
        <is>
          <t>4550/250</t>
        </is>
      </c>
      <c r="E6920" s="3" t="inlineStr">
        <is>
          <t>Subscriptions - Windeed reports</t>
        </is>
      </c>
      <c r="F6920" s="3" t="n">
        <v>0</v>
      </c>
      <c r="G6920" s="3" t="n">
        <v>63.2</v>
      </c>
    </row>
    <row r="6921">
      <c r="A6921" s="3" t="inlineStr">
        <is>
          <t>Opportunity Global Investment (PTY) LTD</t>
        </is>
      </c>
      <c r="B6921" s="4" t="n">
        <v>44561</v>
      </c>
      <c r="C6921" s="3" t="inlineStr">
        <is>
          <t>Expenses</t>
        </is>
      </c>
      <c r="D6921" s="3" t="inlineStr">
        <is>
          <t>4550/350</t>
        </is>
      </c>
      <c r="E6921" s="3" t="inlineStr">
        <is>
          <t>Subscriptions - Xero</t>
        </is>
      </c>
      <c r="F6921" s="3" t="n">
        <v>600</v>
      </c>
      <c r="G6921" s="3" t="n">
        <v>3950</v>
      </c>
    </row>
    <row r="6922">
      <c r="A6922" s="3" t="inlineStr">
        <is>
          <t>Opportunity Global Investment (PTY) LTD</t>
        </is>
      </c>
      <c r="B6922" s="4" t="n">
        <v>44561</v>
      </c>
      <c r="C6922" s="3" t="inlineStr">
        <is>
          <t>Expenses</t>
        </is>
      </c>
      <c r="D6922" s="3" t="inlineStr">
        <is>
          <t>4550/400</t>
        </is>
      </c>
      <c r="E6922" s="3" t="inlineStr">
        <is>
          <t>Subscriptions - Moneyweb</t>
        </is>
      </c>
      <c r="F6922" s="3" t="n">
        <v>54.78</v>
      </c>
      <c r="G6922" s="3" t="n">
        <v>313.6</v>
      </c>
    </row>
    <row r="6923">
      <c r="A6923" s="3" t="inlineStr">
        <is>
          <t>Trademark Holdings (Pty) Ltd</t>
        </is>
      </c>
      <c r="B6923" s="4" t="n">
        <v>44561</v>
      </c>
      <c r="C6923" s="3" t="inlineStr">
        <is>
          <t>Expenses</t>
        </is>
      </c>
      <c r="D6923" s="3" t="inlineStr">
        <is>
          <t>4550/400</t>
        </is>
      </c>
      <c r="E6923" s="3" t="inlineStr">
        <is>
          <t>Subscriptions - Xero</t>
        </is>
      </c>
      <c r="F6923" s="3" t="n">
        <v>600</v>
      </c>
      <c r="G6923" s="3" t="n">
        <v>2850</v>
      </c>
    </row>
    <row r="6924">
      <c r="A6924" s="3" t="inlineStr">
        <is>
          <t>Opportunity Global Investment (PTY) LTD</t>
        </is>
      </c>
      <c r="B6924" s="4" t="n">
        <v>44561</v>
      </c>
      <c r="C6924" s="3" t="inlineStr">
        <is>
          <t>Expenses</t>
        </is>
      </c>
      <c r="D6924" s="3" t="inlineStr">
        <is>
          <t>4550/450</t>
        </is>
      </c>
      <c r="E6924" s="3" t="inlineStr">
        <is>
          <t>Subscriptions - Adobe</t>
        </is>
      </c>
      <c r="F6924" s="3" t="n">
        <v>526.67</v>
      </c>
      <c r="G6924" s="3" t="n">
        <v>1964.96</v>
      </c>
    </row>
    <row r="6925">
      <c r="A6925" s="3" t="inlineStr">
        <is>
          <t>Noble Shield (Pty) Ltd ta Go Letting</t>
        </is>
      </c>
      <c r="B6925" s="4" t="n">
        <v>44561</v>
      </c>
      <c r="C6925" s="3" t="inlineStr">
        <is>
          <t>Expenses</t>
        </is>
      </c>
      <c r="D6925" s="3" t="inlineStr">
        <is>
          <t>4550/600</t>
        </is>
      </c>
      <c r="E6925" s="3" t="inlineStr">
        <is>
          <t>Subscriptions - Webbox</t>
        </is>
      </c>
      <c r="F6925" s="3" t="n">
        <v>1200.6</v>
      </c>
      <c r="G6925" s="3" t="n">
        <v>3855.56</v>
      </c>
    </row>
    <row r="6926">
      <c r="A6926" s="3" t="inlineStr">
        <is>
          <t>Noble Shield (Pty) Ltd ta Go Letting</t>
        </is>
      </c>
      <c r="B6926" s="4" t="n">
        <v>44561</v>
      </c>
      <c r="C6926" s="3" t="inlineStr">
        <is>
          <t>Expenses</t>
        </is>
      </c>
      <c r="D6926" s="3" t="inlineStr">
        <is>
          <t>4550/650</t>
        </is>
      </c>
      <c r="E6926" s="3" t="inlineStr">
        <is>
          <t>Subscriptions - Xero</t>
        </is>
      </c>
      <c r="F6926" s="3" t="n">
        <v>600</v>
      </c>
      <c r="G6926" s="3" t="n">
        <v>2850</v>
      </c>
    </row>
    <row r="6927">
      <c r="A6927" s="3" t="inlineStr">
        <is>
          <t>Noble Shield (Pty) Ltd ta Go Letting</t>
        </is>
      </c>
      <c r="B6927" s="4" t="n">
        <v>44561</v>
      </c>
      <c r="C6927" s="3" t="inlineStr">
        <is>
          <t>Expenses</t>
        </is>
      </c>
      <c r="D6927" s="3" t="inlineStr">
        <is>
          <t>4550/700</t>
        </is>
      </c>
      <c r="E6927" s="3" t="inlineStr">
        <is>
          <t>Subscriptions - Domain renewals</t>
        </is>
      </c>
      <c r="F6927" s="3" t="n">
        <v>0</v>
      </c>
      <c r="G6927" s="3" t="n">
        <v>1726.15</v>
      </c>
    </row>
    <row r="6928">
      <c r="A6928" s="3" t="inlineStr">
        <is>
          <t>Opportunity Global Sales (PTY) LTD</t>
        </is>
      </c>
      <c r="B6928" s="4" t="n">
        <v>44561</v>
      </c>
      <c r="C6928" s="3" t="inlineStr">
        <is>
          <t>Expenses</t>
        </is>
      </c>
      <c r="D6928" s="3" t="inlineStr">
        <is>
          <t>4551/000</t>
        </is>
      </c>
      <c r="E6928" s="3" t="inlineStr">
        <is>
          <t>Subscriptions - Payprop</t>
        </is>
      </c>
      <c r="F6928" s="3" t="n">
        <v>748.79</v>
      </c>
      <c r="G6928" s="3" t="n">
        <v>7003.9</v>
      </c>
    </row>
    <row r="6929">
      <c r="A6929" s="3" t="inlineStr">
        <is>
          <t>Quinate Consulting (Pty) Ltd</t>
        </is>
      </c>
      <c r="B6929" s="4" t="n">
        <v>44561</v>
      </c>
      <c r="C6929" s="3" t="inlineStr">
        <is>
          <t>Expenses</t>
        </is>
      </c>
      <c r="D6929" s="3" t="inlineStr">
        <is>
          <t>4551/000</t>
        </is>
      </c>
      <c r="E6929" s="3" t="inlineStr">
        <is>
          <t>Subscriptions - Zoho</t>
        </is>
      </c>
      <c r="F6929" s="3" t="n">
        <v>1125</v>
      </c>
      <c r="G6929" s="3" t="n">
        <v>9000</v>
      </c>
    </row>
    <row r="6930">
      <c r="A6930" s="3" t="inlineStr">
        <is>
          <t>Quinate Consulting (Pty) Ltd</t>
        </is>
      </c>
      <c r="B6930" s="4" t="n">
        <v>44561</v>
      </c>
      <c r="C6930" s="3" t="inlineStr">
        <is>
          <t>Expenses</t>
        </is>
      </c>
      <c r="D6930" s="3" t="inlineStr">
        <is>
          <t>4552/000</t>
        </is>
      </c>
      <c r="E6930" s="3" t="inlineStr">
        <is>
          <t>Subscriptions - CIPC</t>
        </is>
      </c>
      <c r="F6930" s="3" t="n">
        <v>0</v>
      </c>
      <c r="G6930" s="3" t="n">
        <v>2000</v>
      </c>
    </row>
    <row r="6931">
      <c r="A6931" s="3" t="inlineStr">
        <is>
          <t>Opportunity Global Sales (PTY) LTD</t>
        </is>
      </c>
      <c r="B6931" s="4" t="n">
        <v>44561</v>
      </c>
      <c r="C6931" s="3" t="inlineStr">
        <is>
          <t>Expenses</t>
        </is>
      </c>
      <c r="D6931" s="3" t="inlineStr">
        <is>
          <t>4552/000</t>
        </is>
      </c>
      <c r="E6931" s="3" t="inlineStr">
        <is>
          <t>Subscriptions - Xero</t>
        </is>
      </c>
      <c r="F6931" s="3" t="n">
        <v>600</v>
      </c>
      <c r="G6931" s="3" t="n">
        <v>3950</v>
      </c>
    </row>
    <row r="6932">
      <c r="A6932" s="3" t="inlineStr">
        <is>
          <t>Opportunity Global Sales (PTY) LTD</t>
        </is>
      </c>
      <c r="B6932" s="4" t="n">
        <v>44561</v>
      </c>
      <c r="C6932" s="3" t="inlineStr">
        <is>
          <t>Expenses</t>
        </is>
      </c>
      <c r="D6932" s="3" t="inlineStr">
        <is>
          <t>4553/000</t>
        </is>
      </c>
      <c r="E6932" s="3" t="inlineStr">
        <is>
          <t>Subscriptions - CMA</t>
        </is>
      </c>
      <c r="F6932" s="3" t="n">
        <v>680</v>
      </c>
      <c r="G6932" s="3" t="n">
        <v>4846.4</v>
      </c>
    </row>
    <row r="6933">
      <c r="A6933" s="3" t="inlineStr">
        <is>
          <t>Opportunity Global Sales (PTY) LTD</t>
        </is>
      </c>
      <c r="B6933" s="4" t="n">
        <v>44561</v>
      </c>
      <c r="C6933" s="3" t="inlineStr">
        <is>
          <t>Expenses</t>
        </is>
      </c>
      <c r="D6933" s="3" t="inlineStr">
        <is>
          <t>4554/000</t>
        </is>
      </c>
      <c r="E6933" s="3" t="inlineStr">
        <is>
          <t>Subscriptions - Zoho</t>
        </is>
      </c>
      <c r="F6933" s="3" t="n">
        <v>600</v>
      </c>
      <c r="G6933" s="3" t="n">
        <v>3600</v>
      </c>
    </row>
    <row r="6934">
      <c r="A6934" s="3" t="inlineStr">
        <is>
          <t>Opportunity Global Investment (PTY) LTD</t>
        </is>
      </c>
      <c r="B6934" s="4" t="n">
        <v>44561</v>
      </c>
      <c r="C6934" s="3" t="inlineStr">
        <is>
          <t>Expenses</t>
        </is>
      </c>
      <c r="D6934" s="3" t="inlineStr">
        <is>
          <t>4600/000</t>
        </is>
      </c>
      <c r="E6934" s="3" t="inlineStr">
        <is>
          <t>Telephone _AND_ Fax</t>
        </is>
      </c>
      <c r="F6934" s="3" t="n">
        <v>3355</v>
      </c>
      <c r="G6934" s="3" t="n">
        <v>33550</v>
      </c>
    </row>
    <row r="6935">
      <c r="A6935" s="3" t="inlineStr">
        <is>
          <t>Opportunity Global Sales (PTY) LTD</t>
        </is>
      </c>
      <c r="B6935" s="4" t="n">
        <v>44561</v>
      </c>
      <c r="C6935" s="3" t="inlineStr">
        <is>
          <t>Expenses</t>
        </is>
      </c>
      <c r="D6935" s="3" t="inlineStr">
        <is>
          <t>4600/000</t>
        </is>
      </c>
      <c r="E6935" s="3" t="inlineStr">
        <is>
          <t>Telephone _AND_ Fax</t>
        </is>
      </c>
      <c r="F6935" s="3" t="n">
        <v>180</v>
      </c>
      <c r="G6935" s="3" t="n">
        <v>2520</v>
      </c>
    </row>
    <row r="6936">
      <c r="A6936" s="3" t="inlineStr">
        <is>
          <t>Trademark Holdings (Pty) Ltd</t>
        </is>
      </c>
      <c r="B6936" s="4" t="n">
        <v>44561</v>
      </c>
      <c r="C6936" s="3" t="inlineStr">
        <is>
          <t>Expenses</t>
        </is>
      </c>
      <c r="D6936" s="3" t="inlineStr">
        <is>
          <t>4600/000</t>
        </is>
      </c>
      <c r="E6936" s="3" t="inlineStr">
        <is>
          <t>Telephone _AND_ Fax</t>
        </is>
      </c>
      <c r="F6936" s="3" t="n">
        <v>1752.99</v>
      </c>
      <c r="G6936" s="3" t="n">
        <v>5241.38</v>
      </c>
    </row>
    <row r="6937">
      <c r="A6937" s="3" t="inlineStr">
        <is>
          <t>Noble Shield (Pty) Ltd ta Go Letting</t>
        </is>
      </c>
      <c r="B6937" s="4" t="n">
        <v>44561</v>
      </c>
      <c r="C6937" s="3" t="inlineStr">
        <is>
          <t>Expenses</t>
        </is>
      </c>
      <c r="D6937" s="3" t="inlineStr">
        <is>
          <t>4600/000</t>
        </is>
      </c>
      <c r="E6937" s="3" t="inlineStr">
        <is>
          <t>Telephone _AND_ Fax - VDB Office</t>
        </is>
      </c>
      <c r="F6937" s="3" t="n">
        <v>0</v>
      </c>
      <c r="G6937" s="3" t="n">
        <v>1926.25</v>
      </c>
    </row>
    <row r="6938">
      <c r="A6938" s="3" t="inlineStr">
        <is>
          <t>Noble Shield (Pty) Ltd ta Go Letting</t>
        </is>
      </c>
      <c r="B6938" s="4" t="n">
        <v>44561</v>
      </c>
      <c r="C6938" s="3" t="inlineStr">
        <is>
          <t>Expenses</t>
        </is>
      </c>
      <c r="D6938" s="3" t="inlineStr">
        <is>
          <t>4610/000</t>
        </is>
      </c>
      <c r="E6938" s="3" t="inlineStr">
        <is>
          <t>Telephone - CT Office</t>
        </is>
      </c>
      <c r="F6938" s="3" t="n">
        <v>966.1900000000001</v>
      </c>
      <c r="G6938" s="3" t="n">
        <v>3605.35</v>
      </c>
    </row>
    <row r="6939">
      <c r="A6939" s="3" t="inlineStr">
        <is>
          <t>Opportunity Global Investment (PTY) LTD</t>
        </is>
      </c>
      <c r="B6939" s="4" t="n">
        <v>44561</v>
      </c>
      <c r="C6939" s="3" t="inlineStr">
        <is>
          <t>Expenses</t>
        </is>
      </c>
      <c r="D6939" s="3" t="inlineStr">
        <is>
          <t>4650/000</t>
        </is>
      </c>
      <c r="E6939" s="3" t="inlineStr">
        <is>
          <t>Travel _AND_ Accommodation</t>
        </is>
      </c>
      <c r="F6939" s="3" t="n">
        <v>0</v>
      </c>
      <c r="G6939" s="3" t="n">
        <v>355</v>
      </c>
    </row>
    <row r="6940">
      <c r="A6940" s="3" t="inlineStr">
        <is>
          <t>Opportunity Global Investment (PTY) LTD</t>
        </is>
      </c>
      <c r="B6940" s="4" t="n">
        <v>44561</v>
      </c>
      <c r="C6940" s="3" t="inlineStr">
        <is>
          <t>Expenses</t>
        </is>
      </c>
      <c r="D6940" s="3" t="inlineStr">
        <is>
          <t>4650/010</t>
        </is>
      </c>
      <c r="E6940" s="3" t="inlineStr">
        <is>
          <t>Travel Accomodation - Flights - Local</t>
        </is>
      </c>
      <c r="F6940" s="3" t="n">
        <v>0</v>
      </c>
      <c r="G6940" s="3" t="n">
        <v>4362</v>
      </c>
    </row>
    <row r="6941">
      <c r="A6941" s="3" t="inlineStr">
        <is>
          <t>Opportunity Global Investment (PTY) LTD</t>
        </is>
      </c>
      <c r="B6941" s="4" t="n">
        <v>44561</v>
      </c>
      <c r="C6941" s="3" t="inlineStr">
        <is>
          <t>Expenses</t>
        </is>
      </c>
      <c r="D6941" s="3" t="inlineStr">
        <is>
          <t>4650/020</t>
        </is>
      </c>
      <c r="E6941" s="3" t="inlineStr">
        <is>
          <t>Travel Accomodation - Car Hire</t>
        </is>
      </c>
      <c r="F6941" s="3" t="n">
        <v>1013.91</v>
      </c>
      <c r="G6941" s="3" t="n">
        <v>1013.91</v>
      </c>
    </row>
    <row r="6942">
      <c r="A6942" s="3" t="inlineStr">
        <is>
          <t>Quinate Consulting (Pty) Ltd</t>
        </is>
      </c>
      <c r="B6942" s="4" t="n">
        <v>44561</v>
      </c>
      <c r="C6942" s="3" t="inlineStr">
        <is>
          <t>Expenses</t>
        </is>
      </c>
      <c r="D6942" s="3" t="inlineStr">
        <is>
          <t>4650/030</t>
        </is>
      </c>
      <c r="E6942" s="3" t="inlineStr">
        <is>
          <t>Travel - Parking</t>
        </is>
      </c>
      <c r="F6942" s="3" t="n">
        <v>597.39</v>
      </c>
      <c r="G6942" s="3" t="n">
        <v>653.91</v>
      </c>
    </row>
    <row r="6943">
      <c r="A6943" s="3" t="inlineStr">
        <is>
          <t>Quinate Consulting (Pty) Ltd</t>
        </is>
      </c>
      <c r="B6943" s="4" t="n">
        <v>44561</v>
      </c>
      <c r="C6943" s="3" t="inlineStr">
        <is>
          <t>Expenses</t>
        </is>
      </c>
      <c r="D6943" s="3" t="inlineStr">
        <is>
          <t>4650/040</t>
        </is>
      </c>
      <c r="E6943" s="3" t="inlineStr">
        <is>
          <t>Travel - Local Car Hire</t>
        </is>
      </c>
      <c r="F6943" s="3" t="n">
        <v>0</v>
      </c>
      <c r="G6943" s="3" t="n">
        <v>817</v>
      </c>
    </row>
    <row r="6944">
      <c r="A6944" s="3" t="inlineStr">
        <is>
          <t>Opportunity Global Investment (PTY) LTD</t>
        </is>
      </c>
      <c r="B6944" s="4" t="n">
        <v>44561</v>
      </c>
      <c r="C6944" s="3" t="inlineStr">
        <is>
          <t>Expenses</t>
        </is>
      </c>
      <c r="D6944" s="3" t="inlineStr">
        <is>
          <t>4650/060</t>
        </is>
      </c>
      <c r="E6944" s="3" t="inlineStr">
        <is>
          <t>Travel _AND_ Accomodation - Parking_AND_Toll fee</t>
        </is>
      </c>
      <c r="F6944" s="3" t="n">
        <v>0</v>
      </c>
      <c r="G6944" s="3" t="n">
        <v>848.6799999999999</v>
      </c>
    </row>
    <row r="6945">
      <c r="A6945" s="3" t="inlineStr">
        <is>
          <t>Opportunity Global Sales (PTY) LTD</t>
        </is>
      </c>
      <c r="B6945" s="4" t="n">
        <v>44561</v>
      </c>
      <c r="C6945" s="3" t="inlineStr">
        <is>
          <t>Expenses</t>
        </is>
      </c>
      <c r="D6945" s="3" t="inlineStr">
        <is>
          <t>4650/070</t>
        </is>
      </c>
      <c r="E6945" s="3" t="inlineStr">
        <is>
          <t>Travel &amp; Accommodation - Petrol</t>
        </is>
      </c>
      <c r="F6945" s="3" t="n">
        <v>0</v>
      </c>
      <c r="G6945" s="3" t="n">
        <v>180.2</v>
      </c>
    </row>
    <row r="6946">
      <c r="A6946" s="3" t="inlineStr">
        <is>
          <t>Opportunity Global Investment (PTY) LTD</t>
        </is>
      </c>
      <c r="B6946" s="4" t="n">
        <v>44561</v>
      </c>
      <c r="C6946" s="3" t="inlineStr">
        <is>
          <t>Expenses</t>
        </is>
      </c>
      <c r="D6946" s="3" t="inlineStr">
        <is>
          <t>4650/080</t>
        </is>
      </c>
      <c r="E6946" s="3" t="inlineStr">
        <is>
          <t>Travel &amp; Accommodation - Staff Reimbursements</t>
        </is>
      </c>
      <c r="F6946" s="3" t="n">
        <v>0</v>
      </c>
      <c r="G6946" s="3" t="n">
        <v>131.34</v>
      </c>
    </row>
    <row r="6947">
      <c r="A6947" s="3" t="inlineStr">
        <is>
          <t>Opportunity Global Investment (PTY) LTD</t>
        </is>
      </c>
      <c r="B6947" s="4" t="n">
        <v>44561</v>
      </c>
      <c r="C6947" s="3" t="inlineStr">
        <is>
          <t>Expenses</t>
        </is>
      </c>
      <c r="D6947" s="3" t="inlineStr">
        <is>
          <t>4650/090</t>
        </is>
      </c>
      <c r="E6947" s="3" t="inlineStr">
        <is>
          <t>Travel &amp; Accom - Fuel</t>
        </is>
      </c>
      <c r="F6947" s="3" t="n">
        <v>3603.64</v>
      </c>
      <c r="G6947" s="3" t="n">
        <v>17955.42</v>
      </c>
    </row>
    <row r="6948">
      <c r="A6948" s="3" t="inlineStr">
        <is>
          <t>Noble Shield (Pty) Ltd ta Go Letting</t>
        </is>
      </c>
      <c r="B6948" s="4" t="n">
        <v>44561</v>
      </c>
      <c r="C6948" s="3" t="inlineStr">
        <is>
          <t>Expenses</t>
        </is>
      </c>
      <c r="D6948" s="3" t="inlineStr">
        <is>
          <t>4700/000</t>
        </is>
      </c>
      <c r="E6948" s="3" t="inlineStr">
        <is>
          <t>PAYE Contributions</t>
        </is>
      </c>
      <c r="F6948" s="3" t="n">
        <v>5240.94</v>
      </c>
      <c r="G6948" s="3" t="n">
        <v>19844.24</v>
      </c>
    </row>
    <row r="6949">
      <c r="A6949" s="3" t="inlineStr">
        <is>
          <t>Trademark Holdings (Pty) Ltd</t>
        </is>
      </c>
      <c r="B6949" s="4" t="n">
        <v>44561</v>
      </c>
      <c r="C6949" s="3" t="inlineStr">
        <is>
          <t>Expenses</t>
        </is>
      </c>
      <c r="D6949" s="3" t="inlineStr">
        <is>
          <t>4700/000</t>
        </is>
      </c>
      <c r="E6949" s="3" t="inlineStr">
        <is>
          <t>PAYE Contributions</t>
        </is>
      </c>
      <c r="F6949" s="3" t="n">
        <v>5732.89</v>
      </c>
      <c r="G6949" s="3" t="n">
        <v>24478.61</v>
      </c>
    </row>
    <row r="6950">
      <c r="A6950" s="3" t="inlineStr">
        <is>
          <t>Opportunity Global Investment (PTY) LTD</t>
        </is>
      </c>
      <c r="B6950" s="4" t="n">
        <v>44561</v>
      </c>
      <c r="C6950" s="3" t="inlineStr">
        <is>
          <t>Expenses</t>
        </is>
      </c>
      <c r="D6950" s="3" t="inlineStr">
        <is>
          <t>4700/000</t>
        </is>
      </c>
      <c r="E6950" s="3" t="inlineStr">
        <is>
          <t>UIF Contributions</t>
        </is>
      </c>
      <c r="F6950" s="3" t="n">
        <v>177.12</v>
      </c>
      <c r="G6950" s="3" t="n">
        <v>3700.62</v>
      </c>
    </row>
    <row r="6951">
      <c r="A6951" s="3" t="inlineStr">
        <is>
          <t>Opportunity Global Sales (PTY) LTD</t>
        </is>
      </c>
      <c r="B6951" s="4" t="n">
        <v>44561</v>
      </c>
      <c r="C6951" s="3" t="inlineStr">
        <is>
          <t>Expenses</t>
        </is>
      </c>
      <c r="D6951" s="3" t="inlineStr">
        <is>
          <t>4700/000</t>
        </is>
      </c>
      <c r="E6951" s="3" t="inlineStr">
        <is>
          <t>UIF Contributions</t>
        </is>
      </c>
      <c r="F6951" s="3" t="n">
        <v>227.12</v>
      </c>
      <c r="G6951" s="3" t="n">
        <v>1589.84</v>
      </c>
    </row>
    <row r="6952">
      <c r="A6952" s="3" t="inlineStr">
        <is>
          <t>Opportunity Global Sales (PTY) LTD</t>
        </is>
      </c>
      <c r="B6952" s="4" t="n">
        <v>44561</v>
      </c>
      <c r="C6952" s="3" t="inlineStr">
        <is>
          <t>Expenses</t>
        </is>
      </c>
      <c r="D6952" s="3" t="inlineStr">
        <is>
          <t>4701/000</t>
        </is>
      </c>
      <c r="E6952" s="3" t="inlineStr">
        <is>
          <t>UIF Employee Contribution</t>
        </is>
      </c>
      <c r="F6952" s="3" t="n">
        <v>227.12</v>
      </c>
      <c r="G6952" s="3" t="n">
        <v>1589.84</v>
      </c>
    </row>
    <row r="6953">
      <c r="A6953" s="3" t="inlineStr">
        <is>
          <t>Opportunity Global Investment (PTY) LTD</t>
        </is>
      </c>
      <c r="B6953" s="4" t="n">
        <v>44561</v>
      </c>
      <c r="C6953" s="3" t="inlineStr">
        <is>
          <t>Expenses</t>
        </is>
      </c>
      <c r="D6953" s="3" t="inlineStr">
        <is>
          <t>4701/000</t>
        </is>
      </c>
      <c r="E6953" s="3" t="inlineStr">
        <is>
          <t>UIF Employee Contributions</t>
        </is>
      </c>
      <c r="F6953" s="3" t="n">
        <v>177.12</v>
      </c>
      <c r="G6953" s="3" t="n">
        <v>1769.84</v>
      </c>
    </row>
    <row r="6954">
      <c r="A6954" s="3" t="inlineStr">
        <is>
          <t>Noble Shield (Pty) Ltd ta Go Letting</t>
        </is>
      </c>
      <c r="B6954" s="4" t="n">
        <v>44561</v>
      </c>
      <c r="C6954" s="3" t="inlineStr">
        <is>
          <t>Expenses</t>
        </is>
      </c>
      <c r="D6954" s="3" t="inlineStr">
        <is>
          <t>4710/000</t>
        </is>
      </c>
      <c r="E6954" s="3" t="inlineStr">
        <is>
          <t>UIF Company Contributions</t>
        </is>
      </c>
      <c r="F6954" s="3" t="n">
        <v>195.25</v>
      </c>
      <c r="G6954" s="3" t="n">
        <v>781</v>
      </c>
    </row>
    <row r="6955">
      <c r="A6955" s="3" t="inlineStr">
        <is>
          <t>Trademark Holdings (Pty) Ltd</t>
        </is>
      </c>
      <c r="B6955" s="4" t="n">
        <v>44561</v>
      </c>
      <c r="C6955" s="3" t="inlineStr">
        <is>
          <t>Expenses</t>
        </is>
      </c>
      <c r="D6955" s="3" t="inlineStr">
        <is>
          <t>4710/000</t>
        </is>
      </c>
      <c r="E6955" s="3" t="inlineStr">
        <is>
          <t>UIF Company Contributions</t>
        </is>
      </c>
      <c r="F6955" s="3" t="n">
        <v>95.25</v>
      </c>
      <c r="G6955" s="3" t="n">
        <v>685.62</v>
      </c>
    </row>
    <row r="6956">
      <c r="A6956" s="3" t="inlineStr">
        <is>
          <t>Noble Shield (Pty) Ltd ta Go Letting</t>
        </is>
      </c>
      <c r="B6956" s="4" t="n">
        <v>44561</v>
      </c>
      <c r="C6956" s="3" t="inlineStr">
        <is>
          <t>Expenses</t>
        </is>
      </c>
      <c r="D6956" s="3" t="inlineStr">
        <is>
          <t>4711/000</t>
        </is>
      </c>
      <c r="E6956" s="3" t="inlineStr">
        <is>
          <t>UIF Employee Contribution</t>
        </is>
      </c>
      <c r="F6956" s="3" t="n">
        <v>195.25</v>
      </c>
      <c r="G6956" s="3" t="n">
        <v>781</v>
      </c>
    </row>
    <row r="6957">
      <c r="A6957" s="3" t="inlineStr">
        <is>
          <t>Trademark Holdings (Pty) Ltd</t>
        </is>
      </c>
      <c r="B6957" s="4" t="n">
        <v>44561</v>
      </c>
      <c r="C6957" s="3" t="inlineStr">
        <is>
          <t>Expenses</t>
        </is>
      </c>
      <c r="D6957" s="3" t="inlineStr">
        <is>
          <t>4711/000</t>
        </is>
      </c>
      <c r="E6957" s="3" t="inlineStr">
        <is>
          <t>UIF Employee Contributions</t>
        </is>
      </c>
      <c r="F6957" s="3" t="n">
        <v>95.25</v>
      </c>
      <c r="G6957" s="3" t="n">
        <v>685.62</v>
      </c>
    </row>
    <row r="6958">
      <c r="A6958" s="3" t="inlineStr">
        <is>
          <t>Noble Shield (Pty) Ltd ta Go Letting</t>
        </is>
      </c>
      <c r="B6958" s="4" t="n">
        <v>44561</v>
      </c>
      <c r="C6958" s="3" t="inlineStr">
        <is>
          <t>Expenses</t>
        </is>
      </c>
      <c r="D6958" s="3" t="inlineStr">
        <is>
          <t>4720/000</t>
        </is>
      </c>
      <c r="E6958" s="3" t="inlineStr">
        <is>
          <t>SDL Contributions</t>
        </is>
      </c>
      <c r="F6958" s="3" t="n">
        <v>388.51</v>
      </c>
      <c r="G6958" s="3" t="n">
        <v>1227.6</v>
      </c>
    </row>
    <row r="6959">
      <c r="A6959" s="3" t="inlineStr">
        <is>
          <t>Trademark Holdings (Pty) Ltd</t>
        </is>
      </c>
      <c r="B6959" s="4" t="n">
        <v>44561</v>
      </c>
      <c r="C6959" s="3" t="inlineStr">
        <is>
          <t>Expenses</t>
        </is>
      </c>
      <c r="D6959" s="3" t="inlineStr">
        <is>
          <t>4720/000</t>
        </is>
      </c>
      <c r="E6959" s="3" t="inlineStr">
        <is>
          <t>SDL Contributions</t>
        </is>
      </c>
      <c r="F6959" s="3" t="n">
        <v>319.07</v>
      </c>
      <c r="G6959" s="3" t="n">
        <v>1237</v>
      </c>
    </row>
    <row r="6960">
      <c r="A6960" s="3" t="inlineStr">
        <is>
          <t>Opportunity Global Investment (PTY) LTD</t>
        </is>
      </c>
      <c r="B6960" s="4" t="n">
        <v>44561</v>
      </c>
      <c r="C6960" s="3" t="inlineStr">
        <is>
          <t>Expenses</t>
        </is>
      </c>
      <c r="D6960" s="3" t="inlineStr">
        <is>
          <t>4730/000</t>
        </is>
      </c>
      <c r="E6960" s="3" t="inlineStr">
        <is>
          <t>PAYE Contributions</t>
        </is>
      </c>
      <c r="F6960" s="3" t="n">
        <v>5777.18</v>
      </c>
      <c r="G6960" s="3" t="n">
        <v>95467.27</v>
      </c>
    </row>
    <row r="6961">
      <c r="A6961" s="3" t="inlineStr">
        <is>
          <t>Opportunity Global Sales (PTY) LTD</t>
        </is>
      </c>
      <c r="B6961" s="4" t="n">
        <v>44561</v>
      </c>
      <c r="C6961" s="3" t="inlineStr">
        <is>
          <t>Expenses</t>
        </is>
      </c>
      <c r="D6961" s="3" t="inlineStr">
        <is>
          <t>4730/000</t>
        </is>
      </c>
      <c r="E6961" s="3" t="inlineStr">
        <is>
          <t>PAYE Contributions</t>
        </is>
      </c>
      <c r="F6961" s="3" t="n">
        <v>21340.09</v>
      </c>
      <c r="G6961" s="3" t="n">
        <v>90545.87</v>
      </c>
    </row>
    <row r="6962">
      <c r="A6962" s="3" t="inlineStr">
        <is>
          <t>Opportunity Management Holdings (PTY) LTD</t>
        </is>
      </c>
      <c r="B6962" s="4" t="n">
        <v>44561</v>
      </c>
      <c r="C6962" s="3" t="inlineStr">
        <is>
          <t>Expenses</t>
        </is>
      </c>
      <c r="D6962" s="3" t="inlineStr">
        <is>
          <t>4730/000</t>
        </is>
      </c>
      <c r="E6962" s="3" t="inlineStr">
        <is>
          <t>PAYE Contributions</t>
        </is>
      </c>
      <c r="F6962" s="3" t="n">
        <v>38431.65</v>
      </c>
      <c r="G6962" s="3" t="n">
        <v>114065.23</v>
      </c>
    </row>
    <row r="6963">
      <c r="A6963" s="3" t="inlineStr">
        <is>
          <t>Opportunity Global Investment (PTY) LTD</t>
        </is>
      </c>
      <c r="B6963" s="4" t="n">
        <v>44561</v>
      </c>
      <c r="C6963" s="3" t="inlineStr">
        <is>
          <t>Expenses</t>
        </is>
      </c>
      <c r="D6963" s="3" t="inlineStr">
        <is>
          <t>4740/000</t>
        </is>
      </c>
      <c r="E6963" s="3" t="inlineStr">
        <is>
          <t>SDL Contributions</t>
        </is>
      </c>
      <c r="F6963" s="3" t="n">
        <v>320.5</v>
      </c>
      <c r="G6963" s="3" t="n">
        <v>5754.72</v>
      </c>
    </row>
    <row r="6964">
      <c r="A6964" s="3" t="inlineStr">
        <is>
          <t>Opportunity Global Sales (PTY) LTD</t>
        </is>
      </c>
      <c r="B6964" s="4" t="n">
        <v>44561</v>
      </c>
      <c r="C6964" s="3" t="inlineStr">
        <is>
          <t>Expenses</t>
        </is>
      </c>
      <c r="D6964" s="3" t="inlineStr">
        <is>
          <t>4740/000</t>
        </is>
      </c>
      <c r="E6964" s="3" t="inlineStr">
        <is>
          <t>SDL Contributions</t>
        </is>
      </c>
      <c r="F6964" s="3" t="n">
        <v>1279.94</v>
      </c>
      <c r="G6964" s="3" t="n">
        <v>5709.33</v>
      </c>
    </row>
    <row r="6965">
      <c r="A6965" s="3" t="inlineStr">
        <is>
          <t>Opportunity Management Holdings (PTY) LTD</t>
        </is>
      </c>
      <c r="B6965" s="4" t="n">
        <v>44561</v>
      </c>
      <c r="C6965" s="3" t="inlineStr">
        <is>
          <t>Expenses</t>
        </is>
      </c>
      <c r="D6965" s="3" t="inlineStr">
        <is>
          <t>4740/000</t>
        </is>
      </c>
      <c r="E6965" s="3" t="inlineStr">
        <is>
          <t>UIF Company Contribution</t>
        </is>
      </c>
      <c r="F6965" s="3" t="n">
        <v>1232.7</v>
      </c>
      <c r="G6965" s="3" t="n">
        <v>3538.9</v>
      </c>
    </row>
    <row r="6966">
      <c r="A6966" s="3" t="inlineStr">
        <is>
          <t>Opportunity Management Holdings (PTY) LTD</t>
        </is>
      </c>
      <c r="B6966" s="4" t="n">
        <v>44561</v>
      </c>
      <c r="C6966" s="3" t="inlineStr">
        <is>
          <t>Expenses</t>
        </is>
      </c>
      <c r="D6966" s="3" t="inlineStr">
        <is>
          <t>4741/000</t>
        </is>
      </c>
      <c r="E6966" s="3" t="inlineStr">
        <is>
          <t>UIF Employee Contribution</t>
        </is>
      </c>
      <c r="F6966" s="3" t="n">
        <v>1232.7</v>
      </c>
      <c r="G6966" s="3" t="n">
        <v>3538.9</v>
      </c>
    </row>
    <row r="6967">
      <c r="A6967" s="3" t="inlineStr">
        <is>
          <t>Opportunity Management Holdings (PTY) LTD</t>
        </is>
      </c>
      <c r="B6967" s="4" t="n">
        <v>44561</v>
      </c>
      <c r="C6967" s="3" t="inlineStr">
        <is>
          <t>Expenses</t>
        </is>
      </c>
      <c r="D6967" s="3" t="inlineStr">
        <is>
          <t>4750/000</t>
        </is>
      </c>
      <c r="E6967" s="3" t="inlineStr">
        <is>
          <t>SDL Contribution</t>
        </is>
      </c>
      <c r="F6967" s="3" t="n">
        <v>2143.1</v>
      </c>
      <c r="G6967" s="3" t="n">
        <v>6233.14</v>
      </c>
    </row>
    <row r="6968">
      <c r="A6968" s="3" t="inlineStr">
        <is>
          <t>Noble Shield (Pty) Ltd ta Go Letting</t>
        </is>
      </c>
      <c r="B6968" s="4" t="n">
        <v>44561</v>
      </c>
      <c r="C6968" s="3" t="inlineStr">
        <is>
          <t>Equity</t>
        </is>
      </c>
      <c r="D6968" s="3" t="inlineStr">
        <is>
          <t>5100/000</t>
        </is>
      </c>
      <c r="E6968" s="3" t="inlineStr">
        <is>
          <t>Share Capital</t>
        </is>
      </c>
      <c r="F6968" s="3" t="n">
        <v>0</v>
      </c>
      <c r="G6968" s="3" t="n">
        <v>-1</v>
      </c>
    </row>
    <row r="6969">
      <c r="A6969" s="3" t="inlineStr">
        <is>
          <t>Opportunity Management Holdings (PTY) LTD</t>
        </is>
      </c>
      <c r="B6969" s="4" t="n">
        <v>44561</v>
      </c>
      <c r="C6969" s="3" t="inlineStr">
        <is>
          <t>Equity</t>
        </is>
      </c>
      <c r="D6969" s="3" t="inlineStr">
        <is>
          <t>5100/000</t>
        </is>
      </c>
      <c r="E6969" s="3" t="inlineStr">
        <is>
          <t>Share Capital / Members Contribution</t>
        </is>
      </c>
      <c r="F6969" s="3" t="n">
        <v>0</v>
      </c>
      <c r="G6969" s="3" t="n">
        <v>-120</v>
      </c>
    </row>
    <row r="6970">
      <c r="A6970" s="3" t="inlineStr">
        <is>
          <t>Quinate Consulting (Pty) Ltd</t>
        </is>
      </c>
      <c r="B6970" s="4" t="n">
        <v>44561</v>
      </c>
      <c r="C6970" s="3" t="inlineStr">
        <is>
          <t>Equity</t>
        </is>
      </c>
      <c r="D6970" s="3" t="inlineStr">
        <is>
          <t>5100/000</t>
        </is>
      </c>
      <c r="E6970" s="3" t="inlineStr">
        <is>
          <t>Share Capital / Members Contribution</t>
        </is>
      </c>
      <c r="F6970" s="3" t="n">
        <v>0</v>
      </c>
      <c r="G6970" s="3" t="n">
        <v>-120</v>
      </c>
    </row>
    <row r="6971">
      <c r="A6971" s="3" t="inlineStr">
        <is>
          <t>Trademark Holdings (Pty) Ltd</t>
        </is>
      </c>
      <c r="B6971" s="4" t="n">
        <v>44561</v>
      </c>
      <c r="C6971" s="3" t="inlineStr">
        <is>
          <t>Equity</t>
        </is>
      </c>
      <c r="D6971" s="3" t="inlineStr">
        <is>
          <t>5100/001</t>
        </is>
      </c>
      <c r="E6971" s="3" t="inlineStr">
        <is>
          <t>Share Capital - GFY Investments</t>
        </is>
      </c>
      <c r="F6971" s="3" t="n">
        <v>0</v>
      </c>
      <c r="G6971" s="3" t="n">
        <v>-60</v>
      </c>
    </row>
    <row r="6972">
      <c r="A6972" s="3" t="inlineStr">
        <is>
          <t>Trademark Holdings (Pty) Ltd</t>
        </is>
      </c>
      <c r="B6972" s="4" t="n">
        <v>44561</v>
      </c>
      <c r="C6972" s="3" t="inlineStr">
        <is>
          <t>Equity</t>
        </is>
      </c>
      <c r="D6972" s="3" t="inlineStr">
        <is>
          <t>5100/002</t>
        </is>
      </c>
      <c r="E6972" s="3" t="inlineStr">
        <is>
          <t>Share Capital - Zak Trust</t>
        </is>
      </c>
      <c r="F6972" s="3" t="n">
        <v>0</v>
      </c>
      <c r="G6972" s="3" t="n">
        <v>-60</v>
      </c>
    </row>
    <row r="6973">
      <c r="A6973" s="3" t="inlineStr">
        <is>
          <t>Opportunity Global Investment (PTY) LTD</t>
        </is>
      </c>
      <c r="B6973" s="4" t="n">
        <v>44561</v>
      </c>
      <c r="C6973" s="3" t="inlineStr">
        <is>
          <t>Equity</t>
        </is>
      </c>
      <c r="D6973" s="3" t="inlineStr">
        <is>
          <t>5101/000</t>
        </is>
      </c>
      <c r="E6973" s="3" t="inlineStr">
        <is>
          <t>Share Capital - Ordinary Type A</t>
        </is>
      </c>
      <c r="F6973" s="3" t="n">
        <v>0</v>
      </c>
      <c r="G6973" s="3" t="n">
        <v>-70</v>
      </c>
    </row>
    <row r="6974">
      <c r="A6974" s="3" t="inlineStr">
        <is>
          <t>Opportunity Global Investment (PTY) LTD</t>
        </is>
      </c>
      <c r="B6974" s="4" t="n">
        <v>44561</v>
      </c>
      <c r="C6974" s="3" t="inlineStr">
        <is>
          <t>Equity</t>
        </is>
      </c>
      <c r="D6974" s="3" t="inlineStr">
        <is>
          <t>5102/000</t>
        </is>
      </c>
      <c r="E6974" s="3" t="inlineStr">
        <is>
          <t>Share Capital - Ordinary Type B</t>
        </is>
      </c>
      <c r="F6974" s="3" t="n">
        <v>0</v>
      </c>
      <c r="G6974" s="3" t="n">
        <v>-30</v>
      </c>
    </row>
    <row r="6975">
      <c r="A6975" s="3" t="inlineStr">
        <is>
          <t>Noble Shield (Pty) Ltd ta Go Letting</t>
        </is>
      </c>
      <c r="B6975" s="4" t="n">
        <v>44561</v>
      </c>
      <c r="C6975" s="3" t="inlineStr">
        <is>
          <t>Equity</t>
        </is>
      </c>
      <c r="D6975" s="3" t="inlineStr">
        <is>
          <t>5200/000</t>
        </is>
      </c>
      <c r="E6975" s="3" t="inlineStr">
        <is>
          <t>Retained Earnings / Loss</t>
        </is>
      </c>
      <c r="F6975" s="3" t="n">
        <v>0</v>
      </c>
      <c r="G6975" s="3" t="n">
        <v>-59256.74</v>
      </c>
    </row>
    <row r="6976">
      <c r="A6976" s="3" t="inlineStr">
        <is>
          <t>Opportunity Global Investment (PTY) LTD</t>
        </is>
      </c>
      <c r="B6976" s="4" t="n">
        <v>44561</v>
      </c>
      <c r="C6976" s="3" t="inlineStr">
        <is>
          <t>Equity</t>
        </is>
      </c>
      <c r="D6976" s="3" t="inlineStr">
        <is>
          <t>5200/000</t>
        </is>
      </c>
      <c r="E6976" s="3" t="inlineStr">
        <is>
          <t>Retained Earnings / Loss</t>
        </is>
      </c>
      <c r="F6976" s="3" t="n">
        <v>0</v>
      </c>
      <c r="G6976" s="3" t="n">
        <v>1112750.37</v>
      </c>
    </row>
    <row r="6977">
      <c r="A6977" s="3" t="inlineStr">
        <is>
          <t>Opportunity Global Sales (PTY) LTD</t>
        </is>
      </c>
      <c r="B6977" s="4" t="n">
        <v>44561</v>
      </c>
      <c r="C6977" s="3" t="inlineStr">
        <is>
          <t>Equity</t>
        </is>
      </c>
      <c r="D6977" s="3" t="inlineStr">
        <is>
          <t>5200/000</t>
        </is>
      </c>
      <c r="E6977" s="3" t="inlineStr">
        <is>
          <t>Retained Earnings / Loss</t>
        </is>
      </c>
      <c r="F6977" s="3" t="n">
        <v>0</v>
      </c>
      <c r="G6977" s="3" t="n">
        <v>-1104828.46</v>
      </c>
    </row>
    <row r="6978">
      <c r="A6978" s="3" t="inlineStr">
        <is>
          <t>Opportunity Management Holdings (PTY) LTD</t>
        </is>
      </c>
      <c r="B6978" s="4" t="n">
        <v>44561</v>
      </c>
      <c r="C6978" s="3" t="inlineStr">
        <is>
          <t>Equity</t>
        </is>
      </c>
      <c r="D6978" s="3" t="inlineStr">
        <is>
          <t>5200/000</t>
        </is>
      </c>
      <c r="E6978" s="3" t="inlineStr">
        <is>
          <t>Retained Earnings / Loss</t>
        </is>
      </c>
      <c r="F6978" s="3" t="n">
        <v>0</v>
      </c>
      <c r="G6978" s="3" t="n">
        <v>1435438.74</v>
      </c>
    </row>
    <row r="6979">
      <c r="A6979" s="3" t="inlineStr">
        <is>
          <t>Quinate Consulting (Pty) Ltd</t>
        </is>
      </c>
      <c r="B6979" s="4" t="n">
        <v>44561</v>
      </c>
      <c r="C6979" s="3" t="inlineStr">
        <is>
          <t>Equity</t>
        </is>
      </c>
      <c r="D6979" s="3" t="inlineStr">
        <is>
          <t>5200/000</t>
        </is>
      </c>
      <c r="E6979" s="3" t="inlineStr">
        <is>
          <t>Retained Earnings / Loss</t>
        </is>
      </c>
      <c r="F6979" s="3" t="n">
        <v>0</v>
      </c>
      <c r="G6979" s="3" t="n">
        <v>-557207.66</v>
      </c>
    </row>
    <row r="6980">
      <c r="A6980" s="3" t="inlineStr">
        <is>
          <t>Trademark Holdings (Pty) Ltd</t>
        </is>
      </c>
      <c r="B6980" s="4" t="n">
        <v>44561</v>
      </c>
      <c r="C6980" s="3" t="inlineStr">
        <is>
          <t>Equity</t>
        </is>
      </c>
      <c r="D6980" s="3" t="inlineStr">
        <is>
          <t>5200/000</t>
        </is>
      </c>
      <c r="E6980" s="3" t="inlineStr">
        <is>
          <t>Retained Earnings / Loss</t>
        </is>
      </c>
      <c r="F6980" s="3" t="n">
        <v>0</v>
      </c>
      <c r="G6980" s="3" t="n">
        <v>-150612.02</v>
      </c>
    </row>
    <row r="6981">
      <c r="A6981" s="3" t="inlineStr">
        <is>
          <t>Quinate Consulting (Pty) Ltd</t>
        </is>
      </c>
      <c r="B6981" s="4" t="n">
        <v>44561</v>
      </c>
      <c r="C6981" s="3" t="inlineStr">
        <is>
          <t>Assets</t>
        </is>
      </c>
      <c r="D6981" s="3" t="inlineStr">
        <is>
          <t>5400/011</t>
        </is>
      </c>
      <c r="E6981" s="3" t="inlineStr">
        <is>
          <t>Members Loan - Nick Morgan</t>
        </is>
      </c>
      <c r="F6981" s="3" t="n">
        <v>0</v>
      </c>
      <c r="G6981" s="3" t="n">
        <v>-85743.69</v>
      </c>
    </row>
    <row r="6982">
      <c r="A6982" s="3" t="inlineStr">
        <is>
          <t>Opportunity Management Holdings (PTY) LTD</t>
        </is>
      </c>
      <c r="B6982" s="4" t="n">
        <v>44561</v>
      </c>
      <c r="C6982" s="3" t="inlineStr">
        <is>
          <t>Assets</t>
        </is>
      </c>
      <c r="D6982" s="3" t="inlineStr">
        <is>
          <t>5400/500</t>
        </is>
      </c>
      <c r="E6982" s="3" t="inlineStr">
        <is>
          <t>Shareholder - Zak Loan</t>
        </is>
      </c>
      <c r="F6982" s="3" t="n">
        <v>0</v>
      </c>
      <c r="G6982" s="3" t="n">
        <v>-171798.21</v>
      </c>
    </row>
    <row r="6983">
      <c r="A6983" s="3" t="inlineStr">
        <is>
          <t>Quinate Consulting (Pty) Ltd</t>
        </is>
      </c>
      <c r="B6983" s="4" t="n">
        <v>44561</v>
      </c>
      <c r="C6983" s="3" t="inlineStr">
        <is>
          <t>Liabilities</t>
        </is>
      </c>
      <c r="D6983" s="3" t="inlineStr">
        <is>
          <t>5500/010</t>
        </is>
      </c>
      <c r="E6983" s="3" t="inlineStr">
        <is>
          <t>Loan - Wynand Haywood</t>
        </is>
      </c>
      <c r="F6983" s="3" t="n">
        <v>0</v>
      </c>
      <c r="G6983" s="3" t="n">
        <v>2911.85</v>
      </c>
    </row>
    <row r="6984">
      <c r="A6984" s="3" t="inlineStr">
        <is>
          <t>Quinate Consulting (Pty) Ltd</t>
        </is>
      </c>
      <c r="B6984" s="4" t="n">
        <v>44561</v>
      </c>
      <c r="C6984" s="3" t="inlineStr">
        <is>
          <t>Liabilities</t>
        </is>
      </c>
      <c r="D6984" s="3" t="inlineStr">
        <is>
          <t>5500/023</t>
        </is>
      </c>
      <c r="E6984" s="3" t="inlineStr">
        <is>
          <t>Loan - Noble Shield 1 Security Trust</t>
        </is>
      </c>
      <c r="F6984" s="3" t="n">
        <v>0</v>
      </c>
      <c r="G6984" s="3" t="n">
        <v>5543</v>
      </c>
    </row>
    <row r="6985">
      <c r="A6985" s="3" t="inlineStr">
        <is>
          <t>Opportunity Global Investment (PTY) LTD</t>
        </is>
      </c>
      <c r="B6985" s="4" t="n">
        <v>44561</v>
      </c>
      <c r="C6985" s="3" t="inlineStr">
        <is>
          <t>Liabilities</t>
        </is>
      </c>
      <c r="D6985" s="3" t="inlineStr">
        <is>
          <t>5500/100</t>
        </is>
      </c>
      <c r="E6985" s="3" t="inlineStr">
        <is>
          <t>Loan - Cape Projects Construction</t>
        </is>
      </c>
      <c r="F6985" s="3" t="n">
        <v>-100066.26</v>
      </c>
      <c r="G6985" s="3" t="n">
        <v>60000</v>
      </c>
    </row>
    <row r="6986">
      <c r="A6986" s="3" t="inlineStr">
        <is>
          <t>Noble Shield (Pty) Ltd ta Go Letting</t>
        </is>
      </c>
      <c r="B6986" s="4" t="n">
        <v>44561</v>
      </c>
      <c r="C6986" s="3" t="inlineStr">
        <is>
          <t>Liabilities</t>
        </is>
      </c>
      <c r="D6986" s="3" t="inlineStr">
        <is>
          <t>5500/100</t>
        </is>
      </c>
      <c r="E6986" s="3" t="inlineStr">
        <is>
          <t>Loan - Jupiter Trust</t>
        </is>
      </c>
      <c r="F6986" s="3" t="n">
        <v>0</v>
      </c>
      <c r="G6986" s="3" t="n">
        <v>-100228.75</v>
      </c>
    </row>
    <row r="6987">
      <c r="A6987" s="3" t="inlineStr">
        <is>
          <t>Trademark Holdings (Pty) Ltd</t>
        </is>
      </c>
      <c r="B6987" s="4" t="n">
        <v>44561</v>
      </c>
      <c r="C6987" s="3" t="inlineStr">
        <is>
          <t>Liabilities</t>
        </is>
      </c>
      <c r="D6987" s="3" t="inlineStr">
        <is>
          <t>5500/100</t>
        </is>
      </c>
      <c r="E6987" s="3" t="inlineStr">
        <is>
          <t>Loan - Opportunity Global Investments</t>
        </is>
      </c>
      <c r="F6987" s="3" t="n">
        <v>0</v>
      </c>
      <c r="G6987" s="3" t="n">
        <v>-18000</v>
      </c>
    </row>
    <row r="6988">
      <c r="A6988" s="3" t="inlineStr">
        <is>
          <t>Endulini (Pty) Ltd</t>
        </is>
      </c>
      <c r="B6988" s="4" t="n">
        <v>44561</v>
      </c>
      <c r="C6988" s="3" t="inlineStr">
        <is>
          <t>Liabilities</t>
        </is>
      </c>
      <c r="D6988" s="3" t="inlineStr">
        <is>
          <t>5500/100</t>
        </is>
      </c>
      <c r="E6988" s="3" t="inlineStr">
        <is>
          <t>Loan - Quinate Consulting</t>
        </is>
      </c>
      <c r="F6988" s="3" t="n">
        <v>265000</v>
      </c>
      <c r="G6988" s="3" t="n">
        <v>-7015761.7</v>
      </c>
    </row>
    <row r="6989">
      <c r="A6989" s="3" t="inlineStr">
        <is>
          <t>Opportunity Global Investment (PTY) LTD</t>
        </is>
      </c>
      <c r="B6989" s="4" t="n">
        <v>44561</v>
      </c>
      <c r="C6989" s="3" t="inlineStr">
        <is>
          <t>Liabilities</t>
        </is>
      </c>
      <c r="D6989" s="3" t="inlineStr">
        <is>
          <t>5500/110</t>
        </is>
      </c>
      <c r="E6989" s="3" t="inlineStr">
        <is>
          <t>Loan - Opportunity Trademark Holdings</t>
        </is>
      </c>
      <c r="F6989" s="3" t="n">
        <v>0</v>
      </c>
      <c r="G6989" s="3" t="n">
        <v>18000</v>
      </c>
    </row>
    <row r="6990">
      <c r="A6990" s="3" t="inlineStr">
        <is>
          <t>Opportunity Global Sales (PTY) LTD</t>
        </is>
      </c>
      <c r="B6990" s="4" t="n">
        <v>44561</v>
      </c>
      <c r="C6990" s="3" t="inlineStr">
        <is>
          <t>Liabilities</t>
        </is>
      </c>
      <c r="D6990" s="3" t="inlineStr">
        <is>
          <t>5500/110</t>
        </is>
      </c>
      <c r="E6990" s="3" t="inlineStr">
        <is>
          <t>Loan - Opportunity Tradermark Holdings</t>
        </is>
      </c>
      <c r="F6990" s="3" t="n">
        <v>0</v>
      </c>
      <c r="G6990" s="3" t="n">
        <v>-2360</v>
      </c>
    </row>
    <row r="6991">
      <c r="A6991" s="3" t="inlineStr">
        <is>
          <t>Opportunity Global Investment (PTY) LTD</t>
        </is>
      </c>
      <c r="B6991" s="4" t="n">
        <v>44561</v>
      </c>
      <c r="C6991" s="3" t="inlineStr">
        <is>
          <t>Liabilities</t>
        </is>
      </c>
      <c r="D6991" s="3" t="inlineStr">
        <is>
          <t>5500/112</t>
        </is>
      </c>
      <c r="E6991" s="3" t="inlineStr">
        <is>
          <t>Loan - GFY</t>
        </is>
      </c>
      <c r="F6991" s="3" t="n">
        <v>0</v>
      </c>
      <c r="G6991" s="3" t="n">
        <v>-289000</v>
      </c>
    </row>
    <row r="6992">
      <c r="A6992" s="3" t="inlineStr">
        <is>
          <t>Trademark Holdings (Pty) Ltd</t>
        </is>
      </c>
      <c r="B6992" s="4" t="n">
        <v>44561</v>
      </c>
      <c r="C6992" s="3" t="inlineStr">
        <is>
          <t>Liabilities</t>
        </is>
      </c>
      <c r="D6992" s="3" t="inlineStr">
        <is>
          <t>5500/115</t>
        </is>
      </c>
      <c r="E6992" s="3" t="inlineStr">
        <is>
          <t>Loan - Opportunity Sales</t>
        </is>
      </c>
      <c r="F6992" s="3" t="n">
        <v>0</v>
      </c>
      <c r="G6992" s="3" t="n">
        <v>2360</v>
      </c>
    </row>
    <row r="6993">
      <c r="A6993" s="3" t="inlineStr">
        <is>
          <t>Opportunity Management Holdings (PTY) LTD</t>
        </is>
      </c>
      <c r="B6993" s="4" t="n">
        <v>44561</v>
      </c>
      <c r="C6993" s="3" t="inlineStr">
        <is>
          <t>Liabilities</t>
        </is>
      </c>
      <c r="D6993" s="3" t="inlineStr">
        <is>
          <t>5500/150</t>
        </is>
      </c>
      <c r="E6993" s="3" t="inlineStr">
        <is>
          <t>Loan - Opportunity Investments</t>
        </is>
      </c>
      <c r="F6993" s="3" t="n">
        <v>0</v>
      </c>
      <c r="G6993" s="3" t="n">
        <v>376.25</v>
      </c>
    </row>
    <row r="6994">
      <c r="A6994" s="3" t="inlineStr">
        <is>
          <t>Quinate Consulting (Pty) Ltd</t>
        </is>
      </c>
      <c r="B6994" s="4" t="n">
        <v>44561</v>
      </c>
      <c r="C6994" s="3" t="inlineStr">
        <is>
          <t>Liabilities</t>
        </is>
      </c>
      <c r="D6994" s="3" t="inlineStr">
        <is>
          <t>5500/160</t>
        </is>
      </c>
      <c r="E6994" s="3" t="inlineStr">
        <is>
          <t>Loan - GFY Investment and Consulting</t>
        </is>
      </c>
      <c r="F6994" s="3" t="n">
        <v>0</v>
      </c>
      <c r="G6994" s="3" t="n">
        <v>-1641195.52</v>
      </c>
    </row>
    <row r="6995">
      <c r="A6995" s="3" t="inlineStr">
        <is>
          <t>Opportunity Management Holdings (PTY) LTD</t>
        </is>
      </c>
      <c r="B6995" s="4" t="n">
        <v>44561</v>
      </c>
      <c r="C6995" s="3" t="inlineStr">
        <is>
          <t>Liabilities</t>
        </is>
      </c>
      <c r="D6995" s="3" t="inlineStr">
        <is>
          <t>5500/200</t>
        </is>
      </c>
      <c r="E6995" s="3" t="inlineStr">
        <is>
          <t>Loan - Cape Projects</t>
        </is>
      </c>
      <c r="F6995" s="3" t="n">
        <v>35000</v>
      </c>
      <c r="G6995" s="3" t="n">
        <v>49000</v>
      </c>
    </row>
    <row r="6996">
      <c r="A6996" s="3" t="inlineStr">
        <is>
          <t>Trademark Holdings (Pty) Ltd</t>
        </is>
      </c>
      <c r="B6996" s="4" t="n">
        <v>44561</v>
      </c>
      <c r="C6996" s="3" t="inlineStr">
        <is>
          <t>Liabilities</t>
        </is>
      </c>
      <c r="D6996" s="3" t="inlineStr">
        <is>
          <t>5500/250</t>
        </is>
      </c>
      <c r="E6996" s="3" t="inlineStr">
        <is>
          <t>Loan - Noble Shield</t>
        </is>
      </c>
      <c r="F6996" s="3" t="n">
        <v>0</v>
      </c>
      <c r="G6996" s="3" t="n">
        <v>68165.59</v>
      </c>
    </row>
    <row r="6997">
      <c r="A6997" s="3" t="inlineStr">
        <is>
          <t>Opportunity Management Holdings (PTY) LTD</t>
        </is>
      </c>
      <c r="B6997" s="4" t="n">
        <v>44561</v>
      </c>
      <c r="C6997" s="3" t="inlineStr">
        <is>
          <t>Liabilities</t>
        </is>
      </c>
      <c r="D6997" s="3" t="inlineStr">
        <is>
          <t>5500/250</t>
        </is>
      </c>
      <c r="E6997" s="3" t="inlineStr">
        <is>
          <t>Loan - Quinate</t>
        </is>
      </c>
      <c r="F6997" s="3" t="n">
        <v>0</v>
      </c>
      <c r="G6997" s="3" t="n">
        <v>-12137.25</v>
      </c>
    </row>
    <row r="6998">
      <c r="A6998" s="3" t="inlineStr">
        <is>
          <t>Quinate Consulting (Pty) Ltd</t>
        </is>
      </c>
      <c r="B6998" s="4" t="n">
        <v>44561</v>
      </c>
      <c r="C6998" s="3" t="inlineStr">
        <is>
          <t>Liabilities</t>
        </is>
      </c>
      <c r="D6998" s="3" t="inlineStr">
        <is>
          <t>5500/300</t>
        </is>
      </c>
      <c r="E6998" s="3" t="inlineStr">
        <is>
          <t>Loan - Gengis</t>
        </is>
      </c>
      <c r="F6998" s="3" t="n">
        <v>0</v>
      </c>
      <c r="G6998" s="3" t="n">
        <v>-130378.08</v>
      </c>
    </row>
    <row r="6999">
      <c r="A6999" s="3" t="inlineStr">
        <is>
          <t>Opportunity Management Holdings (PTY) LTD</t>
        </is>
      </c>
      <c r="B6999" s="4" t="n">
        <v>44561</v>
      </c>
      <c r="C6999" s="3" t="inlineStr">
        <is>
          <t>Liabilities</t>
        </is>
      </c>
      <c r="D6999" s="3" t="inlineStr">
        <is>
          <t>5500/300</t>
        </is>
      </c>
      <c r="E6999" s="3" t="inlineStr">
        <is>
          <t>Loan - Opportunity Prop Management</t>
        </is>
      </c>
      <c r="F6999" s="3" t="n">
        <v>0</v>
      </c>
      <c r="G6999" s="3" t="n">
        <v>-1220204.15</v>
      </c>
    </row>
    <row r="7000">
      <c r="A7000" s="3" t="inlineStr">
        <is>
          <t>Noble Shield (Pty) Ltd ta Go Letting</t>
        </is>
      </c>
      <c r="B7000" s="4" t="n">
        <v>44561</v>
      </c>
      <c r="C7000" s="3" t="inlineStr">
        <is>
          <t>Liabilities</t>
        </is>
      </c>
      <c r="D7000" s="3" t="inlineStr">
        <is>
          <t>5500/300</t>
        </is>
      </c>
      <c r="E7000" s="3" t="inlineStr">
        <is>
          <t>Loan - Trademark Holdings</t>
        </is>
      </c>
      <c r="F7000" s="3" t="n">
        <v>0</v>
      </c>
      <c r="G7000" s="3" t="n">
        <v>-68165.59</v>
      </c>
    </row>
    <row r="7001">
      <c r="A7001" s="3" t="inlineStr">
        <is>
          <t>Trademark Holdings (Pty) Ltd</t>
        </is>
      </c>
      <c r="B7001" s="4" t="n">
        <v>44561</v>
      </c>
      <c r="C7001" s="3" t="inlineStr">
        <is>
          <t>Liabilities</t>
        </is>
      </c>
      <c r="D7001" s="3" t="inlineStr">
        <is>
          <t>5500/350</t>
        </is>
      </c>
      <c r="E7001" s="3" t="inlineStr">
        <is>
          <t>Loan - Quinate Consulting</t>
        </is>
      </c>
      <c r="F7001" s="3" t="n">
        <v>0</v>
      </c>
      <c r="G7001" s="3" t="n">
        <v>3635</v>
      </c>
    </row>
    <row r="7002">
      <c r="A7002" s="3" t="inlineStr">
        <is>
          <t>Trademark Holdings (Pty) Ltd</t>
        </is>
      </c>
      <c r="B7002" s="4" t="n">
        <v>44561</v>
      </c>
      <c r="C7002" s="3" t="inlineStr">
        <is>
          <t>Liabilities</t>
        </is>
      </c>
      <c r="D7002" s="3" t="inlineStr">
        <is>
          <t>5500/375</t>
        </is>
      </c>
      <c r="E7002" s="3" t="inlineStr">
        <is>
          <t>Loan - Opportunity Management Holdings Pty Ltd</t>
        </is>
      </c>
      <c r="F7002" s="3" t="n">
        <v>-25445</v>
      </c>
      <c r="G7002" s="3" t="n">
        <v>-50890</v>
      </c>
    </row>
    <row r="7003">
      <c r="A7003" s="3" t="inlineStr">
        <is>
          <t>Trademark Holdings (Pty) Ltd</t>
        </is>
      </c>
      <c r="B7003" s="4" t="n">
        <v>44561</v>
      </c>
      <c r="C7003" s="3" t="inlineStr">
        <is>
          <t>Liabilities</t>
        </is>
      </c>
      <c r="D7003" s="3" t="inlineStr">
        <is>
          <t>5500/450</t>
        </is>
      </c>
      <c r="E7003" s="3" t="inlineStr">
        <is>
          <t>Loan - Cape Projects Construction</t>
        </is>
      </c>
      <c r="F7003" s="3" t="n">
        <v>-600</v>
      </c>
      <c r="G7003" s="3" t="n">
        <v>33800</v>
      </c>
    </row>
    <row r="7004">
      <c r="A7004" s="3" t="inlineStr">
        <is>
          <t>Trademark Holdings (Pty) Ltd</t>
        </is>
      </c>
      <c r="B7004" s="4" t="n">
        <v>44561</v>
      </c>
      <c r="C7004" s="3" t="inlineStr">
        <is>
          <t>Liabilities</t>
        </is>
      </c>
      <c r="D7004" s="3" t="inlineStr">
        <is>
          <t>5500/500</t>
        </is>
      </c>
      <c r="E7004" s="3" t="inlineStr">
        <is>
          <t>Go Letting Brand Name</t>
        </is>
      </c>
      <c r="F7004" s="3" t="n">
        <v>0</v>
      </c>
      <c r="G7004" s="3" t="n">
        <v>93420</v>
      </c>
    </row>
    <row r="7005">
      <c r="A7005" s="3" t="inlineStr">
        <is>
          <t>Noble Shield (Pty) Ltd ta Go Letting</t>
        </is>
      </c>
      <c r="B7005" s="4" t="n">
        <v>44561</v>
      </c>
      <c r="C7005" s="3" t="inlineStr">
        <is>
          <t>Liabilities</t>
        </is>
      </c>
      <c r="D7005" s="3" t="inlineStr">
        <is>
          <t>5500/500</t>
        </is>
      </c>
      <c r="E7005" s="3" t="inlineStr">
        <is>
          <t>Loan - Cape Projects Construction</t>
        </is>
      </c>
      <c r="F7005" s="3" t="n">
        <v>-600</v>
      </c>
      <c r="G7005" s="3" t="n">
        <v>3800</v>
      </c>
    </row>
    <row r="7006">
      <c r="A7006" s="3" t="inlineStr">
        <is>
          <t>Quinate Consulting (Pty) Ltd</t>
        </is>
      </c>
      <c r="B7006" s="4" t="n">
        <v>44561</v>
      </c>
      <c r="C7006" s="3" t="inlineStr">
        <is>
          <t>Liabilities</t>
        </is>
      </c>
      <c r="D7006" s="3" t="inlineStr">
        <is>
          <t>5500/500</t>
        </is>
      </c>
      <c r="E7006" s="3" t="inlineStr">
        <is>
          <t>Loan - Opportunity Development Struct.</t>
        </is>
      </c>
      <c r="F7006" s="3" t="n">
        <v>0</v>
      </c>
      <c r="G7006" s="3" t="n">
        <v>-1852608.63</v>
      </c>
    </row>
    <row r="7007">
      <c r="A7007" s="3" t="inlineStr">
        <is>
          <t>Opportunity Management Holdings (PTY) LTD</t>
        </is>
      </c>
      <c r="B7007" s="4" t="n">
        <v>44561</v>
      </c>
      <c r="C7007" s="3" t="inlineStr">
        <is>
          <t>Liabilities</t>
        </is>
      </c>
      <c r="D7007" s="3" t="inlineStr">
        <is>
          <t>5500/500</t>
        </is>
      </c>
      <c r="E7007" s="3" t="inlineStr">
        <is>
          <t>Loan - Opportunity Tradermark Holdings</t>
        </is>
      </c>
      <c r="F7007" s="3" t="n">
        <v>25445</v>
      </c>
      <c r="G7007" s="3" t="n">
        <v>50890</v>
      </c>
    </row>
    <row r="7008">
      <c r="A7008" s="3" t="inlineStr">
        <is>
          <t>Quinate Consulting (Pty) Ltd</t>
        </is>
      </c>
      <c r="B7008" s="4" t="n">
        <v>44561</v>
      </c>
      <c r="C7008" s="3" t="inlineStr">
        <is>
          <t>Liabilities</t>
        </is>
      </c>
      <c r="D7008" s="3" t="inlineStr">
        <is>
          <t>5500/520</t>
        </is>
      </c>
      <c r="E7008" s="3" t="inlineStr">
        <is>
          <t>Loan - Opportunity Management Holdings</t>
        </is>
      </c>
      <c r="F7008" s="3" t="n">
        <v>0</v>
      </c>
      <c r="G7008" s="3" t="n">
        <v>8438.5</v>
      </c>
    </row>
    <row r="7009">
      <c r="A7009" s="3" t="inlineStr">
        <is>
          <t>Opportunity Global Investment (PTY) LTD</t>
        </is>
      </c>
      <c r="B7009" s="4" t="n">
        <v>44561</v>
      </c>
      <c r="C7009" s="3" t="inlineStr">
        <is>
          <t>Liabilities</t>
        </is>
      </c>
      <c r="D7009" s="3" t="inlineStr">
        <is>
          <t>5500/650</t>
        </is>
      </c>
      <c r="E7009" s="3" t="inlineStr">
        <is>
          <t>Loan - Opportunit Global - Sales</t>
        </is>
      </c>
      <c r="F7009" s="3" t="n">
        <v>92843.92</v>
      </c>
      <c r="G7009" s="3" t="n">
        <v>-506265.61</v>
      </c>
    </row>
    <row r="7010">
      <c r="A7010" s="3" t="inlineStr">
        <is>
          <t>Opportunity Global Sales (PTY) LTD</t>
        </is>
      </c>
      <c r="B7010" s="4" t="n">
        <v>44561</v>
      </c>
      <c r="C7010" s="3" t="inlineStr">
        <is>
          <t>Liabilities</t>
        </is>
      </c>
      <c r="D7010" s="3" t="inlineStr">
        <is>
          <t>5500/650</t>
        </is>
      </c>
      <c r="E7010" s="3" t="inlineStr">
        <is>
          <t>Loan - Opportunity Investments</t>
        </is>
      </c>
      <c r="F7010" s="3" t="n">
        <v>-92843.92</v>
      </c>
      <c r="G7010" s="3" t="n">
        <v>506265.61</v>
      </c>
    </row>
    <row r="7011">
      <c r="A7011" s="3" t="inlineStr">
        <is>
          <t>Opportunity Management Holdings (PTY) LTD</t>
        </is>
      </c>
      <c r="B7011" s="4" t="n">
        <v>44561</v>
      </c>
      <c r="C7011" s="3" t="inlineStr">
        <is>
          <t>Liabilities</t>
        </is>
      </c>
      <c r="D7011" s="3" t="inlineStr">
        <is>
          <t>5500/700</t>
        </is>
      </c>
      <c r="E7011" s="3" t="inlineStr">
        <is>
          <t>Loan - Go Letting</t>
        </is>
      </c>
      <c r="F7011" s="3" t="n">
        <v>0</v>
      </c>
      <c r="G7011" s="3" t="n">
        <v>-120</v>
      </c>
    </row>
    <row r="7012">
      <c r="A7012" s="3" t="inlineStr">
        <is>
          <t>Quinate Consulting (Pty) Ltd</t>
        </is>
      </c>
      <c r="B7012" s="4" t="n">
        <v>44561</v>
      </c>
      <c r="C7012" s="3" t="inlineStr">
        <is>
          <t>Liabilities</t>
        </is>
      </c>
      <c r="D7012" s="3" t="inlineStr">
        <is>
          <t>5500/700</t>
        </is>
      </c>
      <c r="E7012" s="3" t="inlineStr">
        <is>
          <t>Loan - Trademark Holdings</t>
        </is>
      </c>
      <c r="F7012" s="3" t="n">
        <v>0</v>
      </c>
      <c r="G7012" s="3" t="n">
        <v>-3635</v>
      </c>
    </row>
    <row r="7013">
      <c r="A7013" s="3" t="inlineStr">
        <is>
          <t>Opportunity Global Investment (PTY) LTD</t>
        </is>
      </c>
      <c r="B7013" s="4" t="n">
        <v>44561</v>
      </c>
      <c r="C7013" s="3" t="inlineStr">
        <is>
          <t>Liabilities</t>
        </is>
      </c>
      <c r="D7013" s="3" t="inlineStr">
        <is>
          <t>5500/850</t>
        </is>
      </c>
      <c r="E7013" s="3" t="inlineStr">
        <is>
          <t>Loan - Nick Morgan</t>
        </is>
      </c>
      <c r="F7013" s="3" t="n">
        <v>0</v>
      </c>
      <c r="G7013" s="3" t="n">
        <v>4100</v>
      </c>
    </row>
    <row r="7014">
      <c r="A7014" s="3" t="inlineStr">
        <is>
          <t>Opportunity Global Investment (PTY) LTD</t>
        </is>
      </c>
      <c r="B7014" s="4" t="n">
        <v>44561</v>
      </c>
      <c r="C7014" s="3" t="inlineStr">
        <is>
          <t>Liabilities</t>
        </is>
      </c>
      <c r="D7014" s="3" t="inlineStr">
        <is>
          <t>5500/950</t>
        </is>
      </c>
      <c r="E7014" s="3" t="inlineStr">
        <is>
          <t>Loan - Gengis</t>
        </is>
      </c>
      <c r="F7014" s="3" t="n">
        <v>0</v>
      </c>
      <c r="G7014" s="3" t="n">
        <v>-120000</v>
      </c>
    </row>
    <row r="7015">
      <c r="A7015" s="3" t="inlineStr">
        <is>
          <t>Opportunity Global Sales (PTY) LTD</t>
        </is>
      </c>
      <c r="B7015" s="4" t="n">
        <v>44561</v>
      </c>
      <c r="C7015" s="3" t="inlineStr">
        <is>
          <t>Liabilities</t>
        </is>
      </c>
      <c r="D7015" s="3" t="inlineStr">
        <is>
          <t>5500/991</t>
        </is>
      </c>
      <c r="E7015" s="3" t="inlineStr">
        <is>
          <t>Loan - Minette Commission</t>
        </is>
      </c>
      <c r="F7015" s="3" t="n">
        <v>0</v>
      </c>
      <c r="G7015" s="3" t="n">
        <v>21340.87</v>
      </c>
    </row>
    <row r="7016">
      <c r="A7016" s="3" t="inlineStr">
        <is>
          <t>Opportunity Global Sales (PTY) LTD</t>
        </is>
      </c>
      <c r="B7016" s="4" t="n">
        <v>44561</v>
      </c>
      <c r="C7016" s="3" t="inlineStr">
        <is>
          <t>Liabilities</t>
        </is>
      </c>
      <c r="D7016" s="3" t="inlineStr">
        <is>
          <t>5500/992</t>
        </is>
      </c>
      <c r="E7016" s="3" t="inlineStr">
        <is>
          <t>Loan - Anthony Commission</t>
        </is>
      </c>
      <c r="F7016" s="3" t="n">
        <v>0</v>
      </c>
      <c r="G7016" s="3" t="n">
        <v>15000</v>
      </c>
    </row>
    <row r="7017">
      <c r="A7017" s="3" t="inlineStr">
        <is>
          <t>Quinate Consulting (Pty) Ltd</t>
        </is>
      </c>
      <c r="B7017" s="4" t="n">
        <v>44561</v>
      </c>
      <c r="C7017" s="3" t="inlineStr">
        <is>
          <t>Liabilities</t>
        </is>
      </c>
      <c r="D7017" s="3" t="inlineStr">
        <is>
          <t>5501/001</t>
        </is>
      </c>
      <c r="E7017" s="3" t="inlineStr">
        <is>
          <t>Loan - Endulini CIP Costs</t>
        </is>
      </c>
      <c r="F7017" s="3" t="n">
        <v>-265000</v>
      </c>
      <c r="G7017" s="3" t="n">
        <v>7015761.7</v>
      </c>
    </row>
    <row r="7018">
      <c r="A7018" s="3" t="inlineStr">
        <is>
          <t>Noble Shield (Pty) Ltd ta Go Letting</t>
        </is>
      </c>
      <c r="B7018" s="4" t="n">
        <v>44561</v>
      </c>
      <c r="C7018" s="3" t="inlineStr">
        <is>
          <t>Assets</t>
        </is>
      </c>
      <c r="D7018" s="3" t="inlineStr">
        <is>
          <t>6250/010</t>
        </is>
      </c>
      <c r="E7018" s="3" t="inlineStr">
        <is>
          <t>Computer Equipment - @ Cost</t>
        </is>
      </c>
      <c r="F7018" s="3" t="n">
        <v>0</v>
      </c>
      <c r="G7018" s="3" t="n">
        <v>9499</v>
      </c>
    </row>
    <row r="7019">
      <c r="A7019" s="3" t="inlineStr">
        <is>
          <t>Opportunity Management Holdings (PTY) LTD</t>
        </is>
      </c>
      <c r="B7019" s="4" t="n">
        <v>44561</v>
      </c>
      <c r="C7019" s="3" t="inlineStr">
        <is>
          <t>Assets</t>
        </is>
      </c>
      <c r="D7019" s="3" t="inlineStr">
        <is>
          <t>6250/010</t>
        </is>
      </c>
      <c r="E7019" s="3" t="inlineStr">
        <is>
          <t>Computer Equipment - @ Cost</t>
        </is>
      </c>
      <c r="F7019" s="3" t="n">
        <v>0</v>
      </c>
      <c r="G7019" s="3" t="n">
        <v>14911.4</v>
      </c>
    </row>
    <row r="7020">
      <c r="A7020" s="3" t="inlineStr">
        <is>
          <t>Quinate Consulting (Pty) Ltd</t>
        </is>
      </c>
      <c r="B7020" s="4" t="n">
        <v>44561</v>
      </c>
      <c r="C7020" s="3" t="inlineStr">
        <is>
          <t>Assets</t>
        </is>
      </c>
      <c r="D7020" s="3" t="inlineStr">
        <is>
          <t>6250/010</t>
        </is>
      </c>
      <c r="E7020" s="3" t="inlineStr">
        <is>
          <t>Computer Equipment - @ Cost</t>
        </is>
      </c>
      <c r="F7020" s="3" t="n">
        <v>0</v>
      </c>
      <c r="G7020" s="3" t="n">
        <v>104499.7</v>
      </c>
    </row>
    <row r="7021">
      <c r="A7021" s="3" t="inlineStr">
        <is>
          <t>Noble Shield (Pty) Ltd ta Go Letting</t>
        </is>
      </c>
      <c r="B7021" s="4" t="n">
        <v>44561</v>
      </c>
      <c r="C7021" s="3" t="inlineStr">
        <is>
          <t>Assets</t>
        </is>
      </c>
      <c r="D7021" s="3" t="inlineStr">
        <is>
          <t>6250/020</t>
        </is>
      </c>
      <c r="E7021" s="3" t="inlineStr">
        <is>
          <t>Computer Equipment - Accum Depre</t>
        </is>
      </c>
      <c r="F7021" s="3" t="n">
        <v>0</v>
      </c>
      <c r="G7021" s="3" t="n">
        <v>-9498</v>
      </c>
    </row>
    <row r="7022">
      <c r="A7022" s="3" t="inlineStr">
        <is>
          <t>Quinate Consulting (Pty) Ltd</t>
        </is>
      </c>
      <c r="B7022" s="4" t="n">
        <v>44561</v>
      </c>
      <c r="C7022" s="3" t="inlineStr">
        <is>
          <t>Assets</t>
        </is>
      </c>
      <c r="D7022" s="3" t="inlineStr">
        <is>
          <t>6250/020</t>
        </is>
      </c>
      <c r="E7022" s="3" t="inlineStr">
        <is>
          <t>Computer Equipment - Accum Depre</t>
        </is>
      </c>
      <c r="F7022" s="3" t="n">
        <v>0</v>
      </c>
      <c r="G7022" s="3" t="n">
        <v>-55585.87</v>
      </c>
    </row>
    <row r="7023">
      <c r="A7023" s="3" t="inlineStr">
        <is>
          <t>Opportunity Management Holdings (PTY) LTD</t>
        </is>
      </c>
      <c r="B7023" s="4" t="n">
        <v>44561</v>
      </c>
      <c r="C7023" s="3" t="inlineStr">
        <is>
          <t>Assets</t>
        </is>
      </c>
      <c r="D7023" s="3" t="inlineStr">
        <is>
          <t>6250/030</t>
        </is>
      </c>
      <c r="E7023" s="3" t="inlineStr">
        <is>
          <t>Acc Depreciation - Computer Equipment</t>
        </is>
      </c>
      <c r="F7023" s="3" t="n">
        <v>0</v>
      </c>
      <c r="G7023" s="3" t="n">
        <v>-9441.25</v>
      </c>
    </row>
    <row r="7024">
      <c r="A7024" s="3" t="inlineStr">
        <is>
          <t>Quinate Consulting (Pty) Ltd</t>
        </is>
      </c>
      <c r="B7024" s="4" t="n">
        <v>44561</v>
      </c>
      <c r="C7024" s="3" t="inlineStr">
        <is>
          <t>Assets</t>
        </is>
      </c>
      <c r="D7024" s="3" t="inlineStr">
        <is>
          <t>6270/010</t>
        </is>
      </c>
      <c r="E7024" s="3" t="inlineStr">
        <is>
          <t>Site Containers - @ Cost</t>
        </is>
      </c>
      <c r="F7024" s="3" t="n">
        <v>0</v>
      </c>
      <c r="G7024" s="3" t="n">
        <v>19130.44</v>
      </c>
    </row>
    <row r="7025">
      <c r="A7025" s="3" t="inlineStr">
        <is>
          <t>Quinate Consulting (Pty) Ltd</t>
        </is>
      </c>
      <c r="B7025" s="4" t="n">
        <v>44561</v>
      </c>
      <c r="C7025" s="3" t="inlineStr">
        <is>
          <t>Assets</t>
        </is>
      </c>
      <c r="D7025" s="3" t="inlineStr">
        <is>
          <t>6270/020</t>
        </is>
      </c>
      <c r="E7025" s="3" t="inlineStr">
        <is>
          <t>Site Containers - Accum Depre</t>
        </is>
      </c>
      <c r="F7025" s="3" t="n">
        <v>0</v>
      </c>
      <c r="G7025" s="3" t="n">
        <v>-2869.56</v>
      </c>
    </row>
    <row r="7026">
      <c r="A7026" s="3" t="inlineStr">
        <is>
          <t>Noble Shield (Pty) Ltd ta Go Letting</t>
        </is>
      </c>
      <c r="B7026" s="4" t="n">
        <v>44561</v>
      </c>
      <c r="C7026" s="3" t="inlineStr">
        <is>
          <t>Assets</t>
        </is>
      </c>
      <c r="D7026" s="3" t="inlineStr">
        <is>
          <t>6350/010</t>
        </is>
      </c>
      <c r="E7026" s="3" t="inlineStr">
        <is>
          <t>Furniture _AND_ Fittings - @ Cost</t>
        </is>
      </c>
      <c r="F7026" s="3" t="n">
        <v>0</v>
      </c>
      <c r="G7026" s="3" t="n">
        <v>2242</v>
      </c>
    </row>
    <row r="7027">
      <c r="A7027" s="3" t="inlineStr">
        <is>
          <t>Noble Shield (Pty) Ltd ta Go Letting</t>
        </is>
      </c>
      <c r="B7027" s="4" t="n">
        <v>44561</v>
      </c>
      <c r="C7027" s="3" t="inlineStr">
        <is>
          <t>Assets</t>
        </is>
      </c>
      <c r="D7027" s="3" t="inlineStr">
        <is>
          <t>6350/020</t>
        </is>
      </c>
      <c r="E7027" s="3" t="inlineStr">
        <is>
          <t>Furniture _AND_ Fittings - Accum Depre</t>
        </is>
      </c>
      <c r="F7027" s="3" t="n">
        <v>0</v>
      </c>
      <c r="G7027" s="3" t="n">
        <v>-2239</v>
      </c>
    </row>
    <row r="7028">
      <c r="A7028" s="3" t="inlineStr">
        <is>
          <t>Opportunity Management Holdings (PTY) LTD</t>
        </is>
      </c>
      <c r="B7028" s="4" t="n">
        <v>44561</v>
      </c>
      <c r="C7028" s="3" t="inlineStr">
        <is>
          <t>Liabilities</t>
        </is>
      </c>
      <c r="D7028" s="3" t="inlineStr">
        <is>
          <t>6500/000</t>
        </is>
      </c>
      <c r="E7028" s="3" t="inlineStr">
        <is>
          <t>Deposits - Held</t>
        </is>
      </c>
      <c r="F7028" s="3" t="n">
        <v>0</v>
      </c>
      <c r="G7028" s="3" t="n">
        <v>-12028.1</v>
      </c>
    </row>
    <row r="7029">
      <c r="A7029" s="3" t="inlineStr">
        <is>
          <t>Opportunity Management Holdings (PTY) LTD</t>
        </is>
      </c>
      <c r="B7029" s="4" t="n">
        <v>44561</v>
      </c>
      <c r="C7029" s="3" t="inlineStr">
        <is>
          <t>Liabilities</t>
        </is>
      </c>
      <c r="D7029" s="3" t="inlineStr">
        <is>
          <t>6510/000</t>
        </is>
      </c>
      <c r="E7029" s="3" t="inlineStr">
        <is>
          <t>Deposits Paid - Anicol Properties</t>
        </is>
      </c>
      <c r="F7029" s="3" t="n">
        <v>0</v>
      </c>
      <c r="G7029" s="3" t="n">
        <v>13755</v>
      </c>
    </row>
    <row r="7030">
      <c r="A7030" s="3" t="inlineStr">
        <is>
          <t>Opportunity Management Holdings (PTY) LTD</t>
        </is>
      </c>
      <c r="B7030" s="4" t="n">
        <v>44561</v>
      </c>
      <c r="C7030" s="3" t="inlineStr">
        <is>
          <t>Liabilities</t>
        </is>
      </c>
      <c r="D7030" s="3" t="inlineStr">
        <is>
          <t>6515/000</t>
        </is>
      </c>
      <c r="E7030" s="3" t="inlineStr">
        <is>
          <t>Deposits Paid</t>
        </is>
      </c>
      <c r="F7030" s="3" t="n">
        <v>0</v>
      </c>
      <c r="G7030" s="3" t="n">
        <v>3852.5</v>
      </c>
    </row>
    <row r="7031">
      <c r="A7031" s="3" t="inlineStr">
        <is>
          <t>Quinate Consulting (Pty) Ltd</t>
        </is>
      </c>
      <c r="B7031" s="4" t="n">
        <v>44561</v>
      </c>
      <c r="C7031" s="3" t="inlineStr">
        <is>
          <t>Assets</t>
        </is>
      </c>
      <c r="D7031" s="3" t="inlineStr">
        <is>
          <t>6600/010</t>
        </is>
      </c>
      <c r="E7031" s="3" t="inlineStr">
        <is>
          <t>Other Fixed Assets - @ Cost</t>
        </is>
      </c>
      <c r="F7031" s="3" t="n">
        <v>0</v>
      </c>
      <c r="G7031" s="3" t="n">
        <v>14442.5</v>
      </c>
    </row>
    <row r="7032">
      <c r="A7032" s="3" t="inlineStr">
        <is>
          <t>Quinate Consulting (Pty) Ltd</t>
        </is>
      </c>
      <c r="B7032" s="4" t="n">
        <v>44561</v>
      </c>
      <c r="C7032" s="3" t="inlineStr">
        <is>
          <t>Assets</t>
        </is>
      </c>
      <c r="D7032" s="3" t="inlineStr">
        <is>
          <t>6600/020</t>
        </is>
      </c>
      <c r="E7032" s="3" t="inlineStr">
        <is>
          <t>Other Fixed Assets - Accum Depre</t>
        </is>
      </c>
      <c r="F7032" s="3" t="n">
        <v>0</v>
      </c>
      <c r="G7032" s="3" t="n">
        <v>-13238.79</v>
      </c>
    </row>
    <row r="7033">
      <c r="A7033" s="3" t="inlineStr">
        <is>
          <t>Noble Shield (Pty) Ltd ta Go Letting</t>
        </is>
      </c>
      <c r="B7033" s="4" t="n">
        <v>44561</v>
      </c>
      <c r="C7033" s="3" t="inlineStr">
        <is>
          <t>Assets</t>
        </is>
      </c>
      <c r="D7033" s="3" t="inlineStr">
        <is>
          <t>7000/100</t>
        </is>
      </c>
      <c r="E7033" s="3" t="inlineStr">
        <is>
          <t>Goodwill - Purchase of Go Letting</t>
        </is>
      </c>
      <c r="F7033" s="3" t="n">
        <v>0</v>
      </c>
      <c r="G7033" s="3" t="n">
        <v>106580</v>
      </c>
    </row>
    <row r="7034">
      <c r="A7034" s="3" t="inlineStr">
        <is>
          <t>Opportunity Management Holdings (PTY) LTD</t>
        </is>
      </c>
      <c r="B7034" s="4" t="n">
        <v>44561</v>
      </c>
      <c r="C7034" s="3" t="inlineStr">
        <is>
          <t>Assets</t>
        </is>
      </c>
      <c r="D7034" s="3" t="inlineStr">
        <is>
          <t>7200/000</t>
        </is>
      </c>
      <c r="E7034" s="3" t="inlineStr">
        <is>
          <t>Shares in Subsidiary Companies</t>
        </is>
      </c>
      <c r="F7034" s="3" t="n">
        <v>0</v>
      </c>
      <c r="G7034" s="3" t="n">
        <v>120</v>
      </c>
    </row>
    <row r="7035">
      <c r="A7035" s="3" t="inlineStr">
        <is>
          <t>Endulini (Pty) Ltd</t>
        </is>
      </c>
      <c r="B7035" s="4" t="n">
        <v>44561</v>
      </c>
      <c r="C7035" s="3" t="inlineStr">
        <is>
          <t>Assets</t>
        </is>
      </c>
      <c r="D7035" s="3" t="inlineStr">
        <is>
          <t>7610/100</t>
        </is>
      </c>
      <c r="E7035" s="3" t="inlineStr">
        <is>
          <t>Endulini Land</t>
        </is>
      </c>
      <c r="F7035" s="3" t="n">
        <v>0</v>
      </c>
      <c r="G7035" s="3" t="n">
        <v>10572851.37</v>
      </c>
    </row>
    <row r="7036">
      <c r="A7036" s="3" t="inlineStr">
        <is>
          <t>Quinate Consulting (Pty) Ltd</t>
        </is>
      </c>
      <c r="B7036" s="4" t="n">
        <v>44561</v>
      </c>
      <c r="C7036" s="3" t="inlineStr">
        <is>
          <t>Assets</t>
        </is>
      </c>
      <c r="D7036" s="3" t="inlineStr">
        <is>
          <t>7610/100</t>
        </is>
      </c>
      <c r="E7036" s="3" t="inlineStr">
        <is>
          <t>Endulini Land</t>
        </is>
      </c>
      <c r="F7036" s="3" t="n">
        <v>0</v>
      </c>
      <c r="G7036" s="3" t="n">
        <v>-766601.37</v>
      </c>
    </row>
    <row r="7037">
      <c r="A7037" s="3" t="inlineStr">
        <is>
          <t>Endulini (Pty) Ltd</t>
        </is>
      </c>
      <c r="B7037" s="4" t="n">
        <v>44561</v>
      </c>
      <c r="C7037" s="3" t="inlineStr">
        <is>
          <t>Assets</t>
        </is>
      </c>
      <c r="D7037" s="3" t="inlineStr">
        <is>
          <t>7610/101</t>
        </is>
      </c>
      <c r="E7037" s="3" t="inlineStr">
        <is>
          <t>Endulini Revaluation of Land stock</t>
        </is>
      </c>
      <c r="F7037" s="3" t="n">
        <v>0</v>
      </c>
      <c r="G7037" s="3" t="n">
        <v>6084085.78</v>
      </c>
    </row>
    <row r="7038">
      <c r="A7038" s="3" t="inlineStr">
        <is>
          <t>Endulini (Pty) Ltd</t>
        </is>
      </c>
      <c r="B7038" s="4" t="n">
        <v>44561</v>
      </c>
      <c r="C7038" s="3" t="inlineStr">
        <is>
          <t>Assets</t>
        </is>
      </c>
      <c r="D7038" s="3" t="inlineStr">
        <is>
          <t>7610/111</t>
        </is>
      </c>
      <c r="E7038" s="3" t="inlineStr">
        <is>
          <t>Endulini Closing Stock February 2021</t>
        </is>
      </c>
      <c r="F7038" s="3" t="n">
        <v>0</v>
      </c>
      <c r="G7038" s="3" t="n">
        <v>14542033.84</v>
      </c>
    </row>
    <row r="7039">
      <c r="A7039" s="3" t="inlineStr">
        <is>
          <t>Endulini (Pty) Ltd</t>
        </is>
      </c>
      <c r="B7039" s="4" t="n">
        <v>44561</v>
      </c>
      <c r="C7039" s="3" t="inlineStr">
        <is>
          <t>Assets</t>
        </is>
      </c>
      <c r="D7039" s="3" t="inlineStr">
        <is>
          <t>7610/180</t>
        </is>
      </c>
      <c r="E7039" s="3" t="inlineStr">
        <is>
          <t>Endulini CIP Architects</t>
        </is>
      </c>
      <c r="F7039" s="3" t="n">
        <v>0</v>
      </c>
      <c r="G7039" s="3" t="n">
        <v>498854</v>
      </c>
    </row>
    <row r="7040">
      <c r="A7040" s="3" t="inlineStr">
        <is>
          <t>Endulini (Pty) Ltd</t>
        </is>
      </c>
      <c r="B7040" s="4" t="n">
        <v>44561</v>
      </c>
      <c r="C7040" s="3" t="inlineStr">
        <is>
          <t>Assets</t>
        </is>
      </c>
      <c r="D7040" s="3" t="inlineStr">
        <is>
          <t>7610/200</t>
        </is>
      </c>
      <c r="E7040" s="3" t="inlineStr">
        <is>
          <t>Endulini CIP CoCT Land Use App</t>
        </is>
      </c>
      <c r="F7040" s="3" t="n">
        <v>7817.39</v>
      </c>
      <c r="G7040" s="3" t="n">
        <v>232891.06</v>
      </c>
    </row>
    <row r="7041">
      <c r="A7041" s="3" t="inlineStr">
        <is>
          <t>Endulini (Pty) Ltd</t>
        </is>
      </c>
      <c r="B7041" s="4" t="n">
        <v>44561</v>
      </c>
      <c r="C7041" s="3" t="inlineStr">
        <is>
          <t>Assets</t>
        </is>
      </c>
      <c r="D7041" s="3" t="inlineStr">
        <is>
          <t>7610/205</t>
        </is>
      </c>
      <c r="E7041" s="3" t="inlineStr">
        <is>
          <t>Endulini CIP Site Establishments</t>
        </is>
      </c>
      <c r="F7041" s="3" t="n">
        <v>4105554.35</v>
      </c>
      <c r="G7041" s="3" t="n">
        <v>14867735.98</v>
      </c>
    </row>
    <row r="7042">
      <c r="A7042" s="3" t="inlineStr">
        <is>
          <t>Endulini (Pty) Ltd</t>
        </is>
      </c>
      <c r="B7042" s="4" t="n">
        <v>44561</v>
      </c>
      <c r="C7042" s="3" t="inlineStr">
        <is>
          <t>Assets</t>
        </is>
      </c>
      <c r="D7042" s="3" t="inlineStr">
        <is>
          <t>7610/209</t>
        </is>
      </c>
      <c r="E7042" s="3" t="inlineStr">
        <is>
          <t>Endulini CIP Construction Management</t>
        </is>
      </c>
      <c r="F7042" s="3" t="n">
        <v>0</v>
      </c>
      <c r="G7042" s="3" t="n">
        <v>95625</v>
      </c>
    </row>
    <row r="7043">
      <c r="A7043" s="3" t="inlineStr">
        <is>
          <t>Endulini (Pty) Ltd</t>
        </is>
      </c>
      <c r="B7043" s="4" t="n">
        <v>44561</v>
      </c>
      <c r="C7043" s="3" t="inlineStr">
        <is>
          <t>Assets</t>
        </is>
      </c>
      <c r="D7043" s="3" t="inlineStr">
        <is>
          <t>7610/210</t>
        </is>
      </c>
      <c r="E7043" s="3" t="inlineStr">
        <is>
          <t>Endulini CIP Civil Works</t>
        </is>
      </c>
      <c r="F7043" s="3" t="n">
        <v>0</v>
      </c>
      <c r="G7043" s="3" t="n">
        <v>6070825.03</v>
      </c>
    </row>
    <row r="7044">
      <c r="A7044" s="3" t="inlineStr">
        <is>
          <t>Endulini (Pty) Ltd</t>
        </is>
      </c>
      <c r="B7044" s="4" t="n">
        <v>44561</v>
      </c>
      <c r="C7044" s="3" t="inlineStr">
        <is>
          <t>Assets</t>
        </is>
      </c>
      <c r="D7044" s="3" t="inlineStr">
        <is>
          <t>7610/215</t>
        </is>
      </c>
      <c r="E7044" s="3" t="inlineStr">
        <is>
          <t>Endulini CIP Civil Engineers</t>
        </is>
      </c>
      <c r="F7044" s="3" t="n">
        <v>0</v>
      </c>
      <c r="G7044" s="3" t="n">
        <v>183000</v>
      </c>
    </row>
    <row r="7045">
      <c r="A7045" s="3" t="inlineStr">
        <is>
          <t>Endulini (Pty) Ltd</t>
        </is>
      </c>
      <c r="B7045" s="4" t="n">
        <v>44561</v>
      </c>
      <c r="C7045" s="3" t="inlineStr">
        <is>
          <t>Assets</t>
        </is>
      </c>
      <c r="D7045" s="3" t="inlineStr">
        <is>
          <t>7610/220</t>
        </is>
      </c>
      <c r="E7045" s="3" t="inlineStr">
        <is>
          <t>Endulini CIP Structuring Project Fee Opp Invest</t>
        </is>
      </c>
      <c r="F7045" s="3" t="n">
        <v>0</v>
      </c>
      <c r="G7045" s="3" t="n">
        <v>483735.96</v>
      </c>
    </row>
    <row r="7046">
      <c r="A7046" s="3" t="inlineStr">
        <is>
          <t>Endulini (Pty) Ltd</t>
        </is>
      </c>
      <c r="B7046" s="4" t="n">
        <v>44561</v>
      </c>
      <c r="C7046" s="3" t="inlineStr">
        <is>
          <t>Assets</t>
        </is>
      </c>
      <c r="D7046" s="3" t="inlineStr">
        <is>
          <t>7610/225</t>
        </is>
      </c>
      <c r="E7046" s="3" t="inlineStr">
        <is>
          <t>Endulini CIP Structural engineering fee</t>
        </is>
      </c>
      <c r="F7046" s="3" t="n">
        <v>37000</v>
      </c>
      <c r="G7046" s="3" t="n">
        <v>211556.46</v>
      </c>
    </row>
    <row r="7047">
      <c r="A7047" s="3" t="inlineStr">
        <is>
          <t>Endulini (Pty) Ltd</t>
        </is>
      </c>
      <c r="B7047" s="4" t="n">
        <v>44561</v>
      </c>
      <c r="C7047" s="3" t="inlineStr">
        <is>
          <t>Assets</t>
        </is>
      </c>
      <c r="D7047" s="3" t="inlineStr">
        <is>
          <t>7610/230</t>
        </is>
      </c>
      <c r="E7047" s="3" t="inlineStr">
        <is>
          <t>Endulini CIP Mechanical Engineering</t>
        </is>
      </c>
      <c r="F7047" s="3" t="n">
        <v>0</v>
      </c>
      <c r="G7047" s="3" t="n">
        <v>15570</v>
      </c>
    </row>
    <row r="7048">
      <c r="A7048" s="3" t="inlineStr">
        <is>
          <t>Endulini (Pty) Ltd</t>
        </is>
      </c>
      <c r="B7048" s="4" t="n">
        <v>44561</v>
      </c>
      <c r="C7048" s="3" t="inlineStr">
        <is>
          <t>Assets</t>
        </is>
      </c>
      <c r="D7048" s="3" t="inlineStr">
        <is>
          <t>7610/235</t>
        </is>
      </c>
      <c r="E7048" s="3" t="inlineStr">
        <is>
          <t>Endulini CIP Electrical Installation</t>
        </is>
      </c>
      <c r="F7048" s="3" t="n">
        <v>0</v>
      </c>
      <c r="G7048" s="3" t="n">
        <v>711441.28</v>
      </c>
    </row>
    <row r="7049">
      <c r="A7049" s="3" t="inlineStr">
        <is>
          <t>Endulini (Pty) Ltd</t>
        </is>
      </c>
      <c r="B7049" s="4" t="n">
        <v>44561</v>
      </c>
      <c r="C7049" s="3" t="inlineStr">
        <is>
          <t>Assets</t>
        </is>
      </c>
      <c r="D7049" s="3" t="inlineStr">
        <is>
          <t>7610/250</t>
        </is>
      </c>
      <c r="E7049" s="3" t="inlineStr">
        <is>
          <t>Endulini CIP Boundary Wall</t>
        </is>
      </c>
      <c r="F7049" s="3" t="n">
        <v>0</v>
      </c>
      <c r="G7049" s="3" t="n">
        <v>88400.8</v>
      </c>
    </row>
    <row r="7050">
      <c r="A7050" s="3" t="inlineStr">
        <is>
          <t>Endulini (Pty) Ltd</t>
        </is>
      </c>
      <c r="B7050" s="4" t="n">
        <v>44561</v>
      </c>
      <c r="C7050" s="3" t="inlineStr">
        <is>
          <t>Assets</t>
        </is>
      </c>
      <c r="D7050" s="3" t="inlineStr">
        <is>
          <t>7610/290</t>
        </is>
      </c>
      <c r="E7050" s="3" t="inlineStr">
        <is>
          <t>Endulini CIP Development Management Fees</t>
        </is>
      </c>
      <c r="F7050" s="3" t="n">
        <v>0</v>
      </c>
      <c r="G7050" s="3" t="n">
        <v>237496.62</v>
      </c>
    </row>
    <row r="7051">
      <c r="A7051" s="3" t="inlineStr">
        <is>
          <t>Endulini (Pty) Ltd</t>
        </is>
      </c>
      <c r="B7051" s="4" t="n">
        <v>44561</v>
      </c>
      <c r="C7051" s="3" t="inlineStr">
        <is>
          <t>Assets</t>
        </is>
      </c>
      <c r="D7051" s="3" t="inlineStr">
        <is>
          <t>7610/310</t>
        </is>
      </c>
      <c r="E7051" s="3" t="inlineStr">
        <is>
          <t>Endulini CIP Enviromental consultants</t>
        </is>
      </c>
      <c r="F7051" s="3" t="n">
        <v>6000</v>
      </c>
      <c r="G7051" s="3" t="n">
        <v>60000</v>
      </c>
    </row>
    <row r="7052">
      <c r="A7052" s="3" t="inlineStr">
        <is>
          <t>Endulini (Pty) Ltd</t>
        </is>
      </c>
      <c r="B7052" s="4" t="n">
        <v>44561</v>
      </c>
      <c r="C7052" s="3" t="inlineStr">
        <is>
          <t>Assets</t>
        </is>
      </c>
      <c r="D7052" s="3" t="inlineStr">
        <is>
          <t>7610/320</t>
        </is>
      </c>
      <c r="E7052" s="3" t="inlineStr">
        <is>
          <t>Endulini CIP Geotechnical</t>
        </is>
      </c>
      <c r="F7052" s="3" t="n">
        <v>0</v>
      </c>
      <c r="G7052" s="3" t="n">
        <v>13575</v>
      </c>
    </row>
    <row r="7053">
      <c r="A7053" s="3" t="inlineStr">
        <is>
          <t>Endulini (Pty) Ltd</t>
        </is>
      </c>
      <c r="B7053" s="4" t="n">
        <v>44561</v>
      </c>
      <c r="C7053" s="3" t="inlineStr">
        <is>
          <t>Assets</t>
        </is>
      </c>
      <c r="D7053" s="3" t="inlineStr">
        <is>
          <t>7610/330</t>
        </is>
      </c>
      <c r="E7053" s="3" t="inlineStr">
        <is>
          <t>Endulini CIP Health and Safety</t>
        </is>
      </c>
      <c r="F7053" s="3" t="n">
        <v>0</v>
      </c>
      <c r="G7053" s="3" t="n">
        <v>10800</v>
      </c>
    </row>
    <row r="7054">
      <c r="A7054" s="3" t="inlineStr">
        <is>
          <t>Endulini (Pty) Ltd</t>
        </is>
      </c>
      <c r="B7054" s="4" t="n">
        <v>44561</v>
      </c>
      <c r="C7054" s="3" t="inlineStr">
        <is>
          <t>Assets</t>
        </is>
      </c>
      <c r="D7054" s="3" t="inlineStr">
        <is>
          <t>7610/390</t>
        </is>
      </c>
      <c r="E7054" s="3" t="inlineStr">
        <is>
          <t>Endulini CIP Land Surveyor</t>
        </is>
      </c>
      <c r="F7054" s="3" t="n">
        <v>67580.7</v>
      </c>
      <c r="G7054" s="3" t="n">
        <v>110130.7</v>
      </c>
    </row>
    <row r="7055">
      <c r="A7055" s="3" t="inlineStr">
        <is>
          <t>Endulini (Pty) Ltd</t>
        </is>
      </c>
      <c r="B7055" s="4" t="n">
        <v>44561</v>
      </c>
      <c r="C7055" s="3" t="inlineStr">
        <is>
          <t>Assets</t>
        </is>
      </c>
      <c r="D7055" s="3" t="inlineStr">
        <is>
          <t>7610/392</t>
        </is>
      </c>
      <c r="E7055" s="3" t="inlineStr">
        <is>
          <t>Endulini CIP Landscaping</t>
        </is>
      </c>
      <c r="F7055" s="3" t="n">
        <v>0</v>
      </c>
      <c r="G7055" s="3" t="n">
        <v>6100</v>
      </c>
    </row>
    <row r="7056">
      <c r="A7056" s="3" t="inlineStr">
        <is>
          <t>Endulini (Pty) Ltd</t>
        </is>
      </c>
      <c r="B7056" s="4" t="n">
        <v>44561</v>
      </c>
      <c r="C7056" s="3" t="inlineStr">
        <is>
          <t>Assets</t>
        </is>
      </c>
      <c r="D7056" s="3" t="inlineStr">
        <is>
          <t>7610/395</t>
        </is>
      </c>
      <c r="E7056" s="3" t="inlineStr">
        <is>
          <t>Endulini CIP NHBRC</t>
        </is>
      </c>
      <c r="F7056" s="3" t="n">
        <v>0</v>
      </c>
      <c r="G7056" s="3" t="n">
        <v>348581.99</v>
      </c>
    </row>
    <row r="7057">
      <c r="A7057" s="3" t="inlineStr">
        <is>
          <t>Endulini (Pty) Ltd</t>
        </is>
      </c>
      <c r="B7057" s="4" t="n">
        <v>44561</v>
      </c>
      <c r="C7057" s="3" t="inlineStr">
        <is>
          <t>Assets</t>
        </is>
      </c>
      <c r="D7057" s="3" t="inlineStr">
        <is>
          <t>7610/400</t>
        </is>
      </c>
      <c r="E7057" s="3" t="inlineStr">
        <is>
          <t>Endulini CIP Quantity Surveyor</t>
        </is>
      </c>
      <c r="F7057" s="3" t="n">
        <v>0</v>
      </c>
      <c r="G7057" s="3" t="n">
        <v>82136.36</v>
      </c>
    </row>
    <row r="7058">
      <c r="A7058" s="3" t="inlineStr">
        <is>
          <t>Endulini (Pty) Ltd</t>
        </is>
      </c>
      <c r="B7058" s="4" t="n">
        <v>44561</v>
      </c>
      <c r="C7058" s="3" t="inlineStr">
        <is>
          <t>Assets</t>
        </is>
      </c>
      <c r="D7058" s="3" t="inlineStr">
        <is>
          <t>7610/600</t>
        </is>
      </c>
      <c r="E7058" s="3" t="inlineStr">
        <is>
          <t>Endulini CIP Town Planning</t>
        </is>
      </c>
      <c r="F7058" s="3" t="n">
        <v>8275</v>
      </c>
      <c r="G7058" s="3" t="n">
        <v>21105</v>
      </c>
    </row>
    <row r="7059">
      <c r="A7059" s="3" t="inlineStr">
        <is>
          <t>Endulini (Pty) Ltd</t>
        </is>
      </c>
      <c r="B7059" s="4" t="n">
        <v>44561</v>
      </c>
      <c r="C7059" s="3" t="inlineStr">
        <is>
          <t>Assets</t>
        </is>
      </c>
      <c r="D7059" s="3" t="inlineStr">
        <is>
          <t>7610/620</t>
        </is>
      </c>
      <c r="E7059" s="3" t="inlineStr">
        <is>
          <t>Endulini CIP Traffic Impact</t>
        </is>
      </c>
      <c r="F7059" s="3" t="n">
        <v>0</v>
      </c>
      <c r="G7059" s="3" t="n">
        <v>24915</v>
      </c>
    </row>
    <row r="7060">
      <c r="A7060" s="3" t="inlineStr">
        <is>
          <t>Endulini (Pty) Ltd</t>
        </is>
      </c>
      <c r="B7060" s="4" t="n">
        <v>44561</v>
      </c>
      <c r="C7060" s="3" t="inlineStr">
        <is>
          <t>Assets</t>
        </is>
      </c>
      <c r="D7060" s="3" t="inlineStr">
        <is>
          <t>7610/630</t>
        </is>
      </c>
      <c r="E7060" s="3" t="inlineStr">
        <is>
          <t>Endulini CIP CoCT Development Contributi</t>
        </is>
      </c>
      <c r="F7060" s="3" t="n">
        <v>0</v>
      </c>
      <c r="G7060" s="3" t="n">
        <v>661860.3100000001</v>
      </c>
    </row>
    <row r="7061">
      <c r="A7061" s="3" t="inlineStr">
        <is>
          <t>Endulini (Pty) Ltd</t>
        </is>
      </c>
      <c r="B7061" s="4" t="n">
        <v>44561</v>
      </c>
      <c r="C7061" s="3" t="inlineStr">
        <is>
          <t>Assets</t>
        </is>
      </c>
      <c r="D7061" s="3" t="inlineStr">
        <is>
          <t>7610/640</t>
        </is>
      </c>
      <c r="E7061" s="3" t="inlineStr">
        <is>
          <t>Endulini CIP CoCT Building plan application</t>
        </is>
      </c>
      <c r="F7061" s="3" t="n">
        <v>107598</v>
      </c>
      <c r="G7061" s="3" t="n">
        <v>107598</v>
      </c>
    </row>
    <row r="7062">
      <c r="A7062" s="3" t="inlineStr">
        <is>
          <t>Quinate Consulting (Pty) Ltd</t>
        </is>
      </c>
      <c r="B7062" s="4" t="n">
        <v>44561</v>
      </c>
      <c r="C7062" s="3" t="inlineStr">
        <is>
          <t>Assets</t>
        </is>
      </c>
      <c r="D7062" s="3" t="inlineStr">
        <is>
          <t>7800/104</t>
        </is>
      </c>
      <c r="E7062" s="3" t="inlineStr">
        <is>
          <t>Stock - Closing Stock SW - 28 Feb 21</t>
        </is>
      </c>
      <c r="F7062" s="3" t="n">
        <v>0</v>
      </c>
      <c r="G7062" s="3" t="n">
        <v>2874478.88</v>
      </c>
    </row>
    <row r="7063">
      <c r="A7063" s="3" t="inlineStr">
        <is>
          <t>Quinate Consulting (Pty) Ltd</t>
        </is>
      </c>
      <c r="B7063" s="4" t="n">
        <v>44561</v>
      </c>
      <c r="C7063" s="3" t="inlineStr">
        <is>
          <t>Assets</t>
        </is>
      </c>
      <c r="D7063" s="3" t="inlineStr">
        <is>
          <t>7800/105</t>
        </is>
      </c>
      <c r="E7063" s="3" t="inlineStr">
        <is>
          <t>Stock - Closing Stock SH - 28 Feb 21</t>
        </is>
      </c>
      <c r="F7063" s="3" t="n">
        <v>0</v>
      </c>
      <c r="G7063" s="3" t="n">
        <v>2843477.6</v>
      </c>
    </row>
    <row r="7064">
      <c r="A7064" s="3" t="inlineStr">
        <is>
          <t>Endulini (Pty) Ltd</t>
        </is>
      </c>
      <c r="B7064" s="4" t="n">
        <v>44561</v>
      </c>
      <c r="C7064" s="3" t="inlineStr">
        <is>
          <t>Assets</t>
        </is>
      </c>
      <c r="D7064" s="3" t="inlineStr">
        <is>
          <t>8000/000</t>
        </is>
      </c>
      <c r="E7064" s="3" t="inlineStr">
        <is>
          <t>Customer Control Account</t>
        </is>
      </c>
      <c r="F7064" s="3" t="n">
        <v>0</v>
      </c>
      <c r="G7064" s="3" t="n">
        <v>2012.5</v>
      </c>
    </row>
    <row r="7065">
      <c r="A7065" s="3" t="inlineStr">
        <is>
          <t>Noble Shield (Pty) Ltd ta Go Letting</t>
        </is>
      </c>
      <c r="B7065" s="4" t="n">
        <v>44561</v>
      </c>
      <c r="C7065" s="3" t="inlineStr">
        <is>
          <t>Assets</t>
        </is>
      </c>
      <c r="D7065" s="3" t="inlineStr">
        <is>
          <t>8000/000</t>
        </is>
      </c>
      <c r="E7065" s="3" t="inlineStr">
        <is>
          <t>Customer Control Account</t>
        </is>
      </c>
      <c r="F7065" s="3" t="n">
        <v>0</v>
      </c>
      <c r="G7065" s="3" t="n">
        <v>60289.32</v>
      </c>
    </row>
    <row r="7066">
      <c r="A7066" s="3" t="inlineStr">
        <is>
          <t>Opportunity Global Sales (PTY) LTD</t>
        </is>
      </c>
      <c r="B7066" s="4" t="n">
        <v>44561</v>
      </c>
      <c r="C7066" s="3" t="inlineStr">
        <is>
          <t>Assets</t>
        </is>
      </c>
      <c r="D7066" s="3" t="inlineStr">
        <is>
          <t>8000/000</t>
        </is>
      </c>
      <c r="E7066" s="3" t="inlineStr">
        <is>
          <t>Customer Control Account</t>
        </is>
      </c>
      <c r="F7066" s="3" t="n">
        <v>-58114.78</v>
      </c>
      <c r="G7066" s="3" t="n">
        <v>201136.03</v>
      </c>
    </row>
    <row r="7067">
      <c r="A7067" s="3" t="inlineStr">
        <is>
          <t>Opportunity Management Holdings (PTY) LTD</t>
        </is>
      </c>
      <c r="B7067" s="4" t="n">
        <v>44561</v>
      </c>
      <c r="C7067" s="3" t="inlineStr">
        <is>
          <t>Assets</t>
        </is>
      </c>
      <c r="D7067" s="3" t="inlineStr">
        <is>
          <t>8000/000</t>
        </is>
      </c>
      <c r="E7067" s="3" t="inlineStr">
        <is>
          <t>Customer Control Account</t>
        </is>
      </c>
      <c r="F7067" s="3" t="n">
        <v>-85054</v>
      </c>
      <c r="G7067" s="3" t="n">
        <v>-116.42</v>
      </c>
    </row>
    <row r="7068">
      <c r="A7068" s="3" t="inlineStr">
        <is>
          <t>Quinate Consulting (Pty) Ltd</t>
        </is>
      </c>
      <c r="B7068" s="4" t="n">
        <v>44561</v>
      </c>
      <c r="C7068" s="3" t="inlineStr">
        <is>
          <t>Assets</t>
        </is>
      </c>
      <c r="D7068" s="3" t="inlineStr">
        <is>
          <t>8000/000</t>
        </is>
      </c>
      <c r="E7068" s="3" t="inlineStr">
        <is>
          <t>Customer Control Account</t>
        </is>
      </c>
      <c r="F7068" s="3" t="n">
        <v>15750</v>
      </c>
      <c r="G7068" s="3" t="n">
        <v>-16237.84</v>
      </c>
    </row>
    <row r="7069">
      <c r="A7069" s="3" t="inlineStr">
        <is>
          <t>Quinate Consulting (Pty) Ltd</t>
        </is>
      </c>
      <c r="B7069" s="4" t="n">
        <v>44561</v>
      </c>
      <c r="C7069" s="3" t="inlineStr">
        <is>
          <t>Assets</t>
        </is>
      </c>
      <c r="D7069" s="3" t="inlineStr">
        <is>
          <t>8001</t>
        </is>
      </c>
      <c r="E7069" s="3" t="inlineStr">
        <is>
          <t>Customer Control</t>
        </is>
      </c>
      <c r="F7069" s="3" t="n">
        <v>0</v>
      </c>
      <c r="G7069" s="3" t="n">
        <v>29487.49</v>
      </c>
    </row>
    <row r="7070">
      <c r="A7070" s="3" t="inlineStr">
        <is>
          <t>Opportunity Global Investment (PTY) LTD</t>
        </is>
      </c>
      <c r="B7070" s="4" t="n">
        <v>44561</v>
      </c>
      <c r="C7070" s="3" t="inlineStr">
        <is>
          <t>Assets</t>
        </is>
      </c>
      <c r="D7070" s="3" t="inlineStr">
        <is>
          <t>8200/010</t>
        </is>
      </c>
      <c r="E7070" s="3" t="inlineStr">
        <is>
          <t>Prepayments / Prepaid Expenses</t>
        </is>
      </c>
      <c r="F7070" s="3" t="n">
        <v>0</v>
      </c>
      <c r="G7070" s="3" t="n">
        <v>83000</v>
      </c>
    </row>
    <row r="7071">
      <c r="A7071" s="3" t="inlineStr">
        <is>
          <t>Quinate Consulting (Pty) Ltd</t>
        </is>
      </c>
      <c r="B7071" s="4" t="n">
        <v>44561</v>
      </c>
      <c r="C7071" s="3" t="inlineStr">
        <is>
          <t>Assets</t>
        </is>
      </c>
      <c r="D7071" s="3" t="inlineStr">
        <is>
          <t>8200/010</t>
        </is>
      </c>
      <c r="E7071" s="3" t="inlineStr">
        <is>
          <t>Prepayments / Prepaid Expenses</t>
        </is>
      </c>
      <c r="F7071" s="3" t="n">
        <v>0</v>
      </c>
      <c r="G7071" s="3" t="n">
        <v>109675</v>
      </c>
    </row>
    <row r="7072">
      <c r="A7072" s="3" t="inlineStr">
        <is>
          <t>Opportunity Global Investment (PTY) LTD</t>
        </is>
      </c>
      <c r="B7072" s="4" t="n">
        <v>44561</v>
      </c>
      <c r="C7072" s="3" t="inlineStr">
        <is>
          <t>Assets</t>
        </is>
      </c>
      <c r="D7072" s="3" t="inlineStr">
        <is>
          <t>8400/000</t>
        </is>
      </c>
      <c r="E7072" s="3" t="inlineStr">
        <is>
          <t>FNB 62093491696</t>
        </is>
      </c>
      <c r="F7072" s="3" t="n">
        <v>100228.16</v>
      </c>
      <c r="G7072" s="3" t="n">
        <v>112865.05</v>
      </c>
    </row>
    <row r="7073">
      <c r="A7073" s="3" t="inlineStr">
        <is>
          <t>Opportunity Global Sales (PTY) LTD</t>
        </is>
      </c>
      <c r="B7073" s="4" t="n">
        <v>44561</v>
      </c>
      <c r="C7073" s="3" t="inlineStr">
        <is>
          <t>Assets</t>
        </is>
      </c>
      <c r="D7073" s="3" t="inlineStr">
        <is>
          <t>8400/000</t>
        </is>
      </c>
      <c r="E7073" s="3" t="inlineStr">
        <is>
          <t>FNB 62835620875</t>
        </is>
      </c>
      <c r="F7073" s="3" t="n">
        <v>21535.56</v>
      </c>
      <c r="G7073" s="3" t="n">
        <v>34051.47</v>
      </c>
    </row>
    <row r="7074">
      <c r="A7074" s="3" t="inlineStr">
        <is>
          <t>Quinate Consulting (Pty) Ltd</t>
        </is>
      </c>
      <c r="B7074" s="4" t="n">
        <v>44561</v>
      </c>
      <c r="C7074" s="3" t="inlineStr">
        <is>
          <t>Assets</t>
        </is>
      </c>
      <c r="D7074" s="3" t="inlineStr">
        <is>
          <t>8400/000</t>
        </is>
      </c>
      <c r="E7074" s="3" t="inlineStr">
        <is>
          <t>RMB - 62736659189 - Call Acc</t>
        </is>
      </c>
      <c r="F7074" s="3" t="n">
        <v>22.63</v>
      </c>
      <c r="G7074" s="3" t="n">
        <v>152828.91</v>
      </c>
    </row>
    <row r="7075">
      <c r="A7075" s="3" t="inlineStr">
        <is>
          <t>Trademark Holdings (Pty) Ltd</t>
        </is>
      </c>
      <c r="B7075" s="4" t="n">
        <v>44561</v>
      </c>
      <c r="C7075" s="3" t="inlineStr">
        <is>
          <t>Assets</t>
        </is>
      </c>
      <c r="D7075" s="3" t="inlineStr">
        <is>
          <t>8400/000</t>
        </is>
      </c>
      <c r="E7075" s="3" t="inlineStr">
        <is>
          <t>RMB 623 693 03640</t>
        </is>
      </c>
      <c r="F7075" s="3" t="n">
        <v>43487.34</v>
      </c>
      <c r="G7075" s="3" t="n">
        <v>61453.25</v>
      </c>
    </row>
    <row r="7076">
      <c r="A7076" s="3" t="inlineStr">
        <is>
          <t>Noble Shield (Pty) Ltd ta Go Letting</t>
        </is>
      </c>
      <c r="B7076" s="4" t="n">
        <v>44561</v>
      </c>
      <c r="C7076" s="3" t="inlineStr">
        <is>
          <t>Assets</t>
        </is>
      </c>
      <c r="D7076" s="3" t="inlineStr">
        <is>
          <t>8400/000</t>
        </is>
      </c>
      <c r="E7076" s="3" t="inlineStr">
        <is>
          <t>RMB 6250 573 3833</t>
        </is>
      </c>
      <c r="F7076" s="3" t="n">
        <v>6164.74</v>
      </c>
      <c r="G7076" s="3" t="n">
        <v>36778.65</v>
      </c>
    </row>
    <row r="7077">
      <c r="A7077" s="3" t="inlineStr">
        <is>
          <t>Endulini (Pty) Ltd</t>
        </is>
      </c>
      <c r="B7077" s="4" t="n">
        <v>44561</v>
      </c>
      <c r="C7077" s="3" t="inlineStr">
        <is>
          <t>Assets</t>
        </is>
      </c>
      <c r="D7077" s="3" t="inlineStr">
        <is>
          <t>8400/000</t>
        </is>
      </c>
      <c r="E7077" s="3" t="inlineStr">
        <is>
          <t>RMB 62906944576</t>
        </is>
      </c>
      <c r="F7077" s="3" t="n">
        <v>1686.66</v>
      </c>
      <c r="G7077" s="3" t="n">
        <v>3743.29</v>
      </c>
    </row>
    <row r="7078">
      <c r="A7078" s="3" t="inlineStr">
        <is>
          <t>Opportunity Management Holdings (PTY) LTD</t>
        </is>
      </c>
      <c r="B7078" s="4" t="n">
        <v>44561</v>
      </c>
      <c r="C7078" s="3" t="inlineStr">
        <is>
          <t>Assets</t>
        </is>
      </c>
      <c r="D7078" s="3" t="inlineStr">
        <is>
          <t>8400/000</t>
        </is>
      </c>
      <c r="E7078" s="3" t="inlineStr">
        <is>
          <t>RMB Cheq - 62312246920</t>
        </is>
      </c>
      <c r="F7078" s="3" t="n">
        <v>63110.09</v>
      </c>
      <c r="G7078" s="3" t="n">
        <v>64999.74</v>
      </c>
    </row>
    <row r="7079">
      <c r="A7079" s="3" t="inlineStr">
        <is>
          <t>Opportunity Global Investment (PTY) LTD</t>
        </is>
      </c>
      <c r="B7079" s="4" t="n">
        <v>44561</v>
      </c>
      <c r="C7079" s="3" t="inlineStr">
        <is>
          <t>Assets</t>
        </is>
      </c>
      <c r="D7079" s="3" t="inlineStr">
        <is>
          <t>8405/000</t>
        </is>
      </c>
      <c r="E7079" s="3" t="inlineStr">
        <is>
          <t>FNB Trust 62762449265</t>
        </is>
      </c>
      <c r="F7079" s="3" t="n">
        <v>650.86</v>
      </c>
      <c r="G7079" s="3" t="n">
        <v>727.46</v>
      </c>
    </row>
    <row r="7080">
      <c r="A7080" s="3" t="inlineStr">
        <is>
          <t>Endulini (Pty) Ltd</t>
        </is>
      </c>
      <c r="B7080" s="4" t="n">
        <v>44561</v>
      </c>
      <c r="C7080" s="3" t="inlineStr">
        <is>
          <t>Assets</t>
        </is>
      </c>
      <c r="D7080" s="3" t="inlineStr">
        <is>
          <t>8410/000</t>
        </is>
      </c>
      <c r="E7080" s="3" t="inlineStr">
        <is>
          <t>Momentum Investor Account : RU 502229883</t>
        </is>
      </c>
      <c r="F7080" s="3" t="n">
        <v>-3643862</v>
      </c>
      <c r="G7080" s="3" t="n">
        <v>822937.7</v>
      </c>
    </row>
    <row r="7081">
      <c r="A7081" s="3" t="inlineStr">
        <is>
          <t>Opportunity Management Holdings (PTY) LTD</t>
        </is>
      </c>
      <c r="B7081" s="4" t="n">
        <v>44561</v>
      </c>
      <c r="C7081" s="3" t="inlineStr">
        <is>
          <t>Assets</t>
        </is>
      </c>
      <c r="D7081" s="3" t="inlineStr">
        <is>
          <t>8410/000</t>
        </is>
      </c>
      <c r="E7081" s="3" t="inlineStr">
        <is>
          <t>RMB Call Acc - 62312248851</t>
        </is>
      </c>
      <c r="F7081" s="3" t="n">
        <v>-259.12</v>
      </c>
      <c r="G7081" s="3" t="n">
        <v>141.03</v>
      </c>
    </row>
    <row r="7082">
      <c r="A7082" s="3" t="inlineStr">
        <is>
          <t>Noble Shield (Pty) Ltd ta Go Letting</t>
        </is>
      </c>
      <c r="B7082" s="4" t="n">
        <v>44561</v>
      </c>
      <c r="C7082" s="3" t="inlineStr">
        <is>
          <t>Assets</t>
        </is>
      </c>
      <c r="D7082" s="3" t="inlineStr">
        <is>
          <t>8410/000</t>
        </is>
      </c>
      <c r="E7082" s="3" t="inlineStr">
        <is>
          <t>RMB Trust Acc - 6250 615 1365</t>
        </is>
      </c>
      <c r="F7082" s="3" t="n">
        <v>644.54</v>
      </c>
      <c r="G7082" s="3" t="n">
        <v>681.5599999999999</v>
      </c>
    </row>
    <row r="7083">
      <c r="A7083" s="3" t="inlineStr">
        <is>
          <t>Quinate Consulting (Pty) Ltd</t>
        </is>
      </c>
      <c r="B7083" s="4" t="n">
        <v>44561</v>
      </c>
      <c r="C7083" s="3" t="inlineStr">
        <is>
          <t>Assets</t>
        </is>
      </c>
      <c r="D7083" s="3" t="inlineStr">
        <is>
          <t>8415/000</t>
        </is>
      </c>
      <c r="E7083" s="3" t="inlineStr">
        <is>
          <t>STD Acc 071 958 959 - Facility Acc</t>
        </is>
      </c>
      <c r="F7083" s="3" t="n">
        <v>-85</v>
      </c>
      <c r="G7083" s="3" t="n">
        <v>4486.21</v>
      </c>
    </row>
    <row r="7084">
      <c r="A7084" s="3" t="inlineStr">
        <is>
          <t>Quinate Consulting (Pty) Ltd</t>
        </is>
      </c>
      <c r="B7084" s="4" t="n">
        <v>44561</v>
      </c>
      <c r="C7084" s="3" t="inlineStr">
        <is>
          <t>Assets</t>
        </is>
      </c>
      <c r="D7084" s="3" t="inlineStr">
        <is>
          <t>8430/000</t>
        </is>
      </c>
      <c r="E7084" s="3" t="inlineStr">
        <is>
          <t>Momentum Investment Acc - RU502230185</t>
        </is>
      </c>
      <c r="F7084" s="3" t="n">
        <v>0</v>
      </c>
      <c r="G7084" s="3" t="n">
        <v>500</v>
      </c>
    </row>
    <row r="7085">
      <c r="A7085" s="3" t="inlineStr">
        <is>
          <t>Opportunity Global Investment (PTY) LTD</t>
        </is>
      </c>
      <c r="B7085" s="4" t="n">
        <v>44561</v>
      </c>
      <c r="C7085" s="3" t="inlineStr">
        <is>
          <t>Assets</t>
        </is>
      </c>
      <c r="D7085" s="3" t="inlineStr">
        <is>
          <t>8440/000</t>
        </is>
      </c>
      <c r="E7085" s="3" t="inlineStr">
        <is>
          <t>FNB - Call 627602764438</t>
        </is>
      </c>
      <c r="F7085" s="3" t="n">
        <v>-268.6</v>
      </c>
      <c r="G7085" s="3" t="n">
        <v>818.0700000000001</v>
      </c>
    </row>
    <row r="7086">
      <c r="A7086" s="3" t="inlineStr">
        <is>
          <t>Opportunity Global Investment (PTY) LTD</t>
        </is>
      </c>
      <c r="B7086" s="4" t="n">
        <v>44561</v>
      </c>
      <c r="C7086" s="3" t="inlineStr">
        <is>
          <t>Assets</t>
        </is>
      </c>
      <c r="D7086" s="3" t="inlineStr">
        <is>
          <t>8445/000</t>
        </is>
      </c>
      <c r="E7086" s="3" t="inlineStr">
        <is>
          <t>Momentum RU502230096</t>
        </is>
      </c>
      <c r="F7086" s="3" t="n">
        <v>48.56</v>
      </c>
      <c r="G7086" s="3" t="n">
        <v>4402.21</v>
      </c>
    </row>
    <row r="7087">
      <c r="A7087" s="3" t="inlineStr">
        <is>
          <t>Quinate Consulting (Pty) Ltd</t>
        </is>
      </c>
      <c r="B7087" s="4" t="n">
        <v>44561</v>
      </c>
      <c r="C7087" s="3" t="inlineStr">
        <is>
          <t>Assets</t>
        </is>
      </c>
      <c r="D7087" s="3" t="inlineStr">
        <is>
          <t>8450/000</t>
        </is>
      </c>
      <c r="E7087" s="3" t="inlineStr">
        <is>
          <t>A RMB 62275810820</t>
        </is>
      </c>
      <c r="F7087" s="3" t="n">
        <v>62630.13</v>
      </c>
      <c r="G7087" s="3" t="n">
        <v>89640.61</v>
      </c>
    </row>
    <row r="7088">
      <c r="A7088" s="3" t="inlineStr">
        <is>
          <t>Quinate Consulting (Pty) Ltd</t>
        </is>
      </c>
      <c r="B7088" s="4" t="n">
        <v>44561</v>
      </c>
      <c r="C7088" s="3" t="inlineStr">
        <is>
          <t>Liabilities</t>
        </is>
      </c>
      <c r="D7088" s="3" t="inlineStr">
        <is>
          <t>8480/100</t>
        </is>
      </c>
      <c r="E7088" s="3" t="inlineStr">
        <is>
          <t>Bond - SH20 - STD Bank 532010558</t>
        </is>
      </c>
      <c r="F7088" s="3" t="n">
        <v>3427.53</v>
      </c>
      <c r="G7088" s="3" t="n">
        <v>-1396209.38</v>
      </c>
    </row>
    <row r="7089">
      <c r="A7089" s="3" t="inlineStr">
        <is>
          <t>Quinate Consulting (Pty) Ltd</t>
        </is>
      </c>
      <c r="B7089" s="4" t="n">
        <v>44561</v>
      </c>
      <c r="C7089" s="3" t="inlineStr">
        <is>
          <t>Liabilities</t>
        </is>
      </c>
      <c r="D7089" s="3" t="inlineStr">
        <is>
          <t>8480/200</t>
        </is>
      </c>
      <c r="E7089" s="3" t="inlineStr">
        <is>
          <t>Bond - SH23 - STD Bank 532010035</t>
        </is>
      </c>
      <c r="F7089" s="3" t="n">
        <v>3432.92</v>
      </c>
      <c r="G7089" s="3" t="n">
        <v>-1396015.61</v>
      </c>
    </row>
    <row r="7090">
      <c r="A7090" s="3" t="inlineStr">
        <is>
          <t>Quinate Consulting (Pty) Ltd</t>
        </is>
      </c>
      <c r="B7090" s="4" t="n">
        <v>44561</v>
      </c>
      <c r="C7090" s="3" t="inlineStr">
        <is>
          <t>Liabilities</t>
        </is>
      </c>
      <c r="D7090" s="3" t="inlineStr">
        <is>
          <t>8480/300</t>
        </is>
      </c>
      <c r="E7090" s="3" t="inlineStr">
        <is>
          <t>Bond - SH24 - STD Bank 532372662</t>
        </is>
      </c>
      <c r="F7090" s="3" t="n">
        <v>1532.59</v>
      </c>
      <c r="G7090" s="3" t="n">
        <v>-1469112.4</v>
      </c>
    </row>
    <row r="7091">
      <c r="A7091" s="3" t="inlineStr">
        <is>
          <t>Quinate Consulting (Pty) Ltd</t>
        </is>
      </c>
      <c r="B7091" s="4" t="n">
        <v>44561</v>
      </c>
      <c r="C7091" s="3" t="inlineStr">
        <is>
          <t>Liabilities</t>
        </is>
      </c>
      <c r="D7091" s="3" t="inlineStr">
        <is>
          <t>8480/400</t>
        </is>
      </c>
      <c r="E7091" s="3" t="inlineStr">
        <is>
          <t>Bond - SW01 - STD Bank 532920627</t>
        </is>
      </c>
      <c r="F7091" s="3" t="n">
        <v>9030.74</v>
      </c>
      <c r="G7091" s="3" t="n">
        <v>-1294656.14</v>
      </c>
    </row>
    <row r="7092">
      <c r="A7092" s="3" t="inlineStr">
        <is>
          <t>Quinate Consulting (Pty) Ltd</t>
        </is>
      </c>
      <c r="B7092" s="4" t="n">
        <v>44561</v>
      </c>
      <c r="C7092" s="3" t="inlineStr">
        <is>
          <t>Liabilities</t>
        </is>
      </c>
      <c r="D7092" s="3" t="inlineStr">
        <is>
          <t>8480/401</t>
        </is>
      </c>
      <c r="E7092" s="3" t="inlineStr">
        <is>
          <t>Bond - SW21 - STD Bank 532920597</t>
        </is>
      </c>
      <c r="F7092" s="3" t="n">
        <v>9034.23</v>
      </c>
      <c r="G7092" s="3" t="n">
        <v>-1295169.9</v>
      </c>
    </row>
    <row r="7093">
      <c r="A7093" s="3" t="inlineStr">
        <is>
          <t>Quinate Consulting (Pty) Ltd</t>
        </is>
      </c>
      <c r="B7093" s="4" t="n">
        <v>44561</v>
      </c>
      <c r="C7093" s="3" t="inlineStr">
        <is>
          <t>Assets</t>
        </is>
      </c>
      <c r="D7093" s="3" t="inlineStr">
        <is>
          <t>8490</t>
        </is>
      </c>
      <c r="E7093" s="3" t="inlineStr">
        <is>
          <t>STBB Trust Account</t>
        </is>
      </c>
      <c r="F7093" s="3" t="n">
        <v>0</v>
      </c>
      <c r="G7093" s="3" t="n">
        <v>200010</v>
      </c>
    </row>
    <row r="7094">
      <c r="A7094" s="3" t="inlineStr">
        <is>
          <t>Opportunity Global Investment (PTY) LTD</t>
        </is>
      </c>
      <c r="B7094" s="4" t="n">
        <v>44561</v>
      </c>
      <c r="C7094" s="3" t="inlineStr">
        <is>
          <t>Liabilities</t>
        </is>
      </c>
      <c r="D7094" s="3" t="inlineStr">
        <is>
          <t>860</t>
        </is>
      </c>
      <c r="E7094" s="3" t="inlineStr">
        <is>
          <t>Rounding</t>
        </is>
      </c>
      <c r="F7094" s="3" t="n">
        <v>-0.03</v>
      </c>
      <c r="G7094" s="3" t="n">
        <v>-0.03</v>
      </c>
    </row>
    <row r="7095">
      <c r="A7095" s="3" t="inlineStr">
        <is>
          <t>Endulini (Pty) Ltd</t>
        </is>
      </c>
      <c r="B7095" s="4" t="n">
        <v>44561</v>
      </c>
      <c r="C7095" s="3" t="inlineStr">
        <is>
          <t>Liabilities</t>
        </is>
      </c>
      <c r="D7095" s="3" t="inlineStr">
        <is>
          <t>9000/000</t>
        </is>
      </c>
      <c r="E7095" s="3" t="inlineStr">
        <is>
          <t>Supplier Control Account</t>
        </is>
      </c>
      <c r="F7095" s="3" t="n">
        <v>-1912006.39</v>
      </c>
      <c r="G7095" s="3" t="n">
        <v>-47136786.11</v>
      </c>
    </row>
    <row r="7096">
      <c r="A7096" s="3" t="inlineStr">
        <is>
          <t>Noble Shield (Pty) Ltd ta Go Letting</t>
        </is>
      </c>
      <c r="B7096" s="4" t="n">
        <v>44561</v>
      </c>
      <c r="C7096" s="3" t="inlineStr">
        <is>
          <t>Liabilities</t>
        </is>
      </c>
      <c r="D7096" s="3" t="inlineStr">
        <is>
          <t>9000/000</t>
        </is>
      </c>
      <c r="E7096" s="3" t="inlineStr">
        <is>
          <t>Supplier Control Account</t>
        </is>
      </c>
      <c r="F7096" s="3" t="n">
        <v>2224.94</v>
      </c>
      <c r="G7096" s="3" t="n">
        <v>-21229.24</v>
      </c>
    </row>
    <row r="7097">
      <c r="A7097" s="3" t="inlineStr">
        <is>
          <t>Opportunity Global Investment (PTY) LTD</t>
        </is>
      </c>
      <c r="B7097" s="4" t="n">
        <v>44561</v>
      </c>
      <c r="C7097" s="3" t="inlineStr">
        <is>
          <t>Liabilities</t>
        </is>
      </c>
      <c r="D7097" s="3" t="inlineStr">
        <is>
          <t>9000/000</t>
        </is>
      </c>
      <c r="E7097" s="3" t="inlineStr">
        <is>
          <t>Supplier Control Account</t>
        </is>
      </c>
      <c r="F7097" s="3" t="n">
        <v>15619</v>
      </c>
      <c r="G7097" s="3" t="n">
        <v>-27954.41</v>
      </c>
    </row>
    <row r="7098">
      <c r="A7098" s="3" t="inlineStr">
        <is>
          <t>Opportunity Global Sales (PTY) LTD</t>
        </is>
      </c>
      <c r="B7098" s="4" t="n">
        <v>44561</v>
      </c>
      <c r="C7098" s="3" t="inlineStr">
        <is>
          <t>Liabilities</t>
        </is>
      </c>
      <c r="D7098" s="3" t="inlineStr">
        <is>
          <t>9000/000</t>
        </is>
      </c>
      <c r="E7098" s="3" t="inlineStr">
        <is>
          <t>Supplier Control Account</t>
        </is>
      </c>
      <c r="F7098" s="3" t="n">
        <v>402.5</v>
      </c>
      <c r="G7098" s="3" t="n">
        <v>-472</v>
      </c>
    </row>
    <row r="7099">
      <c r="A7099" s="3" t="inlineStr">
        <is>
          <t>Opportunity Management Holdings (PTY) LTD</t>
        </is>
      </c>
      <c r="B7099" s="4" t="n">
        <v>44561</v>
      </c>
      <c r="C7099" s="3" t="inlineStr">
        <is>
          <t>Liabilities</t>
        </is>
      </c>
      <c r="D7099" s="3" t="inlineStr">
        <is>
          <t>9000/000</t>
        </is>
      </c>
      <c r="E7099" s="3" t="inlineStr">
        <is>
          <t>Supplier Control Account</t>
        </is>
      </c>
      <c r="F7099" s="3" t="n">
        <v>0</v>
      </c>
      <c r="G7099" s="3" t="n">
        <v>-263989.28</v>
      </c>
    </row>
    <row r="7100">
      <c r="A7100" s="3" t="inlineStr">
        <is>
          <t>Quinate Consulting (Pty) Ltd</t>
        </is>
      </c>
      <c r="B7100" s="4" t="n">
        <v>44561</v>
      </c>
      <c r="C7100" s="3" t="inlineStr">
        <is>
          <t>Liabilities</t>
        </is>
      </c>
      <c r="D7100" s="3" t="inlineStr">
        <is>
          <t>9000/000</t>
        </is>
      </c>
      <c r="E7100" s="3" t="inlineStr">
        <is>
          <t>Supplier Control Account</t>
        </is>
      </c>
      <c r="F7100" s="3" t="n">
        <v>424012.59</v>
      </c>
      <c r="G7100" s="3" t="n">
        <v>422218.11</v>
      </c>
    </row>
    <row r="7101">
      <c r="A7101" s="3" t="inlineStr">
        <is>
          <t>Trademark Holdings (Pty) Ltd</t>
        </is>
      </c>
      <c r="B7101" s="4" t="n">
        <v>44561</v>
      </c>
      <c r="C7101" s="3" t="inlineStr">
        <is>
          <t>Liabilities</t>
        </is>
      </c>
      <c r="D7101" s="3" t="inlineStr">
        <is>
          <t>9000/000</t>
        </is>
      </c>
      <c r="E7101" s="3" t="inlineStr">
        <is>
          <t>Supplier Control Account</t>
        </is>
      </c>
      <c r="F7101" s="3" t="n">
        <v>2535.25</v>
      </c>
      <c r="G7101" s="3" t="n">
        <v>-16314.07</v>
      </c>
    </row>
    <row r="7102">
      <c r="A7102" s="3" t="inlineStr">
        <is>
          <t>Quinate Consulting (Pty) Ltd</t>
        </is>
      </c>
      <c r="B7102" s="4" t="n">
        <v>44561</v>
      </c>
      <c r="C7102" s="3" t="inlineStr">
        <is>
          <t>Liabilities</t>
        </is>
      </c>
      <c r="D7102" s="3" t="inlineStr">
        <is>
          <t>9001</t>
        </is>
      </c>
      <c r="E7102" s="3" t="inlineStr">
        <is>
          <t>Supplier Control</t>
        </is>
      </c>
      <c r="F7102" s="3" t="n">
        <v>0</v>
      </c>
      <c r="G7102" s="3" t="n">
        <v>-347315.41</v>
      </c>
    </row>
    <row r="7103">
      <c r="A7103" s="3" t="inlineStr">
        <is>
          <t>Opportunity Management Holdings (PTY) LTD</t>
        </is>
      </c>
      <c r="B7103" s="4" t="n">
        <v>44561</v>
      </c>
      <c r="C7103" s="3" t="inlineStr">
        <is>
          <t>Assets</t>
        </is>
      </c>
      <c r="D7103" s="3" t="inlineStr">
        <is>
          <t>9110/000</t>
        </is>
      </c>
      <c r="E7103" s="3" t="inlineStr">
        <is>
          <t>Deposit Received</t>
        </is>
      </c>
      <c r="F7103" s="3" t="n">
        <v>0</v>
      </c>
      <c r="G7103" s="3" t="n">
        <v>-3852.5</v>
      </c>
    </row>
    <row r="7104">
      <c r="A7104" s="3" t="inlineStr">
        <is>
          <t>Endulini (Pty) Ltd</t>
        </is>
      </c>
      <c r="B7104" s="4" t="n">
        <v>44561</v>
      </c>
      <c r="C7104" s="3" t="inlineStr">
        <is>
          <t>Liabilities</t>
        </is>
      </c>
      <c r="D7104" s="3" t="inlineStr">
        <is>
          <t>9200/100</t>
        </is>
      </c>
      <c r="E7104" s="3" t="inlineStr">
        <is>
          <t>Sundry Suppliers - Heron Fields</t>
        </is>
      </c>
      <c r="F7104" s="3" t="n">
        <v>0</v>
      </c>
      <c r="G7104" s="3" t="n">
        <v>-300000</v>
      </c>
    </row>
    <row r="7105">
      <c r="A7105" s="3" t="inlineStr">
        <is>
          <t>Opportunity Global Sales (PTY) LTD</t>
        </is>
      </c>
      <c r="B7105" s="4" t="n">
        <v>44561</v>
      </c>
      <c r="C7105" s="3" t="inlineStr">
        <is>
          <t>Liabilities</t>
        </is>
      </c>
      <c r="D7105" s="3" t="inlineStr">
        <is>
          <t>9230/100</t>
        </is>
      </c>
      <c r="E7105" s="3" t="inlineStr">
        <is>
          <t>Income Received in Advanced</t>
        </is>
      </c>
      <c r="F7105" s="3" t="n">
        <v>0</v>
      </c>
      <c r="G7105" s="3" t="n">
        <v>-869.5599999999999</v>
      </c>
    </row>
    <row r="7106">
      <c r="A7106" s="3" t="inlineStr">
        <is>
          <t>Noble Shield (Pty) Ltd ta Go Letting</t>
        </is>
      </c>
      <c r="B7106" s="4" t="n">
        <v>44561</v>
      </c>
      <c r="C7106" s="3" t="inlineStr">
        <is>
          <t>Liabilities</t>
        </is>
      </c>
      <c r="D7106" s="3" t="inlineStr">
        <is>
          <t>9250/010</t>
        </is>
      </c>
      <c r="E7106" s="3" t="inlineStr">
        <is>
          <t>SALARY CONTROL</t>
        </is>
      </c>
      <c r="F7106" s="3" t="n">
        <v>-1609.3</v>
      </c>
      <c r="G7106" s="3" t="n">
        <v>-17480.59</v>
      </c>
    </row>
    <row r="7107">
      <c r="A7107" s="3" t="inlineStr">
        <is>
          <t>Opportunity Global Sales (PTY) LTD</t>
        </is>
      </c>
      <c r="B7107" s="4" t="n">
        <v>44561</v>
      </c>
      <c r="C7107" s="3" t="inlineStr">
        <is>
          <t>Liabilities</t>
        </is>
      </c>
      <c r="D7107" s="3" t="inlineStr">
        <is>
          <t>9250/010</t>
        </is>
      </c>
      <c r="E7107" s="3" t="inlineStr">
        <is>
          <t>SALARY CONTROL</t>
        </is>
      </c>
      <c r="F7107" s="3" t="n">
        <v>9082.280000000001</v>
      </c>
      <c r="G7107" s="3" t="n">
        <v>18758.27</v>
      </c>
    </row>
    <row r="7108">
      <c r="A7108" s="3" t="inlineStr">
        <is>
          <t>Trademark Holdings (Pty) Ltd</t>
        </is>
      </c>
      <c r="B7108" s="4" t="n">
        <v>44561</v>
      </c>
      <c r="C7108" s="3" t="inlineStr">
        <is>
          <t>Liabilities</t>
        </is>
      </c>
      <c r="D7108" s="3" t="inlineStr">
        <is>
          <t>9250/010</t>
        </is>
      </c>
      <c r="E7108" s="3" t="inlineStr">
        <is>
          <t>SALARY CONTROL</t>
        </is>
      </c>
      <c r="F7108" s="3" t="n">
        <v>-3167.3</v>
      </c>
      <c r="G7108" s="3" t="n">
        <v>-19554.31</v>
      </c>
    </row>
    <row r="7109">
      <c r="A7109" s="3" t="inlineStr">
        <is>
          <t>Noble Shield (Pty) Ltd ta Go Letting</t>
        </is>
      </c>
      <c r="B7109" s="4" t="n">
        <v>44561</v>
      </c>
      <c r="C7109" s="3" t="inlineStr">
        <is>
          <t>Liabilities</t>
        </is>
      </c>
      <c r="D7109" s="3" t="inlineStr">
        <is>
          <t>9250/020</t>
        </is>
      </c>
      <c r="E7109" s="3" t="inlineStr">
        <is>
          <t>PAYE, UIF AND SDL CONTROL</t>
        </is>
      </c>
      <c r="F7109" s="3" t="n">
        <v>-587.2</v>
      </c>
      <c r="G7109" s="3" t="n">
        <v>-7333.79</v>
      </c>
    </row>
    <row r="7110">
      <c r="A7110" s="3" t="inlineStr">
        <is>
          <t>Opportunity Global Investment (PTY) LTD</t>
        </is>
      </c>
      <c r="B7110" s="4" t="n">
        <v>44561</v>
      </c>
      <c r="C7110" s="3" t="inlineStr">
        <is>
          <t>Liabilities</t>
        </is>
      </c>
      <c r="D7110" s="3" t="inlineStr">
        <is>
          <t>9250/020</t>
        </is>
      </c>
      <c r="E7110" s="3" t="inlineStr">
        <is>
          <t>PAYE, UIF AND SDL CONTROL</t>
        </is>
      </c>
      <c r="F7110" s="3" t="n">
        <v>-0.01</v>
      </c>
      <c r="G7110" s="3" t="n">
        <v>-4351.96</v>
      </c>
    </row>
    <row r="7111">
      <c r="A7111" s="3" t="inlineStr">
        <is>
          <t>Opportunity Global Sales (PTY) LTD</t>
        </is>
      </c>
      <c r="B7111" s="4" t="n">
        <v>44561</v>
      </c>
      <c r="C7111" s="3" t="inlineStr">
        <is>
          <t>Liabilities</t>
        </is>
      </c>
      <c r="D7111" s="3" t="inlineStr">
        <is>
          <t>9250/020</t>
        </is>
      </c>
      <c r="E7111" s="3" t="inlineStr">
        <is>
          <t>PAYE, UIF AND SDL CONTROL</t>
        </is>
      </c>
      <c r="F7111" s="3" t="n">
        <v>-10230.35</v>
      </c>
      <c r="G7111" s="3" t="n">
        <v>-23074.27</v>
      </c>
    </row>
    <row r="7112">
      <c r="A7112" s="3" t="inlineStr">
        <is>
          <t>Opportunity Management Holdings (PTY) LTD</t>
        </is>
      </c>
      <c r="B7112" s="4" t="n">
        <v>44561</v>
      </c>
      <c r="C7112" s="3" t="inlineStr">
        <is>
          <t>Liabilities</t>
        </is>
      </c>
      <c r="D7112" s="3" t="inlineStr">
        <is>
          <t>9250/020</t>
        </is>
      </c>
      <c r="E7112" s="3" t="inlineStr">
        <is>
          <t>PAYE, UIF AND SDL CONTROL</t>
        </is>
      </c>
      <c r="F7112" s="3" t="n">
        <v>-250.94</v>
      </c>
      <c r="G7112" s="3" t="n">
        <v>-43040.15</v>
      </c>
    </row>
    <row r="7113">
      <c r="A7113" s="3" t="inlineStr">
        <is>
          <t>Trademark Holdings (Pty) Ltd</t>
        </is>
      </c>
      <c r="B7113" s="4" t="n">
        <v>44561</v>
      </c>
      <c r="C7113" s="3" t="inlineStr">
        <is>
          <t>Liabilities</t>
        </is>
      </c>
      <c r="D7113" s="3" t="inlineStr">
        <is>
          <t>9250/020</t>
        </is>
      </c>
      <c r="E7113" s="3" t="inlineStr">
        <is>
          <t>PAYE, UIF AND SDL CONTROL</t>
        </is>
      </c>
      <c r="F7113" s="3" t="n">
        <v>-1468.88</v>
      </c>
      <c r="G7113" s="3" t="n">
        <v>-9393.74</v>
      </c>
    </row>
    <row r="7114">
      <c r="A7114" s="3" t="inlineStr">
        <is>
          <t>Opportunity Global Investment (PTY) LTD</t>
        </is>
      </c>
      <c r="B7114" s="4" t="n">
        <v>44561</v>
      </c>
      <c r="C7114" s="3" t="inlineStr">
        <is>
          <t>Liabilities</t>
        </is>
      </c>
      <c r="D7114" s="3" t="inlineStr">
        <is>
          <t>9400/030</t>
        </is>
      </c>
      <c r="E7114" s="3" t="inlineStr">
        <is>
          <t>Accrued Expenses - PAYE_AND_UIF</t>
        </is>
      </c>
      <c r="F7114" s="3" t="n">
        <v>0</v>
      </c>
      <c r="G7114" s="3" t="n">
        <v>-2</v>
      </c>
    </row>
    <row r="7115">
      <c r="A7115" s="3" t="inlineStr">
        <is>
          <t>Trademark Holdings (Pty) Ltd</t>
        </is>
      </c>
      <c r="B7115" s="4" t="n">
        <v>44561</v>
      </c>
      <c r="C7115" s="3" t="inlineStr">
        <is>
          <t>Liabilities</t>
        </is>
      </c>
      <c r="D7115" s="3" t="inlineStr">
        <is>
          <t>9400/400</t>
        </is>
      </c>
      <c r="E7115" s="3" t="inlineStr">
        <is>
          <t>Deemed Dividend Tax</t>
        </is>
      </c>
      <c r="F7115" s="3" t="n">
        <v>0</v>
      </c>
      <c r="G7115" s="3" t="n">
        <v>-699.13</v>
      </c>
    </row>
    <row r="7116">
      <c r="A7116" s="3" t="inlineStr">
        <is>
          <t>Opportunity Global Investment (PTY) LTD</t>
        </is>
      </c>
      <c r="B7116" s="4" t="n">
        <v>44561</v>
      </c>
      <c r="C7116" s="3" t="inlineStr">
        <is>
          <t>Liabilities</t>
        </is>
      </c>
      <c r="D7116" s="3" t="inlineStr">
        <is>
          <t>9500/000</t>
        </is>
      </c>
      <c r="E7116" s="3" t="inlineStr">
        <is>
          <t>VAT Control Account</t>
        </is>
      </c>
      <c r="F7116" s="3" t="n">
        <v>-30429.91</v>
      </c>
      <c r="G7116" s="3" t="n">
        <v>-17946.45</v>
      </c>
    </row>
    <row r="7117">
      <c r="A7117" s="3" t="inlineStr">
        <is>
          <t>Opportunity Global Sales (PTY) LTD</t>
        </is>
      </c>
      <c r="B7117" s="4" t="n">
        <v>44561</v>
      </c>
      <c r="C7117" s="3" t="inlineStr">
        <is>
          <t>Liabilities</t>
        </is>
      </c>
      <c r="D7117" s="3" t="inlineStr">
        <is>
          <t>9500/000</t>
        </is>
      </c>
      <c r="E7117" s="3" t="inlineStr">
        <is>
          <t>VAT Control Account</t>
        </is>
      </c>
      <c r="F7117" s="3" t="n">
        <v>-340.75</v>
      </c>
      <c r="G7117" s="3" t="n">
        <v>-15544.98</v>
      </c>
    </row>
    <row r="7118">
      <c r="A7118" s="3" t="inlineStr">
        <is>
          <t>Opportunity Management Holdings (PTY) LTD</t>
        </is>
      </c>
      <c r="B7118" s="4" t="n">
        <v>44561</v>
      </c>
      <c r="C7118" s="3" t="inlineStr">
        <is>
          <t>Liabilities</t>
        </is>
      </c>
      <c r="D7118" s="3" t="inlineStr">
        <is>
          <t>9500/000</t>
        </is>
      </c>
      <c r="E7118" s="3" t="inlineStr">
        <is>
          <t>VAT Control Account</t>
        </is>
      </c>
      <c r="F7118" s="3" t="n">
        <v>-42532.67</v>
      </c>
      <c r="G7118" s="3" t="n">
        <v>42004.14</v>
      </c>
    </row>
    <row r="7119">
      <c r="A7119" s="3" t="inlineStr">
        <is>
          <t>Endulini (Pty) Ltd</t>
        </is>
      </c>
      <c r="B7119" s="4" t="n">
        <v>44561</v>
      </c>
      <c r="C7119" s="3" t="inlineStr">
        <is>
          <t>Liabilities</t>
        </is>
      </c>
      <c r="D7119" s="3" t="inlineStr">
        <is>
          <t>9500/000</t>
        </is>
      </c>
      <c r="E7119" s="3" t="inlineStr">
        <is>
          <t>Vat / Tax Control Account</t>
        </is>
      </c>
      <c r="F7119" s="3" t="n">
        <v>661301.8199999999</v>
      </c>
      <c r="G7119" s="3" t="n">
        <v>2159550.54</v>
      </c>
    </row>
    <row r="7120">
      <c r="A7120" s="3" t="inlineStr">
        <is>
          <t>Quinate Consulting (Pty) Ltd</t>
        </is>
      </c>
      <c r="B7120" s="4" t="n">
        <v>44561</v>
      </c>
      <c r="C7120" s="3" t="inlineStr">
        <is>
          <t>Liabilities</t>
        </is>
      </c>
      <c r="D7120" s="3" t="inlineStr">
        <is>
          <t>9500/000</t>
        </is>
      </c>
      <c r="E7120" s="3" t="inlineStr">
        <is>
          <t>Vat Control Account</t>
        </is>
      </c>
      <c r="F7120" s="3" t="n">
        <v>-28543.92</v>
      </c>
      <c r="G7120" s="3" t="n">
        <v>-943922.3</v>
      </c>
    </row>
    <row r="7121">
      <c r="A7121" s="3" t="inlineStr">
        <is>
          <t>Opportunity Management Holdings (PTY) LTD</t>
        </is>
      </c>
      <c r="B7121" s="4" t="n">
        <v>44561</v>
      </c>
      <c r="C7121" s="3" t="inlineStr">
        <is>
          <t>Liabilities</t>
        </is>
      </c>
      <c r="D7121" s="3" t="inlineStr">
        <is>
          <t>9501/000</t>
        </is>
      </c>
      <c r="E7121" s="3" t="inlineStr">
        <is>
          <t>Vat Adjustments - C2M</t>
        </is>
      </c>
      <c r="F7121" s="3" t="n">
        <v>0</v>
      </c>
      <c r="G7121" s="3" t="n">
        <v>47274.04</v>
      </c>
    </row>
    <row r="7122">
      <c r="A7122" s="3" t="inlineStr">
        <is>
          <t>Endulini (Pty) Ltd</t>
        </is>
      </c>
      <c r="B7122" s="4" t="n">
        <v>44561</v>
      </c>
      <c r="C7122" s="3" t="inlineStr">
        <is>
          <t>Liabilities</t>
        </is>
      </c>
      <c r="D7122" s="3" t="inlineStr">
        <is>
          <t>9800/000</t>
        </is>
      </c>
      <c r="E7122" s="3" t="inlineStr">
        <is>
          <t>Contra Account</t>
        </is>
      </c>
      <c r="F7122" s="3" t="n">
        <v>200000</v>
      </c>
      <c r="G7122" s="3" t="n">
        <v>200000</v>
      </c>
    </row>
    <row r="7123">
      <c r="A7123" s="3" t="inlineStr">
        <is>
          <t>Quinate Consulting (Pty) Ltd</t>
        </is>
      </c>
      <c r="B7123" s="4" t="n">
        <v>44561</v>
      </c>
      <c r="C7123" s="3" t="inlineStr">
        <is>
          <t>Liabilities</t>
        </is>
      </c>
      <c r="D7123" s="3" t="inlineStr">
        <is>
          <t>9959/000</t>
        </is>
      </c>
      <c r="E7123" s="3" t="inlineStr">
        <is>
          <t>Dep Funds/Paid - Grey Heron Langeberg</t>
        </is>
      </c>
      <c r="F7123" s="3" t="n">
        <v>0</v>
      </c>
      <c r="G7123" s="3" t="n">
        <v>-200000</v>
      </c>
    </row>
    <row r="7124">
      <c r="A7124" s="3" t="inlineStr">
        <is>
          <t>Quinate Consulting (Pty) Ltd</t>
        </is>
      </c>
      <c r="B7124" s="4" t="n">
        <v>44561</v>
      </c>
      <c r="C7124" s="3" t="inlineStr">
        <is>
          <t>Liabilities</t>
        </is>
      </c>
      <c r="D7124" s="3" t="inlineStr">
        <is>
          <t>9960/000</t>
        </is>
      </c>
      <c r="E7124" s="3" t="inlineStr">
        <is>
          <t>Deposits - Southwark Rentals</t>
        </is>
      </c>
      <c r="F7124" s="3" t="n">
        <v>0</v>
      </c>
      <c r="G7124" s="3" t="n">
        <v>-11500</v>
      </c>
    </row>
    <row r="7125">
      <c r="A7125" s="3" t="inlineStr">
        <is>
          <t>Noble Shield (Pty) Ltd ta Go Letting</t>
        </is>
      </c>
      <c r="B7125" s="4" t="n">
        <v>44561</v>
      </c>
      <c r="C7125" s="3" t="inlineStr">
        <is>
          <t>Expenses</t>
        </is>
      </c>
      <c r="D7125" s="3" t="inlineStr">
        <is>
          <t>ACB Link</t>
        </is>
      </c>
      <c r="E7125" s="3" t="inlineStr">
        <is>
          <t>Subscriptions - TPN</t>
        </is>
      </c>
      <c r="F7125" s="3" t="n">
        <v>2043.18</v>
      </c>
      <c r="G7125" s="3" t="n">
        <v>9830.860000000001</v>
      </c>
    </row>
    <row r="7126">
      <c r="A7126" s="3" t="inlineStr">
        <is>
          <t>Noble Shield (Pty) Ltd ta Go Letting</t>
        </is>
      </c>
      <c r="B7126" s="4" t="n">
        <v>44561</v>
      </c>
      <c r="C7126" s="3" t="inlineStr">
        <is>
          <t>Liabilities</t>
        </is>
      </c>
      <c r="D7126" s="3" t="inlineStr">
        <is>
          <t>B/S</t>
        </is>
      </c>
      <c r="E7126" s="3" t="inlineStr">
        <is>
          <t>Tax Payable</t>
        </is>
      </c>
      <c r="F7126" s="3" t="n">
        <v>0</v>
      </c>
      <c r="G7126" s="3" t="n">
        <v>-6843.4</v>
      </c>
    </row>
    <row r="7127">
      <c r="A7127" s="3" t="inlineStr">
        <is>
          <t>Trademark Holdings (Pty) Ltd</t>
        </is>
      </c>
      <c r="B7127" s="4" t="n">
        <v>44561</v>
      </c>
      <c r="C7127" s="3" t="inlineStr">
        <is>
          <t>Liabilities</t>
        </is>
      </c>
      <c r="D7127" s="3" t="inlineStr">
        <is>
          <t>B/S</t>
        </is>
      </c>
      <c r="E7127" s="3" t="inlineStr">
        <is>
          <t>Taxation Payable</t>
        </is>
      </c>
      <c r="F7127" s="3" t="n">
        <v>-2251.76</v>
      </c>
      <c r="G7127" s="3" t="n">
        <v>-4172.16</v>
      </c>
    </row>
    <row r="7128">
      <c r="A7128" s="3" t="inlineStr">
        <is>
          <t>Quinate Consulting (Pty) Ltd</t>
        </is>
      </c>
      <c r="B7128" s="4" t="n">
        <v>44561</v>
      </c>
      <c r="C7128" s="3" t="inlineStr">
        <is>
          <t>Liabilities</t>
        </is>
      </c>
      <c r="D7128" s="3" t="inlineStr">
        <is>
          <t xml:space="preserve">B/S </t>
        </is>
      </c>
      <c r="E7128" s="3" t="inlineStr">
        <is>
          <t>Taxation Payable</t>
        </is>
      </c>
      <c r="F7128" s="3" t="n">
        <v>0</v>
      </c>
      <c r="G7128" s="3" t="n">
        <v>-15486</v>
      </c>
    </row>
    <row r="7129">
      <c r="A7129" s="3" t="inlineStr">
        <is>
          <t>Trademark Holdings (Pty) Ltd</t>
        </is>
      </c>
      <c r="B7129" s="4" t="n">
        <v>44561</v>
      </c>
      <c r="C7129" s="3" t="inlineStr">
        <is>
          <t>Expenses</t>
        </is>
      </c>
      <c r="D7129" s="3" t="inlineStr">
        <is>
          <t>I/S</t>
        </is>
      </c>
      <c r="E7129" s="3" t="inlineStr">
        <is>
          <t>Income Tax Current Year</t>
        </is>
      </c>
      <c r="F7129" s="3" t="n">
        <v>2251.76</v>
      </c>
      <c r="G7129" s="3" t="n">
        <v>2251.76</v>
      </c>
    </row>
    <row r="7130">
      <c r="A7130" s="3" t="inlineStr">
        <is>
          <t>Quinate Consulting (Pty) Ltd</t>
        </is>
      </c>
      <c r="B7130" s="4" t="n">
        <v>44561</v>
      </c>
      <c r="C7130" s="3" t="inlineStr">
        <is>
          <t>Liabilities</t>
        </is>
      </c>
      <c r="D7130" s="3" t="inlineStr">
        <is>
          <t>Pty</t>
        </is>
      </c>
      <c r="E7130" s="3" t="inlineStr">
        <is>
          <t>Loan - Heron Projects</t>
        </is>
      </c>
      <c r="F7130" s="3" t="n">
        <v>-6831</v>
      </c>
      <c r="G7130" s="3" t="n">
        <v>275000</v>
      </c>
    </row>
    <row r="7131">
      <c r="A7131" s="3" t="inlineStr">
        <is>
          <t>Quinate Consulting (Pty) Ltd</t>
        </is>
      </c>
      <c r="B7131" s="4" t="n">
        <v>44561</v>
      </c>
      <c r="C7131" s="3" t="inlineStr">
        <is>
          <t>Liabilities</t>
        </is>
      </c>
      <c r="D7131" s="3" t="inlineStr">
        <is>
          <t>Sharehold OppDev</t>
        </is>
      </c>
      <c r="E7131" s="3" t="inlineStr">
        <is>
          <t>Loan - Justine Morgan</t>
        </is>
      </c>
      <c r="F7131" s="3" t="n">
        <v>0</v>
      </c>
      <c r="G7131" s="3" t="n">
        <v>-563766.76</v>
      </c>
    </row>
    <row r="7132">
      <c r="A7132" s="3" t="inlineStr">
        <is>
          <t>Opportunity Global Investment (PTY) LTD</t>
        </is>
      </c>
      <c r="B7132" s="4" t="n">
        <v>44561</v>
      </c>
      <c r="C7132" s="3" t="inlineStr">
        <is>
          <t>Expenses</t>
        </is>
      </c>
      <c r="D7132" s="3" t="inlineStr">
        <is>
          <t>Swiftshutter</t>
        </is>
      </c>
      <c r="E7132" s="3" t="inlineStr">
        <is>
          <t>Advertising - Rousseau Lotter</t>
        </is>
      </c>
      <c r="F7132" s="3" t="n">
        <v>0</v>
      </c>
      <c r="G7132" s="3" t="n">
        <v>13200</v>
      </c>
    </row>
    <row r="7133">
      <c r="A7133" s="3" t="inlineStr">
        <is>
          <t>Opportunity Global Sales (PTY) LTD</t>
        </is>
      </c>
      <c r="B7133" s="4" t="n">
        <v>44561</v>
      </c>
      <c r="C7133" s="3" t="inlineStr">
        <is>
          <t>Expenses</t>
        </is>
      </c>
      <c r="D7133" s="3" t="inlineStr">
        <is>
          <t>rental units</t>
        </is>
      </c>
      <c r="E7133" s="3" t="inlineStr">
        <is>
          <t>Rent - Paid to owner</t>
        </is>
      </c>
      <c r="F7133" s="3" t="n">
        <v>0</v>
      </c>
      <c r="G7133" s="3" t="n">
        <v>33534</v>
      </c>
    </row>
    <row r="7134">
      <c r="A7134" s="3" t="inlineStr">
        <is>
          <t>Quinate Consulting (Pty) Ltd</t>
        </is>
      </c>
      <c r="B7134" s="4" t="n">
        <v>44592</v>
      </c>
      <c r="C7134" s="3" t="inlineStr">
        <is>
          <t>Revenue</t>
        </is>
      </c>
      <c r="D7134" s="3" t="inlineStr">
        <is>
          <t>1000/011</t>
        </is>
      </c>
      <c r="E7134" s="3" t="inlineStr">
        <is>
          <t>Rent Received - Soho Unit 23</t>
        </is>
      </c>
      <c r="F7134" s="3" t="n">
        <v>-12500</v>
      </c>
      <c r="G7134" s="3" t="n">
        <v>-123369.57</v>
      </c>
    </row>
    <row r="7135">
      <c r="A7135" s="3" t="inlineStr">
        <is>
          <t>Quinate Consulting (Pty) Ltd</t>
        </is>
      </c>
      <c r="B7135" s="4" t="n">
        <v>44592</v>
      </c>
      <c r="C7135" s="3" t="inlineStr">
        <is>
          <t>Revenue</t>
        </is>
      </c>
      <c r="D7135" s="3" t="inlineStr">
        <is>
          <t>1000/012</t>
        </is>
      </c>
      <c r="E7135" s="3" t="inlineStr">
        <is>
          <t>Rent Received - Soho Unit 24</t>
        </is>
      </c>
      <c r="F7135" s="3" t="n">
        <v>-13500</v>
      </c>
      <c r="G7135" s="3" t="n">
        <v>-146739.13</v>
      </c>
    </row>
    <row r="7136">
      <c r="A7136" s="3" t="inlineStr">
        <is>
          <t>Quinate Consulting (Pty) Ltd</t>
        </is>
      </c>
      <c r="B7136" s="4" t="n">
        <v>44592</v>
      </c>
      <c r="C7136" s="3" t="inlineStr">
        <is>
          <t>Revenue</t>
        </is>
      </c>
      <c r="D7136" s="3" t="inlineStr">
        <is>
          <t>1000/013</t>
        </is>
      </c>
      <c r="E7136" s="3" t="inlineStr">
        <is>
          <t>Rent Recieved - Soho Unit 20</t>
        </is>
      </c>
      <c r="F7136" s="3" t="n">
        <v>-12500</v>
      </c>
      <c r="G7136" s="3" t="n">
        <v>-135869.57</v>
      </c>
    </row>
    <row r="7137">
      <c r="A7137" s="3" t="inlineStr">
        <is>
          <t>Quinate Consulting (Pty) Ltd</t>
        </is>
      </c>
      <c r="B7137" s="4" t="n">
        <v>44592</v>
      </c>
      <c r="C7137" s="3" t="inlineStr">
        <is>
          <t>Revenue</t>
        </is>
      </c>
      <c r="D7137" s="3" t="inlineStr">
        <is>
          <t>1000/014</t>
        </is>
      </c>
      <c r="E7137" s="3" t="inlineStr">
        <is>
          <t>Rent Received - CT Office</t>
        </is>
      </c>
      <c r="F7137" s="3" t="n">
        <v>0</v>
      </c>
      <c r="G7137" s="3" t="n">
        <v>-28451.16</v>
      </c>
    </row>
    <row r="7138">
      <c r="A7138" s="3" t="inlineStr">
        <is>
          <t>Quinate Consulting (Pty) Ltd</t>
        </is>
      </c>
      <c r="B7138" s="4" t="n">
        <v>44592</v>
      </c>
      <c r="C7138" s="3" t="inlineStr">
        <is>
          <t>Revenue</t>
        </is>
      </c>
      <c r="D7138" s="3" t="inlineStr">
        <is>
          <t>1000/015</t>
        </is>
      </c>
      <c r="E7138" s="3" t="inlineStr">
        <is>
          <t>Rent Received - Southwark Unit 1</t>
        </is>
      </c>
      <c r="F7138" s="3" t="n">
        <v>-10000</v>
      </c>
      <c r="G7138" s="3" t="n">
        <v>-108695.65</v>
      </c>
    </row>
    <row r="7139">
      <c r="A7139" s="3" t="inlineStr">
        <is>
          <t>Quinate Consulting (Pty) Ltd</t>
        </is>
      </c>
      <c r="B7139" s="4" t="n">
        <v>44592</v>
      </c>
      <c r="C7139" s="3" t="inlineStr">
        <is>
          <t>Revenue</t>
        </is>
      </c>
      <c r="D7139" s="3" t="inlineStr">
        <is>
          <t>1000/016</t>
        </is>
      </c>
      <c r="E7139" s="3" t="inlineStr">
        <is>
          <t>Rent Recieved - Southwark Unit 21</t>
        </is>
      </c>
      <c r="F7139" s="3" t="n">
        <v>-10000</v>
      </c>
      <c r="G7139" s="3" t="n">
        <v>-108695.65</v>
      </c>
    </row>
    <row r="7140">
      <c r="A7140" s="3" t="inlineStr">
        <is>
          <t>Opportunity Global Sales (PTY) LTD</t>
        </is>
      </c>
      <c r="B7140" s="4" t="n">
        <v>44592</v>
      </c>
      <c r="C7140" s="3" t="inlineStr">
        <is>
          <t>Revenue</t>
        </is>
      </c>
      <c r="D7140" s="3" t="inlineStr">
        <is>
          <t>1000/020</t>
        </is>
      </c>
      <c r="E7140" s="3" t="inlineStr">
        <is>
          <t>Sales - Comm on Southwark Project</t>
        </is>
      </c>
      <c r="F7140" s="3" t="n">
        <v>0</v>
      </c>
      <c r="G7140" s="3" t="n">
        <v>-81686.96000000001</v>
      </c>
    </row>
    <row r="7141">
      <c r="A7141" s="3" t="inlineStr">
        <is>
          <t>Opportunity Global Sales (PTY) LTD</t>
        </is>
      </c>
      <c r="B7141" s="4" t="n">
        <v>44592</v>
      </c>
      <c r="C7141" s="3" t="inlineStr">
        <is>
          <t>Revenue</t>
        </is>
      </c>
      <c r="D7141" s="3" t="inlineStr">
        <is>
          <t>1000/030</t>
        </is>
      </c>
      <c r="E7141" s="3" t="inlineStr">
        <is>
          <t>Sales - Comm on Heron View Land Purchase</t>
        </is>
      </c>
      <c r="F7141" s="3" t="n">
        <v>0</v>
      </c>
      <c r="G7141" s="3" t="n">
        <v>-197217.39</v>
      </c>
    </row>
    <row r="7142">
      <c r="A7142" s="3" t="inlineStr">
        <is>
          <t>Quinate Consulting (Pty) Ltd</t>
        </is>
      </c>
      <c r="B7142" s="4" t="n">
        <v>44592</v>
      </c>
      <c r="C7142" s="3" t="inlineStr">
        <is>
          <t>Revenue</t>
        </is>
      </c>
      <c r="D7142" s="3" t="inlineStr">
        <is>
          <t>1000/040</t>
        </is>
      </c>
      <c r="E7142" s="3" t="inlineStr">
        <is>
          <t>Fees - Admin</t>
        </is>
      </c>
      <c r="F7142" s="3" t="n">
        <v>0</v>
      </c>
      <c r="G7142" s="3" t="n">
        <v>-500</v>
      </c>
    </row>
    <row r="7143">
      <c r="A7143" s="3" t="inlineStr">
        <is>
          <t>Opportunity Global Sales (PTY) LTD</t>
        </is>
      </c>
      <c r="B7143" s="4" t="n">
        <v>44592</v>
      </c>
      <c r="C7143" s="3" t="inlineStr">
        <is>
          <t>Revenue</t>
        </is>
      </c>
      <c r="D7143" s="3" t="inlineStr">
        <is>
          <t>1000/100</t>
        </is>
      </c>
      <c r="E7143" s="3" t="inlineStr">
        <is>
          <t>Sales - Comm on External Sales</t>
        </is>
      </c>
      <c r="F7143" s="3" t="n">
        <v>-55950</v>
      </c>
      <c r="G7143" s="3" t="n">
        <v>-265237.5</v>
      </c>
    </row>
    <row r="7144">
      <c r="A7144" s="3" t="inlineStr">
        <is>
          <t>Noble Shield (Pty) Ltd ta Go Letting</t>
        </is>
      </c>
      <c r="B7144" s="4" t="n">
        <v>44592</v>
      </c>
      <c r="C7144" s="3" t="inlineStr">
        <is>
          <t>Revenue</t>
        </is>
      </c>
      <c r="D7144" s="3" t="inlineStr">
        <is>
          <t>1000/100</t>
        </is>
      </c>
      <c r="E7144" s="3" t="inlineStr">
        <is>
          <t>Sales - Payprop 328 - Michelle</t>
        </is>
      </c>
      <c r="F7144" s="3" t="n">
        <v>-74060.45</v>
      </c>
      <c r="G7144" s="3" t="n">
        <v>-375117</v>
      </c>
    </row>
    <row r="7145">
      <c r="A7145" s="3" t="inlineStr">
        <is>
          <t>Opportunity Global Sales (PTY) LTD</t>
        </is>
      </c>
      <c r="B7145" s="4" t="n">
        <v>44592</v>
      </c>
      <c r="C7145" s="3" t="inlineStr">
        <is>
          <t>Revenue</t>
        </is>
      </c>
      <c r="D7145" s="3" t="inlineStr">
        <is>
          <t>1000/120</t>
        </is>
      </c>
      <c r="E7145" s="3" t="inlineStr">
        <is>
          <t>Sales - Admin Fees on Rental Units</t>
        </is>
      </c>
      <c r="F7145" s="3" t="n">
        <v>-11043.53</v>
      </c>
      <c r="G7145" s="3" t="n">
        <v>-37565.3</v>
      </c>
    </row>
    <row r="7146">
      <c r="A7146" s="3" t="inlineStr">
        <is>
          <t>Opportunity Global Sales (PTY) LTD</t>
        </is>
      </c>
      <c r="B7146" s="4" t="n">
        <v>44592</v>
      </c>
      <c r="C7146" s="3" t="inlineStr">
        <is>
          <t>Revenue</t>
        </is>
      </c>
      <c r="D7146" s="3" t="inlineStr">
        <is>
          <t>1000/150</t>
        </is>
      </c>
      <c r="E7146" s="3" t="inlineStr">
        <is>
          <t>Sales - Comm on External Rental</t>
        </is>
      </c>
      <c r="F7146" s="3" t="n">
        <v>-32695.64</v>
      </c>
      <c r="G7146" s="3" t="n">
        <v>-238995.11</v>
      </c>
    </row>
    <row r="7147">
      <c r="A7147" s="3" t="inlineStr">
        <is>
          <t>Opportunity Global Investment (PTY) LTD</t>
        </is>
      </c>
      <c r="B7147" s="4" t="n">
        <v>44592</v>
      </c>
      <c r="C7147" s="3" t="inlineStr">
        <is>
          <t>Revenue</t>
        </is>
      </c>
      <c r="D7147" s="3" t="inlineStr">
        <is>
          <t>1000/220</t>
        </is>
      </c>
      <c r="E7147" s="3" t="inlineStr">
        <is>
          <t>Sales - Investor Raising Fee</t>
        </is>
      </c>
      <c r="F7147" s="3" t="n">
        <v>0</v>
      </c>
      <c r="G7147" s="3" t="n">
        <v>-579853.86</v>
      </c>
    </row>
    <row r="7148">
      <c r="A7148" s="3" t="inlineStr">
        <is>
          <t>Opportunity Global Investment (PTY) LTD</t>
        </is>
      </c>
      <c r="B7148" s="4" t="n">
        <v>44592</v>
      </c>
      <c r="C7148" s="3" t="inlineStr">
        <is>
          <t>Revenue</t>
        </is>
      </c>
      <c r="D7148" s="3" t="inlineStr">
        <is>
          <t>1000/300</t>
        </is>
      </c>
      <c r="E7148" s="3" t="inlineStr">
        <is>
          <t>Sales - Investor Management - Endulini</t>
        </is>
      </c>
      <c r="F7148" s="3" t="n">
        <v>0</v>
      </c>
      <c r="G7148" s="3" t="n">
        <v>-500969.35</v>
      </c>
    </row>
    <row r="7149">
      <c r="A7149" s="3" t="inlineStr">
        <is>
          <t>Trademark Holdings (Pty) Ltd</t>
        </is>
      </c>
      <c r="B7149" s="4" t="n">
        <v>44592</v>
      </c>
      <c r="C7149" s="3" t="inlineStr">
        <is>
          <t>Revenue</t>
        </is>
      </c>
      <c r="D7149" s="3" t="inlineStr">
        <is>
          <t>1000/300</t>
        </is>
      </c>
      <c r="E7149" s="3" t="inlineStr">
        <is>
          <t>Sales - Payprop - Lara</t>
        </is>
      </c>
      <c r="F7149" s="3" t="n">
        <v>-87572.23</v>
      </c>
      <c r="G7149" s="3" t="n">
        <v>-456857.49</v>
      </c>
    </row>
    <row r="7150">
      <c r="A7150" s="3" t="inlineStr">
        <is>
          <t>Opportunity Global Investment (PTY) LTD</t>
        </is>
      </c>
      <c r="B7150" s="4" t="n">
        <v>44592</v>
      </c>
      <c r="C7150" s="3" t="inlineStr">
        <is>
          <t>Revenue</t>
        </is>
      </c>
      <c r="D7150" s="3" t="inlineStr">
        <is>
          <t>1000/350</t>
        </is>
      </c>
      <c r="E7150" s="3" t="inlineStr">
        <is>
          <t>Sales - Investor Management - Heron Fields</t>
        </is>
      </c>
      <c r="F7150" s="3" t="n">
        <v>-518489.22</v>
      </c>
      <c r="G7150" s="3" t="n">
        <v>-2331207.06</v>
      </c>
    </row>
    <row r="7151">
      <c r="A7151" s="3" t="inlineStr">
        <is>
          <t>Opportunity Global Sales (PTY) LTD</t>
        </is>
      </c>
      <c r="B7151" s="4" t="n">
        <v>44592</v>
      </c>
      <c r="C7151" s="3" t="inlineStr">
        <is>
          <t>Revenue</t>
        </is>
      </c>
      <c r="D7151" s="3" t="inlineStr">
        <is>
          <t>1000/900</t>
        </is>
      </c>
      <c r="E7151" s="3" t="inlineStr">
        <is>
          <t>Sales - Comm on Rental Units</t>
        </is>
      </c>
      <c r="F7151" s="3" t="n">
        <v>0</v>
      </c>
      <c r="G7151" s="3" t="n">
        <v>-43346.97</v>
      </c>
    </row>
    <row r="7152">
      <c r="A7152" s="3" t="inlineStr">
        <is>
          <t>Quinate Consulting (Pty) Ltd</t>
        </is>
      </c>
      <c r="B7152" s="4" t="n">
        <v>44592</v>
      </c>
      <c r="C7152" s="3" t="inlineStr">
        <is>
          <t>Revenue</t>
        </is>
      </c>
      <c r="D7152" s="3" t="inlineStr">
        <is>
          <t>1001/100</t>
        </is>
      </c>
      <c r="E7152" s="3" t="inlineStr">
        <is>
          <t>Sales - Southwark Village Units</t>
        </is>
      </c>
      <c r="F7152" s="3" t="n">
        <v>0</v>
      </c>
      <c r="G7152" s="3" t="n">
        <v>-1303478.26</v>
      </c>
    </row>
    <row r="7153">
      <c r="A7153" s="3" t="inlineStr">
        <is>
          <t>Quinate Consulting (Pty) Ltd</t>
        </is>
      </c>
      <c r="B7153" s="4" t="n">
        <v>44592</v>
      </c>
      <c r="C7153" s="3" t="inlineStr">
        <is>
          <t>Revenue</t>
        </is>
      </c>
      <c r="D7153" s="3" t="inlineStr">
        <is>
          <t>1004/000</t>
        </is>
      </c>
      <c r="E7153" s="3" t="inlineStr">
        <is>
          <t>Interest received</t>
        </is>
      </c>
      <c r="F7153" s="3" t="n">
        <v>-282.94</v>
      </c>
      <c r="G7153" s="3" t="n">
        <v>-1029.8</v>
      </c>
    </row>
    <row r="7154">
      <c r="A7154" s="3" t="inlineStr">
        <is>
          <t>Opportunity Management Holdings (PTY) LTD</t>
        </is>
      </c>
      <c r="B7154" s="4" t="n">
        <v>44592</v>
      </c>
      <c r="C7154" s="3" t="inlineStr">
        <is>
          <t>Revenue</t>
        </is>
      </c>
      <c r="D7154" s="3" t="inlineStr">
        <is>
          <t>1100/001</t>
        </is>
      </c>
      <c r="E7154" s="3" t="inlineStr">
        <is>
          <t>Salary Recharges</t>
        </is>
      </c>
      <c r="F7154" s="3" t="n">
        <v>-282183.07</v>
      </c>
      <c r="G7154" s="3" t="n">
        <v>-1192747.04</v>
      </c>
    </row>
    <row r="7155">
      <c r="A7155" s="3" t="inlineStr">
        <is>
          <t>Endulini (Pty) Ltd</t>
        </is>
      </c>
      <c r="B7155" s="4" t="n">
        <v>44592</v>
      </c>
      <c r="C7155" s="3" t="inlineStr">
        <is>
          <t>Revenue</t>
        </is>
      </c>
      <c r="D7155" s="3" t="inlineStr">
        <is>
          <t>1100/100</t>
        </is>
      </c>
      <c r="E7155" s="3" t="inlineStr">
        <is>
          <t>Sales - Endulini - Exstras</t>
        </is>
      </c>
      <c r="F7155" s="3" t="n">
        <v>-19000</v>
      </c>
      <c r="G7155" s="3" t="n">
        <v>-50257</v>
      </c>
    </row>
    <row r="7156">
      <c r="A7156" s="3" t="inlineStr">
        <is>
          <t>Endulini (Pty) Ltd</t>
        </is>
      </c>
      <c r="B7156" s="4" t="n">
        <v>44592</v>
      </c>
      <c r="C7156" s="3" t="inlineStr">
        <is>
          <t>Revenue</t>
        </is>
      </c>
      <c r="D7156" s="3" t="inlineStr">
        <is>
          <t>1100/150</t>
        </is>
      </c>
      <c r="E7156" s="3" t="inlineStr">
        <is>
          <t>Sales - Endulini - Extras admin fee</t>
        </is>
      </c>
      <c r="F7156" s="3" t="n">
        <v>-2000</v>
      </c>
      <c r="G7156" s="3" t="n">
        <v>-5000</v>
      </c>
    </row>
    <row r="7157">
      <c r="A7157" s="3" t="inlineStr">
        <is>
          <t>Endulini (Pty) Ltd</t>
        </is>
      </c>
      <c r="B7157" s="4" t="n">
        <v>44592</v>
      </c>
      <c r="C7157" s="3" t="inlineStr">
        <is>
          <t>Revenue</t>
        </is>
      </c>
      <c r="D7157" s="3" t="inlineStr">
        <is>
          <t>1500/001</t>
        </is>
      </c>
      <c r="E7157" s="3" t="inlineStr">
        <is>
          <t>Revaluation of Land</t>
        </is>
      </c>
      <c r="F7157" s="3" t="n">
        <v>0</v>
      </c>
      <c r="G7157" s="3" t="n">
        <v>-6084085.78</v>
      </c>
    </row>
    <row r="7158">
      <c r="A7158" s="3" t="inlineStr">
        <is>
          <t>Quinate Consulting (Pty) Ltd</t>
        </is>
      </c>
      <c r="B7158" s="4" t="n">
        <v>44592</v>
      </c>
      <c r="C7158" s="3" t="inlineStr">
        <is>
          <t>Expenses</t>
        </is>
      </c>
      <c r="D7158" s="3" t="inlineStr">
        <is>
          <t>2000/010</t>
        </is>
      </c>
      <c r="E7158" s="3" t="inlineStr">
        <is>
          <t>COS - Professional Fees - South Wark</t>
        </is>
      </c>
      <c r="F7158" s="3" t="n">
        <v>0</v>
      </c>
      <c r="G7158" s="3" t="n">
        <v>20000</v>
      </c>
    </row>
    <row r="7159">
      <c r="A7159" s="3" t="inlineStr">
        <is>
          <t>Endulini (Pty) Ltd</t>
        </is>
      </c>
      <c r="B7159" s="4" t="n">
        <v>44592</v>
      </c>
      <c r="C7159" s="3" t="inlineStr">
        <is>
          <t>Expenses</t>
        </is>
      </c>
      <c r="D7159" s="3" t="inlineStr">
        <is>
          <t>2000/100</t>
        </is>
      </c>
      <c r="E7159" s="3" t="inlineStr">
        <is>
          <t>COS - Commission Endulini</t>
        </is>
      </c>
      <c r="F7159" s="3" t="n">
        <v>0</v>
      </c>
      <c r="G7159" s="3" t="n">
        <v>597087.25</v>
      </c>
    </row>
    <row r="7160">
      <c r="A7160" s="3" t="inlineStr">
        <is>
          <t>Noble Shield (Pty) Ltd ta Go Letting</t>
        </is>
      </c>
      <c r="B7160" s="4" t="n">
        <v>44592</v>
      </c>
      <c r="C7160" s="3" t="inlineStr">
        <is>
          <t>Expenses</t>
        </is>
      </c>
      <c r="D7160" s="3" t="inlineStr">
        <is>
          <t>2000/100</t>
        </is>
      </c>
      <c r="E7160" s="3" t="inlineStr">
        <is>
          <t>COS - Commission Paid</t>
        </is>
      </c>
      <c r="F7160" s="3" t="n">
        <v>13437.39</v>
      </c>
      <c r="G7160" s="3" t="n">
        <v>148554.55</v>
      </c>
    </row>
    <row r="7161">
      <c r="A7161" s="3" t="inlineStr">
        <is>
          <t>Opportunity Global Sales (PTY) LTD</t>
        </is>
      </c>
      <c r="B7161" s="4" t="n">
        <v>44592</v>
      </c>
      <c r="C7161" s="3" t="inlineStr">
        <is>
          <t>Expenses</t>
        </is>
      </c>
      <c r="D7161" s="3" t="inlineStr">
        <is>
          <t>2000/125</t>
        </is>
      </c>
      <c r="E7161" s="3" t="inlineStr">
        <is>
          <t>Commission Paid - Referal commission</t>
        </is>
      </c>
      <c r="F7161" s="3" t="n">
        <v>0</v>
      </c>
      <c r="G7161" s="3" t="n">
        <v>5000</v>
      </c>
    </row>
    <row r="7162">
      <c r="A7162" s="3" t="inlineStr">
        <is>
          <t>Opportunity Global Investment (PTY) LTD</t>
        </is>
      </c>
      <c r="B7162" s="4" t="n">
        <v>44592</v>
      </c>
      <c r="C7162" s="3" t="inlineStr">
        <is>
          <t>Expenses</t>
        </is>
      </c>
      <c r="D7162" s="3" t="inlineStr">
        <is>
          <t>2000/125</t>
        </is>
      </c>
      <c r="E7162" s="3" t="inlineStr">
        <is>
          <t>Referral commission - Endulini</t>
        </is>
      </c>
      <c r="F7162" s="3" t="n">
        <v>0</v>
      </c>
      <c r="G7162" s="3" t="n">
        <v>133472.92</v>
      </c>
    </row>
    <row r="7163">
      <c r="A7163" s="3" t="inlineStr">
        <is>
          <t>Opportunity Global Investment (PTY) LTD</t>
        </is>
      </c>
      <c r="B7163" s="4" t="n">
        <v>44592</v>
      </c>
      <c r="C7163" s="3" t="inlineStr">
        <is>
          <t>Expenses</t>
        </is>
      </c>
      <c r="D7163" s="3" t="inlineStr">
        <is>
          <t>2000/130</t>
        </is>
      </c>
      <c r="E7163" s="3" t="inlineStr">
        <is>
          <t>Referral commission - Heron Fields</t>
        </is>
      </c>
      <c r="F7163" s="3" t="n">
        <v>30000</v>
      </c>
      <c r="G7163" s="3" t="n">
        <v>362192.35</v>
      </c>
    </row>
    <row r="7164">
      <c r="A7164" s="3" t="inlineStr">
        <is>
          <t>Opportunity Global Sales (PTY) LTD</t>
        </is>
      </c>
      <c r="B7164" s="4" t="n">
        <v>44592</v>
      </c>
      <c r="C7164" s="3" t="inlineStr">
        <is>
          <t>Expenses</t>
        </is>
      </c>
      <c r="D7164" s="3" t="inlineStr">
        <is>
          <t>2000/131</t>
        </is>
      </c>
      <c r="E7164" s="3" t="inlineStr">
        <is>
          <t>COS - Sales Comm Endulini - Anthony</t>
        </is>
      </c>
      <c r="F7164" s="3" t="n">
        <v>0</v>
      </c>
      <c r="G7164" s="3" t="n">
        <v>101544.62</v>
      </c>
    </row>
    <row r="7165">
      <c r="A7165" s="3" t="inlineStr">
        <is>
          <t>Opportunity Global Sales (PTY) LTD</t>
        </is>
      </c>
      <c r="B7165" s="4" t="n">
        <v>44592</v>
      </c>
      <c r="C7165" s="3" t="inlineStr">
        <is>
          <t>Expenses</t>
        </is>
      </c>
      <c r="D7165" s="3" t="inlineStr">
        <is>
          <t>2000/132</t>
        </is>
      </c>
      <c r="E7165" s="3" t="inlineStr">
        <is>
          <t>COS - Sales Comm Endulini - Minette</t>
        </is>
      </c>
      <c r="F7165" s="3" t="n">
        <v>22530.74</v>
      </c>
      <c r="G7165" s="3" t="n">
        <v>102204.34</v>
      </c>
    </row>
    <row r="7166">
      <c r="A7166" s="3" t="inlineStr">
        <is>
          <t>Opportunity Global Sales (PTY) LTD</t>
        </is>
      </c>
      <c r="B7166" s="4" t="n">
        <v>44592</v>
      </c>
      <c r="C7166" s="3" t="inlineStr">
        <is>
          <t>Expenses</t>
        </is>
      </c>
      <c r="D7166" s="3" t="inlineStr">
        <is>
          <t>2000/133</t>
        </is>
      </c>
      <c r="E7166" s="3" t="inlineStr">
        <is>
          <t>COS - Sales Comm Endulini - External Agents</t>
        </is>
      </c>
      <c r="F7166" s="3" t="n">
        <v>0</v>
      </c>
      <c r="G7166" s="3" t="n">
        <v>9966.629999999999</v>
      </c>
    </row>
    <row r="7167">
      <c r="A7167" s="3" t="inlineStr">
        <is>
          <t>Opportunity Global Sales (PTY) LTD</t>
        </is>
      </c>
      <c r="B7167" s="4" t="n">
        <v>44592</v>
      </c>
      <c r="C7167" s="3" t="inlineStr">
        <is>
          <t>Expenses</t>
        </is>
      </c>
      <c r="D7167" s="3" t="inlineStr">
        <is>
          <t>2000/134</t>
        </is>
      </c>
      <c r="E7167" s="3" t="inlineStr">
        <is>
          <t>COS - Sales Comm External - Other</t>
        </is>
      </c>
      <c r="F7167" s="3" t="n">
        <v>0</v>
      </c>
      <c r="G7167" s="3" t="n">
        <v>53906.25</v>
      </c>
    </row>
    <row r="7168">
      <c r="A7168" s="3" t="inlineStr">
        <is>
          <t>Opportunity Global Sales (PTY) LTD</t>
        </is>
      </c>
      <c r="B7168" s="4" t="n">
        <v>44592</v>
      </c>
      <c r="C7168" s="3" t="inlineStr">
        <is>
          <t>Expenses</t>
        </is>
      </c>
      <c r="D7168" s="3" t="inlineStr">
        <is>
          <t>2000/135</t>
        </is>
      </c>
      <c r="E7168" s="3" t="inlineStr">
        <is>
          <t>COS - Sales Comm External - Minette</t>
        </is>
      </c>
      <c r="F7168" s="3" t="n">
        <v>0</v>
      </c>
      <c r="G7168" s="3" t="n">
        <v>104768.64</v>
      </c>
    </row>
    <row r="7169">
      <c r="A7169" s="3" t="inlineStr">
        <is>
          <t>Opportunity Global Sales (PTY) LTD</t>
        </is>
      </c>
      <c r="B7169" s="4" t="n">
        <v>44592</v>
      </c>
      <c r="C7169" s="3" t="inlineStr">
        <is>
          <t>Expenses</t>
        </is>
      </c>
      <c r="D7169" s="3" t="inlineStr">
        <is>
          <t>2000/137</t>
        </is>
      </c>
      <c r="E7169" s="3" t="inlineStr">
        <is>
          <t>COS - Rental Comm External - Minette</t>
        </is>
      </c>
      <c r="F7169" s="3" t="n">
        <v>23549.65</v>
      </c>
      <c r="G7169" s="3" t="n">
        <v>124557.08</v>
      </c>
    </row>
    <row r="7170">
      <c r="A7170" s="3" t="inlineStr">
        <is>
          <t>Opportunity Global Sales (PTY) LTD</t>
        </is>
      </c>
      <c r="B7170" s="4" t="n">
        <v>44592</v>
      </c>
      <c r="C7170" s="3" t="inlineStr">
        <is>
          <t>Expenses</t>
        </is>
      </c>
      <c r="D7170" s="3" t="inlineStr">
        <is>
          <t>2000/139</t>
        </is>
      </c>
      <c r="E7170" s="3" t="inlineStr">
        <is>
          <t>COS - Sales Comm Heron Fields - Minette</t>
        </is>
      </c>
      <c r="F7170" s="3" t="n">
        <v>10837.54</v>
      </c>
      <c r="G7170" s="3" t="n">
        <v>41353.65</v>
      </c>
    </row>
    <row r="7171">
      <c r="A7171" s="3" t="inlineStr">
        <is>
          <t>Opportunity Global Sales (PTY) LTD</t>
        </is>
      </c>
      <c r="B7171" s="4" t="n">
        <v>44592</v>
      </c>
      <c r="C7171" s="3" t="inlineStr">
        <is>
          <t>Expenses</t>
        </is>
      </c>
      <c r="D7171" s="3" t="inlineStr">
        <is>
          <t>2000/141</t>
        </is>
      </c>
      <c r="E7171" s="3" t="inlineStr">
        <is>
          <t>COS - Rental Comm External - Esme</t>
        </is>
      </c>
      <c r="F7171" s="3" t="n">
        <v>2152.5</v>
      </c>
      <c r="G7171" s="3" t="n">
        <v>2152.5</v>
      </c>
    </row>
    <row r="7172">
      <c r="A7172" s="3" t="inlineStr">
        <is>
          <t>Opportunity Global Sales (PTY) LTD</t>
        </is>
      </c>
      <c r="B7172" s="4" t="n">
        <v>44592</v>
      </c>
      <c r="C7172" s="3" t="inlineStr">
        <is>
          <t>Expenses</t>
        </is>
      </c>
      <c r="D7172" s="3" t="inlineStr">
        <is>
          <t>2000/150</t>
        </is>
      </c>
      <c r="E7172" s="3" t="inlineStr">
        <is>
          <t>COS - Commission Paid Southwark Project</t>
        </is>
      </c>
      <c r="F7172" s="3" t="n">
        <v>0</v>
      </c>
      <c r="G7172" s="3" t="n">
        <v>4320.43</v>
      </c>
    </row>
    <row r="7173">
      <c r="A7173" s="3" t="inlineStr">
        <is>
          <t>Trademark Holdings (Pty) Ltd</t>
        </is>
      </c>
      <c r="B7173" s="4" t="n">
        <v>44592</v>
      </c>
      <c r="C7173" s="3" t="inlineStr">
        <is>
          <t>Expenses</t>
        </is>
      </c>
      <c r="D7173" s="3" t="inlineStr">
        <is>
          <t>2000/300</t>
        </is>
      </c>
      <c r="E7173" s="3" t="inlineStr">
        <is>
          <t>COS - Commission Paid</t>
        </is>
      </c>
      <c r="F7173" s="3" t="n">
        <v>15796.18</v>
      </c>
      <c r="G7173" s="3" t="n">
        <v>136431.62</v>
      </c>
    </row>
    <row r="7174">
      <c r="A7174" s="3" t="inlineStr">
        <is>
          <t>Opportunity Global Sales (PTY) LTD</t>
        </is>
      </c>
      <c r="B7174" s="4" t="n">
        <v>44592</v>
      </c>
      <c r="C7174" s="3" t="inlineStr">
        <is>
          <t>Expenses</t>
        </is>
      </c>
      <c r="D7174" s="3" t="inlineStr">
        <is>
          <t>2000/700</t>
        </is>
      </c>
      <c r="E7174" s="3" t="inlineStr">
        <is>
          <t>Referral Fees - Projects</t>
        </is>
      </c>
      <c r="F7174" s="3" t="n">
        <v>0</v>
      </c>
      <c r="G7174" s="3" t="n">
        <v>10000</v>
      </c>
    </row>
    <row r="7175">
      <c r="A7175" s="3" t="inlineStr">
        <is>
          <t>Quinate Consulting (Pty) Ltd</t>
        </is>
      </c>
      <c r="B7175" s="4" t="n">
        <v>44592</v>
      </c>
      <c r="C7175" s="3" t="inlineStr">
        <is>
          <t>Expenses</t>
        </is>
      </c>
      <c r="D7175" s="3" t="inlineStr">
        <is>
          <t>2001/120</t>
        </is>
      </c>
      <c r="E7175" s="3" t="inlineStr">
        <is>
          <t>COS - Commission - South Wark</t>
        </is>
      </c>
      <c r="F7175" s="3" t="n">
        <v>0</v>
      </c>
      <c r="G7175" s="3" t="n">
        <v>78208.7</v>
      </c>
    </row>
    <row r="7176">
      <c r="A7176" s="3" t="inlineStr">
        <is>
          <t>Quinate Consulting (Pty) Ltd</t>
        </is>
      </c>
      <c r="B7176" s="4" t="n">
        <v>44592</v>
      </c>
      <c r="C7176" s="3" t="inlineStr">
        <is>
          <t>Expenses</t>
        </is>
      </c>
      <c r="D7176" s="3" t="inlineStr">
        <is>
          <t>2001/150</t>
        </is>
      </c>
      <c r="E7176" s="3" t="inlineStr">
        <is>
          <t>COS - Legal Fees - Bond</t>
        </is>
      </c>
      <c r="F7176" s="3" t="n">
        <v>0</v>
      </c>
      <c r="G7176" s="3" t="n">
        <v>19963</v>
      </c>
    </row>
    <row r="7177">
      <c r="A7177" s="3" t="inlineStr">
        <is>
          <t>Quinate Consulting (Pty) Ltd</t>
        </is>
      </c>
      <c r="B7177" s="4" t="n">
        <v>44592</v>
      </c>
      <c r="C7177" s="3" t="inlineStr">
        <is>
          <t>Expenses</t>
        </is>
      </c>
      <c r="D7177" s="3" t="inlineStr">
        <is>
          <t>2001/180</t>
        </is>
      </c>
      <c r="E7177" s="3" t="inlineStr">
        <is>
          <t>COS - Legal fees - Release fees</t>
        </is>
      </c>
      <c r="F7177" s="3" t="n">
        <v>0</v>
      </c>
      <c r="G7177" s="3" t="n">
        <v>2095</v>
      </c>
    </row>
    <row r="7178">
      <c r="A7178" s="3" t="inlineStr">
        <is>
          <t>Quinate Consulting (Pty) Ltd</t>
        </is>
      </c>
      <c r="B7178" s="4" t="n">
        <v>44592</v>
      </c>
      <c r="C7178" s="3" t="inlineStr">
        <is>
          <t>Expenses</t>
        </is>
      </c>
      <c r="D7178" s="3" t="inlineStr">
        <is>
          <t>2001/190</t>
        </is>
      </c>
      <c r="E7178" s="3" t="inlineStr">
        <is>
          <t>COS - Legal fees - Transfers</t>
        </is>
      </c>
      <c r="F7178" s="3" t="n">
        <v>0</v>
      </c>
      <c r="G7178" s="3" t="n">
        <v>20038</v>
      </c>
    </row>
    <row r="7179">
      <c r="A7179" s="3" t="inlineStr">
        <is>
          <t>Quinate Consulting (Pty) Ltd</t>
        </is>
      </c>
      <c r="B7179" s="4" t="n">
        <v>44592</v>
      </c>
      <c r="C7179" s="3" t="inlineStr">
        <is>
          <t>Expenses</t>
        </is>
      </c>
      <c r="D7179" s="3" t="inlineStr">
        <is>
          <t>2006/012</t>
        </is>
      </c>
      <c r="E7179" s="3" t="inlineStr">
        <is>
          <t>COS - Engineering Prof fees</t>
        </is>
      </c>
      <c r="F7179" s="3" t="n">
        <v>0</v>
      </c>
      <c r="G7179" s="3" t="n">
        <v>-39000</v>
      </c>
    </row>
    <row r="7180">
      <c r="A7180" s="3" t="inlineStr">
        <is>
          <t>Quinate Consulting (Pty) Ltd</t>
        </is>
      </c>
      <c r="B7180" s="4" t="n">
        <v>44592</v>
      </c>
      <c r="C7180" s="3" t="inlineStr">
        <is>
          <t>Expenses</t>
        </is>
      </c>
      <c r="D7180" s="3" t="inlineStr">
        <is>
          <t>2200/000</t>
        </is>
      </c>
      <c r="E7180" s="3" t="inlineStr">
        <is>
          <t>COS - C2M Certificate for transfer</t>
        </is>
      </c>
      <c r="F7180" s="3" t="n">
        <v>0</v>
      </c>
      <c r="G7180" s="3" t="n">
        <v>-2408.55</v>
      </c>
    </row>
    <row r="7181">
      <c r="A7181" s="3" t="inlineStr">
        <is>
          <t>Quinate Consulting (Pty) Ltd</t>
        </is>
      </c>
      <c r="B7181" s="4" t="n">
        <v>44592</v>
      </c>
      <c r="C7181" s="3" t="inlineStr">
        <is>
          <t>Revenue</t>
        </is>
      </c>
      <c r="D7181" s="3" t="inlineStr">
        <is>
          <t>2400/200</t>
        </is>
      </c>
      <c r="E7181" s="3" t="inlineStr">
        <is>
          <t>Recovery Acc - Electricity SH</t>
        </is>
      </c>
      <c r="F7181" s="3" t="n">
        <v>-18427.43</v>
      </c>
      <c r="G7181" s="3" t="n">
        <v>-218571.58</v>
      </c>
    </row>
    <row r="7182">
      <c r="A7182" s="3" t="inlineStr">
        <is>
          <t>Quinate Consulting (Pty) Ltd</t>
        </is>
      </c>
      <c r="B7182" s="4" t="n">
        <v>44592</v>
      </c>
      <c r="C7182" s="3" t="inlineStr">
        <is>
          <t>Revenue</t>
        </is>
      </c>
      <c r="D7182" s="3" t="inlineStr">
        <is>
          <t>2400/300</t>
        </is>
      </c>
      <c r="E7182" s="3" t="inlineStr">
        <is>
          <t>Recovery Account - Electricity SW</t>
        </is>
      </c>
      <c r="F7182" s="3" t="n">
        <v>-13469.07</v>
      </c>
      <c r="G7182" s="3" t="n">
        <v>-250101.92</v>
      </c>
    </row>
    <row r="7183">
      <c r="A7183" s="3" t="inlineStr">
        <is>
          <t>Quinate Consulting (Pty) Ltd</t>
        </is>
      </c>
      <c r="B7183" s="4" t="n">
        <v>44592</v>
      </c>
      <c r="C7183" s="3" t="inlineStr">
        <is>
          <t>Revenue</t>
        </is>
      </c>
      <c r="D7183" s="3" t="inlineStr">
        <is>
          <t>2400/400</t>
        </is>
      </c>
      <c r="E7183" s="3" t="inlineStr">
        <is>
          <t>Recovery - Heron Projects</t>
        </is>
      </c>
      <c r="F7183" s="3" t="n">
        <v>0</v>
      </c>
      <c r="G7183" s="3" t="n">
        <v>-265825</v>
      </c>
    </row>
    <row r="7184">
      <c r="A7184" s="3" t="inlineStr">
        <is>
          <t>Opportunity Global Investment (PTY) LTD</t>
        </is>
      </c>
      <c r="B7184" s="4" t="n">
        <v>44592</v>
      </c>
      <c r="C7184" s="3" t="inlineStr">
        <is>
          <t>Revenue</t>
        </is>
      </c>
      <c r="D7184" s="3" t="inlineStr">
        <is>
          <t>2700/000</t>
        </is>
      </c>
      <c r="E7184" s="3" t="inlineStr">
        <is>
          <t>Discount Received for Cash</t>
        </is>
      </c>
      <c r="F7184" s="3" t="n">
        <v>0</v>
      </c>
      <c r="G7184" s="3" t="n">
        <v>-0.34</v>
      </c>
    </row>
    <row r="7185">
      <c r="A7185" s="3" t="inlineStr">
        <is>
          <t>Endulini (Pty) Ltd</t>
        </is>
      </c>
      <c r="B7185" s="4" t="n">
        <v>44592</v>
      </c>
      <c r="C7185" s="3" t="inlineStr">
        <is>
          <t>Revenue</t>
        </is>
      </c>
      <c r="D7185" s="3" t="inlineStr">
        <is>
          <t>2750/000</t>
        </is>
      </c>
      <c r="E7185" s="3" t="inlineStr">
        <is>
          <t>Interest Received</t>
        </is>
      </c>
      <c r="F7185" s="3" t="n">
        <v>-9.34</v>
      </c>
      <c r="G7185" s="3" t="n">
        <v>-9.34</v>
      </c>
    </row>
    <row r="7186">
      <c r="A7186" s="3" t="inlineStr">
        <is>
          <t>Opportunity Management Holdings (PTY) LTD</t>
        </is>
      </c>
      <c r="B7186" s="4" t="n">
        <v>44592</v>
      </c>
      <c r="C7186" s="3" t="inlineStr">
        <is>
          <t>Revenue</t>
        </is>
      </c>
      <c r="D7186" s="3" t="inlineStr">
        <is>
          <t>2750/000</t>
        </is>
      </c>
      <c r="E7186" s="3" t="inlineStr">
        <is>
          <t>Interest Received</t>
        </is>
      </c>
      <c r="F7186" s="3" t="n">
        <v>0</v>
      </c>
      <c r="G7186" s="3" t="n">
        <v>-0.21</v>
      </c>
    </row>
    <row r="7187">
      <c r="A7187" s="3" t="inlineStr">
        <is>
          <t>Opportunity Global Investment (PTY) LTD</t>
        </is>
      </c>
      <c r="B7187" s="4" t="n">
        <v>44592</v>
      </c>
      <c r="C7187" s="3" t="inlineStr">
        <is>
          <t>Revenue</t>
        </is>
      </c>
      <c r="D7187" s="3" t="inlineStr">
        <is>
          <t>2750/000</t>
        </is>
      </c>
      <c r="E7187" s="3" t="inlineStr">
        <is>
          <t>Interest Received - Bank</t>
        </is>
      </c>
      <c r="F7187" s="3" t="n">
        <v>0</v>
      </c>
      <c r="G7187" s="3" t="n">
        <v>-1959.31</v>
      </c>
    </row>
    <row r="7188">
      <c r="A7188" s="3" t="inlineStr">
        <is>
          <t>Quinate Consulting (Pty) Ltd</t>
        </is>
      </c>
      <c r="B7188" s="4" t="n">
        <v>44592</v>
      </c>
      <c r="C7188" s="3" t="inlineStr">
        <is>
          <t>Revenue</t>
        </is>
      </c>
      <c r="D7188" s="3" t="inlineStr">
        <is>
          <t>2751/000</t>
        </is>
      </c>
      <c r="E7188" s="3" t="inlineStr">
        <is>
          <t>Interest Received - Bank</t>
        </is>
      </c>
      <c r="F7188" s="3" t="n">
        <v>0</v>
      </c>
      <c r="G7188" s="3" t="n">
        <v>-250.81</v>
      </c>
    </row>
    <row r="7189">
      <c r="A7189" s="3" t="inlineStr">
        <is>
          <t>Opportunity Global Investment (PTY) LTD</t>
        </is>
      </c>
      <c r="B7189" s="4" t="n">
        <v>44592</v>
      </c>
      <c r="C7189" s="3" t="inlineStr">
        <is>
          <t>Revenue</t>
        </is>
      </c>
      <c r="D7189" s="3" t="inlineStr">
        <is>
          <t>2753/000</t>
        </is>
      </c>
      <c r="E7189" s="3" t="inlineStr">
        <is>
          <t>Interest received - Momentum</t>
        </is>
      </c>
      <c r="F7189" s="3" t="n">
        <v>-17.27</v>
      </c>
      <c r="G7189" s="3" t="n">
        <v>-3419.48</v>
      </c>
    </row>
    <row r="7190">
      <c r="A7190" s="3" t="inlineStr">
        <is>
          <t>Quinate Consulting (Pty) Ltd</t>
        </is>
      </c>
      <c r="B7190" s="4" t="n">
        <v>44592</v>
      </c>
      <c r="C7190" s="3" t="inlineStr">
        <is>
          <t>Revenue</t>
        </is>
      </c>
      <c r="D7190" s="3" t="inlineStr">
        <is>
          <t>2753/001</t>
        </is>
      </c>
      <c r="E7190" s="3" t="inlineStr">
        <is>
          <t>Interest Received - Deposit Grey Heron</t>
        </is>
      </c>
      <c r="F7190" s="3" t="n">
        <v>0</v>
      </c>
      <c r="G7190" s="3" t="n">
        <v>-14626.61</v>
      </c>
    </row>
    <row r="7191">
      <c r="A7191" s="3" t="inlineStr">
        <is>
          <t>Opportunity Global Investment (PTY) LTD</t>
        </is>
      </c>
      <c r="B7191" s="4" t="n">
        <v>44592</v>
      </c>
      <c r="C7191" s="3" t="inlineStr">
        <is>
          <t>Revenue</t>
        </is>
      </c>
      <c r="D7191" s="3" t="inlineStr">
        <is>
          <t>2754/000</t>
        </is>
      </c>
      <c r="E7191" s="3" t="inlineStr">
        <is>
          <t>Interest Received - SARS</t>
        </is>
      </c>
      <c r="F7191" s="3" t="n">
        <v>0</v>
      </c>
      <c r="G7191" s="3" t="n">
        <v>-38.78</v>
      </c>
    </row>
    <row r="7192">
      <c r="A7192" s="3" t="inlineStr">
        <is>
          <t>Endulini (Pty) Ltd</t>
        </is>
      </c>
      <c r="B7192" s="4" t="n">
        <v>44592</v>
      </c>
      <c r="C7192" s="3" t="inlineStr">
        <is>
          <t>Revenue</t>
        </is>
      </c>
      <c r="D7192" s="3" t="inlineStr">
        <is>
          <t>2755/001</t>
        </is>
      </c>
      <c r="E7192" s="3" t="inlineStr">
        <is>
          <t>Interest Received - Momentum</t>
        </is>
      </c>
      <c r="F7192" s="3" t="n">
        <v>-59388.92</v>
      </c>
      <c r="G7192" s="3" t="n">
        <v>-76375.8</v>
      </c>
    </row>
    <row r="7193">
      <c r="A7193" s="3" t="inlineStr">
        <is>
          <t>Quinate Consulting (Pty) Ltd</t>
        </is>
      </c>
      <c r="B7193" s="4" t="n">
        <v>44592</v>
      </c>
      <c r="C7193" s="3" t="inlineStr">
        <is>
          <t>Revenue</t>
        </is>
      </c>
      <c r="D7193" s="3" t="inlineStr">
        <is>
          <t>2910/001</t>
        </is>
      </c>
      <c r="E7193" s="3" t="inlineStr">
        <is>
          <t>Insurance Claims - Old Mutual</t>
        </is>
      </c>
      <c r="F7193" s="3" t="n">
        <v>0</v>
      </c>
      <c r="G7193" s="3" t="n">
        <v>-875</v>
      </c>
    </row>
    <row r="7194">
      <c r="A7194" s="3" t="inlineStr">
        <is>
          <t>Opportunity Global Investment (PTY) LTD</t>
        </is>
      </c>
      <c r="B7194" s="4" t="n">
        <v>44592</v>
      </c>
      <c r="C7194" s="3" t="inlineStr">
        <is>
          <t>Expenses</t>
        </is>
      </c>
      <c r="D7194" s="3" t="inlineStr">
        <is>
          <t>3000/110</t>
        </is>
      </c>
      <c r="E7194" s="3" t="inlineStr">
        <is>
          <t>Accounting Fees - Payroll</t>
        </is>
      </c>
      <c r="F7194" s="3" t="n">
        <v>0</v>
      </c>
      <c r="G7194" s="3" t="n">
        <v>3625</v>
      </c>
    </row>
    <row r="7195">
      <c r="A7195" s="3" t="inlineStr">
        <is>
          <t>Opportunity Global Investment (PTY) LTD</t>
        </is>
      </c>
      <c r="B7195" s="4" t="n">
        <v>44592</v>
      </c>
      <c r="C7195" s="3" t="inlineStr">
        <is>
          <t>Expenses</t>
        </is>
      </c>
      <c r="D7195" s="3" t="inlineStr">
        <is>
          <t>3000/111</t>
        </is>
      </c>
      <c r="E7195" s="3" t="inlineStr">
        <is>
          <t>Accounting Fees - Tax Department</t>
        </is>
      </c>
      <c r="F7195" s="3" t="n">
        <v>0</v>
      </c>
      <c r="G7195" s="3" t="n">
        <v>1300</v>
      </c>
    </row>
    <row r="7196">
      <c r="A7196" s="3" t="inlineStr">
        <is>
          <t>Opportunity Global Investment (PTY) LTD</t>
        </is>
      </c>
      <c r="B7196" s="4" t="n">
        <v>44592</v>
      </c>
      <c r="C7196" s="3" t="inlineStr">
        <is>
          <t>Expenses</t>
        </is>
      </c>
      <c r="D7196" s="3" t="inlineStr">
        <is>
          <t>3000/150</t>
        </is>
      </c>
      <c r="E7196" s="3" t="inlineStr">
        <is>
          <t>Accounting Fees - Audit</t>
        </is>
      </c>
      <c r="F7196" s="3" t="n">
        <v>0</v>
      </c>
      <c r="G7196" s="3" t="n">
        <v>10950</v>
      </c>
    </row>
    <row r="7197">
      <c r="A7197" s="3" t="inlineStr">
        <is>
          <t>Opportunity Global Investment (PTY) LTD</t>
        </is>
      </c>
      <c r="B7197" s="4" t="n">
        <v>44592</v>
      </c>
      <c r="C7197" s="3" t="inlineStr">
        <is>
          <t>Expenses</t>
        </is>
      </c>
      <c r="D7197" s="3" t="inlineStr">
        <is>
          <t>3000/200</t>
        </is>
      </c>
      <c r="E7197" s="3" t="inlineStr">
        <is>
          <t>Accounting Fees - General</t>
        </is>
      </c>
      <c r="F7197" s="3" t="n">
        <v>0</v>
      </c>
      <c r="G7197" s="3" t="n">
        <v>6442.83</v>
      </c>
    </row>
    <row r="7198">
      <c r="A7198" s="3" t="inlineStr">
        <is>
          <t>Noble Shield (Pty) Ltd ta Go Letting</t>
        </is>
      </c>
      <c r="B7198" s="4" t="n">
        <v>44592</v>
      </c>
      <c r="C7198" s="3" t="inlineStr">
        <is>
          <t>Expenses</t>
        </is>
      </c>
      <c r="D7198" s="3" t="inlineStr">
        <is>
          <t>3000/300</t>
        </is>
      </c>
      <c r="E7198" s="3" t="inlineStr">
        <is>
          <t>Accounting Fees - Audit</t>
        </is>
      </c>
      <c r="F7198" s="3" t="n">
        <v>25967</v>
      </c>
      <c r="G7198" s="3" t="n">
        <v>25967</v>
      </c>
    </row>
    <row r="7199">
      <c r="A7199" s="3" t="inlineStr">
        <is>
          <t>Trademark Holdings (Pty) Ltd</t>
        </is>
      </c>
      <c r="B7199" s="4" t="n">
        <v>44592</v>
      </c>
      <c r="C7199" s="3" t="inlineStr">
        <is>
          <t>Expenses</t>
        </is>
      </c>
      <c r="D7199" s="3" t="inlineStr">
        <is>
          <t>3000/300</t>
        </is>
      </c>
      <c r="E7199" s="3" t="inlineStr">
        <is>
          <t>Accounting Fees - Audit</t>
        </is>
      </c>
      <c r="F7199" s="3" t="n">
        <v>16790</v>
      </c>
      <c r="G7199" s="3" t="n">
        <v>16790</v>
      </c>
    </row>
    <row r="7200">
      <c r="A7200" s="3" t="inlineStr">
        <is>
          <t>Noble Shield (Pty) Ltd ta Go Letting</t>
        </is>
      </c>
      <c r="B7200" s="4" t="n">
        <v>44592</v>
      </c>
      <c r="C7200" s="3" t="inlineStr">
        <is>
          <t>Expenses</t>
        </is>
      </c>
      <c r="D7200" s="3" t="inlineStr">
        <is>
          <t>3000/400</t>
        </is>
      </c>
      <c r="E7200" s="3" t="inlineStr">
        <is>
          <t>Accounting Fees - CipC</t>
        </is>
      </c>
      <c r="F7200" s="3" t="n">
        <v>0</v>
      </c>
      <c r="G7200" s="3" t="n">
        <v>100</v>
      </c>
    </row>
    <row r="7201">
      <c r="A7201" s="3" t="inlineStr">
        <is>
          <t>Opportunity Management Holdings (PTY) LTD</t>
        </is>
      </c>
      <c r="B7201" s="4" t="n">
        <v>44592</v>
      </c>
      <c r="C7201" s="3" t="inlineStr">
        <is>
          <t>Expenses</t>
        </is>
      </c>
      <c r="D7201" s="3" t="inlineStr">
        <is>
          <t>3001/000</t>
        </is>
      </c>
      <c r="E7201" s="3" t="inlineStr">
        <is>
          <t>Accounting Fees - Payroll</t>
        </is>
      </c>
      <c r="F7201" s="3" t="n">
        <v>577.5</v>
      </c>
      <c r="G7201" s="3" t="n">
        <v>577.5</v>
      </c>
    </row>
    <row r="7202">
      <c r="A7202" s="3" t="inlineStr">
        <is>
          <t>Quinate Consulting (Pty) Ltd</t>
        </is>
      </c>
      <c r="B7202" s="4" t="n">
        <v>44592</v>
      </c>
      <c r="C7202" s="3" t="inlineStr">
        <is>
          <t>Expenses</t>
        </is>
      </c>
      <c r="D7202" s="3" t="inlineStr">
        <is>
          <t>3001/000</t>
        </is>
      </c>
      <c r="E7202" s="3" t="inlineStr">
        <is>
          <t>Accounting fees - Other</t>
        </is>
      </c>
      <c r="F7202" s="3" t="n">
        <v>0</v>
      </c>
      <c r="G7202" s="3" t="n">
        <v>2215</v>
      </c>
    </row>
    <row r="7203">
      <c r="A7203" s="3" t="inlineStr">
        <is>
          <t>Quinate Consulting (Pty) Ltd</t>
        </is>
      </c>
      <c r="B7203" s="4" t="n">
        <v>44592</v>
      </c>
      <c r="C7203" s="3" t="inlineStr">
        <is>
          <t>Expenses</t>
        </is>
      </c>
      <c r="D7203" s="3" t="inlineStr">
        <is>
          <t>3002/000</t>
        </is>
      </c>
      <c r="E7203" s="3" t="inlineStr">
        <is>
          <t>Accounting Fees - Tax Dept.</t>
        </is>
      </c>
      <c r="F7203" s="3" t="n">
        <v>0</v>
      </c>
      <c r="G7203" s="3" t="n">
        <v>1397.5</v>
      </c>
    </row>
    <row r="7204">
      <c r="A7204" s="3" t="inlineStr">
        <is>
          <t>Quinate Consulting (Pty) Ltd</t>
        </is>
      </c>
      <c r="B7204" s="4" t="n">
        <v>44592</v>
      </c>
      <c r="C7204" s="3" t="inlineStr">
        <is>
          <t>Expenses</t>
        </is>
      </c>
      <c r="D7204" s="3" t="inlineStr">
        <is>
          <t>3003/000</t>
        </is>
      </c>
      <c r="E7204" s="3" t="inlineStr">
        <is>
          <t>Accounting fees - Warwick</t>
        </is>
      </c>
      <c r="F7204" s="3" t="n">
        <v>0</v>
      </c>
      <c r="G7204" s="3" t="n">
        <v>54000</v>
      </c>
    </row>
    <row r="7205">
      <c r="A7205" s="3" t="inlineStr">
        <is>
          <t>Quinate Consulting (Pty) Ltd</t>
        </is>
      </c>
      <c r="B7205" s="4" t="n">
        <v>44592</v>
      </c>
      <c r="C7205" s="3" t="inlineStr">
        <is>
          <t>Expenses</t>
        </is>
      </c>
      <c r="D7205" s="3" t="inlineStr">
        <is>
          <t>3004/000</t>
        </is>
      </c>
      <c r="E7205" s="3" t="inlineStr">
        <is>
          <t>Accounting fees - J Theart</t>
        </is>
      </c>
      <c r="F7205" s="3" t="n">
        <v>0</v>
      </c>
      <c r="G7205" s="3" t="n">
        <v>45000</v>
      </c>
    </row>
    <row r="7206">
      <c r="A7206" s="3" t="inlineStr">
        <is>
          <t>Opportunity Management Holdings (PTY) LTD</t>
        </is>
      </c>
      <c r="B7206" s="4" t="n">
        <v>44592</v>
      </c>
      <c r="C7206" s="3" t="inlineStr">
        <is>
          <t>Expenses</t>
        </is>
      </c>
      <c r="D7206" s="3" t="inlineStr">
        <is>
          <t>3004/000</t>
        </is>
      </c>
      <c r="E7206" s="3" t="inlineStr">
        <is>
          <t>Accounting fees - Janine Theart</t>
        </is>
      </c>
      <c r="F7206" s="3" t="n">
        <v>16250</v>
      </c>
      <c r="G7206" s="3" t="n">
        <v>65000</v>
      </c>
    </row>
    <row r="7207">
      <c r="A7207" s="3" t="inlineStr">
        <is>
          <t>Quinate Consulting (Pty) Ltd</t>
        </is>
      </c>
      <c r="B7207" s="4" t="n">
        <v>44592</v>
      </c>
      <c r="C7207" s="3" t="inlineStr">
        <is>
          <t>Expenses</t>
        </is>
      </c>
      <c r="D7207" s="3" t="inlineStr">
        <is>
          <t>3005/000</t>
        </is>
      </c>
      <c r="E7207" s="3" t="inlineStr">
        <is>
          <t>Accounting fees - Audit</t>
        </is>
      </c>
      <c r="F7207" s="3" t="n">
        <v>0</v>
      </c>
      <c r="G7207" s="3" t="n">
        <v>41000</v>
      </c>
    </row>
    <row r="7208">
      <c r="A7208" s="3" t="inlineStr">
        <is>
          <t>Opportunity Management Holdings (PTY) LTD</t>
        </is>
      </c>
      <c r="B7208" s="4" t="n">
        <v>44592</v>
      </c>
      <c r="C7208" s="3" t="inlineStr">
        <is>
          <t>Expenses</t>
        </is>
      </c>
      <c r="D7208" s="3" t="inlineStr">
        <is>
          <t>3005/000</t>
        </is>
      </c>
      <c r="E7208" s="3" t="inlineStr">
        <is>
          <t>Accounting fees - Deric Dudley</t>
        </is>
      </c>
      <c r="F7208" s="3" t="n">
        <v>44000</v>
      </c>
      <c r="G7208" s="3" t="n">
        <v>176000</v>
      </c>
    </row>
    <row r="7209">
      <c r="A7209" s="3" t="inlineStr">
        <is>
          <t>Opportunity Management Holdings (PTY) LTD</t>
        </is>
      </c>
      <c r="B7209" s="4" t="n">
        <v>44592</v>
      </c>
      <c r="C7209" s="3" t="inlineStr">
        <is>
          <t>Expenses</t>
        </is>
      </c>
      <c r="D7209" s="3" t="inlineStr">
        <is>
          <t>3006/000</t>
        </is>
      </c>
      <c r="E7209" s="3" t="inlineStr">
        <is>
          <t>Accounting fees - CIPC</t>
        </is>
      </c>
      <c r="F7209" s="3" t="n">
        <v>0</v>
      </c>
      <c r="G7209" s="3" t="n">
        <v>350</v>
      </c>
    </row>
    <row r="7210">
      <c r="A7210" s="3" t="inlineStr">
        <is>
          <t>Opportunity Management Holdings (PTY) LTD</t>
        </is>
      </c>
      <c r="B7210" s="4" t="n">
        <v>44592</v>
      </c>
      <c r="C7210" s="3" t="inlineStr">
        <is>
          <t>Expenses</t>
        </is>
      </c>
      <c r="D7210" s="3" t="inlineStr">
        <is>
          <t>3007/000</t>
        </is>
      </c>
      <c r="E7210" s="3" t="inlineStr">
        <is>
          <t>Accounting fees - Warwick</t>
        </is>
      </c>
      <c r="F7210" s="3" t="n">
        <v>34500</v>
      </c>
      <c r="G7210" s="3" t="n">
        <v>138000</v>
      </c>
    </row>
    <row r="7211">
      <c r="A7211" s="3" t="inlineStr">
        <is>
          <t>Noble Shield (Pty) Ltd ta Go Letting</t>
        </is>
      </c>
      <c r="B7211" s="4" t="n">
        <v>44592</v>
      </c>
      <c r="C7211" s="3" t="inlineStr">
        <is>
          <t>Expenses</t>
        </is>
      </c>
      <c r="D7211" s="3" t="inlineStr">
        <is>
          <t>3050/000</t>
        </is>
      </c>
      <c r="E7211" s="3" t="inlineStr">
        <is>
          <t>Advertising _AND_ Promotions</t>
        </is>
      </c>
      <c r="F7211" s="3" t="n">
        <v>0</v>
      </c>
      <c r="G7211" s="3" t="n">
        <v>3862.5</v>
      </c>
    </row>
    <row r="7212">
      <c r="A7212" s="3" t="inlineStr">
        <is>
          <t>Opportunity Global Investment (PTY) LTD</t>
        </is>
      </c>
      <c r="B7212" s="4" t="n">
        <v>44592</v>
      </c>
      <c r="C7212" s="3" t="inlineStr">
        <is>
          <t>Expenses</t>
        </is>
      </c>
      <c r="D7212" s="3" t="inlineStr">
        <is>
          <t>3050/000</t>
        </is>
      </c>
      <c r="E7212" s="3" t="inlineStr">
        <is>
          <t>Advertising and Promotions</t>
        </is>
      </c>
      <c r="F7212" s="3" t="n">
        <v>84332.5</v>
      </c>
      <c r="G7212" s="3" t="n">
        <v>963044.0600000001</v>
      </c>
    </row>
    <row r="7213">
      <c r="A7213" s="3" t="inlineStr">
        <is>
          <t>Opportunity Global Sales (PTY) LTD</t>
        </is>
      </c>
      <c r="B7213" s="4" t="n">
        <v>44592</v>
      </c>
      <c r="C7213" s="3" t="inlineStr">
        <is>
          <t>Expenses</t>
        </is>
      </c>
      <c r="D7213" s="3" t="inlineStr">
        <is>
          <t>3050/000</t>
        </is>
      </c>
      <c r="E7213" s="3" t="inlineStr">
        <is>
          <t>Advertising and Promotions</t>
        </is>
      </c>
      <c r="F7213" s="3" t="n">
        <v>0</v>
      </c>
      <c r="G7213" s="3" t="n">
        <v>9877</v>
      </c>
    </row>
    <row r="7214">
      <c r="A7214" s="3" t="inlineStr">
        <is>
          <t>Endulini (Pty) Ltd</t>
        </is>
      </c>
      <c r="B7214" s="4" t="n">
        <v>44592</v>
      </c>
      <c r="C7214" s="3" t="inlineStr">
        <is>
          <t>Expenses</t>
        </is>
      </c>
      <c r="D7214" s="3" t="inlineStr">
        <is>
          <t>3050/001</t>
        </is>
      </c>
      <c r="E7214" s="3" t="inlineStr">
        <is>
          <t>Advertising _AND_ Promotions - Media Agenda</t>
        </is>
      </c>
      <c r="F7214" s="3" t="n">
        <v>0</v>
      </c>
      <c r="G7214" s="3" t="n">
        <v>11707.5</v>
      </c>
    </row>
    <row r="7215">
      <c r="A7215" s="3" t="inlineStr">
        <is>
          <t>Endulini (Pty) Ltd</t>
        </is>
      </c>
      <c r="B7215" s="4" t="n">
        <v>44592</v>
      </c>
      <c r="C7215" s="3" t="inlineStr">
        <is>
          <t>Expenses</t>
        </is>
      </c>
      <c r="D7215" s="3" t="inlineStr">
        <is>
          <t>3050/002</t>
        </is>
      </c>
      <c r="E7215" s="3" t="inlineStr">
        <is>
          <t>Advertising - Other</t>
        </is>
      </c>
      <c r="F7215" s="3" t="n">
        <v>0</v>
      </c>
      <c r="G7215" s="3" t="n">
        <v>37478.8</v>
      </c>
    </row>
    <row r="7216">
      <c r="A7216" s="3" t="inlineStr">
        <is>
          <t>Noble Shield (Pty) Ltd ta Go Letting</t>
        </is>
      </c>
      <c r="B7216" s="4" t="n">
        <v>44592</v>
      </c>
      <c r="C7216" s="3" t="inlineStr">
        <is>
          <t>Expenses</t>
        </is>
      </c>
      <c r="D7216" s="3" t="inlineStr">
        <is>
          <t>3050/050</t>
        </is>
      </c>
      <c r="E7216" s="3" t="inlineStr">
        <is>
          <t>Advertising - Prop 24</t>
        </is>
      </c>
      <c r="F7216" s="3" t="n">
        <v>2017.1</v>
      </c>
      <c r="G7216" s="3" t="n">
        <v>11253.9</v>
      </c>
    </row>
    <row r="7217">
      <c r="A7217" s="3" t="inlineStr">
        <is>
          <t>Trademark Holdings (Pty) Ltd</t>
        </is>
      </c>
      <c r="B7217" s="4" t="n">
        <v>44592</v>
      </c>
      <c r="C7217" s="3" t="inlineStr">
        <is>
          <t>Expenses</t>
        </is>
      </c>
      <c r="D7217" s="3" t="inlineStr">
        <is>
          <t>3050/060</t>
        </is>
      </c>
      <c r="E7217" s="3" t="inlineStr">
        <is>
          <t>Advertising - Other</t>
        </is>
      </c>
      <c r="F7217" s="3" t="n">
        <v>0</v>
      </c>
      <c r="G7217" s="3" t="n">
        <v>7595.75</v>
      </c>
    </row>
    <row r="7218">
      <c r="A7218" s="3" t="inlineStr">
        <is>
          <t>Noble Shield (Pty) Ltd ta Go Letting</t>
        </is>
      </c>
      <c r="B7218" s="4" t="n">
        <v>44592</v>
      </c>
      <c r="C7218" s="3" t="inlineStr">
        <is>
          <t>Expenses</t>
        </is>
      </c>
      <c r="D7218" s="3" t="inlineStr">
        <is>
          <t>3050/070</t>
        </is>
      </c>
      <c r="E7218" s="3" t="inlineStr">
        <is>
          <t>Advertising - Facebook</t>
        </is>
      </c>
      <c r="F7218" s="3" t="n">
        <v>0</v>
      </c>
      <c r="G7218" s="3" t="n">
        <v>3317.35</v>
      </c>
    </row>
    <row r="7219">
      <c r="A7219" s="3" t="inlineStr">
        <is>
          <t>Opportunity Global Sales (PTY) LTD</t>
        </is>
      </c>
      <c r="B7219" s="4" t="n">
        <v>44592</v>
      </c>
      <c r="C7219" s="3" t="inlineStr">
        <is>
          <t>Expenses</t>
        </is>
      </c>
      <c r="D7219" s="3" t="inlineStr">
        <is>
          <t>3050/100</t>
        </is>
      </c>
      <c r="E7219" s="3" t="inlineStr">
        <is>
          <t>Advertising - Facebook</t>
        </is>
      </c>
      <c r="F7219" s="3" t="n">
        <v>1703.6</v>
      </c>
      <c r="G7219" s="3" t="n">
        <v>14157.53</v>
      </c>
    </row>
    <row r="7220">
      <c r="A7220" s="3" t="inlineStr">
        <is>
          <t>Opportunity Global Sales (PTY) LTD</t>
        </is>
      </c>
      <c r="B7220" s="4" t="n">
        <v>44592</v>
      </c>
      <c r="C7220" s="3" t="inlineStr">
        <is>
          <t>Expenses</t>
        </is>
      </c>
      <c r="D7220" s="3" t="inlineStr">
        <is>
          <t>3050/140</t>
        </is>
      </c>
      <c r="E7220" s="3" t="inlineStr">
        <is>
          <t>Advertising - Media Agenda</t>
        </is>
      </c>
      <c r="F7220" s="3" t="n">
        <v>0</v>
      </c>
      <c r="G7220" s="3" t="n">
        <v>1142.5</v>
      </c>
    </row>
    <row r="7221">
      <c r="A7221" s="3" t="inlineStr">
        <is>
          <t>Opportunity Global Sales (PTY) LTD</t>
        </is>
      </c>
      <c r="B7221" s="4" t="n">
        <v>44592</v>
      </c>
      <c r="C7221" s="3" t="inlineStr">
        <is>
          <t>Expenses</t>
        </is>
      </c>
      <c r="D7221" s="3" t="inlineStr">
        <is>
          <t>3050/250</t>
        </is>
      </c>
      <c r="E7221" s="3" t="inlineStr">
        <is>
          <t>Advertising - General</t>
        </is>
      </c>
      <c r="F7221" s="3" t="n">
        <v>0</v>
      </c>
      <c r="G7221" s="3" t="n">
        <v>17910.63</v>
      </c>
    </row>
    <row r="7222">
      <c r="A7222" s="3" t="inlineStr">
        <is>
          <t>Opportunity Global Sales (PTY) LTD</t>
        </is>
      </c>
      <c r="B7222" s="4" t="n">
        <v>44592</v>
      </c>
      <c r="C7222" s="3" t="inlineStr">
        <is>
          <t>Expenses</t>
        </is>
      </c>
      <c r="D7222" s="3" t="inlineStr">
        <is>
          <t>3050/300</t>
        </is>
      </c>
      <c r="E7222" s="3" t="inlineStr">
        <is>
          <t>Repairs and Maintenance - Endulini Sales Office</t>
        </is>
      </c>
      <c r="F7222" s="3" t="n">
        <v>160.87</v>
      </c>
      <c r="G7222" s="3" t="n">
        <v>952.05</v>
      </c>
    </row>
    <row r="7223">
      <c r="A7223" s="3" t="inlineStr">
        <is>
          <t>Quinate Consulting (Pty) Ltd</t>
        </is>
      </c>
      <c r="B7223" s="4" t="n">
        <v>44592</v>
      </c>
      <c r="C7223" s="3" t="inlineStr">
        <is>
          <t>Expenses</t>
        </is>
      </c>
      <c r="D7223" s="3" t="inlineStr">
        <is>
          <t>3050/400</t>
        </is>
      </c>
      <c r="E7223" s="3" t="inlineStr">
        <is>
          <t>Advertising - Prop24</t>
        </is>
      </c>
      <c r="F7223" s="3" t="n">
        <v>14814</v>
      </c>
      <c r="G7223" s="3" t="n">
        <v>145719</v>
      </c>
    </row>
    <row r="7224">
      <c r="A7224" s="3" t="inlineStr">
        <is>
          <t>Opportunity Global Sales (PTY) LTD</t>
        </is>
      </c>
      <c r="B7224" s="4" t="n">
        <v>44592</v>
      </c>
      <c r="C7224" s="3" t="inlineStr">
        <is>
          <t>Expenses</t>
        </is>
      </c>
      <c r="D7224" s="3" t="inlineStr">
        <is>
          <t>3050/400</t>
        </is>
      </c>
      <c r="E7224" s="3" t="inlineStr">
        <is>
          <t>Repairs &amp; Maintenance Heron sales office</t>
        </is>
      </c>
      <c r="F7224" s="3" t="n">
        <v>0</v>
      </c>
      <c r="G7224" s="3" t="n">
        <v>1330.45</v>
      </c>
    </row>
    <row r="7225">
      <c r="A7225" s="3" t="inlineStr">
        <is>
          <t>Quinate Consulting (Pty) Ltd</t>
        </is>
      </c>
      <c r="B7225" s="4" t="n">
        <v>44592</v>
      </c>
      <c r="C7225" s="3" t="inlineStr">
        <is>
          <t>Expenses</t>
        </is>
      </c>
      <c r="D7225" s="3" t="inlineStr">
        <is>
          <t>3050/450</t>
        </is>
      </c>
      <c r="E7225" s="3" t="inlineStr">
        <is>
          <t>Advertising - Facebook</t>
        </is>
      </c>
      <c r="F7225" s="3" t="n">
        <v>0</v>
      </c>
      <c r="G7225" s="3" t="n">
        <v>55599.75</v>
      </c>
    </row>
    <row r="7226">
      <c r="A7226" s="3" t="inlineStr">
        <is>
          <t>Quinate Consulting (Pty) Ltd</t>
        </is>
      </c>
      <c r="B7226" s="4" t="n">
        <v>44592</v>
      </c>
      <c r="C7226" s="3" t="inlineStr">
        <is>
          <t>Expenses</t>
        </is>
      </c>
      <c r="D7226" s="3" t="inlineStr">
        <is>
          <t>3050/500</t>
        </is>
      </c>
      <c r="E7226" s="3" t="inlineStr">
        <is>
          <t>Advertising _AND_ Promotions - other South W</t>
        </is>
      </c>
      <c r="F7226" s="3" t="n">
        <v>0</v>
      </c>
      <c r="G7226" s="3" t="n">
        <v>9061.6</v>
      </c>
    </row>
    <row r="7227">
      <c r="A7227" s="3" t="inlineStr">
        <is>
          <t>Quinate Consulting (Pty) Ltd</t>
        </is>
      </c>
      <c r="B7227" s="4" t="n">
        <v>44592</v>
      </c>
      <c r="C7227" s="3" t="inlineStr">
        <is>
          <t>Expenses</t>
        </is>
      </c>
      <c r="D7227" s="3" t="inlineStr">
        <is>
          <t>3050/560</t>
        </is>
      </c>
      <c r="E7227" s="3" t="inlineStr">
        <is>
          <t>Advertising - SwiftShutter</t>
        </is>
      </c>
      <c r="F7227" s="3" t="n">
        <v>0</v>
      </c>
      <c r="G7227" s="3" t="n">
        <v>13184.73</v>
      </c>
    </row>
    <row r="7228">
      <c r="A7228" s="3" t="inlineStr">
        <is>
          <t>Quinate Consulting (Pty) Ltd</t>
        </is>
      </c>
      <c r="B7228" s="4" t="n">
        <v>44592</v>
      </c>
      <c r="C7228" s="3" t="inlineStr">
        <is>
          <t>Expenses</t>
        </is>
      </c>
      <c r="D7228" s="3" t="inlineStr">
        <is>
          <t>3050/600</t>
        </is>
      </c>
      <c r="E7228" s="3" t="inlineStr">
        <is>
          <t>Advertising _AND_ Promotions - Other</t>
        </is>
      </c>
      <c r="F7228" s="3" t="n">
        <v>0</v>
      </c>
      <c r="G7228" s="3" t="n">
        <v>2139.25</v>
      </c>
    </row>
    <row r="7229">
      <c r="A7229" s="3" t="inlineStr">
        <is>
          <t>Quinate Consulting (Pty) Ltd</t>
        </is>
      </c>
      <c r="B7229" s="4" t="n">
        <v>44592</v>
      </c>
      <c r="C7229" s="3" t="inlineStr">
        <is>
          <t>Expenses</t>
        </is>
      </c>
      <c r="D7229" s="3" t="inlineStr">
        <is>
          <t>3050/650</t>
        </is>
      </c>
      <c r="E7229" s="3" t="inlineStr">
        <is>
          <t>Advertising _AND_ Promotions - Google</t>
        </is>
      </c>
      <c r="F7229" s="3" t="n">
        <v>148.22</v>
      </c>
      <c r="G7229" s="3" t="n">
        <v>478.25</v>
      </c>
    </row>
    <row r="7230">
      <c r="A7230" s="3" t="inlineStr">
        <is>
          <t>Opportunity Global Investment (PTY) LTD</t>
        </is>
      </c>
      <c r="B7230" s="4" t="n">
        <v>44592</v>
      </c>
      <c r="C7230" s="3" t="inlineStr">
        <is>
          <t>Expenses</t>
        </is>
      </c>
      <c r="D7230" s="3" t="inlineStr">
        <is>
          <t>3051/000</t>
        </is>
      </c>
      <c r="E7230" s="3" t="inlineStr">
        <is>
          <t>Advertising - Facebook</t>
        </is>
      </c>
      <c r="F7230" s="3" t="n">
        <v>3612.46</v>
      </c>
      <c r="G7230" s="3" t="n">
        <v>106293.53</v>
      </c>
    </row>
    <row r="7231">
      <c r="A7231" s="3" t="inlineStr">
        <is>
          <t>Opportunity Global Investment (PTY) LTD</t>
        </is>
      </c>
      <c r="B7231" s="4" t="n">
        <v>44592</v>
      </c>
      <c r="C7231" s="3" t="inlineStr">
        <is>
          <t>Expenses</t>
        </is>
      </c>
      <c r="D7231" s="3" t="inlineStr">
        <is>
          <t>3053/000</t>
        </is>
      </c>
      <c r="E7231" s="3" t="inlineStr">
        <is>
          <t>Advertising - Google Ads</t>
        </is>
      </c>
      <c r="F7231" s="3" t="n">
        <v>652.52</v>
      </c>
      <c r="G7231" s="3" t="n">
        <v>4593.97</v>
      </c>
    </row>
    <row r="7232">
      <c r="A7232" s="3" t="inlineStr">
        <is>
          <t>Opportunity Global Investment (PTY) LTD</t>
        </is>
      </c>
      <c r="B7232" s="4" t="n">
        <v>44592</v>
      </c>
      <c r="C7232" s="3" t="inlineStr">
        <is>
          <t>Expenses</t>
        </is>
      </c>
      <c r="D7232" s="3" t="inlineStr">
        <is>
          <t>3061/001</t>
        </is>
      </c>
      <c r="E7232" s="3" t="inlineStr">
        <is>
          <t>Admin cost - Payprop</t>
        </is>
      </c>
      <c r="F7232" s="3" t="n">
        <v>0</v>
      </c>
      <c r="G7232" s="3" t="n">
        <v>1565.22</v>
      </c>
    </row>
    <row r="7233">
      <c r="A7233" s="3" t="inlineStr">
        <is>
          <t>Endulini (Pty) Ltd</t>
        </is>
      </c>
      <c r="B7233" s="4" t="n">
        <v>44592</v>
      </c>
      <c r="C7233" s="3" t="inlineStr">
        <is>
          <t>Expenses</t>
        </is>
      </c>
      <c r="D7233" s="3" t="inlineStr">
        <is>
          <t>3200/000</t>
        </is>
      </c>
      <c r="E7233" s="3" t="inlineStr">
        <is>
          <t>Bank Charges</t>
        </is>
      </c>
      <c r="F7233" s="3" t="n">
        <v>360.07</v>
      </c>
      <c r="G7233" s="3" t="n">
        <v>2071.75</v>
      </c>
    </row>
    <row r="7234">
      <c r="A7234" s="3" t="inlineStr">
        <is>
          <t>Noble Shield (Pty) Ltd ta Go Letting</t>
        </is>
      </c>
      <c r="B7234" s="4" t="n">
        <v>44592</v>
      </c>
      <c r="C7234" s="3" t="inlineStr">
        <is>
          <t>Expenses</t>
        </is>
      </c>
      <c r="D7234" s="3" t="inlineStr">
        <is>
          <t>3200/000</t>
        </is>
      </c>
      <c r="E7234" s="3" t="inlineStr">
        <is>
          <t>Bank Charges</t>
        </is>
      </c>
      <c r="F7234" s="3" t="n">
        <v>1098.72</v>
      </c>
      <c r="G7234" s="3" t="n">
        <v>5335.58</v>
      </c>
    </row>
    <row r="7235">
      <c r="A7235" s="3" t="inlineStr">
        <is>
          <t>Opportunity Global Investment (PTY) LTD</t>
        </is>
      </c>
      <c r="B7235" s="4" t="n">
        <v>44592</v>
      </c>
      <c r="C7235" s="3" t="inlineStr">
        <is>
          <t>Expenses</t>
        </is>
      </c>
      <c r="D7235" s="3" t="inlineStr">
        <is>
          <t>3200/000</t>
        </is>
      </c>
      <c r="E7235" s="3" t="inlineStr">
        <is>
          <t>Bank Charges</t>
        </is>
      </c>
      <c r="F7235" s="3" t="n">
        <v>1105.84</v>
      </c>
      <c r="G7235" s="3" t="n">
        <v>8377.200000000001</v>
      </c>
    </row>
    <row r="7236">
      <c r="A7236" s="3" t="inlineStr">
        <is>
          <t>Opportunity Global Sales (PTY) LTD</t>
        </is>
      </c>
      <c r="B7236" s="4" t="n">
        <v>44592</v>
      </c>
      <c r="C7236" s="3" t="inlineStr">
        <is>
          <t>Expenses</t>
        </is>
      </c>
      <c r="D7236" s="3" t="inlineStr">
        <is>
          <t>3200/000</t>
        </is>
      </c>
      <c r="E7236" s="3" t="inlineStr">
        <is>
          <t>Bank Charges</t>
        </is>
      </c>
      <c r="F7236" s="3" t="n">
        <v>708.33</v>
      </c>
      <c r="G7236" s="3" t="n">
        <v>5763.25</v>
      </c>
    </row>
    <row r="7237">
      <c r="A7237" s="3" t="inlineStr">
        <is>
          <t>Opportunity Management Holdings (PTY) LTD</t>
        </is>
      </c>
      <c r="B7237" s="4" t="n">
        <v>44592</v>
      </c>
      <c r="C7237" s="3" t="inlineStr">
        <is>
          <t>Expenses</t>
        </is>
      </c>
      <c r="D7237" s="3" t="inlineStr">
        <is>
          <t>3200/000</t>
        </is>
      </c>
      <c r="E7237" s="3" t="inlineStr">
        <is>
          <t>Bank Charges</t>
        </is>
      </c>
      <c r="F7237" s="3" t="n">
        <v>966.4299999999999</v>
      </c>
      <c r="G7237" s="3" t="n">
        <v>4927.29</v>
      </c>
    </row>
    <row r="7238">
      <c r="A7238" s="3" t="inlineStr">
        <is>
          <t>Quinate Consulting (Pty) Ltd</t>
        </is>
      </c>
      <c r="B7238" s="4" t="n">
        <v>44592</v>
      </c>
      <c r="C7238" s="3" t="inlineStr">
        <is>
          <t>Expenses</t>
        </is>
      </c>
      <c r="D7238" s="3" t="inlineStr">
        <is>
          <t>3200/000</t>
        </is>
      </c>
      <c r="E7238" s="3" t="inlineStr">
        <is>
          <t>Bank Charges</t>
        </is>
      </c>
      <c r="F7238" s="3" t="n">
        <v>834.33</v>
      </c>
      <c r="G7238" s="3" t="n">
        <v>16128.21</v>
      </c>
    </row>
    <row r="7239">
      <c r="A7239" s="3" t="inlineStr">
        <is>
          <t>Trademark Holdings (Pty) Ltd</t>
        </is>
      </c>
      <c r="B7239" s="4" t="n">
        <v>44592</v>
      </c>
      <c r="C7239" s="3" t="inlineStr">
        <is>
          <t>Expenses</t>
        </is>
      </c>
      <c r="D7239" s="3" t="inlineStr">
        <is>
          <t>3200/000</t>
        </is>
      </c>
      <c r="E7239" s="3" t="inlineStr">
        <is>
          <t>Bank Charges</t>
        </is>
      </c>
      <c r="F7239" s="3" t="n">
        <v>598.13</v>
      </c>
      <c r="G7239" s="3" t="n">
        <v>3186.13</v>
      </c>
    </row>
    <row r="7240">
      <c r="A7240" s="3" t="inlineStr">
        <is>
          <t>Quinate Consulting (Pty) Ltd</t>
        </is>
      </c>
      <c r="B7240" s="4" t="n">
        <v>44592</v>
      </c>
      <c r="C7240" s="3" t="inlineStr">
        <is>
          <t>Expenses</t>
        </is>
      </c>
      <c r="D7240" s="3" t="inlineStr">
        <is>
          <t>3220/000</t>
        </is>
      </c>
      <c r="E7240" s="3" t="inlineStr">
        <is>
          <t>Bank Charges - Bond Fees</t>
        </is>
      </c>
      <c r="F7240" s="3" t="n">
        <v>0</v>
      </c>
      <c r="G7240" s="3" t="n">
        <v>7521.21</v>
      </c>
    </row>
    <row r="7241">
      <c r="A7241" s="3" t="inlineStr">
        <is>
          <t>Noble Shield (Pty) Ltd ta Go Letting</t>
        </is>
      </c>
      <c r="B7241" s="4" t="n">
        <v>44592</v>
      </c>
      <c r="C7241" s="3" t="inlineStr">
        <is>
          <t>Expenses</t>
        </is>
      </c>
      <c r="D7241" s="3" t="inlineStr">
        <is>
          <t>3230/000</t>
        </is>
      </c>
      <c r="E7241" s="3" t="inlineStr">
        <is>
          <t>Cell Phone - NM</t>
        </is>
      </c>
      <c r="F7241" s="3" t="n">
        <v>2237.2</v>
      </c>
      <c r="G7241" s="3" t="n">
        <v>11340.37</v>
      </c>
    </row>
    <row r="7242">
      <c r="A7242" s="3" t="inlineStr">
        <is>
          <t>Noble Shield (Pty) Ltd ta Go Letting</t>
        </is>
      </c>
      <c r="B7242" s="4" t="n">
        <v>44592</v>
      </c>
      <c r="C7242" s="3" t="inlineStr">
        <is>
          <t>Expenses</t>
        </is>
      </c>
      <c r="D7242" s="3" t="inlineStr">
        <is>
          <t>3233/000</t>
        </is>
      </c>
      <c r="E7242" s="3" t="inlineStr">
        <is>
          <t>Cell Data - Other</t>
        </is>
      </c>
      <c r="F7242" s="3" t="n">
        <v>199</v>
      </c>
      <c r="G7242" s="3" t="n">
        <v>1194</v>
      </c>
    </row>
    <row r="7243">
      <c r="A7243" s="3" t="inlineStr">
        <is>
          <t>Noble Shield (Pty) Ltd ta Go Letting</t>
        </is>
      </c>
      <c r="B7243" s="4" t="n">
        <v>44592</v>
      </c>
      <c r="C7243" s="3" t="inlineStr">
        <is>
          <t>Expenses</t>
        </is>
      </c>
      <c r="D7243" s="3" t="inlineStr">
        <is>
          <t>3233/100</t>
        </is>
      </c>
      <c r="E7243" s="3" t="inlineStr">
        <is>
          <t>Cell Data - Sales office Wifi</t>
        </is>
      </c>
      <c r="F7243" s="3" t="n">
        <v>369</v>
      </c>
      <c r="G7243" s="3" t="n">
        <v>1575</v>
      </c>
    </row>
    <row r="7244">
      <c r="A7244" s="3" t="inlineStr">
        <is>
          <t>Noble Shield (Pty) Ltd ta Go Letting</t>
        </is>
      </c>
      <c r="B7244" s="4" t="n">
        <v>44592</v>
      </c>
      <c r="C7244" s="3" t="inlineStr">
        <is>
          <t>Expenses</t>
        </is>
      </c>
      <c r="D7244" s="3" t="inlineStr">
        <is>
          <t>3250/000</t>
        </is>
      </c>
      <c r="E7244" s="3" t="inlineStr">
        <is>
          <t>Cleaning</t>
        </is>
      </c>
      <c r="F7244" s="3" t="n">
        <v>0</v>
      </c>
      <c r="G7244" s="3" t="n">
        <v>294.92</v>
      </c>
    </row>
    <row r="7245">
      <c r="A7245" s="3" t="inlineStr">
        <is>
          <t>Opportunity Global Investment (PTY) LTD</t>
        </is>
      </c>
      <c r="B7245" s="4" t="n">
        <v>44592</v>
      </c>
      <c r="C7245" s="3" t="inlineStr">
        <is>
          <t>Expenses</t>
        </is>
      </c>
      <c r="D7245" s="3" t="inlineStr">
        <is>
          <t>3250/000</t>
        </is>
      </c>
      <c r="E7245" s="3" t="inlineStr">
        <is>
          <t>Cleaning</t>
        </is>
      </c>
      <c r="F7245" s="3" t="n">
        <v>2700</v>
      </c>
      <c r="G7245" s="3" t="n">
        <v>29600</v>
      </c>
    </row>
    <row r="7246">
      <c r="A7246" s="3" t="inlineStr">
        <is>
          <t>Quinate Consulting (Pty) Ltd</t>
        </is>
      </c>
      <c r="B7246" s="4" t="n">
        <v>44592</v>
      </c>
      <c r="C7246" s="3" t="inlineStr">
        <is>
          <t>Expenses</t>
        </is>
      </c>
      <c r="D7246" s="3" t="inlineStr">
        <is>
          <t>3250/000</t>
        </is>
      </c>
      <c r="E7246" s="3" t="inlineStr">
        <is>
          <t>Cleaning</t>
        </is>
      </c>
      <c r="F7246" s="3" t="n">
        <v>0</v>
      </c>
      <c r="G7246" s="3" t="n">
        <v>6700.98</v>
      </c>
    </row>
    <row r="7247">
      <c r="A7247" s="3" t="inlineStr">
        <is>
          <t>Trademark Holdings (Pty) Ltd</t>
        </is>
      </c>
      <c r="B7247" s="4" t="n">
        <v>44592</v>
      </c>
      <c r="C7247" s="3" t="inlineStr">
        <is>
          <t>Expenses</t>
        </is>
      </c>
      <c r="D7247" s="3" t="inlineStr">
        <is>
          <t>3250/000</t>
        </is>
      </c>
      <c r="E7247" s="3" t="inlineStr">
        <is>
          <t>Cleaning</t>
        </is>
      </c>
      <c r="F7247" s="3" t="n">
        <v>944</v>
      </c>
      <c r="G7247" s="3" t="n">
        <v>4248</v>
      </c>
    </row>
    <row r="7248">
      <c r="A7248" s="3" t="inlineStr">
        <is>
          <t>Noble Shield (Pty) Ltd ta Go Letting</t>
        </is>
      </c>
      <c r="B7248" s="4" t="n">
        <v>44592</v>
      </c>
      <c r="C7248" s="3" t="inlineStr">
        <is>
          <t>Expenses</t>
        </is>
      </c>
      <c r="D7248" s="3" t="inlineStr">
        <is>
          <t>3300/000</t>
        </is>
      </c>
      <c r="E7248" s="3" t="inlineStr">
        <is>
          <t>Computer Expenses</t>
        </is>
      </c>
      <c r="F7248" s="3" t="n">
        <v>0</v>
      </c>
      <c r="G7248" s="3" t="n">
        <v>3027.5</v>
      </c>
    </row>
    <row r="7249">
      <c r="A7249" s="3" t="inlineStr">
        <is>
          <t>Opportunity Global Sales (PTY) LTD</t>
        </is>
      </c>
      <c r="B7249" s="4" t="n">
        <v>44592</v>
      </c>
      <c r="C7249" s="3" t="inlineStr">
        <is>
          <t>Expenses</t>
        </is>
      </c>
      <c r="D7249" s="3" t="inlineStr">
        <is>
          <t>3300/000</t>
        </is>
      </c>
      <c r="E7249" s="3" t="inlineStr">
        <is>
          <t>Computer Expenses</t>
        </is>
      </c>
      <c r="F7249" s="3" t="n">
        <v>0</v>
      </c>
      <c r="G7249" s="3" t="n">
        <v>757.83</v>
      </c>
    </row>
    <row r="7250">
      <c r="A7250" s="3" t="inlineStr">
        <is>
          <t>Quinate Consulting (Pty) Ltd</t>
        </is>
      </c>
      <c r="B7250" s="4" t="n">
        <v>44592</v>
      </c>
      <c r="C7250" s="3" t="inlineStr">
        <is>
          <t>Expenses</t>
        </is>
      </c>
      <c r="D7250" s="3" t="inlineStr">
        <is>
          <t>3300/000</t>
        </is>
      </c>
      <c r="E7250" s="3" t="inlineStr">
        <is>
          <t>Computer Expenses</t>
        </is>
      </c>
      <c r="F7250" s="3" t="n">
        <v>8074.58</v>
      </c>
      <c r="G7250" s="3" t="n">
        <v>43326.57</v>
      </c>
    </row>
    <row r="7251">
      <c r="A7251" s="3" t="inlineStr">
        <is>
          <t>Trademark Holdings (Pty) Ltd</t>
        </is>
      </c>
      <c r="B7251" s="4" t="n">
        <v>44592</v>
      </c>
      <c r="C7251" s="3" t="inlineStr">
        <is>
          <t>Expenses</t>
        </is>
      </c>
      <c r="D7251" s="3" t="inlineStr">
        <is>
          <t>3300/000</t>
        </is>
      </c>
      <c r="E7251" s="3" t="inlineStr">
        <is>
          <t>Computer Expenses</t>
        </is>
      </c>
      <c r="F7251" s="3" t="n">
        <v>7714.4</v>
      </c>
      <c r="G7251" s="3" t="n">
        <v>7714.4</v>
      </c>
    </row>
    <row r="7252">
      <c r="A7252" s="3" t="inlineStr">
        <is>
          <t>Noble Shield (Pty) Ltd ta Go Letting</t>
        </is>
      </c>
      <c r="B7252" s="4" t="n">
        <v>44592</v>
      </c>
      <c r="C7252" s="3" t="inlineStr">
        <is>
          <t>Expenses</t>
        </is>
      </c>
      <c r="D7252" s="3" t="inlineStr">
        <is>
          <t>3300/120</t>
        </is>
      </c>
      <c r="E7252" s="3" t="inlineStr">
        <is>
          <t>Computer IT - Software Propworx</t>
        </is>
      </c>
      <c r="F7252" s="3" t="n">
        <v>1926.25</v>
      </c>
      <c r="G7252" s="3" t="n">
        <v>7705</v>
      </c>
    </row>
    <row r="7253">
      <c r="A7253" s="3" t="inlineStr">
        <is>
          <t>Trademark Holdings (Pty) Ltd</t>
        </is>
      </c>
      <c r="B7253" s="4" t="n">
        <v>44592</v>
      </c>
      <c r="C7253" s="3" t="inlineStr">
        <is>
          <t>Expenses</t>
        </is>
      </c>
      <c r="D7253" s="3" t="inlineStr">
        <is>
          <t>3300/125</t>
        </is>
      </c>
      <c r="E7253" s="3" t="inlineStr">
        <is>
          <t>Computer IT - CT</t>
        </is>
      </c>
      <c r="F7253" s="3" t="n">
        <v>0</v>
      </c>
      <c r="G7253" s="3" t="n">
        <v>106.38</v>
      </c>
    </row>
    <row r="7254">
      <c r="A7254" s="3" t="inlineStr">
        <is>
          <t>Trademark Holdings (Pty) Ltd</t>
        </is>
      </c>
      <c r="B7254" s="4" t="n">
        <v>44592</v>
      </c>
      <c r="C7254" s="3" t="inlineStr">
        <is>
          <t>Expenses</t>
        </is>
      </c>
      <c r="D7254" s="3" t="inlineStr">
        <is>
          <t>3300/130</t>
        </is>
      </c>
      <c r="E7254" s="3" t="inlineStr">
        <is>
          <t>Computer IT - Internet/Hosting Fees</t>
        </is>
      </c>
      <c r="F7254" s="3" t="n">
        <v>3524.75</v>
      </c>
      <c r="G7254" s="3" t="n">
        <v>18141.25</v>
      </c>
    </row>
    <row r="7255">
      <c r="A7255" s="3" t="inlineStr">
        <is>
          <t>Trademark Holdings (Pty) Ltd</t>
        </is>
      </c>
      <c r="B7255" s="4" t="n">
        <v>44592</v>
      </c>
      <c r="C7255" s="3" t="inlineStr">
        <is>
          <t>Expenses</t>
        </is>
      </c>
      <c r="D7255" s="3" t="inlineStr">
        <is>
          <t>3300/145</t>
        </is>
      </c>
      <c r="E7255" s="3" t="inlineStr">
        <is>
          <t>Computer IT - Cloud Solve</t>
        </is>
      </c>
      <c r="F7255" s="3" t="n">
        <v>3990</v>
      </c>
      <c r="G7255" s="3" t="n">
        <v>18390</v>
      </c>
    </row>
    <row r="7256">
      <c r="A7256" s="3" t="inlineStr">
        <is>
          <t>Noble Shield (Pty) Ltd ta Go Letting</t>
        </is>
      </c>
      <c r="B7256" s="4" t="n">
        <v>44592</v>
      </c>
      <c r="C7256" s="3" t="inlineStr">
        <is>
          <t>Expenses</t>
        </is>
      </c>
      <c r="D7256" s="3" t="inlineStr">
        <is>
          <t>3300/170</t>
        </is>
      </c>
      <c r="E7256" s="3" t="inlineStr">
        <is>
          <t>Computer IT - VDB office Fibre</t>
        </is>
      </c>
      <c r="F7256" s="3" t="n">
        <v>790</v>
      </c>
      <c r="G7256" s="3" t="n">
        <v>4740</v>
      </c>
    </row>
    <row r="7257">
      <c r="A7257" s="3" t="inlineStr">
        <is>
          <t>Opportunity Global Sales (PTY) LTD</t>
        </is>
      </c>
      <c r="B7257" s="4" t="n">
        <v>44592</v>
      </c>
      <c r="C7257" s="3" t="inlineStr">
        <is>
          <t>Expenses</t>
        </is>
      </c>
      <c r="D7257" s="3" t="inlineStr">
        <is>
          <t>3301/000</t>
        </is>
      </c>
      <c r="E7257" s="3" t="inlineStr">
        <is>
          <t>Computer Expense - Xero setup</t>
        </is>
      </c>
      <c r="F7257" s="3" t="n">
        <v>0</v>
      </c>
      <c r="G7257" s="3" t="n">
        <v>3000</v>
      </c>
    </row>
    <row r="7258">
      <c r="A7258" s="3" t="inlineStr">
        <is>
          <t>Noble Shield (Pty) Ltd ta Go Letting</t>
        </is>
      </c>
      <c r="B7258" s="4" t="n">
        <v>44592</v>
      </c>
      <c r="C7258" s="3" t="inlineStr">
        <is>
          <t>Expenses</t>
        </is>
      </c>
      <c r="D7258" s="3" t="inlineStr">
        <is>
          <t>3301/000</t>
        </is>
      </c>
      <c r="E7258" s="3" t="inlineStr">
        <is>
          <t>Computer Expenses - Xero Setup</t>
        </is>
      </c>
      <c r="F7258" s="3" t="n">
        <v>0</v>
      </c>
      <c r="G7258" s="3" t="n">
        <v>3000</v>
      </c>
    </row>
    <row r="7259">
      <c r="A7259" s="3" t="inlineStr">
        <is>
          <t>Trademark Holdings (Pty) Ltd</t>
        </is>
      </c>
      <c r="B7259" s="4" t="n">
        <v>44592</v>
      </c>
      <c r="C7259" s="3" t="inlineStr">
        <is>
          <t>Expenses</t>
        </is>
      </c>
      <c r="D7259" s="3" t="inlineStr">
        <is>
          <t>3301/000</t>
        </is>
      </c>
      <c r="E7259" s="3" t="inlineStr">
        <is>
          <t>Computer Expenses - Xero Setup</t>
        </is>
      </c>
      <c r="F7259" s="3" t="n">
        <v>0</v>
      </c>
      <c r="G7259" s="3" t="n">
        <v>3000</v>
      </c>
    </row>
    <row r="7260">
      <c r="A7260" s="3" t="inlineStr">
        <is>
          <t>Opportunity Global Investment (PTY) LTD</t>
        </is>
      </c>
      <c r="B7260" s="4" t="n">
        <v>44592</v>
      </c>
      <c r="C7260" s="3" t="inlineStr">
        <is>
          <t>Expenses</t>
        </is>
      </c>
      <c r="D7260" s="3" t="inlineStr">
        <is>
          <t>3301/000</t>
        </is>
      </c>
      <c r="E7260" s="3" t="inlineStr">
        <is>
          <t>Computer Expenses - Xero setup</t>
        </is>
      </c>
      <c r="F7260" s="3" t="n">
        <v>0</v>
      </c>
      <c r="G7260" s="3" t="n">
        <v>3000</v>
      </c>
    </row>
    <row r="7261">
      <c r="A7261" s="3" t="inlineStr">
        <is>
          <t>Opportunity Global Investment (PTY) LTD</t>
        </is>
      </c>
      <c r="B7261" s="4" t="n">
        <v>44592</v>
      </c>
      <c r="C7261" s="3" t="inlineStr">
        <is>
          <t>Expenses</t>
        </is>
      </c>
      <c r="D7261" s="3" t="inlineStr">
        <is>
          <t>3310/200</t>
        </is>
      </c>
      <c r="E7261" s="3" t="inlineStr">
        <is>
          <t>Commission Paid - Other</t>
        </is>
      </c>
      <c r="F7261" s="3" t="n">
        <v>0</v>
      </c>
      <c r="G7261" s="3" t="n">
        <v>40988.41</v>
      </c>
    </row>
    <row r="7262">
      <c r="A7262" s="3" t="inlineStr">
        <is>
          <t>Quinate Consulting (Pty) Ltd</t>
        </is>
      </c>
      <c r="B7262" s="4" t="n">
        <v>44592</v>
      </c>
      <c r="C7262" s="3" t="inlineStr">
        <is>
          <t>Expenses</t>
        </is>
      </c>
      <c r="D7262" s="3" t="inlineStr">
        <is>
          <t>3320/000</t>
        </is>
      </c>
      <c r="E7262" s="3" t="inlineStr">
        <is>
          <t>Commission Paid</t>
        </is>
      </c>
      <c r="F7262" s="3" t="n">
        <v>0</v>
      </c>
      <c r="G7262" s="3" t="n">
        <v>3558.8</v>
      </c>
    </row>
    <row r="7263">
      <c r="A7263" s="3" t="inlineStr">
        <is>
          <t>Opportunity Global Investment (PTY) LTD</t>
        </is>
      </c>
      <c r="B7263" s="4" t="n">
        <v>44592</v>
      </c>
      <c r="C7263" s="3" t="inlineStr">
        <is>
          <t>Expenses</t>
        </is>
      </c>
      <c r="D7263" s="3" t="inlineStr">
        <is>
          <t>3350/000</t>
        </is>
      </c>
      <c r="E7263" s="3" t="inlineStr">
        <is>
          <t>Consulting Fees</t>
        </is>
      </c>
      <c r="F7263" s="3" t="n">
        <v>32500</v>
      </c>
      <c r="G7263" s="3" t="n">
        <v>60470</v>
      </c>
    </row>
    <row r="7264">
      <c r="A7264" s="3" t="inlineStr">
        <is>
          <t>Quinate Consulting (Pty) Ltd</t>
        </is>
      </c>
      <c r="B7264" s="4" t="n">
        <v>44592</v>
      </c>
      <c r="C7264" s="3" t="inlineStr">
        <is>
          <t>Expenses</t>
        </is>
      </c>
      <c r="D7264" s="3" t="inlineStr">
        <is>
          <t>3350/100</t>
        </is>
      </c>
      <c r="E7264" s="3" t="inlineStr">
        <is>
          <t>Consulting Fees</t>
        </is>
      </c>
      <c r="F7264" s="3" t="n">
        <v>0</v>
      </c>
      <c r="G7264" s="3" t="n">
        <v>-25750</v>
      </c>
    </row>
    <row r="7265">
      <c r="A7265" s="3" t="inlineStr">
        <is>
          <t>Endulini (Pty) Ltd</t>
        </is>
      </c>
      <c r="B7265" s="4" t="n">
        <v>44592</v>
      </c>
      <c r="C7265" s="3" t="inlineStr">
        <is>
          <t>Expenses</t>
        </is>
      </c>
      <c r="D7265" s="3" t="inlineStr">
        <is>
          <t>3350/100</t>
        </is>
      </c>
      <c r="E7265" s="3" t="inlineStr">
        <is>
          <t>Consulting Fees - Admin and Finance</t>
        </is>
      </c>
      <c r="F7265" s="3" t="n">
        <v>70984.92</v>
      </c>
      <c r="G7265" s="3" t="n">
        <v>361898.75</v>
      </c>
    </row>
    <row r="7266">
      <c r="A7266" s="3" t="inlineStr">
        <is>
          <t>Opportunity Global Investment (PTY) LTD</t>
        </is>
      </c>
      <c r="B7266" s="4" t="n">
        <v>44592</v>
      </c>
      <c r="C7266" s="3" t="inlineStr">
        <is>
          <t>Expenses</t>
        </is>
      </c>
      <c r="D7266" s="3" t="inlineStr">
        <is>
          <t>3350/100</t>
        </is>
      </c>
      <c r="E7266" s="3" t="inlineStr">
        <is>
          <t>Consulting Fees - Admin and Finance</t>
        </is>
      </c>
      <c r="F7266" s="3" t="n">
        <v>4775</v>
      </c>
      <c r="G7266" s="3" t="n">
        <v>20375</v>
      </c>
    </row>
    <row r="7267">
      <c r="A7267" s="3" t="inlineStr">
        <is>
          <t>Opportunity Global Sales (PTY) LTD</t>
        </is>
      </c>
      <c r="B7267" s="4" t="n">
        <v>44592</v>
      </c>
      <c r="C7267" s="3" t="inlineStr">
        <is>
          <t>Expenses</t>
        </is>
      </c>
      <c r="D7267" s="3" t="inlineStr">
        <is>
          <t>3350/100</t>
        </is>
      </c>
      <c r="E7267" s="3" t="inlineStr">
        <is>
          <t>Consulting Fees - Admin and Finance</t>
        </is>
      </c>
      <c r="F7267" s="3" t="n">
        <v>5860</v>
      </c>
      <c r="G7267" s="3" t="n">
        <v>29050</v>
      </c>
    </row>
    <row r="7268">
      <c r="A7268" s="3" t="inlineStr">
        <is>
          <t>Quinate Consulting (Pty) Ltd</t>
        </is>
      </c>
      <c r="B7268" s="4" t="n">
        <v>44592</v>
      </c>
      <c r="C7268" s="3" t="inlineStr">
        <is>
          <t>Expenses</t>
        </is>
      </c>
      <c r="D7268" s="3" t="inlineStr">
        <is>
          <t>3350/300</t>
        </is>
      </c>
      <c r="E7268" s="3" t="inlineStr">
        <is>
          <t>Consulting Fees - Admin and Finance</t>
        </is>
      </c>
      <c r="F7268" s="3" t="n">
        <v>12000</v>
      </c>
      <c r="G7268" s="3" t="n">
        <v>32000</v>
      </c>
    </row>
    <row r="7269">
      <c r="A7269" s="3" t="inlineStr">
        <is>
          <t>Opportunity Global Investment (PTY) LTD</t>
        </is>
      </c>
      <c r="B7269" s="4" t="n">
        <v>44592</v>
      </c>
      <c r="C7269" s="3" t="inlineStr">
        <is>
          <t>Expenses</t>
        </is>
      </c>
      <c r="D7269" s="3" t="inlineStr">
        <is>
          <t>3351/000</t>
        </is>
      </c>
      <c r="E7269" s="3" t="inlineStr">
        <is>
          <t>Consulting Fees - HR Joblaw</t>
        </is>
      </c>
      <c r="F7269" s="3" t="n">
        <v>1350</v>
      </c>
      <c r="G7269" s="3" t="n">
        <v>15442.9</v>
      </c>
    </row>
    <row r="7270">
      <c r="A7270" s="3" t="inlineStr">
        <is>
          <t>Quinate Consulting (Pty) Ltd</t>
        </is>
      </c>
      <c r="B7270" s="4" t="n">
        <v>44592</v>
      </c>
      <c r="C7270" s="3" t="inlineStr">
        <is>
          <t>Expenses</t>
        </is>
      </c>
      <c r="D7270" s="3" t="inlineStr">
        <is>
          <t>3351/000</t>
        </is>
      </c>
      <c r="E7270" s="3" t="inlineStr">
        <is>
          <t>Consulting fees - Trustees</t>
        </is>
      </c>
      <c r="F7270" s="3" t="n">
        <v>4000</v>
      </c>
      <c r="G7270" s="3" t="n">
        <v>78678.48</v>
      </c>
    </row>
    <row r="7271">
      <c r="A7271" s="3" t="inlineStr">
        <is>
          <t>Opportunity Global Investment (PTY) LTD</t>
        </is>
      </c>
      <c r="B7271" s="4" t="n">
        <v>44592</v>
      </c>
      <c r="C7271" s="3" t="inlineStr">
        <is>
          <t>Expenses</t>
        </is>
      </c>
      <c r="D7271" s="3" t="inlineStr">
        <is>
          <t>3352/000</t>
        </is>
      </c>
      <c r="E7271" s="3" t="inlineStr">
        <is>
          <t>Consulting Fees - Kert Scalzini</t>
        </is>
      </c>
      <c r="F7271" s="3" t="n">
        <v>10000</v>
      </c>
      <c r="G7271" s="3" t="n">
        <v>90000</v>
      </c>
    </row>
    <row r="7272">
      <c r="A7272" s="3" t="inlineStr">
        <is>
          <t>Opportunity Global Investment (PTY) LTD</t>
        </is>
      </c>
      <c r="B7272" s="4" t="n">
        <v>44592</v>
      </c>
      <c r="C7272" s="3" t="inlineStr">
        <is>
          <t>Expenses</t>
        </is>
      </c>
      <c r="D7272" s="3" t="inlineStr">
        <is>
          <t>3353/000</t>
        </is>
      </c>
      <c r="E7272" s="3" t="inlineStr">
        <is>
          <t>Consulting Fees - Yolanda Steyn</t>
        </is>
      </c>
      <c r="F7272" s="3" t="n">
        <v>0</v>
      </c>
      <c r="G7272" s="3" t="n">
        <v>9600</v>
      </c>
    </row>
    <row r="7273">
      <c r="A7273" s="3" t="inlineStr">
        <is>
          <t>Quinate Consulting (Pty) Ltd</t>
        </is>
      </c>
      <c r="B7273" s="4" t="n">
        <v>44592</v>
      </c>
      <c r="C7273" s="3" t="inlineStr">
        <is>
          <t>Expenses</t>
        </is>
      </c>
      <c r="D7273" s="3" t="inlineStr">
        <is>
          <t>3450/001</t>
        </is>
      </c>
      <c r="E7273" s="3" t="inlineStr">
        <is>
          <t>Depreciation - Computer Equipment</t>
        </is>
      </c>
      <c r="F7273" s="3" t="n">
        <v>0</v>
      </c>
      <c r="G7273" s="3" t="n">
        <v>22826.49</v>
      </c>
    </row>
    <row r="7274">
      <c r="A7274" s="3" t="inlineStr">
        <is>
          <t>Quinate Consulting (Pty) Ltd</t>
        </is>
      </c>
      <c r="B7274" s="4" t="n">
        <v>44592</v>
      </c>
      <c r="C7274" s="3" t="inlineStr">
        <is>
          <t>Expenses</t>
        </is>
      </c>
      <c r="D7274" s="3" t="inlineStr">
        <is>
          <t>3450/002</t>
        </is>
      </c>
      <c r="E7274" s="3" t="inlineStr">
        <is>
          <t>Depreciation - Site Containers</t>
        </is>
      </c>
      <c r="F7274" s="3" t="n">
        <v>0</v>
      </c>
      <c r="G7274" s="3" t="n">
        <v>2869.56</v>
      </c>
    </row>
    <row r="7275">
      <c r="A7275" s="3" t="inlineStr">
        <is>
          <t>Quinate Consulting (Pty) Ltd</t>
        </is>
      </c>
      <c r="B7275" s="4" t="n">
        <v>44592</v>
      </c>
      <c r="C7275" s="3" t="inlineStr">
        <is>
          <t>Expenses</t>
        </is>
      </c>
      <c r="D7275" s="3" t="inlineStr">
        <is>
          <t>3600/000</t>
        </is>
      </c>
      <c r="E7275" s="3" t="inlineStr">
        <is>
          <t>Donations</t>
        </is>
      </c>
      <c r="F7275" s="3" t="n">
        <v>535</v>
      </c>
      <c r="G7275" s="3" t="n">
        <v>4535</v>
      </c>
    </row>
    <row r="7276">
      <c r="A7276" s="3" t="inlineStr">
        <is>
          <t>Noble Shield (Pty) Ltd ta Go Letting</t>
        </is>
      </c>
      <c r="B7276" s="4" t="n">
        <v>44592</v>
      </c>
      <c r="C7276" s="3" t="inlineStr">
        <is>
          <t>Expenses</t>
        </is>
      </c>
      <c r="D7276" s="3" t="inlineStr">
        <is>
          <t>3650/000</t>
        </is>
      </c>
      <c r="E7276" s="3" t="inlineStr">
        <is>
          <t>Electricity _AND_ Water</t>
        </is>
      </c>
      <c r="F7276" s="3" t="n">
        <v>500</v>
      </c>
      <c r="G7276" s="3" t="n">
        <v>2500</v>
      </c>
    </row>
    <row r="7277">
      <c r="A7277" s="3" t="inlineStr">
        <is>
          <t>Opportunity Global Investment (PTY) LTD</t>
        </is>
      </c>
      <c r="B7277" s="4" t="n">
        <v>44592</v>
      </c>
      <c r="C7277" s="3" t="inlineStr">
        <is>
          <t>Expenses</t>
        </is>
      </c>
      <c r="D7277" s="3" t="inlineStr">
        <is>
          <t>3650/000</t>
        </is>
      </c>
      <c r="E7277" s="3" t="inlineStr">
        <is>
          <t>Electricity _AND_ Water</t>
        </is>
      </c>
      <c r="F7277" s="3" t="n">
        <v>2950</v>
      </c>
      <c r="G7277" s="3" t="n">
        <v>32700</v>
      </c>
    </row>
    <row r="7278">
      <c r="A7278" s="3" t="inlineStr">
        <is>
          <t>Quinate Consulting (Pty) Ltd</t>
        </is>
      </c>
      <c r="B7278" s="4" t="n">
        <v>44592</v>
      </c>
      <c r="C7278" s="3" t="inlineStr">
        <is>
          <t>Expenses</t>
        </is>
      </c>
      <c r="D7278" s="3" t="inlineStr">
        <is>
          <t>3650/000</t>
        </is>
      </c>
      <c r="E7278" s="3" t="inlineStr">
        <is>
          <t>Electricity _AND_ Water - CT Office</t>
        </is>
      </c>
      <c r="F7278" s="3" t="n">
        <v>0</v>
      </c>
      <c r="G7278" s="3" t="n">
        <v>55503.05</v>
      </c>
    </row>
    <row r="7279">
      <c r="A7279" s="3" t="inlineStr">
        <is>
          <t>Endulini (Pty) Ltd</t>
        </is>
      </c>
      <c r="B7279" s="4" t="n">
        <v>44592</v>
      </c>
      <c r="C7279" s="3" t="inlineStr">
        <is>
          <t>Expenses</t>
        </is>
      </c>
      <c r="D7279" s="3" t="inlineStr">
        <is>
          <t>3650/000</t>
        </is>
      </c>
      <c r="E7279" s="3" t="inlineStr">
        <is>
          <t>Water</t>
        </is>
      </c>
      <c r="F7279" s="3" t="n">
        <v>4395.87</v>
      </c>
      <c r="G7279" s="3" t="n">
        <v>45213.44</v>
      </c>
    </row>
    <row r="7280">
      <c r="A7280" s="3" t="inlineStr">
        <is>
          <t>Noble Shield (Pty) Ltd ta Go Letting</t>
        </is>
      </c>
      <c r="B7280" s="4" t="n">
        <v>44592</v>
      </c>
      <c r="C7280" s="3" t="inlineStr">
        <is>
          <t>Expenses</t>
        </is>
      </c>
      <c r="D7280" s="3" t="inlineStr">
        <is>
          <t>3651/000</t>
        </is>
      </c>
      <c r="E7280" s="3" t="inlineStr">
        <is>
          <t>Electricity _AND_ Water - Rentals</t>
        </is>
      </c>
      <c r="F7280" s="3" t="n">
        <v>-1000</v>
      </c>
      <c r="G7280" s="3" t="n">
        <v>0</v>
      </c>
    </row>
    <row r="7281">
      <c r="A7281" s="3" t="inlineStr">
        <is>
          <t>Quinate Consulting (Pty) Ltd</t>
        </is>
      </c>
      <c r="B7281" s="4" t="n">
        <v>44592</v>
      </c>
      <c r="C7281" s="3" t="inlineStr">
        <is>
          <t>Expenses</t>
        </is>
      </c>
      <c r="D7281" s="3" t="inlineStr">
        <is>
          <t>3651/000</t>
        </is>
      </c>
      <c r="E7281" s="3" t="inlineStr">
        <is>
          <t>Electricity _AND_ Water - Southwark</t>
        </is>
      </c>
      <c r="F7281" s="3" t="n">
        <v>20104.04</v>
      </c>
      <c r="G7281" s="3" t="n">
        <v>242305.64</v>
      </c>
    </row>
    <row r="7282">
      <c r="A7282" s="3" t="inlineStr">
        <is>
          <t>Quinate Consulting (Pty) Ltd</t>
        </is>
      </c>
      <c r="B7282" s="4" t="n">
        <v>44592</v>
      </c>
      <c r="C7282" s="3" t="inlineStr">
        <is>
          <t>Expenses</t>
        </is>
      </c>
      <c r="D7282" s="3" t="inlineStr">
        <is>
          <t>3652/000</t>
        </is>
      </c>
      <c r="E7282" s="3" t="inlineStr">
        <is>
          <t>Electricity _AND_ Water - Soho</t>
        </is>
      </c>
      <c r="F7282" s="3" t="n">
        <v>17077.96</v>
      </c>
      <c r="G7282" s="3" t="n">
        <v>222588.58</v>
      </c>
    </row>
    <row r="7283">
      <c r="A7283" s="3" t="inlineStr">
        <is>
          <t>Noble Shield (Pty) Ltd ta Go Letting</t>
        </is>
      </c>
      <c r="B7283" s="4" t="n">
        <v>44592</v>
      </c>
      <c r="C7283" s="3" t="inlineStr">
        <is>
          <t>Expenses</t>
        </is>
      </c>
      <c r="D7283" s="3" t="inlineStr">
        <is>
          <t>3700/000</t>
        </is>
      </c>
      <c r="E7283" s="3" t="inlineStr">
        <is>
          <t>Entertainment Expenses</t>
        </is>
      </c>
      <c r="F7283" s="3" t="n">
        <v>0</v>
      </c>
      <c r="G7283" s="3" t="n">
        <v>1200</v>
      </c>
    </row>
    <row r="7284">
      <c r="A7284" s="3" t="inlineStr">
        <is>
          <t>Opportunity Global Investment (PTY) LTD</t>
        </is>
      </c>
      <c r="B7284" s="4" t="n">
        <v>44592</v>
      </c>
      <c r="C7284" s="3" t="inlineStr">
        <is>
          <t>Expenses</t>
        </is>
      </c>
      <c r="D7284" s="3" t="inlineStr">
        <is>
          <t>3700/000</t>
        </is>
      </c>
      <c r="E7284" s="3" t="inlineStr">
        <is>
          <t>Entertainment Expenses</t>
        </is>
      </c>
      <c r="F7284" s="3" t="n">
        <v>422.5</v>
      </c>
      <c r="G7284" s="3" t="n">
        <v>16566.09</v>
      </c>
    </row>
    <row r="7285">
      <c r="A7285" s="3" t="inlineStr">
        <is>
          <t>Opportunity Global Sales (PTY) LTD</t>
        </is>
      </c>
      <c r="B7285" s="4" t="n">
        <v>44592</v>
      </c>
      <c r="C7285" s="3" t="inlineStr">
        <is>
          <t>Expenses</t>
        </is>
      </c>
      <c r="D7285" s="3" t="inlineStr">
        <is>
          <t>3700/000</t>
        </is>
      </c>
      <c r="E7285" s="3" t="inlineStr">
        <is>
          <t>Entertainment Expenses</t>
        </is>
      </c>
      <c r="F7285" s="3" t="n">
        <v>152</v>
      </c>
      <c r="G7285" s="3" t="n">
        <v>996</v>
      </c>
    </row>
    <row r="7286">
      <c r="A7286" s="3" t="inlineStr">
        <is>
          <t>Quinate Consulting (Pty) Ltd</t>
        </is>
      </c>
      <c r="B7286" s="4" t="n">
        <v>44592</v>
      </c>
      <c r="C7286" s="3" t="inlineStr">
        <is>
          <t>Expenses</t>
        </is>
      </c>
      <c r="D7286" s="3" t="inlineStr">
        <is>
          <t>3700/000</t>
        </is>
      </c>
      <c r="E7286" s="3" t="inlineStr">
        <is>
          <t>Entertainment Expenses</t>
        </is>
      </c>
      <c r="F7286" s="3" t="n">
        <v>236</v>
      </c>
      <c r="G7286" s="3" t="n">
        <v>20228.12</v>
      </c>
    </row>
    <row r="7287">
      <c r="A7287" s="3" t="inlineStr">
        <is>
          <t>Quinate Consulting (Pty) Ltd</t>
        </is>
      </c>
      <c r="B7287" s="4" t="n">
        <v>44592</v>
      </c>
      <c r="C7287" s="3" t="inlineStr">
        <is>
          <t>Expenses</t>
        </is>
      </c>
      <c r="D7287" s="3" t="inlineStr">
        <is>
          <t>3750/000</t>
        </is>
      </c>
      <c r="E7287" s="3" t="inlineStr">
        <is>
          <t>Finance Charges</t>
        </is>
      </c>
      <c r="F7287" s="3" t="n">
        <v>0</v>
      </c>
      <c r="G7287" s="3" t="n">
        <v>149</v>
      </c>
    </row>
    <row r="7288">
      <c r="A7288" s="3" t="inlineStr">
        <is>
          <t>Opportunity Management Holdings (PTY) LTD</t>
        </is>
      </c>
      <c r="B7288" s="4" t="n">
        <v>44592</v>
      </c>
      <c r="C7288" s="3" t="inlineStr">
        <is>
          <t>Expenses</t>
        </is>
      </c>
      <c r="D7288" s="3" t="inlineStr">
        <is>
          <t>3850/000</t>
        </is>
      </c>
      <c r="E7288" s="3" t="inlineStr">
        <is>
          <t>Insurance - Momentum</t>
        </is>
      </c>
      <c r="F7288" s="3" t="n">
        <v>1469.51</v>
      </c>
      <c r="G7288" s="3" t="n">
        <v>1469.51</v>
      </c>
    </row>
    <row r="7289">
      <c r="A7289" s="3" t="inlineStr">
        <is>
          <t>Noble Shield (Pty) Ltd ta Go Letting</t>
        </is>
      </c>
      <c r="B7289" s="4" t="n">
        <v>44592</v>
      </c>
      <c r="C7289" s="3" t="inlineStr">
        <is>
          <t>Expenses</t>
        </is>
      </c>
      <c r="D7289" s="3" t="inlineStr">
        <is>
          <t>3850/100</t>
        </is>
      </c>
      <c r="E7289" s="3" t="inlineStr">
        <is>
          <t>Insurance - Santam</t>
        </is>
      </c>
      <c r="F7289" s="3" t="n">
        <v>2980.2</v>
      </c>
      <c r="G7289" s="3" t="n">
        <v>13496.64</v>
      </c>
    </row>
    <row r="7290">
      <c r="A7290" s="3" t="inlineStr">
        <is>
          <t>Noble Shield (Pty) Ltd ta Go Letting</t>
        </is>
      </c>
      <c r="B7290" s="4" t="n">
        <v>44592</v>
      </c>
      <c r="C7290" s="3" t="inlineStr">
        <is>
          <t>Expenses</t>
        </is>
      </c>
      <c r="D7290" s="3" t="inlineStr">
        <is>
          <t>3850/200</t>
        </is>
      </c>
      <c r="E7290" s="3" t="inlineStr">
        <is>
          <t>Insurance - A_AND_G</t>
        </is>
      </c>
      <c r="F7290" s="3" t="n">
        <v>0</v>
      </c>
      <c r="G7290" s="3" t="n">
        <v>8410.799999999999</v>
      </c>
    </row>
    <row r="7291">
      <c r="A7291" s="3" t="inlineStr">
        <is>
          <t>Quinate Consulting (Pty) Ltd</t>
        </is>
      </c>
      <c r="B7291" s="4" t="n">
        <v>44592</v>
      </c>
      <c r="C7291" s="3" t="inlineStr">
        <is>
          <t>Expenses</t>
        </is>
      </c>
      <c r="D7291" s="3" t="inlineStr">
        <is>
          <t>3851/000</t>
        </is>
      </c>
      <c r="E7291" s="3" t="inlineStr">
        <is>
          <t>Insurance - Momentum</t>
        </is>
      </c>
      <c r="F7291" s="3" t="n">
        <v>6825.93</v>
      </c>
      <c r="G7291" s="3" t="n">
        <v>61413.78</v>
      </c>
    </row>
    <row r="7292">
      <c r="A7292" s="3" t="inlineStr">
        <is>
          <t>Quinate Consulting (Pty) Ltd</t>
        </is>
      </c>
      <c r="B7292" s="4" t="n">
        <v>44592</v>
      </c>
      <c r="C7292" s="3" t="inlineStr">
        <is>
          <t>Expenses</t>
        </is>
      </c>
      <c r="D7292" s="3" t="inlineStr">
        <is>
          <t>3852/000</t>
        </is>
      </c>
      <c r="E7292" s="3" t="inlineStr">
        <is>
          <t>Insurance - Old Mutual</t>
        </is>
      </c>
      <c r="F7292" s="3" t="n">
        <v>0</v>
      </c>
      <c r="G7292" s="3" t="n">
        <v>18269.59</v>
      </c>
    </row>
    <row r="7293">
      <c r="A7293" s="3" t="inlineStr">
        <is>
          <t>Endulini (Pty) Ltd</t>
        </is>
      </c>
      <c r="B7293" s="4" t="n">
        <v>44592</v>
      </c>
      <c r="C7293" s="3" t="inlineStr">
        <is>
          <t>Expenses</t>
        </is>
      </c>
      <c r="D7293" s="3" t="inlineStr">
        <is>
          <t>3900/000</t>
        </is>
      </c>
      <c r="E7293" s="3" t="inlineStr">
        <is>
          <t>Interest Paid</t>
        </is>
      </c>
      <c r="F7293" s="3" t="n">
        <v>0</v>
      </c>
      <c r="G7293" s="3" t="n">
        <v>36.99</v>
      </c>
    </row>
    <row r="7294">
      <c r="A7294" s="3" t="inlineStr">
        <is>
          <t>Quinate Consulting (Pty) Ltd</t>
        </is>
      </c>
      <c r="B7294" s="4" t="n">
        <v>44592</v>
      </c>
      <c r="C7294" s="3" t="inlineStr">
        <is>
          <t>Expenses</t>
        </is>
      </c>
      <c r="D7294" s="3" t="inlineStr">
        <is>
          <t>3900/000</t>
        </is>
      </c>
      <c r="E7294" s="3" t="inlineStr">
        <is>
          <t>Interest Paid</t>
        </is>
      </c>
      <c r="F7294" s="3" t="n">
        <v>738.14</v>
      </c>
      <c r="G7294" s="3" t="n">
        <v>2011.3</v>
      </c>
    </row>
    <row r="7295">
      <c r="A7295" s="3" t="inlineStr">
        <is>
          <t>Quinate Consulting (Pty) Ltd</t>
        </is>
      </c>
      <c r="B7295" s="4" t="n">
        <v>44592</v>
      </c>
      <c r="C7295" s="3" t="inlineStr">
        <is>
          <t>Expenses</t>
        </is>
      </c>
      <c r="D7295" s="3" t="inlineStr">
        <is>
          <t>3900/050</t>
        </is>
      </c>
      <c r="E7295" s="3" t="inlineStr">
        <is>
          <t>Interest Paid - STD Bond Accounts</t>
        </is>
      </c>
      <c r="F7295" s="3" t="n">
        <v>27463.7</v>
      </c>
      <c r="G7295" s="3" t="n">
        <v>408479.31</v>
      </c>
    </row>
    <row r="7296">
      <c r="A7296" s="3" t="inlineStr">
        <is>
          <t>Quinate Consulting (Pty) Ltd</t>
        </is>
      </c>
      <c r="B7296" s="4" t="n">
        <v>44592</v>
      </c>
      <c r="C7296" s="3" t="inlineStr">
        <is>
          <t>Expenses</t>
        </is>
      </c>
      <c r="D7296" s="3" t="inlineStr">
        <is>
          <t>3900/131</t>
        </is>
      </c>
      <c r="E7296" s="3" t="inlineStr">
        <is>
          <t>Interest Paid - Investors @ 9%</t>
        </is>
      </c>
      <c r="F7296" s="3" t="n">
        <v>0</v>
      </c>
      <c r="G7296" s="3" t="n">
        <v>7857.47</v>
      </c>
    </row>
    <row r="7297">
      <c r="A7297" s="3" t="inlineStr">
        <is>
          <t>Quinate Consulting (Pty) Ltd</t>
        </is>
      </c>
      <c r="B7297" s="4" t="n">
        <v>44592</v>
      </c>
      <c r="C7297" s="3" t="inlineStr">
        <is>
          <t>Expenses</t>
        </is>
      </c>
      <c r="D7297" s="3" t="inlineStr">
        <is>
          <t>3900/132</t>
        </is>
      </c>
      <c r="E7297" s="3" t="inlineStr">
        <is>
          <t>Interest Paid - Investors @ 18%</t>
        </is>
      </c>
      <c r="F7297" s="3" t="n">
        <v>0</v>
      </c>
      <c r="G7297" s="3" t="n">
        <v>483020.78</v>
      </c>
    </row>
    <row r="7298">
      <c r="A7298" s="3" t="inlineStr">
        <is>
          <t>Quinate Consulting (Pty) Ltd</t>
        </is>
      </c>
      <c r="B7298" s="4" t="n">
        <v>44592</v>
      </c>
      <c r="C7298" s="3" t="inlineStr">
        <is>
          <t>Expenses</t>
        </is>
      </c>
      <c r="D7298" s="3" t="inlineStr">
        <is>
          <t>3900/150</t>
        </is>
      </c>
      <c r="E7298" s="3" t="inlineStr">
        <is>
          <t>Interest Paid - Suppliers</t>
        </is>
      </c>
      <c r="F7298" s="3" t="n">
        <v>0</v>
      </c>
      <c r="G7298" s="3" t="n">
        <v>5125.08</v>
      </c>
    </row>
    <row r="7299">
      <c r="A7299" s="3" t="inlineStr">
        <is>
          <t>Quinate Consulting (Pty) Ltd</t>
        </is>
      </c>
      <c r="B7299" s="4" t="n">
        <v>44592</v>
      </c>
      <c r="C7299" s="3" t="inlineStr">
        <is>
          <t>Expenses</t>
        </is>
      </c>
      <c r="D7299" s="3" t="inlineStr">
        <is>
          <t>3900/152</t>
        </is>
      </c>
      <c r="E7299" s="3" t="inlineStr">
        <is>
          <t>Interest Paid - Gengis</t>
        </is>
      </c>
      <c r="F7299" s="3" t="n">
        <v>0</v>
      </c>
      <c r="G7299" s="3" t="n">
        <v>30378.08</v>
      </c>
    </row>
    <row r="7300">
      <c r="A7300" s="3" t="inlineStr">
        <is>
          <t>Opportunity Management Holdings (PTY) LTD</t>
        </is>
      </c>
      <c r="B7300" s="4" t="n">
        <v>44592</v>
      </c>
      <c r="C7300" s="3" t="inlineStr">
        <is>
          <t>Expenses</t>
        </is>
      </c>
      <c r="D7300" s="3" t="inlineStr">
        <is>
          <t>3900/300</t>
        </is>
      </c>
      <c r="E7300" s="3" t="inlineStr">
        <is>
          <t>Interest Paid - Other</t>
        </is>
      </c>
      <c r="F7300" s="3" t="n">
        <v>0</v>
      </c>
      <c r="G7300" s="3" t="n">
        <v>1.79</v>
      </c>
    </row>
    <row r="7301">
      <c r="A7301" s="3" t="inlineStr">
        <is>
          <t>Trademark Holdings (Pty) Ltd</t>
        </is>
      </c>
      <c r="B7301" s="4" t="n">
        <v>44592</v>
      </c>
      <c r="C7301" s="3" t="inlineStr">
        <is>
          <t>Expenses</t>
        </is>
      </c>
      <c r="D7301" s="3" t="inlineStr">
        <is>
          <t>3910/000</t>
        </is>
      </c>
      <c r="E7301" s="3" t="inlineStr">
        <is>
          <t>Penalties/Interest - SARS</t>
        </is>
      </c>
      <c r="F7301" s="3" t="n">
        <v>0</v>
      </c>
      <c r="G7301" s="3" t="n">
        <v>57.04</v>
      </c>
    </row>
    <row r="7302">
      <c r="A7302" s="3" t="inlineStr">
        <is>
          <t>Endulini (Pty) Ltd</t>
        </is>
      </c>
      <c r="B7302" s="4" t="n">
        <v>44592</v>
      </c>
      <c r="C7302" s="3" t="inlineStr">
        <is>
          <t>Expenses</t>
        </is>
      </c>
      <c r="D7302" s="3" t="inlineStr">
        <is>
          <t>4000/000</t>
        </is>
      </c>
      <c r="E7302" s="3" t="inlineStr">
        <is>
          <t>Legal Fees</t>
        </is>
      </c>
      <c r="F7302" s="3" t="n">
        <v>0</v>
      </c>
      <c r="G7302" s="3" t="n">
        <v>11.5</v>
      </c>
    </row>
    <row r="7303">
      <c r="A7303" s="3" t="inlineStr">
        <is>
          <t>Quinate Consulting (Pty) Ltd</t>
        </is>
      </c>
      <c r="B7303" s="4" t="n">
        <v>44592</v>
      </c>
      <c r="C7303" s="3" t="inlineStr">
        <is>
          <t>Expenses</t>
        </is>
      </c>
      <c r="D7303" s="3" t="inlineStr">
        <is>
          <t>4000/000</t>
        </is>
      </c>
      <c r="E7303" s="3" t="inlineStr">
        <is>
          <t>Legal Fees</t>
        </is>
      </c>
      <c r="F7303" s="3" t="n">
        <v>473177.2</v>
      </c>
      <c r="G7303" s="3" t="n">
        <v>473924.7</v>
      </c>
    </row>
    <row r="7304">
      <c r="A7304" s="3" t="inlineStr">
        <is>
          <t>Quinate Consulting (Pty) Ltd</t>
        </is>
      </c>
      <c r="B7304" s="4" t="n">
        <v>44592</v>
      </c>
      <c r="C7304" s="3" t="inlineStr">
        <is>
          <t>Expenses</t>
        </is>
      </c>
      <c r="D7304" s="3" t="inlineStr">
        <is>
          <t>4065/000</t>
        </is>
      </c>
      <c r="E7304" s="3" t="inlineStr">
        <is>
          <t>Levies - SoHo</t>
        </is>
      </c>
      <c r="F7304" s="3" t="n">
        <v>5950.83</v>
      </c>
      <c r="G7304" s="3" t="n">
        <v>65521.23</v>
      </c>
    </row>
    <row r="7305">
      <c r="A7305" s="3" t="inlineStr">
        <is>
          <t>Quinate Consulting (Pty) Ltd</t>
        </is>
      </c>
      <c r="B7305" s="4" t="n">
        <v>44592</v>
      </c>
      <c r="C7305" s="3" t="inlineStr">
        <is>
          <t>Expenses</t>
        </is>
      </c>
      <c r="D7305" s="3" t="inlineStr">
        <is>
          <t>4066/000</t>
        </is>
      </c>
      <c r="E7305" s="3" t="inlineStr">
        <is>
          <t>Levies - Southwark</t>
        </is>
      </c>
      <c r="F7305" s="3" t="n">
        <v>3422.18</v>
      </c>
      <c r="G7305" s="3" t="n">
        <v>32732.83</v>
      </c>
    </row>
    <row r="7306">
      <c r="A7306" s="3" t="inlineStr">
        <is>
          <t>Endulini (Pty) Ltd</t>
        </is>
      </c>
      <c r="B7306" s="4" t="n">
        <v>44592</v>
      </c>
      <c r="C7306" s="3" t="inlineStr">
        <is>
          <t>Expenses</t>
        </is>
      </c>
      <c r="D7306" s="3" t="inlineStr">
        <is>
          <t>4100/001</t>
        </is>
      </c>
      <c r="E7306" s="3" t="inlineStr">
        <is>
          <t>Momentum Admin Fee</t>
        </is>
      </c>
      <c r="F7306" s="3" t="n">
        <v>41250</v>
      </c>
      <c r="G7306" s="3" t="n">
        <v>90958.84</v>
      </c>
    </row>
    <row r="7307">
      <c r="A7307" s="3" t="inlineStr">
        <is>
          <t>Opportunity Global Investment (PTY) LTD</t>
        </is>
      </c>
      <c r="B7307" s="4" t="n">
        <v>44592</v>
      </c>
      <c r="C7307" s="3" t="inlineStr">
        <is>
          <t>Expenses</t>
        </is>
      </c>
      <c r="D7307" s="3" t="inlineStr">
        <is>
          <t>4100/100</t>
        </is>
      </c>
      <c r="E7307" s="3" t="inlineStr">
        <is>
          <t>Members Salaries - Nick Morgan</t>
        </is>
      </c>
      <c r="F7307" s="3" t="n">
        <v>36570.1</v>
      </c>
      <c r="G7307" s="3" t="n">
        <v>344066.97</v>
      </c>
    </row>
    <row r="7308">
      <c r="A7308" s="3" t="inlineStr">
        <is>
          <t>Quinate Consulting (Pty) Ltd</t>
        </is>
      </c>
      <c r="B7308" s="4" t="n">
        <v>44592</v>
      </c>
      <c r="C7308" s="3" t="inlineStr">
        <is>
          <t>Expenses</t>
        </is>
      </c>
      <c r="D7308" s="3" t="inlineStr">
        <is>
          <t>4150/010</t>
        </is>
      </c>
      <c r="E7308" s="3" t="inlineStr">
        <is>
          <t>Motor Vehicle - Petrol _AND_ Oil</t>
        </is>
      </c>
      <c r="F7308" s="3" t="n">
        <v>0</v>
      </c>
      <c r="G7308" s="3" t="n">
        <v>1911.05</v>
      </c>
    </row>
    <row r="7309">
      <c r="A7309" s="3" t="inlineStr">
        <is>
          <t>Endulini (Pty) Ltd</t>
        </is>
      </c>
      <c r="B7309" s="4" t="n">
        <v>44592</v>
      </c>
      <c r="C7309" s="3" t="inlineStr">
        <is>
          <t>Expenses</t>
        </is>
      </c>
      <c r="D7309" s="3" t="inlineStr">
        <is>
          <t>4200/000</t>
        </is>
      </c>
      <c r="E7309" s="3" t="inlineStr">
        <is>
          <t>Printing _AND_ Stationery</t>
        </is>
      </c>
      <c r="F7309" s="3" t="n">
        <v>0</v>
      </c>
      <c r="G7309" s="3" t="n">
        <v>127.5</v>
      </c>
    </row>
    <row r="7310">
      <c r="A7310" s="3" t="inlineStr">
        <is>
          <t>Opportunity Global Investment (PTY) LTD</t>
        </is>
      </c>
      <c r="B7310" s="4" t="n">
        <v>44592</v>
      </c>
      <c r="C7310" s="3" t="inlineStr">
        <is>
          <t>Expenses</t>
        </is>
      </c>
      <c r="D7310" s="3" t="inlineStr">
        <is>
          <t>4200/000</t>
        </is>
      </c>
      <c r="E7310" s="3" t="inlineStr">
        <is>
          <t>Printing _AND_ Stationery</t>
        </is>
      </c>
      <c r="F7310" s="3" t="n">
        <v>2367</v>
      </c>
      <c r="G7310" s="3" t="n">
        <v>28962.38</v>
      </c>
    </row>
    <row r="7311">
      <c r="A7311" s="3" t="inlineStr">
        <is>
          <t>Opportunity Global Sales (PTY) LTD</t>
        </is>
      </c>
      <c r="B7311" s="4" t="n">
        <v>44592</v>
      </c>
      <c r="C7311" s="3" t="inlineStr">
        <is>
          <t>Expenses</t>
        </is>
      </c>
      <c r="D7311" s="3" t="inlineStr">
        <is>
          <t>4200/000</t>
        </is>
      </c>
      <c r="E7311" s="3" t="inlineStr">
        <is>
          <t>Printing _AND_ Stationery</t>
        </is>
      </c>
      <c r="F7311" s="3" t="n">
        <v>0</v>
      </c>
      <c r="G7311" s="3" t="n">
        <v>3520.82</v>
      </c>
    </row>
    <row r="7312">
      <c r="A7312" s="3" t="inlineStr">
        <is>
          <t>Quinate Consulting (Pty) Ltd</t>
        </is>
      </c>
      <c r="B7312" s="4" t="n">
        <v>44592</v>
      </c>
      <c r="C7312" s="3" t="inlineStr">
        <is>
          <t>Expenses</t>
        </is>
      </c>
      <c r="D7312" s="3" t="inlineStr">
        <is>
          <t>4200/000</t>
        </is>
      </c>
      <c r="E7312" s="3" t="inlineStr">
        <is>
          <t>Printing _AND_ Stationery</t>
        </is>
      </c>
      <c r="F7312" s="3" t="n">
        <v>0</v>
      </c>
      <c r="G7312" s="3" t="n">
        <v>15758.25</v>
      </c>
    </row>
    <row r="7313">
      <c r="A7313" s="3" t="inlineStr">
        <is>
          <t>Noble Shield (Pty) Ltd ta Go Letting</t>
        </is>
      </c>
      <c r="B7313" s="4" t="n">
        <v>44592</v>
      </c>
      <c r="C7313" s="3" t="inlineStr">
        <is>
          <t>Expenses</t>
        </is>
      </c>
      <c r="D7313" s="3" t="inlineStr">
        <is>
          <t>4200/100</t>
        </is>
      </c>
      <c r="E7313" s="3" t="inlineStr">
        <is>
          <t>Printing - Merchant West- Printer Rental</t>
        </is>
      </c>
      <c r="F7313" s="3" t="n">
        <v>1619.15</v>
      </c>
      <c r="G7313" s="3" t="n">
        <v>8087.23</v>
      </c>
    </row>
    <row r="7314">
      <c r="A7314" s="3" t="inlineStr">
        <is>
          <t>Noble Shield (Pty) Ltd ta Go Letting</t>
        </is>
      </c>
      <c r="B7314" s="4" t="n">
        <v>44592</v>
      </c>
      <c r="C7314" s="3" t="inlineStr">
        <is>
          <t>Expenses</t>
        </is>
      </c>
      <c r="D7314" s="3" t="inlineStr">
        <is>
          <t>4200/120</t>
        </is>
      </c>
      <c r="E7314" s="3" t="inlineStr">
        <is>
          <t>Printing - Ivy Line - Prints</t>
        </is>
      </c>
      <c r="F7314" s="3" t="n">
        <v>569.87</v>
      </c>
      <c r="G7314" s="3" t="n">
        <v>2832.82</v>
      </c>
    </row>
    <row r="7315">
      <c r="A7315" s="3" t="inlineStr">
        <is>
          <t>Noble Shield (Pty) Ltd ta Go Letting</t>
        </is>
      </c>
      <c r="B7315" s="4" t="n">
        <v>44592</v>
      </c>
      <c r="C7315" s="3" t="inlineStr">
        <is>
          <t>Expenses</t>
        </is>
      </c>
      <c r="D7315" s="3" t="inlineStr">
        <is>
          <t>4200/180</t>
        </is>
      </c>
      <c r="E7315" s="3" t="inlineStr">
        <is>
          <t>Printing - Ikon</t>
        </is>
      </c>
      <c r="F7315" s="3" t="n">
        <v>463.98</v>
      </c>
      <c r="G7315" s="3" t="n">
        <v>2824.88</v>
      </c>
    </row>
    <row r="7316">
      <c r="A7316" s="3" t="inlineStr">
        <is>
          <t>Noble Shield (Pty) Ltd ta Go Letting</t>
        </is>
      </c>
      <c r="B7316" s="4" t="n">
        <v>44592</v>
      </c>
      <c r="C7316" s="3" t="inlineStr">
        <is>
          <t>Expenses</t>
        </is>
      </c>
      <c r="D7316" s="3" t="inlineStr">
        <is>
          <t>4200/190</t>
        </is>
      </c>
      <c r="E7316" s="3" t="inlineStr">
        <is>
          <t>Printing - Centrafin printer rental</t>
        </is>
      </c>
      <c r="F7316" s="3" t="n">
        <v>2478.76</v>
      </c>
      <c r="G7316" s="3" t="n">
        <v>11448.76</v>
      </c>
    </row>
    <row r="7317">
      <c r="A7317" s="3" t="inlineStr">
        <is>
          <t>Noble Shield (Pty) Ltd ta Go Letting</t>
        </is>
      </c>
      <c r="B7317" s="4" t="n">
        <v>44592</v>
      </c>
      <c r="C7317" s="3" t="inlineStr">
        <is>
          <t>Expenses</t>
        </is>
      </c>
      <c r="D7317" s="3" t="inlineStr">
        <is>
          <t>4200/200</t>
        </is>
      </c>
      <c r="E7317" s="3" t="inlineStr">
        <is>
          <t>Printing - General Stationery VDB Office</t>
        </is>
      </c>
      <c r="F7317" s="3" t="n">
        <v>488.86</v>
      </c>
      <c r="G7317" s="3" t="n">
        <v>871.45</v>
      </c>
    </row>
    <row r="7318">
      <c r="A7318" s="3" t="inlineStr">
        <is>
          <t>Opportunity Global Investment (PTY) LTD</t>
        </is>
      </c>
      <c r="B7318" s="4" t="n">
        <v>44592</v>
      </c>
      <c r="C7318" s="3" t="inlineStr">
        <is>
          <t>Expenses</t>
        </is>
      </c>
      <c r="D7318" s="3" t="inlineStr">
        <is>
          <t>4220/000</t>
        </is>
      </c>
      <c r="E7318" s="3" t="inlineStr">
        <is>
          <t>Motor Vehicle Expenses - Petrol _AND_ Oil</t>
        </is>
      </c>
      <c r="F7318" s="3" t="n">
        <v>0</v>
      </c>
      <c r="G7318" s="3" t="n">
        <v>6428.95</v>
      </c>
    </row>
    <row r="7319">
      <c r="A7319" s="3" t="inlineStr">
        <is>
          <t>Opportunity Global Sales (PTY) LTD</t>
        </is>
      </c>
      <c r="B7319" s="4" t="n">
        <v>44592</v>
      </c>
      <c r="C7319" s="3" t="inlineStr">
        <is>
          <t>Expenses</t>
        </is>
      </c>
      <c r="D7319" s="3" t="inlineStr">
        <is>
          <t>4220/000</t>
        </is>
      </c>
      <c r="E7319" s="3" t="inlineStr">
        <is>
          <t>Motor Vehicle Expenses - Petrol _AND_ Oil</t>
        </is>
      </c>
      <c r="F7319" s="3" t="n">
        <v>0</v>
      </c>
      <c r="G7319" s="3" t="n">
        <v>2075.96</v>
      </c>
    </row>
    <row r="7320">
      <c r="A7320" s="3" t="inlineStr">
        <is>
          <t>Noble Shield (Pty) Ltd ta Go Letting</t>
        </is>
      </c>
      <c r="B7320" s="4" t="n">
        <v>44592</v>
      </c>
      <c r="C7320" s="3" t="inlineStr">
        <is>
          <t>Expenses</t>
        </is>
      </c>
      <c r="D7320" s="3" t="inlineStr">
        <is>
          <t>4290/000</t>
        </is>
      </c>
      <c r="E7320" s="3" t="inlineStr">
        <is>
          <t>Refreshments - CT Office</t>
        </is>
      </c>
      <c r="F7320" s="3" t="n">
        <v>663.55</v>
      </c>
      <c r="G7320" s="3" t="n">
        <v>3239.55</v>
      </c>
    </row>
    <row r="7321">
      <c r="A7321" s="3" t="inlineStr">
        <is>
          <t>Opportunity Global Investment (PTY) LTD</t>
        </is>
      </c>
      <c r="B7321" s="4" t="n">
        <v>44592</v>
      </c>
      <c r="C7321" s="3" t="inlineStr">
        <is>
          <t>Expenses</t>
        </is>
      </c>
      <c r="D7321" s="3" t="inlineStr">
        <is>
          <t>4290/000</t>
        </is>
      </c>
      <c r="E7321" s="3" t="inlineStr">
        <is>
          <t>Rent</t>
        </is>
      </c>
      <c r="F7321" s="3" t="n">
        <v>8770</v>
      </c>
      <c r="G7321" s="3" t="n">
        <v>96470</v>
      </c>
    </row>
    <row r="7322">
      <c r="A7322" s="3" t="inlineStr">
        <is>
          <t>Noble Shield (Pty) Ltd ta Go Letting</t>
        </is>
      </c>
      <c r="B7322" s="4" t="n">
        <v>44592</v>
      </c>
      <c r="C7322" s="3" t="inlineStr">
        <is>
          <t>Expenses</t>
        </is>
      </c>
      <c r="D7322" s="3" t="inlineStr">
        <is>
          <t>4291/000</t>
        </is>
      </c>
      <c r="E7322" s="3" t="inlineStr">
        <is>
          <t>Refreshments - VDB Office</t>
        </is>
      </c>
      <c r="F7322" s="3" t="n">
        <v>0</v>
      </c>
      <c r="G7322" s="3" t="n">
        <v>761.62</v>
      </c>
    </row>
    <row r="7323">
      <c r="A7323" s="3" t="inlineStr">
        <is>
          <t>Quinate Consulting (Pty) Ltd</t>
        </is>
      </c>
      <c r="B7323" s="4" t="n">
        <v>44592</v>
      </c>
      <c r="C7323" s="3" t="inlineStr">
        <is>
          <t>Expenses</t>
        </is>
      </c>
      <c r="D7323" s="3" t="inlineStr">
        <is>
          <t>4300/000</t>
        </is>
      </c>
      <c r="E7323" s="3" t="inlineStr">
        <is>
          <t>Rent Paid</t>
        </is>
      </c>
      <c r="F7323" s="3" t="n">
        <v>0</v>
      </c>
      <c r="G7323" s="3" t="n">
        <v>159974.04</v>
      </c>
    </row>
    <row r="7324">
      <c r="A7324" s="3" t="inlineStr">
        <is>
          <t>Trademark Holdings (Pty) Ltd</t>
        </is>
      </c>
      <c r="B7324" s="4" t="n">
        <v>44592</v>
      </c>
      <c r="C7324" s="3" t="inlineStr">
        <is>
          <t>Expenses</t>
        </is>
      </c>
      <c r="D7324" s="3" t="inlineStr">
        <is>
          <t>4300/000</t>
        </is>
      </c>
      <c r="E7324" s="3" t="inlineStr">
        <is>
          <t>Rent Paid</t>
        </is>
      </c>
      <c r="F7324" s="3" t="n">
        <v>5985.31</v>
      </c>
      <c r="G7324" s="3" t="n">
        <v>29926.55</v>
      </c>
    </row>
    <row r="7325">
      <c r="A7325" s="3" t="inlineStr">
        <is>
          <t>Endulini (Pty) Ltd</t>
        </is>
      </c>
      <c r="B7325" s="4" t="n">
        <v>44592</v>
      </c>
      <c r="C7325" s="3" t="inlineStr">
        <is>
          <t>Expenses</t>
        </is>
      </c>
      <c r="D7325" s="3" t="inlineStr">
        <is>
          <t>4310/000</t>
        </is>
      </c>
      <c r="E7325" s="3" t="inlineStr">
        <is>
          <t>Rates</t>
        </is>
      </c>
      <c r="F7325" s="3" t="n">
        <v>3526.15</v>
      </c>
      <c r="G7325" s="3" t="n">
        <v>30652.59</v>
      </c>
    </row>
    <row r="7326">
      <c r="A7326" s="3" t="inlineStr">
        <is>
          <t>Opportunity Global Investment (PTY) LTD</t>
        </is>
      </c>
      <c r="B7326" s="4" t="n">
        <v>44592</v>
      </c>
      <c r="C7326" s="3" t="inlineStr">
        <is>
          <t>Expenses</t>
        </is>
      </c>
      <c r="D7326" s="3" t="inlineStr">
        <is>
          <t>4310/000</t>
        </is>
      </c>
      <c r="E7326" s="3" t="inlineStr">
        <is>
          <t>Refreshments</t>
        </is>
      </c>
      <c r="F7326" s="3" t="n">
        <v>2521</v>
      </c>
      <c r="G7326" s="3" t="n">
        <v>28329.43</v>
      </c>
    </row>
    <row r="7327">
      <c r="A7327" s="3" t="inlineStr">
        <is>
          <t>Quinate Consulting (Pty) Ltd</t>
        </is>
      </c>
      <c r="B7327" s="4" t="n">
        <v>44592</v>
      </c>
      <c r="C7327" s="3" t="inlineStr">
        <is>
          <t>Expenses</t>
        </is>
      </c>
      <c r="D7327" s="3" t="inlineStr">
        <is>
          <t>4312/000</t>
        </is>
      </c>
      <c r="E7327" s="3" t="inlineStr">
        <is>
          <t>Rates - SoHo Units</t>
        </is>
      </c>
      <c r="F7327" s="3" t="n">
        <v>2547.96</v>
      </c>
      <c r="G7327" s="3" t="n">
        <v>25976.01</v>
      </c>
    </row>
    <row r="7328">
      <c r="A7328" s="3" t="inlineStr">
        <is>
          <t>Quinate Consulting (Pty) Ltd</t>
        </is>
      </c>
      <c r="B7328" s="4" t="n">
        <v>44592</v>
      </c>
      <c r="C7328" s="3" t="inlineStr">
        <is>
          <t>Expenses</t>
        </is>
      </c>
      <c r="D7328" s="3" t="inlineStr">
        <is>
          <t>4314/000</t>
        </is>
      </c>
      <c r="E7328" s="3" t="inlineStr">
        <is>
          <t>Rates - CT Office</t>
        </is>
      </c>
      <c r="F7328" s="3" t="n">
        <v>0</v>
      </c>
      <c r="G7328" s="3" t="n">
        <v>4596.96</v>
      </c>
    </row>
    <row r="7329">
      <c r="A7329" s="3" t="inlineStr">
        <is>
          <t>Quinate Consulting (Pty) Ltd</t>
        </is>
      </c>
      <c r="B7329" s="4" t="n">
        <v>44592</v>
      </c>
      <c r="C7329" s="3" t="inlineStr">
        <is>
          <t>Expenses</t>
        </is>
      </c>
      <c r="D7329" s="3" t="inlineStr">
        <is>
          <t>4320/000</t>
        </is>
      </c>
      <c r="E7329" s="3" t="inlineStr">
        <is>
          <t>Refreshments</t>
        </is>
      </c>
      <c r="F7329" s="3" t="n">
        <v>0</v>
      </c>
      <c r="G7329" s="3" t="n">
        <v>159</v>
      </c>
    </row>
    <row r="7330">
      <c r="A7330" s="3" t="inlineStr">
        <is>
          <t>Noble Shield (Pty) Ltd ta Go Letting</t>
        </is>
      </c>
      <c r="B7330" s="4" t="n">
        <v>44592</v>
      </c>
      <c r="C7330" s="3" t="inlineStr">
        <is>
          <t>Expenses</t>
        </is>
      </c>
      <c r="D7330" s="3" t="inlineStr">
        <is>
          <t>4350/000</t>
        </is>
      </c>
      <c r="E7330" s="3" t="inlineStr">
        <is>
          <t>Repairs _AND_ Maintenance</t>
        </is>
      </c>
      <c r="F7330" s="3" t="n">
        <v>1930</v>
      </c>
      <c r="G7330" s="3" t="n">
        <v>2649</v>
      </c>
    </row>
    <row r="7331">
      <c r="A7331" s="3" t="inlineStr">
        <is>
          <t>Quinate Consulting (Pty) Ltd</t>
        </is>
      </c>
      <c r="B7331" s="4" t="n">
        <v>44592</v>
      </c>
      <c r="C7331" s="3" t="inlineStr">
        <is>
          <t>Expenses</t>
        </is>
      </c>
      <c r="D7331" s="3" t="inlineStr">
        <is>
          <t>4350/000</t>
        </is>
      </c>
      <c r="E7331" s="3" t="inlineStr">
        <is>
          <t>Repairs and Maintenance - Southwark Units</t>
        </is>
      </c>
      <c r="F7331" s="3" t="n">
        <v>0</v>
      </c>
      <c r="G7331" s="3" t="n">
        <v>5984.63</v>
      </c>
    </row>
    <row r="7332">
      <c r="A7332" s="3" t="inlineStr">
        <is>
          <t>Opportunity Global Investment (PTY) LTD</t>
        </is>
      </c>
      <c r="B7332" s="4" t="n">
        <v>44592</v>
      </c>
      <c r="C7332" s="3" t="inlineStr">
        <is>
          <t>Expenses</t>
        </is>
      </c>
      <c r="D7332" s="3" t="inlineStr">
        <is>
          <t>4360/000</t>
        </is>
      </c>
      <c r="E7332" s="3" t="inlineStr">
        <is>
          <t>Secretarial - CIPC</t>
        </is>
      </c>
      <c r="F7332" s="3" t="n">
        <v>0</v>
      </c>
      <c r="G7332" s="3" t="n">
        <v>450</v>
      </c>
    </row>
    <row r="7333">
      <c r="A7333" s="3" t="inlineStr">
        <is>
          <t>Opportunity Global Sales (PTY) LTD</t>
        </is>
      </c>
      <c r="B7333" s="4" t="n">
        <v>44592</v>
      </c>
      <c r="C7333" s="3" t="inlineStr">
        <is>
          <t>Expenses</t>
        </is>
      </c>
      <c r="D7333" s="3" t="inlineStr">
        <is>
          <t>4390/000</t>
        </is>
      </c>
      <c r="E7333" s="3" t="inlineStr">
        <is>
          <t>Small Assets</t>
        </is>
      </c>
      <c r="F7333" s="3" t="n">
        <v>0</v>
      </c>
      <c r="G7333" s="3" t="n">
        <v>826.0700000000001</v>
      </c>
    </row>
    <row r="7334">
      <c r="A7334" s="3" t="inlineStr">
        <is>
          <t>Noble Shield (Pty) Ltd ta Go Letting</t>
        </is>
      </c>
      <c r="B7334" s="4" t="n">
        <v>44592</v>
      </c>
      <c r="C7334" s="3" t="inlineStr">
        <is>
          <t>Expenses</t>
        </is>
      </c>
      <c r="D7334" s="3" t="inlineStr">
        <is>
          <t>4400/000</t>
        </is>
      </c>
      <c r="E7334" s="3" t="inlineStr">
        <is>
          <t>Salaries _AND_ Wages</t>
        </is>
      </c>
      <c r="F7334" s="3" t="n">
        <v>21331.08</v>
      </c>
      <c r="G7334" s="3" t="n">
        <v>109436.87</v>
      </c>
    </row>
    <row r="7335">
      <c r="A7335" s="3" t="inlineStr">
        <is>
          <t>Opportunity Global Investment (PTY) LTD</t>
        </is>
      </c>
      <c r="B7335" s="4" t="n">
        <v>44592</v>
      </c>
      <c r="C7335" s="3" t="inlineStr">
        <is>
          <t>Expenses</t>
        </is>
      </c>
      <c r="D7335" s="3" t="inlineStr">
        <is>
          <t>4400/000</t>
        </is>
      </c>
      <c r="E7335" s="3" t="inlineStr">
        <is>
          <t>Salaries _AND_ Wages</t>
        </is>
      </c>
      <c r="F7335" s="3" t="n">
        <v>0</v>
      </c>
      <c r="G7335" s="3" t="n">
        <v>38417.99</v>
      </c>
    </row>
    <row r="7336">
      <c r="A7336" s="3" t="inlineStr">
        <is>
          <t>Opportunity Global Sales (PTY) LTD</t>
        </is>
      </c>
      <c r="B7336" s="4" t="n">
        <v>44592</v>
      </c>
      <c r="C7336" s="3" t="inlineStr">
        <is>
          <t>Expenses</t>
        </is>
      </c>
      <c r="D7336" s="3" t="inlineStr">
        <is>
          <t>4400/000</t>
        </is>
      </c>
      <c r="E7336" s="3" t="inlineStr">
        <is>
          <t>Salaries _AND_ Wages</t>
        </is>
      </c>
      <c r="F7336" s="3" t="n">
        <v>34379.7</v>
      </c>
      <c r="G7336" s="3" t="n">
        <v>408635.9</v>
      </c>
    </row>
    <row r="7337">
      <c r="A7337" s="3" t="inlineStr">
        <is>
          <t>Opportunity Management Holdings (PTY) LTD</t>
        </is>
      </c>
      <c r="B7337" s="4" t="n">
        <v>44592</v>
      </c>
      <c r="C7337" s="3" t="inlineStr">
        <is>
          <t>Expenses</t>
        </is>
      </c>
      <c r="D7337" s="3" t="inlineStr">
        <is>
          <t>4400/000</t>
        </is>
      </c>
      <c r="E7337" s="3" t="inlineStr">
        <is>
          <t>Salaries _AND_ Wages</t>
        </is>
      </c>
      <c r="F7337" s="3" t="n">
        <v>152572.96</v>
      </c>
      <c r="G7337" s="3" t="n">
        <v>661282.79</v>
      </c>
    </row>
    <row r="7338">
      <c r="A7338" s="3" t="inlineStr">
        <is>
          <t>Trademark Holdings (Pty) Ltd</t>
        </is>
      </c>
      <c r="B7338" s="4" t="n">
        <v>44592</v>
      </c>
      <c r="C7338" s="3" t="inlineStr">
        <is>
          <t>Expenses</t>
        </is>
      </c>
      <c r="D7338" s="3" t="inlineStr">
        <is>
          <t>4400/000</t>
        </is>
      </c>
      <c r="E7338" s="3" t="inlineStr">
        <is>
          <t>Salaries _AND_ Wages</t>
        </is>
      </c>
      <c r="F7338" s="3" t="n">
        <v>37874.45</v>
      </c>
      <c r="G7338" s="3" t="n">
        <v>184696.96</v>
      </c>
    </row>
    <row r="7339">
      <c r="A7339" s="3" t="inlineStr">
        <is>
          <t>Opportunity Global Investment (PTY) LTD</t>
        </is>
      </c>
      <c r="B7339" s="4" t="n">
        <v>44592</v>
      </c>
      <c r="C7339" s="3" t="inlineStr">
        <is>
          <t>Expenses</t>
        </is>
      </c>
      <c r="D7339" s="3" t="inlineStr">
        <is>
          <t>4403/000</t>
        </is>
      </c>
      <c r="E7339" s="3" t="inlineStr">
        <is>
          <t>Study fees - Nick</t>
        </is>
      </c>
      <c r="F7339" s="3" t="n">
        <v>154575</v>
      </c>
      <c r="G7339" s="3" t="n">
        <v>154575</v>
      </c>
    </row>
    <row r="7340">
      <c r="A7340" s="3" t="inlineStr">
        <is>
          <t>Opportunity Global Investment (PTY) LTD</t>
        </is>
      </c>
      <c r="B7340" s="4" t="n">
        <v>44592</v>
      </c>
      <c r="C7340" s="3" t="inlineStr">
        <is>
          <t>Expenses</t>
        </is>
      </c>
      <c r="D7340" s="3" t="inlineStr">
        <is>
          <t>4410/000</t>
        </is>
      </c>
      <c r="E7340" s="3" t="inlineStr">
        <is>
          <t>Salaries _AND_ Wages - WCA</t>
        </is>
      </c>
      <c r="F7340" s="3" t="n">
        <v>0</v>
      </c>
      <c r="G7340" s="3" t="n">
        <v>13109.81</v>
      </c>
    </row>
    <row r="7341">
      <c r="A7341" s="3" t="inlineStr">
        <is>
          <t>Quinate Consulting (Pty) Ltd</t>
        </is>
      </c>
      <c r="B7341" s="4" t="n">
        <v>44592</v>
      </c>
      <c r="C7341" s="3" t="inlineStr">
        <is>
          <t>Expenses</t>
        </is>
      </c>
      <c r="D7341" s="3" t="inlineStr">
        <is>
          <t>4430/000</t>
        </is>
      </c>
      <c r="E7341" s="3" t="inlineStr">
        <is>
          <t>Small Assets</t>
        </is>
      </c>
      <c r="F7341" s="3" t="n">
        <v>0</v>
      </c>
      <c r="G7341" s="3" t="n">
        <v>16261.78</v>
      </c>
    </row>
    <row r="7342">
      <c r="A7342" s="3" t="inlineStr">
        <is>
          <t>Opportunity Global Investment (PTY) LTD</t>
        </is>
      </c>
      <c r="B7342" s="4" t="n">
        <v>44592</v>
      </c>
      <c r="C7342" s="3" t="inlineStr">
        <is>
          <t>Expenses</t>
        </is>
      </c>
      <c r="D7342" s="3" t="inlineStr">
        <is>
          <t>4450/000</t>
        </is>
      </c>
      <c r="E7342" s="3" t="inlineStr">
        <is>
          <t>Staff Training</t>
        </is>
      </c>
      <c r="F7342" s="3" t="n">
        <v>0</v>
      </c>
      <c r="G7342" s="3" t="n">
        <v>1913.04</v>
      </c>
    </row>
    <row r="7343">
      <c r="A7343" s="3" t="inlineStr">
        <is>
          <t>Noble Shield (Pty) Ltd ta Go Letting</t>
        </is>
      </c>
      <c r="B7343" s="4" t="n">
        <v>44592</v>
      </c>
      <c r="C7343" s="3" t="inlineStr">
        <is>
          <t>Expenses</t>
        </is>
      </c>
      <c r="D7343" s="3" t="inlineStr">
        <is>
          <t>4500/000</t>
        </is>
      </c>
      <c r="E7343" s="3" t="inlineStr">
        <is>
          <t>Staff Welfare</t>
        </is>
      </c>
      <c r="F7343" s="3" t="n">
        <v>0</v>
      </c>
      <c r="G7343" s="3" t="n">
        <v>1900.95</v>
      </c>
    </row>
    <row r="7344">
      <c r="A7344" s="3" t="inlineStr">
        <is>
          <t>Opportunity Global Investment (PTY) LTD</t>
        </is>
      </c>
      <c r="B7344" s="4" t="n">
        <v>44592</v>
      </c>
      <c r="C7344" s="3" t="inlineStr">
        <is>
          <t>Expenses</t>
        </is>
      </c>
      <c r="D7344" s="3" t="inlineStr">
        <is>
          <t>4500/000</t>
        </is>
      </c>
      <c r="E7344" s="3" t="inlineStr">
        <is>
          <t>Staff Welfare</t>
        </is>
      </c>
      <c r="F7344" s="3" t="n">
        <v>0</v>
      </c>
      <c r="G7344" s="3" t="n">
        <v>3260</v>
      </c>
    </row>
    <row r="7345">
      <c r="A7345" s="3" t="inlineStr">
        <is>
          <t>Quinate Consulting (Pty) Ltd</t>
        </is>
      </c>
      <c r="B7345" s="4" t="n">
        <v>44592</v>
      </c>
      <c r="C7345" s="3" t="inlineStr">
        <is>
          <t>Expenses</t>
        </is>
      </c>
      <c r="D7345" s="3" t="inlineStr">
        <is>
          <t>4500/000</t>
        </is>
      </c>
      <c r="E7345" s="3" t="inlineStr">
        <is>
          <t>Staff Welfare</t>
        </is>
      </c>
      <c r="F7345" s="3" t="n">
        <v>0</v>
      </c>
      <c r="G7345" s="3" t="n">
        <v>13287.03</v>
      </c>
    </row>
    <row r="7346">
      <c r="A7346" s="3" t="inlineStr">
        <is>
          <t>Noble Shield (Pty) Ltd ta Go Letting</t>
        </is>
      </c>
      <c r="B7346" s="4" t="n">
        <v>44592</v>
      </c>
      <c r="C7346" s="3" t="inlineStr">
        <is>
          <t>Expenses</t>
        </is>
      </c>
      <c r="D7346" s="3" t="inlineStr">
        <is>
          <t>4520/000</t>
        </is>
      </c>
      <c r="E7346" s="3" t="inlineStr">
        <is>
          <t>Security</t>
        </is>
      </c>
      <c r="F7346" s="3" t="n">
        <v>731.25</v>
      </c>
      <c r="G7346" s="3" t="n">
        <v>3831.03</v>
      </c>
    </row>
    <row r="7347">
      <c r="A7347" s="3" t="inlineStr">
        <is>
          <t>Opportunity Global Investment (PTY) LTD</t>
        </is>
      </c>
      <c r="B7347" s="4" t="n">
        <v>44592</v>
      </c>
      <c r="C7347" s="3" t="inlineStr">
        <is>
          <t>Expenses</t>
        </is>
      </c>
      <c r="D7347" s="3" t="inlineStr">
        <is>
          <t>4550/000</t>
        </is>
      </c>
      <c r="E7347" s="3" t="inlineStr">
        <is>
          <t>Subscriptions</t>
        </is>
      </c>
      <c r="F7347" s="3" t="n">
        <v>0</v>
      </c>
      <c r="G7347" s="3" t="n">
        <v>539.12</v>
      </c>
    </row>
    <row r="7348">
      <c r="A7348" s="3" t="inlineStr">
        <is>
          <t>Opportunity Global Sales (PTY) LTD</t>
        </is>
      </c>
      <c r="B7348" s="4" t="n">
        <v>44592</v>
      </c>
      <c r="C7348" s="3" t="inlineStr">
        <is>
          <t>Expenses</t>
        </is>
      </c>
      <c r="D7348" s="3" t="inlineStr">
        <is>
          <t>4550/000</t>
        </is>
      </c>
      <c r="E7348" s="3" t="inlineStr">
        <is>
          <t>Subscriptions - General</t>
        </is>
      </c>
      <c r="F7348" s="3" t="n">
        <v>0</v>
      </c>
      <c r="G7348" s="3" t="n">
        <v>2152.5</v>
      </c>
    </row>
    <row r="7349">
      <c r="A7349" s="3" t="inlineStr">
        <is>
          <t>Quinate Consulting (Pty) Ltd</t>
        </is>
      </c>
      <c r="B7349" s="4" t="n">
        <v>44592</v>
      </c>
      <c r="C7349" s="3" t="inlineStr">
        <is>
          <t>Expenses</t>
        </is>
      </c>
      <c r="D7349" s="3" t="inlineStr">
        <is>
          <t>4550/000</t>
        </is>
      </c>
      <c r="E7349" s="3" t="inlineStr">
        <is>
          <t>Subscriptions / Licenses</t>
        </is>
      </c>
      <c r="F7349" s="3" t="n">
        <v>0</v>
      </c>
      <c r="G7349" s="3" t="n">
        <v>53421.02</v>
      </c>
    </row>
    <row r="7350">
      <c r="A7350" s="3" t="inlineStr">
        <is>
          <t>Noble Shield (Pty) Ltd ta Go Letting</t>
        </is>
      </c>
      <c r="B7350" s="4" t="n">
        <v>44592</v>
      </c>
      <c r="C7350" s="3" t="inlineStr">
        <is>
          <t>Expenses</t>
        </is>
      </c>
      <c r="D7350" s="3" t="inlineStr">
        <is>
          <t>4550/100</t>
        </is>
      </c>
      <c r="E7350" s="3" t="inlineStr">
        <is>
          <t>Subscriptions - EAAB</t>
        </is>
      </c>
      <c r="F7350" s="3" t="n">
        <v>0</v>
      </c>
      <c r="G7350" s="3" t="n">
        <v>3010</v>
      </c>
    </row>
    <row r="7351">
      <c r="A7351" s="3" t="inlineStr">
        <is>
          <t>Trademark Holdings (Pty) Ltd</t>
        </is>
      </c>
      <c r="B7351" s="4" t="n">
        <v>44592</v>
      </c>
      <c r="C7351" s="3" t="inlineStr">
        <is>
          <t>Expenses</t>
        </is>
      </c>
      <c r="D7351" s="3" t="inlineStr">
        <is>
          <t>4550/100</t>
        </is>
      </c>
      <c r="E7351" s="3" t="inlineStr">
        <is>
          <t>Subscriptions - EAAB</t>
        </is>
      </c>
      <c r="F7351" s="3" t="n">
        <v>0</v>
      </c>
      <c r="G7351" s="3" t="n">
        <v>1710</v>
      </c>
    </row>
    <row r="7352">
      <c r="A7352" s="3" t="inlineStr">
        <is>
          <t>Opportunity Global Investment (PTY) LTD</t>
        </is>
      </c>
      <c r="B7352" s="4" t="n">
        <v>44592</v>
      </c>
      <c r="C7352" s="3" t="inlineStr">
        <is>
          <t>Expenses</t>
        </is>
      </c>
      <c r="D7352" s="3" t="inlineStr">
        <is>
          <t>4550/100</t>
        </is>
      </c>
      <c r="E7352" s="3" t="inlineStr">
        <is>
          <t>Subscriptions - Zoho</t>
        </is>
      </c>
      <c r="F7352" s="3" t="n">
        <v>-600</v>
      </c>
      <c r="G7352" s="3" t="n">
        <v>0</v>
      </c>
    </row>
    <row r="7353">
      <c r="A7353" s="3" t="inlineStr">
        <is>
          <t>Opportunity Global Investment (PTY) LTD</t>
        </is>
      </c>
      <c r="B7353" s="4" t="n">
        <v>44592</v>
      </c>
      <c r="C7353" s="3" t="inlineStr">
        <is>
          <t>Expenses</t>
        </is>
      </c>
      <c r="D7353" s="3" t="inlineStr">
        <is>
          <t>4550/150</t>
        </is>
      </c>
      <c r="E7353" s="3" t="inlineStr">
        <is>
          <t>Subscriptions - Webbox</t>
        </is>
      </c>
      <c r="F7353" s="3" t="n">
        <v>1165</v>
      </c>
      <c r="G7353" s="3" t="n">
        <v>17569</v>
      </c>
    </row>
    <row r="7354">
      <c r="A7354" s="3" t="inlineStr">
        <is>
          <t>Opportunity Global Investment (PTY) LTD</t>
        </is>
      </c>
      <c r="B7354" s="4" t="n">
        <v>44592</v>
      </c>
      <c r="C7354" s="3" t="inlineStr">
        <is>
          <t>Expenses</t>
        </is>
      </c>
      <c r="D7354" s="3" t="inlineStr">
        <is>
          <t>4550/200</t>
        </is>
      </c>
      <c r="E7354" s="3" t="inlineStr">
        <is>
          <t>Subscriptions - Zoom</t>
        </is>
      </c>
      <c r="F7354" s="3" t="n">
        <v>235.56</v>
      </c>
      <c r="G7354" s="3" t="n">
        <v>1871.51</v>
      </c>
    </row>
    <row r="7355">
      <c r="A7355" s="3" t="inlineStr">
        <is>
          <t>Opportunity Global Investment (PTY) LTD</t>
        </is>
      </c>
      <c r="B7355" s="4" t="n">
        <v>44592</v>
      </c>
      <c r="C7355" s="3" t="inlineStr">
        <is>
          <t>Expenses</t>
        </is>
      </c>
      <c r="D7355" s="3" t="inlineStr">
        <is>
          <t>4550/250</t>
        </is>
      </c>
      <c r="E7355" s="3" t="inlineStr">
        <is>
          <t>Subscriptions - LinkedIn</t>
        </is>
      </c>
      <c r="F7355" s="3" t="n">
        <v>1000.49</v>
      </c>
      <c r="G7355" s="3" t="n">
        <v>8003.92</v>
      </c>
    </row>
    <row r="7356">
      <c r="A7356" s="3" t="inlineStr">
        <is>
          <t>Noble Shield (Pty) Ltd ta Go Letting</t>
        </is>
      </c>
      <c r="B7356" s="4" t="n">
        <v>44592</v>
      </c>
      <c r="C7356" s="3" t="inlineStr">
        <is>
          <t>Expenses</t>
        </is>
      </c>
      <c r="D7356" s="3" t="inlineStr">
        <is>
          <t>4550/250</t>
        </is>
      </c>
      <c r="E7356" s="3" t="inlineStr">
        <is>
          <t>Subscriptions - Windeed reports</t>
        </is>
      </c>
      <c r="F7356" s="3" t="n">
        <v>0</v>
      </c>
      <c r="G7356" s="3" t="n">
        <v>63.2</v>
      </c>
    </row>
    <row r="7357">
      <c r="A7357" s="3" t="inlineStr">
        <is>
          <t>Opportunity Global Investment (PTY) LTD</t>
        </is>
      </c>
      <c r="B7357" s="4" t="n">
        <v>44592</v>
      </c>
      <c r="C7357" s="3" t="inlineStr">
        <is>
          <t>Expenses</t>
        </is>
      </c>
      <c r="D7357" s="3" t="inlineStr">
        <is>
          <t>4550/350</t>
        </is>
      </c>
      <c r="E7357" s="3" t="inlineStr">
        <is>
          <t>Subscriptions - Xero</t>
        </is>
      </c>
      <c r="F7357" s="3" t="n">
        <v>600</v>
      </c>
      <c r="G7357" s="3" t="n">
        <v>4550</v>
      </c>
    </row>
    <row r="7358">
      <c r="A7358" s="3" t="inlineStr">
        <is>
          <t>Opportunity Global Investment (PTY) LTD</t>
        </is>
      </c>
      <c r="B7358" s="4" t="n">
        <v>44592</v>
      </c>
      <c r="C7358" s="3" t="inlineStr">
        <is>
          <t>Expenses</t>
        </is>
      </c>
      <c r="D7358" s="3" t="inlineStr">
        <is>
          <t>4550/400</t>
        </is>
      </c>
      <c r="E7358" s="3" t="inlineStr">
        <is>
          <t>Subscriptions - Moneyweb</t>
        </is>
      </c>
      <c r="F7358" s="3" t="n">
        <v>54.78</v>
      </c>
      <c r="G7358" s="3" t="n">
        <v>368.38</v>
      </c>
    </row>
    <row r="7359">
      <c r="A7359" s="3" t="inlineStr">
        <is>
          <t>Trademark Holdings (Pty) Ltd</t>
        </is>
      </c>
      <c r="B7359" s="4" t="n">
        <v>44592</v>
      </c>
      <c r="C7359" s="3" t="inlineStr">
        <is>
          <t>Expenses</t>
        </is>
      </c>
      <c r="D7359" s="3" t="inlineStr">
        <is>
          <t>4550/400</t>
        </is>
      </c>
      <c r="E7359" s="3" t="inlineStr">
        <is>
          <t>Subscriptions - Xero</t>
        </is>
      </c>
      <c r="F7359" s="3" t="n">
        <v>600</v>
      </c>
      <c r="G7359" s="3" t="n">
        <v>3450</v>
      </c>
    </row>
    <row r="7360">
      <c r="A7360" s="3" t="inlineStr">
        <is>
          <t>Opportunity Global Investment (PTY) LTD</t>
        </is>
      </c>
      <c r="B7360" s="4" t="n">
        <v>44592</v>
      </c>
      <c r="C7360" s="3" t="inlineStr">
        <is>
          <t>Expenses</t>
        </is>
      </c>
      <c r="D7360" s="3" t="inlineStr">
        <is>
          <t>4550/450</t>
        </is>
      </c>
      <c r="E7360" s="3" t="inlineStr">
        <is>
          <t>Subscriptions - Adobe</t>
        </is>
      </c>
      <c r="F7360" s="3" t="n">
        <v>500.14</v>
      </c>
      <c r="G7360" s="3" t="n">
        <v>2465.1</v>
      </c>
    </row>
    <row r="7361">
      <c r="A7361" s="3" t="inlineStr">
        <is>
          <t>Noble Shield (Pty) Ltd ta Go Letting</t>
        </is>
      </c>
      <c r="B7361" s="4" t="n">
        <v>44592</v>
      </c>
      <c r="C7361" s="3" t="inlineStr">
        <is>
          <t>Expenses</t>
        </is>
      </c>
      <c r="D7361" s="3" t="inlineStr">
        <is>
          <t>4550/600</t>
        </is>
      </c>
      <c r="E7361" s="3" t="inlineStr">
        <is>
          <t>Subscriptions - Webbox</t>
        </is>
      </c>
      <c r="F7361" s="3" t="n">
        <v>1183.35</v>
      </c>
      <c r="G7361" s="3" t="n">
        <v>5038.91</v>
      </c>
    </row>
    <row r="7362">
      <c r="A7362" s="3" t="inlineStr">
        <is>
          <t>Noble Shield (Pty) Ltd ta Go Letting</t>
        </is>
      </c>
      <c r="B7362" s="4" t="n">
        <v>44592</v>
      </c>
      <c r="C7362" s="3" t="inlineStr">
        <is>
          <t>Expenses</t>
        </is>
      </c>
      <c r="D7362" s="3" t="inlineStr">
        <is>
          <t>4550/650</t>
        </is>
      </c>
      <c r="E7362" s="3" t="inlineStr">
        <is>
          <t>Subscriptions - Xero</t>
        </is>
      </c>
      <c r="F7362" s="3" t="n">
        <v>600</v>
      </c>
      <c r="G7362" s="3" t="n">
        <v>3450</v>
      </c>
    </row>
    <row r="7363">
      <c r="A7363" s="3" t="inlineStr">
        <is>
          <t>Noble Shield (Pty) Ltd ta Go Letting</t>
        </is>
      </c>
      <c r="B7363" s="4" t="n">
        <v>44592</v>
      </c>
      <c r="C7363" s="3" t="inlineStr">
        <is>
          <t>Expenses</t>
        </is>
      </c>
      <c r="D7363" s="3" t="inlineStr">
        <is>
          <t>4550/700</t>
        </is>
      </c>
      <c r="E7363" s="3" t="inlineStr">
        <is>
          <t>Subscriptions - Domain renewals</t>
        </is>
      </c>
      <c r="F7363" s="3" t="n">
        <v>0</v>
      </c>
      <c r="G7363" s="3" t="n">
        <v>1726.15</v>
      </c>
    </row>
    <row r="7364">
      <c r="A7364" s="3" t="inlineStr">
        <is>
          <t>Opportunity Global Sales (PTY) LTD</t>
        </is>
      </c>
      <c r="B7364" s="4" t="n">
        <v>44592</v>
      </c>
      <c r="C7364" s="3" t="inlineStr">
        <is>
          <t>Expenses</t>
        </is>
      </c>
      <c r="D7364" s="3" t="inlineStr">
        <is>
          <t>4551/000</t>
        </is>
      </c>
      <c r="E7364" s="3" t="inlineStr">
        <is>
          <t>Subscriptions - Payprop</t>
        </is>
      </c>
      <c r="F7364" s="3" t="n">
        <v>1827.7</v>
      </c>
      <c r="G7364" s="3" t="n">
        <v>8831.6</v>
      </c>
    </row>
    <row r="7365">
      <c r="A7365" s="3" t="inlineStr">
        <is>
          <t>Opportunity Management Holdings (PTY) LTD</t>
        </is>
      </c>
      <c r="B7365" s="4" t="n">
        <v>44592</v>
      </c>
      <c r="C7365" s="3" t="inlineStr">
        <is>
          <t>Expenses</t>
        </is>
      </c>
      <c r="D7365" s="3" t="inlineStr">
        <is>
          <t>4551/000</t>
        </is>
      </c>
      <c r="E7365" s="3" t="inlineStr">
        <is>
          <t>Subscriptions - Xero - Setup</t>
        </is>
      </c>
      <c r="F7365" s="3" t="n">
        <v>3000</v>
      </c>
      <c r="G7365" s="3" t="n">
        <v>3000</v>
      </c>
    </row>
    <row r="7366">
      <c r="A7366" s="3" t="inlineStr">
        <is>
          <t>Endulini (Pty) Ltd</t>
        </is>
      </c>
      <c r="B7366" s="4" t="n">
        <v>44592</v>
      </c>
      <c r="C7366" s="3" t="inlineStr">
        <is>
          <t>Expenses</t>
        </is>
      </c>
      <c r="D7366" s="3" t="inlineStr">
        <is>
          <t>4551/000</t>
        </is>
      </c>
      <c r="E7366" s="3" t="inlineStr">
        <is>
          <t>Subscriptions - Xero setup</t>
        </is>
      </c>
      <c r="F7366" s="3" t="n">
        <v>3000</v>
      </c>
      <c r="G7366" s="3" t="n">
        <v>3000</v>
      </c>
    </row>
    <row r="7367">
      <c r="A7367" s="3" t="inlineStr">
        <is>
          <t>Quinate Consulting (Pty) Ltd</t>
        </is>
      </c>
      <c r="B7367" s="4" t="n">
        <v>44592</v>
      </c>
      <c r="C7367" s="3" t="inlineStr">
        <is>
          <t>Expenses</t>
        </is>
      </c>
      <c r="D7367" s="3" t="inlineStr">
        <is>
          <t>4551/000</t>
        </is>
      </c>
      <c r="E7367" s="3" t="inlineStr">
        <is>
          <t>Subscriptions - Zoho</t>
        </is>
      </c>
      <c r="F7367" s="3" t="n">
        <v>1125</v>
      </c>
      <c r="G7367" s="3" t="n">
        <v>10125</v>
      </c>
    </row>
    <row r="7368">
      <c r="A7368" s="3" t="inlineStr">
        <is>
          <t>Quinate Consulting (Pty) Ltd</t>
        </is>
      </c>
      <c r="B7368" s="4" t="n">
        <v>44592</v>
      </c>
      <c r="C7368" s="3" t="inlineStr">
        <is>
          <t>Expenses</t>
        </is>
      </c>
      <c r="D7368" s="3" t="inlineStr">
        <is>
          <t>4552/000</t>
        </is>
      </c>
      <c r="E7368" s="3" t="inlineStr">
        <is>
          <t>Subscriptions - CIPC</t>
        </is>
      </c>
      <c r="F7368" s="3" t="n">
        <v>0</v>
      </c>
      <c r="G7368" s="3" t="n">
        <v>2000</v>
      </c>
    </row>
    <row r="7369">
      <c r="A7369" s="3" t="inlineStr">
        <is>
          <t>Endulini (Pty) Ltd</t>
        </is>
      </c>
      <c r="B7369" s="4" t="n">
        <v>44592</v>
      </c>
      <c r="C7369" s="3" t="inlineStr">
        <is>
          <t>Expenses</t>
        </is>
      </c>
      <c r="D7369" s="3" t="inlineStr">
        <is>
          <t>4552/000</t>
        </is>
      </c>
      <c r="E7369" s="3" t="inlineStr">
        <is>
          <t>Subscriptions - Xero</t>
        </is>
      </c>
      <c r="F7369" s="3" t="n">
        <v>600</v>
      </c>
      <c r="G7369" s="3" t="n">
        <v>600</v>
      </c>
    </row>
    <row r="7370">
      <c r="A7370" s="3" t="inlineStr">
        <is>
          <t>Opportunity Global Sales (PTY) LTD</t>
        </is>
      </c>
      <c r="B7370" s="4" t="n">
        <v>44592</v>
      </c>
      <c r="C7370" s="3" t="inlineStr">
        <is>
          <t>Expenses</t>
        </is>
      </c>
      <c r="D7370" s="3" t="inlineStr">
        <is>
          <t>4552/000</t>
        </is>
      </c>
      <c r="E7370" s="3" t="inlineStr">
        <is>
          <t>Subscriptions - Xero</t>
        </is>
      </c>
      <c r="F7370" s="3" t="n">
        <v>600</v>
      </c>
      <c r="G7370" s="3" t="n">
        <v>4550</v>
      </c>
    </row>
    <row r="7371">
      <c r="A7371" s="3" t="inlineStr">
        <is>
          <t>Opportunity Management Holdings (PTY) LTD</t>
        </is>
      </c>
      <c r="B7371" s="4" t="n">
        <v>44592</v>
      </c>
      <c r="C7371" s="3" t="inlineStr">
        <is>
          <t>Expenses</t>
        </is>
      </c>
      <c r="D7371" s="3" t="inlineStr">
        <is>
          <t>4552/000</t>
        </is>
      </c>
      <c r="E7371" s="3" t="inlineStr">
        <is>
          <t>Subscriptions - Xero</t>
        </is>
      </c>
      <c r="F7371" s="3" t="n">
        <v>825</v>
      </c>
      <c r="G7371" s="3" t="n">
        <v>825</v>
      </c>
    </row>
    <row r="7372">
      <c r="A7372" s="3" t="inlineStr">
        <is>
          <t>Opportunity Global Sales (PTY) LTD</t>
        </is>
      </c>
      <c r="B7372" s="4" t="n">
        <v>44592</v>
      </c>
      <c r="C7372" s="3" t="inlineStr">
        <is>
          <t>Expenses</t>
        </is>
      </c>
      <c r="D7372" s="3" t="inlineStr">
        <is>
          <t>4553/000</t>
        </is>
      </c>
      <c r="E7372" s="3" t="inlineStr">
        <is>
          <t>Subscriptions - CMA</t>
        </is>
      </c>
      <c r="F7372" s="3" t="n">
        <v>680</v>
      </c>
      <c r="G7372" s="3" t="n">
        <v>5526.4</v>
      </c>
    </row>
    <row r="7373">
      <c r="A7373" s="3" t="inlineStr">
        <is>
          <t>Quinate Consulting (Pty) Ltd</t>
        </is>
      </c>
      <c r="B7373" s="4" t="n">
        <v>44592</v>
      </c>
      <c r="C7373" s="3" t="inlineStr">
        <is>
          <t>Expenses</t>
        </is>
      </c>
      <c r="D7373" s="3" t="inlineStr">
        <is>
          <t>4553/000</t>
        </is>
      </c>
      <c r="E7373" s="3" t="inlineStr">
        <is>
          <t>Subscriptions - Xero setup</t>
        </is>
      </c>
      <c r="F7373" s="3" t="n">
        <v>3000</v>
      </c>
      <c r="G7373" s="3" t="n">
        <v>3000</v>
      </c>
    </row>
    <row r="7374">
      <c r="A7374" s="3" t="inlineStr">
        <is>
          <t>Quinate Consulting (Pty) Ltd</t>
        </is>
      </c>
      <c r="B7374" s="4" t="n">
        <v>44592</v>
      </c>
      <c r="C7374" s="3" t="inlineStr">
        <is>
          <t>Expenses</t>
        </is>
      </c>
      <c r="D7374" s="3" t="inlineStr">
        <is>
          <t>4554/000</t>
        </is>
      </c>
      <c r="E7374" s="3" t="inlineStr">
        <is>
          <t>Subscriptions - Xero</t>
        </is>
      </c>
      <c r="F7374" s="3" t="n">
        <v>600</v>
      </c>
      <c r="G7374" s="3" t="n">
        <v>600</v>
      </c>
    </row>
    <row r="7375">
      <c r="A7375" s="3" t="inlineStr">
        <is>
          <t>Opportunity Global Sales (PTY) LTD</t>
        </is>
      </c>
      <c r="B7375" s="4" t="n">
        <v>44592</v>
      </c>
      <c r="C7375" s="3" t="inlineStr">
        <is>
          <t>Expenses</t>
        </is>
      </c>
      <c r="D7375" s="3" t="inlineStr">
        <is>
          <t>4554/000</t>
        </is>
      </c>
      <c r="E7375" s="3" t="inlineStr">
        <is>
          <t>Subscriptions - Zoho</t>
        </is>
      </c>
      <c r="F7375" s="3" t="n">
        <v>600</v>
      </c>
      <c r="G7375" s="3" t="n">
        <v>4200</v>
      </c>
    </row>
    <row r="7376">
      <c r="A7376" s="3" t="inlineStr">
        <is>
          <t>Opportunity Global Investment (PTY) LTD</t>
        </is>
      </c>
      <c r="B7376" s="4" t="n">
        <v>44592</v>
      </c>
      <c r="C7376" s="3" t="inlineStr">
        <is>
          <t>Expenses</t>
        </is>
      </c>
      <c r="D7376" s="3" t="inlineStr">
        <is>
          <t>4600/000</t>
        </is>
      </c>
      <c r="E7376" s="3" t="inlineStr">
        <is>
          <t>Telephone _AND_ Fax</t>
        </is>
      </c>
      <c r="F7376" s="3" t="n">
        <v>3355</v>
      </c>
      <c r="G7376" s="3" t="n">
        <v>36905</v>
      </c>
    </row>
    <row r="7377">
      <c r="A7377" s="3" t="inlineStr">
        <is>
          <t>Opportunity Global Sales (PTY) LTD</t>
        </is>
      </c>
      <c r="B7377" s="4" t="n">
        <v>44592</v>
      </c>
      <c r="C7377" s="3" t="inlineStr">
        <is>
          <t>Expenses</t>
        </is>
      </c>
      <c r="D7377" s="3" t="inlineStr">
        <is>
          <t>4600/000</t>
        </is>
      </c>
      <c r="E7377" s="3" t="inlineStr">
        <is>
          <t>Telephone _AND_ Fax</t>
        </is>
      </c>
      <c r="F7377" s="3" t="n">
        <v>156.52</v>
      </c>
      <c r="G7377" s="3" t="n">
        <v>2676.52</v>
      </c>
    </row>
    <row r="7378">
      <c r="A7378" s="3" t="inlineStr">
        <is>
          <t>Trademark Holdings (Pty) Ltd</t>
        </is>
      </c>
      <c r="B7378" s="4" t="n">
        <v>44592</v>
      </c>
      <c r="C7378" s="3" t="inlineStr">
        <is>
          <t>Expenses</t>
        </is>
      </c>
      <c r="D7378" s="3" t="inlineStr">
        <is>
          <t>4600/000</t>
        </is>
      </c>
      <c r="E7378" s="3" t="inlineStr">
        <is>
          <t>Telephone _AND_ Fax</t>
        </is>
      </c>
      <c r="F7378" s="3" t="n">
        <v>848</v>
      </c>
      <c r="G7378" s="3" t="n">
        <v>6089.38</v>
      </c>
    </row>
    <row r="7379">
      <c r="A7379" s="3" t="inlineStr">
        <is>
          <t>Noble Shield (Pty) Ltd ta Go Letting</t>
        </is>
      </c>
      <c r="B7379" s="4" t="n">
        <v>44592</v>
      </c>
      <c r="C7379" s="3" t="inlineStr">
        <is>
          <t>Expenses</t>
        </is>
      </c>
      <c r="D7379" s="3" t="inlineStr">
        <is>
          <t>4600/000</t>
        </is>
      </c>
      <c r="E7379" s="3" t="inlineStr">
        <is>
          <t>Telephone _AND_ Fax - VDB Office</t>
        </is>
      </c>
      <c r="F7379" s="3" t="n">
        <v>0</v>
      </c>
      <c r="G7379" s="3" t="n">
        <v>1926.25</v>
      </c>
    </row>
    <row r="7380">
      <c r="A7380" s="3" t="inlineStr">
        <is>
          <t>Noble Shield (Pty) Ltd ta Go Letting</t>
        </is>
      </c>
      <c r="B7380" s="4" t="n">
        <v>44592</v>
      </c>
      <c r="C7380" s="3" t="inlineStr">
        <is>
          <t>Expenses</t>
        </is>
      </c>
      <c r="D7380" s="3" t="inlineStr">
        <is>
          <t>4610/000</t>
        </is>
      </c>
      <c r="E7380" s="3" t="inlineStr">
        <is>
          <t>Telephone - CT Office</t>
        </is>
      </c>
      <c r="F7380" s="3" t="n">
        <v>724.23</v>
      </c>
      <c r="G7380" s="3" t="n">
        <v>4329.58</v>
      </c>
    </row>
    <row r="7381">
      <c r="A7381" s="3" t="inlineStr">
        <is>
          <t>Opportunity Global Investment (PTY) LTD</t>
        </is>
      </c>
      <c r="B7381" s="4" t="n">
        <v>44592</v>
      </c>
      <c r="C7381" s="3" t="inlineStr">
        <is>
          <t>Expenses</t>
        </is>
      </c>
      <c r="D7381" s="3" t="inlineStr">
        <is>
          <t>4650/000</t>
        </is>
      </c>
      <c r="E7381" s="3" t="inlineStr">
        <is>
          <t>Travel _AND_ Accommodation</t>
        </is>
      </c>
      <c r="F7381" s="3" t="n">
        <v>0</v>
      </c>
      <c r="G7381" s="3" t="n">
        <v>355</v>
      </c>
    </row>
    <row r="7382">
      <c r="A7382" s="3" t="inlineStr">
        <is>
          <t>Opportunity Global Investment (PTY) LTD</t>
        </is>
      </c>
      <c r="B7382" s="4" t="n">
        <v>44592</v>
      </c>
      <c r="C7382" s="3" t="inlineStr">
        <is>
          <t>Expenses</t>
        </is>
      </c>
      <c r="D7382" s="3" t="inlineStr">
        <is>
          <t>4650/010</t>
        </is>
      </c>
      <c r="E7382" s="3" t="inlineStr">
        <is>
          <t>Travel Accomodation - Flights - Local</t>
        </is>
      </c>
      <c r="F7382" s="3" t="n">
        <v>0</v>
      </c>
      <c r="G7382" s="3" t="n">
        <v>4362</v>
      </c>
    </row>
    <row r="7383">
      <c r="A7383" s="3" t="inlineStr">
        <is>
          <t>Opportunity Global Investment (PTY) LTD</t>
        </is>
      </c>
      <c r="B7383" s="4" t="n">
        <v>44592</v>
      </c>
      <c r="C7383" s="3" t="inlineStr">
        <is>
          <t>Expenses</t>
        </is>
      </c>
      <c r="D7383" s="3" t="inlineStr">
        <is>
          <t>4650/020</t>
        </is>
      </c>
      <c r="E7383" s="3" t="inlineStr">
        <is>
          <t>Travel Accomodation - Car Hire</t>
        </is>
      </c>
      <c r="F7383" s="3" t="n">
        <v>0</v>
      </c>
      <c r="G7383" s="3" t="n">
        <v>1013.91</v>
      </c>
    </row>
    <row r="7384">
      <c r="A7384" s="3" t="inlineStr">
        <is>
          <t>Quinate Consulting (Pty) Ltd</t>
        </is>
      </c>
      <c r="B7384" s="4" t="n">
        <v>44592</v>
      </c>
      <c r="C7384" s="3" t="inlineStr">
        <is>
          <t>Expenses</t>
        </is>
      </c>
      <c r="D7384" s="3" t="inlineStr">
        <is>
          <t>4650/030</t>
        </is>
      </c>
      <c r="E7384" s="3" t="inlineStr">
        <is>
          <t>Travel - Parking</t>
        </is>
      </c>
      <c r="F7384" s="3" t="n">
        <v>0</v>
      </c>
      <c r="G7384" s="3" t="n">
        <v>653.91</v>
      </c>
    </row>
    <row r="7385">
      <c r="A7385" s="3" t="inlineStr">
        <is>
          <t>Quinate Consulting (Pty) Ltd</t>
        </is>
      </c>
      <c r="B7385" s="4" t="n">
        <v>44592</v>
      </c>
      <c r="C7385" s="3" t="inlineStr">
        <is>
          <t>Expenses</t>
        </is>
      </c>
      <c r="D7385" s="3" t="inlineStr">
        <is>
          <t>4650/040</t>
        </is>
      </c>
      <c r="E7385" s="3" t="inlineStr">
        <is>
          <t>Travel - Local Car Hire</t>
        </is>
      </c>
      <c r="F7385" s="3" t="n">
        <v>0</v>
      </c>
      <c r="G7385" s="3" t="n">
        <v>817</v>
      </c>
    </row>
    <row r="7386">
      <c r="A7386" s="3" t="inlineStr">
        <is>
          <t>Opportunity Global Investment (PTY) LTD</t>
        </is>
      </c>
      <c r="B7386" s="4" t="n">
        <v>44592</v>
      </c>
      <c r="C7386" s="3" t="inlineStr">
        <is>
          <t>Expenses</t>
        </is>
      </c>
      <c r="D7386" s="3" t="inlineStr">
        <is>
          <t>4650/060</t>
        </is>
      </c>
      <c r="E7386" s="3" t="inlineStr">
        <is>
          <t>Travel _AND_ Accomodation - Parking_AND_Toll fee</t>
        </is>
      </c>
      <c r="F7386" s="3" t="n">
        <v>17.39</v>
      </c>
      <c r="G7386" s="3" t="n">
        <v>866.0700000000001</v>
      </c>
    </row>
    <row r="7387">
      <c r="A7387" s="3" t="inlineStr">
        <is>
          <t>Opportunity Global Sales (PTY) LTD</t>
        </is>
      </c>
      <c r="B7387" s="4" t="n">
        <v>44592</v>
      </c>
      <c r="C7387" s="3" t="inlineStr">
        <is>
          <t>Expenses</t>
        </is>
      </c>
      <c r="D7387" s="3" t="inlineStr">
        <is>
          <t>4650/070</t>
        </is>
      </c>
      <c r="E7387" s="3" t="inlineStr">
        <is>
          <t>Travel &amp; Accommodation - Petrol</t>
        </is>
      </c>
      <c r="F7387" s="3" t="n">
        <v>0</v>
      </c>
      <c r="G7387" s="3" t="n">
        <v>180.2</v>
      </c>
    </row>
    <row r="7388">
      <c r="A7388" s="3" t="inlineStr">
        <is>
          <t>Opportunity Global Investment (PTY) LTD</t>
        </is>
      </c>
      <c r="B7388" s="4" t="n">
        <v>44592</v>
      </c>
      <c r="C7388" s="3" t="inlineStr">
        <is>
          <t>Expenses</t>
        </is>
      </c>
      <c r="D7388" s="3" t="inlineStr">
        <is>
          <t>4650/080</t>
        </is>
      </c>
      <c r="E7388" s="3" t="inlineStr">
        <is>
          <t>Travel &amp; Accommodation - Staff Reimbursements</t>
        </is>
      </c>
      <c r="F7388" s="3" t="n">
        <v>0</v>
      </c>
      <c r="G7388" s="3" t="n">
        <v>131.34</v>
      </c>
    </row>
    <row r="7389">
      <c r="A7389" s="3" t="inlineStr">
        <is>
          <t>Opportunity Global Investment (PTY) LTD</t>
        </is>
      </c>
      <c r="B7389" s="4" t="n">
        <v>44592</v>
      </c>
      <c r="C7389" s="3" t="inlineStr">
        <is>
          <t>Expenses</t>
        </is>
      </c>
      <c r="D7389" s="3" t="inlineStr">
        <is>
          <t>4650/090</t>
        </is>
      </c>
      <c r="E7389" s="3" t="inlineStr">
        <is>
          <t>Travel &amp; Accom - Fuel</t>
        </is>
      </c>
      <c r="F7389" s="3" t="n">
        <v>2414.2</v>
      </c>
      <c r="G7389" s="3" t="n">
        <v>20369.62</v>
      </c>
    </row>
    <row r="7390">
      <c r="A7390" s="3" t="inlineStr">
        <is>
          <t>Noble Shield (Pty) Ltd ta Go Letting</t>
        </is>
      </c>
      <c r="B7390" s="4" t="n">
        <v>44592</v>
      </c>
      <c r="C7390" s="3" t="inlineStr">
        <is>
          <t>Expenses</t>
        </is>
      </c>
      <c r="D7390" s="3" t="inlineStr">
        <is>
          <t>4700/000</t>
        </is>
      </c>
      <c r="E7390" s="3" t="inlineStr">
        <is>
          <t>PAYE Contributions</t>
        </is>
      </c>
      <c r="F7390" s="3" t="n">
        <v>4529.5</v>
      </c>
      <c r="G7390" s="3" t="n">
        <v>24373.74</v>
      </c>
    </row>
    <row r="7391">
      <c r="A7391" s="3" t="inlineStr">
        <is>
          <t>Trademark Holdings (Pty) Ltd</t>
        </is>
      </c>
      <c r="B7391" s="4" t="n">
        <v>44592</v>
      </c>
      <c r="C7391" s="3" t="inlineStr">
        <is>
          <t>Expenses</t>
        </is>
      </c>
      <c r="D7391" s="3" t="inlineStr">
        <is>
          <t>4700/000</t>
        </is>
      </c>
      <c r="E7391" s="3" t="inlineStr">
        <is>
          <t>PAYE Contributions</t>
        </is>
      </c>
      <c r="F7391" s="3" t="n">
        <v>5349.49</v>
      </c>
      <c r="G7391" s="3" t="n">
        <v>29828.1</v>
      </c>
    </row>
    <row r="7392">
      <c r="A7392" s="3" t="inlineStr">
        <is>
          <t>Opportunity Global Investment (PTY) LTD</t>
        </is>
      </c>
      <c r="B7392" s="4" t="n">
        <v>44592</v>
      </c>
      <c r="C7392" s="3" t="inlineStr">
        <is>
          <t>Expenses</t>
        </is>
      </c>
      <c r="D7392" s="3" t="inlineStr">
        <is>
          <t>4700/000</t>
        </is>
      </c>
      <c r="E7392" s="3" t="inlineStr">
        <is>
          <t>UIF Contributions</t>
        </is>
      </c>
      <c r="F7392" s="3" t="n">
        <v>177.12</v>
      </c>
      <c r="G7392" s="3" t="n">
        <v>3877.74</v>
      </c>
    </row>
    <row r="7393">
      <c r="A7393" s="3" t="inlineStr">
        <is>
          <t>Opportunity Global Sales (PTY) LTD</t>
        </is>
      </c>
      <c r="B7393" s="4" t="n">
        <v>44592</v>
      </c>
      <c r="C7393" s="3" t="inlineStr">
        <is>
          <t>Expenses</t>
        </is>
      </c>
      <c r="D7393" s="3" t="inlineStr">
        <is>
          <t>4700/000</t>
        </is>
      </c>
      <c r="E7393" s="3" t="inlineStr">
        <is>
          <t>UIF Contributions</t>
        </is>
      </c>
      <c r="F7393" s="3" t="n">
        <v>227.12</v>
      </c>
      <c r="G7393" s="3" t="n">
        <v>1816.96</v>
      </c>
    </row>
    <row r="7394">
      <c r="A7394" s="3" t="inlineStr">
        <is>
          <t>Opportunity Global Sales (PTY) LTD</t>
        </is>
      </c>
      <c r="B7394" s="4" t="n">
        <v>44592</v>
      </c>
      <c r="C7394" s="3" t="inlineStr">
        <is>
          <t>Expenses</t>
        </is>
      </c>
      <c r="D7394" s="3" t="inlineStr">
        <is>
          <t>4701/000</t>
        </is>
      </c>
      <c r="E7394" s="3" t="inlineStr">
        <is>
          <t>UIF Employee Contribution</t>
        </is>
      </c>
      <c r="F7394" s="3" t="n">
        <v>227.12</v>
      </c>
      <c r="G7394" s="3" t="n">
        <v>1816.96</v>
      </c>
    </row>
    <row r="7395">
      <c r="A7395" s="3" t="inlineStr">
        <is>
          <t>Opportunity Global Investment (PTY) LTD</t>
        </is>
      </c>
      <c r="B7395" s="4" t="n">
        <v>44592</v>
      </c>
      <c r="C7395" s="3" t="inlineStr">
        <is>
          <t>Expenses</t>
        </is>
      </c>
      <c r="D7395" s="3" t="inlineStr">
        <is>
          <t>4701/000</t>
        </is>
      </c>
      <c r="E7395" s="3" t="inlineStr">
        <is>
          <t>UIF Employee Contributions</t>
        </is>
      </c>
      <c r="F7395" s="3" t="n">
        <v>177.12</v>
      </c>
      <c r="G7395" s="3" t="n">
        <v>1946.96</v>
      </c>
    </row>
    <row r="7396">
      <c r="A7396" s="3" t="inlineStr">
        <is>
          <t>Noble Shield (Pty) Ltd ta Go Letting</t>
        </is>
      </c>
      <c r="B7396" s="4" t="n">
        <v>44592</v>
      </c>
      <c r="C7396" s="3" t="inlineStr">
        <is>
          <t>Expenses</t>
        </is>
      </c>
      <c r="D7396" s="3" t="inlineStr">
        <is>
          <t>4710/000</t>
        </is>
      </c>
      <c r="E7396" s="3" t="inlineStr">
        <is>
          <t>UIF Company Contributions</t>
        </is>
      </c>
      <c r="F7396" s="3" t="n">
        <v>174.86</v>
      </c>
      <c r="G7396" s="3" t="n">
        <v>955.86</v>
      </c>
    </row>
    <row r="7397">
      <c r="A7397" s="3" t="inlineStr">
        <is>
          <t>Trademark Holdings (Pty) Ltd</t>
        </is>
      </c>
      <c r="B7397" s="4" t="n">
        <v>44592</v>
      </c>
      <c r="C7397" s="3" t="inlineStr">
        <is>
          <t>Expenses</t>
        </is>
      </c>
      <c r="D7397" s="3" t="inlineStr">
        <is>
          <t>4710/000</t>
        </is>
      </c>
      <c r="E7397" s="3" t="inlineStr">
        <is>
          <t>UIF Company Contributions</t>
        </is>
      </c>
      <c r="F7397" s="3" t="n">
        <v>95.25</v>
      </c>
      <c r="G7397" s="3" t="n">
        <v>780.87</v>
      </c>
    </row>
    <row r="7398">
      <c r="A7398" s="3" t="inlineStr">
        <is>
          <t>Noble Shield (Pty) Ltd ta Go Letting</t>
        </is>
      </c>
      <c r="B7398" s="4" t="n">
        <v>44592</v>
      </c>
      <c r="C7398" s="3" t="inlineStr">
        <is>
          <t>Expenses</t>
        </is>
      </c>
      <c r="D7398" s="3" t="inlineStr">
        <is>
          <t>4711/000</t>
        </is>
      </c>
      <c r="E7398" s="3" t="inlineStr">
        <is>
          <t>UIF Employee Contribution</t>
        </is>
      </c>
      <c r="F7398" s="3" t="n">
        <v>174.86</v>
      </c>
      <c r="G7398" s="3" t="n">
        <v>955.86</v>
      </c>
    </row>
    <row r="7399">
      <c r="A7399" s="3" t="inlineStr">
        <is>
          <t>Trademark Holdings (Pty) Ltd</t>
        </is>
      </c>
      <c r="B7399" s="4" t="n">
        <v>44592</v>
      </c>
      <c r="C7399" s="3" t="inlineStr">
        <is>
          <t>Expenses</t>
        </is>
      </c>
      <c r="D7399" s="3" t="inlineStr">
        <is>
          <t>4711/000</t>
        </is>
      </c>
      <c r="E7399" s="3" t="inlineStr">
        <is>
          <t>UIF Employee Contributions</t>
        </is>
      </c>
      <c r="F7399" s="3" t="n">
        <v>95.25</v>
      </c>
      <c r="G7399" s="3" t="n">
        <v>780.87</v>
      </c>
    </row>
    <row r="7400">
      <c r="A7400" s="3" t="inlineStr">
        <is>
          <t>Noble Shield (Pty) Ltd ta Go Letting</t>
        </is>
      </c>
      <c r="B7400" s="4" t="n">
        <v>44592</v>
      </c>
      <c r="C7400" s="3" t="inlineStr">
        <is>
          <t>Expenses</t>
        </is>
      </c>
      <c r="D7400" s="3" t="inlineStr">
        <is>
          <t>4720/000</t>
        </is>
      </c>
      <c r="E7400" s="3" t="inlineStr">
        <is>
          <t>SDL Contributions</t>
        </is>
      </c>
      <c r="F7400" s="3" t="n">
        <v>352.73</v>
      </c>
      <c r="G7400" s="3" t="n">
        <v>1580.33</v>
      </c>
    </row>
    <row r="7401">
      <c r="A7401" s="3" t="inlineStr">
        <is>
          <t>Trademark Holdings (Pty) Ltd</t>
        </is>
      </c>
      <c r="B7401" s="4" t="n">
        <v>44592</v>
      </c>
      <c r="C7401" s="3" t="inlineStr">
        <is>
          <t>Expenses</t>
        </is>
      </c>
      <c r="D7401" s="3" t="inlineStr">
        <is>
          <t>4720/000</t>
        </is>
      </c>
      <c r="E7401" s="3" t="inlineStr">
        <is>
          <t>SDL Contributions</t>
        </is>
      </c>
      <c r="F7401" s="3" t="n">
        <v>306.71</v>
      </c>
      <c r="G7401" s="3" t="n">
        <v>1543.71</v>
      </c>
    </row>
    <row r="7402">
      <c r="A7402" s="3" t="inlineStr">
        <is>
          <t>Opportunity Global Investment (PTY) LTD</t>
        </is>
      </c>
      <c r="B7402" s="4" t="n">
        <v>44592</v>
      </c>
      <c r="C7402" s="3" t="inlineStr">
        <is>
          <t>Expenses</t>
        </is>
      </c>
      <c r="D7402" s="3" t="inlineStr">
        <is>
          <t>4730/000</t>
        </is>
      </c>
      <c r="E7402" s="3" t="inlineStr">
        <is>
          <t>PAYE Contributions</t>
        </is>
      </c>
      <c r="F7402" s="3" t="n">
        <v>7274.78</v>
      </c>
      <c r="G7402" s="3" t="n">
        <v>102742.05</v>
      </c>
    </row>
    <row r="7403">
      <c r="A7403" s="3" t="inlineStr">
        <is>
          <t>Opportunity Global Sales (PTY) LTD</t>
        </is>
      </c>
      <c r="B7403" s="4" t="n">
        <v>44592</v>
      </c>
      <c r="C7403" s="3" t="inlineStr">
        <is>
          <t>Expenses</t>
        </is>
      </c>
      <c r="D7403" s="3" t="inlineStr">
        <is>
          <t>4730/000</t>
        </is>
      </c>
      <c r="E7403" s="3" t="inlineStr">
        <is>
          <t>PAYE Contributions</t>
        </is>
      </c>
      <c r="F7403" s="3" t="n">
        <v>18536.44</v>
      </c>
      <c r="G7403" s="3" t="n">
        <v>109082.31</v>
      </c>
    </row>
    <row r="7404">
      <c r="A7404" s="3" t="inlineStr">
        <is>
          <t>Opportunity Management Holdings (PTY) LTD</t>
        </is>
      </c>
      <c r="B7404" s="4" t="n">
        <v>44592</v>
      </c>
      <c r="C7404" s="3" t="inlineStr">
        <is>
          <t>Expenses</t>
        </is>
      </c>
      <c r="D7404" s="3" t="inlineStr">
        <is>
          <t>4730/000</t>
        </is>
      </c>
      <c r="E7404" s="3" t="inlineStr">
        <is>
          <t>PAYE Contributions</t>
        </is>
      </c>
      <c r="F7404" s="3" t="n">
        <v>33783.29</v>
      </c>
      <c r="G7404" s="3" t="n">
        <v>147848.52</v>
      </c>
    </row>
    <row r="7405">
      <c r="A7405" s="3" t="inlineStr">
        <is>
          <t>Opportunity Global Investment (PTY) LTD</t>
        </is>
      </c>
      <c r="B7405" s="4" t="n">
        <v>44592</v>
      </c>
      <c r="C7405" s="3" t="inlineStr">
        <is>
          <t>Expenses</t>
        </is>
      </c>
      <c r="D7405" s="3" t="inlineStr">
        <is>
          <t>4740/000</t>
        </is>
      </c>
      <c r="E7405" s="3" t="inlineStr">
        <is>
          <t>SDL Contributions</t>
        </is>
      </c>
      <c r="F7405" s="3" t="n">
        <v>368.81</v>
      </c>
      <c r="G7405" s="3" t="n">
        <v>6123.53</v>
      </c>
    </row>
    <row r="7406">
      <c r="A7406" s="3" t="inlineStr">
        <is>
          <t>Opportunity Global Sales (PTY) LTD</t>
        </is>
      </c>
      <c r="B7406" s="4" t="n">
        <v>44592</v>
      </c>
      <c r="C7406" s="3" t="inlineStr">
        <is>
          <t>Expenses</t>
        </is>
      </c>
      <c r="D7406" s="3" t="inlineStr">
        <is>
          <t>4740/000</t>
        </is>
      </c>
      <c r="E7406" s="3" t="inlineStr">
        <is>
          <t>SDL Contributions</t>
        </is>
      </c>
      <c r="F7406" s="3" t="n">
        <v>1124.18</v>
      </c>
      <c r="G7406" s="3" t="n">
        <v>6833.51</v>
      </c>
    </row>
    <row r="7407">
      <c r="A7407" s="3" t="inlineStr">
        <is>
          <t>Opportunity Management Holdings (PTY) LTD</t>
        </is>
      </c>
      <c r="B7407" s="4" t="n">
        <v>44592</v>
      </c>
      <c r="C7407" s="3" t="inlineStr">
        <is>
          <t>Expenses</t>
        </is>
      </c>
      <c r="D7407" s="3" t="inlineStr">
        <is>
          <t>4740/000</t>
        </is>
      </c>
      <c r="E7407" s="3" t="inlineStr">
        <is>
          <t>UIF Company Contribution</t>
        </is>
      </c>
      <c r="F7407" s="3" t="n">
        <v>1076.81</v>
      </c>
      <c r="G7407" s="3" t="n">
        <v>4615.71</v>
      </c>
    </row>
    <row r="7408">
      <c r="A7408" s="3" t="inlineStr">
        <is>
          <t>Opportunity Management Holdings (PTY) LTD</t>
        </is>
      </c>
      <c r="B7408" s="4" t="n">
        <v>44592</v>
      </c>
      <c r="C7408" s="3" t="inlineStr">
        <is>
          <t>Expenses</t>
        </is>
      </c>
      <c r="D7408" s="3" t="inlineStr">
        <is>
          <t>4741/000</t>
        </is>
      </c>
      <c r="E7408" s="3" t="inlineStr">
        <is>
          <t>UIF Employee Contribution</t>
        </is>
      </c>
      <c r="F7408" s="3" t="n">
        <v>1076.81</v>
      </c>
      <c r="G7408" s="3" t="n">
        <v>4615.71</v>
      </c>
    </row>
    <row r="7409">
      <c r="A7409" s="3" t="inlineStr">
        <is>
          <t>Opportunity Management Holdings (PTY) LTD</t>
        </is>
      </c>
      <c r="B7409" s="4" t="n">
        <v>44592</v>
      </c>
      <c r="C7409" s="3" t="inlineStr">
        <is>
          <t>Expenses</t>
        </is>
      </c>
      <c r="D7409" s="3" t="inlineStr">
        <is>
          <t>4750/000</t>
        </is>
      </c>
      <c r="E7409" s="3" t="inlineStr">
        <is>
          <t>SDL Contribution</t>
        </is>
      </c>
      <c r="F7409" s="3" t="n">
        <v>1864.33</v>
      </c>
      <c r="G7409" s="3" t="n">
        <v>8097.47</v>
      </c>
    </row>
    <row r="7410">
      <c r="A7410" s="3" t="inlineStr">
        <is>
          <t>Noble Shield (Pty) Ltd ta Go Letting</t>
        </is>
      </c>
      <c r="B7410" s="4" t="n">
        <v>44592</v>
      </c>
      <c r="C7410" s="3" t="inlineStr">
        <is>
          <t>Equity</t>
        </is>
      </c>
      <c r="D7410" s="3" t="inlineStr">
        <is>
          <t>5100/000</t>
        </is>
      </c>
      <c r="E7410" s="3" t="inlineStr">
        <is>
          <t>Share Capital</t>
        </is>
      </c>
      <c r="F7410" s="3" t="n">
        <v>0</v>
      </c>
      <c r="G7410" s="3" t="n">
        <v>-1</v>
      </c>
    </row>
    <row r="7411">
      <c r="A7411" s="3" t="inlineStr">
        <is>
          <t>Opportunity Management Holdings (PTY) LTD</t>
        </is>
      </c>
      <c r="B7411" s="4" t="n">
        <v>44592</v>
      </c>
      <c r="C7411" s="3" t="inlineStr">
        <is>
          <t>Equity</t>
        </is>
      </c>
      <c r="D7411" s="3" t="inlineStr">
        <is>
          <t>5100/000</t>
        </is>
      </c>
      <c r="E7411" s="3" t="inlineStr">
        <is>
          <t>Share Capital / Members Contribution</t>
        </is>
      </c>
      <c r="F7411" s="3" t="n">
        <v>0</v>
      </c>
      <c r="G7411" s="3" t="n">
        <v>-120</v>
      </c>
    </row>
    <row r="7412">
      <c r="A7412" s="3" t="inlineStr">
        <is>
          <t>Quinate Consulting (Pty) Ltd</t>
        </is>
      </c>
      <c r="B7412" s="4" t="n">
        <v>44592</v>
      </c>
      <c r="C7412" s="3" t="inlineStr">
        <is>
          <t>Equity</t>
        </is>
      </c>
      <c r="D7412" s="3" t="inlineStr">
        <is>
          <t>5100/000</t>
        </is>
      </c>
      <c r="E7412" s="3" t="inlineStr">
        <is>
          <t>Share Capital / Members Contribution</t>
        </is>
      </c>
      <c r="F7412" s="3" t="n">
        <v>0</v>
      </c>
      <c r="G7412" s="3" t="n">
        <v>-120</v>
      </c>
    </row>
    <row r="7413">
      <c r="A7413" s="3" t="inlineStr">
        <is>
          <t>Trademark Holdings (Pty) Ltd</t>
        </is>
      </c>
      <c r="B7413" s="4" t="n">
        <v>44592</v>
      </c>
      <c r="C7413" s="3" t="inlineStr">
        <is>
          <t>Equity</t>
        </is>
      </c>
      <c r="D7413" s="3" t="inlineStr">
        <is>
          <t>5100/001</t>
        </is>
      </c>
      <c r="E7413" s="3" t="inlineStr">
        <is>
          <t>Share Capital - GFY Investments</t>
        </is>
      </c>
      <c r="F7413" s="3" t="n">
        <v>0</v>
      </c>
      <c r="G7413" s="3" t="n">
        <v>-60</v>
      </c>
    </row>
    <row r="7414">
      <c r="A7414" s="3" t="inlineStr">
        <is>
          <t>Trademark Holdings (Pty) Ltd</t>
        </is>
      </c>
      <c r="B7414" s="4" t="n">
        <v>44592</v>
      </c>
      <c r="C7414" s="3" t="inlineStr">
        <is>
          <t>Equity</t>
        </is>
      </c>
      <c r="D7414" s="3" t="inlineStr">
        <is>
          <t>5100/002</t>
        </is>
      </c>
      <c r="E7414" s="3" t="inlineStr">
        <is>
          <t>Share Capital - Zak Trust</t>
        </is>
      </c>
      <c r="F7414" s="3" t="n">
        <v>0</v>
      </c>
      <c r="G7414" s="3" t="n">
        <v>-60</v>
      </c>
    </row>
    <row r="7415">
      <c r="A7415" s="3" t="inlineStr">
        <is>
          <t>Opportunity Global Investment (PTY) LTD</t>
        </is>
      </c>
      <c r="B7415" s="4" t="n">
        <v>44592</v>
      </c>
      <c r="C7415" s="3" t="inlineStr">
        <is>
          <t>Equity</t>
        </is>
      </c>
      <c r="D7415" s="3" t="inlineStr">
        <is>
          <t>5101/000</t>
        </is>
      </c>
      <c r="E7415" s="3" t="inlineStr">
        <is>
          <t>Share Capital - Ordinary Type A</t>
        </is>
      </c>
      <c r="F7415" s="3" t="n">
        <v>0</v>
      </c>
      <c r="G7415" s="3" t="n">
        <v>-70</v>
      </c>
    </row>
    <row r="7416">
      <c r="A7416" s="3" t="inlineStr">
        <is>
          <t>Opportunity Global Investment (PTY) LTD</t>
        </is>
      </c>
      <c r="B7416" s="4" t="n">
        <v>44592</v>
      </c>
      <c r="C7416" s="3" t="inlineStr">
        <is>
          <t>Equity</t>
        </is>
      </c>
      <c r="D7416" s="3" t="inlineStr">
        <is>
          <t>5102/000</t>
        </is>
      </c>
      <c r="E7416" s="3" t="inlineStr">
        <is>
          <t>Share Capital - Ordinary Type B</t>
        </is>
      </c>
      <c r="F7416" s="3" t="n">
        <v>0</v>
      </c>
      <c r="G7416" s="3" t="n">
        <v>-30</v>
      </c>
    </row>
    <row r="7417">
      <c r="A7417" s="3" t="inlineStr">
        <is>
          <t>Noble Shield (Pty) Ltd ta Go Letting</t>
        </is>
      </c>
      <c r="B7417" s="4" t="n">
        <v>44592</v>
      </c>
      <c r="C7417" s="3" t="inlineStr">
        <is>
          <t>Equity</t>
        </is>
      </c>
      <c r="D7417" s="3" t="inlineStr">
        <is>
          <t>5200/000</t>
        </is>
      </c>
      <c r="E7417" s="3" t="inlineStr">
        <is>
          <t>Retained Earnings / Loss</t>
        </is>
      </c>
      <c r="F7417" s="3" t="n">
        <v>0</v>
      </c>
      <c r="G7417" s="3" t="n">
        <v>-59256.74</v>
      </c>
    </row>
    <row r="7418">
      <c r="A7418" s="3" t="inlineStr">
        <is>
          <t>Opportunity Global Investment (PTY) LTD</t>
        </is>
      </c>
      <c r="B7418" s="4" t="n">
        <v>44592</v>
      </c>
      <c r="C7418" s="3" t="inlineStr">
        <is>
          <t>Equity</t>
        </is>
      </c>
      <c r="D7418" s="3" t="inlineStr">
        <is>
          <t>5200/000</t>
        </is>
      </c>
      <c r="E7418" s="3" t="inlineStr">
        <is>
          <t>Retained Earnings / Loss</t>
        </is>
      </c>
      <c r="F7418" s="3" t="n">
        <v>0</v>
      </c>
      <c r="G7418" s="3" t="n">
        <v>1112750.37</v>
      </c>
    </row>
    <row r="7419">
      <c r="A7419" s="3" t="inlineStr">
        <is>
          <t>Opportunity Global Sales (PTY) LTD</t>
        </is>
      </c>
      <c r="B7419" s="4" t="n">
        <v>44592</v>
      </c>
      <c r="C7419" s="3" t="inlineStr">
        <is>
          <t>Equity</t>
        </is>
      </c>
      <c r="D7419" s="3" t="inlineStr">
        <is>
          <t>5200/000</t>
        </is>
      </c>
      <c r="E7419" s="3" t="inlineStr">
        <is>
          <t>Retained Earnings / Loss</t>
        </is>
      </c>
      <c r="F7419" s="3" t="n">
        <v>0</v>
      </c>
      <c r="G7419" s="3" t="n">
        <v>-1104828.46</v>
      </c>
    </row>
    <row r="7420">
      <c r="A7420" s="3" t="inlineStr">
        <is>
          <t>Opportunity Management Holdings (PTY) LTD</t>
        </is>
      </c>
      <c r="B7420" s="4" t="n">
        <v>44592</v>
      </c>
      <c r="C7420" s="3" t="inlineStr">
        <is>
          <t>Equity</t>
        </is>
      </c>
      <c r="D7420" s="3" t="inlineStr">
        <is>
          <t>5200/000</t>
        </is>
      </c>
      <c r="E7420" s="3" t="inlineStr">
        <is>
          <t>Retained Earnings / Loss</t>
        </is>
      </c>
      <c r="F7420" s="3" t="n">
        <v>0</v>
      </c>
      <c r="G7420" s="3" t="n">
        <v>1435438.74</v>
      </c>
    </row>
    <row r="7421">
      <c r="A7421" s="3" t="inlineStr">
        <is>
          <t>Quinate Consulting (Pty) Ltd</t>
        </is>
      </c>
      <c r="B7421" s="4" t="n">
        <v>44592</v>
      </c>
      <c r="C7421" s="3" t="inlineStr">
        <is>
          <t>Equity</t>
        </is>
      </c>
      <c r="D7421" s="3" t="inlineStr">
        <is>
          <t>5200/000</t>
        </is>
      </c>
      <c r="E7421" s="3" t="inlineStr">
        <is>
          <t>Retained Earnings / Loss</t>
        </is>
      </c>
      <c r="F7421" s="3" t="n">
        <v>0</v>
      </c>
      <c r="G7421" s="3" t="n">
        <v>-557207.66</v>
      </c>
    </row>
    <row r="7422">
      <c r="A7422" s="3" t="inlineStr">
        <is>
          <t>Trademark Holdings (Pty) Ltd</t>
        </is>
      </c>
      <c r="B7422" s="4" t="n">
        <v>44592</v>
      </c>
      <c r="C7422" s="3" t="inlineStr">
        <is>
          <t>Equity</t>
        </is>
      </c>
      <c r="D7422" s="3" t="inlineStr">
        <is>
          <t>5200/000</t>
        </is>
      </c>
      <c r="E7422" s="3" t="inlineStr">
        <is>
          <t>Retained Earnings / Loss</t>
        </is>
      </c>
      <c r="F7422" s="3" t="n">
        <v>0</v>
      </c>
      <c r="G7422" s="3" t="n">
        <v>-150612.02</v>
      </c>
    </row>
    <row r="7423">
      <c r="A7423" s="3" t="inlineStr">
        <is>
          <t>Quinate Consulting (Pty) Ltd</t>
        </is>
      </c>
      <c r="B7423" s="4" t="n">
        <v>44592</v>
      </c>
      <c r="C7423" s="3" t="inlineStr">
        <is>
          <t>Assets</t>
        </is>
      </c>
      <c r="D7423" s="3" t="inlineStr">
        <is>
          <t>5400/011</t>
        </is>
      </c>
      <c r="E7423" s="3" t="inlineStr">
        <is>
          <t>Members Loan - Nick Morgan</t>
        </is>
      </c>
      <c r="F7423" s="3" t="n">
        <v>0</v>
      </c>
      <c r="G7423" s="3" t="n">
        <v>-85743.69</v>
      </c>
    </row>
    <row r="7424">
      <c r="A7424" s="3" t="inlineStr">
        <is>
          <t>Opportunity Management Holdings (PTY) LTD</t>
        </is>
      </c>
      <c r="B7424" s="4" t="n">
        <v>44592</v>
      </c>
      <c r="C7424" s="3" t="inlineStr">
        <is>
          <t>Assets</t>
        </is>
      </c>
      <c r="D7424" s="3" t="inlineStr">
        <is>
          <t>5400/500</t>
        </is>
      </c>
      <c r="E7424" s="3" t="inlineStr">
        <is>
          <t>Shareholder - Zak Loan</t>
        </is>
      </c>
      <c r="F7424" s="3" t="n">
        <v>0</v>
      </c>
      <c r="G7424" s="3" t="n">
        <v>-171798.21</v>
      </c>
    </row>
    <row r="7425">
      <c r="A7425" s="3" t="inlineStr">
        <is>
          <t>Quinate Consulting (Pty) Ltd</t>
        </is>
      </c>
      <c r="B7425" s="4" t="n">
        <v>44592</v>
      </c>
      <c r="C7425" s="3" t="inlineStr">
        <is>
          <t>Liabilities</t>
        </is>
      </c>
      <c r="D7425" s="3" t="inlineStr">
        <is>
          <t>5500/010</t>
        </is>
      </c>
      <c r="E7425" s="3" t="inlineStr">
        <is>
          <t>Loan - Wynand Haywood</t>
        </is>
      </c>
      <c r="F7425" s="3" t="n">
        <v>0</v>
      </c>
      <c r="G7425" s="3" t="n">
        <v>2911.85</v>
      </c>
    </row>
    <row r="7426">
      <c r="A7426" s="3" t="inlineStr">
        <is>
          <t>Quinate Consulting (Pty) Ltd</t>
        </is>
      </c>
      <c r="B7426" s="4" t="n">
        <v>44592</v>
      </c>
      <c r="C7426" s="3" t="inlineStr">
        <is>
          <t>Liabilities</t>
        </is>
      </c>
      <c r="D7426" s="3" t="inlineStr">
        <is>
          <t>5500/023</t>
        </is>
      </c>
      <c r="E7426" s="3" t="inlineStr">
        <is>
          <t>Loan - Noble Shield 1 Security Trust</t>
        </is>
      </c>
      <c r="F7426" s="3" t="n">
        <v>0</v>
      </c>
      <c r="G7426" s="3" t="n">
        <v>5543</v>
      </c>
    </row>
    <row r="7427">
      <c r="A7427" s="3" t="inlineStr">
        <is>
          <t>Opportunity Global Investment (PTY) LTD</t>
        </is>
      </c>
      <c r="B7427" s="4" t="n">
        <v>44592</v>
      </c>
      <c r="C7427" s="3" t="inlineStr">
        <is>
          <t>Liabilities</t>
        </is>
      </c>
      <c r="D7427" s="3" t="inlineStr">
        <is>
          <t>5500/100</t>
        </is>
      </c>
      <c r="E7427" s="3" t="inlineStr">
        <is>
          <t>Loan - Cape Projects Construction</t>
        </is>
      </c>
      <c r="F7427" s="3" t="n">
        <v>470000</v>
      </c>
      <c r="G7427" s="3" t="n">
        <v>530000</v>
      </c>
    </row>
    <row r="7428">
      <c r="A7428" s="3" t="inlineStr">
        <is>
          <t>Noble Shield (Pty) Ltd ta Go Letting</t>
        </is>
      </c>
      <c r="B7428" s="4" t="n">
        <v>44592</v>
      </c>
      <c r="C7428" s="3" t="inlineStr">
        <is>
          <t>Liabilities</t>
        </is>
      </c>
      <c r="D7428" s="3" t="inlineStr">
        <is>
          <t>5500/100</t>
        </is>
      </c>
      <c r="E7428" s="3" t="inlineStr">
        <is>
          <t>Loan - Jupiter Trust</t>
        </is>
      </c>
      <c r="F7428" s="3" t="n">
        <v>0</v>
      </c>
      <c r="G7428" s="3" t="n">
        <v>-100228.75</v>
      </c>
    </row>
    <row r="7429">
      <c r="A7429" s="3" t="inlineStr">
        <is>
          <t>Trademark Holdings (Pty) Ltd</t>
        </is>
      </c>
      <c r="B7429" s="4" t="n">
        <v>44592</v>
      </c>
      <c r="C7429" s="3" t="inlineStr">
        <is>
          <t>Liabilities</t>
        </is>
      </c>
      <c r="D7429" s="3" t="inlineStr">
        <is>
          <t>5500/100</t>
        </is>
      </c>
      <c r="E7429" s="3" t="inlineStr">
        <is>
          <t>Loan - Opportunity Global Investments</t>
        </is>
      </c>
      <c r="F7429" s="3" t="n">
        <v>0</v>
      </c>
      <c r="G7429" s="3" t="n">
        <v>-18000</v>
      </c>
    </row>
    <row r="7430">
      <c r="A7430" s="3" t="inlineStr">
        <is>
          <t>Endulini (Pty) Ltd</t>
        </is>
      </c>
      <c r="B7430" s="4" t="n">
        <v>44592</v>
      </c>
      <c r="C7430" s="3" t="inlineStr">
        <is>
          <t>Liabilities</t>
        </is>
      </c>
      <c r="D7430" s="3" t="inlineStr">
        <is>
          <t>5500/100</t>
        </is>
      </c>
      <c r="E7430" s="3" t="inlineStr">
        <is>
          <t>Loan - Quinate Consulting</t>
        </is>
      </c>
      <c r="F7430" s="3" t="n">
        <v>-74000</v>
      </c>
      <c r="G7430" s="3" t="n">
        <v>-7089761.7</v>
      </c>
    </row>
    <row r="7431">
      <c r="A7431" s="3" t="inlineStr">
        <is>
          <t>Opportunity Global Investment (PTY) LTD</t>
        </is>
      </c>
      <c r="B7431" s="4" t="n">
        <v>44592</v>
      </c>
      <c r="C7431" s="3" t="inlineStr">
        <is>
          <t>Liabilities</t>
        </is>
      </c>
      <c r="D7431" s="3" t="inlineStr">
        <is>
          <t>5500/110</t>
        </is>
      </c>
      <c r="E7431" s="3" t="inlineStr">
        <is>
          <t>Loan - Opportunity Trademark Holdings</t>
        </is>
      </c>
      <c r="F7431" s="3" t="n">
        <v>0</v>
      </c>
      <c r="G7431" s="3" t="n">
        <v>18000</v>
      </c>
    </row>
    <row r="7432">
      <c r="A7432" s="3" t="inlineStr">
        <is>
          <t>Opportunity Global Sales (PTY) LTD</t>
        </is>
      </c>
      <c r="B7432" s="4" t="n">
        <v>44592</v>
      </c>
      <c r="C7432" s="3" t="inlineStr">
        <is>
          <t>Liabilities</t>
        </is>
      </c>
      <c r="D7432" s="3" t="inlineStr">
        <is>
          <t>5500/110</t>
        </is>
      </c>
      <c r="E7432" s="3" t="inlineStr">
        <is>
          <t>Loan - Opportunity Tradermark Holdings</t>
        </is>
      </c>
      <c r="F7432" s="3" t="n">
        <v>2360</v>
      </c>
      <c r="G7432" s="3" t="n">
        <v>0</v>
      </c>
    </row>
    <row r="7433">
      <c r="A7433" s="3" t="inlineStr">
        <is>
          <t>Opportunity Global Investment (PTY) LTD</t>
        </is>
      </c>
      <c r="B7433" s="4" t="n">
        <v>44592</v>
      </c>
      <c r="C7433" s="3" t="inlineStr">
        <is>
          <t>Liabilities</t>
        </is>
      </c>
      <c r="D7433" s="3" t="inlineStr">
        <is>
          <t>5500/112</t>
        </is>
      </c>
      <c r="E7433" s="3" t="inlineStr">
        <is>
          <t>Loan - GFY</t>
        </is>
      </c>
      <c r="F7433" s="3" t="n">
        <v>0</v>
      </c>
      <c r="G7433" s="3" t="n">
        <v>-289000</v>
      </c>
    </row>
    <row r="7434">
      <c r="A7434" s="3" t="inlineStr">
        <is>
          <t>Trademark Holdings (Pty) Ltd</t>
        </is>
      </c>
      <c r="B7434" s="4" t="n">
        <v>44592</v>
      </c>
      <c r="C7434" s="3" t="inlineStr">
        <is>
          <t>Liabilities</t>
        </is>
      </c>
      <c r="D7434" s="3" t="inlineStr">
        <is>
          <t>5500/115</t>
        </is>
      </c>
      <c r="E7434" s="3" t="inlineStr">
        <is>
          <t>Loan - Opportunity Sales</t>
        </is>
      </c>
      <c r="F7434" s="3" t="n">
        <v>-2360</v>
      </c>
      <c r="G7434" s="3" t="n">
        <v>0</v>
      </c>
    </row>
    <row r="7435">
      <c r="A7435" s="3" t="inlineStr">
        <is>
          <t>Opportunity Management Holdings (PTY) LTD</t>
        </is>
      </c>
      <c r="B7435" s="4" t="n">
        <v>44592</v>
      </c>
      <c r="C7435" s="3" t="inlineStr">
        <is>
          <t>Liabilities</t>
        </is>
      </c>
      <c r="D7435" s="3" t="inlineStr">
        <is>
          <t>5500/150</t>
        </is>
      </c>
      <c r="E7435" s="3" t="inlineStr">
        <is>
          <t>Loan - Opportunity Investments</t>
        </is>
      </c>
      <c r="F7435" s="3" t="n">
        <v>49623.75</v>
      </c>
      <c r="G7435" s="3" t="n">
        <v>50000</v>
      </c>
    </row>
    <row r="7436">
      <c r="A7436" s="3" t="inlineStr">
        <is>
          <t>Quinate Consulting (Pty) Ltd</t>
        </is>
      </c>
      <c r="B7436" s="4" t="n">
        <v>44592</v>
      </c>
      <c r="C7436" s="3" t="inlineStr">
        <is>
          <t>Liabilities</t>
        </is>
      </c>
      <c r="D7436" s="3" t="inlineStr">
        <is>
          <t>5500/160</t>
        </is>
      </c>
      <c r="E7436" s="3" t="inlineStr">
        <is>
          <t>Loan - GFY Investment and Consulting</t>
        </is>
      </c>
      <c r="F7436" s="3" t="n">
        <v>0</v>
      </c>
      <c r="G7436" s="3" t="n">
        <v>-1641195.52</v>
      </c>
    </row>
    <row r="7437">
      <c r="A7437" s="3" t="inlineStr">
        <is>
          <t>Opportunity Management Holdings (PTY) LTD</t>
        </is>
      </c>
      <c r="B7437" s="4" t="n">
        <v>44592</v>
      </c>
      <c r="C7437" s="3" t="inlineStr">
        <is>
          <t>Liabilities</t>
        </is>
      </c>
      <c r="D7437" s="3" t="inlineStr">
        <is>
          <t>5500/200</t>
        </is>
      </c>
      <c r="E7437" s="3" t="inlineStr">
        <is>
          <t>Loan - Cape Projects</t>
        </is>
      </c>
      <c r="F7437" s="3" t="n">
        <v>0</v>
      </c>
      <c r="G7437" s="3" t="n">
        <v>49000</v>
      </c>
    </row>
    <row r="7438">
      <c r="A7438" s="3" t="inlineStr">
        <is>
          <t>Endulini (Pty) Ltd</t>
        </is>
      </c>
      <c r="B7438" s="4" t="n">
        <v>44592</v>
      </c>
      <c r="C7438" s="3" t="inlineStr">
        <is>
          <t>Liabilities</t>
        </is>
      </c>
      <c r="D7438" s="3" t="inlineStr">
        <is>
          <t>5500/250</t>
        </is>
      </c>
      <c r="E7438" s="3" t="inlineStr">
        <is>
          <t>Loan - Heron Projects</t>
        </is>
      </c>
      <c r="F7438" s="3" t="n">
        <v>4240.63</v>
      </c>
      <c r="G7438" s="3" t="n">
        <v>4240.63</v>
      </c>
    </row>
    <row r="7439">
      <c r="A7439" s="3" t="inlineStr">
        <is>
          <t>Trademark Holdings (Pty) Ltd</t>
        </is>
      </c>
      <c r="B7439" s="4" t="n">
        <v>44592</v>
      </c>
      <c r="C7439" s="3" t="inlineStr">
        <is>
          <t>Liabilities</t>
        </is>
      </c>
      <c r="D7439" s="3" t="inlineStr">
        <is>
          <t>5500/250</t>
        </is>
      </c>
      <c r="E7439" s="3" t="inlineStr">
        <is>
          <t>Loan - Noble Shield</t>
        </is>
      </c>
      <c r="F7439" s="3" t="n">
        <v>0</v>
      </c>
      <c r="G7439" s="3" t="n">
        <v>68165.59</v>
      </c>
    </row>
    <row r="7440">
      <c r="A7440" s="3" t="inlineStr">
        <is>
          <t>Opportunity Management Holdings (PTY) LTD</t>
        </is>
      </c>
      <c r="B7440" s="4" t="n">
        <v>44592</v>
      </c>
      <c r="C7440" s="3" t="inlineStr">
        <is>
          <t>Liabilities</t>
        </is>
      </c>
      <c r="D7440" s="3" t="inlineStr">
        <is>
          <t>5500/250</t>
        </is>
      </c>
      <c r="E7440" s="3" t="inlineStr">
        <is>
          <t>Loan - Quinate</t>
        </is>
      </c>
      <c r="F7440" s="3" t="n">
        <v>29798.75</v>
      </c>
      <c r="G7440" s="3" t="n">
        <v>17661.5</v>
      </c>
    </row>
    <row r="7441">
      <c r="A7441" s="3" t="inlineStr">
        <is>
          <t>Quinate Consulting (Pty) Ltd</t>
        </is>
      </c>
      <c r="B7441" s="4" t="n">
        <v>44592</v>
      </c>
      <c r="C7441" s="3" t="inlineStr">
        <is>
          <t>Liabilities</t>
        </is>
      </c>
      <c r="D7441" s="3" t="inlineStr">
        <is>
          <t>5500/300</t>
        </is>
      </c>
      <c r="E7441" s="3" t="inlineStr">
        <is>
          <t>Loan - Gengis</t>
        </is>
      </c>
      <c r="F7441" s="3" t="n">
        <v>0</v>
      </c>
      <c r="G7441" s="3" t="n">
        <v>-130378.08</v>
      </c>
    </row>
    <row r="7442">
      <c r="A7442" s="3" t="inlineStr">
        <is>
          <t>Opportunity Management Holdings (PTY) LTD</t>
        </is>
      </c>
      <c r="B7442" s="4" t="n">
        <v>44592</v>
      </c>
      <c r="C7442" s="3" t="inlineStr">
        <is>
          <t>Liabilities</t>
        </is>
      </c>
      <c r="D7442" s="3" t="inlineStr">
        <is>
          <t>5500/300</t>
        </is>
      </c>
      <c r="E7442" s="3" t="inlineStr">
        <is>
          <t>Loan - Opportunity Prop Management</t>
        </is>
      </c>
      <c r="F7442" s="3" t="n">
        <v>0</v>
      </c>
      <c r="G7442" s="3" t="n">
        <v>-1220204.15</v>
      </c>
    </row>
    <row r="7443">
      <c r="A7443" s="3" t="inlineStr">
        <is>
          <t>Noble Shield (Pty) Ltd ta Go Letting</t>
        </is>
      </c>
      <c r="B7443" s="4" t="n">
        <v>44592</v>
      </c>
      <c r="C7443" s="3" t="inlineStr">
        <is>
          <t>Liabilities</t>
        </is>
      </c>
      <c r="D7443" s="3" t="inlineStr">
        <is>
          <t>5500/300</t>
        </is>
      </c>
      <c r="E7443" s="3" t="inlineStr">
        <is>
          <t>Loan - Trademark Holdings</t>
        </is>
      </c>
      <c r="F7443" s="3" t="n">
        <v>0</v>
      </c>
      <c r="G7443" s="3" t="n">
        <v>-68165.59</v>
      </c>
    </row>
    <row r="7444">
      <c r="A7444" s="3" t="inlineStr">
        <is>
          <t>Opportunity Global Investment (PTY) LTD</t>
        </is>
      </c>
      <c r="B7444" s="4" t="n">
        <v>44592</v>
      </c>
      <c r="C7444" s="3" t="inlineStr">
        <is>
          <t>Liabilities</t>
        </is>
      </c>
      <c r="D7444" s="3" t="inlineStr">
        <is>
          <t>5500/350</t>
        </is>
      </c>
      <c r="E7444" s="3" t="inlineStr">
        <is>
          <t>Loan - Opportunity Management Holdings</t>
        </is>
      </c>
      <c r="F7444" s="3" t="n">
        <v>-50000</v>
      </c>
      <c r="G7444" s="3" t="n">
        <v>-50000</v>
      </c>
    </row>
    <row r="7445">
      <c r="A7445" s="3" t="inlineStr">
        <is>
          <t>Trademark Holdings (Pty) Ltd</t>
        </is>
      </c>
      <c r="B7445" s="4" t="n">
        <v>44592</v>
      </c>
      <c r="C7445" s="3" t="inlineStr">
        <is>
          <t>Liabilities</t>
        </is>
      </c>
      <c r="D7445" s="3" t="inlineStr">
        <is>
          <t>5500/350</t>
        </is>
      </c>
      <c r="E7445" s="3" t="inlineStr">
        <is>
          <t>Loan - Quinate Consulting</t>
        </is>
      </c>
      <c r="F7445" s="3" t="n">
        <v>0</v>
      </c>
      <c r="G7445" s="3" t="n">
        <v>3635</v>
      </c>
    </row>
    <row r="7446">
      <c r="A7446" s="3" t="inlineStr">
        <is>
          <t>Trademark Holdings (Pty) Ltd</t>
        </is>
      </c>
      <c r="B7446" s="4" t="n">
        <v>44592</v>
      </c>
      <c r="C7446" s="3" t="inlineStr">
        <is>
          <t>Liabilities</t>
        </is>
      </c>
      <c r="D7446" s="3" t="inlineStr">
        <is>
          <t>5500/375</t>
        </is>
      </c>
      <c r="E7446" s="3" t="inlineStr">
        <is>
          <t>Loan - Opportunity Management Holdings Pty Ltd</t>
        </is>
      </c>
      <c r="F7446" s="3" t="n">
        <v>25445</v>
      </c>
      <c r="G7446" s="3" t="n">
        <v>-25445</v>
      </c>
    </row>
    <row r="7447">
      <c r="A7447" s="3" t="inlineStr">
        <is>
          <t>Trademark Holdings (Pty) Ltd</t>
        </is>
      </c>
      <c r="B7447" s="4" t="n">
        <v>44592</v>
      </c>
      <c r="C7447" s="3" t="inlineStr">
        <is>
          <t>Liabilities</t>
        </is>
      </c>
      <c r="D7447" s="3" t="inlineStr">
        <is>
          <t>5500/450</t>
        </is>
      </c>
      <c r="E7447" s="3" t="inlineStr">
        <is>
          <t>Loan - Cape Projects Construction</t>
        </is>
      </c>
      <c r="F7447" s="3" t="n">
        <v>-600</v>
      </c>
      <c r="G7447" s="3" t="n">
        <v>33200</v>
      </c>
    </row>
    <row r="7448">
      <c r="A7448" s="3" t="inlineStr">
        <is>
          <t>Trademark Holdings (Pty) Ltd</t>
        </is>
      </c>
      <c r="B7448" s="4" t="n">
        <v>44592</v>
      </c>
      <c r="C7448" s="3" t="inlineStr">
        <is>
          <t>Liabilities</t>
        </is>
      </c>
      <c r="D7448" s="3" t="inlineStr">
        <is>
          <t>5500/500</t>
        </is>
      </c>
      <c r="E7448" s="3" t="inlineStr">
        <is>
          <t>Go Letting Brand Name</t>
        </is>
      </c>
      <c r="F7448" s="3" t="n">
        <v>0</v>
      </c>
      <c r="G7448" s="3" t="n">
        <v>93420</v>
      </c>
    </row>
    <row r="7449">
      <c r="A7449" s="3" t="inlineStr">
        <is>
          <t>Noble Shield (Pty) Ltd ta Go Letting</t>
        </is>
      </c>
      <c r="B7449" s="4" t="n">
        <v>44592</v>
      </c>
      <c r="C7449" s="3" t="inlineStr">
        <is>
          <t>Liabilities</t>
        </is>
      </c>
      <c r="D7449" s="3" t="inlineStr">
        <is>
          <t>5500/500</t>
        </is>
      </c>
      <c r="E7449" s="3" t="inlineStr">
        <is>
          <t>Loan - Cape Projects Construction</t>
        </is>
      </c>
      <c r="F7449" s="3" t="n">
        <v>-600</v>
      </c>
      <c r="G7449" s="3" t="n">
        <v>3200</v>
      </c>
    </row>
    <row r="7450">
      <c r="A7450" s="3" t="inlineStr">
        <is>
          <t>Quinate Consulting (Pty) Ltd</t>
        </is>
      </c>
      <c r="B7450" s="4" t="n">
        <v>44592</v>
      </c>
      <c r="C7450" s="3" t="inlineStr">
        <is>
          <t>Liabilities</t>
        </is>
      </c>
      <c r="D7450" s="3" t="inlineStr">
        <is>
          <t>5500/500</t>
        </is>
      </c>
      <c r="E7450" s="3" t="inlineStr">
        <is>
          <t>Loan - Opportunity Development Struct.</t>
        </is>
      </c>
      <c r="F7450" s="3" t="n">
        <v>0</v>
      </c>
      <c r="G7450" s="3" t="n">
        <v>-1852608.63</v>
      </c>
    </row>
    <row r="7451">
      <c r="A7451" s="3" t="inlineStr">
        <is>
          <t>Opportunity Management Holdings (PTY) LTD</t>
        </is>
      </c>
      <c r="B7451" s="4" t="n">
        <v>44592</v>
      </c>
      <c r="C7451" s="3" t="inlineStr">
        <is>
          <t>Liabilities</t>
        </is>
      </c>
      <c r="D7451" s="3" t="inlineStr">
        <is>
          <t>5500/500</t>
        </is>
      </c>
      <c r="E7451" s="3" t="inlineStr">
        <is>
          <t>Loan - Opportunity Tradermark Holdings</t>
        </is>
      </c>
      <c r="F7451" s="3" t="n">
        <v>-25445</v>
      </c>
      <c r="G7451" s="3" t="n">
        <v>25445</v>
      </c>
    </row>
    <row r="7452">
      <c r="A7452" s="3" t="inlineStr">
        <is>
          <t>Quinate Consulting (Pty) Ltd</t>
        </is>
      </c>
      <c r="B7452" s="4" t="n">
        <v>44592</v>
      </c>
      <c r="C7452" s="3" t="inlineStr">
        <is>
          <t>Liabilities</t>
        </is>
      </c>
      <c r="D7452" s="3" t="inlineStr">
        <is>
          <t>5500/520</t>
        </is>
      </c>
      <c r="E7452" s="3" t="inlineStr">
        <is>
          <t>Loan - Opportunity Management Holdings</t>
        </is>
      </c>
      <c r="F7452" s="3" t="n">
        <v>-30000</v>
      </c>
      <c r="G7452" s="3" t="n">
        <v>-21561.5</v>
      </c>
    </row>
    <row r="7453">
      <c r="A7453" s="3" t="inlineStr">
        <is>
          <t>Opportunity Global Investment (PTY) LTD</t>
        </is>
      </c>
      <c r="B7453" s="4" t="n">
        <v>44592</v>
      </c>
      <c r="C7453" s="3" t="inlineStr">
        <is>
          <t>Liabilities</t>
        </is>
      </c>
      <c r="D7453" s="3" t="inlineStr">
        <is>
          <t>5500/650</t>
        </is>
      </c>
      <c r="E7453" s="3" t="inlineStr">
        <is>
          <t>Loan - Opportunit Global - Sales</t>
        </is>
      </c>
      <c r="F7453" s="3" t="n">
        <v>5000</v>
      </c>
      <c r="G7453" s="3" t="n">
        <v>-501265.61</v>
      </c>
    </row>
    <row r="7454">
      <c r="A7454" s="3" t="inlineStr">
        <is>
          <t>Opportunity Global Sales (PTY) LTD</t>
        </is>
      </c>
      <c r="B7454" s="4" t="n">
        <v>44592</v>
      </c>
      <c r="C7454" s="3" t="inlineStr">
        <is>
          <t>Liabilities</t>
        </is>
      </c>
      <c r="D7454" s="3" t="inlineStr">
        <is>
          <t>5500/650</t>
        </is>
      </c>
      <c r="E7454" s="3" t="inlineStr">
        <is>
          <t>Loan - Opportunity Investments</t>
        </is>
      </c>
      <c r="F7454" s="3" t="n">
        <v>-5000</v>
      </c>
      <c r="G7454" s="3" t="n">
        <v>501265.61</v>
      </c>
    </row>
    <row r="7455">
      <c r="A7455" s="3" t="inlineStr">
        <is>
          <t>Opportunity Management Holdings (PTY) LTD</t>
        </is>
      </c>
      <c r="B7455" s="4" t="n">
        <v>44592</v>
      </c>
      <c r="C7455" s="3" t="inlineStr">
        <is>
          <t>Liabilities</t>
        </is>
      </c>
      <c r="D7455" s="3" t="inlineStr">
        <is>
          <t>5500/700</t>
        </is>
      </c>
      <c r="E7455" s="3" t="inlineStr">
        <is>
          <t>Loan - Go Letting</t>
        </is>
      </c>
      <c r="F7455" s="3" t="n">
        <v>0</v>
      </c>
      <c r="G7455" s="3" t="n">
        <v>-120</v>
      </c>
    </row>
    <row r="7456">
      <c r="A7456" s="3" t="inlineStr">
        <is>
          <t>Quinate Consulting (Pty) Ltd</t>
        </is>
      </c>
      <c r="B7456" s="4" t="n">
        <v>44592</v>
      </c>
      <c r="C7456" s="3" t="inlineStr">
        <is>
          <t>Liabilities</t>
        </is>
      </c>
      <c r="D7456" s="3" t="inlineStr">
        <is>
          <t>5500/700</t>
        </is>
      </c>
      <c r="E7456" s="3" t="inlineStr">
        <is>
          <t>Loan - Trademark Holdings</t>
        </is>
      </c>
      <c r="F7456" s="3" t="n">
        <v>0</v>
      </c>
      <c r="G7456" s="3" t="n">
        <v>-3635</v>
      </c>
    </row>
    <row r="7457">
      <c r="A7457" s="3" t="inlineStr">
        <is>
          <t>Opportunity Global Investment (PTY) LTD</t>
        </is>
      </c>
      <c r="B7457" s="4" t="n">
        <v>44592</v>
      </c>
      <c r="C7457" s="3" t="inlineStr">
        <is>
          <t>Liabilities</t>
        </is>
      </c>
      <c r="D7457" s="3" t="inlineStr">
        <is>
          <t>5500/850</t>
        </is>
      </c>
      <c r="E7457" s="3" t="inlineStr">
        <is>
          <t>Loan - Nick Morgan</t>
        </is>
      </c>
      <c r="F7457" s="3" t="n">
        <v>0</v>
      </c>
      <c r="G7457" s="3" t="n">
        <v>4100</v>
      </c>
    </row>
    <row r="7458">
      <c r="A7458" s="3" t="inlineStr">
        <is>
          <t>Opportunity Global Investment (PTY) LTD</t>
        </is>
      </c>
      <c r="B7458" s="4" t="n">
        <v>44592</v>
      </c>
      <c r="C7458" s="3" t="inlineStr">
        <is>
          <t>Liabilities</t>
        </is>
      </c>
      <c r="D7458" s="3" t="inlineStr">
        <is>
          <t>5500/950</t>
        </is>
      </c>
      <c r="E7458" s="3" t="inlineStr">
        <is>
          <t>Loan - Gengis</t>
        </is>
      </c>
      <c r="F7458" s="3" t="n">
        <v>0</v>
      </c>
      <c r="G7458" s="3" t="n">
        <v>-120000</v>
      </c>
    </row>
    <row r="7459">
      <c r="A7459" s="3" t="inlineStr">
        <is>
          <t>Opportunity Global Sales (PTY) LTD</t>
        </is>
      </c>
      <c r="B7459" s="4" t="n">
        <v>44592</v>
      </c>
      <c r="C7459" s="3" t="inlineStr">
        <is>
          <t>Liabilities</t>
        </is>
      </c>
      <c r="D7459" s="3" t="inlineStr">
        <is>
          <t>5500/991</t>
        </is>
      </c>
      <c r="E7459" s="3" t="inlineStr">
        <is>
          <t>Loan - Minette Commission</t>
        </is>
      </c>
      <c r="F7459" s="3" t="n">
        <v>0</v>
      </c>
      <c r="G7459" s="3" t="n">
        <v>21340.87</v>
      </c>
    </row>
    <row r="7460">
      <c r="A7460" s="3" t="inlineStr">
        <is>
          <t>Opportunity Global Sales (PTY) LTD</t>
        </is>
      </c>
      <c r="B7460" s="4" t="n">
        <v>44592</v>
      </c>
      <c r="C7460" s="3" t="inlineStr">
        <is>
          <t>Liabilities</t>
        </is>
      </c>
      <c r="D7460" s="3" t="inlineStr">
        <is>
          <t>5500/992</t>
        </is>
      </c>
      <c r="E7460" s="3" t="inlineStr">
        <is>
          <t>Loan - Anthony Commission</t>
        </is>
      </c>
      <c r="F7460" s="3" t="n">
        <v>0</v>
      </c>
      <c r="G7460" s="3" t="n">
        <v>15000</v>
      </c>
    </row>
    <row r="7461">
      <c r="A7461" s="3" t="inlineStr">
        <is>
          <t>Quinate Consulting (Pty) Ltd</t>
        </is>
      </c>
      <c r="B7461" s="4" t="n">
        <v>44592</v>
      </c>
      <c r="C7461" s="3" t="inlineStr">
        <is>
          <t>Liabilities</t>
        </is>
      </c>
      <c r="D7461" s="3" t="inlineStr">
        <is>
          <t>5501/001</t>
        </is>
      </c>
      <c r="E7461" s="3" t="inlineStr">
        <is>
          <t>Loan - Endulini CIP Costs</t>
        </is>
      </c>
      <c r="F7461" s="3" t="n">
        <v>104000</v>
      </c>
      <c r="G7461" s="3" t="n">
        <v>7119761.7</v>
      </c>
    </row>
    <row r="7462">
      <c r="A7462" s="3" t="inlineStr">
        <is>
          <t>Opportunity Management Holdings (PTY) LTD</t>
        </is>
      </c>
      <c r="B7462" s="4" t="n">
        <v>44592</v>
      </c>
      <c r="C7462" s="3" t="inlineStr">
        <is>
          <t>Liabilities</t>
        </is>
      </c>
      <c r="D7462" s="3" t="inlineStr">
        <is>
          <t>5510/100</t>
        </is>
      </c>
      <c r="E7462" s="3" t="inlineStr">
        <is>
          <t>Staff loan - Debbie Landsberg</t>
        </is>
      </c>
      <c r="F7462" s="3" t="n">
        <v>14400</v>
      </c>
      <c r="G7462" s="3" t="n">
        <v>14400</v>
      </c>
    </row>
    <row r="7463">
      <c r="A7463" s="3" t="inlineStr">
        <is>
          <t>Noble Shield (Pty) Ltd ta Go Letting</t>
        </is>
      </c>
      <c r="B7463" s="4" t="n">
        <v>44592</v>
      </c>
      <c r="C7463" s="3" t="inlineStr">
        <is>
          <t>Assets</t>
        </is>
      </c>
      <c r="D7463" s="3" t="inlineStr">
        <is>
          <t>6250/010</t>
        </is>
      </c>
      <c r="E7463" s="3" t="inlineStr">
        <is>
          <t>Computer Equipment - @ Cost</t>
        </is>
      </c>
      <c r="F7463" s="3" t="n">
        <v>10898</v>
      </c>
      <c r="G7463" s="3" t="n">
        <v>20397</v>
      </c>
    </row>
    <row r="7464">
      <c r="A7464" s="3" t="inlineStr">
        <is>
          <t>Opportunity Management Holdings (PTY) LTD</t>
        </is>
      </c>
      <c r="B7464" s="4" t="n">
        <v>44592</v>
      </c>
      <c r="C7464" s="3" t="inlineStr">
        <is>
          <t>Assets</t>
        </is>
      </c>
      <c r="D7464" s="3" t="inlineStr">
        <is>
          <t>6250/010</t>
        </is>
      </c>
      <c r="E7464" s="3" t="inlineStr">
        <is>
          <t>Computer Equipment - @ Cost</t>
        </is>
      </c>
      <c r="F7464" s="3" t="n">
        <v>0</v>
      </c>
      <c r="G7464" s="3" t="n">
        <v>14911.4</v>
      </c>
    </row>
    <row r="7465">
      <c r="A7465" s="3" t="inlineStr">
        <is>
          <t>Quinate Consulting (Pty) Ltd</t>
        </is>
      </c>
      <c r="B7465" s="4" t="n">
        <v>44592</v>
      </c>
      <c r="C7465" s="3" t="inlineStr">
        <is>
          <t>Assets</t>
        </is>
      </c>
      <c r="D7465" s="3" t="inlineStr">
        <is>
          <t>6250/010</t>
        </is>
      </c>
      <c r="E7465" s="3" t="inlineStr">
        <is>
          <t>Computer Equipment - @ Cost</t>
        </is>
      </c>
      <c r="F7465" s="3" t="n">
        <v>0</v>
      </c>
      <c r="G7465" s="3" t="n">
        <v>104499.7</v>
      </c>
    </row>
    <row r="7466">
      <c r="A7466" s="3" t="inlineStr">
        <is>
          <t>Noble Shield (Pty) Ltd ta Go Letting</t>
        </is>
      </c>
      <c r="B7466" s="4" t="n">
        <v>44592</v>
      </c>
      <c r="C7466" s="3" t="inlineStr">
        <is>
          <t>Assets</t>
        </is>
      </c>
      <c r="D7466" s="3" t="inlineStr">
        <is>
          <t>6250/020</t>
        </is>
      </c>
      <c r="E7466" s="3" t="inlineStr">
        <is>
          <t>Computer Equipment - Accum Depre</t>
        </is>
      </c>
      <c r="F7466" s="3" t="n">
        <v>0</v>
      </c>
      <c r="G7466" s="3" t="n">
        <v>-9498</v>
      </c>
    </row>
    <row r="7467">
      <c r="A7467" s="3" t="inlineStr">
        <is>
          <t>Quinate Consulting (Pty) Ltd</t>
        </is>
      </c>
      <c r="B7467" s="4" t="n">
        <v>44592</v>
      </c>
      <c r="C7467" s="3" t="inlineStr">
        <is>
          <t>Assets</t>
        </is>
      </c>
      <c r="D7467" s="3" t="inlineStr">
        <is>
          <t>6250/020</t>
        </is>
      </c>
      <c r="E7467" s="3" t="inlineStr">
        <is>
          <t>Computer Equipment - Accum Depre</t>
        </is>
      </c>
      <c r="F7467" s="3" t="n">
        <v>0</v>
      </c>
      <c r="G7467" s="3" t="n">
        <v>-55585.87</v>
      </c>
    </row>
    <row r="7468">
      <c r="A7468" s="3" t="inlineStr">
        <is>
          <t>Opportunity Management Holdings (PTY) LTD</t>
        </is>
      </c>
      <c r="B7468" s="4" t="n">
        <v>44592</v>
      </c>
      <c r="C7468" s="3" t="inlineStr">
        <is>
          <t>Assets</t>
        </is>
      </c>
      <c r="D7468" s="3" t="inlineStr">
        <is>
          <t>6250/030</t>
        </is>
      </c>
      <c r="E7468" s="3" t="inlineStr">
        <is>
          <t>Acc Depreciation - Computer Equipment</t>
        </is>
      </c>
      <c r="F7468" s="3" t="n">
        <v>0</v>
      </c>
      <c r="G7468" s="3" t="n">
        <v>-9441.25</v>
      </c>
    </row>
    <row r="7469">
      <c r="A7469" s="3" t="inlineStr">
        <is>
          <t>Quinate Consulting (Pty) Ltd</t>
        </is>
      </c>
      <c r="B7469" s="4" t="n">
        <v>44592</v>
      </c>
      <c r="C7469" s="3" t="inlineStr">
        <is>
          <t>Assets</t>
        </is>
      </c>
      <c r="D7469" s="3" t="inlineStr">
        <is>
          <t>6270/010</t>
        </is>
      </c>
      <c r="E7469" s="3" t="inlineStr">
        <is>
          <t>Site Containers - @ Cost</t>
        </is>
      </c>
      <c r="F7469" s="3" t="n">
        <v>0</v>
      </c>
      <c r="G7469" s="3" t="n">
        <v>19130.44</v>
      </c>
    </row>
    <row r="7470">
      <c r="A7470" s="3" t="inlineStr">
        <is>
          <t>Quinate Consulting (Pty) Ltd</t>
        </is>
      </c>
      <c r="B7470" s="4" t="n">
        <v>44592</v>
      </c>
      <c r="C7470" s="3" t="inlineStr">
        <is>
          <t>Assets</t>
        </is>
      </c>
      <c r="D7470" s="3" t="inlineStr">
        <is>
          <t>6270/020</t>
        </is>
      </c>
      <c r="E7470" s="3" t="inlineStr">
        <is>
          <t>Site Containers - Accum Depre</t>
        </is>
      </c>
      <c r="F7470" s="3" t="n">
        <v>0</v>
      </c>
      <c r="G7470" s="3" t="n">
        <v>-2869.56</v>
      </c>
    </row>
    <row r="7471">
      <c r="A7471" s="3" t="inlineStr">
        <is>
          <t>Noble Shield (Pty) Ltd ta Go Letting</t>
        </is>
      </c>
      <c r="B7471" s="4" t="n">
        <v>44592</v>
      </c>
      <c r="C7471" s="3" t="inlineStr">
        <is>
          <t>Assets</t>
        </is>
      </c>
      <c r="D7471" s="3" t="inlineStr">
        <is>
          <t>6350/010</t>
        </is>
      </c>
      <c r="E7471" s="3" t="inlineStr">
        <is>
          <t>Furniture _AND_ Fittings - @ Cost</t>
        </is>
      </c>
      <c r="F7471" s="3" t="n">
        <v>0</v>
      </c>
      <c r="G7471" s="3" t="n">
        <v>2242</v>
      </c>
    </row>
    <row r="7472">
      <c r="A7472" s="3" t="inlineStr">
        <is>
          <t>Noble Shield (Pty) Ltd ta Go Letting</t>
        </is>
      </c>
      <c r="B7472" s="4" t="n">
        <v>44592</v>
      </c>
      <c r="C7472" s="3" t="inlineStr">
        <is>
          <t>Assets</t>
        </is>
      </c>
      <c r="D7472" s="3" t="inlineStr">
        <is>
          <t>6350/020</t>
        </is>
      </c>
      <c r="E7472" s="3" t="inlineStr">
        <is>
          <t>Furniture _AND_ Fittings - Accum Depre</t>
        </is>
      </c>
      <c r="F7472" s="3" t="n">
        <v>0</v>
      </c>
      <c r="G7472" s="3" t="n">
        <v>-2239</v>
      </c>
    </row>
    <row r="7473">
      <c r="A7473" s="3" t="inlineStr">
        <is>
          <t>Opportunity Management Holdings (PTY) LTD</t>
        </is>
      </c>
      <c r="B7473" s="4" t="n">
        <v>44592</v>
      </c>
      <c r="C7473" s="3" t="inlineStr">
        <is>
          <t>Liabilities</t>
        </is>
      </c>
      <c r="D7473" s="3" t="inlineStr">
        <is>
          <t>6500/000</t>
        </is>
      </c>
      <c r="E7473" s="3" t="inlineStr">
        <is>
          <t>Deposits - Held</t>
        </is>
      </c>
      <c r="F7473" s="3" t="n">
        <v>0</v>
      </c>
      <c r="G7473" s="3" t="n">
        <v>-12028.1</v>
      </c>
    </row>
    <row r="7474">
      <c r="A7474" s="3" t="inlineStr">
        <is>
          <t>Opportunity Management Holdings (PTY) LTD</t>
        </is>
      </c>
      <c r="B7474" s="4" t="n">
        <v>44592</v>
      </c>
      <c r="C7474" s="3" t="inlineStr">
        <is>
          <t>Liabilities</t>
        </is>
      </c>
      <c r="D7474" s="3" t="inlineStr">
        <is>
          <t>6510/000</t>
        </is>
      </c>
      <c r="E7474" s="3" t="inlineStr">
        <is>
          <t>Deposits Paid - Anicol Properties</t>
        </is>
      </c>
      <c r="F7474" s="3" t="n">
        <v>0</v>
      </c>
      <c r="G7474" s="3" t="n">
        <v>13755</v>
      </c>
    </row>
    <row r="7475">
      <c r="A7475" s="3" t="inlineStr">
        <is>
          <t>Opportunity Management Holdings (PTY) LTD</t>
        </is>
      </c>
      <c r="B7475" s="4" t="n">
        <v>44592</v>
      </c>
      <c r="C7475" s="3" t="inlineStr">
        <is>
          <t>Liabilities</t>
        </is>
      </c>
      <c r="D7475" s="3" t="inlineStr">
        <is>
          <t>6515/000</t>
        </is>
      </c>
      <c r="E7475" s="3" t="inlineStr">
        <is>
          <t>Deposits Paid</t>
        </is>
      </c>
      <c r="F7475" s="3" t="n">
        <v>0</v>
      </c>
      <c r="G7475" s="3" t="n">
        <v>3852.5</v>
      </c>
    </row>
    <row r="7476">
      <c r="A7476" s="3" t="inlineStr">
        <is>
          <t>Quinate Consulting (Pty) Ltd</t>
        </is>
      </c>
      <c r="B7476" s="4" t="n">
        <v>44592</v>
      </c>
      <c r="C7476" s="3" t="inlineStr">
        <is>
          <t>Assets</t>
        </is>
      </c>
      <c r="D7476" s="3" t="inlineStr">
        <is>
          <t>6600/010</t>
        </is>
      </c>
      <c r="E7476" s="3" t="inlineStr">
        <is>
          <t>Other Fixed Assets - @ Cost</t>
        </is>
      </c>
      <c r="F7476" s="3" t="n">
        <v>0</v>
      </c>
      <c r="G7476" s="3" t="n">
        <v>14442.5</v>
      </c>
    </row>
    <row r="7477">
      <c r="A7477" s="3" t="inlineStr">
        <is>
          <t>Quinate Consulting (Pty) Ltd</t>
        </is>
      </c>
      <c r="B7477" s="4" t="n">
        <v>44592</v>
      </c>
      <c r="C7477" s="3" t="inlineStr">
        <is>
          <t>Assets</t>
        </is>
      </c>
      <c r="D7477" s="3" t="inlineStr">
        <is>
          <t>6600/020</t>
        </is>
      </c>
      <c r="E7477" s="3" t="inlineStr">
        <is>
          <t>Other Fixed Assets - Accum Depre</t>
        </is>
      </c>
      <c r="F7477" s="3" t="n">
        <v>0</v>
      </c>
      <c r="G7477" s="3" t="n">
        <v>-13238.79</v>
      </c>
    </row>
    <row r="7478">
      <c r="A7478" s="3" t="inlineStr">
        <is>
          <t>Noble Shield (Pty) Ltd ta Go Letting</t>
        </is>
      </c>
      <c r="B7478" s="4" t="n">
        <v>44592</v>
      </c>
      <c r="C7478" s="3" t="inlineStr">
        <is>
          <t>Assets</t>
        </is>
      </c>
      <c r="D7478" s="3" t="inlineStr">
        <is>
          <t>7000/100</t>
        </is>
      </c>
      <c r="E7478" s="3" t="inlineStr">
        <is>
          <t>Goodwill - Purchase of Go Letting</t>
        </is>
      </c>
      <c r="F7478" s="3" t="n">
        <v>0</v>
      </c>
      <c r="G7478" s="3" t="n">
        <v>106580</v>
      </c>
    </row>
    <row r="7479">
      <c r="A7479" s="3" t="inlineStr">
        <is>
          <t>Opportunity Management Holdings (PTY) LTD</t>
        </is>
      </c>
      <c r="B7479" s="4" t="n">
        <v>44592</v>
      </c>
      <c r="C7479" s="3" t="inlineStr">
        <is>
          <t>Assets</t>
        </is>
      </c>
      <c r="D7479" s="3" t="inlineStr">
        <is>
          <t>7200/000</t>
        </is>
      </c>
      <c r="E7479" s="3" t="inlineStr">
        <is>
          <t>Shares in Subsidiary Companies</t>
        </is>
      </c>
      <c r="F7479" s="3" t="n">
        <v>0</v>
      </c>
      <c r="G7479" s="3" t="n">
        <v>120</v>
      </c>
    </row>
    <row r="7480">
      <c r="A7480" s="3" t="inlineStr">
        <is>
          <t>Endulini (Pty) Ltd</t>
        </is>
      </c>
      <c r="B7480" s="4" t="n">
        <v>44592</v>
      </c>
      <c r="C7480" s="3" t="inlineStr">
        <is>
          <t>Assets</t>
        </is>
      </c>
      <c r="D7480" s="3" t="inlineStr">
        <is>
          <t>7610/100</t>
        </is>
      </c>
      <c r="E7480" s="3" t="inlineStr">
        <is>
          <t>Endulini Land</t>
        </is>
      </c>
      <c r="F7480" s="3" t="n">
        <v>0</v>
      </c>
      <c r="G7480" s="3" t="n">
        <v>10572851.37</v>
      </c>
    </row>
    <row r="7481">
      <c r="A7481" s="3" t="inlineStr">
        <is>
          <t>Quinate Consulting (Pty) Ltd</t>
        </is>
      </c>
      <c r="B7481" s="4" t="n">
        <v>44592</v>
      </c>
      <c r="C7481" s="3" t="inlineStr">
        <is>
          <t>Assets</t>
        </is>
      </c>
      <c r="D7481" s="3" t="inlineStr">
        <is>
          <t>7610/100</t>
        </is>
      </c>
      <c r="E7481" s="3" t="inlineStr">
        <is>
          <t>Endulini Land</t>
        </is>
      </c>
      <c r="F7481" s="3" t="n">
        <v>0</v>
      </c>
      <c r="G7481" s="3" t="n">
        <v>-766601.37</v>
      </c>
    </row>
    <row r="7482">
      <c r="A7482" s="3" t="inlineStr">
        <is>
          <t>Endulini (Pty) Ltd</t>
        </is>
      </c>
      <c r="B7482" s="4" t="n">
        <v>44592</v>
      </c>
      <c r="C7482" s="3" t="inlineStr">
        <is>
          <t>Assets</t>
        </is>
      </c>
      <c r="D7482" s="3" t="inlineStr">
        <is>
          <t>7610/101</t>
        </is>
      </c>
      <c r="E7482" s="3" t="inlineStr">
        <is>
          <t>Endulini Revaluation of Land stock</t>
        </is>
      </c>
      <c r="F7482" s="3" t="n">
        <v>0</v>
      </c>
      <c r="G7482" s="3" t="n">
        <v>6084085.78</v>
      </c>
    </row>
    <row r="7483">
      <c r="A7483" s="3" t="inlineStr">
        <is>
          <t>Endulini (Pty) Ltd</t>
        </is>
      </c>
      <c r="B7483" s="4" t="n">
        <v>44592</v>
      </c>
      <c r="C7483" s="3" t="inlineStr">
        <is>
          <t>Assets</t>
        </is>
      </c>
      <c r="D7483" s="3" t="inlineStr">
        <is>
          <t>7610/111</t>
        </is>
      </c>
      <c r="E7483" s="3" t="inlineStr">
        <is>
          <t>Endulini Closing Stock February 2021</t>
        </is>
      </c>
      <c r="F7483" s="3" t="n">
        <v>0</v>
      </c>
      <c r="G7483" s="3" t="n">
        <v>14542033.84</v>
      </c>
    </row>
    <row r="7484">
      <c r="A7484" s="3" t="inlineStr">
        <is>
          <t>Endulini (Pty) Ltd</t>
        </is>
      </c>
      <c r="B7484" s="4" t="n">
        <v>44592</v>
      </c>
      <c r="C7484" s="3" t="inlineStr">
        <is>
          <t>Assets</t>
        </is>
      </c>
      <c r="D7484" s="3" t="inlineStr">
        <is>
          <t>7610/180</t>
        </is>
      </c>
      <c r="E7484" s="3" t="inlineStr">
        <is>
          <t>Endulini CIP Architects</t>
        </is>
      </c>
      <c r="F7484" s="3" t="n">
        <v>21020</v>
      </c>
      <c r="G7484" s="3" t="n">
        <v>519874</v>
      </c>
    </row>
    <row r="7485">
      <c r="A7485" s="3" t="inlineStr">
        <is>
          <t>Endulini (Pty) Ltd</t>
        </is>
      </c>
      <c r="B7485" s="4" t="n">
        <v>44592</v>
      </c>
      <c r="C7485" s="3" t="inlineStr">
        <is>
          <t>Assets</t>
        </is>
      </c>
      <c r="D7485" s="3" t="inlineStr">
        <is>
          <t>7610/200</t>
        </is>
      </c>
      <c r="E7485" s="3" t="inlineStr">
        <is>
          <t>Endulini CIP CoCT Land Use App</t>
        </is>
      </c>
      <c r="F7485" s="3" t="n">
        <v>0</v>
      </c>
      <c r="G7485" s="3" t="n">
        <v>232891.06</v>
      </c>
    </row>
    <row r="7486">
      <c r="A7486" s="3" t="inlineStr">
        <is>
          <t>Endulini (Pty) Ltd</t>
        </is>
      </c>
      <c r="B7486" s="4" t="n">
        <v>44592</v>
      </c>
      <c r="C7486" s="3" t="inlineStr">
        <is>
          <t>Assets</t>
        </is>
      </c>
      <c r="D7486" s="3" t="inlineStr">
        <is>
          <t>7610/205</t>
        </is>
      </c>
      <c r="E7486" s="3" t="inlineStr">
        <is>
          <t>Endulini CIP Site Establishments</t>
        </is>
      </c>
      <c r="F7486" s="3" t="n">
        <v>2166063.83</v>
      </c>
      <c r="G7486" s="3" t="n">
        <v>17033799.81</v>
      </c>
    </row>
    <row r="7487">
      <c r="A7487" s="3" t="inlineStr">
        <is>
          <t>Endulini (Pty) Ltd</t>
        </is>
      </c>
      <c r="B7487" s="4" t="n">
        <v>44592</v>
      </c>
      <c r="C7487" s="3" t="inlineStr">
        <is>
          <t>Assets</t>
        </is>
      </c>
      <c r="D7487" s="3" t="inlineStr">
        <is>
          <t>7610/209</t>
        </is>
      </c>
      <c r="E7487" s="3" t="inlineStr">
        <is>
          <t>Endulini CIP Construction Management</t>
        </is>
      </c>
      <c r="F7487" s="3" t="n">
        <v>29750</v>
      </c>
      <c r="G7487" s="3" t="n">
        <v>125375</v>
      </c>
    </row>
    <row r="7488">
      <c r="A7488" s="3" t="inlineStr">
        <is>
          <t>Endulini (Pty) Ltd</t>
        </is>
      </c>
      <c r="B7488" s="4" t="n">
        <v>44592</v>
      </c>
      <c r="C7488" s="3" t="inlineStr">
        <is>
          <t>Assets</t>
        </is>
      </c>
      <c r="D7488" s="3" t="inlineStr">
        <is>
          <t>7610/210</t>
        </is>
      </c>
      <c r="E7488" s="3" t="inlineStr">
        <is>
          <t>Endulini CIP Civil Works</t>
        </is>
      </c>
      <c r="F7488" s="3" t="n">
        <v>0</v>
      </c>
      <c r="G7488" s="3" t="n">
        <v>6070825.03</v>
      </c>
    </row>
    <row r="7489">
      <c r="A7489" s="3" t="inlineStr">
        <is>
          <t>Endulini (Pty) Ltd</t>
        </is>
      </c>
      <c r="B7489" s="4" t="n">
        <v>44592</v>
      </c>
      <c r="C7489" s="3" t="inlineStr">
        <is>
          <t>Assets</t>
        </is>
      </c>
      <c r="D7489" s="3" t="inlineStr">
        <is>
          <t>7610/215</t>
        </is>
      </c>
      <c r="E7489" s="3" t="inlineStr">
        <is>
          <t>Endulini CIP Civil Engineers</t>
        </is>
      </c>
      <c r="F7489" s="3" t="n">
        <v>0</v>
      </c>
      <c r="G7489" s="3" t="n">
        <v>183000</v>
      </c>
    </row>
    <row r="7490">
      <c r="A7490" s="3" t="inlineStr">
        <is>
          <t>Endulini (Pty) Ltd</t>
        </is>
      </c>
      <c r="B7490" s="4" t="n">
        <v>44592</v>
      </c>
      <c r="C7490" s="3" t="inlineStr">
        <is>
          <t>Assets</t>
        </is>
      </c>
      <c r="D7490" s="3" t="inlineStr">
        <is>
          <t>7610/220</t>
        </is>
      </c>
      <c r="E7490" s="3" t="inlineStr">
        <is>
          <t>Endulini CIP Structuring Project Fee Opp Invest</t>
        </is>
      </c>
      <c r="F7490" s="3" t="n">
        <v>0</v>
      </c>
      <c r="G7490" s="3" t="n">
        <v>483735.96</v>
      </c>
    </row>
    <row r="7491">
      <c r="A7491" s="3" t="inlineStr">
        <is>
          <t>Endulini (Pty) Ltd</t>
        </is>
      </c>
      <c r="B7491" s="4" t="n">
        <v>44592</v>
      </c>
      <c r="C7491" s="3" t="inlineStr">
        <is>
          <t>Assets</t>
        </is>
      </c>
      <c r="D7491" s="3" t="inlineStr">
        <is>
          <t>7610/225</t>
        </is>
      </c>
      <c r="E7491" s="3" t="inlineStr">
        <is>
          <t>Endulini CIP Structural engineering fee</t>
        </is>
      </c>
      <c r="F7491" s="3" t="n">
        <v>77088.62</v>
      </c>
      <c r="G7491" s="3" t="n">
        <v>288645.08</v>
      </c>
    </row>
    <row r="7492">
      <c r="A7492" s="3" t="inlineStr">
        <is>
          <t>Endulini (Pty) Ltd</t>
        </is>
      </c>
      <c r="B7492" s="4" t="n">
        <v>44592</v>
      </c>
      <c r="C7492" s="3" t="inlineStr">
        <is>
          <t>Assets</t>
        </is>
      </c>
      <c r="D7492" s="3" t="inlineStr">
        <is>
          <t>7610/230</t>
        </is>
      </c>
      <c r="E7492" s="3" t="inlineStr">
        <is>
          <t>Endulini CIP Mechanical Engineering</t>
        </is>
      </c>
      <c r="F7492" s="3" t="n">
        <v>0</v>
      </c>
      <c r="G7492" s="3" t="n">
        <v>15570</v>
      </c>
    </row>
    <row r="7493">
      <c r="A7493" s="3" t="inlineStr">
        <is>
          <t>Endulini (Pty) Ltd</t>
        </is>
      </c>
      <c r="B7493" s="4" t="n">
        <v>44592</v>
      </c>
      <c r="C7493" s="3" t="inlineStr">
        <is>
          <t>Assets</t>
        </is>
      </c>
      <c r="D7493" s="3" t="inlineStr">
        <is>
          <t>7610/235</t>
        </is>
      </c>
      <c r="E7493" s="3" t="inlineStr">
        <is>
          <t>Endulini CIP Electrical Installation</t>
        </is>
      </c>
      <c r="F7493" s="3" t="n">
        <v>0</v>
      </c>
      <c r="G7493" s="3" t="n">
        <v>711441.28</v>
      </c>
    </row>
    <row r="7494">
      <c r="A7494" s="3" t="inlineStr">
        <is>
          <t>Endulini (Pty) Ltd</t>
        </is>
      </c>
      <c r="B7494" s="4" t="n">
        <v>44592</v>
      </c>
      <c r="C7494" s="3" t="inlineStr">
        <is>
          <t>Assets</t>
        </is>
      </c>
      <c r="D7494" s="3" t="inlineStr">
        <is>
          <t>7610/250</t>
        </is>
      </c>
      <c r="E7494" s="3" t="inlineStr">
        <is>
          <t>Endulini CIP Boundary Wall</t>
        </is>
      </c>
      <c r="F7494" s="3" t="n">
        <v>0</v>
      </c>
      <c r="G7494" s="3" t="n">
        <v>88400.8</v>
      </c>
    </row>
    <row r="7495">
      <c r="A7495" s="3" t="inlineStr">
        <is>
          <t>Endulini (Pty) Ltd</t>
        </is>
      </c>
      <c r="B7495" s="4" t="n">
        <v>44592</v>
      </c>
      <c r="C7495" s="3" t="inlineStr">
        <is>
          <t>Assets</t>
        </is>
      </c>
      <c r="D7495" s="3" t="inlineStr">
        <is>
          <t>7610/290</t>
        </is>
      </c>
      <c r="E7495" s="3" t="inlineStr">
        <is>
          <t>Endulini CIP Development Management Fees</t>
        </is>
      </c>
      <c r="F7495" s="3" t="n">
        <v>0</v>
      </c>
      <c r="G7495" s="3" t="n">
        <v>237496.62</v>
      </c>
    </row>
    <row r="7496">
      <c r="A7496" s="3" t="inlineStr">
        <is>
          <t>Endulini (Pty) Ltd</t>
        </is>
      </c>
      <c r="B7496" s="4" t="n">
        <v>44592</v>
      </c>
      <c r="C7496" s="3" t="inlineStr">
        <is>
          <t>Assets</t>
        </is>
      </c>
      <c r="D7496" s="3" t="inlineStr">
        <is>
          <t>7610/310</t>
        </is>
      </c>
      <c r="E7496" s="3" t="inlineStr">
        <is>
          <t>Endulini CIP Enviromental consultants</t>
        </is>
      </c>
      <c r="F7496" s="3" t="n">
        <v>6000</v>
      </c>
      <c r="G7496" s="3" t="n">
        <v>66000</v>
      </c>
    </row>
    <row r="7497">
      <c r="A7497" s="3" t="inlineStr">
        <is>
          <t>Endulini (Pty) Ltd</t>
        </is>
      </c>
      <c r="B7497" s="4" t="n">
        <v>44592</v>
      </c>
      <c r="C7497" s="3" t="inlineStr">
        <is>
          <t>Assets</t>
        </is>
      </c>
      <c r="D7497" s="3" t="inlineStr">
        <is>
          <t>7610/320</t>
        </is>
      </c>
      <c r="E7497" s="3" t="inlineStr">
        <is>
          <t>Endulini CIP Geotechnical</t>
        </is>
      </c>
      <c r="F7497" s="3" t="n">
        <v>0</v>
      </c>
      <c r="G7497" s="3" t="n">
        <v>13575</v>
      </c>
    </row>
    <row r="7498">
      <c r="A7498" s="3" t="inlineStr">
        <is>
          <t>Endulini (Pty) Ltd</t>
        </is>
      </c>
      <c r="B7498" s="4" t="n">
        <v>44592</v>
      </c>
      <c r="C7498" s="3" t="inlineStr">
        <is>
          <t>Assets</t>
        </is>
      </c>
      <c r="D7498" s="3" t="inlineStr">
        <is>
          <t>7610/330</t>
        </is>
      </c>
      <c r="E7498" s="3" t="inlineStr">
        <is>
          <t>Endulini CIP Health and Safety</t>
        </is>
      </c>
      <c r="F7498" s="3" t="n">
        <v>0</v>
      </c>
      <c r="G7498" s="3" t="n">
        <v>10800</v>
      </c>
    </row>
    <row r="7499">
      <c r="A7499" s="3" t="inlineStr">
        <is>
          <t>Endulini (Pty) Ltd</t>
        </is>
      </c>
      <c r="B7499" s="4" t="n">
        <v>44592</v>
      </c>
      <c r="C7499" s="3" t="inlineStr">
        <is>
          <t>Assets</t>
        </is>
      </c>
      <c r="D7499" s="3" t="inlineStr">
        <is>
          <t>7610/390</t>
        </is>
      </c>
      <c r="E7499" s="3" t="inlineStr">
        <is>
          <t>Endulini CIP Land Surveyor</t>
        </is>
      </c>
      <c r="F7499" s="3" t="n">
        <v>692.5</v>
      </c>
      <c r="G7499" s="3" t="n">
        <v>110823.2</v>
      </c>
    </row>
    <row r="7500">
      <c r="A7500" s="3" t="inlineStr">
        <is>
          <t>Endulini (Pty) Ltd</t>
        </is>
      </c>
      <c r="B7500" s="4" t="n">
        <v>44592</v>
      </c>
      <c r="C7500" s="3" t="inlineStr">
        <is>
          <t>Assets</t>
        </is>
      </c>
      <c r="D7500" s="3" t="inlineStr">
        <is>
          <t>7610/392</t>
        </is>
      </c>
      <c r="E7500" s="3" t="inlineStr">
        <is>
          <t>Endulini CIP Landscaping</t>
        </is>
      </c>
      <c r="F7500" s="3" t="n">
        <v>0</v>
      </c>
      <c r="G7500" s="3" t="n">
        <v>6100</v>
      </c>
    </row>
    <row r="7501">
      <c r="A7501" s="3" t="inlineStr">
        <is>
          <t>Endulini (Pty) Ltd</t>
        </is>
      </c>
      <c r="B7501" s="4" t="n">
        <v>44592</v>
      </c>
      <c r="C7501" s="3" t="inlineStr">
        <is>
          <t>Assets</t>
        </is>
      </c>
      <c r="D7501" s="3" t="inlineStr">
        <is>
          <t>7610/395</t>
        </is>
      </c>
      <c r="E7501" s="3" t="inlineStr">
        <is>
          <t>Endulini CIP NHBRC</t>
        </is>
      </c>
      <c r="F7501" s="3" t="n">
        <v>580265.5</v>
      </c>
      <c r="G7501" s="3" t="n">
        <v>928847.49</v>
      </c>
    </row>
    <row r="7502">
      <c r="A7502" s="3" t="inlineStr">
        <is>
          <t>Endulini (Pty) Ltd</t>
        </is>
      </c>
      <c r="B7502" s="4" t="n">
        <v>44592</v>
      </c>
      <c r="C7502" s="3" t="inlineStr">
        <is>
          <t>Assets</t>
        </is>
      </c>
      <c r="D7502" s="3" t="inlineStr">
        <is>
          <t>7610/400</t>
        </is>
      </c>
      <c r="E7502" s="3" t="inlineStr">
        <is>
          <t>Endulini CIP Quantity Surveyor</t>
        </is>
      </c>
      <c r="F7502" s="3" t="n">
        <v>0</v>
      </c>
      <c r="G7502" s="3" t="n">
        <v>82136.36</v>
      </c>
    </row>
    <row r="7503">
      <c r="A7503" s="3" t="inlineStr">
        <is>
          <t>Endulini (Pty) Ltd</t>
        </is>
      </c>
      <c r="B7503" s="4" t="n">
        <v>44592</v>
      </c>
      <c r="C7503" s="3" t="inlineStr">
        <is>
          <t>Assets</t>
        </is>
      </c>
      <c r="D7503" s="3" t="inlineStr">
        <is>
          <t>7610/600</t>
        </is>
      </c>
      <c r="E7503" s="3" t="inlineStr">
        <is>
          <t>Endulini CIP Town Planning</t>
        </is>
      </c>
      <c r="F7503" s="3" t="n">
        <v>0</v>
      </c>
      <c r="G7503" s="3" t="n">
        <v>21105</v>
      </c>
    </row>
    <row r="7504">
      <c r="A7504" s="3" t="inlineStr">
        <is>
          <t>Endulini (Pty) Ltd</t>
        </is>
      </c>
      <c r="B7504" s="4" t="n">
        <v>44592</v>
      </c>
      <c r="C7504" s="3" t="inlineStr">
        <is>
          <t>Assets</t>
        </is>
      </c>
      <c r="D7504" s="3" t="inlineStr">
        <is>
          <t>7610/620</t>
        </is>
      </c>
      <c r="E7504" s="3" t="inlineStr">
        <is>
          <t>Endulini CIP Traffic Impact</t>
        </is>
      </c>
      <c r="F7504" s="3" t="n">
        <v>0</v>
      </c>
      <c r="G7504" s="3" t="n">
        <v>24915</v>
      </c>
    </row>
    <row r="7505">
      <c r="A7505" s="3" t="inlineStr">
        <is>
          <t>Endulini (Pty) Ltd</t>
        </is>
      </c>
      <c r="B7505" s="4" t="n">
        <v>44592</v>
      </c>
      <c r="C7505" s="3" t="inlineStr">
        <is>
          <t>Assets</t>
        </is>
      </c>
      <c r="D7505" s="3" t="inlineStr">
        <is>
          <t>7610/630</t>
        </is>
      </c>
      <c r="E7505" s="3" t="inlineStr">
        <is>
          <t>Endulini CIP CoCT Development Contributi</t>
        </is>
      </c>
      <c r="F7505" s="3" t="n">
        <v>0</v>
      </c>
      <c r="G7505" s="3" t="n">
        <v>661860.3100000001</v>
      </c>
    </row>
    <row r="7506">
      <c r="A7506" s="3" t="inlineStr">
        <is>
          <t>Endulini (Pty) Ltd</t>
        </is>
      </c>
      <c r="B7506" s="4" t="n">
        <v>44592</v>
      </c>
      <c r="C7506" s="3" t="inlineStr">
        <is>
          <t>Assets</t>
        </is>
      </c>
      <c r="D7506" s="3" t="inlineStr">
        <is>
          <t>7610/640</t>
        </is>
      </c>
      <c r="E7506" s="3" t="inlineStr">
        <is>
          <t>Endulini CIP CoCT Building plan application</t>
        </is>
      </c>
      <c r="F7506" s="3" t="n">
        <v>3135.65</v>
      </c>
      <c r="G7506" s="3" t="n">
        <v>110733.65</v>
      </c>
    </row>
    <row r="7507">
      <c r="A7507" s="3" t="inlineStr">
        <is>
          <t>Quinate Consulting (Pty) Ltd</t>
        </is>
      </c>
      <c r="B7507" s="4" t="n">
        <v>44592</v>
      </c>
      <c r="C7507" s="3" t="inlineStr">
        <is>
          <t>Assets</t>
        </is>
      </c>
      <c r="D7507" s="3" t="inlineStr">
        <is>
          <t>7800/104</t>
        </is>
      </c>
      <c r="E7507" s="3" t="inlineStr">
        <is>
          <t>Stock - Closing Stock SW - 28 Feb 21</t>
        </is>
      </c>
      <c r="F7507" s="3" t="n">
        <v>0</v>
      </c>
      <c r="G7507" s="3" t="n">
        <v>2874478.88</v>
      </c>
    </row>
    <row r="7508">
      <c r="A7508" s="3" t="inlineStr">
        <is>
          <t>Quinate Consulting (Pty) Ltd</t>
        </is>
      </c>
      <c r="B7508" s="4" t="n">
        <v>44592</v>
      </c>
      <c r="C7508" s="3" t="inlineStr">
        <is>
          <t>Assets</t>
        </is>
      </c>
      <c r="D7508" s="3" t="inlineStr">
        <is>
          <t>7800/105</t>
        </is>
      </c>
      <c r="E7508" s="3" t="inlineStr">
        <is>
          <t>Stock - Closing Stock SH - 28 Feb 21</t>
        </is>
      </c>
      <c r="F7508" s="3" t="n">
        <v>0</v>
      </c>
      <c r="G7508" s="3" t="n">
        <v>2843477.6</v>
      </c>
    </row>
    <row r="7509">
      <c r="A7509" s="3" t="inlineStr">
        <is>
          <t>Endulini (Pty) Ltd</t>
        </is>
      </c>
      <c r="B7509" s="4" t="n">
        <v>44592</v>
      </c>
      <c r="C7509" s="3" t="inlineStr">
        <is>
          <t>Assets</t>
        </is>
      </c>
      <c r="D7509" s="3" t="inlineStr">
        <is>
          <t>8000/000</t>
        </is>
      </c>
      <c r="E7509" s="3" t="inlineStr">
        <is>
          <t>Customer Control Account</t>
        </is>
      </c>
      <c r="F7509" s="3" t="n">
        <v>0</v>
      </c>
      <c r="G7509" s="3" t="n">
        <v>2012.5</v>
      </c>
    </row>
    <row r="7510">
      <c r="A7510" s="3" t="inlineStr">
        <is>
          <t>Noble Shield (Pty) Ltd ta Go Letting</t>
        </is>
      </c>
      <c r="B7510" s="4" t="n">
        <v>44592</v>
      </c>
      <c r="C7510" s="3" t="inlineStr">
        <is>
          <t>Assets</t>
        </is>
      </c>
      <c r="D7510" s="3" t="inlineStr">
        <is>
          <t>8000/000</t>
        </is>
      </c>
      <c r="E7510" s="3" t="inlineStr">
        <is>
          <t>Customer Control Account</t>
        </is>
      </c>
      <c r="F7510" s="3" t="n">
        <v>0</v>
      </c>
      <c r="G7510" s="3" t="n">
        <v>60289.32</v>
      </c>
    </row>
    <row r="7511">
      <c r="A7511" s="3" t="inlineStr">
        <is>
          <t>Opportunity Global Sales (PTY) LTD</t>
        </is>
      </c>
      <c r="B7511" s="4" t="n">
        <v>44592</v>
      </c>
      <c r="C7511" s="3" t="inlineStr">
        <is>
          <t>Assets</t>
        </is>
      </c>
      <c r="D7511" s="3" t="inlineStr">
        <is>
          <t>8000/000</t>
        </is>
      </c>
      <c r="E7511" s="3" t="inlineStr">
        <is>
          <t>Customer Control Account</t>
        </is>
      </c>
      <c r="F7511" s="3" t="n">
        <v>36613.81</v>
      </c>
      <c r="G7511" s="3" t="n">
        <v>237749.84</v>
      </c>
    </row>
    <row r="7512">
      <c r="A7512" s="3" t="inlineStr">
        <is>
          <t>Opportunity Management Holdings (PTY) LTD</t>
        </is>
      </c>
      <c r="B7512" s="4" t="n">
        <v>44592</v>
      </c>
      <c r="C7512" s="3" t="inlineStr">
        <is>
          <t>Assets</t>
        </is>
      </c>
      <c r="D7512" s="3" t="inlineStr">
        <is>
          <t>8000/000</t>
        </is>
      </c>
      <c r="E7512" s="3" t="inlineStr">
        <is>
          <t>Customer Control Account</t>
        </is>
      </c>
      <c r="F7512" s="3" t="n">
        <v>116.42</v>
      </c>
      <c r="G7512" s="3" t="n">
        <v>0</v>
      </c>
    </row>
    <row r="7513">
      <c r="A7513" s="3" t="inlineStr">
        <is>
          <t>Quinate Consulting (Pty) Ltd</t>
        </is>
      </c>
      <c r="B7513" s="4" t="n">
        <v>44592</v>
      </c>
      <c r="C7513" s="3" t="inlineStr">
        <is>
          <t>Assets</t>
        </is>
      </c>
      <c r="D7513" s="3" t="inlineStr">
        <is>
          <t>8000/000</t>
        </is>
      </c>
      <c r="E7513" s="3" t="inlineStr">
        <is>
          <t>Customer Control Account</t>
        </is>
      </c>
      <c r="F7513" s="3" t="n">
        <v>-5400</v>
      </c>
      <c r="G7513" s="3" t="n">
        <v>-21637.84</v>
      </c>
    </row>
    <row r="7514">
      <c r="A7514" s="3" t="inlineStr">
        <is>
          <t>Quinate Consulting (Pty) Ltd</t>
        </is>
      </c>
      <c r="B7514" s="4" t="n">
        <v>44592</v>
      </c>
      <c r="C7514" s="3" t="inlineStr">
        <is>
          <t>Assets</t>
        </is>
      </c>
      <c r="D7514" s="3" t="inlineStr">
        <is>
          <t>8001</t>
        </is>
      </c>
      <c r="E7514" s="3" t="inlineStr">
        <is>
          <t>Customer Control</t>
        </is>
      </c>
      <c r="F7514" s="3" t="n">
        <v>0</v>
      </c>
      <c r="G7514" s="3" t="n">
        <v>29487.49</v>
      </c>
    </row>
    <row r="7515">
      <c r="A7515" s="3" t="inlineStr">
        <is>
          <t>Opportunity Global Investment (PTY) LTD</t>
        </is>
      </c>
      <c r="B7515" s="4" t="n">
        <v>44592</v>
      </c>
      <c r="C7515" s="3" t="inlineStr">
        <is>
          <t>Assets</t>
        </is>
      </c>
      <c r="D7515" s="3" t="inlineStr">
        <is>
          <t>8200/010</t>
        </is>
      </c>
      <c r="E7515" s="3" t="inlineStr">
        <is>
          <t>Prepayments / Prepaid Expenses</t>
        </is>
      </c>
      <c r="F7515" s="3" t="n">
        <v>0</v>
      </c>
      <c r="G7515" s="3" t="n">
        <v>83000</v>
      </c>
    </row>
    <row r="7516">
      <c r="A7516" s="3" t="inlineStr">
        <is>
          <t>Quinate Consulting (Pty) Ltd</t>
        </is>
      </c>
      <c r="B7516" s="4" t="n">
        <v>44592</v>
      </c>
      <c r="C7516" s="3" t="inlineStr">
        <is>
          <t>Assets</t>
        </is>
      </c>
      <c r="D7516" s="3" t="inlineStr">
        <is>
          <t>8200/010</t>
        </is>
      </c>
      <c r="E7516" s="3" t="inlineStr">
        <is>
          <t>Prepayments / Prepaid Expenses</t>
        </is>
      </c>
      <c r="F7516" s="3" t="n">
        <v>0</v>
      </c>
      <c r="G7516" s="3" t="n">
        <v>109675</v>
      </c>
    </row>
    <row r="7517">
      <c r="A7517" s="3" t="inlineStr">
        <is>
          <t>Opportunity Global Investment (PTY) LTD</t>
        </is>
      </c>
      <c r="B7517" s="4" t="n">
        <v>44592</v>
      </c>
      <c r="C7517" s="3" t="inlineStr">
        <is>
          <t>Assets</t>
        </is>
      </c>
      <c r="D7517" s="3" t="inlineStr">
        <is>
          <t>8400/000</t>
        </is>
      </c>
      <c r="E7517" s="3" t="inlineStr">
        <is>
          <t>FNB 62093491696</t>
        </is>
      </c>
      <c r="F7517" s="3" t="n">
        <v>-110733.18</v>
      </c>
      <c r="G7517" s="3" t="n">
        <v>2131.87</v>
      </c>
    </row>
    <row r="7518">
      <c r="A7518" s="3" t="inlineStr">
        <is>
          <t>Opportunity Global Sales (PTY) LTD</t>
        </is>
      </c>
      <c r="B7518" s="4" t="n">
        <v>44592</v>
      </c>
      <c r="C7518" s="3" t="inlineStr">
        <is>
          <t>Assets</t>
        </is>
      </c>
      <c r="D7518" s="3" t="inlineStr">
        <is>
          <t>8400/000</t>
        </is>
      </c>
      <c r="E7518" s="3" t="inlineStr">
        <is>
          <t>FNB 62835620875</t>
        </is>
      </c>
      <c r="F7518" s="3" t="n">
        <v>-26911.36</v>
      </c>
      <c r="G7518" s="3" t="n">
        <v>7140.11</v>
      </c>
    </row>
    <row r="7519">
      <c r="A7519" s="3" t="inlineStr">
        <is>
          <t>Quinate Consulting (Pty) Ltd</t>
        </is>
      </c>
      <c r="B7519" s="4" t="n">
        <v>44592</v>
      </c>
      <c r="C7519" s="3" t="inlineStr">
        <is>
          <t>Assets</t>
        </is>
      </c>
      <c r="D7519" s="3" t="inlineStr">
        <is>
          <t>8400/000</t>
        </is>
      </c>
      <c r="E7519" s="3" t="inlineStr">
        <is>
          <t>RMB - 62736659189 - Call Acc</t>
        </is>
      </c>
      <c r="F7519" s="3" t="n">
        <v>34.88</v>
      </c>
      <c r="G7519" s="3" t="n">
        <v>152863.79</v>
      </c>
    </row>
    <row r="7520">
      <c r="A7520" s="3" t="inlineStr">
        <is>
          <t>Trademark Holdings (Pty) Ltd</t>
        </is>
      </c>
      <c r="B7520" s="4" t="n">
        <v>44592</v>
      </c>
      <c r="C7520" s="3" t="inlineStr">
        <is>
          <t>Assets</t>
        </is>
      </c>
      <c r="D7520" s="3" t="inlineStr">
        <is>
          <t>8400/000</t>
        </is>
      </c>
      <c r="E7520" s="3" t="inlineStr">
        <is>
          <t>RMB 623 693 03640</t>
        </is>
      </c>
      <c r="F7520" s="3" t="n">
        <v>-15887.08</v>
      </c>
      <c r="G7520" s="3" t="n">
        <v>45566.17</v>
      </c>
    </row>
    <row r="7521">
      <c r="A7521" s="3" t="inlineStr">
        <is>
          <t>Noble Shield (Pty) Ltd ta Go Letting</t>
        </is>
      </c>
      <c r="B7521" s="4" t="n">
        <v>44592</v>
      </c>
      <c r="C7521" s="3" t="inlineStr">
        <is>
          <t>Assets</t>
        </is>
      </c>
      <c r="D7521" s="3" t="inlineStr">
        <is>
          <t>8400/000</t>
        </is>
      </c>
      <c r="E7521" s="3" t="inlineStr">
        <is>
          <t>RMB 6250 573 3833</t>
        </is>
      </c>
      <c r="F7521" s="3" t="n">
        <v>15553.18</v>
      </c>
      <c r="G7521" s="3" t="n">
        <v>52331.83</v>
      </c>
    </row>
    <row r="7522">
      <c r="A7522" s="3" t="inlineStr">
        <is>
          <t>Endulini (Pty) Ltd</t>
        </is>
      </c>
      <c r="B7522" s="4" t="n">
        <v>44592</v>
      </c>
      <c r="C7522" s="3" t="inlineStr">
        <is>
          <t>Assets</t>
        </is>
      </c>
      <c r="D7522" s="3" t="inlineStr">
        <is>
          <t>8400/000</t>
        </is>
      </c>
      <c r="E7522" s="3" t="inlineStr">
        <is>
          <t>RMB 62906944576</t>
        </is>
      </c>
      <c r="F7522" s="3" t="n">
        <v>22854.25</v>
      </c>
      <c r="G7522" s="3" t="n">
        <v>26597.54</v>
      </c>
    </row>
    <row r="7523">
      <c r="A7523" s="3" t="inlineStr">
        <is>
          <t>Opportunity Management Holdings (PTY) LTD</t>
        </is>
      </c>
      <c r="B7523" s="4" t="n">
        <v>44592</v>
      </c>
      <c r="C7523" s="3" t="inlineStr">
        <is>
          <t>Assets</t>
        </is>
      </c>
      <c r="D7523" s="3" t="inlineStr">
        <is>
          <t>8400/000</t>
        </is>
      </c>
      <c r="E7523" s="3" t="inlineStr">
        <is>
          <t>RMB Cheq - 62312246920</t>
        </is>
      </c>
      <c r="F7523" s="3" t="n">
        <v>-42311.48</v>
      </c>
      <c r="G7523" s="3" t="n">
        <v>22688.26</v>
      </c>
    </row>
    <row r="7524">
      <c r="A7524" s="3" t="inlineStr">
        <is>
          <t>Opportunity Global Investment (PTY) LTD</t>
        </is>
      </c>
      <c r="B7524" s="4" t="n">
        <v>44592</v>
      </c>
      <c r="C7524" s="3" t="inlineStr">
        <is>
          <t>Assets</t>
        </is>
      </c>
      <c r="D7524" s="3" t="inlineStr">
        <is>
          <t>8405/000</t>
        </is>
      </c>
      <c r="E7524" s="3" t="inlineStr">
        <is>
          <t>FNB Trust 62762449265</t>
        </is>
      </c>
      <c r="F7524" s="3" t="n">
        <v>-334.92</v>
      </c>
      <c r="G7524" s="3" t="n">
        <v>392.54</v>
      </c>
    </row>
    <row r="7525">
      <c r="A7525" s="3" t="inlineStr">
        <is>
          <t>Endulini (Pty) Ltd</t>
        </is>
      </c>
      <c r="B7525" s="4" t="n">
        <v>44592</v>
      </c>
      <c r="C7525" s="3" t="inlineStr">
        <is>
          <t>Assets</t>
        </is>
      </c>
      <c r="D7525" s="3" t="inlineStr">
        <is>
          <t>8410/000</t>
        </is>
      </c>
      <c r="E7525" s="3" t="inlineStr">
        <is>
          <t>Momentum Investor Account : RU 502229883</t>
        </is>
      </c>
      <c r="F7525" s="3" t="n">
        <v>1461951.42</v>
      </c>
      <c r="G7525" s="3" t="n">
        <v>2284889.12</v>
      </c>
    </row>
    <row r="7526">
      <c r="A7526" s="3" t="inlineStr">
        <is>
          <t>Opportunity Management Holdings (PTY) LTD</t>
        </is>
      </c>
      <c r="B7526" s="4" t="n">
        <v>44592</v>
      </c>
      <c r="C7526" s="3" t="inlineStr">
        <is>
          <t>Assets</t>
        </is>
      </c>
      <c r="D7526" s="3" t="inlineStr">
        <is>
          <t>8410/000</t>
        </is>
      </c>
      <c r="E7526" s="3" t="inlineStr">
        <is>
          <t>RMB Call Acc - 62312248851</t>
        </is>
      </c>
      <c r="F7526" s="3" t="n">
        <v>751.9400000000001</v>
      </c>
      <c r="G7526" s="3" t="n">
        <v>892.97</v>
      </c>
    </row>
    <row r="7527">
      <c r="A7527" s="3" t="inlineStr">
        <is>
          <t>Noble Shield (Pty) Ltd ta Go Letting</t>
        </is>
      </c>
      <c r="B7527" s="4" t="n">
        <v>44592</v>
      </c>
      <c r="C7527" s="3" t="inlineStr">
        <is>
          <t>Assets</t>
        </is>
      </c>
      <c r="D7527" s="3" t="inlineStr">
        <is>
          <t>8410/000</t>
        </is>
      </c>
      <c r="E7527" s="3" t="inlineStr">
        <is>
          <t>RMB Trust Acc - 6250 615 1365</t>
        </is>
      </c>
      <c r="F7527" s="3" t="n">
        <v>-347.56</v>
      </c>
      <c r="G7527" s="3" t="n">
        <v>334</v>
      </c>
    </row>
    <row r="7528">
      <c r="A7528" s="3" t="inlineStr">
        <is>
          <t>Quinate Consulting (Pty) Ltd</t>
        </is>
      </c>
      <c r="B7528" s="4" t="n">
        <v>44592</v>
      </c>
      <c r="C7528" s="3" t="inlineStr">
        <is>
          <t>Assets</t>
        </is>
      </c>
      <c r="D7528" s="3" t="inlineStr">
        <is>
          <t>8415/000</t>
        </is>
      </c>
      <c r="E7528" s="3" t="inlineStr">
        <is>
          <t>STD Acc 071 958 959 - Facility Acc</t>
        </is>
      </c>
      <c r="F7528" s="3" t="n">
        <v>0</v>
      </c>
      <c r="G7528" s="3" t="n">
        <v>4486.21</v>
      </c>
    </row>
    <row r="7529">
      <c r="A7529" s="3" t="inlineStr">
        <is>
          <t>Quinate Consulting (Pty) Ltd</t>
        </is>
      </c>
      <c r="B7529" s="4" t="n">
        <v>44592</v>
      </c>
      <c r="C7529" s="3" t="inlineStr">
        <is>
          <t>Assets</t>
        </is>
      </c>
      <c r="D7529" s="3" t="inlineStr">
        <is>
          <t>8430/000</t>
        </is>
      </c>
      <c r="E7529" s="3" t="inlineStr">
        <is>
          <t>Momentum Investment Acc - RU502230185</t>
        </is>
      </c>
      <c r="F7529" s="3" t="n">
        <v>0</v>
      </c>
      <c r="G7529" s="3" t="n">
        <v>500</v>
      </c>
    </row>
    <row r="7530">
      <c r="A7530" s="3" t="inlineStr">
        <is>
          <t>Opportunity Global Investment (PTY) LTD</t>
        </is>
      </c>
      <c r="B7530" s="4" t="n">
        <v>44592</v>
      </c>
      <c r="C7530" s="3" t="inlineStr">
        <is>
          <t>Assets</t>
        </is>
      </c>
      <c r="D7530" s="3" t="inlineStr">
        <is>
          <t>8440/000</t>
        </is>
      </c>
      <c r="E7530" s="3" t="inlineStr">
        <is>
          <t>FNB - Call 627602764438</t>
        </is>
      </c>
      <c r="F7530" s="3" t="n">
        <v>-259.12</v>
      </c>
      <c r="G7530" s="3" t="n">
        <v>558.95</v>
      </c>
    </row>
    <row r="7531">
      <c r="A7531" s="3" t="inlineStr">
        <is>
          <t>Opportunity Global Investment (PTY) LTD</t>
        </is>
      </c>
      <c r="B7531" s="4" t="n">
        <v>44592</v>
      </c>
      <c r="C7531" s="3" t="inlineStr">
        <is>
          <t>Assets</t>
        </is>
      </c>
      <c r="D7531" s="3" t="inlineStr">
        <is>
          <t>8445/000</t>
        </is>
      </c>
      <c r="E7531" s="3" t="inlineStr">
        <is>
          <t>Momentum RU502230096</t>
        </is>
      </c>
      <c r="F7531" s="3" t="n">
        <v>17.27</v>
      </c>
      <c r="G7531" s="3" t="n">
        <v>4419.48</v>
      </c>
    </row>
    <row r="7532">
      <c r="A7532" s="3" t="inlineStr">
        <is>
          <t>Quinate Consulting (Pty) Ltd</t>
        </is>
      </c>
      <c r="B7532" s="4" t="n">
        <v>44592</v>
      </c>
      <c r="C7532" s="3" t="inlineStr">
        <is>
          <t>Assets</t>
        </is>
      </c>
      <c r="D7532" s="3" t="inlineStr">
        <is>
          <t>8450/000</t>
        </is>
      </c>
      <c r="E7532" s="3" t="inlineStr">
        <is>
          <t>A RMB 62275810820</t>
        </is>
      </c>
      <c r="F7532" s="3" t="n">
        <v>-73294.75999999999</v>
      </c>
      <c r="G7532" s="3" t="n">
        <v>16345.85</v>
      </c>
    </row>
    <row r="7533">
      <c r="A7533" s="3" t="inlineStr">
        <is>
          <t>Quinate Consulting (Pty) Ltd</t>
        </is>
      </c>
      <c r="B7533" s="4" t="n">
        <v>44592</v>
      </c>
      <c r="C7533" s="3" t="inlineStr">
        <is>
          <t>Liabilities</t>
        </is>
      </c>
      <c r="D7533" s="3" t="inlineStr">
        <is>
          <t>8480/100</t>
        </is>
      </c>
      <c r="E7533" s="3" t="inlineStr">
        <is>
          <t>Bond - SH20 - STD Bank 532010558</t>
        </is>
      </c>
      <c r="F7533" s="3" t="n">
        <v>3565.41</v>
      </c>
      <c r="G7533" s="3" t="n">
        <v>-1392643.97</v>
      </c>
    </row>
    <row r="7534">
      <c r="A7534" s="3" t="inlineStr">
        <is>
          <t>Quinate Consulting (Pty) Ltd</t>
        </is>
      </c>
      <c r="B7534" s="4" t="n">
        <v>44592</v>
      </c>
      <c r="C7534" s="3" t="inlineStr">
        <is>
          <t>Liabilities</t>
        </is>
      </c>
      <c r="D7534" s="3" t="inlineStr">
        <is>
          <t>8480/200</t>
        </is>
      </c>
      <c r="E7534" s="3" t="inlineStr">
        <is>
          <t>Bond - SH23 - STD Bank 532010035</t>
        </is>
      </c>
      <c r="F7534" s="3" t="n">
        <v>3562.84</v>
      </c>
      <c r="G7534" s="3" t="n">
        <v>-1392452.77</v>
      </c>
    </row>
    <row r="7535">
      <c r="A7535" s="3" t="inlineStr">
        <is>
          <t>Quinate Consulting (Pty) Ltd</t>
        </is>
      </c>
      <c r="B7535" s="4" t="n">
        <v>44592</v>
      </c>
      <c r="C7535" s="3" t="inlineStr">
        <is>
          <t>Liabilities</t>
        </is>
      </c>
      <c r="D7535" s="3" t="inlineStr">
        <is>
          <t>8480/300</t>
        </is>
      </c>
      <c r="E7535" s="3" t="inlineStr">
        <is>
          <t>Bond - SH24 - STD Bank 532372662</t>
        </is>
      </c>
      <c r="F7535" s="3" t="n">
        <v>1713.07</v>
      </c>
      <c r="G7535" s="3" t="n">
        <v>-1467399.33</v>
      </c>
    </row>
    <row r="7536">
      <c r="A7536" s="3" t="inlineStr">
        <is>
          <t>Quinate Consulting (Pty) Ltd</t>
        </is>
      </c>
      <c r="B7536" s="4" t="n">
        <v>44592</v>
      </c>
      <c r="C7536" s="3" t="inlineStr">
        <is>
          <t>Liabilities</t>
        </is>
      </c>
      <c r="D7536" s="3" t="inlineStr">
        <is>
          <t>8480/400</t>
        </is>
      </c>
      <c r="E7536" s="3" t="inlineStr">
        <is>
          <t>Bond - SW01 - STD Bank 532920627</t>
        </is>
      </c>
      <c r="F7536" s="3" t="n">
        <v>9237.639999999999</v>
      </c>
      <c r="G7536" s="3" t="n">
        <v>-1285418.5</v>
      </c>
    </row>
    <row r="7537">
      <c r="A7537" s="3" t="inlineStr">
        <is>
          <t>Quinate Consulting (Pty) Ltd</t>
        </is>
      </c>
      <c r="B7537" s="4" t="n">
        <v>44592</v>
      </c>
      <c r="C7537" s="3" t="inlineStr">
        <is>
          <t>Liabilities</t>
        </is>
      </c>
      <c r="D7537" s="3" t="inlineStr">
        <is>
          <t>8480/401</t>
        </is>
      </c>
      <c r="E7537" s="3" t="inlineStr">
        <is>
          <t>Bond - SW21 - STD Bank 532920597</t>
        </is>
      </c>
      <c r="F7537" s="3" t="n">
        <v>9241.209999999999</v>
      </c>
      <c r="G7537" s="3" t="n">
        <v>-1285928.69</v>
      </c>
    </row>
    <row r="7538">
      <c r="A7538" s="3" t="inlineStr">
        <is>
          <t>Quinate Consulting (Pty) Ltd</t>
        </is>
      </c>
      <c r="B7538" s="4" t="n">
        <v>44592</v>
      </c>
      <c r="C7538" s="3" t="inlineStr">
        <is>
          <t>Assets</t>
        </is>
      </c>
      <c r="D7538" s="3" t="inlineStr">
        <is>
          <t>8490</t>
        </is>
      </c>
      <c r="E7538" s="3" t="inlineStr">
        <is>
          <t>STBB Trust Account</t>
        </is>
      </c>
      <c r="F7538" s="3" t="n">
        <v>0</v>
      </c>
      <c r="G7538" s="3" t="n">
        <v>200010</v>
      </c>
    </row>
    <row r="7539">
      <c r="A7539" s="3" t="inlineStr">
        <is>
          <t>Opportunity Global Investment (PTY) LTD</t>
        </is>
      </c>
      <c r="B7539" s="4" t="n">
        <v>44592</v>
      </c>
      <c r="C7539" s="3" t="inlineStr">
        <is>
          <t>Liabilities</t>
        </is>
      </c>
      <c r="D7539" s="3" t="inlineStr">
        <is>
          <t>860</t>
        </is>
      </c>
      <c r="E7539" s="3" t="inlineStr">
        <is>
          <t>Rounding</t>
        </is>
      </c>
      <c r="F7539" s="3" t="n">
        <v>0</v>
      </c>
      <c r="G7539" s="3" t="n">
        <v>-0.03</v>
      </c>
    </row>
    <row r="7540">
      <c r="A7540" s="3" t="inlineStr">
        <is>
          <t>Endulini (Pty) Ltd</t>
        </is>
      </c>
      <c r="B7540" s="4" t="n">
        <v>44592</v>
      </c>
      <c r="C7540" s="3" t="inlineStr">
        <is>
          <t>Liabilities</t>
        </is>
      </c>
      <c r="D7540" s="3" t="inlineStr">
        <is>
          <t>9000/000</t>
        </is>
      </c>
      <c r="E7540" s="3" t="inlineStr">
        <is>
          <t>Supplier Control Account</t>
        </is>
      </c>
      <c r="F7540" s="3" t="n">
        <v>-4595666.88</v>
      </c>
      <c r="G7540" s="3" t="n">
        <v>-51732452.99</v>
      </c>
    </row>
    <row r="7541">
      <c r="A7541" s="3" t="inlineStr">
        <is>
          <t>Noble Shield (Pty) Ltd ta Go Letting</t>
        </is>
      </c>
      <c r="B7541" s="4" t="n">
        <v>44592</v>
      </c>
      <c r="C7541" s="3" t="inlineStr">
        <is>
          <t>Liabilities</t>
        </is>
      </c>
      <c r="D7541" s="3" t="inlineStr">
        <is>
          <t>9000/000</t>
        </is>
      </c>
      <c r="E7541" s="3" t="inlineStr">
        <is>
          <t>Supplier Control Account</t>
        </is>
      </c>
      <c r="F7541" s="3" t="n">
        <v>-37975.3</v>
      </c>
      <c r="G7541" s="3" t="n">
        <v>-59204.54</v>
      </c>
    </row>
    <row r="7542">
      <c r="A7542" s="3" t="inlineStr">
        <is>
          <t>Opportunity Global Investment (PTY) LTD</t>
        </is>
      </c>
      <c r="B7542" s="4" t="n">
        <v>44592</v>
      </c>
      <c r="C7542" s="3" t="inlineStr">
        <is>
          <t>Liabilities</t>
        </is>
      </c>
      <c r="D7542" s="3" t="inlineStr">
        <is>
          <t>9000/000</t>
        </is>
      </c>
      <c r="E7542" s="3" t="inlineStr">
        <is>
          <t>Supplier Control Account</t>
        </is>
      </c>
      <c r="F7542" s="3" t="n">
        <v>-156745.43</v>
      </c>
      <c r="G7542" s="3" t="n">
        <v>-184699.84</v>
      </c>
    </row>
    <row r="7543">
      <c r="A7543" s="3" t="inlineStr">
        <is>
          <t>Opportunity Global Sales (PTY) LTD</t>
        </is>
      </c>
      <c r="B7543" s="4" t="n">
        <v>44592</v>
      </c>
      <c r="C7543" s="3" t="inlineStr">
        <is>
          <t>Liabilities</t>
        </is>
      </c>
      <c r="D7543" s="3" t="inlineStr">
        <is>
          <t>9000/000</t>
        </is>
      </c>
      <c r="E7543" s="3" t="inlineStr">
        <is>
          <t>Supplier Control Account</t>
        </is>
      </c>
      <c r="F7543" s="3" t="n">
        <v>32</v>
      </c>
      <c r="G7543" s="3" t="n">
        <v>-440</v>
      </c>
    </row>
    <row r="7544">
      <c r="A7544" s="3" t="inlineStr">
        <is>
          <t>Opportunity Management Holdings (PTY) LTD</t>
        </is>
      </c>
      <c r="B7544" s="4" t="n">
        <v>44592</v>
      </c>
      <c r="C7544" s="3" t="inlineStr">
        <is>
          <t>Liabilities</t>
        </is>
      </c>
      <c r="D7544" s="3" t="inlineStr">
        <is>
          <t>9000/000</t>
        </is>
      </c>
      <c r="E7544" s="3" t="inlineStr">
        <is>
          <t>Supplier Control Account</t>
        </is>
      </c>
      <c r="F7544" s="3" t="n">
        <v>-4398.75</v>
      </c>
      <c r="G7544" s="3" t="n">
        <v>-268388.03</v>
      </c>
    </row>
    <row r="7545">
      <c r="A7545" s="3" t="inlineStr">
        <is>
          <t>Quinate Consulting (Pty) Ltd</t>
        </is>
      </c>
      <c r="B7545" s="4" t="n">
        <v>44592</v>
      </c>
      <c r="C7545" s="3" t="inlineStr">
        <is>
          <t>Liabilities</t>
        </is>
      </c>
      <c r="D7545" s="3" t="inlineStr">
        <is>
          <t>9000/000</t>
        </is>
      </c>
      <c r="E7545" s="3" t="inlineStr">
        <is>
          <t>Supplier Control Account</t>
        </is>
      </c>
      <c r="F7545" s="3" t="n">
        <v>-618923.11</v>
      </c>
      <c r="G7545" s="3" t="n">
        <v>-196705</v>
      </c>
    </row>
    <row r="7546">
      <c r="A7546" s="3" t="inlineStr">
        <is>
          <t>Trademark Holdings (Pty) Ltd</t>
        </is>
      </c>
      <c r="B7546" s="4" t="n">
        <v>44592</v>
      </c>
      <c r="C7546" s="3" t="inlineStr">
        <is>
          <t>Liabilities</t>
        </is>
      </c>
      <c r="D7546" s="3" t="inlineStr">
        <is>
          <t>9000/000</t>
        </is>
      </c>
      <c r="E7546" s="3" t="inlineStr">
        <is>
          <t>Supplier Control Account</t>
        </is>
      </c>
      <c r="F7546" s="3" t="n">
        <v>-20786.75</v>
      </c>
      <c r="G7546" s="3" t="n">
        <v>-37100.82</v>
      </c>
    </row>
    <row r="7547">
      <c r="A7547" s="3" t="inlineStr">
        <is>
          <t>Quinate Consulting (Pty) Ltd</t>
        </is>
      </c>
      <c r="B7547" s="4" t="n">
        <v>44592</v>
      </c>
      <c r="C7547" s="3" t="inlineStr">
        <is>
          <t>Liabilities</t>
        </is>
      </c>
      <c r="D7547" s="3" t="inlineStr">
        <is>
          <t>9001</t>
        </is>
      </c>
      <c r="E7547" s="3" t="inlineStr">
        <is>
          <t>Supplier Control</t>
        </is>
      </c>
      <c r="F7547" s="3" t="n">
        <v>0</v>
      </c>
      <c r="G7547" s="3" t="n">
        <v>-347315.41</v>
      </c>
    </row>
    <row r="7548">
      <c r="A7548" s="3" t="inlineStr">
        <is>
          <t>Opportunity Management Holdings (PTY) LTD</t>
        </is>
      </c>
      <c r="B7548" s="4" t="n">
        <v>44592</v>
      </c>
      <c r="C7548" s="3" t="inlineStr">
        <is>
          <t>Assets</t>
        </is>
      </c>
      <c r="D7548" s="3" t="inlineStr">
        <is>
          <t>9110/000</t>
        </is>
      </c>
      <c r="E7548" s="3" t="inlineStr">
        <is>
          <t>Deposit Received</t>
        </is>
      </c>
      <c r="F7548" s="3" t="n">
        <v>0</v>
      </c>
      <c r="G7548" s="3" t="n">
        <v>-3852.5</v>
      </c>
    </row>
    <row r="7549">
      <c r="A7549" s="3" t="inlineStr">
        <is>
          <t>Endulini (Pty) Ltd</t>
        </is>
      </c>
      <c r="B7549" s="4" t="n">
        <v>44592</v>
      </c>
      <c r="C7549" s="3" t="inlineStr">
        <is>
          <t>Liabilities</t>
        </is>
      </c>
      <c r="D7549" s="3" t="inlineStr">
        <is>
          <t>9200/100</t>
        </is>
      </c>
      <c r="E7549" s="3" t="inlineStr">
        <is>
          <t>Sundry Suppliers - Heron Fields</t>
        </is>
      </c>
      <c r="F7549" s="3" t="n">
        <v>0</v>
      </c>
      <c r="G7549" s="3" t="n">
        <v>-300000</v>
      </c>
    </row>
    <row r="7550">
      <c r="A7550" s="3" t="inlineStr">
        <is>
          <t>Opportunity Global Sales (PTY) LTD</t>
        </is>
      </c>
      <c r="B7550" s="4" t="n">
        <v>44592</v>
      </c>
      <c r="C7550" s="3" t="inlineStr">
        <is>
          <t>Liabilities</t>
        </is>
      </c>
      <c r="D7550" s="3" t="inlineStr">
        <is>
          <t>9230/100</t>
        </is>
      </c>
      <c r="E7550" s="3" t="inlineStr">
        <is>
          <t>Income Received in Advanced</t>
        </is>
      </c>
      <c r="F7550" s="3" t="n">
        <v>0</v>
      </c>
      <c r="G7550" s="3" t="n">
        <v>-869.5599999999999</v>
      </c>
    </row>
    <row r="7551">
      <c r="A7551" s="3" t="inlineStr">
        <is>
          <t>Noble Shield (Pty) Ltd ta Go Letting</t>
        </is>
      </c>
      <c r="B7551" s="4" t="n">
        <v>44592</v>
      </c>
      <c r="C7551" s="3" t="inlineStr">
        <is>
          <t>Liabilities</t>
        </is>
      </c>
      <c r="D7551" s="3" t="inlineStr">
        <is>
          <t>9250/010</t>
        </is>
      </c>
      <c r="E7551" s="3" t="inlineStr">
        <is>
          <t>SALARY CONTROL</t>
        </is>
      </c>
      <c r="F7551" s="3" t="n">
        <v>-4001.15</v>
      </c>
      <c r="G7551" s="3" t="n">
        <v>-21481.74</v>
      </c>
    </row>
    <row r="7552">
      <c r="A7552" s="3" t="inlineStr">
        <is>
          <t>Opportunity Global Sales (PTY) LTD</t>
        </is>
      </c>
      <c r="B7552" s="4" t="n">
        <v>44592</v>
      </c>
      <c r="C7552" s="3" t="inlineStr">
        <is>
          <t>Liabilities</t>
        </is>
      </c>
      <c r="D7552" s="3" t="inlineStr">
        <is>
          <t>9250/010</t>
        </is>
      </c>
      <c r="E7552" s="3" t="inlineStr">
        <is>
          <t>SALARY CONTROL</t>
        </is>
      </c>
      <c r="F7552" s="3" t="n">
        <v>2152.5</v>
      </c>
      <c r="G7552" s="3" t="n">
        <v>20910.77</v>
      </c>
    </row>
    <row r="7553">
      <c r="A7553" s="3" t="inlineStr">
        <is>
          <t>Trademark Holdings (Pty) Ltd</t>
        </is>
      </c>
      <c r="B7553" s="4" t="n">
        <v>44592</v>
      </c>
      <c r="C7553" s="3" t="inlineStr">
        <is>
          <t>Liabilities</t>
        </is>
      </c>
      <c r="D7553" s="3" t="inlineStr">
        <is>
          <t>9250/010</t>
        </is>
      </c>
      <c r="E7553" s="3" t="inlineStr">
        <is>
          <t>SALARY CONTROL</t>
        </is>
      </c>
      <c r="F7553" s="3" t="n">
        <v>853.38</v>
      </c>
      <c r="G7553" s="3" t="n">
        <v>-18700.93</v>
      </c>
    </row>
    <row r="7554">
      <c r="A7554" s="3" t="inlineStr">
        <is>
          <t>Noble Shield (Pty) Ltd ta Go Letting</t>
        </is>
      </c>
      <c r="B7554" s="4" t="n">
        <v>44592</v>
      </c>
      <c r="C7554" s="3" t="inlineStr">
        <is>
          <t>Liabilities</t>
        </is>
      </c>
      <c r="D7554" s="3" t="inlineStr">
        <is>
          <t>9250/020</t>
        </is>
      </c>
      <c r="E7554" s="3" t="inlineStr">
        <is>
          <t>PAYE, UIF AND SDL CONTROL</t>
        </is>
      </c>
      <c r="F7554" s="3" t="n">
        <v>788</v>
      </c>
      <c r="G7554" s="3" t="n">
        <v>-6545.79</v>
      </c>
    </row>
    <row r="7555">
      <c r="A7555" s="3" t="inlineStr">
        <is>
          <t>Opportunity Global Investment (PTY) LTD</t>
        </is>
      </c>
      <c r="B7555" s="4" t="n">
        <v>44592</v>
      </c>
      <c r="C7555" s="3" t="inlineStr">
        <is>
          <t>Liabilities</t>
        </is>
      </c>
      <c r="D7555" s="3" t="inlineStr">
        <is>
          <t>9250/020</t>
        </is>
      </c>
      <c r="E7555" s="3" t="inlineStr">
        <is>
          <t>PAYE, UIF AND SDL CONTROL</t>
        </is>
      </c>
      <c r="F7555" s="3" t="n">
        <v>21528.36</v>
      </c>
      <c r="G7555" s="3" t="n">
        <v>17176.4</v>
      </c>
    </row>
    <row r="7556">
      <c r="A7556" s="3" t="inlineStr">
        <is>
          <t>Opportunity Global Sales (PTY) LTD</t>
        </is>
      </c>
      <c r="B7556" s="4" t="n">
        <v>44592</v>
      </c>
      <c r="C7556" s="3" t="inlineStr">
        <is>
          <t>Liabilities</t>
        </is>
      </c>
      <c r="D7556" s="3" t="inlineStr">
        <is>
          <t>9250/020</t>
        </is>
      </c>
      <c r="E7556" s="3" t="inlineStr">
        <is>
          <t>PAYE, UIF AND SDL CONTROL</t>
        </is>
      </c>
      <c r="F7556" s="3" t="n">
        <v>-22267.36</v>
      </c>
      <c r="G7556" s="3" t="n">
        <v>-45341.63</v>
      </c>
    </row>
    <row r="7557">
      <c r="A7557" s="3" t="inlineStr">
        <is>
          <t>Opportunity Management Holdings (PTY) LTD</t>
        </is>
      </c>
      <c r="B7557" s="4" t="n">
        <v>44592</v>
      </c>
      <c r="C7557" s="3" t="inlineStr">
        <is>
          <t>Liabilities</t>
        </is>
      </c>
      <c r="D7557" s="3" t="inlineStr">
        <is>
          <t>9250/020</t>
        </is>
      </c>
      <c r="E7557" s="3" t="inlineStr">
        <is>
          <t>PAYE, UIF AND SDL CONTROL</t>
        </is>
      </c>
      <c r="F7557" s="3" t="n">
        <v>5238.91</v>
      </c>
      <c r="G7557" s="3" t="n">
        <v>-37801.24</v>
      </c>
    </row>
    <row r="7558">
      <c r="A7558" s="3" t="inlineStr">
        <is>
          <t>Trademark Holdings (Pty) Ltd</t>
        </is>
      </c>
      <c r="B7558" s="4" t="n">
        <v>44592</v>
      </c>
      <c r="C7558" s="3" t="inlineStr">
        <is>
          <t>Liabilities</t>
        </is>
      </c>
      <c r="D7558" s="3" t="inlineStr">
        <is>
          <t>9250/020</t>
        </is>
      </c>
      <c r="E7558" s="3" t="inlineStr">
        <is>
          <t>PAYE, UIF AND SDL CONTROL</t>
        </is>
      </c>
      <c r="F7558" s="3" t="n">
        <v>395.76</v>
      </c>
      <c r="G7558" s="3" t="n">
        <v>-8997.98</v>
      </c>
    </row>
    <row r="7559">
      <c r="A7559" s="3" t="inlineStr">
        <is>
          <t>Opportunity Global Investment (PTY) LTD</t>
        </is>
      </c>
      <c r="B7559" s="4" t="n">
        <v>44592</v>
      </c>
      <c r="C7559" s="3" t="inlineStr">
        <is>
          <t>Liabilities</t>
        </is>
      </c>
      <c r="D7559" s="3" t="inlineStr">
        <is>
          <t>9400/030</t>
        </is>
      </c>
      <c r="E7559" s="3" t="inlineStr">
        <is>
          <t>Accrued Expenses - PAYE_AND_UIF</t>
        </is>
      </c>
      <c r="F7559" s="3" t="n">
        <v>0</v>
      </c>
      <c r="G7559" s="3" t="n">
        <v>-2</v>
      </c>
    </row>
    <row r="7560">
      <c r="A7560" s="3" t="inlineStr">
        <is>
          <t>Trademark Holdings (Pty) Ltd</t>
        </is>
      </c>
      <c r="B7560" s="4" t="n">
        <v>44592</v>
      </c>
      <c r="C7560" s="3" t="inlineStr">
        <is>
          <t>Liabilities</t>
        </is>
      </c>
      <c r="D7560" s="3" t="inlineStr">
        <is>
          <t>9400/400</t>
        </is>
      </c>
      <c r="E7560" s="3" t="inlineStr">
        <is>
          <t>Deemed Dividend Tax</t>
        </is>
      </c>
      <c r="F7560" s="3" t="n">
        <v>0</v>
      </c>
      <c r="G7560" s="3" t="n">
        <v>-699.13</v>
      </c>
    </row>
    <row r="7561">
      <c r="A7561" s="3" t="inlineStr">
        <is>
          <t>Opportunity Global Investment (PTY) LTD</t>
        </is>
      </c>
      <c r="B7561" s="4" t="n">
        <v>44592</v>
      </c>
      <c r="C7561" s="3" t="inlineStr">
        <is>
          <t>Liabilities</t>
        </is>
      </c>
      <c r="D7561" s="3" t="inlineStr">
        <is>
          <t>9500/000</t>
        </is>
      </c>
      <c r="E7561" s="3" t="inlineStr">
        <is>
          <t>VAT Control Account</t>
        </is>
      </c>
      <c r="F7561" s="3" t="n">
        <v>-55910.8</v>
      </c>
      <c r="G7561" s="3" t="n">
        <v>-73857.25</v>
      </c>
    </row>
    <row r="7562">
      <c r="A7562" s="3" t="inlineStr">
        <is>
          <t>Opportunity Global Sales (PTY) LTD</t>
        </is>
      </c>
      <c r="B7562" s="4" t="n">
        <v>44592</v>
      </c>
      <c r="C7562" s="3" t="inlineStr">
        <is>
          <t>Liabilities</t>
        </is>
      </c>
      <c r="D7562" s="3" t="inlineStr">
        <is>
          <t>9500/000</t>
        </is>
      </c>
      <c r="E7562" s="3" t="inlineStr">
        <is>
          <t>VAT Control Account</t>
        </is>
      </c>
      <c r="F7562" s="3" t="n">
        <v>-13304.43</v>
      </c>
      <c r="G7562" s="3" t="n">
        <v>-28849.41</v>
      </c>
    </row>
    <row r="7563">
      <c r="A7563" s="3" t="inlineStr">
        <is>
          <t>Opportunity Management Holdings (PTY) LTD</t>
        </is>
      </c>
      <c r="B7563" s="4" t="n">
        <v>44592</v>
      </c>
      <c r="C7563" s="3" t="inlineStr">
        <is>
          <t>Liabilities</t>
        </is>
      </c>
      <c r="D7563" s="3" t="inlineStr">
        <is>
          <t>9500/000</t>
        </is>
      </c>
      <c r="E7563" s="3" t="inlineStr">
        <is>
          <t>VAT Control Account</t>
        </is>
      </c>
      <c r="F7563" s="3" t="n">
        <v>-37554.11</v>
      </c>
      <c r="G7563" s="3" t="n">
        <v>4450.03</v>
      </c>
    </row>
    <row r="7564">
      <c r="A7564" s="3" t="inlineStr">
        <is>
          <t>Endulini (Pty) Ltd</t>
        </is>
      </c>
      <c r="B7564" s="4" t="n">
        <v>44592</v>
      </c>
      <c r="C7564" s="3" t="inlineStr">
        <is>
          <t>Liabilities</t>
        </is>
      </c>
      <c r="D7564" s="3" t="inlineStr">
        <is>
          <t>9500/000</t>
        </is>
      </c>
      <c r="E7564" s="3" t="inlineStr">
        <is>
          <t>Vat / Tax Control Account</t>
        </is>
      </c>
      <c r="F7564" s="3" t="n">
        <v>352885.73</v>
      </c>
      <c r="G7564" s="3" t="n">
        <v>2512436.27</v>
      </c>
    </row>
    <row r="7565">
      <c r="A7565" s="3" t="inlineStr">
        <is>
          <t>Quinate Consulting (Pty) Ltd</t>
        </is>
      </c>
      <c r="B7565" s="4" t="n">
        <v>44592</v>
      </c>
      <c r="C7565" s="3" t="inlineStr">
        <is>
          <t>Liabilities</t>
        </is>
      </c>
      <c r="D7565" s="3" t="inlineStr">
        <is>
          <t>9500/000</t>
        </is>
      </c>
      <c r="E7565" s="3" t="inlineStr">
        <is>
          <t>Vat Control Account</t>
        </is>
      </c>
      <c r="F7565" s="3" t="n">
        <v>84267.19</v>
      </c>
      <c r="G7565" s="3" t="n">
        <v>-859655.11</v>
      </c>
    </row>
    <row r="7566">
      <c r="A7566" s="3" t="inlineStr">
        <is>
          <t>Opportunity Management Holdings (PTY) LTD</t>
        </is>
      </c>
      <c r="B7566" s="4" t="n">
        <v>44592</v>
      </c>
      <c r="C7566" s="3" t="inlineStr">
        <is>
          <t>Liabilities</t>
        </is>
      </c>
      <c r="D7566" s="3" t="inlineStr">
        <is>
          <t>9501/000</t>
        </is>
      </c>
      <c r="E7566" s="3" t="inlineStr">
        <is>
          <t>Vat Adjustments - C2M</t>
        </is>
      </c>
      <c r="F7566" s="3" t="n">
        <v>0</v>
      </c>
      <c r="G7566" s="3" t="n">
        <v>47274.04</v>
      </c>
    </row>
    <row r="7567">
      <c r="A7567" s="3" t="inlineStr">
        <is>
          <t>Endulini (Pty) Ltd</t>
        </is>
      </c>
      <c r="B7567" s="4" t="n">
        <v>44592</v>
      </c>
      <c r="C7567" s="3" t="inlineStr">
        <is>
          <t>Liabilities</t>
        </is>
      </c>
      <c r="D7567" s="3" t="inlineStr">
        <is>
          <t>9800/000</t>
        </is>
      </c>
      <c r="E7567" s="3" t="inlineStr">
        <is>
          <t>Contra Account</t>
        </is>
      </c>
      <c r="F7567" s="3" t="n">
        <v>-100000</v>
      </c>
      <c r="G7567" s="3" t="n">
        <v>100000</v>
      </c>
    </row>
    <row r="7568">
      <c r="A7568" s="3" t="inlineStr">
        <is>
          <t>Quinate Consulting (Pty) Ltd</t>
        </is>
      </c>
      <c r="B7568" s="4" t="n">
        <v>44592</v>
      </c>
      <c r="C7568" s="3" t="inlineStr">
        <is>
          <t>Liabilities</t>
        </is>
      </c>
      <c r="D7568" s="3" t="inlineStr">
        <is>
          <t>9959/000</t>
        </is>
      </c>
      <c r="E7568" s="3" t="inlineStr">
        <is>
          <t>Dep Funds/Paid - Grey Heron Langeberg</t>
        </is>
      </c>
      <c r="F7568" s="3" t="n">
        <v>0</v>
      </c>
      <c r="G7568" s="3" t="n">
        <v>-200000</v>
      </c>
    </row>
    <row r="7569">
      <c r="A7569" s="3" t="inlineStr">
        <is>
          <t>Quinate Consulting (Pty) Ltd</t>
        </is>
      </c>
      <c r="B7569" s="4" t="n">
        <v>44592</v>
      </c>
      <c r="C7569" s="3" t="inlineStr">
        <is>
          <t>Liabilities</t>
        </is>
      </c>
      <c r="D7569" s="3" t="inlineStr">
        <is>
          <t>9960/000</t>
        </is>
      </c>
      <c r="E7569" s="3" t="inlineStr">
        <is>
          <t>Deposits - Southwark Rentals</t>
        </is>
      </c>
      <c r="F7569" s="3" t="n">
        <v>0</v>
      </c>
      <c r="G7569" s="3" t="n">
        <v>-11500</v>
      </c>
    </row>
    <row r="7570">
      <c r="A7570" s="3" t="inlineStr">
        <is>
          <t>Noble Shield (Pty) Ltd ta Go Letting</t>
        </is>
      </c>
      <c r="B7570" s="4" t="n">
        <v>44592</v>
      </c>
      <c r="C7570" s="3" t="inlineStr">
        <is>
          <t>Expenses</t>
        </is>
      </c>
      <c r="D7570" s="3" t="inlineStr">
        <is>
          <t>ACB Link</t>
        </is>
      </c>
      <c r="E7570" s="3" t="inlineStr">
        <is>
          <t>Subscriptions - TPN</t>
        </is>
      </c>
      <c r="F7570" s="3" t="n">
        <v>1207.39</v>
      </c>
      <c r="G7570" s="3" t="n">
        <v>11038.25</v>
      </c>
    </row>
    <row r="7571">
      <c r="A7571" s="3" t="inlineStr">
        <is>
          <t>Noble Shield (Pty) Ltd ta Go Letting</t>
        </is>
      </c>
      <c r="B7571" s="4" t="n">
        <v>44592</v>
      </c>
      <c r="C7571" s="3" t="inlineStr">
        <is>
          <t>Liabilities</t>
        </is>
      </c>
      <c r="D7571" s="3" t="inlineStr">
        <is>
          <t>B/S</t>
        </is>
      </c>
      <c r="E7571" s="3" t="inlineStr">
        <is>
          <t>Tax Payable</t>
        </is>
      </c>
      <c r="F7571" s="3" t="n">
        <v>0</v>
      </c>
      <c r="G7571" s="3" t="n">
        <v>-6843.4</v>
      </c>
    </row>
    <row r="7572">
      <c r="A7572" s="3" t="inlineStr">
        <is>
          <t>Trademark Holdings (Pty) Ltd</t>
        </is>
      </c>
      <c r="B7572" s="4" t="n">
        <v>44592</v>
      </c>
      <c r="C7572" s="3" t="inlineStr">
        <is>
          <t>Liabilities</t>
        </is>
      </c>
      <c r="D7572" s="3" t="inlineStr">
        <is>
          <t>B/S</t>
        </is>
      </c>
      <c r="E7572" s="3" t="inlineStr">
        <is>
          <t>Taxation Payable</t>
        </is>
      </c>
      <c r="F7572" s="3" t="n">
        <v>0</v>
      </c>
      <c r="G7572" s="3" t="n">
        <v>-4172.16</v>
      </c>
    </row>
    <row r="7573">
      <c r="A7573" s="3" t="inlineStr">
        <is>
          <t>Quinate Consulting (Pty) Ltd</t>
        </is>
      </c>
      <c r="B7573" s="4" t="n">
        <v>44592</v>
      </c>
      <c r="C7573" s="3" t="inlineStr">
        <is>
          <t>Liabilities</t>
        </is>
      </c>
      <c r="D7573" s="3" t="inlineStr">
        <is>
          <t xml:space="preserve">B/S </t>
        </is>
      </c>
      <c r="E7573" s="3" t="inlineStr">
        <is>
          <t>Taxation Payable</t>
        </is>
      </c>
      <c r="F7573" s="3" t="n">
        <v>0</v>
      </c>
      <c r="G7573" s="3" t="n">
        <v>-15486</v>
      </c>
    </row>
    <row r="7574">
      <c r="A7574" s="3" t="inlineStr">
        <is>
          <t>Trademark Holdings (Pty) Ltd</t>
        </is>
      </c>
      <c r="B7574" s="4" t="n">
        <v>44592</v>
      </c>
      <c r="C7574" s="3" t="inlineStr">
        <is>
          <t>Expenses</t>
        </is>
      </c>
      <c r="D7574" s="3" t="inlineStr">
        <is>
          <t>I/S</t>
        </is>
      </c>
      <c r="E7574" s="3" t="inlineStr">
        <is>
          <t>Income Tax Current Year</t>
        </is>
      </c>
      <c r="F7574" s="3" t="n">
        <v>0</v>
      </c>
      <c r="G7574" s="3" t="n">
        <v>2251.76</v>
      </c>
    </row>
    <row r="7575">
      <c r="A7575" s="3" t="inlineStr">
        <is>
          <t>Quinate Consulting (Pty) Ltd</t>
        </is>
      </c>
      <c r="B7575" s="4" t="n">
        <v>44592</v>
      </c>
      <c r="C7575" s="3" t="inlineStr">
        <is>
          <t>Liabilities</t>
        </is>
      </c>
      <c r="D7575" s="3" t="inlineStr">
        <is>
          <t>Pty</t>
        </is>
      </c>
      <c r="E7575" s="3" t="inlineStr">
        <is>
          <t>Loan - Heron Projects</t>
        </is>
      </c>
      <c r="F7575" s="3" t="n">
        <v>0</v>
      </c>
      <c r="G7575" s="3" t="n">
        <v>275000</v>
      </c>
    </row>
    <row r="7576">
      <c r="A7576" s="3" t="inlineStr">
        <is>
          <t>Quinate Consulting (Pty) Ltd</t>
        </is>
      </c>
      <c r="B7576" s="4" t="n">
        <v>44592</v>
      </c>
      <c r="C7576" s="3" t="inlineStr">
        <is>
          <t>Liabilities</t>
        </is>
      </c>
      <c r="D7576" s="3" t="inlineStr">
        <is>
          <t>Sharehold OppDev</t>
        </is>
      </c>
      <c r="E7576" s="3" t="inlineStr">
        <is>
          <t>Loan - Justine Morgan</t>
        </is>
      </c>
      <c r="F7576" s="3" t="n">
        <v>0</v>
      </c>
      <c r="G7576" s="3" t="n">
        <v>-563766.76</v>
      </c>
    </row>
    <row r="7577">
      <c r="A7577" s="3" t="inlineStr">
        <is>
          <t>Opportunity Global Investment (PTY) LTD</t>
        </is>
      </c>
      <c r="B7577" s="4" t="n">
        <v>44592</v>
      </c>
      <c r="C7577" s="3" t="inlineStr">
        <is>
          <t>Expenses</t>
        </is>
      </c>
      <c r="D7577" s="3" t="inlineStr">
        <is>
          <t>Swiftshutter</t>
        </is>
      </c>
      <c r="E7577" s="3" t="inlineStr">
        <is>
          <t>Advertising - Rousseau Lotter</t>
        </is>
      </c>
      <c r="F7577" s="3" t="n">
        <v>0</v>
      </c>
      <c r="G7577" s="3" t="n">
        <v>13200</v>
      </c>
    </row>
    <row r="7578">
      <c r="A7578" s="3" t="inlineStr">
        <is>
          <t>Opportunity Global Sales (PTY) LTD</t>
        </is>
      </c>
      <c r="B7578" s="4" t="n">
        <v>44592</v>
      </c>
      <c r="C7578" s="3" t="inlineStr">
        <is>
          <t>Expenses</t>
        </is>
      </c>
      <c r="D7578" s="3" t="inlineStr">
        <is>
          <t>rental units</t>
        </is>
      </c>
      <c r="E7578" s="3" t="inlineStr">
        <is>
          <t>Rent - Paid to owner</t>
        </is>
      </c>
      <c r="F7578" s="3" t="n">
        <v>0</v>
      </c>
      <c r="G7578" s="3" t="n">
        <v>33534</v>
      </c>
    </row>
    <row r="7579">
      <c r="A7579" s="3" t="inlineStr">
        <is>
          <t>Opportunity Global Sales (PTY) LTD</t>
        </is>
      </c>
      <c r="B7579" s="4" t="n">
        <v>44620</v>
      </c>
      <c r="C7579" s="3" t="inlineStr">
        <is>
          <t>Revenue</t>
        </is>
      </c>
      <c r="D7579" s="3" t="inlineStr">
        <is>
          <t>1000/009</t>
        </is>
      </c>
      <c r="E7579" s="3" t="inlineStr">
        <is>
          <t>Sales - Comm on Payprop</t>
        </is>
      </c>
      <c r="F7579" s="3" t="n">
        <v>-896.96</v>
      </c>
      <c r="G7579" s="3" t="n">
        <v>-896.96</v>
      </c>
    </row>
    <row r="7580">
      <c r="A7580" s="3" t="inlineStr">
        <is>
          <t>Quinate Consulting (Pty) Ltd</t>
        </is>
      </c>
      <c r="B7580" s="4" t="n">
        <v>44620</v>
      </c>
      <c r="C7580" s="3" t="inlineStr">
        <is>
          <t>Revenue</t>
        </is>
      </c>
      <c r="D7580" s="3" t="inlineStr">
        <is>
          <t>1000/011</t>
        </is>
      </c>
      <c r="E7580" s="3" t="inlineStr">
        <is>
          <t>Rent Received - Soho Unit 23</t>
        </is>
      </c>
      <c r="F7580" s="3" t="n">
        <v>-12500</v>
      </c>
      <c r="G7580" s="3" t="n">
        <v>-135869.57</v>
      </c>
    </row>
    <row r="7581">
      <c r="A7581" s="3" t="inlineStr">
        <is>
          <t>Quinate Consulting (Pty) Ltd</t>
        </is>
      </c>
      <c r="B7581" s="4" t="n">
        <v>44620</v>
      </c>
      <c r="C7581" s="3" t="inlineStr">
        <is>
          <t>Revenue</t>
        </is>
      </c>
      <c r="D7581" s="3" t="inlineStr">
        <is>
          <t>1000/012</t>
        </is>
      </c>
      <c r="E7581" s="3" t="inlineStr">
        <is>
          <t>Rent Received - Soho Unit 24</t>
        </is>
      </c>
      <c r="F7581" s="3" t="n">
        <v>-13500</v>
      </c>
      <c r="G7581" s="3" t="n">
        <v>-160239.13</v>
      </c>
    </row>
    <row r="7582">
      <c r="A7582" s="3" t="inlineStr">
        <is>
          <t>Quinate Consulting (Pty) Ltd</t>
        </is>
      </c>
      <c r="B7582" s="4" t="n">
        <v>44620</v>
      </c>
      <c r="C7582" s="3" t="inlineStr">
        <is>
          <t>Revenue</t>
        </is>
      </c>
      <c r="D7582" s="3" t="inlineStr">
        <is>
          <t>1000/013</t>
        </is>
      </c>
      <c r="E7582" s="3" t="inlineStr">
        <is>
          <t>Rent Recieved - Soho Unit 20</t>
        </is>
      </c>
      <c r="F7582" s="3" t="n">
        <v>-12500</v>
      </c>
      <c r="G7582" s="3" t="n">
        <v>-148369.57</v>
      </c>
    </row>
    <row r="7583">
      <c r="A7583" s="3" t="inlineStr">
        <is>
          <t>Quinate Consulting (Pty) Ltd</t>
        </is>
      </c>
      <c r="B7583" s="4" t="n">
        <v>44620</v>
      </c>
      <c r="C7583" s="3" t="inlineStr">
        <is>
          <t>Revenue</t>
        </is>
      </c>
      <c r="D7583" s="3" t="inlineStr">
        <is>
          <t>1000/014</t>
        </is>
      </c>
      <c r="E7583" s="3" t="inlineStr">
        <is>
          <t>Rent Received - CT Office</t>
        </is>
      </c>
      <c r="F7583" s="3" t="n">
        <v>0</v>
      </c>
      <c r="G7583" s="3" t="n">
        <v>-28451.16</v>
      </c>
    </row>
    <row r="7584">
      <c r="A7584" s="3" t="inlineStr">
        <is>
          <t>Quinate Consulting (Pty) Ltd</t>
        </is>
      </c>
      <c r="B7584" s="4" t="n">
        <v>44620</v>
      </c>
      <c r="C7584" s="3" t="inlineStr">
        <is>
          <t>Revenue</t>
        </is>
      </c>
      <c r="D7584" s="3" t="inlineStr">
        <is>
          <t>1000/015</t>
        </is>
      </c>
      <c r="E7584" s="3" t="inlineStr">
        <is>
          <t>Rent Received - Southwark Unit 1</t>
        </is>
      </c>
      <c r="F7584" s="3" t="n">
        <v>-10000</v>
      </c>
      <c r="G7584" s="3" t="n">
        <v>-118695.65</v>
      </c>
    </row>
    <row r="7585">
      <c r="A7585" s="3" t="inlineStr">
        <is>
          <t>Quinate Consulting (Pty) Ltd</t>
        </is>
      </c>
      <c r="B7585" s="4" t="n">
        <v>44620</v>
      </c>
      <c r="C7585" s="3" t="inlineStr">
        <is>
          <t>Revenue</t>
        </is>
      </c>
      <c r="D7585" s="3" t="inlineStr">
        <is>
          <t>1000/016</t>
        </is>
      </c>
      <c r="E7585" s="3" t="inlineStr">
        <is>
          <t>Rent Recieved - Southwark Unit 21</t>
        </is>
      </c>
      <c r="F7585" s="3" t="n">
        <v>-10000</v>
      </c>
      <c r="G7585" s="3" t="n">
        <v>-118695.65</v>
      </c>
    </row>
    <row r="7586">
      <c r="A7586" s="3" t="inlineStr">
        <is>
          <t>Opportunity Global Sales (PTY) LTD</t>
        </is>
      </c>
      <c r="B7586" s="4" t="n">
        <v>44620</v>
      </c>
      <c r="C7586" s="3" t="inlineStr">
        <is>
          <t>Revenue</t>
        </is>
      </c>
      <c r="D7586" s="3" t="inlineStr">
        <is>
          <t>1000/020</t>
        </is>
      </c>
      <c r="E7586" s="3" t="inlineStr">
        <is>
          <t>Sales - Comm on Southwark Project</t>
        </is>
      </c>
      <c r="F7586" s="3" t="n">
        <v>0</v>
      </c>
      <c r="G7586" s="3" t="n">
        <v>-81686.96000000001</v>
      </c>
    </row>
    <row r="7587">
      <c r="A7587" s="3" t="inlineStr">
        <is>
          <t>Opportunity Global Sales (PTY) LTD</t>
        </is>
      </c>
      <c r="B7587" s="4" t="n">
        <v>44620</v>
      </c>
      <c r="C7587" s="3" t="inlineStr">
        <is>
          <t>Revenue</t>
        </is>
      </c>
      <c r="D7587" s="3" t="inlineStr">
        <is>
          <t>1000/030</t>
        </is>
      </c>
      <c r="E7587" s="3" t="inlineStr">
        <is>
          <t>Sales - Comm on Heron View Land Purchase</t>
        </is>
      </c>
      <c r="F7587" s="3" t="n">
        <v>0</v>
      </c>
      <c r="G7587" s="3" t="n">
        <v>-197217.39</v>
      </c>
    </row>
    <row r="7588">
      <c r="A7588" s="3" t="inlineStr">
        <is>
          <t>Quinate Consulting (Pty) Ltd</t>
        </is>
      </c>
      <c r="B7588" s="4" t="n">
        <v>44620</v>
      </c>
      <c r="C7588" s="3" t="inlineStr">
        <is>
          <t>Revenue</t>
        </is>
      </c>
      <c r="D7588" s="3" t="inlineStr">
        <is>
          <t>1000/040</t>
        </is>
      </c>
      <c r="E7588" s="3" t="inlineStr">
        <is>
          <t>Fees - Admin</t>
        </is>
      </c>
      <c r="F7588" s="3" t="n">
        <v>0</v>
      </c>
      <c r="G7588" s="3" t="n">
        <v>-500</v>
      </c>
    </row>
    <row r="7589">
      <c r="A7589" s="3" t="inlineStr">
        <is>
          <t>Opportunity Global Sales (PTY) LTD</t>
        </is>
      </c>
      <c r="B7589" s="4" t="n">
        <v>44620</v>
      </c>
      <c r="C7589" s="3" t="inlineStr">
        <is>
          <t>Revenue</t>
        </is>
      </c>
      <c r="D7589" s="3" t="inlineStr">
        <is>
          <t>1000/100</t>
        </is>
      </c>
      <c r="E7589" s="3" t="inlineStr">
        <is>
          <t>Sales - Comm on External Sales</t>
        </is>
      </c>
      <c r="F7589" s="3" t="n">
        <v>0</v>
      </c>
      <c r="G7589" s="3" t="n">
        <v>-265237.5</v>
      </c>
    </row>
    <row r="7590">
      <c r="A7590" s="3" t="inlineStr">
        <is>
          <t>Noble Shield (Pty) Ltd ta Go Letting</t>
        </is>
      </c>
      <c r="B7590" s="4" t="n">
        <v>44620</v>
      </c>
      <c r="C7590" s="3" t="inlineStr">
        <is>
          <t>Revenue</t>
        </is>
      </c>
      <c r="D7590" s="3" t="inlineStr">
        <is>
          <t>1000/100</t>
        </is>
      </c>
      <c r="E7590" s="3" t="inlineStr">
        <is>
          <t>Sales - Payprop 328 - Michelle</t>
        </is>
      </c>
      <c r="F7590" s="3" t="n">
        <v>-69750.81</v>
      </c>
      <c r="G7590" s="3" t="n">
        <v>-444867.81</v>
      </c>
    </row>
    <row r="7591">
      <c r="A7591" s="3" t="inlineStr">
        <is>
          <t>Opportunity Global Sales (PTY) LTD</t>
        </is>
      </c>
      <c r="B7591" s="4" t="n">
        <v>44620</v>
      </c>
      <c r="C7591" s="3" t="inlineStr">
        <is>
          <t>Revenue</t>
        </is>
      </c>
      <c r="D7591" s="3" t="inlineStr">
        <is>
          <t>1000/120</t>
        </is>
      </c>
      <c r="E7591" s="3" t="inlineStr">
        <is>
          <t>Sales - Admin Fees on Rental Units</t>
        </is>
      </c>
      <c r="F7591" s="3" t="n">
        <v>-1739.13</v>
      </c>
      <c r="G7591" s="3" t="n">
        <v>-39304.43</v>
      </c>
    </row>
    <row r="7592">
      <c r="A7592" s="3" t="inlineStr">
        <is>
          <t>Opportunity Global Sales (PTY) LTD</t>
        </is>
      </c>
      <c r="B7592" s="4" t="n">
        <v>44620</v>
      </c>
      <c r="C7592" s="3" t="inlineStr">
        <is>
          <t>Expenses</t>
        </is>
      </c>
      <c r="D7592" s="3" t="inlineStr">
        <is>
          <t>1000/139</t>
        </is>
      </c>
      <c r="E7592" s="3" t="inlineStr">
        <is>
          <t>Sales - Rental comm - External</t>
        </is>
      </c>
      <c r="F7592" s="3" t="n">
        <v>-869.5599999999999</v>
      </c>
      <c r="G7592" s="3" t="n">
        <v>-869.5599999999999</v>
      </c>
    </row>
    <row r="7593">
      <c r="A7593" s="3" t="inlineStr">
        <is>
          <t>Opportunity Global Sales (PTY) LTD</t>
        </is>
      </c>
      <c r="B7593" s="4" t="n">
        <v>44620</v>
      </c>
      <c r="C7593" s="3" t="inlineStr">
        <is>
          <t>Revenue</t>
        </is>
      </c>
      <c r="D7593" s="3" t="inlineStr">
        <is>
          <t>1000/150</t>
        </is>
      </c>
      <c r="E7593" s="3" t="inlineStr">
        <is>
          <t>Sales - Comm on External Rental</t>
        </is>
      </c>
      <c r="F7593" s="3" t="n">
        <v>-9999.99</v>
      </c>
      <c r="G7593" s="3" t="n">
        <v>-248995.1</v>
      </c>
    </row>
    <row r="7594">
      <c r="A7594" s="3" t="inlineStr">
        <is>
          <t>Opportunity Global Investment (PTY) LTD</t>
        </is>
      </c>
      <c r="B7594" s="4" t="n">
        <v>44620</v>
      </c>
      <c r="C7594" s="3" t="inlineStr">
        <is>
          <t>Revenue</t>
        </is>
      </c>
      <c r="D7594" s="3" t="inlineStr">
        <is>
          <t>1000/220</t>
        </is>
      </c>
      <c r="E7594" s="3" t="inlineStr">
        <is>
          <t>Sales - Investor Raising Fee</t>
        </is>
      </c>
      <c r="F7594" s="3" t="n">
        <v>0</v>
      </c>
      <c r="G7594" s="3" t="n">
        <v>-579853.86</v>
      </c>
    </row>
    <row r="7595">
      <c r="A7595" s="3" t="inlineStr">
        <is>
          <t>Opportunity Global Investment (PTY) LTD</t>
        </is>
      </c>
      <c r="B7595" s="4" t="n">
        <v>44620</v>
      </c>
      <c r="C7595" s="3" t="inlineStr">
        <is>
          <t>Revenue</t>
        </is>
      </c>
      <c r="D7595" s="3" t="inlineStr">
        <is>
          <t>1000/300</t>
        </is>
      </c>
      <c r="E7595" s="3" t="inlineStr">
        <is>
          <t>Sales - Investor Management - Endulini</t>
        </is>
      </c>
      <c r="F7595" s="3" t="n">
        <v>0</v>
      </c>
      <c r="G7595" s="3" t="n">
        <v>-500969.35</v>
      </c>
    </row>
    <row r="7596">
      <c r="A7596" s="3" t="inlineStr">
        <is>
          <t>Trademark Holdings (Pty) Ltd</t>
        </is>
      </c>
      <c r="B7596" s="4" t="n">
        <v>44620</v>
      </c>
      <c r="C7596" s="3" t="inlineStr">
        <is>
          <t>Revenue</t>
        </is>
      </c>
      <c r="D7596" s="3" t="inlineStr">
        <is>
          <t>1000/300</t>
        </is>
      </c>
      <c r="E7596" s="3" t="inlineStr">
        <is>
          <t>Sales - Payprop - Lara</t>
        </is>
      </c>
      <c r="F7596" s="3" t="n">
        <v>-86164.21000000001</v>
      </c>
      <c r="G7596" s="3" t="n">
        <v>-543021.7</v>
      </c>
    </row>
    <row r="7597">
      <c r="A7597" s="3" t="inlineStr">
        <is>
          <t>Opportunity Global Investment (PTY) LTD</t>
        </is>
      </c>
      <c r="B7597" s="4" t="n">
        <v>44620</v>
      </c>
      <c r="C7597" s="3" t="inlineStr">
        <is>
          <t>Revenue</t>
        </is>
      </c>
      <c r="D7597" s="3" t="inlineStr">
        <is>
          <t>1000/350</t>
        </is>
      </c>
      <c r="E7597" s="3" t="inlineStr">
        <is>
          <t>Sales - Investor Management - Heron Fields</t>
        </is>
      </c>
      <c r="F7597" s="3" t="n">
        <v>0</v>
      </c>
      <c r="G7597" s="3" t="n">
        <v>-2331207.06</v>
      </c>
    </row>
    <row r="7598">
      <c r="A7598" s="3" t="inlineStr">
        <is>
          <t>Opportunity Global Investment (PTY) LTD</t>
        </is>
      </c>
      <c r="B7598" s="4" t="n">
        <v>44620</v>
      </c>
      <c r="C7598" s="3" t="inlineStr">
        <is>
          <t>Revenue</t>
        </is>
      </c>
      <c r="D7598" s="3" t="inlineStr">
        <is>
          <t>1000/400</t>
        </is>
      </c>
      <c r="E7598" s="3" t="inlineStr">
        <is>
          <t>Sales - Commission Endulini</t>
        </is>
      </c>
      <c r="F7598" s="3" t="n">
        <v>-334000</v>
      </c>
      <c r="G7598" s="3" t="n">
        <v>-334000</v>
      </c>
    </row>
    <row r="7599">
      <c r="A7599" s="3" t="inlineStr">
        <is>
          <t>Opportunity Global Sales (PTY) LTD</t>
        </is>
      </c>
      <c r="B7599" s="4" t="n">
        <v>44620</v>
      </c>
      <c r="C7599" s="3" t="inlineStr">
        <is>
          <t>Revenue</t>
        </is>
      </c>
      <c r="D7599" s="3" t="inlineStr">
        <is>
          <t>1000/900</t>
        </is>
      </c>
      <c r="E7599" s="3" t="inlineStr">
        <is>
          <t>Sales - Comm on Rental Units</t>
        </is>
      </c>
      <c r="F7599" s="3" t="n">
        <v>0</v>
      </c>
      <c r="G7599" s="3" t="n">
        <v>-43346.97</v>
      </c>
    </row>
    <row r="7600">
      <c r="A7600" s="3" t="inlineStr">
        <is>
          <t>Quinate Consulting (Pty) Ltd</t>
        </is>
      </c>
      <c r="B7600" s="4" t="n">
        <v>44620</v>
      </c>
      <c r="C7600" s="3" t="inlineStr">
        <is>
          <t>Revenue</t>
        </is>
      </c>
      <c r="D7600" s="3" t="inlineStr">
        <is>
          <t>1001/100</t>
        </is>
      </c>
      <c r="E7600" s="3" t="inlineStr">
        <is>
          <t>Sales - Southwark Village Units</t>
        </is>
      </c>
      <c r="F7600" s="3" t="n">
        <v>0</v>
      </c>
      <c r="G7600" s="3" t="n">
        <v>-1303478.26</v>
      </c>
    </row>
    <row r="7601">
      <c r="A7601" s="3" t="inlineStr">
        <is>
          <t>Quinate Consulting (Pty) Ltd</t>
        </is>
      </c>
      <c r="B7601" s="4" t="n">
        <v>44620</v>
      </c>
      <c r="C7601" s="3" t="inlineStr">
        <is>
          <t>Revenue</t>
        </is>
      </c>
      <c r="D7601" s="3" t="inlineStr">
        <is>
          <t>1004/000</t>
        </is>
      </c>
      <c r="E7601" s="3" t="inlineStr">
        <is>
          <t>Interest received</t>
        </is>
      </c>
      <c r="F7601" s="3" t="n">
        <v>-280.98</v>
      </c>
      <c r="G7601" s="3" t="n">
        <v>-1310.78</v>
      </c>
    </row>
    <row r="7602">
      <c r="A7602" s="3" t="inlineStr">
        <is>
          <t>Opportunity Management Holdings (PTY) LTD</t>
        </is>
      </c>
      <c r="B7602" s="4" t="n">
        <v>44620</v>
      </c>
      <c r="C7602" s="3" t="inlineStr">
        <is>
          <t>Revenue</t>
        </is>
      </c>
      <c r="D7602" s="3" t="inlineStr">
        <is>
          <t>1100/001</t>
        </is>
      </c>
      <c r="E7602" s="3" t="inlineStr">
        <is>
          <t>Salary Recharges</t>
        </is>
      </c>
      <c r="F7602" s="3" t="n">
        <v>-283600</v>
      </c>
      <c r="G7602" s="3" t="n">
        <v>-1476347.04</v>
      </c>
    </row>
    <row r="7603">
      <c r="A7603" s="3" t="inlineStr">
        <is>
          <t>Endulini (Pty) Ltd</t>
        </is>
      </c>
      <c r="B7603" s="4" t="n">
        <v>44620</v>
      </c>
      <c r="C7603" s="3" t="inlineStr">
        <is>
          <t>Revenue</t>
        </is>
      </c>
      <c r="D7603" s="3" t="inlineStr">
        <is>
          <t>1100/100</t>
        </is>
      </c>
      <c r="E7603" s="3" t="inlineStr">
        <is>
          <t>Sales - Endulini - Exstras</t>
        </is>
      </c>
      <c r="F7603" s="3" t="n">
        <v>0</v>
      </c>
      <c r="G7603" s="3" t="n">
        <v>-50257</v>
      </c>
    </row>
    <row r="7604">
      <c r="A7604" s="3" t="inlineStr">
        <is>
          <t>Endulini (Pty) Ltd</t>
        </is>
      </c>
      <c r="B7604" s="4" t="n">
        <v>44620</v>
      </c>
      <c r="C7604" s="3" t="inlineStr">
        <is>
          <t>Revenue</t>
        </is>
      </c>
      <c r="D7604" s="3" t="inlineStr">
        <is>
          <t>1100/150</t>
        </is>
      </c>
      <c r="E7604" s="3" t="inlineStr">
        <is>
          <t>Sales - Endulini - Extras admin fee</t>
        </is>
      </c>
      <c r="F7604" s="3" t="n">
        <v>0</v>
      </c>
      <c r="G7604" s="3" t="n">
        <v>-5000</v>
      </c>
    </row>
    <row r="7605">
      <c r="A7605" s="3" t="inlineStr">
        <is>
          <t>Noble Shield (Pty) Ltd ta Go Letting</t>
        </is>
      </c>
      <c r="B7605" s="4" t="n">
        <v>44620</v>
      </c>
      <c r="C7605" s="3" t="inlineStr">
        <is>
          <t>Revenue</t>
        </is>
      </c>
      <c r="D7605" s="3" t="inlineStr">
        <is>
          <t>1500/000</t>
        </is>
      </c>
      <c r="E7605" s="3" t="inlineStr">
        <is>
          <t>Insurance recovery</t>
        </is>
      </c>
      <c r="F7605" s="3" t="n">
        <v>-1750</v>
      </c>
      <c r="G7605" s="3" t="n">
        <v>-1750</v>
      </c>
    </row>
    <row r="7606">
      <c r="A7606" s="3" t="inlineStr">
        <is>
          <t>Endulini (Pty) Ltd</t>
        </is>
      </c>
      <c r="B7606" s="4" t="n">
        <v>44620</v>
      </c>
      <c r="C7606" s="3" t="inlineStr">
        <is>
          <t>Revenue</t>
        </is>
      </c>
      <c r="D7606" s="3" t="inlineStr">
        <is>
          <t>1500/001</t>
        </is>
      </c>
      <c r="E7606" s="3" t="inlineStr">
        <is>
          <t>Revaluation of Land</t>
        </is>
      </c>
      <c r="F7606" s="3" t="n">
        <v>0</v>
      </c>
      <c r="G7606" s="3" t="n">
        <v>-6084085.78</v>
      </c>
    </row>
    <row r="7607">
      <c r="A7607" s="3" t="inlineStr">
        <is>
          <t>Quinate Consulting (Pty) Ltd</t>
        </is>
      </c>
      <c r="B7607" s="4" t="n">
        <v>44620</v>
      </c>
      <c r="C7607" s="3" t="inlineStr">
        <is>
          <t>Expenses</t>
        </is>
      </c>
      <c r="D7607" s="3" t="inlineStr">
        <is>
          <t>2000/010</t>
        </is>
      </c>
      <c r="E7607" s="3" t="inlineStr">
        <is>
          <t>COS - Professional Fees - South Wark</t>
        </is>
      </c>
      <c r="F7607" s="3" t="n">
        <v>0</v>
      </c>
      <c r="G7607" s="3" t="n">
        <v>20000</v>
      </c>
    </row>
    <row r="7608">
      <c r="A7608" s="3" t="inlineStr">
        <is>
          <t>Quinate Consulting (Pty) Ltd</t>
        </is>
      </c>
      <c r="B7608" s="4" t="n">
        <v>44620</v>
      </c>
      <c r="C7608" s="3" t="inlineStr">
        <is>
          <t>Expenses</t>
        </is>
      </c>
      <c r="D7608" s="3" t="inlineStr">
        <is>
          <t>2000/012</t>
        </is>
      </c>
      <c r="E7608" s="3" t="inlineStr">
        <is>
          <t>COS - Professional Fees - Endulini</t>
        </is>
      </c>
      <c r="F7608" s="3" t="n">
        <v>-766601.37</v>
      </c>
      <c r="G7608" s="3" t="n">
        <v>-766601.37</v>
      </c>
    </row>
    <row r="7609">
      <c r="A7609" s="3" t="inlineStr">
        <is>
          <t>Endulini (Pty) Ltd</t>
        </is>
      </c>
      <c r="B7609" s="4" t="n">
        <v>44620</v>
      </c>
      <c r="C7609" s="3" t="inlineStr">
        <is>
          <t>Expenses</t>
        </is>
      </c>
      <c r="D7609" s="3" t="inlineStr">
        <is>
          <t>2000/100</t>
        </is>
      </c>
      <c r="E7609" s="3" t="inlineStr">
        <is>
          <t>COS - Commission Endulini</t>
        </is>
      </c>
      <c r="F7609" s="3" t="n">
        <v>0</v>
      </c>
      <c r="G7609" s="3" t="n">
        <v>597087.25</v>
      </c>
    </row>
    <row r="7610">
      <c r="A7610" s="3" t="inlineStr">
        <is>
          <t>Noble Shield (Pty) Ltd ta Go Letting</t>
        </is>
      </c>
      <c r="B7610" s="4" t="n">
        <v>44620</v>
      </c>
      <c r="C7610" s="3" t="inlineStr">
        <is>
          <t>Expenses</t>
        </is>
      </c>
      <c r="D7610" s="3" t="inlineStr">
        <is>
          <t>2000/100</t>
        </is>
      </c>
      <c r="E7610" s="3" t="inlineStr">
        <is>
          <t>COS - Commission Paid</t>
        </is>
      </c>
      <c r="F7610" s="3" t="n">
        <v>12606.42</v>
      </c>
      <c r="G7610" s="3" t="n">
        <v>161160.97</v>
      </c>
    </row>
    <row r="7611">
      <c r="A7611" s="3" t="inlineStr">
        <is>
          <t>Opportunity Global Sales (PTY) LTD</t>
        </is>
      </c>
      <c r="B7611" s="4" t="n">
        <v>44620</v>
      </c>
      <c r="C7611" s="3" t="inlineStr">
        <is>
          <t>Expenses</t>
        </is>
      </c>
      <c r="D7611" s="3" t="inlineStr">
        <is>
          <t>2000/125</t>
        </is>
      </c>
      <c r="E7611" s="3" t="inlineStr">
        <is>
          <t>Commission Paid - Referal commission</t>
        </is>
      </c>
      <c r="F7611" s="3" t="n">
        <v>0</v>
      </c>
      <c r="G7611" s="3" t="n">
        <v>5000</v>
      </c>
    </row>
    <row r="7612">
      <c r="A7612" s="3" t="inlineStr">
        <is>
          <t>Opportunity Global Investment (PTY) LTD</t>
        </is>
      </c>
      <c r="B7612" s="4" t="n">
        <v>44620</v>
      </c>
      <c r="C7612" s="3" t="inlineStr">
        <is>
          <t>Expenses</t>
        </is>
      </c>
      <c r="D7612" s="3" t="inlineStr">
        <is>
          <t>2000/125</t>
        </is>
      </c>
      <c r="E7612" s="3" t="inlineStr">
        <is>
          <t>Referral commission - Endulini</t>
        </is>
      </c>
      <c r="F7612" s="3" t="n">
        <v>52500</v>
      </c>
      <c r="G7612" s="3" t="n">
        <v>185972.92</v>
      </c>
    </row>
    <row r="7613">
      <c r="A7613" s="3" t="inlineStr">
        <is>
          <t>Opportunity Global Investment (PTY) LTD</t>
        </is>
      </c>
      <c r="B7613" s="4" t="n">
        <v>44620</v>
      </c>
      <c r="C7613" s="3" t="inlineStr">
        <is>
          <t>Expenses</t>
        </is>
      </c>
      <c r="D7613" s="3" t="inlineStr">
        <is>
          <t>2000/130</t>
        </is>
      </c>
      <c r="E7613" s="3" t="inlineStr">
        <is>
          <t>Referral commission - Heron Fields</t>
        </is>
      </c>
      <c r="F7613" s="3" t="n">
        <v>0</v>
      </c>
      <c r="G7613" s="3" t="n">
        <v>362192.35</v>
      </c>
    </row>
    <row r="7614">
      <c r="A7614" s="3" t="inlineStr">
        <is>
          <t>Opportunity Global Sales (PTY) LTD</t>
        </is>
      </c>
      <c r="B7614" s="4" t="n">
        <v>44620</v>
      </c>
      <c r="C7614" s="3" t="inlineStr">
        <is>
          <t>Expenses</t>
        </is>
      </c>
      <c r="D7614" s="3" t="inlineStr">
        <is>
          <t>2000/131</t>
        </is>
      </c>
      <c r="E7614" s="3" t="inlineStr">
        <is>
          <t>COS - Sales Comm Endulini - Anthony</t>
        </is>
      </c>
      <c r="F7614" s="3" t="n">
        <v>0</v>
      </c>
      <c r="G7614" s="3" t="n">
        <v>101544.62</v>
      </c>
    </row>
    <row r="7615">
      <c r="A7615" s="3" t="inlineStr">
        <is>
          <t>Opportunity Global Sales (PTY) LTD</t>
        </is>
      </c>
      <c r="B7615" s="4" t="n">
        <v>44620</v>
      </c>
      <c r="C7615" s="3" t="inlineStr">
        <is>
          <t>Expenses</t>
        </is>
      </c>
      <c r="D7615" s="3" t="inlineStr">
        <is>
          <t>2000/132</t>
        </is>
      </c>
      <c r="E7615" s="3" t="inlineStr">
        <is>
          <t>COS - Sales Comm Endulini - Minette</t>
        </is>
      </c>
      <c r="F7615" s="3" t="n">
        <v>21340.87</v>
      </c>
      <c r="G7615" s="3" t="n">
        <v>123545.21</v>
      </c>
    </row>
    <row r="7616">
      <c r="A7616" s="3" t="inlineStr">
        <is>
          <t>Opportunity Global Sales (PTY) LTD</t>
        </is>
      </c>
      <c r="B7616" s="4" t="n">
        <v>44620</v>
      </c>
      <c r="C7616" s="3" t="inlineStr">
        <is>
          <t>Expenses</t>
        </is>
      </c>
      <c r="D7616" s="3" t="inlineStr">
        <is>
          <t>2000/133</t>
        </is>
      </c>
      <c r="E7616" s="3" t="inlineStr">
        <is>
          <t>COS - Sales Comm Endulini - External Agents</t>
        </is>
      </c>
      <c r="F7616" s="3" t="n">
        <v>0</v>
      </c>
      <c r="G7616" s="3" t="n">
        <v>9966.629999999999</v>
      </c>
    </row>
    <row r="7617">
      <c r="A7617" s="3" t="inlineStr">
        <is>
          <t>Opportunity Global Sales (PTY) LTD</t>
        </is>
      </c>
      <c r="B7617" s="4" t="n">
        <v>44620</v>
      </c>
      <c r="C7617" s="3" t="inlineStr">
        <is>
          <t>Expenses</t>
        </is>
      </c>
      <c r="D7617" s="3" t="inlineStr">
        <is>
          <t>2000/134</t>
        </is>
      </c>
      <c r="E7617" s="3" t="inlineStr">
        <is>
          <t>COS - Sales Comm External - Other</t>
        </is>
      </c>
      <c r="F7617" s="3" t="n">
        <v>5175</v>
      </c>
      <c r="G7617" s="3" t="n">
        <v>59081.25</v>
      </c>
    </row>
    <row r="7618">
      <c r="A7618" s="3" t="inlineStr">
        <is>
          <t>Opportunity Global Sales (PTY) LTD</t>
        </is>
      </c>
      <c r="B7618" s="4" t="n">
        <v>44620</v>
      </c>
      <c r="C7618" s="3" t="inlineStr">
        <is>
          <t>Expenses</t>
        </is>
      </c>
      <c r="D7618" s="3" t="inlineStr">
        <is>
          <t>2000/135</t>
        </is>
      </c>
      <c r="E7618" s="3" t="inlineStr">
        <is>
          <t>COS - Sales Comm External - Minette</t>
        </is>
      </c>
      <c r="F7618" s="3" t="n">
        <v>28290</v>
      </c>
      <c r="G7618" s="3" t="n">
        <v>133058.64</v>
      </c>
    </row>
    <row r="7619">
      <c r="A7619" s="3" t="inlineStr">
        <is>
          <t>Opportunity Global Sales (PTY) LTD</t>
        </is>
      </c>
      <c r="B7619" s="4" t="n">
        <v>44620</v>
      </c>
      <c r="C7619" s="3" t="inlineStr">
        <is>
          <t>Expenses</t>
        </is>
      </c>
      <c r="D7619" s="3" t="inlineStr">
        <is>
          <t>2000/137</t>
        </is>
      </c>
      <c r="E7619" s="3" t="inlineStr">
        <is>
          <t>COS - Rental Comm External - Minette</t>
        </is>
      </c>
      <c r="F7619" s="3" t="n">
        <v>6970</v>
      </c>
      <c r="G7619" s="3" t="n">
        <v>131527.08</v>
      </c>
    </row>
    <row r="7620">
      <c r="A7620" s="3" t="inlineStr">
        <is>
          <t>Opportunity Global Sales (PTY) LTD</t>
        </is>
      </c>
      <c r="B7620" s="4" t="n">
        <v>44620</v>
      </c>
      <c r="C7620" s="3" t="inlineStr">
        <is>
          <t>Expenses</t>
        </is>
      </c>
      <c r="D7620" s="3" t="inlineStr">
        <is>
          <t>2000/139</t>
        </is>
      </c>
      <c r="E7620" s="3" t="inlineStr">
        <is>
          <t>COS - Sales Comm Heron Fields - Minette</t>
        </is>
      </c>
      <c r="F7620" s="3" t="n">
        <v>10694.94</v>
      </c>
      <c r="G7620" s="3" t="n">
        <v>52048.59</v>
      </c>
    </row>
    <row r="7621">
      <c r="A7621" s="3" t="inlineStr">
        <is>
          <t>Opportunity Global Sales (PTY) LTD</t>
        </is>
      </c>
      <c r="B7621" s="4" t="n">
        <v>44620</v>
      </c>
      <c r="C7621" s="3" t="inlineStr">
        <is>
          <t>Expenses</t>
        </is>
      </c>
      <c r="D7621" s="3" t="inlineStr">
        <is>
          <t>2000/141</t>
        </is>
      </c>
      <c r="E7621" s="3" t="inlineStr">
        <is>
          <t>COS - Rental Comm External - Esme</t>
        </is>
      </c>
      <c r="F7621" s="3" t="n">
        <v>0</v>
      </c>
      <c r="G7621" s="3" t="n">
        <v>2152.5</v>
      </c>
    </row>
    <row r="7622">
      <c r="A7622" s="3" t="inlineStr">
        <is>
          <t>Opportunity Global Sales (PTY) LTD</t>
        </is>
      </c>
      <c r="B7622" s="4" t="n">
        <v>44620</v>
      </c>
      <c r="C7622" s="3" t="inlineStr">
        <is>
          <t>Expenses</t>
        </is>
      </c>
      <c r="D7622" s="3" t="inlineStr">
        <is>
          <t>2000/150</t>
        </is>
      </c>
      <c r="E7622" s="3" t="inlineStr">
        <is>
          <t>COS - Commission Paid Southwark Project</t>
        </is>
      </c>
      <c r="F7622" s="3" t="n">
        <v>0</v>
      </c>
      <c r="G7622" s="3" t="n">
        <v>4320.43</v>
      </c>
    </row>
    <row r="7623">
      <c r="A7623" s="3" t="inlineStr">
        <is>
          <t>Trademark Holdings (Pty) Ltd</t>
        </is>
      </c>
      <c r="B7623" s="4" t="n">
        <v>44620</v>
      </c>
      <c r="C7623" s="3" t="inlineStr">
        <is>
          <t>Expenses</t>
        </is>
      </c>
      <c r="D7623" s="3" t="inlineStr">
        <is>
          <t>2000/300</t>
        </is>
      </c>
      <c r="E7623" s="3" t="inlineStr">
        <is>
          <t>COS - Commission Paid</t>
        </is>
      </c>
      <c r="F7623" s="3" t="n">
        <v>15539.86</v>
      </c>
      <c r="G7623" s="3" t="n">
        <v>151971.48</v>
      </c>
    </row>
    <row r="7624">
      <c r="A7624" s="3" t="inlineStr">
        <is>
          <t>Opportunity Global Investment (PTY) LTD</t>
        </is>
      </c>
      <c r="B7624" s="4" t="n">
        <v>44620</v>
      </c>
      <c r="C7624" s="3" t="inlineStr">
        <is>
          <t>Expenses</t>
        </is>
      </c>
      <c r="D7624" s="3" t="inlineStr">
        <is>
          <t>2000/300</t>
        </is>
      </c>
      <c r="E7624" s="3" t="inlineStr">
        <is>
          <t>COS - Project Management fees - Serene Living</t>
        </is>
      </c>
      <c r="F7624" s="3" t="n">
        <v>26271</v>
      </c>
      <c r="G7624" s="3" t="n">
        <v>26271</v>
      </c>
    </row>
    <row r="7625">
      <c r="A7625" s="3" t="inlineStr">
        <is>
          <t>Opportunity Global Sales (PTY) LTD</t>
        </is>
      </c>
      <c r="B7625" s="4" t="n">
        <v>44620</v>
      </c>
      <c r="C7625" s="3" t="inlineStr">
        <is>
          <t>Expenses</t>
        </is>
      </c>
      <c r="D7625" s="3" t="inlineStr">
        <is>
          <t>2000/700</t>
        </is>
      </c>
      <c r="E7625" s="3" t="inlineStr">
        <is>
          <t>Referral Fees - Projects</t>
        </is>
      </c>
      <c r="F7625" s="3" t="n">
        <v>0</v>
      </c>
      <c r="G7625" s="3" t="n">
        <v>10000</v>
      </c>
    </row>
    <row r="7626">
      <c r="A7626" s="3" t="inlineStr">
        <is>
          <t>Quinate Consulting (Pty) Ltd</t>
        </is>
      </c>
      <c r="B7626" s="4" t="n">
        <v>44620</v>
      </c>
      <c r="C7626" s="3" t="inlineStr">
        <is>
          <t>Expenses</t>
        </is>
      </c>
      <c r="D7626" s="3" t="inlineStr">
        <is>
          <t>2001/120</t>
        </is>
      </c>
      <c r="E7626" s="3" t="inlineStr">
        <is>
          <t>COS - Commission - South Wark</t>
        </is>
      </c>
      <c r="F7626" s="3" t="n">
        <v>0</v>
      </c>
      <c r="G7626" s="3" t="n">
        <v>78208.7</v>
      </c>
    </row>
    <row r="7627">
      <c r="A7627" s="3" t="inlineStr">
        <is>
          <t>Quinate Consulting (Pty) Ltd</t>
        </is>
      </c>
      <c r="B7627" s="4" t="n">
        <v>44620</v>
      </c>
      <c r="C7627" s="3" t="inlineStr">
        <is>
          <t>Expenses</t>
        </is>
      </c>
      <c r="D7627" s="3" t="inlineStr">
        <is>
          <t>2001/150</t>
        </is>
      </c>
      <c r="E7627" s="3" t="inlineStr">
        <is>
          <t>COS - Legal Fees - Bond</t>
        </is>
      </c>
      <c r="F7627" s="3" t="n">
        <v>0</v>
      </c>
      <c r="G7627" s="3" t="n">
        <v>19963</v>
      </c>
    </row>
    <row r="7628">
      <c r="A7628" s="3" t="inlineStr">
        <is>
          <t>Quinate Consulting (Pty) Ltd</t>
        </is>
      </c>
      <c r="B7628" s="4" t="n">
        <v>44620</v>
      </c>
      <c r="C7628" s="3" t="inlineStr">
        <is>
          <t>Expenses</t>
        </is>
      </c>
      <c r="D7628" s="3" t="inlineStr">
        <is>
          <t>2001/180</t>
        </is>
      </c>
      <c r="E7628" s="3" t="inlineStr">
        <is>
          <t>COS - Legal fees - Release fees</t>
        </is>
      </c>
      <c r="F7628" s="3" t="n">
        <v>0</v>
      </c>
      <c r="G7628" s="3" t="n">
        <v>2095</v>
      </c>
    </row>
    <row r="7629">
      <c r="A7629" s="3" t="inlineStr">
        <is>
          <t>Quinate Consulting (Pty) Ltd</t>
        </is>
      </c>
      <c r="B7629" s="4" t="n">
        <v>44620</v>
      </c>
      <c r="C7629" s="3" t="inlineStr">
        <is>
          <t>Expenses</t>
        </is>
      </c>
      <c r="D7629" s="3" t="inlineStr">
        <is>
          <t>2001/190</t>
        </is>
      </c>
      <c r="E7629" s="3" t="inlineStr">
        <is>
          <t>COS - Legal fees - Transfers</t>
        </is>
      </c>
      <c r="F7629" s="3" t="n">
        <v>0</v>
      </c>
      <c r="G7629" s="3" t="n">
        <v>20038</v>
      </c>
    </row>
    <row r="7630">
      <c r="A7630" s="3" t="inlineStr">
        <is>
          <t>Quinate Consulting (Pty) Ltd</t>
        </is>
      </c>
      <c r="B7630" s="4" t="n">
        <v>44620</v>
      </c>
      <c r="C7630" s="3" t="inlineStr">
        <is>
          <t>Expenses</t>
        </is>
      </c>
      <c r="D7630" s="3" t="inlineStr">
        <is>
          <t>2006/012</t>
        </is>
      </c>
      <c r="E7630" s="3" t="inlineStr">
        <is>
          <t>COS - Engineering Prof fees</t>
        </is>
      </c>
      <c r="F7630" s="3" t="n">
        <v>0</v>
      </c>
      <c r="G7630" s="3" t="n">
        <v>-39000</v>
      </c>
    </row>
    <row r="7631">
      <c r="A7631" s="3" t="inlineStr">
        <is>
          <t>Quinate Consulting (Pty) Ltd</t>
        </is>
      </c>
      <c r="B7631" s="4" t="n">
        <v>44620</v>
      </c>
      <c r="C7631" s="3" t="inlineStr">
        <is>
          <t>Expenses</t>
        </is>
      </c>
      <c r="D7631" s="3" t="inlineStr">
        <is>
          <t>2011/000</t>
        </is>
      </c>
      <c r="E7631" s="3" t="inlineStr">
        <is>
          <t>COS - Opportunity Global Development Structuring</t>
        </is>
      </c>
      <c r="F7631" s="3" t="n">
        <v>675000</v>
      </c>
      <c r="G7631" s="3" t="n">
        <v>675000</v>
      </c>
    </row>
    <row r="7632">
      <c r="A7632" s="3" t="inlineStr">
        <is>
          <t>Quinate Consulting (Pty) Ltd</t>
        </is>
      </c>
      <c r="B7632" s="4" t="n">
        <v>44620</v>
      </c>
      <c r="C7632" s="3" t="inlineStr">
        <is>
          <t>Expenses</t>
        </is>
      </c>
      <c r="D7632" s="3" t="inlineStr">
        <is>
          <t>2200/000</t>
        </is>
      </c>
      <c r="E7632" s="3" t="inlineStr">
        <is>
          <t>COS - C2M Certificate for transfer</t>
        </is>
      </c>
      <c r="F7632" s="3" t="n">
        <v>0</v>
      </c>
      <c r="G7632" s="3" t="n">
        <v>-2408.55</v>
      </c>
    </row>
    <row r="7633">
      <c r="A7633" s="3" t="inlineStr">
        <is>
          <t>Quinate Consulting (Pty) Ltd</t>
        </is>
      </c>
      <c r="B7633" s="4" t="n">
        <v>44620</v>
      </c>
      <c r="C7633" s="3" t="inlineStr">
        <is>
          <t>Revenue</t>
        </is>
      </c>
      <c r="D7633" s="3" t="inlineStr">
        <is>
          <t>2400/200</t>
        </is>
      </c>
      <c r="E7633" s="3" t="inlineStr">
        <is>
          <t>Recovery Acc - Electricity SH</t>
        </is>
      </c>
      <c r="F7633" s="3" t="n">
        <v>-19208.4</v>
      </c>
      <c r="G7633" s="3" t="n">
        <v>-237779.98</v>
      </c>
    </row>
    <row r="7634">
      <c r="A7634" s="3" t="inlineStr">
        <is>
          <t>Quinate Consulting (Pty) Ltd</t>
        </is>
      </c>
      <c r="B7634" s="4" t="n">
        <v>44620</v>
      </c>
      <c r="C7634" s="3" t="inlineStr">
        <is>
          <t>Revenue</t>
        </is>
      </c>
      <c r="D7634" s="3" t="inlineStr">
        <is>
          <t>2400/300</t>
        </is>
      </c>
      <c r="E7634" s="3" t="inlineStr">
        <is>
          <t>Recovery Account - Electricity SW</t>
        </is>
      </c>
      <c r="F7634" s="3" t="n">
        <v>-13987.2</v>
      </c>
      <c r="G7634" s="3" t="n">
        <v>-264089.12</v>
      </c>
    </row>
    <row r="7635">
      <c r="A7635" s="3" t="inlineStr">
        <is>
          <t>Quinate Consulting (Pty) Ltd</t>
        </is>
      </c>
      <c r="B7635" s="4" t="n">
        <v>44620</v>
      </c>
      <c r="C7635" s="3" t="inlineStr">
        <is>
          <t>Revenue</t>
        </is>
      </c>
      <c r="D7635" s="3" t="inlineStr">
        <is>
          <t>2400/400</t>
        </is>
      </c>
      <c r="E7635" s="3" t="inlineStr">
        <is>
          <t>Recovery - Heron Projects</t>
        </is>
      </c>
      <c r="F7635" s="3" t="n">
        <v>75000</v>
      </c>
      <c r="G7635" s="3" t="n">
        <v>-190825</v>
      </c>
    </row>
    <row r="7636">
      <c r="A7636" s="3" t="inlineStr">
        <is>
          <t>Opportunity Global Investment (PTY) LTD</t>
        </is>
      </c>
      <c r="B7636" s="4" t="n">
        <v>44620</v>
      </c>
      <c r="C7636" s="3" t="inlineStr">
        <is>
          <t>Revenue</t>
        </is>
      </c>
      <c r="D7636" s="3" t="inlineStr">
        <is>
          <t>2700/000</t>
        </is>
      </c>
      <c r="E7636" s="3" t="inlineStr">
        <is>
          <t>Discount Received for Cash</t>
        </is>
      </c>
      <c r="F7636" s="3" t="n">
        <v>0</v>
      </c>
      <c r="G7636" s="3" t="n">
        <v>-0.34</v>
      </c>
    </row>
    <row r="7637">
      <c r="A7637" s="3" t="inlineStr">
        <is>
          <t>Endulini (Pty) Ltd</t>
        </is>
      </c>
      <c r="B7637" s="4" t="n">
        <v>44620</v>
      </c>
      <c r="C7637" s="3" t="inlineStr">
        <is>
          <t>Revenue</t>
        </is>
      </c>
      <c r="D7637" s="3" t="inlineStr">
        <is>
          <t>2750/000</t>
        </is>
      </c>
      <c r="E7637" s="3" t="inlineStr">
        <is>
          <t>Interest Received</t>
        </is>
      </c>
      <c r="F7637" s="3" t="n">
        <v>0</v>
      </c>
      <c r="G7637" s="3" t="n">
        <v>-9.34</v>
      </c>
    </row>
    <row r="7638">
      <c r="A7638" s="3" t="inlineStr">
        <is>
          <t>Opportunity Management Holdings (PTY) LTD</t>
        </is>
      </c>
      <c r="B7638" s="4" t="n">
        <v>44620</v>
      </c>
      <c r="C7638" s="3" t="inlineStr">
        <is>
          <t>Revenue</t>
        </is>
      </c>
      <c r="D7638" s="3" t="inlineStr">
        <is>
          <t>2750/000</t>
        </is>
      </c>
      <c r="E7638" s="3" t="inlineStr">
        <is>
          <t>Interest Received</t>
        </is>
      </c>
      <c r="F7638" s="3" t="n">
        <v>0</v>
      </c>
      <c r="G7638" s="3" t="n">
        <v>-0.21</v>
      </c>
    </row>
    <row r="7639">
      <c r="A7639" s="3" t="inlineStr">
        <is>
          <t>Opportunity Global Investment (PTY) LTD</t>
        </is>
      </c>
      <c r="B7639" s="4" t="n">
        <v>44620</v>
      </c>
      <c r="C7639" s="3" t="inlineStr">
        <is>
          <t>Revenue</t>
        </is>
      </c>
      <c r="D7639" s="3" t="inlineStr">
        <is>
          <t>2750/000</t>
        </is>
      </c>
      <c r="E7639" s="3" t="inlineStr">
        <is>
          <t>Interest Received - Bank</t>
        </is>
      </c>
      <c r="F7639" s="3" t="n">
        <v>0</v>
      </c>
      <c r="G7639" s="3" t="n">
        <v>-1959.31</v>
      </c>
    </row>
    <row r="7640">
      <c r="A7640" s="3" t="inlineStr">
        <is>
          <t>Quinate Consulting (Pty) Ltd</t>
        </is>
      </c>
      <c r="B7640" s="4" t="n">
        <v>44620</v>
      </c>
      <c r="C7640" s="3" t="inlineStr">
        <is>
          <t>Revenue</t>
        </is>
      </c>
      <c r="D7640" s="3" t="inlineStr">
        <is>
          <t>2751/000</t>
        </is>
      </c>
      <c r="E7640" s="3" t="inlineStr">
        <is>
          <t>Interest Received - Bank</t>
        </is>
      </c>
      <c r="F7640" s="3" t="n">
        <v>0</v>
      </c>
      <c r="G7640" s="3" t="n">
        <v>-250.81</v>
      </c>
    </row>
    <row r="7641">
      <c r="A7641" s="3" t="inlineStr">
        <is>
          <t>Opportunity Global Investment (PTY) LTD</t>
        </is>
      </c>
      <c r="B7641" s="4" t="n">
        <v>44620</v>
      </c>
      <c r="C7641" s="3" t="inlineStr">
        <is>
          <t>Revenue</t>
        </is>
      </c>
      <c r="D7641" s="3" t="inlineStr">
        <is>
          <t>2753/000</t>
        </is>
      </c>
      <c r="E7641" s="3" t="inlineStr">
        <is>
          <t>Interest received - Momentum</t>
        </is>
      </c>
      <c r="F7641" s="3" t="n">
        <v>-15.68</v>
      </c>
      <c r="G7641" s="3" t="n">
        <v>-3435.16</v>
      </c>
    </row>
    <row r="7642">
      <c r="A7642" s="3" t="inlineStr">
        <is>
          <t>Quinate Consulting (Pty) Ltd</t>
        </is>
      </c>
      <c r="B7642" s="4" t="n">
        <v>44620</v>
      </c>
      <c r="C7642" s="3" t="inlineStr">
        <is>
          <t>Revenue</t>
        </is>
      </c>
      <c r="D7642" s="3" t="inlineStr">
        <is>
          <t>2753/001</t>
        </is>
      </c>
      <c r="E7642" s="3" t="inlineStr">
        <is>
          <t>Interest Received - Deposit Grey Heron</t>
        </is>
      </c>
      <c r="F7642" s="3" t="n">
        <v>0</v>
      </c>
      <c r="G7642" s="3" t="n">
        <v>-14626.61</v>
      </c>
    </row>
    <row r="7643">
      <c r="A7643" s="3" t="inlineStr">
        <is>
          <t>Opportunity Global Investment (PTY) LTD</t>
        </is>
      </c>
      <c r="B7643" s="4" t="n">
        <v>44620</v>
      </c>
      <c r="C7643" s="3" t="inlineStr">
        <is>
          <t>Revenue</t>
        </is>
      </c>
      <c r="D7643" s="3" t="inlineStr">
        <is>
          <t>2754/000</t>
        </is>
      </c>
      <c r="E7643" s="3" t="inlineStr">
        <is>
          <t>Interest Received - SARS</t>
        </is>
      </c>
      <c r="F7643" s="3" t="n">
        <v>0</v>
      </c>
      <c r="G7643" s="3" t="n">
        <v>-38.78</v>
      </c>
    </row>
    <row r="7644">
      <c r="A7644" s="3" t="inlineStr">
        <is>
          <t>Endulini (Pty) Ltd</t>
        </is>
      </c>
      <c r="B7644" s="4" t="n">
        <v>44620</v>
      </c>
      <c r="C7644" s="3" t="inlineStr">
        <is>
          <t>Revenue</t>
        </is>
      </c>
      <c r="D7644" s="3" t="inlineStr">
        <is>
          <t>2755/001</t>
        </is>
      </c>
      <c r="E7644" s="3" t="inlineStr">
        <is>
          <t>Interest Received - Momentum</t>
        </is>
      </c>
      <c r="F7644" s="3" t="n">
        <v>-18512.37</v>
      </c>
      <c r="G7644" s="3" t="n">
        <v>-94888.17</v>
      </c>
    </row>
    <row r="7645">
      <c r="A7645" s="3" t="inlineStr">
        <is>
          <t>Quinate Consulting (Pty) Ltd</t>
        </is>
      </c>
      <c r="B7645" s="4" t="n">
        <v>44620</v>
      </c>
      <c r="C7645" s="3" t="inlineStr">
        <is>
          <t>Revenue</t>
        </is>
      </c>
      <c r="D7645" s="3" t="inlineStr">
        <is>
          <t>2755/001</t>
        </is>
      </c>
      <c r="E7645" s="3" t="inlineStr">
        <is>
          <t>Interest Received - Momentum</t>
        </is>
      </c>
      <c r="F7645" s="3" t="n">
        <v>-11.78</v>
      </c>
      <c r="G7645" s="3" t="n">
        <v>-11.78</v>
      </c>
    </row>
    <row r="7646">
      <c r="A7646" s="3" t="inlineStr">
        <is>
          <t>Quinate Consulting (Pty) Ltd</t>
        </is>
      </c>
      <c r="B7646" s="4" t="n">
        <v>44620</v>
      </c>
      <c r="C7646" s="3" t="inlineStr">
        <is>
          <t>Revenue</t>
        </is>
      </c>
      <c r="D7646" s="3" t="inlineStr">
        <is>
          <t>2910/001</t>
        </is>
      </c>
      <c r="E7646" s="3" t="inlineStr">
        <is>
          <t>Insurance Claims - Old Mutual</t>
        </is>
      </c>
      <c r="F7646" s="3" t="n">
        <v>0</v>
      </c>
      <c r="G7646" s="3" t="n">
        <v>-875</v>
      </c>
    </row>
    <row r="7647">
      <c r="A7647" s="3" t="inlineStr">
        <is>
          <t>Opportunity Global Investment (PTY) LTD</t>
        </is>
      </c>
      <c r="B7647" s="4" t="n">
        <v>44620</v>
      </c>
      <c r="C7647" s="3" t="inlineStr">
        <is>
          <t>Expenses</t>
        </is>
      </c>
      <c r="D7647" s="3" t="inlineStr">
        <is>
          <t>3000/110</t>
        </is>
      </c>
      <c r="E7647" s="3" t="inlineStr">
        <is>
          <t>Accounting Fees - Payroll</t>
        </is>
      </c>
      <c r="F7647" s="3" t="n">
        <v>0</v>
      </c>
      <c r="G7647" s="3" t="n">
        <v>3625</v>
      </c>
    </row>
    <row r="7648">
      <c r="A7648" s="3" t="inlineStr">
        <is>
          <t>Opportunity Global Investment (PTY) LTD</t>
        </is>
      </c>
      <c r="B7648" s="4" t="n">
        <v>44620</v>
      </c>
      <c r="C7648" s="3" t="inlineStr">
        <is>
          <t>Expenses</t>
        </is>
      </c>
      <c r="D7648" s="3" t="inlineStr">
        <is>
          <t>3000/111</t>
        </is>
      </c>
      <c r="E7648" s="3" t="inlineStr">
        <is>
          <t>Accounting Fees - Tax Department</t>
        </is>
      </c>
      <c r="F7648" s="3" t="n">
        <v>0</v>
      </c>
      <c r="G7648" s="3" t="n">
        <v>1300</v>
      </c>
    </row>
    <row r="7649">
      <c r="A7649" s="3" t="inlineStr">
        <is>
          <t>Opportunity Global Investment (PTY) LTD</t>
        </is>
      </c>
      <c r="B7649" s="4" t="n">
        <v>44620</v>
      </c>
      <c r="C7649" s="3" t="inlineStr">
        <is>
          <t>Expenses</t>
        </is>
      </c>
      <c r="D7649" s="3" t="inlineStr">
        <is>
          <t>3000/150</t>
        </is>
      </c>
      <c r="E7649" s="3" t="inlineStr">
        <is>
          <t>Accounting Fees - Audit</t>
        </is>
      </c>
      <c r="F7649" s="3" t="n">
        <v>0</v>
      </c>
      <c r="G7649" s="3" t="n">
        <v>10950</v>
      </c>
    </row>
    <row r="7650">
      <c r="A7650" s="3" t="inlineStr">
        <is>
          <t>Opportunity Global Investment (PTY) LTD</t>
        </is>
      </c>
      <c r="B7650" s="4" t="n">
        <v>44620</v>
      </c>
      <c r="C7650" s="3" t="inlineStr">
        <is>
          <t>Expenses</t>
        </is>
      </c>
      <c r="D7650" s="3" t="inlineStr">
        <is>
          <t>3000/200</t>
        </is>
      </c>
      <c r="E7650" s="3" t="inlineStr">
        <is>
          <t>Accounting Fees - General</t>
        </is>
      </c>
      <c r="F7650" s="3" t="n">
        <v>0</v>
      </c>
      <c r="G7650" s="3" t="n">
        <v>6442.83</v>
      </c>
    </row>
    <row r="7651">
      <c r="A7651" s="3" t="inlineStr">
        <is>
          <t>Noble Shield (Pty) Ltd ta Go Letting</t>
        </is>
      </c>
      <c r="B7651" s="4" t="n">
        <v>44620</v>
      </c>
      <c r="C7651" s="3" t="inlineStr">
        <is>
          <t>Expenses</t>
        </is>
      </c>
      <c r="D7651" s="3" t="inlineStr">
        <is>
          <t>3000/300</t>
        </is>
      </c>
      <c r="E7651" s="3" t="inlineStr">
        <is>
          <t>Accounting Fees - Audit</t>
        </is>
      </c>
      <c r="F7651" s="3" t="n">
        <v>0</v>
      </c>
      <c r="G7651" s="3" t="n">
        <v>25967</v>
      </c>
    </row>
    <row r="7652">
      <c r="A7652" s="3" t="inlineStr">
        <is>
          <t>Trademark Holdings (Pty) Ltd</t>
        </is>
      </c>
      <c r="B7652" s="4" t="n">
        <v>44620</v>
      </c>
      <c r="C7652" s="3" t="inlineStr">
        <is>
          <t>Expenses</t>
        </is>
      </c>
      <c r="D7652" s="3" t="inlineStr">
        <is>
          <t>3000/300</t>
        </is>
      </c>
      <c r="E7652" s="3" t="inlineStr">
        <is>
          <t>Accounting Fees - Audit</t>
        </is>
      </c>
      <c r="F7652" s="3" t="n">
        <v>0</v>
      </c>
      <c r="G7652" s="3" t="n">
        <v>16790</v>
      </c>
    </row>
    <row r="7653">
      <c r="A7653" s="3" t="inlineStr">
        <is>
          <t>Noble Shield (Pty) Ltd ta Go Letting</t>
        </is>
      </c>
      <c r="B7653" s="4" t="n">
        <v>44620</v>
      </c>
      <c r="C7653" s="3" t="inlineStr">
        <is>
          <t>Expenses</t>
        </is>
      </c>
      <c r="D7653" s="3" t="inlineStr">
        <is>
          <t>3000/400</t>
        </is>
      </c>
      <c r="E7653" s="3" t="inlineStr">
        <is>
          <t>Accounting Fees - CipC</t>
        </is>
      </c>
      <c r="F7653" s="3" t="n">
        <v>0</v>
      </c>
      <c r="G7653" s="3" t="n">
        <v>100</v>
      </c>
    </row>
    <row r="7654">
      <c r="A7654" s="3" t="inlineStr">
        <is>
          <t>Opportunity Management Holdings (PTY) LTD</t>
        </is>
      </c>
      <c r="B7654" s="4" t="n">
        <v>44620</v>
      </c>
      <c r="C7654" s="3" t="inlineStr">
        <is>
          <t>Expenses</t>
        </is>
      </c>
      <c r="D7654" s="3" t="inlineStr">
        <is>
          <t>3001/000</t>
        </is>
      </c>
      <c r="E7654" s="3" t="inlineStr">
        <is>
          <t>Accounting Fees - Payroll</t>
        </is>
      </c>
      <c r="F7654" s="3" t="n">
        <v>0</v>
      </c>
      <c r="G7654" s="3" t="n">
        <v>577.5</v>
      </c>
    </row>
    <row r="7655">
      <c r="A7655" s="3" t="inlineStr">
        <is>
          <t>Quinate Consulting (Pty) Ltd</t>
        </is>
      </c>
      <c r="B7655" s="4" t="n">
        <v>44620</v>
      </c>
      <c r="C7655" s="3" t="inlineStr">
        <is>
          <t>Expenses</t>
        </is>
      </c>
      <c r="D7655" s="3" t="inlineStr">
        <is>
          <t>3001/000</t>
        </is>
      </c>
      <c r="E7655" s="3" t="inlineStr">
        <is>
          <t>Accounting fees - Other</t>
        </is>
      </c>
      <c r="F7655" s="3" t="n">
        <v>6350</v>
      </c>
      <c r="G7655" s="3" t="n">
        <v>8565</v>
      </c>
    </row>
    <row r="7656">
      <c r="A7656" s="3" t="inlineStr">
        <is>
          <t>Quinate Consulting (Pty) Ltd</t>
        </is>
      </c>
      <c r="B7656" s="4" t="n">
        <v>44620</v>
      </c>
      <c r="C7656" s="3" t="inlineStr">
        <is>
          <t>Expenses</t>
        </is>
      </c>
      <c r="D7656" s="3" t="inlineStr">
        <is>
          <t>3002/000</t>
        </is>
      </c>
      <c r="E7656" s="3" t="inlineStr">
        <is>
          <t>Accounting Fees - Tax Dept.</t>
        </is>
      </c>
      <c r="F7656" s="3" t="n">
        <v>0</v>
      </c>
      <c r="G7656" s="3" t="n">
        <v>1397.5</v>
      </c>
    </row>
    <row r="7657">
      <c r="A7657" s="3" t="inlineStr">
        <is>
          <t>Quinate Consulting (Pty) Ltd</t>
        </is>
      </c>
      <c r="B7657" s="4" t="n">
        <v>44620</v>
      </c>
      <c r="C7657" s="3" t="inlineStr">
        <is>
          <t>Expenses</t>
        </is>
      </c>
      <c r="D7657" s="3" t="inlineStr">
        <is>
          <t>3003/000</t>
        </is>
      </c>
      <c r="E7657" s="3" t="inlineStr">
        <is>
          <t>Accounting fees - Warwick</t>
        </is>
      </c>
      <c r="F7657" s="3" t="n">
        <v>0</v>
      </c>
      <c r="G7657" s="3" t="n">
        <v>54000</v>
      </c>
    </row>
    <row r="7658">
      <c r="A7658" s="3" t="inlineStr">
        <is>
          <t>Quinate Consulting (Pty) Ltd</t>
        </is>
      </c>
      <c r="B7658" s="4" t="n">
        <v>44620</v>
      </c>
      <c r="C7658" s="3" t="inlineStr">
        <is>
          <t>Expenses</t>
        </is>
      </c>
      <c r="D7658" s="3" t="inlineStr">
        <is>
          <t>3004/000</t>
        </is>
      </c>
      <c r="E7658" s="3" t="inlineStr">
        <is>
          <t>Accounting fees - J Theart</t>
        </is>
      </c>
      <c r="F7658" s="3" t="n">
        <v>0</v>
      </c>
      <c r="G7658" s="3" t="n">
        <v>45000</v>
      </c>
    </row>
    <row r="7659">
      <c r="A7659" s="3" t="inlineStr">
        <is>
          <t>Opportunity Management Holdings (PTY) LTD</t>
        </is>
      </c>
      <c r="B7659" s="4" t="n">
        <v>44620</v>
      </c>
      <c r="C7659" s="3" t="inlineStr">
        <is>
          <t>Expenses</t>
        </is>
      </c>
      <c r="D7659" s="3" t="inlineStr">
        <is>
          <t>3004/000</t>
        </is>
      </c>
      <c r="E7659" s="3" t="inlineStr">
        <is>
          <t>Accounting fees - Janine Theart</t>
        </is>
      </c>
      <c r="F7659" s="3" t="n">
        <v>16250</v>
      </c>
      <c r="G7659" s="3" t="n">
        <v>81250</v>
      </c>
    </row>
    <row r="7660">
      <c r="A7660" s="3" t="inlineStr">
        <is>
          <t>Quinate Consulting (Pty) Ltd</t>
        </is>
      </c>
      <c r="B7660" s="4" t="n">
        <v>44620</v>
      </c>
      <c r="C7660" s="3" t="inlineStr">
        <is>
          <t>Expenses</t>
        </is>
      </c>
      <c r="D7660" s="3" t="inlineStr">
        <is>
          <t>3005/000</t>
        </is>
      </c>
      <c r="E7660" s="3" t="inlineStr">
        <is>
          <t>Accounting fees - Audit</t>
        </is>
      </c>
      <c r="F7660" s="3" t="n">
        <v>0</v>
      </c>
      <c r="G7660" s="3" t="n">
        <v>41000</v>
      </c>
    </row>
    <row r="7661">
      <c r="A7661" s="3" t="inlineStr">
        <is>
          <t>Opportunity Management Holdings (PTY) LTD</t>
        </is>
      </c>
      <c r="B7661" s="4" t="n">
        <v>44620</v>
      </c>
      <c r="C7661" s="3" t="inlineStr">
        <is>
          <t>Expenses</t>
        </is>
      </c>
      <c r="D7661" s="3" t="inlineStr">
        <is>
          <t>3005/000</t>
        </is>
      </c>
      <c r="E7661" s="3" t="inlineStr">
        <is>
          <t>Accounting fees - Deric Dudley</t>
        </is>
      </c>
      <c r="F7661" s="3" t="n">
        <v>44000</v>
      </c>
      <c r="G7661" s="3" t="n">
        <v>220000</v>
      </c>
    </row>
    <row r="7662">
      <c r="A7662" s="3" t="inlineStr">
        <is>
          <t>Opportunity Management Holdings (PTY) LTD</t>
        </is>
      </c>
      <c r="B7662" s="4" t="n">
        <v>44620</v>
      </c>
      <c r="C7662" s="3" t="inlineStr">
        <is>
          <t>Expenses</t>
        </is>
      </c>
      <c r="D7662" s="3" t="inlineStr">
        <is>
          <t>3006/000</t>
        </is>
      </c>
      <c r="E7662" s="3" t="inlineStr">
        <is>
          <t>Accounting fees - CIPC</t>
        </is>
      </c>
      <c r="F7662" s="3" t="n">
        <v>0</v>
      </c>
      <c r="G7662" s="3" t="n">
        <v>350</v>
      </c>
    </row>
    <row r="7663">
      <c r="A7663" s="3" t="inlineStr">
        <is>
          <t>Opportunity Management Holdings (PTY) LTD</t>
        </is>
      </c>
      <c r="B7663" s="4" t="n">
        <v>44620</v>
      </c>
      <c r="C7663" s="3" t="inlineStr">
        <is>
          <t>Expenses</t>
        </is>
      </c>
      <c r="D7663" s="3" t="inlineStr">
        <is>
          <t>3007/000</t>
        </is>
      </c>
      <c r="E7663" s="3" t="inlineStr">
        <is>
          <t>Accounting fees - Warwick</t>
        </is>
      </c>
      <c r="F7663" s="3" t="n">
        <v>20696.82</v>
      </c>
      <c r="G7663" s="3" t="n">
        <v>158696.82</v>
      </c>
    </row>
    <row r="7664">
      <c r="A7664" s="3" t="inlineStr">
        <is>
          <t>Noble Shield (Pty) Ltd ta Go Letting</t>
        </is>
      </c>
      <c r="B7664" s="4" t="n">
        <v>44620</v>
      </c>
      <c r="C7664" s="3" t="inlineStr">
        <is>
          <t>Expenses</t>
        </is>
      </c>
      <c r="D7664" s="3" t="inlineStr">
        <is>
          <t>3050/000</t>
        </is>
      </c>
      <c r="E7664" s="3" t="inlineStr">
        <is>
          <t>Advertising _AND_ Promotions</t>
        </is>
      </c>
      <c r="F7664" s="3" t="n">
        <v>0</v>
      </c>
      <c r="G7664" s="3" t="n">
        <v>3862.5</v>
      </c>
    </row>
    <row r="7665">
      <c r="A7665" s="3" t="inlineStr">
        <is>
          <t>Quinate Consulting (Pty) Ltd</t>
        </is>
      </c>
      <c r="B7665" s="4" t="n">
        <v>44620</v>
      </c>
      <c r="C7665" s="3" t="inlineStr">
        <is>
          <t>Expenses</t>
        </is>
      </c>
      <c r="D7665" s="3" t="inlineStr">
        <is>
          <t>3050/000</t>
        </is>
      </c>
      <c r="E7665" s="3" t="inlineStr">
        <is>
          <t>Advertising _AND_ Promotions</t>
        </is>
      </c>
      <c r="F7665" s="3" t="n">
        <v>4558.6</v>
      </c>
      <c r="G7665" s="3" t="n">
        <v>4558.6</v>
      </c>
    </row>
    <row r="7666">
      <c r="A7666" s="3" t="inlineStr">
        <is>
          <t>Opportunity Global Investment (PTY) LTD</t>
        </is>
      </c>
      <c r="B7666" s="4" t="n">
        <v>44620</v>
      </c>
      <c r="C7666" s="3" t="inlineStr">
        <is>
          <t>Expenses</t>
        </is>
      </c>
      <c r="D7666" s="3" t="inlineStr">
        <is>
          <t>3050/000</t>
        </is>
      </c>
      <c r="E7666" s="3" t="inlineStr">
        <is>
          <t>Advertising and Promotions</t>
        </is>
      </c>
      <c r="F7666" s="3" t="n">
        <v>145924.77</v>
      </c>
      <c r="G7666" s="3" t="n">
        <v>1108968.83</v>
      </c>
    </row>
    <row r="7667">
      <c r="A7667" s="3" t="inlineStr">
        <is>
          <t>Opportunity Global Sales (PTY) LTD</t>
        </is>
      </c>
      <c r="B7667" s="4" t="n">
        <v>44620</v>
      </c>
      <c r="C7667" s="3" t="inlineStr">
        <is>
          <t>Expenses</t>
        </is>
      </c>
      <c r="D7667" s="3" t="inlineStr">
        <is>
          <t>3050/000</t>
        </is>
      </c>
      <c r="E7667" s="3" t="inlineStr">
        <is>
          <t>Advertising and Promotions</t>
        </is>
      </c>
      <c r="F7667" s="3" t="n">
        <v>3700</v>
      </c>
      <c r="G7667" s="3" t="n">
        <v>13577</v>
      </c>
    </row>
    <row r="7668">
      <c r="A7668" s="3" t="inlineStr">
        <is>
          <t>Endulini (Pty) Ltd</t>
        </is>
      </c>
      <c r="B7668" s="4" t="n">
        <v>44620</v>
      </c>
      <c r="C7668" s="3" t="inlineStr">
        <is>
          <t>Expenses</t>
        </is>
      </c>
      <c r="D7668" s="3" t="inlineStr">
        <is>
          <t>3050/001</t>
        </is>
      </c>
      <c r="E7668" s="3" t="inlineStr">
        <is>
          <t>Advertising _AND_ Promotions - Media Agenda</t>
        </is>
      </c>
      <c r="F7668" s="3" t="n">
        <v>3000</v>
      </c>
      <c r="G7668" s="3" t="n">
        <v>14707.5</v>
      </c>
    </row>
    <row r="7669">
      <c r="A7669" s="3" t="inlineStr">
        <is>
          <t>Endulini (Pty) Ltd</t>
        </is>
      </c>
      <c r="B7669" s="4" t="n">
        <v>44620</v>
      </c>
      <c r="C7669" s="3" t="inlineStr">
        <is>
          <t>Expenses</t>
        </is>
      </c>
      <c r="D7669" s="3" t="inlineStr">
        <is>
          <t>3050/002</t>
        </is>
      </c>
      <c r="E7669" s="3" t="inlineStr">
        <is>
          <t>Advertising - Other</t>
        </is>
      </c>
      <c r="F7669" s="3" t="n">
        <v>6250</v>
      </c>
      <c r="G7669" s="3" t="n">
        <v>43728.8</v>
      </c>
    </row>
    <row r="7670">
      <c r="A7670" s="3" t="inlineStr">
        <is>
          <t>Noble Shield (Pty) Ltd ta Go Letting</t>
        </is>
      </c>
      <c r="B7670" s="4" t="n">
        <v>44620</v>
      </c>
      <c r="C7670" s="3" t="inlineStr">
        <is>
          <t>Expenses</t>
        </is>
      </c>
      <c r="D7670" s="3" t="inlineStr">
        <is>
          <t>3050/050</t>
        </is>
      </c>
      <c r="E7670" s="3" t="inlineStr">
        <is>
          <t>Advertising - Prop 24</t>
        </is>
      </c>
      <c r="F7670" s="3" t="n">
        <v>2601.3</v>
      </c>
      <c r="G7670" s="3" t="n">
        <v>13855.2</v>
      </c>
    </row>
    <row r="7671">
      <c r="A7671" s="3" t="inlineStr">
        <is>
          <t>Trademark Holdings (Pty) Ltd</t>
        </is>
      </c>
      <c r="B7671" s="4" t="n">
        <v>44620</v>
      </c>
      <c r="C7671" s="3" t="inlineStr">
        <is>
          <t>Expenses</t>
        </is>
      </c>
      <c r="D7671" s="3" t="inlineStr">
        <is>
          <t>3050/060</t>
        </is>
      </c>
      <c r="E7671" s="3" t="inlineStr">
        <is>
          <t>Advertising - Other</t>
        </is>
      </c>
      <c r="F7671" s="3" t="n">
        <v>0</v>
      </c>
      <c r="G7671" s="3" t="n">
        <v>7595.75</v>
      </c>
    </row>
    <row r="7672">
      <c r="A7672" s="3" t="inlineStr">
        <is>
          <t>Noble Shield (Pty) Ltd ta Go Letting</t>
        </is>
      </c>
      <c r="B7672" s="4" t="n">
        <v>44620</v>
      </c>
      <c r="C7672" s="3" t="inlineStr">
        <is>
          <t>Expenses</t>
        </is>
      </c>
      <c r="D7672" s="3" t="inlineStr">
        <is>
          <t>3050/070</t>
        </is>
      </c>
      <c r="E7672" s="3" t="inlineStr">
        <is>
          <t>Advertising - Facebook</t>
        </is>
      </c>
      <c r="F7672" s="3" t="n">
        <v>0</v>
      </c>
      <c r="G7672" s="3" t="n">
        <v>3317.35</v>
      </c>
    </row>
    <row r="7673">
      <c r="A7673" s="3" t="inlineStr">
        <is>
          <t>Opportunity Global Sales (PTY) LTD</t>
        </is>
      </c>
      <c r="B7673" s="4" t="n">
        <v>44620</v>
      </c>
      <c r="C7673" s="3" t="inlineStr">
        <is>
          <t>Expenses</t>
        </is>
      </c>
      <c r="D7673" s="3" t="inlineStr">
        <is>
          <t>3050/100</t>
        </is>
      </c>
      <c r="E7673" s="3" t="inlineStr">
        <is>
          <t>Advertising - Facebook</t>
        </is>
      </c>
      <c r="F7673" s="3" t="n">
        <v>5000</v>
      </c>
      <c r="G7673" s="3" t="n">
        <v>19157.53</v>
      </c>
    </row>
    <row r="7674">
      <c r="A7674" s="3" t="inlineStr">
        <is>
          <t>Opportunity Global Sales (PTY) LTD</t>
        </is>
      </c>
      <c r="B7674" s="4" t="n">
        <v>44620</v>
      </c>
      <c r="C7674" s="3" t="inlineStr">
        <is>
          <t>Expenses</t>
        </is>
      </c>
      <c r="D7674" s="3" t="inlineStr">
        <is>
          <t>3050/140</t>
        </is>
      </c>
      <c r="E7674" s="3" t="inlineStr">
        <is>
          <t>Advertising - Media Agenda</t>
        </is>
      </c>
      <c r="F7674" s="3" t="n">
        <v>0</v>
      </c>
      <c r="G7674" s="3" t="n">
        <v>1142.5</v>
      </c>
    </row>
    <row r="7675">
      <c r="A7675" s="3" t="inlineStr">
        <is>
          <t>Opportunity Global Sales (PTY) LTD</t>
        </is>
      </c>
      <c r="B7675" s="4" t="n">
        <v>44620</v>
      </c>
      <c r="C7675" s="3" t="inlineStr">
        <is>
          <t>Expenses</t>
        </is>
      </c>
      <c r="D7675" s="3" t="inlineStr">
        <is>
          <t>3050/250</t>
        </is>
      </c>
      <c r="E7675" s="3" t="inlineStr">
        <is>
          <t>Advertising - General</t>
        </is>
      </c>
      <c r="F7675" s="3" t="n">
        <v>0</v>
      </c>
      <c r="G7675" s="3" t="n">
        <v>17910.63</v>
      </c>
    </row>
    <row r="7676">
      <c r="A7676" s="3" t="inlineStr">
        <is>
          <t>Opportunity Global Sales (PTY) LTD</t>
        </is>
      </c>
      <c r="B7676" s="4" t="n">
        <v>44620</v>
      </c>
      <c r="C7676" s="3" t="inlineStr">
        <is>
          <t>Expenses</t>
        </is>
      </c>
      <c r="D7676" s="3" t="inlineStr">
        <is>
          <t>3050/300</t>
        </is>
      </c>
      <c r="E7676" s="3" t="inlineStr">
        <is>
          <t>Repairs and Maintenance - Endulini Sales Office</t>
        </is>
      </c>
      <c r="F7676" s="3" t="n">
        <v>0</v>
      </c>
      <c r="G7676" s="3" t="n">
        <v>952.05</v>
      </c>
    </row>
    <row r="7677">
      <c r="A7677" s="3" t="inlineStr">
        <is>
          <t>Opportunity Global Sales (PTY) LTD</t>
        </is>
      </c>
      <c r="B7677" s="4" t="n">
        <v>44620</v>
      </c>
      <c r="C7677" s="3" t="inlineStr">
        <is>
          <t>Expenses</t>
        </is>
      </c>
      <c r="D7677" s="3" t="inlineStr">
        <is>
          <t>3050/350</t>
        </is>
      </c>
      <c r="E7677" s="3" t="inlineStr">
        <is>
          <t>Advertising - Private Property</t>
        </is>
      </c>
      <c r="F7677" s="3" t="n">
        <v>1050</v>
      </c>
      <c r="G7677" s="3" t="n">
        <v>1050</v>
      </c>
    </row>
    <row r="7678">
      <c r="A7678" s="3" t="inlineStr">
        <is>
          <t>Quinate Consulting (Pty) Ltd</t>
        </is>
      </c>
      <c r="B7678" s="4" t="n">
        <v>44620</v>
      </c>
      <c r="C7678" s="3" t="inlineStr">
        <is>
          <t>Expenses</t>
        </is>
      </c>
      <c r="D7678" s="3" t="inlineStr">
        <is>
          <t>3050/400</t>
        </is>
      </c>
      <c r="E7678" s="3" t="inlineStr">
        <is>
          <t>Advertising - Prop24</t>
        </is>
      </c>
      <c r="F7678" s="3" t="n">
        <v>14539</v>
      </c>
      <c r="G7678" s="3" t="n">
        <v>160258</v>
      </c>
    </row>
    <row r="7679">
      <c r="A7679" s="3" t="inlineStr">
        <is>
          <t>Opportunity Global Sales (PTY) LTD</t>
        </is>
      </c>
      <c r="B7679" s="4" t="n">
        <v>44620</v>
      </c>
      <c r="C7679" s="3" t="inlineStr">
        <is>
          <t>Expenses</t>
        </is>
      </c>
      <c r="D7679" s="3" t="inlineStr">
        <is>
          <t>3050/400</t>
        </is>
      </c>
      <c r="E7679" s="3" t="inlineStr">
        <is>
          <t>Repairs &amp; Maintenance Heron sales office</t>
        </is>
      </c>
      <c r="F7679" s="3" t="n">
        <v>0</v>
      </c>
      <c r="G7679" s="3" t="n">
        <v>1330.45</v>
      </c>
    </row>
    <row r="7680">
      <c r="A7680" s="3" t="inlineStr">
        <is>
          <t>Quinate Consulting (Pty) Ltd</t>
        </is>
      </c>
      <c r="B7680" s="4" t="n">
        <v>44620</v>
      </c>
      <c r="C7680" s="3" t="inlineStr">
        <is>
          <t>Expenses</t>
        </is>
      </c>
      <c r="D7680" s="3" t="inlineStr">
        <is>
          <t>3050/450</t>
        </is>
      </c>
      <c r="E7680" s="3" t="inlineStr">
        <is>
          <t>Advertising - Facebook</t>
        </is>
      </c>
      <c r="F7680" s="3" t="n">
        <v>3207.37</v>
      </c>
      <c r="G7680" s="3" t="n">
        <v>58807.12</v>
      </c>
    </row>
    <row r="7681">
      <c r="A7681" s="3" t="inlineStr">
        <is>
          <t>Quinate Consulting (Pty) Ltd</t>
        </is>
      </c>
      <c r="B7681" s="4" t="n">
        <v>44620</v>
      </c>
      <c r="C7681" s="3" t="inlineStr">
        <is>
          <t>Expenses</t>
        </is>
      </c>
      <c r="D7681" s="3" t="inlineStr">
        <is>
          <t>3050/500</t>
        </is>
      </c>
      <c r="E7681" s="3" t="inlineStr">
        <is>
          <t>Advertising _AND_ Promotions - other South W</t>
        </is>
      </c>
      <c r="F7681" s="3" t="n">
        <v>0</v>
      </c>
      <c r="G7681" s="3" t="n">
        <v>9061.6</v>
      </c>
    </row>
    <row r="7682">
      <c r="A7682" s="3" t="inlineStr">
        <is>
          <t>Quinate Consulting (Pty) Ltd</t>
        </is>
      </c>
      <c r="B7682" s="4" t="n">
        <v>44620</v>
      </c>
      <c r="C7682" s="3" t="inlineStr">
        <is>
          <t>Expenses</t>
        </is>
      </c>
      <c r="D7682" s="3" t="inlineStr">
        <is>
          <t>3050/560</t>
        </is>
      </c>
      <c r="E7682" s="3" t="inlineStr">
        <is>
          <t>Advertising - SwiftShutter</t>
        </is>
      </c>
      <c r="F7682" s="3" t="n">
        <v>0</v>
      </c>
      <c r="G7682" s="3" t="n">
        <v>13184.73</v>
      </c>
    </row>
    <row r="7683">
      <c r="A7683" s="3" t="inlineStr">
        <is>
          <t>Quinate Consulting (Pty) Ltd</t>
        </is>
      </c>
      <c r="B7683" s="4" t="n">
        <v>44620</v>
      </c>
      <c r="C7683" s="3" t="inlineStr">
        <is>
          <t>Expenses</t>
        </is>
      </c>
      <c r="D7683" s="3" t="inlineStr">
        <is>
          <t>3050/600</t>
        </is>
      </c>
      <c r="E7683" s="3" t="inlineStr">
        <is>
          <t>Advertising _AND_ Promotions - Other</t>
        </is>
      </c>
      <c r="F7683" s="3" t="n">
        <v>0</v>
      </c>
      <c r="G7683" s="3" t="n">
        <v>2139.25</v>
      </c>
    </row>
    <row r="7684">
      <c r="A7684" s="3" t="inlineStr">
        <is>
          <t>Quinate Consulting (Pty) Ltd</t>
        </is>
      </c>
      <c r="B7684" s="4" t="n">
        <v>44620</v>
      </c>
      <c r="C7684" s="3" t="inlineStr">
        <is>
          <t>Expenses</t>
        </is>
      </c>
      <c r="D7684" s="3" t="inlineStr">
        <is>
          <t>3050/650</t>
        </is>
      </c>
      <c r="E7684" s="3" t="inlineStr">
        <is>
          <t>Advertising _AND_ Promotions - Google</t>
        </is>
      </c>
      <c r="F7684" s="3" t="n">
        <v>0</v>
      </c>
      <c r="G7684" s="3" t="n">
        <v>478.25</v>
      </c>
    </row>
    <row r="7685">
      <c r="A7685" s="3" t="inlineStr">
        <is>
          <t>Opportunity Global Investment (PTY) LTD</t>
        </is>
      </c>
      <c r="B7685" s="4" t="n">
        <v>44620</v>
      </c>
      <c r="C7685" s="3" t="inlineStr">
        <is>
          <t>Expenses</t>
        </is>
      </c>
      <c r="D7685" s="3" t="inlineStr">
        <is>
          <t>3051/000</t>
        </is>
      </c>
      <c r="E7685" s="3" t="inlineStr">
        <is>
          <t>Advertising - Facebook</t>
        </is>
      </c>
      <c r="F7685" s="3" t="n">
        <v>10751.53</v>
      </c>
      <c r="G7685" s="3" t="n">
        <v>117045.06</v>
      </c>
    </row>
    <row r="7686">
      <c r="A7686" s="3" t="inlineStr">
        <is>
          <t>Opportunity Global Investment (PTY) LTD</t>
        </is>
      </c>
      <c r="B7686" s="4" t="n">
        <v>44620</v>
      </c>
      <c r="C7686" s="3" t="inlineStr">
        <is>
          <t>Expenses</t>
        </is>
      </c>
      <c r="D7686" s="3" t="inlineStr">
        <is>
          <t>3053/000</t>
        </is>
      </c>
      <c r="E7686" s="3" t="inlineStr">
        <is>
          <t>Advertising - Google Ads</t>
        </is>
      </c>
      <c r="F7686" s="3" t="n">
        <v>0</v>
      </c>
      <c r="G7686" s="3" t="n">
        <v>4593.97</v>
      </c>
    </row>
    <row r="7687">
      <c r="A7687" s="3" t="inlineStr">
        <is>
          <t>Opportunity Global Investment (PTY) LTD</t>
        </is>
      </c>
      <c r="B7687" s="4" t="n">
        <v>44620</v>
      </c>
      <c r="C7687" s="3" t="inlineStr">
        <is>
          <t>Expenses</t>
        </is>
      </c>
      <c r="D7687" s="3" t="inlineStr">
        <is>
          <t>3061/001</t>
        </is>
      </c>
      <c r="E7687" s="3" t="inlineStr">
        <is>
          <t>Admin cost - Payprop</t>
        </is>
      </c>
      <c r="F7687" s="3" t="n">
        <v>0</v>
      </c>
      <c r="G7687" s="3" t="n">
        <v>1565.22</v>
      </c>
    </row>
    <row r="7688">
      <c r="A7688" s="3" t="inlineStr">
        <is>
          <t>Endulini (Pty) Ltd</t>
        </is>
      </c>
      <c r="B7688" s="4" t="n">
        <v>44620</v>
      </c>
      <c r="C7688" s="3" t="inlineStr">
        <is>
          <t>Expenses</t>
        </is>
      </c>
      <c r="D7688" s="3" t="inlineStr">
        <is>
          <t>3200/000</t>
        </is>
      </c>
      <c r="E7688" s="3" t="inlineStr">
        <is>
          <t>Bank Charges</t>
        </is>
      </c>
      <c r="F7688" s="3" t="n">
        <v>401.29</v>
      </c>
      <c r="G7688" s="3" t="n">
        <v>2473.04</v>
      </c>
    </row>
    <row r="7689">
      <c r="A7689" s="3" t="inlineStr">
        <is>
          <t>Noble Shield (Pty) Ltd ta Go Letting</t>
        </is>
      </c>
      <c r="B7689" s="4" t="n">
        <v>44620</v>
      </c>
      <c r="C7689" s="3" t="inlineStr">
        <is>
          <t>Expenses</t>
        </is>
      </c>
      <c r="D7689" s="3" t="inlineStr">
        <is>
          <t>3200/000</t>
        </is>
      </c>
      <c r="E7689" s="3" t="inlineStr">
        <is>
          <t>Bank Charges</t>
        </is>
      </c>
      <c r="F7689" s="3" t="n">
        <v>1176.42</v>
      </c>
      <c r="G7689" s="3" t="n">
        <v>6512</v>
      </c>
    </row>
    <row r="7690">
      <c r="A7690" s="3" t="inlineStr">
        <is>
          <t>Opportunity Global Investment (PTY) LTD</t>
        </is>
      </c>
      <c r="B7690" s="4" t="n">
        <v>44620</v>
      </c>
      <c r="C7690" s="3" t="inlineStr">
        <is>
          <t>Expenses</t>
        </is>
      </c>
      <c r="D7690" s="3" t="inlineStr">
        <is>
          <t>3200/000</t>
        </is>
      </c>
      <c r="E7690" s="3" t="inlineStr">
        <is>
          <t>Bank Charges</t>
        </is>
      </c>
      <c r="F7690" s="3" t="n">
        <v>1403.24</v>
      </c>
      <c r="G7690" s="3" t="n">
        <v>9780.440000000001</v>
      </c>
    </row>
    <row r="7691">
      <c r="A7691" s="3" t="inlineStr">
        <is>
          <t>Opportunity Global Sales (PTY) LTD</t>
        </is>
      </c>
      <c r="B7691" s="4" t="n">
        <v>44620</v>
      </c>
      <c r="C7691" s="3" t="inlineStr">
        <is>
          <t>Expenses</t>
        </is>
      </c>
      <c r="D7691" s="3" t="inlineStr">
        <is>
          <t>3200/000</t>
        </is>
      </c>
      <c r="E7691" s="3" t="inlineStr">
        <is>
          <t>Bank Charges</t>
        </is>
      </c>
      <c r="F7691" s="3" t="n">
        <v>897.6</v>
      </c>
      <c r="G7691" s="3" t="n">
        <v>6660.85</v>
      </c>
    </row>
    <row r="7692">
      <c r="A7692" s="3" t="inlineStr">
        <is>
          <t>Opportunity Management Holdings (PTY) LTD</t>
        </is>
      </c>
      <c r="B7692" s="4" t="n">
        <v>44620</v>
      </c>
      <c r="C7692" s="3" t="inlineStr">
        <is>
          <t>Expenses</t>
        </is>
      </c>
      <c r="D7692" s="3" t="inlineStr">
        <is>
          <t>3200/000</t>
        </is>
      </c>
      <c r="E7692" s="3" t="inlineStr">
        <is>
          <t>Bank Charges</t>
        </is>
      </c>
      <c r="F7692" s="3" t="n">
        <v>1210.69</v>
      </c>
      <c r="G7692" s="3" t="n">
        <v>6137.98</v>
      </c>
    </row>
    <row r="7693">
      <c r="A7693" s="3" t="inlineStr">
        <is>
          <t>Quinate Consulting (Pty) Ltd</t>
        </is>
      </c>
      <c r="B7693" s="4" t="n">
        <v>44620</v>
      </c>
      <c r="C7693" s="3" t="inlineStr">
        <is>
          <t>Expenses</t>
        </is>
      </c>
      <c r="D7693" s="3" t="inlineStr">
        <is>
          <t>3200/000</t>
        </is>
      </c>
      <c r="E7693" s="3" t="inlineStr">
        <is>
          <t>Bank Charges</t>
        </is>
      </c>
      <c r="F7693" s="3" t="n">
        <v>907.97</v>
      </c>
      <c r="G7693" s="3" t="n">
        <v>17036.18</v>
      </c>
    </row>
    <row r="7694">
      <c r="A7694" s="3" t="inlineStr">
        <is>
          <t>Trademark Holdings (Pty) Ltd</t>
        </is>
      </c>
      <c r="B7694" s="4" t="n">
        <v>44620</v>
      </c>
      <c r="C7694" s="3" t="inlineStr">
        <is>
          <t>Expenses</t>
        </is>
      </c>
      <c r="D7694" s="3" t="inlineStr">
        <is>
          <t>3200/000</t>
        </is>
      </c>
      <c r="E7694" s="3" t="inlineStr">
        <is>
          <t>Bank Charges</t>
        </is>
      </c>
      <c r="F7694" s="3" t="n">
        <v>672.67</v>
      </c>
      <c r="G7694" s="3" t="n">
        <v>3858.8</v>
      </c>
    </row>
    <row r="7695">
      <c r="A7695" s="3" t="inlineStr">
        <is>
          <t>Quinate Consulting (Pty) Ltd</t>
        </is>
      </c>
      <c r="B7695" s="4" t="n">
        <v>44620</v>
      </c>
      <c r="C7695" s="3" t="inlineStr">
        <is>
          <t>Expenses</t>
        </is>
      </c>
      <c r="D7695" s="3" t="inlineStr">
        <is>
          <t>3220/000</t>
        </is>
      </c>
      <c r="E7695" s="3" t="inlineStr">
        <is>
          <t>Bank Charges - Bond Fees</t>
        </is>
      </c>
      <c r="F7695" s="3" t="n">
        <v>3278.32</v>
      </c>
      <c r="G7695" s="3" t="n">
        <v>10799.53</v>
      </c>
    </row>
    <row r="7696">
      <c r="A7696" s="3" t="inlineStr">
        <is>
          <t>Noble Shield (Pty) Ltd ta Go Letting</t>
        </is>
      </c>
      <c r="B7696" s="4" t="n">
        <v>44620</v>
      </c>
      <c r="C7696" s="3" t="inlineStr">
        <is>
          <t>Expenses</t>
        </is>
      </c>
      <c r="D7696" s="3" t="inlineStr">
        <is>
          <t>3230/000</t>
        </is>
      </c>
      <c r="E7696" s="3" t="inlineStr">
        <is>
          <t>Cell Phone - NM</t>
        </is>
      </c>
      <c r="F7696" s="3" t="n">
        <v>2348.31</v>
      </c>
      <c r="G7696" s="3" t="n">
        <v>13688.68</v>
      </c>
    </row>
    <row r="7697">
      <c r="A7697" s="3" t="inlineStr">
        <is>
          <t>Noble Shield (Pty) Ltd ta Go Letting</t>
        </is>
      </c>
      <c r="B7697" s="4" t="n">
        <v>44620</v>
      </c>
      <c r="C7697" s="3" t="inlineStr">
        <is>
          <t>Expenses</t>
        </is>
      </c>
      <c r="D7697" s="3" t="inlineStr">
        <is>
          <t>3233/000</t>
        </is>
      </c>
      <c r="E7697" s="3" t="inlineStr">
        <is>
          <t>Cell Data - Other</t>
        </is>
      </c>
      <c r="F7697" s="3" t="n">
        <v>199</v>
      </c>
      <c r="G7697" s="3" t="n">
        <v>1393</v>
      </c>
    </row>
    <row r="7698">
      <c r="A7698" s="3" t="inlineStr">
        <is>
          <t>Noble Shield (Pty) Ltd ta Go Letting</t>
        </is>
      </c>
      <c r="B7698" s="4" t="n">
        <v>44620</v>
      </c>
      <c r="C7698" s="3" t="inlineStr">
        <is>
          <t>Expenses</t>
        </is>
      </c>
      <c r="D7698" s="3" t="inlineStr">
        <is>
          <t>3233/100</t>
        </is>
      </c>
      <c r="E7698" s="3" t="inlineStr">
        <is>
          <t>Cell Data - Sales office Wifi</t>
        </is>
      </c>
      <c r="F7698" s="3" t="n">
        <v>369</v>
      </c>
      <c r="G7698" s="3" t="n">
        <v>1944</v>
      </c>
    </row>
    <row r="7699">
      <c r="A7699" s="3" t="inlineStr">
        <is>
          <t>Noble Shield (Pty) Ltd ta Go Letting</t>
        </is>
      </c>
      <c r="B7699" s="4" t="n">
        <v>44620</v>
      </c>
      <c r="C7699" s="3" t="inlineStr">
        <is>
          <t>Expenses</t>
        </is>
      </c>
      <c r="D7699" s="3" t="inlineStr">
        <is>
          <t>3250/000</t>
        </is>
      </c>
      <c r="E7699" s="3" t="inlineStr">
        <is>
          <t>Cleaning</t>
        </is>
      </c>
      <c r="F7699" s="3" t="n">
        <v>319.6</v>
      </c>
      <c r="G7699" s="3" t="n">
        <v>614.52</v>
      </c>
    </row>
    <row r="7700">
      <c r="A7700" s="3" t="inlineStr">
        <is>
          <t>Opportunity Global Investment (PTY) LTD</t>
        </is>
      </c>
      <c r="B7700" s="4" t="n">
        <v>44620</v>
      </c>
      <c r="C7700" s="3" t="inlineStr">
        <is>
          <t>Expenses</t>
        </is>
      </c>
      <c r="D7700" s="3" t="inlineStr">
        <is>
          <t>3250/000</t>
        </is>
      </c>
      <c r="E7700" s="3" t="inlineStr">
        <is>
          <t>Cleaning</t>
        </is>
      </c>
      <c r="F7700" s="3" t="n">
        <v>2700</v>
      </c>
      <c r="G7700" s="3" t="n">
        <v>32300</v>
      </c>
    </row>
    <row r="7701">
      <c r="A7701" s="3" t="inlineStr">
        <is>
          <t>Quinate Consulting (Pty) Ltd</t>
        </is>
      </c>
      <c r="B7701" s="4" t="n">
        <v>44620</v>
      </c>
      <c r="C7701" s="3" t="inlineStr">
        <is>
          <t>Expenses</t>
        </is>
      </c>
      <c r="D7701" s="3" t="inlineStr">
        <is>
          <t>3250/000</t>
        </is>
      </c>
      <c r="E7701" s="3" t="inlineStr">
        <is>
          <t>Cleaning</t>
        </is>
      </c>
      <c r="F7701" s="3" t="n">
        <v>0</v>
      </c>
      <c r="G7701" s="3" t="n">
        <v>6700.98</v>
      </c>
    </row>
    <row r="7702">
      <c r="A7702" s="3" t="inlineStr">
        <is>
          <t>Trademark Holdings (Pty) Ltd</t>
        </is>
      </c>
      <c r="B7702" s="4" t="n">
        <v>44620</v>
      </c>
      <c r="C7702" s="3" t="inlineStr">
        <is>
          <t>Expenses</t>
        </is>
      </c>
      <c r="D7702" s="3" t="inlineStr">
        <is>
          <t>3250/000</t>
        </is>
      </c>
      <c r="E7702" s="3" t="inlineStr">
        <is>
          <t>Cleaning</t>
        </is>
      </c>
      <c r="F7702" s="3" t="n">
        <v>944</v>
      </c>
      <c r="G7702" s="3" t="n">
        <v>5192</v>
      </c>
    </row>
    <row r="7703">
      <c r="A7703" s="3" t="inlineStr">
        <is>
          <t>Noble Shield (Pty) Ltd ta Go Letting</t>
        </is>
      </c>
      <c r="B7703" s="4" t="n">
        <v>44620</v>
      </c>
      <c r="C7703" s="3" t="inlineStr">
        <is>
          <t>Expenses</t>
        </is>
      </c>
      <c r="D7703" s="3" t="inlineStr">
        <is>
          <t>3300/000</t>
        </is>
      </c>
      <c r="E7703" s="3" t="inlineStr">
        <is>
          <t>Computer Expenses</t>
        </is>
      </c>
      <c r="F7703" s="3" t="n">
        <v>199</v>
      </c>
      <c r="G7703" s="3" t="n">
        <v>3226.5</v>
      </c>
    </row>
    <row r="7704">
      <c r="A7704" s="3" t="inlineStr">
        <is>
          <t>Opportunity Global Investment (PTY) LTD</t>
        </is>
      </c>
      <c r="B7704" s="4" t="n">
        <v>44620</v>
      </c>
      <c r="C7704" s="3" t="inlineStr">
        <is>
          <t>Expenses</t>
        </is>
      </c>
      <c r="D7704" s="3" t="inlineStr">
        <is>
          <t>3300/000</t>
        </is>
      </c>
      <c r="E7704" s="3" t="inlineStr">
        <is>
          <t>Computer Expenses</t>
        </is>
      </c>
      <c r="F7704" s="3" t="n">
        <v>250</v>
      </c>
      <c r="G7704" s="3" t="n">
        <v>250</v>
      </c>
    </row>
    <row r="7705">
      <c r="A7705" s="3" t="inlineStr">
        <is>
          <t>Opportunity Global Sales (PTY) LTD</t>
        </is>
      </c>
      <c r="B7705" s="4" t="n">
        <v>44620</v>
      </c>
      <c r="C7705" s="3" t="inlineStr">
        <is>
          <t>Expenses</t>
        </is>
      </c>
      <c r="D7705" s="3" t="inlineStr">
        <is>
          <t>3300/000</t>
        </is>
      </c>
      <c r="E7705" s="3" t="inlineStr">
        <is>
          <t>Computer Expenses</t>
        </is>
      </c>
      <c r="F7705" s="3" t="n">
        <v>0</v>
      </c>
      <c r="G7705" s="3" t="n">
        <v>757.83</v>
      </c>
    </row>
    <row r="7706">
      <c r="A7706" s="3" t="inlineStr">
        <is>
          <t>Opportunity Management Holdings (PTY) LTD</t>
        </is>
      </c>
      <c r="B7706" s="4" t="n">
        <v>44620</v>
      </c>
      <c r="C7706" s="3" t="inlineStr">
        <is>
          <t>Expenses</t>
        </is>
      </c>
      <c r="D7706" s="3" t="inlineStr">
        <is>
          <t>3300/000</t>
        </is>
      </c>
      <c r="E7706" s="3" t="inlineStr">
        <is>
          <t>Computer Expenses</t>
        </is>
      </c>
      <c r="F7706" s="3" t="n">
        <v>823.5599999999999</v>
      </c>
      <c r="G7706" s="3" t="n">
        <v>823.5599999999999</v>
      </c>
    </row>
    <row r="7707">
      <c r="A7707" s="3" t="inlineStr">
        <is>
          <t>Quinate Consulting (Pty) Ltd</t>
        </is>
      </c>
      <c r="B7707" s="4" t="n">
        <v>44620</v>
      </c>
      <c r="C7707" s="3" t="inlineStr">
        <is>
          <t>Expenses</t>
        </is>
      </c>
      <c r="D7707" s="3" t="inlineStr">
        <is>
          <t>3300/000</t>
        </is>
      </c>
      <c r="E7707" s="3" t="inlineStr">
        <is>
          <t>Computer Expenses</t>
        </is>
      </c>
      <c r="F7707" s="3" t="n">
        <v>11395</v>
      </c>
      <c r="G7707" s="3" t="n">
        <v>54721.57</v>
      </c>
    </row>
    <row r="7708">
      <c r="A7708" s="3" t="inlineStr">
        <is>
          <t>Trademark Holdings (Pty) Ltd</t>
        </is>
      </c>
      <c r="B7708" s="4" t="n">
        <v>44620</v>
      </c>
      <c r="C7708" s="3" t="inlineStr">
        <is>
          <t>Expenses</t>
        </is>
      </c>
      <c r="D7708" s="3" t="inlineStr">
        <is>
          <t>3300/000</t>
        </is>
      </c>
      <c r="E7708" s="3" t="inlineStr">
        <is>
          <t>Computer Expenses</t>
        </is>
      </c>
      <c r="F7708" s="3" t="n">
        <v>0</v>
      </c>
      <c r="G7708" s="3" t="n">
        <v>7714.4</v>
      </c>
    </row>
    <row r="7709">
      <c r="A7709" s="3" t="inlineStr">
        <is>
          <t>Noble Shield (Pty) Ltd ta Go Letting</t>
        </is>
      </c>
      <c r="B7709" s="4" t="n">
        <v>44620</v>
      </c>
      <c r="C7709" s="3" t="inlineStr">
        <is>
          <t>Expenses</t>
        </is>
      </c>
      <c r="D7709" s="3" t="inlineStr">
        <is>
          <t>3300/120</t>
        </is>
      </c>
      <c r="E7709" s="3" t="inlineStr">
        <is>
          <t>Computer IT - Software Propworx</t>
        </is>
      </c>
      <c r="F7709" s="3" t="n">
        <v>1926.25</v>
      </c>
      <c r="G7709" s="3" t="n">
        <v>9631.25</v>
      </c>
    </row>
    <row r="7710">
      <c r="A7710" s="3" t="inlineStr">
        <is>
          <t>Trademark Holdings (Pty) Ltd</t>
        </is>
      </c>
      <c r="B7710" s="4" t="n">
        <v>44620</v>
      </c>
      <c r="C7710" s="3" t="inlineStr">
        <is>
          <t>Expenses</t>
        </is>
      </c>
      <c r="D7710" s="3" t="inlineStr">
        <is>
          <t>3300/125</t>
        </is>
      </c>
      <c r="E7710" s="3" t="inlineStr">
        <is>
          <t>Computer IT - CT</t>
        </is>
      </c>
      <c r="F7710" s="3" t="n">
        <v>0</v>
      </c>
      <c r="G7710" s="3" t="n">
        <v>106.38</v>
      </c>
    </row>
    <row r="7711">
      <c r="A7711" s="3" t="inlineStr">
        <is>
          <t>Trademark Holdings (Pty) Ltd</t>
        </is>
      </c>
      <c r="B7711" s="4" t="n">
        <v>44620</v>
      </c>
      <c r="C7711" s="3" t="inlineStr">
        <is>
          <t>Expenses</t>
        </is>
      </c>
      <c r="D7711" s="3" t="inlineStr">
        <is>
          <t>3300/130</t>
        </is>
      </c>
      <c r="E7711" s="3" t="inlineStr">
        <is>
          <t>Computer IT - Internet/Hosting Fees</t>
        </is>
      </c>
      <c r="F7711" s="3" t="n">
        <v>11928.95</v>
      </c>
      <c r="G7711" s="3" t="n">
        <v>30070.2</v>
      </c>
    </row>
    <row r="7712">
      <c r="A7712" s="3" t="inlineStr">
        <is>
          <t>Trademark Holdings (Pty) Ltd</t>
        </is>
      </c>
      <c r="B7712" s="4" t="n">
        <v>44620</v>
      </c>
      <c r="C7712" s="3" t="inlineStr">
        <is>
          <t>Expenses</t>
        </is>
      </c>
      <c r="D7712" s="3" t="inlineStr">
        <is>
          <t>3300/145</t>
        </is>
      </c>
      <c r="E7712" s="3" t="inlineStr">
        <is>
          <t>Computer IT - Cloud Solve</t>
        </is>
      </c>
      <c r="F7712" s="3" t="n">
        <v>3990</v>
      </c>
      <c r="G7712" s="3" t="n">
        <v>22380</v>
      </c>
    </row>
    <row r="7713">
      <c r="A7713" s="3" t="inlineStr">
        <is>
          <t>Noble Shield (Pty) Ltd ta Go Letting</t>
        </is>
      </c>
      <c r="B7713" s="4" t="n">
        <v>44620</v>
      </c>
      <c r="C7713" s="3" t="inlineStr">
        <is>
          <t>Expenses</t>
        </is>
      </c>
      <c r="D7713" s="3" t="inlineStr">
        <is>
          <t>3300/170</t>
        </is>
      </c>
      <c r="E7713" s="3" t="inlineStr">
        <is>
          <t>Computer IT - VDB office Fibre</t>
        </is>
      </c>
      <c r="F7713" s="3" t="n">
        <v>790</v>
      </c>
      <c r="G7713" s="3" t="n">
        <v>5530</v>
      </c>
    </row>
    <row r="7714">
      <c r="A7714" s="3" t="inlineStr">
        <is>
          <t>Opportunity Global Sales (PTY) LTD</t>
        </is>
      </c>
      <c r="B7714" s="4" t="n">
        <v>44620</v>
      </c>
      <c r="C7714" s="3" t="inlineStr">
        <is>
          <t>Expenses</t>
        </is>
      </c>
      <c r="D7714" s="3" t="inlineStr">
        <is>
          <t>3301/000</t>
        </is>
      </c>
      <c r="E7714" s="3" t="inlineStr">
        <is>
          <t>Computer Expense - Xero setup</t>
        </is>
      </c>
      <c r="F7714" s="3" t="n">
        <v>0</v>
      </c>
      <c r="G7714" s="3" t="n">
        <v>3000</v>
      </c>
    </row>
    <row r="7715">
      <c r="A7715" s="3" t="inlineStr">
        <is>
          <t>Noble Shield (Pty) Ltd ta Go Letting</t>
        </is>
      </c>
      <c r="B7715" s="4" t="n">
        <v>44620</v>
      </c>
      <c r="C7715" s="3" t="inlineStr">
        <is>
          <t>Expenses</t>
        </is>
      </c>
      <c r="D7715" s="3" t="inlineStr">
        <is>
          <t>3301/000</t>
        </is>
      </c>
      <c r="E7715" s="3" t="inlineStr">
        <is>
          <t>Computer Expenses - Xero Setup</t>
        </is>
      </c>
      <c r="F7715" s="3" t="n">
        <v>0</v>
      </c>
      <c r="G7715" s="3" t="n">
        <v>3000</v>
      </c>
    </row>
    <row r="7716">
      <c r="A7716" s="3" t="inlineStr">
        <is>
          <t>Trademark Holdings (Pty) Ltd</t>
        </is>
      </c>
      <c r="B7716" s="4" t="n">
        <v>44620</v>
      </c>
      <c r="C7716" s="3" t="inlineStr">
        <is>
          <t>Expenses</t>
        </is>
      </c>
      <c r="D7716" s="3" t="inlineStr">
        <is>
          <t>3301/000</t>
        </is>
      </c>
      <c r="E7716" s="3" t="inlineStr">
        <is>
          <t>Computer Expenses - Xero Setup</t>
        </is>
      </c>
      <c r="F7716" s="3" t="n">
        <v>0</v>
      </c>
      <c r="G7716" s="3" t="n">
        <v>3000</v>
      </c>
    </row>
    <row r="7717">
      <c r="A7717" s="3" t="inlineStr">
        <is>
          <t>Opportunity Global Investment (PTY) LTD</t>
        </is>
      </c>
      <c r="B7717" s="4" t="n">
        <v>44620</v>
      </c>
      <c r="C7717" s="3" t="inlineStr">
        <is>
          <t>Expenses</t>
        </is>
      </c>
      <c r="D7717" s="3" t="inlineStr">
        <is>
          <t>3301/000</t>
        </is>
      </c>
      <c r="E7717" s="3" t="inlineStr">
        <is>
          <t>Computer Expenses - Xero setup</t>
        </is>
      </c>
      <c r="F7717" s="3" t="n">
        <v>0</v>
      </c>
      <c r="G7717" s="3" t="n">
        <v>3000</v>
      </c>
    </row>
    <row r="7718">
      <c r="A7718" s="3" t="inlineStr">
        <is>
          <t>Opportunity Global Investment (PTY) LTD</t>
        </is>
      </c>
      <c r="B7718" s="4" t="n">
        <v>44620</v>
      </c>
      <c r="C7718" s="3" t="inlineStr">
        <is>
          <t>Expenses</t>
        </is>
      </c>
      <c r="D7718" s="3" t="inlineStr">
        <is>
          <t>3310/200</t>
        </is>
      </c>
      <c r="E7718" s="3" t="inlineStr">
        <is>
          <t>Commission Paid - Other</t>
        </is>
      </c>
      <c r="F7718" s="3" t="n">
        <v>0</v>
      </c>
      <c r="G7718" s="3" t="n">
        <v>40988.41</v>
      </c>
    </row>
    <row r="7719">
      <c r="A7719" s="3" t="inlineStr">
        <is>
          <t>Quinate Consulting (Pty) Ltd</t>
        </is>
      </c>
      <c r="B7719" s="4" t="n">
        <v>44620</v>
      </c>
      <c r="C7719" s="3" t="inlineStr">
        <is>
          <t>Expenses</t>
        </is>
      </c>
      <c r="D7719" s="3" t="inlineStr">
        <is>
          <t>3320/000</t>
        </is>
      </c>
      <c r="E7719" s="3" t="inlineStr">
        <is>
          <t>Commission Paid</t>
        </is>
      </c>
      <c r="F7719" s="3" t="n">
        <v>0</v>
      </c>
      <c r="G7719" s="3" t="n">
        <v>3558.8</v>
      </c>
    </row>
    <row r="7720">
      <c r="A7720" s="3" t="inlineStr">
        <is>
          <t>Opportunity Global Investment (PTY) LTD</t>
        </is>
      </c>
      <c r="B7720" s="4" t="n">
        <v>44620</v>
      </c>
      <c r="C7720" s="3" t="inlineStr">
        <is>
          <t>Expenses</t>
        </is>
      </c>
      <c r="D7720" s="3" t="inlineStr">
        <is>
          <t>3350/000</t>
        </is>
      </c>
      <c r="E7720" s="3" t="inlineStr">
        <is>
          <t>Consulting Fees</t>
        </is>
      </c>
      <c r="F7720" s="3" t="n">
        <v>0</v>
      </c>
      <c r="G7720" s="3" t="n">
        <v>60470</v>
      </c>
    </row>
    <row r="7721">
      <c r="A7721" s="3" t="inlineStr">
        <is>
          <t>Quinate Consulting (Pty) Ltd</t>
        </is>
      </c>
      <c r="B7721" s="4" t="n">
        <v>44620</v>
      </c>
      <c r="C7721" s="3" t="inlineStr">
        <is>
          <t>Expenses</t>
        </is>
      </c>
      <c r="D7721" s="3" t="inlineStr">
        <is>
          <t>3350/100</t>
        </is>
      </c>
      <c r="E7721" s="3" t="inlineStr">
        <is>
          <t>Consulting Fees</t>
        </is>
      </c>
      <c r="F7721" s="3" t="n">
        <v>5543</v>
      </c>
      <c r="G7721" s="3" t="n">
        <v>-20207</v>
      </c>
    </row>
    <row r="7722">
      <c r="A7722" s="3" t="inlineStr">
        <is>
          <t>Endulini (Pty) Ltd</t>
        </is>
      </c>
      <c r="B7722" s="4" t="n">
        <v>44620</v>
      </c>
      <c r="C7722" s="3" t="inlineStr">
        <is>
          <t>Expenses</t>
        </is>
      </c>
      <c r="D7722" s="3" t="inlineStr">
        <is>
          <t>3350/100</t>
        </is>
      </c>
      <c r="E7722" s="3" t="inlineStr">
        <is>
          <t>Consulting Fees - Admin and Finance</t>
        </is>
      </c>
      <c r="F7722" s="3" t="n">
        <v>71410</v>
      </c>
      <c r="G7722" s="3" t="n">
        <v>433308.75</v>
      </c>
    </row>
    <row r="7723">
      <c r="A7723" s="3" t="inlineStr">
        <is>
          <t>Opportunity Global Investment (PTY) LTD</t>
        </is>
      </c>
      <c r="B7723" s="4" t="n">
        <v>44620</v>
      </c>
      <c r="C7723" s="3" t="inlineStr">
        <is>
          <t>Expenses</t>
        </is>
      </c>
      <c r="D7723" s="3" t="inlineStr">
        <is>
          <t>3350/100</t>
        </is>
      </c>
      <c r="E7723" s="3" t="inlineStr">
        <is>
          <t>Consulting Fees - Admin and Finance</t>
        </is>
      </c>
      <c r="F7723" s="3" t="n">
        <v>4775</v>
      </c>
      <c r="G7723" s="3" t="n">
        <v>25150</v>
      </c>
    </row>
    <row r="7724">
      <c r="A7724" s="3" t="inlineStr">
        <is>
          <t>Opportunity Global Sales (PTY) LTD</t>
        </is>
      </c>
      <c r="B7724" s="4" t="n">
        <v>44620</v>
      </c>
      <c r="C7724" s="3" t="inlineStr">
        <is>
          <t>Expenses</t>
        </is>
      </c>
      <c r="D7724" s="3" t="inlineStr">
        <is>
          <t>3350/100</t>
        </is>
      </c>
      <c r="E7724" s="3" t="inlineStr">
        <is>
          <t>Consulting Fees - Admin and Finance</t>
        </is>
      </c>
      <c r="F7724" s="3" t="n">
        <v>5860</v>
      </c>
      <c r="G7724" s="3" t="n">
        <v>34910</v>
      </c>
    </row>
    <row r="7725">
      <c r="A7725" s="3" t="inlineStr">
        <is>
          <t>Quinate Consulting (Pty) Ltd</t>
        </is>
      </c>
      <c r="B7725" s="4" t="n">
        <v>44620</v>
      </c>
      <c r="C7725" s="3" t="inlineStr">
        <is>
          <t>Expenses</t>
        </is>
      </c>
      <c r="D7725" s="3" t="inlineStr">
        <is>
          <t>3350/300</t>
        </is>
      </c>
      <c r="E7725" s="3" t="inlineStr">
        <is>
          <t>Consulting Fees - Admin and Finance</t>
        </is>
      </c>
      <c r="F7725" s="3" t="n">
        <v>2000</v>
      </c>
      <c r="G7725" s="3" t="n">
        <v>34000</v>
      </c>
    </row>
    <row r="7726">
      <c r="A7726" s="3" t="inlineStr">
        <is>
          <t>Opportunity Global Investment (PTY) LTD</t>
        </is>
      </c>
      <c r="B7726" s="4" t="n">
        <v>44620</v>
      </c>
      <c r="C7726" s="3" t="inlineStr">
        <is>
          <t>Expenses</t>
        </is>
      </c>
      <c r="D7726" s="3" t="inlineStr">
        <is>
          <t>3351/000</t>
        </is>
      </c>
      <c r="E7726" s="3" t="inlineStr">
        <is>
          <t>Consulting Fees - HR Joblaw</t>
        </is>
      </c>
      <c r="F7726" s="3" t="n">
        <v>2030</v>
      </c>
      <c r="G7726" s="3" t="n">
        <v>17472.9</v>
      </c>
    </row>
    <row r="7727">
      <c r="A7727" s="3" t="inlineStr">
        <is>
          <t>Quinate Consulting (Pty) Ltd</t>
        </is>
      </c>
      <c r="B7727" s="4" t="n">
        <v>44620</v>
      </c>
      <c r="C7727" s="3" t="inlineStr">
        <is>
          <t>Expenses</t>
        </is>
      </c>
      <c r="D7727" s="3" t="inlineStr">
        <is>
          <t>3351/000</t>
        </is>
      </c>
      <c r="E7727" s="3" t="inlineStr">
        <is>
          <t>Consulting fees - Trustees</t>
        </is>
      </c>
      <c r="F7727" s="3" t="n">
        <v>12000</v>
      </c>
      <c r="G7727" s="3" t="n">
        <v>90678.48</v>
      </c>
    </row>
    <row r="7728">
      <c r="A7728" s="3" t="inlineStr">
        <is>
          <t>Opportunity Global Investment (PTY) LTD</t>
        </is>
      </c>
      <c r="B7728" s="4" t="n">
        <v>44620</v>
      </c>
      <c r="C7728" s="3" t="inlineStr">
        <is>
          <t>Expenses</t>
        </is>
      </c>
      <c r="D7728" s="3" t="inlineStr">
        <is>
          <t>3352/000</t>
        </is>
      </c>
      <c r="E7728" s="3" t="inlineStr">
        <is>
          <t>Consulting Fees - Kert Scalzini</t>
        </is>
      </c>
      <c r="F7728" s="3" t="n">
        <v>10000</v>
      </c>
      <c r="G7728" s="3" t="n">
        <v>100000</v>
      </c>
    </row>
    <row r="7729">
      <c r="A7729" s="3" t="inlineStr">
        <is>
          <t>Opportunity Global Investment (PTY) LTD</t>
        </is>
      </c>
      <c r="B7729" s="4" t="n">
        <v>44620</v>
      </c>
      <c r="C7729" s="3" t="inlineStr">
        <is>
          <t>Expenses</t>
        </is>
      </c>
      <c r="D7729" s="3" t="inlineStr">
        <is>
          <t>3353/000</t>
        </is>
      </c>
      <c r="E7729" s="3" t="inlineStr">
        <is>
          <t>Consulting Fees - Yolanda Steyn</t>
        </is>
      </c>
      <c r="F7729" s="3" t="n">
        <v>0</v>
      </c>
      <c r="G7729" s="3" t="n">
        <v>9600</v>
      </c>
    </row>
    <row r="7730">
      <c r="A7730" s="3" t="inlineStr">
        <is>
          <t>Quinate Consulting (Pty) Ltd</t>
        </is>
      </c>
      <c r="B7730" s="4" t="n">
        <v>44620</v>
      </c>
      <c r="C7730" s="3" t="inlineStr">
        <is>
          <t>Expenses</t>
        </is>
      </c>
      <c r="D7730" s="3" t="inlineStr">
        <is>
          <t>3450/001</t>
        </is>
      </c>
      <c r="E7730" s="3" t="inlineStr">
        <is>
          <t>Depreciation - Computer Equipment</t>
        </is>
      </c>
      <c r="F7730" s="3" t="n">
        <v>7913.53</v>
      </c>
      <c r="G7730" s="3" t="n">
        <v>30740.02</v>
      </c>
    </row>
    <row r="7731">
      <c r="A7731" s="3" t="inlineStr">
        <is>
          <t>Quinate Consulting (Pty) Ltd</t>
        </is>
      </c>
      <c r="B7731" s="4" t="n">
        <v>44620</v>
      </c>
      <c r="C7731" s="3" t="inlineStr">
        <is>
          <t>Expenses</t>
        </is>
      </c>
      <c r="D7731" s="3" t="inlineStr">
        <is>
          <t>3450/002</t>
        </is>
      </c>
      <c r="E7731" s="3" t="inlineStr">
        <is>
          <t>Depreciation - Site Containers</t>
        </is>
      </c>
      <c r="F7731" s="3" t="n">
        <v>956.52</v>
      </c>
      <c r="G7731" s="3" t="n">
        <v>3826.08</v>
      </c>
    </row>
    <row r="7732">
      <c r="A7732" s="3" t="inlineStr">
        <is>
          <t>Quinate Consulting (Pty) Ltd</t>
        </is>
      </c>
      <c r="B7732" s="4" t="n">
        <v>44620</v>
      </c>
      <c r="C7732" s="3" t="inlineStr">
        <is>
          <t>Expenses</t>
        </is>
      </c>
      <c r="D7732" s="3" t="inlineStr">
        <is>
          <t>3600/000</t>
        </is>
      </c>
      <c r="E7732" s="3" t="inlineStr">
        <is>
          <t>Donations</t>
        </is>
      </c>
      <c r="F7732" s="3" t="n">
        <v>535</v>
      </c>
      <c r="G7732" s="3" t="n">
        <v>5070</v>
      </c>
    </row>
    <row r="7733">
      <c r="A7733" s="3" t="inlineStr">
        <is>
          <t>Endulini (Pty) Ltd</t>
        </is>
      </c>
      <c r="B7733" s="4" t="n">
        <v>44620</v>
      </c>
      <c r="C7733" s="3" t="inlineStr">
        <is>
          <t>Expenses</t>
        </is>
      </c>
      <c r="D7733" s="3" t="inlineStr">
        <is>
          <t>3630/000</t>
        </is>
      </c>
      <c r="E7733" s="3" t="inlineStr">
        <is>
          <t>Electricity</t>
        </is>
      </c>
      <c r="F7733" s="3" t="n">
        <v>4289.18</v>
      </c>
      <c r="G7733" s="3" t="n">
        <v>4289.18</v>
      </c>
    </row>
    <row r="7734">
      <c r="A7734" s="3" t="inlineStr">
        <is>
          <t>Noble Shield (Pty) Ltd ta Go Letting</t>
        </is>
      </c>
      <c r="B7734" s="4" t="n">
        <v>44620</v>
      </c>
      <c r="C7734" s="3" t="inlineStr">
        <is>
          <t>Expenses</t>
        </is>
      </c>
      <c r="D7734" s="3" t="inlineStr">
        <is>
          <t>3650/000</t>
        </is>
      </c>
      <c r="E7734" s="3" t="inlineStr">
        <is>
          <t>Electricity _AND_ Water</t>
        </is>
      </c>
      <c r="F7734" s="3" t="n">
        <v>1000</v>
      </c>
      <c r="G7734" s="3" t="n">
        <v>3500</v>
      </c>
    </row>
    <row r="7735">
      <c r="A7735" s="3" t="inlineStr">
        <is>
          <t>Opportunity Global Investment (PTY) LTD</t>
        </is>
      </c>
      <c r="B7735" s="4" t="n">
        <v>44620</v>
      </c>
      <c r="C7735" s="3" t="inlineStr">
        <is>
          <t>Expenses</t>
        </is>
      </c>
      <c r="D7735" s="3" t="inlineStr">
        <is>
          <t>3650/000</t>
        </is>
      </c>
      <c r="E7735" s="3" t="inlineStr">
        <is>
          <t>Electricity _AND_ Water</t>
        </is>
      </c>
      <c r="F7735" s="3" t="n">
        <v>2950</v>
      </c>
      <c r="G7735" s="3" t="n">
        <v>35650</v>
      </c>
    </row>
    <row r="7736">
      <c r="A7736" s="3" t="inlineStr">
        <is>
          <t>Quinate Consulting (Pty) Ltd</t>
        </is>
      </c>
      <c r="B7736" s="4" t="n">
        <v>44620</v>
      </c>
      <c r="C7736" s="3" t="inlineStr">
        <is>
          <t>Expenses</t>
        </is>
      </c>
      <c r="D7736" s="3" t="inlineStr">
        <is>
          <t>3650/000</t>
        </is>
      </c>
      <c r="E7736" s="3" t="inlineStr">
        <is>
          <t>Electricity _AND_ Water - CT Office</t>
        </is>
      </c>
      <c r="F7736" s="3" t="n">
        <v>0</v>
      </c>
      <c r="G7736" s="3" t="n">
        <v>55503.05</v>
      </c>
    </row>
    <row r="7737">
      <c r="A7737" s="3" t="inlineStr">
        <is>
          <t>Endulini (Pty) Ltd</t>
        </is>
      </c>
      <c r="B7737" s="4" t="n">
        <v>44620</v>
      </c>
      <c r="C7737" s="3" t="inlineStr">
        <is>
          <t>Expenses</t>
        </is>
      </c>
      <c r="D7737" s="3" t="inlineStr">
        <is>
          <t>3650/000</t>
        </is>
      </c>
      <c r="E7737" s="3" t="inlineStr">
        <is>
          <t>Water</t>
        </is>
      </c>
      <c r="F7737" s="3" t="n">
        <v>3998.41</v>
      </c>
      <c r="G7737" s="3" t="n">
        <v>49211.85</v>
      </c>
    </row>
    <row r="7738">
      <c r="A7738" s="3" t="inlineStr">
        <is>
          <t>Quinate Consulting (Pty) Ltd</t>
        </is>
      </c>
      <c r="B7738" s="4" t="n">
        <v>44620</v>
      </c>
      <c r="C7738" s="3" t="inlineStr">
        <is>
          <t>Expenses</t>
        </is>
      </c>
      <c r="D7738" s="3" t="inlineStr">
        <is>
          <t>3651/000</t>
        </is>
      </c>
      <c r="E7738" s="3" t="inlineStr">
        <is>
          <t>Electricity _AND_ Water - Southwark</t>
        </is>
      </c>
      <c r="F7738" s="3" t="n">
        <v>17667.28</v>
      </c>
      <c r="G7738" s="3" t="n">
        <v>259972.92</v>
      </c>
    </row>
    <row r="7739">
      <c r="A7739" s="3" t="inlineStr">
        <is>
          <t>Quinate Consulting (Pty) Ltd</t>
        </is>
      </c>
      <c r="B7739" s="4" t="n">
        <v>44620</v>
      </c>
      <c r="C7739" s="3" t="inlineStr">
        <is>
          <t>Expenses</t>
        </is>
      </c>
      <c r="D7739" s="3" t="inlineStr">
        <is>
          <t>3652/000</t>
        </is>
      </c>
      <c r="E7739" s="3" t="inlineStr">
        <is>
          <t>Electricity _AND_ Water - Soho</t>
        </is>
      </c>
      <c r="F7739" s="3" t="n">
        <v>18304.44</v>
      </c>
      <c r="G7739" s="3" t="n">
        <v>240893.02</v>
      </c>
    </row>
    <row r="7740">
      <c r="A7740" s="3" t="inlineStr">
        <is>
          <t>Noble Shield (Pty) Ltd ta Go Letting</t>
        </is>
      </c>
      <c r="B7740" s="4" t="n">
        <v>44620</v>
      </c>
      <c r="C7740" s="3" t="inlineStr">
        <is>
          <t>Expenses</t>
        </is>
      </c>
      <c r="D7740" s="3" t="inlineStr">
        <is>
          <t>3700/000</t>
        </is>
      </c>
      <c r="E7740" s="3" t="inlineStr">
        <is>
          <t>Entertainment Expenses</t>
        </is>
      </c>
      <c r="F7740" s="3" t="n">
        <v>0</v>
      </c>
      <c r="G7740" s="3" t="n">
        <v>1200</v>
      </c>
    </row>
    <row r="7741">
      <c r="A7741" s="3" t="inlineStr">
        <is>
          <t>Opportunity Global Investment (PTY) LTD</t>
        </is>
      </c>
      <c r="B7741" s="4" t="n">
        <v>44620</v>
      </c>
      <c r="C7741" s="3" t="inlineStr">
        <is>
          <t>Expenses</t>
        </is>
      </c>
      <c r="D7741" s="3" t="inlineStr">
        <is>
          <t>3700/000</t>
        </is>
      </c>
      <c r="E7741" s="3" t="inlineStr">
        <is>
          <t>Entertainment Expenses</t>
        </is>
      </c>
      <c r="F7741" s="3" t="n">
        <v>1325.5</v>
      </c>
      <c r="G7741" s="3" t="n">
        <v>17891.59</v>
      </c>
    </row>
    <row r="7742">
      <c r="A7742" s="3" t="inlineStr">
        <is>
          <t>Opportunity Global Sales (PTY) LTD</t>
        </is>
      </c>
      <c r="B7742" s="4" t="n">
        <v>44620</v>
      </c>
      <c r="C7742" s="3" t="inlineStr">
        <is>
          <t>Expenses</t>
        </is>
      </c>
      <c r="D7742" s="3" t="inlineStr">
        <is>
          <t>3700/000</t>
        </is>
      </c>
      <c r="E7742" s="3" t="inlineStr">
        <is>
          <t>Entertainment Expenses</t>
        </is>
      </c>
      <c r="F7742" s="3" t="n">
        <v>210</v>
      </c>
      <c r="G7742" s="3" t="n">
        <v>1206</v>
      </c>
    </row>
    <row r="7743">
      <c r="A7743" s="3" t="inlineStr">
        <is>
          <t>Quinate Consulting (Pty) Ltd</t>
        </is>
      </c>
      <c r="B7743" s="4" t="n">
        <v>44620</v>
      </c>
      <c r="C7743" s="3" t="inlineStr">
        <is>
          <t>Expenses</t>
        </is>
      </c>
      <c r="D7743" s="3" t="inlineStr">
        <is>
          <t>3700/000</t>
        </is>
      </c>
      <c r="E7743" s="3" t="inlineStr">
        <is>
          <t>Entertainment Expenses</t>
        </is>
      </c>
      <c r="F7743" s="3" t="n">
        <v>0</v>
      </c>
      <c r="G7743" s="3" t="n">
        <v>20228.12</v>
      </c>
    </row>
    <row r="7744">
      <c r="A7744" s="3" t="inlineStr">
        <is>
          <t>Trademark Holdings (Pty) Ltd</t>
        </is>
      </c>
      <c r="B7744" s="4" t="n">
        <v>44620</v>
      </c>
      <c r="C7744" s="3" t="inlineStr">
        <is>
          <t>Expenses</t>
        </is>
      </c>
      <c r="D7744" s="3" t="inlineStr">
        <is>
          <t>3700/000</t>
        </is>
      </c>
      <c r="E7744" s="3" t="inlineStr">
        <is>
          <t>Entertainment Expenses</t>
        </is>
      </c>
      <c r="F7744" s="3" t="n">
        <v>4500</v>
      </c>
      <c r="G7744" s="3" t="n">
        <v>4500</v>
      </c>
    </row>
    <row r="7745">
      <c r="A7745" s="3" t="inlineStr">
        <is>
          <t>Quinate Consulting (Pty) Ltd</t>
        </is>
      </c>
      <c r="B7745" s="4" t="n">
        <v>44620</v>
      </c>
      <c r="C7745" s="3" t="inlineStr">
        <is>
          <t>Expenses</t>
        </is>
      </c>
      <c r="D7745" s="3" t="inlineStr">
        <is>
          <t>3750/000</t>
        </is>
      </c>
      <c r="E7745" s="3" t="inlineStr">
        <is>
          <t>Finance Charges</t>
        </is>
      </c>
      <c r="F7745" s="3" t="n">
        <v>0</v>
      </c>
      <c r="G7745" s="3" t="n">
        <v>149</v>
      </c>
    </row>
    <row r="7746">
      <c r="A7746" s="3" t="inlineStr">
        <is>
          <t>Opportunity Management Holdings (PTY) LTD</t>
        </is>
      </c>
      <c r="B7746" s="4" t="n">
        <v>44620</v>
      </c>
      <c r="C7746" s="3" t="inlineStr">
        <is>
          <t>Expenses</t>
        </is>
      </c>
      <c r="D7746" s="3" t="inlineStr">
        <is>
          <t>3850/000</t>
        </is>
      </c>
      <c r="E7746" s="3" t="inlineStr">
        <is>
          <t>Insurance - Momentum</t>
        </is>
      </c>
      <c r="F7746" s="3" t="n">
        <v>1469.51</v>
      </c>
      <c r="G7746" s="3" t="n">
        <v>2939.02</v>
      </c>
    </row>
    <row r="7747">
      <c r="A7747" s="3" t="inlineStr">
        <is>
          <t>Noble Shield (Pty) Ltd ta Go Letting</t>
        </is>
      </c>
      <c r="B7747" s="4" t="n">
        <v>44620</v>
      </c>
      <c r="C7747" s="3" t="inlineStr">
        <is>
          <t>Expenses</t>
        </is>
      </c>
      <c r="D7747" s="3" t="inlineStr">
        <is>
          <t>3850/100</t>
        </is>
      </c>
      <c r="E7747" s="3" t="inlineStr">
        <is>
          <t>Insurance - Santam</t>
        </is>
      </c>
      <c r="F7747" s="3" t="n">
        <v>2801.78</v>
      </c>
      <c r="G7747" s="3" t="n">
        <v>16298.42</v>
      </c>
    </row>
    <row r="7748">
      <c r="A7748" s="3" t="inlineStr">
        <is>
          <t>Noble Shield (Pty) Ltd ta Go Letting</t>
        </is>
      </c>
      <c r="B7748" s="4" t="n">
        <v>44620</v>
      </c>
      <c r="C7748" s="3" t="inlineStr">
        <is>
          <t>Expenses</t>
        </is>
      </c>
      <c r="D7748" s="3" t="inlineStr">
        <is>
          <t>3850/200</t>
        </is>
      </c>
      <c r="E7748" s="3" t="inlineStr">
        <is>
          <t>Insurance - A_AND_G</t>
        </is>
      </c>
      <c r="F7748" s="3" t="n">
        <v>1376.46</v>
      </c>
      <c r="G7748" s="3" t="n">
        <v>9787.26</v>
      </c>
    </row>
    <row r="7749">
      <c r="A7749" s="3" t="inlineStr">
        <is>
          <t>Quinate Consulting (Pty) Ltd</t>
        </is>
      </c>
      <c r="B7749" s="4" t="n">
        <v>44620</v>
      </c>
      <c r="C7749" s="3" t="inlineStr">
        <is>
          <t>Expenses</t>
        </is>
      </c>
      <c r="D7749" s="3" t="inlineStr">
        <is>
          <t>3851/000</t>
        </is>
      </c>
      <c r="E7749" s="3" t="inlineStr">
        <is>
          <t>Insurance - Momentum</t>
        </is>
      </c>
      <c r="F7749" s="3" t="n">
        <v>6825.93</v>
      </c>
      <c r="G7749" s="3" t="n">
        <v>68239.71000000001</v>
      </c>
    </row>
    <row r="7750">
      <c r="A7750" s="3" t="inlineStr">
        <is>
          <t>Quinate Consulting (Pty) Ltd</t>
        </is>
      </c>
      <c r="B7750" s="4" t="n">
        <v>44620</v>
      </c>
      <c r="C7750" s="3" t="inlineStr">
        <is>
          <t>Expenses</t>
        </is>
      </c>
      <c r="D7750" s="3" t="inlineStr">
        <is>
          <t>3852/000</t>
        </is>
      </c>
      <c r="E7750" s="3" t="inlineStr">
        <is>
          <t>Insurance - Old Mutual</t>
        </is>
      </c>
      <c r="F7750" s="3" t="n">
        <v>0</v>
      </c>
      <c r="G7750" s="3" t="n">
        <v>18269.59</v>
      </c>
    </row>
    <row r="7751">
      <c r="A7751" s="3" t="inlineStr">
        <is>
          <t>Endulini (Pty) Ltd</t>
        </is>
      </c>
      <c r="B7751" s="4" t="n">
        <v>44620</v>
      </c>
      <c r="C7751" s="3" t="inlineStr">
        <is>
          <t>Expenses</t>
        </is>
      </c>
      <c r="D7751" s="3" t="inlineStr">
        <is>
          <t>3900/000</t>
        </is>
      </c>
      <c r="E7751" s="3" t="inlineStr">
        <is>
          <t>Interest Paid</t>
        </is>
      </c>
      <c r="F7751" s="3" t="n">
        <v>0</v>
      </c>
      <c r="G7751" s="3" t="n">
        <v>36.99</v>
      </c>
    </row>
    <row r="7752">
      <c r="A7752" s="3" t="inlineStr">
        <is>
          <t>Quinate Consulting (Pty) Ltd</t>
        </is>
      </c>
      <c r="B7752" s="4" t="n">
        <v>44620</v>
      </c>
      <c r="C7752" s="3" t="inlineStr">
        <is>
          <t>Expenses</t>
        </is>
      </c>
      <c r="D7752" s="3" t="inlineStr">
        <is>
          <t>3900/000</t>
        </is>
      </c>
      <c r="E7752" s="3" t="inlineStr">
        <is>
          <t>Interest Paid</t>
        </is>
      </c>
      <c r="F7752" s="3" t="n">
        <v>0</v>
      </c>
      <c r="G7752" s="3" t="n">
        <v>2011.3</v>
      </c>
    </row>
    <row r="7753">
      <c r="A7753" s="3" t="inlineStr">
        <is>
          <t>Quinate Consulting (Pty) Ltd</t>
        </is>
      </c>
      <c r="B7753" s="4" t="n">
        <v>44620</v>
      </c>
      <c r="C7753" s="3" t="inlineStr">
        <is>
          <t>Expenses</t>
        </is>
      </c>
      <c r="D7753" s="3" t="inlineStr">
        <is>
          <t>3900/050</t>
        </is>
      </c>
      <c r="E7753" s="3" t="inlineStr">
        <is>
          <t>Interest Paid - STD Bond Accounts</t>
        </is>
      </c>
      <c r="F7753" s="3" t="n">
        <v>72351.75</v>
      </c>
      <c r="G7753" s="3" t="n">
        <v>480831.06</v>
      </c>
    </row>
    <row r="7754">
      <c r="A7754" s="3" t="inlineStr">
        <is>
          <t>Quinate Consulting (Pty) Ltd</t>
        </is>
      </c>
      <c r="B7754" s="4" t="n">
        <v>44620</v>
      </c>
      <c r="C7754" s="3" t="inlineStr">
        <is>
          <t>Expenses</t>
        </is>
      </c>
      <c r="D7754" s="3" t="inlineStr">
        <is>
          <t>3900/110</t>
        </is>
      </c>
      <c r="E7754" s="3" t="inlineStr">
        <is>
          <t>Interest Paid - Bank</t>
        </is>
      </c>
      <c r="F7754" s="3" t="n">
        <v>0.07000000000000001</v>
      </c>
      <c r="G7754" s="3" t="n">
        <v>0.07000000000000001</v>
      </c>
    </row>
    <row r="7755">
      <c r="A7755" s="3" t="inlineStr">
        <is>
          <t>Quinate Consulting (Pty) Ltd</t>
        </is>
      </c>
      <c r="B7755" s="4" t="n">
        <v>44620</v>
      </c>
      <c r="C7755" s="3" t="inlineStr">
        <is>
          <t>Expenses</t>
        </is>
      </c>
      <c r="D7755" s="3" t="inlineStr">
        <is>
          <t>3900/127</t>
        </is>
      </c>
      <c r="E7755" s="3" t="inlineStr">
        <is>
          <t>Interest Paid - GFY</t>
        </is>
      </c>
      <c r="F7755" s="3" t="n">
        <v>109994.48</v>
      </c>
      <c r="G7755" s="3" t="n">
        <v>109994.48</v>
      </c>
    </row>
    <row r="7756">
      <c r="A7756" s="3" t="inlineStr">
        <is>
          <t>Quinate Consulting (Pty) Ltd</t>
        </is>
      </c>
      <c r="B7756" s="4" t="n">
        <v>44620</v>
      </c>
      <c r="C7756" s="3" t="inlineStr">
        <is>
          <t>Expenses</t>
        </is>
      </c>
      <c r="D7756" s="3" t="inlineStr">
        <is>
          <t>3900/131</t>
        </is>
      </c>
      <c r="E7756" s="3" t="inlineStr">
        <is>
          <t>Interest Paid - Investors @ 9%</t>
        </is>
      </c>
      <c r="F7756" s="3" t="n">
        <v>0</v>
      </c>
      <c r="G7756" s="3" t="n">
        <v>7857.47</v>
      </c>
    </row>
    <row r="7757">
      <c r="A7757" s="3" t="inlineStr">
        <is>
          <t>Quinate Consulting (Pty) Ltd</t>
        </is>
      </c>
      <c r="B7757" s="4" t="n">
        <v>44620</v>
      </c>
      <c r="C7757" s="3" t="inlineStr">
        <is>
          <t>Expenses</t>
        </is>
      </c>
      <c r="D7757" s="3" t="inlineStr">
        <is>
          <t>3900/132</t>
        </is>
      </c>
      <c r="E7757" s="3" t="inlineStr">
        <is>
          <t>Interest Paid - Investors @ 18%</t>
        </is>
      </c>
      <c r="F7757" s="3" t="n">
        <v>200010</v>
      </c>
      <c r="G7757" s="3" t="n">
        <v>683030.78</v>
      </c>
    </row>
    <row r="7758">
      <c r="A7758" s="3" t="inlineStr">
        <is>
          <t>Quinate Consulting (Pty) Ltd</t>
        </is>
      </c>
      <c r="B7758" s="4" t="n">
        <v>44620</v>
      </c>
      <c r="C7758" s="3" t="inlineStr">
        <is>
          <t>Expenses</t>
        </is>
      </c>
      <c r="D7758" s="3" t="inlineStr">
        <is>
          <t>3900/150</t>
        </is>
      </c>
      <c r="E7758" s="3" t="inlineStr">
        <is>
          <t>Interest Paid - Suppliers</t>
        </is>
      </c>
      <c r="F7758" s="3" t="n">
        <v>823.1</v>
      </c>
      <c r="G7758" s="3" t="n">
        <v>5948.18</v>
      </c>
    </row>
    <row r="7759">
      <c r="A7759" s="3" t="inlineStr">
        <is>
          <t>Quinate Consulting (Pty) Ltd</t>
        </is>
      </c>
      <c r="B7759" s="4" t="n">
        <v>44620</v>
      </c>
      <c r="C7759" s="3" t="inlineStr">
        <is>
          <t>Expenses</t>
        </is>
      </c>
      <c r="D7759" s="3" t="inlineStr">
        <is>
          <t>3900/152</t>
        </is>
      </c>
      <c r="E7759" s="3" t="inlineStr">
        <is>
          <t>Interest Paid - Gengis</t>
        </is>
      </c>
      <c r="F7759" s="3" t="n">
        <v>4438.36</v>
      </c>
      <c r="G7759" s="3" t="n">
        <v>34816.44</v>
      </c>
    </row>
    <row r="7760">
      <c r="A7760" s="3" t="inlineStr">
        <is>
          <t>Quinate Consulting (Pty) Ltd</t>
        </is>
      </c>
      <c r="B7760" s="4" t="n">
        <v>44620</v>
      </c>
      <c r="C7760" s="3" t="inlineStr">
        <is>
          <t>Expenses</t>
        </is>
      </c>
      <c r="D7760" s="3" t="inlineStr">
        <is>
          <t>3900/200</t>
        </is>
      </c>
      <c r="E7760" s="3" t="inlineStr">
        <is>
          <t>Interest Paid - OPP DEV Structuring</t>
        </is>
      </c>
      <c r="F7760" s="3" t="n">
        <v>311635.62</v>
      </c>
      <c r="G7760" s="3" t="n">
        <v>311635.62</v>
      </c>
    </row>
    <row r="7761">
      <c r="A7761" s="3" t="inlineStr">
        <is>
          <t>Opportunity Management Holdings (PTY) LTD</t>
        </is>
      </c>
      <c r="B7761" s="4" t="n">
        <v>44620</v>
      </c>
      <c r="C7761" s="3" t="inlineStr">
        <is>
          <t>Expenses</t>
        </is>
      </c>
      <c r="D7761" s="3" t="inlineStr">
        <is>
          <t>3900/300</t>
        </is>
      </c>
      <c r="E7761" s="3" t="inlineStr">
        <is>
          <t>Interest Paid - Other</t>
        </is>
      </c>
      <c r="F7761" s="3" t="n">
        <v>0</v>
      </c>
      <c r="G7761" s="3" t="n">
        <v>1.79</v>
      </c>
    </row>
    <row r="7762">
      <c r="A7762" s="3" t="inlineStr">
        <is>
          <t>Trademark Holdings (Pty) Ltd</t>
        </is>
      </c>
      <c r="B7762" s="4" t="n">
        <v>44620</v>
      </c>
      <c r="C7762" s="3" t="inlineStr">
        <is>
          <t>Expenses</t>
        </is>
      </c>
      <c r="D7762" s="3" t="inlineStr">
        <is>
          <t>3910/000</t>
        </is>
      </c>
      <c r="E7762" s="3" t="inlineStr">
        <is>
          <t>Penalties/Interest - SARS</t>
        </is>
      </c>
      <c r="F7762" s="3" t="n">
        <v>0</v>
      </c>
      <c r="G7762" s="3" t="n">
        <v>57.04</v>
      </c>
    </row>
    <row r="7763">
      <c r="A7763" s="3" t="inlineStr">
        <is>
          <t>Endulini (Pty) Ltd</t>
        </is>
      </c>
      <c r="B7763" s="4" t="n">
        <v>44620</v>
      </c>
      <c r="C7763" s="3" t="inlineStr">
        <is>
          <t>Expenses</t>
        </is>
      </c>
      <c r="D7763" s="3" t="inlineStr">
        <is>
          <t>4000/000</t>
        </is>
      </c>
      <c r="E7763" s="3" t="inlineStr">
        <is>
          <t>Legal Fees</t>
        </is>
      </c>
      <c r="F7763" s="3" t="n">
        <v>0</v>
      </c>
      <c r="G7763" s="3" t="n">
        <v>11.5</v>
      </c>
    </row>
    <row r="7764">
      <c r="A7764" s="3" t="inlineStr">
        <is>
          <t>Quinate Consulting (Pty) Ltd</t>
        </is>
      </c>
      <c r="B7764" s="4" t="n">
        <v>44620</v>
      </c>
      <c r="C7764" s="3" t="inlineStr">
        <is>
          <t>Expenses</t>
        </is>
      </c>
      <c r="D7764" s="3" t="inlineStr">
        <is>
          <t>4000/000</t>
        </is>
      </c>
      <c r="E7764" s="3" t="inlineStr">
        <is>
          <t>Legal Fees</t>
        </is>
      </c>
      <c r="F7764" s="3" t="n">
        <v>0</v>
      </c>
      <c r="G7764" s="3" t="n">
        <v>473924.7</v>
      </c>
    </row>
    <row r="7765">
      <c r="A7765" s="3" t="inlineStr">
        <is>
          <t>Quinate Consulting (Pty) Ltd</t>
        </is>
      </c>
      <c r="B7765" s="4" t="n">
        <v>44620</v>
      </c>
      <c r="C7765" s="3" t="inlineStr">
        <is>
          <t>Expenses</t>
        </is>
      </c>
      <c r="D7765" s="3" t="inlineStr">
        <is>
          <t>4065/000</t>
        </is>
      </c>
      <c r="E7765" s="3" t="inlineStr">
        <is>
          <t>Levies - SoHo</t>
        </is>
      </c>
      <c r="F7765" s="3" t="n">
        <v>5950.83</v>
      </c>
      <c r="G7765" s="3" t="n">
        <v>71472.06</v>
      </c>
    </row>
    <row r="7766">
      <c r="A7766" s="3" t="inlineStr">
        <is>
          <t>Quinate Consulting (Pty) Ltd</t>
        </is>
      </c>
      <c r="B7766" s="4" t="n">
        <v>44620</v>
      </c>
      <c r="C7766" s="3" t="inlineStr">
        <is>
          <t>Expenses</t>
        </is>
      </c>
      <c r="D7766" s="3" t="inlineStr">
        <is>
          <t>4066/000</t>
        </is>
      </c>
      <c r="E7766" s="3" t="inlineStr">
        <is>
          <t>Levies - Southwark</t>
        </is>
      </c>
      <c r="F7766" s="3" t="n">
        <v>3422.18</v>
      </c>
      <c r="G7766" s="3" t="n">
        <v>36155.01</v>
      </c>
    </row>
    <row r="7767">
      <c r="A7767" s="3" t="inlineStr">
        <is>
          <t>Endulini (Pty) Ltd</t>
        </is>
      </c>
      <c r="B7767" s="4" t="n">
        <v>44620</v>
      </c>
      <c r="C7767" s="3" t="inlineStr">
        <is>
          <t>Expenses</t>
        </is>
      </c>
      <c r="D7767" s="3" t="inlineStr">
        <is>
          <t>4100/001</t>
        </is>
      </c>
      <c r="E7767" s="3" t="inlineStr">
        <is>
          <t>Momentum Admin Fee</t>
        </is>
      </c>
      <c r="F7767" s="3" t="n">
        <v>14992.13</v>
      </c>
      <c r="G7767" s="3" t="n">
        <v>105950.97</v>
      </c>
    </row>
    <row r="7768">
      <c r="A7768" s="3" t="inlineStr">
        <is>
          <t>Quinate Consulting (Pty) Ltd</t>
        </is>
      </c>
      <c r="B7768" s="4" t="n">
        <v>44620</v>
      </c>
      <c r="C7768" s="3" t="inlineStr">
        <is>
          <t>Expenses</t>
        </is>
      </c>
      <c r="D7768" s="3" t="inlineStr">
        <is>
          <t>4100/001</t>
        </is>
      </c>
      <c r="E7768" s="3" t="inlineStr">
        <is>
          <t>Momentum Advise Fee</t>
        </is>
      </c>
      <c r="F7768" s="3" t="n">
        <v>3.74</v>
      </c>
      <c r="G7768" s="3" t="n">
        <v>3.74</v>
      </c>
    </row>
    <row r="7769">
      <c r="A7769" s="3" t="inlineStr">
        <is>
          <t>Opportunity Global Investment (PTY) LTD</t>
        </is>
      </c>
      <c r="B7769" s="4" t="n">
        <v>44620</v>
      </c>
      <c r="C7769" s="3" t="inlineStr">
        <is>
          <t>Expenses</t>
        </is>
      </c>
      <c r="D7769" s="3" t="inlineStr">
        <is>
          <t>4100/100</t>
        </is>
      </c>
      <c r="E7769" s="3" t="inlineStr">
        <is>
          <t>Members Salaries - Nick Morgan</t>
        </is>
      </c>
      <c r="F7769" s="3" t="n">
        <v>40868.21</v>
      </c>
      <c r="G7769" s="3" t="n">
        <v>384935.18</v>
      </c>
    </row>
    <row r="7770">
      <c r="A7770" s="3" t="inlineStr">
        <is>
          <t>Quinate Consulting (Pty) Ltd</t>
        </is>
      </c>
      <c r="B7770" s="4" t="n">
        <v>44620</v>
      </c>
      <c r="C7770" s="3" t="inlineStr">
        <is>
          <t>Expenses</t>
        </is>
      </c>
      <c r="D7770" s="3" t="inlineStr">
        <is>
          <t>4150/010</t>
        </is>
      </c>
      <c r="E7770" s="3" t="inlineStr">
        <is>
          <t>Motor Vehicle - Petrol _AND_ Oil</t>
        </is>
      </c>
      <c r="F7770" s="3" t="n">
        <v>0</v>
      </c>
      <c r="G7770" s="3" t="n">
        <v>1911.05</v>
      </c>
    </row>
    <row r="7771">
      <c r="A7771" s="3" t="inlineStr">
        <is>
          <t>Endulini (Pty) Ltd</t>
        </is>
      </c>
      <c r="B7771" s="4" t="n">
        <v>44620</v>
      </c>
      <c r="C7771" s="3" t="inlineStr">
        <is>
          <t>Expenses</t>
        </is>
      </c>
      <c r="D7771" s="3" t="inlineStr">
        <is>
          <t>4200/000</t>
        </is>
      </c>
      <c r="E7771" s="3" t="inlineStr">
        <is>
          <t>Printing _AND_ Stationery</t>
        </is>
      </c>
      <c r="F7771" s="3" t="n">
        <v>0</v>
      </c>
      <c r="G7771" s="3" t="n">
        <v>127.5</v>
      </c>
    </row>
    <row r="7772">
      <c r="A7772" s="3" t="inlineStr">
        <is>
          <t>Noble Shield (Pty) Ltd ta Go Letting</t>
        </is>
      </c>
      <c r="B7772" s="4" t="n">
        <v>44620</v>
      </c>
      <c r="C7772" s="3" t="inlineStr">
        <is>
          <t>Expenses</t>
        </is>
      </c>
      <c r="D7772" s="3" t="inlineStr">
        <is>
          <t>4200/000</t>
        </is>
      </c>
      <c r="E7772" s="3" t="inlineStr">
        <is>
          <t>Printing _AND_ Stationery</t>
        </is>
      </c>
      <c r="F7772" s="3" t="n">
        <v>375</v>
      </c>
      <c r="G7772" s="3" t="n">
        <v>375</v>
      </c>
    </row>
    <row r="7773">
      <c r="A7773" s="3" t="inlineStr">
        <is>
          <t>Opportunity Global Investment (PTY) LTD</t>
        </is>
      </c>
      <c r="B7773" s="4" t="n">
        <v>44620</v>
      </c>
      <c r="C7773" s="3" t="inlineStr">
        <is>
          <t>Expenses</t>
        </is>
      </c>
      <c r="D7773" s="3" t="inlineStr">
        <is>
          <t>4200/000</t>
        </is>
      </c>
      <c r="E7773" s="3" t="inlineStr">
        <is>
          <t>Printing _AND_ Stationery</t>
        </is>
      </c>
      <c r="F7773" s="3" t="n">
        <v>2367</v>
      </c>
      <c r="G7773" s="3" t="n">
        <v>31329.38</v>
      </c>
    </row>
    <row r="7774">
      <c r="A7774" s="3" t="inlineStr">
        <is>
          <t>Opportunity Global Sales (PTY) LTD</t>
        </is>
      </c>
      <c r="B7774" s="4" t="n">
        <v>44620</v>
      </c>
      <c r="C7774" s="3" t="inlineStr">
        <is>
          <t>Expenses</t>
        </is>
      </c>
      <c r="D7774" s="3" t="inlineStr">
        <is>
          <t>4200/000</t>
        </is>
      </c>
      <c r="E7774" s="3" t="inlineStr">
        <is>
          <t>Printing _AND_ Stationery</t>
        </is>
      </c>
      <c r="F7774" s="3" t="n">
        <v>0</v>
      </c>
      <c r="G7774" s="3" t="n">
        <v>3520.82</v>
      </c>
    </row>
    <row r="7775">
      <c r="A7775" s="3" t="inlineStr">
        <is>
          <t>Quinate Consulting (Pty) Ltd</t>
        </is>
      </c>
      <c r="B7775" s="4" t="n">
        <v>44620</v>
      </c>
      <c r="C7775" s="3" t="inlineStr">
        <is>
          <t>Expenses</t>
        </is>
      </c>
      <c r="D7775" s="3" t="inlineStr">
        <is>
          <t>4200/000</t>
        </is>
      </c>
      <c r="E7775" s="3" t="inlineStr">
        <is>
          <t>Printing _AND_ Stationery</t>
        </is>
      </c>
      <c r="F7775" s="3" t="n">
        <v>0</v>
      </c>
      <c r="G7775" s="3" t="n">
        <v>15758.25</v>
      </c>
    </row>
    <row r="7776">
      <c r="A7776" s="3" t="inlineStr">
        <is>
          <t>Noble Shield (Pty) Ltd ta Go Letting</t>
        </is>
      </c>
      <c r="B7776" s="4" t="n">
        <v>44620</v>
      </c>
      <c r="C7776" s="3" t="inlineStr">
        <is>
          <t>Expenses</t>
        </is>
      </c>
      <c r="D7776" s="3" t="inlineStr">
        <is>
          <t>4200/100</t>
        </is>
      </c>
      <c r="E7776" s="3" t="inlineStr">
        <is>
          <t>Printing - Merchant West- Printer Rental</t>
        </is>
      </c>
      <c r="F7776" s="3" t="n">
        <v>1619.15</v>
      </c>
      <c r="G7776" s="3" t="n">
        <v>9706.379999999999</v>
      </c>
    </row>
    <row r="7777">
      <c r="A7777" s="3" t="inlineStr">
        <is>
          <t>Noble Shield (Pty) Ltd ta Go Letting</t>
        </is>
      </c>
      <c r="B7777" s="4" t="n">
        <v>44620</v>
      </c>
      <c r="C7777" s="3" t="inlineStr">
        <is>
          <t>Expenses</t>
        </is>
      </c>
      <c r="D7777" s="3" t="inlineStr">
        <is>
          <t>4200/120</t>
        </is>
      </c>
      <c r="E7777" s="3" t="inlineStr">
        <is>
          <t>Printing - Ivy Line - Prints</t>
        </is>
      </c>
      <c r="F7777" s="3" t="n">
        <v>788.55</v>
      </c>
      <c r="G7777" s="3" t="n">
        <v>3621.37</v>
      </c>
    </row>
    <row r="7778">
      <c r="A7778" s="3" t="inlineStr">
        <is>
          <t>Noble Shield (Pty) Ltd ta Go Letting</t>
        </is>
      </c>
      <c r="B7778" s="4" t="n">
        <v>44620</v>
      </c>
      <c r="C7778" s="3" t="inlineStr">
        <is>
          <t>Expenses</t>
        </is>
      </c>
      <c r="D7778" s="3" t="inlineStr">
        <is>
          <t>4200/180</t>
        </is>
      </c>
      <c r="E7778" s="3" t="inlineStr">
        <is>
          <t>Printing - Ikon</t>
        </is>
      </c>
      <c r="F7778" s="3" t="n">
        <v>991.62</v>
      </c>
      <c r="G7778" s="3" t="n">
        <v>3816.5</v>
      </c>
    </row>
    <row r="7779">
      <c r="A7779" s="3" t="inlineStr">
        <is>
          <t>Noble Shield (Pty) Ltd ta Go Letting</t>
        </is>
      </c>
      <c r="B7779" s="4" t="n">
        <v>44620</v>
      </c>
      <c r="C7779" s="3" t="inlineStr">
        <is>
          <t>Expenses</t>
        </is>
      </c>
      <c r="D7779" s="3" t="inlineStr">
        <is>
          <t>4200/190</t>
        </is>
      </c>
      <c r="E7779" s="3" t="inlineStr">
        <is>
          <t>Printing - Centrafin printer rental</t>
        </is>
      </c>
      <c r="F7779" s="3" t="n">
        <v>2478.76</v>
      </c>
      <c r="G7779" s="3" t="n">
        <v>13927.52</v>
      </c>
    </row>
    <row r="7780">
      <c r="A7780" s="3" t="inlineStr">
        <is>
          <t>Noble Shield (Pty) Ltd ta Go Letting</t>
        </is>
      </c>
      <c r="B7780" s="4" t="n">
        <v>44620</v>
      </c>
      <c r="C7780" s="3" t="inlineStr">
        <is>
          <t>Expenses</t>
        </is>
      </c>
      <c r="D7780" s="3" t="inlineStr">
        <is>
          <t>4200/200</t>
        </is>
      </c>
      <c r="E7780" s="3" t="inlineStr">
        <is>
          <t>Printing - General Stationery VDB Office</t>
        </is>
      </c>
      <c r="F7780" s="3" t="n">
        <v>1672.7</v>
      </c>
      <c r="G7780" s="3" t="n">
        <v>2544.15</v>
      </c>
    </row>
    <row r="7781">
      <c r="A7781" s="3" t="inlineStr">
        <is>
          <t>Opportunity Global Investment (PTY) LTD</t>
        </is>
      </c>
      <c r="B7781" s="4" t="n">
        <v>44620</v>
      </c>
      <c r="C7781" s="3" t="inlineStr">
        <is>
          <t>Expenses</t>
        </is>
      </c>
      <c r="D7781" s="3" t="inlineStr">
        <is>
          <t>4220/000</t>
        </is>
      </c>
      <c r="E7781" s="3" t="inlineStr">
        <is>
          <t>Motor Vehicle Expenses - Petrol _AND_ Oil</t>
        </is>
      </c>
      <c r="F7781" s="3" t="n">
        <v>0</v>
      </c>
      <c r="G7781" s="3" t="n">
        <v>6428.95</v>
      </c>
    </row>
    <row r="7782">
      <c r="A7782" s="3" t="inlineStr">
        <is>
          <t>Opportunity Global Sales (PTY) LTD</t>
        </is>
      </c>
      <c r="B7782" s="4" t="n">
        <v>44620</v>
      </c>
      <c r="C7782" s="3" t="inlineStr">
        <is>
          <t>Expenses</t>
        </is>
      </c>
      <c r="D7782" s="3" t="inlineStr">
        <is>
          <t>4220/000</t>
        </is>
      </c>
      <c r="E7782" s="3" t="inlineStr">
        <is>
          <t>Motor Vehicle Expenses - Petrol _AND_ Oil</t>
        </is>
      </c>
      <c r="F7782" s="3" t="n">
        <v>0</v>
      </c>
      <c r="G7782" s="3" t="n">
        <v>2075.96</v>
      </c>
    </row>
    <row r="7783">
      <c r="A7783" s="3" t="inlineStr">
        <is>
          <t>Noble Shield (Pty) Ltd ta Go Letting</t>
        </is>
      </c>
      <c r="B7783" s="4" t="n">
        <v>44620</v>
      </c>
      <c r="C7783" s="3" t="inlineStr">
        <is>
          <t>Expenses</t>
        </is>
      </c>
      <c r="D7783" s="3" t="inlineStr">
        <is>
          <t>4290/000</t>
        </is>
      </c>
      <c r="E7783" s="3" t="inlineStr">
        <is>
          <t>Refreshments - CT Office</t>
        </is>
      </c>
      <c r="F7783" s="3" t="n">
        <v>1132.75</v>
      </c>
      <c r="G7783" s="3" t="n">
        <v>4372.3</v>
      </c>
    </row>
    <row r="7784">
      <c r="A7784" s="3" t="inlineStr">
        <is>
          <t>Opportunity Global Investment (PTY) LTD</t>
        </is>
      </c>
      <c r="B7784" s="4" t="n">
        <v>44620</v>
      </c>
      <c r="C7784" s="3" t="inlineStr">
        <is>
          <t>Expenses</t>
        </is>
      </c>
      <c r="D7784" s="3" t="inlineStr">
        <is>
          <t>4290/000</t>
        </is>
      </c>
      <c r="E7784" s="3" t="inlineStr">
        <is>
          <t>Rent</t>
        </is>
      </c>
      <c r="F7784" s="3" t="n">
        <v>8770</v>
      </c>
      <c r="G7784" s="3" t="n">
        <v>105240</v>
      </c>
    </row>
    <row r="7785">
      <c r="A7785" s="3" t="inlineStr">
        <is>
          <t>Noble Shield (Pty) Ltd ta Go Letting</t>
        </is>
      </c>
      <c r="B7785" s="4" t="n">
        <v>44620</v>
      </c>
      <c r="C7785" s="3" t="inlineStr">
        <is>
          <t>Expenses</t>
        </is>
      </c>
      <c r="D7785" s="3" t="inlineStr">
        <is>
          <t>4291/000</t>
        </is>
      </c>
      <c r="E7785" s="3" t="inlineStr">
        <is>
          <t>Refreshments - VDB Office</t>
        </is>
      </c>
      <c r="F7785" s="3" t="n">
        <v>531.67</v>
      </c>
      <c r="G7785" s="3" t="n">
        <v>1293.29</v>
      </c>
    </row>
    <row r="7786">
      <c r="A7786" s="3" t="inlineStr">
        <is>
          <t>Quinate Consulting (Pty) Ltd</t>
        </is>
      </c>
      <c r="B7786" s="4" t="n">
        <v>44620</v>
      </c>
      <c r="C7786" s="3" t="inlineStr">
        <is>
          <t>Expenses</t>
        </is>
      </c>
      <c r="D7786" s="3" t="inlineStr">
        <is>
          <t>4300/000</t>
        </is>
      </c>
      <c r="E7786" s="3" t="inlineStr">
        <is>
          <t>Rent Paid</t>
        </is>
      </c>
      <c r="F7786" s="3" t="n">
        <v>0</v>
      </c>
      <c r="G7786" s="3" t="n">
        <v>159974.04</v>
      </c>
    </row>
    <row r="7787">
      <c r="A7787" s="3" t="inlineStr">
        <is>
          <t>Trademark Holdings (Pty) Ltd</t>
        </is>
      </c>
      <c r="B7787" s="4" t="n">
        <v>44620</v>
      </c>
      <c r="C7787" s="3" t="inlineStr">
        <is>
          <t>Expenses</t>
        </is>
      </c>
      <c r="D7787" s="3" t="inlineStr">
        <is>
          <t>4300/000</t>
        </is>
      </c>
      <c r="E7787" s="3" t="inlineStr">
        <is>
          <t>Rent Paid</t>
        </is>
      </c>
      <c r="F7787" s="3" t="n">
        <v>6055.32</v>
      </c>
      <c r="G7787" s="3" t="n">
        <v>35981.87</v>
      </c>
    </row>
    <row r="7788">
      <c r="A7788" s="3" t="inlineStr">
        <is>
          <t>Endulini (Pty) Ltd</t>
        </is>
      </c>
      <c r="B7788" s="4" t="n">
        <v>44620</v>
      </c>
      <c r="C7788" s="3" t="inlineStr">
        <is>
          <t>Expenses</t>
        </is>
      </c>
      <c r="D7788" s="3" t="inlineStr">
        <is>
          <t>4310/000</t>
        </is>
      </c>
      <c r="E7788" s="3" t="inlineStr">
        <is>
          <t>Rates</t>
        </is>
      </c>
      <c r="F7788" s="3" t="n">
        <v>10594.3</v>
      </c>
      <c r="G7788" s="3" t="n">
        <v>41246.89</v>
      </c>
    </row>
    <row r="7789">
      <c r="A7789" s="3" t="inlineStr">
        <is>
          <t>Opportunity Global Investment (PTY) LTD</t>
        </is>
      </c>
      <c r="B7789" s="4" t="n">
        <v>44620</v>
      </c>
      <c r="C7789" s="3" t="inlineStr">
        <is>
          <t>Expenses</t>
        </is>
      </c>
      <c r="D7789" s="3" t="inlineStr">
        <is>
          <t>4310/000</t>
        </is>
      </c>
      <c r="E7789" s="3" t="inlineStr">
        <is>
          <t>Refreshments</t>
        </is>
      </c>
      <c r="F7789" s="3" t="n">
        <v>2521</v>
      </c>
      <c r="G7789" s="3" t="n">
        <v>30850.43</v>
      </c>
    </row>
    <row r="7790">
      <c r="A7790" s="3" t="inlineStr">
        <is>
          <t>Opportunity Management Holdings (PTY) LTD</t>
        </is>
      </c>
      <c r="B7790" s="4" t="n">
        <v>44620</v>
      </c>
      <c r="C7790" s="3" t="inlineStr">
        <is>
          <t>Expenses</t>
        </is>
      </c>
      <c r="D7790" s="3" t="inlineStr">
        <is>
          <t>4310/000</t>
        </is>
      </c>
      <c r="E7790" s="3" t="inlineStr">
        <is>
          <t>Refreshments</t>
        </is>
      </c>
      <c r="F7790" s="3" t="n">
        <v>906.2</v>
      </c>
      <c r="G7790" s="3" t="n">
        <v>906.2</v>
      </c>
    </row>
    <row r="7791">
      <c r="A7791" s="3" t="inlineStr">
        <is>
          <t>Quinate Consulting (Pty) Ltd</t>
        </is>
      </c>
      <c r="B7791" s="4" t="n">
        <v>44620</v>
      </c>
      <c r="C7791" s="3" t="inlineStr">
        <is>
          <t>Expenses</t>
        </is>
      </c>
      <c r="D7791" s="3" t="inlineStr">
        <is>
          <t>4312/000</t>
        </is>
      </c>
      <c r="E7791" s="3" t="inlineStr">
        <is>
          <t>Rates - SoHo Units</t>
        </is>
      </c>
      <c r="F7791" s="3" t="n">
        <v>2285.28</v>
      </c>
      <c r="G7791" s="3" t="n">
        <v>28261.29</v>
      </c>
    </row>
    <row r="7792">
      <c r="A7792" s="3" t="inlineStr">
        <is>
          <t>Quinate Consulting (Pty) Ltd</t>
        </is>
      </c>
      <c r="B7792" s="4" t="n">
        <v>44620</v>
      </c>
      <c r="C7792" s="3" t="inlineStr">
        <is>
          <t>Expenses</t>
        </is>
      </c>
      <c r="D7792" s="3" t="inlineStr">
        <is>
          <t>4314/000</t>
        </is>
      </c>
      <c r="E7792" s="3" t="inlineStr">
        <is>
          <t>Rates - CT Office</t>
        </is>
      </c>
      <c r="F7792" s="3" t="n">
        <v>0</v>
      </c>
      <c r="G7792" s="3" t="n">
        <v>4596.96</v>
      </c>
    </row>
    <row r="7793">
      <c r="A7793" s="3" t="inlineStr">
        <is>
          <t>Quinate Consulting (Pty) Ltd</t>
        </is>
      </c>
      <c r="B7793" s="4" t="n">
        <v>44620</v>
      </c>
      <c r="C7793" s="3" t="inlineStr">
        <is>
          <t>Expenses</t>
        </is>
      </c>
      <c r="D7793" s="3" t="inlineStr">
        <is>
          <t>4320/000</t>
        </is>
      </c>
      <c r="E7793" s="3" t="inlineStr">
        <is>
          <t>Refreshments</t>
        </is>
      </c>
      <c r="F7793" s="3" t="n">
        <v>0</v>
      </c>
      <c r="G7793" s="3" t="n">
        <v>159</v>
      </c>
    </row>
    <row r="7794">
      <c r="A7794" s="3" t="inlineStr">
        <is>
          <t>Noble Shield (Pty) Ltd ta Go Letting</t>
        </is>
      </c>
      <c r="B7794" s="4" t="n">
        <v>44620</v>
      </c>
      <c r="C7794" s="3" t="inlineStr">
        <is>
          <t>Expenses</t>
        </is>
      </c>
      <c r="D7794" s="3" t="inlineStr">
        <is>
          <t>4350/000</t>
        </is>
      </c>
      <c r="E7794" s="3" t="inlineStr">
        <is>
          <t>Repairs _AND_ Maintenance</t>
        </is>
      </c>
      <c r="F7794" s="3" t="n">
        <v>309.84</v>
      </c>
      <c r="G7794" s="3" t="n">
        <v>2958.84</v>
      </c>
    </row>
    <row r="7795">
      <c r="A7795" s="3" t="inlineStr">
        <is>
          <t>Quinate Consulting (Pty) Ltd</t>
        </is>
      </c>
      <c r="B7795" s="4" t="n">
        <v>44620</v>
      </c>
      <c r="C7795" s="3" t="inlineStr">
        <is>
          <t>Expenses</t>
        </is>
      </c>
      <c r="D7795" s="3" t="inlineStr">
        <is>
          <t>4350/000</t>
        </is>
      </c>
      <c r="E7795" s="3" t="inlineStr">
        <is>
          <t>Repairs and Maintenance - Southwark Units</t>
        </is>
      </c>
      <c r="F7795" s="3" t="n">
        <v>0</v>
      </c>
      <c r="G7795" s="3" t="n">
        <v>5984.63</v>
      </c>
    </row>
    <row r="7796">
      <c r="A7796" s="3" t="inlineStr">
        <is>
          <t>Opportunity Global Investment (PTY) LTD</t>
        </is>
      </c>
      <c r="B7796" s="4" t="n">
        <v>44620</v>
      </c>
      <c r="C7796" s="3" t="inlineStr">
        <is>
          <t>Expenses</t>
        </is>
      </c>
      <c r="D7796" s="3" t="inlineStr">
        <is>
          <t>4360/000</t>
        </is>
      </c>
      <c r="E7796" s="3" t="inlineStr">
        <is>
          <t>Secretarial - CIPC</t>
        </is>
      </c>
      <c r="F7796" s="3" t="n">
        <v>0</v>
      </c>
      <c r="G7796" s="3" t="n">
        <v>450</v>
      </c>
    </row>
    <row r="7797">
      <c r="A7797" s="3" t="inlineStr">
        <is>
          <t>Opportunity Global Sales (PTY) LTD</t>
        </is>
      </c>
      <c r="B7797" s="4" t="n">
        <v>44620</v>
      </c>
      <c r="C7797" s="3" t="inlineStr">
        <is>
          <t>Expenses</t>
        </is>
      </c>
      <c r="D7797" s="3" t="inlineStr">
        <is>
          <t>4390/000</t>
        </is>
      </c>
      <c r="E7797" s="3" t="inlineStr">
        <is>
          <t>Small Assets</t>
        </is>
      </c>
      <c r="F7797" s="3" t="n">
        <v>0</v>
      </c>
      <c r="G7797" s="3" t="n">
        <v>826.0700000000001</v>
      </c>
    </row>
    <row r="7798">
      <c r="A7798" s="3" t="inlineStr">
        <is>
          <t>Opportunity Management Holdings (PTY) LTD</t>
        </is>
      </c>
      <c r="B7798" s="4" t="n">
        <v>44620</v>
      </c>
      <c r="C7798" s="3" t="inlineStr">
        <is>
          <t>Expenses</t>
        </is>
      </c>
      <c r="D7798" s="3" t="inlineStr">
        <is>
          <t>4390/000</t>
        </is>
      </c>
      <c r="E7798" s="3" t="inlineStr">
        <is>
          <t>Small Assets</t>
        </is>
      </c>
      <c r="F7798" s="3" t="n">
        <v>2973</v>
      </c>
      <c r="G7798" s="3" t="n">
        <v>2973</v>
      </c>
    </row>
    <row r="7799">
      <c r="A7799" s="3" t="inlineStr">
        <is>
          <t>Noble Shield (Pty) Ltd ta Go Letting</t>
        </is>
      </c>
      <c r="B7799" s="4" t="n">
        <v>44620</v>
      </c>
      <c r="C7799" s="3" t="inlineStr">
        <is>
          <t>Expenses</t>
        </is>
      </c>
      <c r="D7799" s="3" t="inlineStr">
        <is>
          <t>4400/000</t>
        </is>
      </c>
      <c r="E7799" s="3" t="inlineStr">
        <is>
          <t>Salaries _AND_ Wages</t>
        </is>
      </c>
      <c r="F7799" s="3" t="n">
        <v>21760.02</v>
      </c>
      <c r="G7799" s="3" t="n">
        <v>131196.89</v>
      </c>
    </row>
    <row r="7800">
      <c r="A7800" s="3" t="inlineStr">
        <is>
          <t>Opportunity Global Investment (PTY) LTD</t>
        </is>
      </c>
      <c r="B7800" s="4" t="n">
        <v>44620</v>
      </c>
      <c r="C7800" s="3" t="inlineStr">
        <is>
          <t>Expenses</t>
        </is>
      </c>
      <c r="D7800" s="3" t="inlineStr">
        <is>
          <t>4400/000</t>
        </is>
      </c>
      <c r="E7800" s="3" t="inlineStr">
        <is>
          <t>Salaries _AND_ Wages</t>
        </is>
      </c>
      <c r="F7800" s="3" t="n">
        <v>0</v>
      </c>
      <c r="G7800" s="3" t="n">
        <v>38417.99</v>
      </c>
    </row>
    <row r="7801">
      <c r="A7801" s="3" t="inlineStr">
        <is>
          <t>Opportunity Global Sales (PTY) LTD</t>
        </is>
      </c>
      <c r="B7801" s="4" t="n">
        <v>44620</v>
      </c>
      <c r="C7801" s="3" t="inlineStr">
        <is>
          <t>Expenses</t>
        </is>
      </c>
      <c r="D7801" s="3" t="inlineStr">
        <is>
          <t>4400/000</t>
        </is>
      </c>
      <c r="E7801" s="3" t="inlineStr">
        <is>
          <t>Salaries _AND_ Wages</t>
        </is>
      </c>
      <c r="F7801" s="3" t="n">
        <v>61954.57</v>
      </c>
      <c r="G7801" s="3" t="n">
        <v>470590.47</v>
      </c>
    </row>
    <row r="7802">
      <c r="A7802" s="3" t="inlineStr">
        <is>
          <t>Opportunity Management Holdings (PTY) LTD</t>
        </is>
      </c>
      <c r="B7802" s="4" t="n">
        <v>44620</v>
      </c>
      <c r="C7802" s="3" t="inlineStr">
        <is>
          <t>Expenses</t>
        </is>
      </c>
      <c r="D7802" s="3" t="inlineStr">
        <is>
          <t>4400/000</t>
        </is>
      </c>
      <c r="E7802" s="3" t="inlineStr">
        <is>
          <t>Salaries _AND_ Wages</t>
        </is>
      </c>
      <c r="F7802" s="3" t="n">
        <v>152527.63</v>
      </c>
      <c r="G7802" s="3" t="n">
        <v>813810.42</v>
      </c>
    </row>
    <row r="7803">
      <c r="A7803" s="3" t="inlineStr">
        <is>
          <t>Trademark Holdings (Pty) Ltd</t>
        </is>
      </c>
      <c r="B7803" s="4" t="n">
        <v>44620</v>
      </c>
      <c r="C7803" s="3" t="inlineStr">
        <is>
          <t>Expenses</t>
        </is>
      </c>
      <c r="D7803" s="3" t="inlineStr">
        <is>
          <t>4400/000</t>
        </is>
      </c>
      <c r="E7803" s="3" t="inlineStr">
        <is>
          <t>Salaries _AND_ Wages</t>
        </is>
      </c>
      <c r="F7803" s="3" t="n">
        <v>37874.45</v>
      </c>
      <c r="G7803" s="3" t="n">
        <v>222571.41</v>
      </c>
    </row>
    <row r="7804">
      <c r="A7804" s="3" t="inlineStr">
        <is>
          <t>Opportunity Global Investment (PTY) LTD</t>
        </is>
      </c>
      <c r="B7804" s="4" t="n">
        <v>44620</v>
      </c>
      <c r="C7804" s="3" t="inlineStr">
        <is>
          <t>Expenses</t>
        </is>
      </c>
      <c r="D7804" s="3" t="inlineStr">
        <is>
          <t>4403/000</t>
        </is>
      </c>
      <c r="E7804" s="3" t="inlineStr">
        <is>
          <t>Study fees - Nick</t>
        </is>
      </c>
      <c r="F7804" s="3" t="n">
        <v>-127367.93</v>
      </c>
      <c r="G7804" s="3" t="n">
        <v>27207.07</v>
      </c>
    </row>
    <row r="7805">
      <c r="A7805" s="3" t="inlineStr">
        <is>
          <t>Opportunity Global Investment (PTY) LTD</t>
        </is>
      </c>
      <c r="B7805" s="4" t="n">
        <v>44620</v>
      </c>
      <c r="C7805" s="3" t="inlineStr">
        <is>
          <t>Expenses</t>
        </is>
      </c>
      <c r="D7805" s="3" t="inlineStr">
        <is>
          <t>4410/000</t>
        </is>
      </c>
      <c r="E7805" s="3" t="inlineStr">
        <is>
          <t>Salaries _AND_ Wages - WCA</t>
        </is>
      </c>
      <c r="F7805" s="3" t="n">
        <v>0</v>
      </c>
      <c r="G7805" s="3" t="n">
        <v>13109.81</v>
      </c>
    </row>
    <row r="7806">
      <c r="A7806" s="3" t="inlineStr">
        <is>
          <t>Quinate Consulting (Pty) Ltd</t>
        </is>
      </c>
      <c r="B7806" s="4" t="n">
        <v>44620</v>
      </c>
      <c r="C7806" s="3" t="inlineStr">
        <is>
          <t>Expenses</t>
        </is>
      </c>
      <c r="D7806" s="3" t="inlineStr">
        <is>
          <t>4430/000</t>
        </is>
      </c>
      <c r="E7806" s="3" t="inlineStr">
        <is>
          <t>Small Assets</t>
        </is>
      </c>
      <c r="F7806" s="3" t="n">
        <v>0</v>
      </c>
      <c r="G7806" s="3" t="n">
        <v>16261.78</v>
      </c>
    </row>
    <row r="7807">
      <c r="A7807" s="3" t="inlineStr">
        <is>
          <t>Opportunity Global Investment (PTY) LTD</t>
        </is>
      </c>
      <c r="B7807" s="4" t="n">
        <v>44620</v>
      </c>
      <c r="C7807" s="3" t="inlineStr">
        <is>
          <t>Expenses</t>
        </is>
      </c>
      <c r="D7807" s="3" t="inlineStr">
        <is>
          <t>4450/000</t>
        </is>
      </c>
      <c r="E7807" s="3" t="inlineStr">
        <is>
          <t>Staff Training</t>
        </is>
      </c>
      <c r="F7807" s="3" t="n">
        <v>999</v>
      </c>
      <c r="G7807" s="3" t="n">
        <v>2912.04</v>
      </c>
    </row>
    <row r="7808">
      <c r="A7808" s="3" t="inlineStr">
        <is>
          <t>Opportunity Management Holdings (PTY) LTD</t>
        </is>
      </c>
      <c r="B7808" s="4" t="n">
        <v>44620</v>
      </c>
      <c r="C7808" s="3" t="inlineStr">
        <is>
          <t>Expenses</t>
        </is>
      </c>
      <c r="D7808" s="3" t="inlineStr">
        <is>
          <t>4450/000</t>
        </is>
      </c>
      <c r="E7808" s="3" t="inlineStr">
        <is>
          <t>Staff Training</t>
        </is>
      </c>
      <c r="F7808" s="3" t="n">
        <v>2954</v>
      </c>
      <c r="G7808" s="3" t="n">
        <v>2954</v>
      </c>
    </row>
    <row r="7809">
      <c r="A7809" s="3" t="inlineStr">
        <is>
          <t>Noble Shield (Pty) Ltd ta Go Letting</t>
        </is>
      </c>
      <c r="B7809" s="4" t="n">
        <v>44620</v>
      </c>
      <c r="C7809" s="3" t="inlineStr">
        <is>
          <t>Expenses</t>
        </is>
      </c>
      <c r="D7809" s="3" t="inlineStr">
        <is>
          <t>4500/000</t>
        </is>
      </c>
      <c r="E7809" s="3" t="inlineStr">
        <is>
          <t>Staff Welfare</t>
        </is>
      </c>
      <c r="F7809" s="3" t="n">
        <v>4500</v>
      </c>
      <c r="G7809" s="3" t="n">
        <v>6400.95</v>
      </c>
    </row>
    <row r="7810">
      <c r="A7810" s="3" t="inlineStr">
        <is>
          <t>Opportunity Global Investment (PTY) LTD</t>
        </is>
      </c>
      <c r="B7810" s="4" t="n">
        <v>44620</v>
      </c>
      <c r="C7810" s="3" t="inlineStr">
        <is>
          <t>Expenses</t>
        </is>
      </c>
      <c r="D7810" s="3" t="inlineStr">
        <is>
          <t>4500/000</t>
        </is>
      </c>
      <c r="E7810" s="3" t="inlineStr">
        <is>
          <t>Staff Welfare</t>
        </is>
      </c>
      <c r="F7810" s="3" t="n">
        <v>678.48</v>
      </c>
      <c r="G7810" s="3" t="n">
        <v>3938.48</v>
      </c>
    </row>
    <row r="7811">
      <c r="A7811" s="3" t="inlineStr">
        <is>
          <t>Opportunity Management Holdings (PTY) LTD</t>
        </is>
      </c>
      <c r="B7811" s="4" t="n">
        <v>44620</v>
      </c>
      <c r="C7811" s="3" t="inlineStr">
        <is>
          <t>Expenses</t>
        </is>
      </c>
      <c r="D7811" s="3" t="inlineStr">
        <is>
          <t>4500/000</t>
        </is>
      </c>
      <c r="E7811" s="3" t="inlineStr">
        <is>
          <t>Staff Welfare</t>
        </is>
      </c>
      <c r="F7811" s="3" t="n">
        <v>79.98999999999999</v>
      </c>
      <c r="G7811" s="3" t="n">
        <v>79.98999999999999</v>
      </c>
    </row>
    <row r="7812">
      <c r="A7812" s="3" t="inlineStr">
        <is>
          <t>Quinate Consulting (Pty) Ltd</t>
        </is>
      </c>
      <c r="B7812" s="4" t="n">
        <v>44620</v>
      </c>
      <c r="C7812" s="3" t="inlineStr">
        <is>
          <t>Expenses</t>
        </is>
      </c>
      <c r="D7812" s="3" t="inlineStr">
        <is>
          <t>4500/000</t>
        </is>
      </c>
      <c r="E7812" s="3" t="inlineStr">
        <is>
          <t>Staff Welfare</t>
        </is>
      </c>
      <c r="F7812" s="3" t="n">
        <v>0</v>
      </c>
      <c r="G7812" s="3" t="n">
        <v>13287.03</v>
      </c>
    </row>
    <row r="7813">
      <c r="A7813" s="3" t="inlineStr">
        <is>
          <t>Noble Shield (Pty) Ltd ta Go Letting</t>
        </is>
      </c>
      <c r="B7813" s="4" t="n">
        <v>44620</v>
      </c>
      <c r="C7813" s="3" t="inlineStr">
        <is>
          <t>Expenses</t>
        </is>
      </c>
      <c r="D7813" s="3" t="inlineStr">
        <is>
          <t>4520/000</t>
        </is>
      </c>
      <c r="E7813" s="3" t="inlineStr">
        <is>
          <t>Security</t>
        </is>
      </c>
      <c r="F7813" s="3" t="n">
        <v>731.25</v>
      </c>
      <c r="G7813" s="3" t="n">
        <v>4562.28</v>
      </c>
    </row>
    <row r="7814">
      <c r="A7814" s="3" t="inlineStr">
        <is>
          <t>Opportunity Global Investment (PTY) LTD</t>
        </is>
      </c>
      <c r="B7814" s="4" t="n">
        <v>44620</v>
      </c>
      <c r="C7814" s="3" t="inlineStr">
        <is>
          <t>Expenses</t>
        </is>
      </c>
      <c r="D7814" s="3" t="inlineStr">
        <is>
          <t>4550/000</t>
        </is>
      </c>
      <c r="E7814" s="3" t="inlineStr">
        <is>
          <t>Subscriptions</t>
        </is>
      </c>
      <c r="F7814" s="3" t="n">
        <v>0</v>
      </c>
      <c r="G7814" s="3" t="n">
        <v>539.12</v>
      </c>
    </row>
    <row r="7815">
      <c r="A7815" s="3" t="inlineStr">
        <is>
          <t>Opportunity Global Sales (PTY) LTD</t>
        </is>
      </c>
      <c r="B7815" s="4" t="n">
        <v>44620</v>
      </c>
      <c r="C7815" s="3" t="inlineStr">
        <is>
          <t>Expenses</t>
        </is>
      </c>
      <c r="D7815" s="3" t="inlineStr">
        <is>
          <t>4550/000</t>
        </is>
      </c>
      <c r="E7815" s="3" t="inlineStr">
        <is>
          <t>Subscriptions - General</t>
        </is>
      </c>
      <c r="F7815" s="3" t="n">
        <v>0</v>
      </c>
      <c r="G7815" s="3" t="n">
        <v>2152.5</v>
      </c>
    </row>
    <row r="7816">
      <c r="A7816" s="3" t="inlineStr">
        <is>
          <t>Quinate Consulting (Pty) Ltd</t>
        </is>
      </c>
      <c r="B7816" s="4" t="n">
        <v>44620</v>
      </c>
      <c r="C7816" s="3" t="inlineStr">
        <is>
          <t>Expenses</t>
        </is>
      </c>
      <c r="D7816" s="3" t="inlineStr">
        <is>
          <t>4550/000</t>
        </is>
      </c>
      <c r="E7816" s="3" t="inlineStr">
        <is>
          <t>Subscriptions / Licenses</t>
        </is>
      </c>
      <c r="F7816" s="3" t="n">
        <v>7074.89</v>
      </c>
      <c r="G7816" s="3" t="n">
        <v>60495.91</v>
      </c>
    </row>
    <row r="7817">
      <c r="A7817" s="3" t="inlineStr">
        <is>
          <t>Opportunity Management Holdings (PTY) LTD</t>
        </is>
      </c>
      <c r="B7817" s="4" t="n">
        <v>44620</v>
      </c>
      <c r="C7817" s="3" t="inlineStr">
        <is>
          <t>Expenses</t>
        </is>
      </c>
      <c r="D7817" s="3" t="inlineStr">
        <is>
          <t>4550/000</t>
        </is>
      </c>
      <c r="E7817" s="3" t="inlineStr">
        <is>
          <t>Subscriptions _AND_ Lisences</t>
        </is>
      </c>
      <c r="F7817" s="3" t="n">
        <v>7989.57</v>
      </c>
      <c r="G7817" s="3" t="n">
        <v>7989.57</v>
      </c>
    </row>
    <row r="7818">
      <c r="A7818" s="3" t="inlineStr">
        <is>
          <t>Noble Shield (Pty) Ltd ta Go Letting</t>
        </is>
      </c>
      <c r="B7818" s="4" t="n">
        <v>44620</v>
      </c>
      <c r="C7818" s="3" t="inlineStr">
        <is>
          <t>Expenses</t>
        </is>
      </c>
      <c r="D7818" s="3" t="inlineStr">
        <is>
          <t>4550/100</t>
        </is>
      </c>
      <c r="E7818" s="3" t="inlineStr">
        <is>
          <t>Subscriptions - EAAB</t>
        </is>
      </c>
      <c r="F7818" s="3" t="n">
        <v>0</v>
      </c>
      <c r="G7818" s="3" t="n">
        <v>3010</v>
      </c>
    </row>
    <row r="7819">
      <c r="A7819" s="3" t="inlineStr">
        <is>
          <t>Trademark Holdings (Pty) Ltd</t>
        </is>
      </c>
      <c r="B7819" s="4" t="n">
        <v>44620</v>
      </c>
      <c r="C7819" s="3" t="inlineStr">
        <is>
          <t>Expenses</t>
        </is>
      </c>
      <c r="D7819" s="3" t="inlineStr">
        <is>
          <t>4550/100</t>
        </is>
      </c>
      <c r="E7819" s="3" t="inlineStr">
        <is>
          <t>Subscriptions - EAAB</t>
        </is>
      </c>
      <c r="F7819" s="3" t="n">
        <v>0</v>
      </c>
      <c r="G7819" s="3" t="n">
        <v>1710</v>
      </c>
    </row>
    <row r="7820">
      <c r="A7820" s="3" t="inlineStr">
        <is>
          <t>Opportunity Global Investment (PTY) LTD</t>
        </is>
      </c>
      <c r="B7820" s="4" t="n">
        <v>44620</v>
      </c>
      <c r="C7820" s="3" t="inlineStr">
        <is>
          <t>Expenses</t>
        </is>
      </c>
      <c r="D7820" s="3" t="inlineStr">
        <is>
          <t>4550/150</t>
        </is>
      </c>
      <c r="E7820" s="3" t="inlineStr">
        <is>
          <t>Subscriptions - Webbox</t>
        </is>
      </c>
      <c r="F7820" s="3" t="n">
        <v>261</v>
      </c>
      <c r="G7820" s="3" t="n">
        <v>17830</v>
      </c>
    </row>
    <row r="7821">
      <c r="A7821" s="3" t="inlineStr">
        <is>
          <t>Opportunity Global Investment (PTY) LTD</t>
        </is>
      </c>
      <c r="B7821" s="4" t="n">
        <v>44620</v>
      </c>
      <c r="C7821" s="3" t="inlineStr">
        <is>
          <t>Expenses</t>
        </is>
      </c>
      <c r="D7821" s="3" t="inlineStr">
        <is>
          <t>4550/200</t>
        </is>
      </c>
      <c r="E7821" s="3" t="inlineStr">
        <is>
          <t>Subscriptions - Zoom</t>
        </is>
      </c>
      <c r="F7821" s="3" t="n">
        <v>234.3</v>
      </c>
      <c r="G7821" s="3" t="n">
        <v>2105.81</v>
      </c>
    </row>
    <row r="7822">
      <c r="A7822" s="3" t="inlineStr">
        <is>
          <t>Opportunity Global Investment (PTY) LTD</t>
        </is>
      </c>
      <c r="B7822" s="4" t="n">
        <v>44620</v>
      </c>
      <c r="C7822" s="3" t="inlineStr">
        <is>
          <t>Expenses</t>
        </is>
      </c>
      <c r="D7822" s="3" t="inlineStr">
        <is>
          <t>4550/250</t>
        </is>
      </c>
      <c r="E7822" s="3" t="inlineStr">
        <is>
          <t>Subscriptions - LinkedIn</t>
        </is>
      </c>
      <c r="F7822" s="3" t="n">
        <v>0</v>
      </c>
      <c r="G7822" s="3" t="n">
        <v>8003.92</v>
      </c>
    </row>
    <row r="7823">
      <c r="A7823" s="3" t="inlineStr">
        <is>
          <t>Noble Shield (Pty) Ltd ta Go Letting</t>
        </is>
      </c>
      <c r="B7823" s="4" t="n">
        <v>44620</v>
      </c>
      <c r="C7823" s="3" t="inlineStr">
        <is>
          <t>Expenses</t>
        </is>
      </c>
      <c r="D7823" s="3" t="inlineStr">
        <is>
          <t>4550/250</t>
        </is>
      </c>
      <c r="E7823" s="3" t="inlineStr">
        <is>
          <t>Subscriptions - Windeed reports</t>
        </is>
      </c>
      <c r="F7823" s="3" t="n">
        <v>15.8</v>
      </c>
      <c r="G7823" s="3" t="n">
        <v>79</v>
      </c>
    </row>
    <row r="7824">
      <c r="A7824" s="3" t="inlineStr">
        <is>
          <t>Opportunity Global Investment (PTY) LTD</t>
        </is>
      </c>
      <c r="B7824" s="4" t="n">
        <v>44620</v>
      </c>
      <c r="C7824" s="3" t="inlineStr">
        <is>
          <t>Expenses</t>
        </is>
      </c>
      <c r="D7824" s="3" t="inlineStr">
        <is>
          <t>4550/350</t>
        </is>
      </c>
      <c r="E7824" s="3" t="inlineStr">
        <is>
          <t>Subscriptions - Xero</t>
        </is>
      </c>
      <c r="F7824" s="3" t="n">
        <v>600</v>
      </c>
      <c r="G7824" s="3" t="n">
        <v>5150</v>
      </c>
    </row>
    <row r="7825">
      <c r="A7825" s="3" t="inlineStr">
        <is>
          <t>Opportunity Global Investment (PTY) LTD</t>
        </is>
      </c>
      <c r="B7825" s="4" t="n">
        <v>44620</v>
      </c>
      <c r="C7825" s="3" t="inlineStr">
        <is>
          <t>Expenses</t>
        </is>
      </c>
      <c r="D7825" s="3" t="inlineStr">
        <is>
          <t>4550/400</t>
        </is>
      </c>
      <c r="E7825" s="3" t="inlineStr">
        <is>
          <t>Subscriptions - Moneyweb</t>
        </is>
      </c>
      <c r="F7825" s="3" t="n">
        <v>54.78</v>
      </c>
      <c r="G7825" s="3" t="n">
        <v>423.16</v>
      </c>
    </row>
    <row r="7826">
      <c r="A7826" s="3" t="inlineStr">
        <is>
          <t>Trademark Holdings (Pty) Ltd</t>
        </is>
      </c>
      <c r="B7826" s="4" t="n">
        <v>44620</v>
      </c>
      <c r="C7826" s="3" t="inlineStr">
        <is>
          <t>Expenses</t>
        </is>
      </c>
      <c r="D7826" s="3" t="inlineStr">
        <is>
          <t>4550/400</t>
        </is>
      </c>
      <c r="E7826" s="3" t="inlineStr">
        <is>
          <t>Subscriptions - Xero</t>
        </is>
      </c>
      <c r="F7826" s="3" t="n">
        <v>600</v>
      </c>
      <c r="G7826" s="3" t="n">
        <v>4050</v>
      </c>
    </row>
    <row r="7827">
      <c r="A7827" s="3" t="inlineStr">
        <is>
          <t>Opportunity Global Investment (PTY) LTD</t>
        </is>
      </c>
      <c r="B7827" s="4" t="n">
        <v>44620</v>
      </c>
      <c r="C7827" s="3" t="inlineStr">
        <is>
          <t>Expenses</t>
        </is>
      </c>
      <c r="D7827" s="3" t="inlineStr">
        <is>
          <t>4550/450</t>
        </is>
      </c>
      <c r="E7827" s="3" t="inlineStr">
        <is>
          <t>Subscriptions - Adobe</t>
        </is>
      </c>
      <c r="F7827" s="3" t="n">
        <v>493.51</v>
      </c>
      <c r="G7827" s="3" t="n">
        <v>2958.61</v>
      </c>
    </row>
    <row r="7828">
      <c r="A7828" s="3" t="inlineStr">
        <is>
          <t>Noble Shield (Pty) Ltd ta Go Letting</t>
        </is>
      </c>
      <c r="B7828" s="4" t="n">
        <v>44620</v>
      </c>
      <c r="C7828" s="3" t="inlineStr">
        <is>
          <t>Expenses</t>
        </is>
      </c>
      <c r="D7828" s="3" t="inlineStr">
        <is>
          <t>4550/600</t>
        </is>
      </c>
      <c r="E7828" s="3" t="inlineStr">
        <is>
          <t>Subscriptions - Webbox</t>
        </is>
      </c>
      <c r="F7828" s="3" t="n">
        <v>1200.6</v>
      </c>
      <c r="G7828" s="3" t="n">
        <v>6239.51</v>
      </c>
    </row>
    <row r="7829">
      <c r="A7829" s="3" t="inlineStr">
        <is>
          <t>Noble Shield (Pty) Ltd ta Go Letting</t>
        </is>
      </c>
      <c r="B7829" s="4" t="n">
        <v>44620</v>
      </c>
      <c r="C7829" s="3" t="inlineStr">
        <is>
          <t>Expenses</t>
        </is>
      </c>
      <c r="D7829" s="3" t="inlineStr">
        <is>
          <t>4550/650</t>
        </is>
      </c>
      <c r="E7829" s="3" t="inlineStr">
        <is>
          <t>Subscriptions - Xero</t>
        </is>
      </c>
      <c r="F7829" s="3" t="n">
        <v>600</v>
      </c>
      <c r="G7829" s="3" t="n">
        <v>4050</v>
      </c>
    </row>
    <row r="7830">
      <c r="A7830" s="3" t="inlineStr">
        <is>
          <t>Noble Shield (Pty) Ltd ta Go Letting</t>
        </is>
      </c>
      <c r="B7830" s="4" t="n">
        <v>44620</v>
      </c>
      <c r="C7830" s="3" t="inlineStr">
        <is>
          <t>Expenses</t>
        </is>
      </c>
      <c r="D7830" s="3" t="inlineStr">
        <is>
          <t>4550/700</t>
        </is>
      </c>
      <c r="E7830" s="3" t="inlineStr">
        <is>
          <t>Subscriptions - Domain renewals</t>
        </is>
      </c>
      <c r="F7830" s="3" t="n">
        <v>0</v>
      </c>
      <c r="G7830" s="3" t="n">
        <v>1726.15</v>
      </c>
    </row>
    <row r="7831">
      <c r="A7831" s="3" t="inlineStr">
        <is>
          <t>Opportunity Global Sales (PTY) LTD</t>
        </is>
      </c>
      <c r="B7831" s="4" t="n">
        <v>44620</v>
      </c>
      <c r="C7831" s="3" t="inlineStr">
        <is>
          <t>Expenses</t>
        </is>
      </c>
      <c r="D7831" s="3" t="inlineStr">
        <is>
          <t>4551/000</t>
        </is>
      </c>
      <c r="E7831" s="3" t="inlineStr">
        <is>
          <t>Subscriptions - Payprop</t>
        </is>
      </c>
      <c r="F7831" s="3" t="n">
        <v>580.96</v>
      </c>
      <c r="G7831" s="3" t="n">
        <v>9412.559999999999</v>
      </c>
    </row>
    <row r="7832">
      <c r="A7832" s="3" t="inlineStr">
        <is>
          <t>Opportunity Management Holdings (PTY) LTD</t>
        </is>
      </c>
      <c r="B7832" s="4" t="n">
        <v>44620</v>
      </c>
      <c r="C7832" s="3" t="inlineStr">
        <is>
          <t>Expenses</t>
        </is>
      </c>
      <c r="D7832" s="3" t="inlineStr">
        <is>
          <t>4551/000</t>
        </is>
      </c>
      <c r="E7832" s="3" t="inlineStr">
        <is>
          <t>Subscriptions - Xero - Setup</t>
        </is>
      </c>
      <c r="F7832" s="3" t="n">
        <v>0</v>
      </c>
      <c r="G7832" s="3" t="n">
        <v>3000</v>
      </c>
    </row>
    <row r="7833">
      <c r="A7833" s="3" t="inlineStr">
        <is>
          <t>Endulini (Pty) Ltd</t>
        </is>
      </c>
      <c r="B7833" s="4" t="n">
        <v>44620</v>
      </c>
      <c r="C7833" s="3" t="inlineStr">
        <is>
          <t>Expenses</t>
        </is>
      </c>
      <c r="D7833" s="3" t="inlineStr">
        <is>
          <t>4551/000</t>
        </is>
      </c>
      <c r="E7833" s="3" t="inlineStr">
        <is>
          <t>Subscriptions - Xero setup</t>
        </is>
      </c>
      <c r="F7833" s="3" t="n">
        <v>0</v>
      </c>
      <c r="G7833" s="3" t="n">
        <v>3000</v>
      </c>
    </row>
    <row r="7834">
      <c r="A7834" s="3" t="inlineStr">
        <is>
          <t>Quinate Consulting (Pty) Ltd</t>
        </is>
      </c>
      <c r="B7834" s="4" t="n">
        <v>44620</v>
      </c>
      <c r="C7834" s="3" t="inlineStr">
        <is>
          <t>Expenses</t>
        </is>
      </c>
      <c r="D7834" s="3" t="inlineStr">
        <is>
          <t>4551/000</t>
        </is>
      </c>
      <c r="E7834" s="3" t="inlineStr">
        <is>
          <t>Subscriptions - Zoho</t>
        </is>
      </c>
      <c r="F7834" s="3" t="n">
        <v>1125</v>
      </c>
      <c r="G7834" s="3" t="n">
        <v>11250</v>
      </c>
    </row>
    <row r="7835">
      <c r="A7835" s="3" t="inlineStr">
        <is>
          <t>Quinate Consulting (Pty) Ltd</t>
        </is>
      </c>
      <c r="B7835" s="4" t="n">
        <v>44620</v>
      </c>
      <c r="C7835" s="3" t="inlineStr">
        <is>
          <t>Expenses</t>
        </is>
      </c>
      <c r="D7835" s="3" t="inlineStr">
        <is>
          <t>4552/000</t>
        </is>
      </c>
      <c r="E7835" s="3" t="inlineStr">
        <is>
          <t>Subscriptions - CIPC</t>
        </is>
      </c>
      <c r="F7835" s="3" t="n">
        <v>0</v>
      </c>
      <c r="G7835" s="3" t="n">
        <v>2000</v>
      </c>
    </row>
    <row r="7836">
      <c r="A7836" s="3" t="inlineStr">
        <is>
          <t>Endulini (Pty) Ltd</t>
        </is>
      </c>
      <c r="B7836" s="4" t="n">
        <v>44620</v>
      </c>
      <c r="C7836" s="3" t="inlineStr">
        <is>
          <t>Expenses</t>
        </is>
      </c>
      <c r="D7836" s="3" t="inlineStr">
        <is>
          <t>4552/000</t>
        </is>
      </c>
      <c r="E7836" s="3" t="inlineStr">
        <is>
          <t>Subscriptions - Xero</t>
        </is>
      </c>
      <c r="F7836" s="3" t="n">
        <v>600</v>
      </c>
      <c r="G7836" s="3" t="n">
        <v>1200</v>
      </c>
    </row>
    <row r="7837">
      <c r="A7837" s="3" t="inlineStr">
        <is>
          <t>Opportunity Global Sales (PTY) LTD</t>
        </is>
      </c>
      <c r="B7837" s="4" t="n">
        <v>44620</v>
      </c>
      <c r="C7837" s="3" t="inlineStr">
        <is>
          <t>Expenses</t>
        </is>
      </c>
      <c r="D7837" s="3" t="inlineStr">
        <is>
          <t>4552/000</t>
        </is>
      </c>
      <c r="E7837" s="3" t="inlineStr">
        <is>
          <t>Subscriptions - Xero</t>
        </is>
      </c>
      <c r="F7837" s="3" t="n">
        <v>600</v>
      </c>
      <c r="G7837" s="3" t="n">
        <v>5150</v>
      </c>
    </row>
    <row r="7838">
      <c r="A7838" s="3" t="inlineStr">
        <is>
          <t>Opportunity Management Holdings (PTY) LTD</t>
        </is>
      </c>
      <c r="B7838" s="4" t="n">
        <v>44620</v>
      </c>
      <c r="C7838" s="3" t="inlineStr">
        <is>
          <t>Expenses</t>
        </is>
      </c>
      <c r="D7838" s="3" t="inlineStr">
        <is>
          <t>4552/000</t>
        </is>
      </c>
      <c r="E7838" s="3" t="inlineStr">
        <is>
          <t>Subscriptions - Xero</t>
        </is>
      </c>
      <c r="F7838" s="3" t="n">
        <v>825</v>
      </c>
      <c r="G7838" s="3" t="n">
        <v>1650</v>
      </c>
    </row>
    <row r="7839">
      <c r="A7839" s="3" t="inlineStr">
        <is>
          <t>Opportunity Global Sales (PTY) LTD</t>
        </is>
      </c>
      <c r="B7839" s="4" t="n">
        <v>44620</v>
      </c>
      <c r="C7839" s="3" t="inlineStr">
        <is>
          <t>Expenses</t>
        </is>
      </c>
      <c r="D7839" s="3" t="inlineStr">
        <is>
          <t>4553/000</t>
        </is>
      </c>
      <c r="E7839" s="3" t="inlineStr">
        <is>
          <t>Subscriptions - CMA</t>
        </is>
      </c>
      <c r="F7839" s="3" t="n">
        <v>680</v>
      </c>
      <c r="G7839" s="3" t="n">
        <v>6206.4</v>
      </c>
    </row>
    <row r="7840">
      <c r="A7840" s="3" t="inlineStr">
        <is>
          <t>Quinate Consulting (Pty) Ltd</t>
        </is>
      </c>
      <c r="B7840" s="4" t="n">
        <v>44620</v>
      </c>
      <c r="C7840" s="3" t="inlineStr">
        <is>
          <t>Expenses</t>
        </is>
      </c>
      <c r="D7840" s="3" t="inlineStr">
        <is>
          <t>4553/000</t>
        </is>
      </c>
      <c r="E7840" s="3" t="inlineStr">
        <is>
          <t>Subscriptions - Xero setup</t>
        </is>
      </c>
      <c r="F7840" s="3" t="n">
        <v>0</v>
      </c>
      <c r="G7840" s="3" t="n">
        <v>3000</v>
      </c>
    </row>
    <row r="7841">
      <c r="A7841" s="3" t="inlineStr">
        <is>
          <t>Quinate Consulting (Pty) Ltd</t>
        </is>
      </c>
      <c r="B7841" s="4" t="n">
        <v>44620</v>
      </c>
      <c r="C7841" s="3" t="inlineStr">
        <is>
          <t>Expenses</t>
        </is>
      </c>
      <c r="D7841" s="3" t="inlineStr">
        <is>
          <t>4554/000</t>
        </is>
      </c>
      <c r="E7841" s="3" t="inlineStr">
        <is>
          <t>Subscriptions - Xero</t>
        </is>
      </c>
      <c r="F7841" s="3" t="n">
        <v>600</v>
      </c>
      <c r="G7841" s="3" t="n">
        <v>1200</v>
      </c>
    </row>
    <row r="7842">
      <c r="A7842" s="3" t="inlineStr">
        <is>
          <t>Opportunity Global Sales (PTY) LTD</t>
        </is>
      </c>
      <c r="B7842" s="4" t="n">
        <v>44620</v>
      </c>
      <c r="C7842" s="3" t="inlineStr">
        <is>
          <t>Expenses</t>
        </is>
      </c>
      <c r="D7842" s="3" t="inlineStr">
        <is>
          <t>4554/000</t>
        </is>
      </c>
      <c r="E7842" s="3" t="inlineStr">
        <is>
          <t>Subscriptions - Zoho</t>
        </is>
      </c>
      <c r="F7842" s="3" t="n">
        <v>600</v>
      </c>
      <c r="G7842" s="3" t="n">
        <v>4800</v>
      </c>
    </row>
    <row r="7843">
      <c r="A7843" s="3" t="inlineStr">
        <is>
          <t>Quinate Consulting (Pty) Ltd</t>
        </is>
      </c>
      <c r="B7843" s="4" t="n">
        <v>44620</v>
      </c>
      <c r="C7843" s="3" t="inlineStr">
        <is>
          <t>Expenses</t>
        </is>
      </c>
      <c r="D7843" s="3" t="inlineStr">
        <is>
          <t>4555/000</t>
        </is>
      </c>
      <c r="E7843" s="3" t="inlineStr">
        <is>
          <t>Subscriptions - OUMS</t>
        </is>
      </c>
      <c r="F7843" s="3" t="n">
        <v>3392.39</v>
      </c>
      <c r="G7843" s="3" t="n">
        <v>3392.39</v>
      </c>
    </row>
    <row r="7844">
      <c r="A7844" s="3" t="inlineStr">
        <is>
          <t>Opportunity Global Investment (PTY) LTD</t>
        </is>
      </c>
      <c r="B7844" s="4" t="n">
        <v>44620</v>
      </c>
      <c r="C7844" s="3" t="inlineStr">
        <is>
          <t>Expenses</t>
        </is>
      </c>
      <c r="D7844" s="3" t="inlineStr">
        <is>
          <t>4600/000</t>
        </is>
      </c>
      <c r="E7844" s="3" t="inlineStr">
        <is>
          <t>Telephone _AND_ Fax</t>
        </is>
      </c>
      <c r="F7844" s="3" t="n">
        <v>3355</v>
      </c>
      <c r="G7844" s="3" t="n">
        <v>40260</v>
      </c>
    </row>
    <row r="7845">
      <c r="A7845" s="3" t="inlineStr">
        <is>
          <t>Opportunity Global Sales (PTY) LTD</t>
        </is>
      </c>
      <c r="B7845" s="4" t="n">
        <v>44620</v>
      </c>
      <c r="C7845" s="3" t="inlineStr">
        <is>
          <t>Expenses</t>
        </is>
      </c>
      <c r="D7845" s="3" t="inlineStr">
        <is>
          <t>4600/000</t>
        </is>
      </c>
      <c r="E7845" s="3" t="inlineStr">
        <is>
          <t>Telephone _AND_ Fax</t>
        </is>
      </c>
      <c r="F7845" s="3" t="n">
        <v>0</v>
      </c>
      <c r="G7845" s="3" t="n">
        <v>2676.52</v>
      </c>
    </row>
    <row r="7846">
      <c r="A7846" s="3" t="inlineStr">
        <is>
          <t>Trademark Holdings (Pty) Ltd</t>
        </is>
      </c>
      <c r="B7846" s="4" t="n">
        <v>44620</v>
      </c>
      <c r="C7846" s="3" t="inlineStr">
        <is>
          <t>Expenses</t>
        </is>
      </c>
      <c r="D7846" s="3" t="inlineStr">
        <is>
          <t>4600/000</t>
        </is>
      </c>
      <c r="E7846" s="3" t="inlineStr">
        <is>
          <t>Telephone _AND_ Fax</t>
        </is>
      </c>
      <c r="F7846" s="3" t="n">
        <v>2397.91</v>
      </c>
      <c r="G7846" s="3" t="n">
        <v>8487.290000000001</v>
      </c>
    </row>
    <row r="7847">
      <c r="A7847" s="3" t="inlineStr">
        <is>
          <t>Noble Shield (Pty) Ltd ta Go Letting</t>
        </is>
      </c>
      <c r="B7847" s="4" t="n">
        <v>44620</v>
      </c>
      <c r="C7847" s="3" t="inlineStr">
        <is>
          <t>Expenses</t>
        </is>
      </c>
      <c r="D7847" s="3" t="inlineStr">
        <is>
          <t>4600/000</t>
        </is>
      </c>
      <c r="E7847" s="3" t="inlineStr">
        <is>
          <t>Telephone _AND_ Fax - VDB Office</t>
        </is>
      </c>
      <c r="F7847" s="3" t="n">
        <v>0</v>
      </c>
      <c r="G7847" s="3" t="n">
        <v>1926.25</v>
      </c>
    </row>
    <row r="7848">
      <c r="A7848" s="3" t="inlineStr">
        <is>
          <t>Noble Shield (Pty) Ltd ta Go Letting</t>
        </is>
      </c>
      <c r="B7848" s="4" t="n">
        <v>44620</v>
      </c>
      <c r="C7848" s="3" t="inlineStr">
        <is>
          <t>Expenses</t>
        </is>
      </c>
      <c r="D7848" s="3" t="inlineStr">
        <is>
          <t>4610/000</t>
        </is>
      </c>
      <c r="E7848" s="3" t="inlineStr">
        <is>
          <t>Telephone - CT Office</t>
        </is>
      </c>
      <c r="F7848" s="3" t="n">
        <v>793.38</v>
      </c>
      <c r="G7848" s="3" t="n">
        <v>5122.96</v>
      </c>
    </row>
    <row r="7849">
      <c r="A7849" s="3" t="inlineStr">
        <is>
          <t>Opportunity Global Investment (PTY) LTD</t>
        </is>
      </c>
      <c r="B7849" s="4" t="n">
        <v>44620</v>
      </c>
      <c r="C7849" s="3" t="inlineStr">
        <is>
          <t>Expenses</t>
        </is>
      </c>
      <c r="D7849" s="3" t="inlineStr">
        <is>
          <t>4650/000</t>
        </is>
      </c>
      <c r="E7849" s="3" t="inlineStr">
        <is>
          <t>Travel _AND_ Accommodation</t>
        </is>
      </c>
      <c r="F7849" s="3" t="n">
        <v>0</v>
      </c>
      <c r="G7849" s="3" t="n">
        <v>355</v>
      </c>
    </row>
    <row r="7850">
      <c r="A7850" s="3" t="inlineStr">
        <is>
          <t>Opportunity Global Sales (PTY) LTD</t>
        </is>
      </c>
      <c r="B7850" s="4" t="n">
        <v>44620</v>
      </c>
      <c r="C7850" s="3" t="inlineStr">
        <is>
          <t>Expenses</t>
        </is>
      </c>
      <c r="D7850" s="3" t="inlineStr">
        <is>
          <t>4650/000</t>
        </is>
      </c>
      <c r="E7850" s="3" t="inlineStr">
        <is>
          <t>Travel _AND_ Accommodation</t>
        </is>
      </c>
      <c r="F7850" s="3" t="n">
        <v>987.04</v>
      </c>
      <c r="G7850" s="3" t="n">
        <v>987.04</v>
      </c>
    </row>
    <row r="7851">
      <c r="A7851" s="3" t="inlineStr">
        <is>
          <t>Opportunity Management Holdings (PTY) LTD</t>
        </is>
      </c>
      <c r="B7851" s="4" t="n">
        <v>44620</v>
      </c>
      <c r="C7851" s="3" t="inlineStr">
        <is>
          <t>Expenses</t>
        </is>
      </c>
      <c r="D7851" s="3" t="inlineStr">
        <is>
          <t>4650/000</t>
        </is>
      </c>
      <c r="E7851" s="3" t="inlineStr">
        <is>
          <t>Travel _AND_ Accommodation</t>
        </is>
      </c>
      <c r="F7851" s="3" t="n">
        <v>139.13</v>
      </c>
      <c r="G7851" s="3" t="n">
        <v>139.13</v>
      </c>
    </row>
    <row r="7852">
      <c r="A7852" s="3" t="inlineStr">
        <is>
          <t>Opportunity Global Investment (PTY) LTD</t>
        </is>
      </c>
      <c r="B7852" s="4" t="n">
        <v>44620</v>
      </c>
      <c r="C7852" s="3" t="inlineStr">
        <is>
          <t>Expenses</t>
        </is>
      </c>
      <c r="D7852" s="3" t="inlineStr">
        <is>
          <t>4650/010</t>
        </is>
      </c>
      <c r="E7852" s="3" t="inlineStr">
        <is>
          <t>Travel Accomodation - Flights - Local</t>
        </is>
      </c>
      <c r="F7852" s="3" t="n">
        <v>0</v>
      </c>
      <c r="G7852" s="3" t="n">
        <v>4362</v>
      </c>
    </row>
    <row r="7853">
      <c r="A7853" s="3" t="inlineStr">
        <is>
          <t>Opportunity Global Investment (PTY) LTD</t>
        </is>
      </c>
      <c r="B7853" s="4" t="n">
        <v>44620</v>
      </c>
      <c r="C7853" s="3" t="inlineStr">
        <is>
          <t>Expenses</t>
        </is>
      </c>
      <c r="D7853" s="3" t="inlineStr">
        <is>
          <t>4650/020</t>
        </is>
      </c>
      <c r="E7853" s="3" t="inlineStr">
        <is>
          <t>Travel Accomodation - Car Hire</t>
        </is>
      </c>
      <c r="F7853" s="3" t="n">
        <v>0</v>
      </c>
      <c r="G7853" s="3" t="n">
        <v>1013.91</v>
      </c>
    </row>
    <row r="7854">
      <c r="A7854" s="3" t="inlineStr">
        <is>
          <t>Quinate Consulting (Pty) Ltd</t>
        </is>
      </c>
      <c r="B7854" s="4" t="n">
        <v>44620</v>
      </c>
      <c r="C7854" s="3" t="inlineStr">
        <is>
          <t>Expenses</t>
        </is>
      </c>
      <c r="D7854" s="3" t="inlineStr">
        <is>
          <t>4650/030</t>
        </is>
      </c>
      <c r="E7854" s="3" t="inlineStr">
        <is>
          <t>Travel - Parking</t>
        </is>
      </c>
      <c r="F7854" s="3" t="n">
        <v>0</v>
      </c>
      <c r="G7854" s="3" t="n">
        <v>653.91</v>
      </c>
    </row>
    <row r="7855">
      <c r="A7855" s="3" t="inlineStr">
        <is>
          <t>Quinate Consulting (Pty) Ltd</t>
        </is>
      </c>
      <c r="B7855" s="4" t="n">
        <v>44620</v>
      </c>
      <c r="C7855" s="3" t="inlineStr">
        <is>
          <t>Expenses</t>
        </is>
      </c>
      <c r="D7855" s="3" t="inlineStr">
        <is>
          <t>4650/040</t>
        </is>
      </c>
      <c r="E7855" s="3" t="inlineStr">
        <is>
          <t>Travel - Local Car Hire</t>
        </is>
      </c>
      <c r="F7855" s="3" t="n">
        <v>0</v>
      </c>
      <c r="G7855" s="3" t="n">
        <v>817</v>
      </c>
    </row>
    <row r="7856">
      <c r="A7856" s="3" t="inlineStr">
        <is>
          <t>Opportunity Global Investment (PTY) LTD</t>
        </is>
      </c>
      <c r="B7856" s="4" t="n">
        <v>44620</v>
      </c>
      <c r="C7856" s="3" t="inlineStr">
        <is>
          <t>Expenses</t>
        </is>
      </c>
      <c r="D7856" s="3" t="inlineStr">
        <is>
          <t>4650/060</t>
        </is>
      </c>
      <c r="E7856" s="3" t="inlineStr">
        <is>
          <t>Travel _AND_ Accomodation - Parking_AND_Toll fee</t>
        </is>
      </c>
      <c r="F7856" s="3" t="n">
        <v>104.34</v>
      </c>
      <c r="G7856" s="3" t="n">
        <v>970.41</v>
      </c>
    </row>
    <row r="7857">
      <c r="A7857" s="3" t="inlineStr">
        <is>
          <t>Opportunity Global Sales (PTY) LTD</t>
        </is>
      </c>
      <c r="B7857" s="4" t="n">
        <v>44620</v>
      </c>
      <c r="C7857" s="3" t="inlineStr">
        <is>
          <t>Expenses</t>
        </is>
      </c>
      <c r="D7857" s="3" t="inlineStr">
        <is>
          <t>4650/070</t>
        </is>
      </c>
      <c r="E7857" s="3" t="inlineStr">
        <is>
          <t>Travel &amp; Accommodation - Petrol</t>
        </is>
      </c>
      <c r="F7857" s="3" t="n">
        <v>0</v>
      </c>
      <c r="G7857" s="3" t="n">
        <v>180.2</v>
      </c>
    </row>
    <row r="7858">
      <c r="A7858" s="3" t="inlineStr">
        <is>
          <t>Opportunity Global Investment (PTY) LTD</t>
        </is>
      </c>
      <c r="B7858" s="4" t="n">
        <v>44620</v>
      </c>
      <c r="C7858" s="3" t="inlineStr">
        <is>
          <t>Expenses</t>
        </is>
      </c>
      <c r="D7858" s="3" t="inlineStr">
        <is>
          <t>4650/080</t>
        </is>
      </c>
      <c r="E7858" s="3" t="inlineStr">
        <is>
          <t>Travel &amp; Accommodation - Staff Reimbursements</t>
        </is>
      </c>
      <c r="F7858" s="3" t="n">
        <v>306.46</v>
      </c>
      <c r="G7858" s="3" t="n">
        <v>437.8</v>
      </c>
    </row>
    <row r="7859">
      <c r="A7859" s="3" t="inlineStr">
        <is>
          <t>Opportunity Global Investment (PTY) LTD</t>
        </is>
      </c>
      <c r="B7859" s="4" t="n">
        <v>44620</v>
      </c>
      <c r="C7859" s="3" t="inlineStr">
        <is>
          <t>Expenses</t>
        </is>
      </c>
      <c r="D7859" s="3" t="inlineStr">
        <is>
          <t>4650/090</t>
        </is>
      </c>
      <c r="E7859" s="3" t="inlineStr">
        <is>
          <t>Travel &amp; Accom - Fuel</t>
        </is>
      </c>
      <c r="F7859" s="3" t="n">
        <v>3092.01</v>
      </c>
      <c r="G7859" s="3" t="n">
        <v>23461.63</v>
      </c>
    </row>
    <row r="7860">
      <c r="A7860" s="3" t="inlineStr">
        <is>
          <t>Noble Shield (Pty) Ltd ta Go Letting</t>
        </is>
      </c>
      <c r="B7860" s="4" t="n">
        <v>44620</v>
      </c>
      <c r="C7860" s="3" t="inlineStr">
        <is>
          <t>Expenses</t>
        </is>
      </c>
      <c r="D7860" s="3" t="inlineStr">
        <is>
          <t>4700/000</t>
        </is>
      </c>
      <c r="E7860" s="3" t="inlineStr">
        <is>
          <t>PAYE Contributions</t>
        </is>
      </c>
      <c r="F7860" s="3" t="n">
        <v>4627.8</v>
      </c>
      <c r="G7860" s="3" t="n">
        <v>29001.54</v>
      </c>
    </row>
    <row r="7861">
      <c r="A7861" s="3" t="inlineStr">
        <is>
          <t>Trademark Holdings (Pty) Ltd</t>
        </is>
      </c>
      <c r="B7861" s="4" t="n">
        <v>44620</v>
      </c>
      <c r="C7861" s="3" t="inlineStr">
        <is>
          <t>Expenses</t>
        </is>
      </c>
      <c r="D7861" s="3" t="inlineStr">
        <is>
          <t>4700/000</t>
        </is>
      </c>
      <c r="E7861" s="3" t="inlineStr">
        <is>
          <t>PAYE Contributions</t>
        </is>
      </c>
      <c r="F7861" s="3" t="n">
        <v>5234.18</v>
      </c>
      <c r="G7861" s="3" t="n">
        <v>35062.28</v>
      </c>
    </row>
    <row r="7862">
      <c r="A7862" s="3" t="inlineStr">
        <is>
          <t>Opportunity Global Investment (PTY) LTD</t>
        </is>
      </c>
      <c r="B7862" s="4" t="n">
        <v>44620</v>
      </c>
      <c r="C7862" s="3" t="inlineStr">
        <is>
          <t>Expenses</t>
        </is>
      </c>
      <c r="D7862" s="3" t="inlineStr">
        <is>
          <t>4700/000</t>
        </is>
      </c>
      <c r="E7862" s="3" t="inlineStr">
        <is>
          <t>UIF Contributions</t>
        </is>
      </c>
      <c r="F7862" s="3" t="n">
        <v>177.12</v>
      </c>
      <c r="G7862" s="3" t="n">
        <v>4054.86</v>
      </c>
    </row>
    <row r="7863">
      <c r="A7863" s="3" t="inlineStr">
        <is>
          <t>Opportunity Global Sales (PTY) LTD</t>
        </is>
      </c>
      <c r="B7863" s="4" t="n">
        <v>44620</v>
      </c>
      <c r="C7863" s="3" t="inlineStr">
        <is>
          <t>Expenses</t>
        </is>
      </c>
      <c r="D7863" s="3" t="inlineStr">
        <is>
          <t>4700/000</t>
        </is>
      </c>
      <c r="E7863" s="3" t="inlineStr">
        <is>
          <t>UIF Contributions</t>
        </is>
      </c>
      <c r="F7863" s="3" t="n">
        <v>227.12</v>
      </c>
      <c r="G7863" s="3" t="n">
        <v>2044.08</v>
      </c>
    </row>
    <row r="7864">
      <c r="A7864" s="3" t="inlineStr">
        <is>
          <t>Opportunity Global Sales (PTY) LTD</t>
        </is>
      </c>
      <c r="B7864" s="4" t="n">
        <v>44620</v>
      </c>
      <c r="C7864" s="3" t="inlineStr">
        <is>
          <t>Expenses</t>
        </is>
      </c>
      <c r="D7864" s="3" t="inlineStr">
        <is>
          <t>4701/000</t>
        </is>
      </c>
      <c r="E7864" s="3" t="inlineStr">
        <is>
          <t>UIF Employee Contribution</t>
        </is>
      </c>
      <c r="F7864" s="3" t="n">
        <v>227.12</v>
      </c>
      <c r="G7864" s="3" t="n">
        <v>2044.08</v>
      </c>
    </row>
    <row r="7865">
      <c r="A7865" s="3" t="inlineStr">
        <is>
          <t>Opportunity Global Investment (PTY) LTD</t>
        </is>
      </c>
      <c r="B7865" s="4" t="n">
        <v>44620</v>
      </c>
      <c r="C7865" s="3" t="inlineStr">
        <is>
          <t>Expenses</t>
        </is>
      </c>
      <c r="D7865" s="3" t="inlineStr">
        <is>
          <t>4701/000</t>
        </is>
      </c>
      <c r="E7865" s="3" t="inlineStr">
        <is>
          <t>UIF Employee Contributions</t>
        </is>
      </c>
      <c r="F7865" s="3" t="n">
        <v>177.12</v>
      </c>
      <c r="G7865" s="3" t="n">
        <v>2124.08</v>
      </c>
    </row>
    <row r="7866">
      <c r="A7866" s="3" t="inlineStr">
        <is>
          <t>Noble Shield (Pty) Ltd ta Go Letting</t>
        </is>
      </c>
      <c r="B7866" s="4" t="n">
        <v>44620</v>
      </c>
      <c r="C7866" s="3" t="inlineStr">
        <is>
          <t>Expenses</t>
        </is>
      </c>
      <c r="D7866" s="3" t="inlineStr">
        <is>
          <t>4710/000</t>
        </is>
      </c>
      <c r="E7866" s="3" t="inlineStr">
        <is>
          <t>UIF Company Contributions</t>
        </is>
      </c>
      <c r="F7866" s="3" t="n">
        <v>247.56</v>
      </c>
      <c r="G7866" s="3" t="n">
        <v>1203.42</v>
      </c>
    </row>
    <row r="7867">
      <c r="A7867" s="3" t="inlineStr">
        <is>
          <t>Trademark Holdings (Pty) Ltd</t>
        </is>
      </c>
      <c r="B7867" s="4" t="n">
        <v>44620</v>
      </c>
      <c r="C7867" s="3" t="inlineStr">
        <is>
          <t>Expenses</t>
        </is>
      </c>
      <c r="D7867" s="3" t="inlineStr">
        <is>
          <t>4710/000</t>
        </is>
      </c>
      <c r="E7867" s="3" t="inlineStr">
        <is>
          <t>UIF Company Contributions</t>
        </is>
      </c>
      <c r="F7867" s="3" t="n">
        <v>95.25</v>
      </c>
      <c r="G7867" s="3" t="n">
        <v>876.12</v>
      </c>
    </row>
    <row r="7868">
      <c r="A7868" s="3" t="inlineStr">
        <is>
          <t>Noble Shield (Pty) Ltd ta Go Letting</t>
        </is>
      </c>
      <c r="B7868" s="4" t="n">
        <v>44620</v>
      </c>
      <c r="C7868" s="3" t="inlineStr">
        <is>
          <t>Expenses</t>
        </is>
      </c>
      <c r="D7868" s="3" t="inlineStr">
        <is>
          <t>4711/000</t>
        </is>
      </c>
      <c r="E7868" s="3" t="inlineStr">
        <is>
          <t>UIF Employee Contribution</t>
        </is>
      </c>
      <c r="F7868" s="3" t="n">
        <v>247.56</v>
      </c>
      <c r="G7868" s="3" t="n">
        <v>1203.42</v>
      </c>
    </row>
    <row r="7869">
      <c r="A7869" s="3" t="inlineStr">
        <is>
          <t>Trademark Holdings (Pty) Ltd</t>
        </is>
      </c>
      <c r="B7869" s="4" t="n">
        <v>44620</v>
      </c>
      <c r="C7869" s="3" t="inlineStr">
        <is>
          <t>Expenses</t>
        </is>
      </c>
      <c r="D7869" s="3" t="inlineStr">
        <is>
          <t>4711/000</t>
        </is>
      </c>
      <c r="E7869" s="3" t="inlineStr">
        <is>
          <t>UIF Employee Contributions</t>
        </is>
      </c>
      <c r="F7869" s="3" t="n">
        <v>95.25</v>
      </c>
      <c r="G7869" s="3" t="n">
        <v>876.12</v>
      </c>
    </row>
    <row r="7870">
      <c r="A7870" s="3" t="inlineStr">
        <is>
          <t>Noble Shield (Pty) Ltd ta Go Letting</t>
        </is>
      </c>
      <c r="B7870" s="4" t="n">
        <v>44620</v>
      </c>
      <c r="C7870" s="3" t="inlineStr">
        <is>
          <t>Expenses</t>
        </is>
      </c>
      <c r="D7870" s="3" t="inlineStr">
        <is>
          <t>4720/000</t>
        </is>
      </c>
      <c r="E7870" s="3" t="inlineStr">
        <is>
          <t>SDL Contributions</t>
        </is>
      </c>
      <c r="F7870" s="3" t="n">
        <v>414.21</v>
      </c>
      <c r="G7870" s="3" t="n">
        <v>1994.54</v>
      </c>
    </row>
    <row r="7871">
      <c r="A7871" s="3" t="inlineStr">
        <is>
          <t>Trademark Holdings (Pty) Ltd</t>
        </is>
      </c>
      <c r="B7871" s="4" t="n">
        <v>44620</v>
      </c>
      <c r="C7871" s="3" t="inlineStr">
        <is>
          <t>Expenses</t>
        </is>
      </c>
      <c r="D7871" s="3" t="inlineStr">
        <is>
          <t>4720/000</t>
        </is>
      </c>
      <c r="E7871" s="3" t="inlineStr">
        <is>
          <t>SDL Contributions</t>
        </is>
      </c>
      <c r="F7871" s="3" t="n">
        <v>302.98</v>
      </c>
      <c r="G7871" s="3" t="n">
        <v>1846.69</v>
      </c>
    </row>
    <row r="7872">
      <c r="A7872" s="3" t="inlineStr">
        <is>
          <t>Opportunity Global Investment (PTY) LTD</t>
        </is>
      </c>
      <c r="B7872" s="4" t="n">
        <v>44620</v>
      </c>
      <c r="C7872" s="3" t="inlineStr">
        <is>
          <t>Expenses</t>
        </is>
      </c>
      <c r="D7872" s="3" t="inlineStr">
        <is>
          <t>4730/000</t>
        </is>
      </c>
      <c r="E7872" s="3" t="inlineStr">
        <is>
          <t>PAYE Contributions</t>
        </is>
      </c>
      <c r="F7872" s="3" t="n">
        <v>9205.67</v>
      </c>
      <c r="G7872" s="3" t="n">
        <v>111947.72</v>
      </c>
    </row>
    <row r="7873">
      <c r="A7873" s="3" t="inlineStr">
        <is>
          <t>Opportunity Global Sales (PTY) LTD</t>
        </is>
      </c>
      <c r="B7873" s="4" t="n">
        <v>44620</v>
      </c>
      <c r="C7873" s="3" t="inlineStr">
        <is>
          <t>Expenses</t>
        </is>
      </c>
      <c r="D7873" s="3" t="inlineStr">
        <is>
          <t>4730/000</t>
        </is>
      </c>
      <c r="E7873" s="3" t="inlineStr">
        <is>
          <t>PAYE Contributions</t>
        </is>
      </c>
      <c r="F7873" s="3" t="n">
        <v>19507.91</v>
      </c>
      <c r="G7873" s="3" t="n">
        <v>128590.22</v>
      </c>
    </row>
    <row r="7874">
      <c r="A7874" s="3" t="inlineStr">
        <is>
          <t>Opportunity Management Holdings (PTY) LTD</t>
        </is>
      </c>
      <c r="B7874" s="4" t="n">
        <v>44620</v>
      </c>
      <c r="C7874" s="3" t="inlineStr">
        <is>
          <t>Expenses</t>
        </is>
      </c>
      <c r="D7874" s="3" t="inlineStr">
        <is>
          <t>4730/000</t>
        </is>
      </c>
      <c r="E7874" s="3" t="inlineStr">
        <is>
          <t>PAYE Contributions</t>
        </is>
      </c>
      <c r="F7874" s="3" t="n">
        <v>35231.39</v>
      </c>
      <c r="G7874" s="3" t="n">
        <v>183079.91</v>
      </c>
    </row>
    <row r="7875">
      <c r="A7875" s="3" t="inlineStr">
        <is>
          <t>Opportunity Global Investment (PTY) LTD</t>
        </is>
      </c>
      <c r="B7875" s="4" t="n">
        <v>44620</v>
      </c>
      <c r="C7875" s="3" t="inlineStr">
        <is>
          <t>Expenses</t>
        </is>
      </c>
      <c r="D7875" s="3" t="inlineStr">
        <is>
          <t>4740/000</t>
        </is>
      </c>
      <c r="E7875" s="3" t="inlineStr">
        <is>
          <t>SDL Contributions</t>
        </is>
      </c>
      <c r="F7875" s="3" t="n">
        <v>431.1</v>
      </c>
      <c r="G7875" s="3" t="n">
        <v>6554.63</v>
      </c>
    </row>
    <row r="7876">
      <c r="A7876" s="3" t="inlineStr">
        <is>
          <t>Opportunity Global Sales (PTY) LTD</t>
        </is>
      </c>
      <c r="B7876" s="4" t="n">
        <v>44620</v>
      </c>
      <c r="C7876" s="3" t="inlineStr">
        <is>
          <t>Expenses</t>
        </is>
      </c>
      <c r="D7876" s="3" t="inlineStr">
        <is>
          <t>4740/000</t>
        </is>
      </c>
      <c r="E7876" s="3" t="inlineStr">
        <is>
          <t>SDL Contributions</t>
        </is>
      </c>
      <c r="F7876" s="3" t="n">
        <v>1175.56</v>
      </c>
      <c r="G7876" s="3" t="n">
        <v>8009.07</v>
      </c>
    </row>
    <row r="7877">
      <c r="A7877" s="3" t="inlineStr">
        <is>
          <t>Opportunity Management Holdings (PTY) LTD</t>
        </is>
      </c>
      <c r="B7877" s="4" t="n">
        <v>44620</v>
      </c>
      <c r="C7877" s="3" t="inlineStr">
        <is>
          <t>Expenses</t>
        </is>
      </c>
      <c r="D7877" s="3" t="inlineStr">
        <is>
          <t>4740/000</t>
        </is>
      </c>
      <c r="E7877" s="3" t="inlineStr">
        <is>
          <t>UIF Company Contribution</t>
        </is>
      </c>
      <c r="F7877" s="3" t="n">
        <v>1090.98</v>
      </c>
      <c r="G7877" s="3" t="n">
        <v>5706.69</v>
      </c>
    </row>
    <row r="7878">
      <c r="A7878" s="3" t="inlineStr">
        <is>
          <t>Opportunity Management Holdings (PTY) LTD</t>
        </is>
      </c>
      <c r="B7878" s="4" t="n">
        <v>44620</v>
      </c>
      <c r="C7878" s="3" t="inlineStr">
        <is>
          <t>Expenses</t>
        </is>
      </c>
      <c r="D7878" s="3" t="inlineStr">
        <is>
          <t>4741/000</t>
        </is>
      </c>
      <c r="E7878" s="3" t="inlineStr">
        <is>
          <t>UIF Employee Contribution</t>
        </is>
      </c>
      <c r="F7878" s="3" t="n">
        <v>1090.98</v>
      </c>
      <c r="G7878" s="3" t="n">
        <v>5706.69</v>
      </c>
    </row>
    <row r="7879">
      <c r="A7879" s="3" t="inlineStr">
        <is>
          <t>Opportunity Management Holdings (PTY) LTD</t>
        </is>
      </c>
      <c r="B7879" s="4" t="n">
        <v>44620</v>
      </c>
      <c r="C7879" s="3" t="inlineStr">
        <is>
          <t>Expenses</t>
        </is>
      </c>
      <c r="D7879" s="3" t="inlineStr">
        <is>
          <t>4750/000</t>
        </is>
      </c>
      <c r="E7879" s="3" t="inlineStr">
        <is>
          <t>SDL Contribution</t>
        </is>
      </c>
      <c r="F7879" s="3" t="n">
        <v>1878.5</v>
      </c>
      <c r="G7879" s="3" t="n">
        <v>9975.969999999999</v>
      </c>
    </row>
    <row r="7880">
      <c r="A7880" s="3" t="inlineStr">
        <is>
          <t>Noble Shield (Pty) Ltd ta Go Letting</t>
        </is>
      </c>
      <c r="B7880" s="4" t="n">
        <v>44620</v>
      </c>
      <c r="C7880" s="3" t="inlineStr">
        <is>
          <t>Equity</t>
        </is>
      </c>
      <c r="D7880" s="3" t="inlineStr">
        <is>
          <t>5100/000</t>
        </is>
      </c>
      <c r="E7880" s="3" t="inlineStr">
        <is>
          <t>Share Capital</t>
        </is>
      </c>
      <c r="F7880" s="3" t="n">
        <v>0</v>
      </c>
      <c r="G7880" s="3" t="n">
        <v>-1</v>
      </c>
    </row>
    <row r="7881">
      <c r="A7881" s="3" t="inlineStr">
        <is>
          <t>Opportunity Management Holdings (PTY) LTD</t>
        </is>
      </c>
      <c r="B7881" s="4" t="n">
        <v>44620</v>
      </c>
      <c r="C7881" s="3" t="inlineStr">
        <is>
          <t>Equity</t>
        </is>
      </c>
      <c r="D7881" s="3" t="inlineStr">
        <is>
          <t>5100/000</t>
        </is>
      </c>
      <c r="E7881" s="3" t="inlineStr">
        <is>
          <t>Share Capital / Members Contribution</t>
        </is>
      </c>
      <c r="F7881" s="3" t="n">
        <v>0</v>
      </c>
      <c r="G7881" s="3" t="n">
        <v>-120</v>
      </c>
    </row>
    <row r="7882">
      <c r="A7882" s="3" t="inlineStr">
        <is>
          <t>Quinate Consulting (Pty) Ltd</t>
        </is>
      </c>
      <c r="B7882" s="4" t="n">
        <v>44620</v>
      </c>
      <c r="C7882" s="3" t="inlineStr">
        <is>
          <t>Equity</t>
        </is>
      </c>
      <c r="D7882" s="3" t="inlineStr">
        <is>
          <t>5100/000</t>
        </is>
      </c>
      <c r="E7882" s="3" t="inlineStr">
        <is>
          <t>Share Capital / Members Contribution</t>
        </is>
      </c>
      <c r="F7882" s="3" t="n">
        <v>0</v>
      </c>
      <c r="G7882" s="3" t="n">
        <v>-120</v>
      </c>
    </row>
    <row r="7883">
      <c r="A7883" s="3" t="inlineStr">
        <is>
          <t>Trademark Holdings (Pty) Ltd</t>
        </is>
      </c>
      <c r="B7883" s="4" t="n">
        <v>44620</v>
      </c>
      <c r="C7883" s="3" t="inlineStr">
        <is>
          <t>Equity</t>
        </is>
      </c>
      <c r="D7883" s="3" t="inlineStr">
        <is>
          <t>5100/001</t>
        </is>
      </c>
      <c r="E7883" s="3" t="inlineStr">
        <is>
          <t>Share Capital - GFY Investments</t>
        </is>
      </c>
      <c r="F7883" s="3" t="n">
        <v>0</v>
      </c>
      <c r="G7883" s="3" t="n">
        <v>-60</v>
      </c>
    </row>
    <row r="7884">
      <c r="A7884" s="3" t="inlineStr">
        <is>
          <t>Trademark Holdings (Pty) Ltd</t>
        </is>
      </c>
      <c r="B7884" s="4" t="n">
        <v>44620</v>
      </c>
      <c r="C7884" s="3" t="inlineStr">
        <is>
          <t>Equity</t>
        </is>
      </c>
      <c r="D7884" s="3" t="inlineStr">
        <is>
          <t>5100/002</t>
        </is>
      </c>
      <c r="E7884" s="3" t="inlineStr">
        <is>
          <t>Share Capital - Zak Trust</t>
        </is>
      </c>
      <c r="F7884" s="3" t="n">
        <v>0</v>
      </c>
      <c r="G7884" s="3" t="n">
        <v>-60</v>
      </c>
    </row>
    <row r="7885">
      <c r="A7885" s="3" t="inlineStr">
        <is>
          <t>Opportunity Global Investment (PTY) LTD</t>
        </is>
      </c>
      <c r="B7885" s="4" t="n">
        <v>44620</v>
      </c>
      <c r="C7885" s="3" t="inlineStr">
        <is>
          <t>Equity</t>
        </is>
      </c>
      <c r="D7885" s="3" t="inlineStr">
        <is>
          <t>5101/000</t>
        </is>
      </c>
      <c r="E7885" s="3" t="inlineStr">
        <is>
          <t>Share Capital - Ordinary Type A</t>
        </is>
      </c>
      <c r="F7885" s="3" t="n">
        <v>0</v>
      </c>
      <c r="G7885" s="3" t="n">
        <v>-70</v>
      </c>
    </row>
    <row r="7886">
      <c r="A7886" s="3" t="inlineStr">
        <is>
          <t>Opportunity Global Investment (PTY) LTD</t>
        </is>
      </c>
      <c r="B7886" s="4" t="n">
        <v>44620</v>
      </c>
      <c r="C7886" s="3" t="inlineStr">
        <is>
          <t>Equity</t>
        </is>
      </c>
      <c r="D7886" s="3" t="inlineStr">
        <is>
          <t>5102/000</t>
        </is>
      </c>
      <c r="E7886" s="3" t="inlineStr">
        <is>
          <t>Share Capital - Ordinary Type B</t>
        </is>
      </c>
      <c r="F7886" s="3" t="n">
        <v>0</v>
      </c>
      <c r="G7886" s="3" t="n">
        <v>-30</v>
      </c>
    </row>
    <row r="7887">
      <c r="A7887" s="3" t="inlineStr">
        <is>
          <t>Noble Shield (Pty) Ltd ta Go Letting</t>
        </is>
      </c>
      <c r="B7887" s="4" t="n">
        <v>44620</v>
      </c>
      <c r="C7887" s="3" t="inlineStr">
        <is>
          <t>Equity</t>
        </is>
      </c>
      <c r="D7887" s="3" t="inlineStr">
        <is>
          <t>5200/000</t>
        </is>
      </c>
      <c r="E7887" s="3" t="inlineStr">
        <is>
          <t>Retained Earnings / Loss</t>
        </is>
      </c>
      <c r="F7887" s="3" t="n">
        <v>0</v>
      </c>
      <c r="G7887" s="3" t="n">
        <v>-59256.74</v>
      </c>
    </row>
    <row r="7888">
      <c r="A7888" s="3" t="inlineStr">
        <is>
          <t>Opportunity Global Investment (PTY) LTD</t>
        </is>
      </c>
      <c r="B7888" s="4" t="n">
        <v>44620</v>
      </c>
      <c r="C7888" s="3" t="inlineStr">
        <is>
          <t>Equity</t>
        </is>
      </c>
      <c r="D7888" s="3" t="inlineStr">
        <is>
          <t>5200/000</t>
        </is>
      </c>
      <c r="E7888" s="3" t="inlineStr">
        <is>
          <t>Retained Earnings / Loss</t>
        </is>
      </c>
      <c r="F7888" s="3" t="n">
        <v>0</v>
      </c>
      <c r="G7888" s="3" t="n">
        <v>1112750.37</v>
      </c>
    </row>
    <row r="7889">
      <c r="A7889" s="3" t="inlineStr">
        <is>
          <t>Opportunity Global Sales (PTY) LTD</t>
        </is>
      </c>
      <c r="B7889" s="4" t="n">
        <v>44620</v>
      </c>
      <c r="C7889" s="3" t="inlineStr">
        <is>
          <t>Equity</t>
        </is>
      </c>
      <c r="D7889" s="3" t="inlineStr">
        <is>
          <t>5200/000</t>
        </is>
      </c>
      <c r="E7889" s="3" t="inlineStr">
        <is>
          <t>Retained Earnings / Loss</t>
        </is>
      </c>
      <c r="F7889" s="3" t="n">
        <v>0</v>
      </c>
      <c r="G7889" s="3" t="n">
        <v>-1104828.46</v>
      </c>
    </row>
    <row r="7890">
      <c r="A7890" s="3" t="inlineStr">
        <is>
          <t>Opportunity Management Holdings (PTY) LTD</t>
        </is>
      </c>
      <c r="B7890" s="4" t="n">
        <v>44620</v>
      </c>
      <c r="C7890" s="3" t="inlineStr">
        <is>
          <t>Equity</t>
        </is>
      </c>
      <c r="D7890" s="3" t="inlineStr">
        <is>
          <t>5200/000</t>
        </is>
      </c>
      <c r="E7890" s="3" t="inlineStr">
        <is>
          <t>Retained Earnings / Loss</t>
        </is>
      </c>
      <c r="F7890" s="3" t="n">
        <v>0</v>
      </c>
      <c r="G7890" s="3" t="n">
        <v>1435438.74</v>
      </c>
    </row>
    <row r="7891">
      <c r="A7891" s="3" t="inlineStr">
        <is>
          <t>Quinate Consulting (Pty) Ltd</t>
        </is>
      </c>
      <c r="B7891" s="4" t="n">
        <v>44620</v>
      </c>
      <c r="C7891" s="3" t="inlineStr">
        <is>
          <t>Equity</t>
        </is>
      </c>
      <c r="D7891" s="3" t="inlineStr">
        <is>
          <t>5200/000</t>
        </is>
      </c>
      <c r="E7891" s="3" t="inlineStr">
        <is>
          <t>Retained Earnings / Loss</t>
        </is>
      </c>
      <c r="F7891" s="3" t="n">
        <v>0</v>
      </c>
      <c r="G7891" s="3" t="n">
        <v>-557207.66</v>
      </c>
    </row>
    <row r="7892">
      <c r="A7892" s="3" t="inlineStr">
        <is>
          <t>Trademark Holdings (Pty) Ltd</t>
        </is>
      </c>
      <c r="B7892" s="4" t="n">
        <v>44620</v>
      </c>
      <c r="C7892" s="3" t="inlineStr">
        <is>
          <t>Equity</t>
        </is>
      </c>
      <c r="D7892" s="3" t="inlineStr">
        <is>
          <t>5200/000</t>
        </is>
      </c>
      <c r="E7892" s="3" t="inlineStr">
        <is>
          <t>Retained Earnings / Loss</t>
        </is>
      </c>
      <c r="F7892" s="3" t="n">
        <v>0</v>
      </c>
      <c r="G7892" s="3" t="n">
        <v>-150612.02</v>
      </c>
    </row>
    <row r="7893">
      <c r="A7893" s="3" t="inlineStr">
        <is>
          <t>Quinate Consulting (Pty) Ltd</t>
        </is>
      </c>
      <c r="B7893" s="4" t="n">
        <v>44620</v>
      </c>
      <c r="C7893" s="3" t="inlineStr">
        <is>
          <t>Assets</t>
        </is>
      </c>
      <c r="D7893" s="3" t="inlineStr">
        <is>
          <t>5400/011</t>
        </is>
      </c>
      <c r="E7893" s="3" t="inlineStr">
        <is>
          <t>Members Loan - Nick Morgan</t>
        </is>
      </c>
      <c r="F7893" s="3" t="n">
        <v>0</v>
      </c>
      <c r="G7893" s="3" t="n">
        <v>-85743.69</v>
      </c>
    </row>
    <row r="7894">
      <c r="A7894" s="3" t="inlineStr">
        <is>
          <t>Opportunity Management Holdings (PTY) LTD</t>
        </is>
      </c>
      <c r="B7894" s="4" t="n">
        <v>44620</v>
      </c>
      <c r="C7894" s="3" t="inlineStr">
        <is>
          <t>Assets</t>
        </is>
      </c>
      <c r="D7894" s="3" t="inlineStr">
        <is>
          <t>5400/500</t>
        </is>
      </c>
      <c r="E7894" s="3" t="inlineStr">
        <is>
          <t>Shareholder - Zak Loan</t>
        </is>
      </c>
      <c r="F7894" s="3" t="n">
        <v>0</v>
      </c>
      <c r="G7894" s="3" t="n">
        <v>-171798.21</v>
      </c>
    </row>
    <row r="7895">
      <c r="A7895" s="3" t="inlineStr">
        <is>
          <t>Quinate Consulting (Pty) Ltd</t>
        </is>
      </c>
      <c r="B7895" s="4" t="n">
        <v>44620</v>
      </c>
      <c r="C7895" s="3" t="inlineStr">
        <is>
          <t>Liabilities</t>
        </is>
      </c>
      <c r="D7895" s="3" t="inlineStr">
        <is>
          <t>5500/010</t>
        </is>
      </c>
      <c r="E7895" s="3" t="inlineStr">
        <is>
          <t>Loan - Wynand Haywood</t>
        </is>
      </c>
      <c r="F7895" s="3" t="n">
        <v>0</v>
      </c>
      <c r="G7895" s="3" t="n">
        <v>2911.85</v>
      </c>
    </row>
    <row r="7896">
      <c r="A7896" s="3" t="inlineStr">
        <is>
          <t>Quinate Consulting (Pty) Ltd</t>
        </is>
      </c>
      <c r="B7896" s="4" t="n">
        <v>44620</v>
      </c>
      <c r="C7896" s="3" t="inlineStr">
        <is>
          <t>Liabilities</t>
        </is>
      </c>
      <c r="D7896" s="3" t="inlineStr">
        <is>
          <t>5500/023</t>
        </is>
      </c>
      <c r="E7896" s="3" t="inlineStr">
        <is>
          <t>Loan - Noble Shield 1 Security Trust</t>
        </is>
      </c>
      <c r="F7896" s="3" t="n">
        <v>-5543</v>
      </c>
      <c r="G7896" s="3" t="n">
        <v>0</v>
      </c>
    </row>
    <row r="7897">
      <c r="A7897" s="3" t="inlineStr">
        <is>
          <t>Quinate Consulting (Pty) Ltd</t>
        </is>
      </c>
      <c r="B7897" s="4" t="n">
        <v>44620</v>
      </c>
      <c r="C7897" s="3" t="inlineStr">
        <is>
          <t>Liabilities</t>
        </is>
      </c>
      <c r="D7897" s="3" t="inlineStr">
        <is>
          <t>5500/040</t>
        </is>
      </c>
      <c r="E7897" s="3" t="inlineStr">
        <is>
          <t>Loan - Noble Shield Holdings Pty Ltd</t>
        </is>
      </c>
      <c r="F7897" s="3" t="n">
        <v>-15000</v>
      </c>
      <c r="G7897" s="3" t="n">
        <v>-15000</v>
      </c>
    </row>
    <row r="7898">
      <c r="A7898" s="3" t="inlineStr">
        <is>
          <t>Opportunity Global Investment (PTY) LTD</t>
        </is>
      </c>
      <c r="B7898" s="4" t="n">
        <v>44620</v>
      </c>
      <c r="C7898" s="3" t="inlineStr">
        <is>
          <t>Liabilities</t>
        </is>
      </c>
      <c r="D7898" s="3" t="inlineStr">
        <is>
          <t>5500/100</t>
        </is>
      </c>
      <c r="E7898" s="3" t="inlineStr">
        <is>
          <t>Loan - Cape Projects Construction</t>
        </is>
      </c>
      <c r="F7898" s="3" t="n">
        <v>-350000</v>
      </c>
      <c r="G7898" s="3" t="n">
        <v>180000</v>
      </c>
    </row>
    <row r="7899">
      <c r="A7899" s="3" t="inlineStr">
        <is>
          <t>Noble Shield (Pty) Ltd ta Go Letting</t>
        </is>
      </c>
      <c r="B7899" s="4" t="n">
        <v>44620</v>
      </c>
      <c r="C7899" s="3" t="inlineStr">
        <is>
          <t>Liabilities</t>
        </is>
      </c>
      <c r="D7899" s="3" t="inlineStr">
        <is>
          <t>5500/100</t>
        </is>
      </c>
      <c r="E7899" s="3" t="inlineStr">
        <is>
          <t>Loan - Jupiter Trust</t>
        </is>
      </c>
      <c r="F7899" s="3" t="n">
        <v>0</v>
      </c>
      <c r="G7899" s="3" t="n">
        <v>-100228.75</v>
      </c>
    </row>
    <row r="7900">
      <c r="A7900" s="3" t="inlineStr">
        <is>
          <t>Trademark Holdings (Pty) Ltd</t>
        </is>
      </c>
      <c r="B7900" s="4" t="n">
        <v>44620</v>
      </c>
      <c r="C7900" s="3" t="inlineStr">
        <is>
          <t>Liabilities</t>
        </is>
      </c>
      <c r="D7900" s="3" t="inlineStr">
        <is>
          <t>5500/100</t>
        </is>
      </c>
      <c r="E7900" s="3" t="inlineStr">
        <is>
          <t>Loan - Opportunity Global Investments</t>
        </is>
      </c>
      <c r="F7900" s="3" t="n">
        <v>7500</v>
      </c>
      <c r="G7900" s="3" t="n">
        <v>-10500</v>
      </c>
    </row>
    <row r="7901">
      <c r="A7901" s="3" t="inlineStr">
        <is>
          <t>Endulini (Pty) Ltd</t>
        </is>
      </c>
      <c r="B7901" s="4" t="n">
        <v>44620</v>
      </c>
      <c r="C7901" s="3" t="inlineStr">
        <is>
          <t>Liabilities</t>
        </is>
      </c>
      <c r="D7901" s="3" t="inlineStr">
        <is>
          <t>5500/100</t>
        </is>
      </c>
      <c r="E7901" s="3" t="inlineStr">
        <is>
          <t>Loan - Quinate Consulting</t>
        </is>
      </c>
      <c r="F7901" s="3" t="n">
        <v>-844000</v>
      </c>
      <c r="G7901" s="3" t="n">
        <v>-7933761.7</v>
      </c>
    </row>
    <row r="7902">
      <c r="A7902" s="3" t="inlineStr">
        <is>
          <t>Opportunity Global Investment (PTY) LTD</t>
        </is>
      </c>
      <c r="B7902" s="4" t="n">
        <v>44620</v>
      </c>
      <c r="C7902" s="3" t="inlineStr">
        <is>
          <t>Liabilities</t>
        </is>
      </c>
      <c r="D7902" s="3" t="inlineStr">
        <is>
          <t>5500/110</t>
        </is>
      </c>
      <c r="E7902" s="3" t="inlineStr">
        <is>
          <t>Loan - Opportunity Trademark Holdings</t>
        </is>
      </c>
      <c r="F7902" s="3" t="n">
        <v>-7500</v>
      </c>
      <c r="G7902" s="3" t="n">
        <v>10500</v>
      </c>
    </row>
    <row r="7903">
      <c r="A7903" s="3" t="inlineStr">
        <is>
          <t>Opportunity Global Investment (PTY) LTD</t>
        </is>
      </c>
      <c r="B7903" s="4" t="n">
        <v>44620</v>
      </c>
      <c r="C7903" s="3" t="inlineStr">
        <is>
          <t>Liabilities</t>
        </is>
      </c>
      <c r="D7903" s="3" t="inlineStr">
        <is>
          <t>5500/112</t>
        </is>
      </c>
      <c r="E7903" s="3" t="inlineStr">
        <is>
          <t>Loan - GFY</t>
        </is>
      </c>
      <c r="F7903" s="3" t="n">
        <v>0</v>
      </c>
      <c r="G7903" s="3" t="n">
        <v>-289000</v>
      </c>
    </row>
    <row r="7904">
      <c r="A7904" s="3" t="inlineStr">
        <is>
          <t>Opportunity Management Holdings (PTY) LTD</t>
        </is>
      </c>
      <c r="B7904" s="4" t="n">
        <v>44620</v>
      </c>
      <c r="C7904" s="3" t="inlineStr">
        <is>
          <t>Liabilities</t>
        </is>
      </c>
      <c r="D7904" s="3" t="inlineStr">
        <is>
          <t>5500/150</t>
        </is>
      </c>
      <c r="E7904" s="3" t="inlineStr">
        <is>
          <t>Loan - Opportunity Investments</t>
        </is>
      </c>
      <c r="F7904" s="3" t="n">
        <v>5000</v>
      </c>
      <c r="G7904" s="3" t="n">
        <v>55000</v>
      </c>
    </row>
    <row r="7905">
      <c r="A7905" s="3" t="inlineStr">
        <is>
          <t>Quinate Consulting (Pty) Ltd</t>
        </is>
      </c>
      <c r="B7905" s="4" t="n">
        <v>44620</v>
      </c>
      <c r="C7905" s="3" t="inlineStr">
        <is>
          <t>Liabilities</t>
        </is>
      </c>
      <c r="D7905" s="3" t="inlineStr">
        <is>
          <t>5500/160</t>
        </is>
      </c>
      <c r="E7905" s="3" t="inlineStr">
        <is>
          <t>Loan - GFY Investment and Consulting</t>
        </is>
      </c>
      <c r="F7905" s="3" t="n">
        <v>-109994.48</v>
      </c>
      <c r="G7905" s="3" t="n">
        <v>-1751190</v>
      </c>
    </row>
    <row r="7906">
      <c r="A7906" s="3" t="inlineStr">
        <is>
          <t>Opportunity Management Holdings (PTY) LTD</t>
        </is>
      </c>
      <c r="B7906" s="4" t="n">
        <v>44620</v>
      </c>
      <c r="C7906" s="3" t="inlineStr">
        <is>
          <t>Liabilities</t>
        </is>
      </c>
      <c r="D7906" s="3" t="inlineStr">
        <is>
          <t>5500/200</t>
        </is>
      </c>
      <c r="E7906" s="3" t="inlineStr">
        <is>
          <t>Loan - Cape Projects</t>
        </is>
      </c>
      <c r="F7906" s="3" t="n">
        <v>-23766.95</v>
      </c>
      <c r="G7906" s="3" t="n">
        <v>25233.05</v>
      </c>
    </row>
    <row r="7907">
      <c r="A7907" s="3" t="inlineStr">
        <is>
          <t>Endulini (Pty) Ltd</t>
        </is>
      </c>
      <c r="B7907" s="4" t="n">
        <v>44620</v>
      </c>
      <c r="C7907" s="3" t="inlineStr">
        <is>
          <t>Liabilities</t>
        </is>
      </c>
      <c r="D7907" s="3" t="inlineStr">
        <is>
          <t>5500/250</t>
        </is>
      </c>
      <c r="E7907" s="3" t="inlineStr">
        <is>
          <t>Loan - Heron Projects</t>
        </is>
      </c>
      <c r="F7907" s="3" t="n">
        <v>0</v>
      </c>
      <c r="G7907" s="3" t="n">
        <v>4240.63</v>
      </c>
    </row>
    <row r="7908">
      <c r="A7908" s="3" t="inlineStr">
        <is>
          <t>Trademark Holdings (Pty) Ltd</t>
        </is>
      </c>
      <c r="B7908" s="4" t="n">
        <v>44620</v>
      </c>
      <c r="C7908" s="3" t="inlineStr">
        <is>
          <t>Liabilities</t>
        </is>
      </c>
      <c r="D7908" s="3" t="inlineStr">
        <is>
          <t>5500/250</t>
        </is>
      </c>
      <c r="E7908" s="3" t="inlineStr">
        <is>
          <t>Loan - Noble Shield</t>
        </is>
      </c>
      <c r="F7908" s="3" t="n">
        <v>10000</v>
      </c>
      <c r="G7908" s="3" t="n">
        <v>78165.59</v>
      </c>
    </row>
    <row r="7909">
      <c r="A7909" s="3" t="inlineStr">
        <is>
          <t>Opportunity Management Holdings (PTY) LTD</t>
        </is>
      </c>
      <c r="B7909" s="4" t="n">
        <v>44620</v>
      </c>
      <c r="C7909" s="3" t="inlineStr">
        <is>
          <t>Liabilities</t>
        </is>
      </c>
      <c r="D7909" s="3" t="inlineStr">
        <is>
          <t>5500/250</t>
        </is>
      </c>
      <c r="E7909" s="3" t="inlineStr">
        <is>
          <t>Loan - Quinate</t>
        </is>
      </c>
      <c r="F7909" s="3" t="n">
        <v>-17661.5</v>
      </c>
      <c r="G7909" s="3" t="n">
        <v>0</v>
      </c>
    </row>
    <row r="7910">
      <c r="A7910" s="3" t="inlineStr">
        <is>
          <t>Quinate Consulting (Pty) Ltd</t>
        </is>
      </c>
      <c r="B7910" s="4" t="n">
        <v>44620</v>
      </c>
      <c r="C7910" s="3" t="inlineStr">
        <is>
          <t>Liabilities</t>
        </is>
      </c>
      <c r="D7910" s="3" t="inlineStr">
        <is>
          <t>5500/300</t>
        </is>
      </c>
      <c r="E7910" s="3" t="inlineStr">
        <is>
          <t>Loan - Gengis</t>
        </is>
      </c>
      <c r="F7910" s="3" t="n">
        <v>-4438.36</v>
      </c>
      <c r="G7910" s="3" t="n">
        <v>-134816.44</v>
      </c>
    </row>
    <row r="7911">
      <c r="A7911" s="3" t="inlineStr">
        <is>
          <t>Opportunity Management Holdings (PTY) LTD</t>
        </is>
      </c>
      <c r="B7911" s="4" t="n">
        <v>44620</v>
      </c>
      <c r="C7911" s="3" t="inlineStr">
        <is>
          <t>Liabilities</t>
        </is>
      </c>
      <c r="D7911" s="3" t="inlineStr">
        <is>
          <t>5500/300</t>
        </is>
      </c>
      <c r="E7911" s="3" t="inlineStr">
        <is>
          <t>Loan - Opportunity Prop Management</t>
        </is>
      </c>
      <c r="F7911" s="3" t="n">
        <v>0</v>
      </c>
      <c r="G7911" s="3" t="n">
        <v>-1220204.15</v>
      </c>
    </row>
    <row r="7912">
      <c r="A7912" s="3" t="inlineStr">
        <is>
          <t>Noble Shield (Pty) Ltd ta Go Letting</t>
        </is>
      </c>
      <c r="B7912" s="4" t="n">
        <v>44620</v>
      </c>
      <c r="C7912" s="3" t="inlineStr">
        <is>
          <t>Liabilities</t>
        </is>
      </c>
      <c r="D7912" s="3" t="inlineStr">
        <is>
          <t>5500/300</t>
        </is>
      </c>
      <c r="E7912" s="3" t="inlineStr">
        <is>
          <t>Loan - Trademark Holdings</t>
        </is>
      </c>
      <c r="F7912" s="3" t="n">
        <v>-10000</v>
      </c>
      <c r="G7912" s="3" t="n">
        <v>-78165.59</v>
      </c>
    </row>
    <row r="7913">
      <c r="A7913" s="3" t="inlineStr">
        <is>
          <t>Opportunity Global Investment (PTY) LTD</t>
        </is>
      </c>
      <c r="B7913" s="4" t="n">
        <v>44620</v>
      </c>
      <c r="C7913" s="3" t="inlineStr">
        <is>
          <t>Liabilities</t>
        </is>
      </c>
      <c r="D7913" s="3" t="inlineStr">
        <is>
          <t>5500/350</t>
        </is>
      </c>
      <c r="E7913" s="3" t="inlineStr">
        <is>
          <t>Loan - Opportunity Management Holdings</t>
        </is>
      </c>
      <c r="F7913" s="3" t="n">
        <v>-5000</v>
      </c>
      <c r="G7913" s="3" t="n">
        <v>-55000</v>
      </c>
    </row>
    <row r="7914">
      <c r="A7914" s="3" t="inlineStr">
        <is>
          <t>Noble Shield (Pty) Ltd ta Go Letting</t>
        </is>
      </c>
      <c r="B7914" s="4" t="n">
        <v>44620</v>
      </c>
      <c r="C7914" s="3" t="inlineStr">
        <is>
          <t>Liabilities</t>
        </is>
      </c>
      <c r="D7914" s="3" t="inlineStr">
        <is>
          <t>5500/350</t>
        </is>
      </c>
      <c r="E7914" s="3" t="inlineStr">
        <is>
          <t>Loan - Quinate Consulting</t>
        </is>
      </c>
      <c r="F7914" s="3" t="n">
        <v>15000</v>
      </c>
      <c r="G7914" s="3" t="n">
        <v>15000</v>
      </c>
    </row>
    <row r="7915">
      <c r="A7915" s="3" t="inlineStr">
        <is>
          <t>Trademark Holdings (Pty) Ltd</t>
        </is>
      </c>
      <c r="B7915" s="4" t="n">
        <v>44620</v>
      </c>
      <c r="C7915" s="3" t="inlineStr">
        <is>
          <t>Liabilities</t>
        </is>
      </c>
      <c r="D7915" s="3" t="inlineStr">
        <is>
          <t>5500/350</t>
        </is>
      </c>
      <c r="E7915" s="3" t="inlineStr">
        <is>
          <t>Loan - Quinate Consulting</t>
        </is>
      </c>
      <c r="F7915" s="3" t="n">
        <v>15000</v>
      </c>
      <c r="G7915" s="3" t="n">
        <v>18635</v>
      </c>
    </row>
    <row r="7916">
      <c r="A7916" s="3" t="inlineStr">
        <is>
          <t>Trademark Holdings (Pty) Ltd</t>
        </is>
      </c>
      <c r="B7916" s="4" t="n">
        <v>44620</v>
      </c>
      <c r="C7916" s="3" t="inlineStr">
        <is>
          <t>Liabilities</t>
        </is>
      </c>
      <c r="D7916" s="3" t="inlineStr">
        <is>
          <t>5500/375</t>
        </is>
      </c>
      <c r="E7916" s="3" t="inlineStr">
        <is>
          <t>Loan - Opportunity Management Holdings Pty Ltd</t>
        </is>
      </c>
      <c r="F7916" s="3" t="n">
        <v>-25445</v>
      </c>
      <c r="G7916" s="3" t="n">
        <v>-50890</v>
      </c>
    </row>
    <row r="7917">
      <c r="A7917" s="3" t="inlineStr">
        <is>
          <t>Noble Shield (Pty) Ltd ta Go Letting</t>
        </is>
      </c>
      <c r="B7917" s="4" t="n">
        <v>44620</v>
      </c>
      <c r="C7917" s="3" t="inlineStr">
        <is>
          <t>Liabilities</t>
        </is>
      </c>
      <c r="D7917" s="3" t="inlineStr">
        <is>
          <t>5500/400</t>
        </is>
      </c>
      <c r="E7917" s="3" t="inlineStr">
        <is>
          <t>Loan - Opportunity Investment</t>
        </is>
      </c>
      <c r="F7917" s="3" t="n">
        <v>7500</v>
      </c>
      <c r="G7917" s="3" t="n">
        <v>7500</v>
      </c>
    </row>
    <row r="7918">
      <c r="A7918" s="3" t="inlineStr">
        <is>
          <t>Trademark Holdings (Pty) Ltd</t>
        </is>
      </c>
      <c r="B7918" s="4" t="n">
        <v>44620</v>
      </c>
      <c r="C7918" s="3" t="inlineStr">
        <is>
          <t>Liabilities</t>
        </is>
      </c>
      <c r="D7918" s="3" t="inlineStr">
        <is>
          <t>5500/450</t>
        </is>
      </c>
      <c r="E7918" s="3" t="inlineStr">
        <is>
          <t>Loan - Cape Projects Construction</t>
        </is>
      </c>
      <c r="F7918" s="3" t="n">
        <v>-3800</v>
      </c>
      <c r="G7918" s="3" t="n">
        <v>29400</v>
      </c>
    </row>
    <row r="7919">
      <c r="A7919" s="3" t="inlineStr">
        <is>
          <t>Trademark Holdings (Pty) Ltd</t>
        </is>
      </c>
      <c r="B7919" s="4" t="n">
        <v>44620</v>
      </c>
      <c r="C7919" s="3" t="inlineStr">
        <is>
          <t>Liabilities</t>
        </is>
      </c>
      <c r="D7919" s="3" t="inlineStr">
        <is>
          <t>5500/500</t>
        </is>
      </c>
      <c r="E7919" s="3" t="inlineStr">
        <is>
          <t>Go Letting Brand Name</t>
        </is>
      </c>
      <c r="F7919" s="3" t="n">
        <v>0</v>
      </c>
      <c r="G7919" s="3" t="n">
        <v>93420</v>
      </c>
    </row>
    <row r="7920">
      <c r="A7920" s="3" t="inlineStr">
        <is>
          <t>Noble Shield (Pty) Ltd ta Go Letting</t>
        </is>
      </c>
      <c r="B7920" s="4" t="n">
        <v>44620</v>
      </c>
      <c r="C7920" s="3" t="inlineStr">
        <is>
          <t>Liabilities</t>
        </is>
      </c>
      <c r="D7920" s="3" t="inlineStr">
        <is>
          <t>5500/500</t>
        </is>
      </c>
      <c r="E7920" s="3" t="inlineStr">
        <is>
          <t>Loan - Cape Projects Construction</t>
        </is>
      </c>
      <c r="F7920" s="3" t="n">
        <v>-3800</v>
      </c>
      <c r="G7920" s="3" t="n">
        <v>-600</v>
      </c>
    </row>
    <row r="7921">
      <c r="A7921" s="3" t="inlineStr">
        <is>
          <t>Quinate Consulting (Pty) Ltd</t>
        </is>
      </c>
      <c r="B7921" s="4" t="n">
        <v>44620</v>
      </c>
      <c r="C7921" s="3" t="inlineStr">
        <is>
          <t>Liabilities</t>
        </is>
      </c>
      <c r="D7921" s="3" t="inlineStr">
        <is>
          <t>5500/500</t>
        </is>
      </c>
      <c r="E7921" s="3" t="inlineStr">
        <is>
          <t>Loan - Opportunity Development Struct.</t>
        </is>
      </c>
      <c r="F7921" s="3" t="n">
        <v>1852608.63</v>
      </c>
      <c r="G7921" s="3" t="n">
        <v>0</v>
      </c>
    </row>
    <row r="7922">
      <c r="A7922" s="3" t="inlineStr">
        <is>
          <t>Opportunity Management Holdings (PTY) LTD</t>
        </is>
      </c>
      <c r="B7922" s="4" t="n">
        <v>44620</v>
      </c>
      <c r="C7922" s="3" t="inlineStr">
        <is>
          <t>Liabilities</t>
        </is>
      </c>
      <c r="D7922" s="3" t="inlineStr">
        <is>
          <t>5500/500</t>
        </is>
      </c>
      <c r="E7922" s="3" t="inlineStr">
        <is>
          <t>Loan - Opportunity Tradermark Holdings</t>
        </is>
      </c>
      <c r="F7922" s="3" t="n">
        <v>25445</v>
      </c>
      <c r="G7922" s="3" t="n">
        <v>50890</v>
      </c>
    </row>
    <row r="7923">
      <c r="A7923" s="3" t="inlineStr">
        <is>
          <t>Quinate Consulting (Pty) Ltd</t>
        </is>
      </c>
      <c r="B7923" s="4" t="n">
        <v>44620</v>
      </c>
      <c r="C7923" s="3" t="inlineStr">
        <is>
          <t>Liabilities</t>
        </is>
      </c>
      <c r="D7923" s="3" t="inlineStr">
        <is>
          <t>5500/520</t>
        </is>
      </c>
      <c r="E7923" s="3" t="inlineStr">
        <is>
          <t>Loan - Opportunity Management Holdings</t>
        </is>
      </c>
      <c r="F7923" s="3" t="n">
        <v>17661.5</v>
      </c>
      <c r="G7923" s="3" t="n">
        <v>-3900</v>
      </c>
    </row>
    <row r="7924">
      <c r="A7924" s="3" t="inlineStr">
        <is>
          <t>Opportunity Global Investment (PTY) LTD</t>
        </is>
      </c>
      <c r="B7924" s="4" t="n">
        <v>44620</v>
      </c>
      <c r="C7924" s="3" t="inlineStr">
        <is>
          <t>Liabilities</t>
        </is>
      </c>
      <c r="D7924" s="3" t="inlineStr">
        <is>
          <t>5500/550</t>
        </is>
      </c>
      <c r="E7924" s="3" t="inlineStr">
        <is>
          <t>Loan - Noble Shield</t>
        </is>
      </c>
      <c r="F7924" s="3" t="n">
        <v>-7500</v>
      </c>
      <c r="G7924" s="3" t="n">
        <v>-7500</v>
      </c>
    </row>
    <row r="7925">
      <c r="A7925" s="3" t="inlineStr">
        <is>
          <t>Opportunity Global Investment (PTY) LTD</t>
        </is>
      </c>
      <c r="B7925" s="4" t="n">
        <v>44620</v>
      </c>
      <c r="C7925" s="3" t="inlineStr">
        <is>
          <t>Liabilities</t>
        </is>
      </c>
      <c r="D7925" s="3" t="inlineStr">
        <is>
          <t>5500/650</t>
        </is>
      </c>
      <c r="E7925" s="3" t="inlineStr">
        <is>
          <t>Loan - Opportunit Global - Sales</t>
        </is>
      </c>
      <c r="F7925" s="3" t="n">
        <v>20000</v>
      </c>
      <c r="G7925" s="3" t="n">
        <v>-481265.61</v>
      </c>
    </row>
    <row r="7926">
      <c r="A7926" s="3" t="inlineStr">
        <is>
          <t>Opportunity Global Sales (PTY) LTD</t>
        </is>
      </c>
      <c r="B7926" s="4" t="n">
        <v>44620</v>
      </c>
      <c r="C7926" s="3" t="inlineStr">
        <is>
          <t>Liabilities</t>
        </is>
      </c>
      <c r="D7926" s="3" t="inlineStr">
        <is>
          <t>5500/650</t>
        </is>
      </c>
      <c r="E7926" s="3" t="inlineStr">
        <is>
          <t>Loan - Opportunity Investments</t>
        </is>
      </c>
      <c r="F7926" s="3" t="n">
        <v>-20000</v>
      </c>
      <c r="G7926" s="3" t="n">
        <v>481265.61</v>
      </c>
    </row>
    <row r="7927">
      <c r="A7927" s="3" t="inlineStr">
        <is>
          <t>Opportunity Management Holdings (PTY) LTD</t>
        </is>
      </c>
      <c r="B7927" s="4" t="n">
        <v>44620</v>
      </c>
      <c r="C7927" s="3" t="inlineStr">
        <is>
          <t>Liabilities</t>
        </is>
      </c>
      <c r="D7927" s="3" t="inlineStr">
        <is>
          <t>5500/700</t>
        </is>
      </c>
      <c r="E7927" s="3" t="inlineStr">
        <is>
          <t>Loan - Go Letting</t>
        </is>
      </c>
      <c r="F7927" s="3" t="n">
        <v>0</v>
      </c>
      <c r="G7927" s="3" t="n">
        <v>-120</v>
      </c>
    </row>
    <row r="7928">
      <c r="A7928" s="3" t="inlineStr">
        <is>
          <t>Quinate Consulting (Pty) Ltd</t>
        </is>
      </c>
      <c r="B7928" s="4" t="n">
        <v>44620</v>
      </c>
      <c r="C7928" s="3" t="inlineStr">
        <is>
          <t>Liabilities</t>
        </is>
      </c>
      <c r="D7928" s="3" t="inlineStr">
        <is>
          <t>5500/700</t>
        </is>
      </c>
      <c r="E7928" s="3" t="inlineStr">
        <is>
          <t>Loan - Trademark Holdings</t>
        </is>
      </c>
      <c r="F7928" s="3" t="n">
        <v>-15000</v>
      </c>
      <c r="G7928" s="3" t="n">
        <v>-18635</v>
      </c>
    </row>
    <row r="7929">
      <c r="A7929" s="3" t="inlineStr">
        <is>
          <t>Opportunity Global Investment (PTY) LTD</t>
        </is>
      </c>
      <c r="B7929" s="4" t="n">
        <v>44620</v>
      </c>
      <c r="C7929" s="3" t="inlineStr">
        <is>
          <t>Liabilities</t>
        </is>
      </c>
      <c r="D7929" s="3" t="inlineStr">
        <is>
          <t>5500/850</t>
        </is>
      </c>
      <c r="E7929" s="3" t="inlineStr">
        <is>
          <t>Loan - Nick Morgan</t>
        </is>
      </c>
      <c r="F7929" s="3" t="n">
        <v>0</v>
      </c>
      <c r="G7929" s="3" t="n">
        <v>4100</v>
      </c>
    </row>
    <row r="7930">
      <c r="A7930" s="3" t="inlineStr">
        <is>
          <t>Opportunity Global Investment (PTY) LTD</t>
        </is>
      </c>
      <c r="B7930" s="4" t="n">
        <v>44620</v>
      </c>
      <c r="C7930" s="3" t="inlineStr">
        <is>
          <t>Liabilities</t>
        </is>
      </c>
      <c r="D7930" s="3" t="inlineStr">
        <is>
          <t>5500/950</t>
        </is>
      </c>
      <c r="E7930" s="3" t="inlineStr">
        <is>
          <t>Loan - Gengis</t>
        </is>
      </c>
      <c r="F7930" s="3" t="n">
        <v>0</v>
      </c>
      <c r="G7930" s="3" t="n">
        <v>-120000</v>
      </c>
    </row>
    <row r="7931">
      <c r="A7931" s="3" t="inlineStr">
        <is>
          <t>Opportunity Global Sales (PTY) LTD</t>
        </is>
      </c>
      <c r="B7931" s="4" t="n">
        <v>44620</v>
      </c>
      <c r="C7931" s="3" t="inlineStr">
        <is>
          <t>Liabilities</t>
        </is>
      </c>
      <c r="D7931" s="3" t="inlineStr">
        <is>
          <t>5500/991</t>
        </is>
      </c>
      <c r="E7931" s="3" t="inlineStr">
        <is>
          <t>Loan - Minette Commission</t>
        </is>
      </c>
      <c r="F7931" s="3" t="n">
        <v>-21340.87</v>
      </c>
      <c r="G7931" s="3" t="n">
        <v>0</v>
      </c>
    </row>
    <row r="7932">
      <c r="A7932" s="3" t="inlineStr">
        <is>
          <t>Opportunity Global Sales (PTY) LTD</t>
        </is>
      </c>
      <c r="B7932" s="4" t="n">
        <v>44620</v>
      </c>
      <c r="C7932" s="3" t="inlineStr">
        <is>
          <t>Liabilities</t>
        </is>
      </c>
      <c r="D7932" s="3" t="inlineStr">
        <is>
          <t>5500/992</t>
        </is>
      </c>
      <c r="E7932" s="3" t="inlineStr">
        <is>
          <t>Loan - Anthony Commission</t>
        </is>
      </c>
      <c r="F7932" s="3" t="n">
        <v>0</v>
      </c>
      <c r="G7932" s="3" t="n">
        <v>15000</v>
      </c>
    </row>
    <row r="7933">
      <c r="A7933" s="3" t="inlineStr">
        <is>
          <t>Quinate Consulting (Pty) Ltd</t>
        </is>
      </c>
      <c r="B7933" s="4" t="n">
        <v>44620</v>
      </c>
      <c r="C7933" s="3" t="inlineStr">
        <is>
          <t>Liabilities</t>
        </is>
      </c>
      <c r="D7933" s="3" t="inlineStr">
        <is>
          <t>5501/001</t>
        </is>
      </c>
      <c r="E7933" s="3" t="inlineStr">
        <is>
          <t>Loan - Endulini CIP Costs</t>
        </is>
      </c>
      <c r="F7933" s="3" t="n">
        <v>814000</v>
      </c>
      <c r="G7933" s="3" t="n">
        <v>7933761.7</v>
      </c>
    </row>
    <row r="7934">
      <c r="A7934" s="3" t="inlineStr">
        <is>
          <t>Opportunity Management Holdings (PTY) LTD</t>
        </is>
      </c>
      <c r="B7934" s="4" t="n">
        <v>44620</v>
      </c>
      <c r="C7934" s="3" t="inlineStr">
        <is>
          <t>Liabilities</t>
        </is>
      </c>
      <c r="D7934" s="3" t="inlineStr">
        <is>
          <t>5510/100</t>
        </is>
      </c>
      <c r="E7934" s="3" t="inlineStr">
        <is>
          <t>Staff loan - Debbie Landsberg</t>
        </is>
      </c>
      <c r="F7934" s="3" t="n">
        <v>0</v>
      </c>
      <c r="G7934" s="3" t="n">
        <v>14400</v>
      </c>
    </row>
    <row r="7935">
      <c r="A7935" s="3" t="inlineStr">
        <is>
          <t>Noble Shield (Pty) Ltd ta Go Letting</t>
        </is>
      </c>
      <c r="B7935" s="4" t="n">
        <v>44620</v>
      </c>
      <c r="C7935" s="3" t="inlineStr">
        <is>
          <t>Assets</t>
        </is>
      </c>
      <c r="D7935" s="3" t="inlineStr">
        <is>
          <t>6250/010</t>
        </is>
      </c>
      <c r="E7935" s="3" t="inlineStr">
        <is>
          <t>Computer Equipment - @ Cost</t>
        </is>
      </c>
      <c r="F7935" s="3" t="n">
        <v>0</v>
      </c>
      <c r="G7935" s="3" t="n">
        <v>20397</v>
      </c>
    </row>
    <row r="7936">
      <c r="A7936" s="3" t="inlineStr">
        <is>
          <t>Opportunity Management Holdings (PTY) LTD</t>
        </is>
      </c>
      <c r="B7936" s="4" t="n">
        <v>44620</v>
      </c>
      <c r="C7936" s="3" t="inlineStr">
        <is>
          <t>Assets</t>
        </is>
      </c>
      <c r="D7936" s="3" t="inlineStr">
        <is>
          <t>6250/010</t>
        </is>
      </c>
      <c r="E7936" s="3" t="inlineStr">
        <is>
          <t>Computer Equipment - @ Cost</t>
        </is>
      </c>
      <c r="F7936" s="3" t="n">
        <v>0</v>
      </c>
      <c r="G7936" s="3" t="n">
        <v>14911.4</v>
      </c>
    </row>
    <row r="7937">
      <c r="A7937" s="3" t="inlineStr">
        <is>
          <t>Quinate Consulting (Pty) Ltd</t>
        </is>
      </c>
      <c r="B7937" s="4" t="n">
        <v>44620</v>
      </c>
      <c r="C7937" s="3" t="inlineStr">
        <is>
          <t>Assets</t>
        </is>
      </c>
      <c r="D7937" s="3" t="inlineStr">
        <is>
          <t>6250/010</t>
        </is>
      </c>
      <c r="E7937" s="3" t="inlineStr">
        <is>
          <t>Computer Equipment - @ Cost</t>
        </is>
      </c>
      <c r="F7937" s="3" t="n">
        <v>32560</v>
      </c>
      <c r="G7937" s="3" t="n">
        <v>137059.7</v>
      </c>
    </row>
    <row r="7938">
      <c r="A7938" s="3" t="inlineStr">
        <is>
          <t>Noble Shield (Pty) Ltd ta Go Letting</t>
        </is>
      </c>
      <c r="B7938" s="4" t="n">
        <v>44620</v>
      </c>
      <c r="C7938" s="3" t="inlineStr">
        <is>
          <t>Assets</t>
        </is>
      </c>
      <c r="D7938" s="3" t="inlineStr">
        <is>
          <t>6250/020</t>
        </is>
      </c>
      <c r="E7938" s="3" t="inlineStr">
        <is>
          <t>Computer Equipment - Accum Depre</t>
        </is>
      </c>
      <c r="F7938" s="3" t="n">
        <v>0</v>
      </c>
      <c r="G7938" s="3" t="n">
        <v>-9498</v>
      </c>
    </row>
    <row r="7939">
      <c r="A7939" s="3" t="inlineStr">
        <is>
          <t>Quinate Consulting (Pty) Ltd</t>
        </is>
      </c>
      <c r="B7939" s="4" t="n">
        <v>44620</v>
      </c>
      <c r="C7939" s="3" t="inlineStr">
        <is>
          <t>Assets</t>
        </is>
      </c>
      <c r="D7939" s="3" t="inlineStr">
        <is>
          <t>6250/020</t>
        </is>
      </c>
      <c r="E7939" s="3" t="inlineStr">
        <is>
          <t>Computer Equipment - Accum Depre</t>
        </is>
      </c>
      <c r="F7939" s="3" t="n">
        <v>-6710.82</v>
      </c>
      <c r="G7939" s="3" t="n">
        <v>-62296.69</v>
      </c>
    </row>
    <row r="7940">
      <c r="A7940" s="3" t="inlineStr">
        <is>
          <t>Opportunity Management Holdings (PTY) LTD</t>
        </is>
      </c>
      <c r="B7940" s="4" t="n">
        <v>44620</v>
      </c>
      <c r="C7940" s="3" t="inlineStr">
        <is>
          <t>Assets</t>
        </is>
      </c>
      <c r="D7940" s="3" t="inlineStr">
        <is>
          <t>6250/030</t>
        </is>
      </c>
      <c r="E7940" s="3" t="inlineStr">
        <is>
          <t>Acc Depreciation - Computer Equipment</t>
        </is>
      </c>
      <c r="F7940" s="3" t="n">
        <v>0</v>
      </c>
      <c r="G7940" s="3" t="n">
        <v>-9441.25</v>
      </c>
    </row>
    <row r="7941">
      <c r="A7941" s="3" t="inlineStr">
        <is>
          <t>Quinate Consulting (Pty) Ltd</t>
        </is>
      </c>
      <c r="B7941" s="4" t="n">
        <v>44620</v>
      </c>
      <c r="C7941" s="3" t="inlineStr">
        <is>
          <t>Assets</t>
        </is>
      </c>
      <c r="D7941" s="3" t="inlineStr">
        <is>
          <t>6270/010</t>
        </is>
      </c>
      <c r="E7941" s="3" t="inlineStr">
        <is>
          <t>Site Containers - @ Cost</t>
        </is>
      </c>
      <c r="F7941" s="3" t="n">
        <v>0</v>
      </c>
      <c r="G7941" s="3" t="n">
        <v>19130.44</v>
      </c>
    </row>
    <row r="7942">
      <c r="A7942" s="3" t="inlineStr">
        <is>
          <t>Quinate Consulting (Pty) Ltd</t>
        </is>
      </c>
      <c r="B7942" s="4" t="n">
        <v>44620</v>
      </c>
      <c r="C7942" s="3" t="inlineStr">
        <is>
          <t>Assets</t>
        </is>
      </c>
      <c r="D7942" s="3" t="inlineStr">
        <is>
          <t>6270/020</t>
        </is>
      </c>
      <c r="E7942" s="3" t="inlineStr">
        <is>
          <t>Site Containers - Accum Depre</t>
        </is>
      </c>
      <c r="F7942" s="3" t="n">
        <v>-956.52</v>
      </c>
      <c r="G7942" s="3" t="n">
        <v>-3826.08</v>
      </c>
    </row>
    <row r="7943">
      <c r="A7943" s="3" t="inlineStr">
        <is>
          <t>Noble Shield (Pty) Ltd ta Go Letting</t>
        </is>
      </c>
      <c r="B7943" s="4" t="n">
        <v>44620</v>
      </c>
      <c r="C7943" s="3" t="inlineStr">
        <is>
          <t>Assets</t>
        </is>
      </c>
      <c r="D7943" s="3" t="inlineStr">
        <is>
          <t>6350/010</t>
        </is>
      </c>
      <c r="E7943" s="3" t="inlineStr">
        <is>
          <t>Furniture _AND_ Fittings - @ Cost</t>
        </is>
      </c>
      <c r="F7943" s="3" t="n">
        <v>0</v>
      </c>
      <c r="G7943" s="3" t="n">
        <v>2242</v>
      </c>
    </row>
    <row r="7944">
      <c r="A7944" s="3" t="inlineStr">
        <is>
          <t>Noble Shield (Pty) Ltd ta Go Letting</t>
        </is>
      </c>
      <c r="B7944" s="4" t="n">
        <v>44620</v>
      </c>
      <c r="C7944" s="3" t="inlineStr">
        <is>
          <t>Assets</t>
        </is>
      </c>
      <c r="D7944" s="3" t="inlineStr">
        <is>
          <t>6350/020</t>
        </is>
      </c>
      <c r="E7944" s="3" t="inlineStr">
        <is>
          <t>Furniture _AND_ Fittings - Accum Depre</t>
        </is>
      </c>
      <c r="F7944" s="3" t="n">
        <v>0</v>
      </c>
      <c r="G7944" s="3" t="n">
        <v>-2239</v>
      </c>
    </row>
    <row r="7945">
      <c r="A7945" s="3" t="inlineStr">
        <is>
          <t>Opportunity Management Holdings (PTY) LTD</t>
        </is>
      </c>
      <c r="B7945" s="4" t="n">
        <v>44620</v>
      </c>
      <c r="C7945" s="3" t="inlineStr">
        <is>
          <t>Liabilities</t>
        </is>
      </c>
      <c r="D7945" s="3" t="inlineStr">
        <is>
          <t>6500/000</t>
        </is>
      </c>
      <c r="E7945" s="3" t="inlineStr">
        <is>
          <t>Deposits - Held</t>
        </is>
      </c>
      <c r="F7945" s="3" t="n">
        <v>0</v>
      </c>
      <c r="G7945" s="3" t="n">
        <v>-12028.1</v>
      </c>
    </row>
    <row r="7946">
      <c r="A7946" s="3" t="inlineStr">
        <is>
          <t>Opportunity Management Holdings (PTY) LTD</t>
        </is>
      </c>
      <c r="B7946" s="4" t="n">
        <v>44620</v>
      </c>
      <c r="C7946" s="3" t="inlineStr">
        <is>
          <t>Liabilities</t>
        </is>
      </c>
      <c r="D7946" s="3" t="inlineStr">
        <is>
          <t>6510/000</t>
        </is>
      </c>
      <c r="E7946" s="3" t="inlineStr">
        <is>
          <t>Deposits Paid - Anicol Properties</t>
        </is>
      </c>
      <c r="F7946" s="3" t="n">
        <v>0</v>
      </c>
      <c r="G7946" s="3" t="n">
        <v>13755</v>
      </c>
    </row>
    <row r="7947">
      <c r="A7947" s="3" t="inlineStr">
        <is>
          <t>Opportunity Management Holdings (PTY) LTD</t>
        </is>
      </c>
      <c r="B7947" s="4" t="n">
        <v>44620</v>
      </c>
      <c r="C7947" s="3" t="inlineStr">
        <is>
          <t>Liabilities</t>
        </is>
      </c>
      <c r="D7947" s="3" t="inlineStr">
        <is>
          <t>6515/000</t>
        </is>
      </c>
      <c r="E7947" s="3" t="inlineStr">
        <is>
          <t>Deposits Paid</t>
        </is>
      </c>
      <c r="F7947" s="3" t="n">
        <v>0</v>
      </c>
      <c r="G7947" s="3" t="n">
        <v>3852.5</v>
      </c>
    </row>
    <row r="7948">
      <c r="A7948" s="3" t="inlineStr">
        <is>
          <t>Quinate Consulting (Pty) Ltd</t>
        </is>
      </c>
      <c r="B7948" s="4" t="n">
        <v>44620</v>
      </c>
      <c r="C7948" s="3" t="inlineStr">
        <is>
          <t>Assets</t>
        </is>
      </c>
      <c r="D7948" s="3" t="inlineStr">
        <is>
          <t>6600/010</t>
        </is>
      </c>
      <c r="E7948" s="3" t="inlineStr">
        <is>
          <t>Other Fixed Assets - @ Cost</t>
        </is>
      </c>
      <c r="F7948" s="3" t="n">
        <v>0</v>
      </c>
      <c r="G7948" s="3" t="n">
        <v>14442.5</v>
      </c>
    </row>
    <row r="7949">
      <c r="A7949" s="3" t="inlineStr">
        <is>
          <t>Quinate Consulting (Pty) Ltd</t>
        </is>
      </c>
      <c r="B7949" s="4" t="n">
        <v>44620</v>
      </c>
      <c r="C7949" s="3" t="inlineStr">
        <is>
          <t>Assets</t>
        </is>
      </c>
      <c r="D7949" s="3" t="inlineStr">
        <is>
          <t>6600/020</t>
        </is>
      </c>
      <c r="E7949" s="3" t="inlineStr">
        <is>
          <t>Other Fixed Assets - Accum Depre</t>
        </is>
      </c>
      <c r="F7949" s="3" t="n">
        <v>-1202.71</v>
      </c>
      <c r="G7949" s="3" t="n">
        <v>-14441.5</v>
      </c>
    </row>
    <row r="7950">
      <c r="A7950" s="3" t="inlineStr">
        <is>
          <t>Noble Shield (Pty) Ltd ta Go Letting</t>
        </is>
      </c>
      <c r="B7950" s="4" t="n">
        <v>44620</v>
      </c>
      <c r="C7950" s="3" t="inlineStr">
        <is>
          <t>Assets</t>
        </is>
      </c>
      <c r="D7950" s="3" t="inlineStr">
        <is>
          <t>7000/100</t>
        </is>
      </c>
      <c r="E7950" s="3" t="inlineStr">
        <is>
          <t>Goodwill - Purchase of Go Letting</t>
        </is>
      </c>
      <c r="F7950" s="3" t="n">
        <v>0</v>
      </c>
      <c r="G7950" s="3" t="n">
        <v>106580</v>
      </c>
    </row>
    <row r="7951">
      <c r="A7951" s="3" t="inlineStr">
        <is>
          <t>Opportunity Management Holdings (PTY) LTD</t>
        </is>
      </c>
      <c r="B7951" s="4" t="n">
        <v>44620</v>
      </c>
      <c r="C7951" s="3" t="inlineStr">
        <is>
          <t>Assets</t>
        </is>
      </c>
      <c r="D7951" s="3" t="inlineStr">
        <is>
          <t>7200/000</t>
        </is>
      </c>
      <c r="E7951" s="3" t="inlineStr">
        <is>
          <t>Shares in Subsidiary Companies</t>
        </is>
      </c>
      <c r="F7951" s="3" t="n">
        <v>0</v>
      </c>
      <c r="G7951" s="3" t="n">
        <v>120</v>
      </c>
    </row>
    <row r="7952">
      <c r="A7952" s="3" t="inlineStr">
        <is>
          <t>Endulini (Pty) Ltd</t>
        </is>
      </c>
      <c r="B7952" s="4" t="n">
        <v>44620</v>
      </c>
      <c r="C7952" s="3" t="inlineStr">
        <is>
          <t>Assets</t>
        </is>
      </c>
      <c r="D7952" s="3" t="inlineStr">
        <is>
          <t>7610/100</t>
        </is>
      </c>
      <c r="E7952" s="3" t="inlineStr">
        <is>
          <t>Endulini Land</t>
        </is>
      </c>
      <c r="F7952" s="3" t="n">
        <v>0</v>
      </c>
      <c r="G7952" s="3" t="n">
        <v>10572851.37</v>
      </c>
    </row>
    <row r="7953">
      <c r="A7953" s="3" t="inlineStr">
        <is>
          <t>Quinate Consulting (Pty) Ltd</t>
        </is>
      </c>
      <c r="B7953" s="4" t="n">
        <v>44620</v>
      </c>
      <c r="C7953" s="3" t="inlineStr">
        <is>
          <t>Assets</t>
        </is>
      </c>
      <c r="D7953" s="3" t="inlineStr">
        <is>
          <t>7610/100</t>
        </is>
      </c>
      <c r="E7953" s="3" t="inlineStr">
        <is>
          <t>Endulini Land</t>
        </is>
      </c>
      <c r="F7953" s="3" t="n">
        <v>766601.37</v>
      </c>
      <c r="G7953" s="3" t="n">
        <v>0</v>
      </c>
    </row>
    <row r="7954">
      <c r="A7954" s="3" t="inlineStr">
        <is>
          <t>Endulini (Pty) Ltd</t>
        </is>
      </c>
      <c r="B7954" s="4" t="n">
        <v>44620</v>
      </c>
      <c r="C7954" s="3" t="inlineStr">
        <is>
          <t>Assets</t>
        </is>
      </c>
      <c r="D7954" s="3" t="inlineStr">
        <is>
          <t>7610/101</t>
        </is>
      </c>
      <c r="E7954" s="3" t="inlineStr">
        <is>
          <t>Endulini Revaluation of Land stock</t>
        </is>
      </c>
      <c r="F7954" s="3" t="n">
        <v>0</v>
      </c>
      <c r="G7954" s="3" t="n">
        <v>6084085.78</v>
      </c>
    </row>
    <row r="7955">
      <c r="A7955" s="3" t="inlineStr">
        <is>
          <t>Endulini (Pty) Ltd</t>
        </is>
      </c>
      <c r="B7955" s="4" t="n">
        <v>44620</v>
      </c>
      <c r="C7955" s="3" t="inlineStr">
        <is>
          <t>Assets</t>
        </is>
      </c>
      <c r="D7955" s="3" t="inlineStr">
        <is>
          <t>7610/111</t>
        </is>
      </c>
      <c r="E7955" s="3" t="inlineStr">
        <is>
          <t>Endulini Closing Stock February 2021</t>
        </is>
      </c>
      <c r="F7955" s="3" t="n">
        <v>502576.27</v>
      </c>
      <c r="G7955" s="3" t="n">
        <v>15044610.11</v>
      </c>
    </row>
    <row r="7956">
      <c r="A7956" s="3" t="inlineStr">
        <is>
          <t>Endulini (Pty) Ltd</t>
        </is>
      </c>
      <c r="B7956" s="4" t="n">
        <v>44620</v>
      </c>
      <c r="C7956" s="3" t="inlineStr">
        <is>
          <t>Assets</t>
        </is>
      </c>
      <c r="D7956" s="3" t="inlineStr">
        <is>
          <t>7610/180</t>
        </is>
      </c>
      <c r="E7956" s="3" t="inlineStr">
        <is>
          <t>Endulini CIP Architects</t>
        </is>
      </c>
      <c r="F7956" s="3" t="n">
        <v>0</v>
      </c>
      <c r="G7956" s="3" t="n">
        <v>519874</v>
      </c>
    </row>
    <row r="7957">
      <c r="A7957" s="3" t="inlineStr">
        <is>
          <t>Endulini (Pty) Ltd</t>
        </is>
      </c>
      <c r="B7957" s="4" t="n">
        <v>44620</v>
      </c>
      <c r="C7957" s="3" t="inlineStr">
        <is>
          <t>Assets</t>
        </is>
      </c>
      <c r="D7957" s="3" t="inlineStr">
        <is>
          <t>7610/200</t>
        </is>
      </c>
      <c r="E7957" s="3" t="inlineStr">
        <is>
          <t>Endulini CIP CoCT Land Use App</t>
        </is>
      </c>
      <c r="F7957" s="3" t="n">
        <v>0</v>
      </c>
      <c r="G7957" s="3" t="n">
        <v>232891.06</v>
      </c>
    </row>
    <row r="7958">
      <c r="A7958" s="3" t="inlineStr">
        <is>
          <t>Endulini (Pty) Ltd</t>
        </is>
      </c>
      <c r="B7958" s="4" t="n">
        <v>44620</v>
      </c>
      <c r="C7958" s="3" t="inlineStr">
        <is>
          <t>Assets</t>
        </is>
      </c>
      <c r="D7958" s="3" t="inlineStr">
        <is>
          <t>7610/205</t>
        </is>
      </c>
      <c r="E7958" s="3" t="inlineStr">
        <is>
          <t>Endulini CIP Site Establishments</t>
        </is>
      </c>
      <c r="F7958" s="3" t="n">
        <v>3326792.52</v>
      </c>
      <c r="G7958" s="3" t="n">
        <v>20360592.33</v>
      </c>
    </row>
    <row r="7959">
      <c r="A7959" s="3" t="inlineStr">
        <is>
          <t>Endulini (Pty) Ltd</t>
        </is>
      </c>
      <c r="B7959" s="4" t="n">
        <v>44620</v>
      </c>
      <c r="C7959" s="3" t="inlineStr">
        <is>
          <t>Assets</t>
        </is>
      </c>
      <c r="D7959" s="3" t="inlineStr">
        <is>
          <t>7610/209</t>
        </is>
      </c>
      <c r="E7959" s="3" t="inlineStr">
        <is>
          <t>Endulini CIP Construction Management</t>
        </is>
      </c>
      <c r="F7959" s="3" t="n">
        <v>10000</v>
      </c>
      <c r="G7959" s="3" t="n">
        <v>135375</v>
      </c>
    </row>
    <row r="7960">
      <c r="A7960" s="3" t="inlineStr">
        <is>
          <t>Endulini (Pty) Ltd</t>
        </is>
      </c>
      <c r="B7960" s="4" t="n">
        <v>44620</v>
      </c>
      <c r="C7960" s="3" t="inlineStr">
        <is>
          <t>Assets</t>
        </is>
      </c>
      <c r="D7960" s="3" t="inlineStr">
        <is>
          <t>7610/210</t>
        </is>
      </c>
      <c r="E7960" s="3" t="inlineStr">
        <is>
          <t>Endulini CIP Civil Works</t>
        </is>
      </c>
      <c r="F7960" s="3" t="n">
        <v>0</v>
      </c>
      <c r="G7960" s="3" t="n">
        <v>6070825.03</v>
      </c>
    </row>
    <row r="7961">
      <c r="A7961" s="3" t="inlineStr">
        <is>
          <t>Endulini (Pty) Ltd</t>
        </is>
      </c>
      <c r="B7961" s="4" t="n">
        <v>44620</v>
      </c>
      <c r="C7961" s="3" t="inlineStr">
        <is>
          <t>Assets</t>
        </is>
      </c>
      <c r="D7961" s="3" t="inlineStr">
        <is>
          <t>7610/215</t>
        </is>
      </c>
      <c r="E7961" s="3" t="inlineStr">
        <is>
          <t>Endulini CIP Civil Engineers</t>
        </is>
      </c>
      <c r="F7961" s="3" t="n">
        <v>0</v>
      </c>
      <c r="G7961" s="3" t="n">
        <v>183000</v>
      </c>
    </row>
    <row r="7962">
      <c r="A7962" s="3" t="inlineStr">
        <is>
          <t>Endulini (Pty) Ltd</t>
        </is>
      </c>
      <c r="B7962" s="4" t="n">
        <v>44620</v>
      </c>
      <c r="C7962" s="3" t="inlineStr">
        <is>
          <t>Assets</t>
        </is>
      </c>
      <c r="D7962" s="3" t="inlineStr">
        <is>
          <t>7610/220</t>
        </is>
      </c>
      <c r="E7962" s="3" t="inlineStr">
        <is>
          <t>Endulini CIP Structuring Project Fee Opp Invest</t>
        </is>
      </c>
      <c r="F7962" s="3" t="n">
        <v>0</v>
      </c>
      <c r="G7962" s="3" t="n">
        <v>483735.96</v>
      </c>
    </row>
    <row r="7963">
      <c r="A7963" s="3" t="inlineStr">
        <is>
          <t>Endulini (Pty) Ltd</t>
        </is>
      </c>
      <c r="B7963" s="4" t="n">
        <v>44620</v>
      </c>
      <c r="C7963" s="3" t="inlineStr">
        <is>
          <t>Assets</t>
        </is>
      </c>
      <c r="D7963" s="3" t="inlineStr">
        <is>
          <t>7610/225</t>
        </is>
      </c>
      <c r="E7963" s="3" t="inlineStr">
        <is>
          <t>Endulini CIP Structural engineering fee</t>
        </is>
      </c>
      <c r="F7963" s="3" t="n">
        <v>0</v>
      </c>
      <c r="G7963" s="3" t="n">
        <v>288645.08</v>
      </c>
    </row>
    <row r="7964">
      <c r="A7964" s="3" t="inlineStr">
        <is>
          <t>Endulini (Pty) Ltd</t>
        </is>
      </c>
      <c r="B7964" s="4" t="n">
        <v>44620</v>
      </c>
      <c r="C7964" s="3" t="inlineStr">
        <is>
          <t>Assets</t>
        </is>
      </c>
      <c r="D7964" s="3" t="inlineStr">
        <is>
          <t>7610/230</t>
        </is>
      </c>
      <c r="E7964" s="3" t="inlineStr">
        <is>
          <t>Endulini CIP Mechanical Engineering</t>
        </is>
      </c>
      <c r="F7964" s="3" t="n">
        <v>0</v>
      </c>
      <c r="G7964" s="3" t="n">
        <v>15570</v>
      </c>
    </row>
    <row r="7965">
      <c r="A7965" s="3" t="inlineStr">
        <is>
          <t>Endulini (Pty) Ltd</t>
        </is>
      </c>
      <c r="B7965" s="4" t="n">
        <v>44620</v>
      </c>
      <c r="C7965" s="3" t="inlineStr">
        <is>
          <t>Assets</t>
        </is>
      </c>
      <c r="D7965" s="3" t="inlineStr">
        <is>
          <t>7610/235</t>
        </is>
      </c>
      <c r="E7965" s="3" t="inlineStr">
        <is>
          <t>Endulini CIP Electrical Installation</t>
        </is>
      </c>
      <c r="F7965" s="3" t="n">
        <v>133381.34</v>
      </c>
      <c r="G7965" s="3" t="n">
        <v>844822.62</v>
      </c>
    </row>
    <row r="7966">
      <c r="A7966" s="3" t="inlineStr">
        <is>
          <t>Endulini (Pty) Ltd</t>
        </is>
      </c>
      <c r="B7966" s="4" t="n">
        <v>44620</v>
      </c>
      <c r="C7966" s="3" t="inlineStr">
        <is>
          <t>Assets</t>
        </is>
      </c>
      <c r="D7966" s="3" t="inlineStr">
        <is>
          <t>7610/250</t>
        </is>
      </c>
      <c r="E7966" s="3" t="inlineStr">
        <is>
          <t>Endulini CIP Boundary Wall</t>
        </is>
      </c>
      <c r="F7966" s="3" t="n">
        <v>0</v>
      </c>
      <c r="G7966" s="3" t="n">
        <v>88400.8</v>
      </c>
    </row>
    <row r="7967">
      <c r="A7967" s="3" t="inlineStr">
        <is>
          <t>Endulini (Pty) Ltd</t>
        </is>
      </c>
      <c r="B7967" s="4" t="n">
        <v>44620</v>
      </c>
      <c r="C7967" s="3" t="inlineStr">
        <is>
          <t>Assets</t>
        </is>
      </c>
      <c r="D7967" s="3" t="inlineStr">
        <is>
          <t>7610/290</t>
        </is>
      </c>
      <c r="E7967" s="3" t="inlineStr">
        <is>
          <t>Endulini CIP Development Management Fees</t>
        </is>
      </c>
      <c r="F7967" s="3" t="n">
        <v>0</v>
      </c>
      <c r="G7967" s="3" t="n">
        <v>237496.62</v>
      </c>
    </row>
    <row r="7968">
      <c r="A7968" s="3" t="inlineStr">
        <is>
          <t>Endulini (Pty) Ltd</t>
        </is>
      </c>
      <c r="B7968" s="4" t="n">
        <v>44620</v>
      </c>
      <c r="C7968" s="3" t="inlineStr">
        <is>
          <t>Assets</t>
        </is>
      </c>
      <c r="D7968" s="3" t="inlineStr">
        <is>
          <t>7610/310</t>
        </is>
      </c>
      <c r="E7968" s="3" t="inlineStr">
        <is>
          <t>Endulini CIP Enviromental consultants</t>
        </is>
      </c>
      <c r="F7968" s="3" t="n">
        <v>6000</v>
      </c>
      <c r="G7968" s="3" t="n">
        <v>72000</v>
      </c>
    </row>
    <row r="7969">
      <c r="A7969" s="3" t="inlineStr">
        <is>
          <t>Endulini (Pty) Ltd</t>
        </is>
      </c>
      <c r="B7969" s="4" t="n">
        <v>44620</v>
      </c>
      <c r="C7969" s="3" t="inlineStr">
        <is>
          <t>Assets</t>
        </is>
      </c>
      <c r="D7969" s="3" t="inlineStr">
        <is>
          <t>7610/320</t>
        </is>
      </c>
      <c r="E7969" s="3" t="inlineStr">
        <is>
          <t>Endulini CIP Geotechnical</t>
        </is>
      </c>
      <c r="F7969" s="3" t="n">
        <v>0</v>
      </c>
      <c r="G7969" s="3" t="n">
        <v>13575</v>
      </c>
    </row>
    <row r="7970">
      <c r="A7970" s="3" t="inlineStr">
        <is>
          <t>Endulini (Pty) Ltd</t>
        </is>
      </c>
      <c r="B7970" s="4" t="n">
        <v>44620</v>
      </c>
      <c r="C7970" s="3" t="inlineStr">
        <is>
          <t>Assets</t>
        </is>
      </c>
      <c r="D7970" s="3" t="inlineStr">
        <is>
          <t>7610/330</t>
        </is>
      </c>
      <c r="E7970" s="3" t="inlineStr">
        <is>
          <t>Endulini CIP Health and Safety</t>
        </is>
      </c>
      <c r="F7970" s="3" t="n">
        <v>11000</v>
      </c>
      <c r="G7970" s="3" t="n">
        <v>21800</v>
      </c>
    </row>
    <row r="7971">
      <c r="A7971" s="3" t="inlineStr">
        <is>
          <t>Endulini (Pty) Ltd</t>
        </is>
      </c>
      <c r="B7971" s="4" t="n">
        <v>44620</v>
      </c>
      <c r="C7971" s="3" t="inlineStr">
        <is>
          <t>Assets</t>
        </is>
      </c>
      <c r="D7971" s="3" t="inlineStr">
        <is>
          <t>7610/390</t>
        </is>
      </c>
      <c r="E7971" s="3" t="inlineStr">
        <is>
          <t>Endulini CIP Land Surveyor</t>
        </is>
      </c>
      <c r="F7971" s="3" t="n">
        <v>0</v>
      </c>
      <c r="G7971" s="3" t="n">
        <v>110823.2</v>
      </c>
    </row>
    <row r="7972">
      <c r="A7972" s="3" t="inlineStr">
        <is>
          <t>Endulini (Pty) Ltd</t>
        </is>
      </c>
      <c r="B7972" s="4" t="n">
        <v>44620</v>
      </c>
      <c r="C7972" s="3" t="inlineStr">
        <is>
          <t>Assets</t>
        </is>
      </c>
      <c r="D7972" s="3" t="inlineStr">
        <is>
          <t>7610/392</t>
        </is>
      </c>
      <c r="E7972" s="3" t="inlineStr">
        <is>
          <t>Endulini CIP Landscaping</t>
        </is>
      </c>
      <c r="F7972" s="3" t="n">
        <v>0</v>
      </c>
      <c r="G7972" s="3" t="n">
        <v>6100</v>
      </c>
    </row>
    <row r="7973">
      <c r="A7973" s="3" t="inlineStr">
        <is>
          <t>Endulini (Pty) Ltd</t>
        </is>
      </c>
      <c r="B7973" s="4" t="n">
        <v>44620</v>
      </c>
      <c r="C7973" s="3" t="inlineStr">
        <is>
          <t>Assets</t>
        </is>
      </c>
      <c r="D7973" s="3" t="inlineStr">
        <is>
          <t>7610/395</t>
        </is>
      </c>
      <c r="E7973" s="3" t="inlineStr">
        <is>
          <t>Endulini CIP NHBRC</t>
        </is>
      </c>
      <c r="F7973" s="3" t="n">
        <v>0</v>
      </c>
      <c r="G7973" s="3" t="n">
        <v>928847.49</v>
      </c>
    </row>
    <row r="7974">
      <c r="A7974" s="3" t="inlineStr">
        <is>
          <t>Endulini (Pty) Ltd</t>
        </is>
      </c>
      <c r="B7974" s="4" t="n">
        <v>44620</v>
      </c>
      <c r="C7974" s="3" t="inlineStr">
        <is>
          <t>Assets</t>
        </is>
      </c>
      <c r="D7974" s="3" t="inlineStr">
        <is>
          <t>7610/400</t>
        </is>
      </c>
      <c r="E7974" s="3" t="inlineStr">
        <is>
          <t>Endulini CIP Quantity Surveyor</t>
        </is>
      </c>
      <c r="F7974" s="3" t="n">
        <v>0</v>
      </c>
      <c r="G7974" s="3" t="n">
        <v>82136.36</v>
      </c>
    </row>
    <row r="7975">
      <c r="A7975" s="3" t="inlineStr">
        <is>
          <t>Endulini (Pty) Ltd</t>
        </is>
      </c>
      <c r="B7975" s="4" t="n">
        <v>44620</v>
      </c>
      <c r="C7975" s="3" t="inlineStr">
        <is>
          <t>Assets</t>
        </is>
      </c>
      <c r="D7975" s="3" t="inlineStr">
        <is>
          <t>7610/600</t>
        </is>
      </c>
      <c r="E7975" s="3" t="inlineStr">
        <is>
          <t>Endulini CIP Town Planning</t>
        </is>
      </c>
      <c r="F7975" s="3" t="n">
        <v>0</v>
      </c>
      <c r="G7975" s="3" t="n">
        <v>21105</v>
      </c>
    </row>
    <row r="7976">
      <c r="A7976" s="3" t="inlineStr">
        <is>
          <t>Endulini (Pty) Ltd</t>
        </is>
      </c>
      <c r="B7976" s="4" t="n">
        <v>44620</v>
      </c>
      <c r="C7976" s="3" t="inlineStr">
        <is>
          <t>Assets</t>
        </is>
      </c>
      <c r="D7976" s="3" t="inlineStr">
        <is>
          <t>7610/620</t>
        </is>
      </c>
      <c r="E7976" s="3" t="inlineStr">
        <is>
          <t>Endulini CIP Traffic Impact</t>
        </is>
      </c>
      <c r="F7976" s="3" t="n">
        <v>0</v>
      </c>
      <c r="G7976" s="3" t="n">
        <v>24915</v>
      </c>
    </row>
    <row r="7977">
      <c r="A7977" s="3" t="inlineStr">
        <is>
          <t>Endulini (Pty) Ltd</t>
        </is>
      </c>
      <c r="B7977" s="4" t="n">
        <v>44620</v>
      </c>
      <c r="C7977" s="3" t="inlineStr">
        <is>
          <t>Assets</t>
        </is>
      </c>
      <c r="D7977" s="3" t="inlineStr">
        <is>
          <t>7610/630</t>
        </is>
      </c>
      <c r="E7977" s="3" t="inlineStr">
        <is>
          <t>Endulini CIP CoCT Development Contributi</t>
        </is>
      </c>
      <c r="F7977" s="3" t="n">
        <v>0</v>
      </c>
      <c r="G7977" s="3" t="n">
        <v>661860.3100000001</v>
      </c>
    </row>
    <row r="7978">
      <c r="A7978" s="3" t="inlineStr">
        <is>
          <t>Endulini (Pty) Ltd</t>
        </is>
      </c>
      <c r="B7978" s="4" t="n">
        <v>44620</v>
      </c>
      <c r="C7978" s="3" t="inlineStr">
        <is>
          <t>Assets</t>
        </is>
      </c>
      <c r="D7978" s="3" t="inlineStr">
        <is>
          <t>7610/640</t>
        </is>
      </c>
      <c r="E7978" s="3" t="inlineStr">
        <is>
          <t>Endulini CIP CoCT Building plan application</t>
        </is>
      </c>
      <c r="F7978" s="3" t="n">
        <v>469.57</v>
      </c>
      <c r="G7978" s="3" t="n">
        <v>111203.22</v>
      </c>
    </row>
    <row r="7979">
      <c r="A7979" s="3" t="inlineStr">
        <is>
          <t>Quinate Consulting (Pty) Ltd</t>
        </is>
      </c>
      <c r="B7979" s="4" t="n">
        <v>44620</v>
      </c>
      <c r="C7979" s="3" t="inlineStr">
        <is>
          <t>Assets</t>
        </is>
      </c>
      <c r="D7979" s="3" t="inlineStr">
        <is>
          <t>7800/104</t>
        </is>
      </c>
      <c r="E7979" s="3" t="inlineStr">
        <is>
          <t>Stock - Closing Stock SW - 28 Feb 21</t>
        </is>
      </c>
      <c r="F7979" s="3" t="n">
        <v>0</v>
      </c>
      <c r="G7979" s="3" t="n">
        <v>2874478.88</v>
      </c>
    </row>
    <row r="7980">
      <c r="A7980" s="3" t="inlineStr">
        <is>
          <t>Quinate Consulting (Pty) Ltd</t>
        </is>
      </c>
      <c r="B7980" s="4" t="n">
        <v>44620</v>
      </c>
      <c r="C7980" s="3" t="inlineStr">
        <is>
          <t>Assets</t>
        </is>
      </c>
      <c r="D7980" s="3" t="inlineStr">
        <is>
          <t>7800/105</t>
        </is>
      </c>
      <c r="E7980" s="3" t="inlineStr">
        <is>
          <t>Stock - Closing Stock SH - 28 Feb 21</t>
        </is>
      </c>
      <c r="F7980" s="3" t="n">
        <v>0</v>
      </c>
      <c r="G7980" s="3" t="n">
        <v>2843477.6</v>
      </c>
    </row>
    <row r="7981">
      <c r="A7981" s="3" t="inlineStr">
        <is>
          <t>Endulini (Pty) Ltd</t>
        </is>
      </c>
      <c r="B7981" s="4" t="n">
        <v>44620</v>
      </c>
      <c r="C7981" s="3" t="inlineStr">
        <is>
          <t>Assets</t>
        </is>
      </c>
      <c r="D7981" s="3" t="inlineStr">
        <is>
          <t>8000/000</t>
        </is>
      </c>
      <c r="E7981" s="3" t="inlineStr">
        <is>
          <t>Customer Control Account</t>
        </is>
      </c>
      <c r="F7981" s="3" t="n">
        <v>-2012.5</v>
      </c>
      <c r="G7981" s="3" t="n">
        <v>0</v>
      </c>
    </row>
    <row r="7982">
      <c r="A7982" s="3" t="inlineStr">
        <is>
          <t>Noble Shield (Pty) Ltd ta Go Letting</t>
        </is>
      </c>
      <c r="B7982" s="4" t="n">
        <v>44620</v>
      </c>
      <c r="C7982" s="3" t="inlineStr">
        <is>
          <t>Assets</t>
        </is>
      </c>
      <c r="D7982" s="3" t="inlineStr">
        <is>
          <t>8000/000</t>
        </is>
      </c>
      <c r="E7982" s="3" t="inlineStr">
        <is>
          <t>Customer Control Account</t>
        </is>
      </c>
      <c r="F7982" s="3" t="n">
        <v>0</v>
      </c>
      <c r="G7982" s="3" t="n">
        <v>60289.32</v>
      </c>
    </row>
    <row r="7983">
      <c r="A7983" s="3" t="inlineStr">
        <is>
          <t>Opportunity Global Investment (PTY) LTD</t>
        </is>
      </c>
      <c r="B7983" s="4" t="n">
        <v>44620</v>
      </c>
      <c r="C7983" s="3" t="inlineStr">
        <is>
          <t>Assets</t>
        </is>
      </c>
      <c r="D7983" s="3" t="inlineStr">
        <is>
          <t>8000/000</t>
        </is>
      </c>
      <c r="E7983" s="3" t="inlineStr">
        <is>
          <t>Customer Control Account</t>
        </is>
      </c>
      <c r="F7983" s="3" t="n">
        <v>384100</v>
      </c>
      <c r="G7983" s="3" t="n">
        <v>384100</v>
      </c>
    </row>
    <row r="7984">
      <c r="A7984" s="3" t="inlineStr">
        <is>
          <t>Opportunity Global Sales (PTY) LTD</t>
        </is>
      </c>
      <c r="B7984" s="4" t="n">
        <v>44620</v>
      </c>
      <c r="C7984" s="3" t="inlineStr">
        <is>
          <t>Assets</t>
        </is>
      </c>
      <c r="D7984" s="3" t="inlineStr">
        <is>
          <t>8000/000</t>
        </is>
      </c>
      <c r="E7984" s="3" t="inlineStr">
        <is>
          <t>Customer Control Account</t>
        </is>
      </c>
      <c r="F7984" s="3" t="n">
        <v>-109261.31</v>
      </c>
      <c r="G7984" s="3" t="n">
        <v>128488.53</v>
      </c>
    </row>
    <row r="7985">
      <c r="A7985" s="3" t="inlineStr">
        <is>
          <t>Opportunity Management Holdings (PTY) LTD</t>
        </is>
      </c>
      <c r="B7985" s="4" t="n">
        <v>44620</v>
      </c>
      <c r="C7985" s="3" t="inlineStr">
        <is>
          <t>Assets</t>
        </is>
      </c>
      <c r="D7985" s="3" t="inlineStr">
        <is>
          <t>8000/000</t>
        </is>
      </c>
      <c r="E7985" s="3" t="inlineStr">
        <is>
          <t>Customer Control Account</t>
        </is>
      </c>
      <c r="F7985" s="3" t="n">
        <v>82121.5</v>
      </c>
      <c r="G7985" s="3" t="n">
        <v>82121.5</v>
      </c>
    </row>
    <row r="7986">
      <c r="A7986" s="3" t="inlineStr">
        <is>
          <t>Quinate Consulting (Pty) Ltd</t>
        </is>
      </c>
      <c r="B7986" s="4" t="n">
        <v>44620</v>
      </c>
      <c r="C7986" s="3" t="inlineStr">
        <is>
          <t>Assets</t>
        </is>
      </c>
      <c r="D7986" s="3" t="inlineStr">
        <is>
          <t>8000/000</t>
        </is>
      </c>
      <c r="E7986" s="3" t="inlineStr">
        <is>
          <t>Customer Control Account</t>
        </is>
      </c>
      <c r="F7986" s="3" t="n">
        <v>17100</v>
      </c>
      <c r="G7986" s="3" t="n">
        <v>-4537.84</v>
      </c>
    </row>
    <row r="7987">
      <c r="A7987" s="3" t="inlineStr">
        <is>
          <t>Quinate Consulting (Pty) Ltd</t>
        </is>
      </c>
      <c r="B7987" s="4" t="n">
        <v>44620</v>
      </c>
      <c r="C7987" s="3" t="inlineStr">
        <is>
          <t>Assets</t>
        </is>
      </c>
      <c r="D7987" s="3" t="inlineStr">
        <is>
          <t>8001</t>
        </is>
      </c>
      <c r="E7987" s="3" t="inlineStr">
        <is>
          <t>Customer Control</t>
        </is>
      </c>
      <c r="F7987" s="3" t="n">
        <v>0</v>
      </c>
      <c r="G7987" s="3" t="n">
        <v>29487.49</v>
      </c>
    </row>
    <row r="7988">
      <c r="A7988" s="3" t="inlineStr">
        <is>
          <t>Opportunity Global Investment (PTY) LTD</t>
        </is>
      </c>
      <c r="B7988" s="4" t="n">
        <v>44620</v>
      </c>
      <c r="C7988" s="3" t="inlineStr">
        <is>
          <t>Assets</t>
        </is>
      </c>
      <c r="D7988" s="3" t="inlineStr">
        <is>
          <t>8200/010</t>
        </is>
      </c>
      <c r="E7988" s="3" t="inlineStr">
        <is>
          <t>Prepayments / Prepaid Expenses</t>
        </is>
      </c>
      <c r="F7988" s="3" t="n">
        <v>80867.92999999999</v>
      </c>
      <c r="G7988" s="3" t="n">
        <v>163867.93</v>
      </c>
    </row>
    <row r="7989">
      <c r="A7989" s="3" t="inlineStr">
        <is>
          <t>Quinate Consulting (Pty) Ltd</t>
        </is>
      </c>
      <c r="B7989" s="4" t="n">
        <v>44620</v>
      </c>
      <c r="C7989" s="3" t="inlineStr">
        <is>
          <t>Assets</t>
        </is>
      </c>
      <c r="D7989" s="3" t="inlineStr">
        <is>
          <t>8200/010</t>
        </is>
      </c>
      <c r="E7989" s="3" t="inlineStr">
        <is>
          <t>Prepayments / Prepaid Expenses</t>
        </is>
      </c>
      <c r="F7989" s="3" t="n">
        <v>0</v>
      </c>
      <c r="G7989" s="3" t="n">
        <v>109675</v>
      </c>
    </row>
    <row r="7990">
      <c r="A7990" s="3" t="inlineStr">
        <is>
          <t>Opportunity Global Investment (PTY) LTD</t>
        </is>
      </c>
      <c r="B7990" s="4" t="n">
        <v>44620</v>
      </c>
      <c r="C7990" s="3" t="inlineStr">
        <is>
          <t>Assets</t>
        </is>
      </c>
      <c r="D7990" s="3" t="inlineStr">
        <is>
          <t>8400/000</t>
        </is>
      </c>
      <c r="E7990" s="3" t="inlineStr">
        <is>
          <t>FNB 62093491696</t>
        </is>
      </c>
      <c r="F7990" s="3" t="n">
        <v>26671.29</v>
      </c>
      <c r="G7990" s="3" t="n">
        <v>28803.16</v>
      </c>
    </row>
    <row r="7991">
      <c r="A7991" s="3" t="inlineStr">
        <is>
          <t>Opportunity Global Sales (PTY) LTD</t>
        </is>
      </c>
      <c r="B7991" s="4" t="n">
        <v>44620</v>
      </c>
      <c r="C7991" s="3" t="inlineStr">
        <is>
          <t>Assets</t>
        </is>
      </c>
      <c r="D7991" s="3" t="inlineStr">
        <is>
          <t>8400/000</t>
        </is>
      </c>
      <c r="E7991" s="3" t="inlineStr">
        <is>
          <t>FNB 62835620875</t>
        </is>
      </c>
      <c r="F7991" s="3" t="n">
        <v>30196.19</v>
      </c>
      <c r="G7991" s="3" t="n">
        <v>37336.3</v>
      </c>
    </row>
    <row r="7992">
      <c r="A7992" s="3" t="inlineStr">
        <is>
          <t>Quinate Consulting (Pty) Ltd</t>
        </is>
      </c>
      <c r="B7992" s="4" t="n">
        <v>44620</v>
      </c>
      <c r="C7992" s="3" t="inlineStr">
        <is>
          <t>Assets</t>
        </is>
      </c>
      <c r="D7992" s="3" t="inlineStr">
        <is>
          <t>8400/000</t>
        </is>
      </c>
      <c r="E7992" s="3" t="inlineStr">
        <is>
          <t>RMB - 62736659189 - Call Acc</t>
        </is>
      </c>
      <c r="F7992" s="3" t="n">
        <v>2.9</v>
      </c>
      <c r="G7992" s="3" t="n">
        <v>152866.69</v>
      </c>
    </row>
    <row r="7993">
      <c r="A7993" s="3" t="inlineStr">
        <is>
          <t>Trademark Holdings (Pty) Ltd</t>
        </is>
      </c>
      <c r="B7993" s="4" t="n">
        <v>44620</v>
      </c>
      <c r="C7993" s="3" t="inlineStr">
        <is>
          <t>Assets</t>
        </is>
      </c>
      <c r="D7993" s="3" t="inlineStr">
        <is>
          <t>8400/000</t>
        </is>
      </c>
      <c r="E7993" s="3" t="inlineStr">
        <is>
          <t>RMB 623 693 03640</t>
        </is>
      </c>
      <c r="F7993" s="3" t="n">
        <v>-13480.8</v>
      </c>
      <c r="G7993" s="3" t="n">
        <v>32085.37</v>
      </c>
    </row>
    <row r="7994">
      <c r="A7994" s="3" t="inlineStr">
        <is>
          <t>Noble Shield (Pty) Ltd ta Go Letting</t>
        </is>
      </c>
      <c r="B7994" s="4" t="n">
        <v>44620</v>
      </c>
      <c r="C7994" s="3" t="inlineStr">
        <is>
          <t>Assets</t>
        </is>
      </c>
      <c r="D7994" s="3" t="inlineStr">
        <is>
          <t>8400/000</t>
        </is>
      </c>
      <c r="E7994" s="3" t="inlineStr">
        <is>
          <t>RMB 6250 573 3833</t>
        </is>
      </c>
      <c r="F7994" s="3" t="n">
        <v>-23467.04</v>
      </c>
      <c r="G7994" s="3" t="n">
        <v>28864.79</v>
      </c>
    </row>
    <row r="7995">
      <c r="A7995" s="3" t="inlineStr">
        <is>
          <t>Endulini (Pty) Ltd</t>
        </is>
      </c>
      <c r="B7995" s="4" t="n">
        <v>44620</v>
      </c>
      <c r="C7995" s="3" t="inlineStr">
        <is>
          <t>Assets</t>
        </is>
      </c>
      <c r="D7995" s="3" t="inlineStr">
        <is>
          <t>8400/000</t>
        </is>
      </c>
      <c r="E7995" s="3" t="inlineStr">
        <is>
          <t>RMB 62906944576</t>
        </is>
      </c>
      <c r="F7995" s="3" t="n">
        <v>66754.07000000001</v>
      </c>
      <c r="G7995" s="3" t="n">
        <v>93351.61</v>
      </c>
    </row>
    <row r="7996">
      <c r="A7996" s="3" t="inlineStr">
        <is>
          <t>Opportunity Management Holdings (PTY) LTD</t>
        </is>
      </c>
      <c r="B7996" s="4" t="n">
        <v>44620</v>
      </c>
      <c r="C7996" s="3" t="inlineStr">
        <is>
          <t>Assets</t>
        </is>
      </c>
      <c r="D7996" s="3" t="inlineStr">
        <is>
          <t>8400/000</t>
        </is>
      </c>
      <c r="E7996" s="3" t="inlineStr">
        <is>
          <t>RMB Cheq - 62312246920</t>
        </is>
      </c>
      <c r="F7996" s="3" t="n">
        <v>-1707.13</v>
      </c>
      <c r="G7996" s="3" t="n">
        <v>20981.13</v>
      </c>
    </row>
    <row r="7997">
      <c r="A7997" s="3" t="inlineStr">
        <is>
          <t>Opportunity Global Investment (PTY) LTD</t>
        </is>
      </c>
      <c r="B7997" s="4" t="n">
        <v>44620</v>
      </c>
      <c r="C7997" s="3" t="inlineStr">
        <is>
          <t>Assets</t>
        </is>
      </c>
      <c r="D7997" s="3" t="inlineStr">
        <is>
          <t>8405/000</t>
        </is>
      </c>
      <c r="E7997" s="3" t="inlineStr">
        <is>
          <t>FNB Trust 62762449265</t>
        </is>
      </c>
      <c r="F7997" s="3" t="n">
        <v>-390.22</v>
      </c>
      <c r="G7997" s="3" t="n">
        <v>2.32</v>
      </c>
    </row>
    <row r="7998">
      <c r="A7998" s="3" t="inlineStr">
        <is>
          <t>Endulini (Pty) Ltd</t>
        </is>
      </c>
      <c r="B7998" s="4" t="n">
        <v>44620</v>
      </c>
      <c r="C7998" s="3" t="inlineStr">
        <is>
          <t>Assets</t>
        </is>
      </c>
      <c r="D7998" s="3" t="inlineStr">
        <is>
          <t>8410/000</t>
        </is>
      </c>
      <c r="E7998" s="3" t="inlineStr">
        <is>
          <t>Momentum Investor Account : RU 502229883</t>
        </is>
      </c>
      <c r="F7998" s="3" t="n">
        <v>-1285162.56</v>
      </c>
      <c r="G7998" s="3" t="n">
        <v>999726.5600000001</v>
      </c>
    </row>
    <row r="7999">
      <c r="A7999" s="3" t="inlineStr">
        <is>
          <t>Opportunity Management Holdings (PTY) LTD</t>
        </is>
      </c>
      <c r="B7999" s="4" t="n">
        <v>44620</v>
      </c>
      <c r="C7999" s="3" t="inlineStr">
        <is>
          <t>Assets</t>
        </is>
      </c>
      <c r="D7999" s="3" t="inlineStr">
        <is>
          <t>8410/000</t>
        </is>
      </c>
      <c r="E7999" s="3" t="inlineStr">
        <is>
          <t>RMB Call Acc - 62312248851</t>
        </is>
      </c>
      <c r="F7999" s="3" t="n">
        <v>-279.66</v>
      </c>
      <c r="G7999" s="3" t="n">
        <v>613.3099999999999</v>
      </c>
    </row>
    <row r="8000">
      <c r="A8000" s="3" t="inlineStr">
        <is>
          <t>Noble Shield (Pty) Ltd ta Go Letting</t>
        </is>
      </c>
      <c r="B8000" s="4" t="n">
        <v>44620</v>
      </c>
      <c r="C8000" s="3" t="inlineStr">
        <is>
          <t>Assets</t>
        </is>
      </c>
      <c r="D8000" s="3" t="inlineStr">
        <is>
          <t>8410/000</t>
        </is>
      </c>
      <c r="E8000" s="3" t="inlineStr">
        <is>
          <t>RMB Trust Acc - 6250 615 1365</t>
        </is>
      </c>
      <c r="F8000" s="3" t="n">
        <v>601.88</v>
      </c>
      <c r="G8000" s="3" t="n">
        <v>935.88</v>
      </c>
    </row>
    <row r="8001">
      <c r="A8001" s="3" t="inlineStr">
        <is>
          <t>Quinate Consulting (Pty) Ltd</t>
        </is>
      </c>
      <c r="B8001" s="4" t="n">
        <v>44620</v>
      </c>
      <c r="C8001" s="3" t="inlineStr">
        <is>
          <t>Assets</t>
        </is>
      </c>
      <c r="D8001" s="3" t="inlineStr">
        <is>
          <t>8415/000</t>
        </is>
      </c>
      <c r="E8001" s="3" t="inlineStr">
        <is>
          <t>STD Acc 071 958 959 - Facility Acc</t>
        </is>
      </c>
      <c r="F8001" s="3" t="n">
        <v>-170</v>
      </c>
      <c r="G8001" s="3" t="n">
        <v>4316.21</v>
      </c>
    </row>
    <row r="8002">
      <c r="A8002" s="3" t="inlineStr">
        <is>
          <t>Quinate Consulting (Pty) Ltd</t>
        </is>
      </c>
      <c r="B8002" s="4" t="n">
        <v>44620</v>
      </c>
      <c r="C8002" s="3" t="inlineStr">
        <is>
          <t>Assets</t>
        </is>
      </c>
      <c r="D8002" s="3" t="inlineStr">
        <is>
          <t>8430/000</t>
        </is>
      </c>
      <c r="E8002" s="3" t="inlineStr">
        <is>
          <t>Momentum Investment Acc - RU502230185</t>
        </is>
      </c>
      <c r="F8002" s="3" t="n">
        <v>7.48</v>
      </c>
      <c r="G8002" s="3" t="n">
        <v>507.48</v>
      </c>
    </row>
    <row r="8003">
      <c r="A8003" s="3" t="inlineStr">
        <is>
          <t>Opportunity Global Investment (PTY) LTD</t>
        </is>
      </c>
      <c r="B8003" s="4" t="n">
        <v>44620</v>
      </c>
      <c r="C8003" s="3" t="inlineStr">
        <is>
          <t>Assets</t>
        </is>
      </c>
      <c r="D8003" s="3" t="inlineStr">
        <is>
          <t>8440/000</t>
        </is>
      </c>
      <c r="E8003" s="3" t="inlineStr">
        <is>
          <t>FNB - Call 627602764438</t>
        </is>
      </c>
      <c r="F8003" s="3" t="n">
        <v>-284.4</v>
      </c>
      <c r="G8003" s="3" t="n">
        <v>274.55</v>
      </c>
    </row>
    <row r="8004">
      <c r="A8004" s="3" t="inlineStr">
        <is>
          <t>Opportunity Global Investment (PTY) LTD</t>
        </is>
      </c>
      <c r="B8004" s="4" t="n">
        <v>44620</v>
      </c>
      <c r="C8004" s="3" t="inlineStr">
        <is>
          <t>Assets</t>
        </is>
      </c>
      <c r="D8004" s="3" t="inlineStr">
        <is>
          <t>8445/000</t>
        </is>
      </c>
      <c r="E8004" s="3" t="inlineStr">
        <is>
          <t>Momentum RU502230096</t>
        </is>
      </c>
      <c r="F8004" s="3" t="n">
        <v>15.68</v>
      </c>
      <c r="G8004" s="3" t="n">
        <v>4435.16</v>
      </c>
    </row>
    <row r="8005">
      <c r="A8005" s="3" t="inlineStr">
        <is>
          <t>Quinate Consulting (Pty) Ltd</t>
        </is>
      </c>
      <c r="B8005" s="4" t="n">
        <v>44620</v>
      </c>
      <c r="C8005" s="3" t="inlineStr">
        <is>
          <t>Assets</t>
        </is>
      </c>
      <c r="D8005" s="3" t="inlineStr">
        <is>
          <t>8450/000</t>
        </is>
      </c>
      <c r="E8005" s="3" t="inlineStr">
        <is>
          <t>A RMB 62275810820</t>
        </is>
      </c>
      <c r="F8005" s="3" t="n">
        <v>22198</v>
      </c>
      <c r="G8005" s="3" t="n">
        <v>38543.85</v>
      </c>
    </row>
    <row r="8006">
      <c r="A8006" s="3" t="inlineStr">
        <is>
          <t>Opportunity Management Holdings (PTY) LTD</t>
        </is>
      </c>
      <c r="B8006" s="4" t="n">
        <v>44620</v>
      </c>
      <c r="C8006" s="3" t="inlineStr">
        <is>
          <t>Assets</t>
        </is>
      </c>
      <c r="D8006" s="3" t="inlineStr">
        <is>
          <t>8450/000</t>
        </is>
      </c>
      <c r="E8006" s="3" t="inlineStr">
        <is>
          <t>Petty Cash - CT Office</t>
        </is>
      </c>
      <c r="F8006" s="3" t="n">
        <v>1240.7</v>
      </c>
      <c r="G8006" s="3" t="n">
        <v>1240.7</v>
      </c>
    </row>
    <row r="8007">
      <c r="A8007" s="3" t="inlineStr">
        <is>
          <t>Quinate Consulting (Pty) Ltd</t>
        </is>
      </c>
      <c r="B8007" s="4" t="n">
        <v>44620</v>
      </c>
      <c r="C8007" s="3" t="inlineStr">
        <is>
          <t>Liabilities</t>
        </is>
      </c>
      <c r="D8007" s="3" t="inlineStr">
        <is>
          <t>8480/100</t>
        </is>
      </c>
      <c r="E8007" s="3" t="inlineStr">
        <is>
          <t>Bond - SH20 - STD Bank 532010558</t>
        </is>
      </c>
      <c r="F8007" s="3" t="n">
        <v>3514.65</v>
      </c>
      <c r="G8007" s="3" t="n">
        <v>-1389129.32</v>
      </c>
    </row>
    <row r="8008">
      <c r="A8008" s="3" t="inlineStr">
        <is>
          <t>Quinate Consulting (Pty) Ltd</t>
        </is>
      </c>
      <c r="B8008" s="4" t="n">
        <v>44620</v>
      </c>
      <c r="C8008" s="3" t="inlineStr">
        <is>
          <t>Liabilities</t>
        </is>
      </c>
      <c r="D8008" s="3" t="inlineStr">
        <is>
          <t>8480/200</t>
        </is>
      </c>
      <c r="E8008" s="3" t="inlineStr">
        <is>
          <t>Bond - SH23 - STD Bank 532010035</t>
        </is>
      </c>
      <c r="F8008" s="3" t="n">
        <v>3510.97</v>
      </c>
      <c r="G8008" s="3" t="n">
        <v>-1388941.8</v>
      </c>
    </row>
    <row r="8009">
      <c r="A8009" s="3" t="inlineStr">
        <is>
          <t>Quinate Consulting (Pty) Ltd</t>
        </is>
      </c>
      <c r="B8009" s="4" t="n">
        <v>44620</v>
      </c>
      <c r="C8009" s="3" t="inlineStr">
        <is>
          <t>Liabilities</t>
        </is>
      </c>
      <c r="D8009" s="3" t="inlineStr">
        <is>
          <t>8480/300</t>
        </is>
      </c>
      <c r="E8009" s="3" t="inlineStr">
        <is>
          <t>Bond - SH24 - STD Bank 532372662</t>
        </is>
      </c>
      <c r="F8009" s="3" t="n">
        <v>1653.55</v>
      </c>
      <c r="G8009" s="3" t="n">
        <v>-1465745.78</v>
      </c>
    </row>
    <row r="8010">
      <c r="A8010" s="3" t="inlineStr">
        <is>
          <t>Quinate Consulting (Pty) Ltd</t>
        </is>
      </c>
      <c r="B8010" s="4" t="n">
        <v>44620</v>
      </c>
      <c r="C8010" s="3" t="inlineStr">
        <is>
          <t>Liabilities</t>
        </is>
      </c>
      <c r="D8010" s="3" t="inlineStr">
        <is>
          <t>8480/400</t>
        </is>
      </c>
      <c r="E8010" s="3" t="inlineStr">
        <is>
          <t>Bond - SW01 - STD Bank 532920627</t>
        </is>
      </c>
      <c r="F8010" s="3" t="n">
        <v>-14920.66</v>
      </c>
      <c r="G8010" s="3" t="n">
        <v>-1300339.16</v>
      </c>
    </row>
    <row r="8011">
      <c r="A8011" s="3" t="inlineStr">
        <is>
          <t>Quinate Consulting (Pty) Ltd</t>
        </is>
      </c>
      <c r="B8011" s="4" t="n">
        <v>44620</v>
      </c>
      <c r="C8011" s="3" t="inlineStr">
        <is>
          <t>Liabilities</t>
        </is>
      </c>
      <c r="D8011" s="3" t="inlineStr">
        <is>
          <t>8480/401</t>
        </is>
      </c>
      <c r="E8011" s="3" t="inlineStr">
        <is>
          <t>Bond - SW21 - STD Bank 532920597</t>
        </is>
      </c>
      <c r="F8011" s="3" t="n">
        <v>-14926.39</v>
      </c>
      <c r="G8011" s="3" t="n">
        <v>-1300855.08</v>
      </c>
    </row>
    <row r="8012">
      <c r="A8012" s="3" t="inlineStr">
        <is>
          <t>Quinate Consulting (Pty) Ltd</t>
        </is>
      </c>
      <c r="B8012" s="4" t="n">
        <v>44620</v>
      </c>
      <c r="C8012" s="3" t="inlineStr">
        <is>
          <t>Assets</t>
        </is>
      </c>
      <c r="D8012" s="3" t="inlineStr">
        <is>
          <t>8490</t>
        </is>
      </c>
      <c r="E8012" s="3" t="inlineStr">
        <is>
          <t>STBB Trust Account</t>
        </is>
      </c>
      <c r="F8012" s="3" t="n">
        <v>-200010</v>
      </c>
      <c r="G8012" s="3" t="n">
        <v>0</v>
      </c>
    </row>
    <row r="8013">
      <c r="A8013" s="3" t="inlineStr">
        <is>
          <t>Endulini (Pty) Ltd</t>
        </is>
      </c>
      <c r="B8013" s="4" t="n">
        <v>44620</v>
      </c>
      <c r="C8013" s="3" t="inlineStr">
        <is>
          <t>Assets</t>
        </is>
      </c>
      <c r="D8013" s="3" t="inlineStr">
        <is>
          <t>8500/000</t>
        </is>
      </c>
      <c r="E8013" s="3" t="inlineStr">
        <is>
          <t>Laas and Scholtz - Funds in transit</t>
        </is>
      </c>
      <c r="F8013" s="3" t="n">
        <v>600000</v>
      </c>
      <c r="G8013" s="3" t="n">
        <v>600000</v>
      </c>
    </row>
    <row r="8014">
      <c r="A8014" s="3" t="inlineStr">
        <is>
          <t>Opportunity Global Investment (PTY) LTD</t>
        </is>
      </c>
      <c r="B8014" s="4" t="n">
        <v>44620</v>
      </c>
      <c r="C8014" s="3" t="inlineStr">
        <is>
          <t>Liabilities</t>
        </is>
      </c>
      <c r="D8014" s="3" t="inlineStr">
        <is>
          <t>860</t>
        </is>
      </c>
      <c r="E8014" s="3" t="inlineStr">
        <is>
          <t>Rounding</t>
        </is>
      </c>
      <c r="F8014" s="3" t="n">
        <v>0</v>
      </c>
      <c r="G8014" s="3" t="n">
        <v>-0.03</v>
      </c>
    </row>
    <row r="8015">
      <c r="A8015" s="3" t="inlineStr">
        <is>
          <t>Opportunity Global Sales (PTY) LTD</t>
        </is>
      </c>
      <c r="B8015" s="4" t="n">
        <v>44620</v>
      </c>
      <c r="C8015" s="3" t="inlineStr">
        <is>
          <t>Liabilities</t>
        </is>
      </c>
      <c r="D8015" s="3" t="inlineStr">
        <is>
          <t>860</t>
        </is>
      </c>
      <c r="E8015" s="3" t="inlineStr">
        <is>
          <t>Rounding</t>
        </is>
      </c>
      <c r="F8015" s="3" t="n">
        <v>-1</v>
      </c>
      <c r="G8015" s="3" t="n">
        <v>-1</v>
      </c>
    </row>
    <row r="8016">
      <c r="A8016" s="3" t="inlineStr">
        <is>
          <t>Endulini (Pty) Ltd</t>
        </is>
      </c>
      <c r="B8016" s="4" t="n">
        <v>44620</v>
      </c>
      <c r="C8016" s="3" t="inlineStr">
        <is>
          <t>Liabilities</t>
        </is>
      </c>
      <c r="D8016" s="3" t="inlineStr">
        <is>
          <t>9000/000</t>
        </is>
      </c>
      <c r="E8016" s="3" t="inlineStr">
        <is>
          <t>Supplier Control Account</t>
        </is>
      </c>
      <c r="F8016" s="3" t="n">
        <v>-2534729.51</v>
      </c>
      <c r="G8016" s="3" t="n">
        <v>-54267182.5</v>
      </c>
    </row>
    <row r="8017">
      <c r="A8017" s="3" t="inlineStr">
        <is>
          <t>Noble Shield (Pty) Ltd ta Go Letting</t>
        </is>
      </c>
      <c r="B8017" s="4" t="n">
        <v>44620</v>
      </c>
      <c r="C8017" s="3" t="inlineStr">
        <is>
          <t>Liabilities</t>
        </is>
      </c>
      <c r="D8017" s="3" t="inlineStr">
        <is>
          <t>9000/000</t>
        </is>
      </c>
      <c r="E8017" s="3" t="inlineStr">
        <is>
          <t>Supplier Control Account</t>
        </is>
      </c>
      <c r="F8017" s="3" t="n">
        <v>10980.59</v>
      </c>
      <c r="G8017" s="3" t="n">
        <v>-48223.95</v>
      </c>
    </row>
    <row r="8018">
      <c r="A8018" s="3" t="inlineStr">
        <is>
          <t>Opportunity Global Investment (PTY) LTD</t>
        </is>
      </c>
      <c r="B8018" s="4" t="n">
        <v>44620</v>
      </c>
      <c r="C8018" s="3" t="inlineStr">
        <is>
          <t>Liabilities</t>
        </is>
      </c>
      <c r="D8018" s="3" t="inlineStr">
        <is>
          <t>9000/000</t>
        </is>
      </c>
      <c r="E8018" s="3" t="inlineStr">
        <is>
          <t>Supplier Control Account</t>
        </is>
      </c>
      <c r="F8018" s="3" t="n">
        <v>-3245.64</v>
      </c>
      <c r="G8018" s="3" t="n">
        <v>-187945.48</v>
      </c>
    </row>
    <row r="8019">
      <c r="A8019" s="3" t="inlineStr">
        <is>
          <t>Opportunity Global Sales (PTY) LTD</t>
        </is>
      </c>
      <c r="B8019" s="4" t="n">
        <v>44620</v>
      </c>
      <c r="C8019" s="3" t="inlineStr">
        <is>
          <t>Liabilities</t>
        </is>
      </c>
      <c r="D8019" s="3" t="inlineStr">
        <is>
          <t>9000/000</t>
        </is>
      </c>
      <c r="E8019" s="3" t="inlineStr">
        <is>
          <t>Supplier Control Account</t>
        </is>
      </c>
      <c r="F8019" s="3" t="n">
        <v>-1032</v>
      </c>
      <c r="G8019" s="3" t="n">
        <v>-1472</v>
      </c>
    </row>
    <row r="8020">
      <c r="A8020" s="3" t="inlineStr">
        <is>
          <t>Opportunity Management Holdings (PTY) LTD</t>
        </is>
      </c>
      <c r="B8020" s="4" t="n">
        <v>44620</v>
      </c>
      <c r="C8020" s="3" t="inlineStr">
        <is>
          <t>Liabilities</t>
        </is>
      </c>
      <c r="D8020" s="3" t="inlineStr">
        <is>
          <t>9000/000</t>
        </is>
      </c>
      <c r="E8020" s="3" t="inlineStr">
        <is>
          <t>Supplier Control Account</t>
        </is>
      </c>
      <c r="F8020" s="3" t="n">
        <v>-5738</v>
      </c>
      <c r="G8020" s="3" t="n">
        <v>-274126.03</v>
      </c>
    </row>
    <row r="8021">
      <c r="A8021" s="3" t="inlineStr">
        <is>
          <t>Quinate Consulting (Pty) Ltd</t>
        </is>
      </c>
      <c r="B8021" s="4" t="n">
        <v>44620</v>
      </c>
      <c r="C8021" s="3" t="inlineStr">
        <is>
          <t>Liabilities</t>
        </is>
      </c>
      <c r="D8021" s="3" t="inlineStr">
        <is>
          <t>9000/000</t>
        </is>
      </c>
      <c r="E8021" s="3" t="inlineStr">
        <is>
          <t>Supplier Control Account</t>
        </is>
      </c>
      <c r="F8021" s="3" t="n">
        <v>106977.57</v>
      </c>
      <c r="G8021" s="3" t="n">
        <v>-89727.42999999999</v>
      </c>
    </row>
    <row r="8022">
      <c r="A8022" s="3" t="inlineStr">
        <is>
          <t>Trademark Holdings (Pty) Ltd</t>
        </is>
      </c>
      <c r="B8022" s="4" t="n">
        <v>44620</v>
      </c>
      <c r="C8022" s="3" t="inlineStr">
        <is>
          <t>Liabilities</t>
        </is>
      </c>
      <c r="D8022" s="3" t="inlineStr">
        <is>
          <t>9000/000</t>
        </is>
      </c>
      <c r="E8022" s="3" t="inlineStr">
        <is>
          <t>Supplier Control Account</t>
        </is>
      </c>
      <c r="F8022" s="3" t="n">
        <v>-2636.71</v>
      </c>
      <c r="G8022" s="3" t="n">
        <v>-39737.53</v>
      </c>
    </row>
    <row r="8023">
      <c r="A8023" s="3" t="inlineStr">
        <is>
          <t>Quinate Consulting (Pty) Ltd</t>
        </is>
      </c>
      <c r="B8023" s="4" t="n">
        <v>44620</v>
      </c>
      <c r="C8023" s="3" t="inlineStr">
        <is>
          <t>Liabilities</t>
        </is>
      </c>
      <c r="D8023" s="3" t="inlineStr">
        <is>
          <t>9001</t>
        </is>
      </c>
      <c r="E8023" s="3" t="inlineStr">
        <is>
          <t>Supplier Control</t>
        </is>
      </c>
      <c r="F8023" s="3" t="n">
        <v>0</v>
      </c>
      <c r="G8023" s="3" t="n">
        <v>-347315.41</v>
      </c>
    </row>
    <row r="8024">
      <c r="A8024" s="3" t="inlineStr">
        <is>
          <t>Endulini (Pty) Ltd</t>
        </is>
      </c>
      <c r="B8024" s="4" t="n">
        <v>44620</v>
      </c>
      <c r="C8024" s="3" t="inlineStr">
        <is>
          <t>Liabilities</t>
        </is>
      </c>
      <c r="D8024" s="3" t="inlineStr">
        <is>
          <t>9100/000</t>
        </is>
      </c>
      <c r="E8024" s="3" t="inlineStr">
        <is>
          <t>GRN Accrual Account</t>
        </is>
      </c>
      <c r="F8024" s="3" t="n">
        <v>-18881.89</v>
      </c>
      <c r="G8024" s="3" t="n">
        <v>-18881.89</v>
      </c>
    </row>
    <row r="8025">
      <c r="A8025" s="3" t="inlineStr">
        <is>
          <t>Opportunity Management Holdings (PTY) LTD</t>
        </is>
      </c>
      <c r="B8025" s="4" t="n">
        <v>44620</v>
      </c>
      <c r="C8025" s="3" t="inlineStr">
        <is>
          <t>Assets</t>
        </is>
      </c>
      <c r="D8025" s="3" t="inlineStr">
        <is>
          <t>9110/000</t>
        </is>
      </c>
      <c r="E8025" s="3" t="inlineStr">
        <is>
          <t>Deposit Received</t>
        </is>
      </c>
      <c r="F8025" s="3" t="n">
        <v>0</v>
      </c>
      <c r="G8025" s="3" t="n">
        <v>-3852.5</v>
      </c>
    </row>
    <row r="8026">
      <c r="A8026" s="3" t="inlineStr">
        <is>
          <t>Opportunity Global Investment (PTY) LTD</t>
        </is>
      </c>
      <c r="B8026" s="4" t="n">
        <v>44620</v>
      </c>
      <c r="C8026" s="3" t="inlineStr">
        <is>
          <t>Liabilities</t>
        </is>
      </c>
      <c r="D8026" s="3" t="inlineStr">
        <is>
          <t>9110/000</t>
        </is>
      </c>
      <c r="E8026" s="3" t="inlineStr">
        <is>
          <t>Taxation B/S</t>
        </is>
      </c>
      <c r="F8026" s="3" t="n">
        <v>2150.09</v>
      </c>
      <c r="G8026" s="3" t="n">
        <v>2150.09</v>
      </c>
    </row>
    <row r="8027">
      <c r="A8027" s="3" t="inlineStr">
        <is>
          <t>Endulini (Pty) Ltd</t>
        </is>
      </c>
      <c r="B8027" s="4" t="n">
        <v>44620</v>
      </c>
      <c r="C8027" s="3" t="inlineStr">
        <is>
          <t>Liabilities</t>
        </is>
      </c>
      <c r="D8027" s="3" t="inlineStr">
        <is>
          <t>9200/100</t>
        </is>
      </c>
      <c r="E8027" s="3" t="inlineStr">
        <is>
          <t>Sundry Suppliers - Heron Fields</t>
        </is>
      </c>
      <c r="F8027" s="3" t="n">
        <v>0</v>
      </c>
      <c r="G8027" s="3" t="n">
        <v>-300000</v>
      </c>
    </row>
    <row r="8028">
      <c r="A8028" s="3" t="inlineStr">
        <is>
          <t>Opportunity Global Sales (PTY) LTD</t>
        </is>
      </c>
      <c r="B8028" s="4" t="n">
        <v>44620</v>
      </c>
      <c r="C8028" s="3" t="inlineStr">
        <is>
          <t>Liabilities</t>
        </is>
      </c>
      <c r="D8028" s="3" t="inlineStr">
        <is>
          <t>9230/100</t>
        </is>
      </c>
      <c r="E8028" s="3" t="inlineStr">
        <is>
          <t>Income Received in Advanced</t>
        </is>
      </c>
      <c r="F8028" s="3" t="n">
        <v>869.5599999999999</v>
      </c>
      <c r="G8028" s="3" t="n">
        <v>0</v>
      </c>
    </row>
    <row r="8029">
      <c r="A8029" s="3" t="inlineStr">
        <is>
          <t>Noble Shield (Pty) Ltd ta Go Letting</t>
        </is>
      </c>
      <c r="B8029" s="4" t="n">
        <v>44620</v>
      </c>
      <c r="C8029" s="3" t="inlineStr">
        <is>
          <t>Liabilities</t>
        </is>
      </c>
      <c r="D8029" s="3" t="inlineStr">
        <is>
          <t>9250/010</t>
        </is>
      </c>
      <c r="E8029" s="3" t="inlineStr">
        <is>
          <t>SALARY CONTROL</t>
        </is>
      </c>
      <c r="F8029" s="3" t="n">
        <v>830.97</v>
      </c>
      <c r="G8029" s="3" t="n">
        <v>-20650.77</v>
      </c>
    </row>
    <row r="8030">
      <c r="A8030" s="3" t="inlineStr">
        <is>
          <t>Opportunity Global Sales (PTY) LTD</t>
        </is>
      </c>
      <c r="B8030" s="4" t="n">
        <v>44620</v>
      </c>
      <c r="C8030" s="3" t="inlineStr">
        <is>
          <t>Liabilities</t>
        </is>
      </c>
      <c r="D8030" s="3" t="inlineStr">
        <is>
          <t>9250/010</t>
        </is>
      </c>
      <c r="E8030" s="3" t="inlineStr">
        <is>
          <t>SALARY CONTROL</t>
        </is>
      </c>
      <c r="F8030" s="3" t="n">
        <v>-20910.77</v>
      </c>
      <c r="G8030" s="3" t="n">
        <v>0</v>
      </c>
    </row>
    <row r="8031">
      <c r="A8031" s="3" t="inlineStr">
        <is>
          <t>Trademark Holdings (Pty) Ltd</t>
        </is>
      </c>
      <c r="B8031" s="4" t="n">
        <v>44620</v>
      </c>
      <c r="C8031" s="3" t="inlineStr">
        <is>
          <t>Liabilities</t>
        </is>
      </c>
      <c r="D8031" s="3" t="inlineStr">
        <is>
          <t>9250/010</t>
        </is>
      </c>
      <c r="E8031" s="3" t="inlineStr">
        <is>
          <t>SALARY CONTROL</t>
        </is>
      </c>
      <c r="F8031" s="3" t="n">
        <v>5434.74</v>
      </c>
      <c r="G8031" s="3" t="n">
        <v>-13266.19</v>
      </c>
    </row>
    <row r="8032">
      <c r="A8032" s="3" t="inlineStr">
        <is>
          <t>Noble Shield (Pty) Ltd ta Go Letting</t>
        </is>
      </c>
      <c r="B8032" s="4" t="n">
        <v>44620</v>
      </c>
      <c r="C8032" s="3" t="inlineStr">
        <is>
          <t>Liabilities</t>
        </is>
      </c>
      <c r="D8032" s="3" t="inlineStr">
        <is>
          <t>9250/020</t>
        </is>
      </c>
      <c r="E8032" s="3" t="inlineStr">
        <is>
          <t>PAYE, UIF AND SDL CONTROL</t>
        </is>
      </c>
      <c r="F8032" s="3" t="n">
        <v>-305.18</v>
      </c>
      <c r="G8032" s="3" t="n">
        <v>-6850.97</v>
      </c>
    </row>
    <row r="8033">
      <c r="A8033" s="3" t="inlineStr">
        <is>
          <t>Opportunity Global Investment (PTY) LTD</t>
        </is>
      </c>
      <c r="B8033" s="4" t="n">
        <v>44620</v>
      </c>
      <c r="C8033" s="3" t="inlineStr">
        <is>
          <t>Liabilities</t>
        </is>
      </c>
      <c r="D8033" s="3" t="inlineStr">
        <is>
          <t>9250/020</t>
        </is>
      </c>
      <c r="E8033" s="3" t="inlineStr">
        <is>
          <t>PAYE, UIF AND SDL CONTROL</t>
        </is>
      </c>
      <c r="F8033" s="3" t="n">
        <v>-8487.98</v>
      </c>
      <c r="G8033" s="3" t="n">
        <v>8688.42</v>
      </c>
    </row>
    <row r="8034">
      <c r="A8034" s="3" t="inlineStr">
        <is>
          <t>Opportunity Global Sales (PTY) LTD</t>
        </is>
      </c>
      <c r="B8034" s="4" t="n">
        <v>44620</v>
      </c>
      <c r="C8034" s="3" t="inlineStr">
        <is>
          <t>Liabilities</t>
        </is>
      </c>
      <c r="D8034" s="3" t="inlineStr">
        <is>
          <t>9250/020</t>
        </is>
      </c>
      <c r="E8034" s="3" t="inlineStr">
        <is>
          <t>PAYE, UIF AND SDL CONTROL</t>
        </is>
      </c>
      <c r="F8034" s="3" t="n">
        <v>-21137.71</v>
      </c>
      <c r="G8034" s="3" t="n">
        <v>-66479.34</v>
      </c>
    </row>
    <row r="8035">
      <c r="A8035" s="3" t="inlineStr">
        <is>
          <t>Opportunity Management Holdings (PTY) LTD</t>
        </is>
      </c>
      <c r="B8035" s="4" t="n">
        <v>44620</v>
      </c>
      <c r="C8035" s="3" t="inlineStr">
        <is>
          <t>Liabilities</t>
        </is>
      </c>
      <c r="D8035" s="3" t="inlineStr">
        <is>
          <t>9250/020</t>
        </is>
      </c>
      <c r="E8035" s="3" t="inlineStr">
        <is>
          <t>PAYE, UIF AND SDL CONTROL</t>
        </is>
      </c>
      <c r="F8035" s="3" t="n">
        <v>-37134.4</v>
      </c>
      <c r="G8035" s="3" t="n">
        <v>-74935.64</v>
      </c>
    </row>
    <row r="8036">
      <c r="A8036" s="3" t="inlineStr">
        <is>
          <t>Trademark Holdings (Pty) Ltd</t>
        </is>
      </c>
      <c r="B8036" s="4" t="n">
        <v>44620</v>
      </c>
      <c r="C8036" s="3" t="inlineStr">
        <is>
          <t>Liabilities</t>
        </is>
      </c>
      <c r="D8036" s="3" t="inlineStr">
        <is>
          <t>9250/020</t>
        </is>
      </c>
      <c r="E8036" s="3" t="inlineStr">
        <is>
          <t>PAYE, UIF AND SDL CONTROL</t>
        </is>
      </c>
      <c r="F8036" s="3" t="n">
        <v>3361.16</v>
      </c>
      <c r="G8036" s="3" t="n">
        <v>-5636.82</v>
      </c>
    </row>
    <row r="8037">
      <c r="A8037" s="3" t="inlineStr">
        <is>
          <t>Opportunity Global Investment (PTY) LTD</t>
        </is>
      </c>
      <c r="B8037" s="4" t="n">
        <v>44620</v>
      </c>
      <c r="C8037" s="3" t="inlineStr">
        <is>
          <t>Liabilities</t>
        </is>
      </c>
      <c r="D8037" s="3" t="inlineStr">
        <is>
          <t>9400/030</t>
        </is>
      </c>
      <c r="E8037" s="3" t="inlineStr">
        <is>
          <t>Accrued Expenses - PAYE_AND_UIF</t>
        </is>
      </c>
      <c r="F8037" s="3" t="n">
        <v>0</v>
      </c>
      <c r="G8037" s="3" t="n">
        <v>-2</v>
      </c>
    </row>
    <row r="8038">
      <c r="A8038" s="3" t="inlineStr">
        <is>
          <t>Trademark Holdings (Pty) Ltd</t>
        </is>
      </c>
      <c r="B8038" s="4" t="n">
        <v>44620</v>
      </c>
      <c r="C8038" s="3" t="inlineStr">
        <is>
          <t>Liabilities</t>
        </is>
      </c>
      <c r="D8038" s="3" t="inlineStr">
        <is>
          <t>9400/400</t>
        </is>
      </c>
      <c r="E8038" s="3" t="inlineStr">
        <is>
          <t>Deemed Dividend Tax</t>
        </is>
      </c>
      <c r="F8038" s="3" t="n">
        <v>0</v>
      </c>
      <c r="G8038" s="3" t="n">
        <v>-699.13</v>
      </c>
    </row>
    <row r="8039">
      <c r="A8039" s="3" t="inlineStr">
        <is>
          <t>Opportunity Global Investment (PTY) LTD</t>
        </is>
      </c>
      <c r="B8039" s="4" t="n">
        <v>44620</v>
      </c>
      <c r="C8039" s="3" t="inlineStr">
        <is>
          <t>Liabilities</t>
        </is>
      </c>
      <c r="D8039" s="3" t="inlineStr">
        <is>
          <t>9500/000</t>
        </is>
      </c>
      <c r="E8039" s="3" t="inlineStr">
        <is>
          <t>VAT Control Account</t>
        </is>
      </c>
      <c r="F8039" s="3" t="n">
        <v>-38104.84</v>
      </c>
      <c r="G8039" s="3" t="n">
        <v>-111962.09</v>
      </c>
    </row>
    <row r="8040">
      <c r="A8040" s="3" t="inlineStr">
        <is>
          <t>Opportunity Global Sales (PTY) LTD</t>
        </is>
      </c>
      <c r="B8040" s="4" t="n">
        <v>44620</v>
      </c>
      <c r="C8040" s="3" t="inlineStr">
        <is>
          <t>Liabilities</t>
        </is>
      </c>
      <c r="D8040" s="3" t="inlineStr">
        <is>
          <t>9500/000</t>
        </is>
      </c>
      <c r="E8040" s="3" t="inlineStr">
        <is>
          <t>VAT Control Account</t>
        </is>
      </c>
      <c r="F8040" s="3" t="n">
        <v>394.86</v>
      </c>
      <c r="G8040" s="3" t="n">
        <v>-28454.55</v>
      </c>
    </row>
    <row r="8041">
      <c r="A8041" s="3" t="inlineStr">
        <is>
          <t>Opportunity Management Holdings (PTY) LTD</t>
        </is>
      </c>
      <c r="B8041" s="4" t="n">
        <v>44620</v>
      </c>
      <c r="C8041" s="3" t="inlineStr">
        <is>
          <t>Liabilities</t>
        </is>
      </c>
      <c r="D8041" s="3" t="inlineStr">
        <is>
          <t>9500/000</t>
        </is>
      </c>
      <c r="E8041" s="3" t="inlineStr">
        <is>
          <t>VAT Control Account</t>
        </is>
      </c>
      <c r="F8041" s="3" t="n">
        <v>-36056.51</v>
      </c>
      <c r="G8041" s="3" t="n">
        <v>-31606.48</v>
      </c>
    </row>
    <row r="8042">
      <c r="A8042" s="3" t="inlineStr">
        <is>
          <t>Endulini (Pty) Ltd</t>
        </is>
      </c>
      <c r="B8042" s="4" t="n">
        <v>44620</v>
      </c>
      <c r="C8042" s="3" t="inlineStr">
        <is>
          <t>Liabilities</t>
        </is>
      </c>
      <c r="D8042" s="3" t="inlineStr">
        <is>
          <t>9500/000</t>
        </is>
      </c>
      <c r="E8042" s="3" t="inlineStr">
        <is>
          <t>Vat / Tax Control Account</t>
        </is>
      </c>
      <c r="F8042" s="3" t="n">
        <v>30789.75</v>
      </c>
      <c r="G8042" s="3" t="n">
        <v>2543226.02</v>
      </c>
    </row>
    <row r="8043">
      <c r="A8043" s="3" t="inlineStr">
        <is>
          <t>Quinate Consulting (Pty) Ltd</t>
        </is>
      </c>
      <c r="B8043" s="4" t="n">
        <v>44620</v>
      </c>
      <c r="C8043" s="3" t="inlineStr">
        <is>
          <t>Liabilities</t>
        </is>
      </c>
      <c r="D8043" s="3" t="inlineStr">
        <is>
          <t>9500/000</t>
        </is>
      </c>
      <c r="E8043" s="3" t="inlineStr">
        <is>
          <t>Vat Control Account</t>
        </is>
      </c>
      <c r="F8043" s="3" t="n">
        <v>-1055023.6</v>
      </c>
      <c r="G8043" s="3" t="n">
        <v>-1914678.71</v>
      </c>
    </row>
    <row r="8044">
      <c r="A8044" s="3" t="inlineStr">
        <is>
          <t>Opportunity Management Holdings (PTY) LTD</t>
        </is>
      </c>
      <c r="B8044" s="4" t="n">
        <v>44620</v>
      </c>
      <c r="C8044" s="3" t="inlineStr">
        <is>
          <t>Liabilities</t>
        </is>
      </c>
      <c r="D8044" s="3" t="inlineStr">
        <is>
          <t>9501/000</t>
        </is>
      </c>
      <c r="E8044" s="3" t="inlineStr">
        <is>
          <t>Vat Adjustments - C2M</t>
        </is>
      </c>
      <c r="F8044" s="3" t="n">
        <v>0</v>
      </c>
      <c r="G8044" s="3" t="n">
        <v>47274.04</v>
      </c>
    </row>
    <row r="8045">
      <c r="A8045" s="3" t="inlineStr">
        <is>
          <t>Endulini (Pty) Ltd</t>
        </is>
      </c>
      <c r="B8045" s="4" t="n">
        <v>44620</v>
      </c>
      <c r="C8045" s="3" t="inlineStr">
        <is>
          <t>Liabilities</t>
        </is>
      </c>
      <c r="D8045" s="3" t="inlineStr">
        <is>
          <t>9800/000</t>
        </is>
      </c>
      <c r="E8045" s="3" t="inlineStr">
        <is>
          <t>Contra Account</t>
        </is>
      </c>
      <c r="F8045" s="3" t="n">
        <v>-100000</v>
      </c>
      <c r="G8045" s="3" t="n">
        <v>0</v>
      </c>
    </row>
    <row r="8046">
      <c r="A8046" s="3" t="inlineStr">
        <is>
          <t>Quinate Consulting (Pty) Ltd</t>
        </is>
      </c>
      <c r="B8046" s="4" t="n">
        <v>44620</v>
      </c>
      <c r="C8046" s="3" t="inlineStr">
        <is>
          <t>Liabilities</t>
        </is>
      </c>
      <c r="D8046" s="3" t="inlineStr">
        <is>
          <t>9959/000</t>
        </is>
      </c>
      <c r="E8046" s="3" t="inlineStr">
        <is>
          <t>Dep Funds/Paid - Grey Heron Langeberg</t>
        </is>
      </c>
      <c r="F8046" s="3" t="n">
        <v>200000</v>
      </c>
      <c r="G8046" s="3" t="n">
        <v>0</v>
      </c>
    </row>
    <row r="8047">
      <c r="A8047" s="3" t="inlineStr">
        <is>
          <t>Quinate Consulting (Pty) Ltd</t>
        </is>
      </c>
      <c r="B8047" s="4" t="n">
        <v>44620</v>
      </c>
      <c r="C8047" s="3" t="inlineStr">
        <is>
          <t>Liabilities</t>
        </is>
      </c>
      <c r="D8047" s="3" t="inlineStr">
        <is>
          <t>9960/000</t>
        </is>
      </c>
      <c r="E8047" s="3" t="inlineStr">
        <is>
          <t>Deposits - Southwark Rentals</t>
        </is>
      </c>
      <c r="F8047" s="3" t="n">
        <v>0</v>
      </c>
      <c r="G8047" s="3" t="n">
        <v>-11500</v>
      </c>
    </row>
    <row r="8048">
      <c r="A8048" s="3" t="inlineStr">
        <is>
          <t>Noble Shield (Pty) Ltd ta Go Letting</t>
        </is>
      </c>
      <c r="B8048" s="4" t="n">
        <v>44620</v>
      </c>
      <c r="C8048" s="3" t="inlineStr">
        <is>
          <t>Expenses</t>
        </is>
      </c>
      <c r="D8048" s="3" t="inlineStr">
        <is>
          <t>ACB Link</t>
        </is>
      </c>
      <c r="E8048" s="3" t="inlineStr">
        <is>
          <t>Subscriptions - TPN</t>
        </is>
      </c>
      <c r="F8048" s="3" t="n">
        <v>1407.83</v>
      </c>
      <c r="G8048" s="3" t="n">
        <v>12446.08</v>
      </c>
    </row>
    <row r="8049">
      <c r="A8049" s="3" t="inlineStr">
        <is>
          <t>Noble Shield (Pty) Ltd ta Go Letting</t>
        </is>
      </c>
      <c r="B8049" s="4" t="n">
        <v>44620</v>
      </c>
      <c r="C8049" s="3" t="inlineStr">
        <is>
          <t>Liabilities</t>
        </is>
      </c>
      <c r="D8049" s="3" t="inlineStr">
        <is>
          <t>B/S</t>
        </is>
      </c>
      <c r="E8049" s="3" t="inlineStr">
        <is>
          <t>Tax Payable</t>
        </is>
      </c>
      <c r="F8049" s="3" t="n">
        <v>0</v>
      </c>
      <c r="G8049" s="3" t="n">
        <v>-6843.4</v>
      </c>
    </row>
    <row r="8050">
      <c r="A8050" s="3" t="inlineStr">
        <is>
          <t>Trademark Holdings (Pty) Ltd</t>
        </is>
      </c>
      <c r="B8050" s="4" t="n">
        <v>44620</v>
      </c>
      <c r="C8050" s="3" t="inlineStr">
        <is>
          <t>Liabilities</t>
        </is>
      </c>
      <c r="D8050" s="3" t="inlineStr">
        <is>
          <t>B/S</t>
        </is>
      </c>
      <c r="E8050" s="3" t="inlineStr">
        <is>
          <t>Taxation Payable</t>
        </is>
      </c>
      <c r="F8050" s="3" t="n">
        <v>0</v>
      </c>
      <c r="G8050" s="3" t="n">
        <v>-4172.16</v>
      </c>
    </row>
    <row r="8051">
      <c r="A8051" s="3" t="inlineStr">
        <is>
          <t>Quinate Consulting (Pty) Ltd</t>
        </is>
      </c>
      <c r="B8051" s="4" t="n">
        <v>44620</v>
      </c>
      <c r="C8051" s="3" t="inlineStr">
        <is>
          <t>Liabilities</t>
        </is>
      </c>
      <c r="D8051" s="3" t="inlineStr">
        <is>
          <t xml:space="preserve">B/S </t>
        </is>
      </c>
      <c r="E8051" s="3" t="inlineStr">
        <is>
          <t>Taxation Payable</t>
        </is>
      </c>
      <c r="F8051" s="3" t="n">
        <v>0</v>
      </c>
      <c r="G8051" s="3" t="n">
        <v>-15486</v>
      </c>
    </row>
    <row r="8052">
      <c r="A8052" s="3" t="inlineStr">
        <is>
          <t>Quinate Consulting (Pty) Ltd</t>
        </is>
      </c>
      <c r="B8052" s="4" t="n">
        <v>44620</v>
      </c>
      <c r="C8052" s="3" t="inlineStr">
        <is>
          <t>Liabilities</t>
        </is>
      </c>
      <c r="D8052" s="3" t="inlineStr">
        <is>
          <t>FV</t>
        </is>
      </c>
      <c r="E8052" s="3" t="inlineStr">
        <is>
          <t>Loan - Cape Projects Constuction</t>
        </is>
      </c>
      <c r="F8052" s="3" t="n">
        <v>-2850000</v>
      </c>
      <c r="G8052" s="3" t="n">
        <v>-2850000</v>
      </c>
    </row>
    <row r="8053">
      <c r="A8053" s="3" t="inlineStr">
        <is>
          <t>Trademark Holdings (Pty) Ltd</t>
        </is>
      </c>
      <c r="B8053" s="4" t="n">
        <v>44620</v>
      </c>
      <c r="C8053" s="3" t="inlineStr">
        <is>
          <t>Expenses</t>
        </is>
      </c>
      <c r="D8053" s="3" t="inlineStr">
        <is>
          <t>I/S</t>
        </is>
      </c>
      <c r="E8053" s="3" t="inlineStr">
        <is>
          <t>Income Tax Current Year</t>
        </is>
      </c>
      <c r="F8053" s="3" t="n">
        <v>0</v>
      </c>
      <c r="G8053" s="3" t="n">
        <v>2251.76</v>
      </c>
    </row>
    <row r="8054">
      <c r="A8054" s="3" t="inlineStr">
        <is>
          <t>Opportunity Global Investment (PTY) LTD</t>
        </is>
      </c>
      <c r="B8054" s="4" t="n">
        <v>44620</v>
      </c>
      <c r="C8054" s="3" t="inlineStr">
        <is>
          <t>Expenses</t>
        </is>
      </c>
      <c r="D8054" s="3" t="inlineStr">
        <is>
          <t>I/S</t>
        </is>
      </c>
      <c r="E8054" s="3" t="inlineStr">
        <is>
          <t>Taxation Payable</t>
        </is>
      </c>
      <c r="F8054" s="3" t="n">
        <v>25914.56</v>
      </c>
      <c r="G8054" s="3" t="n">
        <v>25914.56</v>
      </c>
    </row>
    <row r="8055">
      <c r="A8055" s="3" t="inlineStr">
        <is>
          <t>Quinate Consulting (Pty) Ltd</t>
        </is>
      </c>
      <c r="B8055" s="4" t="n">
        <v>44620</v>
      </c>
      <c r="C8055" s="3" t="inlineStr">
        <is>
          <t>Liabilities</t>
        </is>
      </c>
      <c r="D8055" s="3" t="inlineStr">
        <is>
          <t>Pty</t>
        </is>
      </c>
      <c r="E8055" s="3" t="inlineStr">
        <is>
          <t>Loan - Heron Projects</t>
        </is>
      </c>
      <c r="F8055" s="3" t="n">
        <v>-275000</v>
      </c>
      <c r="G8055" s="3" t="n">
        <v>0</v>
      </c>
    </row>
    <row r="8056">
      <c r="A8056" s="3" t="inlineStr">
        <is>
          <t>Quinate Consulting (Pty) Ltd</t>
        </is>
      </c>
      <c r="B8056" s="4" t="n">
        <v>44620</v>
      </c>
      <c r="C8056" s="3" t="inlineStr">
        <is>
          <t>Liabilities</t>
        </is>
      </c>
      <c r="D8056" s="3" t="inlineStr">
        <is>
          <t>Sharehold OppDev</t>
        </is>
      </c>
      <c r="E8056" s="3" t="inlineStr">
        <is>
          <t>Loan - Justine Morgan</t>
        </is>
      </c>
      <c r="F8056" s="3" t="n">
        <v>0</v>
      </c>
      <c r="G8056" s="3" t="n">
        <v>-563766.76</v>
      </c>
    </row>
    <row r="8057">
      <c r="A8057" s="3" t="inlineStr">
        <is>
          <t>Opportunity Global Investment (PTY) LTD</t>
        </is>
      </c>
      <c r="B8057" s="4" t="n">
        <v>44620</v>
      </c>
      <c r="C8057" s="3" t="inlineStr">
        <is>
          <t>Expenses</t>
        </is>
      </c>
      <c r="D8057" s="3" t="inlineStr">
        <is>
          <t>Swiftshutter</t>
        </is>
      </c>
      <c r="E8057" s="3" t="inlineStr">
        <is>
          <t>Advertising - Rousseau Lotter</t>
        </is>
      </c>
      <c r="F8057" s="3" t="n">
        <v>6600</v>
      </c>
      <c r="G8057" s="3" t="n">
        <v>19800</v>
      </c>
    </row>
    <row r="8058">
      <c r="A8058" s="3" t="inlineStr">
        <is>
          <t>Opportunity Global Sales (PTY) LTD</t>
        </is>
      </c>
      <c r="B8058" s="4" t="n">
        <v>44620</v>
      </c>
      <c r="C8058" s="3" t="inlineStr">
        <is>
          <t>Expenses</t>
        </is>
      </c>
      <c r="D8058" s="3" t="inlineStr">
        <is>
          <t>rental units</t>
        </is>
      </c>
      <c r="E8058" s="3" t="inlineStr">
        <is>
          <t>Rent - Paid to owner</t>
        </is>
      </c>
      <c r="F8058" s="3" t="n">
        <v>0</v>
      </c>
      <c r="G8058" s="3" t="n">
        <v>33534</v>
      </c>
    </row>
    <row r="8059">
      <c r="A8059" s="3" t="inlineStr">
        <is>
          <t>Opportunity Global Sales (PTY) LTD</t>
        </is>
      </c>
      <c r="B8059" s="4" t="n">
        <v>44651</v>
      </c>
      <c r="C8059" s="3" t="inlineStr">
        <is>
          <t>Revenue</t>
        </is>
      </c>
      <c r="D8059" s="3" t="inlineStr">
        <is>
          <t>1000/009</t>
        </is>
      </c>
      <c r="E8059" s="3" t="inlineStr">
        <is>
          <t>Sales - Comm on Payprop</t>
        </is>
      </c>
      <c r="F8059" s="3" t="n">
        <v>-3640.15</v>
      </c>
      <c r="G8059" s="3" t="n">
        <v>-3640.15</v>
      </c>
    </row>
    <row r="8060">
      <c r="A8060" s="3" t="inlineStr">
        <is>
          <t>Quinate Consulting (Pty) Ltd</t>
        </is>
      </c>
      <c r="B8060" s="4" t="n">
        <v>44651</v>
      </c>
      <c r="C8060" s="3" t="inlineStr">
        <is>
          <t>Revenue</t>
        </is>
      </c>
      <c r="D8060" s="3" t="inlineStr">
        <is>
          <t>1000/011</t>
        </is>
      </c>
      <c r="E8060" s="3" t="inlineStr">
        <is>
          <t>Rent Received - Soho Unit 23</t>
        </is>
      </c>
      <c r="F8060" s="3" t="n">
        <v>-12500</v>
      </c>
      <c r="G8060" s="3" t="n">
        <v>-12500</v>
      </c>
    </row>
    <row r="8061">
      <c r="A8061" s="3" t="inlineStr">
        <is>
          <t>Quinate Consulting (Pty) Ltd</t>
        </is>
      </c>
      <c r="B8061" s="4" t="n">
        <v>44651</v>
      </c>
      <c r="C8061" s="3" t="inlineStr">
        <is>
          <t>Revenue</t>
        </is>
      </c>
      <c r="D8061" s="3" t="inlineStr">
        <is>
          <t>1000/012</t>
        </is>
      </c>
      <c r="E8061" s="3" t="inlineStr">
        <is>
          <t>Rent Received - Soho Unit 24</t>
        </is>
      </c>
      <c r="F8061" s="3" t="n">
        <v>-13500</v>
      </c>
      <c r="G8061" s="3" t="n">
        <v>-13500</v>
      </c>
    </row>
    <row r="8062">
      <c r="A8062" s="3" t="inlineStr">
        <is>
          <t>Quinate Consulting (Pty) Ltd</t>
        </is>
      </c>
      <c r="B8062" s="4" t="n">
        <v>44651</v>
      </c>
      <c r="C8062" s="3" t="inlineStr">
        <is>
          <t>Revenue</t>
        </is>
      </c>
      <c r="D8062" s="3" t="inlineStr">
        <is>
          <t>1000/013</t>
        </is>
      </c>
      <c r="E8062" s="3" t="inlineStr">
        <is>
          <t>Rent Recieved - Soho Unit 20</t>
        </is>
      </c>
      <c r="F8062" s="3" t="n">
        <v>-12500</v>
      </c>
      <c r="G8062" s="3" t="n">
        <v>-12500</v>
      </c>
    </row>
    <row r="8063">
      <c r="A8063" s="3" t="inlineStr">
        <is>
          <t>Quinate Consulting (Pty) Ltd</t>
        </is>
      </c>
      <c r="B8063" s="4" t="n">
        <v>44651</v>
      </c>
      <c r="C8063" s="3" t="inlineStr">
        <is>
          <t>Revenue</t>
        </is>
      </c>
      <c r="D8063" s="3" t="inlineStr">
        <is>
          <t>1000/015</t>
        </is>
      </c>
      <c r="E8063" s="3" t="inlineStr">
        <is>
          <t>Rent Received - Southwark Unit 1</t>
        </is>
      </c>
      <c r="F8063" s="3" t="n">
        <v>-10000</v>
      </c>
      <c r="G8063" s="3" t="n">
        <v>-10000</v>
      </c>
    </row>
    <row r="8064">
      <c r="A8064" s="3" t="inlineStr">
        <is>
          <t>Quinate Consulting (Pty) Ltd</t>
        </is>
      </c>
      <c r="B8064" s="4" t="n">
        <v>44651</v>
      </c>
      <c r="C8064" s="3" t="inlineStr">
        <is>
          <t>Revenue</t>
        </is>
      </c>
      <c r="D8064" s="3" t="inlineStr">
        <is>
          <t>1000/016</t>
        </is>
      </c>
      <c r="E8064" s="3" t="inlineStr">
        <is>
          <t>Rent Recieved - Southwark Unit 21</t>
        </is>
      </c>
      <c r="F8064" s="3" t="n">
        <v>-10000</v>
      </c>
      <c r="G8064" s="3" t="n">
        <v>-10000</v>
      </c>
    </row>
    <row r="8065">
      <c r="A8065" s="3" t="inlineStr">
        <is>
          <t>Opportunity Global Sales (PTY) LTD</t>
        </is>
      </c>
      <c r="B8065" s="4" t="n">
        <v>44651</v>
      </c>
      <c r="C8065" s="3" t="inlineStr">
        <is>
          <t>Revenue</t>
        </is>
      </c>
      <c r="D8065" s="3" t="inlineStr">
        <is>
          <t>1000/100</t>
        </is>
      </c>
      <c r="E8065" s="3" t="inlineStr">
        <is>
          <t>Sales - Comm on External Sales</t>
        </is>
      </c>
      <c r="F8065" s="3" t="n">
        <v>-25000</v>
      </c>
      <c r="G8065" s="3" t="n">
        <v>-25000</v>
      </c>
    </row>
    <row r="8066">
      <c r="A8066" s="3" t="inlineStr">
        <is>
          <t>Noble Shield (Pty) Ltd ta Go Letting</t>
        </is>
      </c>
      <c r="B8066" s="4" t="n">
        <v>44651</v>
      </c>
      <c r="C8066" s="3" t="inlineStr">
        <is>
          <t>Revenue</t>
        </is>
      </c>
      <c r="D8066" s="3" t="inlineStr">
        <is>
          <t>1000/100</t>
        </is>
      </c>
      <c r="E8066" s="3" t="inlineStr">
        <is>
          <t>Sales - Payprop 328 - Michelle</t>
        </is>
      </c>
      <c r="F8066" s="3" t="n">
        <v>-78674.00999999999</v>
      </c>
      <c r="G8066" s="3" t="n">
        <v>-523541.82</v>
      </c>
    </row>
    <row r="8067">
      <c r="A8067" s="3" t="inlineStr">
        <is>
          <t>Opportunity Global Sales (PTY) LTD</t>
        </is>
      </c>
      <c r="B8067" s="4" t="n">
        <v>44651</v>
      </c>
      <c r="C8067" s="3" t="inlineStr">
        <is>
          <t>Revenue</t>
        </is>
      </c>
      <c r="D8067" s="3" t="inlineStr">
        <is>
          <t>1000/120</t>
        </is>
      </c>
      <c r="E8067" s="3" t="inlineStr">
        <is>
          <t>Sales - Admin Fees on Rental Units</t>
        </is>
      </c>
      <c r="F8067" s="3" t="n">
        <v>-1304.34</v>
      </c>
      <c r="G8067" s="3" t="n">
        <v>-1304.34</v>
      </c>
    </row>
    <row r="8068">
      <c r="A8068" s="3" t="inlineStr">
        <is>
          <t>Opportunity Global Sales (PTY) LTD</t>
        </is>
      </c>
      <c r="B8068" s="4" t="n">
        <v>44651</v>
      </c>
      <c r="C8068" s="3" t="inlineStr">
        <is>
          <t>Revenue</t>
        </is>
      </c>
      <c r="D8068" s="3" t="inlineStr">
        <is>
          <t>1000/150</t>
        </is>
      </c>
      <c r="E8068" s="3" t="inlineStr">
        <is>
          <t>Sales - Comm on External Rental</t>
        </is>
      </c>
      <c r="F8068" s="3" t="n">
        <v>-12782.61</v>
      </c>
      <c r="G8068" s="3" t="n">
        <v>-12782.61</v>
      </c>
    </row>
    <row r="8069">
      <c r="A8069" s="3" t="inlineStr">
        <is>
          <t>Trademark Holdings (Pty) Ltd</t>
        </is>
      </c>
      <c r="B8069" s="4" t="n">
        <v>44651</v>
      </c>
      <c r="C8069" s="3" t="inlineStr">
        <is>
          <t>Revenue</t>
        </is>
      </c>
      <c r="D8069" s="3" t="inlineStr">
        <is>
          <t>1000/300</t>
        </is>
      </c>
      <c r="E8069" s="3" t="inlineStr">
        <is>
          <t>Sales - Payprop - Lara</t>
        </is>
      </c>
      <c r="F8069" s="3" t="n">
        <v>-95456.92999999999</v>
      </c>
      <c r="G8069" s="3" t="n">
        <v>-638478.63</v>
      </c>
    </row>
    <row r="8070">
      <c r="A8070" s="3" t="inlineStr">
        <is>
          <t>Opportunity Global Investment (PTY) LTD</t>
        </is>
      </c>
      <c r="B8070" s="4" t="n">
        <v>44651</v>
      </c>
      <c r="C8070" s="3" t="inlineStr">
        <is>
          <t>Revenue</t>
        </is>
      </c>
      <c r="D8070" s="3" t="inlineStr">
        <is>
          <t>1000/350</t>
        </is>
      </c>
      <c r="E8070" s="3" t="inlineStr">
        <is>
          <t>Sales - Investor Management - Heron Fields</t>
        </is>
      </c>
      <c r="F8070" s="3" t="n">
        <v>-45697.93</v>
      </c>
      <c r="G8070" s="3" t="n">
        <v>-45697.93</v>
      </c>
    </row>
    <row r="8071">
      <c r="A8071" s="3" t="inlineStr">
        <is>
          <t>Trademark Holdings (Pty) Ltd</t>
        </is>
      </c>
      <c r="B8071" s="4" t="n">
        <v>44651</v>
      </c>
      <c r="C8071" s="3" t="inlineStr">
        <is>
          <t>Revenue</t>
        </is>
      </c>
      <c r="D8071" s="3" t="inlineStr">
        <is>
          <t>1000/500</t>
        </is>
      </c>
      <c r="E8071" s="3" t="inlineStr">
        <is>
          <t>Sales - Commission external sale</t>
        </is>
      </c>
      <c r="F8071" s="3" t="n">
        <v>-70000</v>
      </c>
      <c r="G8071" s="3" t="n">
        <v>-70000</v>
      </c>
    </row>
    <row r="8072">
      <c r="A8072" s="3" t="inlineStr">
        <is>
          <t>Quinate Consulting (Pty) Ltd</t>
        </is>
      </c>
      <c r="B8072" s="4" t="n">
        <v>44651</v>
      </c>
      <c r="C8072" s="3" t="inlineStr">
        <is>
          <t>Revenue</t>
        </is>
      </c>
      <c r="D8072" s="3" t="inlineStr">
        <is>
          <t>1004/000</t>
        </is>
      </c>
      <c r="E8072" s="3" t="inlineStr">
        <is>
          <t>Interest received</t>
        </is>
      </c>
      <c r="F8072" s="3" t="n">
        <v>-317.81</v>
      </c>
      <c r="G8072" s="3" t="n">
        <v>-317.81</v>
      </c>
    </row>
    <row r="8073">
      <c r="A8073" s="3" t="inlineStr">
        <is>
          <t>Opportunity Management Holdings (PTY) LTD</t>
        </is>
      </c>
      <c r="B8073" s="4" t="n">
        <v>44651</v>
      </c>
      <c r="C8073" s="3" t="inlineStr">
        <is>
          <t>Revenue</t>
        </is>
      </c>
      <c r="D8073" s="3" t="inlineStr">
        <is>
          <t>1100/001</t>
        </is>
      </c>
      <c r="E8073" s="3" t="inlineStr">
        <is>
          <t>Salary Recharges</t>
        </is>
      </c>
      <c r="F8073" s="3" t="n">
        <v>-267596.02</v>
      </c>
      <c r="G8073" s="3" t="n">
        <v>-1743943.06</v>
      </c>
    </row>
    <row r="8074">
      <c r="A8074" s="3" t="inlineStr">
        <is>
          <t>Noble Shield (Pty) Ltd ta Go Letting</t>
        </is>
      </c>
      <c r="B8074" s="4" t="n">
        <v>44651</v>
      </c>
      <c r="C8074" s="3" t="inlineStr">
        <is>
          <t>Revenue</t>
        </is>
      </c>
      <c r="D8074" s="3" t="inlineStr">
        <is>
          <t>1500/000</t>
        </is>
      </c>
      <c r="E8074" s="3" t="inlineStr">
        <is>
          <t>Insurance recovery</t>
        </is>
      </c>
      <c r="F8074" s="3" t="n">
        <v>0</v>
      </c>
      <c r="G8074" s="3" t="n">
        <v>-1750</v>
      </c>
    </row>
    <row r="8075">
      <c r="A8075" s="3" t="inlineStr">
        <is>
          <t>Endulini (Pty) Ltd</t>
        </is>
      </c>
      <c r="B8075" s="4" t="n">
        <v>44651</v>
      </c>
      <c r="C8075" s="3" t="inlineStr">
        <is>
          <t>Expenses</t>
        </is>
      </c>
      <c r="D8075" s="3" t="inlineStr">
        <is>
          <t>2000/100</t>
        </is>
      </c>
      <c r="E8075" s="3" t="inlineStr">
        <is>
          <t>COS - Commission Endulini</t>
        </is>
      </c>
      <c r="F8075" s="3" t="n">
        <v>334000</v>
      </c>
      <c r="G8075" s="3" t="n">
        <v>334000</v>
      </c>
    </row>
    <row r="8076">
      <c r="A8076" s="3" t="inlineStr">
        <is>
          <t>Noble Shield (Pty) Ltd ta Go Letting</t>
        </is>
      </c>
      <c r="B8076" s="4" t="n">
        <v>44651</v>
      </c>
      <c r="C8076" s="3" t="inlineStr">
        <is>
          <t>Expenses</t>
        </is>
      </c>
      <c r="D8076" s="3" t="inlineStr">
        <is>
          <t>2000/100</t>
        </is>
      </c>
      <c r="E8076" s="3" t="inlineStr">
        <is>
          <t>COS - Commission Paid</t>
        </is>
      </c>
      <c r="F8076" s="3" t="n">
        <v>14494.13</v>
      </c>
      <c r="G8076" s="3" t="n">
        <v>175655.1</v>
      </c>
    </row>
    <row r="8077">
      <c r="A8077" s="3" t="inlineStr">
        <is>
          <t>Opportunity Global Sales (PTY) LTD</t>
        </is>
      </c>
      <c r="B8077" s="4" t="n">
        <v>44651</v>
      </c>
      <c r="C8077" s="3" t="inlineStr">
        <is>
          <t>Expenses</t>
        </is>
      </c>
      <c r="D8077" s="3" t="inlineStr">
        <is>
          <t>2000/132</t>
        </is>
      </c>
      <c r="E8077" s="3" t="inlineStr">
        <is>
          <t>COS - Sales Comm Endulini - Minette</t>
        </is>
      </c>
      <c r="F8077" s="3" t="n">
        <v>9981.9</v>
      </c>
      <c r="G8077" s="3" t="n">
        <v>9981.9</v>
      </c>
    </row>
    <row r="8078">
      <c r="A8078" s="3" t="inlineStr">
        <is>
          <t>Opportunity Global Sales (PTY) LTD</t>
        </is>
      </c>
      <c r="B8078" s="4" t="n">
        <v>44651</v>
      </c>
      <c r="C8078" s="3" t="inlineStr">
        <is>
          <t>Expenses</t>
        </is>
      </c>
      <c r="D8078" s="3" t="inlineStr">
        <is>
          <t>2000/137</t>
        </is>
      </c>
      <c r="E8078" s="3" t="inlineStr">
        <is>
          <t>COS - Rental Comm External - Minette</t>
        </is>
      </c>
      <c r="F8078" s="3" t="n">
        <v>3895</v>
      </c>
      <c r="G8078" s="3" t="n">
        <v>3895</v>
      </c>
    </row>
    <row r="8079">
      <c r="A8079" s="3" t="inlineStr">
        <is>
          <t>Opportunity Global Sales (PTY) LTD</t>
        </is>
      </c>
      <c r="B8079" s="4" t="n">
        <v>44651</v>
      </c>
      <c r="C8079" s="3" t="inlineStr">
        <is>
          <t>Expenses</t>
        </is>
      </c>
      <c r="D8079" s="3" t="inlineStr">
        <is>
          <t>2000/139</t>
        </is>
      </c>
      <c r="E8079" s="3" t="inlineStr">
        <is>
          <t>COS - Sales Comm Heron Fields - Minette</t>
        </is>
      </c>
      <c r="F8079" s="3" t="n">
        <v>55774.24</v>
      </c>
      <c r="G8079" s="3" t="n">
        <v>55774.24</v>
      </c>
    </row>
    <row r="8080">
      <c r="A8080" s="3" t="inlineStr">
        <is>
          <t>Trademark Holdings (Pty) Ltd</t>
        </is>
      </c>
      <c r="B8080" s="4" t="n">
        <v>44651</v>
      </c>
      <c r="C8080" s="3" t="inlineStr">
        <is>
          <t>Expenses</t>
        </is>
      </c>
      <c r="D8080" s="3" t="inlineStr">
        <is>
          <t>2000/300</t>
        </is>
      </c>
      <c r="E8080" s="3" t="inlineStr">
        <is>
          <t>COS - Commission Paid</t>
        </is>
      </c>
      <c r="F8080" s="3" t="n">
        <v>17144.49</v>
      </c>
      <c r="G8080" s="3" t="n">
        <v>169115.97</v>
      </c>
    </row>
    <row r="8081">
      <c r="A8081" s="3" t="inlineStr">
        <is>
          <t>Trademark Holdings (Pty) Ltd</t>
        </is>
      </c>
      <c r="B8081" s="4" t="n">
        <v>44651</v>
      </c>
      <c r="C8081" s="3" t="inlineStr">
        <is>
          <t>Expenses</t>
        </is>
      </c>
      <c r="D8081" s="3" t="inlineStr">
        <is>
          <t>2000/400</t>
        </is>
      </c>
      <c r="E8081" s="3" t="inlineStr">
        <is>
          <t>COS - Commission on external sales</t>
        </is>
      </c>
      <c r="F8081" s="3" t="n">
        <v>42000</v>
      </c>
      <c r="G8081" s="3" t="n">
        <v>42000</v>
      </c>
    </row>
    <row r="8082">
      <c r="A8082" s="3" t="inlineStr">
        <is>
          <t>Endulini (Pty) Ltd</t>
        </is>
      </c>
      <c r="B8082" s="4" t="n">
        <v>44651</v>
      </c>
      <c r="C8082" s="3" t="inlineStr">
        <is>
          <t>Expenses</t>
        </is>
      </c>
      <c r="D8082" s="3" t="inlineStr">
        <is>
          <t>2000/400</t>
        </is>
      </c>
      <c r="E8082" s="3" t="inlineStr">
        <is>
          <t>COS - Gifts</t>
        </is>
      </c>
      <c r="F8082" s="3" t="n">
        <v>4270</v>
      </c>
      <c r="G8082" s="3" t="n">
        <v>4270</v>
      </c>
    </row>
    <row r="8083">
      <c r="A8083" s="3" t="inlineStr">
        <is>
          <t>Quinate Consulting (Pty) Ltd</t>
        </is>
      </c>
      <c r="B8083" s="4" t="n">
        <v>44651</v>
      </c>
      <c r="C8083" s="3" t="inlineStr">
        <is>
          <t>Revenue</t>
        </is>
      </c>
      <c r="D8083" s="3" t="inlineStr">
        <is>
          <t>2400/200</t>
        </is>
      </c>
      <c r="E8083" s="3" t="inlineStr">
        <is>
          <t>Recovery Acc - Electricity SH</t>
        </is>
      </c>
      <c r="F8083" s="3" t="n">
        <v>-18058.47</v>
      </c>
      <c r="G8083" s="3" t="n">
        <v>-18058.47</v>
      </c>
    </row>
    <row r="8084">
      <c r="A8084" s="3" t="inlineStr">
        <is>
          <t>Quinate Consulting (Pty) Ltd</t>
        </is>
      </c>
      <c r="B8084" s="4" t="n">
        <v>44651</v>
      </c>
      <c r="C8084" s="3" t="inlineStr">
        <is>
          <t>Revenue</t>
        </is>
      </c>
      <c r="D8084" s="3" t="inlineStr">
        <is>
          <t>2400/300</t>
        </is>
      </c>
      <c r="E8084" s="3" t="inlineStr">
        <is>
          <t>Recovery Account - Electricity SW</t>
        </is>
      </c>
      <c r="F8084" s="3" t="n">
        <v>-13140.69</v>
      </c>
      <c r="G8084" s="3" t="n">
        <v>-13140.69</v>
      </c>
    </row>
    <row r="8085">
      <c r="A8085" s="3" t="inlineStr">
        <is>
          <t>Opportunity Management Holdings (PTY) LTD</t>
        </is>
      </c>
      <c r="B8085" s="4" t="n">
        <v>44651</v>
      </c>
      <c r="C8085" s="3" t="inlineStr">
        <is>
          <t>Revenue</t>
        </is>
      </c>
      <c r="D8085" s="3" t="inlineStr">
        <is>
          <t>2750/000</t>
        </is>
      </c>
      <c r="E8085" s="3" t="inlineStr">
        <is>
          <t>Interest Received</t>
        </is>
      </c>
      <c r="F8085" s="3" t="n">
        <v>0</v>
      </c>
      <c r="G8085" s="3" t="n">
        <v>-0.21</v>
      </c>
    </row>
    <row r="8086">
      <c r="A8086" s="3" t="inlineStr">
        <is>
          <t>Opportunity Global Investment (PTY) LTD</t>
        </is>
      </c>
      <c r="B8086" s="4" t="n">
        <v>44651</v>
      </c>
      <c r="C8086" s="3" t="inlineStr">
        <is>
          <t>Revenue</t>
        </is>
      </c>
      <c r="D8086" s="3" t="inlineStr">
        <is>
          <t>2753/000</t>
        </is>
      </c>
      <c r="E8086" s="3" t="inlineStr">
        <is>
          <t>Interest received - Momentum</t>
        </is>
      </c>
      <c r="F8086" s="3" t="n">
        <v>-17.58</v>
      </c>
      <c r="G8086" s="3" t="n">
        <v>-17.58</v>
      </c>
    </row>
    <row r="8087">
      <c r="A8087" s="3" t="inlineStr">
        <is>
          <t>Endulini (Pty) Ltd</t>
        </is>
      </c>
      <c r="B8087" s="4" t="n">
        <v>44651</v>
      </c>
      <c r="C8087" s="3" t="inlineStr">
        <is>
          <t>Revenue</t>
        </is>
      </c>
      <c r="D8087" s="3" t="inlineStr">
        <is>
          <t>2755/001</t>
        </is>
      </c>
      <c r="E8087" s="3" t="inlineStr">
        <is>
          <t>Interest Received - Momentum</t>
        </is>
      </c>
      <c r="F8087" s="3" t="n">
        <v>-5721.95</v>
      </c>
      <c r="G8087" s="3" t="n">
        <v>-5721.95</v>
      </c>
    </row>
    <row r="8088">
      <c r="A8088" s="3" t="inlineStr">
        <is>
          <t>Quinate Consulting (Pty) Ltd</t>
        </is>
      </c>
      <c r="B8088" s="4" t="n">
        <v>44651</v>
      </c>
      <c r="C8088" s="3" t="inlineStr">
        <is>
          <t>Revenue</t>
        </is>
      </c>
      <c r="D8088" s="3" t="inlineStr">
        <is>
          <t>2755/001</t>
        </is>
      </c>
      <c r="E8088" s="3" t="inlineStr">
        <is>
          <t>Interest Received - Momentum</t>
        </is>
      </c>
      <c r="F8088" s="3" t="n">
        <v>-2.01</v>
      </c>
      <c r="G8088" s="3" t="n">
        <v>-2.01</v>
      </c>
    </row>
    <row r="8089">
      <c r="A8089" s="3" t="inlineStr">
        <is>
          <t>Noble Shield (Pty) Ltd ta Go Letting</t>
        </is>
      </c>
      <c r="B8089" s="4" t="n">
        <v>44651</v>
      </c>
      <c r="C8089" s="3" t="inlineStr">
        <is>
          <t>Expenses</t>
        </is>
      </c>
      <c r="D8089" s="3" t="inlineStr">
        <is>
          <t>3000/300</t>
        </is>
      </c>
      <c r="E8089" s="3" t="inlineStr">
        <is>
          <t>Accounting Fees - Audit</t>
        </is>
      </c>
      <c r="F8089" s="3" t="n">
        <v>0</v>
      </c>
      <c r="G8089" s="3" t="n">
        <v>25967</v>
      </c>
    </row>
    <row r="8090">
      <c r="A8090" s="3" t="inlineStr">
        <is>
          <t>Trademark Holdings (Pty) Ltd</t>
        </is>
      </c>
      <c r="B8090" s="4" t="n">
        <v>44651</v>
      </c>
      <c r="C8090" s="3" t="inlineStr">
        <is>
          <t>Expenses</t>
        </is>
      </c>
      <c r="D8090" s="3" t="inlineStr">
        <is>
          <t>3000/300</t>
        </is>
      </c>
      <c r="E8090" s="3" t="inlineStr">
        <is>
          <t>Accounting Fees - Audit</t>
        </is>
      </c>
      <c r="F8090" s="3" t="n">
        <v>0</v>
      </c>
      <c r="G8090" s="3" t="n">
        <v>16790</v>
      </c>
    </row>
    <row r="8091">
      <c r="A8091" s="3" t="inlineStr">
        <is>
          <t>Noble Shield (Pty) Ltd ta Go Letting</t>
        </is>
      </c>
      <c r="B8091" s="4" t="n">
        <v>44651</v>
      </c>
      <c r="C8091" s="3" t="inlineStr">
        <is>
          <t>Expenses</t>
        </is>
      </c>
      <c r="D8091" s="3" t="inlineStr">
        <is>
          <t>3000/400</t>
        </is>
      </c>
      <c r="E8091" s="3" t="inlineStr">
        <is>
          <t>Accounting Fees - CipC</t>
        </is>
      </c>
      <c r="F8091" s="3" t="n">
        <v>0</v>
      </c>
      <c r="G8091" s="3" t="n">
        <v>100</v>
      </c>
    </row>
    <row r="8092">
      <c r="A8092" s="3" t="inlineStr">
        <is>
          <t>Opportunity Management Holdings (PTY) LTD</t>
        </is>
      </c>
      <c r="B8092" s="4" t="n">
        <v>44651</v>
      </c>
      <c r="C8092" s="3" t="inlineStr">
        <is>
          <t>Expenses</t>
        </is>
      </c>
      <c r="D8092" s="3" t="inlineStr">
        <is>
          <t>3001/000</t>
        </is>
      </c>
      <c r="E8092" s="3" t="inlineStr">
        <is>
          <t>Accounting Fees - Payroll</t>
        </is>
      </c>
      <c r="F8092" s="3" t="n">
        <v>0</v>
      </c>
      <c r="G8092" s="3" t="n">
        <v>577.5</v>
      </c>
    </row>
    <row r="8093">
      <c r="A8093" s="3" t="inlineStr">
        <is>
          <t>Quinate Consulting (Pty) Ltd</t>
        </is>
      </c>
      <c r="B8093" s="4" t="n">
        <v>44651</v>
      </c>
      <c r="C8093" s="3" t="inlineStr">
        <is>
          <t>Expenses</t>
        </is>
      </c>
      <c r="D8093" s="3" t="inlineStr">
        <is>
          <t>3001/000</t>
        </is>
      </c>
      <c r="E8093" s="3" t="inlineStr">
        <is>
          <t>Accounting fees - Other</t>
        </is>
      </c>
      <c r="F8093" s="3" t="n">
        <v>1850</v>
      </c>
      <c r="G8093" s="3" t="n">
        <v>1850</v>
      </c>
    </row>
    <row r="8094">
      <c r="A8094" s="3" t="inlineStr">
        <is>
          <t>Opportunity Management Holdings (PTY) LTD</t>
        </is>
      </c>
      <c r="B8094" s="4" t="n">
        <v>44651</v>
      </c>
      <c r="C8094" s="3" t="inlineStr">
        <is>
          <t>Expenses</t>
        </is>
      </c>
      <c r="D8094" s="3" t="inlineStr">
        <is>
          <t>3004/000</t>
        </is>
      </c>
      <c r="E8094" s="3" t="inlineStr">
        <is>
          <t>Accounting fees - Janine Theart</t>
        </is>
      </c>
      <c r="F8094" s="3" t="n">
        <v>18750</v>
      </c>
      <c r="G8094" s="3" t="n">
        <v>100000</v>
      </c>
    </row>
    <row r="8095">
      <c r="A8095" s="3" t="inlineStr">
        <is>
          <t>Opportunity Management Holdings (PTY) LTD</t>
        </is>
      </c>
      <c r="B8095" s="4" t="n">
        <v>44651</v>
      </c>
      <c r="C8095" s="3" t="inlineStr">
        <is>
          <t>Expenses</t>
        </is>
      </c>
      <c r="D8095" s="3" t="inlineStr">
        <is>
          <t>3005/000</t>
        </is>
      </c>
      <c r="E8095" s="3" t="inlineStr">
        <is>
          <t>Accounting fees - Deric Dudley</t>
        </is>
      </c>
      <c r="F8095" s="3" t="n">
        <v>44000</v>
      </c>
      <c r="G8095" s="3" t="n">
        <v>264000</v>
      </c>
    </row>
    <row r="8096">
      <c r="A8096" s="3" t="inlineStr">
        <is>
          <t>Opportunity Management Holdings (PTY) LTD</t>
        </is>
      </c>
      <c r="B8096" s="4" t="n">
        <v>44651</v>
      </c>
      <c r="C8096" s="3" t="inlineStr">
        <is>
          <t>Expenses</t>
        </is>
      </c>
      <c r="D8096" s="3" t="inlineStr">
        <is>
          <t>3006/000</t>
        </is>
      </c>
      <c r="E8096" s="3" t="inlineStr">
        <is>
          <t>Accounting fees - CIPC</t>
        </is>
      </c>
      <c r="F8096" s="3" t="n">
        <v>0</v>
      </c>
      <c r="G8096" s="3" t="n">
        <v>350</v>
      </c>
    </row>
    <row r="8097">
      <c r="A8097" s="3" t="inlineStr">
        <is>
          <t>Opportunity Management Holdings (PTY) LTD</t>
        </is>
      </c>
      <c r="B8097" s="4" t="n">
        <v>44651</v>
      </c>
      <c r="C8097" s="3" t="inlineStr">
        <is>
          <t>Expenses</t>
        </is>
      </c>
      <c r="D8097" s="3" t="inlineStr">
        <is>
          <t>3007/000</t>
        </is>
      </c>
      <c r="E8097" s="3" t="inlineStr">
        <is>
          <t>Accounting fees - Warwick</t>
        </is>
      </c>
      <c r="F8097" s="3" t="n">
        <v>20696.82</v>
      </c>
      <c r="G8097" s="3" t="n">
        <v>179393.64</v>
      </c>
    </row>
    <row r="8098">
      <c r="A8098" s="3" t="inlineStr">
        <is>
          <t>Noble Shield (Pty) Ltd ta Go Letting</t>
        </is>
      </c>
      <c r="B8098" s="4" t="n">
        <v>44651</v>
      </c>
      <c r="C8098" s="3" t="inlineStr">
        <is>
          <t>Expenses</t>
        </is>
      </c>
      <c r="D8098" s="3" t="inlineStr">
        <is>
          <t>3050/000</t>
        </is>
      </c>
      <c r="E8098" s="3" t="inlineStr">
        <is>
          <t>Advertising _AND_ Promotions</t>
        </is>
      </c>
      <c r="F8098" s="3" t="n">
        <v>0</v>
      </c>
      <c r="G8098" s="3" t="n">
        <v>3862.5</v>
      </c>
    </row>
    <row r="8099">
      <c r="A8099" s="3" t="inlineStr">
        <is>
          <t>Opportunity Management Holdings (PTY) LTD</t>
        </is>
      </c>
      <c r="B8099" s="4" t="n">
        <v>44651</v>
      </c>
      <c r="C8099" s="3" t="inlineStr">
        <is>
          <t>Expenses</t>
        </is>
      </c>
      <c r="D8099" s="3" t="inlineStr">
        <is>
          <t>3050/000</t>
        </is>
      </c>
      <c r="E8099" s="3" t="inlineStr">
        <is>
          <t>Advertising _AND_ Promotions</t>
        </is>
      </c>
      <c r="F8099" s="3" t="n">
        <v>6450</v>
      </c>
      <c r="G8099" s="3" t="n">
        <v>6450</v>
      </c>
    </row>
    <row r="8100">
      <c r="A8100" s="3" t="inlineStr">
        <is>
          <t>Endulini (Pty) Ltd</t>
        </is>
      </c>
      <c r="B8100" s="4" t="n">
        <v>44651</v>
      </c>
      <c r="C8100" s="3" t="inlineStr">
        <is>
          <t>Expenses</t>
        </is>
      </c>
      <c r="D8100" s="3" t="inlineStr">
        <is>
          <t>3050/001</t>
        </is>
      </c>
      <c r="E8100" s="3" t="inlineStr">
        <is>
          <t>Advertising _AND_ Promotions - Media Agenda</t>
        </is>
      </c>
      <c r="F8100" s="3" t="n">
        <v>550</v>
      </c>
      <c r="G8100" s="3" t="n">
        <v>550</v>
      </c>
    </row>
    <row r="8101">
      <c r="A8101" s="3" t="inlineStr">
        <is>
          <t>Noble Shield (Pty) Ltd ta Go Letting</t>
        </is>
      </c>
      <c r="B8101" s="4" t="n">
        <v>44651</v>
      </c>
      <c r="C8101" s="3" t="inlineStr">
        <is>
          <t>Expenses</t>
        </is>
      </c>
      <c r="D8101" s="3" t="inlineStr">
        <is>
          <t>3050/050</t>
        </is>
      </c>
      <c r="E8101" s="3" t="inlineStr">
        <is>
          <t>Advertising - Prop 24</t>
        </is>
      </c>
      <c r="F8101" s="3" t="n">
        <v>267.95</v>
      </c>
      <c r="G8101" s="3" t="n">
        <v>14123.15</v>
      </c>
    </row>
    <row r="8102">
      <c r="A8102" s="3" t="inlineStr">
        <is>
          <t>Trademark Holdings (Pty) Ltd</t>
        </is>
      </c>
      <c r="B8102" s="4" t="n">
        <v>44651</v>
      </c>
      <c r="C8102" s="3" t="inlineStr">
        <is>
          <t>Expenses</t>
        </is>
      </c>
      <c r="D8102" s="3" t="inlineStr">
        <is>
          <t>3050/060</t>
        </is>
      </c>
      <c r="E8102" s="3" t="inlineStr">
        <is>
          <t>Advertising - Other</t>
        </is>
      </c>
      <c r="F8102" s="3" t="n">
        <v>0</v>
      </c>
      <c r="G8102" s="3" t="n">
        <v>7595.75</v>
      </c>
    </row>
    <row r="8103">
      <c r="A8103" s="3" t="inlineStr">
        <is>
          <t>Noble Shield (Pty) Ltd ta Go Letting</t>
        </is>
      </c>
      <c r="B8103" s="4" t="n">
        <v>44651</v>
      </c>
      <c r="C8103" s="3" t="inlineStr">
        <is>
          <t>Expenses</t>
        </is>
      </c>
      <c r="D8103" s="3" t="inlineStr">
        <is>
          <t>3050/070</t>
        </is>
      </c>
      <c r="E8103" s="3" t="inlineStr">
        <is>
          <t>Advertising - Facebook</t>
        </is>
      </c>
      <c r="F8103" s="3" t="n">
        <v>0</v>
      </c>
      <c r="G8103" s="3" t="n">
        <v>3317.35</v>
      </c>
    </row>
    <row r="8104">
      <c r="A8104" s="3" t="inlineStr">
        <is>
          <t>Opportunity Global Sales (PTY) LTD</t>
        </is>
      </c>
      <c r="B8104" s="4" t="n">
        <v>44651</v>
      </c>
      <c r="C8104" s="3" t="inlineStr">
        <is>
          <t>Expenses</t>
        </is>
      </c>
      <c r="D8104" s="3" t="inlineStr">
        <is>
          <t>3050/100</t>
        </is>
      </c>
      <c r="E8104" s="3" t="inlineStr">
        <is>
          <t>Advertising - Facebook</t>
        </is>
      </c>
      <c r="F8104" s="3" t="n">
        <v>9056.129999999999</v>
      </c>
      <c r="G8104" s="3" t="n">
        <v>9056.129999999999</v>
      </c>
    </row>
    <row r="8105">
      <c r="A8105" s="3" t="inlineStr">
        <is>
          <t>Opportunity Global Investment (PTY) LTD</t>
        </is>
      </c>
      <c r="B8105" s="4" t="n">
        <v>44651</v>
      </c>
      <c r="C8105" s="3" t="inlineStr">
        <is>
          <t>Expenses</t>
        </is>
      </c>
      <c r="D8105" s="3" t="inlineStr">
        <is>
          <t>3050/270</t>
        </is>
      </c>
      <c r="E8105" s="3" t="inlineStr">
        <is>
          <t>Advertising - Radia and TV Interviews</t>
        </is>
      </c>
      <c r="F8105" s="3" t="n">
        <v>9200</v>
      </c>
      <c r="G8105" s="3" t="n">
        <v>9200</v>
      </c>
    </row>
    <row r="8106">
      <c r="A8106" s="3" t="inlineStr">
        <is>
          <t>Opportunity Global Investment (PTY) LTD</t>
        </is>
      </c>
      <c r="B8106" s="4" t="n">
        <v>44651</v>
      </c>
      <c r="C8106" s="3" t="inlineStr">
        <is>
          <t>Expenses</t>
        </is>
      </c>
      <c r="D8106" s="3" t="inlineStr">
        <is>
          <t>3050/290</t>
        </is>
      </c>
      <c r="E8106" s="3" t="inlineStr">
        <is>
          <t>Advertising - Serene Living</t>
        </is>
      </c>
      <c r="F8106" s="3" t="n">
        <v>65086</v>
      </c>
      <c r="G8106" s="3" t="n">
        <v>65086</v>
      </c>
    </row>
    <row r="8107">
      <c r="A8107" s="3" t="inlineStr">
        <is>
          <t>Opportunity Global Investment (PTY) LTD</t>
        </is>
      </c>
      <c r="B8107" s="4" t="n">
        <v>44651</v>
      </c>
      <c r="C8107" s="3" t="inlineStr">
        <is>
          <t>Expenses</t>
        </is>
      </c>
      <c r="D8107" s="3" t="inlineStr">
        <is>
          <t>3050/300</t>
        </is>
      </c>
      <c r="E8107" s="3" t="inlineStr">
        <is>
          <t>Advertising - Design</t>
        </is>
      </c>
      <c r="F8107" s="3" t="n">
        <v>2350</v>
      </c>
      <c r="G8107" s="3" t="n">
        <v>2350</v>
      </c>
    </row>
    <row r="8108">
      <c r="A8108" s="3" t="inlineStr">
        <is>
          <t>Opportunity Global Sales (PTY) LTD</t>
        </is>
      </c>
      <c r="B8108" s="4" t="n">
        <v>44651</v>
      </c>
      <c r="C8108" s="3" t="inlineStr">
        <is>
          <t>Expenses</t>
        </is>
      </c>
      <c r="D8108" s="3" t="inlineStr">
        <is>
          <t>3050/350</t>
        </is>
      </c>
      <c r="E8108" s="3" t="inlineStr">
        <is>
          <t>Advertising - Private Property</t>
        </is>
      </c>
      <c r="F8108" s="3" t="n">
        <v>1250</v>
      </c>
      <c r="G8108" s="3" t="n">
        <v>1250</v>
      </c>
    </row>
    <row r="8109">
      <c r="A8109" s="3" t="inlineStr">
        <is>
          <t>Opportunity Global Sales (PTY) LTD</t>
        </is>
      </c>
      <c r="B8109" s="4" t="n">
        <v>44651</v>
      </c>
      <c r="C8109" s="3" t="inlineStr">
        <is>
          <t>Expenses</t>
        </is>
      </c>
      <c r="D8109" s="3" t="inlineStr">
        <is>
          <t>3050/370</t>
        </is>
      </c>
      <c r="E8109" s="3" t="inlineStr">
        <is>
          <t>Advertising - HR</t>
        </is>
      </c>
      <c r="F8109" s="3" t="n">
        <v>1200</v>
      </c>
      <c r="G8109" s="3" t="n">
        <v>1200</v>
      </c>
    </row>
    <row r="8110">
      <c r="A8110" s="3" t="inlineStr">
        <is>
          <t>Quinate Consulting (Pty) Ltd</t>
        </is>
      </c>
      <c r="B8110" s="4" t="n">
        <v>44651</v>
      </c>
      <c r="C8110" s="3" t="inlineStr">
        <is>
          <t>Expenses</t>
        </is>
      </c>
      <c r="D8110" s="3" t="inlineStr">
        <is>
          <t>3050/400</t>
        </is>
      </c>
      <c r="E8110" s="3" t="inlineStr">
        <is>
          <t>Advertising - Prop24</t>
        </is>
      </c>
      <c r="F8110" s="3" t="n">
        <v>233</v>
      </c>
      <c r="G8110" s="3" t="n">
        <v>233</v>
      </c>
    </row>
    <row r="8111">
      <c r="A8111" s="3" t="inlineStr">
        <is>
          <t>Quinate Consulting (Pty) Ltd</t>
        </is>
      </c>
      <c r="B8111" s="4" t="n">
        <v>44651</v>
      </c>
      <c r="C8111" s="3" t="inlineStr">
        <is>
          <t>Expenses</t>
        </is>
      </c>
      <c r="D8111" s="3" t="inlineStr">
        <is>
          <t>3050/450</t>
        </is>
      </c>
      <c r="E8111" s="3" t="inlineStr">
        <is>
          <t>Advertising - Facebook</t>
        </is>
      </c>
      <c r="F8111" s="3" t="n">
        <v>5602.66</v>
      </c>
      <c r="G8111" s="3" t="n">
        <v>5602.66</v>
      </c>
    </row>
    <row r="8112">
      <c r="A8112" s="3" t="inlineStr">
        <is>
          <t>Opportunity Global Investment (PTY) LTD</t>
        </is>
      </c>
      <c r="B8112" s="4" t="n">
        <v>44651</v>
      </c>
      <c r="C8112" s="3" t="inlineStr">
        <is>
          <t>Expenses</t>
        </is>
      </c>
      <c r="D8112" s="3" t="inlineStr">
        <is>
          <t>3051/000</t>
        </is>
      </c>
      <c r="E8112" s="3" t="inlineStr">
        <is>
          <t>Advertising - Facebook</t>
        </is>
      </c>
      <c r="F8112" s="3" t="n">
        <v>18028.76</v>
      </c>
      <c r="G8112" s="3" t="n">
        <v>18028.76</v>
      </c>
    </row>
    <row r="8113">
      <c r="A8113" s="3" t="inlineStr">
        <is>
          <t>Opportunity Global Investment (PTY) LTD</t>
        </is>
      </c>
      <c r="B8113" s="4" t="n">
        <v>44651</v>
      </c>
      <c r="C8113" s="3" t="inlineStr">
        <is>
          <t>Expenses</t>
        </is>
      </c>
      <c r="D8113" s="3" t="inlineStr">
        <is>
          <t>3053/000</t>
        </is>
      </c>
      <c r="E8113" s="3" t="inlineStr">
        <is>
          <t>Advertising - Google Ads</t>
        </is>
      </c>
      <c r="F8113" s="3" t="n">
        <v>769.12</v>
      </c>
      <c r="G8113" s="3" t="n">
        <v>769.12</v>
      </c>
    </row>
    <row r="8114">
      <c r="A8114" s="3" t="inlineStr">
        <is>
          <t>Endulini (Pty) Ltd</t>
        </is>
      </c>
      <c r="B8114" s="4" t="n">
        <v>44651</v>
      </c>
      <c r="C8114" s="3" t="inlineStr">
        <is>
          <t>Expenses</t>
        </is>
      </c>
      <c r="D8114" s="3" t="inlineStr">
        <is>
          <t>3200/000</t>
        </is>
      </c>
      <c r="E8114" s="3" t="inlineStr">
        <is>
          <t>Bank Charges</t>
        </is>
      </c>
      <c r="F8114" s="3" t="n">
        <v>561.36</v>
      </c>
      <c r="G8114" s="3" t="n">
        <v>561.36</v>
      </c>
    </row>
    <row r="8115">
      <c r="A8115" s="3" t="inlineStr">
        <is>
          <t>Noble Shield (Pty) Ltd ta Go Letting</t>
        </is>
      </c>
      <c r="B8115" s="4" t="n">
        <v>44651</v>
      </c>
      <c r="C8115" s="3" t="inlineStr">
        <is>
          <t>Expenses</t>
        </is>
      </c>
      <c r="D8115" s="3" t="inlineStr">
        <is>
          <t>3200/000</t>
        </is>
      </c>
      <c r="E8115" s="3" t="inlineStr">
        <is>
          <t>Bank Charges</t>
        </is>
      </c>
      <c r="F8115" s="3" t="n">
        <v>1531.48</v>
      </c>
      <c r="G8115" s="3" t="n">
        <v>8043.48</v>
      </c>
    </row>
    <row r="8116">
      <c r="A8116" s="3" t="inlineStr">
        <is>
          <t>Opportunity Global Investment (PTY) LTD</t>
        </is>
      </c>
      <c r="B8116" s="4" t="n">
        <v>44651</v>
      </c>
      <c r="C8116" s="3" t="inlineStr">
        <is>
          <t>Expenses</t>
        </is>
      </c>
      <c r="D8116" s="3" t="inlineStr">
        <is>
          <t>3200/000</t>
        </is>
      </c>
      <c r="E8116" s="3" t="inlineStr">
        <is>
          <t>Bank Charges</t>
        </is>
      </c>
      <c r="F8116" s="3" t="n">
        <v>1641.72</v>
      </c>
      <c r="G8116" s="3" t="n">
        <v>1641.72</v>
      </c>
    </row>
    <row r="8117">
      <c r="A8117" s="3" t="inlineStr">
        <is>
          <t>Opportunity Global Sales (PTY) LTD</t>
        </is>
      </c>
      <c r="B8117" s="4" t="n">
        <v>44651</v>
      </c>
      <c r="C8117" s="3" t="inlineStr">
        <is>
          <t>Expenses</t>
        </is>
      </c>
      <c r="D8117" s="3" t="inlineStr">
        <is>
          <t>3200/000</t>
        </is>
      </c>
      <c r="E8117" s="3" t="inlineStr">
        <is>
          <t>Bank Charges</t>
        </is>
      </c>
      <c r="F8117" s="3" t="n">
        <v>824.2</v>
      </c>
      <c r="G8117" s="3" t="n">
        <v>824.2</v>
      </c>
    </row>
    <row r="8118">
      <c r="A8118" s="3" t="inlineStr">
        <is>
          <t>Opportunity Management Holdings (PTY) LTD</t>
        </is>
      </c>
      <c r="B8118" s="4" t="n">
        <v>44651</v>
      </c>
      <c r="C8118" s="3" t="inlineStr">
        <is>
          <t>Expenses</t>
        </is>
      </c>
      <c r="D8118" s="3" t="inlineStr">
        <is>
          <t>3200/000</t>
        </is>
      </c>
      <c r="E8118" s="3" t="inlineStr">
        <is>
          <t>Bank Charges</t>
        </is>
      </c>
      <c r="F8118" s="3" t="n">
        <v>1588.49</v>
      </c>
      <c r="G8118" s="3" t="n">
        <v>7726.47</v>
      </c>
    </row>
    <row r="8119">
      <c r="A8119" s="3" t="inlineStr">
        <is>
          <t>Quinate Consulting (Pty) Ltd</t>
        </is>
      </c>
      <c r="B8119" s="4" t="n">
        <v>44651</v>
      </c>
      <c r="C8119" s="3" t="inlineStr">
        <is>
          <t>Expenses</t>
        </is>
      </c>
      <c r="D8119" s="3" t="inlineStr">
        <is>
          <t>3200/000</t>
        </is>
      </c>
      <c r="E8119" s="3" t="inlineStr">
        <is>
          <t>Bank Charges</t>
        </is>
      </c>
      <c r="F8119" s="3" t="n">
        <v>1999.5</v>
      </c>
      <c r="G8119" s="3" t="n">
        <v>1999.5</v>
      </c>
    </row>
    <row r="8120">
      <c r="A8120" s="3" t="inlineStr">
        <is>
          <t>Trademark Holdings (Pty) Ltd</t>
        </is>
      </c>
      <c r="B8120" s="4" t="n">
        <v>44651</v>
      </c>
      <c r="C8120" s="3" t="inlineStr">
        <is>
          <t>Expenses</t>
        </is>
      </c>
      <c r="D8120" s="3" t="inlineStr">
        <is>
          <t>3200/000</t>
        </is>
      </c>
      <c r="E8120" s="3" t="inlineStr">
        <is>
          <t>Bank Charges</t>
        </is>
      </c>
      <c r="F8120" s="3" t="n">
        <v>903.53</v>
      </c>
      <c r="G8120" s="3" t="n">
        <v>4762.33</v>
      </c>
    </row>
    <row r="8121">
      <c r="A8121" s="3" t="inlineStr">
        <is>
          <t>Quinate Consulting (Pty) Ltd</t>
        </is>
      </c>
      <c r="B8121" s="4" t="n">
        <v>44651</v>
      </c>
      <c r="C8121" s="3" t="inlineStr">
        <is>
          <t>Expenses</t>
        </is>
      </c>
      <c r="D8121" s="3" t="inlineStr">
        <is>
          <t>3220/000</t>
        </is>
      </c>
      <c r="E8121" s="3" t="inlineStr">
        <is>
          <t>Bank Charges - Bond Fees</t>
        </is>
      </c>
      <c r="F8121" s="3" t="n">
        <v>1117.41</v>
      </c>
      <c r="G8121" s="3" t="n">
        <v>1117.41</v>
      </c>
    </row>
    <row r="8122">
      <c r="A8122" s="3" t="inlineStr">
        <is>
          <t>Noble Shield (Pty) Ltd ta Go Letting</t>
        </is>
      </c>
      <c r="B8122" s="4" t="n">
        <v>44651</v>
      </c>
      <c r="C8122" s="3" t="inlineStr">
        <is>
          <t>Expenses</t>
        </is>
      </c>
      <c r="D8122" s="3" t="inlineStr">
        <is>
          <t>3230/000</t>
        </is>
      </c>
      <c r="E8122" s="3" t="inlineStr">
        <is>
          <t>Cell Phone - NM</t>
        </is>
      </c>
      <c r="F8122" s="3" t="n">
        <v>2223.65</v>
      </c>
      <c r="G8122" s="3" t="n">
        <v>15912.33</v>
      </c>
    </row>
    <row r="8123">
      <c r="A8123" s="3" t="inlineStr">
        <is>
          <t>Noble Shield (Pty) Ltd ta Go Letting</t>
        </is>
      </c>
      <c r="B8123" s="4" t="n">
        <v>44651</v>
      </c>
      <c r="C8123" s="3" t="inlineStr">
        <is>
          <t>Expenses</t>
        </is>
      </c>
      <c r="D8123" s="3" t="inlineStr">
        <is>
          <t>3233/000</t>
        </is>
      </c>
      <c r="E8123" s="3" t="inlineStr">
        <is>
          <t>Cell Data - Other</t>
        </is>
      </c>
      <c r="F8123" s="3" t="n">
        <v>568</v>
      </c>
      <c r="G8123" s="3" t="n">
        <v>1961</v>
      </c>
    </row>
    <row r="8124">
      <c r="A8124" s="3" t="inlineStr">
        <is>
          <t>Noble Shield (Pty) Ltd ta Go Letting</t>
        </is>
      </c>
      <c r="B8124" s="4" t="n">
        <v>44651</v>
      </c>
      <c r="C8124" s="3" t="inlineStr">
        <is>
          <t>Expenses</t>
        </is>
      </c>
      <c r="D8124" s="3" t="inlineStr">
        <is>
          <t>3233/100</t>
        </is>
      </c>
      <c r="E8124" s="3" t="inlineStr">
        <is>
          <t>Cell Data - Sales office Wifi</t>
        </is>
      </c>
      <c r="F8124" s="3" t="n">
        <v>0</v>
      </c>
      <c r="G8124" s="3" t="n">
        <v>1944</v>
      </c>
    </row>
    <row r="8125">
      <c r="A8125" s="3" t="inlineStr">
        <is>
          <t>Noble Shield (Pty) Ltd ta Go Letting</t>
        </is>
      </c>
      <c r="B8125" s="4" t="n">
        <v>44651</v>
      </c>
      <c r="C8125" s="3" t="inlineStr">
        <is>
          <t>Expenses</t>
        </is>
      </c>
      <c r="D8125" s="3" t="inlineStr">
        <is>
          <t>3250/000</t>
        </is>
      </c>
      <c r="E8125" s="3" t="inlineStr">
        <is>
          <t>Cleaning</t>
        </is>
      </c>
      <c r="F8125" s="3" t="n">
        <v>43.96</v>
      </c>
      <c r="G8125" s="3" t="n">
        <v>658.48</v>
      </c>
    </row>
    <row r="8126">
      <c r="A8126" s="3" t="inlineStr">
        <is>
          <t>Opportunity Global Investment (PTY) LTD</t>
        </is>
      </c>
      <c r="B8126" s="4" t="n">
        <v>44651</v>
      </c>
      <c r="C8126" s="3" t="inlineStr">
        <is>
          <t>Expenses</t>
        </is>
      </c>
      <c r="D8126" s="3" t="inlineStr">
        <is>
          <t>3250/000</t>
        </is>
      </c>
      <c r="E8126" s="3" t="inlineStr">
        <is>
          <t>Cleaning</t>
        </is>
      </c>
      <c r="F8126" s="3" t="n">
        <v>2700</v>
      </c>
      <c r="G8126" s="3" t="n">
        <v>2700</v>
      </c>
    </row>
    <row r="8127">
      <c r="A8127" s="3" t="inlineStr">
        <is>
          <t>Trademark Holdings (Pty) Ltd</t>
        </is>
      </c>
      <c r="B8127" s="4" t="n">
        <v>44651</v>
      </c>
      <c r="C8127" s="3" t="inlineStr">
        <is>
          <t>Expenses</t>
        </is>
      </c>
      <c r="D8127" s="3" t="inlineStr">
        <is>
          <t>3250/000</t>
        </is>
      </c>
      <c r="E8127" s="3" t="inlineStr">
        <is>
          <t>Cleaning</t>
        </is>
      </c>
      <c r="F8127" s="3" t="n">
        <v>1040</v>
      </c>
      <c r="G8127" s="3" t="n">
        <v>6232</v>
      </c>
    </row>
    <row r="8128">
      <c r="A8128" s="3" t="inlineStr">
        <is>
          <t>Noble Shield (Pty) Ltd ta Go Letting</t>
        </is>
      </c>
      <c r="B8128" s="4" t="n">
        <v>44651</v>
      </c>
      <c r="C8128" s="3" t="inlineStr">
        <is>
          <t>Expenses</t>
        </is>
      </c>
      <c r="D8128" s="3" t="inlineStr">
        <is>
          <t>3300/000</t>
        </is>
      </c>
      <c r="E8128" s="3" t="inlineStr">
        <is>
          <t>Computer Expenses</t>
        </is>
      </c>
      <c r="F8128" s="3" t="n">
        <v>0</v>
      </c>
      <c r="G8128" s="3" t="n">
        <v>3226.5</v>
      </c>
    </row>
    <row r="8129">
      <c r="A8129" s="3" t="inlineStr">
        <is>
          <t>Opportunity Global Sales (PTY) LTD</t>
        </is>
      </c>
      <c r="B8129" s="4" t="n">
        <v>44651</v>
      </c>
      <c r="C8129" s="3" t="inlineStr">
        <is>
          <t>Expenses</t>
        </is>
      </c>
      <c r="D8129" s="3" t="inlineStr">
        <is>
          <t>3300/000</t>
        </is>
      </c>
      <c r="E8129" s="3" t="inlineStr">
        <is>
          <t>Computer Expenses</t>
        </is>
      </c>
      <c r="F8129" s="3" t="n">
        <v>275</v>
      </c>
      <c r="G8129" s="3" t="n">
        <v>275</v>
      </c>
    </row>
    <row r="8130">
      <c r="A8130" s="3" t="inlineStr">
        <is>
          <t>Opportunity Management Holdings (PTY) LTD</t>
        </is>
      </c>
      <c r="B8130" s="4" t="n">
        <v>44651</v>
      </c>
      <c r="C8130" s="3" t="inlineStr">
        <is>
          <t>Expenses</t>
        </is>
      </c>
      <c r="D8130" s="3" t="inlineStr">
        <is>
          <t>3300/000</t>
        </is>
      </c>
      <c r="E8130" s="3" t="inlineStr">
        <is>
          <t>Computer Expenses</t>
        </is>
      </c>
      <c r="F8130" s="3" t="n">
        <v>812.17</v>
      </c>
      <c r="G8130" s="3" t="n">
        <v>1635.73</v>
      </c>
    </row>
    <row r="8131">
      <c r="A8131" s="3" t="inlineStr">
        <is>
          <t>Trademark Holdings (Pty) Ltd</t>
        </is>
      </c>
      <c r="B8131" s="4" t="n">
        <v>44651</v>
      </c>
      <c r="C8131" s="3" t="inlineStr">
        <is>
          <t>Expenses</t>
        </is>
      </c>
      <c r="D8131" s="3" t="inlineStr">
        <is>
          <t>3300/000</t>
        </is>
      </c>
      <c r="E8131" s="3" t="inlineStr">
        <is>
          <t>Computer Expenses</t>
        </is>
      </c>
      <c r="F8131" s="3" t="n">
        <v>0</v>
      </c>
      <c r="G8131" s="3" t="n">
        <v>7714.4</v>
      </c>
    </row>
    <row r="8132">
      <c r="A8132" s="3" t="inlineStr">
        <is>
          <t>Noble Shield (Pty) Ltd ta Go Letting</t>
        </is>
      </c>
      <c r="B8132" s="4" t="n">
        <v>44651</v>
      </c>
      <c r="C8132" s="3" t="inlineStr">
        <is>
          <t>Expenses</t>
        </is>
      </c>
      <c r="D8132" s="3" t="inlineStr">
        <is>
          <t>3300/120</t>
        </is>
      </c>
      <c r="E8132" s="3" t="inlineStr">
        <is>
          <t>Computer IT - Software Propworx</t>
        </is>
      </c>
      <c r="F8132" s="3" t="n">
        <v>1926.25</v>
      </c>
      <c r="G8132" s="3" t="n">
        <v>11557.5</v>
      </c>
    </row>
    <row r="8133">
      <c r="A8133" s="3" t="inlineStr">
        <is>
          <t>Trademark Holdings (Pty) Ltd</t>
        </is>
      </c>
      <c r="B8133" s="4" t="n">
        <v>44651</v>
      </c>
      <c r="C8133" s="3" t="inlineStr">
        <is>
          <t>Expenses</t>
        </is>
      </c>
      <c r="D8133" s="3" t="inlineStr">
        <is>
          <t>3300/125</t>
        </is>
      </c>
      <c r="E8133" s="3" t="inlineStr">
        <is>
          <t>Computer IT - CT</t>
        </is>
      </c>
      <c r="F8133" s="3" t="n">
        <v>0</v>
      </c>
      <c r="G8133" s="3" t="n">
        <v>106.38</v>
      </c>
    </row>
    <row r="8134">
      <c r="A8134" s="3" t="inlineStr">
        <is>
          <t>Trademark Holdings (Pty) Ltd</t>
        </is>
      </c>
      <c r="B8134" s="4" t="n">
        <v>44651</v>
      </c>
      <c r="C8134" s="3" t="inlineStr">
        <is>
          <t>Expenses</t>
        </is>
      </c>
      <c r="D8134" s="3" t="inlineStr">
        <is>
          <t>3300/130</t>
        </is>
      </c>
      <c r="E8134" s="3" t="inlineStr">
        <is>
          <t>Computer IT - Internet/Hosting Fees</t>
        </is>
      </c>
      <c r="F8134" s="3" t="n">
        <v>3599.5</v>
      </c>
      <c r="G8134" s="3" t="n">
        <v>33669.7</v>
      </c>
    </row>
    <row r="8135">
      <c r="A8135" s="3" t="inlineStr">
        <is>
          <t>Trademark Holdings (Pty) Ltd</t>
        </is>
      </c>
      <c r="B8135" s="4" t="n">
        <v>44651</v>
      </c>
      <c r="C8135" s="3" t="inlineStr">
        <is>
          <t>Expenses</t>
        </is>
      </c>
      <c r="D8135" s="3" t="inlineStr">
        <is>
          <t>3300/145</t>
        </is>
      </c>
      <c r="E8135" s="3" t="inlineStr">
        <is>
          <t>Computer IT - Cloud Solve</t>
        </is>
      </c>
      <c r="F8135" s="3" t="n">
        <v>3990</v>
      </c>
      <c r="G8135" s="3" t="n">
        <v>26370</v>
      </c>
    </row>
    <row r="8136">
      <c r="A8136" s="3" t="inlineStr">
        <is>
          <t>Noble Shield (Pty) Ltd ta Go Letting</t>
        </is>
      </c>
      <c r="B8136" s="4" t="n">
        <v>44651</v>
      </c>
      <c r="C8136" s="3" t="inlineStr">
        <is>
          <t>Expenses</t>
        </is>
      </c>
      <c r="D8136" s="3" t="inlineStr">
        <is>
          <t>3300/170</t>
        </is>
      </c>
      <c r="E8136" s="3" t="inlineStr">
        <is>
          <t>Computer IT - VDB office Fibre</t>
        </is>
      </c>
      <c r="F8136" s="3" t="n">
        <v>790</v>
      </c>
      <c r="G8136" s="3" t="n">
        <v>6320</v>
      </c>
    </row>
    <row r="8137">
      <c r="A8137" s="3" t="inlineStr">
        <is>
          <t>Noble Shield (Pty) Ltd ta Go Letting</t>
        </is>
      </c>
      <c r="B8137" s="4" t="n">
        <v>44651</v>
      </c>
      <c r="C8137" s="3" t="inlineStr">
        <is>
          <t>Expenses</t>
        </is>
      </c>
      <c r="D8137" s="3" t="inlineStr">
        <is>
          <t>3301/000</t>
        </is>
      </c>
      <c r="E8137" s="3" t="inlineStr">
        <is>
          <t>Computer Expenses - Xero Setup</t>
        </is>
      </c>
      <c r="F8137" s="3" t="n">
        <v>0</v>
      </c>
      <c r="G8137" s="3" t="n">
        <v>3000</v>
      </c>
    </row>
    <row r="8138">
      <c r="A8138" s="3" t="inlineStr">
        <is>
          <t>Trademark Holdings (Pty) Ltd</t>
        </is>
      </c>
      <c r="B8138" s="4" t="n">
        <v>44651</v>
      </c>
      <c r="C8138" s="3" t="inlineStr">
        <is>
          <t>Expenses</t>
        </is>
      </c>
      <c r="D8138" s="3" t="inlineStr">
        <is>
          <t>3301/000</t>
        </is>
      </c>
      <c r="E8138" s="3" t="inlineStr">
        <is>
          <t>Computer Expenses - Xero Setup</t>
        </is>
      </c>
      <c r="F8138" s="3" t="n">
        <v>0</v>
      </c>
      <c r="G8138" s="3" t="n">
        <v>3000</v>
      </c>
    </row>
    <row r="8139">
      <c r="A8139" s="3" t="inlineStr">
        <is>
          <t>Endulini (Pty) Ltd</t>
        </is>
      </c>
      <c r="B8139" s="4" t="n">
        <v>44651</v>
      </c>
      <c r="C8139" s="3" t="inlineStr">
        <is>
          <t>Expenses</t>
        </is>
      </c>
      <c r="D8139" s="3" t="inlineStr">
        <is>
          <t>3350/100</t>
        </is>
      </c>
      <c r="E8139" s="3" t="inlineStr">
        <is>
          <t>Consulting Fees - Admin and Finance</t>
        </is>
      </c>
      <c r="F8139" s="3" t="n">
        <v>67644.03999999999</v>
      </c>
      <c r="G8139" s="3" t="n">
        <v>67644.03999999999</v>
      </c>
    </row>
    <row r="8140">
      <c r="A8140" s="3" t="inlineStr">
        <is>
          <t>Opportunity Global Investment (PTY) LTD</t>
        </is>
      </c>
      <c r="B8140" s="4" t="n">
        <v>44651</v>
      </c>
      <c r="C8140" s="3" t="inlineStr">
        <is>
          <t>Expenses</t>
        </is>
      </c>
      <c r="D8140" s="3" t="inlineStr">
        <is>
          <t>3350/100</t>
        </is>
      </c>
      <c r="E8140" s="3" t="inlineStr">
        <is>
          <t>Consulting Fees - Admin and Finance</t>
        </is>
      </c>
      <c r="F8140" s="3" t="n">
        <v>4775</v>
      </c>
      <c r="G8140" s="3" t="n">
        <v>4775</v>
      </c>
    </row>
    <row r="8141">
      <c r="A8141" s="3" t="inlineStr">
        <is>
          <t>Opportunity Global Sales (PTY) LTD</t>
        </is>
      </c>
      <c r="B8141" s="4" t="n">
        <v>44651</v>
      </c>
      <c r="C8141" s="3" t="inlineStr">
        <is>
          <t>Expenses</t>
        </is>
      </c>
      <c r="D8141" s="3" t="inlineStr">
        <is>
          <t>3350/100</t>
        </is>
      </c>
      <c r="E8141" s="3" t="inlineStr">
        <is>
          <t>Consulting Fees - Admin and Finance</t>
        </is>
      </c>
      <c r="F8141" s="3" t="n">
        <v>5860</v>
      </c>
      <c r="G8141" s="3" t="n">
        <v>5860</v>
      </c>
    </row>
    <row r="8142">
      <c r="A8142" s="3" t="inlineStr">
        <is>
          <t>Quinate Consulting (Pty) Ltd</t>
        </is>
      </c>
      <c r="B8142" s="4" t="n">
        <v>44651</v>
      </c>
      <c r="C8142" s="3" t="inlineStr">
        <is>
          <t>Expenses</t>
        </is>
      </c>
      <c r="D8142" s="3" t="inlineStr">
        <is>
          <t>3350/300</t>
        </is>
      </c>
      <c r="E8142" s="3" t="inlineStr">
        <is>
          <t>Consulting Fees - Admin and Finance</t>
        </is>
      </c>
      <c r="F8142" s="3" t="n">
        <v>2000</v>
      </c>
      <c r="G8142" s="3" t="n">
        <v>2000</v>
      </c>
    </row>
    <row r="8143">
      <c r="A8143" s="3" t="inlineStr">
        <is>
          <t>Opportunity Global Investment (PTY) LTD</t>
        </is>
      </c>
      <c r="B8143" s="4" t="n">
        <v>44651</v>
      </c>
      <c r="C8143" s="3" t="inlineStr">
        <is>
          <t>Expenses</t>
        </is>
      </c>
      <c r="D8143" s="3" t="inlineStr">
        <is>
          <t>3351/000</t>
        </is>
      </c>
      <c r="E8143" s="3" t="inlineStr">
        <is>
          <t>Consulting Fees - HR Joblaw</t>
        </is>
      </c>
      <c r="F8143" s="3" t="n">
        <v>1350</v>
      </c>
      <c r="G8143" s="3" t="n">
        <v>1350</v>
      </c>
    </row>
    <row r="8144">
      <c r="A8144" s="3" t="inlineStr">
        <is>
          <t>Quinate Consulting (Pty) Ltd</t>
        </is>
      </c>
      <c r="B8144" s="4" t="n">
        <v>44651</v>
      </c>
      <c r="C8144" s="3" t="inlineStr">
        <is>
          <t>Expenses</t>
        </is>
      </c>
      <c r="D8144" s="3" t="inlineStr">
        <is>
          <t>3351/000</t>
        </is>
      </c>
      <c r="E8144" s="3" t="inlineStr">
        <is>
          <t>Consulting fees - Trustees</t>
        </is>
      </c>
      <c r="F8144" s="3" t="n">
        <v>8000</v>
      </c>
      <c r="G8144" s="3" t="n">
        <v>8000</v>
      </c>
    </row>
    <row r="8145">
      <c r="A8145" s="3" t="inlineStr">
        <is>
          <t>Opportunity Global Investment (PTY) LTD</t>
        </is>
      </c>
      <c r="B8145" s="4" t="n">
        <v>44651</v>
      </c>
      <c r="C8145" s="3" t="inlineStr">
        <is>
          <t>Expenses</t>
        </is>
      </c>
      <c r="D8145" s="3" t="inlineStr">
        <is>
          <t>3352/000</t>
        </is>
      </c>
      <c r="E8145" s="3" t="inlineStr">
        <is>
          <t>Consulting Fees - Kert Scalzini</t>
        </is>
      </c>
      <c r="F8145" s="3" t="n">
        <v>10000</v>
      </c>
      <c r="G8145" s="3" t="n">
        <v>10000</v>
      </c>
    </row>
    <row r="8146">
      <c r="A8146" s="3" t="inlineStr">
        <is>
          <t>Quinate Consulting (Pty) Ltd</t>
        </is>
      </c>
      <c r="B8146" s="4" t="n">
        <v>44651</v>
      </c>
      <c r="C8146" s="3" t="inlineStr">
        <is>
          <t>Expenses</t>
        </is>
      </c>
      <c r="D8146" s="3" t="inlineStr">
        <is>
          <t>3450/001</t>
        </is>
      </c>
      <c r="E8146" s="3" t="inlineStr">
        <is>
          <t>Depreciation - Computer Equipment</t>
        </is>
      </c>
      <c r="F8146" s="3" t="n">
        <v>3141.39</v>
      </c>
      <c r="G8146" s="3" t="n">
        <v>3141.39</v>
      </c>
    </row>
    <row r="8147">
      <c r="A8147" s="3" t="inlineStr">
        <is>
          <t>Quinate Consulting (Pty) Ltd</t>
        </is>
      </c>
      <c r="B8147" s="4" t="n">
        <v>44651</v>
      </c>
      <c r="C8147" s="3" t="inlineStr">
        <is>
          <t>Expenses</t>
        </is>
      </c>
      <c r="D8147" s="3" t="inlineStr">
        <is>
          <t>3450/002</t>
        </is>
      </c>
      <c r="E8147" s="3" t="inlineStr">
        <is>
          <t>Depreciation - Site Containers</t>
        </is>
      </c>
      <c r="F8147" s="3" t="n">
        <v>318.84</v>
      </c>
      <c r="G8147" s="3" t="n">
        <v>318.84</v>
      </c>
    </row>
    <row r="8148">
      <c r="A8148" s="3" t="inlineStr">
        <is>
          <t>Quinate Consulting (Pty) Ltd</t>
        </is>
      </c>
      <c r="B8148" s="4" t="n">
        <v>44651</v>
      </c>
      <c r="C8148" s="3" t="inlineStr">
        <is>
          <t>Expenses</t>
        </is>
      </c>
      <c r="D8148" s="3" t="inlineStr">
        <is>
          <t>3600/000</t>
        </is>
      </c>
      <c r="E8148" s="3" t="inlineStr">
        <is>
          <t>Donations</t>
        </is>
      </c>
      <c r="F8148" s="3" t="n">
        <v>535</v>
      </c>
      <c r="G8148" s="3" t="n">
        <v>535</v>
      </c>
    </row>
    <row r="8149">
      <c r="A8149" s="3" t="inlineStr">
        <is>
          <t>Endulini (Pty) Ltd</t>
        </is>
      </c>
      <c r="B8149" s="4" t="n">
        <v>44651</v>
      </c>
      <c r="C8149" s="3" t="inlineStr">
        <is>
          <t>Expenses</t>
        </is>
      </c>
      <c r="D8149" s="3" t="inlineStr">
        <is>
          <t>3630/000</t>
        </is>
      </c>
      <c r="E8149" s="3" t="inlineStr">
        <is>
          <t>Electricity</t>
        </is>
      </c>
      <c r="F8149" s="3" t="n">
        <v>6713.99</v>
      </c>
      <c r="G8149" s="3" t="n">
        <v>6713.99</v>
      </c>
    </row>
    <row r="8150">
      <c r="A8150" s="3" t="inlineStr">
        <is>
          <t>Noble Shield (Pty) Ltd ta Go Letting</t>
        </is>
      </c>
      <c r="B8150" s="4" t="n">
        <v>44651</v>
      </c>
      <c r="C8150" s="3" t="inlineStr">
        <is>
          <t>Expenses</t>
        </is>
      </c>
      <c r="D8150" s="3" t="inlineStr">
        <is>
          <t>3650/000</t>
        </is>
      </c>
      <c r="E8150" s="3" t="inlineStr">
        <is>
          <t>Electricity _AND_ Water</t>
        </is>
      </c>
      <c r="F8150" s="3" t="n">
        <v>0</v>
      </c>
      <c r="G8150" s="3" t="n">
        <v>3500</v>
      </c>
    </row>
    <row r="8151">
      <c r="A8151" s="3" t="inlineStr">
        <is>
          <t>Opportunity Global Investment (PTY) LTD</t>
        </is>
      </c>
      <c r="B8151" s="4" t="n">
        <v>44651</v>
      </c>
      <c r="C8151" s="3" t="inlineStr">
        <is>
          <t>Expenses</t>
        </is>
      </c>
      <c r="D8151" s="3" t="inlineStr">
        <is>
          <t>3650/000</t>
        </is>
      </c>
      <c r="E8151" s="3" t="inlineStr">
        <is>
          <t>Electricity _AND_ Water</t>
        </is>
      </c>
      <c r="F8151" s="3" t="n">
        <v>2950</v>
      </c>
      <c r="G8151" s="3" t="n">
        <v>2950</v>
      </c>
    </row>
    <row r="8152">
      <c r="A8152" s="3" t="inlineStr">
        <is>
          <t>Endulini (Pty) Ltd</t>
        </is>
      </c>
      <c r="B8152" s="4" t="n">
        <v>44651</v>
      </c>
      <c r="C8152" s="3" t="inlineStr">
        <is>
          <t>Expenses</t>
        </is>
      </c>
      <c r="D8152" s="3" t="inlineStr">
        <is>
          <t>3650/000</t>
        </is>
      </c>
      <c r="E8152" s="3" t="inlineStr">
        <is>
          <t>Water</t>
        </is>
      </c>
      <c r="F8152" s="3" t="n">
        <v>4310.7</v>
      </c>
      <c r="G8152" s="3" t="n">
        <v>4310.7</v>
      </c>
    </row>
    <row r="8153">
      <c r="A8153" s="3" t="inlineStr">
        <is>
          <t>Noble Shield (Pty) Ltd ta Go Letting</t>
        </is>
      </c>
      <c r="B8153" s="4" t="n">
        <v>44651</v>
      </c>
      <c r="C8153" s="3" t="inlineStr">
        <is>
          <t>Expenses</t>
        </is>
      </c>
      <c r="D8153" s="3" t="inlineStr">
        <is>
          <t>3651/000</t>
        </is>
      </c>
      <c r="E8153" s="3" t="inlineStr">
        <is>
          <t>Electricity _AND_ Water - Rentals</t>
        </is>
      </c>
      <c r="F8153" s="3" t="n">
        <v>-1000</v>
      </c>
      <c r="G8153" s="3" t="n">
        <v>-1000</v>
      </c>
    </row>
    <row r="8154">
      <c r="A8154" s="3" t="inlineStr">
        <is>
          <t>Quinate Consulting (Pty) Ltd</t>
        </is>
      </c>
      <c r="B8154" s="4" t="n">
        <v>44651</v>
      </c>
      <c r="C8154" s="3" t="inlineStr">
        <is>
          <t>Expenses</t>
        </is>
      </c>
      <c r="D8154" s="3" t="inlineStr">
        <is>
          <t>3651/000</t>
        </is>
      </c>
      <c r="E8154" s="3" t="inlineStr">
        <is>
          <t>Electricity _AND_ Water - Southwark</t>
        </is>
      </c>
      <c r="F8154" s="3" t="n">
        <v>17057.28</v>
      </c>
      <c r="G8154" s="3" t="n">
        <v>17057.28</v>
      </c>
    </row>
    <row r="8155">
      <c r="A8155" s="3" t="inlineStr">
        <is>
          <t>Quinate Consulting (Pty) Ltd</t>
        </is>
      </c>
      <c r="B8155" s="4" t="n">
        <v>44651</v>
      </c>
      <c r="C8155" s="3" t="inlineStr">
        <is>
          <t>Expenses</t>
        </is>
      </c>
      <c r="D8155" s="3" t="inlineStr">
        <is>
          <t>3652/000</t>
        </is>
      </c>
      <c r="E8155" s="3" t="inlineStr">
        <is>
          <t>Electricity _AND_ Water - Soho</t>
        </is>
      </c>
      <c r="F8155" s="3" t="n">
        <v>17284.98</v>
      </c>
      <c r="G8155" s="3" t="n">
        <v>17284.98</v>
      </c>
    </row>
    <row r="8156">
      <c r="A8156" s="3" t="inlineStr">
        <is>
          <t>Noble Shield (Pty) Ltd ta Go Letting</t>
        </is>
      </c>
      <c r="B8156" s="4" t="n">
        <v>44651</v>
      </c>
      <c r="C8156" s="3" t="inlineStr">
        <is>
          <t>Expenses</t>
        </is>
      </c>
      <c r="D8156" s="3" t="inlineStr">
        <is>
          <t>3700/000</t>
        </is>
      </c>
      <c r="E8156" s="3" t="inlineStr">
        <is>
          <t>Entertainment Expenses</t>
        </is>
      </c>
      <c r="F8156" s="3" t="n">
        <v>0</v>
      </c>
      <c r="G8156" s="3" t="n">
        <v>1200</v>
      </c>
    </row>
    <row r="8157">
      <c r="A8157" s="3" t="inlineStr">
        <is>
          <t>Opportunity Global Investment (PTY) LTD</t>
        </is>
      </c>
      <c r="B8157" s="4" t="n">
        <v>44651</v>
      </c>
      <c r="C8157" s="3" t="inlineStr">
        <is>
          <t>Expenses</t>
        </is>
      </c>
      <c r="D8157" s="3" t="inlineStr">
        <is>
          <t>3700/000</t>
        </is>
      </c>
      <c r="E8157" s="3" t="inlineStr">
        <is>
          <t>Entertainment Expenses</t>
        </is>
      </c>
      <c r="F8157" s="3" t="n">
        <v>22</v>
      </c>
      <c r="G8157" s="3" t="n">
        <v>22</v>
      </c>
    </row>
    <row r="8158">
      <c r="A8158" s="3" t="inlineStr">
        <is>
          <t>Quinate Consulting (Pty) Ltd</t>
        </is>
      </c>
      <c r="B8158" s="4" t="n">
        <v>44651</v>
      </c>
      <c r="C8158" s="3" t="inlineStr">
        <is>
          <t>Expenses</t>
        </is>
      </c>
      <c r="D8158" s="3" t="inlineStr">
        <is>
          <t>3700/000</t>
        </is>
      </c>
      <c r="E8158" s="3" t="inlineStr">
        <is>
          <t>Entertainment Expenses</t>
        </is>
      </c>
      <c r="F8158" s="3" t="n">
        <v>1323</v>
      </c>
      <c r="G8158" s="3" t="n">
        <v>1323</v>
      </c>
    </row>
    <row r="8159">
      <c r="A8159" s="3" t="inlineStr">
        <is>
          <t>Trademark Holdings (Pty) Ltd</t>
        </is>
      </c>
      <c r="B8159" s="4" t="n">
        <v>44651</v>
      </c>
      <c r="C8159" s="3" t="inlineStr">
        <is>
          <t>Expenses</t>
        </is>
      </c>
      <c r="D8159" s="3" t="inlineStr">
        <is>
          <t>3700/000</t>
        </is>
      </c>
      <c r="E8159" s="3" t="inlineStr">
        <is>
          <t>Entertainment Expenses</t>
        </is>
      </c>
      <c r="F8159" s="3" t="n">
        <v>0</v>
      </c>
      <c r="G8159" s="3" t="n">
        <v>4500</v>
      </c>
    </row>
    <row r="8160">
      <c r="A8160" s="3" t="inlineStr">
        <is>
          <t>Opportunity Management Holdings (PTY) LTD</t>
        </is>
      </c>
      <c r="B8160" s="4" t="n">
        <v>44651</v>
      </c>
      <c r="C8160" s="3" t="inlineStr">
        <is>
          <t>Expenses</t>
        </is>
      </c>
      <c r="D8160" s="3" t="inlineStr">
        <is>
          <t>3850/000</t>
        </is>
      </c>
      <c r="E8160" s="3" t="inlineStr">
        <is>
          <t>Insurance - Momentum</t>
        </is>
      </c>
      <c r="F8160" s="3" t="n">
        <v>1469.51</v>
      </c>
      <c r="G8160" s="3" t="n">
        <v>4408.53</v>
      </c>
    </row>
    <row r="8161">
      <c r="A8161" s="3" t="inlineStr">
        <is>
          <t>Noble Shield (Pty) Ltd ta Go Letting</t>
        </is>
      </c>
      <c r="B8161" s="4" t="n">
        <v>44651</v>
      </c>
      <c r="C8161" s="3" t="inlineStr">
        <is>
          <t>Expenses</t>
        </is>
      </c>
      <c r="D8161" s="3" t="inlineStr">
        <is>
          <t>3850/100</t>
        </is>
      </c>
      <c r="E8161" s="3" t="inlineStr">
        <is>
          <t>Insurance - Santam</t>
        </is>
      </c>
      <c r="F8161" s="3" t="n">
        <v>2838.89</v>
      </c>
      <c r="G8161" s="3" t="n">
        <v>19137.31</v>
      </c>
    </row>
    <row r="8162">
      <c r="A8162" s="3" t="inlineStr">
        <is>
          <t>Noble Shield (Pty) Ltd ta Go Letting</t>
        </is>
      </c>
      <c r="B8162" s="4" t="n">
        <v>44651</v>
      </c>
      <c r="C8162" s="3" t="inlineStr">
        <is>
          <t>Expenses</t>
        </is>
      </c>
      <c r="D8162" s="3" t="inlineStr">
        <is>
          <t>3850/200</t>
        </is>
      </c>
      <c r="E8162" s="3" t="inlineStr">
        <is>
          <t>Insurance - A_AND_G</t>
        </is>
      </c>
      <c r="F8162" s="3" t="n">
        <v>1796</v>
      </c>
      <c r="G8162" s="3" t="n">
        <v>11583.26</v>
      </c>
    </row>
    <row r="8163">
      <c r="A8163" s="3" t="inlineStr">
        <is>
          <t>Quinate Consulting (Pty) Ltd</t>
        </is>
      </c>
      <c r="B8163" s="4" t="n">
        <v>44651</v>
      </c>
      <c r="C8163" s="3" t="inlineStr">
        <is>
          <t>Expenses</t>
        </is>
      </c>
      <c r="D8163" s="3" t="inlineStr">
        <is>
          <t>3851/000</t>
        </is>
      </c>
      <c r="E8163" s="3" t="inlineStr">
        <is>
          <t>Insurance - Momentum</t>
        </is>
      </c>
      <c r="F8163" s="3" t="n">
        <v>6825.93</v>
      </c>
      <c r="G8163" s="3" t="n">
        <v>6825.93</v>
      </c>
    </row>
    <row r="8164">
      <c r="A8164" s="3" t="inlineStr">
        <is>
          <t>Quinate Consulting (Pty) Ltd</t>
        </is>
      </c>
      <c r="B8164" s="4" t="n">
        <v>44651</v>
      </c>
      <c r="C8164" s="3" t="inlineStr">
        <is>
          <t>Expenses</t>
        </is>
      </c>
      <c r="D8164" s="3" t="inlineStr">
        <is>
          <t>3900/050</t>
        </is>
      </c>
      <c r="E8164" s="3" t="inlineStr">
        <is>
          <t>Interest Paid - STD Bond Accounts</t>
        </is>
      </c>
      <c r="F8164" s="3" t="n">
        <v>44913.67</v>
      </c>
      <c r="G8164" s="3" t="n">
        <v>44913.67</v>
      </c>
    </row>
    <row r="8165">
      <c r="A8165" s="3" t="inlineStr">
        <is>
          <t>Quinate Consulting (Pty) Ltd</t>
        </is>
      </c>
      <c r="B8165" s="4" t="n">
        <v>44651</v>
      </c>
      <c r="C8165" s="3" t="inlineStr">
        <is>
          <t>Expenses</t>
        </is>
      </c>
      <c r="D8165" s="3" t="inlineStr">
        <is>
          <t>3900/150</t>
        </is>
      </c>
      <c r="E8165" s="3" t="inlineStr">
        <is>
          <t>Interest Paid - Suppliers</t>
        </is>
      </c>
      <c r="F8165" s="3" t="n">
        <v>669.64</v>
      </c>
      <c r="G8165" s="3" t="n">
        <v>669.64</v>
      </c>
    </row>
    <row r="8166">
      <c r="A8166" s="3" t="inlineStr">
        <is>
          <t>Quinate Consulting (Pty) Ltd</t>
        </is>
      </c>
      <c r="B8166" s="4" t="n">
        <v>44651</v>
      </c>
      <c r="C8166" s="3" t="inlineStr">
        <is>
          <t>Expenses</t>
        </is>
      </c>
      <c r="D8166" s="3" t="inlineStr">
        <is>
          <t>3900/152</t>
        </is>
      </c>
      <c r="E8166" s="3" t="inlineStr">
        <is>
          <t>Interest Paid - Gengis</t>
        </is>
      </c>
      <c r="F8166" s="3" t="n">
        <v>1528.77</v>
      </c>
      <c r="G8166" s="3" t="n">
        <v>1528.77</v>
      </c>
    </row>
    <row r="8167">
      <c r="A8167" s="3" t="inlineStr">
        <is>
          <t>Opportunity Management Holdings (PTY) LTD</t>
        </is>
      </c>
      <c r="B8167" s="4" t="n">
        <v>44651</v>
      </c>
      <c r="C8167" s="3" t="inlineStr">
        <is>
          <t>Expenses</t>
        </is>
      </c>
      <c r="D8167" s="3" t="inlineStr">
        <is>
          <t>3900/300</t>
        </is>
      </c>
      <c r="E8167" s="3" t="inlineStr">
        <is>
          <t>Interest Paid - Other</t>
        </is>
      </c>
      <c r="F8167" s="3" t="n">
        <v>0</v>
      </c>
      <c r="G8167" s="3" t="n">
        <v>1.79</v>
      </c>
    </row>
    <row r="8168">
      <c r="A8168" s="3" t="inlineStr">
        <is>
          <t>Trademark Holdings (Pty) Ltd</t>
        </is>
      </c>
      <c r="B8168" s="4" t="n">
        <v>44651</v>
      </c>
      <c r="C8168" s="3" t="inlineStr">
        <is>
          <t>Expenses</t>
        </is>
      </c>
      <c r="D8168" s="3" t="inlineStr">
        <is>
          <t>3910/000</t>
        </is>
      </c>
      <c r="E8168" s="3" t="inlineStr">
        <is>
          <t>Penalties/Interest - SARS</t>
        </is>
      </c>
      <c r="F8168" s="3" t="n">
        <v>0</v>
      </c>
      <c r="G8168" s="3" t="n">
        <v>57.04</v>
      </c>
    </row>
    <row r="8169">
      <c r="A8169" s="3" t="inlineStr">
        <is>
          <t>Opportunity Management Holdings (PTY) LTD</t>
        </is>
      </c>
      <c r="B8169" s="4" t="n">
        <v>44651</v>
      </c>
      <c r="C8169" s="3" t="inlineStr">
        <is>
          <t>Expenses</t>
        </is>
      </c>
      <c r="D8169" s="3" t="inlineStr">
        <is>
          <t>3960/000</t>
        </is>
      </c>
      <c r="E8169" s="3" t="inlineStr">
        <is>
          <t>Internet Fees</t>
        </is>
      </c>
      <c r="F8169" s="3" t="n">
        <v>494.1</v>
      </c>
      <c r="G8169" s="3" t="n">
        <v>494.1</v>
      </c>
    </row>
    <row r="8170">
      <c r="A8170" s="3" t="inlineStr">
        <is>
          <t>Quinate Consulting (Pty) Ltd</t>
        </is>
      </c>
      <c r="B8170" s="4" t="n">
        <v>44651</v>
      </c>
      <c r="C8170" s="3" t="inlineStr">
        <is>
          <t>Expenses</t>
        </is>
      </c>
      <c r="D8170" s="3" t="inlineStr">
        <is>
          <t>4065/000</t>
        </is>
      </c>
      <c r="E8170" s="3" t="inlineStr">
        <is>
          <t>Levies - SoHo</t>
        </is>
      </c>
      <c r="F8170" s="3" t="n">
        <v>6466.98</v>
      </c>
      <c r="G8170" s="3" t="n">
        <v>6466.98</v>
      </c>
    </row>
    <row r="8171">
      <c r="A8171" s="3" t="inlineStr">
        <is>
          <t>Quinate Consulting (Pty) Ltd</t>
        </is>
      </c>
      <c r="B8171" s="4" t="n">
        <v>44651</v>
      </c>
      <c r="C8171" s="3" t="inlineStr">
        <is>
          <t>Expenses</t>
        </is>
      </c>
      <c r="D8171" s="3" t="inlineStr">
        <is>
          <t>4066/000</t>
        </is>
      </c>
      <c r="E8171" s="3" t="inlineStr">
        <is>
          <t>Levies - Southwark</t>
        </is>
      </c>
      <c r="F8171" s="3" t="n">
        <v>3422.18</v>
      </c>
      <c r="G8171" s="3" t="n">
        <v>3422.18</v>
      </c>
    </row>
    <row r="8172">
      <c r="A8172" s="3" t="inlineStr">
        <is>
          <t>Endulini (Pty) Ltd</t>
        </is>
      </c>
      <c r="B8172" s="4" t="n">
        <v>44651</v>
      </c>
      <c r="C8172" s="3" t="inlineStr">
        <is>
          <t>Expenses</t>
        </is>
      </c>
      <c r="D8172" s="3" t="inlineStr">
        <is>
          <t>4100/001</t>
        </is>
      </c>
      <c r="E8172" s="3" t="inlineStr">
        <is>
          <t>Momentum Admin Fee</t>
        </is>
      </c>
      <c r="F8172" s="3" t="n">
        <v>8288.91</v>
      </c>
      <c r="G8172" s="3" t="n">
        <v>8288.91</v>
      </c>
    </row>
    <row r="8173">
      <c r="A8173" s="3" t="inlineStr">
        <is>
          <t>Quinate Consulting (Pty) Ltd</t>
        </is>
      </c>
      <c r="B8173" s="4" t="n">
        <v>44651</v>
      </c>
      <c r="C8173" s="3" t="inlineStr">
        <is>
          <t>Expenses</t>
        </is>
      </c>
      <c r="D8173" s="3" t="inlineStr">
        <is>
          <t>4100/001</t>
        </is>
      </c>
      <c r="E8173" s="3" t="inlineStr">
        <is>
          <t>Momentum Advise Fee</t>
        </is>
      </c>
      <c r="F8173" s="3" t="n">
        <v>0.19</v>
      </c>
      <c r="G8173" s="3" t="n">
        <v>0.19</v>
      </c>
    </row>
    <row r="8174">
      <c r="A8174" s="3" t="inlineStr">
        <is>
          <t>Opportunity Global Investment (PTY) LTD</t>
        </is>
      </c>
      <c r="B8174" s="4" t="n">
        <v>44651</v>
      </c>
      <c r="C8174" s="3" t="inlineStr">
        <is>
          <t>Expenses</t>
        </is>
      </c>
      <c r="D8174" s="3" t="inlineStr">
        <is>
          <t>4100/100</t>
        </is>
      </c>
      <c r="E8174" s="3" t="inlineStr">
        <is>
          <t>Members Salaries - Nick Morgan</t>
        </is>
      </c>
      <c r="F8174" s="3" t="n">
        <v>40937.18</v>
      </c>
      <c r="G8174" s="3" t="n">
        <v>40937.18</v>
      </c>
    </row>
    <row r="8175">
      <c r="A8175" s="3" t="inlineStr">
        <is>
          <t>Noble Shield (Pty) Ltd ta Go Letting</t>
        </is>
      </c>
      <c r="B8175" s="4" t="n">
        <v>44651</v>
      </c>
      <c r="C8175" s="3" t="inlineStr">
        <is>
          <t>Expenses</t>
        </is>
      </c>
      <c r="D8175" s="3" t="inlineStr">
        <is>
          <t>4200/000</t>
        </is>
      </c>
      <c r="E8175" s="3" t="inlineStr">
        <is>
          <t>Printing _AND_ Stationery</t>
        </is>
      </c>
      <c r="F8175" s="3" t="n">
        <v>0</v>
      </c>
      <c r="G8175" s="3" t="n">
        <v>375</v>
      </c>
    </row>
    <row r="8176">
      <c r="A8176" s="3" t="inlineStr">
        <is>
          <t>Opportunity Global Investment (PTY) LTD</t>
        </is>
      </c>
      <c r="B8176" s="4" t="n">
        <v>44651</v>
      </c>
      <c r="C8176" s="3" t="inlineStr">
        <is>
          <t>Expenses</t>
        </is>
      </c>
      <c r="D8176" s="3" t="inlineStr">
        <is>
          <t>4200/000</t>
        </is>
      </c>
      <c r="E8176" s="3" t="inlineStr">
        <is>
          <t>Printing _AND_ Stationery</t>
        </is>
      </c>
      <c r="F8176" s="3" t="n">
        <v>2367</v>
      </c>
      <c r="G8176" s="3" t="n">
        <v>2367</v>
      </c>
    </row>
    <row r="8177">
      <c r="A8177" s="3" t="inlineStr">
        <is>
          <t>Opportunity Management Holdings (PTY) LTD</t>
        </is>
      </c>
      <c r="B8177" s="4" t="n">
        <v>44651</v>
      </c>
      <c r="C8177" s="3" t="inlineStr">
        <is>
          <t>Expenses</t>
        </is>
      </c>
      <c r="D8177" s="3" t="inlineStr">
        <is>
          <t>4200/000</t>
        </is>
      </c>
      <c r="E8177" s="3" t="inlineStr">
        <is>
          <t>Printing _AND_ Stationery</t>
        </is>
      </c>
      <c r="F8177" s="3" t="n">
        <v>2240.87</v>
      </c>
      <c r="G8177" s="3" t="n">
        <v>2240.87</v>
      </c>
    </row>
    <row r="8178">
      <c r="A8178" s="3" t="inlineStr">
        <is>
          <t>Noble Shield (Pty) Ltd ta Go Letting</t>
        </is>
      </c>
      <c r="B8178" s="4" t="n">
        <v>44651</v>
      </c>
      <c r="C8178" s="3" t="inlineStr">
        <is>
          <t>Expenses</t>
        </is>
      </c>
      <c r="D8178" s="3" t="inlineStr">
        <is>
          <t>4200/100</t>
        </is>
      </c>
      <c r="E8178" s="3" t="inlineStr">
        <is>
          <t>Printing - Merchant West- Printer Rental</t>
        </is>
      </c>
      <c r="F8178" s="3" t="n">
        <v>1620.87</v>
      </c>
      <c r="G8178" s="3" t="n">
        <v>11327.25</v>
      </c>
    </row>
    <row r="8179">
      <c r="A8179" s="3" t="inlineStr">
        <is>
          <t>Noble Shield (Pty) Ltd ta Go Letting</t>
        </is>
      </c>
      <c r="B8179" s="4" t="n">
        <v>44651</v>
      </c>
      <c r="C8179" s="3" t="inlineStr">
        <is>
          <t>Expenses</t>
        </is>
      </c>
      <c r="D8179" s="3" t="inlineStr">
        <is>
          <t>4200/120</t>
        </is>
      </c>
      <c r="E8179" s="3" t="inlineStr">
        <is>
          <t>Printing - Ivy Line - Prints</t>
        </is>
      </c>
      <c r="F8179" s="3" t="n">
        <v>1192.07</v>
      </c>
      <c r="G8179" s="3" t="n">
        <v>4813.44</v>
      </c>
    </row>
    <row r="8180">
      <c r="A8180" s="3" t="inlineStr">
        <is>
          <t>Noble Shield (Pty) Ltd ta Go Letting</t>
        </is>
      </c>
      <c r="B8180" s="4" t="n">
        <v>44651</v>
      </c>
      <c r="C8180" s="3" t="inlineStr">
        <is>
          <t>Expenses</t>
        </is>
      </c>
      <c r="D8180" s="3" t="inlineStr">
        <is>
          <t>4200/180</t>
        </is>
      </c>
      <c r="E8180" s="3" t="inlineStr">
        <is>
          <t>Printing - Ikon</t>
        </is>
      </c>
      <c r="F8180" s="3" t="n">
        <v>193.43</v>
      </c>
      <c r="G8180" s="3" t="n">
        <v>4009.93</v>
      </c>
    </row>
    <row r="8181">
      <c r="A8181" s="3" t="inlineStr">
        <is>
          <t>Noble Shield (Pty) Ltd ta Go Letting</t>
        </is>
      </c>
      <c r="B8181" s="4" t="n">
        <v>44651</v>
      </c>
      <c r="C8181" s="3" t="inlineStr">
        <is>
          <t>Expenses</t>
        </is>
      </c>
      <c r="D8181" s="3" t="inlineStr">
        <is>
          <t>4200/190</t>
        </is>
      </c>
      <c r="E8181" s="3" t="inlineStr">
        <is>
          <t>Printing - Centrafin printer rental</t>
        </is>
      </c>
      <c r="F8181" s="3" t="n">
        <v>4980.4</v>
      </c>
      <c r="G8181" s="3" t="n">
        <v>18907.92</v>
      </c>
    </row>
    <row r="8182">
      <c r="A8182" s="3" t="inlineStr">
        <is>
          <t>Noble Shield (Pty) Ltd ta Go Letting</t>
        </is>
      </c>
      <c r="B8182" s="4" t="n">
        <v>44651</v>
      </c>
      <c r="C8182" s="3" t="inlineStr">
        <is>
          <t>Expenses</t>
        </is>
      </c>
      <c r="D8182" s="3" t="inlineStr">
        <is>
          <t>4200/200</t>
        </is>
      </c>
      <c r="E8182" s="3" t="inlineStr">
        <is>
          <t>Printing - General Stationery VDB Office</t>
        </is>
      </c>
      <c r="F8182" s="3" t="n">
        <v>612.62</v>
      </c>
      <c r="G8182" s="3" t="n">
        <v>3156.77</v>
      </c>
    </row>
    <row r="8183">
      <c r="A8183" s="3" t="inlineStr">
        <is>
          <t>Noble Shield (Pty) Ltd ta Go Letting</t>
        </is>
      </c>
      <c r="B8183" s="4" t="n">
        <v>44651</v>
      </c>
      <c r="C8183" s="3" t="inlineStr">
        <is>
          <t>Expenses</t>
        </is>
      </c>
      <c r="D8183" s="3" t="inlineStr">
        <is>
          <t>4290/000</t>
        </is>
      </c>
      <c r="E8183" s="3" t="inlineStr">
        <is>
          <t>Refreshments - CT Office</t>
        </is>
      </c>
      <c r="F8183" s="3" t="n">
        <v>809.72</v>
      </c>
      <c r="G8183" s="3" t="n">
        <v>5182.02</v>
      </c>
    </row>
    <row r="8184">
      <c r="A8184" s="3" t="inlineStr">
        <is>
          <t>Opportunity Global Investment (PTY) LTD</t>
        </is>
      </c>
      <c r="B8184" s="4" t="n">
        <v>44651</v>
      </c>
      <c r="C8184" s="3" t="inlineStr">
        <is>
          <t>Expenses</t>
        </is>
      </c>
      <c r="D8184" s="3" t="inlineStr">
        <is>
          <t>4290/000</t>
        </is>
      </c>
      <c r="E8184" s="3" t="inlineStr">
        <is>
          <t>Rent</t>
        </is>
      </c>
      <c r="F8184" s="3" t="n">
        <v>8770</v>
      </c>
      <c r="G8184" s="3" t="n">
        <v>8770</v>
      </c>
    </row>
    <row r="8185">
      <c r="A8185" s="3" t="inlineStr">
        <is>
          <t>Noble Shield (Pty) Ltd ta Go Letting</t>
        </is>
      </c>
      <c r="B8185" s="4" t="n">
        <v>44651</v>
      </c>
      <c r="C8185" s="3" t="inlineStr">
        <is>
          <t>Expenses</t>
        </is>
      </c>
      <c r="D8185" s="3" t="inlineStr">
        <is>
          <t>4291/000</t>
        </is>
      </c>
      <c r="E8185" s="3" t="inlineStr">
        <is>
          <t>Refreshments - VDB Office</t>
        </is>
      </c>
      <c r="F8185" s="3" t="n">
        <v>0</v>
      </c>
      <c r="G8185" s="3" t="n">
        <v>1293.29</v>
      </c>
    </row>
    <row r="8186">
      <c r="A8186" s="3" t="inlineStr">
        <is>
          <t>Trademark Holdings (Pty) Ltd</t>
        </is>
      </c>
      <c r="B8186" s="4" t="n">
        <v>44651</v>
      </c>
      <c r="C8186" s="3" t="inlineStr">
        <is>
          <t>Expenses</t>
        </is>
      </c>
      <c r="D8186" s="3" t="inlineStr">
        <is>
          <t>4300/000</t>
        </is>
      </c>
      <c r="E8186" s="3" t="inlineStr">
        <is>
          <t>Rent Paid</t>
        </is>
      </c>
      <c r="F8186" s="3" t="n">
        <v>6055.32</v>
      </c>
      <c r="G8186" s="3" t="n">
        <v>42037.19</v>
      </c>
    </row>
    <row r="8187">
      <c r="A8187" s="3" t="inlineStr">
        <is>
          <t>Endulini (Pty) Ltd</t>
        </is>
      </c>
      <c r="B8187" s="4" t="n">
        <v>44651</v>
      </c>
      <c r="C8187" s="3" t="inlineStr">
        <is>
          <t>Expenses</t>
        </is>
      </c>
      <c r="D8187" s="3" t="inlineStr">
        <is>
          <t>4310/000</t>
        </is>
      </c>
      <c r="E8187" s="3" t="inlineStr">
        <is>
          <t>Rates</t>
        </is>
      </c>
      <c r="F8187" s="3" t="n">
        <v>28266.66</v>
      </c>
      <c r="G8187" s="3" t="n">
        <v>28266.66</v>
      </c>
    </row>
    <row r="8188">
      <c r="A8188" s="3" t="inlineStr">
        <is>
          <t>Opportunity Global Investment (PTY) LTD</t>
        </is>
      </c>
      <c r="B8188" s="4" t="n">
        <v>44651</v>
      </c>
      <c r="C8188" s="3" t="inlineStr">
        <is>
          <t>Expenses</t>
        </is>
      </c>
      <c r="D8188" s="3" t="inlineStr">
        <is>
          <t>4310/000</t>
        </is>
      </c>
      <c r="E8188" s="3" t="inlineStr">
        <is>
          <t>Refreshments</t>
        </is>
      </c>
      <c r="F8188" s="3" t="n">
        <v>2521</v>
      </c>
      <c r="G8188" s="3" t="n">
        <v>2521</v>
      </c>
    </row>
    <row r="8189">
      <c r="A8189" s="3" t="inlineStr">
        <is>
          <t>Opportunity Management Holdings (PTY) LTD</t>
        </is>
      </c>
      <c r="B8189" s="4" t="n">
        <v>44651</v>
      </c>
      <c r="C8189" s="3" t="inlineStr">
        <is>
          <t>Expenses</t>
        </is>
      </c>
      <c r="D8189" s="3" t="inlineStr">
        <is>
          <t>4310/000</t>
        </is>
      </c>
      <c r="E8189" s="3" t="inlineStr">
        <is>
          <t>Refreshments</t>
        </is>
      </c>
      <c r="F8189" s="3" t="n">
        <v>912.7</v>
      </c>
      <c r="G8189" s="3" t="n">
        <v>1818.9</v>
      </c>
    </row>
    <row r="8190">
      <c r="A8190" s="3" t="inlineStr">
        <is>
          <t>Quinate Consulting (Pty) Ltd</t>
        </is>
      </c>
      <c r="B8190" s="4" t="n">
        <v>44651</v>
      </c>
      <c r="C8190" s="3" t="inlineStr">
        <is>
          <t>Expenses</t>
        </is>
      </c>
      <c r="D8190" s="3" t="inlineStr">
        <is>
          <t>4312/000</t>
        </is>
      </c>
      <c r="E8190" s="3" t="inlineStr">
        <is>
          <t>Rates - SoHo Units</t>
        </is>
      </c>
      <c r="F8190" s="3" t="n">
        <v>2206.5</v>
      </c>
      <c r="G8190" s="3" t="n">
        <v>2206.5</v>
      </c>
    </row>
    <row r="8191">
      <c r="A8191" s="3" t="inlineStr">
        <is>
          <t>Noble Shield (Pty) Ltd ta Go Letting</t>
        </is>
      </c>
      <c r="B8191" s="4" t="n">
        <v>44651</v>
      </c>
      <c r="C8191" s="3" t="inlineStr">
        <is>
          <t>Expenses</t>
        </is>
      </c>
      <c r="D8191" s="3" t="inlineStr">
        <is>
          <t>4350/000</t>
        </is>
      </c>
      <c r="E8191" s="3" t="inlineStr">
        <is>
          <t>Repairs _AND_ Maintenance</t>
        </is>
      </c>
      <c r="F8191" s="3" t="n">
        <v>109.99</v>
      </c>
      <c r="G8191" s="3" t="n">
        <v>3068.83</v>
      </c>
    </row>
    <row r="8192">
      <c r="A8192" s="3" t="inlineStr">
        <is>
          <t>Trademark Holdings (Pty) Ltd</t>
        </is>
      </c>
      <c r="B8192" s="4" t="n">
        <v>44651</v>
      </c>
      <c r="C8192" s="3" t="inlineStr">
        <is>
          <t>Expenses</t>
        </is>
      </c>
      <c r="D8192" s="3" t="inlineStr">
        <is>
          <t>4350/000</t>
        </is>
      </c>
      <c r="E8192" s="3" t="inlineStr">
        <is>
          <t>Repairs _AND_ Maintenance</t>
        </is>
      </c>
      <c r="F8192" s="3" t="n">
        <v>925</v>
      </c>
      <c r="G8192" s="3" t="n">
        <v>925</v>
      </c>
    </row>
    <row r="8193">
      <c r="A8193" s="3" t="inlineStr">
        <is>
          <t>Quinate Consulting (Pty) Ltd</t>
        </is>
      </c>
      <c r="B8193" s="4" t="n">
        <v>44651</v>
      </c>
      <c r="C8193" s="3" t="inlineStr">
        <is>
          <t>Expenses</t>
        </is>
      </c>
      <c r="D8193" s="3" t="inlineStr">
        <is>
          <t>4350/000</t>
        </is>
      </c>
      <c r="E8193" s="3" t="inlineStr">
        <is>
          <t>Repairs and Maintenance - Southwark Units</t>
        </is>
      </c>
      <c r="F8193" s="3" t="n">
        <v>12416</v>
      </c>
      <c r="G8193" s="3" t="n">
        <v>12416</v>
      </c>
    </row>
    <row r="8194">
      <c r="A8194" s="3" t="inlineStr">
        <is>
          <t>Opportunity Management Holdings (PTY) LTD</t>
        </is>
      </c>
      <c r="B8194" s="4" t="n">
        <v>44651</v>
      </c>
      <c r="C8194" s="3" t="inlineStr">
        <is>
          <t>Expenses</t>
        </is>
      </c>
      <c r="D8194" s="3" t="inlineStr">
        <is>
          <t>4390/000</t>
        </is>
      </c>
      <c r="E8194" s="3" t="inlineStr">
        <is>
          <t>Small Assets</t>
        </is>
      </c>
      <c r="F8194" s="3" t="n">
        <v>701.74</v>
      </c>
      <c r="G8194" s="3" t="n">
        <v>3674.74</v>
      </c>
    </row>
    <row r="8195">
      <c r="A8195" s="3" t="inlineStr">
        <is>
          <t>Noble Shield (Pty) Ltd ta Go Letting</t>
        </is>
      </c>
      <c r="B8195" s="4" t="n">
        <v>44651</v>
      </c>
      <c r="C8195" s="3" t="inlineStr">
        <is>
          <t>Expenses</t>
        </is>
      </c>
      <c r="D8195" s="3" t="inlineStr">
        <is>
          <t>4400/000</t>
        </is>
      </c>
      <c r="E8195" s="3" t="inlineStr">
        <is>
          <t>Salaries _AND_ Wages</t>
        </is>
      </c>
      <c r="F8195" s="3" t="n">
        <v>26282.14</v>
      </c>
      <c r="G8195" s="3" t="n">
        <v>157479.03</v>
      </c>
    </row>
    <row r="8196">
      <c r="A8196" s="3" t="inlineStr">
        <is>
          <t>Opportunity Global Sales (PTY) LTD</t>
        </is>
      </c>
      <c r="B8196" s="4" t="n">
        <v>44651</v>
      </c>
      <c r="C8196" s="3" t="inlineStr">
        <is>
          <t>Expenses</t>
        </is>
      </c>
      <c r="D8196" s="3" t="inlineStr">
        <is>
          <t>4400/000</t>
        </is>
      </c>
      <c r="E8196" s="3" t="inlineStr">
        <is>
          <t>Salaries _AND_ Wages</t>
        </is>
      </c>
      <c r="F8196" s="3" t="n">
        <v>35052.68</v>
      </c>
      <c r="G8196" s="3" t="n">
        <v>35052.68</v>
      </c>
    </row>
    <row r="8197">
      <c r="A8197" s="3" t="inlineStr">
        <is>
          <t>Opportunity Management Holdings (PTY) LTD</t>
        </is>
      </c>
      <c r="B8197" s="4" t="n">
        <v>44651</v>
      </c>
      <c r="C8197" s="3" t="inlineStr">
        <is>
          <t>Expenses</t>
        </is>
      </c>
      <c r="D8197" s="3" t="inlineStr">
        <is>
          <t>4400/000</t>
        </is>
      </c>
      <c r="E8197" s="3" t="inlineStr">
        <is>
          <t>Salaries _AND_ Wages</t>
        </is>
      </c>
      <c r="F8197" s="3" t="n">
        <v>155134.8</v>
      </c>
      <c r="G8197" s="3" t="n">
        <v>968945.22</v>
      </c>
    </row>
    <row r="8198">
      <c r="A8198" s="3" t="inlineStr">
        <is>
          <t>Trademark Holdings (Pty) Ltd</t>
        </is>
      </c>
      <c r="B8198" s="4" t="n">
        <v>44651</v>
      </c>
      <c r="C8198" s="3" t="inlineStr">
        <is>
          <t>Expenses</t>
        </is>
      </c>
      <c r="D8198" s="3" t="inlineStr">
        <is>
          <t>4400/000</t>
        </is>
      </c>
      <c r="E8198" s="3" t="inlineStr">
        <is>
          <t>Salaries _AND_ Wages</t>
        </is>
      </c>
      <c r="F8198" s="3" t="n">
        <v>37874.45</v>
      </c>
      <c r="G8198" s="3" t="n">
        <v>260445.86</v>
      </c>
    </row>
    <row r="8199">
      <c r="A8199" s="3" t="inlineStr">
        <is>
          <t>Opportunity Management Holdings (PTY) LTD</t>
        </is>
      </c>
      <c r="B8199" s="4" t="n">
        <v>44651</v>
      </c>
      <c r="C8199" s="3" t="inlineStr">
        <is>
          <t>Expenses</t>
        </is>
      </c>
      <c r="D8199" s="3" t="inlineStr">
        <is>
          <t>4450/000</t>
        </is>
      </c>
      <c r="E8199" s="3" t="inlineStr">
        <is>
          <t>Staff Training</t>
        </is>
      </c>
      <c r="F8199" s="3" t="n">
        <v>0</v>
      </c>
      <c r="G8199" s="3" t="n">
        <v>2954</v>
      </c>
    </row>
    <row r="8200">
      <c r="A8200" s="3" t="inlineStr">
        <is>
          <t>Noble Shield (Pty) Ltd ta Go Letting</t>
        </is>
      </c>
      <c r="B8200" s="4" t="n">
        <v>44651</v>
      </c>
      <c r="C8200" s="3" t="inlineStr">
        <is>
          <t>Expenses</t>
        </is>
      </c>
      <c r="D8200" s="3" t="inlineStr">
        <is>
          <t>4500/000</t>
        </is>
      </c>
      <c r="E8200" s="3" t="inlineStr">
        <is>
          <t>Staff Welfare</t>
        </is>
      </c>
      <c r="F8200" s="3" t="n">
        <v>527.89</v>
      </c>
      <c r="G8200" s="3" t="n">
        <v>6928.84</v>
      </c>
    </row>
    <row r="8201">
      <c r="A8201" s="3" t="inlineStr">
        <is>
          <t>Opportunity Management Holdings (PTY) LTD</t>
        </is>
      </c>
      <c r="B8201" s="4" t="n">
        <v>44651</v>
      </c>
      <c r="C8201" s="3" t="inlineStr">
        <is>
          <t>Expenses</t>
        </is>
      </c>
      <c r="D8201" s="3" t="inlineStr">
        <is>
          <t>4500/000</t>
        </is>
      </c>
      <c r="E8201" s="3" t="inlineStr">
        <is>
          <t>Staff Welfare</t>
        </is>
      </c>
      <c r="F8201" s="3" t="n">
        <v>0</v>
      </c>
      <c r="G8201" s="3" t="n">
        <v>79.98999999999999</v>
      </c>
    </row>
    <row r="8202">
      <c r="A8202" s="3" t="inlineStr">
        <is>
          <t>Noble Shield (Pty) Ltd ta Go Letting</t>
        </is>
      </c>
      <c r="B8202" s="4" t="n">
        <v>44651</v>
      </c>
      <c r="C8202" s="3" t="inlineStr">
        <is>
          <t>Expenses</t>
        </is>
      </c>
      <c r="D8202" s="3" t="inlineStr">
        <is>
          <t>4520/000</t>
        </is>
      </c>
      <c r="E8202" s="3" t="inlineStr">
        <is>
          <t>Security</t>
        </is>
      </c>
      <c r="F8202" s="3" t="n">
        <v>731.25</v>
      </c>
      <c r="G8202" s="3" t="n">
        <v>5293.53</v>
      </c>
    </row>
    <row r="8203">
      <c r="A8203" s="3" t="inlineStr">
        <is>
          <t>Noble Shield (Pty) Ltd ta Go Letting</t>
        </is>
      </c>
      <c r="B8203" s="4" t="n">
        <v>44651</v>
      </c>
      <c r="C8203" s="3" t="inlineStr">
        <is>
          <t>Expenses</t>
        </is>
      </c>
      <c r="D8203" s="3" t="inlineStr">
        <is>
          <t>4550/000</t>
        </is>
      </c>
      <c r="E8203" s="3" t="inlineStr">
        <is>
          <t>Subscriptions</t>
        </is>
      </c>
      <c r="F8203" s="3" t="n">
        <v>274.15</v>
      </c>
      <c r="G8203" s="3" t="n">
        <v>274.15</v>
      </c>
    </row>
    <row r="8204">
      <c r="A8204" s="3" t="inlineStr">
        <is>
          <t>Quinate Consulting (Pty) Ltd</t>
        </is>
      </c>
      <c r="B8204" s="4" t="n">
        <v>44651</v>
      </c>
      <c r="C8204" s="3" t="inlineStr">
        <is>
          <t>Expenses</t>
        </is>
      </c>
      <c r="D8204" s="3" t="inlineStr">
        <is>
          <t>4550/000</t>
        </is>
      </c>
      <c r="E8204" s="3" t="inlineStr">
        <is>
          <t>Subscriptions / Licenses</t>
        </is>
      </c>
      <c r="F8204" s="3" t="n">
        <v>7048.08</v>
      </c>
      <c r="G8204" s="3" t="n">
        <v>7048.08</v>
      </c>
    </row>
    <row r="8205">
      <c r="A8205" s="3" t="inlineStr">
        <is>
          <t>Opportunity Management Holdings (PTY) LTD</t>
        </is>
      </c>
      <c r="B8205" s="4" t="n">
        <v>44651</v>
      </c>
      <c r="C8205" s="3" t="inlineStr">
        <is>
          <t>Expenses</t>
        </is>
      </c>
      <c r="D8205" s="3" t="inlineStr">
        <is>
          <t>4550/000</t>
        </is>
      </c>
      <c r="E8205" s="3" t="inlineStr">
        <is>
          <t>Subscriptions _AND_ Lisences</t>
        </is>
      </c>
      <c r="F8205" s="3" t="n">
        <v>0</v>
      </c>
      <c r="G8205" s="3" t="n">
        <v>7989.57</v>
      </c>
    </row>
    <row r="8206">
      <c r="A8206" s="3" t="inlineStr">
        <is>
          <t>Noble Shield (Pty) Ltd ta Go Letting</t>
        </is>
      </c>
      <c r="B8206" s="4" t="n">
        <v>44651</v>
      </c>
      <c r="C8206" s="3" t="inlineStr">
        <is>
          <t>Expenses</t>
        </is>
      </c>
      <c r="D8206" s="3" t="inlineStr">
        <is>
          <t>4550/100</t>
        </is>
      </c>
      <c r="E8206" s="3" t="inlineStr">
        <is>
          <t>Subscriptions - EAAB</t>
        </is>
      </c>
      <c r="F8206" s="3" t="n">
        <v>2000</v>
      </c>
      <c r="G8206" s="3" t="n">
        <v>5010</v>
      </c>
    </row>
    <row r="8207">
      <c r="A8207" s="3" t="inlineStr">
        <is>
          <t>Trademark Holdings (Pty) Ltd</t>
        </is>
      </c>
      <c r="B8207" s="4" t="n">
        <v>44651</v>
      </c>
      <c r="C8207" s="3" t="inlineStr">
        <is>
          <t>Expenses</t>
        </is>
      </c>
      <c r="D8207" s="3" t="inlineStr">
        <is>
          <t>4550/100</t>
        </is>
      </c>
      <c r="E8207" s="3" t="inlineStr">
        <is>
          <t>Subscriptions - EAAB</t>
        </is>
      </c>
      <c r="F8207" s="3" t="n">
        <v>2000</v>
      </c>
      <c r="G8207" s="3" t="n">
        <v>3710</v>
      </c>
    </row>
    <row r="8208">
      <c r="A8208" s="3" t="inlineStr">
        <is>
          <t>Opportunity Global Investment (PTY) LTD</t>
        </is>
      </c>
      <c r="B8208" s="4" t="n">
        <v>44651</v>
      </c>
      <c r="C8208" s="3" t="inlineStr">
        <is>
          <t>Expenses</t>
        </is>
      </c>
      <c r="D8208" s="3" t="inlineStr">
        <is>
          <t>4550/150</t>
        </is>
      </c>
      <c r="E8208" s="3" t="inlineStr">
        <is>
          <t>Subscriptions - Webbox</t>
        </is>
      </c>
      <c r="F8208" s="3" t="n">
        <v>1165</v>
      </c>
      <c r="G8208" s="3" t="n">
        <v>1165</v>
      </c>
    </row>
    <row r="8209">
      <c r="A8209" s="3" t="inlineStr">
        <is>
          <t>Opportunity Global Investment (PTY) LTD</t>
        </is>
      </c>
      <c r="B8209" s="4" t="n">
        <v>44651</v>
      </c>
      <c r="C8209" s="3" t="inlineStr">
        <is>
          <t>Expenses</t>
        </is>
      </c>
      <c r="D8209" s="3" t="inlineStr">
        <is>
          <t>4550/200</t>
        </is>
      </c>
      <c r="E8209" s="3" t="inlineStr">
        <is>
          <t>Subscriptions - Zoom</t>
        </is>
      </c>
      <c r="F8209" s="3" t="n">
        <v>231.37</v>
      </c>
      <c r="G8209" s="3" t="n">
        <v>231.37</v>
      </c>
    </row>
    <row r="8210">
      <c r="A8210" s="3" t="inlineStr">
        <is>
          <t>Opportunity Global Investment (PTY) LTD</t>
        </is>
      </c>
      <c r="B8210" s="4" t="n">
        <v>44651</v>
      </c>
      <c r="C8210" s="3" t="inlineStr">
        <is>
          <t>Expenses</t>
        </is>
      </c>
      <c r="D8210" s="3" t="inlineStr">
        <is>
          <t>4550/250</t>
        </is>
      </c>
      <c r="E8210" s="3" t="inlineStr">
        <is>
          <t>Subscriptions - LinkedIn</t>
        </is>
      </c>
      <c r="F8210" s="3" t="n">
        <v>2000.98</v>
      </c>
      <c r="G8210" s="3" t="n">
        <v>2000.98</v>
      </c>
    </row>
    <row r="8211">
      <c r="A8211" s="3" t="inlineStr">
        <is>
          <t>Noble Shield (Pty) Ltd ta Go Letting</t>
        </is>
      </c>
      <c r="B8211" s="4" t="n">
        <v>44651</v>
      </c>
      <c r="C8211" s="3" t="inlineStr">
        <is>
          <t>Expenses</t>
        </is>
      </c>
      <c r="D8211" s="3" t="inlineStr">
        <is>
          <t>4550/250</t>
        </is>
      </c>
      <c r="E8211" s="3" t="inlineStr">
        <is>
          <t>Subscriptions - Windeed reports</t>
        </is>
      </c>
      <c r="F8211" s="3" t="n">
        <v>0</v>
      </c>
      <c r="G8211" s="3" t="n">
        <v>79</v>
      </c>
    </row>
    <row r="8212">
      <c r="A8212" s="3" t="inlineStr">
        <is>
          <t>Opportunity Global Investment (PTY) LTD</t>
        </is>
      </c>
      <c r="B8212" s="4" t="n">
        <v>44651</v>
      </c>
      <c r="C8212" s="3" t="inlineStr">
        <is>
          <t>Expenses</t>
        </is>
      </c>
      <c r="D8212" s="3" t="inlineStr">
        <is>
          <t>4550/350</t>
        </is>
      </c>
      <c r="E8212" s="3" t="inlineStr">
        <is>
          <t>Subscriptions - Xero</t>
        </is>
      </c>
      <c r="F8212" s="3" t="n">
        <v>600</v>
      </c>
      <c r="G8212" s="3" t="n">
        <v>600</v>
      </c>
    </row>
    <row r="8213">
      <c r="A8213" s="3" t="inlineStr">
        <is>
          <t>Opportunity Global Investment (PTY) LTD</t>
        </is>
      </c>
      <c r="B8213" s="4" t="n">
        <v>44651</v>
      </c>
      <c r="C8213" s="3" t="inlineStr">
        <is>
          <t>Expenses</t>
        </is>
      </c>
      <c r="D8213" s="3" t="inlineStr">
        <is>
          <t>4550/400</t>
        </is>
      </c>
      <c r="E8213" s="3" t="inlineStr">
        <is>
          <t>Subscriptions - Moneyweb</t>
        </is>
      </c>
      <c r="F8213" s="3" t="n">
        <v>54.78</v>
      </c>
      <c r="G8213" s="3" t="n">
        <v>54.78</v>
      </c>
    </row>
    <row r="8214">
      <c r="A8214" s="3" t="inlineStr">
        <is>
          <t>Trademark Holdings (Pty) Ltd</t>
        </is>
      </c>
      <c r="B8214" s="4" t="n">
        <v>44651</v>
      </c>
      <c r="C8214" s="3" t="inlineStr">
        <is>
          <t>Expenses</t>
        </is>
      </c>
      <c r="D8214" s="3" t="inlineStr">
        <is>
          <t>4550/400</t>
        </is>
      </c>
      <c r="E8214" s="3" t="inlineStr">
        <is>
          <t>Subscriptions - Xero</t>
        </is>
      </c>
      <c r="F8214" s="3" t="n">
        <v>600</v>
      </c>
      <c r="G8214" s="3" t="n">
        <v>4650</v>
      </c>
    </row>
    <row r="8215">
      <c r="A8215" s="3" t="inlineStr">
        <is>
          <t>Opportunity Global Investment (PTY) LTD</t>
        </is>
      </c>
      <c r="B8215" s="4" t="n">
        <v>44651</v>
      </c>
      <c r="C8215" s="3" t="inlineStr">
        <is>
          <t>Expenses</t>
        </is>
      </c>
      <c r="D8215" s="3" t="inlineStr">
        <is>
          <t>4550/450</t>
        </is>
      </c>
      <c r="E8215" s="3" t="inlineStr">
        <is>
          <t>Subscriptions - Adobe</t>
        </is>
      </c>
      <c r="F8215" s="3" t="n">
        <v>491.48</v>
      </c>
      <c r="G8215" s="3" t="n">
        <v>491.48</v>
      </c>
    </row>
    <row r="8216">
      <c r="A8216" s="3" t="inlineStr">
        <is>
          <t>Noble Shield (Pty) Ltd ta Go Letting</t>
        </is>
      </c>
      <c r="B8216" s="4" t="n">
        <v>44651</v>
      </c>
      <c r="C8216" s="3" t="inlineStr">
        <is>
          <t>Expenses</t>
        </is>
      </c>
      <c r="D8216" s="3" t="inlineStr">
        <is>
          <t>4550/600</t>
        </is>
      </c>
      <c r="E8216" s="3" t="inlineStr">
        <is>
          <t>Subscriptions - Webbox</t>
        </is>
      </c>
      <c r="F8216" s="3" t="n">
        <v>1212.1</v>
      </c>
      <c r="G8216" s="3" t="n">
        <v>7451.61</v>
      </c>
    </row>
    <row r="8217">
      <c r="A8217" s="3" t="inlineStr">
        <is>
          <t>Noble Shield (Pty) Ltd ta Go Letting</t>
        </is>
      </c>
      <c r="B8217" s="4" t="n">
        <v>44651</v>
      </c>
      <c r="C8217" s="3" t="inlineStr">
        <is>
          <t>Expenses</t>
        </is>
      </c>
      <c r="D8217" s="3" t="inlineStr">
        <is>
          <t>4550/650</t>
        </is>
      </c>
      <c r="E8217" s="3" t="inlineStr">
        <is>
          <t>Subscriptions - Xero</t>
        </is>
      </c>
      <c r="F8217" s="3" t="n">
        <v>600</v>
      </c>
      <c r="G8217" s="3" t="n">
        <v>4650</v>
      </c>
    </row>
    <row r="8218">
      <c r="A8218" s="3" t="inlineStr">
        <is>
          <t>Noble Shield (Pty) Ltd ta Go Letting</t>
        </is>
      </c>
      <c r="B8218" s="4" t="n">
        <v>44651</v>
      </c>
      <c r="C8218" s="3" t="inlineStr">
        <is>
          <t>Expenses</t>
        </is>
      </c>
      <c r="D8218" s="3" t="inlineStr">
        <is>
          <t>4550/700</t>
        </is>
      </c>
      <c r="E8218" s="3" t="inlineStr">
        <is>
          <t>Subscriptions - Domain renewals</t>
        </is>
      </c>
      <c r="F8218" s="3" t="n">
        <v>0</v>
      </c>
      <c r="G8218" s="3" t="n">
        <v>1726.15</v>
      </c>
    </row>
    <row r="8219">
      <c r="A8219" s="3" t="inlineStr">
        <is>
          <t>Opportunity Global Sales (PTY) LTD</t>
        </is>
      </c>
      <c r="B8219" s="4" t="n">
        <v>44651</v>
      </c>
      <c r="C8219" s="3" t="inlineStr">
        <is>
          <t>Expenses</t>
        </is>
      </c>
      <c r="D8219" s="3" t="inlineStr">
        <is>
          <t>4551/000</t>
        </is>
      </c>
      <c r="E8219" s="3" t="inlineStr">
        <is>
          <t>Subscriptions - Payprop</t>
        </is>
      </c>
      <c r="F8219" s="3" t="n">
        <v>714.8200000000001</v>
      </c>
      <c r="G8219" s="3" t="n">
        <v>714.8200000000001</v>
      </c>
    </row>
    <row r="8220">
      <c r="A8220" s="3" t="inlineStr">
        <is>
          <t>Opportunity Management Holdings (PTY) LTD</t>
        </is>
      </c>
      <c r="B8220" s="4" t="n">
        <v>44651</v>
      </c>
      <c r="C8220" s="3" t="inlineStr">
        <is>
          <t>Expenses</t>
        </is>
      </c>
      <c r="D8220" s="3" t="inlineStr">
        <is>
          <t>4551/000</t>
        </is>
      </c>
      <c r="E8220" s="3" t="inlineStr">
        <is>
          <t>Subscriptions - Xero - Setup</t>
        </is>
      </c>
      <c r="F8220" s="3" t="n">
        <v>0</v>
      </c>
      <c r="G8220" s="3" t="n">
        <v>3000</v>
      </c>
    </row>
    <row r="8221">
      <c r="A8221" s="3" t="inlineStr">
        <is>
          <t>Quinate Consulting (Pty) Ltd</t>
        </is>
      </c>
      <c r="B8221" s="4" t="n">
        <v>44651</v>
      </c>
      <c r="C8221" s="3" t="inlineStr">
        <is>
          <t>Expenses</t>
        </is>
      </c>
      <c r="D8221" s="3" t="inlineStr">
        <is>
          <t>4551/000</t>
        </is>
      </c>
      <c r="E8221" s="3" t="inlineStr">
        <is>
          <t>Subscriptions - Zoho</t>
        </is>
      </c>
      <c r="F8221" s="3" t="n">
        <v>1125</v>
      </c>
      <c r="G8221" s="3" t="n">
        <v>1125</v>
      </c>
    </row>
    <row r="8222">
      <c r="A8222" s="3" t="inlineStr">
        <is>
          <t>Endulini (Pty) Ltd</t>
        </is>
      </c>
      <c r="B8222" s="4" t="n">
        <v>44651</v>
      </c>
      <c r="C8222" s="3" t="inlineStr">
        <is>
          <t>Expenses</t>
        </is>
      </c>
      <c r="D8222" s="3" t="inlineStr">
        <is>
          <t>4552/000</t>
        </is>
      </c>
      <c r="E8222" s="3" t="inlineStr">
        <is>
          <t>Subscriptions - Xero</t>
        </is>
      </c>
      <c r="F8222" s="3" t="n">
        <v>600</v>
      </c>
      <c r="G8222" s="3" t="n">
        <v>600</v>
      </c>
    </row>
    <row r="8223">
      <c r="A8223" s="3" t="inlineStr">
        <is>
          <t>Opportunity Global Sales (PTY) LTD</t>
        </is>
      </c>
      <c r="B8223" s="4" t="n">
        <v>44651</v>
      </c>
      <c r="C8223" s="3" t="inlineStr">
        <is>
          <t>Expenses</t>
        </is>
      </c>
      <c r="D8223" s="3" t="inlineStr">
        <is>
          <t>4552/000</t>
        </is>
      </c>
      <c r="E8223" s="3" t="inlineStr">
        <is>
          <t>Subscriptions - Xero</t>
        </is>
      </c>
      <c r="F8223" s="3" t="n">
        <v>600</v>
      </c>
      <c r="G8223" s="3" t="n">
        <v>600</v>
      </c>
    </row>
    <row r="8224">
      <c r="A8224" s="3" t="inlineStr">
        <is>
          <t>Opportunity Management Holdings (PTY) LTD</t>
        </is>
      </c>
      <c r="B8224" s="4" t="n">
        <v>44651</v>
      </c>
      <c r="C8224" s="3" t="inlineStr">
        <is>
          <t>Expenses</t>
        </is>
      </c>
      <c r="D8224" s="3" t="inlineStr">
        <is>
          <t>4552/000</t>
        </is>
      </c>
      <c r="E8224" s="3" t="inlineStr">
        <is>
          <t>Subscriptions - Xero</t>
        </is>
      </c>
      <c r="F8224" s="3" t="n">
        <v>600</v>
      </c>
      <c r="G8224" s="3" t="n">
        <v>2250</v>
      </c>
    </row>
    <row r="8225">
      <c r="A8225" s="3" t="inlineStr">
        <is>
          <t>Opportunity Global Sales (PTY) LTD</t>
        </is>
      </c>
      <c r="B8225" s="4" t="n">
        <v>44651</v>
      </c>
      <c r="C8225" s="3" t="inlineStr">
        <is>
          <t>Expenses</t>
        </is>
      </c>
      <c r="D8225" s="3" t="inlineStr">
        <is>
          <t>4553/000</t>
        </is>
      </c>
      <c r="E8225" s="3" t="inlineStr">
        <is>
          <t>Subscriptions - CMA</t>
        </is>
      </c>
      <c r="F8225" s="3" t="n">
        <v>680</v>
      </c>
      <c r="G8225" s="3" t="n">
        <v>680</v>
      </c>
    </row>
    <row r="8226">
      <c r="A8226" s="3" t="inlineStr">
        <is>
          <t>Quinate Consulting (Pty) Ltd</t>
        </is>
      </c>
      <c r="B8226" s="4" t="n">
        <v>44651</v>
      </c>
      <c r="C8226" s="3" t="inlineStr">
        <is>
          <t>Expenses</t>
        </is>
      </c>
      <c r="D8226" s="3" t="inlineStr">
        <is>
          <t>4554/000</t>
        </is>
      </c>
      <c r="E8226" s="3" t="inlineStr">
        <is>
          <t>Subscriptions - Xero</t>
        </is>
      </c>
      <c r="F8226" s="3" t="n">
        <v>600</v>
      </c>
      <c r="G8226" s="3" t="n">
        <v>600</v>
      </c>
    </row>
    <row r="8227">
      <c r="A8227" s="3" t="inlineStr">
        <is>
          <t>Opportunity Global Sales (PTY) LTD</t>
        </is>
      </c>
      <c r="B8227" s="4" t="n">
        <v>44651</v>
      </c>
      <c r="C8227" s="3" t="inlineStr">
        <is>
          <t>Expenses</t>
        </is>
      </c>
      <c r="D8227" s="3" t="inlineStr">
        <is>
          <t>4554/000</t>
        </is>
      </c>
      <c r="E8227" s="3" t="inlineStr">
        <is>
          <t>Subscriptions - Zoho</t>
        </is>
      </c>
      <c r="F8227" s="3" t="n">
        <v>600</v>
      </c>
      <c r="G8227" s="3" t="n">
        <v>600</v>
      </c>
    </row>
    <row r="8228">
      <c r="A8228" s="3" t="inlineStr">
        <is>
          <t>Opportunity Global Sales (PTY) LTD</t>
        </is>
      </c>
      <c r="B8228" s="4" t="n">
        <v>44651</v>
      </c>
      <c r="C8228" s="3" t="inlineStr">
        <is>
          <t>Expenses</t>
        </is>
      </c>
      <c r="D8228" s="3" t="inlineStr">
        <is>
          <t>4555/000</t>
        </is>
      </c>
      <c r="E8228" s="3" t="inlineStr">
        <is>
          <t>Subscriptions - EAAB</t>
        </is>
      </c>
      <c r="F8228" s="3" t="n">
        <v>8000</v>
      </c>
      <c r="G8228" s="3" t="n">
        <v>8000</v>
      </c>
    </row>
    <row r="8229">
      <c r="A8229" s="3" t="inlineStr">
        <is>
          <t>Quinate Consulting (Pty) Ltd</t>
        </is>
      </c>
      <c r="B8229" s="4" t="n">
        <v>44651</v>
      </c>
      <c r="C8229" s="3" t="inlineStr">
        <is>
          <t>Expenses</t>
        </is>
      </c>
      <c r="D8229" s="3" t="inlineStr">
        <is>
          <t>4555/000</t>
        </is>
      </c>
      <c r="E8229" s="3" t="inlineStr">
        <is>
          <t>Subscriptions - OUMS</t>
        </is>
      </c>
      <c r="F8229" s="3" t="n">
        <v>6475.9</v>
      </c>
      <c r="G8229" s="3" t="n">
        <v>6475.9</v>
      </c>
    </row>
    <row r="8230">
      <c r="A8230" s="3" t="inlineStr">
        <is>
          <t>Opportunity Global Investment (PTY) LTD</t>
        </is>
      </c>
      <c r="B8230" s="4" t="n">
        <v>44651</v>
      </c>
      <c r="C8230" s="3" t="inlineStr">
        <is>
          <t>Expenses</t>
        </is>
      </c>
      <c r="D8230" s="3" t="inlineStr">
        <is>
          <t>4600/000</t>
        </is>
      </c>
      <c r="E8230" s="3" t="inlineStr">
        <is>
          <t>Telephone _AND_ Fax</t>
        </is>
      </c>
      <c r="F8230" s="3" t="n">
        <v>3355</v>
      </c>
      <c r="G8230" s="3" t="n">
        <v>3355</v>
      </c>
    </row>
    <row r="8231">
      <c r="A8231" s="3" t="inlineStr">
        <is>
          <t>Trademark Holdings (Pty) Ltd</t>
        </is>
      </c>
      <c r="B8231" s="4" t="n">
        <v>44651</v>
      </c>
      <c r="C8231" s="3" t="inlineStr">
        <is>
          <t>Expenses</t>
        </is>
      </c>
      <c r="D8231" s="3" t="inlineStr">
        <is>
          <t>4600/000</t>
        </is>
      </c>
      <c r="E8231" s="3" t="inlineStr">
        <is>
          <t>Telephone _AND_ Fax</t>
        </is>
      </c>
      <c r="F8231" s="3" t="n">
        <v>1583.9</v>
      </c>
      <c r="G8231" s="3" t="n">
        <v>10071.19</v>
      </c>
    </row>
    <row r="8232">
      <c r="A8232" s="3" t="inlineStr">
        <is>
          <t>Noble Shield (Pty) Ltd ta Go Letting</t>
        </is>
      </c>
      <c r="B8232" s="4" t="n">
        <v>44651</v>
      </c>
      <c r="C8232" s="3" t="inlineStr">
        <is>
          <t>Expenses</t>
        </is>
      </c>
      <c r="D8232" s="3" t="inlineStr">
        <is>
          <t>4600/000</t>
        </is>
      </c>
      <c r="E8232" s="3" t="inlineStr">
        <is>
          <t>Telephone _AND_ Fax - VDB Office</t>
        </is>
      </c>
      <c r="F8232" s="3" t="n">
        <v>0</v>
      </c>
      <c r="G8232" s="3" t="n">
        <v>1926.25</v>
      </c>
    </row>
    <row r="8233">
      <c r="A8233" s="3" t="inlineStr">
        <is>
          <t>Noble Shield (Pty) Ltd ta Go Letting</t>
        </is>
      </c>
      <c r="B8233" s="4" t="n">
        <v>44651</v>
      </c>
      <c r="C8233" s="3" t="inlineStr">
        <is>
          <t>Expenses</t>
        </is>
      </c>
      <c r="D8233" s="3" t="inlineStr">
        <is>
          <t>4610/000</t>
        </is>
      </c>
      <c r="E8233" s="3" t="inlineStr">
        <is>
          <t>Telephone - CT Office</t>
        </is>
      </c>
      <c r="F8233" s="3" t="n">
        <v>992.0599999999999</v>
      </c>
      <c r="G8233" s="3" t="n">
        <v>6115.02</v>
      </c>
    </row>
    <row r="8234">
      <c r="A8234" s="3" t="inlineStr">
        <is>
          <t>Opportunity Management Holdings (PTY) LTD</t>
        </is>
      </c>
      <c r="B8234" s="4" t="n">
        <v>44651</v>
      </c>
      <c r="C8234" s="3" t="inlineStr">
        <is>
          <t>Expenses</t>
        </is>
      </c>
      <c r="D8234" s="3" t="inlineStr">
        <is>
          <t>4650/000</t>
        </is>
      </c>
      <c r="E8234" s="3" t="inlineStr">
        <is>
          <t>Travel _AND_ Accommodation</t>
        </is>
      </c>
      <c r="F8234" s="3" t="n">
        <v>0</v>
      </c>
      <c r="G8234" s="3" t="n">
        <v>139.13</v>
      </c>
    </row>
    <row r="8235">
      <c r="A8235" s="3" t="inlineStr">
        <is>
          <t>Quinate Consulting (Pty) Ltd</t>
        </is>
      </c>
      <c r="B8235" s="4" t="n">
        <v>44651</v>
      </c>
      <c r="C8235" s="3" t="inlineStr">
        <is>
          <t>Expenses</t>
        </is>
      </c>
      <c r="D8235" s="3" t="inlineStr">
        <is>
          <t>4650/030</t>
        </is>
      </c>
      <c r="E8235" s="3" t="inlineStr">
        <is>
          <t>Travel - Parking</t>
        </is>
      </c>
      <c r="F8235" s="3" t="n">
        <v>86.95999999999999</v>
      </c>
      <c r="G8235" s="3" t="n">
        <v>86.95999999999999</v>
      </c>
    </row>
    <row r="8236">
      <c r="A8236" s="3" t="inlineStr">
        <is>
          <t>Opportunity Global Investment (PTY) LTD</t>
        </is>
      </c>
      <c r="B8236" s="4" t="n">
        <v>44651</v>
      </c>
      <c r="C8236" s="3" t="inlineStr">
        <is>
          <t>Expenses</t>
        </is>
      </c>
      <c r="D8236" s="3" t="inlineStr">
        <is>
          <t>4650/090</t>
        </is>
      </c>
      <c r="E8236" s="3" t="inlineStr">
        <is>
          <t>Travel &amp; Accom - Fuel</t>
        </is>
      </c>
      <c r="F8236" s="3" t="n">
        <v>2884.87</v>
      </c>
      <c r="G8236" s="3" t="n">
        <v>2884.87</v>
      </c>
    </row>
    <row r="8237">
      <c r="A8237" s="3" t="inlineStr">
        <is>
          <t>Quinate Consulting (Pty) Ltd</t>
        </is>
      </c>
      <c r="B8237" s="4" t="n">
        <v>44651</v>
      </c>
      <c r="C8237" s="3" t="inlineStr">
        <is>
          <t>Expenses</t>
        </is>
      </c>
      <c r="D8237" s="3" t="inlineStr">
        <is>
          <t>4650/600</t>
        </is>
      </c>
      <c r="E8237" s="3" t="inlineStr">
        <is>
          <t>Travel - Fuel</t>
        </is>
      </c>
      <c r="F8237" s="3" t="n">
        <v>983.1799999999999</v>
      </c>
      <c r="G8237" s="3" t="n">
        <v>983.1799999999999</v>
      </c>
    </row>
    <row r="8238">
      <c r="A8238" s="3" t="inlineStr">
        <is>
          <t>Noble Shield (Pty) Ltd ta Go Letting</t>
        </is>
      </c>
      <c r="B8238" s="4" t="n">
        <v>44651</v>
      </c>
      <c r="C8238" s="3" t="inlineStr">
        <is>
          <t>Expenses</t>
        </is>
      </c>
      <c r="D8238" s="3" t="inlineStr">
        <is>
          <t>4700/000</t>
        </is>
      </c>
      <c r="E8238" s="3" t="inlineStr">
        <is>
          <t>PAYE Contributions</t>
        </is>
      </c>
      <c r="F8238" s="3" t="n">
        <v>6509.31</v>
      </c>
      <c r="G8238" s="3" t="n">
        <v>35510.85</v>
      </c>
    </row>
    <row r="8239">
      <c r="A8239" s="3" t="inlineStr">
        <is>
          <t>Trademark Holdings (Pty) Ltd</t>
        </is>
      </c>
      <c r="B8239" s="4" t="n">
        <v>44651</v>
      </c>
      <c r="C8239" s="3" t="inlineStr">
        <is>
          <t>Expenses</t>
        </is>
      </c>
      <c r="D8239" s="3" t="inlineStr">
        <is>
          <t>4700/000</t>
        </is>
      </c>
      <c r="E8239" s="3" t="inlineStr">
        <is>
          <t>PAYE Contributions</t>
        </is>
      </c>
      <c r="F8239" s="3" t="n">
        <v>5682.31</v>
      </c>
      <c r="G8239" s="3" t="n">
        <v>40744.59</v>
      </c>
    </row>
    <row r="8240">
      <c r="A8240" s="3" t="inlineStr">
        <is>
          <t>Opportunity Global Investment (PTY) LTD</t>
        </is>
      </c>
      <c r="B8240" s="4" t="n">
        <v>44651</v>
      </c>
      <c r="C8240" s="3" t="inlineStr">
        <is>
          <t>Expenses</t>
        </is>
      </c>
      <c r="D8240" s="3" t="inlineStr">
        <is>
          <t>4700/000</t>
        </is>
      </c>
      <c r="E8240" s="3" t="inlineStr">
        <is>
          <t>UIF Contributions</t>
        </is>
      </c>
      <c r="F8240" s="3" t="n">
        <v>177.12</v>
      </c>
      <c r="G8240" s="3" t="n">
        <v>177.12</v>
      </c>
    </row>
    <row r="8241">
      <c r="A8241" s="3" t="inlineStr">
        <is>
          <t>Opportunity Global Sales (PTY) LTD</t>
        </is>
      </c>
      <c r="B8241" s="4" t="n">
        <v>44651</v>
      </c>
      <c r="C8241" s="3" t="inlineStr">
        <is>
          <t>Expenses</t>
        </is>
      </c>
      <c r="D8241" s="3" t="inlineStr">
        <is>
          <t>4700/000</t>
        </is>
      </c>
      <c r="E8241" s="3" t="inlineStr">
        <is>
          <t>UIF Contributions</t>
        </is>
      </c>
      <c r="F8241" s="3" t="n">
        <v>227.12</v>
      </c>
      <c r="G8241" s="3" t="n">
        <v>227.12</v>
      </c>
    </row>
    <row r="8242">
      <c r="A8242" s="3" t="inlineStr">
        <is>
          <t>Opportunity Global Sales (PTY) LTD</t>
        </is>
      </c>
      <c r="B8242" s="4" t="n">
        <v>44651</v>
      </c>
      <c r="C8242" s="3" t="inlineStr">
        <is>
          <t>Expenses</t>
        </is>
      </c>
      <c r="D8242" s="3" t="inlineStr">
        <is>
          <t>4701/000</t>
        </is>
      </c>
      <c r="E8242" s="3" t="inlineStr">
        <is>
          <t>UIF Employee Contribution</t>
        </is>
      </c>
      <c r="F8242" s="3" t="n">
        <v>227.12</v>
      </c>
      <c r="G8242" s="3" t="n">
        <v>227.12</v>
      </c>
    </row>
    <row r="8243">
      <c r="A8243" s="3" t="inlineStr">
        <is>
          <t>Opportunity Global Investment (PTY) LTD</t>
        </is>
      </c>
      <c r="B8243" s="4" t="n">
        <v>44651</v>
      </c>
      <c r="C8243" s="3" t="inlineStr">
        <is>
          <t>Expenses</t>
        </is>
      </c>
      <c r="D8243" s="3" t="inlineStr">
        <is>
          <t>4701/000</t>
        </is>
      </c>
      <c r="E8243" s="3" t="inlineStr">
        <is>
          <t>UIF Employee Contributions</t>
        </is>
      </c>
      <c r="F8243" s="3" t="n">
        <v>177.12</v>
      </c>
      <c r="G8243" s="3" t="n">
        <v>177.12</v>
      </c>
    </row>
    <row r="8244">
      <c r="A8244" s="3" t="inlineStr">
        <is>
          <t>Noble Shield (Pty) Ltd ta Go Letting</t>
        </is>
      </c>
      <c r="B8244" s="4" t="n">
        <v>44651</v>
      </c>
      <c r="C8244" s="3" t="inlineStr">
        <is>
          <t>Expenses</t>
        </is>
      </c>
      <c r="D8244" s="3" t="inlineStr">
        <is>
          <t>4710/000</t>
        </is>
      </c>
      <c r="E8244" s="3" t="inlineStr">
        <is>
          <t>UIF Company Contributions</t>
        </is>
      </c>
      <c r="F8244" s="3" t="n">
        <v>195.25</v>
      </c>
      <c r="G8244" s="3" t="n">
        <v>1398.67</v>
      </c>
    </row>
    <row r="8245">
      <c r="A8245" s="3" t="inlineStr">
        <is>
          <t>Trademark Holdings (Pty) Ltd</t>
        </is>
      </c>
      <c r="B8245" s="4" t="n">
        <v>44651</v>
      </c>
      <c r="C8245" s="3" t="inlineStr">
        <is>
          <t>Expenses</t>
        </is>
      </c>
      <c r="D8245" s="3" t="inlineStr">
        <is>
          <t>4710/000</t>
        </is>
      </c>
      <c r="E8245" s="3" t="inlineStr">
        <is>
          <t>UIF Company Contributions</t>
        </is>
      </c>
      <c r="F8245" s="3" t="n">
        <v>95.25</v>
      </c>
      <c r="G8245" s="3" t="n">
        <v>971.37</v>
      </c>
    </row>
    <row r="8246">
      <c r="A8246" s="3" t="inlineStr">
        <is>
          <t>Noble Shield (Pty) Ltd ta Go Letting</t>
        </is>
      </c>
      <c r="B8246" s="4" t="n">
        <v>44651</v>
      </c>
      <c r="C8246" s="3" t="inlineStr">
        <is>
          <t>Expenses</t>
        </is>
      </c>
      <c r="D8246" s="3" t="inlineStr">
        <is>
          <t>4711/000</t>
        </is>
      </c>
      <c r="E8246" s="3" t="inlineStr">
        <is>
          <t>UIF Employee Contribution</t>
        </is>
      </c>
      <c r="F8246" s="3" t="n">
        <v>195.25</v>
      </c>
      <c r="G8246" s="3" t="n">
        <v>1398.67</v>
      </c>
    </row>
    <row r="8247">
      <c r="A8247" s="3" t="inlineStr">
        <is>
          <t>Trademark Holdings (Pty) Ltd</t>
        </is>
      </c>
      <c r="B8247" s="4" t="n">
        <v>44651</v>
      </c>
      <c r="C8247" s="3" t="inlineStr">
        <is>
          <t>Expenses</t>
        </is>
      </c>
      <c r="D8247" s="3" t="inlineStr">
        <is>
          <t>4711/000</t>
        </is>
      </c>
      <c r="E8247" s="3" t="inlineStr">
        <is>
          <t>UIF Employee Contributions</t>
        </is>
      </c>
      <c r="F8247" s="3" t="n">
        <v>95.25</v>
      </c>
      <c r="G8247" s="3" t="n">
        <v>971.37</v>
      </c>
    </row>
    <row r="8248">
      <c r="A8248" s="3" t="inlineStr">
        <is>
          <t>Noble Shield (Pty) Ltd ta Go Letting</t>
        </is>
      </c>
      <c r="B8248" s="4" t="n">
        <v>44651</v>
      </c>
      <c r="C8248" s="3" t="inlineStr">
        <is>
          <t>Expenses</t>
        </is>
      </c>
      <c r="D8248" s="3" t="inlineStr">
        <is>
          <t>4720/000</t>
        </is>
      </c>
      <c r="E8248" s="3" t="inlineStr">
        <is>
          <t>SDL Contributions</t>
        </is>
      </c>
      <c r="F8248" s="3" t="n">
        <v>385.72</v>
      </c>
      <c r="G8248" s="3" t="n">
        <v>2380.26</v>
      </c>
    </row>
    <row r="8249">
      <c r="A8249" s="3" t="inlineStr">
        <is>
          <t>Trademark Holdings (Pty) Ltd</t>
        </is>
      </c>
      <c r="B8249" s="4" t="n">
        <v>44651</v>
      </c>
      <c r="C8249" s="3" t="inlineStr">
        <is>
          <t>Expenses</t>
        </is>
      </c>
      <c r="D8249" s="3" t="inlineStr">
        <is>
          <t>4720/000</t>
        </is>
      </c>
      <c r="E8249" s="3" t="inlineStr">
        <is>
          <t>SDL Contributions</t>
        </is>
      </c>
      <c r="F8249" s="3" t="n">
        <v>323.52</v>
      </c>
      <c r="G8249" s="3" t="n">
        <v>2170.21</v>
      </c>
    </row>
    <row r="8250">
      <c r="A8250" s="3" t="inlineStr">
        <is>
          <t>Opportunity Global Investment (PTY) LTD</t>
        </is>
      </c>
      <c r="B8250" s="4" t="n">
        <v>44651</v>
      </c>
      <c r="C8250" s="3" t="inlineStr">
        <is>
          <t>Expenses</t>
        </is>
      </c>
      <c r="D8250" s="3" t="inlineStr">
        <is>
          <t>4730/000</t>
        </is>
      </c>
      <c r="E8250" s="3" t="inlineStr">
        <is>
          <t>PAYE Contributions</t>
        </is>
      </c>
      <c r="F8250" s="3" t="n">
        <v>9136.700000000001</v>
      </c>
      <c r="G8250" s="3" t="n">
        <v>9136.700000000001</v>
      </c>
    </row>
    <row r="8251">
      <c r="A8251" s="3" t="inlineStr">
        <is>
          <t>Opportunity Global Sales (PTY) LTD</t>
        </is>
      </c>
      <c r="B8251" s="4" t="n">
        <v>44651</v>
      </c>
      <c r="C8251" s="3" t="inlineStr">
        <is>
          <t>Expenses</t>
        </is>
      </c>
      <c r="D8251" s="3" t="inlineStr">
        <is>
          <t>4730/000</t>
        </is>
      </c>
      <c r="E8251" s="3" t="inlineStr">
        <is>
          <t>PAYE Contributions</t>
        </is>
      </c>
      <c r="F8251" s="3" t="n">
        <v>21682.76</v>
      </c>
      <c r="G8251" s="3" t="n">
        <v>21682.76</v>
      </c>
    </row>
    <row r="8252">
      <c r="A8252" s="3" t="inlineStr">
        <is>
          <t>Opportunity Management Holdings (PTY) LTD</t>
        </is>
      </c>
      <c r="B8252" s="4" t="n">
        <v>44651</v>
      </c>
      <c r="C8252" s="3" t="inlineStr">
        <is>
          <t>Expenses</t>
        </is>
      </c>
      <c r="D8252" s="3" t="inlineStr">
        <is>
          <t>4730/000</t>
        </is>
      </c>
      <c r="E8252" s="3" t="inlineStr">
        <is>
          <t>PAYE Contributions</t>
        </is>
      </c>
      <c r="F8252" s="3" t="n">
        <v>32624.22</v>
      </c>
      <c r="G8252" s="3" t="n">
        <v>215704.13</v>
      </c>
    </row>
    <row r="8253">
      <c r="A8253" s="3" t="inlineStr">
        <is>
          <t>Opportunity Global Investment (PTY) LTD</t>
        </is>
      </c>
      <c r="B8253" s="4" t="n">
        <v>44651</v>
      </c>
      <c r="C8253" s="3" t="inlineStr">
        <is>
          <t>Expenses</t>
        </is>
      </c>
      <c r="D8253" s="3" t="inlineStr">
        <is>
          <t>4740/000</t>
        </is>
      </c>
      <c r="E8253" s="3" t="inlineStr">
        <is>
          <t>SDL Contributions</t>
        </is>
      </c>
      <c r="F8253" s="3" t="n">
        <v>431.1</v>
      </c>
      <c r="G8253" s="3" t="n">
        <v>431.1</v>
      </c>
    </row>
    <row r="8254">
      <c r="A8254" s="3" t="inlineStr">
        <is>
          <t>Opportunity Global Sales (PTY) LTD</t>
        </is>
      </c>
      <c r="B8254" s="4" t="n">
        <v>44651</v>
      </c>
      <c r="C8254" s="3" t="inlineStr">
        <is>
          <t>Expenses</t>
        </is>
      </c>
      <c r="D8254" s="3" t="inlineStr">
        <is>
          <t>4740/000</t>
        </is>
      </c>
      <c r="E8254" s="3" t="inlineStr">
        <is>
          <t>SDL Contributions</t>
        </is>
      </c>
      <c r="F8254" s="3" t="n">
        <v>1260.13</v>
      </c>
      <c r="G8254" s="3" t="n">
        <v>1260.13</v>
      </c>
    </row>
    <row r="8255">
      <c r="A8255" s="3" t="inlineStr">
        <is>
          <t>Opportunity Management Holdings (PTY) LTD</t>
        </is>
      </c>
      <c r="B8255" s="4" t="n">
        <v>44651</v>
      </c>
      <c r="C8255" s="3" t="inlineStr">
        <is>
          <t>Expenses</t>
        </is>
      </c>
      <c r="D8255" s="3" t="inlineStr">
        <is>
          <t>4740/000</t>
        </is>
      </c>
      <c r="E8255" s="3" t="inlineStr">
        <is>
          <t>UIF Company Contribution</t>
        </is>
      </c>
      <c r="F8255" s="3" t="n">
        <v>1090.98</v>
      </c>
      <c r="G8255" s="3" t="n">
        <v>6797.67</v>
      </c>
    </row>
    <row r="8256">
      <c r="A8256" s="3" t="inlineStr">
        <is>
          <t>Opportunity Management Holdings (PTY) LTD</t>
        </is>
      </c>
      <c r="B8256" s="4" t="n">
        <v>44651</v>
      </c>
      <c r="C8256" s="3" t="inlineStr">
        <is>
          <t>Expenses</t>
        </is>
      </c>
      <c r="D8256" s="3" t="inlineStr">
        <is>
          <t>4741/000</t>
        </is>
      </c>
      <c r="E8256" s="3" t="inlineStr">
        <is>
          <t>UIF Employee Contribution</t>
        </is>
      </c>
      <c r="F8256" s="3" t="n">
        <v>1090.98</v>
      </c>
      <c r="G8256" s="3" t="n">
        <v>6797.67</v>
      </c>
    </row>
    <row r="8257">
      <c r="A8257" s="3" t="inlineStr">
        <is>
          <t>Opportunity Management Holdings (PTY) LTD</t>
        </is>
      </c>
      <c r="B8257" s="4" t="n">
        <v>44651</v>
      </c>
      <c r="C8257" s="3" t="inlineStr">
        <is>
          <t>Expenses</t>
        </is>
      </c>
      <c r="D8257" s="3" t="inlineStr">
        <is>
          <t>4750/000</t>
        </is>
      </c>
      <c r="E8257" s="3" t="inlineStr">
        <is>
          <t>SDL Contribution</t>
        </is>
      </c>
      <c r="F8257" s="3" t="n">
        <v>1878.5</v>
      </c>
      <c r="G8257" s="3" t="n">
        <v>11854.47</v>
      </c>
    </row>
    <row r="8258">
      <c r="A8258" s="3" t="inlineStr">
        <is>
          <t>Noble Shield (Pty) Ltd ta Go Letting</t>
        </is>
      </c>
      <c r="B8258" s="4" t="n">
        <v>44651</v>
      </c>
      <c r="C8258" s="3" t="inlineStr">
        <is>
          <t>Equity</t>
        </is>
      </c>
      <c r="D8258" s="3" t="inlineStr">
        <is>
          <t>5100/000</t>
        </is>
      </c>
      <c r="E8258" s="3" t="inlineStr">
        <is>
          <t>Share Capital</t>
        </is>
      </c>
      <c r="F8258" s="3" t="n">
        <v>0</v>
      </c>
      <c r="G8258" s="3" t="n">
        <v>-1</v>
      </c>
    </row>
    <row r="8259">
      <c r="A8259" s="3" t="inlineStr">
        <is>
          <t>Opportunity Management Holdings (PTY) LTD</t>
        </is>
      </c>
      <c r="B8259" s="4" t="n">
        <v>44651</v>
      </c>
      <c r="C8259" s="3" t="inlineStr">
        <is>
          <t>Equity</t>
        </is>
      </c>
      <c r="D8259" s="3" t="inlineStr">
        <is>
          <t>5100/000</t>
        </is>
      </c>
      <c r="E8259" s="3" t="inlineStr">
        <is>
          <t>Share Capital / Members Contribution</t>
        </is>
      </c>
      <c r="F8259" s="3" t="n">
        <v>0</v>
      </c>
      <c r="G8259" s="3" t="n">
        <v>-120</v>
      </c>
    </row>
    <row r="8260">
      <c r="A8260" s="3" t="inlineStr">
        <is>
          <t>Quinate Consulting (Pty) Ltd</t>
        </is>
      </c>
      <c r="B8260" s="4" t="n">
        <v>44651</v>
      </c>
      <c r="C8260" s="3" t="inlineStr">
        <is>
          <t>Equity</t>
        </is>
      </c>
      <c r="D8260" s="3" t="inlineStr">
        <is>
          <t>5100/000</t>
        </is>
      </c>
      <c r="E8260" s="3" t="inlineStr">
        <is>
          <t>Share Capital / Members Contribution</t>
        </is>
      </c>
      <c r="F8260" s="3" t="n">
        <v>0</v>
      </c>
      <c r="G8260" s="3" t="n">
        <v>-120</v>
      </c>
    </row>
    <row r="8261">
      <c r="A8261" s="3" t="inlineStr">
        <is>
          <t>Trademark Holdings (Pty) Ltd</t>
        </is>
      </c>
      <c r="B8261" s="4" t="n">
        <v>44651</v>
      </c>
      <c r="C8261" s="3" t="inlineStr">
        <is>
          <t>Equity</t>
        </is>
      </c>
      <c r="D8261" s="3" t="inlineStr">
        <is>
          <t>5100/001</t>
        </is>
      </c>
      <c r="E8261" s="3" t="inlineStr">
        <is>
          <t>Share Capital - GFY Investments</t>
        </is>
      </c>
      <c r="F8261" s="3" t="n">
        <v>0</v>
      </c>
      <c r="G8261" s="3" t="n">
        <v>-60</v>
      </c>
    </row>
    <row r="8262">
      <c r="A8262" s="3" t="inlineStr">
        <is>
          <t>Trademark Holdings (Pty) Ltd</t>
        </is>
      </c>
      <c r="B8262" s="4" t="n">
        <v>44651</v>
      </c>
      <c r="C8262" s="3" t="inlineStr">
        <is>
          <t>Equity</t>
        </is>
      </c>
      <c r="D8262" s="3" t="inlineStr">
        <is>
          <t>5100/002</t>
        </is>
      </c>
      <c r="E8262" s="3" t="inlineStr">
        <is>
          <t>Share Capital - Zak Trust</t>
        </is>
      </c>
      <c r="F8262" s="3" t="n">
        <v>0</v>
      </c>
      <c r="G8262" s="3" t="n">
        <v>-60</v>
      </c>
    </row>
    <row r="8263">
      <c r="A8263" s="3" t="inlineStr">
        <is>
          <t>Opportunity Global Investment (PTY) LTD</t>
        </is>
      </c>
      <c r="B8263" s="4" t="n">
        <v>44651</v>
      </c>
      <c r="C8263" s="3" t="inlineStr">
        <is>
          <t>Equity</t>
        </is>
      </c>
      <c r="D8263" s="3" t="inlineStr">
        <is>
          <t>5101/000</t>
        </is>
      </c>
      <c r="E8263" s="3" t="inlineStr">
        <is>
          <t>Share Capital - Ordinary Type A</t>
        </is>
      </c>
      <c r="F8263" s="3" t="n">
        <v>0</v>
      </c>
      <c r="G8263" s="3" t="n">
        <v>-70</v>
      </c>
    </row>
    <row r="8264">
      <c r="A8264" s="3" t="inlineStr">
        <is>
          <t>Opportunity Global Investment (PTY) LTD</t>
        </is>
      </c>
      <c r="B8264" s="4" t="n">
        <v>44651</v>
      </c>
      <c r="C8264" s="3" t="inlineStr">
        <is>
          <t>Equity</t>
        </is>
      </c>
      <c r="D8264" s="3" t="inlineStr">
        <is>
          <t>5102/000</t>
        </is>
      </c>
      <c r="E8264" s="3" t="inlineStr">
        <is>
          <t>Share Capital - Ordinary Type B</t>
        </is>
      </c>
      <c r="F8264" s="3" t="n">
        <v>0</v>
      </c>
      <c r="G8264" s="3" t="n">
        <v>-30</v>
      </c>
    </row>
    <row r="8265">
      <c r="A8265" s="3" t="inlineStr">
        <is>
          <t>Endulini (Pty) Ltd</t>
        </is>
      </c>
      <c r="B8265" s="4" t="n">
        <v>44651</v>
      </c>
      <c r="C8265" s="3" t="inlineStr">
        <is>
          <t>Equity</t>
        </is>
      </c>
      <c r="D8265" s="3" t="inlineStr">
        <is>
          <t>5200/000</t>
        </is>
      </c>
      <c r="E8265" s="3" t="inlineStr">
        <is>
          <t>Retained Earnings / Loss</t>
        </is>
      </c>
      <c r="F8265" s="3" t="n">
        <v>0</v>
      </c>
      <c r="G8265" s="3" t="n">
        <v>-4937860.07</v>
      </c>
    </row>
    <row r="8266">
      <c r="A8266" s="3" t="inlineStr">
        <is>
          <t>Noble Shield (Pty) Ltd ta Go Letting</t>
        </is>
      </c>
      <c r="B8266" s="4" t="n">
        <v>44651</v>
      </c>
      <c r="C8266" s="3" t="inlineStr">
        <is>
          <t>Equity</t>
        </is>
      </c>
      <c r="D8266" s="3" t="inlineStr">
        <is>
          <t>5200/000</t>
        </is>
      </c>
      <c r="E8266" s="3" t="inlineStr">
        <is>
          <t>Retained Earnings / Loss</t>
        </is>
      </c>
      <c r="F8266" s="3" t="n">
        <v>0</v>
      </c>
      <c r="G8266" s="3" t="n">
        <v>-59256.74</v>
      </c>
    </row>
    <row r="8267">
      <c r="A8267" s="3" t="inlineStr">
        <is>
          <t>Opportunity Global Investment (PTY) LTD</t>
        </is>
      </c>
      <c r="B8267" s="4" t="n">
        <v>44651</v>
      </c>
      <c r="C8267" s="3" t="inlineStr">
        <is>
          <t>Equity</t>
        </is>
      </c>
      <c r="D8267" s="3" t="inlineStr">
        <is>
          <t>5200/000</t>
        </is>
      </c>
      <c r="E8267" s="3" t="inlineStr">
        <is>
          <t>Retained Earnings / Loss</t>
        </is>
      </c>
      <c r="F8267" s="3" t="n">
        <v>0</v>
      </c>
      <c r="G8267" s="3" t="n">
        <v>465853.58</v>
      </c>
    </row>
    <row r="8268">
      <c r="A8268" s="3" t="inlineStr">
        <is>
          <t>Opportunity Global Sales (PTY) LTD</t>
        </is>
      </c>
      <c r="B8268" s="4" t="n">
        <v>44651</v>
      </c>
      <c r="C8268" s="3" t="inlineStr">
        <is>
          <t>Equity</t>
        </is>
      </c>
      <c r="D8268" s="3" t="inlineStr">
        <is>
          <t>5200/000</t>
        </is>
      </c>
      <c r="E8268" s="3" t="inlineStr">
        <is>
          <t>Retained Earnings / Loss</t>
        </is>
      </c>
      <c r="F8268" s="3" t="n">
        <v>0</v>
      </c>
      <c r="G8268" s="3" t="n">
        <v>-565683.55</v>
      </c>
    </row>
    <row r="8269">
      <c r="A8269" s="3" t="inlineStr">
        <is>
          <t>Opportunity Management Holdings (PTY) LTD</t>
        </is>
      </c>
      <c r="B8269" s="4" t="n">
        <v>44651</v>
      </c>
      <c r="C8269" s="3" t="inlineStr">
        <is>
          <t>Equity</t>
        </is>
      </c>
      <c r="D8269" s="3" t="inlineStr">
        <is>
          <t>5200/000</t>
        </is>
      </c>
      <c r="E8269" s="3" t="inlineStr">
        <is>
          <t>Retained Earnings / Loss</t>
        </is>
      </c>
      <c r="F8269" s="3" t="n">
        <v>0</v>
      </c>
      <c r="G8269" s="3" t="n">
        <v>1435438.74</v>
      </c>
    </row>
    <row r="8270">
      <c r="A8270" s="3" t="inlineStr">
        <is>
          <t>Quinate Consulting (Pty) Ltd</t>
        </is>
      </c>
      <c r="B8270" s="4" t="n">
        <v>44651</v>
      </c>
      <c r="C8270" s="3" t="inlineStr">
        <is>
          <t>Equity</t>
        </is>
      </c>
      <c r="D8270" s="3" t="inlineStr">
        <is>
          <t>5200/000</t>
        </is>
      </c>
      <c r="E8270" s="3" t="inlineStr">
        <is>
          <t>Retained Earnings / Loss</t>
        </is>
      </c>
      <c r="F8270" s="3" t="n">
        <v>0</v>
      </c>
      <c r="G8270" s="3" t="n">
        <v>571333.3</v>
      </c>
    </row>
    <row r="8271">
      <c r="A8271" s="3" t="inlineStr">
        <is>
          <t>Trademark Holdings (Pty) Ltd</t>
        </is>
      </c>
      <c r="B8271" s="4" t="n">
        <v>44651</v>
      </c>
      <c r="C8271" s="3" t="inlineStr">
        <is>
          <t>Equity</t>
        </is>
      </c>
      <c r="D8271" s="3" t="inlineStr">
        <is>
          <t>5200/000</t>
        </is>
      </c>
      <c r="E8271" s="3" t="inlineStr">
        <is>
          <t>Retained Earnings / Loss</t>
        </is>
      </c>
      <c r="F8271" s="3" t="n">
        <v>0</v>
      </c>
      <c r="G8271" s="3" t="n">
        <v>-150612.02</v>
      </c>
    </row>
    <row r="8272">
      <c r="A8272" s="3" t="inlineStr">
        <is>
          <t>Quinate Consulting (Pty) Ltd</t>
        </is>
      </c>
      <c r="B8272" s="4" t="n">
        <v>44651</v>
      </c>
      <c r="C8272" s="3" t="inlineStr">
        <is>
          <t>Assets</t>
        </is>
      </c>
      <c r="D8272" s="3" t="inlineStr">
        <is>
          <t>5400/011</t>
        </is>
      </c>
      <c r="E8272" s="3" t="inlineStr">
        <is>
          <t>Members Loan - Nick Morgan</t>
        </is>
      </c>
      <c r="F8272" s="3" t="n">
        <v>0</v>
      </c>
      <c r="G8272" s="3" t="n">
        <v>-85743.69</v>
      </c>
    </row>
    <row r="8273">
      <c r="A8273" s="3" t="inlineStr">
        <is>
          <t>Opportunity Management Holdings (PTY) LTD</t>
        </is>
      </c>
      <c r="B8273" s="4" t="n">
        <v>44651</v>
      </c>
      <c r="C8273" s="3" t="inlineStr">
        <is>
          <t>Assets</t>
        </is>
      </c>
      <c r="D8273" s="3" t="inlineStr">
        <is>
          <t>5400/500</t>
        </is>
      </c>
      <c r="E8273" s="3" t="inlineStr">
        <is>
          <t>Shareholder - Zak Loan</t>
        </is>
      </c>
      <c r="F8273" s="3" t="n">
        <v>0</v>
      </c>
      <c r="G8273" s="3" t="n">
        <v>-171798.21</v>
      </c>
    </row>
    <row r="8274">
      <c r="A8274" s="3" t="inlineStr">
        <is>
          <t>Quinate Consulting (Pty) Ltd</t>
        </is>
      </c>
      <c r="B8274" s="4" t="n">
        <v>44651</v>
      </c>
      <c r="C8274" s="3" t="inlineStr">
        <is>
          <t>Liabilities</t>
        </is>
      </c>
      <c r="D8274" s="3" t="inlineStr">
        <is>
          <t>5500/010</t>
        </is>
      </c>
      <c r="E8274" s="3" t="inlineStr">
        <is>
          <t>Loan - Wynand Haywood</t>
        </is>
      </c>
      <c r="F8274" s="3" t="n">
        <v>-983.1799999999999</v>
      </c>
      <c r="G8274" s="3" t="n">
        <v>1928.67</v>
      </c>
    </row>
    <row r="8275">
      <c r="A8275" s="3" t="inlineStr">
        <is>
          <t>Quinate Consulting (Pty) Ltd</t>
        </is>
      </c>
      <c r="B8275" s="4" t="n">
        <v>44651</v>
      </c>
      <c r="C8275" s="3" t="inlineStr">
        <is>
          <t>Liabilities</t>
        </is>
      </c>
      <c r="D8275" s="3" t="inlineStr">
        <is>
          <t>5500/040</t>
        </is>
      </c>
      <c r="E8275" s="3" t="inlineStr">
        <is>
          <t>Loan - Noble Shield Holdings Pty Ltd</t>
        </is>
      </c>
      <c r="F8275" s="3" t="n">
        <v>15000</v>
      </c>
      <c r="G8275" s="3" t="n">
        <v>0</v>
      </c>
    </row>
    <row r="8276">
      <c r="A8276" s="3" t="inlineStr">
        <is>
          <t>Opportunity Global Investment (PTY) LTD</t>
        </is>
      </c>
      <c r="B8276" s="4" t="n">
        <v>44651</v>
      </c>
      <c r="C8276" s="3" t="inlineStr">
        <is>
          <t>Liabilities</t>
        </is>
      </c>
      <c r="D8276" s="3" t="inlineStr">
        <is>
          <t>5500/100</t>
        </is>
      </c>
      <c r="E8276" s="3" t="inlineStr">
        <is>
          <t>Loan - Cape Projects Construction</t>
        </is>
      </c>
      <c r="F8276" s="3" t="n">
        <v>-150000</v>
      </c>
      <c r="G8276" s="3" t="n">
        <v>30000</v>
      </c>
    </row>
    <row r="8277">
      <c r="A8277" s="3" t="inlineStr">
        <is>
          <t>Noble Shield (Pty) Ltd ta Go Letting</t>
        </is>
      </c>
      <c r="B8277" s="4" t="n">
        <v>44651</v>
      </c>
      <c r="C8277" s="3" t="inlineStr">
        <is>
          <t>Liabilities</t>
        </is>
      </c>
      <c r="D8277" s="3" t="inlineStr">
        <is>
          <t>5500/100</t>
        </is>
      </c>
      <c r="E8277" s="3" t="inlineStr">
        <is>
          <t>Loan - Jupiter Trust</t>
        </is>
      </c>
      <c r="F8277" s="3" t="n">
        <v>0</v>
      </c>
      <c r="G8277" s="3" t="n">
        <v>-100228.75</v>
      </c>
    </row>
    <row r="8278">
      <c r="A8278" s="3" t="inlineStr">
        <is>
          <t>Trademark Holdings (Pty) Ltd</t>
        </is>
      </c>
      <c r="B8278" s="4" t="n">
        <v>44651</v>
      </c>
      <c r="C8278" s="3" t="inlineStr">
        <is>
          <t>Liabilities</t>
        </is>
      </c>
      <c r="D8278" s="3" t="inlineStr">
        <is>
          <t>5500/100</t>
        </is>
      </c>
      <c r="E8278" s="3" t="inlineStr">
        <is>
          <t>Loan - Opportunity Global Investments</t>
        </is>
      </c>
      <c r="F8278" s="3" t="n">
        <v>0</v>
      </c>
      <c r="G8278" s="3" t="n">
        <v>-10500</v>
      </c>
    </row>
    <row r="8279">
      <c r="A8279" s="3" t="inlineStr">
        <is>
          <t>Endulini (Pty) Ltd</t>
        </is>
      </c>
      <c r="B8279" s="4" t="n">
        <v>44651</v>
      </c>
      <c r="C8279" s="3" t="inlineStr">
        <is>
          <t>Liabilities</t>
        </is>
      </c>
      <c r="D8279" s="3" t="inlineStr">
        <is>
          <t>5500/100</t>
        </is>
      </c>
      <c r="E8279" s="3" t="inlineStr">
        <is>
          <t>Loan - Quinate Consulting</t>
        </is>
      </c>
      <c r="F8279" s="3" t="n">
        <v>-2210000</v>
      </c>
      <c r="G8279" s="3" t="n">
        <v>-10143761.7</v>
      </c>
    </row>
    <row r="8280">
      <c r="A8280" s="3" t="inlineStr">
        <is>
          <t>Opportunity Global Investment (PTY) LTD</t>
        </is>
      </c>
      <c r="B8280" s="4" t="n">
        <v>44651</v>
      </c>
      <c r="C8280" s="3" t="inlineStr">
        <is>
          <t>Liabilities</t>
        </is>
      </c>
      <c r="D8280" s="3" t="inlineStr">
        <is>
          <t>5500/110</t>
        </is>
      </c>
      <c r="E8280" s="3" t="inlineStr">
        <is>
          <t>Loan - Opportunity Trademark Holdings</t>
        </is>
      </c>
      <c r="F8280" s="3" t="n">
        <v>0</v>
      </c>
      <c r="G8280" s="3" t="n">
        <v>10500</v>
      </c>
    </row>
    <row r="8281">
      <c r="A8281" s="3" t="inlineStr">
        <is>
          <t>Opportunity Global Investment (PTY) LTD</t>
        </is>
      </c>
      <c r="B8281" s="4" t="n">
        <v>44651</v>
      </c>
      <c r="C8281" s="3" t="inlineStr">
        <is>
          <t>Liabilities</t>
        </is>
      </c>
      <c r="D8281" s="3" t="inlineStr">
        <is>
          <t>5500/112</t>
        </is>
      </c>
      <c r="E8281" s="3" t="inlineStr">
        <is>
          <t>Loan - GFY</t>
        </is>
      </c>
      <c r="F8281" s="3" t="n">
        <v>0</v>
      </c>
      <c r="G8281" s="3" t="n">
        <v>-289000</v>
      </c>
    </row>
    <row r="8282">
      <c r="A8282" s="3" t="inlineStr">
        <is>
          <t>Opportunity Management Holdings (PTY) LTD</t>
        </is>
      </c>
      <c r="B8282" s="4" t="n">
        <v>44651</v>
      </c>
      <c r="C8282" s="3" t="inlineStr">
        <is>
          <t>Liabilities</t>
        </is>
      </c>
      <c r="D8282" s="3" t="inlineStr">
        <is>
          <t>5500/150</t>
        </is>
      </c>
      <c r="E8282" s="3" t="inlineStr">
        <is>
          <t>Loan - Opportunity Investments</t>
        </is>
      </c>
      <c r="F8282" s="3" t="n">
        <v>-450</v>
      </c>
      <c r="G8282" s="3" t="n">
        <v>54550</v>
      </c>
    </row>
    <row r="8283">
      <c r="A8283" s="3" t="inlineStr">
        <is>
          <t>Quinate Consulting (Pty) Ltd</t>
        </is>
      </c>
      <c r="B8283" s="4" t="n">
        <v>44651</v>
      </c>
      <c r="C8283" s="3" t="inlineStr">
        <is>
          <t>Liabilities</t>
        </is>
      </c>
      <c r="D8283" s="3" t="inlineStr">
        <is>
          <t>5500/160</t>
        </is>
      </c>
      <c r="E8283" s="3" t="inlineStr">
        <is>
          <t>Loan - GFY Investment and Consulting</t>
        </is>
      </c>
      <c r="F8283" s="3" t="n">
        <v>940.0700000000001</v>
      </c>
      <c r="G8283" s="3" t="n">
        <v>-1750249.93</v>
      </c>
    </row>
    <row r="8284">
      <c r="A8284" s="3" t="inlineStr">
        <is>
          <t>Opportunity Management Holdings (PTY) LTD</t>
        </is>
      </c>
      <c r="B8284" s="4" t="n">
        <v>44651</v>
      </c>
      <c r="C8284" s="3" t="inlineStr">
        <is>
          <t>Liabilities</t>
        </is>
      </c>
      <c r="D8284" s="3" t="inlineStr">
        <is>
          <t>5500/200</t>
        </is>
      </c>
      <c r="E8284" s="3" t="inlineStr">
        <is>
          <t>Loan - Cape Projects</t>
        </is>
      </c>
      <c r="F8284" s="3" t="n">
        <v>0</v>
      </c>
      <c r="G8284" s="3" t="n">
        <v>25233.05</v>
      </c>
    </row>
    <row r="8285">
      <c r="A8285" s="3" t="inlineStr">
        <is>
          <t>Endulini (Pty) Ltd</t>
        </is>
      </c>
      <c r="B8285" s="4" t="n">
        <v>44651</v>
      </c>
      <c r="C8285" s="3" t="inlineStr">
        <is>
          <t>Liabilities</t>
        </is>
      </c>
      <c r="D8285" s="3" t="inlineStr">
        <is>
          <t>5500/250</t>
        </is>
      </c>
      <c r="E8285" s="3" t="inlineStr">
        <is>
          <t>Loan - Heron Projects</t>
        </is>
      </c>
      <c r="F8285" s="3" t="n">
        <v>0</v>
      </c>
      <c r="G8285" s="3" t="n">
        <v>4240.63</v>
      </c>
    </row>
    <row r="8286">
      <c r="A8286" s="3" t="inlineStr">
        <is>
          <t>Trademark Holdings (Pty) Ltd</t>
        </is>
      </c>
      <c r="B8286" s="4" t="n">
        <v>44651</v>
      </c>
      <c r="C8286" s="3" t="inlineStr">
        <is>
          <t>Liabilities</t>
        </is>
      </c>
      <c r="D8286" s="3" t="inlineStr">
        <is>
          <t>5500/250</t>
        </is>
      </c>
      <c r="E8286" s="3" t="inlineStr">
        <is>
          <t>Loan - Noble Shield</t>
        </is>
      </c>
      <c r="F8286" s="3" t="n">
        <v>0</v>
      </c>
      <c r="G8286" s="3" t="n">
        <v>78165.59</v>
      </c>
    </row>
    <row r="8287">
      <c r="A8287" s="3" t="inlineStr">
        <is>
          <t>Quinate Consulting (Pty) Ltd</t>
        </is>
      </c>
      <c r="B8287" s="4" t="n">
        <v>44651</v>
      </c>
      <c r="C8287" s="3" t="inlineStr">
        <is>
          <t>Liabilities</t>
        </is>
      </c>
      <c r="D8287" s="3" t="inlineStr">
        <is>
          <t>5500/300</t>
        </is>
      </c>
      <c r="E8287" s="3" t="inlineStr">
        <is>
          <t>Loan - Gengis</t>
        </is>
      </c>
      <c r="F8287" s="3" t="n">
        <v>-131528.77</v>
      </c>
      <c r="G8287" s="3" t="n">
        <v>-266345.21</v>
      </c>
    </row>
    <row r="8288">
      <c r="A8288" s="3" t="inlineStr">
        <is>
          <t>Opportunity Management Holdings (PTY) LTD</t>
        </is>
      </c>
      <c r="B8288" s="4" t="n">
        <v>44651</v>
      </c>
      <c r="C8288" s="3" t="inlineStr">
        <is>
          <t>Liabilities</t>
        </is>
      </c>
      <c r="D8288" s="3" t="inlineStr">
        <is>
          <t>5500/300</t>
        </is>
      </c>
      <c r="E8288" s="3" t="inlineStr">
        <is>
          <t>Loan - Opportunity Prop Management</t>
        </is>
      </c>
      <c r="F8288" s="3" t="n">
        <v>0</v>
      </c>
      <c r="G8288" s="3" t="n">
        <v>-1220204.15</v>
      </c>
    </row>
    <row r="8289">
      <c r="A8289" s="3" t="inlineStr">
        <is>
          <t>Noble Shield (Pty) Ltd ta Go Letting</t>
        </is>
      </c>
      <c r="B8289" s="4" t="n">
        <v>44651</v>
      </c>
      <c r="C8289" s="3" t="inlineStr">
        <is>
          <t>Liabilities</t>
        </is>
      </c>
      <c r="D8289" s="3" t="inlineStr">
        <is>
          <t>5500/300</t>
        </is>
      </c>
      <c r="E8289" s="3" t="inlineStr">
        <is>
          <t>Loan - Trademark Holdings</t>
        </is>
      </c>
      <c r="F8289" s="3" t="n">
        <v>0</v>
      </c>
      <c r="G8289" s="3" t="n">
        <v>-78165.59</v>
      </c>
    </row>
    <row r="8290">
      <c r="A8290" s="3" t="inlineStr">
        <is>
          <t>Opportunity Global Investment (PTY) LTD</t>
        </is>
      </c>
      <c r="B8290" s="4" t="n">
        <v>44651</v>
      </c>
      <c r="C8290" s="3" t="inlineStr">
        <is>
          <t>Liabilities</t>
        </is>
      </c>
      <c r="D8290" s="3" t="inlineStr">
        <is>
          <t>5500/350</t>
        </is>
      </c>
      <c r="E8290" s="3" t="inlineStr">
        <is>
          <t>Loan - Opportunity Management Holdings</t>
        </is>
      </c>
      <c r="F8290" s="3" t="n">
        <v>450</v>
      </c>
      <c r="G8290" s="3" t="n">
        <v>-54550</v>
      </c>
    </row>
    <row r="8291">
      <c r="A8291" s="3" t="inlineStr">
        <is>
          <t>Noble Shield (Pty) Ltd ta Go Letting</t>
        </is>
      </c>
      <c r="B8291" s="4" t="n">
        <v>44651</v>
      </c>
      <c r="C8291" s="3" t="inlineStr">
        <is>
          <t>Liabilities</t>
        </is>
      </c>
      <c r="D8291" s="3" t="inlineStr">
        <is>
          <t>5500/350</t>
        </is>
      </c>
      <c r="E8291" s="3" t="inlineStr">
        <is>
          <t>Loan - Quinate Consulting</t>
        </is>
      </c>
      <c r="F8291" s="3" t="n">
        <v>-15000</v>
      </c>
      <c r="G8291" s="3" t="n">
        <v>0</v>
      </c>
    </row>
    <row r="8292">
      <c r="A8292" s="3" t="inlineStr">
        <is>
          <t>Trademark Holdings (Pty) Ltd</t>
        </is>
      </c>
      <c r="B8292" s="4" t="n">
        <v>44651</v>
      </c>
      <c r="C8292" s="3" t="inlineStr">
        <is>
          <t>Liabilities</t>
        </is>
      </c>
      <c r="D8292" s="3" t="inlineStr">
        <is>
          <t>5500/350</t>
        </is>
      </c>
      <c r="E8292" s="3" t="inlineStr">
        <is>
          <t>Loan - Quinate Consulting</t>
        </is>
      </c>
      <c r="F8292" s="3" t="n">
        <v>0</v>
      </c>
      <c r="G8292" s="3" t="n">
        <v>18635</v>
      </c>
    </row>
    <row r="8293">
      <c r="A8293" s="3" t="inlineStr">
        <is>
          <t>Trademark Holdings (Pty) Ltd</t>
        </is>
      </c>
      <c r="B8293" s="4" t="n">
        <v>44651</v>
      </c>
      <c r="C8293" s="3" t="inlineStr">
        <is>
          <t>Liabilities</t>
        </is>
      </c>
      <c r="D8293" s="3" t="inlineStr">
        <is>
          <t>5500/375</t>
        </is>
      </c>
      <c r="E8293" s="3" t="inlineStr">
        <is>
          <t>Loan - Opportunity Management Holdings Pty Ltd</t>
        </is>
      </c>
      <c r="F8293" s="3" t="n">
        <v>25445</v>
      </c>
      <c r="G8293" s="3" t="n">
        <v>-25445</v>
      </c>
    </row>
    <row r="8294">
      <c r="A8294" s="3" t="inlineStr">
        <is>
          <t>Noble Shield (Pty) Ltd ta Go Letting</t>
        </is>
      </c>
      <c r="B8294" s="4" t="n">
        <v>44651</v>
      </c>
      <c r="C8294" s="3" t="inlineStr">
        <is>
          <t>Liabilities</t>
        </is>
      </c>
      <c r="D8294" s="3" t="inlineStr">
        <is>
          <t>5500/400</t>
        </is>
      </c>
      <c r="E8294" s="3" t="inlineStr">
        <is>
          <t>Loan - Opportunity Investment</t>
        </is>
      </c>
      <c r="F8294" s="3" t="n">
        <v>-7500</v>
      </c>
      <c r="G8294" s="3" t="n">
        <v>0</v>
      </c>
    </row>
    <row r="8295">
      <c r="A8295" s="3" t="inlineStr">
        <is>
          <t>Trademark Holdings (Pty) Ltd</t>
        </is>
      </c>
      <c r="B8295" s="4" t="n">
        <v>44651</v>
      </c>
      <c r="C8295" s="3" t="inlineStr">
        <is>
          <t>Liabilities</t>
        </is>
      </c>
      <c r="D8295" s="3" t="inlineStr">
        <is>
          <t>5500/450</t>
        </is>
      </c>
      <c r="E8295" s="3" t="inlineStr">
        <is>
          <t>Loan - Cape Projects Construction</t>
        </is>
      </c>
      <c r="F8295" s="3" t="n">
        <v>-600</v>
      </c>
      <c r="G8295" s="3" t="n">
        <v>28800</v>
      </c>
    </row>
    <row r="8296">
      <c r="A8296" s="3" t="inlineStr">
        <is>
          <t>Trademark Holdings (Pty) Ltd</t>
        </is>
      </c>
      <c r="B8296" s="4" t="n">
        <v>44651</v>
      </c>
      <c r="C8296" s="3" t="inlineStr">
        <is>
          <t>Liabilities</t>
        </is>
      </c>
      <c r="D8296" s="3" t="inlineStr">
        <is>
          <t>5500/500</t>
        </is>
      </c>
      <c r="E8296" s="3" t="inlineStr">
        <is>
          <t>Go Letting Brand Name</t>
        </is>
      </c>
      <c r="F8296" s="3" t="n">
        <v>0</v>
      </c>
      <c r="G8296" s="3" t="n">
        <v>93420</v>
      </c>
    </row>
    <row r="8297">
      <c r="A8297" s="3" t="inlineStr">
        <is>
          <t>Noble Shield (Pty) Ltd ta Go Letting</t>
        </is>
      </c>
      <c r="B8297" s="4" t="n">
        <v>44651</v>
      </c>
      <c r="C8297" s="3" t="inlineStr">
        <is>
          <t>Liabilities</t>
        </is>
      </c>
      <c r="D8297" s="3" t="inlineStr">
        <is>
          <t>5500/500</t>
        </is>
      </c>
      <c r="E8297" s="3" t="inlineStr">
        <is>
          <t>Loan - Cape Projects Construction</t>
        </is>
      </c>
      <c r="F8297" s="3" t="n">
        <v>-600</v>
      </c>
      <c r="G8297" s="3" t="n">
        <v>-1200</v>
      </c>
    </row>
    <row r="8298">
      <c r="A8298" s="3" t="inlineStr">
        <is>
          <t>Quinate Consulting (Pty) Ltd</t>
        </is>
      </c>
      <c r="B8298" s="4" t="n">
        <v>44651</v>
      </c>
      <c r="C8298" s="3" t="inlineStr">
        <is>
          <t>Liabilities</t>
        </is>
      </c>
      <c r="D8298" s="3" t="inlineStr">
        <is>
          <t>5500/500</t>
        </is>
      </c>
      <c r="E8298" s="3" t="inlineStr">
        <is>
          <t>Loan - Opportunity Development Struct.</t>
        </is>
      </c>
      <c r="F8298" s="3" t="n">
        <v>-2380000</v>
      </c>
      <c r="G8298" s="3" t="n">
        <v>-2380000</v>
      </c>
    </row>
    <row r="8299">
      <c r="A8299" s="3" t="inlineStr">
        <is>
          <t>Opportunity Management Holdings (PTY) LTD</t>
        </is>
      </c>
      <c r="B8299" s="4" t="n">
        <v>44651</v>
      </c>
      <c r="C8299" s="3" t="inlineStr">
        <is>
          <t>Liabilities</t>
        </is>
      </c>
      <c r="D8299" s="3" t="inlineStr">
        <is>
          <t>5500/500</t>
        </is>
      </c>
      <c r="E8299" s="3" t="inlineStr">
        <is>
          <t>Loan - Opportunity Tradermark Holdings</t>
        </is>
      </c>
      <c r="F8299" s="3" t="n">
        <v>-25445</v>
      </c>
      <c r="G8299" s="3" t="n">
        <v>25445</v>
      </c>
    </row>
    <row r="8300">
      <c r="A8300" s="3" t="inlineStr">
        <is>
          <t>Quinate Consulting (Pty) Ltd</t>
        </is>
      </c>
      <c r="B8300" s="4" t="n">
        <v>44651</v>
      </c>
      <c r="C8300" s="3" t="inlineStr">
        <is>
          <t>Liabilities</t>
        </is>
      </c>
      <c r="D8300" s="3" t="inlineStr">
        <is>
          <t>5500/520</t>
        </is>
      </c>
      <c r="E8300" s="3" t="inlineStr">
        <is>
          <t>Loan - Opportunity Management Holdings</t>
        </is>
      </c>
      <c r="F8300" s="3" t="n">
        <v>0</v>
      </c>
      <c r="G8300" s="3" t="n">
        <v>-3900</v>
      </c>
    </row>
    <row r="8301">
      <c r="A8301" s="3" t="inlineStr">
        <is>
          <t>Opportunity Global Investment (PTY) LTD</t>
        </is>
      </c>
      <c r="B8301" s="4" t="n">
        <v>44651</v>
      </c>
      <c r="C8301" s="3" t="inlineStr">
        <is>
          <t>Liabilities</t>
        </is>
      </c>
      <c r="D8301" s="3" t="inlineStr">
        <is>
          <t>5500/550</t>
        </is>
      </c>
      <c r="E8301" s="3" t="inlineStr">
        <is>
          <t>Loan - Noble Shield</t>
        </is>
      </c>
      <c r="F8301" s="3" t="n">
        <v>7500</v>
      </c>
      <c r="G8301" s="3" t="n">
        <v>0</v>
      </c>
    </row>
    <row r="8302">
      <c r="A8302" s="3" t="inlineStr">
        <is>
          <t>Opportunity Global Investment (PTY) LTD</t>
        </is>
      </c>
      <c r="B8302" s="4" t="n">
        <v>44651</v>
      </c>
      <c r="C8302" s="3" t="inlineStr">
        <is>
          <t>Liabilities</t>
        </is>
      </c>
      <c r="D8302" s="3" t="inlineStr">
        <is>
          <t>5500/650</t>
        </is>
      </c>
      <c r="E8302" s="3" t="inlineStr">
        <is>
          <t>Loan - Opportunit Global - Sales</t>
        </is>
      </c>
      <c r="F8302" s="3" t="n">
        <v>88454.55</v>
      </c>
      <c r="G8302" s="3" t="n">
        <v>-392811.06</v>
      </c>
    </row>
    <row r="8303">
      <c r="A8303" s="3" t="inlineStr">
        <is>
          <t>Opportunity Global Sales (PTY) LTD</t>
        </is>
      </c>
      <c r="B8303" s="4" t="n">
        <v>44651</v>
      </c>
      <c r="C8303" s="3" t="inlineStr">
        <is>
          <t>Liabilities</t>
        </is>
      </c>
      <c r="D8303" s="3" t="inlineStr">
        <is>
          <t>5500/650</t>
        </is>
      </c>
      <c r="E8303" s="3" t="inlineStr">
        <is>
          <t>Loan - Opportunity Investments</t>
        </is>
      </c>
      <c r="F8303" s="3" t="n">
        <v>-60000</v>
      </c>
      <c r="G8303" s="3" t="n">
        <v>421265.61</v>
      </c>
    </row>
    <row r="8304">
      <c r="A8304" s="3" t="inlineStr">
        <is>
          <t>Opportunity Management Holdings (PTY) LTD</t>
        </is>
      </c>
      <c r="B8304" s="4" t="n">
        <v>44651</v>
      </c>
      <c r="C8304" s="3" t="inlineStr">
        <is>
          <t>Liabilities</t>
        </is>
      </c>
      <c r="D8304" s="3" t="inlineStr">
        <is>
          <t>5500/700</t>
        </is>
      </c>
      <c r="E8304" s="3" t="inlineStr">
        <is>
          <t>Loan - Go Letting</t>
        </is>
      </c>
      <c r="F8304" s="3" t="n">
        <v>0</v>
      </c>
      <c r="G8304" s="3" t="n">
        <v>-120</v>
      </c>
    </row>
    <row r="8305">
      <c r="A8305" s="3" t="inlineStr">
        <is>
          <t>Quinate Consulting (Pty) Ltd</t>
        </is>
      </c>
      <c r="B8305" s="4" t="n">
        <v>44651</v>
      </c>
      <c r="C8305" s="3" t="inlineStr">
        <is>
          <t>Liabilities</t>
        </is>
      </c>
      <c r="D8305" s="3" t="inlineStr">
        <is>
          <t>5500/700</t>
        </is>
      </c>
      <c r="E8305" s="3" t="inlineStr">
        <is>
          <t>Loan - Trademark Holdings</t>
        </is>
      </c>
      <c r="F8305" s="3" t="n">
        <v>0</v>
      </c>
      <c r="G8305" s="3" t="n">
        <v>-18635</v>
      </c>
    </row>
    <row r="8306">
      <c r="A8306" s="3" t="inlineStr">
        <is>
          <t>Opportunity Global Investment (PTY) LTD</t>
        </is>
      </c>
      <c r="B8306" s="4" t="n">
        <v>44651</v>
      </c>
      <c r="C8306" s="3" t="inlineStr">
        <is>
          <t>Liabilities</t>
        </is>
      </c>
      <c r="D8306" s="3" t="inlineStr">
        <is>
          <t>5500/850</t>
        </is>
      </c>
      <c r="E8306" s="3" t="inlineStr">
        <is>
          <t>Loan - Nick Morgan</t>
        </is>
      </c>
      <c r="F8306" s="3" t="n">
        <v>0</v>
      </c>
      <c r="G8306" s="3" t="n">
        <v>4100</v>
      </c>
    </row>
    <row r="8307">
      <c r="A8307" s="3" t="inlineStr">
        <is>
          <t>Opportunity Global Investment (PTY) LTD</t>
        </is>
      </c>
      <c r="B8307" s="4" t="n">
        <v>44651</v>
      </c>
      <c r="C8307" s="3" t="inlineStr">
        <is>
          <t>Liabilities</t>
        </is>
      </c>
      <c r="D8307" s="3" t="inlineStr">
        <is>
          <t>5500/950</t>
        </is>
      </c>
      <c r="E8307" s="3" t="inlineStr">
        <is>
          <t>Loan - Gengis</t>
        </is>
      </c>
      <c r="F8307" s="3" t="n">
        <v>0</v>
      </c>
      <c r="G8307" s="3" t="n">
        <v>-120000</v>
      </c>
    </row>
    <row r="8308">
      <c r="A8308" s="3" t="inlineStr">
        <is>
          <t>Opportunity Global Sales (PTY) LTD</t>
        </is>
      </c>
      <c r="B8308" s="4" t="n">
        <v>44651</v>
      </c>
      <c r="C8308" s="3" t="inlineStr">
        <is>
          <t>Liabilities</t>
        </is>
      </c>
      <c r="D8308" s="3" t="inlineStr">
        <is>
          <t>5500/992</t>
        </is>
      </c>
      <c r="E8308" s="3" t="inlineStr">
        <is>
          <t>Loan - Anthony Commission</t>
        </is>
      </c>
      <c r="F8308" s="3" t="n">
        <v>0</v>
      </c>
      <c r="G8308" s="3" t="n">
        <v>15000</v>
      </c>
    </row>
    <row r="8309">
      <c r="A8309" s="3" t="inlineStr">
        <is>
          <t>Quinate Consulting (Pty) Ltd</t>
        </is>
      </c>
      <c r="B8309" s="4" t="n">
        <v>44651</v>
      </c>
      <c r="C8309" s="3" t="inlineStr">
        <is>
          <t>Liabilities</t>
        </is>
      </c>
      <c r="D8309" s="3" t="inlineStr">
        <is>
          <t>5501/001</t>
        </is>
      </c>
      <c r="E8309" s="3" t="inlineStr">
        <is>
          <t>Loan - Endulini CIP Costs</t>
        </is>
      </c>
      <c r="F8309" s="3" t="n">
        <v>2210000</v>
      </c>
      <c r="G8309" s="3" t="n">
        <v>10143761.7</v>
      </c>
    </row>
    <row r="8310">
      <c r="A8310" s="3" t="inlineStr">
        <is>
          <t>Opportunity Management Holdings (PTY) LTD</t>
        </is>
      </c>
      <c r="B8310" s="4" t="n">
        <v>44651</v>
      </c>
      <c r="C8310" s="3" t="inlineStr">
        <is>
          <t>Liabilities</t>
        </is>
      </c>
      <c r="D8310" s="3" t="inlineStr">
        <is>
          <t>5510/100</t>
        </is>
      </c>
      <c r="E8310" s="3" t="inlineStr">
        <is>
          <t>Staff loan - Debbie Landsberg</t>
        </is>
      </c>
      <c r="F8310" s="3" t="n">
        <v>0</v>
      </c>
      <c r="G8310" s="3" t="n">
        <v>14400</v>
      </c>
    </row>
    <row r="8311">
      <c r="A8311" s="3" t="inlineStr">
        <is>
          <t>Noble Shield (Pty) Ltd ta Go Letting</t>
        </is>
      </c>
      <c r="B8311" s="4" t="n">
        <v>44651</v>
      </c>
      <c r="C8311" s="3" t="inlineStr">
        <is>
          <t>Assets</t>
        </is>
      </c>
      <c r="D8311" s="3" t="inlineStr">
        <is>
          <t>6250/010</t>
        </is>
      </c>
      <c r="E8311" s="3" t="inlineStr">
        <is>
          <t>Computer Equipment - @ Cost</t>
        </is>
      </c>
      <c r="F8311" s="3" t="n">
        <v>0</v>
      </c>
      <c r="G8311" s="3" t="n">
        <v>20397</v>
      </c>
    </row>
    <row r="8312">
      <c r="A8312" s="3" t="inlineStr">
        <is>
          <t>Opportunity Management Holdings (PTY) LTD</t>
        </is>
      </c>
      <c r="B8312" s="4" t="n">
        <v>44651</v>
      </c>
      <c r="C8312" s="3" t="inlineStr">
        <is>
          <t>Assets</t>
        </is>
      </c>
      <c r="D8312" s="3" t="inlineStr">
        <is>
          <t>6250/010</t>
        </is>
      </c>
      <c r="E8312" s="3" t="inlineStr">
        <is>
          <t>Computer Equipment - @ Cost</t>
        </is>
      </c>
      <c r="F8312" s="3" t="n">
        <v>0</v>
      </c>
      <c r="G8312" s="3" t="n">
        <v>14911.4</v>
      </c>
    </row>
    <row r="8313">
      <c r="A8313" s="3" t="inlineStr">
        <is>
          <t>Quinate Consulting (Pty) Ltd</t>
        </is>
      </c>
      <c r="B8313" s="4" t="n">
        <v>44651</v>
      </c>
      <c r="C8313" s="3" t="inlineStr">
        <is>
          <t>Assets</t>
        </is>
      </c>
      <c r="D8313" s="3" t="inlineStr">
        <is>
          <t>6250/010</t>
        </is>
      </c>
      <c r="E8313" s="3" t="inlineStr">
        <is>
          <t>Computer Equipment - @ Cost</t>
        </is>
      </c>
      <c r="F8313" s="3" t="n">
        <v>0</v>
      </c>
      <c r="G8313" s="3" t="n">
        <v>137059.7</v>
      </c>
    </row>
    <row r="8314">
      <c r="A8314" s="3" t="inlineStr">
        <is>
          <t>Noble Shield (Pty) Ltd ta Go Letting</t>
        </is>
      </c>
      <c r="B8314" s="4" t="n">
        <v>44651</v>
      </c>
      <c r="C8314" s="3" t="inlineStr">
        <is>
          <t>Assets</t>
        </is>
      </c>
      <c r="D8314" s="3" t="inlineStr">
        <is>
          <t>6250/020</t>
        </is>
      </c>
      <c r="E8314" s="3" t="inlineStr">
        <is>
          <t>Computer Equipment - Accum Depre</t>
        </is>
      </c>
      <c r="F8314" s="3" t="n">
        <v>0</v>
      </c>
      <c r="G8314" s="3" t="n">
        <v>-9498</v>
      </c>
    </row>
    <row r="8315">
      <c r="A8315" s="3" t="inlineStr">
        <is>
          <t>Quinate Consulting (Pty) Ltd</t>
        </is>
      </c>
      <c r="B8315" s="4" t="n">
        <v>44651</v>
      </c>
      <c r="C8315" s="3" t="inlineStr">
        <is>
          <t>Assets</t>
        </is>
      </c>
      <c r="D8315" s="3" t="inlineStr">
        <is>
          <t>6250/020</t>
        </is>
      </c>
      <c r="E8315" s="3" t="inlineStr">
        <is>
          <t>Computer Equipment - Accum Depre</t>
        </is>
      </c>
      <c r="F8315" s="3" t="n">
        <v>-3141.39</v>
      </c>
      <c r="G8315" s="3" t="n">
        <v>-65438.08</v>
      </c>
    </row>
    <row r="8316">
      <c r="A8316" s="3" t="inlineStr">
        <is>
          <t>Opportunity Management Holdings (PTY) LTD</t>
        </is>
      </c>
      <c r="B8316" s="4" t="n">
        <v>44651</v>
      </c>
      <c r="C8316" s="3" t="inlineStr">
        <is>
          <t>Assets</t>
        </is>
      </c>
      <c r="D8316" s="3" t="inlineStr">
        <is>
          <t>6250/030</t>
        </is>
      </c>
      <c r="E8316" s="3" t="inlineStr">
        <is>
          <t>Acc Depreciation - Computer Equipment</t>
        </is>
      </c>
      <c r="F8316" s="3" t="n">
        <v>0</v>
      </c>
      <c r="G8316" s="3" t="n">
        <v>-9441.25</v>
      </c>
    </row>
    <row r="8317">
      <c r="A8317" s="3" t="inlineStr">
        <is>
          <t>Quinate Consulting (Pty) Ltd</t>
        </is>
      </c>
      <c r="B8317" s="4" t="n">
        <v>44651</v>
      </c>
      <c r="C8317" s="3" t="inlineStr">
        <is>
          <t>Assets</t>
        </is>
      </c>
      <c r="D8317" s="3" t="inlineStr">
        <is>
          <t>6270/010</t>
        </is>
      </c>
      <c r="E8317" s="3" t="inlineStr">
        <is>
          <t>Site Containers - @ Cost</t>
        </is>
      </c>
      <c r="F8317" s="3" t="n">
        <v>0</v>
      </c>
      <c r="G8317" s="3" t="n">
        <v>19130.44</v>
      </c>
    </row>
    <row r="8318">
      <c r="A8318" s="3" t="inlineStr">
        <is>
          <t>Quinate Consulting (Pty) Ltd</t>
        </is>
      </c>
      <c r="B8318" s="4" t="n">
        <v>44651</v>
      </c>
      <c r="C8318" s="3" t="inlineStr">
        <is>
          <t>Assets</t>
        </is>
      </c>
      <c r="D8318" s="3" t="inlineStr">
        <is>
          <t>6270/020</t>
        </is>
      </c>
      <c r="E8318" s="3" t="inlineStr">
        <is>
          <t>Site Containers - Accum Depre</t>
        </is>
      </c>
      <c r="F8318" s="3" t="n">
        <v>-318.84</v>
      </c>
      <c r="G8318" s="3" t="n">
        <v>-4144.92</v>
      </c>
    </row>
    <row r="8319">
      <c r="A8319" s="3" t="inlineStr">
        <is>
          <t>Noble Shield (Pty) Ltd ta Go Letting</t>
        </is>
      </c>
      <c r="B8319" s="4" t="n">
        <v>44651</v>
      </c>
      <c r="C8319" s="3" t="inlineStr">
        <is>
          <t>Assets</t>
        </is>
      </c>
      <c r="D8319" s="3" t="inlineStr">
        <is>
          <t>6350/010</t>
        </is>
      </c>
      <c r="E8319" s="3" t="inlineStr">
        <is>
          <t>Furniture _AND_ Fittings - @ Cost</t>
        </is>
      </c>
      <c r="F8319" s="3" t="n">
        <v>0</v>
      </c>
      <c r="G8319" s="3" t="n">
        <v>2242</v>
      </c>
    </row>
    <row r="8320">
      <c r="A8320" s="3" t="inlineStr">
        <is>
          <t>Noble Shield (Pty) Ltd ta Go Letting</t>
        </is>
      </c>
      <c r="B8320" s="4" t="n">
        <v>44651</v>
      </c>
      <c r="C8320" s="3" t="inlineStr">
        <is>
          <t>Assets</t>
        </is>
      </c>
      <c r="D8320" s="3" t="inlineStr">
        <is>
          <t>6350/020</t>
        </is>
      </c>
      <c r="E8320" s="3" t="inlineStr">
        <is>
          <t>Furniture _AND_ Fittings - Accum Depre</t>
        </is>
      </c>
      <c r="F8320" s="3" t="n">
        <v>0</v>
      </c>
      <c r="G8320" s="3" t="n">
        <v>-2239</v>
      </c>
    </row>
    <row r="8321">
      <c r="A8321" s="3" t="inlineStr">
        <is>
          <t>Opportunity Management Holdings (PTY) LTD</t>
        </is>
      </c>
      <c r="B8321" s="4" t="n">
        <v>44651</v>
      </c>
      <c r="C8321" s="3" t="inlineStr">
        <is>
          <t>Liabilities</t>
        </is>
      </c>
      <c r="D8321" s="3" t="inlineStr">
        <is>
          <t>6500/000</t>
        </is>
      </c>
      <c r="E8321" s="3" t="inlineStr">
        <is>
          <t>Deposits - Held</t>
        </is>
      </c>
      <c r="F8321" s="3" t="n">
        <v>0</v>
      </c>
      <c r="G8321" s="3" t="n">
        <v>-12028.1</v>
      </c>
    </row>
    <row r="8322">
      <c r="A8322" s="3" t="inlineStr">
        <is>
          <t>Opportunity Management Holdings (PTY) LTD</t>
        </is>
      </c>
      <c r="B8322" s="4" t="n">
        <v>44651</v>
      </c>
      <c r="C8322" s="3" t="inlineStr">
        <is>
          <t>Liabilities</t>
        </is>
      </c>
      <c r="D8322" s="3" t="inlineStr">
        <is>
          <t>6510/000</t>
        </is>
      </c>
      <c r="E8322" s="3" t="inlineStr">
        <is>
          <t>Deposits Paid - Anicol Properties</t>
        </is>
      </c>
      <c r="F8322" s="3" t="n">
        <v>0</v>
      </c>
      <c r="G8322" s="3" t="n">
        <v>13755</v>
      </c>
    </row>
    <row r="8323">
      <c r="A8323" s="3" t="inlineStr">
        <is>
          <t>Opportunity Management Holdings (PTY) LTD</t>
        </is>
      </c>
      <c r="B8323" s="4" t="n">
        <v>44651</v>
      </c>
      <c r="C8323" s="3" t="inlineStr">
        <is>
          <t>Liabilities</t>
        </is>
      </c>
      <c r="D8323" s="3" t="inlineStr">
        <is>
          <t>6515/000</t>
        </is>
      </c>
      <c r="E8323" s="3" t="inlineStr">
        <is>
          <t>Deposits Paid</t>
        </is>
      </c>
      <c r="F8323" s="3" t="n">
        <v>0</v>
      </c>
      <c r="G8323" s="3" t="n">
        <v>3852.5</v>
      </c>
    </row>
    <row r="8324">
      <c r="A8324" s="3" t="inlineStr">
        <is>
          <t>Quinate Consulting (Pty) Ltd</t>
        </is>
      </c>
      <c r="B8324" s="4" t="n">
        <v>44651</v>
      </c>
      <c r="C8324" s="3" t="inlineStr">
        <is>
          <t>Assets</t>
        </is>
      </c>
      <c r="D8324" s="3" t="inlineStr">
        <is>
          <t>6600/010</t>
        </is>
      </c>
      <c r="E8324" s="3" t="inlineStr">
        <is>
          <t>Other Fixed Assets - @ Cost</t>
        </is>
      </c>
      <c r="F8324" s="3" t="n">
        <v>0</v>
      </c>
      <c r="G8324" s="3" t="n">
        <v>14442.5</v>
      </c>
    </row>
    <row r="8325">
      <c r="A8325" s="3" t="inlineStr">
        <is>
          <t>Quinate Consulting (Pty) Ltd</t>
        </is>
      </c>
      <c r="B8325" s="4" t="n">
        <v>44651</v>
      </c>
      <c r="C8325" s="3" t="inlineStr">
        <is>
          <t>Assets</t>
        </is>
      </c>
      <c r="D8325" s="3" t="inlineStr">
        <is>
          <t>6600/020</t>
        </is>
      </c>
      <c r="E8325" s="3" t="inlineStr">
        <is>
          <t>Other Fixed Assets - Accum Depre</t>
        </is>
      </c>
      <c r="F8325" s="3" t="n">
        <v>0</v>
      </c>
      <c r="G8325" s="3" t="n">
        <v>-14441.5</v>
      </c>
    </row>
    <row r="8326">
      <c r="A8326" s="3" t="inlineStr">
        <is>
          <t>Noble Shield (Pty) Ltd ta Go Letting</t>
        </is>
      </c>
      <c r="B8326" s="4" t="n">
        <v>44651</v>
      </c>
      <c r="C8326" s="3" t="inlineStr">
        <is>
          <t>Assets</t>
        </is>
      </c>
      <c r="D8326" s="3" t="inlineStr">
        <is>
          <t>7000/100</t>
        </is>
      </c>
      <c r="E8326" s="3" t="inlineStr">
        <is>
          <t>Goodwill - Purchase of Go Letting</t>
        </is>
      </c>
      <c r="F8326" s="3" t="n">
        <v>0</v>
      </c>
      <c r="G8326" s="3" t="n">
        <v>106580</v>
      </c>
    </row>
    <row r="8327">
      <c r="A8327" s="3" t="inlineStr">
        <is>
          <t>Opportunity Management Holdings (PTY) LTD</t>
        </is>
      </c>
      <c r="B8327" s="4" t="n">
        <v>44651</v>
      </c>
      <c r="C8327" s="3" t="inlineStr">
        <is>
          <t>Assets</t>
        </is>
      </c>
      <c r="D8327" s="3" t="inlineStr">
        <is>
          <t>7200/000</t>
        </is>
      </c>
      <c r="E8327" s="3" t="inlineStr">
        <is>
          <t>Shares in Subsidiary Companies</t>
        </is>
      </c>
      <c r="F8327" s="3" t="n">
        <v>0</v>
      </c>
      <c r="G8327" s="3" t="n">
        <v>120</v>
      </c>
    </row>
    <row r="8328">
      <c r="A8328" s="3" t="inlineStr">
        <is>
          <t>Endulini (Pty) Ltd</t>
        </is>
      </c>
      <c r="B8328" s="4" t="n">
        <v>44651</v>
      </c>
      <c r="C8328" s="3" t="inlineStr">
        <is>
          <t>Assets</t>
        </is>
      </c>
      <c r="D8328" s="3" t="inlineStr">
        <is>
          <t>7610/100</t>
        </is>
      </c>
      <c r="E8328" s="3" t="inlineStr">
        <is>
          <t>Endulini Land</t>
        </is>
      </c>
      <c r="F8328" s="3" t="n">
        <v>0</v>
      </c>
      <c r="G8328" s="3" t="n">
        <v>10572851.37</v>
      </c>
    </row>
    <row r="8329">
      <c r="A8329" s="3" t="inlineStr">
        <is>
          <t>Endulini (Pty) Ltd</t>
        </is>
      </c>
      <c r="B8329" s="4" t="n">
        <v>44651</v>
      </c>
      <c r="C8329" s="3" t="inlineStr">
        <is>
          <t>Assets</t>
        </is>
      </c>
      <c r="D8329" s="3" t="inlineStr">
        <is>
          <t>7610/101</t>
        </is>
      </c>
      <c r="E8329" s="3" t="inlineStr">
        <is>
          <t>Endulini Revaluation of Land stock</t>
        </is>
      </c>
      <c r="F8329" s="3" t="n">
        <v>0</v>
      </c>
      <c r="G8329" s="3" t="n">
        <v>6084085.78</v>
      </c>
    </row>
    <row r="8330">
      <c r="A8330" s="3" t="inlineStr">
        <is>
          <t>Endulini (Pty) Ltd</t>
        </is>
      </c>
      <c r="B8330" s="4" t="n">
        <v>44651</v>
      </c>
      <c r="C8330" s="3" t="inlineStr">
        <is>
          <t>Assets</t>
        </is>
      </c>
      <c r="D8330" s="3" t="inlineStr">
        <is>
          <t>7610/111</t>
        </is>
      </c>
      <c r="E8330" s="3" t="inlineStr">
        <is>
          <t>Endulini Closing Stock February 2021</t>
        </is>
      </c>
      <c r="F8330" s="3" t="n">
        <v>0</v>
      </c>
      <c r="G8330" s="3" t="n">
        <v>15044610.11</v>
      </c>
    </row>
    <row r="8331">
      <c r="A8331" s="3" t="inlineStr">
        <is>
          <t>Endulini (Pty) Ltd</t>
        </is>
      </c>
      <c r="B8331" s="4" t="n">
        <v>44651</v>
      </c>
      <c r="C8331" s="3" t="inlineStr">
        <is>
          <t>Assets</t>
        </is>
      </c>
      <c r="D8331" s="3" t="inlineStr">
        <is>
          <t>7610/180</t>
        </is>
      </c>
      <c r="E8331" s="3" t="inlineStr">
        <is>
          <t>Endulini CIP Architects</t>
        </is>
      </c>
      <c r="F8331" s="3" t="n">
        <v>0</v>
      </c>
      <c r="G8331" s="3" t="n">
        <v>519874</v>
      </c>
    </row>
    <row r="8332">
      <c r="A8332" s="3" t="inlineStr">
        <is>
          <t>Endulini (Pty) Ltd</t>
        </is>
      </c>
      <c r="B8332" s="4" t="n">
        <v>44651</v>
      </c>
      <c r="C8332" s="3" t="inlineStr">
        <is>
          <t>Assets</t>
        </is>
      </c>
      <c r="D8332" s="3" t="inlineStr">
        <is>
          <t>7610/200</t>
        </is>
      </c>
      <c r="E8332" s="3" t="inlineStr">
        <is>
          <t>Endulini CIP CoCT Land Use App</t>
        </is>
      </c>
      <c r="F8332" s="3" t="n">
        <v>0</v>
      </c>
      <c r="G8332" s="3" t="n">
        <v>232891.06</v>
      </c>
    </row>
    <row r="8333">
      <c r="A8333" s="3" t="inlineStr">
        <is>
          <t>Endulini (Pty) Ltd</t>
        </is>
      </c>
      <c r="B8333" s="4" t="n">
        <v>44651</v>
      </c>
      <c r="C8333" s="3" t="inlineStr">
        <is>
          <t>Assets</t>
        </is>
      </c>
      <c r="D8333" s="3" t="inlineStr">
        <is>
          <t>7610/205</t>
        </is>
      </c>
      <c r="E8333" s="3" t="inlineStr">
        <is>
          <t>Endulini CIP Site Establishments</t>
        </is>
      </c>
      <c r="F8333" s="3" t="n">
        <v>3732962.01</v>
      </c>
      <c r="G8333" s="3" t="n">
        <v>24093554.34</v>
      </c>
    </row>
    <row r="8334">
      <c r="A8334" s="3" t="inlineStr">
        <is>
          <t>Endulini (Pty) Ltd</t>
        </is>
      </c>
      <c r="B8334" s="4" t="n">
        <v>44651</v>
      </c>
      <c r="C8334" s="3" t="inlineStr">
        <is>
          <t>Assets</t>
        </is>
      </c>
      <c r="D8334" s="3" t="inlineStr">
        <is>
          <t>7610/209</t>
        </is>
      </c>
      <c r="E8334" s="3" t="inlineStr">
        <is>
          <t>Endulini CIP Construction Management</t>
        </is>
      </c>
      <c r="F8334" s="3" t="n">
        <v>10000</v>
      </c>
      <c r="G8334" s="3" t="n">
        <v>145375</v>
      </c>
    </row>
    <row r="8335">
      <c r="A8335" s="3" t="inlineStr">
        <is>
          <t>Endulini (Pty) Ltd</t>
        </is>
      </c>
      <c r="B8335" s="4" t="n">
        <v>44651</v>
      </c>
      <c r="C8335" s="3" t="inlineStr">
        <is>
          <t>Assets</t>
        </is>
      </c>
      <c r="D8335" s="3" t="inlineStr">
        <is>
          <t>7610/210</t>
        </is>
      </c>
      <c r="E8335" s="3" t="inlineStr">
        <is>
          <t>Endulini CIP Civil Works</t>
        </is>
      </c>
      <c r="F8335" s="3" t="n">
        <v>-169000</v>
      </c>
      <c r="G8335" s="3" t="n">
        <v>5901825.03</v>
      </c>
    </row>
    <row r="8336">
      <c r="A8336" s="3" t="inlineStr">
        <is>
          <t>Endulini (Pty) Ltd</t>
        </is>
      </c>
      <c r="B8336" s="4" t="n">
        <v>44651</v>
      </c>
      <c r="C8336" s="3" t="inlineStr">
        <is>
          <t>Assets</t>
        </is>
      </c>
      <c r="D8336" s="3" t="inlineStr">
        <is>
          <t>7610/215</t>
        </is>
      </c>
      <c r="E8336" s="3" t="inlineStr">
        <is>
          <t>Endulini CIP Civil Engineers</t>
        </is>
      </c>
      <c r="F8336" s="3" t="n">
        <v>0</v>
      </c>
      <c r="G8336" s="3" t="n">
        <v>183000</v>
      </c>
    </row>
    <row r="8337">
      <c r="A8337" s="3" t="inlineStr">
        <is>
          <t>Endulini (Pty) Ltd</t>
        </is>
      </c>
      <c r="B8337" s="4" t="n">
        <v>44651</v>
      </c>
      <c r="C8337" s="3" t="inlineStr">
        <is>
          <t>Assets</t>
        </is>
      </c>
      <c r="D8337" s="3" t="inlineStr">
        <is>
          <t>7610/220</t>
        </is>
      </c>
      <c r="E8337" s="3" t="inlineStr">
        <is>
          <t>Endulini CIP Structuring Project Fee Opp Invest</t>
        </is>
      </c>
      <c r="F8337" s="3" t="n">
        <v>0</v>
      </c>
      <c r="G8337" s="3" t="n">
        <v>483735.96</v>
      </c>
    </row>
    <row r="8338">
      <c r="A8338" s="3" t="inlineStr">
        <is>
          <t>Endulini (Pty) Ltd</t>
        </is>
      </c>
      <c r="B8338" s="4" t="n">
        <v>44651</v>
      </c>
      <c r="C8338" s="3" t="inlineStr">
        <is>
          <t>Assets</t>
        </is>
      </c>
      <c r="D8338" s="3" t="inlineStr">
        <is>
          <t>7610/225</t>
        </is>
      </c>
      <c r="E8338" s="3" t="inlineStr">
        <is>
          <t>Endulini CIP Structural engineering fee</t>
        </is>
      </c>
      <c r="F8338" s="3" t="n">
        <v>0</v>
      </c>
      <c r="G8338" s="3" t="n">
        <v>288645.08</v>
      </c>
    </row>
    <row r="8339">
      <c r="A8339" s="3" t="inlineStr">
        <is>
          <t>Endulini (Pty) Ltd</t>
        </is>
      </c>
      <c r="B8339" s="4" t="n">
        <v>44651</v>
      </c>
      <c r="C8339" s="3" t="inlineStr">
        <is>
          <t>Assets</t>
        </is>
      </c>
      <c r="D8339" s="3" t="inlineStr">
        <is>
          <t>7610/230</t>
        </is>
      </c>
      <c r="E8339" s="3" t="inlineStr">
        <is>
          <t>Endulini CIP Mechanical Engineering</t>
        </is>
      </c>
      <c r="F8339" s="3" t="n">
        <v>0</v>
      </c>
      <c r="G8339" s="3" t="n">
        <v>15570</v>
      </c>
    </row>
    <row r="8340">
      <c r="A8340" s="3" t="inlineStr">
        <is>
          <t>Endulini (Pty) Ltd</t>
        </is>
      </c>
      <c r="B8340" s="4" t="n">
        <v>44651</v>
      </c>
      <c r="C8340" s="3" t="inlineStr">
        <is>
          <t>Assets</t>
        </is>
      </c>
      <c r="D8340" s="3" t="inlineStr">
        <is>
          <t>7610/235</t>
        </is>
      </c>
      <c r="E8340" s="3" t="inlineStr">
        <is>
          <t>Endulini CIP Electrical Installation</t>
        </is>
      </c>
      <c r="F8340" s="3" t="n">
        <v>23650</v>
      </c>
      <c r="G8340" s="3" t="n">
        <v>868472.62</v>
      </c>
    </row>
    <row r="8341">
      <c r="A8341" s="3" t="inlineStr">
        <is>
          <t>Endulini (Pty) Ltd</t>
        </is>
      </c>
      <c r="B8341" s="4" t="n">
        <v>44651</v>
      </c>
      <c r="C8341" s="3" t="inlineStr">
        <is>
          <t>Assets</t>
        </is>
      </c>
      <c r="D8341" s="3" t="inlineStr">
        <is>
          <t>7610/250</t>
        </is>
      </c>
      <c r="E8341" s="3" t="inlineStr">
        <is>
          <t>Endulini CIP Boundary Wall</t>
        </is>
      </c>
      <c r="F8341" s="3" t="n">
        <v>0</v>
      </c>
      <c r="G8341" s="3" t="n">
        <v>88400.8</v>
      </c>
    </row>
    <row r="8342">
      <c r="A8342" s="3" t="inlineStr">
        <is>
          <t>Endulini (Pty) Ltd</t>
        </is>
      </c>
      <c r="B8342" s="4" t="n">
        <v>44651</v>
      </c>
      <c r="C8342" s="3" t="inlineStr">
        <is>
          <t>Assets</t>
        </is>
      </c>
      <c r="D8342" s="3" t="inlineStr">
        <is>
          <t>7610/290</t>
        </is>
      </c>
      <c r="E8342" s="3" t="inlineStr">
        <is>
          <t>Endulini CIP Development Management Fees</t>
        </is>
      </c>
      <c r="F8342" s="3" t="n">
        <v>0</v>
      </c>
      <c r="G8342" s="3" t="n">
        <v>237496.62</v>
      </c>
    </row>
    <row r="8343">
      <c r="A8343" s="3" t="inlineStr">
        <is>
          <t>Endulini (Pty) Ltd</t>
        </is>
      </c>
      <c r="B8343" s="4" t="n">
        <v>44651</v>
      </c>
      <c r="C8343" s="3" t="inlineStr">
        <is>
          <t>Assets</t>
        </is>
      </c>
      <c r="D8343" s="3" t="inlineStr">
        <is>
          <t>7610/310</t>
        </is>
      </c>
      <c r="E8343" s="3" t="inlineStr">
        <is>
          <t>Endulini CIP Enviromental consultants</t>
        </is>
      </c>
      <c r="F8343" s="3" t="n">
        <v>6000</v>
      </c>
      <c r="G8343" s="3" t="n">
        <v>78000</v>
      </c>
    </row>
    <row r="8344">
      <c r="A8344" s="3" t="inlineStr">
        <is>
          <t>Endulini (Pty) Ltd</t>
        </is>
      </c>
      <c r="B8344" s="4" t="n">
        <v>44651</v>
      </c>
      <c r="C8344" s="3" t="inlineStr">
        <is>
          <t>Assets</t>
        </is>
      </c>
      <c r="D8344" s="3" t="inlineStr">
        <is>
          <t>7610/320</t>
        </is>
      </c>
      <c r="E8344" s="3" t="inlineStr">
        <is>
          <t>Endulini CIP Geotechnical</t>
        </is>
      </c>
      <c r="F8344" s="3" t="n">
        <v>0</v>
      </c>
      <c r="G8344" s="3" t="n">
        <v>13575</v>
      </c>
    </row>
    <row r="8345">
      <c r="A8345" s="3" t="inlineStr">
        <is>
          <t>Endulini (Pty) Ltd</t>
        </is>
      </c>
      <c r="B8345" s="4" t="n">
        <v>44651</v>
      </c>
      <c r="C8345" s="3" t="inlineStr">
        <is>
          <t>Assets</t>
        </is>
      </c>
      <c r="D8345" s="3" t="inlineStr">
        <is>
          <t>7610/330</t>
        </is>
      </c>
      <c r="E8345" s="3" t="inlineStr">
        <is>
          <t>Endulini CIP Health and Safety</t>
        </is>
      </c>
      <c r="F8345" s="3" t="n">
        <v>6400</v>
      </c>
      <c r="G8345" s="3" t="n">
        <v>28200</v>
      </c>
    </row>
    <row r="8346">
      <c r="A8346" s="3" t="inlineStr">
        <is>
          <t>Endulini (Pty) Ltd</t>
        </is>
      </c>
      <c r="B8346" s="4" t="n">
        <v>44651</v>
      </c>
      <c r="C8346" s="3" t="inlineStr">
        <is>
          <t>Assets</t>
        </is>
      </c>
      <c r="D8346" s="3" t="inlineStr">
        <is>
          <t>7610/390</t>
        </is>
      </c>
      <c r="E8346" s="3" t="inlineStr">
        <is>
          <t>Endulini CIP Land Surveyor</t>
        </is>
      </c>
      <c r="F8346" s="3" t="n">
        <v>0</v>
      </c>
      <c r="G8346" s="3" t="n">
        <v>110823.2</v>
      </c>
    </row>
    <row r="8347">
      <c r="A8347" s="3" t="inlineStr">
        <is>
          <t>Endulini (Pty) Ltd</t>
        </is>
      </c>
      <c r="B8347" s="4" t="n">
        <v>44651</v>
      </c>
      <c r="C8347" s="3" t="inlineStr">
        <is>
          <t>Assets</t>
        </is>
      </c>
      <c r="D8347" s="3" t="inlineStr">
        <is>
          <t>7610/392</t>
        </is>
      </c>
      <c r="E8347" s="3" t="inlineStr">
        <is>
          <t>Endulini CIP Landscaping</t>
        </is>
      </c>
      <c r="F8347" s="3" t="n">
        <v>0</v>
      </c>
      <c r="G8347" s="3" t="n">
        <v>6100</v>
      </c>
    </row>
    <row r="8348">
      <c r="A8348" s="3" t="inlineStr">
        <is>
          <t>Endulini (Pty) Ltd</t>
        </is>
      </c>
      <c r="B8348" s="4" t="n">
        <v>44651</v>
      </c>
      <c r="C8348" s="3" t="inlineStr">
        <is>
          <t>Assets</t>
        </is>
      </c>
      <c r="D8348" s="3" t="inlineStr">
        <is>
          <t>7610/395</t>
        </is>
      </c>
      <c r="E8348" s="3" t="inlineStr">
        <is>
          <t>Endulini CIP NHBRC</t>
        </is>
      </c>
      <c r="F8348" s="3" t="n">
        <v>0</v>
      </c>
      <c r="G8348" s="3" t="n">
        <v>928847.49</v>
      </c>
    </row>
    <row r="8349">
      <c r="A8349" s="3" t="inlineStr">
        <is>
          <t>Endulini (Pty) Ltd</t>
        </is>
      </c>
      <c r="B8349" s="4" t="n">
        <v>44651</v>
      </c>
      <c r="C8349" s="3" t="inlineStr">
        <is>
          <t>Assets</t>
        </is>
      </c>
      <c r="D8349" s="3" t="inlineStr">
        <is>
          <t>7610/400</t>
        </is>
      </c>
      <c r="E8349" s="3" t="inlineStr">
        <is>
          <t>Endulini CIP Quantity Surveyor</t>
        </is>
      </c>
      <c r="F8349" s="3" t="n">
        <v>0</v>
      </c>
      <c r="G8349" s="3" t="n">
        <v>82136.36</v>
      </c>
    </row>
    <row r="8350">
      <c r="A8350" s="3" t="inlineStr">
        <is>
          <t>Endulini (Pty) Ltd</t>
        </is>
      </c>
      <c r="B8350" s="4" t="n">
        <v>44651</v>
      </c>
      <c r="C8350" s="3" t="inlineStr">
        <is>
          <t>Assets</t>
        </is>
      </c>
      <c r="D8350" s="3" t="inlineStr">
        <is>
          <t>7610/600</t>
        </is>
      </c>
      <c r="E8350" s="3" t="inlineStr">
        <is>
          <t>Endulini CIP Town Planning</t>
        </is>
      </c>
      <c r="F8350" s="3" t="n">
        <v>0</v>
      </c>
      <c r="G8350" s="3" t="n">
        <v>21105</v>
      </c>
    </row>
    <row r="8351">
      <c r="A8351" s="3" t="inlineStr">
        <is>
          <t>Endulini (Pty) Ltd</t>
        </is>
      </c>
      <c r="B8351" s="4" t="n">
        <v>44651</v>
      </c>
      <c r="C8351" s="3" t="inlineStr">
        <is>
          <t>Assets</t>
        </is>
      </c>
      <c r="D8351" s="3" t="inlineStr">
        <is>
          <t>7610/620</t>
        </is>
      </c>
      <c r="E8351" s="3" t="inlineStr">
        <is>
          <t>Endulini CIP Traffic Impact</t>
        </is>
      </c>
      <c r="F8351" s="3" t="n">
        <v>0</v>
      </c>
      <c r="G8351" s="3" t="n">
        <v>24915</v>
      </c>
    </row>
    <row r="8352">
      <c r="A8352" s="3" t="inlineStr">
        <is>
          <t>Endulini (Pty) Ltd</t>
        </is>
      </c>
      <c r="B8352" s="4" t="n">
        <v>44651</v>
      </c>
      <c r="C8352" s="3" t="inlineStr">
        <is>
          <t>Assets</t>
        </is>
      </c>
      <c r="D8352" s="3" t="inlineStr">
        <is>
          <t>7610/630</t>
        </is>
      </c>
      <c r="E8352" s="3" t="inlineStr">
        <is>
          <t>Endulini CIP CoCT Development Contributi</t>
        </is>
      </c>
      <c r="F8352" s="3" t="n">
        <v>0</v>
      </c>
      <c r="G8352" s="3" t="n">
        <v>661860.3100000001</v>
      </c>
    </row>
    <row r="8353">
      <c r="A8353" s="3" t="inlineStr">
        <is>
          <t>Endulini (Pty) Ltd</t>
        </is>
      </c>
      <c r="B8353" s="4" t="n">
        <v>44651</v>
      </c>
      <c r="C8353" s="3" t="inlineStr">
        <is>
          <t>Assets</t>
        </is>
      </c>
      <c r="D8353" s="3" t="inlineStr">
        <is>
          <t>7610/640</t>
        </is>
      </c>
      <c r="E8353" s="3" t="inlineStr">
        <is>
          <t>Endulini CIP CoCT Building plan application</t>
        </is>
      </c>
      <c r="F8353" s="3" t="n">
        <v>0</v>
      </c>
      <c r="G8353" s="3" t="n">
        <v>111203.22</v>
      </c>
    </row>
    <row r="8354">
      <c r="A8354" s="3" t="inlineStr">
        <is>
          <t>Quinate Consulting (Pty) Ltd</t>
        </is>
      </c>
      <c r="B8354" s="4" t="n">
        <v>44651</v>
      </c>
      <c r="C8354" s="3" t="inlineStr">
        <is>
          <t>Assets</t>
        </is>
      </c>
      <c r="D8354" s="3" t="inlineStr">
        <is>
          <t>7800/104</t>
        </is>
      </c>
      <c r="E8354" s="3" t="inlineStr">
        <is>
          <t>Stock - Closing Stock SW - 28 Feb 21</t>
        </is>
      </c>
      <c r="F8354" s="3" t="n">
        <v>0</v>
      </c>
      <c r="G8354" s="3" t="n">
        <v>2874478.88</v>
      </c>
    </row>
    <row r="8355">
      <c r="A8355" s="3" t="inlineStr">
        <is>
          <t>Quinate Consulting (Pty) Ltd</t>
        </is>
      </c>
      <c r="B8355" s="4" t="n">
        <v>44651</v>
      </c>
      <c r="C8355" s="3" t="inlineStr">
        <is>
          <t>Assets</t>
        </is>
      </c>
      <c r="D8355" s="3" t="inlineStr">
        <is>
          <t>7800/105</t>
        </is>
      </c>
      <c r="E8355" s="3" t="inlineStr">
        <is>
          <t>Stock - Closing Stock SH - 28 Feb 21</t>
        </is>
      </c>
      <c r="F8355" s="3" t="n">
        <v>0</v>
      </c>
      <c r="G8355" s="3" t="n">
        <v>2843477.6</v>
      </c>
    </row>
    <row r="8356">
      <c r="A8356" s="3" t="inlineStr">
        <is>
          <t>Noble Shield (Pty) Ltd ta Go Letting</t>
        </is>
      </c>
      <c r="B8356" s="4" t="n">
        <v>44651</v>
      </c>
      <c r="C8356" s="3" t="inlineStr">
        <is>
          <t>Assets</t>
        </is>
      </c>
      <c r="D8356" s="3" t="inlineStr">
        <is>
          <t>8000/000</t>
        </is>
      </c>
      <c r="E8356" s="3" t="inlineStr">
        <is>
          <t>Customer Control Account</t>
        </is>
      </c>
      <c r="F8356" s="3" t="n">
        <v>0</v>
      </c>
      <c r="G8356" s="3" t="n">
        <v>60289.32</v>
      </c>
    </row>
    <row r="8357">
      <c r="A8357" s="3" t="inlineStr">
        <is>
          <t>Opportunity Global Investment (PTY) LTD</t>
        </is>
      </c>
      <c r="B8357" s="4" t="n">
        <v>44651</v>
      </c>
      <c r="C8357" s="3" t="inlineStr">
        <is>
          <t>Assets</t>
        </is>
      </c>
      <c r="D8357" s="3" t="inlineStr">
        <is>
          <t>8000/000</t>
        </is>
      </c>
      <c r="E8357" s="3" t="inlineStr">
        <is>
          <t>Customer Control Account</t>
        </is>
      </c>
      <c r="F8357" s="3" t="n">
        <v>-384100</v>
      </c>
      <c r="G8357" s="3" t="n">
        <v>0</v>
      </c>
    </row>
    <row r="8358">
      <c r="A8358" s="3" t="inlineStr">
        <is>
          <t>Opportunity Global Sales (PTY) LTD</t>
        </is>
      </c>
      <c r="B8358" s="4" t="n">
        <v>44651</v>
      </c>
      <c r="C8358" s="3" t="inlineStr">
        <is>
          <t>Assets</t>
        </is>
      </c>
      <c r="D8358" s="3" t="inlineStr">
        <is>
          <t>8000/000</t>
        </is>
      </c>
      <c r="E8358" s="3" t="inlineStr">
        <is>
          <t>Customer Control Account</t>
        </is>
      </c>
      <c r="F8358" s="3" t="n">
        <v>690.87</v>
      </c>
      <c r="G8358" s="3" t="n">
        <v>129179.4</v>
      </c>
    </row>
    <row r="8359">
      <c r="A8359" s="3" t="inlineStr">
        <is>
          <t>Opportunity Management Holdings (PTY) LTD</t>
        </is>
      </c>
      <c r="B8359" s="4" t="n">
        <v>44651</v>
      </c>
      <c r="C8359" s="3" t="inlineStr">
        <is>
          <t>Assets</t>
        </is>
      </c>
      <c r="D8359" s="3" t="inlineStr">
        <is>
          <t>8000/000</t>
        </is>
      </c>
      <c r="E8359" s="3" t="inlineStr">
        <is>
          <t>Customer Control Account</t>
        </is>
      </c>
      <c r="F8359" s="3" t="n">
        <v>-86079.57000000001</v>
      </c>
      <c r="G8359" s="3" t="n">
        <v>-3958.07</v>
      </c>
    </row>
    <row r="8360">
      <c r="A8360" s="3" t="inlineStr">
        <is>
          <t>Quinate Consulting (Pty) Ltd</t>
        </is>
      </c>
      <c r="B8360" s="4" t="n">
        <v>44651</v>
      </c>
      <c r="C8360" s="3" t="inlineStr">
        <is>
          <t>Assets</t>
        </is>
      </c>
      <c r="D8360" s="3" t="inlineStr">
        <is>
          <t>8000/000</t>
        </is>
      </c>
      <c r="E8360" s="3" t="inlineStr">
        <is>
          <t>Customer Control Account</t>
        </is>
      </c>
      <c r="F8360" s="3" t="n">
        <v>2100</v>
      </c>
      <c r="G8360" s="3" t="n">
        <v>-2437.84</v>
      </c>
    </row>
    <row r="8361">
      <c r="A8361" s="3" t="inlineStr">
        <is>
          <t>Quinate Consulting (Pty) Ltd</t>
        </is>
      </c>
      <c r="B8361" s="4" t="n">
        <v>44651</v>
      </c>
      <c r="C8361" s="3" t="inlineStr">
        <is>
          <t>Assets</t>
        </is>
      </c>
      <c r="D8361" s="3" t="inlineStr">
        <is>
          <t>8001</t>
        </is>
      </c>
      <c r="E8361" s="3" t="inlineStr">
        <is>
          <t>Customer Control</t>
        </is>
      </c>
      <c r="F8361" s="3" t="n">
        <v>0</v>
      </c>
      <c r="G8361" s="3" t="n">
        <v>29487.49</v>
      </c>
    </row>
    <row r="8362">
      <c r="A8362" s="3" t="inlineStr">
        <is>
          <t>Opportunity Global Investment (PTY) LTD</t>
        </is>
      </c>
      <c r="B8362" s="4" t="n">
        <v>44651</v>
      </c>
      <c r="C8362" s="3" t="inlineStr">
        <is>
          <t>Assets</t>
        </is>
      </c>
      <c r="D8362" s="3" t="inlineStr">
        <is>
          <t>8200/010</t>
        </is>
      </c>
      <c r="E8362" s="3" t="inlineStr">
        <is>
          <t>Prepayments / Prepaid Expenses</t>
        </is>
      </c>
      <c r="F8362" s="3" t="n">
        <v>0</v>
      </c>
      <c r="G8362" s="3" t="n">
        <v>163867.93</v>
      </c>
    </row>
    <row r="8363">
      <c r="A8363" s="3" t="inlineStr">
        <is>
          <t>Quinate Consulting (Pty) Ltd</t>
        </is>
      </c>
      <c r="B8363" s="4" t="n">
        <v>44651</v>
      </c>
      <c r="C8363" s="3" t="inlineStr">
        <is>
          <t>Assets</t>
        </is>
      </c>
      <c r="D8363" s="3" t="inlineStr">
        <is>
          <t>8200/010</t>
        </is>
      </c>
      <c r="E8363" s="3" t="inlineStr">
        <is>
          <t>Prepayments / Prepaid Expenses</t>
        </is>
      </c>
      <c r="F8363" s="3" t="n">
        <v>0</v>
      </c>
      <c r="G8363" s="3" t="n">
        <v>109675</v>
      </c>
    </row>
    <row r="8364">
      <c r="A8364" s="3" t="inlineStr">
        <is>
          <t>Opportunity Global Investment (PTY) LTD</t>
        </is>
      </c>
      <c r="B8364" s="4" t="n">
        <v>44651</v>
      </c>
      <c r="C8364" s="3" t="inlineStr">
        <is>
          <t>Assets</t>
        </is>
      </c>
      <c r="D8364" s="3" t="inlineStr">
        <is>
          <t>8400/000</t>
        </is>
      </c>
      <c r="E8364" s="3" t="inlineStr">
        <is>
          <t>FNB 62093491696</t>
        </is>
      </c>
      <c r="F8364" s="3" t="n">
        <v>111644.74</v>
      </c>
      <c r="G8364" s="3" t="n">
        <v>140447.9</v>
      </c>
    </row>
    <row r="8365">
      <c r="A8365" s="3" t="inlineStr">
        <is>
          <t>Opportunity Global Sales (PTY) LTD</t>
        </is>
      </c>
      <c r="B8365" s="4" t="n">
        <v>44651</v>
      </c>
      <c r="C8365" s="3" t="inlineStr">
        <is>
          <t>Assets</t>
        </is>
      </c>
      <c r="D8365" s="3" t="inlineStr">
        <is>
          <t>8400/000</t>
        </is>
      </c>
      <c r="E8365" s="3" t="inlineStr">
        <is>
          <t>FNB 62835620875</t>
        </is>
      </c>
      <c r="F8365" s="3" t="n">
        <v>-8809.52</v>
      </c>
      <c r="G8365" s="3" t="n">
        <v>28526.78</v>
      </c>
    </row>
    <row r="8366">
      <c r="A8366" s="3" t="inlineStr">
        <is>
          <t>Quinate Consulting (Pty) Ltd</t>
        </is>
      </c>
      <c r="B8366" s="4" t="n">
        <v>44651</v>
      </c>
      <c r="C8366" s="3" t="inlineStr">
        <is>
          <t>Assets</t>
        </is>
      </c>
      <c r="D8366" s="3" t="inlineStr">
        <is>
          <t>8400/000</t>
        </is>
      </c>
      <c r="E8366" s="3" t="inlineStr">
        <is>
          <t>RMB - 62736659189 - Call Acc</t>
        </is>
      </c>
      <c r="F8366" s="3" t="n">
        <v>-177.04</v>
      </c>
      <c r="G8366" s="3" t="n">
        <v>152689.65</v>
      </c>
    </row>
    <row r="8367">
      <c r="A8367" s="3" t="inlineStr">
        <is>
          <t>Trademark Holdings (Pty) Ltd</t>
        </is>
      </c>
      <c r="B8367" s="4" t="n">
        <v>44651</v>
      </c>
      <c r="C8367" s="3" t="inlineStr">
        <is>
          <t>Assets</t>
        </is>
      </c>
      <c r="D8367" s="3" t="inlineStr">
        <is>
          <t>8400/000</t>
        </is>
      </c>
      <c r="E8367" s="3" t="inlineStr">
        <is>
          <t>RMB 623 693 03640</t>
        </is>
      </c>
      <c r="F8367" s="3" t="n">
        <v>8384.370000000001</v>
      </c>
      <c r="G8367" s="3" t="n">
        <v>40469.74</v>
      </c>
    </row>
    <row r="8368">
      <c r="A8368" s="3" t="inlineStr">
        <is>
          <t>Noble Shield (Pty) Ltd ta Go Letting</t>
        </is>
      </c>
      <c r="B8368" s="4" t="n">
        <v>44651</v>
      </c>
      <c r="C8368" s="3" t="inlineStr">
        <is>
          <t>Assets</t>
        </is>
      </c>
      <c r="D8368" s="3" t="inlineStr">
        <is>
          <t>8400/000</t>
        </is>
      </c>
      <c r="E8368" s="3" t="inlineStr">
        <is>
          <t>RMB 6250 573 3833</t>
        </is>
      </c>
      <c r="F8368" s="3" t="n">
        <v>15459.2</v>
      </c>
      <c r="G8368" s="3" t="n">
        <v>44323.99</v>
      </c>
    </row>
    <row r="8369">
      <c r="A8369" s="3" t="inlineStr">
        <is>
          <t>Endulini (Pty) Ltd</t>
        </is>
      </c>
      <c r="B8369" s="4" t="n">
        <v>44651</v>
      </c>
      <c r="C8369" s="3" t="inlineStr">
        <is>
          <t>Assets</t>
        </is>
      </c>
      <c r="D8369" s="3" t="inlineStr">
        <is>
          <t>8400/000</t>
        </is>
      </c>
      <c r="E8369" s="3" t="inlineStr">
        <is>
          <t>RMB 62906944576</t>
        </is>
      </c>
      <c r="F8369" s="3" t="n">
        <v>90249.8</v>
      </c>
      <c r="G8369" s="3" t="n">
        <v>183601.41</v>
      </c>
    </row>
    <row r="8370">
      <c r="A8370" s="3" t="inlineStr">
        <is>
          <t>Opportunity Management Holdings (PTY) LTD</t>
        </is>
      </c>
      <c r="B8370" s="4" t="n">
        <v>44651</v>
      </c>
      <c r="C8370" s="3" t="inlineStr">
        <is>
          <t>Assets</t>
        </is>
      </c>
      <c r="D8370" s="3" t="inlineStr">
        <is>
          <t>8400/000</t>
        </is>
      </c>
      <c r="E8370" s="3" t="inlineStr">
        <is>
          <t>RMB Cheq - 62312246920</t>
        </is>
      </c>
      <c r="F8370" s="3" t="n">
        <v>73355.94</v>
      </c>
      <c r="G8370" s="3" t="n">
        <v>94337.07000000001</v>
      </c>
    </row>
    <row r="8371">
      <c r="A8371" s="3" t="inlineStr">
        <is>
          <t>Opportunity Global Investment (PTY) LTD</t>
        </is>
      </c>
      <c r="B8371" s="4" t="n">
        <v>44651</v>
      </c>
      <c r="C8371" s="3" t="inlineStr">
        <is>
          <t>Assets</t>
        </is>
      </c>
      <c r="D8371" s="3" t="inlineStr">
        <is>
          <t>8405/000</t>
        </is>
      </c>
      <c r="E8371" s="3" t="inlineStr">
        <is>
          <t>FNB Trust 62762449265</t>
        </is>
      </c>
      <c r="F8371" s="3" t="n">
        <v>454.94</v>
      </c>
      <c r="G8371" s="3" t="n">
        <v>457.26</v>
      </c>
    </row>
    <row r="8372">
      <c r="A8372" s="3" t="inlineStr">
        <is>
          <t>Endulini (Pty) Ltd</t>
        </is>
      </c>
      <c r="B8372" s="4" t="n">
        <v>44651</v>
      </c>
      <c r="C8372" s="3" t="inlineStr">
        <is>
          <t>Assets</t>
        </is>
      </c>
      <c r="D8372" s="3" t="inlineStr">
        <is>
          <t>8410/000</t>
        </is>
      </c>
      <c r="E8372" s="3" t="inlineStr">
        <is>
          <t>Momentum Investor Account : RU 502229883</t>
        </is>
      </c>
      <c r="F8372" s="3" t="n">
        <v>-101662.2</v>
      </c>
      <c r="G8372" s="3" t="n">
        <v>898064.36</v>
      </c>
    </row>
    <row r="8373">
      <c r="A8373" s="3" t="inlineStr">
        <is>
          <t>Opportunity Management Holdings (PTY) LTD</t>
        </is>
      </c>
      <c r="B8373" s="4" t="n">
        <v>44651</v>
      </c>
      <c r="C8373" s="3" t="inlineStr">
        <is>
          <t>Assets</t>
        </is>
      </c>
      <c r="D8373" s="3" t="inlineStr">
        <is>
          <t>8410/000</t>
        </is>
      </c>
      <c r="E8373" s="3" t="inlineStr">
        <is>
          <t>RMB Call Acc - 62312248851</t>
        </is>
      </c>
      <c r="F8373" s="3" t="n">
        <v>-387.1</v>
      </c>
      <c r="G8373" s="3" t="n">
        <v>226.21</v>
      </c>
    </row>
    <row r="8374">
      <c r="A8374" s="3" t="inlineStr">
        <is>
          <t>Noble Shield (Pty) Ltd ta Go Letting</t>
        </is>
      </c>
      <c r="B8374" s="4" t="n">
        <v>44651</v>
      </c>
      <c r="C8374" s="3" t="inlineStr">
        <is>
          <t>Assets</t>
        </is>
      </c>
      <c r="D8374" s="3" t="inlineStr">
        <is>
          <t>8410/000</t>
        </is>
      </c>
      <c r="E8374" s="3" t="inlineStr">
        <is>
          <t>RMB Trust Acc - 6250 615 1365</t>
        </is>
      </c>
      <c r="F8374" s="3" t="n">
        <v>-565.6</v>
      </c>
      <c r="G8374" s="3" t="n">
        <v>370.28</v>
      </c>
    </row>
    <row r="8375">
      <c r="A8375" s="3" t="inlineStr">
        <is>
          <t>Quinate Consulting (Pty) Ltd</t>
        </is>
      </c>
      <c r="B8375" s="4" t="n">
        <v>44651</v>
      </c>
      <c r="C8375" s="3" t="inlineStr">
        <is>
          <t>Assets</t>
        </is>
      </c>
      <c r="D8375" s="3" t="inlineStr">
        <is>
          <t>8415/000</t>
        </is>
      </c>
      <c r="E8375" s="3" t="inlineStr">
        <is>
          <t>STD Acc 071 958 959 - Facility Acc</t>
        </is>
      </c>
      <c r="F8375" s="3" t="n">
        <v>-85</v>
      </c>
      <c r="G8375" s="3" t="n">
        <v>4231.21</v>
      </c>
    </row>
    <row r="8376">
      <c r="A8376" s="3" t="inlineStr">
        <is>
          <t>Quinate Consulting (Pty) Ltd</t>
        </is>
      </c>
      <c r="B8376" s="4" t="n">
        <v>44651</v>
      </c>
      <c r="C8376" s="3" t="inlineStr">
        <is>
          <t>Assets</t>
        </is>
      </c>
      <c r="D8376" s="3" t="inlineStr">
        <is>
          <t>8430/000</t>
        </is>
      </c>
      <c r="E8376" s="3" t="inlineStr">
        <is>
          <t>Momentum Investment Acc - RU502230185</t>
        </is>
      </c>
      <c r="F8376" s="3" t="n">
        <v>1.79</v>
      </c>
      <c r="G8376" s="3" t="n">
        <v>509.27</v>
      </c>
    </row>
    <row r="8377">
      <c r="A8377" s="3" t="inlineStr">
        <is>
          <t>Opportunity Global Investment (PTY) LTD</t>
        </is>
      </c>
      <c r="B8377" s="4" t="n">
        <v>44651</v>
      </c>
      <c r="C8377" s="3" t="inlineStr">
        <is>
          <t>Assets</t>
        </is>
      </c>
      <c r="D8377" s="3" t="inlineStr">
        <is>
          <t>8440/000</t>
        </is>
      </c>
      <c r="E8377" s="3" t="inlineStr">
        <is>
          <t>FNB - Call 627602764438</t>
        </is>
      </c>
      <c r="F8377" s="3" t="n">
        <v>601.84</v>
      </c>
      <c r="G8377" s="3" t="n">
        <v>876.39</v>
      </c>
    </row>
    <row r="8378">
      <c r="A8378" s="3" t="inlineStr">
        <is>
          <t>Opportunity Global Investment (PTY) LTD</t>
        </is>
      </c>
      <c r="B8378" s="4" t="n">
        <v>44651</v>
      </c>
      <c r="C8378" s="3" t="inlineStr">
        <is>
          <t>Assets</t>
        </is>
      </c>
      <c r="D8378" s="3" t="inlineStr">
        <is>
          <t>8445/000</t>
        </is>
      </c>
      <c r="E8378" s="3" t="inlineStr">
        <is>
          <t>Momentum RU502230096</t>
        </is>
      </c>
      <c r="F8378" s="3" t="n">
        <v>17.58</v>
      </c>
      <c r="G8378" s="3" t="n">
        <v>4452.74</v>
      </c>
    </row>
    <row r="8379">
      <c r="A8379" s="3" t="inlineStr">
        <is>
          <t>Quinate Consulting (Pty) Ltd</t>
        </is>
      </c>
      <c r="B8379" s="4" t="n">
        <v>44651</v>
      </c>
      <c r="C8379" s="3" t="inlineStr">
        <is>
          <t>Assets</t>
        </is>
      </c>
      <c r="D8379" s="3" t="inlineStr">
        <is>
          <t>8450/000</t>
        </is>
      </c>
      <c r="E8379" s="3" t="inlineStr">
        <is>
          <t>A RMB 62275810820</t>
        </is>
      </c>
      <c r="F8379" s="3" t="n">
        <v>43676.28</v>
      </c>
      <c r="G8379" s="3" t="n">
        <v>82220.13</v>
      </c>
    </row>
    <row r="8380">
      <c r="A8380" s="3" t="inlineStr">
        <is>
          <t>Opportunity Management Holdings (PTY) LTD</t>
        </is>
      </c>
      <c r="B8380" s="4" t="n">
        <v>44651</v>
      </c>
      <c r="C8380" s="3" t="inlineStr">
        <is>
          <t>Assets</t>
        </is>
      </c>
      <c r="D8380" s="3" t="inlineStr">
        <is>
          <t>8450/000</t>
        </is>
      </c>
      <c r="E8380" s="3" t="inlineStr">
        <is>
          <t>Petty Cash - CT Office</t>
        </is>
      </c>
      <c r="F8380" s="3" t="n">
        <v>1537.3</v>
      </c>
      <c r="G8380" s="3" t="n">
        <v>2778</v>
      </c>
    </row>
    <row r="8381">
      <c r="A8381" s="3" t="inlineStr">
        <is>
          <t>Quinate Consulting (Pty) Ltd</t>
        </is>
      </c>
      <c r="B8381" s="4" t="n">
        <v>44651</v>
      </c>
      <c r="C8381" s="3" t="inlineStr">
        <is>
          <t>Liabilities</t>
        </is>
      </c>
      <c r="D8381" s="3" t="inlineStr">
        <is>
          <t>8480/100</t>
        </is>
      </c>
      <c r="E8381" s="3" t="inlineStr">
        <is>
          <t>Bond - SH20 - STD Bank 532010558</t>
        </is>
      </c>
      <c r="F8381" s="3" t="n">
        <v>3288</v>
      </c>
      <c r="G8381" s="3" t="n">
        <v>-1385841.32</v>
      </c>
    </row>
    <row r="8382">
      <c r="A8382" s="3" t="inlineStr">
        <is>
          <t>Quinate Consulting (Pty) Ltd</t>
        </is>
      </c>
      <c r="B8382" s="4" t="n">
        <v>44651</v>
      </c>
      <c r="C8382" s="3" t="inlineStr">
        <is>
          <t>Liabilities</t>
        </is>
      </c>
      <c r="D8382" s="3" t="inlineStr">
        <is>
          <t>8480/200</t>
        </is>
      </c>
      <c r="E8382" s="3" t="inlineStr">
        <is>
          <t>Bond - SH23 - STD Bank 532010035</t>
        </is>
      </c>
      <c r="F8382" s="3" t="n">
        <v>3286.37</v>
      </c>
      <c r="G8382" s="3" t="n">
        <v>-1385655.43</v>
      </c>
    </row>
    <row r="8383">
      <c r="A8383" s="3" t="inlineStr">
        <is>
          <t>Quinate Consulting (Pty) Ltd</t>
        </is>
      </c>
      <c r="B8383" s="4" t="n">
        <v>44651</v>
      </c>
      <c r="C8383" s="3" t="inlineStr">
        <is>
          <t>Liabilities</t>
        </is>
      </c>
      <c r="D8383" s="3" t="inlineStr">
        <is>
          <t>8480/300</t>
        </is>
      </c>
      <c r="E8383" s="3" t="inlineStr">
        <is>
          <t>Bond - SH24 - STD Bank 532372662</t>
        </is>
      </c>
      <c r="F8383" s="3" t="n">
        <v>1430.5</v>
      </c>
      <c r="G8383" s="3" t="n">
        <v>-1464315.28</v>
      </c>
    </row>
    <row r="8384">
      <c r="A8384" s="3" t="inlineStr">
        <is>
          <t>Quinate Consulting (Pty) Ltd</t>
        </is>
      </c>
      <c r="B8384" s="4" t="n">
        <v>44651</v>
      </c>
      <c r="C8384" s="3" t="inlineStr">
        <is>
          <t>Liabilities</t>
        </is>
      </c>
      <c r="D8384" s="3" t="inlineStr">
        <is>
          <t>8480/400</t>
        </is>
      </c>
      <c r="E8384" s="3" t="inlineStr">
        <is>
          <t>Bond - SW01 - STD Bank 532920627</t>
        </is>
      </c>
      <c r="F8384" s="3" t="n">
        <v>939.5</v>
      </c>
      <c r="G8384" s="3" t="n">
        <v>-1299399.66</v>
      </c>
    </row>
    <row r="8385">
      <c r="A8385" s="3" t="inlineStr">
        <is>
          <t>Quinate Consulting (Pty) Ltd</t>
        </is>
      </c>
      <c r="B8385" s="4" t="n">
        <v>44651</v>
      </c>
      <c r="C8385" s="3" t="inlineStr">
        <is>
          <t>Liabilities</t>
        </is>
      </c>
      <c r="D8385" s="3" t="inlineStr">
        <is>
          <t>8480/401</t>
        </is>
      </c>
      <c r="E8385" s="3" t="inlineStr">
        <is>
          <t>Bond - SW21 - STD Bank 532920597</t>
        </is>
      </c>
      <c r="F8385" s="3" t="n">
        <v>939.87</v>
      </c>
      <c r="G8385" s="3" t="n">
        <v>-1299915.21</v>
      </c>
    </row>
    <row r="8386">
      <c r="A8386" s="3" t="inlineStr">
        <is>
          <t>Endulini (Pty) Ltd</t>
        </is>
      </c>
      <c r="B8386" s="4" t="n">
        <v>44651</v>
      </c>
      <c r="C8386" s="3" t="inlineStr">
        <is>
          <t>Assets</t>
        </is>
      </c>
      <c r="D8386" s="3" t="inlineStr">
        <is>
          <t>8500/000</t>
        </is>
      </c>
      <c r="E8386" s="3" t="inlineStr">
        <is>
          <t>Laas and Scholtz - Funds in transit</t>
        </is>
      </c>
      <c r="F8386" s="3" t="n">
        <v>-600000</v>
      </c>
      <c r="G8386" s="3" t="n">
        <v>0</v>
      </c>
    </row>
    <row r="8387">
      <c r="A8387" s="3" t="inlineStr">
        <is>
          <t>Opportunity Global Investment (PTY) LTD</t>
        </is>
      </c>
      <c r="B8387" s="4" t="n">
        <v>44651</v>
      </c>
      <c r="C8387" s="3" t="inlineStr">
        <is>
          <t>Liabilities</t>
        </is>
      </c>
      <c r="D8387" s="3" t="inlineStr">
        <is>
          <t>860</t>
        </is>
      </c>
      <c r="E8387" s="3" t="inlineStr">
        <is>
          <t>Rounding</t>
        </is>
      </c>
      <c r="F8387" s="3" t="n">
        <v>0</v>
      </c>
      <c r="G8387" s="3" t="n">
        <v>-0.03</v>
      </c>
    </row>
    <row r="8388">
      <c r="A8388" s="3" t="inlineStr">
        <is>
          <t>Opportunity Global Sales (PTY) LTD</t>
        </is>
      </c>
      <c r="B8388" s="4" t="n">
        <v>44651</v>
      </c>
      <c r="C8388" s="3" t="inlineStr">
        <is>
          <t>Liabilities</t>
        </is>
      </c>
      <c r="D8388" s="3" t="inlineStr">
        <is>
          <t>860</t>
        </is>
      </c>
      <c r="E8388" s="3" t="inlineStr">
        <is>
          <t>Rounding</t>
        </is>
      </c>
      <c r="F8388" s="3" t="n">
        <v>0</v>
      </c>
      <c r="G8388" s="3" t="n">
        <v>-1</v>
      </c>
    </row>
    <row r="8389">
      <c r="A8389" s="3" t="inlineStr">
        <is>
          <t>Quinate Consulting (Pty) Ltd</t>
        </is>
      </c>
      <c r="B8389" s="4" t="n">
        <v>44651</v>
      </c>
      <c r="C8389" s="3" t="inlineStr">
        <is>
          <t>Liabilities</t>
        </is>
      </c>
      <c r="D8389" s="3" t="inlineStr">
        <is>
          <t>860</t>
        </is>
      </c>
      <c r="E8389" s="3" t="inlineStr">
        <is>
          <t>Rounding</t>
        </is>
      </c>
      <c r="F8389" s="3" t="n">
        <v>0.03</v>
      </c>
      <c r="G8389" s="3" t="n">
        <v>0.03</v>
      </c>
    </row>
    <row r="8390">
      <c r="A8390" s="3" t="inlineStr">
        <is>
          <t>Endulini (Pty) Ltd</t>
        </is>
      </c>
      <c r="B8390" s="4" t="n">
        <v>44651</v>
      </c>
      <c r="C8390" s="3" t="inlineStr">
        <is>
          <t>Liabilities</t>
        </is>
      </c>
      <c r="D8390" s="3" t="inlineStr">
        <is>
          <t>9000/000</t>
        </is>
      </c>
      <c r="E8390" s="3" t="inlineStr">
        <is>
          <t>Supplier Control Account</t>
        </is>
      </c>
      <c r="F8390" s="3" t="n">
        <v>-1857661.01</v>
      </c>
      <c r="G8390" s="3" t="n">
        <v>-56124843.51</v>
      </c>
    </row>
    <row r="8391">
      <c r="A8391" s="3" t="inlineStr">
        <is>
          <t>Noble Shield (Pty) Ltd ta Go Letting</t>
        </is>
      </c>
      <c r="B8391" s="4" t="n">
        <v>44651</v>
      </c>
      <c r="C8391" s="3" t="inlineStr">
        <is>
          <t>Liabilities</t>
        </is>
      </c>
      <c r="D8391" s="3" t="inlineStr">
        <is>
          <t>9000/000</t>
        </is>
      </c>
      <c r="E8391" s="3" t="inlineStr">
        <is>
          <t>Supplier Control Account</t>
        </is>
      </c>
      <c r="F8391" s="3" t="n">
        <v>12114.16</v>
      </c>
      <c r="G8391" s="3" t="n">
        <v>-36109.79</v>
      </c>
    </row>
    <row r="8392">
      <c r="A8392" s="3" t="inlineStr">
        <is>
          <t>Opportunity Global Investment (PTY) LTD</t>
        </is>
      </c>
      <c r="B8392" s="4" t="n">
        <v>44651</v>
      </c>
      <c r="C8392" s="3" t="inlineStr">
        <is>
          <t>Liabilities</t>
        </is>
      </c>
      <c r="D8392" s="3" t="inlineStr">
        <is>
          <t>9000/000</t>
        </is>
      </c>
      <c r="E8392" s="3" t="inlineStr">
        <is>
          <t>Supplier Control Account</t>
        </is>
      </c>
      <c r="F8392" s="3" t="n">
        <v>18546.2</v>
      </c>
      <c r="G8392" s="3" t="n">
        <v>-169399.28</v>
      </c>
    </row>
    <row r="8393">
      <c r="A8393" s="3" t="inlineStr">
        <is>
          <t>Opportunity Global Sales (PTY) LTD</t>
        </is>
      </c>
      <c r="B8393" s="4" t="n">
        <v>44651</v>
      </c>
      <c r="C8393" s="3" t="inlineStr">
        <is>
          <t>Liabilities</t>
        </is>
      </c>
      <c r="D8393" s="3" t="inlineStr">
        <is>
          <t>9000/000</t>
        </is>
      </c>
      <c r="E8393" s="3" t="inlineStr">
        <is>
          <t>Supplier Control Account</t>
        </is>
      </c>
      <c r="F8393" s="3" t="n">
        <v>-275</v>
      </c>
      <c r="G8393" s="3" t="n">
        <v>-1747</v>
      </c>
    </row>
    <row r="8394">
      <c r="A8394" s="3" t="inlineStr">
        <is>
          <t>Opportunity Management Holdings (PTY) LTD</t>
        </is>
      </c>
      <c r="B8394" s="4" t="n">
        <v>44651</v>
      </c>
      <c r="C8394" s="3" t="inlineStr">
        <is>
          <t>Liabilities</t>
        </is>
      </c>
      <c r="D8394" s="3" t="inlineStr">
        <is>
          <t>9000/000</t>
        </is>
      </c>
      <c r="E8394" s="3" t="inlineStr">
        <is>
          <t>Supplier Control Account</t>
        </is>
      </c>
      <c r="F8394" s="3" t="n">
        <v>10446.75</v>
      </c>
      <c r="G8394" s="3" t="n">
        <v>-263679.28</v>
      </c>
    </row>
    <row r="8395">
      <c r="A8395" s="3" t="inlineStr">
        <is>
          <t>Quinate Consulting (Pty) Ltd</t>
        </is>
      </c>
      <c r="B8395" s="4" t="n">
        <v>44651</v>
      </c>
      <c r="C8395" s="3" t="inlineStr">
        <is>
          <t>Liabilities</t>
        </is>
      </c>
      <c r="D8395" s="3" t="inlineStr">
        <is>
          <t>9000/000</t>
        </is>
      </c>
      <c r="E8395" s="3" t="inlineStr">
        <is>
          <t>Supplier Control Account</t>
        </is>
      </c>
      <c r="F8395" s="3" t="n">
        <v>157531.74</v>
      </c>
      <c r="G8395" s="3" t="n">
        <v>67804.31</v>
      </c>
    </row>
    <row r="8396">
      <c r="A8396" s="3" t="inlineStr">
        <is>
          <t>Trademark Holdings (Pty) Ltd</t>
        </is>
      </c>
      <c r="B8396" s="4" t="n">
        <v>44651</v>
      </c>
      <c r="C8396" s="3" t="inlineStr">
        <is>
          <t>Liabilities</t>
        </is>
      </c>
      <c r="D8396" s="3" t="inlineStr">
        <is>
          <t>9000/000</t>
        </is>
      </c>
      <c r="E8396" s="3" t="inlineStr">
        <is>
          <t>Supplier Control Account</t>
        </is>
      </c>
      <c r="F8396" s="3" t="n">
        <v>7860.6</v>
      </c>
      <c r="G8396" s="3" t="n">
        <v>-31876.93</v>
      </c>
    </row>
    <row r="8397">
      <c r="A8397" s="3" t="inlineStr">
        <is>
          <t>Quinate Consulting (Pty) Ltd</t>
        </is>
      </c>
      <c r="B8397" s="4" t="n">
        <v>44651</v>
      </c>
      <c r="C8397" s="3" t="inlineStr">
        <is>
          <t>Liabilities</t>
        </is>
      </c>
      <c r="D8397" s="3" t="inlineStr">
        <is>
          <t>9001</t>
        </is>
      </c>
      <c r="E8397" s="3" t="inlineStr">
        <is>
          <t>Supplier Control</t>
        </is>
      </c>
      <c r="F8397" s="3" t="n">
        <v>0</v>
      </c>
      <c r="G8397" s="3" t="n">
        <v>-347315.41</v>
      </c>
    </row>
    <row r="8398">
      <c r="A8398" s="3" t="inlineStr">
        <is>
          <t>Endulini (Pty) Ltd</t>
        </is>
      </c>
      <c r="B8398" s="4" t="n">
        <v>44651</v>
      </c>
      <c r="C8398" s="3" t="inlineStr">
        <is>
          <t>Liabilities</t>
        </is>
      </c>
      <c r="D8398" s="3" t="inlineStr">
        <is>
          <t>9100/000</t>
        </is>
      </c>
      <c r="E8398" s="3" t="inlineStr">
        <is>
          <t>GRN Accrual Account</t>
        </is>
      </c>
      <c r="F8398" s="3" t="n">
        <v>18881.89</v>
      </c>
      <c r="G8398" s="3" t="n">
        <v>0</v>
      </c>
    </row>
    <row r="8399">
      <c r="A8399" s="3" t="inlineStr">
        <is>
          <t>Opportunity Management Holdings (PTY) LTD</t>
        </is>
      </c>
      <c r="B8399" s="4" t="n">
        <v>44651</v>
      </c>
      <c r="C8399" s="3" t="inlineStr">
        <is>
          <t>Assets</t>
        </is>
      </c>
      <c r="D8399" s="3" t="inlineStr">
        <is>
          <t>9110/000</t>
        </is>
      </c>
      <c r="E8399" s="3" t="inlineStr">
        <is>
          <t>Deposit Received</t>
        </is>
      </c>
      <c r="F8399" s="3" t="n">
        <v>0</v>
      </c>
      <c r="G8399" s="3" t="n">
        <v>-3852.5</v>
      </c>
    </row>
    <row r="8400">
      <c r="A8400" s="3" t="inlineStr">
        <is>
          <t>Opportunity Global Investment (PTY) LTD</t>
        </is>
      </c>
      <c r="B8400" s="4" t="n">
        <v>44651</v>
      </c>
      <c r="C8400" s="3" t="inlineStr">
        <is>
          <t>Liabilities</t>
        </is>
      </c>
      <c r="D8400" s="3" t="inlineStr">
        <is>
          <t>9110/000</t>
        </is>
      </c>
      <c r="E8400" s="3" t="inlineStr">
        <is>
          <t>Taxation B/S</t>
        </is>
      </c>
      <c r="F8400" s="3" t="n">
        <v>0</v>
      </c>
      <c r="G8400" s="3" t="n">
        <v>2150.09</v>
      </c>
    </row>
    <row r="8401">
      <c r="A8401" s="3" t="inlineStr">
        <is>
          <t>Endulini (Pty) Ltd</t>
        </is>
      </c>
      <c r="B8401" s="4" t="n">
        <v>44651</v>
      </c>
      <c r="C8401" s="3" t="inlineStr">
        <is>
          <t>Liabilities</t>
        </is>
      </c>
      <c r="D8401" s="3" t="inlineStr">
        <is>
          <t>9200/100</t>
        </is>
      </c>
      <c r="E8401" s="3" t="inlineStr">
        <is>
          <t>Sundry Suppliers - Heron Fields</t>
        </is>
      </c>
      <c r="F8401" s="3" t="n">
        <v>0</v>
      </c>
      <c r="G8401" s="3" t="n">
        <v>-300000</v>
      </c>
    </row>
    <row r="8402">
      <c r="A8402" s="3" t="inlineStr">
        <is>
          <t>Noble Shield (Pty) Ltd ta Go Letting</t>
        </is>
      </c>
      <c r="B8402" s="4" t="n">
        <v>44651</v>
      </c>
      <c r="C8402" s="3" t="inlineStr">
        <is>
          <t>Liabilities</t>
        </is>
      </c>
      <c r="D8402" s="3" t="inlineStr">
        <is>
          <t>9250/010</t>
        </is>
      </c>
      <c r="E8402" s="3" t="inlineStr">
        <is>
          <t>SALARY CONTROL</t>
        </is>
      </c>
      <c r="F8402" s="3" t="n">
        <v>-1887.71</v>
      </c>
      <c r="G8402" s="3" t="n">
        <v>-22538.48</v>
      </c>
    </row>
    <row r="8403">
      <c r="A8403" s="3" t="inlineStr">
        <is>
          <t>Opportunity Global Sales (PTY) LTD</t>
        </is>
      </c>
      <c r="B8403" s="4" t="n">
        <v>44651</v>
      </c>
      <c r="C8403" s="3" t="inlineStr">
        <is>
          <t>Liabilities</t>
        </is>
      </c>
      <c r="D8403" s="3" t="inlineStr">
        <is>
          <t>9250/010</t>
        </is>
      </c>
      <c r="E8403" s="3" t="inlineStr">
        <is>
          <t>SALARY CONTROL</t>
        </is>
      </c>
      <c r="F8403" s="3" t="n">
        <v>-19179.44</v>
      </c>
      <c r="G8403" s="3" t="n">
        <v>-19179.44</v>
      </c>
    </row>
    <row r="8404">
      <c r="A8404" s="3" t="inlineStr">
        <is>
          <t>Trademark Holdings (Pty) Ltd</t>
        </is>
      </c>
      <c r="B8404" s="4" t="n">
        <v>44651</v>
      </c>
      <c r="C8404" s="3" t="inlineStr">
        <is>
          <t>Liabilities</t>
        </is>
      </c>
      <c r="D8404" s="3" t="inlineStr">
        <is>
          <t>9250/010</t>
        </is>
      </c>
      <c r="E8404" s="3" t="inlineStr">
        <is>
          <t>SALARY CONTROL</t>
        </is>
      </c>
      <c r="F8404" s="3" t="n">
        <v>-1604.63</v>
      </c>
      <c r="G8404" s="3" t="n">
        <v>-14870.82</v>
      </c>
    </row>
    <row r="8405">
      <c r="A8405" s="3" t="inlineStr">
        <is>
          <t>Noble Shield (Pty) Ltd ta Go Letting</t>
        </is>
      </c>
      <c r="B8405" s="4" t="n">
        <v>44651</v>
      </c>
      <c r="C8405" s="3" t="inlineStr">
        <is>
          <t>Liabilities</t>
        </is>
      </c>
      <c r="D8405" s="3" t="inlineStr">
        <is>
          <t>9250/020</t>
        </is>
      </c>
      <c r="E8405" s="3" t="inlineStr">
        <is>
          <t>PAYE, UIF AND SDL CONTROL</t>
        </is>
      </c>
      <c r="F8405" s="3" t="n">
        <v>7.19</v>
      </c>
      <c r="G8405" s="3" t="n">
        <v>-6843.78</v>
      </c>
    </row>
    <row r="8406">
      <c r="A8406" s="3" t="inlineStr">
        <is>
          <t>Opportunity Global Investment (PTY) LTD</t>
        </is>
      </c>
      <c r="B8406" s="4" t="n">
        <v>44651</v>
      </c>
      <c r="C8406" s="3" t="inlineStr">
        <is>
          <t>Liabilities</t>
        </is>
      </c>
      <c r="D8406" s="3" t="inlineStr">
        <is>
          <t>9250/020</t>
        </is>
      </c>
      <c r="E8406" s="3" t="inlineStr">
        <is>
          <t>PAYE, UIF AND SDL CONTROL</t>
        </is>
      </c>
      <c r="F8406" s="3" t="n">
        <v>47868.88</v>
      </c>
      <c r="G8406" s="3" t="n">
        <v>56557.3</v>
      </c>
    </row>
    <row r="8407">
      <c r="A8407" s="3" t="inlineStr">
        <is>
          <t>Opportunity Global Sales (PTY) LTD</t>
        </is>
      </c>
      <c r="B8407" s="4" t="n">
        <v>44651</v>
      </c>
      <c r="C8407" s="3" t="inlineStr">
        <is>
          <t>Liabilities</t>
        </is>
      </c>
      <c r="D8407" s="3" t="inlineStr">
        <is>
          <t>9250/020</t>
        </is>
      </c>
      <c r="E8407" s="3" t="inlineStr">
        <is>
          <t>PAYE, UIF AND SDL CONTROL</t>
        </is>
      </c>
      <c r="F8407" s="3" t="n">
        <v>-23397.13</v>
      </c>
      <c r="G8407" s="3" t="n">
        <v>-89876.47</v>
      </c>
    </row>
    <row r="8408">
      <c r="A8408" s="3" t="inlineStr">
        <is>
          <t>Opportunity Management Holdings (PTY) LTD</t>
        </is>
      </c>
      <c r="B8408" s="4" t="n">
        <v>44651</v>
      </c>
      <c r="C8408" s="3" t="inlineStr">
        <is>
          <t>Liabilities</t>
        </is>
      </c>
      <c r="D8408" s="3" t="inlineStr">
        <is>
          <t>9250/020</t>
        </is>
      </c>
      <c r="E8408" s="3" t="inlineStr">
        <is>
          <t>PAYE, UIF AND SDL CONTROL</t>
        </is>
      </c>
      <c r="F8408" s="3" t="n">
        <v>38250.96</v>
      </c>
      <c r="G8408" s="3" t="n">
        <v>-36684.68</v>
      </c>
    </row>
    <row r="8409">
      <c r="A8409" s="3" t="inlineStr">
        <is>
          <t>Trademark Holdings (Pty) Ltd</t>
        </is>
      </c>
      <c r="B8409" s="4" t="n">
        <v>44651</v>
      </c>
      <c r="C8409" s="3" t="inlineStr">
        <is>
          <t>Liabilities</t>
        </is>
      </c>
      <c r="D8409" s="3" t="inlineStr">
        <is>
          <t>9250/020</t>
        </is>
      </c>
      <c r="E8409" s="3" t="inlineStr">
        <is>
          <t>PAYE, UIF AND SDL CONTROL</t>
        </is>
      </c>
      <c r="F8409" s="3" t="n">
        <v>-152.53</v>
      </c>
      <c r="G8409" s="3" t="n">
        <v>-5789.35</v>
      </c>
    </row>
    <row r="8410">
      <c r="A8410" s="3" t="inlineStr">
        <is>
          <t>Opportunity Global Investment (PTY) LTD</t>
        </is>
      </c>
      <c r="B8410" s="4" t="n">
        <v>44651</v>
      </c>
      <c r="C8410" s="3" t="inlineStr">
        <is>
          <t>Liabilities</t>
        </is>
      </c>
      <c r="D8410" s="3" t="inlineStr">
        <is>
          <t>9400/030</t>
        </is>
      </c>
      <c r="E8410" s="3" t="inlineStr">
        <is>
          <t>Accrued Expenses - PAYE_AND_UIF</t>
        </is>
      </c>
      <c r="F8410" s="3" t="n">
        <v>0</v>
      </c>
      <c r="G8410" s="3" t="n">
        <v>-2</v>
      </c>
    </row>
    <row r="8411">
      <c r="A8411" s="3" t="inlineStr">
        <is>
          <t>Trademark Holdings (Pty) Ltd</t>
        </is>
      </c>
      <c r="B8411" s="4" t="n">
        <v>44651</v>
      </c>
      <c r="C8411" s="3" t="inlineStr">
        <is>
          <t>Liabilities</t>
        </is>
      </c>
      <c r="D8411" s="3" t="inlineStr">
        <is>
          <t>9400/400</t>
        </is>
      </c>
      <c r="E8411" s="3" t="inlineStr">
        <is>
          <t>Deemed Dividend Tax</t>
        </is>
      </c>
      <c r="F8411" s="3" t="n">
        <v>0</v>
      </c>
      <c r="G8411" s="3" t="n">
        <v>-699.13</v>
      </c>
    </row>
    <row r="8412">
      <c r="A8412" s="3" t="inlineStr">
        <is>
          <t>Opportunity Global Investment (PTY) LTD</t>
        </is>
      </c>
      <c r="B8412" s="4" t="n">
        <v>44651</v>
      </c>
      <c r="C8412" s="3" t="inlineStr">
        <is>
          <t>Liabilities</t>
        </is>
      </c>
      <c r="D8412" s="3" t="inlineStr">
        <is>
          <t>9500/000</t>
        </is>
      </c>
      <c r="E8412" s="3" t="inlineStr">
        <is>
          <t>VAT Control Account</t>
        </is>
      </c>
      <c r="F8412" s="3" t="n">
        <v>110103.48</v>
      </c>
      <c r="G8412" s="3" t="n">
        <v>-1858.61</v>
      </c>
    </row>
    <row r="8413">
      <c r="A8413" s="3" t="inlineStr">
        <is>
          <t>Opportunity Global Sales (PTY) LTD</t>
        </is>
      </c>
      <c r="B8413" s="4" t="n">
        <v>44651</v>
      </c>
      <c r="C8413" s="3" t="inlineStr">
        <is>
          <t>Liabilities</t>
        </is>
      </c>
      <c r="D8413" s="3" t="inlineStr">
        <is>
          <t>9500/000</t>
        </is>
      </c>
      <c r="E8413" s="3" t="inlineStr">
        <is>
          <t>VAT Control Account</t>
        </is>
      </c>
      <c r="F8413" s="3" t="n">
        <v>-3463.78</v>
      </c>
      <c r="G8413" s="3" t="n">
        <v>-31918.33</v>
      </c>
    </row>
    <row r="8414">
      <c r="A8414" s="3" t="inlineStr">
        <is>
          <t>Opportunity Management Holdings (PTY) LTD</t>
        </is>
      </c>
      <c r="B8414" s="4" t="n">
        <v>44651</v>
      </c>
      <c r="C8414" s="3" t="inlineStr">
        <is>
          <t>Liabilities</t>
        </is>
      </c>
      <c r="D8414" s="3" t="inlineStr">
        <is>
          <t>9500/000</t>
        </is>
      </c>
      <c r="E8414" s="3" t="inlineStr">
        <is>
          <t>VAT Control Account</t>
        </is>
      </c>
      <c r="F8414" s="3" t="n">
        <v>-34169.14</v>
      </c>
      <c r="G8414" s="3" t="n">
        <v>-65775.62</v>
      </c>
    </row>
    <row r="8415">
      <c r="A8415" s="3" t="inlineStr">
        <is>
          <t>Endulini (Pty) Ltd</t>
        </is>
      </c>
      <c r="B8415" s="4" t="n">
        <v>44651</v>
      </c>
      <c r="C8415" s="3" t="inlineStr">
        <is>
          <t>Liabilities</t>
        </is>
      </c>
      <c r="D8415" s="3" t="inlineStr">
        <is>
          <t>9500/000</t>
        </is>
      </c>
      <c r="E8415" s="3" t="inlineStr">
        <is>
          <t>Vat / Tax Control Account</t>
        </is>
      </c>
      <c r="F8415" s="3" t="n">
        <v>600695.8</v>
      </c>
      <c r="G8415" s="3" t="n">
        <v>3143921.82</v>
      </c>
    </row>
    <row r="8416">
      <c r="A8416" s="3" t="inlineStr">
        <is>
          <t>Quinate Consulting (Pty) Ltd</t>
        </is>
      </c>
      <c r="B8416" s="4" t="n">
        <v>44651</v>
      </c>
      <c r="C8416" s="3" t="inlineStr">
        <is>
          <t>Liabilities</t>
        </is>
      </c>
      <c r="D8416" s="3" t="inlineStr">
        <is>
          <t>9500/000</t>
        </is>
      </c>
      <c r="E8416" s="3" t="inlineStr">
        <is>
          <t>Vat Control Account</t>
        </is>
      </c>
      <c r="F8416" s="3" t="n">
        <v>11887.01</v>
      </c>
      <c r="G8416" s="3" t="n">
        <v>-1902791.7</v>
      </c>
    </row>
    <row r="8417">
      <c r="A8417" s="3" t="inlineStr">
        <is>
          <t>Opportunity Management Holdings (PTY) LTD</t>
        </is>
      </c>
      <c r="B8417" s="4" t="n">
        <v>44651</v>
      </c>
      <c r="C8417" s="3" t="inlineStr">
        <is>
          <t>Liabilities</t>
        </is>
      </c>
      <c r="D8417" s="3" t="inlineStr">
        <is>
          <t>9501/000</t>
        </is>
      </c>
      <c r="E8417" s="3" t="inlineStr">
        <is>
          <t>Vat Adjustments - C2M</t>
        </is>
      </c>
      <c r="F8417" s="3" t="n">
        <v>0</v>
      </c>
      <c r="G8417" s="3" t="n">
        <v>47274.04</v>
      </c>
    </row>
    <row r="8418">
      <c r="A8418" s="3" t="inlineStr">
        <is>
          <t>Quinate Consulting (Pty) Ltd</t>
        </is>
      </c>
      <c r="B8418" s="4" t="n">
        <v>44651</v>
      </c>
      <c r="C8418" s="3" t="inlineStr">
        <is>
          <t>Liabilities</t>
        </is>
      </c>
      <c r="D8418" s="3" t="inlineStr">
        <is>
          <t>9960/000</t>
        </is>
      </c>
      <c r="E8418" s="3" t="inlineStr">
        <is>
          <t>Deposits - Southwark Rentals</t>
        </is>
      </c>
      <c r="F8418" s="3" t="n">
        <v>0</v>
      </c>
      <c r="G8418" s="3" t="n">
        <v>-11500</v>
      </c>
    </row>
    <row r="8419">
      <c r="A8419" s="3" t="inlineStr">
        <is>
          <t>Noble Shield (Pty) Ltd ta Go Letting</t>
        </is>
      </c>
      <c r="B8419" s="4" t="n">
        <v>44651</v>
      </c>
      <c r="C8419" s="3" t="inlineStr">
        <is>
          <t>Expenses</t>
        </is>
      </c>
      <c r="D8419" s="3" t="inlineStr">
        <is>
          <t>ACB Link</t>
        </is>
      </c>
      <c r="E8419" s="3" t="inlineStr">
        <is>
          <t>Subscriptions - TPN</t>
        </is>
      </c>
      <c r="F8419" s="3" t="n">
        <v>1742.24</v>
      </c>
      <c r="G8419" s="3" t="n">
        <v>14188.32</v>
      </c>
    </row>
    <row r="8420">
      <c r="A8420" s="3" t="inlineStr">
        <is>
          <t>Noble Shield (Pty) Ltd ta Go Letting</t>
        </is>
      </c>
      <c r="B8420" s="4" t="n">
        <v>44651</v>
      </c>
      <c r="C8420" s="3" t="inlineStr">
        <is>
          <t>Liabilities</t>
        </is>
      </c>
      <c r="D8420" s="3" t="inlineStr">
        <is>
          <t>B/S</t>
        </is>
      </c>
      <c r="E8420" s="3" t="inlineStr">
        <is>
          <t>Tax Payable</t>
        </is>
      </c>
      <c r="F8420" s="3" t="n">
        <v>0</v>
      </c>
      <c r="G8420" s="3" t="n">
        <v>-6843.4</v>
      </c>
    </row>
    <row r="8421">
      <c r="A8421" s="3" t="inlineStr">
        <is>
          <t>Trademark Holdings (Pty) Ltd</t>
        </is>
      </c>
      <c r="B8421" s="4" t="n">
        <v>44651</v>
      </c>
      <c r="C8421" s="3" t="inlineStr">
        <is>
          <t>Liabilities</t>
        </is>
      </c>
      <c r="D8421" s="3" t="inlineStr">
        <is>
          <t>B/S</t>
        </is>
      </c>
      <c r="E8421" s="3" t="inlineStr">
        <is>
          <t>Taxation Payable</t>
        </is>
      </c>
      <c r="F8421" s="3" t="n">
        <v>2211.6</v>
      </c>
      <c r="G8421" s="3" t="n">
        <v>-1960.56</v>
      </c>
    </row>
    <row r="8422">
      <c r="A8422" s="3" t="inlineStr">
        <is>
          <t>Quinate Consulting (Pty) Ltd</t>
        </is>
      </c>
      <c r="B8422" s="4" t="n">
        <v>44651</v>
      </c>
      <c r="C8422" s="3" t="inlineStr">
        <is>
          <t>Liabilities</t>
        </is>
      </c>
      <c r="D8422" s="3" t="inlineStr">
        <is>
          <t xml:space="preserve">B/S </t>
        </is>
      </c>
      <c r="E8422" s="3" t="inlineStr">
        <is>
          <t>Taxation Payable</t>
        </is>
      </c>
      <c r="F8422" s="3" t="n">
        <v>0</v>
      </c>
      <c r="G8422" s="3" t="n">
        <v>-15486</v>
      </c>
    </row>
    <row r="8423">
      <c r="A8423" s="3" t="inlineStr">
        <is>
          <t>Quinate Consulting (Pty) Ltd</t>
        </is>
      </c>
      <c r="B8423" s="4" t="n">
        <v>44651</v>
      </c>
      <c r="C8423" s="3" t="inlineStr">
        <is>
          <t>Liabilities</t>
        </is>
      </c>
      <c r="D8423" s="3" t="inlineStr">
        <is>
          <t>FV</t>
        </is>
      </c>
      <c r="E8423" s="3" t="inlineStr">
        <is>
          <t>Loan - Cape Projects Constuction</t>
        </is>
      </c>
      <c r="F8423" s="3" t="n">
        <v>0</v>
      </c>
      <c r="G8423" s="3" t="n">
        <v>-2850000</v>
      </c>
    </row>
    <row r="8424">
      <c r="A8424" s="3" t="inlineStr">
        <is>
          <t>Trademark Holdings (Pty) Ltd</t>
        </is>
      </c>
      <c r="B8424" s="4" t="n">
        <v>44651</v>
      </c>
      <c r="C8424" s="3" t="inlineStr">
        <is>
          <t>Expenses</t>
        </is>
      </c>
      <c r="D8424" s="3" t="inlineStr">
        <is>
          <t>I/S</t>
        </is>
      </c>
      <c r="E8424" s="3" t="inlineStr">
        <is>
          <t>Income Tax Current Year</t>
        </is>
      </c>
      <c r="F8424" s="3" t="n">
        <v>0</v>
      </c>
      <c r="G8424" s="3" t="n">
        <v>2251.76</v>
      </c>
    </row>
    <row r="8425">
      <c r="A8425" s="3" t="inlineStr">
        <is>
          <t>Quinate Consulting (Pty) Ltd</t>
        </is>
      </c>
      <c r="B8425" s="4" t="n">
        <v>44651</v>
      </c>
      <c r="C8425" s="3" t="inlineStr">
        <is>
          <t>Liabilities</t>
        </is>
      </c>
      <c r="D8425" s="3" t="inlineStr">
        <is>
          <t>Sharehold OppDev</t>
        </is>
      </c>
      <c r="E8425" s="3" t="inlineStr">
        <is>
          <t>Loan - Justine Morgan</t>
        </is>
      </c>
      <c r="F8425" s="3" t="n">
        <v>0</v>
      </c>
      <c r="G8425" s="3" t="n">
        <v>-563766.76</v>
      </c>
    </row>
    <row r="8426">
      <c r="A8426" s="3" t="inlineStr">
        <is>
          <t>Opportunity Global Sales (PTY) LTD</t>
        </is>
      </c>
      <c r="B8426" s="4" t="n">
        <v>44681</v>
      </c>
      <c r="C8426" s="3" t="inlineStr">
        <is>
          <t>Revenue</t>
        </is>
      </c>
      <c r="D8426" s="3" t="inlineStr">
        <is>
          <t>1000/009</t>
        </is>
      </c>
      <c r="E8426" s="3" t="inlineStr">
        <is>
          <t>Sales - Comm on Payprop</t>
        </is>
      </c>
      <c r="F8426" s="3" t="n">
        <v>-7766.33</v>
      </c>
      <c r="G8426" s="3" t="n">
        <v>-11406.48</v>
      </c>
    </row>
    <row r="8427">
      <c r="A8427" s="3" t="inlineStr">
        <is>
          <t>Quinate Consulting (Pty) Ltd</t>
        </is>
      </c>
      <c r="B8427" s="4" t="n">
        <v>44681</v>
      </c>
      <c r="C8427" s="3" t="inlineStr">
        <is>
          <t>Revenue</t>
        </is>
      </c>
      <c r="D8427" s="3" t="inlineStr">
        <is>
          <t>1000/011</t>
        </is>
      </c>
      <c r="E8427" s="3" t="inlineStr">
        <is>
          <t>Rent Received - Soho Unit 23</t>
        </is>
      </c>
      <c r="F8427" s="3" t="n">
        <v>-12500</v>
      </c>
      <c r="G8427" s="3" t="n">
        <v>-25000</v>
      </c>
    </row>
    <row r="8428">
      <c r="A8428" s="3" t="inlineStr">
        <is>
          <t>Quinate Consulting (Pty) Ltd</t>
        </is>
      </c>
      <c r="B8428" s="4" t="n">
        <v>44681</v>
      </c>
      <c r="C8428" s="3" t="inlineStr">
        <is>
          <t>Revenue</t>
        </is>
      </c>
      <c r="D8428" s="3" t="inlineStr">
        <is>
          <t>1000/012</t>
        </is>
      </c>
      <c r="E8428" s="3" t="inlineStr">
        <is>
          <t>Rent Received - Soho Unit 24</t>
        </is>
      </c>
      <c r="F8428" s="3" t="n">
        <v>-13500</v>
      </c>
      <c r="G8428" s="3" t="n">
        <v>-27000</v>
      </c>
    </row>
    <row r="8429">
      <c r="A8429" s="3" t="inlineStr">
        <is>
          <t>Quinate Consulting (Pty) Ltd</t>
        </is>
      </c>
      <c r="B8429" s="4" t="n">
        <v>44681</v>
      </c>
      <c r="C8429" s="3" t="inlineStr">
        <is>
          <t>Revenue</t>
        </is>
      </c>
      <c r="D8429" s="3" t="inlineStr">
        <is>
          <t>1000/013</t>
        </is>
      </c>
      <c r="E8429" s="3" t="inlineStr">
        <is>
          <t>Rent Recieved - Soho Unit 20</t>
        </is>
      </c>
      <c r="F8429" s="3" t="n">
        <v>-12500</v>
      </c>
      <c r="G8429" s="3" t="n">
        <v>-25000</v>
      </c>
    </row>
    <row r="8430">
      <c r="A8430" s="3" t="inlineStr">
        <is>
          <t>Quinate Consulting (Pty) Ltd</t>
        </is>
      </c>
      <c r="B8430" s="4" t="n">
        <v>44681</v>
      </c>
      <c r="C8430" s="3" t="inlineStr">
        <is>
          <t>Revenue</t>
        </is>
      </c>
      <c r="D8430" s="3" t="inlineStr">
        <is>
          <t>1000/015</t>
        </is>
      </c>
      <c r="E8430" s="3" t="inlineStr">
        <is>
          <t>Rent Received - Southwark Unit 1</t>
        </is>
      </c>
      <c r="F8430" s="3" t="n">
        <v>-10000</v>
      </c>
      <c r="G8430" s="3" t="n">
        <v>-20000</v>
      </c>
    </row>
    <row r="8431">
      <c r="A8431" s="3" t="inlineStr">
        <is>
          <t>Quinate Consulting (Pty) Ltd</t>
        </is>
      </c>
      <c r="B8431" s="4" t="n">
        <v>44681</v>
      </c>
      <c r="C8431" s="3" t="inlineStr">
        <is>
          <t>Revenue</t>
        </is>
      </c>
      <c r="D8431" s="3" t="inlineStr">
        <is>
          <t>1000/016</t>
        </is>
      </c>
      <c r="E8431" s="3" t="inlineStr">
        <is>
          <t>Rent Recieved - Southwark Unit 21</t>
        </is>
      </c>
      <c r="F8431" s="3" t="n">
        <v>-10000</v>
      </c>
      <c r="G8431" s="3" t="n">
        <v>-20000</v>
      </c>
    </row>
    <row r="8432">
      <c r="A8432" s="3" t="inlineStr">
        <is>
          <t>Opportunity Global Sales (PTY) LTD</t>
        </is>
      </c>
      <c r="B8432" s="4" t="n">
        <v>44681</v>
      </c>
      <c r="C8432" s="3" t="inlineStr">
        <is>
          <t>Revenue</t>
        </is>
      </c>
      <c r="D8432" s="3" t="inlineStr">
        <is>
          <t>1000/100</t>
        </is>
      </c>
      <c r="E8432" s="3" t="inlineStr">
        <is>
          <t>Sales - Comm on External Sales</t>
        </is>
      </c>
      <c r="F8432" s="3" t="n">
        <v>0</v>
      </c>
      <c r="G8432" s="3" t="n">
        <v>-25000</v>
      </c>
    </row>
    <row r="8433">
      <c r="A8433" s="3" t="inlineStr">
        <is>
          <t>Noble Shield (Pty) Ltd ta Go Letting</t>
        </is>
      </c>
      <c r="B8433" s="4" t="n">
        <v>44681</v>
      </c>
      <c r="C8433" s="3" t="inlineStr">
        <is>
          <t>Revenue</t>
        </is>
      </c>
      <c r="D8433" s="3" t="inlineStr">
        <is>
          <t>1000/100</t>
        </is>
      </c>
      <c r="E8433" s="3" t="inlineStr">
        <is>
          <t>Sales - Payprop 328 - Michelle</t>
        </is>
      </c>
      <c r="F8433" s="3" t="n">
        <v>-71997.85000000001</v>
      </c>
      <c r="G8433" s="3" t="n">
        <v>-595539.67</v>
      </c>
    </row>
    <row r="8434">
      <c r="A8434" s="3" t="inlineStr">
        <is>
          <t>Opportunity Global Sales (PTY) LTD</t>
        </is>
      </c>
      <c r="B8434" s="4" t="n">
        <v>44681</v>
      </c>
      <c r="C8434" s="3" t="inlineStr">
        <is>
          <t>Revenue</t>
        </is>
      </c>
      <c r="D8434" s="3" t="inlineStr">
        <is>
          <t>1000/120</t>
        </is>
      </c>
      <c r="E8434" s="3" t="inlineStr">
        <is>
          <t>Sales - Admin Fees on Rental Units</t>
        </is>
      </c>
      <c r="F8434" s="3" t="n">
        <v>-2173.9</v>
      </c>
      <c r="G8434" s="3" t="n">
        <v>-3478.24</v>
      </c>
    </row>
    <row r="8435">
      <c r="A8435" s="3" t="inlineStr">
        <is>
          <t>Opportunity Global Sales (PTY) LTD</t>
        </is>
      </c>
      <c r="B8435" s="4" t="n">
        <v>44681</v>
      </c>
      <c r="C8435" s="3" t="inlineStr">
        <is>
          <t>Revenue</t>
        </is>
      </c>
      <c r="D8435" s="3" t="inlineStr">
        <is>
          <t>1000/150</t>
        </is>
      </c>
      <c r="E8435" s="3" t="inlineStr">
        <is>
          <t>Sales - Comm on External Rental</t>
        </is>
      </c>
      <c r="F8435" s="3" t="n">
        <v>-25304.35</v>
      </c>
      <c r="G8435" s="3" t="n">
        <v>-38086.96</v>
      </c>
    </row>
    <row r="8436">
      <c r="A8436" s="3" t="inlineStr">
        <is>
          <t>Opportunity Global Sales (PTY) LTD</t>
        </is>
      </c>
      <c r="B8436" s="4" t="n">
        <v>44681</v>
      </c>
      <c r="C8436" s="3" t="inlineStr">
        <is>
          <t>Revenue</t>
        </is>
      </c>
      <c r="D8436" s="3" t="inlineStr">
        <is>
          <t>1000/250</t>
        </is>
      </c>
      <c r="E8436" s="3" t="inlineStr">
        <is>
          <t>Sales - Comm on Endulini</t>
        </is>
      </c>
      <c r="F8436" s="3" t="n">
        <v>-385955.22</v>
      </c>
      <c r="G8436" s="3" t="n">
        <v>-385955.22</v>
      </c>
    </row>
    <row r="8437">
      <c r="A8437" s="3" t="inlineStr">
        <is>
          <t>Trademark Holdings (Pty) Ltd</t>
        </is>
      </c>
      <c r="B8437" s="4" t="n">
        <v>44681</v>
      </c>
      <c r="C8437" s="3" t="inlineStr">
        <is>
          <t>Revenue</t>
        </is>
      </c>
      <c r="D8437" s="3" t="inlineStr">
        <is>
          <t>1000/300</t>
        </is>
      </c>
      <c r="E8437" s="3" t="inlineStr">
        <is>
          <t>Sales - Payprop - Lara</t>
        </is>
      </c>
      <c r="F8437" s="3" t="n">
        <v>-92393.75</v>
      </c>
      <c r="G8437" s="3" t="n">
        <v>-730872.38</v>
      </c>
    </row>
    <row r="8438">
      <c r="A8438" s="3" t="inlineStr">
        <is>
          <t>Opportunity Global Investment (PTY) LTD</t>
        </is>
      </c>
      <c r="B8438" s="4" t="n">
        <v>44681</v>
      </c>
      <c r="C8438" s="3" t="inlineStr">
        <is>
          <t>Revenue</t>
        </is>
      </c>
      <c r="D8438" s="3" t="inlineStr">
        <is>
          <t>1000/350</t>
        </is>
      </c>
      <c r="E8438" s="3" t="inlineStr">
        <is>
          <t>Sales - Investor Management - Heron Fields</t>
        </is>
      </c>
      <c r="F8438" s="3" t="n">
        <v>0</v>
      </c>
      <c r="G8438" s="3" t="n">
        <v>-45697.93</v>
      </c>
    </row>
    <row r="8439">
      <c r="A8439" s="3" t="inlineStr">
        <is>
          <t>Trademark Holdings (Pty) Ltd</t>
        </is>
      </c>
      <c r="B8439" s="4" t="n">
        <v>44681</v>
      </c>
      <c r="C8439" s="3" t="inlineStr">
        <is>
          <t>Revenue</t>
        </is>
      </c>
      <c r="D8439" s="3" t="inlineStr">
        <is>
          <t>1000/500</t>
        </is>
      </c>
      <c r="E8439" s="3" t="inlineStr">
        <is>
          <t>Sales - Commission external sale</t>
        </is>
      </c>
      <c r="F8439" s="3" t="n">
        <v>0</v>
      </c>
      <c r="G8439" s="3" t="n">
        <v>-70000</v>
      </c>
    </row>
    <row r="8440">
      <c r="A8440" s="3" t="inlineStr">
        <is>
          <t>Quinate Consulting (Pty) Ltd</t>
        </is>
      </c>
      <c r="B8440" s="4" t="n">
        <v>44681</v>
      </c>
      <c r="C8440" s="3" t="inlineStr">
        <is>
          <t>Revenue</t>
        </is>
      </c>
      <c r="D8440" s="3" t="inlineStr">
        <is>
          <t>1004/000</t>
        </is>
      </c>
      <c r="E8440" s="3" t="inlineStr">
        <is>
          <t>Interest received</t>
        </is>
      </c>
      <c r="F8440" s="3" t="n">
        <v>-331.61</v>
      </c>
      <c r="G8440" s="3" t="n">
        <v>-649.42</v>
      </c>
    </row>
    <row r="8441">
      <c r="A8441" s="3" t="inlineStr">
        <is>
          <t>Endulini (Pty) Ltd</t>
        </is>
      </c>
      <c r="B8441" s="4" t="n">
        <v>44681</v>
      </c>
      <c r="C8441" s="3" t="inlineStr">
        <is>
          <t>Revenue</t>
        </is>
      </c>
      <c r="D8441" s="3" t="inlineStr">
        <is>
          <t>1100/000</t>
        </is>
      </c>
      <c r="E8441" s="3" t="inlineStr">
        <is>
          <t>Sales - Endulini</t>
        </is>
      </c>
      <c r="F8441" s="3" t="n">
        <v>-8559391.300000001</v>
      </c>
      <c r="G8441" s="3" t="n">
        <v>-8559391.300000001</v>
      </c>
    </row>
    <row r="8442">
      <c r="A8442" s="3" t="inlineStr">
        <is>
          <t>Opportunity Management Holdings (PTY) LTD</t>
        </is>
      </c>
      <c r="B8442" s="4" t="n">
        <v>44681</v>
      </c>
      <c r="C8442" s="3" t="inlineStr">
        <is>
          <t>Revenue</t>
        </is>
      </c>
      <c r="D8442" s="3" t="inlineStr">
        <is>
          <t>1100/001</t>
        </is>
      </c>
      <c r="E8442" s="3" t="inlineStr">
        <is>
          <t>Salary Recharges</t>
        </is>
      </c>
      <c r="F8442" s="3" t="n">
        <v>-320634.86</v>
      </c>
      <c r="G8442" s="3" t="n">
        <v>-2064577.92</v>
      </c>
    </row>
    <row r="8443">
      <c r="A8443" s="3" t="inlineStr">
        <is>
          <t>Endulini (Pty) Ltd</t>
        </is>
      </c>
      <c r="B8443" s="4" t="n">
        <v>44681</v>
      </c>
      <c r="C8443" s="3" t="inlineStr">
        <is>
          <t>Revenue</t>
        </is>
      </c>
      <c r="D8443" s="3" t="inlineStr">
        <is>
          <t>1100/200</t>
        </is>
      </c>
      <c r="E8443" s="3" t="inlineStr">
        <is>
          <t>Sales - Endulini occupational rent</t>
        </is>
      </c>
      <c r="F8443" s="3" t="n">
        <v>-2967.74</v>
      </c>
      <c r="G8443" s="3" t="n">
        <v>-2967.74</v>
      </c>
    </row>
    <row r="8444">
      <c r="A8444" s="3" t="inlineStr">
        <is>
          <t>Noble Shield (Pty) Ltd ta Go Letting</t>
        </is>
      </c>
      <c r="B8444" s="4" t="n">
        <v>44681</v>
      </c>
      <c r="C8444" s="3" t="inlineStr">
        <is>
          <t>Revenue</t>
        </is>
      </c>
      <c r="D8444" s="3" t="inlineStr">
        <is>
          <t>1500/000</t>
        </is>
      </c>
      <c r="E8444" s="3" t="inlineStr">
        <is>
          <t>Insurance recovery</t>
        </is>
      </c>
      <c r="F8444" s="3" t="n">
        <v>0</v>
      </c>
      <c r="G8444" s="3" t="n">
        <v>-1750</v>
      </c>
    </row>
    <row r="8445">
      <c r="A8445" s="3" t="inlineStr">
        <is>
          <t>Endulini (Pty) Ltd</t>
        </is>
      </c>
      <c r="B8445" s="4" t="n">
        <v>44681</v>
      </c>
      <c r="C8445" s="3" t="inlineStr">
        <is>
          <t>Expenses</t>
        </is>
      </c>
      <c r="D8445" s="3" t="inlineStr">
        <is>
          <t>2000/100</t>
        </is>
      </c>
      <c r="E8445" s="3" t="inlineStr">
        <is>
          <t>COS - Commission Endulini</t>
        </is>
      </c>
      <c r="F8445" s="3" t="n">
        <v>385955.22</v>
      </c>
      <c r="G8445" s="3" t="n">
        <v>719955.22</v>
      </c>
    </row>
    <row r="8446">
      <c r="A8446" s="3" t="inlineStr">
        <is>
          <t>Noble Shield (Pty) Ltd ta Go Letting</t>
        </is>
      </c>
      <c r="B8446" s="4" t="n">
        <v>44681</v>
      </c>
      <c r="C8446" s="3" t="inlineStr">
        <is>
          <t>Expenses</t>
        </is>
      </c>
      <c r="D8446" s="3" t="inlineStr">
        <is>
          <t>2000/100</t>
        </is>
      </c>
      <c r="E8446" s="3" t="inlineStr">
        <is>
          <t>COS - Commission Paid</t>
        </is>
      </c>
      <c r="F8446" s="3" t="n">
        <v>13202.98</v>
      </c>
      <c r="G8446" s="3" t="n">
        <v>188858.08</v>
      </c>
    </row>
    <row r="8447">
      <c r="A8447" s="3" t="inlineStr">
        <is>
          <t>Opportunity Global Sales (PTY) LTD</t>
        </is>
      </c>
      <c r="B8447" s="4" t="n">
        <v>44681</v>
      </c>
      <c r="C8447" s="3" t="inlineStr">
        <is>
          <t>Expenses</t>
        </is>
      </c>
      <c r="D8447" s="3" t="inlineStr">
        <is>
          <t>2000/131</t>
        </is>
      </c>
      <c r="E8447" s="3" t="inlineStr">
        <is>
          <t>COS - Sales Comm Endulini - Anthony</t>
        </is>
      </c>
      <c r="F8447" s="3" t="n">
        <v>10270.38</v>
      </c>
      <c r="G8447" s="3" t="n">
        <v>10270.38</v>
      </c>
    </row>
    <row r="8448">
      <c r="A8448" s="3" t="inlineStr">
        <is>
          <t>Opportunity Global Sales (PTY) LTD</t>
        </is>
      </c>
      <c r="B8448" s="4" t="n">
        <v>44681</v>
      </c>
      <c r="C8448" s="3" t="inlineStr">
        <is>
          <t>Expenses</t>
        </is>
      </c>
      <c r="D8448" s="3" t="inlineStr">
        <is>
          <t>2000/132</t>
        </is>
      </c>
      <c r="E8448" s="3" t="inlineStr">
        <is>
          <t>COS - Sales Comm Endulini - Minette</t>
        </is>
      </c>
      <c r="F8448" s="3" t="n">
        <v>68386.48</v>
      </c>
      <c r="G8448" s="3" t="n">
        <v>78368.38</v>
      </c>
    </row>
    <row r="8449">
      <c r="A8449" s="3" t="inlineStr">
        <is>
          <t>Opportunity Global Sales (PTY) LTD</t>
        </is>
      </c>
      <c r="B8449" s="4" t="n">
        <v>44681</v>
      </c>
      <c r="C8449" s="3" t="inlineStr">
        <is>
          <t>Expenses</t>
        </is>
      </c>
      <c r="D8449" s="3" t="inlineStr">
        <is>
          <t>2000/133</t>
        </is>
      </c>
      <c r="E8449" s="3" t="inlineStr">
        <is>
          <t>COS - Sales Comm Endulini - External Agents</t>
        </is>
      </c>
      <c r="F8449" s="3" t="n">
        <v>9966</v>
      </c>
      <c r="G8449" s="3" t="n">
        <v>9966</v>
      </c>
    </row>
    <row r="8450">
      <c r="A8450" s="3" t="inlineStr">
        <is>
          <t>Opportunity Global Sales (PTY) LTD</t>
        </is>
      </c>
      <c r="B8450" s="4" t="n">
        <v>44681</v>
      </c>
      <c r="C8450" s="3" t="inlineStr">
        <is>
          <t>Expenses</t>
        </is>
      </c>
      <c r="D8450" s="3" t="inlineStr">
        <is>
          <t>2000/135</t>
        </is>
      </c>
      <c r="E8450" s="3" t="inlineStr">
        <is>
          <t>COS - Sales Comm External - Minette</t>
        </is>
      </c>
      <c r="F8450" s="3" t="n">
        <v>22939.5</v>
      </c>
      <c r="G8450" s="3" t="n">
        <v>22939.5</v>
      </c>
    </row>
    <row r="8451">
      <c r="A8451" s="3" t="inlineStr">
        <is>
          <t>Opportunity Global Sales (PTY) LTD</t>
        </is>
      </c>
      <c r="B8451" s="4" t="n">
        <v>44681</v>
      </c>
      <c r="C8451" s="3" t="inlineStr">
        <is>
          <t>Expenses</t>
        </is>
      </c>
      <c r="D8451" s="3" t="inlineStr">
        <is>
          <t>2000/137</t>
        </is>
      </c>
      <c r="E8451" s="3" t="inlineStr">
        <is>
          <t>COS - Rental Comm External - Minette</t>
        </is>
      </c>
      <c r="F8451" s="3" t="n">
        <v>7675</v>
      </c>
      <c r="G8451" s="3" t="n">
        <v>11570</v>
      </c>
    </row>
    <row r="8452">
      <c r="A8452" s="3" t="inlineStr">
        <is>
          <t>Opportunity Global Sales (PTY) LTD</t>
        </is>
      </c>
      <c r="B8452" s="4" t="n">
        <v>44681</v>
      </c>
      <c r="C8452" s="3" t="inlineStr">
        <is>
          <t>Expenses</t>
        </is>
      </c>
      <c r="D8452" s="3" t="inlineStr">
        <is>
          <t>2000/139</t>
        </is>
      </c>
      <c r="E8452" s="3" t="inlineStr">
        <is>
          <t>COS - Sales Comm Heron Fields - Minette</t>
        </is>
      </c>
      <c r="F8452" s="3" t="n">
        <v>20962.05</v>
      </c>
      <c r="G8452" s="3" t="n">
        <v>76736.28999999999</v>
      </c>
    </row>
    <row r="8453">
      <c r="A8453" s="3" t="inlineStr">
        <is>
          <t>Trademark Holdings (Pty) Ltd</t>
        </is>
      </c>
      <c r="B8453" s="4" t="n">
        <v>44681</v>
      </c>
      <c r="C8453" s="3" t="inlineStr">
        <is>
          <t>Expenses</t>
        </is>
      </c>
      <c r="D8453" s="3" t="inlineStr">
        <is>
          <t>2000/300</t>
        </is>
      </c>
      <c r="E8453" s="3" t="inlineStr">
        <is>
          <t>COS - Commission Paid</t>
        </is>
      </c>
      <c r="F8453" s="3" t="n">
        <v>16801.23</v>
      </c>
      <c r="G8453" s="3" t="n">
        <v>185917.2</v>
      </c>
    </row>
    <row r="8454">
      <c r="A8454" s="3" t="inlineStr">
        <is>
          <t>Trademark Holdings (Pty) Ltd</t>
        </is>
      </c>
      <c r="B8454" s="4" t="n">
        <v>44681</v>
      </c>
      <c r="C8454" s="3" t="inlineStr">
        <is>
          <t>Expenses</t>
        </is>
      </c>
      <c r="D8454" s="3" t="inlineStr">
        <is>
          <t>2000/400</t>
        </is>
      </c>
      <c r="E8454" s="3" t="inlineStr">
        <is>
          <t>COS - Commission on external sales</t>
        </is>
      </c>
      <c r="F8454" s="3" t="n">
        <v>0</v>
      </c>
      <c r="G8454" s="3" t="n">
        <v>42000</v>
      </c>
    </row>
    <row r="8455">
      <c r="A8455" s="3" t="inlineStr">
        <is>
          <t>Endulini (Pty) Ltd</t>
        </is>
      </c>
      <c r="B8455" s="4" t="n">
        <v>44681</v>
      </c>
      <c r="C8455" s="3" t="inlineStr">
        <is>
          <t>Expenses</t>
        </is>
      </c>
      <c r="D8455" s="3" t="inlineStr">
        <is>
          <t>2000/400</t>
        </is>
      </c>
      <c r="E8455" s="3" t="inlineStr">
        <is>
          <t>COS - Gifts</t>
        </is>
      </c>
      <c r="F8455" s="3" t="n">
        <v>0</v>
      </c>
      <c r="G8455" s="3" t="n">
        <v>4270</v>
      </c>
    </row>
    <row r="8456">
      <c r="A8456" s="3" t="inlineStr">
        <is>
          <t>Trademark Holdings (Pty) Ltd</t>
        </is>
      </c>
      <c r="B8456" s="4" t="n">
        <v>44681</v>
      </c>
      <c r="C8456" s="3" t="inlineStr">
        <is>
          <t>Expenses</t>
        </is>
      </c>
      <c r="D8456" s="3" t="inlineStr">
        <is>
          <t>2000/500</t>
        </is>
      </c>
      <c r="E8456" s="3" t="inlineStr">
        <is>
          <t>COS - Inspection fee</t>
        </is>
      </c>
      <c r="F8456" s="3" t="n">
        <v>1500</v>
      </c>
      <c r="G8456" s="3" t="n">
        <v>1500</v>
      </c>
    </row>
    <row r="8457">
      <c r="A8457" s="3" t="inlineStr">
        <is>
          <t>Endulini (Pty) Ltd</t>
        </is>
      </c>
      <c r="B8457" s="4" t="n">
        <v>44681</v>
      </c>
      <c r="C8457" s="3" t="inlineStr">
        <is>
          <t>Expenses</t>
        </is>
      </c>
      <c r="D8457" s="3" t="inlineStr">
        <is>
          <t>2000/500</t>
        </is>
      </c>
      <c r="E8457" s="3" t="inlineStr">
        <is>
          <t>COS - Legal Fees Opening of Sec Title Scheme</t>
        </is>
      </c>
      <c r="F8457" s="3" t="n">
        <v>56287.76</v>
      </c>
      <c r="G8457" s="3" t="n">
        <v>56287.76</v>
      </c>
    </row>
    <row r="8458">
      <c r="A8458" s="3" t="inlineStr">
        <is>
          <t>Endulini (Pty) Ltd</t>
        </is>
      </c>
      <c r="B8458" s="4" t="n">
        <v>44681</v>
      </c>
      <c r="C8458" s="3" t="inlineStr">
        <is>
          <t>Expenses</t>
        </is>
      </c>
      <c r="D8458" s="3" t="inlineStr">
        <is>
          <t>2000/600</t>
        </is>
      </c>
      <c r="E8458" s="3" t="inlineStr">
        <is>
          <t>COS - Legal fees</t>
        </is>
      </c>
      <c r="F8458" s="3" t="n">
        <v>118696.81</v>
      </c>
      <c r="G8458" s="3" t="n">
        <v>118696.81</v>
      </c>
    </row>
    <row r="8459">
      <c r="A8459" s="3" t="inlineStr">
        <is>
          <t>Endulini (Pty) Ltd</t>
        </is>
      </c>
      <c r="B8459" s="4" t="n">
        <v>44681</v>
      </c>
      <c r="C8459" s="3" t="inlineStr">
        <is>
          <t>Expenses</t>
        </is>
      </c>
      <c r="D8459" s="3" t="inlineStr">
        <is>
          <t>2000/700</t>
        </is>
      </c>
      <c r="E8459" s="3" t="inlineStr">
        <is>
          <t>COS - C2M Certificate for transfer</t>
        </is>
      </c>
      <c r="F8459" s="3" t="n">
        <v>8000</v>
      </c>
      <c r="G8459" s="3" t="n">
        <v>8000</v>
      </c>
    </row>
    <row r="8460">
      <c r="A8460" s="3" t="inlineStr">
        <is>
          <t>Endulini (Pty) Ltd</t>
        </is>
      </c>
      <c r="B8460" s="4" t="n">
        <v>44681</v>
      </c>
      <c r="C8460" s="3" t="inlineStr">
        <is>
          <t>Expenses</t>
        </is>
      </c>
      <c r="D8460" s="3" t="inlineStr">
        <is>
          <t>2000/800</t>
        </is>
      </c>
      <c r="E8460" s="3" t="inlineStr">
        <is>
          <t>COS - Purchaser Variations</t>
        </is>
      </c>
      <c r="F8460" s="3" t="n">
        <v>8734.540000000001</v>
      </c>
      <c r="G8460" s="3" t="n">
        <v>8734.540000000001</v>
      </c>
    </row>
    <row r="8461">
      <c r="A8461" s="3" t="inlineStr">
        <is>
          <t>Quinate Consulting (Pty) Ltd</t>
        </is>
      </c>
      <c r="B8461" s="4" t="n">
        <v>44681</v>
      </c>
      <c r="C8461" s="3" t="inlineStr">
        <is>
          <t>Revenue</t>
        </is>
      </c>
      <c r="D8461" s="3" t="inlineStr">
        <is>
          <t>2400/200</t>
        </is>
      </c>
      <c r="E8461" s="3" t="inlineStr">
        <is>
          <t>Recovery Acc - Electricity SH</t>
        </is>
      </c>
      <c r="F8461" s="3" t="n">
        <v>-21435.94</v>
      </c>
      <c r="G8461" s="3" t="n">
        <v>-39494.41</v>
      </c>
    </row>
    <row r="8462">
      <c r="A8462" s="3" t="inlineStr">
        <is>
          <t>Quinate Consulting (Pty) Ltd</t>
        </is>
      </c>
      <c r="B8462" s="4" t="n">
        <v>44681</v>
      </c>
      <c r="C8462" s="3" t="inlineStr">
        <is>
          <t>Revenue</t>
        </is>
      </c>
      <c r="D8462" s="3" t="inlineStr">
        <is>
          <t>2400/300</t>
        </is>
      </c>
      <c r="E8462" s="3" t="inlineStr">
        <is>
          <t>Recovery Account - Electricity SW</t>
        </is>
      </c>
      <c r="F8462" s="3" t="n">
        <v>-14810.62</v>
      </c>
      <c r="G8462" s="3" t="n">
        <v>-27951.31</v>
      </c>
    </row>
    <row r="8463">
      <c r="A8463" s="3" t="inlineStr">
        <is>
          <t>Opportunity Management Holdings (PTY) LTD</t>
        </is>
      </c>
      <c r="B8463" s="4" t="n">
        <v>44681</v>
      </c>
      <c r="C8463" s="3" t="inlineStr">
        <is>
          <t>Revenue</t>
        </is>
      </c>
      <c r="D8463" s="3" t="inlineStr">
        <is>
          <t>2750/000</t>
        </is>
      </c>
      <c r="E8463" s="3" t="inlineStr">
        <is>
          <t>Interest Received</t>
        </is>
      </c>
      <c r="F8463" s="3" t="n">
        <v>0</v>
      </c>
      <c r="G8463" s="3" t="n">
        <v>-0.21</v>
      </c>
    </row>
    <row r="8464">
      <c r="A8464" s="3" t="inlineStr">
        <is>
          <t>Opportunity Global Investment (PTY) LTD</t>
        </is>
      </c>
      <c r="B8464" s="4" t="n">
        <v>44681</v>
      </c>
      <c r="C8464" s="3" t="inlineStr">
        <is>
          <t>Revenue</t>
        </is>
      </c>
      <c r="D8464" s="3" t="inlineStr">
        <is>
          <t>2753/000</t>
        </is>
      </c>
      <c r="E8464" s="3" t="inlineStr">
        <is>
          <t>Interest received - Momentum</t>
        </is>
      </c>
      <c r="F8464" s="3" t="n">
        <v>0</v>
      </c>
      <c r="G8464" s="3" t="n">
        <v>-17.58</v>
      </c>
    </row>
    <row r="8465">
      <c r="A8465" s="3" t="inlineStr">
        <is>
          <t>Endulini (Pty) Ltd</t>
        </is>
      </c>
      <c r="B8465" s="4" t="n">
        <v>44681</v>
      </c>
      <c r="C8465" s="3" t="inlineStr">
        <is>
          <t>Revenue</t>
        </is>
      </c>
      <c r="D8465" s="3" t="inlineStr">
        <is>
          <t>2755/001</t>
        </is>
      </c>
      <c r="E8465" s="3" t="inlineStr">
        <is>
          <t>Interest Received - Momentum</t>
        </is>
      </c>
      <c r="F8465" s="3" t="n">
        <v>-11241.07</v>
      </c>
      <c r="G8465" s="3" t="n">
        <v>-16963.02</v>
      </c>
    </row>
    <row r="8466">
      <c r="A8466" s="3" t="inlineStr">
        <is>
          <t>Quinate Consulting (Pty) Ltd</t>
        </is>
      </c>
      <c r="B8466" s="4" t="n">
        <v>44681</v>
      </c>
      <c r="C8466" s="3" t="inlineStr">
        <is>
          <t>Revenue</t>
        </is>
      </c>
      <c r="D8466" s="3" t="inlineStr">
        <is>
          <t>2755/001</t>
        </is>
      </c>
      <c r="E8466" s="3" t="inlineStr">
        <is>
          <t>Interest Received - Momentum</t>
        </is>
      </c>
      <c r="F8466" s="3" t="n">
        <v>-2</v>
      </c>
      <c r="G8466" s="3" t="n">
        <v>-4.01</v>
      </c>
    </row>
    <row r="8467">
      <c r="A8467" s="3" t="inlineStr">
        <is>
          <t>Noble Shield (Pty) Ltd ta Go Letting</t>
        </is>
      </c>
      <c r="B8467" s="4" t="n">
        <v>44681</v>
      </c>
      <c r="C8467" s="3" t="inlineStr">
        <is>
          <t>Expenses</t>
        </is>
      </c>
      <c r="D8467" s="3" t="inlineStr">
        <is>
          <t>3000/300</t>
        </is>
      </c>
      <c r="E8467" s="3" t="inlineStr">
        <is>
          <t>Accounting Fees - Audit</t>
        </is>
      </c>
      <c r="F8467" s="3" t="n">
        <v>0</v>
      </c>
      <c r="G8467" s="3" t="n">
        <v>25967</v>
      </c>
    </row>
    <row r="8468">
      <c r="A8468" s="3" t="inlineStr">
        <is>
          <t>Trademark Holdings (Pty) Ltd</t>
        </is>
      </c>
      <c r="B8468" s="4" t="n">
        <v>44681</v>
      </c>
      <c r="C8468" s="3" t="inlineStr">
        <is>
          <t>Expenses</t>
        </is>
      </c>
      <c r="D8468" s="3" t="inlineStr">
        <is>
          <t>3000/300</t>
        </is>
      </c>
      <c r="E8468" s="3" t="inlineStr">
        <is>
          <t>Accounting Fees - Audit</t>
        </is>
      </c>
      <c r="F8468" s="3" t="n">
        <v>0</v>
      </c>
      <c r="G8468" s="3" t="n">
        <v>16790</v>
      </c>
    </row>
    <row r="8469">
      <c r="A8469" s="3" t="inlineStr">
        <is>
          <t>Noble Shield (Pty) Ltd ta Go Letting</t>
        </is>
      </c>
      <c r="B8469" s="4" t="n">
        <v>44681</v>
      </c>
      <c r="C8469" s="3" t="inlineStr">
        <is>
          <t>Expenses</t>
        </is>
      </c>
      <c r="D8469" s="3" t="inlineStr">
        <is>
          <t>3000/400</t>
        </is>
      </c>
      <c r="E8469" s="3" t="inlineStr">
        <is>
          <t>Accounting Fees - CipC</t>
        </is>
      </c>
      <c r="F8469" s="3" t="n">
        <v>0</v>
      </c>
      <c r="G8469" s="3" t="n">
        <v>100</v>
      </c>
    </row>
    <row r="8470">
      <c r="A8470" s="3" t="inlineStr">
        <is>
          <t>Opportunity Management Holdings (PTY) LTD</t>
        </is>
      </c>
      <c r="B8470" s="4" t="n">
        <v>44681</v>
      </c>
      <c r="C8470" s="3" t="inlineStr">
        <is>
          <t>Expenses</t>
        </is>
      </c>
      <c r="D8470" s="3" t="inlineStr">
        <is>
          <t>3001/000</t>
        </is>
      </c>
      <c r="E8470" s="3" t="inlineStr">
        <is>
          <t>Accounting Fees - Payroll</t>
        </is>
      </c>
      <c r="F8470" s="3" t="n">
        <v>0</v>
      </c>
      <c r="G8470" s="3" t="n">
        <v>577.5</v>
      </c>
    </row>
    <row r="8471">
      <c r="A8471" s="3" t="inlineStr">
        <is>
          <t>Quinate Consulting (Pty) Ltd</t>
        </is>
      </c>
      <c r="B8471" s="4" t="n">
        <v>44681</v>
      </c>
      <c r="C8471" s="3" t="inlineStr">
        <is>
          <t>Expenses</t>
        </is>
      </c>
      <c r="D8471" s="3" t="inlineStr">
        <is>
          <t>3001/000</t>
        </is>
      </c>
      <c r="E8471" s="3" t="inlineStr">
        <is>
          <t>Accounting fees - Other</t>
        </is>
      </c>
      <c r="F8471" s="3" t="n">
        <v>0</v>
      </c>
      <c r="G8471" s="3" t="n">
        <v>1850</v>
      </c>
    </row>
    <row r="8472">
      <c r="A8472" s="3" t="inlineStr">
        <is>
          <t>Opportunity Management Holdings (PTY) LTD</t>
        </is>
      </c>
      <c r="B8472" s="4" t="n">
        <v>44681</v>
      </c>
      <c r="C8472" s="3" t="inlineStr">
        <is>
          <t>Expenses</t>
        </is>
      </c>
      <c r="D8472" s="3" t="inlineStr">
        <is>
          <t>3004/000</t>
        </is>
      </c>
      <c r="E8472" s="3" t="inlineStr">
        <is>
          <t>Accounting fees - Janine Theart</t>
        </is>
      </c>
      <c r="F8472" s="3" t="n">
        <v>17500</v>
      </c>
      <c r="G8472" s="3" t="n">
        <v>117500</v>
      </c>
    </row>
    <row r="8473">
      <c r="A8473" s="3" t="inlineStr">
        <is>
          <t>Opportunity Management Holdings (PTY) LTD</t>
        </is>
      </c>
      <c r="B8473" s="4" t="n">
        <v>44681</v>
      </c>
      <c r="C8473" s="3" t="inlineStr">
        <is>
          <t>Expenses</t>
        </is>
      </c>
      <c r="D8473" s="3" t="inlineStr">
        <is>
          <t>3005/000</t>
        </is>
      </c>
      <c r="E8473" s="3" t="inlineStr">
        <is>
          <t>Accounting fees - Deric Dudley</t>
        </is>
      </c>
      <c r="F8473" s="3" t="n">
        <v>50000</v>
      </c>
      <c r="G8473" s="3" t="n">
        <v>314000</v>
      </c>
    </row>
    <row r="8474">
      <c r="A8474" s="3" t="inlineStr">
        <is>
          <t>Opportunity Management Holdings (PTY) LTD</t>
        </is>
      </c>
      <c r="B8474" s="4" t="n">
        <v>44681</v>
      </c>
      <c r="C8474" s="3" t="inlineStr">
        <is>
          <t>Expenses</t>
        </is>
      </c>
      <c r="D8474" s="3" t="inlineStr">
        <is>
          <t>3006/000</t>
        </is>
      </c>
      <c r="E8474" s="3" t="inlineStr">
        <is>
          <t>Accounting fees - CIPC</t>
        </is>
      </c>
      <c r="F8474" s="3" t="n">
        <v>0</v>
      </c>
      <c r="G8474" s="3" t="n">
        <v>350</v>
      </c>
    </row>
    <row r="8475">
      <c r="A8475" s="3" t="inlineStr">
        <is>
          <t>Opportunity Management Holdings (PTY) LTD</t>
        </is>
      </c>
      <c r="B8475" s="4" t="n">
        <v>44681</v>
      </c>
      <c r="C8475" s="3" t="inlineStr">
        <is>
          <t>Expenses</t>
        </is>
      </c>
      <c r="D8475" s="3" t="inlineStr">
        <is>
          <t>3007/000</t>
        </is>
      </c>
      <c r="E8475" s="3" t="inlineStr">
        <is>
          <t>Accounting fees - Warwick</t>
        </is>
      </c>
      <c r="F8475" s="3" t="n">
        <v>20696.82</v>
      </c>
      <c r="G8475" s="3" t="n">
        <v>200090.46</v>
      </c>
    </row>
    <row r="8476">
      <c r="A8476" s="3" t="inlineStr">
        <is>
          <t>Endulini (Pty) Ltd</t>
        </is>
      </c>
      <c r="B8476" s="4" t="n">
        <v>44681</v>
      </c>
      <c r="C8476" s="3" t="inlineStr">
        <is>
          <t>Expenses</t>
        </is>
      </c>
      <c r="D8476" s="3" t="inlineStr">
        <is>
          <t>3050/000</t>
        </is>
      </c>
      <c r="E8476" s="3" t="inlineStr">
        <is>
          <t>Advertising _AND_ Promotions</t>
        </is>
      </c>
      <c r="F8476" s="3" t="n">
        <v>4565</v>
      </c>
      <c r="G8476" s="3" t="n">
        <v>4565</v>
      </c>
    </row>
    <row r="8477">
      <c r="A8477" s="3" t="inlineStr">
        <is>
          <t>Noble Shield (Pty) Ltd ta Go Letting</t>
        </is>
      </c>
      <c r="B8477" s="4" t="n">
        <v>44681</v>
      </c>
      <c r="C8477" s="3" t="inlineStr">
        <is>
          <t>Expenses</t>
        </is>
      </c>
      <c r="D8477" s="3" t="inlineStr">
        <is>
          <t>3050/000</t>
        </is>
      </c>
      <c r="E8477" s="3" t="inlineStr">
        <is>
          <t>Advertising _AND_ Promotions</t>
        </is>
      </c>
      <c r="F8477" s="3" t="n">
        <v>0</v>
      </c>
      <c r="G8477" s="3" t="n">
        <v>3862.5</v>
      </c>
    </row>
    <row r="8478">
      <c r="A8478" s="3" t="inlineStr">
        <is>
          <t>Opportunity Management Holdings (PTY) LTD</t>
        </is>
      </c>
      <c r="B8478" s="4" t="n">
        <v>44681</v>
      </c>
      <c r="C8478" s="3" t="inlineStr">
        <is>
          <t>Expenses</t>
        </is>
      </c>
      <c r="D8478" s="3" t="inlineStr">
        <is>
          <t>3050/000</t>
        </is>
      </c>
      <c r="E8478" s="3" t="inlineStr">
        <is>
          <t>Advertising _AND_ Promotions</t>
        </is>
      </c>
      <c r="F8478" s="3" t="n">
        <v>2080</v>
      </c>
      <c r="G8478" s="3" t="n">
        <v>8530</v>
      </c>
    </row>
    <row r="8479">
      <c r="A8479" s="3" t="inlineStr">
        <is>
          <t>Endulini (Pty) Ltd</t>
        </is>
      </c>
      <c r="B8479" s="4" t="n">
        <v>44681</v>
      </c>
      <c r="C8479" s="3" t="inlineStr">
        <is>
          <t>Expenses</t>
        </is>
      </c>
      <c r="D8479" s="3" t="inlineStr">
        <is>
          <t>3050/001</t>
        </is>
      </c>
      <c r="E8479" s="3" t="inlineStr">
        <is>
          <t>Advertising _AND_ Promotions - Media Agenda</t>
        </is>
      </c>
      <c r="F8479" s="3" t="n">
        <v>2900</v>
      </c>
      <c r="G8479" s="3" t="n">
        <v>3450</v>
      </c>
    </row>
    <row r="8480">
      <c r="A8480" s="3" t="inlineStr">
        <is>
          <t>Noble Shield (Pty) Ltd ta Go Letting</t>
        </is>
      </c>
      <c r="B8480" s="4" t="n">
        <v>44681</v>
      </c>
      <c r="C8480" s="3" t="inlineStr">
        <is>
          <t>Expenses</t>
        </is>
      </c>
      <c r="D8480" s="3" t="inlineStr">
        <is>
          <t>3050/050</t>
        </is>
      </c>
      <c r="E8480" s="3" t="inlineStr">
        <is>
          <t>Advertising - Prop 24</t>
        </is>
      </c>
      <c r="F8480" s="3" t="n">
        <v>2716.3</v>
      </c>
      <c r="G8480" s="3" t="n">
        <v>16839.45</v>
      </c>
    </row>
    <row r="8481">
      <c r="A8481" s="3" t="inlineStr">
        <is>
          <t>Trademark Holdings (Pty) Ltd</t>
        </is>
      </c>
      <c r="B8481" s="4" t="n">
        <v>44681</v>
      </c>
      <c r="C8481" s="3" t="inlineStr">
        <is>
          <t>Expenses</t>
        </is>
      </c>
      <c r="D8481" s="3" t="inlineStr">
        <is>
          <t>3050/060</t>
        </is>
      </c>
      <c r="E8481" s="3" t="inlineStr">
        <is>
          <t>Advertising - Other</t>
        </is>
      </c>
      <c r="F8481" s="3" t="n">
        <v>0</v>
      </c>
      <c r="G8481" s="3" t="n">
        <v>7595.75</v>
      </c>
    </row>
    <row r="8482">
      <c r="A8482" s="3" t="inlineStr">
        <is>
          <t>Noble Shield (Pty) Ltd ta Go Letting</t>
        </is>
      </c>
      <c r="B8482" s="4" t="n">
        <v>44681</v>
      </c>
      <c r="C8482" s="3" t="inlineStr">
        <is>
          <t>Expenses</t>
        </is>
      </c>
      <c r="D8482" s="3" t="inlineStr">
        <is>
          <t>3050/070</t>
        </is>
      </c>
      <c r="E8482" s="3" t="inlineStr">
        <is>
          <t>Advertising - Facebook</t>
        </is>
      </c>
      <c r="F8482" s="3" t="n">
        <v>0</v>
      </c>
      <c r="G8482" s="3" t="n">
        <v>3317.35</v>
      </c>
    </row>
    <row r="8483">
      <c r="A8483" s="3" t="inlineStr">
        <is>
          <t>Opportunity Global Sales (PTY) LTD</t>
        </is>
      </c>
      <c r="B8483" s="4" t="n">
        <v>44681</v>
      </c>
      <c r="C8483" s="3" t="inlineStr">
        <is>
          <t>Expenses</t>
        </is>
      </c>
      <c r="D8483" s="3" t="inlineStr">
        <is>
          <t>3050/100</t>
        </is>
      </c>
      <c r="E8483" s="3" t="inlineStr">
        <is>
          <t>Advertising - Facebook</t>
        </is>
      </c>
      <c r="F8483" s="3" t="n">
        <v>8579.299999999999</v>
      </c>
      <c r="G8483" s="3" t="n">
        <v>17635.43</v>
      </c>
    </row>
    <row r="8484">
      <c r="A8484" s="3" t="inlineStr">
        <is>
          <t>Opportunity Global Sales (PTY) LTD</t>
        </is>
      </c>
      <c r="B8484" s="4" t="n">
        <v>44681</v>
      </c>
      <c r="C8484" s="3" t="inlineStr">
        <is>
          <t>Expenses</t>
        </is>
      </c>
      <c r="D8484" s="3" t="inlineStr">
        <is>
          <t>3050/140</t>
        </is>
      </c>
      <c r="E8484" s="3" t="inlineStr">
        <is>
          <t>Advertising - Media Agenda</t>
        </is>
      </c>
      <c r="F8484" s="3" t="n">
        <v>1925</v>
      </c>
      <c r="G8484" s="3" t="n">
        <v>1925</v>
      </c>
    </row>
    <row r="8485">
      <c r="A8485" s="3" t="inlineStr">
        <is>
          <t>Opportunity Global Sales (PTY) LTD</t>
        </is>
      </c>
      <c r="B8485" s="4" t="n">
        <v>44681</v>
      </c>
      <c r="C8485" s="3" t="inlineStr">
        <is>
          <t>Expenses</t>
        </is>
      </c>
      <c r="D8485" s="3" t="inlineStr">
        <is>
          <t>3050/250</t>
        </is>
      </c>
      <c r="E8485" s="3" t="inlineStr">
        <is>
          <t>Advertising - General</t>
        </is>
      </c>
      <c r="F8485" s="3" t="n">
        <v>951.99</v>
      </c>
      <c r="G8485" s="3" t="n">
        <v>951.99</v>
      </c>
    </row>
    <row r="8486">
      <c r="A8486" s="3" t="inlineStr">
        <is>
          <t>Opportunity Global Investment (PTY) LTD</t>
        </is>
      </c>
      <c r="B8486" s="4" t="n">
        <v>44681</v>
      </c>
      <c r="C8486" s="3" t="inlineStr">
        <is>
          <t>Expenses</t>
        </is>
      </c>
      <c r="D8486" s="3" t="inlineStr">
        <is>
          <t>3050/270</t>
        </is>
      </c>
      <c r="E8486" s="3" t="inlineStr">
        <is>
          <t>Advertising - Radia and TV Interviews</t>
        </is>
      </c>
      <c r="F8486" s="3" t="n">
        <v>0</v>
      </c>
      <c r="G8486" s="3" t="n">
        <v>9200</v>
      </c>
    </row>
    <row r="8487">
      <c r="A8487" s="3" t="inlineStr">
        <is>
          <t>Opportunity Global Investment (PTY) LTD</t>
        </is>
      </c>
      <c r="B8487" s="4" t="n">
        <v>44681</v>
      </c>
      <c r="C8487" s="3" t="inlineStr">
        <is>
          <t>Expenses</t>
        </is>
      </c>
      <c r="D8487" s="3" t="inlineStr">
        <is>
          <t>3050/290</t>
        </is>
      </c>
      <c r="E8487" s="3" t="inlineStr">
        <is>
          <t>Advertising - Serene Living</t>
        </is>
      </c>
      <c r="F8487" s="3" t="n">
        <v>65086</v>
      </c>
      <c r="G8487" s="3" t="n">
        <v>130172</v>
      </c>
    </row>
    <row r="8488">
      <c r="A8488" s="3" t="inlineStr">
        <is>
          <t>Opportunity Global Investment (PTY) LTD</t>
        </is>
      </c>
      <c r="B8488" s="4" t="n">
        <v>44681</v>
      </c>
      <c r="C8488" s="3" t="inlineStr">
        <is>
          <t>Expenses</t>
        </is>
      </c>
      <c r="D8488" s="3" t="inlineStr">
        <is>
          <t>3050/300</t>
        </is>
      </c>
      <c r="E8488" s="3" t="inlineStr">
        <is>
          <t>Advertising - Design</t>
        </is>
      </c>
      <c r="F8488" s="3" t="n">
        <v>10800</v>
      </c>
      <c r="G8488" s="3" t="n">
        <v>13150</v>
      </c>
    </row>
    <row r="8489">
      <c r="A8489" s="3" t="inlineStr">
        <is>
          <t>Opportunity Global Sales (PTY) LTD</t>
        </is>
      </c>
      <c r="B8489" s="4" t="n">
        <v>44681</v>
      </c>
      <c r="C8489" s="3" t="inlineStr">
        <is>
          <t>Expenses</t>
        </is>
      </c>
      <c r="D8489" s="3" t="inlineStr">
        <is>
          <t>3050/350</t>
        </is>
      </c>
      <c r="E8489" s="3" t="inlineStr">
        <is>
          <t>Advertising - Private Property</t>
        </is>
      </c>
      <c r="F8489" s="3" t="n">
        <v>1250</v>
      </c>
      <c r="G8489" s="3" t="n">
        <v>2500</v>
      </c>
    </row>
    <row r="8490">
      <c r="A8490" s="3" t="inlineStr">
        <is>
          <t>Opportunity Global Sales (PTY) LTD</t>
        </is>
      </c>
      <c r="B8490" s="4" t="n">
        <v>44681</v>
      </c>
      <c r="C8490" s="3" t="inlineStr">
        <is>
          <t>Expenses</t>
        </is>
      </c>
      <c r="D8490" s="3" t="inlineStr">
        <is>
          <t>3050/370</t>
        </is>
      </c>
      <c r="E8490" s="3" t="inlineStr">
        <is>
          <t>Advertising - HR</t>
        </is>
      </c>
      <c r="F8490" s="3" t="n">
        <v>0</v>
      </c>
      <c r="G8490" s="3" t="n">
        <v>1200</v>
      </c>
    </row>
    <row r="8491">
      <c r="A8491" s="3" t="inlineStr">
        <is>
          <t>Quinate Consulting (Pty) Ltd</t>
        </is>
      </c>
      <c r="B8491" s="4" t="n">
        <v>44681</v>
      </c>
      <c r="C8491" s="3" t="inlineStr">
        <is>
          <t>Expenses</t>
        </is>
      </c>
      <c r="D8491" s="3" t="inlineStr">
        <is>
          <t>3050/400</t>
        </is>
      </c>
      <c r="E8491" s="3" t="inlineStr">
        <is>
          <t>Advertising - Prop24</t>
        </is>
      </c>
      <c r="F8491" s="3" t="n">
        <v>22287</v>
      </c>
      <c r="G8491" s="3" t="n">
        <v>22520</v>
      </c>
    </row>
    <row r="8492">
      <c r="A8492" s="3" t="inlineStr">
        <is>
          <t>Quinate Consulting (Pty) Ltd</t>
        </is>
      </c>
      <c r="B8492" s="4" t="n">
        <v>44681</v>
      </c>
      <c r="C8492" s="3" t="inlineStr">
        <is>
          <t>Expenses</t>
        </is>
      </c>
      <c r="D8492" s="3" t="inlineStr">
        <is>
          <t>3050/450</t>
        </is>
      </c>
      <c r="E8492" s="3" t="inlineStr">
        <is>
          <t>Advertising - Facebook</t>
        </is>
      </c>
      <c r="F8492" s="3" t="n">
        <v>6065.59</v>
      </c>
      <c r="G8492" s="3" t="n">
        <v>11668.25</v>
      </c>
    </row>
    <row r="8493">
      <c r="A8493" s="3" t="inlineStr">
        <is>
          <t>Opportunity Global Investment (PTY) LTD</t>
        </is>
      </c>
      <c r="B8493" s="4" t="n">
        <v>44681</v>
      </c>
      <c r="C8493" s="3" t="inlineStr">
        <is>
          <t>Expenses</t>
        </is>
      </c>
      <c r="D8493" s="3" t="inlineStr">
        <is>
          <t>3051/000</t>
        </is>
      </c>
      <c r="E8493" s="3" t="inlineStr">
        <is>
          <t>Advertising - Facebook</t>
        </is>
      </c>
      <c r="F8493" s="3" t="n">
        <v>12500</v>
      </c>
      <c r="G8493" s="3" t="n">
        <v>30528.76</v>
      </c>
    </row>
    <row r="8494">
      <c r="A8494" s="3" t="inlineStr">
        <is>
          <t>Opportunity Global Investment (PTY) LTD</t>
        </is>
      </c>
      <c r="B8494" s="4" t="n">
        <v>44681</v>
      </c>
      <c r="C8494" s="3" t="inlineStr">
        <is>
          <t>Expenses</t>
        </is>
      </c>
      <c r="D8494" s="3" t="inlineStr">
        <is>
          <t>3053/000</t>
        </is>
      </c>
      <c r="E8494" s="3" t="inlineStr">
        <is>
          <t>Advertising - Google Ads</t>
        </is>
      </c>
      <c r="F8494" s="3" t="n">
        <v>1096.55</v>
      </c>
      <c r="G8494" s="3" t="n">
        <v>1865.67</v>
      </c>
    </row>
    <row r="8495">
      <c r="A8495" s="3" t="inlineStr">
        <is>
          <t>Opportunity Management Holdings (PTY) LTD</t>
        </is>
      </c>
      <c r="B8495" s="4" t="n">
        <v>44681</v>
      </c>
      <c r="C8495" s="3" t="inlineStr">
        <is>
          <t>Expenses</t>
        </is>
      </c>
      <c r="D8495" s="3" t="inlineStr">
        <is>
          <t>3100/000</t>
        </is>
      </c>
      <c r="E8495" s="3" t="inlineStr">
        <is>
          <t>Accounting Fees - Audit Fees</t>
        </is>
      </c>
      <c r="F8495" s="3" t="n">
        <v>9350</v>
      </c>
      <c r="G8495" s="3" t="n">
        <v>9350</v>
      </c>
    </row>
    <row r="8496">
      <c r="A8496" s="3" t="inlineStr">
        <is>
          <t>Endulini (Pty) Ltd</t>
        </is>
      </c>
      <c r="B8496" s="4" t="n">
        <v>44681</v>
      </c>
      <c r="C8496" s="3" t="inlineStr">
        <is>
          <t>Expenses</t>
        </is>
      </c>
      <c r="D8496" s="3" t="inlineStr">
        <is>
          <t>3200/000</t>
        </is>
      </c>
      <c r="E8496" s="3" t="inlineStr">
        <is>
          <t>Bank Charges</t>
        </is>
      </c>
      <c r="F8496" s="3" t="n">
        <v>582.5599999999999</v>
      </c>
      <c r="G8496" s="3" t="n">
        <v>1143.92</v>
      </c>
    </row>
    <row r="8497">
      <c r="A8497" s="3" t="inlineStr">
        <is>
          <t>Noble Shield (Pty) Ltd ta Go Letting</t>
        </is>
      </c>
      <c r="B8497" s="4" t="n">
        <v>44681</v>
      </c>
      <c r="C8497" s="3" t="inlineStr">
        <is>
          <t>Expenses</t>
        </is>
      </c>
      <c r="D8497" s="3" t="inlineStr">
        <is>
          <t>3200/000</t>
        </is>
      </c>
      <c r="E8497" s="3" t="inlineStr">
        <is>
          <t>Bank Charges</t>
        </is>
      </c>
      <c r="F8497" s="3" t="n">
        <v>1671.9</v>
      </c>
      <c r="G8497" s="3" t="n">
        <v>9715.379999999999</v>
      </c>
    </row>
    <row r="8498">
      <c r="A8498" s="3" t="inlineStr">
        <is>
          <t>Opportunity Global Investment (PTY) LTD</t>
        </is>
      </c>
      <c r="B8498" s="4" t="n">
        <v>44681</v>
      </c>
      <c r="C8498" s="3" t="inlineStr">
        <is>
          <t>Expenses</t>
        </is>
      </c>
      <c r="D8498" s="3" t="inlineStr">
        <is>
          <t>3200/000</t>
        </is>
      </c>
      <c r="E8498" s="3" t="inlineStr">
        <is>
          <t>Bank Charges</t>
        </is>
      </c>
      <c r="F8498" s="3" t="n">
        <v>1845.14</v>
      </c>
      <c r="G8498" s="3" t="n">
        <v>3486.86</v>
      </c>
    </row>
    <row r="8499">
      <c r="A8499" s="3" t="inlineStr">
        <is>
          <t>Opportunity Global Sales (PTY) LTD</t>
        </is>
      </c>
      <c r="B8499" s="4" t="n">
        <v>44681</v>
      </c>
      <c r="C8499" s="3" t="inlineStr">
        <is>
          <t>Expenses</t>
        </is>
      </c>
      <c r="D8499" s="3" t="inlineStr">
        <is>
          <t>3200/000</t>
        </is>
      </c>
      <c r="E8499" s="3" t="inlineStr">
        <is>
          <t>Bank Charges</t>
        </is>
      </c>
      <c r="F8499" s="3" t="n">
        <v>1046.75</v>
      </c>
      <c r="G8499" s="3" t="n">
        <v>1870.95</v>
      </c>
    </row>
    <row r="8500">
      <c r="A8500" s="3" t="inlineStr">
        <is>
          <t>Opportunity Management Holdings (PTY) LTD</t>
        </is>
      </c>
      <c r="B8500" s="4" t="n">
        <v>44681</v>
      </c>
      <c r="C8500" s="3" t="inlineStr">
        <is>
          <t>Expenses</t>
        </is>
      </c>
      <c r="D8500" s="3" t="inlineStr">
        <is>
          <t>3200/000</t>
        </is>
      </c>
      <c r="E8500" s="3" t="inlineStr">
        <is>
          <t>Bank Charges</t>
        </is>
      </c>
      <c r="F8500" s="3" t="n">
        <v>2174.73</v>
      </c>
      <c r="G8500" s="3" t="n">
        <v>9901.200000000001</v>
      </c>
    </row>
    <row r="8501">
      <c r="A8501" s="3" t="inlineStr">
        <is>
          <t>Quinate Consulting (Pty) Ltd</t>
        </is>
      </c>
      <c r="B8501" s="4" t="n">
        <v>44681</v>
      </c>
      <c r="C8501" s="3" t="inlineStr">
        <is>
          <t>Expenses</t>
        </is>
      </c>
      <c r="D8501" s="3" t="inlineStr">
        <is>
          <t>3200/000</t>
        </is>
      </c>
      <c r="E8501" s="3" t="inlineStr">
        <is>
          <t>Bank Charges</t>
        </is>
      </c>
      <c r="F8501" s="3" t="n">
        <v>1264.05</v>
      </c>
      <c r="G8501" s="3" t="n">
        <v>3263.55</v>
      </c>
    </row>
    <row r="8502">
      <c r="A8502" s="3" t="inlineStr">
        <is>
          <t>Trademark Holdings (Pty) Ltd</t>
        </is>
      </c>
      <c r="B8502" s="4" t="n">
        <v>44681</v>
      </c>
      <c r="C8502" s="3" t="inlineStr">
        <is>
          <t>Expenses</t>
        </is>
      </c>
      <c r="D8502" s="3" t="inlineStr">
        <is>
          <t>3200/000</t>
        </is>
      </c>
      <c r="E8502" s="3" t="inlineStr">
        <is>
          <t>Bank Charges</t>
        </is>
      </c>
      <c r="F8502" s="3" t="n">
        <v>936.85</v>
      </c>
      <c r="G8502" s="3" t="n">
        <v>5699.18</v>
      </c>
    </row>
    <row r="8503">
      <c r="A8503" s="3" t="inlineStr">
        <is>
          <t>Quinate Consulting (Pty) Ltd</t>
        </is>
      </c>
      <c r="B8503" s="4" t="n">
        <v>44681</v>
      </c>
      <c r="C8503" s="3" t="inlineStr">
        <is>
          <t>Expenses</t>
        </is>
      </c>
      <c r="D8503" s="3" t="inlineStr">
        <is>
          <t>3220/000</t>
        </is>
      </c>
      <c r="E8503" s="3" t="inlineStr">
        <is>
          <t>Bank Charges - Bond Fees</t>
        </is>
      </c>
      <c r="F8503" s="3" t="n">
        <v>1117.41</v>
      </c>
      <c r="G8503" s="3" t="n">
        <v>2234.82</v>
      </c>
    </row>
    <row r="8504">
      <c r="A8504" s="3" t="inlineStr">
        <is>
          <t>Noble Shield (Pty) Ltd ta Go Letting</t>
        </is>
      </c>
      <c r="B8504" s="4" t="n">
        <v>44681</v>
      </c>
      <c r="C8504" s="3" t="inlineStr">
        <is>
          <t>Expenses</t>
        </is>
      </c>
      <c r="D8504" s="3" t="inlineStr">
        <is>
          <t>3230/000</t>
        </is>
      </c>
      <c r="E8504" s="3" t="inlineStr">
        <is>
          <t>Cell Phone - NM</t>
        </is>
      </c>
      <c r="F8504" s="3" t="n">
        <v>2311.84</v>
      </c>
      <c r="G8504" s="3" t="n">
        <v>18224.17</v>
      </c>
    </row>
    <row r="8505">
      <c r="A8505" s="3" t="inlineStr">
        <is>
          <t>Noble Shield (Pty) Ltd ta Go Letting</t>
        </is>
      </c>
      <c r="B8505" s="4" t="n">
        <v>44681</v>
      </c>
      <c r="C8505" s="3" t="inlineStr">
        <is>
          <t>Expenses</t>
        </is>
      </c>
      <c r="D8505" s="3" t="inlineStr">
        <is>
          <t>3233/000</t>
        </is>
      </c>
      <c r="E8505" s="3" t="inlineStr">
        <is>
          <t>Cell Data - Other</t>
        </is>
      </c>
      <c r="F8505" s="3" t="n">
        <v>199</v>
      </c>
      <c r="G8505" s="3" t="n">
        <v>2160</v>
      </c>
    </row>
    <row r="8506">
      <c r="A8506" s="3" t="inlineStr">
        <is>
          <t>Noble Shield (Pty) Ltd ta Go Letting</t>
        </is>
      </c>
      <c r="B8506" s="4" t="n">
        <v>44681</v>
      </c>
      <c r="C8506" s="3" t="inlineStr">
        <is>
          <t>Expenses</t>
        </is>
      </c>
      <c r="D8506" s="3" t="inlineStr">
        <is>
          <t>3233/100</t>
        </is>
      </c>
      <c r="E8506" s="3" t="inlineStr">
        <is>
          <t>Cell Data - Sales office Wifi</t>
        </is>
      </c>
      <c r="F8506" s="3" t="n">
        <v>369</v>
      </c>
      <c r="G8506" s="3" t="n">
        <v>2313</v>
      </c>
    </row>
    <row r="8507">
      <c r="A8507" s="3" t="inlineStr">
        <is>
          <t>Noble Shield (Pty) Ltd ta Go Letting</t>
        </is>
      </c>
      <c r="B8507" s="4" t="n">
        <v>44681</v>
      </c>
      <c r="C8507" s="3" t="inlineStr">
        <is>
          <t>Expenses</t>
        </is>
      </c>
      <c r="D8507" s="3" t="inlineStr">
        <is>
          <t>3250/000</t>
        </is>
      </c>
      <c r="E8507" s="3" t="inlineStr">
        <is>
          <t>Cleaning</t>
        </is>
      </c>
      <c r="F8507" s="3" t="n">
        <v>0</v>
      </c>
      <c r="G8507" s="3" t="n">
        <v>658.48</v>
      </c>
    </row>
    <row r="8508">
      <c r="A8508" s="3" t="inlineStr">
        <is>
          <t>Opportunity Global Investment (PTY) LTD</t>
        </is>
      </c>
      <c r="B8508" s="4" t="n">
        <v>44681</v>
      </c>
      <c r="C8508" s="3" t="inlineStr">
        <is>
          <t>Expenses</t>
        </is>
      </c>
      <c r="D8508" s="3" t="inlineStr">
        <is>
          <t>3250/000</t>
        </is>
      </c>
      <c r="E8508" s="3" t="inlineStr">
        <is>
          <t>Cleaning</t>
        </is>
      </c>
      <c r="F8508" s="3" t="n">
        <v>2700</v>
      </c>
      <c r="G8508" s="3" t="n">
        <v>5400</v>
      </c>
    </row>
    <row r="8509">
      <c r="A8509" s="3" t="inlineStr">
        <is>
          <t>Opportunity Management Holdings (PTY) LTD</t>
        </is>
      </c>
      <c r="B8509" s="4" t="n">
        <v>44681</v>
      </c>
      <c r="C8509" s="3" t="inlineStr">
        <is>
          <t>Expenses</t>
        </is>
      </c>
      <c r="D8509" s="3" t="inlineStr">
        <is>
          <t>3250/000</t>
        </is>
      </c>
      <c r="E8509" s="3" t="inlineStr">
        <is>
          <t>Cleaning</t>
        </is>
      </c>
      <c r="F8509" s="3" t="n">
        <v>750</v>
      </c>
      <c r="G8509" s="3" t="n">
        <v>750</v>
      </c>
    </row>
    <row r="8510">
      <c r="A8510" s="3" t="inlineStr">
        <is>
          <t>Trademark Holdings (Pty) Ltd</t>
        </is>
      </c>
      <c r="B8510" s="4" t="n">
        <v>44681</v>
      </c>
      <c r="C8510" s="3" t="inlineStr">
        <is>
          <t>Expenses</t>
        </is>
      </c>
      <c r="D8510" s="3" t="inlineStr">
        <is>
          <t>3250/000</t>
        </is>
      </c>
      <c r="E8510" s="3" t="inlineStr">
        <is>
          <t>Cleaning</t>
        </is>
      </c>
      <c r="F8510" s="3" t="n">
        <v>1040</v>
      </c>
      <c r="G8510" s="3" t="n">
        <v>7272</v>
      </c>
    </row>
    <row r="8511">
      <c r="A8511" s="3" t="inlineStr">
        <is>
          <t>Noble Shield (Pty) Ltd ta Go Letting</t>
        </is>
      </c>
      <c r="B8511" s="4" t="n">
        <v>44681</v>
      </c>
      <c r="C8511" s="3" t="inlineStr">
        <is>
          <t>Expenses</t>
        </is>
      </c>
      <c r="D8511" s="3" t="inlineStr">
        <is>
          <t>3300/000</t>
        </is>
      </c>
      <c r="E8511" s="3" t="inlineStr">
        <is>
          <t>Computer Expenses</t>
        </is>
      </c>
      <c r="F8511" s="3" t="n">
        <v>0</v>
      </c>
      <c r="G8511" s="3" t="n">
        <v>3226.5</v>
      </c>
    </row>
    <row r="8512">
      <c r="A8512" s="3" t="inlineStr">
        <is>
          <t>Opportunity Global Investment (PTY) LTD</t>
        </is>
      </c>
      <c r="B8512" s="4" t="n">
        <v>44681</v>
      </c>
      <c r="C8512" s="3" t="inlineStr">
        <is>
          <t>Expenses</t>
        </is>
      </c>
      <c r="D8512" s="3" t="inlineStr">
        <is>
          <t>3300/000</t>
        </is>
      </c>
      <c r="E8512" s="3" t="inlineStr">
        <is>
          <t>Computer Expenses</t>
        </is>
      </c>
      <c r="F8512" s="3" t="n">
        <v>1800</v>
      </c>
      <c r="G8512" s="3" t="n">
        <v>1800</v>
      </c>
    </row>
    <row r="8513">
      <c r="A8513" s="3" t="inlineStr">
        <is>
          <t>Opportunity Global Sales (PTY) LTD</t>
        </is>
      </c>
      <c r="B8513" s="4" t="n">
        <v>44681</v>
      </c>
      <c r="C8513" s="3" t="inlineStr">
        <is>
          <t>Expenses</t>
        </is>
      </c>
      <c r="D8513" s="3" t="inlineStr">
        <is>
          <t>3300/000</t>
        </is>
      </c>
      <c r="E8513" s="3" t="inlineStr">
        <is>
          <t>Computer Expenses</t>
        </is>
      </c>
      <c r="F8513" s="3" t="n">
        <v>0</v>
      </c>
      <c r="G8513" s="3" t="n">
        <v>275</v>
      </c>
    </row>
    <row r="8514">
      <c r="A8514" s="3" t="inlineStr">
        <is>
          <t>Opportunity Management Holdings (PTY) LTD</t>
        </is>
      </c>
      <c r="B8514" s="4" t="n">
        <v>44681</v>
      </c>
      <c r="C8514" s="3" t="inlineStr">
        <is>
          <t>Expenses</t>
        </is>
      </c>
      <c r="D8514" s="3" t="inlineStr">
        <is>
          <t>3300/000</t>
        </is>
      </c>
      <c r="E8514" s="3" t="inlineStr">
        <is>
          <t>Computer Expenses</t>
        </is>
      </c>
      <c r="F8514" s="3" t="n">
        <v>0</v>
      </c>
      <c r="G8514" s="3" t="n">
        <v>1635.73</v>
      </c>
    </row>
    <row r="8515">
      <c r="A8515" s="3" t="inlineStr">
        <is>
          <t>Trademark Holdings (Pty) Ltd</t>
        </is>
      </c>
      <c r="B8515" s="4" t="n">
        <v>44681</v>
      </c>
      <c r="C8515" s="3" t="inlineStr">
        <is>
          <t>Expenses</t>
        </is>
      </c>
      <c r="D8515" s="3" t="inlineStr">
        <is>
          <t>3300/000</t>
        </is>
      </c>
      <c r="E8515" s="3" t="inlineStr">
        <is>
          <t>Computer Expenses</t>
        </is>
      </c>
      <c r="F8515" s="3" t="n">
        <v>0</v>
      </c>
      <c r="G8515" s="3" t="n">
        <v>7714.4</v>
      </c>
    </row>
    <row r="8516">
      <c r="A8516" s="3" t="inlineStr">
        <is>
          <t>Noble Shield (Pty) Ltd ta Go Letting</t>
        </is>
      </c>
      <c r="B8516" s="4" t="n">
        <v>44681</v>
      </c>
      <c r="C8516" s="3" t="inlineStr">
        <is>
          <t>Expenses</t>
        </is>
      </c>
      <c r="D8516" s="3" t="inlineStr">
        <is>
          <t>3300/120</t>
        </is>
      </c>
      <c r="E8516" s="3" t="inlineStr">
        <is>
          <t>Computer IT - Software Propworx</t>
        </is>
      </c>
      <c r="F8516" s="3" t="n">
        <v>1926.25</v>
      </c>
      <c r="G8516" s="3" t="n">
        <v>13483.75</v>
      </c>
    </row>
    <row r="8517">
      <c r="A8517" s="3" t="inlineStr">
        <is>
          <t>Trademark Holdings (Pty) Ltd</t>
        </is>
      </c>
      <c r="B8517" s="4" t="n">
        <v>44681</v>
      </c>
      <c r="C8517" s="3" t="inlineStr">
        <is>
          <t>Expenses</t>
        </is>
      </c>
      <c r="D8517" s="3" t="inlineStr">
        <is>
          <t>3300/125</t>
        </is>
      </c>
      <c r="E8517" s="3" t="inlineStr">
        <is>
          <t>Computer IT - CT</t>
        </is>
      </c>
      <c r="F8517" s="3" t="n">
        <v>0</v>
      </c>
      <c r="G8517" s="3" t="n">
        <v>106.38</v>
      </c>
    </row>
    <row r="8518">
      <c r="A8518" s="3" t="inlineStr">
        <is>
          <t>Trademark Holdings (Pty) Ltd</t>
        </is>
      </c>
      <c r="B8518" s="4" t="n">
        <v>44681</v>
      </c>
      <c r="C8518" s="3" t="inlineStr">
        <is>
          <t>Expenses</t>
        </is>
      </c>
      <c r="D8518" s="3" t="inlineStr">
        <is>
          <t>3300/130</t>
        </is>
      </c>
      <c r="E8518" s="3" t="inlineStr">
        <is>
          <t>Computer IT - Internet/Hosting Fees</t>
        </is>
      </c>
      <c r="F8518" s="3" t="n">
        <v>3599.5</v>
      </c>
      <c r="G8518" s="3" t="n">
        <v>37269.2</v>
      </c>
    </row>
    <row r="8519">
      <c r="A8519" s="3" t="inlineStr">
        <is>
          <t>Trademark Holdings (Pty) Ltd</t>
        </is>
      </c>
      <c r="B8519" s="4" t="n">
        <v>44681</v>
      </c>
      <c r="C8519" s="3" t="inlineStr">
        <is>
          <t>Expenses</t>
        </is>
      </c>
      <c r="D8519" s="3" t="inlineStr">
        <is>
          <t>3300/145</t>
        </is>
      </c>
      <c r="E8519" s="3" t="inlineStr">
        <is>
          <t>Computer IT - Cloud Solve</t>
        </is>
      </c>
      <c r="F8519" s="3" t="n">
        <v>3990</v>
      </c>
      <c r="G8519" s="3" t="n">
        <v>30360</v>
      </c>
    </row>
    <row r="8520">
      <c r="A8520" s="3" t="inlineStr">
        <is>
          <t>Noble Shield (Pty) Ltd ta Go Letting</t>
        </is>
      </c>
      <c r="B8520" s="4" t="n">
        <v>44681</v>
      </c>
      <c r="C8520" s="3" t="inlineStr">
        <is>
          <t>Expenses</t>
        </is>
      </c>
      <c r="D8520" s="3" t="inlineStr">
        <is>
          <t>3300/170</t>
        </is>
      </c>
      <c r="E8520" s="3" t="inlineStr">
        <is>
          <t>Computer IT - VDB office Fibre</t>
        </is>
      </c>
      <c r="F8520" s="3" t="n">
        <v>790</v>
      </c>
      <c r="G8520" s="3" t="n">
        <v>7110</v>
      </c>
    </row>
    <row r="8521">
      <c r="A8521" s="3" t="inlineStr">
        <is>
          <t>Noble Shield (Pty) Ltd ta Go Letting</t>
        </is>
      </c>
      <c r="B8521" s="4" t="n">
        <v>44681</v>
      </c>
      <c r="C8521" s="3" t="inlineStr">
        <is>
          <t>Expenses</t>
        </is>
      </c>
      <c r="D8521" s="3" t="inlineStr">
        <is>
          <t>3301/000</t>
        </is>
      </c>
      <c r="E8521" s="3" t="inlineStr">
        <is>
          <t>Computer Expenses - Xero Setup</t>
        </is>
      </c>
      <c r="F8521" s="3" t="n">
        <v>0</v>
      </c>
      <c r="G8521" s="3" t="n">
        <v>3000</v>
      </c>
    </row>
    <row r="8522">
      <c r="A8522" s="3" t="inlineStr">
        <is>
          <t>Trademark Holdings (Pty) Ltd</t>
        </is>
      </c>
      <c r="B8522" s="4" t="n">
        <v>44681</v>
      </c>
      <c r="C8522" s="3" t="inlineStr">
        <is>
          <t>Expenses</t>
        </is>
      </c>
      <c r="D8522" s="3" t="inlineStr">
        <is>
          <t>3301/000</t>
        </is>
      </c>
      <c r="E8522" s="3" t="inlineStr">
        <is>
          <t>Computer Expenses - Xero Setup</t>
        </is>
      </c>
      <c r="F8522" s="3" t="n">
        <v>0</v>
      </c>
      <c r="G8522" s="3" t="n">
        <v>3000</v>
      </c>
    </row>
    <row r="8523">
      <c r="A8523" s="3" t="inlineStr">
        <is>
          <t>Opportunity Management Holdings (PTY) LTD</t>
        </is>
      </c>
      <c r="B8523" s="4" t="n">
        <v>44681</v>
      </c>
      <c r="C8523" s="3" t="inlineStr">
        <is>
          <t>Expenses</t>
        </is>
      </c>
      <c r="D8523" s="3" t="inlineStr">
        <is>
          <t>3350/000</t>
        </is>
      </c>
      <c r="E8523" s="3" t="inlineStr">
        <is>
          <t>Consulting Fees</t>
        </is>
      </c>
      <c r="F8523" s="3" t="n">
        <v>6000</v>
      </c>
      <c r="G8523" s="3" t="n">
        <v>6000</v>
      </c>
    </row>
    <row r="8524">
      <c r="A8524" s="3" t="inlineStr">
        <is>
          <t>Endulini (Pty) Ltd</t>
        </is>
      </c>
      <c r="B8524" s="4" t="n">
        <v>44681</v>
      </c>
      <c r="C8524" s="3" t="inlineStr">
        <is>
          <t>Expenses</t>
        </is>
      </c>
      <c r="D8524" s="3" t="inlineStr">
        <is>
          <t>3350/100</t>
        </is>
      </c>
      <c r="E8524" s="3" t="inlineStr">
        <is>
          <t>Consulting Fees - Admin and Finance</t>
        </is>
      </c>
      <c r="F8524" s="3" t="n">
        <v>78771.64999999999</v>
      </c>
      <c r="G8524" s="3" t="n">
        <v>146415.69</v>
      </c>
    </row>
    <row r="8525">
      <c r="A8525" s="3" t="inlineStr">
        <is>
          <t>Opportunity Global Investment (PTY) LTD</t>
        </is>
      </c>
      <c r="B8525" s="4" t="n">
        <v>44681</v>
      </c>
      <c r="C8525" s="3" t="inlineStr">
        <is>
          <t>Expenses</t>
        </is>
      </c>
      <c r="D8525" s="3" t="inlineStr">
        <is>
          <t>3350/100</t>
        </is>
      </c>
      <c r="E8525" s="3" t="inlineStr">
        <is>
          <t>Consulting Fees - Admin and Finance</t>
        </is>
      </c>
      <c r="F8525" s="3" t="n">
        <v>4775</v>
      </c>
      <c r="G8525" s="3" t="n">
        <v>9550</v>
      </c>
    </row>
    <row r="8526">
      <c r="A8526" s="3" t="inlineStr">
        <is>
          <t>Opportunity Global Sales (PTY) LTD</t>
        </is>
      </c>
      <c r="B8526" s="4" t="n">
        <v>44681</v>
      </c>
      <c r="C8526" s="3" t="inlineStr">
        <is>
          <t>Expenses</t>
        </is>
      </c>
      <c r="D8526" s="3" t="inlineStr">
        <is>
          <t>3350/100</t>
        </is>
      </c>
      <c r="E8526" s="3" t="inlineStr">
        <is>
          <t>Consulting Fees - Admin and Finance</t>
        </is>
      </c>
      <c r="F8526" s="3" t="n">
        <v>6100</v>
      </c>
      <c r="G8526" s="3" t="n">
        <v>11960</v>
      </c>
    </row>
    <row r="8527">
      <c r="A8527" s="3" t="inlineStr">
        <is>
          <t>Quinate Consulting (Pty) Ltd</t>
        </is>
      </c>
      <c r="B8527" s="4" t="n">
        <v>44681</v>
      </c>
      <c r="C8527" s="3" t="inlineStr">
        <is>
          <t>Expenses</t>
        </is>
      </c>
      <c r="D8527" s="3" t="inlineStr">
        <is>
          <t>3350/300</t>
        </is>
      </c>
      <c r="E8527" s="3" t="inlineStr">
        <is>
          <t>Consulting Fees - Admin and Finance</t>
        </is>
      </c>
      <c r="F8527" s="3" t="n">
        <v>3700</v>
      </c>
      <c r="G8527" s="3" t="n">
        <v>5700</v>
      </c>
    </row>
    <row r="8528">
      <c r="A8528" s="3" t="inlineStr">
        <is>
          <t>Opportunity Global Investment (PTY) LTD</t>
        </is>
      </c>
      <c r="B8528" s="4" t="n">
        <v>44681</v>
      </c>
      <c r="C8528" s="3" t="inlineStr">
        <is>
          <t>Expenses</t>
        </is>
      </c>
      <c r="D8528" s="3" t="inlineStr">
        <is>
          <t>3351/000</t>
        </is>
      </c>
      <c r="E8528" s="3" t="inlineStr">
        <is>
          <t>Consulting Fees - HR Joblaw</t>
        </is>
      </c>
      <c r="F8528" s="3" t="n">
        <v>1350</v>
      </c>
      <c r="G8528" s="3" t="n">
        <v>2700</v>
      </c>
    </row>
    <row r="8529">
      <c r="A8529" s="3" t="inlineStr">
        <is>
          <t>Quinate Consulting (Pty) Ltd</t>
        </is>
      </c>
      <c r="B8529" s="4" t="n">
        <v>44681</v>
      </c>
      <c r="C8529" s="3" t="inlineStr">
        <is>
          <t>Expenses</t>
        </is>
      </c>
      <c r="D8529" s="3" t="inlineStr">
        <is>
          <t>3351/000</t>
        </is>
      </c>
      <c r="E8529" s="3" t="inlineStr">
        <is>
          <t>Consulting fees - Trustees</t>
        </is>
      </c>
      <c r="F8529" s="3" t="n">
        <v>4000</v>
      </c>
      <c r="G8529" s="3" t="n">
        <v>12000</v>
      </c>
    </row>
    <row r="8530">
      <c r="A8530" s="3" t="inlineStr">
        <is>
          <t>Opportunity Global Investment (PTY) LTD</t>
        </is>
      </c>
      <c r="B8530" s="4" t="n">
        <v>44681</v>
      </c>
      <c r="C8530" s="3" t="inlineStr">
        <is>
          <t>Expenses</t>
        </is>
      </c>
      <c r="D8530" s="3" t="inlineStr">
        <is>
          <t>3352/000</t>
        </is>
      </c>
      <c r="E8530" s="3" t="inlineStr">
        <is>
          <t>Consulting Fees - Kert Scalzini</t>
        </is>
      </c>
      <c r="F8530" s="3" t="n">
        <v>10000</v>
      </c>
      <c r="G8530" s="3" t="n">
        <v>20000</v>
      </c>
    </row>
    <row r="8531">
      <c r="A8531" s="3" t="inlineStr">
        <is>
          <t>Quinate Consulting (Pty) Ltd</t>
        </is>
      </c>
      <c r="B8531" s="4" t="n">
        <v>44681</v>
      </c>
      <c r="C8531" s="3" t="inlineStr">
        <is>
          <t>Expenses</t>
        </is>
      </c>
      <c r="D8531" s="3" t="inlineStr">
        <is>
          <t>3450/001</t>
        </is>
      </c>
      <c r="E8531" s="3" t="inlineStr">
        <is>
          <t>Depreciation - Computer Equipment</t>
        </is>
      </c>
      <c r="F8531" s="3" t="n">
        <v>3141.37</v>
      </c>
      <c r="G8531" s="3" t="n">
        <v>6282.76</v>
      </c>
    </row>
    <row r="8532">
      <c r="A8532" s="3" t="inlineStr">
        <is>
          <t>Quinate Consulting (Pty) Ltd</t>
        </is>
      </c>
      <c r="B8532" s="4" t="n">
        <v>44681</v>
      </c>
      <c r="C8532" s="3" t="inlineStr">
        <is>
          <t>Expenses</t>
        </is>
      </c>
      <c r="D8532" s="3" t="inlineStr">
        <is>
          <t>3450/002</t>
        </is>
      </c>
      <c r="E8532" s="3" t="inlineStr">
        <is>
          <t>Depreciation - Site Containers</t>
        </is>
      </c>
      <c r="F8532" s="3" t="n">
        <v>318.84</v>
      </c>
      <c r="G8532" s="3" t="n">
        <v>637.6799999999999</v>
      </c>
    </row>
    <row r="8533">
      <c r="A8533" s="3" t="inlineStr">
        <is>
          <t>Quinate Consulting (Pty) Ltd</t>
        </is>
      </c>
      <c r="B8533" s="4" t="n">
        <v>44681</v>
      </c>
      <c r="C8533" s="3" t="inlineStr">
        <is>
          <t>Expenses</t>
        </is>
      </c>
      <c r="D8533" s="3" t="inlineStr">
        <is>
          <t>3600/000</t>
        </is>
      </c>
      <c r="E8533" s="3" t="inlineStr">
        <is>
          <t>Donations</t>
        </is>
      </c>
      <c r="F8533" s="3" t="n">
        <v>535</v>
      </c>
      <c r="G8533" s="3" t="n">
        <v>1070</v>
      </c>
    </row>
    <row r="8534">
      <c r="A8534" s="3" t="inlineStr">
        <is>
          <t>Endulini (Pty) Ltd</t>
        </is>
      </c>
      <c r="B8534" s="4" t="n">
        <v>44681</v>
      </c>
      <c r="C8534" s="3" t="inlineStr">
        <is>
          <t>Expenses</t>
        </is>
      </c>
      <c r="D8534" s="3" t="inlineStr">
        <is>
          <t>3630/000</t>
        </is>
      </c>
      <c r="E8534" s="3" t="inlineStr">
        <is>
          <t>Electricity</t>
        </is>
      </c>
      <c r="F8534" s="3" t="n">
        <v>0</v>
      </c>
      <c r="G8534" s="3" t="n">
        <v>6713.99</v>
      </c>
    </row>
    <row r="8535">
      <c r="A8535" s="3" t="inlineStr">
        <is>
          <t>Noble Shield (Pty) Ltd ta Go Letting</t>
        </is>
      </c>
      <c r="B8535" s="4" t="n">
        <v>44681</v>
      </c>
      <c r="C8535" s="3" t="inlineStr">
        <is>
          <t>Expenses</t>
        </is>
      </c>
      <c r="D8535" s="3" t="inlineStr">
        <is>
          <t>3650/000</t>
        </is>
      </c>
      <c r="E8535" s="3" t="inlineStr">
        <is>
          <t>Electricity _AND_ Water</t>
        </is>
      </c>
      <c r="F8535" s="3" t="n">
        <v>1000</v>
      </c>
      <c r="G8535" s="3" t="n">
        <v>4500</v>
      </c>
    </row>
    <row r="8536">
      <c r="A8536" s="3" t="inlineStr">
        <is>
          <t>Opportunity Global Investment (PTY) LTD</t>
        </is>
      </c>
      <c r="B8536" s="4" t="n">
        <v>44681</v>
      </c>
      <c r="C8536" s="3" t="inlineStr">
        <is>
          <t>Expenses</t>
        </is>
      </c>
      <c r="D8536" s="3" t="inlineStr">
        <is>
          <t>3650/000</t>
        </is>
      </c>
      <c r="E8536" s="3" t="inlineStr">
        <is>
          <t>Electricity _AND_ Water</t>
        </is>
      </c>
      <c r="F8536" s="3" t="n">
        <v>2950</v>
      </c>
      <c r="G8536" s="3" t="n">
        <v>5900</v>
      </c>
    </row>
    <row r="8537">
      <c r="A8537" s="3" t="inlineStr">
        <is>
          <t>Endulini (Pty) Ltd</t>
        </is>
      </c>
      <c r="B8537" s="4" t="n">
        <v>44681</v>
      </c>
      <c r="C8537" s="3" t="inlineStr">
        <is>
          <t>Expenses</t>
        </is>
      </c>
      <c r="D8537" s="3" t="inlineStr">
        <is>
          <t>3650/000</t>
        </is>
      </c>
      <c r="E8537" s="3" t="inlineStr">
        <is>
          <t>Water</t>
        </is>
      </c>
      <c r="F8537" s="3" t="n">
        <v>0</v>
      </c>
      <c r="G8537" s="3" t="n">
        <v>4310.7</v>
      </c>
    </row>
    <row r="8538">
      <c r="A8538" s="3" t="inlineStr">
        <is>
          <t>Noble Shield (Pty) Ltd ta Go Letting</t>
        </is>
      </c>
      <c r="B8538" s="4" t="n">
        <v>44681</v>
      </c>
      <c r="C8538" s="3" t="inlineStr">
        <is>
          <t>Expenses</t>
        </is>
      </c>
      <c r="D8538" s="3" t="inlineStr">
        <is>
          <t>3651/000</t>
        </is>
      </c>
      <c r="E8538" s="3" t="inlineStr">
        <is>
          <t>Electricity _AND_ Water - Rentals</t>
        </is>
      </c>
      <c r="F8538" s="3" t="n">
        <v>1000</v>
      </c>
      <c r="G8538" s="3" t="n">
        <v>0</v>
      </c>
    </row>
    <row r="8539">
      <c r="A8539" s="3" t="inlineStr">
        <is>
          <t>Quinate Consulting (Pty) Ltd</t>
        </is>
      </c>
      <c r="B8539" s="4" t="n">
        <v>44681</v>
      </c>
      <c r="C8539" s="3" t="inlineStr">
        <is>
          <t>Expenses</t>
        </is>
      </c>
      <c r="D8539" s="3" t="inlineStr">
        <is>
          <t>3651/000</t>
        </is>
      </c>
      <c r="E8539" s="3" t="inlineStr">
        <is>
          <t>Electricity _AND_ Water - Southwark</t>
        </is>
      </c>
      <c r="F8539" s="3" t="n">
        <v>0</v>
      </c>
      <c r="G8539" s="3" t="n">
        <v>17057.28</v>
      </c>
    </row>
    <row r="8540">
      <c r="A8540" s="3" t="inlineStr">
        <is>
          <t>Quinate Consulting (Pty) Ltd</t>
        </is>
      </c>
      <c r="B8540" s="4" t="n">
        <v>44681</v>
      </c>
      <c r="C8540" s="3" t="inlineStr">
        <is>
          <t>Expenses</t>
        </is>
      </c>
      <c r="D8540" s="3" t="inlineStr">
        <is>
          <t>3652/000</t>
        </is>
      </c>
      <c r="E8540" s="3" t="inlineStr">
        <is>
          <t>Electricity _AND_ Water - Soho</t>
        </is>
      </c>
      <c r="F8540" s="3" t="n">
        <v>19940.22</v>
      </c>
      <c r="G8540" s="3" t="n">
        <v>37225.2</v>
      </c>
    </row>
    <row r="8541">
      <c r="A8541" s="3" t="inlineStr">
        <is>
          <t>Noble Shield (Pty) Ltd ta Go Letting</t>
        </is>
      </c>
      <c r="B8541" s="4" t="n">
        <v>44681</v>
      </c>
      <c r="C8541" s="3" t="inlineStr">
        <is>
          <t>Expenses</t>
        </is>
      </c>
      <c r="D8541" s="3" t="inlineStr">
        <is>
          <t>3700/000</t>
        </is>
      </c>
      <c r="E8541" s="3" t="inlineStr">
        <is>
          <t>Entertainment Expenses</t>
        </is>
      </c>
      <c r="F8541" s="3" t="n">
        <v>0</v>
      </c>
      <c r="G8541" s="3" t="n">
        <v>1200</v>
      </c>
    </row>
    <row r="8542">
      <c r="A8542" s="3" t="inlineStr">
        <is>
          <t>Opportunity Global Investment (PTY) LTD</t>
        </is>
      </c>
      <c r="B8542" s="4" t="n">
        <v>44681</v>
      </c>
      <c r="C8542" s="3" t="inlineStr">
        <is>
          <t>Expenses</t>
        </is>
      </c>
      <c r="D8542" s="3" t="inlineStr">
        <is>
          <t>3700/000</t>
        </is>
      </c>
      <c r="E8542" s="3" t="inlineStr">
        <is>
          <t>Entertainment Expenses</t>
        </is>
      </c>
      <c r="F8542" s="3" t="n">
        <v>1330</v>
      </c>
      <c r="G8542" s="3" t="n">
        <v>1352</v>
      </c>
    </row>
    <row r="8543">
      <c r="A8543" s="3" t="inlineStr">
        <is>
          <t>Opportunity Management Holdings (PTY) LTD</t>
        </is>
      </c>
      <c r="B8543" s="4" t="n">
        <v>44681</v>
      </c>
      <c r="C8543" s="3" t="inlineStr">
        <is>
          <t>Expenses</t>
        </is>
      </c>
      <c r="D8543" s="3" t="inlineStr">
        <is>
          <t>3700/000</t>
        </is>
      </c>
      <c r="E8543" s="3" t="inlineStr">
        <is>
          <t>Entertainment Expenses</t>
        </is>
      </c>
      <c r="F8543" s="3" t="n">
        <v>601.9</v>
      </c>
      <c r="G8543" s="3" t="n">
        <v>601.9</v>
      </c>
    </row>
    <row r="8544">
      <c r="A8544" s="3" t="inlineStr">
        <is>
          <t>Quinate Consulting (Pty) Ltd</t>
        </is>
      </c>
      <c r="B8544" s="4" t="n">
        <v>44681</v>
      </c>
      <c r="C8544" s="3" t="inlineStr">
        <is>
          <t>Expenses</t>
        </is>
      </c>
      <c r="D8544" s="3" t="inlineStr">
        <is>
          <t>3700/000</t>
        </is>
      </c>
      <c r="E8544" s="3" t="inlineStr">
        <is>
          <t>Entertainment Expenses</t>
        </is>
      </c>
      <c r="F8544" s="3" t="n">
        <v>1244.9</v>
      </c>
      <c r="G8544" s="3" t="n">
        <v>2567.9</v>
      </c>
    </row>
    <row r="8545">
      <c r="A8545" s="3" t="inlineStr">
        <is>
          <t>Trademark Holdings (Pty) Ltd</t>
        </is>
      </c>
      <c r="B8545" s="4" t="n">
        <v>44681</v>
      </c>
      <c r="C8545" s="3" t="inlineStr">
        <is>
          <t>Expenses</t>
        </is>
      </c>
      <c r="D8545" s="3" t="inlineStr">
        <is>
          <t>3700/000</t>
        </is>
      </c>
      <c r="E8545" s="3" t="inlineStr">
        <is>
          <t>Entertainment Expenses</t>
        </is>
      </c>
      <c r="F8545" s="3" t="n">
        <v>0</v>
      </c>
      <c r="G8545" s="3" t="n">
        <v>4500</v>
      </c>
    </row>
    <row r="8546">
      <c r="A8546" s="3" t="inlineStr">
        <is>
          <t>Opportunity Management Holdings (PTY) LTD</t>
        </is>
      </c>
      <c r="B8546" s="4" t="n">
        <v>44681</v>
      </c>
      <c r="C8546" s="3" t="inlineStr">
        <is>
          <t>Expenses</t>
        </is>
      </c>
      <c r="D8546" s="3" t="inlineStr">
        <is>
          <t>3850/000</t>
        </is>
      </c>
      <c r="E8546" s="3" t="inlineStr">
        <is>
          <t>Insurance - Momentum</t>
        </is>
      </c>
      <c r="F8546" s="3" t="n">
        <v>1469.51</v>
      </c>
      <c r="G8546" s="3" t="n">
        <v>5878.04</v>
      </c>
    </row>
    <row r="8547">
      <c r="A8547" s="3" t="inlineStr">
        <is>
          <t>Noble Shield (Pty) Ltd ta Go Letting</t>
        </is>
      </c>
      <c r="B8547" s="4" t="n">
        <v>44681</v>
      </c>
      <c r="C8547" s="3" t="inlineStr">
        <is>
          <t>Expenses</t>
        </is>
      </c>
      <c r="D8547" s="3" t="inlineStr">
        <is>
          <t>3850/100</t>
        </is>
      </c>
      <c r="E8547" s="3" t="inlineStr">
        <is>
          <t>Insurance - Santam</t>
        </is>
      </c>
      <c r="F8547" s="3" t="n">
        <v>3080</v>
      </c>
      <c r="G8547" s="3" t="n">
        <v>22217.31</v>
      </c>
    </row>
    <row r="8548">
      <c r="A8548" s="3" t="inlineStr">
        <is>
          <t>Noble Shield (Pty) Ltd ta Go Letting</t>
        </is>
      </c>
      <c r="B8548" s="4" t="n">
        <v>44681</v>
      </c>
      <c r="C8548" s="3" t="inlineStr">
        <is>
          <t>Expenses</t>
        </is>
      </c>
      <c r="D8548" s="3" t="inlineStr">
        <is>
          <t>3850/200</t>
        </is>
      </c>
      <c r="E8548" s="3" t="inlineStr">
        <is>
          <t>Insurance - A_AND_G</t>
        </is>
      </c>
      <c r="F8548" s="3" t="n">
        <v>3592</v>
      </c>
      <c r="G8548" s="3" t="n">
        <v>15175.26</v>
      </c>
    </row>
    <row r="8549">
      <c r="A8549" s="3" t="inlineStr">
        <is>
          <t>Quinate Consulting (Pty) Ltd</t>
        </is>
      </c>
      <c r="B8549" s="4" t="n">
        <v>44681</v>
      </c>
      <c r="C8549" s="3" t="inlineStr">
        <is>
          <t>Expenses</t>
        </is>
      </c>
      <c r="D8549" s="3" t="inlineStr">
        <is>
          <t>3851/000</t>
        </is>
      </c>
      <c r="E8549" s="3" t="inlineStr">
        <is>
          <t>Insurance - Momentum</t>
        </is>
      </c>
      <c r="F8549" s="3" t="n">
        <v>6825.93</v>
      </c>
      <c r="G8549" s="3" t="n">
        <v>13651.86</v>
      </c>
    </row>
    <row r="8550">
      <c r="A8550" s="3" t="inlineStr">
        <is>
          <t>Noble Shield (Pty) Ltd ta Go Letting</t>
        </is>
      </c>
      <c r="B8550" s="4" t="n">
        <v>44681</v>
      </c>
      <c r="C8550" s="3" t="inlineStr">
        <is>
          <t>Expenses</t>
        </is>
      </c>
      <c r="D8550" s="3" t="inlineStr">
        <is>
          <t>3900/000</t>
        </is>
      </c>
      <c r="E8550" s="3" t="inlineStr">
        <is>
          <t>Interest Paid</t>
        </is>
      </c>
      <c r="F8550" s="3" t="n">
        <v>0.02</v>
      </c>
      <c r="G8550" s="3" t="n">
        <v>0.02</v>
      </c>
    </row>
    <row r="8551">
      <c r="A8551" s="3" t="inlineStr">
        <is>
          <t>Quinate Consulting (Pty) Ltd</t>
        </is>
      </c>
      <c r="B8551" s="4" t="n">
        <v>44681</v>
      </c>
      <c r="C8551" s="3" t="inlineStr">
        <is>
          <t>Expenses</t>
        </is>
      </c>
      <c r="D8551" s="3" t="inlineStr">
        <is>
          <t>3900/000</t>
        </is>
      </c>
      <c r="E8551" s="3" t="inlineStr">
        <is>
          <t>Interest Paid</t>
        </is>
      </c>
      <c r="F8551" s="3" t="n">
        <v>110.69</v>
      </c>
      <c r="G8551" s="3" t="n">
        <v>110.69</v>
      </c>
    </row>
    <row r="8552">
      <c r="A8552" s="3" t="inlineStr">
        <is>
          <t>Quinate Consulting (Pty) Ltd</t>
        </is>
      </c>
      <c r="B8552" s="4" t="n">
        <v>44681</v>
      </c>
      <c r="C8552" s="3" t="inlineStr">
        <is>
          <t>Expenses</t>
        </is>
      </c>
      <c r="D8552" s="3" t="inlineStr">
        <is>
          <t>3900/050</t>
        </is>
      </c>
      <c r="E8552" s="3" t="inlineStr">
        <is>
          <t>Interest Paid - STD Bond Accounts</t>
        </is>
      </c>
      <c r="F8552" s="3" t="n">
        <v>44481.5</v>
      </c>
      <c r="G8552" s="3" t="n">
        <v>89395.17</v>
      </c>
    </row>
    <row r="8553">
      <c r="A8553" s="3" t="inlineStr">
        <is>
          <t>Endulini (Pty) Ltd</t>
        </is>
      </c>
      <c r="B8553" s="4" t="n">
        <v>44681</v>
      </c>
      <c r="C8553" s="3" t="inlineStr">
        <is>
          <t>Expenses</t>
        </is>
      </c>
      <c r="D8553" s="3" t="inlineStr">
        <is>
          <t>3900/111</t>
        </is>
      </c>
      <c r="E8553" s="3" t="inlineStr">
        <is>
          <t>Interest Paid - Investors @ 6.25%</t>
        </is>
      </c>
      <c r="F8553" s="3" t="n">
        <v>152290.76</v>
      </c>
      <c r="G8553" s="3" t="n">
        <v>152290.76</v>
      </c>
    </row>
    <row r="8554">
      <c r="A8554" s="3" t="inlineStr">
        <is>
          <t>Endulini (Pty) Ltd</t>
        </is>
      </c>
      <c r="B8554" s="4" t="n">
        <v>44681</v>
      </c>
      <c r="C8554" s="3" t="inlineStr">
        <is>
          <t>Expenses</t>
        </is>
      </c>
      <c r="D8554" s="3" t="inlineStr">
        <is>
          <t>3900/112</t>
        </is>
      </c>
      <c r="E8554" s="3" t="inlineStr">
        <is>
          <t>Interest Paid - Investors @ 6.5%</t>
        </is>
      </c>
      <c r="F8554" s="3" t="n">
        <v>19273.61</v>
      </c>
      <c r="G8554" s="3" t="n">
        <v>19273.61</v>
      </c>
    </row>
    <row r="8555">
      <c r="A8555" s="3" t="inlineStr">
        <is>
          <t>Endulini (Pty) Ltd</t>
        </is>
      </c>
      <c r="B8555" s="4" t="n">
        <v>44681</v>
      </c>
      <c r="C8555" s="3" t="inlineStr">
        <is>
          <t>Expenses</t>
        </is>
      </c>
      <c r="D8555" s="3" t="inlineStr">
        <is>
          <t>3900/120</t>
        </is>
      </c>
      <c r="E8555" s="3" t="inlineStr">
        <is>
          <t>Interest Paid - Investors @ 7%</t>
        </is>
      </c>
      <c r="F8555" s="3" t="n">
        <v>6881.03</v>
      </c>
      <c r="G8555" s="3" t="n">
        <v>6881.03</v>
      </c>
    </row>
    <row r="8556">
      <c r="A8556" s="3" t="inlineStr">
        <is>
          <t>Endulini (Pty) Ltd</t>
        </is>
      </c>
      <c r="B8556" s="4" t="n">
        <v>44681</v>
      </c>
      <c r="C8556" s="3" t="inlineStr">
        <is>
          <t>Expenses</t>
        </is>
      </c>
      <c r="D8556" s="3" t="inlineStr">
        <is>
          <t>3900/130</t>
        </is>
      </c>
      <c r="E8556" s="3" t="inlineStr">
        <is>
          <t>Interest Paid - Investors @ 8%</t>
        </is>
      </c>
      <c r="F8556" s="3" t="n">
        <v>6358.92</v>
      </c>
      <c r="G8556" s="3" t="n">
        <v>6358.92</v>
      </c>
    </row>
    <row r="8557">
      <c r="A8557" s="3" t="inlineStr">
        <is>
          <t>Endulini (Pty) Ltd</t>
        </is>
      </c>
      <c r="B8557" s="4" t="n">
        <v>44681</v>
      </c>
      <c r="C8557" s="3" t="inlineStr">
        <is>
          <t>Expenses</t>
        </is>
      </c>
      <c r="D8557" s="3" t="inlineStr">
        <is>
          <t>3900/140</t>
        </is>
      </c>
      <c r="E8557" s="3" t="inlineStr">
        <is>
          <t>Interest Paid - Investors @ 9%</t>
        </is>
      </c>
      <c r="F8557" s="3" t="n">
        <v>3601.96</v>
      </c>
      <c r="G8557" s="3" t="n">
        <v>3601.96</v>
      </c>
    </row>
    <row r="8558">
      <c r="A8558" s="3" t="inlineStr">
        <is>
          <t>Quinate Consulting (Pty) Ltd</t>
        </is>
      </c>
      <c r="B8558" s="4" t="n">
        <v>44681</v>
      </c>
      <c r="C8558" s="3" t="inlineStr">
        <is>
          <t>Expenses</t>
        </is>
      </c>
      <c r="D8558" s="3" t="inlineStr">
        <is>
          <t>3900/150</t>
        </is>
      </c>
      <c r="E8558" s="3" t="inlineStr">
        <is>
          <t>Interest Paid - Suppliers</t>
        </is>
      </c>
      <c r="F8558" s="3" t="n">
        <v>0</v>
      </c>
      <c r="G8558" s="3" t="n">
        <v>669.64</v>
      </c>
    </row>
    <row r="8559">
      <c r="A8559" s="3" t="inlineStr">
        <is>
          <t>Quinate Consulting (Pty) Ltd</t>
        </is>
      </c>
      <c r="B8559" s="4" t="n">
        <v>44681</v>
      </c>
      <c r="C8559" s="3" t="inlineStr">
        <is>
          <t>Expenses</t>
        </is>
      </c>
      <c r="D8559" s="3" t="inlineStr">
        <is>
          <t>3900/152</t>
        </is>
      </c>
      <c r="E8559" s="3" t="inlineStr">
        <is>
          <t>Interest Paid - Gengis</t>
        </is>
      </c>
      <c r="F8559" s="3" t="n">
        <v>1479.45</v>
      </c>
      <c r="G8559" s="3" t="n">
        <v>3008.22</v>
      </c>
    </row>
    <row r="8560">
      <c r="A8560" s="3" t="inlineStr">
        <is>
          <t>Endulini (Pty) Ltd</t>
        </is>
      </c>
      <c r="B8560" s="4" t="n">
        <v>44681</v>
      </c>
      <c r="C8560" s="3" t="inlineStr">
        <is>
          <t>Expenses</t>
        </is>
      </c>
      <c r="D8560" s="3" t="inlineStr">
        <is>
          <t>3900/200</t>
        </is>
      </c>
      <c r="E8560" s="3" t="inlineStr">
        <is>
          <t>Interest Paid - Investors @ 15%</t>
        </is>
      </c>
      <c r="F8560" s="3" t="n">
        <v>50794.88</v>
      </c>
      <c r="G8560" s="3" t="n">
        <v>50794.88</v>
      </c>
    </row>
    <row r="8561">
      <c r="A8561" s="3" t="inlineStr">
        <is>
          <t>Endulini (Pty) Ltd</t>
        </is>
      </c>
      <c r="B8561" s="4" t="n">
        <v>44681</v>
      </c>
      <c r="C8561" s="3" t="inlineStr">
        <is>
          <t>Expenses</t>
        </is>
      </c>
      <c r="D8561" s="3" t="inlineStr">
        <is>
          <t>3900/230</t>
        </is>
      </c>
      <c r="E8561" s="3" t="inlineStr">
        <is>
          <t>Interest Paid - Investors @ 18%</t>
        </is>
      </c>
      <c r="F8561" s="3" t="n">
        <v>1357502.49</v>
      </c>
      <c r="G8561" s="3" t="n">
        <v>1357502.49</v>
      </c>
    </row>
    <row r="8562">
      <c r="A8562" s="3" t="inlineStr">
        <is>
          <t>Opportunity Management Holdings (PTY) LTD</t>
        </is>
      </c>
      <c r="B8562" s="4" t="n">
        <v>44681</v>
      </c>
      <c r="C8562" s="3" t="inlineStr">
        <is>
          <t>Expenses</t>
        </is>
      </c>
      <c r="D8562" s="3" t="inlineStr">
        <is>
          <t>3900/300</t>
        </is>
      </c>
      <c r="E8562" s="3" t="inlineStr">
        <is>
          <t>Interest Paid - Other</t>
        </is>
      </c>
      <c r="F8562" s="3" t="n">
        <v>0</v>
      </c>
      <c r="G8562" s="3" t="n">
        <v>1.79</v>
      </c>
    </row>
    <row r="8563">
      <c r="A8563" s="3" t="inlineStr">
        <is>
          <t>Opportunity Global Investment (PTY) LTD</t>
        </is>
      </c>
      <c r="B8563" s="4" t="n">
        <v>44681</v>
      </c>
      <c r="C8563" s="3" t="inlineStr">
        <is>
          <t>Expenses</t>
        </is>
      </c>
      <c r="D8563" s="3" t="inlineStr">
        <is>
          <t>3901/000</t>
        </is>
      </c>
      <c r="E8563" s="3" t="inlineStr">
        <is>
          <t>Interest Paid - Department of Labour</t>
        </is>
      </c>
      <c r="F8563" s="3" t="n">
        <v>1176.45</v>
      </c>
      <c r="G8563" s="3" t="n">
        <v>1176.45</v>
      </c>
    </row>
    <row r="8564">
      <c r="A8564" s="3" t="inlineStr">
        <is>
          <t>Trademark Holdings (Pty) Ltd</t>
        </is>
      </c>
      <c r="B8564" s="4" t="n">
        <v>44681</v>
      </c>
      <c r="C8564" s="3" t="inlineStr">
        <is>
          <t>Expenses</t>
        </is>
      </c>
      <c r="D8564" s="3" t="inlineStr">
        <is>
          <t>3910/000</t>
        </is>
      </c>
      <c r="E8564" s="3" t="inlineStr">
        <is>
          <t>Penalties/Interest - SARS</t>
        </is>
      </c>
      <c r="F8564" s="3" t="n">
        <v>0</v>
      </c>
      <c r="G8564" s="3" t="n">
        <v>57.04</v>
      </c>
    </row>
    <row r="8565">
      <c r="A8565" s="3" t="inlineStr">
        <is>
          <t>Opportunity Management Holdings (PTY) LTD</t>
        </is>
      </c>
      <c r="B8565" s="4" t="n">
        <v>44681</v>
      </c>
      <c r="C8565" s="3" t="inlineStr">
        <is>
          <t>Expenses</t>
        </is>
      </c>
      <c r="D8565" s="3" t="inlineStr">
        <is>
          <t>3960/000</t>
        </is>
      </c>
      <c r="E8565" s="3" t="inlineStr">
        <is>
          <t>Internet Fees</t>
        </is>
      </c>
      <c r="F8565" s="3" t="n">
        <v>0</v>
      </c>
      <c r="G8565" s="3" t="n">
        <v>494.1</v>
      </c>
    </row>
    <row r="8566">
      <c r="A8566" s="3" t="inlineStr">
        <is>
          <t>Quinate Consulting (Pty) Ltd</t>
        </is>
      </c>
      <c r="B8566" s="4" t="n">
        <v>44681</v>
      </c>
      <c r="C8566" s="3" t="inlineStr">
        <is>
          <t>Expenses</t>
        </is>
      </c>
      <c r="D8566" s="3" t="inlineStr">
        <is>
          <t>4065/000</t>
        </is>
      </c>
      <c r="E8566" s="3" t="inlineStr">
        <is>
          <t>Levies - SoHo</t>
        </is>
      </c>
      <c r="F8566" s="3" t="n">
        <v>6466.98</v>
      </c>
      <c r="G8566" s="3" t="n">
        <v>12933.96</v>
      </c>
    </row>
    <row r="8567">
      <c r="A8567" s="3" t="inlineStr">
        <is>
          <t>Quinate Consulting (Pty) Ltd</t>
        </is>
      </c>
      <c r="B8567" s="4" t="n">
        <v>44681</v>
      </c>
      <c r="C8567" s="3" t="inlineStr">
        <is>
          <t>Expenses</t>
        </is>
      </c>
      <c r="D8567" s="3" t="inlineStr">
        <is>
          <t>4066/000</t>
        </is>
      </c>
      <c r="E8567" s="3" t="inlineStr">
        <is>
          <t>Levies - Southwark</t>
        </is>
      </c>
      <c r="F8567" s="3" t="n">
        <v>4292.88</v>
      </c>
      <c r="G8567" s="3" t="n">
        <v>7715.06</v>
      </c>
    </row>
    <row r="8568">
      <c r="A8568" s="3" t="inlineStr">
        <is>
          <t>Endulini (Pty) Ltd</t>
        </is>
      </c>
      <c r="B8568" s="4" t="n">
        <v>44681</v>
      </c>
      <c r="C8568" s="3" t="inlineStr">
        <is>
          <t>Expenses</t>
        </is>
      </c>
      <c r="D8568" s="3" t="inlineStr">
        <is>
          <t>4100/001</t>
        </is>
      </c>
      <c r="E8568" s="3" t="inlineStr">
        <is>
          <t>Momentum Admin Fee</t>
        </is>
      </c>
      <c r="F8568" s="3" t="n">
        <v>25647.72</v>
      </c>
      <c r="G8568" s="3" t="n">
        <v>33936.63</v>
      </c>
    </row>
    <row r="8569">
      <c r="A8569" s="3" t="inlineStr">
        <is>
          <t>Quinate Consulting (Pty) Ltd</t>
        </is>
      </c>
      <c r="B8569" s="4" t="n">
        <v>44681</v>
      </c>
      <c r="C8569" s="3" t="inlineStr">
        <is>
          <t>Expenses</t>
        </is>
      </c>
      <c r="D8569" s="3" t="inlineStr">
        <is>
          <t>4100/001</t>
        </is>
      </c>
      <c r="E8569" s="3" t="inlineStr">
        <is>
          <t>Momentum Advise Fee</t>
        </is>
      </c>
      <c r="F8569" s="3" t="n">
        <v>0.23</v>
      </c>
      <c r="G8569" s="3" t="n">
        <v>0.42</v>
      </c>
    </row>
    <row r="8570">
      <c r="A8570" s="3" t="inlineStr">
        <is>
          <t>Opportunity Global Investment (PTY) LTD</t>
        </is>
      </c>
      <c r="B8570" s="4" t="n">
        <v>44681</v>
      </c>
      <c r="C8570" s="3" t="inlineStr">
        <is>
          <t>Expenses</t>
        </is>
      </c>
      <c r="D8570" s="3" t="inlineStr">
        <is>
          <t>4100/100</t>
        </is>
      </c>
      <c r="E8570" s="3" t="inlineStr">
        <is>
          <t>Members Salaries - Nick Morgan</t>
        </is>
      </c>
      <c r="F8570" s="3" t="n">
        <v>40937.19</v>
      </c>
      <c r="G8570" s="3" t="n">
        <v>81874.37</v>
      </c>
    </row>
    <row r="8571">
      <c r="A8571" s="3" t="inlineStr">
        <is>
          <t>Noble Shield (Pty) Ltd ta Go Letting</t>
        </is>
      </c>
      <c r="B8571" s="4" t="n">
        <v>44681</v>
      </c>
      <c r="C8571" s="3" t="inlineStr">
        <is>
          <t>Expenses</t>
        </is>
      </c>
      <c r="D8571" s="3" t="inlineStr">
        <is>
          <t>4200/000</t>
        </is>
      </c>
      <c r="E8571" s="3" t="inlineStr">
        <is>
          <t>Printing _AND_ Stationery</t>
        </is>
      </c>
      <c r="F8571" s="3" t="n">
        <v>0</v>
      </c>
      <c r="G8571" s="3" t="n">
        <v>375</v>
      </c>
    </row>
    <row r="8572">
      <c r="A8572" s="3" t="inlineStr">
        <is>
          <t>Opportunity Global Investment (PTY) LTD</t>
        </is>
      </c>
      <c r="B8572" s="4" t="n">
        <v>44681</v>
      </c>
      <c r="C8572" s="3" t="inlineStr">
        <is>
          <t>Expenses</t>
        </is>
      </c>
      <c r="D8572" s="3" t="inlineStr">
        <is>
          <t>4200/000</t>
        </is>
      </c>
      <c r="E8572" s="3" t="inlineStr">
        <is>
          <t>Printing _AND_ Stationery</t>
        </is>
      </c>
      <c r="F8572" s="3" t="n">
        <v>2367</v>
      </c>
      <c r="G8572" s="3" t="n">
        <v>4734</v>
      </c>
    </row>
    <row r="8573">
      <c r="A8573" s="3" t="inlineStr">
        <is>
          <t>Opportunity Management Holdings (PTY) LTD</t>
        </is>
      </c>
      <c r="B8573" s="4" t="n">
        <v>44681</v>
      </c>
      <c r="C8573" s="3" t="inlineStr">
        <is>
          <t>Expenses</t>
        </is>
      </c>
      <c r="D8573" s="3" t="inlineStr">
        <is>
          <t>4200/000</t>
        </is>
      </c>
      <c r="E8573" s="3" t="inlineStr">
        <is>
          <t>Printing _AND_ Stationery</t>
        </is>
      </c>
      <c r="F8573" s="3" t="n">
        <v>0</v>
      </c>
      <c r="G8573" s="3" t="n">
        <v>2240.87</v>
      </c>
    </row>
    <row r="8574">
      <c r="A8574" s="3" t="inlineStr">
        <is>
          <t>Quinate Consulting (Pty) Ltd</t>
        </is>
      </c>
      <c r="B8574" s="4" t="n">
        <v>44681</v>
      </c>
      <c r="C8574" s="3" t="inlineStr">
        <is>
          <t>Expenses</t>
        </is>
      </c>
      <c r="D8574" s="3" t="inlineStr">
        <is>
          <t>4200/000</t>
        </is>
      </c>
      <c r="E8574" s="3" t="inlineStr">
        <is>
          <t>Printing _AND_ Stationery</t>
        </is>
      </c>
      <c r="F8574" s="3" t="n">
        <v>139.13</v>
      </c>
      <c r="G8574" s="3" t="n">
        <v>139.13</v>
      </c>
    </row>
    <row r="8575">
      <c r="A8575" s="3" t="inlineStr">
        <is>
          <t>Noble Shield (Pty) Ltd ta Go Letting</t>
        </is>
      </c>
      <c r="B8575" s="4" t="n">
        <v>44681</v>
      </c>
      <c r="C8575" s="3" t="inlineStr">
        <is>
          <t>Expenses</t>
        </is>
      </c>
      <c r="D8575" s="3" t="inlineStr">
        <is>
          <t>4200/100</t>
        </is>
      </c>
      <c r="E8575" s="3" t="inlineStr">
        <is>
          <t>Printing - Merchant West- Printer Rental</t>
        </is>
      </c>
      <c r="F8575" s="3" t="n">
        <v>1620.87</v>
      </c>
      <c r="G8575" s="3" t="n">
        <v>12948.12</v>
      </c>
    </row>
    <row r="8576">
      <c r="A8576" s="3" t="inlineStr">
        <is>
          <t>Noble Shield (Pty) Ltd ta Go Letting</t>
        </is>
      </c>
      <c r="B8576" s="4" t="n">
        <v>44681</v>
      </c>
      <c r="C8576" s="3" t="inlineStr">
        <is>
          <t>Expenses</t>
        </is>
      </c>
      <c r="D8576" s="3" t="inlineStr">
        <is>
          <t>4200/120</t>
        </is>
      </c>
      <c r="E8576" s="3" t="inlineStr">
        <is>
          <t>Printing - Ivy Line - Prints</t>
        </is>
      </c>
      <c r="F8576" s="3" t="n">
        <v>210.68</v>
      </c>
      <c r="G8576" s="3" t="n">
        <v>5024.12</v>
      </c>
    </row>
    <row r="8577">
      <c r="A8577" s="3" t="inlineStr">
        <is>
          <t>Noble Shield (Pty) Ltd ta Go Letting</t>
        </is>
      </c>
      <c r="B8577" s="4" t="n">
        <v>44681</v>
      </c>
      <c r="C8577" s="3" t="inlineStr">
        <is>
          <t>Expenses</t>
        </is>
      </c>
      <c r="D8577" s="3" t="inlineStr">
        <is>
          <t>4200/180</t>
        </is>
      </c>
      <c r="E8577" s="3" t="inlineStr">
        <is>
          <t>Printing - Ikon</t>
        </is>
      </c>
      <c r="F8577" s="3" t="n">
        <v>549.6799999999999</v>
      </c>
      <c r="G8577" s="3" t="n">
        <v>4559.61</v>
      </c>
    </row>
    <row r="8578">
      <c r="A8578" s="3" t="inlineStr">
        <is>
          <t>Noble Shield (Pty) Ltd ta Go Letting</t>
        </is>
      </c>
      <c r="B8578" s="4" t="n">
        <v>44681</v>
      </c>
      <c r="C8578" s="3" t="inlineStr">
        <is>
          <t>Expenses</t>
        </is>
      </c>
      <c r="D8578" s="3" t="inlineStr">
        <is>
          <t>4200/190</t>
        </is>
      </c>
      <c r="E8578" s="3" t="inlineStr">
        <is>
          <t>Printing - Centrafin printer rental</t>
        </is>
      </c>
      <c r="F8578" s="3" t="n">
        <v>0</v>
      </c>
      <c r="G8578" s="3" t="n">
        <v>18907.92</v>
      </c>
    </row>
    <row r="8579">
      <c r="A8579" s="3" t="inlineStr">
        <is>
          <t>Noble Shield (Pty) Ltd ta Go Letting</t>
        </is>
      </c>
      <c r="B8579" s="4" t="n">
        <v>44681</v>
      </c>
      <c r="C8579" s="3" t="inlineStr">
        <is>
          <t>Expenses</t>
        </is>
      </c>
      <c r="D8579" s="3" t="inlineStr">
        <is>
          <t>4200/200</t>
        </is>
      </c>
      <c r="E8579" s="3" t="inlineStr">
        <is>
          <t>Printing - General Stationery VDB Office</t>
        </is>
      </c>
      <c r="F8579" s="3" t="n">
        <v>0</v>
      </c>
      <c r="G8579" s="3" t="n">
        <v>3156.77</v>
      </c>
    </row>
    <row r="8580">
      <c r="A8580" s="3" t="inlineStr">
        <is>
          <t>Noble Shield (Pty) Ltd ta Go Letting</t>
        </is>
      </c>
      <c r="B8580" s="4" t="n">
        <v>44681</v>
      </c>
      <c r="C8580" s="3" t="inlineStr">
        <is>
          <t>Expenses</t>
        </is>
      </c>
      <c r="D8580" s="3" t="inlineStr">
        <is>
          <t>4290/000</t>
        </is>
      </c>
      <c r="E8580" s="3" t="inlineStr">
        <is>
          <t>Refreshments - CT Office</t>
        </is>
      </c>
      <c r="F8580" s="3" t="n">
        <v>725.77</v>
      </c>
      <c r="G8580" s="3" t="n">
        <v>5907.79</v>
      </c>
    </row>
    <row r="8581">
      <c r="A8581" s="3" t="inlineStr">
        <is>
          <t>Opportunity Global Investment (PTY) LTD</t>
        </is>
      </c>
      <c r="B8581" s="4" t="n">
        <v>44681</v>
      </c>
      <c r="C8581" s="3" t="inlineStr">
        <is>
          <t>Expenses</t>
        </is>
      </c>
      <c r="D8581" s="3" t="inlineStr">
        <is>
          <t>4290/000</t>
        </is>
      </c>
      <c r="E8581" s="3" t="inlineStr">
        <is>
          <t>Rent</t>
        </is>
      </c>
      <c r="F8581" s="3" t="n">
        <v>8770</v>
      </c>
      <c r="G8581" s="3" t="n">
        <v>17540</v>
      </c>
    </row>
    <row r="8582">
      <c r="A8582" s="3" t="inlineStr">
        <is>
          <t>Noble Shield (Pty) Ltd ta Go Letting</t>
        </is>
      </c>
      <c r="B8582" s="4" t="n">
        <v>44681</v>
      </c>
      <c r="C8582" s="3" t="inlineStr">
        <is>
          <t>Expenses</t>
        </is>
      </c>
      <c r="D8582" s="3" t="inlineStr">
        <is>
          <t>4291/000</t>
        </is>
      </c>
      <c r="E8582" s="3" t="inlineStr">
        <is>
          <t>Refreshments - VDB Office</t>
        </is>
      </c>
      <c r="F8582" s="3" t="n">
        <v>353.14</v>
      </c>
      <c r="G8582" s="3" t="n">
        <v>1646.43</v>
      </c>
    </row>
    <row r="8583">
      <c r="A8583" s="3" t="inlineStr">
        <is>
          <t>Trademark Holdings (Pty) Ltd</t>
        </is>
      </c>
      <c r="B8583" s="4" t="n">
        <v>44681</v>
      </c>
      <c r="C8583" s="3" t="inlineStr">
        <is>
          <t>Expenses</t>
        </is>
      </c>
      <c r="D8583" s="3" t="inlineStr">
        <is>
          <t>4300/000</t>
        </is>
      </c>
      <c r="E8583" s="3" t="inlineStr">
        <is>
          <t>Rent Paid</t>
        </is>
      </c>
      <c r="F8583" s="3" t="n">
        <v>6055.32</v>
      </c>
      <c r="G8583" s="3" t="n">
        <v>48092.51</v>
      </c>
    </row>
    <row r="8584">
      <c r="A8584" s="3" t="inlineStr">
        <is>
          <t>Endulini (Pty) Ltd</t>
        </is>
      </c>
      <c r="B8584" s="4" t="n">
        <v>44681</v>
      </c>
      <c r="C8584" s="3" t="inlineStr">
        <is>
          <t>Expenses</t>
        </is>
      </c>
      <c r="D8584" s="3" t="inlineStr">
        <is>
          <t>4310/000</t>
        </is>
      </c>
      <c r="E8584" s="3" t="inlineStr">
        <is>
          <t>Rates</t>
        </is>
      </c>
      <c r="F8584" s="3" t="n">
        <v>0</v>
      </c>
      <c r="G8584" s="3" t="n">
        <v>28266.66</v>
      </c>
    </row>
    <row r="8585">
      <c r="A8585" s="3" t="inlineStr">
        <is>
          <t>Opportunity Global Investment (PTY) LTD</t>
        </is>
      </c>
      <c r="B8585" s="4" t="n">
        <v>44681</v>
      </c>
      <c r="C8585" s="3" t="inlineStr">
        <is>
          <t>Expenses</t>
        </is>
      </c>
      <c r="D8585" s="3" t="inlineStr">
        <is>
          <t>4310/000</t>
        </is>
      </c>
      <c r="E8585" s="3" t="inlineStr">
        <is>
          <t>Refreshments</t>
        </is>
      </c>
      <c r="F8585" s="3" t="n">
        <v>2521</v>
      </c>
      <c r="G8585" s="3" t="n">
        <v>5042</v>
      </c>
    </row>
    <row r="8586">
      <c r="A8586" s="3" t="inlineStr">
        <is>
          <t>Opportunity Management Holdings (PTY) LTD</t>
        </is>
      </c>
      <c r="B8586" s="4" t="n">
        <v>44681</v>
      </c>
      <c r="C8586" s="3" t="inlineStr">
        <is>
          <t>Expenses</t>
        </is>
      </c>
      <c r="D8586" s="3" t="inlineStr">
        <is>
          <t>4310/000</t>
        </is>
      </c>
      <c r="E8586" s="3" t="inlineStr">
        <is>
          <t>Refreshments</t>
        </is>
      </c>
      <c r="F8586" s="3" t="n">
        <v>1044.5</v>
      </c>
      <c r="G8586" s="3" t="n">
        <v>2863.4</v>
      </c>
    </row>
    <row r="8587">
      <c r="A8587" s="3" t="inlineStr">
        <is>
          <t>Quinate Consulting (Pty) Ltd</t>
        </is>
      </c>
      <c r="B8587" s="4" t="n">
        <v>44681</v>
      </c>
      <c r="C8587" s="3" t="inlineStr">
        <is>
          <t>Expenses</t>
        </is>
      </c>
      <c r="D8587" s="3" t="inlineStr">
        <is>
          <t>4312/000</t>
        </is>
      </c>
      <c r="E8587" s="3" t="inlineStr">
        <is>
          <t>Rates - SoHo Units</t>
        </is>
      </c>
      <c r="F8587" s="3" t="n">
        <v>2547.96</v>
      </c>
      <c r="G8587" s="3" t="n">
        <v>4754.46</v>
      </c>
    </row>
    <row r="8588">
      <c r="A8588" s="3" t="inlineStr">
        <is>
          <t>Noble Shield (Pty) Ltd ta Go Letting</t>
        </is>
      </c>
      <c r="B8588" s="4" t="n">
        <v>44681</v>
      </c>
      <c r="C8588" s="3" t="inlineStr">
        <is>
          <t>Expenses</t>
        </is>
      </c>
      <c r="D8588" s="3" t="inlineStr">
        <is>
          <t>4350/000</t>
        </is>
      </c>
      <c r="E8588" s="3" t="inlineStr">
        <is>
          <t>Repairs _AND_ Maintenance</t>
        </is>
      </c>
      <c r="F8588" s="3" t="n">
        <v>0</v>
      </c>
      <c r="G8588" s="3" t="n">
        <v>3068.83</v>
      </c>
    </row>
    <row r="8589">
      <c r="A8589" s="3" t="inlineStr">
        <is>
          <t>Trademark Holdings (Pty) Ltd</t>
        </is>
      </c>
      <c r="B8589" s="4" t="n">
        <v>44681</v>
      </c>
      <c r="C8589" s="3" t="inlineStr">
        <is>
          <t>Expenses</t>
        </is>
      </c>
      <c r="D8589" s="3" t="inlineStr">
        <is>
          <t>4350/000</t>
        </is>
      </c>
      <c r="E8589" s="3" t="inlineStr">
        <is>
          <t>Repairs _AND_ Maintenance</t>
        </is>
      </c>
      <c r="F8589" s="3" t="n">
        <v>0</v>
      </c>
      <c r="G8589" s="3" t="n">
        <v>925</v>
      </c>
    </row>
    <row r="8590">
      <c r="A8590" s="3" t="inlineStr">
        <is>
          <t>Quinate Consulting (Pty) Ltd</t>
        </is>
      </c>
      <c r="B8590" s="4" t="n">
        <v>44681</v>
      </c>
      <c r="C8590" s="3" t="inlineStr">
        <is>
          <t>Expenses</t>
        </is>
      </c>
      <c r="D8590" s="3" t="inlineStr">
        <is>
          <t>4350/000</t>
        </is>
      </c>
      <c r="E8590" s="3" t="inlineStr">
        <is>
          <t>Repairs and Maintenance - Southwark Units</t>
        </is>
      </c>
      <c r="F8590" s="3" t="n">
        <v>0</v>
      </c>
      <c r="G8590" s="3" t="n">
        <v>12416</v>
      </c>
    </row>
    <row r="8591">
      <c r="A8591" s="3" t="inlineStr">
        <is>
          <t>Opportunity Management Holdings (PTY) LTD</t>
        </is>
      </c>
      <c r="B8591" s="4" t="n">
        <v>44681</v>
      </c>
      <c r="C8591" s="3" t="inlineStr">
        <is>
          <t>Expenses</t>
        </is>
      </c>
      <c r="D8591" s="3" t="inlineStr">
        <is>
          <t>4390/000</t>
        </is>
      </c>
      <c r="E8591" s="3" t="inlineStr">
        <is>
          <t>Small Assets</t>
        </is>
      </c>
      <c r="F8591" s="3" t="n">
        <v>0</v>
      </c>
      <c r="G8591" s="3" t="n">
        <v>3674.74</v>
      </c>
    </row>
    <row r="8592">
      <c r="A8592" s="3" t="inlineStr">
        <is>
          <t>Noble Shield (Pty) Ltd ta Go Letting</t>
        </is>
      </c>
      <c r="B8592" s="4" t="n">
        <v>44681</v>
      </c>
      <c r="C8592" s="3" t="inlineStr">
        <is>
          <t>Expenses</t>
        </is>
      </c>
      <c r="D8592" s="3" t="inlineStr">
        <is>
          <t>4400/000</t>
        </is>
      </c>
      <c r="E8592" s="3" t="inlineStr">
        <is>
          <t>Salaries _AND_ Wages</t>
        </is>
      </c>
      <c r="F8592" s="3" t="n">
        <v>21898.19</v>
      </c>
      <c r="G8592" s="3" t="n">
        <v>179377.22</v>
      </c>
    </row>
    <row r="8593">
      <c r="A8593" s="3" t="inlineStr">
        <is>
          <t>Opportunity Global Sales (PTY) LTD</t>
        </is>
      </c>
      <c r="B8593" s="4" t="n">
        <v>44681</v>
      </c>
      <c r="C8593" s="3" t="inlineStr">
        <is>
          <t>Expenses</t>
        </is>
      </c>
      <c r="D8593" s="3" t="inlineStr">
        <is>
          <t>4400/000</t>
        </is>
      </c>
      <c r="E8593" s="3" t="inlineStr">
        <is>
          <t>Salaries _AND_ Wages</t>
        </is>
      </c>
      <c r="F8593" s="3" t="n">
        <v>38205.53</v>
      </c>
      <c r="G8593" s="3" t="n">
        <v>73258.21000000001</v>
      </c>
    </row>
    <row r="8594">
      <c r="A8594" s="3" t="inlineStr">
        <is>
          <t>Opportunity Management Holdings (PTY) LTD</t>
        </is>
      </c>
      <c r="B8594" s="4" t="n">
        <v>44681</v>
      </c>
      <c r="C8594" s="3" t="inlineStr">
        <is>
          <t>Expenses</t>
        </is>
      </c>
      <c r="D8594" s="3" t="inlineStr">
        <is>
          <t>4400/000</t>
        </is>
      </c>
      <c r="E8594" s="3" t="inlineStr">
        <is>
          <t>Salaries _AND_ Wages</t>
        </is>
      </c>
      <c r="F8594" s="3" t="n">
        <v>193480.67</v>
      </c>
      <c r="G8594" s="3" t="n">
        <v>1162425.89</v>
      </c>
    </row>
    <row r="8595">
      <c r="A8595" s="3" t="inlineStr">
        <is>
          <t>Trademark Holdings (Pty) Ltd</t>
        </is>
      </c>
      <c r="B8595" s="4" t="n">
        <v>44681</v>
      </c>
      <c r="C8595" s="3" t="inlineStr">
        <is>
          <t>Expenses</t>
        </is>
      </c>
      <c r="D8595" s="3" t="inlineStr">
        <is>
          <t>4400/000</t>
        </is>
      </c>
      <c r="E8595" s="3" t="inlineStr">
        <is>
          <t>Salaries _AND_ Wages</t>
        </is>
      </c>
      <c r="F8595" s="3" t="n">
        <v>39554.45</v>
      </c>
      <c r="G8595" s="3" t="n">
        <v>300000.31</v>
      </c>
    </row>
    <row r="8596">
      <c r="A8596" s="3" t="inlineStr">
        <is>
          <t>Opportunity Management Holdings (PTY) LTD</t>
        </is>
      </c>
      <c r="B8596" s="4" t="n">
        <v>44681</v>
      </c>
      <c r="C8596" s="3" t="inlineStr">
        <is>
          <t>Expenses</t>
        </is>
      </c>
      <c r="D8596" s="3" t="inlineStr">
        <is>
          <t>4450/000</t>
        </is>
      </c>
      <c r="E8596" s="3" t="inlineStr">
        <is>
          <t>Staff Training</t>
        </is>
      </c>
      <c r="F8596" s="3" t="n">
        <v>0</v>
      </c>
      <c r="G8596" s="3" t="n">
        <v>2954</v>
      </c>
    </row>
    <row r="8597">
      <c r="A8597" s="3" t="inlineStr">
        <is>
          <t>Noble Shield (Pty) Ltd ta Go Letting</t>
        </is>
      </c>
      <c r="B8597" s="4" t="n">
        <v>44681</v>
      </c>
      <c r="C8597" s="3" t="inlineStr">
        <is>
          <t>Expenses</t>
        </is>
      </c>
      <c r="D8597" s="3" t="inlineStr">
        <is>
          <t>4500/000</t>
        </is>
      </c>
      <c r="E8597" s="3" t="inlineStr">
        <is>
          <t>Staff Welfare</t>
        </is>
      </c>
      <c r="F8597" s="3" t="n">
        <v>1140.04</v>
      </c>
      <c r="G8597" s="3" t="n">
        <v>8068.88</v>
      </c>
    </row>
    <row r="8598">
      <c r="A8598" s="3" t="inlineStr">
        <is>
          <t>Opportunity Management Holdings (PTY) LTD</t>
        </is>
      </c>
      <c r="B8598" s="4" t="n">
        <v>44681</v>
      </c>
      <c r="C8598" s="3" t="inlineStr">
        <is>
          <t>Expenses</t>
        </is>
      </c>
      <c r="D8598" s="3" t="inlineStr">
        <is>
          <t>4500/000</t>
        </is>
      </c>
      <c r="E8598" s="3" t="inlineStr">
        <is>
          <t>Staff Welfare</t>
        </is>
      </c>
      <c r="F8598" s="3" t="n">
        <v>3648.4</v>
      </c>
      <c r="G8598" s="3" t="n">
        <v>3728.39</v>
      </c>
    </row>
    <row r="8599">
      <c r="A8599" s="3" t="inlineStr">
        <is>
          <t>Noble Shield (Pty) Ltd ta Go Letting</t>
        </is>
      </c>
      <c r="B8599" s="4" t="n">
        <v>44681</v>
      </c>
      <c r="C8599" s="3" t="inlineStr">
        <is>
          <t>Expenses</t>
        </is>
      </c>
      <c r="D8599" s="3" t="inlineStr">
        <is>
          <t>4520/000</t>
        </is>
      </c>
      <c r="E8599" s="3" t="inlineStr">
        <is>
          <t>Security</t>
        </is>
      </c>
      <c r="F8599" s="3" t="n">
        <v>731.25</v>
      </c>
      <c r="G8599" s="3" t="n">
        <v>6024.78</v>
      </c>
    </row>
    <row r="8600">
      <c r="A8600" s="3" t="inlineStr">
        <is>
          <t>Noble Shield (Pty) Ltd ta Go Letting</t>
        </is>
      </c>
      <c r="B8600" s="4" t="n">
        <v>44681</v>
      </c>
      <c r="C8600" s="3" t="inlineStr">
        <is>
          <t>Expenses</t>
        </is>
      </c>
      <c r="D8600" s="3" t="inlineStr">
        <is>
          <t>4550/000</t>
        </is>
      </c>
      <c r="E8600" s="3" t="inlineStr">
        <is>
          <t>Subscriptions</t>
        </is>
      </c>
      <c r="F8600" s="3" t="n">
        <v>0</v>
      </c>
      <c r="G8600" s="3" t="n">
        <v>274.15</v>
      </c>
    </row>
    <row r="8601">
      <c r="A8601" s="3" t="inlineStr">
        <is>
          <t>Quinate Consulting (Pty) Ltd</t>
        </is>
      </c>
      <c r="B8601" s="4" t="n">
        <v>44681</v>
      </c>
      <c r="C8601" s="3" t="inlineStr">
        <is>
          <t>Expenses</t>
        </is>
      </c>
      <c r="D8601" s="3" t="inlineStr">
        <is>
          <t>4550/000</t>
        </is>
      </c>
      <c r="E8601" s="3" t="inlineStr">
        <is>
          <t>Subscriptions / Licenses</t>
        </is>
      </c>
      <c r="F8601" s="3" t="n">
        <v>8691</v>
      </c>
      <c r="G8601" s="3" t="n">
        <v>15739.08</v>
      </c>
    </row>
    <row r="8602">
      <c r="A8602" s="3" t="inlineStr">
        <is>
          <t>Opportunity Management Holdings (PTY) LTD</t>
        </is>
      </c>
      <c r="B8602" s="4" t="n">
        <v>44681</v>
      </c>
      <c r="C8602" s="3" t="inlineStr">
        <is>
          <t>Expenses</t>
        </is>
      </c>
      <c r="D8602" s="3" t="inlineStr">
        <is>
          <t>4550/000</t>
        </is>
      </c>
      <c r="E8602" s="3" t="inlineStr">
        <is>
          <t>Subscriptions _AND_ Lisences</t>
        </is>
      </c>
      <c r="F8602" s="3" t="n">
        <v>515.1799999999999</v>
      </c>
      <c r="G8602" s="3" t="n">
        <v>8504.75</v>
      </c>
    </row>
    <row r="8603">
      <c r="A8603" s="3" t="inlineStr">
        <is>
          <t>Noble Shield (Pty) Ltd ta Go Letting</t>
        </is>
      </c>
      <c r="B8603" s="4" t="n">
        <v>44681</v>
      </c>
      <c r="C8603" s="3" t="inlineStr">
        <is>
          <t>Expenses</t>
        </is>
      </c>
      <c r="D8603" s="3" t="inlineStr">
        <is>
          <t>4550/100</t>
        </is>
      </c>
      <c r="E8603" s="3" t="inlineStr">
        <is>
          <t>Subscriptions - EAAB</t>
        </is>
      </c>
      <c r="F8603" s="3" t="n">
        <v>0</v>
      </c>
      <c r="G8603" s="3" t="n">
        <v>5010</v>
      </c>
    </row>
    <row r="8604">
      <c r="A8604" s="3" t="inlineStr">
        <is>
          <t>Trademark Holdings (Pty) Ltd</t>
        </is>
      </c>
      <c r="B8604" s="4" t="n">
        <v>44681</v>
      </c>
      <c r="C8604" s="3" t="inlineStr">
        <is>
          <t>Expenses</t>
        </is>
      </c>
      <c r="D8604" s="3" t="inlineStr">
        <is>
          <t>4550/100</t>
        </is>
      </c>
      <c r="E8604" s="3" t="inlineStr">
        <is>
          <t>Subscriptions - EAAB</t>
        </is>
      </c>
      <c r="F8604" s="3" t="n">
        <v>0</v>
      </c>
      <c r="G8604" s="3" t="n">
        <v>3710</v>
      </c>
    </row>
    <row r="8605">
      <c r="A8605" s="3" t="inlineStr">
        <is>
          <t>Opportunity Global Investment (PTY) LTD</t>
        </is>
      </c>
      <c r="B8605" s="4" t="n">
        <v>44681</v>
      </c>
      <c r="C8605" s="3" t="inlineStr">
        <is>
          <t>Expenses</t>
        </is>
      </c>
      <c r="D8605" s="3" t="inlineStr">
        <is>
          <t>4550/150</t>
        </is>
      </c>
      <c r="E8605" s="3" t="inlineStr">
        <is>
          <t>Subscriptions - Webbox</t>
        </is>
      </c>
      <c r="F8605" s="3" t="n">
        <v>1259</v>
      </c>
      <c r="G8605" s="3" t="n">
        <v>2424</v>
      </c>
    </row>
    <row r="8606">
      <c r="A8606" s="3" t="inlineStr">
        <is>
          <t>Opportunity Global Investment (PTY) LTD</t>
        </is>
      </c>
      <c r="B8606" s="4" t="n">
        <v>44681</v>
      </c>
      <c r="C8606" s="3" t="inlineStr">
        <is>
          <t>Expenses</t>
        </is>
      </c>
      <c r="D8606" s="3" t="inlineStr">
        <is>
          <t>4550/200</t>
        </is>
      </c>
      <c r="E8606" s="3" t="inlineStr">
        <is>
          <t>Subscriptions - Zoom</t>
        </is>
      </c>
      <c r="F8606" s="3" t="n">
        <v>237.28</v>
      </c>
      <c r="G8606" s="3" t="n">
        <v>468.65</v>
      </c>
    </row>
    <row r="8607">
      <c r="A8607" s="3" t="inlineStr">
        <is>
          <t>Opportunity Global Investment (PTY) LTD</t>
        </is>
      </c>
      <c r="B8607" s="4" t="n">
        <v>44681</v>
      </c>
      <c r="C8607" s="3" t="inlineStr">
        <is>
          <t>Expenses</t>
        </is>
      </c>
      <c r="D8607" s="3" t="inlineStr">
        <is>
          <t>4550/250</t>
        </is>
      </c>
      <c r="E8607" s="3" t="inlineStr">
        <is>
          <t>Subscriptions - LinkedIn</t>
        </is>
      </c>
      <c r="F8607" s="3" t="n">
        <v>1000.49</v>
      </c>
      <c r="G8607" s="3" t="n">
        <v>3001.47</v>
      </c>
    </row>
    <row r="8608">
      <c r="A8608" s="3" t="inlineStr">
        <is>
          <t>Noble Shield (Pty) Ltd ta Go Letting</t>
        </is>
      </c>
      <c r="B8608" s="4" t="n">
        <v>44681</v>
      </c>
      <c r="C8608" s="3" t="inlineStr">
        <is>
          <t>Expenses</t>
        </is>
      </c>
      <c r="D8608" s="3" t="inlineStr">
        <is>
          <t>4550/250</t>
        </is>
      </c>
      <c r="E8608" s="3" t="inlineStr">
        <is>
          <t>Subscriptions - Windeed reports</t>
        </is>
      </c>
      <c r="F8608" s="3" t="n">
        <v>0</v>
      </c>
      <c r="G8608" s="3" t="n">
        <v>79</v>
      </c>
    </row>
    <row r="8609">
      <c r="A8609" s="3" t="inlineStr">
        <is>
          <t>Opportunity Global Investment (PTY) LTD</t>
        </is>
      </c>
      <c r="B8609" s="4" t="n">
        <v>44681</v>
      </c>
      <c r="C8609" s="3" t="inlineStr">
        <is>
          <t>Expenses</t>
        </is>
      </c>
      <c r="D8609" s="3" t="inlineStr">
        <is>
          <t>4550/350</t>
        </is>
      </c>
      <c r="E8609" s="3" t="inlineStr">
        <is>
          <t>Subscriptions - Xero</t>
        </is>
      </c>
      <c r="F8609" s="3" t="n">
        <v>600</v>
      </c>
      <c r="G8609" s="3" t="n">
        <v>1200</v>
      </c>
    </row>
    <row r="8610">
      <c r="A8610" s="3" t="inlineStr">
        <is>
          <t>Opportunity Global Investment (PTY) LTD</t>
        </is>
      </c>
      <c r="B8610" s="4" t="n">
        <v>44681</v>
      </c>
      <c r="C8610" s="3" t="inlineStr">
        <is>
          <t>Expenses</t>
        </is>
      </c>
      <c r="D8610" s="3" t="inlineStr">
        <is>
          <t>4550/400</t>
        </is>
      </c>
      <c r="E8610" s="3" t="inlineStr">
        <is>
          <t>Subscriptions - Moneyweb</t>
        </is>
      </c>
      <c r="F8610" s="3" t="n">
        <v>54.78</v>
      </c>
      <c r="G8610" s="3" t="n">
        <v>109.56</v>
      </c>
    </row>
    <row r="8611">
      <c r="A8611" s="3" t="inlineStr">
        <is>
          <t>Trademark Holdings (Pty) Ltd</t>
        </is>
      </c>
      <c r="B8611" s="4" t="n">
        <v>44681</v>
      </c>
      <c r="C8611" s="3" t="inlineStr">
        <is>
          <t>Expenses</t>
        </is>
      </c>
      <c r="D8611" s="3" t="inlineStr">
        <is>
          <t>4550/400</t>
        </is>
      </c>
      <c r="E8611" s="3" t="inlineStr">
        <is>
          <t>Subscriptions - Xero</t>
        </is>
      </c>
      <c r="F8611" s="3" t="n">
        <v>600</v>
      </c>
      <c r="G8611" s="3" t="n">
        <v>5250</v>
      </c>
    </row>
    <row r="8612">
      <c r="A8612" s="3" t="inlineStr">
        <is>
          <t>Opportunity Global Investment (PTY) LTD</t>
        </is>
      </c>
      <c r="B8612" s="4" t="n">
        <v>44681</v>
      </c>
      <c r="C8612" s="3" t="inlineStr">
        <is>
          <t>Expenses</t>
        </is>
      </c>
      <c r="D8612" s="3" t="inlineStr">
        <is>
          <t>4550/450</t>
        </is>
      </c>
      <c r="E8612" s="3" t="inlineStr">
        <is>
          <t>Subscriptions - Adobe</t>
        </is>
      </c>
      <c r="F8612" s="3" t="n">
        <v>475.41</v>
      </c>
      <c r="G8612" s="3" t="n">
        <v>966.89</v>
      </c>
    </row>
    <row r="8613">
      <c r="A8613" s="3" t="inlineStr">
        <is>
          <t>Noble Shield (Pty) Ltd ta Go Letting</t>
        </is>
      </c>
      <c r="B8613" s="4" t="n">
        <v>44681</v>
      </c>
      <c r="C8613" s="3" t="inlineStr">
        <is>
          <t>Expenses</t>
        </is>
      </c>
      <c r="D8613" s="3" t="inlineStr">
        <is>
          <t>4550/600</t>
        </is>
      </c>
      <c r="E8613" s="3" t="inlineStr">
        <is>
          <t>Subscriptions - Webbox</t>
        </is>
      </c>
      <c r="F8613" s="3" t="n">
        <v>1331.7</v>
      </c>
      <c r="G8613" s="3" t="n">
        <v>8783.309999999999</v>
      </c>
    </row>
    <row r="8614">
      <c r="A8614" s="3" t="inlineStr">
        <is>
          <t>Noble Shield (Pty) Ltd ta Go Letting</t>
        </is>
      </c>
      <c r="B8614" s="4" t="n">
        <v>44681</v>
      </c>
      <c r="C8614" s="3" t="inlineStr">
        <is>
          <t>Expenses</t>
        </is>
      </c>
      <c r="D8614" s="3" t="inlineStr">
        <is>
          <t>4550/650</t>
        </is>
      </c>
      <c r="E8614" s="3" t="inlineStr">
        <is>
          <t>Subscriptions - Xero</t>
        </is>
      </c>
      <c r="F8614" s="3" t="n">
        <v>600</v>
      </c>
      <c r="G8614" s="3" t="n">
        <v>5250</v>
      </c>
    </row>
    <row r="8615">
      <c r="A8615" s="3" t="inlineStr">
        <is>
          <t>Noble Shield (Pty) Ltd ta Go Letting</t>
        </is>
      </c>
      <c r="B8615" s="4" t="n">
        <v>44681</v>
      </c>
      <c r="C8615" s="3" t="inlineStr">
        <is>
          <t>Expenses</t>
        </is>
      </c>
      <c r="D8615" s="3" t="inlineStr">
        <is>
          <t>4550/700</t>
        </is>
      </c>
      <c r="E8615" s="3" t="inlineStr">
        <is>
          <t>Subscriptions - Domain renewals</t>
        </is>
      </c>
      <c r="F8615" s="3" t="n">
        <v>0</v>
      </c>
      <c r="G8615" s="3" t="n">
        <v>1726.15</v>
      </c>
    </row>
    <row r="8616">
      <c r="A8616" s="3" t="inlineStr">
        <is>
          <t>Noble Shield (Pty) Ltd ta Go Letting</t>
        </is>
      </c>
      <c r="B8616" s="4" t="n">
        <v>44681</v>
      </c>
      <c r="C8616" s="3" t="inlineStr">
        <is>
          <t>Expenses</t>
        </is>
      </c>
      <c r="D8616" s="3" t="inlineStr">
        <is>
          <t>4550/800</t>
        </is>
      </c>
      <c r="E8616" s="3" t="inlineStr">
        <is>
          <t>Subscriptions - Adobe</t>
        </is>
      </c>
      <c r="F8616" s="3" t="n">
        <v>261.88</v>
      </c>
      <c r="G8616" s="3" t="n">
        <v>261.88</v>
      </c>
    </row>
    <row r="8617">
      <c r="A8617" s="3" t="inlineStr">
        <is>
          <t>Opportunity Global Sales (PTY) LTD</t>
        </is>
      </c>
      <c r="B8617" s="4" t="n">
        <v>44681</v>
      </c>
      <c r="C8617" s="3" t="inlineStr">
        <is>
          <t>Expenses</t>
        </is>
      </c>
      <c r="D8617" s="3" t="inlineStr">
        <is>
          <t>4551/000</t>
        </is>
      </c>
      <c r="E8617" s="3" t="inlineStr">
        <is>
          <t>Subscriptions - Payprop</t>
        </is>
      </c>
      <c r="F8617" s="3" t="n">
        <v>1671.69</v>
      </c>
      <c r="G8617" s="3" t="n">
        <v>2386.51</v>
      </c>
    </row>
    <row r="8618">
      <c r="A8618" s="3" t="inlineStr">
        <is>
          <t>Opportunity Management Holdings (PTY) LTD</t>
        </is>
      </c>
      <c r="B8618" s="4" t="n">
        <v>44681</v>
      </c>
      <c r="C8618" s="3" t="inlineStr">
        <is>
          <t>Expenses</t>
        </is>
      </c>
      <c r="D8618" s="3" t="inlineStr">
        <is>
          <t>4551/000</t>
        </is>
      </c>
      <c r="E8618" s="3" t="inlineStr">
        <is>
          <t>Subscriptions - Xero - Setup</t>
        </is>
      </c>
      <c r="F8618" s="3" t="n">
        <v>0</v>
      </c>
      <c r="G8618" s="3" t="n">
        <v>3000</v>
      </c>
    </row>
    <row r="8619">
      <c r="A8619" s="3" t="inlineStr">
        <is>
          <t>Quinate Consulting (Pty) Ltd</t>
        </is>
      </c>
      <c r="B8619" s="4" t="n">
        <v>44681</v>
      </c>
      <c r="C8619" s="3" t="inlineStr">
        <is>
          <t>Expenses</t>
        </is>
      </c>
      <c r="D8619" s="3" t="inlineStr">
        <is>
          <t>4551/000</t>
        </is>
      </c>
      <c r="E8619" s="3" t="inlineStr">
        <is>
          <t>Subscriptions - Zoho</t>
        </is>
      </c>
      <c r="F8619" s="3" t="n">
        <v>1125</v>
      </c>
      <c r="G8619" s="3" t="n">
        <v>2250</v>
      </c>
    </row>
    <row r="8620">
      <c r="A8620" s="3" t="inlineStr">
        <is>
          <t>Endulini (Pty) Ltd</t>
        </is>
      </c>
      <c r="B8620" s="4" t="n">
        <v>44681</v>
      </c>
      <c r="C8620" s="3" t="inlineStr">
        <is>
          <t>Expenses</t>
        </is>
      </c>
      <c r="D8620" s="3" t="inlineStr">
        <is>
          <t>4552/000</t>
        </is>
      </c>
      <c r="E8620" s="3" t="inlineStr">
        <is>
          <t>Subscriptions - Xero</t>
        </is>
      </c>
      <c r="F8620" s="3" t="n">
        <v>600</v>
      </c>
      <c r="G8620" s="3" t="n">
        <v>1200</v>
      </c>
    </row>
    <row r="8621">
      <c r="A8621" s="3" t="inlineStr">
        <is>
          <t>Opportunity Global Sales (PTY) LTD</t>
        </is>
      </c>
      <c r="B8621" s="4" t="n">
        <v>44681</v>
      </c>
      <c r="C8621" s="3" t="inlineStr">
        <is>
          <t>Expenses</t>
        </is>
      </c>
      <c r="D8621" s="3" t="inlineStr">
        <is>
          <t>4552/000</t>
        </is>
      </c>
      <c r="E8621" s="3" t="inlineStr">
        <is>
          <t>Subscriptions - Xero</t>
        </is>
      </c>
      <c r="F8621" s="3" t="n">
        <v>600</v>
      </c>
      <c r="G8621" s="3" t="n">
        <v>1200</v>
      </c>
    </row>
    <row r="8622">
      <c r="A8622" s="3" t="inlineStr">
        <is>
          <t>Opportunity Management Holdings (PTY) LTD</t>
        </is>
      </c>
      <c r="B8622" s="4" t="n">
        <v>44681</v>
      </c>
      <c r="C8622" s="3" t="inlineStr">
        <is>
          <t>Expenses</t>
        </is>
      </c>
      <c r="D8622" s="3" t="inlineStr">
        <is>
          <t>4552/000</t>
        </is>
      </c>
      <c r="E8622" s="3" t="inlineStr">
        <is>
          <t>Subscriptions - Xero</t>
        </is>
      </c>
      <c r="F8622" s="3" t="n">
        <v>600</v>
      </c>
      <c r="G8622" s="3" t="n">
        <v>2850</v>
      </c>
    </row>
    <row r="8623">
      <c r="A8623" s="3" t="inlineStr">
        <is>
          <t>Opportunity Global Sales (PTY) LTD</t>
        </is>
      </c>
      <c r="B8623" s="4" t="n">
        <v>44681</v>
      </c>
      <c r="C8623" s="3" t="inlineStr">
        <is>
          <t>Expenses</t>
        </is>
      </c>
      <c r="D8623" s="3" t="inlineStr">
        <is>
          <t>4553/000</t>
        </is>
      </c>
      <c r="E8623" s="3" t="inlineStr">
        <is>
          <t>Subscriptions - CMA</t>
        </is>
      </c>
      <c r="F8623" s="3" t="n">
        <v>680</v>
      </c>
      <c r="G8623" s="3" t="n">
        <v>1360</v>
      </c>
    </row>
    <row r="8624">
      <c r="A8624" s="3" t="inlineStr">
        <is>
          <t>Quinate Consulting (Pty) Ltd</t>
        </is>
      </c>
      <c r="B8624" s="4" t="n">
        <v>44681</v>
      </c>
      <c r="C8624" s="3" t="inlineStr">
        <is>
          <t>Expenses</t>
        </is>
      </c>
      <c r="D8624" s="3" t="inlineStr">
        <is>
          <t>4554/000</t>
        </is>
      </c>
      <c r="E8624" s="3" t="inlineStr">
        <is>
          <t>Subscriptions - Xero</t>
        </is>
      </c>
      <c r="F8624" s="3" t="n">
        <v>600</v>
      </c>
      <c r="G8624" s="3" t="n">
        <v>1200</v>
      </c>
    </row>
    <row r="8625">
      <c r="A8625" s="3" t="inlineStr">
        <is>
          <t>Opportunity Global Sales (PTY) LTD</t>
        </is>
      </c>
      <c r="B8625" s="4" t="n">
        <v>44681</v>
      </c>
      <c r="C8625" s="3" t="inlineStr">
        <is>
          <t>Expenses</t>
        </is>
      </c>
      <c r="D8625" s="3" t="inlineStr">
        <is>
          <t>4554/000</t>
        </is>
      </c>
      <c r="E8625" s="3" t="inlineStr">
        <is>
          <t>Subscriptions - Zoho</t>
        </is>
      </c>
      <c r="F8625" s="3" t="n">
        <v>600</v>
      </c>
      <c r="G8625" s="3" t="n">
        <v>1200</v>
      </c>
    </row>
    <row r="8626">
      <c r="A8626" s="3" t="inlineStr">
        <is>
          <t>Opportunity Global Sales (PTY) LTD</t>
        </is>
      </c>
      <c r="B8626" s="4" t="n">
        <v>44681</v>
      </c>
      <c r="C8626" s="3" t="inlineStr">
        <is>
          <t>Expenses</t>
        </is>
      </c>
      <c r="D8626" s="3" t="inlineStr">
        <is>
          <t>4555/000</t>
        </is>
      </c>
      <c r="E8626" s="3" t="inlineStr">
        <is>
          <t>Subscriptions - EAAB</t>
        </is>
      </c>
      <c r="F8626" s="3" t="n">
        <v>500</v>
      </c>
      <c r="G8626" s="3" t="n">
        <v>8500</v>
      </c>
    </row>
    <row r="8627">
      <c r="A8627" s="3" t="inlineStr">
        <is>
          <t>Quinate Consulting (Pty) Ltd</t>
        </is>
      </c>
      <c r="B8627" s="4" t="n">
        <v>44681</v>
      </c>
      <c r="C8627" s="3" t="inlineStr">
        <is>
          <t>Expenses</t>
        </is>
      </c>
      <c r="D8627" s="3" t="inlineStr">
        <is>
          <t>4555/000</t>
        </is>
      </c>
      <c r="E8627" s="3" t="inlineStr">
        <is>
          <t>Subscriptions - OUMS</t>
        </is>
      </c>
      <c r="F8627" s="3" t="n">
        <v>6475.9</v>
      </c>
      <c r="G8627" s="3" t="n">
        <v>12951.8</v>
      </c>
    </row>
    <row r="8628">
      <c r="A8628" s="3" t="inlineStr">
        <is>
          <t>Opportunity Global Investment (PTY) LTD</t>
        </is>
      </c>
      <c r="B8628" s="4" t="n">
        <v>44681</v>
      </c>
      <c r="C8628" s="3" t="inlineStr">
        <is>
          <t>Expenses</t>
        </is>
      </c>
      <c r="D8628" s="3" t="inlineStr">
        <is>
          <t>4600/000</t>
        </is>
      </c>
      <c r="E8628" s="3" t="inlineStr">
        <is>
          <t>Telephone _AND_ Fax</t>
        </is>
      </c>
      <c r="F8628" s="3" t="n">
        <v>3355</v>
      </c>
      <c r="G8628" s="3" t="n">
        <v>6710</v>
      </c>
    </row>
    <row r="8629">
      <c r="A8629" s="3" t="inlineStr">
        <is>
          <t>Trademark Holdings (Pty) Ltd</t>
        </is>
      </c>
      <c r="B8629" s="4" t="n">
        <v>44681</v>
      </c>
      <c r="C8629" s="3" t="inlineStr">
        <is>
          <t>Expenses</t>
        </is>
      </c>
      <c r="D8629" s="3" t="inlineStr">
        <is>
          <t>4600/000</t>
        </is>
      </c>
      <c r="E8629" s="3" t="inlineStr">
        <is>
          <t>Telephone _AND_ Fax</t>
        </is>
      </c>
      <c r="F8629" s="3" t="n">
        <v>1592.03</v>
      </c>
      <c r="G8629" s="3" t="n">
        <v>11663.22</v>
      </c>
    </row>
    <row r="8630">
      <c r="A8630" s="3" t="inlineStr">
        <is>
          <t>Noble Shield (Pty) Ltd ta Go Letting</t>
        </is>
      </c>
      <c r="B8630" s="4" t="n">
        <v>44681</v>
      </c>
      <c r="C8630" s="3" t="inlineStr">
        <is>
          <t>Expenses</t>
        </is>
      </c>
      <c r="D8630" s="3" t="inlineStr">
        <is>
          <t>4600/000</t>
        </is>
      </c>
      <c r="E8630" s="3" t="inlineStr">
        <is>
          <t>Telephone _AND_ Fax - VDB Office</t>
        </is>
      </c>
      <c r="F8630" s="3" t="n">
        <v>0</v>
      </c>
      <c r="G8630" s="3" t="n">
        <v>1926.25</v>
      </c>
    </row>
    <row r="8631">
      <c r="A8631" s="3" t="inlineStr">
        <is>
          <t>Noble Shield (Pty) Ltd ta Go Letting</t>
        </is>
      </c>
      <c r="B8631" s="4" t="n">
        <v>44681</v>
      </c>
      <c r="C8631" s="3" t="inlineStr">
        <is>
          <t>Expenses</t>
        </is>
      </c>
      <c r="D8631" s="3" t="inlineStr">
        <is>
          <t>4610/000</t>
        </is>
      </c>
      <c r="E8631" s="3" t="inlineStr">
        <is>
          <t>Telephone - CT Office</t>
        </is>
      </c>
      <c r="F8631" s="3" t="n">
        <v>1161.31</v>
      </c>
      <c r="G8631" s="3" t="n">
        <v>7276.33</v>
      </c>
    </row>
    <row r="8632">
      <c r="A8632" s="3" t="inlineStr">
        <is>
          <t>Opportunity Management Holdings (PTY) LTD</t>
        </is>
      </c>
      <c r="B8632" s="4" t="n">
        <v>44681</v>
      </c>
      <c r="C8632" s="3" t="inlineStr">
        <is>
          <t>Expenses</t>
        </is>
      </c>
      <c r="D8632" s="3" t="inlineStr">
        <is>
          <t>4650/000</t>
        </is>
      </c>
      <c r="E8632" s="3" t="inlineStr">
        <is>
          <t>Travel _AND_ Accommodation</t>
        </is>
      </c>
      <c r="F8632" s="3" t="n">
        <v>0</v>
      </c>
      <c r="G8632" s="3" t="n">
        <v>139.13</v>
      </c>
    </row>
    <row r="8633">
      <c r="A8633" s="3" t="inlineStr">
        <is>
          <t>Quinate Consulting (Pty) Ltd</t>
        </is>
      </c>
      <c r="B8633" s="4" t="n">
        <v>44681</v>
      </c>
      <c r="C8633" s="3" t="inlineStr">
        <is>
          <t>Expenses</t>
        </is>
      </c>
      <c r="D8633" s="3" t="inlineStr">
        <is>
          <t>4650/030</t>
        </is>
      </c>
      <c r="E8633" s="3" t="inlineStr">
        <is>
          <t>Travel - Parking</t>
        </is>
      </c>
      <c r="F8633" s="3" t="n">
        <v>0</v>
      </c>
      <c r="G8633" s="3" t="n">
        <v>86.95999999999999</v>
      </c>
    </row>
    <row r="8634">
      <c r="A8634" s="3" t="inlineStr">
        <is>
          <t>Opportunity Global Investment (PTY) LTD</t>
        </is>
      </c>
      <c r="B8634" s="4" t="n">
        <v>44681</v>
      </c>
      <c r="C8634" s="3" t="inlineStr">
        <is>
          <t>Expenses</t>
        </is>
      </c>
      <c r="D8634" s="3" t="inlineStr">
        <is>
          <t>4650/080</t>
        </is>
      </c>
      <c r="E8634" s="3" t="inlineStr">
        <is>
          <t>Travel &amp; Accommodation - Staff Reimbursements</t>
        </is>
      </c>
      <c r="F8634" s="3" t="n">
        <v>453.72</v>
      </c>
      <c r="G8634" s="3" t="n">
        <v>453.72</v>
      </c>
    </row>
    <row r="8635">
      <c r="A8635" s="3" t="inlineStr">
        <is>
          <t>Opportunity Global Investment (PTY) LTD</t>
        </is>
      </c>
      <c r="B8635" s="4" t="n">
        <v>44681</v>
      </c>
      <c r="C8635" s="3" t="inlineStr">
        <is>
          <t>Expenses</t>
        </is>
      </c>
      <c r="D8635" s="3" t="inlineStr">
        <is>
          <t>4650/090</t>
        </is>
      </c>
      <c r="E8635" s="3" t="inlineStr">
        <is>
          <t>Travel &amp; Accom - Fuel</t>
        </is>
      </c>
      <c r="F8635" s="3" t="n">
        <v>3194.65</v>
      </c>
      <c r="G8635" s="3" t="n">
        <v>6079.52</v>
      </c>
    </row>
    <row r="8636">
      <c r="A8636" s="3" t="inlineStr">
        <is>
          <t>Quinate Consulting (Pty) Ltd</t>
        </is>
      </c>
      <c r="B8636" s="4" t="n">
        <v>44681</v>
      </c>
      <c r="C8636" s="3" t="inlineStr">
        <is>
          <t>Expenses</t>
        </is>
      </c>
      <c r="D8636" s="3" t="inlineStr">
        <is>
          <t>4650/600</t>
        </is>
      </c>
      <c r="E8636" s="3" t="inlineStr">
        <is>
          <t>Travel - Fuel</t>
        </is>
      </c>
      <c r="F8636" s="3" t="n">
        <v>0</v>
      </c>
      <c r="G8636" s="3" t="n">
        <v>983.1799999999999</v>
      </c>
    </row>
    <row r="8637">
      <c r="A8637" s="3" t="inlineStr">
        <is>
          <t>Noble Shield (Pty) Ltd ta Go Letting</t>
        </is>
      </c>
      <c r="B8637" s="4" t="n">
        <v>44681</v>
      </c>
      <c r="C8637" s="3" t="inlineStr">
        <is>
          <t>Expenses</t>
        </is>
      </c>
      <c r="D8637" s="3" t="inlineStr">
        <is>
          <t>4700/000</t>
        </is>
      </c>
      <c r="E8637" s="3" t="inlineStr">
        <is>
          <t>PAYE Contributions</t>
        </is>
      </c>
      <c r="F8637" s="3" t="n">
        <v>4530.97</v>
      </c>
      <c r="G8637" s="3" t="n">
        <v>40041.82</v>
      </c>
    </row>
    <row r="8638">
      <c r="A8638" s="3" t="inlineStr">
        <is>
          <t>Trademark Holdings (Pty) Ltd</t>
        </is>
      </c>
      <c r="B8638" s="4" t="n">
        <v>44681</v>
      </c>
      <c r="C8638" s="3" t="inlineStr">
        <is>
          <t>Expenses</t>
        </is>
      </c>
      <c r="D8638" s="3" t="inlineStr">
        <is>
          <t>4700/000</t>
        </is>
      </c>
      <c r="E8638" s="3" t="inlineStr">
        <is>
          <t>PAYE Contributions</t>
        </is>
      </c>
      <c r="F8638" s="3" t="n">
        <v>5528.09</v>
      </c>
      <c r="G8638" s="3" t="n">
        <v>46272.68</v>
      </c>
    </row>
    <row r="8639">
      <c r="A8639" s="3" t="inlineStr">
        <is>
          <t>Opportunity Global Investment (PTY) LTD</t>
        </is>
      </c>
      <c r="B8639" s="4" t="n">
        <v>44681</v>
      </c>
      <c r="C8639" s="3" t="inlineStr">
        <is>
          <t>Expenses</t>
        </is>
      </c>
      <c r="D8639" s="3" t="inlineStr">
        <is>
          <t>4700/000</t>
        </is>
      </c>
      <c r="E8639" s="3" t="inlineStr">
        <is>
          <t>UIF Contributions</t>
        </is>
      </c>
      <c r="F8639" s="3" t="n">
        <v>177.12</v>
      </c>
      <c r="G8639" s="3" t="n">
        <v>354.24</v>
      </c>
    </row>
    <row r="8640">
      <c r="A8640" s="3" t="inlineStr">
        <is>
          <t>Opportunity Global Sales (PTY) LTD</t>
        </is>
      </c>
      <c r="B8640" s="4" t="n">
        <v>44681</v>
      </c>
      <c r="C8640" s="3" t="inlineStr">
        <is>
          <t>Expenses</t>
        </is>
      </c>
      <c r="D8640" s="3" t="inlineStr">
        <is>
          <t>4700/000</t>
        </is>
      </c>
      <c r="E8640" s="3" t="inlineStr">
        <is>
          <t>UIF Contributions</t>
        </is>
      </c>
      <c r="F8640" s="3" t="n">
        <v>227.12</v>
      </c>
      <c r="G8640" s="3" t="n">
        <v>454.24</v>
      </c>
    </row>
    <row r="8641">
      <c r="A8641" s="3" t="inlineStr">
        <is>
          <t>Opportunity Global Sales (PTY) LTD</t>
        </is>
      </c>
      <c r="B8641" s="4" t="n">
        <v>44681</v>
      </c>
      <c r="C8641" s="3" t="inlineStr">
        <is>
          <t>Expenses</t>
        </is>
      </c>
      <c r="D8641" s="3" t="inlineStr">
        <is>
          <t>4701/000</t>
        </is>
      </c>
      <c r="E8641" s="3" t="inlineStr">
        <is>
          <t>UIF Employee Contribution</t>
        </is>
      </c>
      <c r="F8641" s="3" t="n">
        <v>227.12</v>
      </c>
      <c r="G8641" s="3" t="n">
        <v>454.24</v>
      </c>
    </row>
    <row r="8642">
      <c r="A8642" s="3" t="inlineStr">
        <is>
          <t>Opportunity Global Investment (PTY) LTD</t>
        </is>
      </c>
      <c r="B8642" s="4" t="n">
        <v>44681</v>
      </c>
      <c r="C8642" s="3" t="inlineStr">
        <is>
          <t>Expenses</t>
        </is>
      </c>
      <c r="D8642" s="3" t="inlineStr">
        <is>
          <t>4701/000</t>
        </is>
      </c>
      <c r="E8642" s="3" t="inlineStr">
        <is>
          <t>UIF Employee Contributions</t>
        </is>
      </c>
      <c r="F8642" s="3" t="n">
        <v>177.12</v>
      </c>
      <c r="G8642" s="3" t="n">
        <v>354.24</v>
      </c>
    </row>
    <row r="8643">
      <c r="A8643" s="3" t="inlineStr">
        <is>
          <t>Noble Shield (Pty) Ltd ta Go Letting</t>
        </is>
      </c>
      <c r="B8643" s="4" t="n">
        <v>44681</v>
      </c>
      <c r="C8643" s="3" t="inlineStr">
        <is>
          <t>Expenses</t>
        </is>
      </c>
      <c r="D8643" s="3" t="inlineStr">
        <is>
          <t>4710/000</t>
        </is>
      </c>
      <c r="E8643" s="3" t="inlineStr">
        <is>
          <t>UIF Company Contributions</t>
        </is>
      </c>
      <c r="F8643" s="3" t="n">
        <v>245.25</v>
      </c>
      <c r="G8643" s="3" t="n">
        <v>1643.92</v>
      </c>
    </row>
    <row r="8644">
      <c r="A8644" s="3" t="inlineStr">
        <is>
          <t>Trademark Holdings (Pty) Ltd</t>
        </is>
      </c>
      <c r="B8644" s="4" t="n">
        <v>44681</v>
      </c>
      <c r="C8644" s="3" t="inlineStr">
        <is>
          <t>Expenses</t>
        </is>
      </c>
      <c r="D8644" s="3" t="inlineStr">
        <is>
          <t>4710/000</t>
        </is>
      </c>
      <c r="E8644" s="3" t="inlineStr">
        <is>
          <t>UIF Company Contributions</t>
        </is>
      </c>
      <c r="F8644" s="3" t="n">
        <v>95.25</v>
      </c>
      <c r="G8644" s="3" t="n">
        <v>1066.62</v>
      </c>
    </row>
    <row r="8645">
      <c r="A8645" s="3" t="inlineStr">
        <is>
          <t>Noble Shield (Pty) Ltd ta Go Letting</t>
        </is>
      </c>
      <c r="B8645" s="4" t="n">
        <v>44681</v>
      </c>
      <c r="C8645" s="3" t="inlineStr">
        <is>
          <t>Expenses</t>
        </is>
      </c>
      <c r="D8645" s="3" t="inlineStr">
        <is>
          <t>4711/000</t>
        </is>
      </c>
      <c r="E8645" s="3" t="inlineStr">
        <is>
          <t>UIF Employee Contribution</t>
        </is>
      </c>
      <c r="F8645" s="3" t="n">
        <v>245.25</v>
      </c>
      <c r="G8645" s="3" t="n">
        <v>1643.92</v>
      </c>
    </row>
    <row r="8646">
      <c r="A8646" s="3" t="inlineStr">
        <is>
          <t>Trademark Holdings (Pty) Ltd</t>
        </is>
      </c>
      <c r="B8646" s="4" t="n">
        <v>44681</v>
      </c>
      <c r="C8646" s="3" t="inlineStr">
        <is>
          <t>Expenses</t>
        </is>
      </c>
      <c r="D8646" s="3" t="inlineStr">
        <is>
          <t>4711/000</t>
        </is>
      </c>
      <c r="E8646" s="3" t="inlineStr">
        <is>
          <t>UIF Employee Contributions</t>
        </is>
      </c>
      <c r="F8646" s="3" t="n">
        <v>95.25</v>
      </c>
      <c r="G8646" s="3" t="n">
        <v>1066.62</v>
      </c>
    </row>
    <row r="8647">
      <c r="A8647" s="3" t="inlineStr">
        <is>
          <t>Noble Shield (Pty) Ltd ta Go Letting</t>
        </is>
      </c>
      <c r="B8647" s="4" t="n">
        <v>44681</v>
      </c>
      <c r="C8647" s="3" t="inlineStr">
        <is>
          <t>Expenses</t>
        </is>
      </c>
      <c r="D8647" s="3" t="inlineStr">
        <is>
          <t>4720/000</t>
        </is>
      </c>
      <c r="E8647" s="3" t="inlineStr">
        <is>
          <t>SDL Contributions</t>
        </is>
      </c>
      <c r="F8647" s="3" t="n">
        <v>418.28</v>
      </c>
      <c r="G8647" s="3" t="n">
        <v>2798.54</v>
      </c>
    </row>
    <row r="8648">
      <c r="A8648" s="3" t="inlineStr">
        <is>
          <t>Trademark Holdings (Pty) Ltd</t>
        </is>
      </c>
      <c r="B8648" s="4" t="n">
        <v>44681</v>
      </c>
      <c r="C8648" s="3" t="inlineStr">
        <is>
          <t>Expenses</t>
        </is>
      </c>
      <c r="D8648" s="3" t="inlineStr">
        <is>
          <t>4720/000</t>
        </is>
      </c>
      <c r="E8648" s="3" t="inlineStr">
        <is>
          <t>SDL Contributions</t>
        </is>
      </c>
      <c r="F8648" s="3" t="n">
        <v>318.54</v>
      </c>
      <c r="G8648" s="3" t="n">
        <v>2488.75</v>
      </c>
    </row>
    <row r="8649">
      <c r="A8649" s="3" t="inlineStr">
        <is>
          <t>Opportunity Global Investment (PTY) LTD</t>
        </is>
      </c>
      <c r="B8649" s="4" t="n">
        <v>44681</v>
      </c>
      <c r="C8649" s="3" t="inlineStr">
        <is>
          <t>Expenses</t>
        </is>
      </c>
      <c r="D8649" s="3" t="inlineStr">
        <is>
          <t>4730/000</t>
        </is>
      </c>
      <c r="E8649" s="3" t="inlineStr">
        <is>
          <t>PAYE Contributions</t>
        </is>
      </c>
      <c r="F8649" s="3" t="n">
        <v>9136.690000000001</v>
      </c>
      <c r="G8649" s="3" t="n">
        <v>18273.39</v>
      </c>
    </row>
    <row r="8650">
      <c r="A8650" s="3" t="inlineStr">
        <is>
          <t>Opportunity Global Sales (PTY) LTD</t>
        </is>
      </c>
      <c r="B8650" s="4" t="n">
        <v>44681</v>
      </c>
      <c r="C8650" s="3" t="inlineStr">
        <is>
          <t>Expenses</t>
        </is>
      </c>
      <c r="D8650" s="3" t="inlineStr">
        <is>
          <t>4730/000</t>
        </is>
      </c>
      <c r="E8650" s="3" t="inlineStr">
        <is>
          <t>PAYE Contributions</t>
        </is>
      </c>
      <c r="F8650" s="3" t="n">
        <v>32790.94</v>
      </c>
      <c r="G8650" s="3" t="n">
        <v>54473.7</v>
      </c>
    </row>
    <row r="8651">
      <c r="A8651" s="3" t="inlineStr">
        <is>
          <t>Opportunity Management Holdings (PTY) LTD</t>
        </is>
      </c>
      <c r="B8651" s="4" t="n">
        <v>44681</v>
      </c>
      <c r="C8651" s="3" t="inlineStr">
        <is>
          <t>Expenses</t>
        </is>
      </c>
      <c r="D8651" s="3" t="inlineStr">
        <is>
          <t>4730/000</t>
        </is>
      </c>
      <c r="E8651" s="3" t="inlineStr">
        <is>
          <t>PAYE Contributions</t>
        </is>
      </c>
      <c r="F8651" s="3" t="n">
        <v>40179.28</v>
      </c>
      <c r="G8651" s="3" t="n">
        <v>255883.41</v>
      </c>
    </row>
    <row r="8652">
      <c r="A8652" s="3" t="inlineStr">
        <is>
          <t>Opportunity Global Investment (PTY) LTD</t>
        </is>
      </c>
      <c r="B8652" s="4" t="n">
        <v>44681</v>
      </c>
      <c r="C8652" s="3" t="inlineStr">
        <is>
          <t>Expenses</t>
        </is>
      </c>
      <c r="D8652" s="3" t="inlineStr">
        <is>
          <t>4740/000</t>
        </is>
      </c>
      <c r="E8652" s="3" t="inlineStr">
        <is>
          <t>SDL Contributions</t>
        </is>
      </c>
      <c r="F8652" s="3" t="n">
        <v>431.1</v>
      </c>
      <c r="G8652" s="3" t="n">
        <v>862.2</v>
      </c>
    </row>
    <row r="8653">
      <c r="A8653" s="3" t="inlineStr">
        <is>
          <t>Opportunity Global Sales (PTY) LTD</t>
        </is>
      </c>
      <c r="B8653" s="4" t="n">
        <v>44681</v>
      </c>
      <c r="C8653" s="3" t="inlineStr">
        <is>
          <t>Expenses</t>
        </is>
      </c>
      <c r="D8653" s="3" t="inlineStr">
        <is>
          <t>4740/000</t>
        </is>
      </c>
      <c r="E8653" s="3" t="inlineStr">
        <is>
          <t>SDL Contributions</t>
        </is>
      </c>
      <c r="F8653" s="3" t="n">
        <v>1900.87</v>
      </c>
      <c r="G8653" s="3" t="n">
        <v>3161</v>
      </c>
    </row>
    <row r="8654">
      <c r="A8654" s="3" t="inlineStr">
        <is>
          <t>Opportunity Management Holdings (PTY) LTD</t>
        </is>
      </c>
      <c r="B8654" s="4" t="n">
        <v>44681</v>
      </c>
      <c r="C8654" s="3" t="inlineStr">
        <is>
          <t>Expenses</t>
        </is>
      </c>
      <c r="D8654" s="3" t="inlineStr">
        <is>
          <t>4740/000</t>
        </is>
      </c>
      <c r="E8654" s="3" t="inlineStr">
        <is>
          <t>UIF Company Contribution</t>
        </is>
      </c>
      <c r="F8654" s="3" t="n">
        <v>1278.1</v>
      </c>
      <c r="G8654" s="3" t="n">
        <v>8075.77</v>
      </c>
    </row>
    <row r="8655">
      <c r="A8655" s="3" t="inlineStr">
        <is>
          <t>Opportunity Management Holdings (PTY) LTD</t>
        </is>
      </c>
      <c r="B8655" s="4" t="n">
        <v>44681</v>
      </c>
      <c r="C8655" s="3" t="inlineStr">
        <is>
          <t>Expenses</t>
        </is>
      </c>
      <c r="D8655" s="3" t="inlineStr">
        <is>
          <t>4741/000</t>
        </is>
      </c>
      <c r="E8655" s="3" t="inlineStr">
        <is>
          <t>UIF Employee Contribution</t>
        </is>
      </c>
      <c r="F8655" s="3" t="n">
        <v>1278.1</v>
      </c>
      <c r="G8655" s="3" t="n">
        <v>8075.77</v>
      </c>
    </row>
    <row r="8656">
      <c r="A8656" s="3" t="inlineStr">
        <is>
          <t>Opportunity Management Holdings (PTY) LTD</t>
        </is>
      </c>
      <c r="B8656" s="4" t="n">
        <v>44681</v>
      </c>
      <c r="C8656" s="3" t="inlineStr">
        <is>
          <t>Expenses</t>
        </is>
      </c>
      <c r="D8656" s="3" t="inlineStr">
        <is>
          <t>4750/000</t>
        </is>
      </c>
      <c r="E8656" s="3" t="inlineStr">
        <is>
          <t>SDL Contribution</t>
        </is>
      </c>
      <c r="F8656" s="3" t="n">
        <v>2189.38</v>
      </c>
      <c r="G8656" s="3" t="n">
        <v>14043.85</v>
      </c>
    </row>
    <row r="8657">
      <c r="A8657" s="3" t="inlineStr">
        <is>
          <t>Noble Shield (Pty) Ltd ta Go Letting</t>
        </is>
      </c>
      <c r="B8657" s="4" t="n">
        <v>44681</v>
      </c>
      <c r="C8657" s="3" t="inlineStr">
        <is>
          <t>Equity</t>
        </is>
      </c>
      <c r="D8657" s="3" t="inlineStr">
        <is>
          <t>5100/000</t>
        </is>
      </c>
      <c r="E8657" s="3" t="inlineStr">
        <is>
          <t>Share Capital</t>
        </is>
      </c>
      <c r="F8657" s="3" t="n">
        <v>0</v>
      </c>
      <c r="G8657" s="3" t="n">
        <v>-1</v>
      </c>
    </row>
    <row r="8658">
      <c r="A8658" s="3" t="inlineStr">
        <is>
          <t>Opportunity Management Holdings (PTY) LTD</t>
        </is>
      </c>
      <c r="B8658" s="4" t="n">
        <v>44681</v>
      </c>
      <c r="C8658" s="3" t="inlineStr">
        <is>
          <t>Equity</t>
        </is>
      </c>
      <c r="D8658" s="3" t="inlineStr">
        <is>
          <t>5100/000</t>
        </is>
      </c>
      <c r="E8658" s="3" t="inlineStr">
        <is>
          <t>Share Capital / Members Contribution</t>
        </is>
      </c>
      <c r="F8658" s="3" t="n">
        <v>0</v>
      </c>
      <c r="G8658" s="3" t="n">
        <v>-120</v>
      </c>
    </row>
    <row r="8659">
      <c r="A8659" s="3" t="inlineStr">
        <is>
          <t>Quinate Consulting (Pty) Ltd</t>
        </is>
      </c>
      <c r="B8659" s="4" t="n">
        <v>44681</v>
      </c>
      <c r="C8659" s="3" t="inlineStr">
        <is>
          <t>Equity</t>
        </is>
      </c>
      <c r="D8659" s="3" t="inlineStr">
        <is>
          <t>5100/000</t>
        </is>
      </c>
      <c r="E8659" s="3" t="inlineStr">
        <is>
          <t>Share Capital / Members Contribution</t>
        </is>
      </c>
      <c r="F8659" s="3" t="n">
        <v>0</v>
      </c>
      <c r="G8659" s="3" t="n">
        <v>-120</v>
      </c>
    </row>
    <row r="8660">
      <c r="A8660" s="3" t="inlineStr">
        <is>
          <t>Trademark Holdings (Pty) Ltd</t>
        </is>
      </c>
      <c r="B8660" s="4" t="n">
        <v>44681</v>
      </c>
      <c r="C8660" s="3" t="inlineStr">
        <is>
          <t>Equity</t>
        </is>
      </c>
      <c r="D8660" s="3" t="inlineStr">
        <is>
          <t>5100/001</t>
        </is>
      </c>
      <c r="E8660" s="3" t="inlineStr">
        <is>
          <t>Share Capital - GFY Investments</t>
        </is>
      </c>
      <c r="F8660" s="3" t="n">
        <v>0</v>
      </c>
      <c r="G8660" s="3" t="n">
        <v>-60</v>
      </c>
    </row>
    <row r="8661">
      <c r="A8661" s="3" t="inlineStr">
        <is>
          <t>Trademark Holdings (Pty) Ltd</t>
        </is>
      </c>
      <c r="B8661" s="4" t="n">
        <v>44681</v>
      </c>
      <c r="C8661" s="3" t="inlineStr">
        <is>
          <t>Equity</t>
        </is>
      </c>
      <c r="D8661" s="3" t="inlineStr">
        <is>
          <t>5100/002</t>
        </is>
      </c>
      <c r="E8661" s="3" t="inlineStr">
        <is>
          <t>Share Capital - Zak Trust</t>
        </is>
      </c>
      <c r="F8661" s="3" t="n">
        <v>0</v>
      </c>
      <c r="G8661" s="3" t="n">
        <v>-60</v>
      </c>
    </row>
    <row r="8662">
      <c r="A8662" s="3" t="inlineStr">
        <is>
          <t>Opportunity Global Investment (PTY) LTD</t>
        </is>
      </c>
      <c r="B8662" s="4" t="n">
        <v>44681</v>
      </c>
      <c r="C8662" s="3" t="inlineStr">
        <is>
          <t>Equity</t>
        </is>
      </c>
      <c r="D8662" s="3" t="inlineStr">
        <is>
          <t>5101/000</t>
        </is>
      </c>
      <c r="E8662" s="3" t="inlineStr">
        <is>
          <t>Share Capital - Ordinary Type A</t>
        </is>
      </c>
      <c r="F8662" s="3" t="n">
        <v>0</v>
      </c>
      <c r="G8662" s="3" t="n">
        <v>-70</v>
      </c>
    </row>
    <row r="8663">
      <c r="A8663" s="3" t="inlineStr">
        <is>
          <t>Opportunity Global Investment (PTY) LTD</t>
        </is>
      </c>
      <c r="B8663" s="4" t="n">
        <v>44681</v>
      </c>
      <c r="C8663" s="3" t="inlineStr">
        <is>
          <t>Equity</t>
        </is>
      </c>
      <c r="D8663" s="3" t="inlineStr">
        <is>
          <t>5102/000</t>
        </is>
      </c>
      <c r="E8663" s="3" t="inlineStr">
        <is>
          <t>Share Capital - Ordinary Type B</t>
        </is>
      </c>
      <c r="F8663" s="3" t="n">
        <v>0</v>
      </c>
      <c r="G8663" s="3" t="n">
        <v>-30</v>
      </c>
    </row>
    <row r="8664">
      <c r="A8664" s="3" t="inlineStr">
        <is>
          <t>Endulini (Pty) Ltd</t>
        </is>
      </c>
      <c r="B8664" s="4" t="n">
        <v>44681</v>
      </c>
      <c r="C8664" s="3" t="inlineStr">
        <is>
          <t>Equity</t>
        </is>
      </c>
      <c r="D8664" s="3" t="inlineStr">
        <is>
          <t>5200/000</t>
        </is>
      </c>
      <c r="E8664" s="3" t="inlineStr">
        <is>
          <t>Retained Earnings / Loss</t>
        </is>
      </c>
      <c r="F8664" s="3" t="n">
        <v>0</v>
      </c>
      <c r="G8664" s="3" t="n">
        <v>-4937860.07</v>
      </c>
    </row>
    <row r="8665">
      <c r="A8665" s="3" t="inlineStr">
        <is>
          <t>Noble Shield (Pty) Ltd ta Go Letting</t>
        </is>
      </c>
      <c r="B8665" s="4" t="n">
        <v>44681</v>
      </c>
      <c r="C8665" s="3" t="inlineStr">
        <is>
          <t>Equity</t>
        </is>
      </c>
      <c r="D8665" s="3" t="inlineStr">
        <is>
          <t>5200/000</t>
        </is>
      </c>
      <c r="E8665" s="3" t="inlineStr">
        <is>
          <t>Retained Earnings / Loss</t>
        </is>
      </c>
      <c r="F8665" s="3" t="n">
        <v>0</v>
      </c>
      <c r="G8665" s="3" t="n">
        <v>-59256.74</v>
      </c>
    </row>
    <row r="8666">
      <c r="A8666" s="3" t="inlineStr">
        <is>
          <t>Opportunity Global Investment (PTY) LTD</t>
        </is>
      </c>
      <c r="B8666" s="4" t="n">
        <v>44681</v>
      </c>
      <c r="C8666" s="3" t="inlineStr">
        <is>
          <t>Equity</t>
        </is>
      </c>
      <c r="D8666" s="3" t="inlineStr">
        <is>
          <t>5200/000</t>
        </is>
      </c>
      <c r="E8666" s="3" t="inlineStr">
        <is>
          <t>Retained Earnings / Loss</t>
        </is>
      </c>
      <c r="F8666" s="3" t="n">
        <v>0</v>
      </c>
      <c r="G8666" s="3" t="n">
        <v>465853.58</v>
      </c>
    </row>
    <row r="8667">
      <c r="A8667" s="3" t="inlineStr">
        <is>
          <t>Opportunity Global Sales (PTY) LTD</t>
        </is>
      </c>
      <c r="B8667" s="4" t="n">
        <v>44681</v>
      </c>
      <c r="C8667" s="3" t="inlineStr">
        <is>
          <t>Equity</t>
        </is>
      </c>
      <c r="D8667" s="3" t="inlineStr">
        <is>
          <t>5200/000</t>
        </is>
      </c>
      <c r="E8667" s="3" t="inlineStr">
        <is>
          <t>Retained Earnings / Loss</t>
        </is>
      </c>
      <c r="F8667" s="3" t="n">
        <v>0</v>
      </c>
      <c r="G8667" s="3" t="n">
        <v>-565683.55</v>
      </c>
    </row>
    <row r="8668">
      <c r="A8668" s="3" t="inlineStr">
        <is>
          <t>Opportunity Management Holdings (PTY) LTD</t>
        </is>
      </c>
      <c r="B8668" s="4" t="n">
        <v>44681</v>
      </c>
      <c r="C8668" s="3" t="inlineStr">
        <is>
          <t>Equity</t>
        </is>
      </c>
      <c r="D8668" s="3" t="inlineStr">
        <is>
          <t>5200/000</t>
        </is>
      </c>
      <c r="E8668" s="3" t="inlineStr">
        <is>
          <t>Retained Earnings / Loss</t>
        </is>
      </c>
      <c r="F8668" s="3" t="n">
        <v>0</v>
      </c>
      <c r="G8668" s="3" t="n">
        <v>1435438.74</v>
      </c>
    </row>
    <row r="8669">
      <c r="A8669" s="3" t="inlineStr">
        <is>
          <t>Quinate Consulting (Pty) Ltd</t>
        </is>
      </c>
      <c r="B8669" s="4" t="n">
        <v>44681</v>
      </c>
      <c r="C8669" s="3" t="inlineStr">
        <is>
          <t>Equity</t>
        </is>
      </c>
      <c r="D8669" s="3" t="inlineStr">
        <is>
          <t>5200/000</t>
        </is>
      </c>
      <c r="E8669" s="3" t="inlineStr">
        <is>
          <t>Retained Earnings / Loss</t>
        </is>
      </c>
      <c r="F8669" s="3" t="n">
        <v>0</v>
      </c>
      <c r="G8669" s="3" t="n">
        <v>571333.3</v>
      </c>
    </row>
    <row r="8670">
      <c r="A8670" s="3" t="inlineStr">
        <is>
          <t>Trademark Holdings (Pty) Ltd</t>
        </is>
      </c>
      <c r="B8670" s="4" t="n">
        <v>44681</v>
      </c>
      <c r="C8670" s="3" t="inlineStr">
        <is>
          <t>Equity</t>
        </is>
      </c>
      <c r="D8670" s="3" t="inlineStr">
        <is>
          <t>5200/000</t>
        </is>
      </c>
      <c r="E8670" s="3" t="inlineStr">
        <is>
          <t>Retained Earnings / Loss</t>
        </is>
      </c>
      <c r="F8670" s="3" t="n">
        <v>0</v>
      </c>
      <c r="G8670" s="3" t="n">
        <v>-150612.02</v>
      </c>
    </row>
    <row r="8671">
      <c r="A8671" s="3" t="inlineStr">
        <is>
          <t>Quinate Consulting (Pty) Ltd</t>
        </is>
      </c>
      <c r="B8671" s="4" t="n">
        <v>44681</v>
      </c>
      <c r="C8671" s="3" t="inlineStr">
        <is>
          <t>Assets</t>
        </is>
      </c>
      <c r="D8671" s="3" t="inlineStr">
        <is>
          <t>5400/011</t>
        </is>
      </c>
      <c r="E8671" s="3" t="inlineStr">
        <is>
          <t>Members Loan - Nick Morgan</t>
        </is>
      </c>
      <c r="F8671" s="3" t="n">
        <v>0</v>
      </c>
      <c r="G8671" s="3" t="n">
        <v>-85743.69</v>
      </c>
    </row>
    <row r="8672">
      <c r="A8672" s="3" t="inlineStr">
        <is>
          <t>Opportunity Management Holdings (PTY) LTD</t>
        </is>
      </c>
      <c r="B8672" s="4" t="n">
        <v>44681</v>
      </c>
      <c r="C8672" s="3" t="inlineStr">
        <is>
          <t>Assets</t>
        </is>
      </c>
      <c r="D8672" s="3" t="inlineStr">
        <is>
          <t>5400/500</t>
        </is>
      </c>
      <c r="E8672" s="3" t="inlineStr">
        <is>
          <t>Shareholder - Zak Loan</t>
        </is>
      </c>
      <c r="F8672" s="3" t="n">
        <v>0</v>
      </c>
      <c r="G8672" s="3" t="n">
        <v>-171798.21</v>
      </c>
    </row>
    <row r="8673">
      <c r="A8673" s="3" t="inlineStr">
        <is>
          <t>Quinate Consulting (Pty) Ltd</t>
        </is>
      </c>
      <c r="B8673" s="4" t="n">
        <v>44681</v>
      </c>
      <c r="C8673" s="3" t="inlineStr">
        <is>
          <t>Liabilities</t>
        </is>
      </c>
      <c r="D8673" s="3" t="inlineStr">
        <is>
          <t>5500/010</t>
        </is>
      </c>
      <c r="E8673" s="3" t="inlineStr">
        <is>
          <t>Loan - Wynand Haywood</t>
        </is>
      </c>
      <c r="F8673" s="3" t="n">
        <v>0</v>
      </c>
      <c r="G8673" s="3" t="n">
        <v>1928.67</v>
      </c>
    </row>
    <row r="8674">
      <c r="A8674" s="3" t="inlineStr">
        <is>
          <t>Opportunity Global Investment (PTY) LTD</t>
        </is>
      </c>
      <c r="B8674" s="4" t="n">
        <v>44681</v>
      </c>
      <c r="C8674" s="3" t="inlineStr">
        <is>
          <t>Liabilities</t>
        </is>
      </c>
      <c r="D8674" s="3" t="inlineStr">
        <is>
          <t>5500/100</t>
        </is>
      </c>
      <c r="E8674" s="3" t="inlineStr">
        <is>
          <t>Loan - Cape Projects Construction</t>
        </is>
      </c>
      <c r="F8674" s="3" t="n">
        <v>178000</v>
      </c>
      <c r="G8674" s="3" t="n">
        <v>208000</v>
      </c>
    </row>
    <row r="8675">
      <c r="A8675" s="3" t="inlineStr">
        <is>
          <t>Noble Shield (Pty) Ltd ta Go Letting</t>
        </is>
      </c>
      <c r="B8675" s="4" t="n">
        <v>44681</v>
      </c>
      <c r="C8675" s="3" t="inlineStr">
        <is>
          <t>Liabilities</t>
        </is>
      </c>
      <c r="D8675" s="3" t="inlineStr">
        <is>
          <t>5500/100</t>
        </is>
      </c>
      <c r="E8675" s="3" t="inlineStr">
        <is>
          <t>Loan - Jupiter Trust</t>
        </is>
      </c>
      <c r="F8675" s="3" t="n">
        <v>0</v>
      </c>
      <c r="G8675" s="3" t="n">
        <v>-100228.75</v>
      </c>
    </row>
    <row r="8676">
      <c r="A8676" s="3" t="inlineStr">
        <is>
          <t>Trademark Holdings (Pty) Ltd</t>
        </is>
      </c>
      <c r="B8676" s="4" t="n">
        <v>44681</v>
      </c>
      <c r="C8676" s="3" t="inlineStr">
        <is>
          <t>Liabilities</t>
        </is>
      </c>
      <c r="D8676" s="3" t="inlineStr">
        <is>
          <t>5500/100</t>
        </is>
      </c>
      <c r="E8676" s="3" t="inlineStr">
        <is>
          <t>Loan - Opportunity Global Investments</t>
        </is>
      </c>
      <c r="F8676" s="3" t="n">
        <v>10500</v>
      </c>
      <c r="G8676" s="3" t="n">
        <v>0</v>
      </c>
    </row>
    <row r="8677">
      <c r="A8677" s="3" t="inlineStr">
        <is>
          <t>Endulini (Pty) Ltd</t>
        </is>
      </c>
      <c r="B8677" s="4" t="n">
        <v>44681</v>
      </c>
      <c r="C8677" s="3" t="inlineStr">
        <is>
          <t>Liabilities</t>
        </is>
      </c>
      <c r="D8677" s="3" t="inlineStr">
        <is>
          <t>5500/100</t>
        </is>
      </c>
      <c r="E8677" s="3" t="inlineStr">
        <is>
          <t>Loan - Quinate Consulting</t>
        </is>
      </c>
      <c r="F8677" s="3" t="n">
        <v>375000</v>
      </c>
      <c r="G8677" s="3" t="n">
        <v>-9768761.699999999</v>
      </c>
    </row>
    <row r="8678">
      <c r="A8678" s="3" t="inlineStr">
        <is>
          <t>Opportunity Global Investment (PTY) LTD</t>
        </is>
      </c>
      <c r="B8678" s="4" t="n">
        <v>44681</v>
      </c>
      <c r="C8678" s="3" t="inlineStr">
        <is>
          <t>Liabilities</t>
        </is>
      </c>
      <c r="D8678" s="3" t="inlineStr">
        <is>
          <t>5500/110</t>
        </is>
      </c>
      <c r="E8678" s="3" t="inlineStr">
        <is>
          <t>Loan - Opportunity Trademark Holdings</t>
        </is>
      </c>
      <c r="F8678" s="3" t="n">
        <v>-10500</v>
      </c>
      <c r="G8678" s="3" t="n">
        <v>0</v>
      </c>
    </row>
    <row r="8679">
      <c r="A8679" s="3" t="inlineStr">
        <is>
          <t>Opportunity Global Investment (PTY) LTD</t>
        </is>
      </c>
      <c r="B8679" s="4" t="n">
        <v>44681</v>
      </c>
      <c r="C8679" s="3" t="inlineStr">
        <is>
          <t>Liabilities</t>
        </is>
      </c>
      <c r="D8679" s="3" t="inlineStr">
        <is>
          <t>5500/112</t>
        </is>
      </c>
      <c r="E8679" s="3" t="inlineStr">
        <is>
          <t>Loan - GFY</t>
        </is>
      </c>
      <c r="F8679" s="3" t="n">
        <v>0</v>
      </c>
      <c r="G8679" s="3" t="n">
        <v>-289000</v>
      </c>
    </row>
    <row r="8680">
      <c r="A8680" s="3" t="inlineStr">
        <is>
          <t>Opportunity Management Holdings (PTY) LTD</t>
        </is>
      </c>
      <c r="B8680" s="4" t="n">
        <v>44681</v>
      </c>
      <c r="C8680" s="3" t="inlineStr">
        <is>
          <t>Liabilities</t>
        </is>
      </c>
      <c r="D8680" s="3" t="inlineStr">
        <is>
          <t>5500/150</t>
        </is>
      </c>
      <c r="E8680" s="3" t="inlineStr">
        <is>
          <t>Loan - Opportunity Investments</t>
        </is>
      </c>
      <c r="F8680" s="3" t="n">
        <v>0</v>
      </c>
      <c r="G8680" s="3" t="n">
        <v>54550</v>
      </c>
    </row>
    <row r="8681">
      <c r="A8681" s="3" t="inlineStr">
        <is>
          <t>Quinate Consulting (Pty) Ltd</t>
        </is>
      </c>
      <c r="B8681" s="4" t="n">
        <v>44681</v>
      </c>
      <c r="C8681" s="3" t="inlineStr">
        <is>
          <t>Liabilities</t>
        </is>
      </c>
      <c r="D8681" s="3" t="inlineStr">
        <is>
          <t>5500/160</t>
        </is>
      </c>
      <c r="E8681" s="3" t="inlineStr">
        <is>
          <t>Loan - GFY Investment and Consulting</t>
        </is>
      </c>
      <c r="F8681" s="3" t="n">
        <v>0</v>
      </c>
      <c r="G8681" s="3" t="n">
        <v>-1750249.93</v>
      </c>
    </row>
    <row r="8682">
      <c r="A8682" s="3" t="inlineStr">
        <is>
          <t>Opportunity Management Holdings (PTY) LTD</t>
        </is>
      </c>
      <c r="B8682" s="4" t="n">
        <v>44681</v>
      </c>
      <c r="C8682" s="3" t="inlineStr">
        <is>
          <t>Liabilities</t>
        </is>
      </c>
      <c r="D8682" s="3" t="inlineStr">
        <is>
          <t>5500/200</t>
        </is>
      </c>
      <c r="E8682" s="3" t="inlineStr">
        <is>
          <t>Loan - Cape Projects</t>
        </is>
      </c>
      <c r="F8682" s="3" t="n">
        <v>30000</v>
      </c>
      <c r="G8682" s="3" t="n">
        <v>55233.05</v>
      </c>
    </row>
    <row r="8683">
      <c r="A8683" s="3" t="inlineStr">
        <is>
          <t>Endulini (Pty) Ltd</t>
        </is>
      </c>
      <c r="B8683" s="4" t="n">
        <v>44681</v>
      </c>
      <c r="C8683" s="3" t="inlineStr">
        <is>
          <t>Liabilities</t>
        </is>
      </c>
      <c r="D8683" s="3" t="inlineStr">
        <is>
          <t>5500/250</t>
        </is>
      </c>
      <c r="E8683" s="3" t="inlineStr">
        <is>
          <t>Loan - Heron Projects</t>
        </is>
      </c>
      <c r="F8683" s="3" t="n">
        <v>0</v>
      </c>
      <c r="G8683" s="3" t="n">
        <v>4240.63</v>
      </c>
    </row>
    <row r="8684">
      <c r="A8684" s="3" t="inlineStr">
        <is>
          <t>Trademark Holdings (Pty) Ltd</t>
        </is>
      </c>
      <c r="B8684" s="4" t="n">
        <v>44681</v>
      </c>
      <c r="C8684" s="3" t="inlineStr">
        <is>
          <t>Liabilities</t>
        </is>
      </c>
      <c r="D8684" s="3" t="inlineStr">
        <is>
          <t>5500/250</t>
        </is>
      </c>
      <c r="E8684" s="3" t="inlineStr">
        <is>
          <t>Loan - Noble Shield</t>
        </is>
      </c>
      <c r="F8684" s="3" t="n">
        <v>5000</v>
      </c>
      <c r="G8684" s="3" t="n">
        <v>83165.59</v>
      </c>
    </row>
    <row r="8685">
      <c r="A8685" s="3" t="inlineStr">
        <is>
          <t>Quinate Consulting (Pty) Ltd</t>
        </is>
      </c>
      <c r="B8685" s="4" t="n">
        <v>44681</v>
      </c>
      <c r="C8685" s="3" t="inlineStr">
        <is>
          <t>Liabilities</t>
        </is>
      </c>
      <c r="D8685" s="3" t="inlineStr">
        <is>
          <t>5500/300</t>
        </is>
      </c>
      <c r="E8685" s="3" t="inlineStr">
        <is>
          <t>Loan - Gengis</t>
        </is>
      </c>
      <c r="F8685" s="3" t="n">
        <v>-1479.45</v>
      </c>
      <c r="G8685" s="3" t="n">
        <v>-267824.66</v>
      </c>
    </row>
    <row r="8686">
      <c r="A8686" s="3" t="inlineStr">
        <is>
          <t>Opportunity Management Holdings (PTY) LTD</t>
        </is>
      </c>
      <c r="B8686" s="4" t="n">
        <v>44681</v>
      </c>
      <c r="C8686" s="3" t="inlineStr">
        <is>
          <t>Liabilities</t>
        </is>
      </c>
      <c r="D8686" s="3" t="inlineStr">
        <is>
          <t>5500/300</t>
        </is>
      </c>
      <c r="E8686" s="3" t="inlineStr">
        <is>
          <t>Loan - Opportunity Prop Management</t>
        </is>
      </c>
      <c r="F8686" s="3" t="n">
        <v>0</v>
      </c>
      <c r="G8686" s="3" t="n">
        <v>-1220204.15</v>
      </c>
    </row>
    <row r="8687">
      <c r="A8687" s="3" t="inlineStr">
        <is>
          <t>Noble Shield (Pty) Ltd ta Go Letting</t>
        </is>
      </c>
      <c r="B8687" s="4" t="n">
        <v>44681</v>
      </c>
      <c r="C8687" s="3" t="inlineStr">
        <is>
          <t>Liabilities</t>
        </is>
      </c>
      <c r="D8687" s="3" t="inlineStr">
        <is>
          <t>5500/300</t>
        </is>
      </c>
      <c r="E8687" s="3" t="inlineStr">
        <is>
          <t>Loan - Trademark Holdings</t>
        </is>
      </c>
      <c r="F8687" s="3" t="n">
        <v>-5000</v>
      </c>
      <c r="G8687" s="3" t="n">
        <v>-83165.59</v>
      </c>
    </row>
    <row r="8688">
      <c r="A8688" s="3" t="inlineStr">
        <is>
          <t>Opportunity Global Investment (PTY) LTD</t>
        </is>
      </c>
      <c r="B8688" s="4" t="n">
        <v>44681</v>
      </c>
      <c r="C8688" s="3" t="inlineStr">
        <is>
          <t>Liabilities</t>
        </is>
      </c>
      <c r="D8688" s="3" t="inlineStr">
        <is>
          <t>5500/350</t>
        </is>
      </c>
      <c r="E8688" s="3" t="inlineStr">
        <is>
          <t>Loan - Opportunity Management Holdings</t>
        </is>
      </c>
      <c r="F8688" s="3" t="n">
        <v>0</v>
      </c>
      <c r="G8688" s="3" t="n">
        <v>-54550</v>
      </c>
    </row>
    <row r="8689">
      <c r="A8689" s="3" t="inlineStr">
        <is>
          <t>Trademark Holdings (Pty) Ltd</t>
        </is>
      </c>
      <c r="B8689" s="4" t="n">
        <v>44681</v>
      </c>
      <c r="C8689" s="3" t="inlineStr">
        <is>
          <t>Liabilities</t>
        </is>
      </c>
      <c r="D8689" s="3" t="inlineStr">
        <is>
          <t>5500/350</t>
        </is>
      </c>
      <c r="E8689" s="3" t="inlineStr">
        <is>
          <t>Loan - Quinate Consulting</t>
        </is>
      </c>
      <c r="F8689" s="3" t="n">
        <v>0</v>
      </c>
      <c r="G8689" s="3" t="n">
        <v>18635</v>
      </c>
    </row>
    <row r="8690">
      <c r="A8690" s="3" t="inlineStr">
        <is>
          <t>Trademark Holdings (Pty) Ltd</t>
        </is>
      </c>
      <c r="B8690" s="4" t="n">
        <v>44681</v>
      </c>
      <c r="C8690" s="3" t="inlineStr">
        <is>
          <t>Liabilities</t>
        </is>
      </c>
      <c r="D8690" s="3" t="inlineStr">
        <is>
          <t>5500/375</t>
        </is>
      </c>
      <c r="E8690" s="3" t="inlineStr">
        <is>
          <t>Loan - Opportunity Management Holdings Pty Ltd</t>
        </is>
      </c>
      <c r="F8690" s="3" t="n">
        <v>25445</v>
      </c>
      <c r="G8690" s="3" t="n">
        <v>0</v>
      </c>
    </row>
    <row r="8691">
      <c r="A8691" s="3" t="inlineStr">
        <is>
          <t>Trademark Holdings (Pty) Ltd</t>
        </is>
      </c>
      <c r="B8691" s="4" t="n">
        <v>44681</v>
      </c>
      <c r="C8691" s="3" t="inlineStr">
        <is>
          <t>Liabilities</t>
        </is>
      </c>
      <c r="D8691" s="3" t="inlineStr">
        <is>
          <t>5500/450</t>
        </is>
      </c>
      <c r="E8691" s="3" t="inlineStr">
        <is>
          <t>Loan - Cape Projects Construction</t>
        </is>
      </c>
      <c r="F8691" s="3" t="n">
        <v>-29400</v>
      </c>
      <c r="G8691" s="3" t="n">
        <v>-600</v>
      </c>
    </row>
    <row r="8692">
      <c r="A8692" s="3" t="inlineStr">
        <is>
          <t>Trademark Holdings (Pty) Ltd</t>
        </is>
      </c>
      <c r="B8692" s="4" t="n">
        <v>44681</v>
      </c>
      <c r="C8692" s="3" t="inlineStr">
        <is>
          <t>Liabilities</t>
        </is>
      </c>
      <c r="D8692" s="3" t="inlineStr">
        <is>
          <t>5500/500</t>
        </is>
      </c>
      <c r="E8692" s="3" t="inlineStr">
        <is>
          <t>Go Letting Brand Name</t>
        </is>
      </c>
      <c r="F8692" s="3" t="n">
        <v>0</v>
      </c>
      <c r="G8692" s="3" t="n">
        <v>93420</v>
      </c>
    </row>
    <row r="8693">
      <c r="A8693" s="3" t="inlineStr">
        <is>
          <t>Noble Shield (Pty) Ltd ta Go Letting</t>
        </is>
      </c>
      <c r="B8693" s="4" t="n">
        <v>44681</v>
      </c>
      <c r="C8693" s="3" t="inlineStr">
        <is>
          <t>Liabilities</t>
        </is>
      </c>
      <c r="D8693" s="3" t="inlineStr">
        <is>
          <t>5500/500</t>
        </is>
      </c>
      <c r="E8693" s="3" t="inlineStr">
        <is>
          <t>Loan - Cape Projects Construction</t>
        </is>
      </c>
      <c r="F8693" s="3" t="n">
        <v>600</v>
      </c>
      <c r="G8693" s="3" t="n">
        <v>-600</v>
      </c>
    </row>
    <row r="8694">
      <c r="A8694" s="3" t="inlineStr">
        <is>
          <t>Quinate Consulting (Pty) Ltd</t>
        </is>
      </c>
      <c r="B8694" s="4" t="n">
        <v>44681</v>
      </c>
      <c r="C8694" s="3" t="inlineStr">
        <is>
          <t>Liabilities</t>
        </is>
      </c>
      <c r="D8694" s="3" t="inlineStr">
        <is>
          <t>5500/500</t>
        </is>
      </c>
      <c r="E8694" s="3" t="inlineStr">
        <is>
          <t>Loan - Opportunity Development Struct.</t>
        </is>
      </c>
      <c r="F8694" s="3" t="n">
        <v>0</v>
      </c>
      <c r="G8694" s="3" t="n">
        <v>-2380000</v>
      </c>
    </row>
    <row r="8695">
      <c r="A8695" s="3" t="inlineStr">
        <is>
          <t>Opportunity Management Holdings (PTY) LTD</t>
        </is>
      </c>
      <c r="B8695" s="4" t="n">
        <v>44681</v>
      </c>
      <c r="C8695" s="3" t="inlineStr">
        <is>
          <t>Liabilities</t>
        </is>
      </c>
      <c r="D8695" s="3" t="inlineStr">
        <is>
          <t>5500/500</t>
        </is>
      </c>
      <c r="E8695" s="3" t="inlineStr">
        <is>
          <t>Loan - Opportunity Tradermark Holdings</t>
        </is>
      </c>
      <c r="F8695" s="3" t="n">
        <v>-25445</v>
      </c>
      <c r="G8695" s="3" t="n">
        <v>0</v>
      </c>
    </row>
    <row r="8696">
      <c r="A8696" s="3" t="inlineStr">
        <is>
          <t>Quinate Consulting (Pty) Ltd</t>
        </is>
      </c>
      <c r="B8696" s="4" t="n">
        <v>44681</v>
      </c>
      <c r="C8696" s="3" t="inlineStr">
        <is>
          <t>Liabilities</t>
        </is>
      </c>
      <c r="D8696" s="3" t="inlineStr">
        <is>
          <t>5500/520</t>
        </is>
      </c>
      <c r="E8696" s="3" t="inlineStr">
        <is>
          <t>Loan - Opportunity Management Holdings</t>
        </is>
      </c>
      <c r="F8696" s="3" t="n">
        <v>0</v>
      </c>
      <c r="G8696" s="3" t="n">
        <v>-3900</v>
      </c>
    </row>
    <row r="8697">
      <c r="A8697" s="3" t="inlineStr">
        <is>
          <t>Opportunity Global Investment (PTY) LTD</t>
        </is>
      </c>
      <c r="B8697" s="4" t="n">
        <v>44681</v>
      </c>
      <c r="C8697" s="3" t="inlineStr">
        <is>
          <t>Liabilities</t>
        </is>
      </c>
      <c r="D8697" s="3" t="inlineStr">
        <is>
          <t>5500/650</t>
        </is>
      </c>
      <c r="E8697" s="3" t="inlineStr">
        <is>
          <t>Loan - Opportunit Global - Sales</t>
        </is>
      </c>
      <c r="F8697" s="3" t="n">
        <v>-331000</v>
      </c>
      <c r="G8697" s="3" t="n">
        <v>-723811.0600000001</v>
      </c>
    </row>
    <row r="8698">
      <c r="A8698" s="3" t="inlineStr">
        <is>
          <t>Opportunity Global Sales (PTY) LTD</t>
        </is>
      </c>
      <c r="B8698" s="4" t="n">
        <v>44681</v>
      </c>
      <c r="C8698" s="3" t="inlineStr">
        <is>
          <t>Liabilities</t>
        </is>
      </c>
      <c r="D8698" s="3" t="inlineStr">
        <is>
          <t>5500/650</t>
        </is>
      </c>
      <c r="E8698" s="3" t="inlineStr">
        <is>
          <t>Loan - Opportunity Investments</t>
        </is>
      </c>
      <c r="F8698" s="3" t="n">
        <v>302545.45</v>
      </c>
      <c r="G8698" s="3" t="n">
        <v>723811.0600000001</v>
      </c>
    </row>
    <row r="8699">
      <c r="A8699" s="3" t="inlineStr">
        <is>
          <t>Opportunity Management Holdings (PTY) LTD</t>
        </is>
      </c>
      <c r="B8699" s="4" t="n">
        <v>44681</v>
      </c>
      <c r="C8699" s="3" t="inlineStr">
        <is>
          <t>Liabilities</t>
        </is>
      </c>
      <c r="D8699" s="3" t="inlineStr">
        <is>
          <t>5500/700</t>
        </is>
      </c>
      <c r="E8699" s="3" t="inlineStr">
        <is>
          <t>Loan - Go Letting</t>
        </is>
      </c>
      <c r="F8699" s="3" t="n">
        <v>0</v>
      </c>
      <c r="G8699" s="3" t="n">
        <v>-120</v>
      </c>
    </row>
    <row r="8700">
      <c r="A8700" s="3" t="inlineStr">
        <is>
          <t>Quinate Consulting (Pty) Ltd</t>
        </is>
      </c>
      <c r="B8700" s="4" t="n">
        <v>44681</v>
      </c>
      <c r="C8700" s="3" t="inlineStr">
        <is>
          <t>Liabilities</t>
        </is>
      </c>
      <c r="D8700" s="3" t="inlineStr">
        <is>
          <t>5500/700</t>
        </is>
      </c>
      <c r="E8700" s="3" t="inlineStr">
        <is>
          <t>Loan - Trademark Holdings</t>
        </is>
      </c>
      <c r="F8700" s="3" t="n">
        <v>0</v>
      </c>
      <c r="G8700" s="3" t="n">
        <v>-18635</v>
      </c>
    </row>
    <row r="8701">
      <c r="A8701" s="3" t="inlineStr">
        <is>
          <t>Opportunity Global Investment (PTY) LTD</t>
        </is>
      </c>
      <c r="B8701" s="4" t="n">
        <v>44681</v>
      </c>
      <c r="C8701" s="3" t="inlineStr">
        <is>
          <t>Liabilities</t>
        </is>
      </c>
      <c r="D8701" s="3" t="inlineStr">
        <is>
          <t>5500/850</t>
        </is>
      </c>
      <c r="E8701" s="3" t="inlineStr">
        <is>
          <t>Loan - Nick Morgan</t>
        </is>
      </c>
      <c r="F8701" s="3" t="n">
        <v>0</v>
      </c>
      <c r="G8701" s="3" t="n">
        <v>4100</v>
      </c>
    </row>
    <row r="8702">
      <c r="A8702" s="3" t="inlineStr">
        <is>
          <t>Opportunity Global Investment (PTY) LTD</t>
        </is>
      </c>
      <c r="B8702" s="4" t="n">
        <v>44681</v>
      </c>
      <c r="C8702" s="3" t="inlineStr">
        <is>
          <t>Liabilities</t>
        </is>
      </c>
      <c r="D8702" s="3" t="inlineStr">
        <is>
          <t>5500/950</t>
        </is>
      </c>
      <c r="E8702" s="3" t="inlineStr">
        <is>
          <t>Loan - Gengis</t>
        </is>
      </c>
      <c r="F8702" s="3" t="n">
        <v>0</v>
      </c>
      <c r="G8702" s="3" t="n">
        <v>-120000</v>
      </c>
    </row>
    <row r="8703">
      <c r="A8703" s="3" t="inlineStr">
        <is>
          <t>Opportunity Global Sales (PTY) LTD</t>
        </is>
      </c>
      <c r="B8703" s="4" t="n">
        <v>44681</v>
      </c>
      <c r="C8703" s="3" t="inlineStr">
        <is>
          <t>Liabilities</t>
        </is>
      </c>
      <c r="D8703" s="3" t="inlineStr">
        <is>
          <t>5500/992</t>
        </is>
      </c>
      <c r="E8703" s="3" t="inlineStr">
        <is>
          <t>Loan - Anthony Commission</t>
        </is>
      </c>
      <c r="F8703" s="3" t="n">
        <v>0</v>
      </c>
      <c r="G8703" s="3" t="n">
        <v>15000</v>
      </c>
    </row>
    <row r="8704">
      <c r="A8704" s="3" t="inlineStr">
        <is>
          <t>Quinate Consulting (Pty) Ltd</t>
        </is>
      </c>
      <c r="B8704" s="4" t="n">
        <v>44681</v>
      </c>
      <c r="C8704" s="3" t="inlineStr">
        <is>
          <t>Liabilities</t>
        </is>
      </c>
      <c r="D8704" s="3" t="inlineStr">
        <is>
          <t>5501/001</t>
        </is>
      </c>
      <c r="E8704" s="3" t="inlineStr">
        <is>
          <t>Loan - Endulini CIP Costs</t>
        </is>
      </c>
      <c r="F8704" s="3" t="n">
        <v>-375000</v>
      </c>
      <c r="G8704" s="3" t="n">
        <v>9768761.699999999</v>
      </c>
    </row>
    <row r="8705">
      <c r="A8705" s="3" t="inlineStr">
        <is>
          <t>Opportunity Management Holdings (PTY) LTD</t>
        </is>
      </c>
      <c r="B8705" s="4" t="n">
        <v>44681</v>
      </c>
      <c r="C8705" s="3" t="inlineStr">
        <is>
          <t>Liabilities</t>
        </is>
      </c>
      <c r="D8705" s="3" t="inlineStr">
        <is>
          <t>5510/100</t>
        </is>
      </c>
      <c r="E8705" s="3" t="inlineStr">
        <is>
          <t>Staff loan - Debbie Landsberg</t>
        </is>
      </c>
      <c r="F8705" s="3" t="n">
        <v>0</v>
      </c>
      <c r="G8705" s="3" t="n">
        <v>14400</v>
      </c>
    </row>
    <row r="8706">
      <c r="A8706" s="3" t="inlineStr">
        <is>
          <t>Noble Shield (Pty) Ltd ta Go Letting</t>
        </is>
      </c>
      <c r="B8706" s="4" t="n">
        <v>44681</v>
      </c>
      <c r="C8706" s="3" t="inlineStr">
        <is>
          <t>Assets</t>
        </is>
      </c>
      <c r="D8706" s="3" t="inlineStr">
        <is>
          <t>6250/010</t>
        </is>
      </c>
      <c r="E8706" s="3" t="inlineStr">
        <is>
          <t>Computer Equipment - @ Cost</t>
        </is>
      </c>
      <c r="F8706" s="3" t="n">
        <v>0</v>
      </c>
      <c r="G8706" s="3" t="n">
        <v>20397</v>
      </c>
    </row>
    <row r="8707">
      <c r="A8707" s="3" t="inlineStr">
        <is>
          <t>Opportunity Management Holdings (PTY) LTD</t>
        </is>
      </c>
      <c r="B8707" s="4" t="n">
        <v>44681</v>
      </c>
      <c r="C8707" s="3" t="inlineStr">
        <is>
          <t>Assets</t>
        </is>
      </c>
      <c r="D8707" s="3" t="inlineStr">
        <is>
          <t>6250/010</t>
        </is>
      </c>
      <c r="E8707" s="3" t="inlineStr">
        <is>
          <t>Computer Equipment - @ Cost</t>
        </is>
      </c>
      <c r="F8707" s="3" t="n">
        <v>0</v>
      </c>
      <c r="G8707" s="3" t="n">
        <v>14911.4</v>
      </c>
    </row>
    <row r="8708">
      <c r="A8708" s="3" t="inlineStr">
        <is>
          <t>Quinate Consulting (Pty) Ltd</t>
        </is>
      </c>
      <c r="B8708" s="4" t="n">
        <v>44681</v>
      </c>
      <c r="C8708" s="3" t="inlineStr">
        <is>
          <t>Assets</t>
        </is>
      </c>
      <c r="D8708" s="3" t="inlineStr">
        <is>
          <t>6250/010</t>
        </is>
      </c>
      <c r="E8708" s="3" t="inlineStr">
        <is>
          <t>Computer Equipment - @ Cost</t>
        </is>
      </c>
      <c r="F8708" s="3" t="n">
        <v>0</v>
      </c>
      <c r="G8708" s="3" t="n">
        <v>137059.7</v>
      </c>
    </row>
    <row r="8709">
      <c r="A8709" s="3" t="inlineStr">
        <is>
          <t>Noble Shield (Pty) Ltd ta Go Letting</t>
        </is>
      </c>
      <c r="B8709" s="4" t="n">
        <v>44681</v>
      </c>
      <c r="C8709" s="3" t="inlineStr">
        <is>
          <t>Assets</t>
        </is>
      </c>
      <c r="D8709" s="3" t="inlineStr">
        <is>
          <t>6250/020</t>
        </is>
      </c>
      <c r="E8709" s="3" t="inlineStr">
        <is>
          <t>Computer Equipment - Accum Depre</t>
        </is>
      </c>
      <c r="F8709" s="3" t="n">
        <v>0</v>
      </c>
      <c r="G8709" s="3" t="n">
        <v>-9498</v>
      </c>
    </row>
    <row r="8710">
      <c r="A8710" s="3" t="inlineStr">
        <is>
          <t>Quinate Consulting (Pty) Ltd</t>
        </is>
      </c>
      <c r="B8710" s="4" t="n">
        <v>44681</v>
      </c>
      <c r="C8710" s="3" t="inlineStr">
        <is>
          <t>Assets</t>
        </is>
      </c>
      <c r="D8710" s="3" t="inlineStr">
        <is>
          <t>6250/020</t>
        </is>
      </c>
      <c r="E8710" s="3" t="inlineStr">
        <is>
          <t>Computer Equipment - Accum Depre</t>
        </is>
      </c>
      <c r="F8710" s="3" t="n">
        <v>-3141.37</v>
      </c>
      <c r="G8710" s="3" t="n">
        <v>-68579.45</v>
      </c>
    </row>
    <row r="8711">
      <c r="A8711" s="3" t="inlineStr">
        <is>
          <t>Opportunity Management Holdings (PTY) LTD</t>
        </is>
      </c>
      <c r="B8711" s="4" t="n">
        <v>44681</v>
      </c>
      <c r="C8711" s="3" t="inlineStr">
        <is>
          <t>Assets</t>
        </is>
      </c>
      <c r="D8711" s="3" t="inlineStr">
        <is>
          <t>6250/030</t>
        </is>
      </c>
      <c r="E8711" s="3" t="inlineStr">
        <is>
          <t>Acc Depreciation - Computer Equipment</t>
        </is>
      </c>
      <c r="F8711" s="3" t="n">
        <v>0</v>
      </c>
      <c r="G8711" s="3" t="n">
        <v>-9441.25</v>
      </c>
    </row>
    <row r="8712">
      <c r="A8712" s="3" t="inlineStr">
        <is>
          <t>Quinate Consulting (Pty) Ltd</t>
        </is>
      </c>
      <c r="B8712" s="4" t="n">
        <v>44681</v>
      </c>
      <c r="C8712" s="3" t="inlineStr">
        <is>
          <t>Assets</t>
        </is>
      </c>
      <c r="D8712" s="3" t="inlineStr">
        <is>
          <t>6270/010</t>
        </is>
      </c>
      <c r="E8712" s="3" t="inlineStr">
        <is>
          <t>Site Containers - @ Cost</t>
        </is>
      </c>
      <c r="F8712" s="3" t="n">
        <v>0</v>
      </c>
      <c r="G8712" s="3" t="n">
        <v>19130.44</v>
      </c>
    </row>
    <row r="8713">
      <c r="A8713" s="3" t="inlineStr">
        <is>
          <t>Quinate Consulting (Pty) Ltd</t>
        </is>
      </c>
      <c r="B8713" s="4" t="n">
        <v>44681</v>
      </c>
      <c r="C8713" s="3" t="inlineStr">
        <is>
          <t>Assets</t>
        </is>
      </c>
      <c r="D8713" s="3" t="inlineStr">
        <is>
          <t>6270/020</t>
        </is>
      </c>
      <c r="E8713" s="3" t="inlineStr">
        <is>
          <t>Site Containers - Accum Depre</t>
        </is>
      </c>
      <c r="F8713" s="3" t="n">
        <v>-318.84</v>
      </c>
      <c r="G8713" s="3" t="n">
        <v>-4463.76</v>
      </c>
    </row>
    <row r="8714">
      <c r="A8714" s="3" t="inlineStr">
        <is>
          <t>Noble Shield (Pty) Ltd ta Go Letting</t>
        </is>
      </c>
      <c r="B8714" s="4" t="n">
        <v>44681</v>
      </c>
      <c r="C8714" s="3" t="inlineStr">
        <is>
          <t>Assets</t>
        </is>
      </c>
      <c r="D8714" s="3" t="inlineStr">
        <is>
          <t>6350/010</t>
        </is>
      </c>
      <c r="E8714" s="3" t="inlineStr">
        <is>
          <t>Furniture _AND_ Fittings - @ Cost</t>
        </is>
      </c>
      <c r="F8714" s="3" t="n">
        <v>0</v>
      </c>
      <c r="G8714" s="3" t="n">
        <v>2242</v>
      </c>
    </row>
    <row r="8715">
      <c r="A8715" s="3" t="inlineStr">
        <is>
          <t>Noble Shield (Pty) Ltd ta Go Letting</t>
        </is>
      </c>
      <c r="B8715" s="4" t="n">
        <v>44681</v>
      </c>
      <c r="C8715" s="3" t="inlineStr">
        <is>
          <t>Assets</t>
        </is>
      </c>
      <c r="D8715" s="3" t="inlineStr">
        <is>
          <t>6350/020</t>
        </is>
      </c>
      <c r="E8715" s="3" t="inlineStr">
        <is>
          <t>Furniture _AND_ Fittings - Accum Depre</t>
        </is>
      </c>
      <c r="F8715" s="3" t="n">
        <v>0</v>
      </c>
      <c r="G8715" s="3" t="n">
        <v>-2239</v>
      </c>
    </row>
    <row r="8716">
      <c r="A8716" s="3" t="inlineStr">
        <is>
          <t>Opportunity Management Holdings (PTY) LTD</t>
        </is>
      </c>
      <c r="B8716" s="4" t="n">
        <v>44681</v>
      </c>
      <c r="C8716" s="3" t="inlineStr">
        <is>
          <t>Liabilities</t>
        </is>
      </c>
      <c r="D8716" s="3" t="inlineStr">
        <is>
          <t>6500/000</t>
        </is>
      </c>
      <c r="E8716" s="3" t="inlineStr">
        <is>
          <t>Deposits - Held</t>
        </is>
      </c>
      <c r="F8716" s="3" t="n">
        <v>0</v>
      </c>
      <c r="G8716" s="3" t="n">
        <v>-12028.1</v>
      </c>
    </row>
    <row r="8717">
      <c r="A8717" s="3" t="inlineStr">
        <is>
          <t>Opportunity Management Holdings (PTY) LTD</t>
        </is>
      </c>
      <c r="B8717" s="4" t="n">
        <v>44681</v>
      </c>
      <c r="C8717" s="3" t="inlineStr">
        <is>
          <t>Liabilities</t>
        </is>
      </c>
      <c r="D8717" s="3" t="inlineStr">
        <is>
          <t>6510/000</t>
        </is>
      </c>
      <c r="E8717" s="3" t="inlineStr">
        <is>
          <t>Deposits Paid - Anicol Properties</t>
        </is>
      </c>
      <c r="F8717" s="3" t="n">
        <v>0</v>
      </c>
      <c r="G8717" s="3" t="n">
        <v>13755</v>
      </c>
    </row>
    <row r="8718">
      <c r="A8718" s="3" t="inlineStr">
        <is>
          <t>Opportunity Management Holdings (PTY) LTD</t>
        </is>
      </c>
      <c r="B8718" s="4" t="n">
        <v>44681</v>
      </c>
      <c r="C8718" s="3" t="inlineStr">
        <is>
          <t>Liabilities</t>
        </is>
      </c>
      <c r="D8718" s="3" t="inlineStr">
        <is>
          <t>6515/000</t>
        </is>
      </c>
      <c r="E8718" s="3" t="inlineStr">
        <is>
          <t>Deposits Paid</t>
        </is>
      </c>
      <c r="F8718" s="3" t="n">
        <v>0</v>
      </c>
      <c r="G8718" s="3" t="n">
        <v>3852.5</v>
      </c>
    </row>
    <row r="8719">
      <c r="A8719" s="3" t="inlineStr">
        <is>
          <t>Quinate Consulting (Pty) Ltd</t>
        </is>
      </c>
      <c r="B8719" s="4" t="n">
        <v>44681</v>
      </c>
      <c r="C8719" s="3" t="inlineStr">
        <is>
          <t>Assets</t>
        </is>
      </c>
      <c r="D8719" s="3" t="inlineStr">
        <is>
          <t>6600/010</t>
        </is>
      </c>
      <c r="E8719" s="3" t="inlineStr">
        <is>
          <t>Other Fixed Assets - @ Cost</t>
        </is>
      </c>
      <c r="F8719" s="3" t="n">
        <v>0</v>
      </c>
      <c r="G8719" s="3" t="n">
        <v>14442.5</v>
      </c>
    </row>
    <row r="8720">
      <c r="A8720" s="3" t="inlineStr">
        <is>
          <t>Quinate Consulting (Pty) Ltd</t>
        </is>
      </c>
      <c r="B8720" s="4" t="n">
        <v>44681</v>
      </c>
      <c r="C8720" s="3" t="inlineStr">
        <is>
          <t>Assets</t>
        </is>
      </c>
      <c r="D8720" s="3" t="inlineStr">
        <is>
          <t>6600/020</t>
        </is>
      </c>
      <c r="E8720" s="3" t="inlineStr">
        <is>
          <t>Other Fixed Assets - Accum Depre</t>
        </is>
      </c>
      <c r="F8720" s="3" t="n">
        <v>0</v>
      </c>
      <c r="G8720" s="3" t="n">
        <v>-14441.5</v>
      </c>
    </row>
    <row r="8721">
      <c r="A8721" s="3" t="inlineStr">
        <is>
          <t>Noble Shield (Pty) Ltd ta Go Letting</t>
        </is>
      </c>
      <c r="B8721" s="4" t="n">
        <v>44681</v>
      </c>
      <c r="C8721" s="3" t="inlineStr">
        <is>
          <t>Assets</t>
        </is>
      </c>
      <c r="D8721" s="3" t="inlineStr">
        <is>
          <t>7000/100</t>
        </is>
      </c>
      <c r="E8721" s="3" t="inlineStr">
        <is>
          <t>Goodwill - Purchase of Go Letting</t>
        </is>
      </c>
      <c r="F8721" s="3" t="n">
        <v>0</v>
      </c>
      <c r="G8721" s="3" t="n">
        <v>106580</v>
      </c>
    </row>
    <row r="8722">
      <c r="A8722" s="3" t="inlineStr">
        <is>
          <t>Opportunity Management Holdings (PTY) LTD</t>
        </is>
      </c>
      <c r="B8722" s="4" t="n">
        <v>44681</v>
      </c>
      <c r="C8722" s="3" t="inlineStr">
        <is>
          <t>Assets</t>
        </is>
      </c>
      <c r="D8722" s="3" t="inlineStr">
        <is>
          <t>7200/000</t>
        </is>
      </c>
      <c r="E8722" s="3" t="inlineStr">
        <is>
          <t>Shares in Subsidiary Companies</t>
        </is>
      </c>
      <c r="F8722" s="3" t="n">
        <v>0</v>
      </c>
      <c r="G8722" s="3" t="n">
        <v>120</v>
      </c>
    </row>
    <row r="8723">
      <c r="A8723" s="3" t="inlineStr">
        <is>
          <t>Endulini (Pty) Ltd</t>
        </is>
      </c>
      <c r="B8723" s="4" t="n">
        <v>44681</v>
      </c>
      <c r="C8723" s="3" t="inlineStr">
        <is>
          <t>Assets</t>
        </is>
      </c>
      <c r="D8723" s="3" t="inlineStr">
        <is>
          <t>7610/100</t>
        </is>
      </c>
      <c r="E8723" s="3" t="inlineStr">
        <is>
          <t>Endulini Land</t>
        </is>
      </c>
      <c r="F8723" s="3" t="n">
        <v>0</v>
      </c>
      <c r="G8723" s="3" t="n">
        <v>10572851.37</v>
      </c>
    </row>
    <row r="8724">
      <c r="A8724" s="3" t="inlineStr">
        <is>
          <t>Endulini (Pty) Ltd</t>
        </is>
      </c>
      <c r="B8724" s="4" t="n">
        <v>44681</v>
      </c>
      <c r="C8724" s="3" t="inlineStr">
        <is>
          <t>Assets</t>
        </is>
      </c>
      <c r="D8724" s="3" t="inlineStr">
        <is>
          <t>7610/101</t>
        </is>
      </c>
      <c r="E8724" s="3" t="inlineStr">
        <is>
          <t>Endulini Revaluation of Land stock</t>
        </is>
      </c>
      <c r="F8724" s="3" t="n">
        <v>0</v>
      </c>
      <c r="G8724" s="3" t="n">
        <v>6084085.78</v>
      </c>
    </row>
    <row r="8725">
      <c r="A8725" s="3" t="inlineStr">
        <is>
          <t>Endulini (Pty) Ltd</t>
        </is>
      </c>
      <c r="B8725" s="4" t="n">
        <v>44681</v>
      </c>
      <c r="C8725" s="3" t="inlineStr">
        <is>
          <t>Assets</t>
        </is>
      </c>
      <c r="D8725" s="3" t="inlineStr">
        <is>
          <t>7610/111</t>
        </is>
      </c>
      <c r="E8725" s="3" t="inlineStr">
        <is>
          <t>Endulini Closing Stock February 2021</t>
        </is>
      </c>
      <c r="F8725" s="3" t="n">
        <v>0</v>
      </c>
      <c r="G8725" s="3" t="n">
        <v>15044610.11</v>
      </c>
    </row>
    <row r="8726">
      <c r="A8726" s="3" t="inlineStr">
        <is>
          <t>Endulini (Pty) Ltd</t>
        </is>
      </c>
      <c r="B8726" s="4" t="n">
        <v>44681</v>
      </c>
      <c r="C8726" s="3" t="inlineStr">
        <is>
          <t>Assets</t>
        </is>
      </c>
      <c r="D8726" s="3" t="inlineStr">
        <is>
          <t>7610/180</t>
        </is>
      </c>
      <c r="E8726" s="3" t="inlineStr">
        <is>
          <t>Endulini CIP Architects</t>
        </is>
      </c>
      <c r="F8726" s="3" t="n">
        <v>0</v>
      </c>
      <c r="G8726" s="3" t="n">
        <v>519874</v>
      </c>
    </row>
    <row r="8727">
      <c r="A8727" s="3" t="inlineStr">
        <is>
          <t>Endulini (Pty) Ltd</t>
        </is>
      </c>
      <c r="B8727" s="4" t="n">
        <v>44681</v>
      </c>
      <c r="C8727" s="3" t="inlineStr">
        <is>
          <t>Assets</t>
        </is>
      </c>
      <c r="D8727" s="3" t="inlineStr">
        <is>
          <t>7610/200</t>
        </is>
      </c>
      <c r="E8727" s="3" t="inlineStr">
        <is>
          <t>Endulini CIP CoCT Land Use App</t>
        </is>
      </c>
      <c r="F8727" s="3" t="n">
        <v>0</v>
      </c>
      <c r="G8727" s="3" t="n">
        <v>232891.06</v>
      </c>
    </row>
    <row r="8728">
      <c r="A8728" s="3" t="inlineStr">
        <is>
          <t>Endulini (Pty) Ltd</t>
        </is>
      </c>
      <c r="B8728" s="4" t="n">
        <v>44681</v>
      </c>
      <c r="C8728" s="3" t="inlineStr">
        <is>
          <t>Assets</t>
        </is>
      </c>
      <c r="D8728" s="3" t="inlineStr">
        <is>
          <t>7610/205</t>
        </is>
      </c>
      <c r="E8728" s="3" t="inlineStr">
        <is>
          <t>Endulini CIP Site Establishments</t>
        </is>
      </c>
      <c r="F8728" s="3" t="n">
        <v>3823586.17</v>
      </c>
      <c r="G8728" s="3" t="n">
        <v>27917140.51</v>
      </c>
    </row>
    <row r="8729">
      <c r="A8729" s="3" t="inlineStr">
        <is>
          <t>Endulini (Pty) Ltd</t>
        </is>
      </c>
      <c r="B8729" s="4" t="n">
        <v>44681</v>
      </c>
      <c r="C8729" s="3" t="inlineStr">
        <is>
          <t>Assets</t>
        </is>
      </c>
      <c r="D8729" s="3" t="inlineStr">
        <is>
          <t>7610/209</t>
        </is>
      </c>
      <c r="E8729" s="3" t="inlineStr">
        <is>
          <t>Endulini CIP Construction Management</t>
        </is>
      </c>
      <c r="F8729" s="3" t="n">
        <v>10000</v>
      </c>
      <c r="G8729" s="3" t="n">
        <v>155375</v>
      </c>
    </row>
    <row r="8730">
      <c r="A8730" s="3" t="inlineStr">
        <is>
          <t>Endulini (Pty) Ltd</t>
        </is>
      </c>
      <c r="B8730" s="4" t="n">
        <v>44681</v>
      </c>
      <c r="C8730" s="3" t="inlineStr">
        <is>
          <t>Assets</t>
        </is>
      </c>
      <c r="D8730" s="3" t="inlineStr">
        <is>
          <t>7610/210</t>
        </is>
      </c>
      <c r="E8730" s="3" t="inlineStr">
        <is>
          <t>Endulini CIP Civil Works</t>
        </is>
      </c>
      <c r="F8730" s="3" t="n">
        <v>0</v>
      </c>
      <c r="G8730" s="3" t="n">
        <v>5901825.03</v>
      </c>
    </row>
    <row r="8731">
      <c r="A8731" s="3" t="inlineStr">
        <is>
          <t>Endulini (Pty) Ltd</t>
        </is>
      </c>
      <c r="B8731" s="4" t="n">
        <v>44681</v>
      </c>
      <c r="C8731" s="3" t="inlineStr">
        <is>
          <t>Assets</t>
        </is>
      </c>
      <c r="D8731" s="3" t="inlineStr">
        <is>
          <t>7610/215</t>
        </is>
      </c>
      <c r="E8731" s="3" t="inlineStr">
        <is>
          <t>Endulini CIP Civil Engineers</t>
        </is>
      </c>
      <c r="F8731" s="3" t="n">
        <v>0</v>
      </c>
      <c r="G8731" s="3" t="n">
        <v>183000</v>
      </c>
    </row>
    <row r="8732">
      <c r="A8732" s="3" t="inlineStr">
        <is>
          <t>Endulini (Pty) Ltd</t>
        </is>
      </c>
      <c r="B8732" s="4" t="n">
        <v>44681</v>
      </c>
      <c r="C8732" s="3" t="inlineStr">
        <is>
          <t>Assets</t>
        </is>
      </c>
      <c r="D8732" s="3" t="inlineStr">
        <is>
          <t>7610/220</t>
        </is>
      </c>
      <c r="E8732" s="3" t="inlineStr">
        <is>
          <t>Endulini CIP Structuring Project Fee Opp Invest</t>
        </is>
      </c>
      <c r="F8732" s="3" t="n">
        <v>0</v>
      </c>
      <c r="G8732" s="3" t="n">
        <v>483735.96</v>
      </c>
    </row>
    <row r="8733">
      <c r="A8733" s="3" t="inlineStr">
        <is>
          <t>Endulini (Pty) Ltd</t>
        </is>
      </c>
      <c r="B8733" s="4" t="n">
        <v>44681</v>
      </c>
      <c r="C8733" s="3" t="inlineStr">
        <is>
          <t>Assets</t>
        </is>
      </c>
      <c r="D8733" s="3" t="inlineStr">
        <is>
          <t>7610/225</t>
        </is>
      </c>
      <c r="E8733" s="3" t="inlineStr">
        <is>
          <t>Endulini CIP Structural engineering fee</t>
        </is>
      </c>
      <c r="F8733" s="3" t="n">
        <v>0</v>
      </c>
      <c r="G8733" s="3" t="n">
        <v>288645.08</v>
      </c>
    </row>
    <row r="8734">
      <c r="A8734" s="3" t="inlineStr">
        <is>
          <t>Endulini (Pty) Ltd</t>
        </is>
      </c>
      <c r="B8734" s="4" t="n">
        <v>44681</v>
      </c>
      <c r="C8734" s="3" t="inlineStr">
        <is>
          <t>Assets</t>
        </is>
      </c>
      <c r="D8734" s="3" t="inlineStr">
        <is>
          <t>7610/230</t>
        </is>
      </c>
      <c r="E8734" s="3" t="inlineStr">
        <is>
          <t>Endulini CIP Mechanical Engineering</t>
        </is>
      </c>
      <c r="F8734" s="3" t="n">
        <v>0</v>
      </c>
      <c r="G8734" s="3" t="n">
        <v>15570</v>
      </c>
    </row>
    <row r="8735">
      <c r="A8735" s="3" t="inlineStr">
        <is>
          <t>Endulini (Pty) Ltd</t>
        </is>
      </c>
      <c r="B8735" s="4" t="n">
        <v>44681</v>
      </c>
      <c r="C8735" s="3" t="inlineStr">
        <is>
          <t>Assets</t>
        </is>
      </c>
      <c r="D8735" s="3" t="inlineStr">
        <is>
          <t>7610/235</t>
        </is>
      </c>
      <c r="E8735" s="3" t="inlineStr">
        <is>
          <t>Endulini CIP Electrical Installation</t>
        </is>
      </c>
      <c r="F8735" s="3" t="n">
        <v>0</v>
      </c>
      <c r="G8735" s="3" t="n">
        <v>868472.62</v>
      </c>
    </row>
    <row r="8736">
      <c r="A8736" s="3" t="inlineStr">
        <is>
          <t>Endulini (Pty) Ltd</t>
        </is>
      </c>
      <c r="B8736" s="4" t="n">
        <v>44681</v>
      </c>
      <c r="C8736" s="3" t="inlineStr">
        <is>
          <t>Assets</t>
        </is>
      </c>
      <c r="D8736" s="3" t="inlineStr">
        <is>
          <t>7610/250</t>
        </is>
      </c>
      <c r="E8736" s="3" t="inlineStr">
        <is>
          <t>Endulini CIP Boundary Wall</t>
        </is>
      </c>
      <c r="F8736" s="3" t="n">
        <v>0</v>
      </c>
      <c r="G8736" s="3" t="n">
        <v>88400.8</v>
      </c>
    </row>
    <row r="8737">
      <c r="A8737" s="3" t="inlineStr">
        <is>
          <t>Endulini (Pty) Ltd</t>
        </is>
      </c>
      <c r="B8737" s="4" t="n">
        <v>44681</v>
      </c>
      <c r="C8737" s="3" t="inlineStr">
        <is>
          <t>Assets</t>
        </is>
      </c>
      <c r="D8737" s="3" t="inlineStr">
        <is>
          <t>7610/290</t>
        </is>
      </c>
      <c r="E8737" s="3" t="inlineStr">
        <is>
          <t>Endulini CIP Development Management Fees</t>
        </is>
      </c>
      <c r="F8737" s="3" t="n">
        <v>0</v>
      </c>
      <c r="G8737" s="3" t="n">
        <v>237496.62</v>
      </c>
    </row>
    <row r="8738">
      <c r="A8738" s="3" t="inlineStr">
        <is>
          <t>Endulini (Pty) Ltd</t>
        </is>
      </c>
      <c r="B8738" s="4" t="n">
        <v>44681</v>
      </c>
      <c r="C8738" s="3" t="inlineStr">
        <is>
          <t>Assets</t>
        </is>
      </c>
      <c r="D8738" s="3" t="inlineStr">
        <is>
          <t>7610/310</t>
        </is>
      </c>
      <c r="E8738" s="3" t="inlineStr">
        <is>
          <t>Endulini CIP Enviromental consultants</t>
        </is>
      </c>
      <c r="F8738" s="3" t="n">
        <v>6000</v>
      </c>
      <c r="G8738" s="3" t="n">
        <v>84000</v>
      </c>
    </row>
    <row r="8739">
      <c r="A8739" s="3" t="inlineStr">
        <is>
          <t>Endulini (Pty) Ltd</t>
        </is>
      </c>
      <c r="B8739" s="4" t="n">
        <v>44681</v>
      </c>
      <c r="C8739" s="3" t="inlineStr">
        <is>
          <t>Assets</t>
        </is>
      </c>
      <c r="D8739" s="3" t="inlineStr">
        <is>
          <t>7610/320</t>
        </is>
      </c>
      <c r="E8739" s="3" t="inlineStr">
        <is>
          <t>Endulini CIP Geotechnical</t>
        </is>
      </c>
      <c r="F8739" s="3" t="n">
        <v>0</v>
      </c>
      <c r="G8739" s="3" t="n">
        <v>13575</v>
      </c>
    </row>
    <row r="8740">
      <c r="A8740" s="3" t="inlineStr">
        <is>
          <t>Endulini (Pty) Ltd</t>
        </is>
      </c>
      <c r="B8740" s="4" t="n">
        <v>44681</v>
      </c>
      <c r="C8740" s="3" t="inlineStr">
        <is>
          <t>Assets</t>
        </is>
      </c>
      <c r="D8740" s="3" t="inlineStr">
        <is>
          <t>7610/330</t>
        </is>
      </c>
      <c r="E8740" s="3" t="inlineStr">
        <is>
          <t>Endulini CIP Health and Safety</t>
        </is>
      </c>
      <c r="F8740" s="3" t="n">
        <v>0</v>
      </c>
      <c r="G8740" s="3" t="n">
        <v>28200</v>
      </c>
    </row>
    <row r="8741">
      <c r="A8741" s="3" t="inlineStr">
        <is>
          <t>Endulini (Pty) Ltd</t>
        </is>
      </c>
      <c r="B8741" s="4" t="n">
        <v>44681</v>
      </c>
      <c r="C8741" s="3" t="inlineStr">
        <is>
          <t>Assets</t>
        </is>
      </c>
      <c r="D8741" s="3" t="inlineStr">
        <is>
          <t>7610/390</t>
        </is>
      </c>
      <c r="E8741" s="3" t="inlineStr">
        <is>
          <t>Endulini CIP Land Surveyor</t>
        </is>
      </c>
      <c r="F8741" s="3" t="n">
        <v>0</v>
      </c>
      <c r="G8741" s="3" t="n">
        <v>110823.2</v>
      </c>
    </row>
    <row r="8742">
      <c r="A8742" s="3" t="inlineStr">
        <is>
          <t>Endulini (Pty) Ltd</t>
        </is>
      </c>
      <c r="B8742" s="4" t="n">
        <v>44681</v>
      </c>
      <c r="C8742" s="3" t="inlineStr">
        <is>
          <t>Assets</t>
        </is>
      </c>
      <c r="D8742" s="3" t="inlineStr">
        <is>
          <t>7610/392</t>
        </is>
      </c>
      <c r="E8742" s="3" t="inlineStr">
        <is>
          <t>Endulini CIP Landscaping</t>
        </is>
      </c>
      <c r="F8742" s="3" t="n">
        <v>0</v>
      </c>
      <c r="G8742" s="3" t="n">
        <v>6100</v>
      </c>
    </row>
    <row r="8743">
      <c r="A8743" s="3" t="inlineStr">
        <is>
          <t>Endulini (Pty) Ltd</t>
        </is>
      </c>
      <c r="B8743" s="4" t="n">
        <v>44681</v>
      </c>
      <c r="C8743" s="3" t="inlineStr">
        <is>
          <t>Assets</t>
        </is>
      </c>
      <c r="D8743" s="3" t="inlineStr">
        <is>
          <t>7610/395</t>
        </is>
      </c>
      <c r="E8743" s="3" t="inlineStr">
        <is>
          <t>Endulini CIP NHBRC</t>
        </is>
      </c>
      <c r="F8743" s="3" t="n">
        <v>0</v>
      </c>
      <c r="G8743" s="3" t="n">
        <v>928847.49</v>
      </c>
    </row>
    <row r="8744">
      <c r="A8744" s="3" t="inlineStr">
        <is>
          <t>Endulini (Pty) Ltd</t>
        </is>
      </c>
      <c r="B8744" s="4" t="n">
        <v>44681</v>
      </c>
      <c r="C8744" s="3" t="inlineStr">
        <is>
          <t>Assets</t>
        </is>
      </c>
      <c r="D8744" s="3" t="inlineStr">
        <is>
          <t>7610/400</t>
        </is>
      </c>
      <c r="E8744" s="3" t="inlineStr">
        <is>
          <t>Endulini CIP Quantity Surveyor</t>
        </is>
      </c>
      <c r="F8744" s="3" t="n">
        <v>0</v>
      </c>
      <c r="G8744" s="3" t="n">
        <v>82136.36</v>
      </c>
    </row>
    <row r="8745">
      <c r="A8745" s="3" t="inlineStr">
        <is>
          <t>Endulini (Pty) Ltd</t>
        </is>
      </c>
      <c r="B8745" s="4" t="n">
        <v>44681</v>
      </c>
      <c r="C8745" s="3" t="inlineStr">
        <is>
          <t>Assets</t>
        </is>
      </c>
      <c r="D8745" s="3" t="inlineStr">
        <is>
          <t>7610/600</t>
        </is>
      </c>
      <c r="E8745" s="3" t="inlineStr">
        <is>
          <t>Endulini CIP Town Planning</t>
        </is>
      </c>
      <c r="F8745" s="3" t="n">
        <v>0</v>
      </c>
      <c r="G8745" s="3" t="n">
        <v>21105</v>
      </c>
    </row>
    <row r="8746">
      <c r="A8746" s="3" t="inlineStr">
        <is>
          <t>Endulini (Pty) Ltd</t>
        </is>
      </c>
      <c r="B8746" s="4" t="n">
        <v>44681</v>
      </c>
      <c r="C8746" s="3" t="inlineStr">
        <is>
          <t>Assets</t>
        </is>
      </c>
      <c r="D8746" s="3" t="inlineStr">
        <is>
          <t>7610/620</t>
        </is>
      </c>
      <c r="E8746" s="3" t="inlineStr">
        <is>
          <t>Endulini CIP Traffic Impact</t>
        </is>
      </c>
      <c r="F8746" s="3" t="n">
        <v>0</v>
      </c>
      <c r="G8746" s="3" t="n">
        <v>24915</v>
      </c>
    </row>
    <row r="8747">
      <c r="A8747" s="3" t="inlineStr">
        <is>
          <t>Endulini (Pty) Ltd</t>
        </is>
      </c>
      <c r="B8747" s="4" t="n">
        <v>44681</v>
      </c>
      <c r="C8747" s="3" t="inlineStr">
        <is>
          <t>Assets</t>
        </is>
      </c>
      <c r="D8747" s="3" t="inlineStr">
        <is>
          <t>7610/630</t>
        </is>
      </c>
      <c r="E8747" s="3" t="inlineStr">
        <is>
          <t>Endulini CIP CoCT Development Contributi</t>
        </is>
      </c>
      <c r="F8747" s="3" t="n">
        <v>0</v>
      </c>
      <c r="G8747" s="3" t="n">
        <v>661860.3100000001</v>
      </c>
    </row>
    <row r="8748">
      <c r="A8748" s="3" t="inlineStr">
        <is>
          <t>Endulini (Pty) Ltd</t>
        </is>
      </c>
      <c r="B8748" s="4" t="n">
        <v>44681</v>
      </c>
      <c r="C8748" s="3" t="inlineStr">
        <is>
          <t>Assets</t>
        </is>
      </c>
      <c r="D8748" s="3" t="inlineStr">
        <is>
          <t>7610/640</t>
        </is>
      </c>
      <c r="E8748" s="3" t="inlineStr">
        <is>
          <t>Endulini CIP CoCT Building plan application</t>
        </is>
      </c>
      <c r="F8748" s="3" t="n">
        <v>0</v>
      </c>
      <c r="G8748" s="3" t="n">
        <v>111203.22</v>
      </c>
    </row>
    <row r="8749">
      <c r="A8749" s="3" t="inlineStr">
        <is>
          <t>Quinate Consulting (Pty) Ltd</t>
        </is>
      </c>
      <c r="B8749" s="4" t="n">
        <v>44681</v>
      </c>
      <c r="C8749" s="3" t="inlineStr">
        <is>
          <t>Assets</t>
        </is>
      </c>
      <c r="D8749" s="3" t="inlineStr">
        <is>
          <t>7800/104</t>
        </is>
      </c>
      <c r="E8749" s="3" t="inlineStr">
        <is>
          <t>Stock - Closing Stock SW - 28 Feb 21</t>
        </is>
      </c>
      <c r="F8749" s="3" t="n">
        <v>0</v>
      </c>
      <c r="G8749" s="3" t="n">
        <v>2874478.88</v>
      </c>
    </row>
    <row r="8750">
      <c r="A8750" s="3" t="inlineStr">
        <is>
          <t>Quinate Consulting (Pty) Ltd</t>
        </is>
      </c>
      <c r="B8750" s="4" t="n">
        <v>44681</v>
      </c>
      <c r="C8750" s="3" t="inlineStr">
        <is>
          <t>Assets</t>
        </is>
      </c>
      <c r="D8750" s="3" t="inlineStr">
        <is>
          <t>7800/105</t>
        </is>
      </c>
      <c r="E8750" s="3" t="inlineStr">
        <is>
          <t>Stock - Closing Stock SH - 28 Feb 21</t>
        </is>
      </c>
      <c r="F8750" s="3" t="n">
        <v>0</v>
      </c>
      <c r="G8750" s="3" t="n">
        <v>2843477.6</v>
      </c>
    </row>
    <row r="8751">
      <c r="A8751" s="3" t="inlineStr">
        <is>
          <t>Noble Shield (Pty) Ltd ta Go Letting</t>
        </is>
      </c>
      <c r="B8751" s="4" t="n">
        <v>44681</v>
      </c>
      <c r="C8751" s="3" t="inlineStr">
        <is>
          <t>Assets</t>
        </is>
      </c>
      <c r="D8751" s="3" t="inlineStr">
        <is>
          <t>8000/000</t>
        </is>
      </c>
      <c r="E8751" s="3" t="inlineStr">
        <is>
          <t>Customer Control Account</t>
        </is>
      </c>
      <c r="F8751" s="3" t="n">
        <v>0</v>
      </c>
      <c r="G8751" s="3" t="n">
        <v>60289.32</v>
      </c>
    </row>
    <row r="8752">
      <c r="A8752" s="3" t="inlineStr">
        <is>
          <t>Opportunity Global Sales (PTY) LTD</t>
        </is>
      </c>
      <c r="B8752" s="4" t="n">
        <v>44681</v>
      </c>
      <c r="C8752" s="3" t="inlineStr">
        <is>
          <t>Assets</t>
        </is>
      </c>
      <c r="D8752" s="3" t="inlineStr">
        <is>
          <t>8000/000</t>
        </is>
      </c>
      <c r="E8752" s="3" t="inlineStr">
        <is>
          <t>Customer Control Account</t>
        </is>
      </c>
      <c r="F8752" s="3" t="n">
        <v>-90122.53999999999</v>
      </c>
      <c r="G8752" s="3" t="n">
        <v>39056.86</v>
      </c>
    </row>
    <row r="8753">
      <c r="A8753" s="3" t="inlineStr">
        <is>
          <t>Opportunity Management Holdings (PTY) LTD</t>
        </is>
      </c>
      <c r="B8753" s="4" t="n">
        <v>44681</v>
      </c>
      <c r="C8753" s="3" t="inlineStr">
        <is>
          <t>Assets</t>
        </is>
      </c>
      <c r="D8753" s="3" t="inlineStr">
        <is>
          <t>8000/000</t>
        </is>
      </c>
      <c r="E8753" s="3" t="inlineStr">
        <is>
          <t>Customer Control Account</t>
        </is>
      </c>
      <c r="F8753" s="3" t="n">
        <v>5950.34</v>
      </c>
      <c r="G8753" s="3" t="n">
        <v>1992.27</v>
      </c>
    </row>
    <row r="8754">
      <c r="A8754" s="3" t="inlineStr">
        <is>
          <t>Quinate Consulting (Pty) Ltd</t>
        </is>
      </c>
      <c r="B8754" s="4" t="n">
        <v>44681</v>
      </c>
      <c r="C8754" s="3" t="inlineStr">
        <is>
          <t>Assets</t>
        </is>
      </c>
      <c r="D8754" s="3" t="inlineStr">
        <is>
          <t>8000/000</t>
        </is>
      </c>
      <c r="E8754" s="3" t="inlineStr">
        <is>
          <t>Customer Control Account</t>
        </is>
      </c>
      <c r="F8754" s="3" t="n">
        <v>4600</v>
      </c>
      <c r="G8754" s="3" t="n">
        <v>2162.16</v>
      </c>
    </row>
    <row r="8755">
      <c r="A8755" s="3" t="inlineStr">
        <is>
          <t>Quinate Consulting (Pty) Ltd</t>
        </is>
      </c>
      <c r="B8755" s="4" t="n">
        <v>44681</v>
      </c>
      <c r="C8755" s="3" t="inlineStr">
        <is>
          <t>Assets</t>
        </is>
      </c>
      <c r="D8755" s="3" t="inlineStr">
        <is>
          <t>8001</t>
        </is>
      </c>
      <c r="E8755" s="3" t="inlineStr">
        <is>
          <t>Customer Control</t>
        </is>
      </c>
      <c r="F8755" s="3" t="n">
        <v>0</v>
      </c>
      <c r="G8755" s="3" t="n">
        <v>29487.49</v>
      </c>
    </row>
    <row r="8756">
      <c r="A8756" s="3" t="inlineStr">
        <is>
          <t>Opportunity Global Investment (PTY) LTD</t>
        </is>
      </c>
      <c r="B8756" s="4" t="n">
        <v>44681</v>
      </c>
      <c r="C8756" s="3" t="inlineStr">
        <is>
          <t>Assets</t>
        </is>
      </c>
      <c r="D8756" s="3" t="inlineStr">
        <is>
          <t>8200/010</t>
        </is>
      </c>
      <c r="E8756" s="3" t="inlineStr">
        <is>
          <t>Prepayments / Prepaid Expenses</t>
        </is>
      </c>
      <c r="F8756" s="3" t="n">
        <v>0</v>
      </c>
      <c r="G8756" s="3" t="n">
        <v>163867.93</v>
      </c>
    </row>
    <row r="8757">
      <c r="A8757" s="3" t="inlineStr">
        <is>
          <t>Quinate Consulting (Pty) Ltd</t>
        </is>
      </c>
      <c r="B8757" s="4" t="n">
        <v>44681</v>
      </c>
      <c r="C8757" s="3" t="inlineStr">
        <is>
          <t>Assets</t>
        </is>
      </c>
      <c r="D8757" s="3" t="inlineStr">
        <is>
          <t>8200/010</t>
        </is>
      </c>
      <c r="E8757" s="3" t="inlineStr">
        <is>
          <t>Prepayments / Prepaid Expenses</t>
        </is>
      </c>
      <c r="F8757" s="3" t="n">
        <v>0</v>
      </c>
      <c r="G8757" s="3" t="n">
        <v>109675</v>
      </c>
    </row>
    <row r="8758">
      <c r="A8758" s="3" t="inlineStr">
        <is>
          <t>Opportunity Global Investment (PTY) LTD</t>
        </is>
      </c>
      <c r="B8758" s="4" t="n">
        <v>44681</v>
      </c>
      <c r="C8758" s="3" t="inlineStr">
        <is>
          <t>Assets</t>
        </is>
      </c>
      <c r="D8758" s="3" t="inlineStr">
        <is>
          <t>8400/000</t>
        </is>
      </c>
      <c r="E8758" s="3" t="inlineStr">
        <is>
          <t>FNB 62093491696</t>
        </is>
      </c>
      <c r="F8758" s="3" t="n">
        <v>-107722.98</v>
      </c>
      <c r="G8758" s="3" t="n">
        <v>32724.92</v>
      </c>
    </row>
    <row r="8759">
      <c r="A8759" s="3" t="inlineStr">
        <is>
          <t>Opportunity Global Sales (PTY) LTD</t>
        </is>
      </c>
      <c r="B8759" s="4" t="n">
        <v>44681</v>
      </c>
      <c r="C8759" s="3" t="inlineStr">
        <is>
          <t>Assets</t>
        </is>
      </c>
      <c r="D8759" s="3" t="inlineStr">
        <is>
          <t>8400/000</t>
        </is>
      </c>
      <c r="E8759" s="3" t="inlineStr">
        <is>
          <t>FNB 62835620875</t>
        </is>
      </c>
      <c r="F8759" s="3" t="n">
        <v>18420.47</v>
      </c>
      <c r="G8759" s="3" t="n">
        <v>46947.25</v>
      </c>
    </row>
    <row r="8760">
      <c r="A8760" s="3" t="inlineStr">
        <is>
          <t>Quinate Consulting (Pty) Ltd</t>
        </is>
      </c>
      <c r="B8760" s="4" t="n">
        <v>44681</v>
      </c>
      <c r="C8760" s="3" t="inlineStr">
        <is>
          <t>Assets</t>
        </is>
      </c>
      <c r="D8760" s="3" t="inlineStr">
        <is>
          <t>8400/000</t>
        </is>
      </c>
      <c r="E8760" s="3" t="inlineStr">
        <is>
          <t>RMB - 62736659189 - Call Acc</t>
        </is>
      </c>
      <c r="F8760" s="3" t="n">
        <v>-162.93</v>
      </c>
      <c r="G8760" s="3" t="n">
        <v>152526.72</v>
      </c>
    </row>
    <row r="8761">
      <c r="A8761" s="3" t="inlineStr">
        <is>
          <t>Trademark Holdings (Pty) Ltd</t>
        </is>
      </c>
      <c r="B8761" s="4" t="n">
        <v>44681</v>
      </c>
      <c r="C8761" s="3" t="inlineStr">
        <is>
          <t>Assets</t>
        </is>
      </c>
      <c r="D8761" s="3" t="inlineStr">
        <is>
          <t>8400/000</t>
        </is>
      </c>
      <c r="E8761" s="3" t="inlineStr">
        <is>
          <t>RMB 623 693 03640</t>
        </is>
      </c>
      <c r="F8761" s="3" t="n">
        <v>-10015.4</v>
      </c>
      <c r="G8761" s="3" t="n">
        <v>30454.34</v>
      </c>
    </row>
    <row r="8762">
      <c r="A8762" s="3" t="inlineStr">
        <is>
          <t>Noble Shield (Pty) Ltd ta Go Letting</t>
        </is>
      </c>
      <c r="B8762" s="4" t="n">
        <v>44681</v>
      </c>
      <c r="C8762" s="3" t="inlineStr">
        <is>
          <t>Assets</t>
        </is>
      </c>
      <c r="D8762" s="3" t="inlineStr">
        <is>
          <t>8400/000</t>
        </is>
      </c>
      <c r="E8762" s="3" t="inlineStr">
        <is>
          <t>RMB 6250 573 3833</t>
        </is>
      </c>
      <c r="F8762" s="3" t="n">
        <v>-10713.48</v>
      </c>
      <c r="G8762" s="3" t="n">
        <v>33610.51</v>
      </c>
    </row>
    <row r="8763">
      <c r="A8763" s="3" t="inlineStr">
        <is>
          <t>Endulini (Pty) Ltd</t>
        </is>
      </c>
      <c r="B8763" s="4" t="n">
        <v>44681</v>
      </c>
      <c r="C8763" s="3" t="inlineStr">
        <is>
          <t>Assets</t>
        </is>
      </c>
      <c r="D8763" s="3" t="inlineStr">
        <is>
          <t>8400/000</t>
        </is>
      </c>
      <c r="E8763" s="3" t="inlineStr">
        <is>
          <t>RMB 62906944576</t>
        </is>
      </c>
      <c r="F8763" s="3" t="n">
        <v>-130433.1</v>
      </c>
      <c r="G8763" s="3" t="n">
        <v>53168.31</v>
      </c>
    </row>
    <row r="8764">
      <c r="A8764" s="3" t="inlineStr">
        <is>
          <t>Opportunity Management Holdings (PTY) LTD</t>
        </is>
      </c>
      <c r="B8764" s="4" t="n">
        <v>44681</v>
      </c>
      <c r="C8764" s="3" t="inlineStr">
        <is>
          <t>Assets</t>
        </is>
      </c>
      <c r="D8764" s="3" t="inlineStr">
        <is>
          <t>8400/000</t>
        </is>
      </c>
      <c r="E8764" s="3" t="inlineStr">
        <is>
          <t>RMB Cheq - 62312246920</t>
        </is>
      </c>
      <c r="F8764" s="3" t="n">
        <v>-64690.98</v>
      </c>
      <c r="G8764" s="3" t="n">
        <v>29646.09</v>
      </c>
    </row>
    <row r="8765">
      <c r="A8765" s="3" t="inlineStr">
        <is>
          <t>Opportunity Global Investment (PTY) LTD</t>
        </is>
      </c>
      <c r="B8765" s="4" t="n">
        <v>44681</v>
      </c>
      <c r="C8765" s="3" t="inlineStr">
        <is>
          <t>Assets</t>
        </is>
      </c>
      <c r="D8765" s="3" t="inlineStr">
        <is>
          <t>8405/000</t>
        </is>
      </c>
      <c r="E8765" s="3" t="inlineStr">
        <is>
          <t>FNB Trust 62762449265</t>
        </is>
      </c>
      <c r="F8765" s="3" t="n">
        <v>387</v>
      </c>
      <c r="G8765" s="3" t="n">
        <v>844.26</v>
      </c>
    </row>
    <row r="8766">
      <c r="A8766" s="3" t="inlineStr">
        <is>
          <t>Endulini (Pty) Ltd</t>
        </is>
      </c>
      <c r="B8766" s="4" t="n">
        <v>44681</v>
      </c>
      <c r="C8766" s="3" t="inlineStr">
        <is>
          <t>Assets</t>
        </is>
      </c>
      <c r="D8766" s="3" t="inlineStr">
        <is>
          <t>8410/000</t>
        </is>
      </c>
      <c r="E8766" s="3" t="inlineStr">
        <is>
          <t>Momentum Investor Account : RU 502229883</t>
        </is>
      </c>
      <c r="F8766" s="3" t="n">
        <v>1412197.77</v>
      </c>
      <c r="G8766" s="3" t="n">
        <v>2310262.13</v>
      </c>
    </row>
    <row r="8767">
      <c r="A8767" s="3" t="inlineStr">
        <is>
          <t>Opportunity Management Holdings (PTY) LTD</t>
        </is>
      </c>
      <c r="B8767" s="4" t="n">
        <v>44681</v>
      </c>
      <c r="C8767" s="3" t="inlineStr">
        <is>
          <t>Assets</t>
        </is>
      </c>
      <c r="D8767" s="3" t="inlineStr">
        <is>
          <t>8410/000</t>
        </is>
      </c>
      <c r="E8767" s="3" t="inlineStr">
        <is>
          <t>RMB Call Acc - 62312248851</t>
        </is>
      </c>
      <c r="F8767" s="3" t="n">
        <v>508.62</v>
      </c>
      <c r="G8767" s="3" t="n">
        <v>734.83</v>
      </c>
    </row>
    <row r="8768">
      <c r="A8768" s="3" t="inlineStr">
        <is>
          <t>Noble Shield (Pty) Ltd ta Go Letting</t>
        </is>
      </c>
      <c r="B8768" s="4" t="n">
        <v>44681</v>
      </c>
      <c r="C8768" s="3" t="inlineStr">
        <is>
          <t>Assets</t>
        </is>
      </c>
      <c r="D8768" s="3" t="inlineStr">
        <is>
          <t>8410/000</t>
        </is>
      </c>
      <c r="E8768" s="3" t="inlineStr">
        <is>
          <t>RMB Trust Acc - 6250 615 1365</t>
        </is>
      </c>
      <c r="F8768" s="3" t="n">
        <v>368.02</v>
      </c>
      <c r="G8768" s="3" t="n">
        <v>738.3</v>
      </c>
    </row>
    <row r="8769">
      <c r="A8769" s="3" t="inlineStr">
        <is>
          <t>Quinate Consulting (Pty) Ltd</t>
        </is>
      </c>
      <c r="B8769" s="4" t="n">
        <v>44681</v>
      </c>
      <c r="C8769" s="3" t="inlineStr">
        <is>
          <t>Assets</t>
        </is>
      </c>
      <c r="D8769" s="3" t="inlineStr">
        <is>
          <t>8415/000</t>
        </is>
      </c>
      <c r="E8769" s="3" t="inlineStr">
        <is>
          <t>STD Acc 071 958 959 - Facility Acc</t>
        </is>
      </c>
      <c r="F8769" s="3" t="n">
        <v>-85</v>
      </c>
      <c r="G8769" s="3" t="n">
        <v>4146.21</v>
      </c>
    </row>
    <row r="8770">
      <c r="A8770" s="3" t="inlineStr">
        <is>
          <t>Quinate Consulting (Pty) Ltd</t>
        </is>
      </c>
      <c r="B8770" s="4" t="n">
        <v>44681</v>
      </c>
      <c r="C8770" s="3" t="inlineStr">
        <is>
          <t>Assets</t>
        </is>
      </c>
      <c r="D8770" s="3" t="inlineStr">
        <is>
          <t>8430/000</t>
        </is>
      </c>
      <c r="E8770" s="3" t="inlineStr">
        <is>
          <t>Momentum Investment Acc - RU502230185</t>
        </is>
      </c>
      <c r="F8770" s="3" t="n">
        <v>1.74</v>
      </c>
      <c r="G8770" s="3" t="n">
        <v>511.01</v>
      </c>
    </row>
    <row r="8771">
      <c r="A8771" s="3" t="inlineStr">
        <is>
          <t>Opportunity Global Investment (PTY) LTD</t>
        </is>
      </c>
      <c r="B8771" s="4" t="n">
        <v>44681</v>
      </c>
      <c r="C8771" s="3" t="inlineStr">
        <is>
          <t>Assets</t>
        </is>
      </c>
      <c r="D8771" s="3" t="inlineStr">
        <is>
          <t>8440/000</t>
        </is>
      </c>
      <c r="E8771" s="3" t="inlineStr">
        <is>
          <t>FNB - Call 627602764438</t>
        </is>
      </c>
      <c r="F8771" s="3" t="n">
        <v>-489.8</v>
      </c>
      <c r="G8771" s="3" t="n">
        <v>386.59</v>
      </c>
    </row>
    <row r="8772">
      <c r="A8772" s="3" t="inlineStr">
        <is>
          <t>Opportunity Global Investment (PTY) LTD</t>
        </is>
      </c>
      <c r="B8772" s="4" t="n">
        <v>44681</v>
      </c>
      <c r="C8772" s="3" t="inlineStr">
        <is>
          <t>Assets</t>
        </is>
      </c>
      <c r="D8772" s="3" t="inlineStr">
        <is>
          <t>8445/000</t>
        </is>
      </c>
      <c r="E8772" s="3" t="inlineStr">
        <is>
          <t>Momentum RU502230096</t>
        </is>
      </c>
      <c r="F8772" s="3" t="n">
        <v>0</v>
      </c>
      <c r="G8772" s="3" t="n">
        <v>4452.74</v>
      </c>
    </row>
    <row r="8773">
      <c r="A8773" s="3" t="inlineStr">
        <is>
          <t>Quinate Consulting (Pty) Ltd</t>
        </is>
      </c>
      <c r="B8773" s="4" t="n">
        <v>44681</v>
      </c>
      <c r="C8773" s="3" t="inlineStr">
        <is>
          <t>Assets</t>
        </is>
      </c>
      <c r="D8773" s="3" t="inlineStr">
        <is>
          <t>8450/000</t>
        </is>
      </c>
      <c r="E8773" s="3" t="inlineStr">
        <is>
          <t>A RMB 62275810820</t>
        </is>
      </c>
      <c r="F8773" s="3" t="n">
        <v>50044.26</v>
      </c>
      <c r="G8773" s="3" t="n">
        <v>132264.39</v>
      </c>
    </row>
    <row r="8774">
      <c r="A8774" s="3" t="inlineStr">
        <is>
          <t>Opportunity Management Holdings (PTY) LTD</t>
        </is>
      </c>
      <c r="B8774" s="4" t="n">
        <v>44681</v>
      </c>
      <c r="C8774" s="3" t="inlineStr">
        <is>
          <t>Assets</t>
        </is>
      </c>
      <c r="D8774" s="3" t="inlineStr">
        <is>
          <t>8450/000</t>
        </is>
      </c>
      <c r="E8774" s="3" t="inlineStr">
        <is>
          <t>Petty Cash - CT Office</t>
        </is>
      </c>
      <c r="F8774" s="3" t="n">
        <v>-2054.9</v>
      </c>
      <c r="G8774" s="3" t="n">
        <v>723.1</v>
      </c>
    </row>
    <row r="8775">
      <c r="A8775" s="3" t="inlineStr">
        <is>
          <t>Quinate Consulting (Pty) Ltd</t>
        </is>
      </c>
      <c r="B8775" s="4" t="n">
        <v>44681</v>
      </c>
      <c r="C8775" s="3" t="inlineStr">
        <is>
          <t>Liabilities</t>
        </is>
      </c>
      <c r="D8775" s="3" t="inlineStr">
        <is>
          <t>8480/100</t>
        </is>
      </c>
      <c r="E8775" s="3" t="inlineStr">
        <is>
          <t>Bond - SH20 - STD Bank 532010558</t>
        </is>
      </c>
      <c r="F8775" s="3" t="n">
        <v>3393.78</v>
      </c>
      <c r="G8775" s="3" t="n">
        <v>-1382447.54</v>
      </c>
    </row>
    <row r="8776">
      <c r="A8776" s="3" t="inlineStr">
        <is>
          <t>Quinate Consulting (Pty) Ltd</t>
        </is>
      </c>
      <c r="B8776" s="4" t="n">
        <v>44681</v>
      </c>
      <c r="C8776" s="3" t="inlineStr">
        <is>
          <t>Liabilities</t>
        </is>
      </c>
      <c r="D8776" s="3" t="inlineStr">
        <is>
          <t>8480/200</t>
        </is>
      </c>
      <c r="E8776" s="3" t="inlineStr">
        <is>
          <t>Bond - SH23 - STD Bank 532010035</t>
        </is>
      </c>
      <c r="F8776" s="3" t="n">
        <v>3391.12</v>
      </c>
      <c r="G8776" s="3" t="n">
        <v>-1382264.31</v>
      </c>
    </row>
    <row r="8777">
      <c r="A8777" s="3" t="inlineStr">
        <is>
          <t>Quinate Consulting (Pty) Ltd</t>
        </is>
      </c>
      <c r="B8777" s="4" t="n">
        <v>44681</v>
      </c>
      <c r="C8777" s="3" t="inlineStr">
        <is>
          <t>Liabilities</t>
        </is>
      </c>
      <c r="D8777" s="3" t="inlineStr">
        <is>
          <t>8480/300</t>
        </is>
      </c>
      <c r="E8777" s="3" t="inlineStr">
        <is>
          <t>Bond - SH24 - STD Bank 532372662</t>
        </is>
      </c>
      <c r="F8777" s="3" t="n">
        <v>1516.85</v>
      </c>
      <c r="G8777" s="3" t="n">
        <v>-1462798.43</v>
      </c>
    </row>
    <row r="8778">
      <c r="A8778" s="3" t="inlineStr">
        <is>
          <t>Quinate Consulting (Pty) Ltd</t>
        </is>
      </c>
      <c r="B8778" s="4" t="n">
        <v>44681</v>
      </c>
      <c r="C8778" s="3" t="inlineStr">
        <is>
          <t>Liabilities</t>
        </is>
      </c>
      <c r="D8778" s="3" t="inlineStr">
        <is>
          <t>8480/400</t>
        </is>
      </c>
      <c r="E8778" s="3" t="inlineStr">
        <is>
          <t>Bond - SW01 - STD Bank 532920627</t>
        </is>
      </c>
      <c r="F8778" s="3" t="n">
        <v>1007.13</v>
      </c>
      <c r="G8778" s="3" t="n">
        <v>-1298392.53</v>
      </c>
    </row>
    <row r="8779">
      <c r="A8779" s="3" t="inlineStr">
        <is>
          <t>Quinate Consulting (Pty) Ltd</t>
        </is>
      </c>
      <c r="B8779" s="4" t="n">
        <v>44681</v>
      </c>
      <c r="C8779" s="3" t="inlineStr">
        <is>
          <t>Liabilities</t>
        </is>
      </c>
      <c r="D8779" s="3" t="inlineStr">
        <is>
          <t>8480/401</t>
        </is>
      </c>
      <c r="E8779" s="3" t="inlineStr">
        <is>
          <t>Bond - SW21 - STD Bank 532920597</t>
        </is>
      </c>
      <c r="F8779" s="3" t="n">
        <v>1007.53</v>
      </c>
      <c r="G8779" s="3" t="n">
        <v>-1298907.68</v>
      </c>
    </row>
    <row r="8780">
      <c r="A8780" s="3" t="inlineStr">
        <is>
          <t>Opportunity Global Investment (PTY) LTD</t>
        </is>
      </c>
      <c r="B8780" s="4" t="n">
        <v>44681</v>
      </c>
      <c r="C8780" s="3" t="inlineStr">
        <is>
          <t>Liabilities</t>
        </is>
      </c>
      <c r="D8780" s="3" t="inlineStr">
        <is>
          <t>860</t>
        </is>
      </c>
      <c r="E8780" s="3" t="inlineStr">
        <is>
          <t>Rounding</t>
        </is>
      </c>
      <c r="F8780" s="3" t="n">
        <v>0</v>
      </c>
      <c r="G8780" s="3" t="n">
        <v>-0.03</v>
      </c>
    </row>
    <row r="8781">
      <c r="A8781" s="3" t="inlineStr">
        <is>
          <t>Opportunity Global Sales (PTY) LTD</t>
        </is>
      </c>
      <c r="B8781" s="4" t="n">
        <v>44681</v>
      </c>
      <c r="C8781" s="3" t="inlineStr">
        <is>
          <t>Liabilities</t>
        </is>
      </c>
      <c r="D8781" s="3" t="inlineStr">
        <is>
          <t>860</t>
        </is>
      </c>
      <c r="E8781" s="3" t="inlineStr">
        <is>
          <t>Rounding</t>
        </is>
      </c>
      <c r="F8781" s="3" t="n">
        <v>0</v>
      </c>
      <c r="G8781" s="3" t="n">
        <v>-1</v>
      </c>
    </row>
    <row r="8782">
      <c r="A8782" s="3" t="inlineStr">
        <is>
          <t>Quinate Consulting (Pty) Ltd</t>
        </is>
      </c>
      <c r="B8782" s="4" t="n">
        <v>44681</v>
      </c>
      <c r="C8782" s="3" t="inlineStr">
        <is>
          <t>Liabilities</t>
        </is>
      </c>
      <c r="D8782" s="3" t="inlineStr">
        <is>
          <t>860</t>
        </is>
      </c>
      <c r="E8782" s="3" t="inlineStr">
        <is>
          <t>Rounding</t>
        </is>
      </c>
      <c r="F8782" s="3" t="n">
        <v>0</v>
      </c>
      <c r="G8782" s="3" t="n">
        <v>0.03</v>
      </c>
    </row>
    <row r="8783">
      <c r="A8783" s="3" t="inlineStr">
        <is>
          <t>Endulini (Pty) Ltd</t>
        </is>
      </c>
      <c r="B8783" s="4" t="n">
        <v>44681</v>
      </c>
      <c r="C8783" s="3" t="inlineStr">
        <is>
          <t>Liabilities</t>
        </is>
      </c>
      <c r="D8783" s="3" t="inlineStr">
        <is>
          <t>9000/000</t>
        </is>
      </c>
      <c r="E8783" s="3" t="inlineStr">
        <is>
          <t>Supplier Control Account</t>
        </is>
      </c>
      <c r="F8783" s="3" t="n">
        <v>1351171.95</v>
      </c>
      <c r="G8783" s="3" t="n">
        <v>-54773671.56</v>
      </c>
    </row>
    <row r="8784">
      <c r="A8784" s="3" t="inlineStr">
        <is>
          <t>Noble Shield (Pty) Ltd ta Go Letting</t>
        </is>
      </c>
      <c r="B8784" s="4" t="n">
        <v>44681</v>
      </c>
      <c r="C8784" s="3" t="inlineStr">
        <is>
          <t>Liabilities</t>
        </is>
      </c>
      <c r="D8784" s="3" t="inlineStr">
        <is>
          <t>9000/000</t>
        </is>
      </c>
      <c r="E8784" s="3" t="inlineStr">
        <is>
          <t>Supplier Control Account</t>
        </is>
      </c>
      <c r="F8784" s="3" t="n">
        <v>11066.04</v>
      </c>
      <c r="G8784" s="3" t="n">
        <v>-25043.75</v>
      </c>
    </row>
    <row r="8785">
      <c r="A8785" s="3" t="inlineStr">
        <is>
          <t>Opportunity Global Investment (PTY) LTD</t>
        </is>
      </c>
      <c r="B8785" s="4" t="n">
        <v>44681</v>
      </c>
      <c r="C8785" s="3" t="inlineStr">
        <is>
          <t>Liabilities</t>
        </is>
      </c>
      <c r="D8785" s="3" t="inlineStr">
        <is>
          <t>9000/000</t>
        </is>
      </c>
      <c r="E8785" s="3" t="inlineStr">
        <is>
          <t>Supplier Control Account</t>
        </is>
      </c>
      <c r="F8785" s="3" t="n">
        <v>51472.97</v>
      </c>
      <c r="G8785" s="3" t="n">
        <v>-117926.31</v>
      </c>
    </row>
    <row r="8786">
      <c r="A8786" s="3" t="inlineStr">
        <is>
          <t>Opportunity Global Sales (PTY) LTD</t>
        </is>
      </c>
      <c r="B8786" s="4" t="n">
        <v>44681</v>
      </c>
      <c r="C8786" s="3" t="inlineStr">
        <is>
          <t>Liabilities</t>
        </is>
      </c>
      <c r="D8786" s="3" t="inlineStr">
        <is>
          <t>9000/000</t>
        </is>
      </c>
      <c r="E8786" s="3" t="inlineStr">
        <is>
          <t>Supplier Control Account</t>
        </is>
      </c>
      <c r="F8786" s="3" t="n">
        <v>-766.5</v>
      </c>
      <c r="G8786" s="3" t="n">
        <v>-2513.5</v>
      </c>
    </row>
    <row r="8787">
      <c r="A8787" s="3" t="inlineStr">
        <is>
          <t>Opportunity Management Holdings (PTY) LTD</t>
        </is>
      </c>
      <c r="B8787" s="4" t="n">
        <v>44681</v>
      </c>
      <c r="C8787" s="3" t="inlineStr">
        <is>
          <t>Liabilities</t>
        </is>
      </c>
      <c r="D8787" s="3" t="inlineStr">
        <is>
          <t>9000/000</t>
        </is>
      </c>
      <c r="E8787" s="3" t="inlineStr">
        <is>
          <t>Supplier Control Account</t>
        </is>
      </c>
      <c r="F8787" s="3" t="n">
        <v>-15062.5</v>
      </c>
      <c r="G8787" s="3" t="n">
        <v>-278741.78</v>
      </c>
    </row>
    <row r="8788">
      <c r="A8788" s="3" t="inlineStr">
        <is>
          <t>Quinate Consulting (Pty) Ltd</t>
        </is>
      </c>
      <c r="B8788" s="4" t="n">
        <v>44681</v>
      </c>
      <c r="C8788" s="3" t="inlineStr">
        <is>
          <t>Liabilities</t>
        </is>
      </c>
      <c r="D8788" s="3" t="inlineStr">
        <is>
          <t>9000/000</t>
        </is>
      </c>
      <c r="E8788" s="3" t="inlineStr">
        <is>
          <t>Supplier Control Account</t>
        </is>
      </c>
      <c r="F8788" s="3" t="n">
        <v>239345.72</v>
      </c>
      <c r="G8788" s="3" t="n">
        <v>307150.03</v>
      </c>
    </row>
    <row r="8789">
      <c r="A8789" s="3" t="inlineStr">
        <is>
          <t>Trademark Holdings (Pty) Ltd</t>
        </is>
      </c>
      <c r="B8789" s="4" t="n">
        <v>44681</v>
      </c>
      <c r="C8789" s="3" t="inlineStr">
        <is>
          <t>Liabilities</t>
        </is>
      </c>
      <c r="D8789" s="3" t="inlineStr">
        <is>
          <t>9000/000</t>
        </is>
      </c>
      <c r="E8789" s="3" t="inlineStr">
        <is>
          <t>Supplier Control Account</t>
        </is>
      </c>
      <c r="F8789" s="3" t="n">
        <v>8655.18</v>
      </c>
      <c r="G8789" s="3" t="n">
        <v>-23221.75</v>
      </c>
    </row>
    <row r="8790">
      <c r="A8790" s="3" t="inlineStr">
        <is>
          <t>Quinate Consulting (Pty) Ltd</t>
        </is>
      </c>
      <c r="B8790" s="4" t="n">
        <v>44681</v>
      </c>
      <c r="C8790" s="3" t="inlineStr">
        <is>
          <t>Liabilities</t>
        </is>
      </c>
      <c r="D8790" s="3" t="inlineStr">
        <is>
          <t>9001</t>
        </is>
      </c>
      <c r="E8790" s="3" t="inlineStr">
        <is>
          <t>Supplier Control</t>
        </is>
      </c>
      <c r="F8790" s="3" t="n">
        <v>0</v>
      </c>
      <c r="G8790" s="3" t="n">
        <v>-347315.41</v>
      </c>
    </row>
    <row r="8791">
      <c r="A8791" s="3" t="inlineStr">
        <is>
          <t>Opportunity Management Holdings (PTY) LTD</t>
        </is>
      </c>
      <c r="B8791" s="4" t="n">
        <v>44681</v>
      </c>
      <c r="C8791" s="3" t="inlineStr">
        <is>
          <t>Liabilities</t>
        </is>
      </c>
      <c r="D8791" s="3" t="inlineStr">
        <is>
          <t>9100/000</t>
        </is>
      </c>
      <c r="E8791" s="3" t="inlineStr">
        <is>
          <t>PAYE/UIF/SDL Accrual - Prior Years ADJ</t>
        </is>
      </c>
      <c r="F8791" s="3" t="n">
        <v>4226.26</v>
      </c>
      <c r="G8791" s="3" t="n">
        <v>4226.26</v>
      </c>
    </row>
    <row r="8792">
      <c r="A8792" s="3" t="inlineStr">
        <is>
          <t>Opportunity Management Holdings (PTY) LTD</t>
        </is>
      </c>
      <c r="B8792" s="4" t="n">
        <v>44681</v>
      </c>
      <c r="C8792" s="3" t="inlineStr">
        <is>
          <t>Assets</t>
        </is>
      </c>
      <c r="D8792" s="3" t="inlineStr">
        <is>
          <t>9110/000</t>
        </is>
      </c>
      <c r="E8792" s="3" t="inlineStr">
        <is>
          <t>Deposit Received</t>
        </is>
      </c>
      <c r="F8792" s="3" t="n">
        <v>0</v>
      </c>
      <c r="G8792" s="3" t="n">
        <v>-3852.5</v>
      </c>
    </row>
    <row r="8793">
      <c r="A8793" s="3" t="inlineStr">
        <is>
          <t>Opportunity Global Investment (PTY) LTD</t>
        </is>
      </c>
      <c r="B8793" s="4" t="n">
        <v>44681</v>
      </c>
      <c r="C8793" s="3" t="inlineStr">
        <is>
          <t>Liabilities</t>
        </is>
      </c>
      <c r="D8793" s="3" t="inlineStr">
        <is>
          <t>9110/000</t>
        </is>
      </c>
      <c r="E8793" s="3" t="inlineStr">
        <is>
          <t>Taxation B/S</t>
        </is>
      </c>
      <c r="F8793" s="3" t="n">
        <v>0</v>
      </c>
      <c r="G8793" s="3" t="n">
        <v>2150.09</v>
      </c>
    </row>
    <row r="8794">
      <c r="A8794" s="3" t="inlineStr">
        <is>
          <t>Endulini (Pty) Ltd</t>
        </is>
      </c>
      <c r="B8794" s="4" t="n">
        <v>44681</v>
      </c>
      <c r="C8794" s="3" t="inlineStr">
        <is>
          <t>Liabilities</t>
        </is>
      </c>
      <c r="D8794" s="3" t="inlineStr">
        <is>
          <t>9200/100</t>
        </is>
      </c>
      <c r="E8794" s="3" t="inlineStr">
        <is>
          <t>Sundry Suppliers - Heron Fields</t>
        </is>
      </c>
      <c r="F8794" s="3" t="n">
        <v>0</v>
      </c>
      <c r="G8794" s="3" t="n">
        <v>-300000</v>
      </c>
    </row>
    <row r="8795">
      <c r="A8795" s="3" t="inlineStr">
        <is>
          <t>Noble Shield (Pty) Ltd ta Go Letting</t>
        </is>
      </c>
      <c r="B8795" s="4" t="n">
        <v>44681</v>
      </c>
      <c r="C8795" s="3" t="inlineStr">
        <is>
          <t>Liabilities</t>
        </is>
      </c>
      <c r="D8795" s="3" t="inlineStr">
        <is>
          <t>9250/010</t>
        </is>
      </c>
      <c r="E8795" s="3" t="inlineStr">
        <is>
          <t>SALARY CONTROL</t>
        </is>
      </c>
      <c r="F8795" s="3" t="n">
        <v>6241.15</v>
      </c>
      <c r="G8795" s="3" t="n">
        <v>-16297.33</v>
      </c>
    </row>
    <row r="8796">
      <c r="A8796" s="3" t="inlineStr">
        <is>
          <t>Opportunity Global Sales (PTY) LTD</t>
        </is>
      </c>
      <c r="B8796" s="4" t="n">
        <v>44681</v>
      </c>
      <c r="C8796" s="3" t="inlineStr">
        <is>
          <t>Liabilities</t>
        </is>
      </c>
      <c r="D8796" s="3" t="inlineStr">
        <is>
          <t>9250/010</t>
        </is>
      </c>
      <c r="E8796" s="3" t="inlineStr">
        <is>
          <t>SALARY CONTROL</t>
        </is>
      </c>
      <c r="F8796" s="3" t="n">
        <v>20459.5</v>
      </c>
      <c r="G8796" s="3" t="n">
        <v>1280.06</v>
      </c>
    </row>
    <row r="8797">
      <c r="A8797" s="3" t="inlineStr">
        <is>
          <t>Opportunity Management Holdings (PTY) LTD</t>
        </is>
      </c>
      <c r="B8797" s="4" t="n">
        <v>44681</v>
      </c>
      <c r="C8797" s="3" t="inlineStr">
        <is>
          <t>Liabilities</t>
        </is>
      </c>
      <c r="D8797" s="3" t="inlineStr">
        <is>
          <t>9250/010</t>
        </is>
      </c>
      <c r="E8797" s="3" t="inlineStr">
        <is>
          <t>SALARY CONTROL</t>
        </is>
      </c>
      <c r="F8797" s="3" t="n">
        <v>-6000</v>
      </c>
      <c r="G8797" s="3" t="n">
        <v>-6000</v>
      </c>
    </row>
    <row r="8798">
      <c r="A8798" s="3" t="inlineStr">
        <is>
          <t>Trademark Holdings (Pty) Ltd</t>
        </is>
      </c>
      <c r="B8798" s="4" t="n">
        <v>44681</v>
      </c>
      <c r="C8798" s="3" t="inlineStr">
        <is>
          <t>Liabilities</t>
        </is>
      </c>
      <c r="D8798" s="3" t="inlineStr">
        <is>
          <t>9250/010</t>
        </is>
      </c>
      <c r="E8798" s="3" t="inlineStr">
        <is>
          <t>SALARY CONTROL</t>
        </is>
      </c>
      <c r="F8798" s="3" t="n">
        <v>343.26</v>
      </c>
      <c r="G8798" s="3" t="n">
        <v>-14527.56</v>
      </c>
    </row>
    <row r="8799">
      <c r="A8799" s="3" t="inlineStr">
        <is>
          <t>Noble Shield (Pty) Ltd ta Go Letting</t>
        </is>
      </c>
      <c r="B8799" s="4" t="n">
        <v>44681</v>
      </c>
      <c r="C8799" s="3" t="inlineStr">
        <is>
          <t>Liabilities</t>
        </is>
      </c>
      <c r="D8799" s="3" t="inlineStr">
        <is>
          <t>9250/020</t>
        </is>
      </c>
      <c r="E8799" s="3" t="inlineStr">
        <is>
          <t>PAYE, UIF AND SDL CONTROL</t>
        </is>
      </c>
      <c r="F8799" s="3" t="n">
        <v>321.08</v>
      </c>
      <c r="G8799" s="3" t="n">
        <v>-6522.7</v>
      </c>
    </row>
    <row r="8800">
      <c r="A8800" s="3" t="inlineStr">
        <is>
          <t>Opportunity Global Investment (PTY) LTD</t>
        </is>
      </c>
      <c r="B8800" s="4" t="n">
        <v>44681</v>
      </c>
      <c r="C8800" s="3" t="inlineStr">
        <is>
          <t>Liabilities</t>
        </is>
      </c>
      <c r="D8800" s="3" t="inlineStr">
        <is>
          <t>9250/020</t>
        </is>
      </c>
      <c r="E8800" s="3" t="inlineStr">
        <is>
          <t>PAYE, UIF AND SDL CONTROL</t>
        </is>
      </c>
      <c r="F8800" s="3" t="n">
        <v>23397.14</v>
      </c>
      <c r="G8800" s="3" t="n">
        <v>79954.44</v>
      </c>
    </row>
    <row r="8801">
      <c r="A8801" s="3" t="inlineStr">
        <is>
          <t>Opportunity Global Sales (PTY) LTD</t>
        </is>
      </c>
      <c r="B8801" s="4" t="n">
        <v>44681</v>
      </c>
      <c r="C8801" s="3" t="inlineStr">
        <is>
          <t>Liabilities</t>
        </is>
      </c>
      <c r="D8801" s="3" t="inlineStr">
        <is>
          <t>9250/020</t>
        </is>
      </c>
      <c r="E8801" s="3" t="inlineStr">
        <is>
          <t>PAYE, UIF AND SDL CONTROL</t>
        </is>
      </c>
      <c r="F8801" s="3" t="n">
        <v>-35146.05</v>
      </c>
      <c r="G8801" s="3" t="n">
        <v>-125022.52</v>
      </c>
    </row>
    <row r="8802">
      <c r="A8802" s="3" t="inlineStr">
        <is>
          <t>Opportunity Management Holdings (PTY) LTD</t>
        </is>
      </c>
      <c r="B8802" s="4" t="n">
        <v>44681</v>
      </c>
      <c r="C8802" s="3" t="inlineStr">
        <is>
          <t>Liabilities</t>
        </is>
      </c>
      <c r="D8802" s="3" t="inlineStr">
        <is>
          <t>9250/020</t>
        </is>
      </c>
      <c r="E8802" s="3" t="inlineStr">
        <is>
          <t>PAYE, UIF AND SDL CONTROL</t>
        </is>
      </c>
      <c r="F8802" s="3" t="n">
        <v>-8240.18</v>
      </c>
      <c r="G8802" s="3" t="n">
        <v>-44924.86</v>
      </c>
    </row>
    <row r="8803">
      <c r="A8803" s="3" t="inlineStr">
        <is>
          <t>Trademark Holdings (Pty) Ltd</t>
        </is>
      </c>
      <c r="B8803" s="4" t="n">
        <v>44681</v>
      </c>
      <c r="C8803" s="3" t="inlineStr">
        <is>
          <t>Liabilities</t>
        </is>
      </c>
      <c r="D8803" s="3" t="inlineStr">
        <is>
          <t>9250/020</t>
        </is>
      </c>
      <c r="E8803" s="3" t="inlineStr">
        <is>
          <t>PAYE, UIF AND SDL CONTROL</t>
        </is>
      </c>
      <c r="F8803" s="3" t="n">
        <v>159.2</v>
      </c>
      <c r="G8803" s="3" t="n">
        <v>-5630.15</v>
      </c>
    </row>
    <row r="8804">
      <c r="A8804" s="3" t="inlineStr">
        <is>
          <t>Opportunity Global Investment (PTY) LTD</t>
        </is>
      </c>
      <c r="B8804" s="4" t="n">
        <v>44681</v>
      </c>
      <c r="C8804" s="3" t="inlineStr">
        <is>
          <t>Liabilities</t>
        </is>
      </c>
      <c r="D8804" s="3" t="inlineStr">
        <is>
          <t>9400/030</t>
        </is>
      </c>
      <c r="E8804" s="3" t="inlineStr">
        <is>
          <t>Accrued Expenses - PAYE_AND_UIF</t>
        </is>
      </c>
      <c r="F8804" s="3" t="n">
        <v>0</v>
      </c>
      <c r="G8804" s="3" t="n">
        <v>-2</v>
      </c>
    </row>
    <row r="8805">
      <c r="A8805" s="3" t="inlineStr">
        <is>
          <t>Trademark Holdings (Pty) Ltd</t>
        </is>
      </c>
      <c r="B8805" s="4" t="n">
        <v>44681</v>
      </c>
      <c r="C8805" s="3" t="inlineStr">
        <is>
          <t>Liabilities</t>
        </is>
      </c>
      <c r="D8805" s="3" t="inlineStr">
        <is>
          <t>9400/400</t>
        </is>
      </c>
      <c r="E8805" s="3" t="inlineStr">
        <is>
          <t>Deemed Dividend Tax</t>
        </is>
      </c>
      <c r="F8805" s="3" t="n">
        <v>0</v>
      </c>
      <c r="G8805" s="3" t="n">
        <v>-699.13</v>
      </c>
    </row>
    <row r="8806">
      <c r="A8806" s="3" t="inlineStr">
        <is>
          <t>Opportunity Global Investment (PTY) LTD</t>
        </is>
      </c>
      <c r="B8806" s="4" t="n">
        <v>44681</v>
      </c>
      <c r="C8806" s="3" t="inlineStr">
        <is>
          <t>Liabilities</t>
        </is>
      </c>
      <c r="D8806" s="3" t="inlineStr">
        <is>
          <t>9500/000</t>
        </is>
      </c>
      <c r="E8806" s="3" t="inlineStr">
        <is>
          <t>VAT Control Account</t>
        </is>
      </c>
      <c r="F8806" s="3" t="n">
        <v>3898.98</v>
      </c>
      <c r="G8806" s="3" t="n">
        <v>2040.37</v>
      </c>
    </row>
    <row r="8807">
      <c r="A8807" s="3" t="inlineStr">
        <is>
          <t>Opportunity Global Sales (PTY) LTD</t>
        </is>
      </c>
      <c r="B8807" s="4" t="n">
        <v>44681</v>
      </c>
      <c r="C8807" s="3" t="inlineStr">
        <is>
          <t>Liabilities</t>
        </is>
      </c>
      <c r="D8807" s="3" t="inlineStr">
        <is>
          <t>9500/000</t>
        </is>
      </c>
      <c r="E8807" s="3" t="inlineStr">
        <is>
          <t>VAT Control Account</t>
        </is>
      </c>
      <c r="F8807" s="3" t="n">
        <v>-31646.25</v>
      </c>
      <c r="G8807" s="3" t="n">
        <v>-63564.58</v>
      </c>
    </row>
    <row r="8808">
      <c r="A8808" s="3" t="inlineStr">
        <is>
          <t>Opportunity Management Holdings (PTY) LTD</t>
        </is>
      </c>
      <c r="B8808" s="4" t="n">
        <v>44681</v>
      </c>
      <c r="C8808" s="3" t="inlineStr">
        <is>
          <t>Liabilities</t>
        </is>
      </c>
      <c r="D8808" s="3" t="inlineStr">
        <is>
          <t>9500/000</t>
        </is>
      </c>
      <c r="E8808" s="3" t="inlineStr">
        <is>
          <t>VAT Control Account</t>
        </is>
      </c>
      <c r="F8808" s="3" t="n">
        <v>46606.63</v>
      </c>
      <c r="G8808" s="3" t="n">
        <v>-19168.99</v>
      </c>
    </row>
    <row r="8809">
      <c r="A8809" s="3" t="inlineStr">
        <is>
          <t>Endulini (Pty) Ltd</t>
        </is>
      </c>
      <c r="B8809" s="4" t="n">
        <v>44681</v>
      </c>
      <c r="C8809" s="3" t="inlineStr">
        <is>
          <t>Liabilities</t>
        </is>
      </c>
      <c r="D8809" s="3" t="inlineStr">
        <is>
          <t>9500/000</t>
        </is>
      </c>
      <c r="E8809" s="3" t="inlineStr">
        <is>
          <t>Vat / Tax Control Account</t>
        </is>
      </c>
      <c r="F8809" s="3" t="n">
        <v>-613001.54</v>
      </c>
      <c r="G8809" s="3" t="n">
        <v>2530920.28</v>
      </c>
    </row>
    <row r="8810">
      <c r="A8810" s="3" t="inlineStr">
        <is>
          <t>Quinate Consulting (Pty) Ltd</t>
        </is>
      </c>
      <c r="B8810" s="4" t="n">
        <v>44681</v>
      </c>
      <c r="C8810" s="3" t="inlineStr">
        <is>
          <t>Liabilities</t>
        </is>
      </c>
      <c r="D8810" s="3" t="inlineStr">
        <is>
          <t>9500/000</t>
        </is>
      </c>
      <c r="E8810" s="3" t="inlineStr">
        <is>
          <t>Vat Control Account</t>
        </is>
      </c>
      <c r="F8810" s="3" t="n">
        <v>24108.6</v>
      </c>
      <c r="G8810" s="3" t="n">
        <v>-1878683.1</v>
      </c>
    </row>
    <row r="8811">
      <c r="A8811" s="3" t="inlineStr">
        <is>
          <t>Opportunity Management Holdings (PTY) LTD</t>
        </is>
      </c>
      <c r="B8811" s="4" t="n">
        <v>44681</v>
      </c>
      <c r="C8811" s="3" t="inlineStr">
        <is>
          <t>Liabilities</t>
        </is>
      </c>
      <c r="D8811" s="3" t="inlineStr">
        <is>
          <t>9501/000</t>
        </is>
      </c>
      <c r="E8811" s="3" t="inlineStr">
        <is>
          <t>Vat Adjustments - C2M</t>
        </is>
      </c>
      <c r="F8811" s="3" t="n">
        <v>0</v>
      </c>
      <c r="G8811" s="3" t="n">
        <v>47274.04</v>
      </c>
    </row>
    <row r="8812">
      <c r="A8812" s="3" t="inlineStr">
        <is>
          <t>Endulini (Pty) Ltd</t>
        </is>
      </c>
      <c r="B8812" s="4" t="n">
        <v>44681</v>
      </c>
      <c r="C8812" s="3" t="inlineStr">
        <is>
          <t>Liabilities</t>
        </is>
      </c>
      <c r="D8812" s="3" t="inlineStr">
        <is>
          <t>9899/D101</t>
        </is>
      </c>
      <c r="E8812" s="3" t="inlineStr">
        <is>
          <t>Sales - Unit Reg Control D101</t>
        </is>
      </c>
      <c r="F8812" s="3" t="n">
        <v>17124.71</v>
      </c>
      <c r="G8812" s="3" t="n">
        <v>17124.71</v>
      </c>
    </row>
    <row r="8813">
      <c r="A8813" s="3" t="inlineStr">
        <is>
          <t>Endulini (Pty) Ltd</t>
        </is>
      </c>
      <c r="B8813" s="4" t="n">
        <v>44681</v>
      </c>
      <c r="C8813" s="3" t="inlineStr">
        <is>
          <t>Liabilities</t>
        </is>
      </c>
      <c r="D8813" s="3" t="inlineStr">
        <is>
          <t>9899/E102</t>
        </is>
      </c>
      <c r="E8813" s="3" t="inlineStr">
        <is>
          <t>Sales - Unit Reg Control E102</t>
        </is>
      </c>
      <c r="F8813" s="3" t="n">
        <v>18311.87</v>
      </c>
      <c r="G8813" s="3" t="n">
        <v>18311.87</v>
      </c>
    </row>
    <row r="8814">
      <c r="A8814" s="3" t="inlineStr">
        <is>
          <t>Endulini (Pty) Ltd</t>
        </is>
      </c>
      <c r="B8814" s="4" t="n">
        <v>44681</v>
      </c>
      <c r="C8814" s="3" t="inlineStr">
        <is>
          <t>Liabilities</t>
        </is>
      </c>
      <c r="D8814" s="3" t="inlineStr">
        <is>
          <t>9899/F203</t>
        </is>
      </c>
      <c r="E8814" s="3" t="inlineStr">
        <is>
          <t>Sales - Unit Reg Control F203</t>
        </is>
      </c>
      <c r="F8814" s="3" t="n">
        <v>16197.37</v>
      </c>
      <c r="G8814" s="3" t="n">
        <v>16197.37</v>
      </c>
    </row>
    <row r="8815">
      <c r="A8815" s="3" t="inlineStr">
        <is>
          <t>Quinate Consulting (Pty) Ltd</t>
        </is>
      </c>
      <c r="B8815" s="4" t="n">
        <v>44681</v>
      </c>
      <c r="C8815" s="3" t="inlineStr">
        <is>
          <t>Liabilities</t>
        </is>
      </c>
      <c r="D8815" s="3" t="inlineStr">
        <is>
          <t>9960/000</t>
        </is>
      </c>
      <c r="E8815" s="3" t="inlineStr">
        <is>
          <t>Deposits - Southwark Rentals</t>
        </is>
      </c>
      <c r="F8815" s="3" t="n">
        <v>0</v>
      </c>
      <c r="G8815" s="3" t="n">
        <v>-11500</v>
      </c>
    </row>
    <row r="8816">
      <c r="A8816" s="3" t="inlineStr">
        <is>
          <t>Noble Shield (Pty) Ltd ta Go Letting</t>
        </is>
      </c>
      <c r="B8816" s="4" t="n">
        <v>44681</v>
      </c>
      <c r="C8816" s="3" t="inlineStr">
        <is>
          <t>Expenses</t>
        </is>
      </c>
      <c r="D8816" s="3" t="inlineStr">
        <is>
          <t>ACB Link</t>
        </is>
      </c>
      <c r="E8816" s="3" t="inlineStr">
        <is>
          <t>Subscriptions - TPN</t>
        </is>
      </c>
      <c r="F8816" s="3" t="n">
        <v>1231.49</v>
      </c>
      <c r="G8816" s="3" t="n">
        <v>15419.81</v>
      </c>
    </row>
    <row r="8817">
      <c r="A8817" s="3" t="inlineStr">
        <is>
          <t>Noble Shield (Pty) Ltd ta Go Letting</t>
        </is>
      </c>
      <c r="B8817" s="4" t="n">
        <v>44681</v>
      </c>
      <c r="C8817" s="3" t="inlineStr">
        <is>
          <t>Liabilities</t>
        </is>
      </c>
      <c r="D8817" s="3" t="inlineStr">
        <is>
          <t>B/S</t>
        </is>
      </c>
      <c r="E8817" s="3" t="inlineStr">
        <is>
          <t>Tax Payable</t>
        </is>
      </c>
      <c r="F8817" s="3" t="n">
        <v>0</v>
      </c>
      <c r="G8817" s="3" t="n">
        <v>-6843.4</v>
      </c>
    </row>
    <row r="8818">
      <c r="A8818" s="3" t="inlineStr">
        <is>
          <t>Trademark Holdings (Pty) Ltd</t>
        </is>
      </c>
      <c r="B8818" s="4" t="n">
        <v>44681</v>
      </c>
      <c r="C8818" s="3" t="inlineStr">
        <is>
          <t>Liabilities</t>
        </is>
      </c>
      <c r="D8818" s="3" t="inlineStr">
        <is>
          <t>B/S</t>
        </is>
      </c>
      <c r="E8818" s="3" t="inlineStr">
        <is>
          <t>Taxation Payable</t>
        </is>
      </c>
      <c r="F8818" s="3" t="n">
        <v>0</v>
      </c>
      <c r="G8818" s="3" t="n">
        <v>-1960.56</v>
      </c>
    </row>
    <row r="8819">
      <c r="A8819" s="3" t="inlineStr">
        <is>
          <t>Quinate Consulting (Pty) Ltd</t>
        </is>
      </c>
      <c r="B8819" s="4" t="n">
        <v>44681</v>
      </c>
      <c r="C8819" s="3" t="inlineStr">
        <is>
          <t>Liabilities</t>
        </is>
      </c>
      <c r="D8819" s="3" t="inlineStr">
        <is>
          <t xml:space="preserve">B/S </t>
        </is>
      </c>
      <c r="E8819" s="3" t="inlineStr">
        <is>
          <t>Taxation Payable</t>
        </is>
      </c>
      <c r="F8819" s="3" t="n">
        <v>0</v>
      </c>
      <c r="G8819" s="3" t="n">
        <v>-15486</v>
      </c>
    </row>
    <row r="8820">
      <c r="A8820" s="3" t="inlineStr">
        <is>
          <t>Quinate Consulting (Pty) Ltd</t>
        </is>
      </c>
      <c r="B8820" s="4" t="n">
        <v>44681</v>
      </c>
      <c r="C8820" s="3" t="inlineStr">
        <is>
          <t>Liabilities</t>
        </is>
      </c>
      <c r="D8820" s="3" t="inlineStr">
        <is>
          <t>FV</t>
        </is>
      </c>
      <c r="E8820" s="3" t="inlineStr">
        <is>
          <t>Loan - Cape Projects Constuction</t>
        </is>
      </c>
      <c r="F8820" s="3" t="n">
        <v>0</v>
      </c>
      <c r="G8820" s="3" t="n">
        <v>-2850000</v>
      </c>
    </row>
    <row r="8821">
      <c r="A8821" s="3" t="inlineStr">
        <is>
          <t>Trademark Holdings (Pty) Ltd</t>
        </is>
      </c>
      <c r="B8821" s="4" t="n">
        <v>44681</v>
      </c>
      <c r="C8821" s="3" t="inlineStr">
        <is>
          <t>Expenses</t>
        </is>
      </c>
      <c r="D8821" s="3" t="inlineStr">
        <is>
          <t>I/S</t>
        </is>
      </c>
      <c r="E8821" s="3" t="inlineStr">
        <is>
          <t>Income Tax Current Year</t>
        </is>
      </c>
      <c r="F8821" s="3" t="n">
        <v>0</v>
      </c>
      <c r="G8821" s="3" t="n">
        <v>2251.76</v>
      </c>
    </row>
    <row r="8822">
      <c r="A8822" s="3" t="inlineStr">
        <is>
          <t>Quinate Consulting (Pty) Ltd</t>
        </is>
      </c>
      <c r="B8822" s="4" t="n">
        <v>44681</v>
      </c>
      <c r="C8822" s="3" t="inlineStr">
        <is>
          <t>Liabilities</t>
        </is>
      </c>
      <c r="D8822" s="3" t="inlineStr">
        <is>
          <t>Sharehold OppDev</t>
        </is>
      </c>
      <c r="E8822" s="3" t="inlineStr">
        <is>
          <t>Loan - Justine Morgan</t>
        </is>
      </c>
      <c r="F8822" s="3" t="n">
        <v>0</v>
      </c>
      <c r="G8822" s="3" t="n">
        <v>-563766.76</v>
      </c>
    </row>
    <row r="8823">
      <c r="A8823" s="3" t="inlineStr">
        <is>
          <t>Opportunity Global Sales (PTY) LTD</t>
        </is>
      </c>
      <c r="B8823" s="4" t="n">
        <v>44712</v>
      </c>
      <c r="C8823" s="3" t="inlineStr">
        <is>
          <t>Revenue</t>
        </is>
      </c>
      <c r="D8823" s="3" t="inlineStr">
        <is>
          <t>1000/009</t>
        </is>
      </c>
      <c r="E8823" s="3" t="inlineStr">
        <is>
          <t>Sales - Comm on Payprop</t>
        </is>
      </c>
      <c r="F8823" s="3" t="n">
        <v>-1531.52</v>
      </c>
      <c r="G8823" s="3" t="n">
        <v>-12938</v>
      </c>
    </row>
    <row r="8824">
      <c r="A8824" s="3" t="inlineStr">
        <is>
          <t>Quinate Consulting (Pty) Ltd</t>
        </is>
      </c>
      <c r="B8824" s="4" t="n">
        <v>44712</v>
      </c>
      <c r="C8824" s="3" t="inlineStr">
        <is>
          <t>Revenue</t>
        </is>
      </c>
      <c r="D8824" s="3" t="inlineStr">
        <is>
          <t>1000/011</t>
        </is>
      </c>
      <c r="E8824" s="3" t="inlineStr">
        <is>
          <t>Rent Received - Soho Unit 23</t>
        </is>
      </c>
      <c r="F8824" s="3" t="n">
        <v>-12500</v>
      </c>
      <c r="G8824" s="3" t="n">
        <v>-37500</v>
      </c>
    </row>
    <row r="8825">
      <c r="A8825" s="3" t="inlineStr">
        <is>
          <t>Quinate Consulting (Pty) Ltd</t>
        </is>
      </c>
      <c r="B8825" s="4" t="n">
        <v>44712</v>
      </c>
      <c r="C8825" s="3" t="inlineStr">
        <is>
          <t>Revenue</t>
        </is>
      </c>
      <c r="D8825" s="3" t="inlineStr">
        <is>
          <t>1000/012</t>
        </is>
      </c>
      <c r="E8825" s="3" t="inlineStr">
        <is>
          <t>Rent Received - Soho Unit 24</t>
        </is>
      </c>
      <c r="F8825" s="3" t="n">
        <v>-13500</v>
      </c>
      <c r="G8825" s="3" t="n">
        <v>-40500</v>
      </c>
    </row>
    <row r="8826">
      <c r="A8826" s="3" t="inlineStr">
        <is>
          <t>Quinate Consulting (Pty) Ltd</t>
        </is>
      </c>
      <c r="B8826" s="4" t="n">
        <v>44712</v>
      </c>
      <c r="C8826" s="3" t="inlineStr">
        <is>
          <t>Revenue</t>
        </is>
      </c>
      <c r="D8826" s="3" t="inlineStr">
        <is>
          <t>1000/013</t>
        </is>
      </c>
      <c r="E8826" s="3" t="inlineStr">
        <is>
          <t>Rent Recieved - Soho Unit 20</t>
        </is>
      </c>
      <c r="F8826" s="3" t="n">
        <v>-12500</v>
      </c>
      <c r="G8826" s="3" t="n">
        <v>-37500</v>
      </c>
    </row>
    <row r="8827">
      <c r="A8827" s="3" t="inlineStr">
        <is>
          <t>Quinate Consulting (Pty) Ltd</t>
        </is>
      </c>
      <c r="B8827" s="4" t="n">
        <v>44712</v>
      </c>
      <c r="C8827" s="3" t="inlineStr">
        <is>
          <t>Revenue</t>
        </is>
      </c>
      <c r="D8827" s="3" t="inlineStr">
        <is>
          <t>1000/015</t>
        </is>
      </c>
      <c r="E8827" s="3" t="inlineStr">
        <is>
          <t>Rent Received - Southwark Unit 1</t>
        </is>
      </c>
      <c r="F8827" s="3" t="n">
        <v>0</v>
      </c>
      <c r="G8827" s="3" t="n">
        <v>-20000</v>
      </c>
    </row>
    <row r="8828">
      <c r="A8828" s="3" t="inlineStr">
        <is>
          <t>Quinate Consulting (Pty) Ltd</t>
        </is>
      </c>
      <c r="B8828" s="4" t="n">
        <v>44712</v>
      </c>
      <c r="C8828" s="3" t="inlineStr">
        <is>
          <t>Revenue</t>
        </is>
      </c>
      <c r="D8828" s="3" t="inlineStr">
        <is>
          <t>1000/016</t>
        </is>
      </c>
      <c r="E8828" s="3" t="inlineStr">
        <is>
          <t>Rent Recieved - Southwark Unit 21</t>
        </is>
      </c>
      <c r="F8828" s="3" t="n">
        <v>-10000</v>
      </c>
      <c r="G8828" s="3" t="n">
        <v>-30000</v>
      </c>
    </row>
    <row r="8829">
      <c r="A8829" s="3" t="inlineStr">
        <is>
          <t>Opportunity Global Sales (PTY) LTD</t>
        </is>
      </c>
      <c r="B8829" s="4" t="n">
        <v>44712</v>
      </c>
      <c r="C8829" s="3" t="inlineStr">
        <is>
          <t>Revenue</t>
        </is>
      </c>
      <c r="D8829" s="3" t="inlineStr">
        <is>
          <t>1000/100</t>
        </is>
      </c>
      <c r="E8829" s="3" t="inlineStr">
        <is>
          <t>Sales - Comm on External Sales</t>
        </is>
      </c>
      <c r="F8829" s="3" t="n">
        <v>-30000</v>
      </c>
      <c r="G8829" s="3" t="n">
        <v>-55000</v>
      </c>
    </row>
    <row r="8830">
      <c r="A8830" s="3" t="inlineStr">
        <is>
          <t>Noble Shield (Pty) Ltd ta Go Letting</t>
        </is>
      </c>
      <c r="B8830" s="4" t="n">
        <v>44712</v>
      </c>
      <c r="C8830" s="3" t="inlineStr">
        <is>
          <t>Revenue</t>
        </is>
      </c>
      <c r="D8830" s="3" t="inlineStr">
        <is>
          <t>1000/100</t>
        </is>
      </c>
      <c r="E8830" s="3" t="inlineStr">
        <is>
          <t>Sales - Payprop 328 - Michelle</t>
        </is>
      </c>
      <c r="F8830" s="3" t="n">
        <v>-75687.36</v>
      </c>
      <c r="G8830" s="3" t="n">
        <v>-671227.03</v>
      </c>
    </row>
    <row r="8831">
      <c r="A8831" s="3" t="inlineStr">
        <is>
          <t>Opportunity Global Sales (PTY) LTD</t>
        </is>
      </c>
      <c r="B8831" s="4" t="n">
        <v>44712</v>
      </c>
      <c r="C8831" s="3" t="inlineStr">
        <is>
          <t>Revenue</t>
        </is>
      </c>
      <c r="D8831" s="3" t="inlineStr">
        <is>
          <t>1000/120</t>
        </is>
      </c>
      <c r="E8831" s="3" t="inlineStr">
        <is>
          <t>Sales - Admin Fees on Rental Units</t>
        </is>
      </c>
      <c r="F8831" s="3" t="n">
        <v>-2173.92</v>
      </c>
      <c r="G8831" s="3" t="n">
        <v>-5652.16</v>
      </c>
    </row>
    <row r="8832">
      <c r="A8832" s="3" t="inlineStr">
        <is>
          <t>Opportunity Global Sales (PTY) LTD</t>
        </is>
      </c>
      <c r="B8832" s="4" t="n">
        <v>44712</v>
      </c>
      <c r="C8832" s="3" t="inlineStr">
        <is>
          <t>Revenue</t>
        </is>
      </c>
      <c r="D8832" s="3" t="inlineStr">
        <is>
          <t>1000/150</t>
        </is>
      </c>
      <c r="E8832" s="3" t="inlineStr">
        <is>
          <t>Sales - Comm on External Rental</t>
        </is>
      </c>
      <c r="F8832" s="3" t="n">
        <v>-9217.389999999999</v>
      </c>
      <c r="G8832" s="3" t="n">
        <v>-47304.35</v>
      </c>
    </row>
    <row r="8833">
      <c r="A8833" s="3" t="inlineStr">
        <is>
          <t>Opportunity Global Sales (PTY) LTD</t>
        </is>
      </c>
      <c r="B8833" s="4" t="n">
        <v>44712</v>
      </c>
      <c r="C8833" s="3" t="inlineStr">
        <is>
          <t>Revenue</t>
        </is>
      </c>
      <c r="D8833" s="3" t="inlineStr">
        <is>
          <t>1000/250</t>
        </is>
      </c>
      <c r="E8833" s="3" t="inlineStr">
        <is>
          <t>Sales - Comm on Endulini</t>
        </is>
      </c>
      <c r="F8833" s="3" t="n">
        <v>-802095.65</v>
      </c>
      <c r="G8833" s="3" t="n">
        <v>-1188050.87</v>
      </c>
    </row>
    <row r="8834">
      <c r="A8834" s="3" t="inlineStr">
        <is>
          <t>Trademark Holdings (Pty) Ltd</t>
        </is>
      </c>
      <c r="B8834" s="4" t="n">
        <v>44712</v>
      </c>
      <c r="C8834" s="3" t="inlineStr">
        <is>
          <t>Revenue</t>
        </is>
      </c>
      <c r="D8834" s="3" t="inlineStr">
        <is>
          <t>1000/300</t>
        </is>
      </c>
      <c r="E8834" s="3" t="inlineStr">
        <is>
          <t>Sales - Payprop - Lara</t>
        </is>
      </c>
      <c r="F8834" s="3" t="n">
        <v>-73510.55</v>
      </c>
      <c r="G8834" s="3" t="n">
        <v>-804382.9300000001</v>
      </c>
    </row>
    <row r="8835">
      <c r="A8835" s="3" t="inlineStr">
        <is>
          <t>Opportunity Global Investment (PTY) LTD</t>
        </is>
      </c>
      <c r="B8835" s="4" t="n">
        <v>44712</v>
      </c>
      <c r="C8835" s="3" t="inlineStr">
        <is>
          <t>Revenue</t>
        </is>
      </c>
      <c r="D8835" s="3" t="inlineStr">
        <is>
          <t>1000/350</t>
        </is>
      </c>
      <c r="E8835" s="3" t="inlineStr">
        <is>
          <t>Sales - Investor Management - Heron Fields</t>
        </is>
      </c>
      <c r="F8835" s="3" t="n">
        <v>0</v>
      </c>
      <c r="G8835" s="3" t="n">
        <v>-45697.93</v>
      </c>
    </row>
    <row r="8836">
      <c r="A8836" s="3" t="inlineStr">
        <is>
          <t>Trademark Holdings (Pty) Ltd</t>
        </is>
      </c>
      <c r="B8836" s="4" t="n">
        <v>44712</v>
      </c>
      <c r="C8836" s="3" t="inlineStr">
        <is>
          <t>Revenue</t>
        </is>
      </c>
      <c r="D8836" s="3" t="inlineStr">
        <is>
          <t>1000/500</t>
        </is>
      </c>
      <c r="E8836" s="3" t="inlineStr">
        <is>
          <t>Sales - Commission external sale</t>
        </is>
      </c>
      <c r="F8836" s="3" t="n">
        <v>0</v>
      </c>
      <c r="G8836" s="3" t="n">
        <v>-70000</v>
      </c>
    </row>
    <row r="8837">
      <c r="A8837" s="3" t="inlineStr">
        <is>
          <t>Quinate Consulting (Pty) Ltd</t>
        </is>
      </c>
      <c r="B8837" s="4" t="n">
        <v>44712</v>
      </c>
      <c r="C8837" s="3" t="inlineStr">
        <is>
          <t>Revenue</t>
        </is>
      </c>
      <c r="D8837" s="3" t="inlineStr">
        <is>
          <t>1004/000</t>
        </is>
      </c>
      <c r="E8837" s="3" t="inlineStr">
        <is>
          <t>Interest received</t>
        </is>
      </c>
      <c r="F8837" s="3" t="n">
        <v>-367.49</v>
      </c>
      <c r="G8837" s="3" t="n">
        <v>-1016.91</v>
      </c>
    </row>
    <row r="8838">
      <c r="A8838" s="3" t="inlineStr">
        <is>
          <t>Endulini (Pty) Ltd</t>
        </is>
      </c>
      <c r="B8838" s="4" t="n">
        <v>44712</v>
      </c>
      <c r="C8838" s="3" t="inlineStr">
        <is>
          <t>Revenue</t>
        </is>
      </c>
      <c r="D8838" s="3" t="inlineStr">
        <is>
          <t>1100/000</t>
        </is>
      </c>
      <c r="E8838" s="3" t="inlineStr">
        <is>
          <t>Sales - Endulini</t>
        </is>
      </c>
      <c r="F8838" s="3" t="n">
        <v>-16272000.02</v>
      </c>
      <c r="G8838" s="3" t="n">
        <v>-24831391.32</v>
      </c>
    </row>
    <row r="8839">
      <c r="A8839" s="3" t="inlineStr">
        <is>
          <t>Opportunity Management Holdings (PTY) LTD</t>
        </is>
      </c>
      <c r="B8839" s="4" t="n">
        <v>44712</v>
      </c>
      <c r="C8839" s="3" t="inlineStr">
        <is>
          <t>Revenue</t>
        </is>
      </c>
      <c r="D8839" s="3" t="inlineStr">
        <is>
          <t>1100/001</t>
        </is>
      </c>
      <c r="E8839" s="3" t="inlineStr">
        <is>
          <t>Salary Recharges</t>
        </is>
      </c>
      <c r="F8839" s="3" t="n">
        <v>-350249.99</v>
      </c>
      <c r="G8839" s="3" t="n">
        <v>-2414827.91</v>
      </c>
    </row>
    <row r="8840">
      <c r="A8840" s="3" t="inlineStr">
        <is>
          <t>Endulini (Pty) Ltd</t>
        </is>
      </c>
      <c r="B8840" s="4" t="n">
        <v>44712</v>
      </c>
      <c r="C8840" s="3" t="inlineStr">
        <is>
          <t>Revenue</t>
        </is>
      </c>
      <c r="D8840" s="3" t="inlineStr">
        <is>
          <t>1100/100</t>
        </is>
      </c>
      <c r="E8840" s="3" t="inlineStr">
        <is>
          <t>Sales - Endulini - Exstras</t>
        </is>
      </c>
      <c r="F8840" s="3" t="n">
        <v>-8030</v>
      </c>
      <c r="G8840" s="3" t="n">
        <v>-8030</v>
      </c>
    </row>
    <row r="8841">
      <c r="A8841" s="3" t="inlineStr">
        <is>
          <t>Endulini (Pty) Ltd</t>
        </is>
      </c>
      <c r="B8841" s="4" t="n">
        <v>44712</v>
      </c>
      <c r="C8841" s="3" t="inlineStr">
        <is>
          <t>Revenue</t>
        </is>
      </c>
      <c r="D8841" s="3" t="inlineStr">
        <is>
          <t>1100/150</t>
        </is>
      </c>
      <c r="E8841" s="3" t="inlineStr">
        <is>
          <t>Sales - Endulini - Extras admin fee</t>
        </is>
      </c>
      <c r="F8841" s="3" t="n">
        <v>-2000</v>
      </c>
      <c r="G8841" s="3" t="n">
        <v>-2000</v>
      </c>
    </row>
    <row r="8842">
      <c r="A8842" s="3" t="inlineStr">
        <is>
          <t>Endulini (Pty) Ltd</t>
        </is>
      </c>
      <c r="B8842" s="4" t="n">
        <v>44712</v>
      </c>
      <c r="C8842" s="3" t="inlineStr">
        <is>
          <t>Revenue</t>
        </is>
      </c>
      <c r="D8842" s="3" t="inlineStr">
        <is>
          <t>1100/200</t>
        </is>
      </c>
      <c r="E8842" s="3" t="inlineStr">
        <is>
          <t>Sales - Endulini occupational rent</t>
        </is>
      </c>
      <c r="F8842" s="3" t="n">
        <v>-145141.68</v>
      </c>
      <c r="G8842" s="3" t="n">
        <v>-148109.42</v>
      </c>
    </row>
    <row r="8843">
      <c r="A8843" s="3" t="inlineStr">
        <is>
          <t>Noble Shield (Pty) Ltd ta Go Letting</t>
        </is>
      </c>
      <c r="B8843" s="4" t="n">
        <v>44712</v>
      </c>
      <c r="C8843" s="3" t="inlineStr">
        <is>
          <t>Revenue</t>
        </is>
      </c>
      <c r="D8843" s="3" t="inlineStr">
        <is>
          <t>1500/000</t>
        </is>
      </c>
      <c r="E8843" s="3" t="inlineStr">
        <is>
          <t>Insurance recovery</t>
        </is>
      </c>
      <c r="F8843" s="3" t="n">
        <v>0</v>
      </c>
      <c r="G8843" s="3" t="n">
        <v>-1750</v>
      </c>
    </row>
    <row r="8844">
      <c r="A8844" s="3" t="inlineStr">
        <is>
          <t>Quinate Consulting (Pty) Ltd</t>
        </is>
      </c>
      <c r="B8844" s="4" t="n">
        <v>44712</v>
      </c>
      <c r="C8844" s="3" t="inlineStr">
        <is>
          <t>Expenses</t>
        </is>
      </c>
      <c r="D8844" s="3" t="inlineStr">
        <is>
          <t>2000/009</t>
        </is>
      </c>
      <c r="E8844" s="3" t="inlineStr">
        <is>
          <t>COS - Admin fees</t>
        </is>
      </c>
      <c r="F8844" s="3" t="n">
        <v>869.5700000000001</v>
      </c>
      <c r="G8844" s="3" t="n">
        <v>869.5700000000001</v>
      </c>
    </row>
    <row r="8845">
      <c r="A8845" s="3" t="inlineStr">
        <is>
          <t>Endulini (Pty) Ltd</t>
        </is>
      </c>
      <c r="B8845" s="4" t="n">
        <v>44712</v>
      </c>
      <c r="C8845" s="3" t="inlineStr">
        <is>
          <t>Expenses</t>
        </is>
      </c>
      <c r="D8845" s="3" t="inlineStr">
        <is>
          <t>2000/100</t>
        </is>
      </c>
      <c r="E8845" s="3" t="inlineStr">
        <is>
          <t>COS - Commission Endulini</t>
        </is>
      </c>
      <c r="F8845" s="3" t="n">
        <v>802095.65</v>
      </c>
      <c r="G8845" s="3" t="n">
        <v>1522050.87</v>
      </c>
    </row>
    <row r="8846">
      <c r="A8846" s="3" t="inlineStr">
        <is>
          <t>Noble Shield (Pty) Ltd ta Go Letting</t>
        </is>
      </c>
      <c r="B8846" s="4" t="n">
        <v>44712</v>
      </c>
      <c r="C8846" s="3" t="inlineStr">
        <is>
          <t>Expenses</t>
        </is>
      </c>
      <c r="D8846" s="3" t="inlineStr">
        <is>
          <t>2000/100</t>
        </is>
      </c>
      <c r="E8846" s="3" t="inlineStr">
        <is>
          <t>COS - Commission Paid</t>
        </is>
      </c>
      <c r="F8846" s="3" t="n">
        <v>13983.15</v>
      </c>
      <c r="G8846" s="3" t="n">
        <v>202841.23</v>
      </c>
    </row>
    <row r="8847">
      <c r="A8847" s="3" t="inlineStr">
        <is>
          <t>Opportunity Global Sales (PTY) LTD</t>
        </is>
      </c>
      <c r="B8847" s="4" t="n">
        <v>44712</v>
      </c>
      <c r="C8847" s="3" t="inlineStr">
        <is>
          <t>Expenses</t>
        </is>
      </c>
      <c r="D8847" s="3" t="inlineStr">
        <is>
          <t>2000/131</t>
        </is>
      </c>
      <c r="E8847" s="3" t="inlineStr">
        <is>
          <t>COS - Sales Comm Endulini - Anthony</t>
        </is>
      </c>
      <c r="F8847" s="3" t="n">
        <v>52001.63</v>
      </c>
      <c r="G8847" s="3" t="n">
        <v>62272.01</v>
      </c>
    </row>
    <row r="8848">
      <c r="A8848" s="3" t="inlineStr">
        <is>
          <t>Opportunity Global Sales (PTY) LTD</t>
        </is>
      </c>
      <c r="B8848" s="4" t="n">
        <v>44712</v>
      </c>
      <c r="C8848" s="3" t="inlineStr">
        <is>
          <t>Expenses</t>
        </is>
      </c>
      <c r="D8848" s="3" t="inlineStr">
        <is>
          <t>2000/132</t>
        </is>
      </c>
      <c r="E8848" s="3" t="inlineStr">
        <is>
          <t>COS - Sales Comm Endulini - Minette</t>
        </is>
      </c>
      <c r="F8848" s="3" t="n">
        <v>85322.47</v>
      </c>
      <c r="G8848" s="3" t="n">
        <v>163690.85</v>
      </c>
    </row>
    <row r="8849">
      <c r="A8849" s="3" t="inlineStr">
        <is>
          <t>Opportunity Global Sales (PTY) LTD</t>
        </is>
      </c>
      <c r="B8849" s="4" t="n">
        <v>44712</v>
      </c>
      <c r="C8849" s="3" t="inlineStr">
        <is>
          <t>Expenses</t>
        </is>
      </c>
      <c r="D8849" s="3" t="inlineStr">
        <is>
          <t>2000/133</t>
        </is>
      </c>
      <c r="E8849" s="3" t="inlineStr">
        <is>
          <t>COS - Sales Comm Endulini - External Agents</t>
        </is>
      </c>
      <c r="F8849" s="3" t="n">
        <v>0</v>
      </c>
      <c r="G8849" s="3" t="n">
        <v>9966</v>
      </c>
    </row>
    <row r="8850">
      <c r="A8850" s="3" t="inlineStr">
        <is>
          <t>Opportunity Global Sales (PTY) LTD</t>
        </is>
      </c>
      <c r="B8850" s="4" t="n">
        <v>44712</v>
      </c>
      <c r="C8850" s="3" t="inlineStr">
        <is>
          <t>Expenses</t>
        </is>
      </c>
      <c r="D8850" s="3" t="inlineStr">
        <is>
          <t>2000/135</t>
        </is>
      </c>
      <c r="E8850" s="3" t="inlineStr">
        <is>
          <t>COS - Sales Comm External - Minette</t>
        </is>
      </c>
      <c r="F8850" s="3" t="n">
        <v>10250</v>
      </c>
      <c r="G8850" s="3" t="n">
        <v>33189.5</v>
      </c>
    </row>
    <row r="8851">
      <c r="A8851" s="3" t="inlineStr">
        <is>
          <t>Opportunity Global Sales (PTY) LTD</t>
        </is>
      </c>
      <c r="B8851" s="4" t="n">
        <v>44712</v>
      </c>
      <c r="C8851" s="3" t="inlineStr">
        <is>
          <t>Expenses</t>
        </is>
      </c>
      <c r="D8851" s="3" t="inlineStr">
        <is>
          <t>2000/137</t>
        </is>
      </c>
      <c r="E8851" s="3" t="inlineStr">
        <is>
          <t>COS - Rental Comm External - Minette</t>
        </is>
      </c>
      <c r="F8851" s="3" t="n">
        <v>9285.049999999999</v>
      </c>
      <c r="G8851" s="3" t="n">
        <v>20855.05</v>
      </c>
    </row>
    <row r="8852">
      <c r="A8852" s="3" t="inlineStr">
        <is>
          <t>Opportunity Global Sales (PTY) LTD</t>
        </is>
      </c>
      <c r="B8852" s="4" t="n">
        <v>44712</v>
      </c>
      <c r="C8852" s="3" t="inlineStr">
        <is>
          <t>Expenses</t>
        </is>
      </c>
      <c r="D8852" s="3" t="inlineStr">
        <is>
          <t>2000/139</t>
        </is>
      </c>
      <c r="E8852" s="3" t="inlineStr">
        <is>
          <t>COS - Sales Comm Heron Fields - Minette</t>
        </is>
      </c>
      <c r="F8852" s="3" t="n">
        <v>18751.62</v>
      </c>
      <c r="G8852" s="3" t="n">
        <v>95487.91</v>
      </c>
    </row>
    <row r="8853">
      <c r="A8853" s="3" t="inlineStr">
        <is>
          <t>Trademark Holdings (Pty) Ltd</t>
        </is>
      </c>
      <c r="B8853" s="4" t="n">
        <v>44712</v>
      </c>
      <c r="C8853" s="3" t="inlineStr">
        <is>
          <t>Expenses</t>
        </is>
      </c>
      <c r="D8853" s="3" t="inlineStr">
        <is>
          <t>2000/300</t>
        </is>
      </c>
      <c r="E8853" s="3" t="inlineStr">
        <is>
          <t>COS - Commission Paid</t>
        </is>
      </c>
      <c r="F8853" s="3" t="n">
        <v>13748.38</v>
      </c>
      <c r="G8853" s="3" t="n">
        <v>199665.58</v>
      </c>
    </row>
    <row r="8854">
      <c r="A8854" s="3" t="inlineStr">
        <is>
          <t>Opportunity Global Sales (PTY) LTD</t>
        </is>
      </c>
      <c r="B8854" s="4" t="n">
        <v>44712</v>
      </c>
      <c r="C8854" s="3" t="inlineStr">
        <is>
          <t>Expenses</t>
        </is>
      </c>
      <c r="D8854" s="3" t="inlineStr">
        <is>
          <t>2000/350</t>
        </is>
      </c>
      <c r="E8854" s="3" t="inlineStr">
        <is>
          <t>COS - Overrider Comm Endulini - Donovan</t>
        </is>
      </c>
      <c r="F8854" s="3" t="n">
        <v>56041.3</v>
      </c>
      <c r="G8854" s="3" t="n">
        <v>56041.3</v>
      </c>
    </row>
    <row r="8855">
      <c r="A8855" s="3" t="inlineStr">
        <is>
          <t>Opportunity Global Sales (PTY) LTD</t>
        </is>
      </c>
      <c r="B8855" s="4" t="n">
        <v>44712</v>
      </c>
      <c r="C8855" s="3" t="inlineStr">
        <is>
          <t>Expenses</t>
        </is>
      </c>
      <c r="D8855" s="3" t="inlineStr">
        <is>
          <t>2000/351</t>
        </is>
      </c>
      <c r="E8855" s="3" t="inlineStr">
        <is>
          <t>COS - Overrider Comm External - Donovan</t>
        </is>
      </c>
      <c r="F8855" s="3" t="n">
        <v>7030.44</v>
      </c>
      <c r="G8855" s="3" t="n">
        <v>7030.44</v>
      </c>
    </row>
    <row r="8856">
      <c r="A8856" s="3" t="inlineStr">
        <is>
          <t>Opportunity Global Sales (PTY) LTD</t>
        </is>
      </c>
      <c r="B8856" s="4" t="n">
        <v>44712</v>
      </c>
      <c r="C8856" s="3" t="inlineStr">
        <is>
          <t>Expenses</t>
        </is>
      </c>
      <c r="D8856" s="3" t="inlineStr">
        <is>
          <t>2000/370</t>
        </is>
      </c>
      <c r="E8856" s="3" t="inlineStr">
        <is>
          <t>COS - Overrider Comm Endulini - Morne</t>
        </is>
      </c>
      <c r="F8856" s="3" t="n">
        <v>3077.48</v>
      </c>
      <c r="G8856" s="3" t="n">
        <v>3077.48</v>
      </c>
    </row>
    <row r="8857">
      <c r="A8857" s="3" t="inlineStr">
        <is>
          <t>Opportunity Global Sales (PTY) LTD</t>
        </is>
      </c>
      <c r="B8857" s="4" t="n">
        <v>44712</v>
      </c>
      <c r="C8857" s="3" t="inlineStr">
        <is>
          <t>Expenses</t>
        </is>
      </c>
      <c r="D8857" s="3" t="inlineStr">
        <is>
          <t>2000/380</t>
        </is>
      </c>
      <c r="E8857" s="3" t="inlineStr">
        <is>
          <t>COS - Overrider Comm Heron Fields - Morne</t>
        </is>
      </c>
      <c r="F8857" s="3" t="n">
        <v>1897.7</v>
      </c>
      <c r="G8857" s="3" t="n">
        <v>1897.7</v>
      </c>
    </row>
    <row r="8858">
      <c r="A8858" s="3" t="inlineStr">
        <is>
          <t>Trademark Holdings (Pty) Ltd</t>
        </is>
      </c>
      <c r="B8858" s="4" t="n">
        <v>44712</v>
      </c>
      <c r="C8858" s="3" t="inlineStr">
        <is>
          <t>Expenses</t>
        </is>
      </c>
      <c r="D8858" s="3" t="inlineStr">
        <is>
          <t>2000/400</t>
        </is>
      </c>
      <c r="E8858" s="3" t="inlineStr">
        <is>
          <t>COS - Commission on external sales</t>
        </is>
      </c>
      <c r="F8858" s="3" t="n">
        <v>0</v>
      </c>
      <c r="G8858" s="3" t="n">
        <v>42000</v>
      </c>
    </row>
    <row r="8859">
      <c r="A8859" s="3" t="inlineStr">
        <is>
          <t>Endulini (Pty) Ltd</t>
        </is>
      </c>
      <c r="B8859" s="4" t="n">
        <v>44712</v>
      </c>
      <c r="C8859" s="3" t="inlineStr">
        <is>
          <t>Expenses</t>
        </is>
      </c>
      <c r="D8859" s="3" t="inlineStr">
        <is>
          <t>2000/400</t>
        </is>
      </c>
      <c r="E8859" s="3" t="inlineStr">
        <is>
          <t>COS - Gifts</t>
        </is>
      </c>
      <c r="F8859" s="3" t="n">
        <v>0</v>
      </c>
      <c r="G8859" s="3" t="n">
        <v>4270</v>
      </c>
    </row>
    <row r="8860">
      <c r="A8860" s="3" t="inlineStr">
        <is>
          <t>Opportunity Global Sales (PTY) LTD</t>
        </is>
      </c>
      <c r="B8860" s="4" t="n">
        <v>44712</v>
      </c>
      <c r="C8860" s="3" t="inlineStr">
        <is>
          <t>Expenses</t>
        </is>
      </c>
      <c r="D8860" s="3" t="inlineStr">
        <is>
          <t>2000/500</t>
        </is>
      </c>
      <c r="E8860" s="3" t="inlineStr">
        <is>
          <t>COS - Electricity Costs Endulini</t>
        </is>
      </c>
      <c r="F8860" s="3" t="n">
        <v>86.95999999999999</v>
      </c>
      <c r="G8860" s="3" t="n">
        <v>86.95999999999999</v>
      </c>
    </row>
    <row r="8861">
      <c r="A8861" s="3" t="inlineStr">
        <is>
          <t>Trademark Holdings (Pty) Ltd</t>
        </is>
      </c>
      <c r="B8861" s="4" t="n">
        <v>44712</v>
      </c>
      <c r="C8861" s="3" t="inlineStr">
        <is>
          <t>Expenses</t>
        </is>
      </c>
      <c r="D8861" s="3" t="inlineStr">
        <is>
          <t>2000/500</t>
        </is>
      </c>
      <c r="E8861" s="3" t="inlineStr">
        <is>
          <t>COS - Inspection fee</t>
        </is>
      </c>
      <c r="F8861" s="3" t="n">
        <v>0</v>
      </c>
      <c r="G8861" s="3" t="n">
        <v>1500</v>
      </c>
    </row>
    <row r="8862">
      <c r="A8862" s="3" t="inlineStr">
        <is>
          <t>Endulini (Pty) Ltd</t>
        </is>
      </c>
      <c r="B8862" s="4" t="n">
        <v>44712</v>
      </c>
      <c r="C8862" s="3" t="inlineStr">
        <is>
          <t>Expenses</t>
        </is>
      </c>
      <c r="D8862" s="3" t="inlineStr">
        <is>
          <t>2000/500</t>
        </is>
      </c>
      <c r="E8862" s="3" t="inlineStr">
        <is>
          <t>COS - Legal Fees Opening of Sec Title Scheme</t>
        </is>
      </c>
      <c r="F8862" s="3" t="n">
        <v>0</v>
      </c>
      <c r="G8862" s="3" t="n">
        <v>56287.76</v>
      </c>
    </row>
    <row r="8863">
      <c r="A8863" s="3" t="inlineStr">
        <is>
          <t>Endulini (Pty) Ltd</t>
        </is>
      </c>
      <c r="B8863" s="4" t="n">
        <v>44712</v>
      </c>
      <c r="C8863" s="3" t="inlineStr">
        <is>
          <t>Expenses</t>
        </is>
      </c>
      <c r="D8863" s="3" t="inlineStr">
        <is>
          <t>2000/600</t>
        </is>
      </c>
      <c r="E8863" s="3" t="inlineStr">
        <is>
          <t>COS - Legal fees</t>
        </is>
      </c>
      <c r="F8863" s="3" t="n">
        <v>388334.86</v>
      </c>
      <c r="G8863" s="3" t="n">
        <v>507031.67</v>
      </c>
    </row>
    <row r="8864">
      <c r="A8864" s="3" t="inlineStr">
        <is>
          <t>Endulini (Pty) Ltd</t>
        </is>
      </c>
      <c r="B8864" s="4" t="n">
        <v>44712</v>
      </c>
      <c r="C8864" s="3" t="inlineStr">
        <is>
          <t>Expenses</t>
        </is>
      </c>
      <c r="D8864" s="3" t="inlineStr">
        <is>
          <t>2000/700</t>
        </is>
      </c>
      <c r="E8864" s="3" t="inlineStr">
        <is>
          <t>COS - C2M Certificate for transfer</t>
        </is>
      </c>
      <c r="F8864" s="3" t="n">
        <v>0</v>
      </c>
      <c r="G8864" s="3" t="n">
        <v>8000</v>
      </c>
    </row>
    <row r="8865">
      <c r="A8865" s="3" t="inlineStr">
        <is>
          <t>Endulini (Pty) Ltd</t>
        </is>
      </c>
      <c r="B8865" s="4" t="n">
        <v>44712</v>
      </c>
      <c r="C8865" s="3" t="inlineStr">
        <is>
          <t>Expenses</t>
        </is>
      </c>
      <c r="D8865" s="3" t="inlineStr">
        <is>
          <t>2000/800</t>
        </is>
      </c>
      <c r="E8865" s="3" t="inlineStr">
        <is>
          <t>COS - Purchaser Variations</t>
        </is>
      </c>
      <c r="F8865" s="3" t="n">
        <v>0</v>
      </c>
      <c r="G8865" s="3" t="n">
        <v>8734.540000000001</v>
      </c>
    </row>
    <row r="8866">
      <c r="A8866" s="3" t="inlineStr">
        <is>
          <t>Quinate Consulting (Pty) Ltd</t>
        </is>
      </c>
      <c r="B8866" s="4" t="n">
        <v>44712</v>
      </c>
      <c r="C8866" s="3" t="inlineStr">
        <is>
          <t>Revenue</t>
        </is>
      </c>
      <c r="D8866" s="3" t="inlineStr">
        <is>
          <t>2400/200</t>
        </is>
      </c>
      <c r="E8866" s="3" t="inlineStr">
        <is>
          <t>Recovery Acc - Electricity SH</t>
        </is>
      </c>
      <c r="F8866" s="3" t="n">
        <v>-23214.59</v>
      </c>
      <c r="G8866" s="3" t="n">
        <v>-62709</v>
      </c>
    </row>
    <row r="8867">
      <c r="A8867" s="3" t="inlineStr">
        <is>
          <t>Quinate Consulting (Pty) Ltd</t>
        </is>
      </c>
      <c r="B8867" s="4" t="n">
        <v>44712</v>
      </c>
      <c r="C8867" s="3" t="inlineStr">
        <is>
          <t>Revenue</t>
        </is>
      </c>
      <c r="D8867" s="3" t="inlineStr">
        <is>
          <t>2400/300</t>
        </is>
      </c>
      <c r="E8867" s="3" t="inlineStr">
        <is>
          <t>Recovery Account - Electricity SW</t>
        </is>
      </c>
      <c r="F8867" s="3" t="n">
        <v>-17843.43</v>
      </c>
      <c r="G8867" s="3" t="n">
        <v>-45794.74</v>
      </c>
    </row>
    <row r="8868">
      <c r="A8868" s="3" t="inlineStr">
        <is>
          <t>Endulini (Pty) Ltd</t>
        </is>
      </c>
      <c r="B8868" s="4" t="n">
        <v>44712</v>
      </c>
      <c r="C8868" s="3" t="inlineStr">
        <is>
          <t>Revenue</t>
        </is>
      </c>
      <c r="D8868" s="3" t="inlineStr">
        <is>
          <t>2750/000</t>
        </is>
      </c>
      <c r="E8868" s="3" t="inlineStr">
        <is>
          <t>Interest Received</t>
        </is>
      </c>
      <c r="F8868" s="3" t="n">
        <v>-28.23</v>
      </c>
      <c r="G8868" s="3" t="n">
        <v>-28.23</v>
      </c>
    </row>
    <row r="8869">
      <c r="A8869" s="3" t="inlineStr">
        <is>
          <t>Opportunity Management Holdings (PTY) LTD</t>
        </is>
      </c>
      <c r="B8869" s="4" t="n">
        <v>44712</v>
      </c>
      <c r="C8869" s="3" t="inlineStr">
        <is>
          <t>Revenue</t>
        </is>
      </c>
      <c r="D8869" s="3" t="inlineStr">
        <is>
          <t>2750/000</t>
        </is>
      </c>
      <c r="E8869" s="3" t="inlineStr">
        <is>
          <t>Interest Received</t>
        </is>
      </c>
      <c r="F8869" s="3" t="n">
        <v>0</v>
      </c>
      <c r="G8869" s="3" t="n">
        <v>-0.21</v>
      </c>
    </row>
    <row r="8870">
      <c r="A8870" s="3" t="inlineStr">
        <is>
          <t>Opportunity Global Investment (PTY) LTD</t>
        </is>
      </c>
      <c r="B8870" s="4" t="n">
        <v>44712</v>
      </c>
      <c r="C8870" s="3" t="inlineStr">
        <is>
          <t>Revenue</t>
        </is>
      </c>
      <c r="D8870" s="3" t="inlineStr">
        <is>
          <t>2753/000</t>
        </is>
      </c>
      <c r="E8870" s="3" t="inlineStr">
        <is>
          <t>Interest received - Momentum</t>
        </is>
      </c>
      <c r="F8870" s="3" t="n">
        <v>0</v>
      </c>
      <c r="G8870" s="3" t="n">
        <v>-17.58</v>
      </c>
    </row>
    <row r="8871">
      <c r="A8871" s="3" t="inlineStr">
        <is>
          <t>Endulini (Pty) Ltd</t>
        </is>
      </c>
      <c r="B8871" s="4" t="n">
        <v>44712</v>
      </c>
      <c r="C8871" s="3" t="inlineStr">
        <is>
          <t>Revenue</t>
        </is>
      </c>
      <c r="D8871" s="3" t="inlineStr">
        <is>
          <t>2755/001</t>
        </is>
      </c>
      <c r="E8871" s="3" t="inlineStr">
        <is>
          <t>Interest Received - Momentum</t>
        </is>
      </c>
      <c r="F8871" s="3" t="n">
        <v>-7730.82</v>
      </c>
      <c r="G8871" s="3" t="n">
        <v>-24693.84</v>
      </c>
    </row>
    <row r="8872">
      <c r="A8872" s="3" t="inlineStr">
        <is>
          <t>Quinate Consulting (Pty) Ltd</t>
        </is>
      </c>
      <c r="B8872" s="4" t="n">
        <v>44712</v>
      </c>
      <c r="C8872" s="3" t="inlineStr">
        <is>
          <t>Revenue</t>
        </is>
      </c>
      <c r="D8872" s="3" t="inlineStr">
        <is>
          <t>2755/001</t>
        </is>
      </c>
      <c r="E8872" s="3" t="inlineStr">
        <is>
          <t>Interest Received - Momentum</t>
        </is>
      </c>
      <c r="F8872" s="3" t="n">
        <v>0</v>
      </c>
      <c r="G8872" s="3" t="n">
        <v>-4.01</v>
      </c>
    </row>
    <row r="8873">
      <c r="A8873" s="3" t="inlineStr">
        <is>
          <t>Opportunity Global Investment (PTY) LTD</t>
        </is>
      </c>
      <c r="B8873" s="4" t="n">
        <v>44712</v>
      </c>
      <c r="C8873" s="3" t="inlineStr">
        <is>
          <t>Expenses</t>
        </is>
      </c>
      <c r="D8873" s="3" t="inlineStr">
        <is>
          <t>3000/200</t>
        </is>
      </c>
      <c r="E8873" s="3" t="inlineStr">
        <is>
          <t>Accounting Fees - General</t>
        </is>
      </c>
      <c r="F8873" s="3" t="n">
        <v>540</v>
      </c>
      <c r="G8873" s="3" t="n">
        <v>540</v>
      </c>
    </row>
    <row r="8874">
      <c r="A8874" s="3" t="inlineStr">
        <is>
          <t>Noble Shield (Pty) Ltd ta Go Letting</t>
        </is>
      </c>
      <c r="B8874" s="4" t="n">
        <v>44712</v>
      </c>
      <c r="C8874" s="3" t="inlineStr">
        <is>
          <t>Expenses</t>
        </is>
      </c>
      <c r="D8874" s="3" t="inlineStr">
        <is>
          <t>3000/300</t>
        </is>
      </c>
      <c r="E8874" s="3" t="inlineStr">
        <is>
          <t>Accounting Fees - Audit</t>
        </is>
      </c>
      <c r="F8874" s="3" t="n">
        <v>0</v>
      </c>
      <c r="G8874" s="3" t="n">
        <v>25967</v>
      </c>
    </row>
    <row r="8875">
      <c r="A8875" s="3" t="inlineStr">
        <is>
          <t>Trademark Holdings (Pty) Ltd</t>
        </is>
      </c>
      <c r="B8875" s="4" t="n">
        <v>44712</v>
      </c>
      <c r="C8875" s="3" t="inlineStr">
        <is>
          <t>Expenses</t>
        </is>
      </c>
      <c r="D8875" s="3" t="inlineStr">
        <is>
          <t>3000/300</t>
        </is>
      </c>
      <c r="E8875" s="3" t="inlineStr">
        <is>
          <t>Accounting Fees - Audit</t>
        </is>
      </c>
      <c r="F8875" s="3" t="n">
        <v>0</v>
      </c>
      <c r="G8875" s="3" t="n">
        <v>16790</v>
      </c>
    </row>
    <row r="8876">
      <c r="A8876" s="3" t="inlineStr">
        <is>
          <t>Noble Shield (Pty) Ltd ta Go Letting</t>
        </is>
      </c>
      <c r="B8876" s="4" t="n">
        <v>44712</v>
      </c>
      <c r="C8876" s="3" t="inlineStr">
        <is>
          <t>Expenses</t>
        </is>
      </c>
      <c r="D8876" s="3" t="inlineStr">
        <is>
          <t>3000/400</t>
        </is>
      </c>
      <c r="E8876" s="3" t="inlineStr">
        <is>
          <t>Accounting Fees - CipC</t>
        </is>
      </c>
      <c r="F8876" s="3" t="n">
        <v>0</v>
      </c>
      <c r="G8876" s="3" t="n">
        <v>100</v>
      </c>
    </row>
    <row r="8877">
      <c r="A8877" s="3" t="inlineStr">
        <is>
          <t>Trademark Holdings (Pty) Ltd</t>
        </is>
      </c>
      <c r="B8877" s="4" t="n">
        <v>44712</v>
      </c>
      <c r="C8877" s="3" t="inlineStr">
        <is>
          <t>Expenses</t>
        </is>
      </c>
      <c r="D8877" s="3" t="inlineStr">
        <is>
          <t>3000/500</t>
        </is>
      </c>
      <c r="E8877" s="3" t="inlineStr">
        <is>
          <t>Accounting Fees - Other</t>
        </is>
      </c>
      <c r="F8877" s="3" t="n">
        <v>621</v>
      </c>
      <c r="G8877" s="3" t="n">
        <v>621</v>
      </c>
    </row>
    <row r="8878">
      <c r="A8878" s="3" t="inlineStr">
        <is>
          <t>Opportunity Management Holdings (PTY) LTD</t>
        </is>
      </c>
      <c r="B8878" s="4" t="n">
        <v>44712</v>
      </c>
      <c r="C8878" s="3" t="inlineStr">
        <is>
          <t>Expenses</t>
        </is>
      </c>
      <c r="D8878" s="3" t="inlineStr">
        <is>
          <t>3001/000</t>
        </is>
      </c>
      <c r="E8878" s="3" t="inlineStr">
        <is>
          <t>Accounting Fees - Payroll</t>
        </is>
      </c>
      <c r="F8878" s="3" t="n">
        <v>0</v>
      </c>
      <c r="G8878" s="3" t="n">
        <v>577.5</v>
      </c>
    </row>
    <row r="8879">
      <c r="A8879" s="3" t="inlineStr">
        <is>
          <t>Quinate Consulting (Pty) Ltd</t>
        </is>
      </c>
      <c r="B8879" s="4" t="n">
        <v>44712</v>
      </c>
      <c r="C8879" s="3" t="inlineStr">
        <is>
          <t>Expenses</t>
        </is>
      </c>
      <c r="D8879" s="3" t="inlineStr">
        <is>
          <t>3001/000</t>
        </is>
      </c>
      <c r="E8879" s="3" t="inlineStr">
        <is>
          <t>Accounting fees - Other</t>
        </is>
      </c>
      <c r="F8879" s="3" t="n">
        <v>0</v>
      </c>
      <c r="G8879" s="3" t="n">
        <v>1850</v>
      </c>
    </row>
    <row r="8880">
      <c r="A8880" s="3" t="inlineStr">
        <is>
          <t>Opportunity Management Holdings (PTY) LTD</t>
        </is>
      </c>
      <c r="B8880" s="4" t="n">
        <v>44712</v>
      </c>
      <c r="C8880" s="3" t="inlineStr">
        <is>
          <t>Expenses</t>
        </is>
      </c>
      <c r="D8880" s="3" t="inlineStr">
        <is>
          <t>3004/000</t>
        </is>
      </c>
      <c r="E8880" s="3" t="inlineStr">
        <is>
          <t>Accounting fees - Janine Theart</t>
        </is>
      </c>
      <c r="F8880" s="3" t="n">
        <v>17500</v>
      </c>
      <c r="G8880" s="3" t="n">
        <v>135000</v>
      </c>
    </row>
    <row r="8881">
      <c r="A8881" s="3" t="inlineStr">
        <is>
          <t>Opportunity Management Holdings (PTY) LTD</t>
        </is>
      </c>
      <c r="B8881" s="4" t="n">
        <v>44712</v>
      </c>
      <c r="C8881" s="3" t="inlineStr">
        <is>
          <t>Expenses</t>
        </is>
      </c>
      <c r="D8881" s="3" t="inlineStr">
        <is>
          <t>3005/000</t>
        </is>
      </c>
      <c r="E8881" s="3" t="inlineStr">
        <is>
          <t>Accounting fees - Deric Dudley</t>
        </is>
      </c>
      <c r="F8881" s="3" t="n">
        <v>50000</v>
      </c>
      <c r="G8881" s="3" t="n">
        <v>364000</v>
      </c>
    </row>
    <row r="8882">
      <c r="A8882" s="3" t="inlineStr">
        <is>
          <t>Opportunity Management Holdings (PTY) LTD</t>
        </is>
      </c>
      <c r="B8882" s="4" t="n">
        <v>44712</v>
      </c>
      <c r="C8882" s="3" t="inlineStr">
        <is>
          <t>Expenses</t>
        </is>
      </c>
      <c r="D8882" s="3" t="inlineStr">
        <is>
          <t>3006/000</t>
        </is>
      </c>
      <c r="E8882" s="3" t="inlineStr">
        <is>
          <t>Accounting fees - CIPC</t>
        </is>
      </c>
      <c r="F8882" s="3" t="n">
        <v>0</v>
      </c>
      <c r="G8882" s="3" t="n">
        <v>350</v>
      </c>
    </row>
    <row r="8883">
      <c r="A8883" s="3" t="inlineStr">
        <is>
          <t>Opportunity Management Holdings (PTY) LTD</t>
        </is>
      </c>
      <c r="B8883" s="4" t="n">
        <v>44712</v>
      </c>
      <c r="C8883" s="3" t="inlineStr">
        <is>
          <t>Expenses</t>
        </is>
      </c>
      <c r="D8883" s="3" t="inlineStr">
        <is>
          <t>3007/000</t>
        </is>
      </c>
      <c r="E8883" s="3" t="inlineStr">
        <is>
          <t>Accounting fees - Warwick</t>
        </is>
      </c>
      <c r="F8883" s="3" t="n">
        <v>0</v>
      </c>
      <c r="G8883" s="3" t="n">
        <v>200090.46</v>
      </c>
    </row>
    <row r="8884">
      <c r="A8884" s="3" t="inlineStr">
        <is>
          <t>Endulini (Pty) Ltd</t>
        </is>
      </c>
      <c r="B8884" s="4" t="n">
        <v>44712</v>
      </c>
      <c r="C8884" s="3" t="inlineStr">
        <is>
          <t>Expenses</t>
        </is>
      </c>
      <c r="D8884" s="3" t="inlineStr">
        <is>
          <t>3050/000</t>
        </is>
      </c>
      <c r="E8884" s="3" t="inlineStr">
        <is>
          <t>Advertising _AND_ Promotions</t>
        </is>
      </c>
      <c r="F8884" s="3" t="n">
        <v>0</v>
      </c>
      <c r="G8884" s="3" t="n">
        <v>4565</v>
      </c>
    </row>
    <row r="8885">
      <c r="A8885" s="3" t="inlineStr">
        <is>
          <t>Noble Shield (Pty) Ltd ta Go Letting</t>
        </is>
      </c>
      <c r="B8885" s="4" t="n">
        <v>44712</v>
      </c>
      <c r="C8885" s="3" t="inlineStr">
        <is>
          <t>Expenses</t>
        </is>
      </c>
      <c r="D8885" s="3" t="inlineStr">
        <is>
          <t>3050/000</t>
        </is>
      </c>
      <c r="E8885" s="3" t="inlineStr">
        <is>
          <t>Advertising _AND_ Promotions</t>
        </is>
      </c>
      <c r="F8885" s="3" t="n">
        <v>0</v>
      </c>
      <c r="G8885" s="3" t="n">
        <v>3862.5</v>
      </c>
    </row>
    <row r="8886">
      <c r="A8886" s="3" t="inlineStr">
        <is>
          <t>Opportunity Management Holdings (PTY) LTD</t>
        </is>
      </c>
      <c r="B8886" s="4" t="n">
        <v>44712</v>
      </c>
      <c r="C8886" s="3" t="inlineStr">
        <is>
          <t>Expenses</t>
        </is>
      </c>
      <c r="D8886" s="3" t="inlineStr">
        <is>
          <t>3050/000</t>
        </is>
      </c>
      <c r="E8886" s="3" t="inlineStr">
        <is>
          <t>Advertising _AND_ Promotions</t>
        </is>
      </c>
      <c r="F8886" s="3" t="n">
        <v>275</v>
      </c>
      <c r="G8886" s="3" t="n">
        <v>8805</v>
      </c>
    </row>
    <row r="8887">
      <c r="A8887" s="3" t="inlineStr">
        <is>
          <t>Endulini (Pty) Ltd</t>
        </is>
      </c>
      <c r="B8887" s="4" t="n">
        <v>44712</v>
      </c>
      <c r="C8887" s="3" t="inlineStr">
        <is>
          <t>Expenses</t>
        </is>
      </c>
      <c r="D8887" s="3" t="inlineStr">
        <is>
          <t>3050/001</t>
        </is>
      </c>
      <c r="E8887" s="3" t="inlineStr">
        <is>
          <t>Advertising _AND_ Promotions - Media Agenda</t>
        </is>
      </c>
      <c r="F8887" s="3" t="n">
        <v>550</v>
      </c>
      <c r="G8887" s="3" t="n">
        <v>4000</v>
      </c>
    </row>
    <row r="8888">
      <c r="A8888" s="3" t="inlineStr">
        <is>
          <t>Noble Shield (Pty) Ltd ta Go Letting</t>
        </is>
      </c>
      <c r="B8888" s="4" t="n">
        <v>44712</v>
      </c>
      <c r="C8888" s="3" t="inlineStr">
        <is>
          <t>Expenses</t>
        </is>
      </c>
      <c r="D8888" s="3" t="inlineStr">
        <is>
          <t>3050/050</t>
        </is>
      </c>
      <c r="E8888" s="3" t="inlineStr">
        <is>
          <t>Advertising - Prop 24</t>
        </is>
      </c>
      <c r="F8888" s="3" t="n">
        <v>1948.1</v>
      </c>
      <c r="G8888" s="3" t="n">
        <v>18787.55</v>
      </c>
    </row>
    <row r="8889">
      <c r="A8889" s="3" t="inlineStr">
        <is>
          <t>Trademark Holdings (Pty) Ltd</t>
        </is>
      </c>
      <c r="B8889" s="4" t="n">
        <v>44712</v>
      </c>
      <c r="C8889" s="3" t="inlineStr">
        <is>
          <t>Expenses</t>
        </is>
      </c>
      <c r="D8889" s="3" t="inlineStr">
        <is>
          <t>3050/060</t>
        </is>
      </c>
      <c r="E8889" s="3" t="inlineStr">
        <is>
          <t>Advertising - Other</t>
        </is>
      </c>
      <c r="F8889" s="3" t="n">
        <v>0</v>
      </c>
      <c r="G8889" s="3" t="n">
        <v>7595.75</v>
      </c>
    </row>
    <row r="8890">
      <c r="A8890" s="3" t="inlineStr">
        <is>
          <t>Noble Shield (Pty) Ltd ta Go Letting</t>
        </is>
      </c>
      <c r="B8890" s="4" t="n">
        <v>44712</v>
      </c>
      <c r="C8890" s="3" t="inlineStr">
        <is>
          <t>Expenses</t>
        </is>
      </c>
      <c r="D8890" s="3" t="inlineStr">
        <is>
          <t>3050/070</t>
        </is>
      </c>
      <c r="E8890" s="3" t="inlineStr">
        <is>
          <t>Advertising - Facebook</t>
        </is>
      </c>
      <c r="F8890" s="3" t="n">
        <v>0</v>
      </c>
      <c r="G8890" s="3" t="n">
        <v>3317.35</v>
      </c>
    </row>
    <row r="8891">
      <c r="A8891" s="3" t="inlineStr">
        <is>
          <t>Opportunity Global Sales (PTY) LTD</t>
        </is>
      </c>
      <c r="B8891" s="4" t="n">
        <v>44712</v>
      </c>
      <c r="C8891" s="3" t="inlineStr">
        <is>
          <t>Expenses</t>
        </is>
      </c>
      <c r="D8891" s="3" t="inlineStr">
        <is>
          <t>3050/100</t>
        </is>
      </c>
      <c r="E8891" s="3" t="inlineStr">
        <is>
          <t>Advertising - Facebook</t>
        </is>
      </c>
      <c r="F8891" s="3" t="n">
        <v>9044.18</v>
      </c>
      <c r="G8891" s="3" t="n">
        <v>26679.61</v>
      </c>
    </row>
    <row r="8892">
      <c r="A8892" s="3" t="inlineStr">
        <is>
          <t>Opportunity Global Sales (PTY) LTD</t>
        </is>
      </c>
      <c r="B8892" s="4" t="n">
        <v>44712</v>
      </c>
      <c r="C8892" s="3" t="inlineStr">
        <is>
          <t>Expenses</t>
        </is>
      </c>
      <c r="D8892" s="3" t="inlineStr">
        <is>
          <t>3050/140</t>
        </is>
      </c>
      <c r="E8892" s="3" t="inlineStr">
        <is>
          <t>Advertising - Media Agenda</t>
        </is>
      </c>
      <c r="F8892" s="3" t="n">
        <v>0</v>
      </c>
      <c r="G8892" s="3" t="n">
        <v>1925</v>
      </c>
    </row>
    <row r="8893">
      <c r="A8893" s="3" t="inlineStr">
        <is>
          <t>Opportunity Global Sales (PTY) LTD</t>
        </is>
      </c>
      <c r="B8893" s="4" t="n">
        <v>44712</v>
      </c>
      <c r="C8893" s="3" t="inlineStr">
        <is>
          <t>Expenses</t>
        </is>
      </c>
      <c r="D8893" s="3" t="inlineStr">
        <is>
          <t>3050/250</t>
        </is>
      </c>
      <c r="E8893" s="3" t="inlineStr">
        <is>
          <t>Advertising - General</t>
        </is>
      </c>
      <c r="F8893" s="3" t="n">
        <v>779.92</v>
      </c>
      <c r="G8893" s="3" t="n">
        <v>1731.91</v>
      </c>
    </row>
    <row r="8894">
      <c r="A8894" s="3" t="inlineStr">
        <is>
          <t>Opportunity Global Investment (PTY) LTD</t>
        </is>
      </c>
      <c r="B8894" s="4" t="n">
        <v>44712</v>
      </c>
      <c r="C8894" s="3" t="inlineStr">
        <is>
          <t>Expenses</t>
        </is>
      </c>
      <c r="D8894" s="3" t="inlineStr">
        <is>
          <t>3050/260</t>
        </is>
      </c>
      <c r="E8894" s="3" t="inlineStr">
        <is>
          <t>Advertising - Media Agenda</t>
        </is>
      </c>
      <c r="F8894" s="3" t="n">
        <v>687.5</v>
      </c>
      <c r="G8894" s="3" t="n">
        <v>687.5</v>
      </c>
    </row>
    <row r="8895">
      <c r="A8895" s="3" t="inlineStr">
        <is>
          <t>Opportunity Global Investment (PTY) LTD</t>
        </is>
      </c>
      <c r="B8895" s="4" t="n">
        <v>44712</v>
      </c>
      <c r="C8895" s="3" t="inlineStr">
        <is>
          <t>Expenses</t>
        </is>
      </c>
      <c r="D8895" s="3" t="inlineStr">
        <is>
          <t>3050/270</t>
        </is>
      </c>
      <c r="E8895" s="3" t="inlineStr">
        <is>
          <t>Advertising - Radia and TV Interviews</t>
        </is>
      </c>
      <c r="F8895" s="3" t="n">
        <v>17232</v>
      </c>
      <c r="G8895" s="3" t="n">
        <v>26432</v>
      </c>
    </row>
    <row r="8896">
      <c r="A8896" s="3" t="inlineStr">
        <is>
          <t>Opportunity Global Investment (PTY) LTD</t>
        </is>
      </c>
      <c r="B8896" s="4" t="n">
        <v>44712</v>
      </c>
      <c r="C8896" s="3" t="inlineStr">
        <is>
          <t>Expenses</t>
        </is>
      </c>
      <c r="D8896" s="3" t="inlineStr">
        <is>
          <t>3050/290</t>
        </is>
      </c>
      <c r="E8896" s="3" t="inlineStr">
        <is>
          <t>Advertising - Serene Living</t>
        </is>
      </c>
      <c r="F8896" s="3" t="n">
        <v>65086</v>
      </c>
      <c r="G8896" s="3" t="n">
        <v>195258</v>
      </c>
    </row>
    <row r="8897">
      <c r="A8897" s="3" t="inlineStr">
        <is>
          <t>Opportunity Global Investment (PTY) LTD</t>
        </is>
      </c>
      <c r="B8897" s="4" t="n">
        <v>44712</v>
      </c>
      <c r="C8897" s="3" t="inlineStr">
        <is>
          <t>Expenses</t>
        </is>
      </c>
      <c r="D8897" s="3" t="inlineStr">
        <is>
          <t>3050/295</t>
        </is>
      </c>
      <c r="E8897" s="3" t="inlineStr">
        <is>
          <t>Advertising - Reale Activation</t>
        </is>
      </c>
      <c r="F8897" s="3" t="n">
        <v>31544.4</v>
      </c>
      <c r="G8897" s="3" t="n">
        <v>31544.4</v>
      </c>
    </row>
    <row r="8898">
      <c r="A8898" s="3" t="inlineStr">
        <is>
          <t>Opportunity Global Investment (PTY) LTD</t>
        </is>
      </c>
      <c r="B8898" s="4" t="n">
        <v>44712</v>
      </c>
      <c r="C8898" s="3" t="inlineStr">
        <is>
          <t>Expenses</t>
        </is>
      </c>
      <c r="D8898" s="3" t="inlineStr">
        <is>
          <t>3050/300</t>
        </is>
      </c>
      <c r="E8898" s="3" t="inlineStr">
        <is>
          <t>Advertising - Design</t>
        </is>
      </c>
      <c r="F8898" s="3" t="n">
        <v>4375</v>
      </c>
      <c r="G8898" s="3" t="n">
        <v>17525</v>
      </c>
    </row>
    <row r="8899">
      <c r="A8899" s="3" t="inlineStr">
        <is>
          <t>Opportunity Global Sales (PTY) LTD</t>
        </is>
      </c>
      <c r="B8899" s="4" t="n">
        <v>44712</v>
      </c>
      <c r="C8899" s="3" t="inlineStr">
        <is>
          <t>Expenses</t>
        </is>
      </c>
      <c r="D8899" s="3" t="inlineStr">
        <is>
          <t>3050/350</t>
        </is>
      </c>
      <c r="E8899" s="3" t="inlineStr">
        <is>
          <t>Advertising - Private Property</t>
        </is>
      </c>
      <c r="F8899" s="3" t="n">
        <v>1250</v>
      </c>
      <c r="G8899" s="3" t="n">
        <v>3750</v>
      </c>
    </row>
    <row r="8900">
      <c r="A8900" s="3" t="inlineStr">
        <is>
          <t>Opportunity Global Sales (PTY) LTD</t>
        </is>
      </c>
      <c r="B8900" s="4" t="n">
        <v>44712</v>
      </c>
      <c r="C8900" s="3" t="inlineStr">
        <is>
          <t>Expenses</t>
        </is>
      </c>
      <c r="D8900" s="3" t="inlineStr">
        <is>
          <t>3050/370</t>
        </is>
      </c>
      <c r="E8900" s="3" t="inlineStr">
        <is>
          <t>Advertising - HR</t>
        </is>
      </c>
      <c r="F8900" s="3" t="n">
        <v>0</v>
      </c>
      <c r="G8900" s="3" t="n">
        <v>1200</v>
      </c>
    </row>
    <row r="8901">
      <c r="A8901" s="3" t="inlineStr">
        <is>
          <t>Quinate Consulting (Pty) Ltd</t>
        </is>
      </c>
      <c r="B8901" s="4" t="n">
        <v>44712</v>
      </c>
      <c r="C8901" s="3" t="inlineStr">
        <is>
          <t>Expenses</t>
        </is>
      </c>
      <c r="D8901" s="3" t="inlineStr">
        <is>
          <t>3050/400</t>
        </is>
      </c>
      <c r="E8901" s="3" t="inlineStr">
        <is>
          <t>Advertising - Prop24</t>
        </is>
      </c>
      <c r="F8901" s="3" t="n">
        <v>15507</v>
      </c>
      <c r="G8901" s="3" t="n">
        <v>38027</v>
      </c>
    </row>
    <row r="8902">
      <c r="A8902" s="3" t="inlineStr">
        <is>
          <t>Quinate Consulting (Pty) Ltd</t>
        </is>
      </c>
      <c r="B8902" s="4" t="n">
        <v>44712</v>
      </c>
      <c r="C8902" s="3" t="inlineStr">
        <is>
          <t>Expenses</t>
        </is>
      </c>
      <c r="D8902" s="3" t="inlineStr">
        <is>
          <t>3050/450</t>
        </is>
      </c>
      <c r="E8902" s="3" t="inlineStr">
        <is>
          <t>Advertising - Facebook</t>
        </is>
      </c>
      <c r="F8902" s="3" t="n">
        <v>5535.8</v>
      </c>
      <c r="G8902" s="3" t="n">
        <v>17204.05</v>
      </c>
    </row>
    <row r="8903">
      <c r="A8903" s="3" t="inlineStr">
        <is>
          <t>Opportunity Global Investment (PTY) LTD</t>
        </is>
      </c>
      <c r="B8903" s="4" t="n">
        <v>44712</v>
      </c>
      <c r="C8903" s="3" t="inlineStr">
        <is>
          <t>Expenses</t>
        </is>
      </c>
      <c r="D8903" s="3" t="inlineStr">
        <is>
          <t>3051/000</t>
        </is>
      </c>
      <c r="E8903" s="3" t="inlineStr">
        <is>
          <t>Advertising - Facebook</t>
        </is>
      </c>
      <c r="F8903" s="3" t="n">
        <v>26743.92</v>
      </c>
      <c r="G8903" s="3" t="n">
        <v>57272.68</v>
      </c>
    </row>
    <row r="8904">
      <c r="A8904" s="3" t="inlineStr">
        <is>
          <t>Opportunity Global Investment (PTY) LTD</t>
        </is>
      </c>
      <c r="B8904" s="4" t="n">
        <v>44712</v>
      </c>
      <c r="C8904" s="3" t="inlineStr">
        <is>
          <t>Expenses</t>
        </is>
      </c>
      <c r="D8904" s="3" t="inlineStr">
        <is>
          <t>3053/000</t>
        </is>
      </c>
      <c r="E8904" s="3" t="inlineStr">
        <is>
          <t>Advertising - Google Ads</t>
        </is>
      </c>
      <c r="F8904" s="3" t="n">
        <v>1083.14</v>
      </c>
      <c r="G8904" s="3" t="n">
        <v>2948.81</v>
      </c>
    </row>
    <row r="8905">
      <c r="A8905" s="3" t="inlineStr">
        <is>
          <t>Opportunity Management Holdings (PTY) LTD</t>
        </is>
      </c>
      <c r="B8905" s="4" t="n">
        <v>44712</v>
      </c>
      <c r="C8905" s="3" t="inlineStr">
        <is>
          <t>Expenses</t>
        </is>
      </c>
      <c r="D8905" s="3" t="inlineStr">
        <is>
          <t>3100/000</t>
        </is>
      </c>
      <c r="E8905" s="3" t="inlineStr">
        <is>
          <t>Accounting Fees - Audit Fees</t>
        </is>
      </c>
      <c r="F8905" s="3" t="n">
        <v>8200</v>
      </c>
      <c r="G8905" s="3" t="n">
        <v>17550</v>
      </c>
    </row>
    <row r="8906">
      <c r="A8906" s="3" t="inlineStr">
        <is>
          <t>Endulini (Pty) Ltd</t>
        </is>
      </c>
      <c r="B8906" s="4" t="n">
        <v>44712</v>
      </c>
      <c r="C8906" s="3" t="inlineStr">
        <is>
          <t>Expenses</t>
        </is>
      </c>
      <c r="D8906" s="3" t="inlineStr">
        <is>
          <t>3200/000</t>
        </is>
      </c>
      <c r="E8906" s="3" t="inlineStr">
        <is>
          <t>Bank Charges</t>
        </is>
      </c>
      <c r="F8906" s="3" t="n">
        <v>580.66</v>
      </c>
      <c r="G8906" s="3" t="n">
        <v>1724.58</v>
      </c>
    </row>
    <row r="8907">
      <c r="A8907" s="3" t="inlineStr">
        <is>
          <t>Noble Shield (Pty) Ltd ta Go Letting</t>
        </is>
      </c>
      <c r="B8907" s="4" t="n">
        <v>44712</v>
      </c>
      <c r="C8907" s="3" t="inlineStr">
        <is>
          <t>Expenses</t>
        </is>
      </c>
      <c r="D8907" s="3" t="inlineStr">
        <is>
          <t>3200/000</t>
        </is>
      </c>
      <c r="E8907" s="3" t="inlineStr">
        <is>
          <t>Bank Charges</t>
        </is>
      </c>
      <c r="F8907" s="3" t="n">
        <v>1474.58</v>
      </c>
      <c r="G8907" s="3" t="n">
        <v>11189.96</v>
      </c>
    </row>
    <row r="8908">
      <c r="A8908" s="3" t="inlineStr">
        <is>
          <t>Opportunity Global Investment (PTY) LTD</t>
        </is>
      </c>
      <c r="B8908" s="4" t="n">
        <v>44712</v>
      </c>
      <c r="C8908" s="3" t="inlineStr">
        <is>
          <t>Expenses</t>
        </is>
      </c>
      <c r="D8908" s="3" t="inlineStr">
        <is>
          <t>3200/000</t>
        </is>
      </c>
      <c r="E8908" s="3" t="inlineStr">
        <is>
          <t>Bank Charges</t>
        </is>
      </c>
      <c r="F8908" s="3" t="n">
        <v>1872.76</v>
      </c>
      <c r="G8908" s="3" t="n">
        <v>5359.62</v>
      </c>
    </row>
    <row r="8909">
      <c r="A8909" s="3" t="inlineStr">
        <is>
          <t>Opportunity Global Sales (PTY) LTD</t>
        </is>
      </c>
      <c r="B8909" s="4" t="n">
        <v>44712</v>
      </c>
      <c r="C8909" s="3" t="inlineStr">
        <is>
          <t>Expenses</t>
        </is>
      </c>
      <c r="D8909" s="3" t="inlineStr">
        <is>
          <t>3200/000</t>
        </is>
      </c>
      <c r="E8909" s="3" t="inlineStr">
        <is>
          <t>Bank Charges</t>
        </is>
      </c>
      <c r="F8909" s="3" t="n">
        <v>997.87</v>
      </c>
      <c r="G8909" s="3" t="n">
        <v>2868.82</v>
      </c>
    </row>
    <row r="8910">
      <c r="A8910" s="3" t="inlineStr">
        <is>
          <t>Opportunity Management Holdings (PTY) LTD</t>
        </is>
      </c>
      <c r="B8910" s="4" t="n">
        <v>44712</v>
      </c>
      <c r="C8910" s="3" t="inlineStr">
        <is>
          <t>Expenses</t>
        </is>
      </c>
      <c r="D8910" s="3" t="inlineStr">
        <is>
          <t>3200/000</t>
        </is>
      </c>
      <c r="E8910" s="3" t="inlineStr">
        <is>
          <t>Bank Charges</t>
        </is>
      </c>
      <c r="F8910" s="3" t="n">
        <v>2451.27</v>
      </c>
      <c r="G8910" s="3" t="n">
        <v>12352.47</v>
      </c>
    </row>
    <row r="8911">
      <c r="A8911" s="3" t="inlineStr">
        <is>
          <t>Quinate Consulting (Pty) Ltd</t>
        </is>
      </c>
      <c r="B8911" s="4" t="n">
        <v>44712</v>
      </c>
      <c r="C8911" s="3" t="inlineStr">
        <is>
          <t>Expenses</t>
        </is>
      </c>
      <c r="D8911" s="3" t="inlineStr">
        <is>
          <t>3200/000</t>
        </is>
      </c>
      <c r="E8911" s="3" t="inlineStr">
        <is>
          <t>Bank Charges</t>
        </is>
      </c>
      <c r="F8911" s="3" t="n">
        <v>1222.14</v>
      </c>
      <c r="G8911" s="3" t="n">
        <v>4485.69</v>
      </c>
    </row>
    <row r="8912">
      <c r="A8912" s="3" t="inlineStr">
        <is>
          <t>Trademark Holdings (Pty) Ltd</t>
        </is>
      </c>
      <c r="B8912" s="4" t="n">
        <v>44712</v>
      </c>
      <c r="C8912" s="3" t="inlineStr">
        <is>
          <t>Expenses</t>
        </is>
      </c>
      <c r="D8912" s="3" t="inlineStr">
        <is>
          <t>3200/000</t>
        </is>
      </c>
      <c r="E8912" s="3" t="inlineStr">
        <is>
          <t>Bank Charges</t>
        </is>
      </c>
      <c r="F8912" s="3" t="n">
        <v>758.37</v>
      </c>
      <c r="G8912" s="3" t="n">
        <v>6457.55</v>
      </c>
    </row>
    <row r="8913">
      <c r="A8913" s="3" t="inlineStr">
        <is>
          <t>Quinate Consulting (Pty) Ltd</t>
        </is>
      </c>
      <c r="B8913" s="4" t="n">
        <v>44712</v>
      </c>
      <c r="C8913" s="3" t="inlineStr">
        <is>
          <t>Expenses</t>
        </is>
      </c>
      <c r="D8913" s="3" t="inlineStr">
        <is>
          <t>3220/000</t>
        </is>
      </c>
      <c r="E8913" s="3" t="inlineStr">
        <is>
          <t>Bank Charges - Bond Fees</t>
        </is>
      </c>
      <c r="F8913" s="3" t="n">
        <v>1117.41</v>
      </c>
      <c r="G8913" s="3" t="n">
        <v>3352.23</v>
      </c>
    </row>
    <row r="8914">
      <c r="A8914" s="3" t="inlineStr">
        <is>
          <t>Noble Shield (Pty) Ltd ta Go Letting</t>
        </is>
      </c>
      <c r="B8914" s="4" t="n">
        <v>44712</v>
      </c>
      <c r="C8914" s="3" t="inlineStr">
        <is>
          <t>Expenses</t>
        </is>
      </c>
      <c r="D8914" s="3" t="inlineStr">
        <is>
          <t>3230/000</t>
        </is>
      </c>
      <c r="E8914" s="3" t="inlineStr">
        <is>
          <t>Cell Phone - NM</t>
        </is>
      </c>
      <c r="F8914" s="3" t="n">
        <v>2311.84</v>
      </c>
      <c r="G8914" s="3" t="n">
        <v>20536.01</v>
      </c>
    </row>
    <row r="8915">
      <c r="A8915" s="3" t="inlineStr">
        <is>
          <t>Noble Shield (Pty) Ltd ta Go Letting</t>
        </is>
      </c>
      <c r="B8915" s="4" t="n">
        <v>44712</v>
      </c>
      <c r="C8915" s="3" t="inlineStr">
        <is>
          <t>Expenses</t>
        </is>
      </c>
      <c r="D8915" s="3" t="inlineStr">
        <is>
          <t>3233/000</t>
        </is>
      </c>
      <c r="E8915" s="3" t="inlineStr">
        <is>
          <t>Cell Data - Other</t>
        </is>
      </c>
      <c r="F8915" s="3" t="n">
        <v>199</v>
      </c>
      <c r="G8915" s="3" t="n">
        <v>2359</v>
      </c>
    </row>
    <row r="8916">
      <c r="A8916" s="3" t="inlineStr">
        <is>
          <t>Noble Shield (Pty) Ltd ta Go Letting</t>
        </is>
      </c>
      <c r="B8916" s="4" t="n">
        <v>44712</v>
      </c>
      <c r="C8916" s="3" t="inlineStr">
        <is>
          <t>Expenses</t>
        </is>
      </c>
      <c r="D8916" s="3" t="inlineStr">
        <is>
          <t>3233/100</t>
        </is>
      </c>
      <c r="E8916" s="3" t="inlineStr">
        <is>
          <t>Cell Data - Sales office Wifi</t>
        </is>
      </c>
      <c r="F8916" s="3" t="n">
        <v>369</v>
      </c>
      <c r="G8916" s="3" t="n">
        <v>2682</v>
      </c>
    </row>
    <row r="8917">
      <c r="A8917" s="3" t="inlineStr">
        <is>
          <t>Noble Shield (Pty) Ltd ta Go Letting</t>
        </is>
      </c>
      <c r="B8917" s="4" t="n">
        <v>44712</v>
      </c>
      <c r="C8917" s="3" t="inlineStr">
        <is>
          <t>Expenses</t>
        </is>
      </c>
      <c r="D8917" s="3" t="inlineStr">
        <is>
          <t>3250/000</t>
        </is>
      </c>
      <c r="E8917" s="3" t="inlineStr">
        <is>
          <t>Cleaning</t>
        </is>
      </c>
      <c r="F8917" s="3" t="n">
        <v>0</v>
      </c>
      <c r="G8917" s="3" t="n">
        <v>658.48</v>
      </c>
    </row>
    <row r="8918">
      <c r="A8918" s="3" t="inlineStr">
        <is>
          <t>Opportunity Global Investment (PTY) LTD</t>
        </is>
      </c>
      <c r="B8918" s="4" t="n">
        <v>44712</v>
      </c>
      <c r="C8918" s="3" t="inlineStr">
        <is>
          <t>Expenses</t>
        </is>
      </c>
      <c r="D8918" s="3" t="inlineStr">
        <is>
          <t>3250/000</t>
        </is>
      </c>
      <c r="E8918" s="3" t="inlineStr">
        <is>
          <t>Cleaning</t>
        </is>
      </c>
      <c r="F8918" s="3" t="n">
        <v>2700</v>
      </c>
      <c r="G8918" s="3" t="n">
        <v>8100</v>
      </c>
    </row>
    <row r="8919">
      <c r="A8919" s="3" t="inlineStr">
        <is>
          <t>Opportunity Management Holdings (PTY) LTD</t>
        </is>
      </c>
      <c r="B8919" s="4" t="n">
        <v>44712</v>
      </c>
      <c r="C8919" s="3" t="inlineStr">
        <is>
          <t>Expenses</t>
        </is>
      </c>
      <c r="D8919" s="3" t="inlineStr">
        <is>
          <t>3250/000</t>
        </is>
      </c>
      <c r="E8919" s="3" t="inlineStr">
        <is>
          <t>Cleaning</t>
        </is>
      </c>
      <c r="F8919" s="3" t="n">
        <v>1250</v>
      </c>
      <c r="G8919" s="3" t="n">
        <v>2000</v>
      </c>
    </row>
    <row r="8920">
      <c r="A8920" s="3" t="inlineStr">
        <is>
          <t>Trademark Holdings (Pty) Ltd</t>
        </is>
      </c>
      <c r="B8920" s="4" t="n">
        <v>44712</v>
      </c>
      <c r="C8920" s="3" t="inlineStr">
        <is>
          <t>Expenses</t>
        </is>
      </c>
      <c r="D8920" s="3" t="inlineStr">
        <is>
          <t>3250/000</t>
        </is>
      </c>
      <c r="E8920" s="3" t="inlineStr">
        <is>
          <t>Cleaning</t>
        </is>
      </c>
      <c r="F8920" s="3" t="n">
        <v>1300</v>
      </c>
      <c r="G8920" s="3" t="n">
        <v>8572</v>
      </c>
    </row>
    <row r="8921">
      <c r="A8921" s="3" t="inlineStr">
        <is>
          <t>Noble Shield (Pty) Ltd ta Go Letting</t>
        </is>
      </c>
      <c r="B8921" s="4" t="n">
        <v>44712</v>
      </c>
      <c r="C8921" s="3" t="inlineStr">
        <is>
          <t>Expenses</t>
        </is>
      </c>
      <c r="D8921" s="3" t="inlineStr">
        <is>
          <t>3300/000</t>
        </is>
      </c>
      <c r="E8921" s="3" t="inlineStr">
        <is>
          <t>Computer Expenses</t>
        </is>
      </c>
      <c r="F8921" s="3" t="n">
        <v>0</v>
      </c>
      <c r="G8921" s="3" t="n">
        <v>3226.5</v>
      </c>
    </row>
    <row r="8922">
      <c r="A8922" s="3" t="inlineStr">
        <is>
          <t>Opportunity Global Investment (PTY) LTD</t>
        </is>
      </c>
      <c r="B8922" s="4" t="n">
        <v>44712</v>
      </c>
      <c r="C8922" s="3" t="inlineStr">
        <is>
          <t>Expenses</t>
        </is>
      </c>
      <c r="D8922" s="3" t="inlineStr">
        <is>
          <t>3300/000</t>
        </is>
      </c>
      <c r="E8922" s="3" t="inlineStr">
        <is>
          <t>Computer Expenses</t>
        </is>
      </c>
      <c r="F8922" s="3" t="n">
        <v>0</v>
      </c>
      <c r="G8922" s="3" t="n">
        <v>1800</v>
      </c>
    </row>
    <row r="8923">
      <c r="A8923" s="3" t="inlineStr">
        <is>
          <t>Opportunity Global Sales (PTY) LTD</t>
        </is>
      </c>
      <c r="B8923" s="4" t="n">
        <v>44712</v>
      </c>
      <c r="C8923" s="3" t="inlineStr">
        <is>
          <t>Expenses</t>
        </is>
      </c>
      <c r="D8923" s="3" t="inlineStr">
        <is>
          <t>3300/000</t>
        </is>
      </c>
      <c r="E8923" s="3" t="inlineStr">
        <is>
          <t>Computer Expenses</t>
        </is>
      </c>
      <c r="F8923" s="3" t="n">
        <v>0</v>
      </c>
      <c r="G8923" s="3" t="n">
        <v>275</v>
      </c>
    </row>
    <row r="8924">
      <c r="A8924" s="3" t="inlineStr">
        <is>
          <t>Opportunity Management Holdings (PTY) LTD</t>
        </is>
      </c>
      <c r="B8924" s="4" t="n">
        <v>44712</v>
      </c>
      <c r="C8924" s="3" t="inlineStr">
        <is>
          <t>Expenses</t>
        </is>
      </c>
      <c r="D8924" s="3" t="inlineStr">
        <is>
          <t>3300/000</t>
        </is>
      </c>
      <c r="E8924" s="3" t="inlineStr">
        <is>
          <t>Computer Expenses</t>
        </is>
      </c>
      <c r="F8924" s="3" t="n">
        <v>697.39</v>
      </c>
      <c r="G8924" s="3" t="n">
        <v>2333.12</v>
      </c>
    </row>
    <row r="8925">
      <c r="A8925" s="3" t="inlineStr">
        <is>
          <t>Quinate Consulting (Pty) Ltd</t>
        </is>
      </c>
      <c r="B8925" s="4" t="n">
        <v>44712</v>
      </c>
      <c r="C8925" s="3" t="inlineStr">
        <is>
          <t>Expenses</t>
        </is>
      </c>
      <c r="D8925" s="3" t="inlineStr">
        <is>
          <t>3300/000</t>
        </is>
      </c>
      <c r="E8925" s="3" t="inlineStr">
        <is>
          <t>Computer Expenses</t>
        </is>
      </c>
      <c r="F8925" s="3" t="n">
        <v>509.04</v>
      </c>
      <c r="G8925" s="3" t="n">
        <v>509.04</v>
      </c>
    </row>
    <row r="8926">
      <c r="A8926" s="3" t="inlineStr">
        <is>
          <t>Trademark Holdings (Pty) Ltd</t>
        </is>
      </c>
      <c r="B8926" s="4" t="n">
        <v>44712</v>
      </c>
      <c r="C8926" s="3" t="inlineStr">
        <is>
          <t>Expenses</t>
        </is>
      </c>
      <c r="D8926" s="3" t="inlineStr">
        <is>
          <t>3300/000</t>
        </is>
      </c>
      <c r="E8926" s="3" t="inlineStr">
        <is>
          <t>Computer Expenses</t>
        </is>
      </c>
      <c r="F8926" s="3" t="n">
        <v>0</v>
      </c>
      <c r="G8926" s="3" t="n">
        <v>7714.4</v>
      </c>
    </row>
    <row r="8927">
      <c r="A8927" s="3" t="inlineStr">
        <is>
          <t>Noble Shield (Pty) Ltd ta Go Letting</t>
        </is>
      </c>
      <c r="B8927" s="4" t="n">
        <v>44712</v>
      </c>
      <c r="C8927" s="3" t="inlineStr">
        <is>
          <t>Expenses</t>
        </is>
      </c>
      <c r="D8927" s="3" t="inlineStr">
        <is>
          <t>3300/120</t>
        </is>
      </c>
      <c r="E8927" s="3" t="inlineStr">
        <is>
          <t>Computer IT - Software Propworx</t>
        </is>
      </c>
      <c r="F8927" s="3" t="n">
        <v>2087.25</v>
      </c>
      <c r="G8927" s="3" t="n">
        <v>15571</v>
      </c>
    </row>
    <row r="8928">
      <c r="A8928" s="3" t="inlineStr">
        <is>
          <t>Trademark Holdings (Pty) Ltd</t>
        </is>
      </c>
      <c r="B8928" s="4" t="n">
        <v>44712</v>
      </c>
      <c r="C8928" s="3" t="inlineStr">
        <is>
          <t>Expenses</t>
        </is>
      </c>
      <c r="D8928" s="3" t="inlineStr">
        <is>
          <t>3300/125</t>
        </is>
      </c>
      <c r="E8928" s="3" t="inlineStr">
        <is>
          <t>Computer IT - CT</t>
        </is>
      </c>
      <c r="F8928" s="3" t="n">
        <v>0</v>
      </c>
      <c r="G8928" s="3" t="n">
        <v>106.38</v>
      </c>
    </row>
    <row r="8929">
      <c r="A8929" s="3" t="inlineStr">
        <is>
          <t>Trademark Holdings (Pty) Ltd</t>
        </is>
      </c>
      <c r="B8929" s="4" t="n">
        <v>44712</v>
      </c>
      <c r="C8929" s="3" t="inlineStr">
        <is>
          <t>Expenses</t>
        </is>
      </c>
      <c r="D8929" s="3" t="inlineStr">
        <is>
          <t>3300/130</t>
        </is>
      </c>
      <c r="E8929" s="3" t="inlineStr">
        <is>
          <t>Computer IT - Internet/Hosting Fees</t>
        </is>
      </c>
      <c r="F8929" s="3" t="n">
        <v>-8329.450000000001</v>
      </c>
      <c r="G8929" s="3" t="n">
        <v>28939.75</v>
      </c>
    </row>
    <row r="8930">
      <c r="A8930" s="3" t="inlineStr">
        <is>
          <t>Trademark Holdings (Pty) Ltd</t>
        </is>
      </c>
      <c r="B8930" s="4" t="n">
        <v>44712</v>
      </c>
      <c r="C8930" s="3" t="inlineStr">
        <is>
          <t>Expenses</t>
        </is>
      </c>
      <c r="D8930" s="3" t="inlineStr">
        <is>
          <t>3300/145</t>
        </is>
      </c>
      <c r="E8930" s="3" t="inlineStr">
        <is>
          <t>Computer IT - Cloud Solve</t>
        </is>
      </c>
      <c r="F8930" s="3" t="n">
        <v>4588.5</v>
      </c>
      <c r="G8930" s="3" t="n">
        <v>34948.5</v>
      </c>
    </row>
    <row r="8931">
      <c r="A8931" s="3" t="inlineStr">
        <is>
          <t>Noble Shield (Pty) Ltd ta Go Letting</t>
        </is>
      </c>
      <c r="B8931" s="4" t="n">
        <v>44712</v>
      </c>
      <c r="C8931" s="3" t="inlineStr">
        <is>
          <t>Expenses</t>
        </is>
      </c>
      <c r="D8931" s="3" t="inlineStr">
        <is>
          <t>3300/170</t>
        </is>
      </c>
      <c r="E8931" s="3" t="inlineStr">
        <is>
          <t>Computer IT - VDB office Fibre</t>
        </is>
      </c>
      <c r="F8931" s="3" t="n">
        <v>790</v>
      </c>
      <c r="G8931" s="3" t="n">
        <v>7900</v>
      </c>
    </row>
    <row r="8932">
      <c r="A8932" s="3" t="inlineStr">
        <is>
          <t>Noble Shield (Pty) Ltd ta Go Letting</t>
        </is>
      </c>
      <c r="B8932" s="4" t="n">
        <v>44712</v>
      </c>
      <c r="C8932" s="3" t="inlineStr">
        <is>
          <t>Expenses</t>
        </is>
      </c>
      <c r="D8932" s="3" t="inlineStr">
        <is>
          <t>3301/000</t>
        </is>
      </c>
      <c r="E8932" s="3" t="inlineStr">
        <is>
          <t>Computer Expenses - Xero Setup</t>
        </is>
      </c>
      <c r="F8932" s="3" t="n">
        <v>0</v>
      </c>
      <c r="G8932" s="3" t="n">
        <v>3000</v>
      </c>
    </row>
    <row r="8933">
      <c r="A8933" s="3" t="inlineStr">
        <is>
          <t>Trademark Holdings (Pty) Ltd</t>
        </is>
      </c>
      <c r="B8933" s="4" t="n">
        <v>44712</v>
      </c>
      <c r="C8933" s="3" t="inlineStr">
        <is>
          <t>Expenses</t>
        </is>
      </c>
      <c r="D8933" s="3" t="inlineStr">
        <is>
          <t>3301/000</t>
        </is>
      </c>
      <c r="E8933" s="3" t="inlineStr">
        <is>
          <t>Computer Expenses - Xero Setup</t>
        </is>
      </c>
      <c r="F8933" s="3" t="n">
        <v>0</v>
      </c>
      <c r="G8933" s="3" t="n">
        <v>3000</v>
      </c>
    </row>
    <row r="8934">
      <c r="A8934" s="3" t="inlineStr">
        <is>
          <t>Opportunity Management Holdings (PTY) LTD</t>
        </is>
      </c>
      <c r="B8934" s="4" t="n">
        <v>44712</v>
      </c>
      <c r="C8934" s="3" t="inlineStr">
        <is>
          <t>Expenses</t>
        </is>
      </c>
      <c r="D8934" s="3" t="inlineStr">
        <is>
          <t>3350/000</t>
        </is>
      </c>
      <c r="E8934" s="3" t="inlineStr">
        <is>
          <t>Consulting Fees</t>
        </is>
      </c>
      <c r="F8934" s="3" t="n">
        <v>0</v>
      </c>
      <c r="G8934" s="3" t="n">
        <v>6000</v>
      </c>
    </row>
    <row r="8935">
      <c r="A8935" s="3" t="inlineStr">
        <is>
          <t>Opportunity Management Holdings (PTY) LTD</t>
        </is>
      </c>
      <c r="B8935" s="4" t="n">
        <v>44712</v>
      </c>
      <c r="C8935" s="3" t="inlineStr">
        <is>
          <t>Expenses</t>
        </is>
      </c>
      <c r="D8935" s="3" t="inlineStr">
        <is>
          <t>3350/100</t>
        </is>
      </c>
      <c r="E8935" s="3" t="inlineStr">
        <is>
          <t>Consulting Fee - Dirk Coetzee</t>
        </is>
      </c>
      <c r="F8935" s="3" t="n">
        <v>6000</v>
      </c>
      <c r="G8935" s="3" t="n">
        <v>6000</v>
      </c>
    </row>
    <row r="8936">
      <c r="A8936" s="3" t="inlineStr">
        <is>
          <t>Quinate Consulting (Pty) Ltd</t>
        </is>
      </c>
      <c r="B8936" s="4" t="n">
        <v>44712</v>
      </c>
      <c r="C8936" s="3" t="inlineStr">
        <is>
          <t>Expenses</t>
        </is>
      </c>
      <c r="D8936" s="3" t="inlineStr">
        <is>
          <t>3350/100</t>
        </is>
      </c>
      <c r="E8936" s="3" t="inlineStr">
        <is>
          <t>Consulting Fees</t>
        </is>
      </c>
      <c r="F8936" s="3" t="n">
        <v>-15000</v>
      </c>
      <c r="G8936" s="3" t="n">
        <v>-15000</v>
      </c>
    </row>
    <row r="8937">
      <c r="A8937" s="3" t="inlineStr">
        <is>
          <t>Endulini (Pty) Ltd</t>
        </is>
      </c>
      <c r="B8937" s="4" t="n">
        <v>44712</v>
      </c>
      <c r="C8937" s="3" t="inlineStr">
        <is>
          <t>Expenses</t>
        </is>
      </c>
      <c r="D8937" s="3" t="inlineStr">
        <is>
          <t>3350/100</t>
        </is>
      </c>
      <c r="E8937" s="3" t="inlineStr">
        <is>
          <t>Consulting Fees - Admin and Finance</t>
        </is>
      </c>
      <c r="F8937" s="3" t="n">
        <v>86424.99000000001</v>
      </c>
      <c r="G8937" s="3" t="n">
        <v>232840.68</v>
      </c>
    </row>
    <row r="8938">
      <c r="A8938" s="3" t="inlineStr">
        <is>
          <t>Opportunity Global Investment (PTY) LTD</t>
        </is>
      </c>
      <c r="B8938" s="4" t="n">
        <v>44712</v>
      </c>
      <c r="C8938" s="3" t="inlineStr">
        <is>
          <t>Expenses</t>
        </is>
      </c>
      <c r="D8938" s="3" t="inlineStr">
        <is>
          <t>3350/100</t>
        </is>
      </c>
      <c r="E8938" s="3" t="inlineStr">
        <is>
          <t>Consulting Fees - Admin and Finance</t>
        </is>
      </c>
      <c r="F8938" s="3" t="n">
        <v>4775</v>
      </c>
      <c r="G8938" s="3" t="n">
        <v>14325</v>
      </c>
    </row>
    <row r="8939">
      <c r="A8939" s="3" t="inlineStr">
        <is>
          <t>Opportunity Global Sales (PTY) LTD</t>
        </is>
      </c>
      <c r="B8939" s="4" t="n">
        <v>44712</v>
      </c>
      <c r="C8939" s="3" t="inlineStr">
        <is>
          <t>Expenses</t>
        </is>
      </c>
      <c r="D8939" s="3" t="inlineStr">
        <is>
          <t>3350/100</t>
        </is>
      </c>
      <c r="E8939" s="3" t="inlineStr">
        <is>
          <t>Consulting Fees - Admin and Finance</t>
        </is>
      </c>
      <c r="F8939" s="3" t="n">
        <v>6100</v>
      </c>
      <c r="G8939" s="3" t="n">
        <v>18060</v>
      </c>
    </row>
    <row r="8940">
      <c r="A8940" s="3" t="inlineStr">
        <is>
          <t>Opportunity Global Investment (PTY) LTD</t>
        </is>
      </c>
      <c r="B8940" s="4" t="n">
        <v>44712</v>
      </c>
      <c r="C8940" s="3" t="inlineStr">
        <is>
          <t>Expenses</t>
        </is>
      </c>
      <c r="D8940" s="3" t="inlineStr">
        <is>
          <t>3350/200</t>
        </is>
      </c>
      <c r="E8940" s="3" t="inlineStr">
        <is>
          <t>Consulting Fees - Rockfin</t>
        </is>
      </c>
      <c r="F8940" s="3" t="n">
        <v>5000</v>
      </c>
      <c r="G8940" s="3" t="n">
        <v>5000</v>
      </c>
    </row>
    <row r="8941">
      <c r="A8941" s="3" t="inlineStr">
        <is>
          <t>Quinate Consulting (Pty) Ltd</t>
        </is>
      </c>
      <c r="B8941" s="4" t="n">
        <v>44712</v>
      </c>
      <c r="C8941" s="3" t="inlineStr">
        <is>
          <t>Expenses</t>
        </is>
      </c>
      <c r="D8941" s="3" t="inlineStr">
        <is>
          <t>3350/300</t>
        </is>
      </c>
      <c r="E8941" s="3" t="inlineStr">
        <is>
          <t>Consulting Fees - Admin and Finance</t>
        </is>
      </c>
      <c r="F8941" s="3" t="n">
        <v>2000</v>
      </c>
      <c r="G8941" s="3" t="n">
        <v>7700</v>
      </c>
    </row>
    <row r="8942">
      <c r="A8942" s="3" t="inlineStr">
        <is>
          <t>Opportunity Global Investment (PTY) LTD</t>
        </is>
      </c>
      <c r="B8942" s="4" t="n">
        <v>44712</v>
      </c>
      <c r="C8942" s="3" t="inlineStr">
        <is>
          <t>Expenses</t>
        </is>
      </c>
      <c r="D8942" s="3" t="inlineStr">
        <is>
          <t>3351/000</t>
        </is>
      </c>
      <c r="E8942" s="3" t="inlineStr">
        <is>
          <t>Consulting Fees - HR Joblaw</t>
        </is>
      </c>
      <c r="F8942" s="3" t="n">
        <v>1350</v>
      </c>
      <c r="G8942" s="3" t="n">
        <v>4050</v>
      </c>
    </row>
    <row r="8943">
      <c r="A8943" s="3" t="inlineStr">
        <is>
          <t>Quinate Consulting (Pty) Ltd</t>
        </is>
      </c>
      <c r="B8943" s="4" t="n">
        <v>44712</v>
      </c>
      <c r="C8943" s="3" t="inlineStr">
        <is>
          <t>Expenses</t>
        </is>
      </c>
      <c r="D8943" s="3" t="inlineStr">
        <is>
          <t>3351/000</t>
        </is>
      </c>
      <c r="E8943" s="3" t="inlineStr">
        <is>
          <t>Consulting fees - Trustees</t>
        </is>
      </c>
      <c r="F8943" s="3" t="n">
        <v>8000</v>
      </c>
      <c r="G8943" s="3" t="n">
        <v>20000</v>
      </c>
    </row>
    <row r="8944">
      <c r="A8944" s="3" t="inlineStr">
        <is>
          <t>Opportunity Global Investment (PTY) LTD</t>
        </is>
      </c>
      <c r="B8944" s="4" t="n">
        <v>44712</v>
      </c>
      <c r="C8944" s="3" t="inlineStr">
        <is>
          <t>Expenses</t>
        </is>
      </c>
      <c r="D8944" s="3" t="inlineStr">
        <is>
          <t>3352/000</t>
        </is>
      </c>
      <c r="E8944" s="3" t="inlineStr">
        <is>
          <t>Consulting Fees - Kert Scalzini</t>
        </is>
      </c>
      <c r="F8944" s="3" t="n">
        <v>0</v>
      </c>
      <c r="G8944" s="3" t="n">
        <v>20000</v>
      </c>
    </row>
    <row r="8945">
      <c r="A8945" s="3" t="inlineStr">
        <is>
          <t>Quinate Consulting (Pty) Ltd</t>
        </is>
      </c>
      <c r="B8945" s="4" t="n">
        <v>44712</v>
      </c>
      <c r="C8945" s="3" t="inlineStr">
        <is>
          <t>Expenses</t>
        </is>
      </c>
      <c r="D8945" s="3" t="inlineStr">
        <is>
          <t>3450/001</t>
        </is>
      </c>
      <c r="E8945" s="3" t="inlineStr">
        <is>
          <t>Depreciation - Computer Equipment</t>
        </is>
      </c>
      <c r="F8945" s="3" t="n">
        <v>3141.38</v>
      </c>
      <c r="G8945" s="3" t="n">
        <v>9424.139999999999</v>
      </c>
    </row>
    <row r="8946">
      <c r="A8946" s="3" t="inlineStr">
        <is>
          <t>Quinate Consulting (Pty) Ltd</t>
        </is>
      </c>
      <c r="B8946" s="4" t="n">
        <v>44712</v>
      </c>
      <c r="C8946" s="3" t="inlineStr">
        <is>
          <t>Expenses</t>
        </is>
      </c>
      <c r="D8946" s="3" t="inlineStr">
        <is>
          <t>3450/002</t>
        </is>
      </c>
      <c r="E8946" s="3" t="inlineStr">
        <is>
          <t>Depreciation - Site Containers</t>
        </is>
      </c>
      <c r="F8946" s="3" t="n">
        <v>318.84</v>
      </c>
      <c r="G8946" s="3" t="n">
        <v>956.52</v>
      </c>
    </row>
    <row r="8947">
      <c r="A8947" s="3" t="inlineStr">
        <is>
          <t>Opportunity Management Holdings (PTY) LTD</t>
        </is>
      </c>
      <c r="B8947" s="4" t="n">
        <v>44712</v>
      </c>
      <c r="C8947" s="3" t="inlineStr">
        <is>
          <t>Expenses</t>
        </is>
      </c>
      <c r="D8947" s="3" t="inlineStr">
        <is>
          <t>3451/000</t>
        </is>
      </c>
      <c r="E8947" s="3" t="inlineStr">
        <is>
          <t>Depreciation - Computer Equipment</t>
        </is>
      </c>
      <c r="F8947" s="3" t="n">
        <v>277.74</v>
      </c>
      <c r="G8947" s="3" t="n">
        <v>277.74</v>
      </c>
    </row>
    <row r="8948">
      <c r="A8948" s="3" t="inlineStr">
        <is>
          <t>Quinate Consulting (Pty) Ltd</t>
        </is>
      </c>
      <c r="B8948" s="4" t="n">
        <v>44712</v>
      </c>
      <c r="C8948" s="3" t="inlineStr">
        <is>
          <t>Expenses</t>
        </is>
      </c>
      <c r="D8948" s="3" t="inlineStr">
        <is>
          <t>3600/000</t>
        </is>
      </c>
      <c r="E8948" s="3" t="inlineStr">
        <is>
          <t>Donations</t>
        </is>
      </c>
      <c r="F8948" s="3" t="n">
        <v>535</v>
      </c>
      <c r="G8948" s="3" t="n">
        <v>1605</v>
      </c>
    </row>
    <row r="8949">
      <c r="A8949" s="3" t="inlineStr">
        <is>
          <t>Endulini (Pty) Ltd</t>
        </is>
      </c>
      <c r="B8949" s="4" t="n">
        <v>44712</v>
      </c>
      <c r="C8949" s="3" t="inlineStr">
        <is>
          <t>Expenses</t>
        </is>
      </c>
      <c r="D8949" s="3" t="inlineStr">
        <is>
          <t>3630/000</t>
        </is>
      </c>
      <c r="E8949" s="3" t="inlineStr">
        <is>
          <t>Electricity</t>
        </is>
      </c>
      <c r="F8949" s="3" t="n">
        <v>0</v>
      </c>
      <c r="G8949" s="3" t="n">
        <v>6713.99</v>
      </c>
    </row>
    <row r="8950">
      <c r="A8950" s="3" t="inlineStr">
        <is>
          <t>Noble Shield (Pty) Ltd ta Go Letting</t>
        </is>
      </c>
      <c r="B8950" s="4" t="n">
        <v>44712</v>
      </c>
      <c r="C8950" s="3" t="inlineStr">
        <is>
          <t>Expenses</t>
        </is>
      </c>
      <c r="D8950" s="3" t="inlineStr">
        <is>
          <t>3650/000</t>
        </is>
      </c>
      <c r="E8950" s="3" t="inlineStr">
        <is>
          <t>Electricity _AND_ Water</t>
        </is>
      </c>
      <c r="F8950" s="3" t="n">
        <v>500</v>
      </c>
      <c r="G8950" s="3" t="n">
        <v>5000</v>
      </c>
    </row>
    <row r="8951">
      <c r="A8951" s="3" t="inlineStr">
        <is>
          <t>Opportunity Global Investment (PTY) LTD</t>
        </is>
      </c>
      <c r="B8951" s="4" t="n">
        <v>44712</v>
      </c>
      <c r="C8951" s="3" t="inlineStr">
        <is>
          <t>Expenses</t>
        </is>
      </c>
      <c r="D8951" s="3" t="inlineStr">
        <is>
          <t>3650/000</t>
        </is>
      </c>
      <c r="E8951" s="3" t="inlineStr">
        <is>
          <t>Electricity _AND_ Water</t>
        </is>
      </c>
      <c r="F8951" s="3" t="n">
        <v>2950</v>
      </c>
      <c r="G8951" s="3" t="n">
        <v>8850</v>
      </c>
    </row>
    <row r="8952">
      <c r="A8952" s="3" t="inlineStr">
        <is>
          <t>Endulini (Pty) Ltd</t>
        </is>
      </c>
      <c r="B8952" s="4" t="n">
        <v>44712</v>
      </c>
      <c r="C8952" s="3" t="inlineStr">
        <is>
          <t>Expenses</t>
        </is>
      </c>
      <c r="D8952" s="3" t="inlineStr">
        <is>
          <t>3650/000</t>
        </is>
      </c>
      <c r="E8952" s="3" t="inlineStr">
        <is>
          <t>Water</t>
        </is>
      </c>
      <c r="F8952" s="3" t="n">
        <v>0</v>
      </c>
      <c r="G8952" s="3" t="n">
        <v>4310.7</v>
      </c>
    </row>
    <row r="8953">
      <c r="A8953" s="3" t="inlineStr">
        <is>
          <t>Quinate Consulting (Pty) Ltd</t>
        </is>
      </c>
      <c r="B8953" s="4" t="n">
        <v>44712</v>
      </c>
      <c r="C8953" s="3" t="inlineStr">
        <is>
          <t>Expenses</t>
        </is>
      </c>
      <c r="D8953" s="3" t="inlineStr">
        <is>
          <t>3651/000</t>
        </is>
      </c>
      <c r="E8953" s="3" t="inlineStr">
        <is>
          <t>Electricity _AND_ Water - Southwark</t>
        </is>
      </c>
      <c r="F8953" s="3" t="n">
        <v>41540.58</v>
      </c>
      <c r="G8953" s="3" t="n">
        <v>58597.86</v>
      </c>
    </row>
    <row r="8954">
      <c r="A8954" s="3" t="inlineStr">
        <is>
          <t>Quinate Consulting (Pty) Ltd</t>
        </is>
      </c>
      <c r="B8954" s="4" t="n">
        <v>44712</v>
      </c>
      <c r="C8954" s="3" t="inlineStr">
        <is>
          <t>Expenses</t>
        </is>
      </c>
      <c r="D8954" s="3" t="inlineStr">
        <is>
          <t>3652/000</t>
        </is>
      </c>
      <c r="E8954" s="3" t="inlineStr">
        <is>
          <t>Electricity _AND_ Water - Soho</t>
        </is>
      </c>
      <c r="F8954" s="3" t="n">
        <v>20255.01</v>
      </c>
      <c r="G8954" s="3" t="n">
        <v>57480.21</v>
      </c>
    </row>
    <row r="8955">
      <c r="A8955" s="3" t="inlineStr">
        <is>
          <t>Noble Shield (Pty) Ltd ta Go Letting</t>
        </is>
      </c>
      <c r="B8955" s="4" t="n">
        <v>44712</v>
      </c>
      <c r="C8955" s="3" t="inlineStr">
        <is>
          <t>Expenses</t>
        </is>
      </c>
      <c r="D8955" s="3" t="inlineStr">
        <is>
          <t>3700/000</t>
        </is>
      </c>
      <c r="E8955" s="3" t="inlineStr">
        <is>
          <t>Entertainment Expenses</t>
        </is>
      </c>
      <c r="F8955" s="3" t="n">
        <v>0</v>
      </c>
      <c r="G8955" s="3" t="n">
        <v>1200</v>
      </c>
    </row>
    <row r="8956">
      <c r="A8956" s="3" t="inlineStr">
        <is>
          <t>Opportunity Global Investment (PTY) LTD</t>
        </is>
      </c>
      <c r="B8956" s="4" t="n">
        <v>44712</v>
      </c>
      <c r="C8956" s="3" t="inlineStr">
        <is>
          <t>Expenses</t>
        </is>
      </c>
      <c r="D8956" s="3" t="inlineStr">
        <is>
          <t>3700/000</t>
        </is>
      </c>
      <c r="E8956" s="3" t="inlineStr">
        <is>
          <t>Entertainment Expenses</t>
        </is>
      </c>
      <c r="F8956" s="3" t="n">
        <v>376.95</v>
      </c>
      <c r="G8956" s="3" t="n">
        <v>1728.95</v>
      </c>
    </row>
    <row r="8957">
      <c r="A8957" s="3" t="inlineStr">
        <is>
          <t>Opportunity Management Holdings (PTY) LTD</t>
        </is>
      </c>
      <c r="B8957" s="4" t="n">
        <v>44712</v>
      </c>
      <c r="C8957" s="3" t="inlineStr">
        <is>
          <t>Expenses</t>
        </is>
      </c>
      <c r="D8957" s="3" t="inlineStr">
        <is>
          <t>3700/000</t>
        </is>
      </c>
      <c r="E8957" s="3" t="inlineStr">
        <is>
          <t>Entertainment Expenses</t>
        </is>
      </c>
      <c r="F8957" s="3" t="n">
        <v>79.8</v>
      </c>
      <c r="G8957" s="3" t="n">
        <v>681.7</v>
      </c>
    </row>
    <row r="8958">
      <c r="A8958" s="3" t="inlineStr">
        <is>
          <t>Quinate Consulting (Pty) Ltd</t>
        </is>
      </c>
      <c r="B8958" s="4" t="n">
        <v>44712</v>
      </c>
      <c r="C8958" s="3" t="inlineStr">
        <is>
          <t>Expenses</t>
        </is>
      </c>
      <c r="D8958" s="3" t="inlineStr">
        <is>
          <t>3700/000</t>
        </is>
      </c>
      <c r="E8958" s="3" t="inlineStr">
        <is>
          <t>Entertainment Expenses</t>
        </is>
      </c>
      <c r="F8958" s="3" t="n">
        <v>1907.59</v>
      </c>
      <c r="G8958" s="3" t="n">
        <v>4475.49</v>
      </c>
    </row>
    <row r="8959">
      <c r="A8959" s="3" t="inlineStr">
        <is>
          <t>Trademark Holdings (Pty) Ltd</t>
        </is>
      </c>
      <c r="B8959" s="4" t="n">
        <v>44712</v>
      </c>
      <c r="C8959" s="3" t="inlineStr">
        <is>
          <t>Expenses</t>
        </is>
      </c>
      <c r="D8959" s="3" t="inlineStr">
        <is>
          <t>3700/000</t>
        </is>
      </c>
      <c r="E8959" s="3" t="inlineStr">
        <is>
          <t>Entertainment Expenses</t>
        </is>
      </c>
      <c r="F8959" s="3" t="n">
        <v>0</v>
      </c>
      <c r="G8959" s="3" t="n">
        <v>4500</v>
      </c>
    </row>
    <row r="8960">
      <c r="A8960" s="3" t="inlineStr">
        <is>
          <t>Opportunity Management Holdings (PTY) LTD</t>
        </is>
      </c>
      <c r="B8960" s="4" t="n">
        <v>44712</v>
      </c>
      <c r="C8960" s="3" t="inlineStr">
        <is>
          <t>Expenses</t>
        </is>
      </c>
      <c r="D8960" s="3" t="inlineStr">
        <is>
          <t>3850/000</t>
        </is>
      </c>
      <c r="E8960" s="3" t="inlineStr">
        <is>
          <t>Insurance - Momentum</t>
        </is>
      </c>
      <c r="F8960" s="3" t="n">
        <v>1469.51</v>
      </c>
      <c r="G8960" s="3" t="n">
        <v>7347.55</v>
      </c>
    </row>
    <row r="8961">
      <c r="A8961" s="3" t="inlineStr">
        <is>
          <t>Noble Shield (Pty) Ltd ta Go Letting</t>
        </is>
      </c>
      <c r="B8961" s="4" t="n">
        <v>44712</v>
      </c>
      <c r="C8961" s="3" t="inlineStr">
        <is>
          <t>Expenses</t>
        </is>
      </c>
      <c r="D8961" s="3" t="inlineStr">
        <is>
          <t>3850/100</t>
        </is>
      </c>
      <c r="E8961" s="3" t="inlineStr">
        <is>
          <t>Insurance - Santam</t>
        </is>
      </c>
      <c r="F8961" s="3" t="n">
        <v>2989.72</v>
      </c>
      <c r="G8961" s="3" t="n">
        <v>25207.03</v>
      </c>
    </row>
    <row r="8962">
      <c r="A8962" s="3" t="inlineStr">
        <is>
          <t>Noble Shield (Pty) Ltd ta Go Letting</t>
        </is>
      </c>
      <c r="B8962" s="4" t="n">
        <v>44712</v>
      </c>
      <c r="C8962" s="3" t="inlineStr">
        <is>
          <t>Expenses</t>
        </is>
      </c>
      <c r="D8962" s="3" t="inlineStr">
        <is>
          <t>3850/200</t>
        </is>
      </c>
      <c r="E8962" s="3" t="inlineStr">
        <is>
          <t>Insurance - A_AND_G</t>
        </is>
      </c>
      <c r="F8962" s="3" t="n">
        <v>0</v>
      </c>
      <c r="G8962" s="3" t="n">
        <v>15175.26</v>
      </c>
    </row>
    <row r="8963">
      <c r="A8963" s="3" t="inlineStr">
        <is>
          <t>Quinate Consulting (Pty) Ltd</t>
        </is>
      </c>
      <c r="B8963" s="4" t="n">
        <v>44712</v>
      </c>
      <c r="C8963" s="3" t="inlineStr">
        <is>
          <t>Expenses</t>
        </is>
      </c>
      <c r="D8963" s="3" t="inlineStr">
        <is>
          <t>3851/000</t>
        </is>
      </c>
      <c r="E8963" s="3" t="inlineStr">
        <is>
          <t>Insurance - Momentum</t>
        </is>
      </c>
      <c r="F8963" s="3" t="n">
        <v>6825.93</v>
      </c>
      <c r="G8963" s="3" t="n">
        <v>20477.79</v>
      </c>
    </row>
    <row r="8964">
      <c r="A8964" s="3" t="inlineStr">
        <is>
          <t>Noble Shield (Pty) Ltd ta Go Letting</t>
        </is>
      </c>
      <c r="B8964" s="4" t="n">
        <v>44712</v>
      </c>
      <c r="C8964" s="3" t="inlineStr">
        <is>
          <t>Expenses</t>
        </is>
      </c>
      <c r="D8964" s="3" t="inlineStr">
        <is>
          <t>3900/000</t>
        </is>
      </c>
      <c r="E8964" s="3" t="inlineStr">
        <is>
          <t>Interest Paid</t>
        </is>
      </c>
      <c r="F8964" s="3" t="n">
        <v>0</v>
      </c>
      <c r="G8964" s="3" t="n">
        <v>0.02</v>
      </c>
    </row>
    <row r="8965">
      <c r="A8965" s="3" t="inlineStr">
        <is>
          <t>Quinate Consulting (Pty) Ltd</t>
        </is>
      </c>
      <c r="B8965" s="4" t="n">
        <v>44712</v>
      </c>
      <c r="C8965" s="3" t="inlineStr">
        <is>
          <t>Expenses</t>
        </is>
      </c>
      <c r="D8965" s="3" t="inlineStr">
        <is>
          <t>3900/000</t>
        </is>
      </c>
      <c r="E8965" s="3" t="inlineStr">
        <is>
          <t>Interest Paid</t>
        </is>
      </c>
      <c r="F8965" s="3" t="n">
        <v>360.09</v>
      </c>
      <c r="G8965" s="3" t="n">
        <v>470.78</v>
      </c>
    </row>
    <row r="8966">
      <c r="A8966" s="3" t="inlineStr">
        <is>
          <t>Quinate Consulting (Pty) Ltd</t>
        </is>
      </c>
      <c r="B8966" s="4" t="n">
        <v>44712</v>
      </c>
      <c r="C8966" s="3" t="inlineStr">
        <is>
          <t>Expenses</t>
        </is>
      </c>
      <c r="D8966" s="3" t="inlineStr">
        <is>
          <t>3900/050</t>
        </is>
      </c>
      <c r="E8966" s="3" t="inlineStr">
        <is>
          <t>Interest Paid - STD Bond Accounts</t>
        </is>
      </c>
      <c r="F8966" s="3" t="n">
        <v>0</v>
      </c>
      <c r="G8966" s="3" t="n">
        <v>89395.17</v>
      </c>
    </row>
    <row r="8967">
      <c r="A8967" s="3" t="inlineStr">
        <is>
          <t>Endulini (Pty) Ltd</t>
        </is>
      </c>
      <c r="B8967" s="4" t="n">
        <v>44712</v>
      </c>
      <c r="C8967" s="3" t="inlineStr">
        <is>
          <t>Expenses</t>
        </is>
      </c>
      <c r="D8967" s="3" t="inlineStr">
        <is>
          <t>3900/111</t>
        </is>
      </c>
      <c r="E8967" s="3" t="inlineStr">
        <is>
          <t>Interest Paid - Investors @ 6.25%</t>
        </is>
      </c>
      <c r="F8967" s="3" t="n">
        <v>227442.02</v>
      </c>
      <c r="G8967" s="3" t="n">
        <v>379732.78</v>
      </c>
    </row>
    <row r="8968">
      <c r="A8968" s="3" t="inlineStr">
        <is>
          <t>Endulini (Pty) Ltd</t>
        </is>
      </c>
      <c r="B8968" s="4" t="n">
        <v>44712</v>
      </c>
      <c r="C8968" s="3" t="inlineStr">
        <is>
          <t>Expenses</t>
        </is>
      </c>
      <c r="D8968" s="3" t="inlineStr">
        <is>
          <t>3900/112</t>
        </is>
      </c>
      <c r="E8968" s="3" t="inlineStr">
        <is>
          <t>Interest Paid - Investors @ 6.5%</t>
        </is>
      </c>
      <c r="F8968" s="3" t="n">
        <v>15693.34</v>
      </c>
      <c r="G8968" s="3" t="n">
        <v>34966.95</v>
      </c>
    </row>
    <row r="8969">
      <c r="A8969" s="3" t="inlineStr">
        <is>
          <t>Endulini (Pty) Ltd</t>
        </is>
      </c>
      <c r="B8969" s="4" t="n">
        <v>44712</v>
      </c>
      <c r="C8969" s="3" t="inlineStr">
        <is>
          <t>Expenses</t>
        </is>
      </c>
      <c r="D8969" s="3" t="inlineStr">
        <is>
          <t>3900/120</t>
        </is>
      </c>
      <c r="E8969" s="3" t="inlineStr">
        <is>
          <t>Interest Paid - Investors @ 7%</t>
        </is>
      </c>
      <c r="F8969" s="3" t="n">
        <v>2585.21</v>
      </c>
      <c r="G8969" s="3" t="n">
        <v>9466.24</v>
      </c>
    </row>
    <row r="8970">
      <c r="A8970" s="3" t="inlineStr">
        <is>
          <t>Endulini (Pty) Ltd</t>
        </is>
      </c>
      <c r="B8970" s="4" t="n">
        <v>44712</v>
      </c>
      <c r="C8970" s="3" t="inlineStr">
        <is>
          <t>Expenses</t>
        </is>
      </c>
      <c r="D8970" s="3" t="inlineStr">
        <is>
          <t>3900/130</t>
        </is>
      </c>
      <c r="E8970" s="3" t="inlineStr">
        <is>
          <t>Interest Paid - Investors @ 8%</t>
        </is>
      </c>
      <c r="F8970" s="3" t="n">
        <v>1950.68</v>
      </c>
      <c r="G8970" s="3" t="n">
        <v>8309.6</v>
      </c>
    </row>
    <row r="8971">
      <c r="A8971" s="3" t="inlineStr">
        <is>
          <t>Endulini (Pty) Ltd</t>
        </is>
      </c>
      <c r="B8971" s="4" t="n">
        <v>44712</v>
      </c>
      <c r="C8971" s="3" t="inlineStr">
        <is>
          <t>Expenses</t>
        </is>
      </c>
      <c r="D8971" s="3" t="inlineStr">
        <is>
          <t>3900/140</t>
        </is>
      </c>
      <c r="E8971" s="3" t="inlineStr">
        <is>
          <t>Interest Paid - Investors @ 9%</t>
        </is>
      </c>
      <c r="F8971" s="3" t="n">
        <v>700.28</v>
      </c>
      <c r="G8971" s="3" t="n">
        <v>4302.24</v>
      </c>
    </row>
    <row r="8972">
      <c r="A8972" s="3" t="inlineStr">
        <is>
          <t>Quinate Consulting (Pty) Ltd</t>
        </is>
      </c>
      <c r="B8972" s="4" t="n">
        <v>44712</v>
      </c>
      <c r="C8972" s="3" t="inlineStr">
        <is>
          <t>Expenses</t>
        </is>
      </c>
      <c r="D8972" s="3" t="inlineStr">
        <is>
          <t>3900/150</t>
        </is>
      </c>
      <c r="E8972" s="3" t="inlineStr">
        <is>
          <t>Interest Paid - Suppliers</t>
        </is>
      </c>
      <c r="F8972" s="3" t="n">
        <v>104.64</v>
      </c>
      <c r="G8972" s="3" t="n">
        <v>774.28</v>
      </c>
    </row>
    <row r="8973">
      <c r="A8973" s="3" t="inlineStr">
        <is>
          <t>Quinate Consulting (Pty) Ltd</t>
        </is>
      </c>
      <c r="B8973" s="4" t="n">
        <v>44712</v>
      </c>
      <c r="C8973" s="3" t="inlineStr">
        <is>
          <t>Expenses</t>
        </is>
      </c>
      <c r="D8973" s="3" t="inlineStr">
        <is>
          <t>3900/152</t>
        </is>
      </c>
      <c r="E8973" s="3" t="inlineStr">
        <is>
          <t>Interest Paid - Gengis</t>
        </is>
      </c>
      <c r="F8973" s="3" t="n">
        <v>1528.77</v>
      </c>
      <c r="G8973" s="3" t="n">
        <v>4536.99</v>
      </c>
    </row>
    <row r="8974">
      <c r="A8974" s="3" t="inlineStr">
        <is>
          <t>Endulini (Pty) Ltd</t>
        </is>
      </c>
      <c r="B8974" s="4" t="n">
        <v>44712</v>
      </c>
      <c r="C8974" s="3" t="inlineStr">
        <is>
          <t>Expenses</t>
        </is>
      </c>
      <c r="D8974" s="3" t="inlineStr">
        <is>
          <t>3900/200</t>
        </is>
      </c>
      <c r="E8974" s="3" t="inlineStr">
        <is>
          <t>Interest Paid - Investors @ 15%</t>
        </is>
      </c>
      <c r="F8974" s="3" t="n">
        <v>36986.3</v>
      </c>
      <c r="G8974" s="3" t="n">
        <v>87781.17999999999</v>
      </c>
    </row>
    <row r="8975">
      <c r="A8975" s="3" t="inlineStr">
        <is>
          <t>Endulini (Pty) Ltd</t>
        </is>
      </c>
      <c r="B8975" s="4" t="n">
        <v>44712</v>
      </c>
      <c r="C8975" s="3" t="inlineStr">
        <is>
          <t>Expenses</t>
        </is>
      </c>
      <c r="D8975" s="3" t="inlineStr">
        <is>
          <t>3900/230</t>
        </is>
      </c>
      <c r="E8975" s="3" t="inlineStr">
        <is>
          <t>Interest Paid - Investors @ 18%</t>
        </is>
      </c>
      <c r="F8975" s="3" t="n">
        <v>2729820.08</v>
      </c>
      <c r="G8975" s="3" t="n">
        <v>4087322.57</v>
      </c>
    </row>
    <row r="8976">
      <c r="A8976" s="3" t="inlineStr">
        <is>
          <t>Opportunity Management Holdings (PTY) LTD</t>
        </is>
      </c>
      <c r="B8976" s="4" t="n">
        <v>44712</v>
      </c>
      <c r="C8976" s="3" t="inlineStr">
        <is>
          <t>Expenses</t>
        </is>
      </c>
      <c r="D8976" s="3" t="inlineStr">
        <is>
          <t>3900/300</t>
        </is>
      </c>
      <c r="E8976" s="3" t="inlineStr">
        <is>
          <t>Interest Paid - Other</t>
        </is>
      </c>
      <c r="F8976" s="3" t="n">
        <v>0</v>
      </c>
      <c r="G8976" s="3" t="n">
        <v>1.79</v>
      </c>
    </row>
    <row r="8977">
      <c r="A8977" s="3" t="inlineStr">
        <is>
          <t>Opportunity Global Investment (PTY) LTD</t>
        </is>
      </c>
      <c r="B8977" s="4" t="n">
        <v>44712</v>
      </c>
      <c r="C8977" s="3" t="inlineStr">
        <is>
          <t>Expenses</t>
        </is>
      </c>
      <c r="D8977" s="3" t="inlineStr">
        <is>
          <t>3901/000</t>
        </is>
      </c>
      <c r="E8977" s="3" t="inlineStr">
        <is>
          <t>Interest Paid - Department of Labour</t>
        </is>
      </c>
      <c r="F8977" s="3" t="n">
        <v>0</v>
      </c>
      <c r="G8977" s="3" t="n">
        <v>1176.45</v>
      </c>
    </row>
    <row r="8978">
      <c r="A8978" s="3" t="inlineStr">
        <is>
          <t>Trademark Holdings (Pty) Ltd</t>
        </is>
      </c>
      <c r="B8978" s="4" t="n">
        <v>44712</v>
      </c>
      <c r="C8978" s="3" t="inlineStr">
        <is>
          <t>Expenses</t>
        </is>
      </c>
      <c r="D8978" s="3" t="inlineStr">
        <is>
          <t>3910/000</t>
        </is>
      </c>
      <c r="E8978" s="3" t="inlineStr">
        <is>
          <t>Penalties/Interest - SARS</t>
        </is>
      </c>
      <c r="F8978" s="3" t="n">
        <v>0</v>
      </c>
      <c r="G8978" s="3" t="n">
        <v>57.04</v>
      </c>
    </row>
    <row r="8979">
      <c r="A8979" s="3" t="inlineStr">
        <is>
          <t>Opportunity Management Holdings (PTY) LTD</t>
        </is>
      </c>
      <c r="B8979" s="4" t="n">
        <v>44712</v>
      </c>
      <c r="C8979" s="3" t="inlineStr">
        <is>
          <t>Expenses</t>
        </is>
      </c>
      <c r="D8979" s="3" t="inlineStr">
        <is>
          <t>3960/000</t>
        </is>
      </c>
      <c r="E8979" s="3" t="inlineStr">
        <is>
          <t>Internet Fees</t>
        </is>
      </c>
      <c r="F8979" s="3" t="n">
        <v>514.77</v>
      </c>
      <c r="G8979" s="3" t="n">
        <v>1008.87</v>
      </c>
    </row>
    <row r="8980">
      <c r="A8980" s="3" t="inlineStr">
        <is>
          <t>Quinate Consulting (Pty) Ltd</t>
        </is>
      </c>
      <c r="B8980" s="4" t="n">
        <v>44712</v>
      </c>
      <c r="C8980" s="3" t="inlineStr">
        <is>
          <t>Expenses</t>
        </is>
      </c>
      <c r="D8980" s="3" t="inlineStr">
        <is>
          <t>4000/000</t>
        </is>
      </c>
      <c r="E8980" s="3" t="inlineStr">
        <is>
          <t>Legal Fees</t>
        </is>
      </c>
      <c r="F8980" s="3" t="n">
        <v>55000</v>
      </c>
      <c r="G8980" s="3" t="n">
        <v>55000</v>
      </c>
    </row>
    <row r="8981">
      <c r="A8981" s="3" t="inlineStr">
        <is>
          <t>Quinate Consulting (Pty) Ltd</t>
        </is>
      </c>
      <c r="B8981" s="4" t="n">
        <v>44712</v>
      </c>
      <c r="C8981" s="3" t="inlineStr">
        <is>
          <t>Expenses</t>
        </is>
      </c>
      <c r="D8981" s="3" t="inlineStr">
        <is>
          <t>4065/000</t>
        </is>
      </c>
      <c r="E8981" s="3" t="inlineStr">
        <is>
          <t>Levies - SoHo</t>
        </is>
      </c>
      <c r="F8981" s="3" t="n">
        <v>11686.84</v>
      </c>
      <c r="G8981" s="3" t="n">
        <v>24620.8</v>
      </c>
    </row>
    <row r="8982">
      <c r="A8982" s="3" t="inlineStr">
        <is>
          <t>Quinate Consulting (Pty) Ltd</t>
        </is>
      </c>
      <c r="B8982" s="4" t="n">
        <v>44712</v>
      </c>
      <c r="C8982" s="3" t="inlineStr">
        <is>
          <t>Expenses</t>
        </is>
      </c>
      <c r="D8982" s="3" t="inlineStr">
        <is>
          <t>4066/000</t>
        </is>
      </c>
      <c r="E8982" s="3" t="inlineStr">
        <is>
          <t>Levies - Southwark</t>
        </is>
      </c>
      <c r="F8982" s="3" t="n">
        <v>3422.18</v>
      </c>
      <c r="G8982" s="3" t="n">
        <v>11137.24</v>
      </c>
    </row>
    <row r="8983">
      <c r="A8983" s="3" t="inlineStr">
        <is>
          <t>Endulini (Pty) Ltd</t>
        </is>
      </c>
      <c r="B8983" s="4" t="n">
        <v>44712</v>
      </c>
      <c r="C8983" s="3" t="inlineStr">
        <is>
          <t>Expenses</t>
        </is>
      </c>
      <c r="D8983" s="3" t="inlineStr">
        <is>
          <t>4100/001</t>
        </is>
      </c>
      <c r="E8983" s="3" t="inlineStr">
        <is>
          <t>Momentum Admin Fee</t>
        </is>
      </c>
      <c r="F8983" s="3" t="n">
        <v>10764.42</v>
      </c>
      <c r="G8983" s="3" t="n">
        <v>44701.05</v>
      </c>
    </row>
    <row r="8984">
      <c r="A8984" s="3" t="inlineStr">
        <is>
          <t>Quinate Consulting (Pty) Ltd</t>
        </is>
      </c>
      <c r="B8984" s="4" t="n">
        <v>44712</v>
      </c>
      <c r="C8984" s="3" t="inlineStr">
        <is>
          <t>Expenses</t>
        </is>
      </c>
      <c r="D8984" s="3" t="inlineStr">
        <is>
          <t>4100/001</t>
        </is>
      </c>
      <c r="E8984" s="3" t="inlineStr">
        <is>
          <t>Momentum Advise Fee</t>
        </is>
      </c>
      <c r="F8984" s="3" t="n">
        <v>0</v>
      </c>
      <c r="G8984" s="3" t="n">
        <v>0.42</v>
      </c>
    </row>
    <row r="8985">
      <c r="A8985" s="3" t="inlineStr">
        <is>
          <t>Opportunity Global Investment (PTY) LTD</t>
        </is>
      </c>
      <c r="B8985" s="4" t="n">
        <v>44712</v>
      </c>
      <c r="C8985" s="3" t="inlineStr">
        <is>
          <t>Expenses</t>
        </is>
      </c>
      <c r="D8985" s="3" t="inlineStr">
        <is>
          <t>4100/100</t>
        </is>
      </c>
      <c r="E8985" s="3" t="inlineStr">
        <is>
          <t>Members Salaries - Nick Morgan</t>
        </is>
      </c>
      <c r="F8985" s="3" t="n">
        <v>40937.18</v>
      </c>
      <c r="G8985" s="3" t="n">
        <v>122811.55</v>
      </c>
    </row>
    <row r="8986">
      <c r="A8986" s="3" t="inlineStr">
        <is>
          <t>Noble Shield (Pty) Ltd ta Go Letting</t>
        </is>
      </c>
      <c r="B8986" s="4" t="n">
        <v>44712</v>
      </c>
      <c r="C8986" s="3" t="inlineStr">
        <is>
          <t>Expenses</t>
        </is>
      </c>
      <c r="D8986" s="3" t="inlineStr">
        <is>
          <t>4200/000</t>
        </is>
      </c>
      <c r="E8986" s="3" t="inlineStr">
        <is>
          <t>Printing _AND_ Stationery</t>
        </is>
      </c>
      <c r="F8986" s="3" t="n">
        <v>0</v>
      </c>
      <c r="G8986" s="3" t="n">
        <v>375</v>
      </c>
    </row>
    <row r="8987">
      <c r="A8987" s="3" t="inlineStr">
        <is>
          <t>Opportunity Global Investment (PTY) LTD</t>
        </is>
      </c>
      <c r="B8987" s="4" t="n">
        <v>44712</v>
      </c>
      <c r="C8987" s="3" t="inlineStr">
        <is>
          <t>Expenses</t>
        </is>
      </c>
      <c r="D8987" s="3" t="inlineStr">
        <is>
          <t>4200/000</t>
        </is>
      </c>
      <c r="E8987" s="3" t="inlineStr">
        <is>
          <t>Printing _AND_ Stationery</t>
        </is>
      </c>
      <c r="F8987" s="3" t="n">
        <v>2367</v>
      </c>
      <c r="G8987" s="3" t="n">
        <v>7101</v>
      </c>
    </row>
    <row r="8988">
      <c r="A8988" s="3" t="inlineStr">
        <is>
          <t>Opportunity Management Holdings (PTY) LTD</t>
        </is>
      </c>
      <c r="B8988" s="4" t="n">
        <v>44712</v>
      </c>
      <c r="C8988" s="3" t="inlineStr">
        <is>
          <t>Expenses</t>
        </is>
      </c>
      <c r="D8988" s="3" t="inlineStr">
        <is>
          <t>4200/000</t>
        </is>
      </c>
      <c r="E8988" s="3" t="inlineStr">
        <is>
          <t>Printing _AND_ Stationery</t>
        </is>
      </c>
      <c r="F8988" s="3" t="n">
        <v>3668.7</v>
      </c>
      <c r="G8988" s="3" t="n">
        <v>5909.57</v>
      </c>
    </row>
    <row r="8989">
      <c r="A8989" s="3" t="inlineStr">
        <is>
          <t>Quinate Consulting (Pty) Ltd</t>
        </is>
      </c>
      <c r="B8989" s="4" t="n">
        <v>44712</v>
      </c>
      <c r="C8989" s="3" t="inlineStr">
        <is>
          <t>Expenses</t>
        </is>
      </c>
      <c r="D8989" s="3" t="inlineStr">
        <is>
          <t>4200/000</t>
        </is>
      </c>
      <c r="E8989" s="3" t="inlineStr">
        <is>
          <t>Printing _AND_ Stationery</t>
        </is>
      </c>
      <c r="F8989" s="3" t="n">
        <v>1093.04</v>
      </c>
      <c r="G8989" s="3" t="n">
        <v>1232.17</v>
      </c>
    </row>
    <row r="8990">
      <c r="A8990" s="3" t="inlineStr">
        <is>
          <t>Noble Shield (Pty) Ltd ta Go Letting</t>
        </is>
      </c>
      <c r="B8990" s="4" t="n">
        <v>44712</v>
      </c>
      <c r="C8990" s="3" t="inlineStr">
        <is>
          <t>Expenses</t>
        </is>
      </c>
      <c r="D8990" s="3" t="inlineStr">
        <is>
          <t>4200/100</t>
        </is>
      </c>
      <c r="E8990" s="3" t="inlineStr">
        <is>
          <t>Printing - Merchant West- Printer Rental</t>
        </is>
      </c>
      <c r="F8990" s="3" t="n">
        <v>1622.35</v>
      </c>
      <c r="G8990" s="3" t="n">
        <v>14570.47</v>
      </c>
    </row>
    <row r="8991">
      <c r="A8991" s="3" t="inlineStr">
        <is>
          <t>Noble Shield (Pty) Ltd ta Go Letting</t>
        </is>
      </c>
      <c r="B8991" s="4" t="n">
        <v>44712</v>
      </c>
      <c r="C8991" s="3" t="inlineStr">
        <is>
          <t>Expenses</t>
        </is>
      </c>
      <c r="D8991" s="3" t="inlineStr">
        <is>
          <t>4200/120</t>
        </is>
      </c>
      <c r="E8991" s="3" t="inlineStr">
        <is>
          <t>Printing - Ivy Line - Prints</t>
        </is>
      </c>
      <c r="F8991" s="3" t="n">
        <v>2187.3</v>
      </c>
      <c r="G8991" s="3" t="n">
        <v>7211.42</v>
      </c>
    </row>
    <row r="8992">
      <c r="A8992" s="3" t="inlineStr">
        <is>
          <t>Noble Shield (Pty) Ltd ta Go Letting</t>
        </is>
      </c>
      <c r="B8992" s="4" t="n">
        <v>44712</v>
      </c>
      <c r="C8992" s="3" t="inlineStr">
        <is>
          <t>Expenses</t>
        </is>
      </c>
      <c r="D8992" s="3" t="inlineStr">
        <is>
          <t>4200/180</t>
        </is>
      </c>
      <c r="E8992" s="3" t="inlineStr">
        <is>
          <t>Printing - Ikon</t>
        </is>
      </c>
      <c r="F8992" s="3" t="n">
        <v>92</v>
      </c>
      <c r="G8992" s="3" t="n">
        <v>4651.61</v>
      </c>
    </row>
    <row r="8993">
      <c r="A8993" s="3" t="inlineStr">
        <is>
          <t>Noble Shield (Pty) Ltd ta Go Letting</t>
        </is>
      </c>
      <c r="B8993" s="4" t="n">
        <v>44712</v>
      </c>
      <c r="C8993" s="3" t="inlineStr">
        <is>
          <t>Expenses</t>
        </is>
      </c>
      <c r="D8993" s="3" t="inlineStr">
        <is>
          <t>4200/190</t>
        </is>
      </c>
      <c r="E8993" s="3" t="inlineStr">
        <is>
          <t>Printing - Centrafin printer rental</t>
        </is>
      </c>
      <c r="F8993" s="3" t="n">
        <v>2501.27</v>
      </c>
      <c r="G8993" s="3" t="n">
        <v>21409.19</v>
      </c>
    </row>
    <row r="8994">
      <c r="A8994" s="3" t="inlineStr">
        <is>
          <t>Noble Shield (Pty) Ltd ta Go Letting</t>
        </is>
      </c>
      <c r="B8994" s="4" t="n">
        <v>44712</v>
      </c>
      <c r="C8994" s="3" t="inlineStr">
        <is>
          <t>Expenses</t>
        </is>
      </c>
      <c r="D8994" s="3" t="inlineStr">
        <is>
          <t>4200/200</t>
        </is>
      </c>
      <c r="E8994" s="3" t="inlineStr">
        <is>
          <t>Printing - General Stationery VDB Office</t>
        </is>
      </c>
      <c r="F8994" s="3" t="n">
        <v>0</v>
      </c>
      <c r="G8994" s="3" t="n">
        <v>3156.77</v>
      </c>
    </row>
    <row r="8995">
      <c r="A8995" s="3" t="inlineStr">
        <is>
          <t>Noble Shield (Pty) Ltd ta Go Letting</t>
        </is>
      </c>
      <c r="B8995" s="4" t="n">
        <v>44712</v>
      </c>
      <c r="C8995" s="3" t="inlineStr">
        <is>
          <t>Expenses</t>
        </is>
      </c>
      <c r="D8995" s="3" t="inlineStr">
        <is>
          <t>4290/000</t>
        </is>
      </c>
      <c r="E8995" s="3" t="inlineStr">
        <is>
          <t>Refreshments - CT Office</t>
        </is>
      </c>
      <c r="F8995" s="3" t="n">
        <v>557.87</v>
      </c>
      <c r="G8995" s="3" t="n">
        <v>6465.66</v>
      </c>
    </row>
    <row r="8996">
      <c r="A8996" s="3" t="inlineStr">
        <is>
          <t>Opportunity Global Investment (PTY) LTD</t>
        </is>
      </c>
      <c r="B8996" s="4" t="n">
        <v>44712</v>
      </c>
      <c r="C8996" s="3" t="inlineStr">
        <is>
          <t>Expenses</t>
        </is>
      </c>
      <c r="D8996" s="3" t="inlineStr">
        <is>
          <t>4290/000</t>
        </is>
      </c>
      <c r="E8996" s="3" t="inlineStr">
        <is>
          <t>Rent</t>
        </is>
      </c>
      <c r="F8996" s="3" t="n">
        <v>8770</v>
      </c>
      <c r="G8996" s="3" t="n">
        <v>26310</v>
      </c>
    </row>
    <row r="8997">
      <c r="A8997" s="3" t="inlineStr">
        <is>
          <t>Noble Shield (Pty) Ltd ta Go Letting</t>
        </is>
      </c>
      <c r="B8997" s="4" t="n">
        <v>44712</v>
      </c>
      <c r="C8997" s="3" t="inlineStr">
        <is>
          <t>Expenses</t>
        </is>
      </c>
      <c r="D8997" s="3" t="inlineStr">
        <is>
          <t>4291/000</t>
        </is>
      </c>
      <c r="E8997" s="3" t="inlineStr">
        <is>
          <t>Refreshments - VDB Office</t>
        </is>
      </c>
      <c r="F8997" s="3" t="n">
        <v>254.66</v>
      </c>
      <c r="G8997" s="3" t="n">
        <v>1901.09</v>
      </c>
    </row>
    <row r="8998">
      <c r="A8998" s="3" t="inlineStr">
        <is>
          <t>Trademark Holdings (Pty) Ltd</t>
        </is>
      </c>
      <c r="B8998" s="4" t="n">
        <v>44712</v>
      </c>
      <c r="C8998" s="3" t="inlineStr">
        <is>
          <t>Expenses</t>
        </is>
      </c>
      <c r="D8998" s="3" t="inlineStr">
        <is>
          <t>4300/000</t>
        </is>
      </c>
      <c r="E8998" s="3" t="inlineStr">
        <is>
          <t>Rent Paid</t>
        </is>
      </c>
      <c r="F8998" s="3" t="n">
        <v>11375.32</v>
      </c>
      <c r="G8998" s="3" t="n">
        <v>59467.83</v>
      </c>
    </row>
    <row r="8999">
      <c r="A8999" s="3" t="inlineStr">
        <is>
          <t>Endulini (Pty) Ltd</t>
        </is>
      </c>
      <c r="B8999" s="4" t="n">
        <v>44712</v>
      </c>
      <c r="C8999" s="3" t="inlineStr">
        <is>
          <t>Expenses</t>
        </is>
      </c>
      <c r="D8999" s="3" t="inlineStr">
        <is>
          <t>4310/000</t>
        </is>
      </c>
      <c r="E8999" s="3" t="inlineStr">
        <is>
          <t>Rates</t>
        </is>
      </c>
      <c r="F8999" s="3" t="n">
        <v>0</v>
      </c>
      <c r="G8999" s="3" t="n">
        <v>28266.66</v>
      </c>
    </row>
    <row r="9000">
      <c r="A9000" s="3" t="inlineStr">
        <is>
          <t>Opportunity Global Investment (PTY) LTD</t>
        </is>
      </c>
      <c r="B9000" s="4" t="n">
        <v>44712</v>
      </c>
      <c r="C9000" s="3" t="inlineStr">
        <is>
          <t>Expenses</t>
        </is>
      </c>
      <c r="D9000" s="3" t="inlineStr">
        <is>
          <t>4310/000</t>
        </is>
      </c>
      <c r="E9000" s="3" t="inlineStr">
        <is>
          <t>Refreshments</t>
        </is>
      </c>
      <c r="F9000" s="3" t="n">
        <v>2521</v>
      </c>
      <c r="G9000" s="3" t="n">
        <v>7563</v>
      </c>
    </row>
    <row r="9001">
      <c r="A9001" s="3" t="inlineStr">
        <is>
          <t>Opportunity Management Holdings (PTY) LTD</t>
        </is>
      </c>
      <c r="B9001" s="4" t="n">
        <v>44712</v>
      </c>
      <c r="C9001" s="3" t="inlineStr">
        <is>
          <t>Expenses</t>
        </is>
      </c>
      <c r="D9001" s="3" t="inlineStr">
        <is>
          <t>4310/000</t>
        </is>
      </c>
      <c r="E9001" s="3" t="inlineStr">
        <is>
          <t>Refreshments</t>
        </is>
      </c>
      <c r="F9001" s="3" t="n">
        <v>787.91</v>
      </c>
      <c r="G9001" s="3" t="n">
        <v>3651.31</v>
      </c>
    </row>
    <row r="9002">
      <c r="A9002" s="3" t="inlineStr">
        <is>
          <t>Quinate Consulting (Pty) Ltd</t>
        </is>
      </c>
      <c r="B9002" s="4" t="n">
        <v>44712</v>
      </c>
      <c r="C9002" s="3" t="inlineStr">
        <is>
          <t>Expenses</t>
        </is>
      </c>
      <c r="D9002" s="3" t="inlineStr">
        <is>
          <t>4312/000</t>
        </is>
      </c>
      <c r="E9002" s="3" t="inlineStr">
        <is>
          <t>Rates - SoHo Units</t>
        </is>
      </c>
      <c r="F9002" s="3" t="n">
        <v>2416.62</v>
      </c>
      <c r="G9002" s="3" t="n">
        <v>7171.08</v>
      </c>
    </row>
    <row r="9003">
      <c r="A9003" s="3" t="inlineStr">
        <is>
          <t>Noble Shield (Pty) Ltd ta Go Letting</t>
        </is>
      </c>
      <c r="B9003" s="4" t="n">
        <v>44712</v>
      </c>
      <c r="C9003" s="3" t="inlineStr">
        <is>
          <t>Expenses</t>
        </is>
      </c>
      <c r="D9003" s="3" t="inlineStr">
        <is>
          <t>4350/000</t>
        </is>
      </c>
      <c r="E9003" s="3" t="inlineStr">
        <is>
          <t>Repairs _AND_ Maintenance</t>
        </is>
      </c>
      <c r="F9003" s="3" t="n">
        <v>0</v>
      </c>
      <c r="G9003" s="3" t="n">
        <v>3068.83</v>
      </c>
    </row>
    <row r="9004">
      <c r="A9004" s="3" t="inlineStr">
        <is>
          <t>Opportunity Management Holdings (PTY) LTD</t>
        </is>
      </c>
      <c r="B9004" s="4" t="n">
        <v>44712</v>
      </c>
      <c r="C9004" s="3" t="inlineStr">
        <is>
          <t>Expenses</t>
        </is>
      </c>
      <c r="D9004" s="3" t="inlineStr">
        <is>
          <t>4350/000</t>
        </is>
      </c>
      <c r="E9004" s="3" t="inlineStr">
        <is>
          <t>Repairs _AND_ Maintenance</t>
        </is>
      </c>
      <c r="F9004" s="3" t="n">
        <v>507.79</v>
      </c>
      <c r="G9004" s="3" t="n">
        <v>507.79</v>
      </c>
    </row>
    <row r="9005">
      <c r="A9005" s="3" t="inlineStr">
        <is>
          <t>Trademark Holdings (Pty) Ltd</t>
        </is>
      </c>
      <c r="B9005" s="4" t="n">
        <v>44712</v>
      </c>
      <c r="C9005" s="3" t="inlineStr">
        <is>
          <t>Expenses</t>
        </is>
      </c>
      <c r="D9005" s="3" t="inlineStr">
        <is>
          <t>4350/000</t>
        </is>
      </c>
      <c r="E9005" s="3" t="inlineStr">
        <is>
          <t>Repairs _AND_ Maintenance</t>
        </is>
      </c>
      <c r="F9005" s="3" t="n">
        <v>0</v>
      </c>
      <c r="G9005" s="3" t="n">
        <v>925</v>
      </c>
    </row>
    <row r="9006">
      <c r="A9006" s="3" t="inlineStr">
        <is>
          <t>Quinate Consulting (Pty) Ltd</t>
        </is>
      </c>
      <c r="B9006" s="4" t="n">
        <v>44712</v>
      </c>
      <c r="C9006" s="3" t="inlineStr">
        <is>
          <t>Expenses</t>
        </is>
      </c>
      <c r="D9006" s="3" t="inlineStr">
        <is>
          <t>4350/000</t>
        </is>
      </c>
      <c r="E9006" s="3" t="inlineStr">
        <is>
          <t>Repairs and Maintenance - Southwark Units</t>
        </is>
      </c>
      <c r="F9006" s="3" t="n">
        <v>0</v>
      </c>
      <c r="G9006" s="3" t="n">
        <v>12416</v>
      </c>
    </row>
    <row r="9007">
      <c r="A9007" s="3" t="inlineStr">
        <is>
          <t>Opportunity Management Holdings (PTY) LTD</t>
        </is>
      </c>
      <c r="B9007" s="4" t="n">
        <v>44712</v>
      </c>
      <c r="C9007" s="3" t="inlineStr">
        <is>
          <t>Expenses</t>
        </is>
      </c>
      <c r="D9007" s="3" t="inlineStr">
        <is>
          <t>4390/000</t>
        </is>
      </c>
      <c r="E9007" s="3" t="inlineStr">
        <is>
          <t>Small Assets</t>
        </is>
      </c>
      <c r="F9007" s="3" t="n">
        <v>0</v>
      </c>
      <c r="G9007" s="3" t="n">
        <v>3674.74</v>
      </c>
    </row>
    <row r="9008">
      <c r="A9008" s="3" t="inlineStr">
        <is>
          <t>Noble Shield (Pty) Ltd ta Go Letting</t>
        </is>
      </c>
      <c r="B9008" s="4" t="n">
        <v>44712</v>
      </c>
      <c r="C9008" s="3" t="inlineStr">
        <is>
          <t>Expenses</t>
        </is>
      </c>
      <c r="D9008" s="3" t="inlineStr">
        <is>
          <t>4400/000</t>
        </is>
      </c>
      <c r="E9008" s="3" t="inlineStr">
        <is>
          <t>Salaries _AND_ Wages</t>
        </is>
      </c>
      <c r="F9008" s="3" t="n">
        <v>21898.2</v>
      </c>
      <c r="G9008" s="3" t="n">
        <v>201275.42</v>
      </c>
    </row>
    <row r="9009">
      <c r="A9009" s="3" t="inlineStr">
        <is>
          <t>Opportunity Global Sales (PTY) LTD</t>
        </is>
      </c>
      <c r="B9009" s="4" t="n">
        <v>44712</v>
      </c>
      <c r="C9009" s="3" t="inlineStr">
        <is>
          <t>Expenses</t>
        </is>
      </c>
      <c r="D9009" s="3" t="inlineStr">
        <is>
          <t>4400/000</t>
        </is>
      </c>
      <c r="E9009" s="3" t="inlineStr">
        <is>
          <t>Salaries _AND_ Wages</t>
        </is>
      </c>
      <c r="F9009" s="3" t="n">
        <v>33255.54</v>
      </c>
      <c r="G9009" s="3" t="n">
        <v>106513.75</v>
      </c>
    </row>
    <row r="9010">
      <c r="A9010" s="3" t="inlineStr">
        <is>
          <t>Opportunity Management Holdings (PTY) LTD</t>
        </is>
      </c>
      <c r="B9010" s="4" t="n">
        <v>44712</v>
      </c>
      <c r="C9010" s="3" t="inlineStr">
        <is>
          <t>Expenses</t>
        </is>
      </c>
      <c r="D9010" s="3" t="inlineStr">
        <is>
          <t>4400/000</t>
        </is>
      </c>
      <c r="E9010" s="3" t="inlineStr">
        <is>
          <t>Salaries _AND_ Wages</t>
        </is>
      </c>
      <c r="F9010" s="3" t="n">
        <v>201148.42</v>
      </c>
      <c r="G9010" s="3" t="n">
        <v>1363574.31</v>
      </c>
    </row>
    <row r="9011">
      <c r="A9011" s="3" t="inlineStr">
        <is>
          <t>Trademark Holdings (Pty) Ltd</t>
        </is>
      </c>
      <c r="B9011" s="4" t="n">
        <v>44712</v>
      </c>
      <c r="C9011" s="3" t="inlineStr">
        <is>
          <t>Expenses</t>
        </is>
      </c>
      <c r="D9011" s="3" t="inlineStr">
        <is>
          <t>4400/000</t>
        </is>
      </c>
      <c r="E9011" s="3" t="inlineStr">
        <is>
          <t>Salaries _AND_ Wages</t>
        </is>
      </c>
      <c r="F9011" s="3" t="n">
        <v>39554.45</v>
      </c>
      <c r="G9011" s="3" t="n">
        <v>339554.76</v>
      </c>
    </row>
    <row r="9012">
      <c r="A9012" s="3" t="inlineStr">
        <is>
          <t>Opportunity Management Holdings (PTY) LTD</t>
        </is>
      </c>
      <c r="B9012" s="4" t="n">
        <v>44712</v>
      </c>
      <c r="C9012" s="3" t="inlineStr">
        <is>
          <t>Expenses</t>
        </is>
      </c>
      <c r="D9012" s="3" t="inlineStr">
        <is>
          <t>4450/000</t>
        </is>
      </c>
      <c r="E9012" s="3" t="inlineStr">
        <is>
          <t>Staff Training</t>
        </is>
      </c>
      <c r="F9012" s="3" t="n">
        <v>1700</v>
      </c>
      <c r="G9012" s="3" t="n">
        <v>4654</v>
      </c>
    </row>
    <row r="9013">
      <c r="A9013" s="3" t="inlineStr">
        <is>
          <t>Noble Shield (Pty) Ltd ta Go Letting</t>
        </is>
      </c>
      <c r="B9013" s="4" t="n">
        <v>44712</v>
      </c>
      <c r="C9013" s="3" t="inlineStr">
        <is>
          <t>Expenses</t>
        </is>
      </c>
      <c r="D9013" s="3" t="inlineStr">
        <is>
          <t>4500/000</t>
        </is>
      </c>
      <c r="E9013" s="3" t="inlineStr">
        <is>
          <t>Staff Welfare</t>
        </is>
      </c>
      <c r="F9013" s="3" t="n">
        <v>400</v>
      </c>
      <c r="G9013" s="3" t="n">
        <v>8468.879999999999</v>
      </c>
    </row>
    <row r="9014">
      <c r="A9014" s="3" t="inlineStr">
        <is>
          <t>Opportunity Management Holdings (PTY) LTD</t>
        </is>
      </c>
      <c r="B9014" s="4" t="n">
        <v>44712</v>
      </c>
      <c r="C9014" s="3" t="inlineStr">
        <is>
          <t>Expenses</t>
        </is>
      </c>
      <c r="D9014" s="3" t="inlineStr">
        <is>
          <t>4500/000</t>
        </is>
      </c>
      <c r="E9014" s="3" t="inlineStr">
        <is>
          <t>Staff Welfare</t>
        </is>
      </c>
      <c r="F9014" s="3" t="n">
        <v>1662.18</v>
      </c>
      <c r="G9014" s="3" t="n">
        <v>5390.57</v>
      </c>
    </row>
    <row r="9015">
      <c r="A9015" s="3" t="inlineStr">
        <is>
          <t>Noble Shield (Pty) Ltd ta Go Letting</t>
        </is>
      </c>
      <c r="B9015" s="4" t="n">
        <v>44712</v>
      </c>
      <c r="C9015" s="3" t="inlineStr">
        <is>
          <t>Expenses</t>
        </is>
      </c>
      <c r="D9015" s="3" t="inlineStr">
        <is>
          <t>4520/000</t>
        </is>
      </c>
      <c r="E9015" s="3" t="inlineStr">
        <is>
          <t>Security</t>
        </is>
      </c>
      <c r="F9015" s="3" t="n">
        <v>731.25</v>
      </c>
      <c r="G9015" s="3" t="n">
        <v>6756.03</v>
      </c>
    </row>
    <row r="9016">
      <c r="A9016" s="3" t="inlineStr">
        <is>
          <t>Noble Shield (Pty) Ltd ta Go Letting</t>
        </is>
      </c>
      <c r="B9016" s="4" t="n">
        <v>44712</v>
      </c>
      <c r="C9016" s="3" t="inlineStr">
        <is>
          <t>Expenses</t>
        </is>
      </c>
      <c r="D9016" s="3" t="inlineStr">
        <is>
          <t>4550/000</t>
        </is>
      </c>
      <c r="E9016" s="3" t="inlineStr">
        <is>
          <t>Subscriptions</t>
        </is>
      </c>
      <c r="F9016" s="3" t="n">
        <v>0</v>
      </c>
      <c r="G9016" s="3" t="n">
        <v>274.15</v>
      </c>
    </row>
    <row r="9017">
      <c r="A9017" s="3" t="inlineStr">
        <is>
          <t>Quinate Consulting (Pty) Ltd</t>
        </is>
      </c>
      <c r="B9017" s="4" t="n">
        <v>44712</v>
      </c>
      <c r="C9017" s="3" t="inlineStr">
        <is>
          <t>Expenses</t>
        </is>
      </c>
      <c r="D9017" s="3" t="inlineStr">
        <is>
          <t>4550/000</t>
        </is>
      </c>
      <c r="E9017" s="3" t="inlineStr">
        <is>
          <t>Subscriptions / Licenses</t>
        </is>
      </c>
      <c r="F9017" s="3" t="n">
        <v>14547.07</v>
      </c>
      <c r="G9017" s="3" t="n">
        <v>30286.15</v>
      </c>
    </row>
    <row r="9018">
      <c r="A9018" s="3" t="inlineStr">
        <is>
          <t>Opportunity Management Holdings (PTY) LTD</t>
        </is>
      </c>
      <c r="B9018" s="4" t="n">
        <v>44712</v>
      </c>
      <c r="C9018" s="3" t="inlineStr">
        <is>
          <t>Expenses</t>
        </is>
      </c>
      <c r="D9018" s="3" t="inlineStr">
        <is>
          <t>4550/000</t>
        </is>
      </c>
      <c r="E9018" s="3" t="inlineStr">
        <is>
          <t>Subscriptions _AND_ Lisences</t>
        </is>
      </c>
      <c r="F9018" s="3" t="n">
        <v>1578.95</v>
      </c>
      <c r="G9018" s="3" t="n">
        <v>10083.7</v>
      </c>
    </row>
    <row r="9019">
      <c r="A9019" s="3" t="inlineStr">
        <is>
          <t>Noble Shield (Pty) Ltd ta Go Letting</t>
        </is>
      </c>
      <c r="B9019" s="4" t="n">
        <v>44712</v>
      </c>
      <c r="C9019" s="3" t="inlineStr">
        <is>
          <t>Expenses</t>
        </is>
      </c>
      <c r="D9019" s="3" t="inlineStr">
        <is>
          <t>4550/100</t>
        </is>
      </c>
      <c r="E9019" s="3" t="inlineStr">
        <is>
          <t>Subscriptions - EAAB</t>
        </is>
      </c>
      <c r="F9019" s="3" t="n">
        <v>0</v>
      </c>
      <c r="G9019" s="3" t="n">
        <v>5010</v>
      </c>
    </row>
    <row r="9020">
      <c r="A9020" s="3" t="inlineStr">
        <is>
          <t>Trademark Holdings (Pty) Ltd</t>
        </is>
      </c>
      <c r="B9020" s="4" t="n">
        <v>44712</v>
      </c>
      <c r="C9020" s="3" t="inlineStr">
        <is>
          <t>Expenses</t>
        </is>
      </c>
      <c r="D9020" s="3" t="inlineStr">
        <is>
          <t>4550/100</t>
        </is>
      </c>
      <c r="E9020" s="3" t="inlineStr">
        <is>
          <t>Subscriptions - EAAB</t>
        </is>
      </c>
      <c r="F9020" s="3" t="n">
        <v>0</v>
      </c>
      <c r="G9020" s="3" t="n">
        <v>3710</v>
      </c>
    </row>
    <row r="9021">
      <c r="A9021" s="3" t="inlineStr">
        <is>
          <t>Opportunity Global Investment (PTY) LTD</t>
        </is>
      </c>
      <c r="B9021" s="4" t="n">
        <v>44712</v>
      </c>
      <c r="C9021" s="3" t="inlineStr">
        <is>
          <t>Expenses</t>
        </is>
      </c>
      <c r="D9021" s="3" t="inlineStr">
        <is>
          <t>4550/150</t>
        </is>
      </c>
      <c r="E9021" s="3" t="inlineStr">
        <is>
          <t>Subscriptions - Webbox</t>
        </is>
      </c>
      <c r="F9021" s="3" t="n">
        <v>1259</v>
      </c>
      <c r="G9021" s="3" t="n">
        <v>3683</v>
      </c>
    </row>
    <row r="9022">
      <c r="A9022" s="3" t="inlineStr">
        <is>
          <t>Opportunity Global Investment (PTY) LTD</t>
        </is>
      </c>
      <c r="B9022" s="4" t="n">
        <v>44712</v>
      </c>
      <c r="C9022" s="3" t="inlineStr">
        <is>
          <t>Expenses</t>
        </is>
      </c>
      <c r="D9022" s="3" t="inlineStr">
        <is>
          <t>4550/200</t>
        </is>
      </c>
      <c r="E9022" s="3" t="inlineStr">
        <is>
          <t>Subscriptions - Zoom</t>
        </is>
      </c>
      <c r="F9022" s="3" t="n">
        <v>245.84</v>
      </c>
      <c r="G9022" s="3" t="n">
        <v>714.49</v>
      </c>
    </row>
    <row r="9023">
      <c r="A9023" s="3" t="inlineStr">
        <is>
          <t>Opportunity Global Investment (PTY) LTD</t>
        </is>
      </c>
      <c r="B9023" s="4" t="n">
        <v>44712</v>
      </c>
      <c r="C9023" s="3" t="inlineStr">
        <is>
          <t>Expenses</t>
        </is>
      </c>
      <c r="D9023" s="3" t="inlineStr">
        <is>
          <t>4550/250</t>
        </is>
      </c>
      <c r="E9023" s="3" t="inlineStr">
        <is>
          <t>Subscriptions - LinkedIn</t>
        </is>
      </c>
      <c r="F9023" s="3" t="n">
        <v>1000.49</v>
      </c>
      <c r="G9023" s="3" t="n">
        <v>4001.96</v>
      </c>
    </row>
    <row r="9024">
      <c r="A9024" s="3" t="inlineStr">
        <is>
          <t>Noble Shield (Pty) Ltd ta Go Letting</t>
        </is>
      </c>
      <c r="B9024" s="4" t="n">
        <v>44712</v>
      </c>
      <c r="C9024" s="3" t="inlineStr">
        <is>
          <t>Expenses</t>
        </is>
      </c>
      <c r="D9024" s="3" t="inlineStr">
        <is>
          <t>4550/250</t>
        </is>
      </c>
      <c r="E9024" s="3" t="inlineStr">
        <is>
          <t>Subscriptions - Windeed reports</t>
        </is>
      </c>
      <c r="F9024" s="3" t="n">
        <v>0</v>
      </c>
      <c r="G9024" s="3" t="n">
        <v>79</v>
      </c>
    </row>
    <row r="9025">
      <c r="A9025" s="3" t="inlineStr">
        <is>
          <t>Opportunity Global Investment (PTY) LTD</t>
        </is>
      </c>
      <c r="B9025" s="4" t="n">
        <v>44712</v>
      </c>
      <c r="C9025" s="3" t="inlineStr">
        <is>
          <t>Expenses</t>
        </is>
      </c>
      <c r="D9025" s="3" t="inlineStr">
        <is>
          <t>4550/350</t>
        </is>
      </c>
      <c r="E9025" s="3" t="inlineStr">
        <is>
          <t>Subscriptions - Xero</t>
        </is>
      </c>
      <c r="F9025" s="3" t="n">
        <v>600</v>
      </c>
      <c r="G9025" s="3" t="n">
        <v>1800</v>
      </c>
    </row>
    <row r="9026">
      <c r="A9026" s="3" t="inlineStr">
        <is>
          <t>Opportunity Global Investment (PTY) LTD</t>
        </is>
      </c>
      <c r="B9026" s="4" t="n">
        <v>44712</v>
      </c>
      <c r="C9026" s="3" t="inlineStr">
        <is>
          <t>Expenses</t>
        </is>
      </c>
      <c r="D9026" s="3" t="inlineStr">
        <is>
          <t>4550/400</t>
        </is>
      </c>
      <c r="E9026" s="3" t="inlineStr">
        <is>
          <t>Subscriptions - Moneyweb</t>
        </is>
      </c>
      <c r="F9026" s="3" t="n">
        <v>54.78</v>
      </c>
      <c r="G9026" s="3" t="n">
        <v>164.34</v>
      </c>
    </row>
    <row r="9027">
      <c r="A9027" s="3" t="inlineStr">
        <is>
          <t>Trademark Holdings (Pty) Ltd</t>
        </is>
      </c>
      <c r="B9027" s="4" t="n">
        <v>44712</v>
      </c>
      <c r="C9027" s="3" t="inlineStr">
        <is>
          <t>Expenses</t>
        </is>
      </c>
      <c r="D9027" s="3" t="inlineStr">
        <is>
          <t>4550/400</t>
        </is>
      </c>
      <c r="E9027" s="3" t="inlineStr">
        <is>
          <t>Subscriptions - Xero</t>
        </is>
      </c>
      <c r="F9027" s="3" t="n">
        <v>600</v>
      </c>
      <c r="G9027" s="3" t="n">
        <v>5850</v>
      </c>
    </row>
    <row r="9028">
      <c r="A9028" s="3" t="inlineStr">
        <is>
          <t>Opportunity Global Investment (PTY) LTD</t>
        </is>
      </c>
      <c r="B9028" s="4" t="n">
        <v>44712</v>
      </c>
      <c r="C9028" s="3" t="inlineStr">
        <is>
          <t>Expenses</t>
        </is>
      </c>
      <c r="D9028" s="3" t="inlineStr">
        <is>
          <t>4550/450</t>
        </is>
      </c>
      <c r="E9028" s="3" t="inlineStr">
        <is>
          <t>Subscriptions - Adobe</t>
        </is>
      </c>
      <c r="F9028" s="3" t="n">
        <v>527.27</v>
      </c>
      <c r="G9028" s="3" t="n">
        <v>1494.16</v>
      </c>
    </row>
    <row r="9029">
      <c r="A9029" s="3" t="inlineStr">
        <is>
          <t>Noble Shield (Pty) Ltd ta Go Letting</t>
        </is>
      </c>
      <c r="B9029" s="4" t="n">
        <v>44712</v>
      </c>
      <c r="C9029" s="3" t="inlineStr">
        <is>
          <t>Expenses</t>
        </is>
      </c>
      <c r="D9029" s="3" t="inlineStr">
        <is>
          <t>4550/600</t>
        </is>
      </c>
      <c r="E9029" s="3" t="inlineStr">
        <is>
          <t>Subscriptions - Webbox</t>
        </is>
      </c>
      <c r="F9029" s="3" t="n">
        <v>1312.15</v>
      </c>
      <c r="G9029" s="3" t="n">
        <v>10095.46</v>
      </c>
    </row>
    <row r="9030">
      <c r="A9030" s="3" t="inlineStr">
        <is>
          <t>Noble Shield (Pty) Ltd ta Go Letting</t>
        </is>
      </c>
      <c r="B9030" s="4" t="n">
        <v>44712</v>
      </c>
      <c r="C9030" s="3" t="inlineStr">
        <is>
          <t>Expenses</t>
        </is>
      </c>
      <c r="D9030" s="3" t="inlineStr">
        <is>
          <t>4550/650</t>
        </is>
      </c>
      <c r="E9030" s="3" t="inlineStr">
        <is>
          <t>Subscriptions - Xero</t>
        </is>
      </c>
      <c r="F9030" s="3" t="n">
        <v>600</v>
      </c>
      <c r="G9030" s="3" t="n">
        <v>5850</v>
      </c>
    </row>
    <row r="9031">
      <c r="A9031" s="3" t="inlineStr">
        <is>
          <t>Noble Shield (Pty) Ltd ta Go Letting</t>
        </is>
      </c>
      <c r="B9031" s="4" t="n">
        <v>44712</v>
      </c>
      <c r="C9031" s="3" t="inlineStr">
        <is>
          <t>Expenses</t>
        </is>
      </c>
      <c r="D9031" s="3" t="inlineStr">
        <is>
          <t>4550/700</t>
        </is>
      </c>
      <c r="E9031" s="3" t="inlineStr">
        <is>
          <t>Subscriptions - Domain renewals</t>
        </is>
      </c>
      <c r="F9031" s="3" t="n">
        <v>0</v>
      </c>
      <c r="G9031" s="3" t="n">
        <v>1726.15</v>
      </c>
    </row>
    <row r="9032">
      <c r="A9032" s="3" t="inlineStr">
        <is>
          <t>Noble Shield (Pty) Ltd ta Go Letting</t>
        </is>
      </c>
      <c r="B9032" s="4" t="n">
        <v>44712</v>
      </c>
      <c r="C9032" s="3" t="inlineStr">
        <is>
          <t>Expenses</t>
        </is>
      </c>
      <c r="D9032" s="3" t="inlineStr">
        <is>
          <t>4550/800</t>
        </is>
      </c>
      <c r="E9032" s="3" t="inlineStr">
        <is>
          <t>Subscriptions - Adobe</t>
        </is>
      </c>
      <c r="F9032" s="3" t="n">
        <v>286.7</v>
      </c>
      <c r="G9032" s="3" t="n">
        <v>548.58</v>
      </c>
    </row>
    <row r="9033">
      <c r="A9033" s="3" t="inlineStr">
        <is>
          <t>Opportunity Global Sales (PTY) LTD</t>
        </is>
      </c>
      <c r="B9033" s="4" t="n">
        <v>44712</v>
      </c>
      <c r="C9033" s="3" t="inlineStr">
        <is>
          <t>Expenses</t>
        </is>
      </c>
      <c r="D9033" s="3" t="inlineStr">
        <is>
          <t>4551/000</t>
        </is>
      </c>
      <c r="E9033" s="3" t="inlineStr">
        <is>
          <t>Subscriptions - Payprop</t>
        </is>
      </c>
      <c r="F9033" s="3" t="n">
        <v>436.17</v>
      </c>
      <c r="G9033" s="3" t="n">
        <v>2822.68</v>
      </c>
    </row>
    <row r="9034">
      <c r="A9034" s="3" t="inlineStr">
        <is>
          <t>Opportunity Management Holdings (PTY) LTD</t>
        </is>
      </c>
      <c r="B9034" s="4" t="n">
        <v>44712</v>
      </c>
      <c r="C9034" s="3" t="inlineStr">
        <is>
          <t>Expenses</t>
        </is>
      </c>
      <c r="D9034" s="3" t="inlineStr">
        <is>
          <t>4551/000</t>
        </is>
      </c>
      <c r="E9034" s="3" t="inlineStr">
        <is>
          <t>Subscriptions - Xero - Setup</t>
        </is>
      </c>
      <c r="F9034" s="3" t="n">
        <v>0</v>
      </c>
      <c r="G9034" s="3" t="n">
        <v>3000</v>
      </c>
    </row>
    <row r="9035">
      <c r="A9035" s="3" t="inlineStr">
        <is>
          <t>Quinate Consulting (Pty) Ltd</t>
        </is>
      </c>
      <c r="B9035" s="4" t="n">
        <v>44712</v>
      </c>
      <c r="C9035" s="3" t="inlineStr">
        <is>
          <t>Expenses</t>
        </is>
      </c>
      <c r="D9035" s="3" t="inlineStr">
        <is>
          <t>4551/000</t>
        </is>
      </c>
      <c r="E9035" s="3" t="inlineStr">
        <is>
          <t>Subscriptions - Zoho</t>
        </is>
      </c>
      <c r="F9035" s="3" t="n">
        <v>1125</v>
      </c>
      <c r="G9035" s="3" t="n">
        <v>3375</v>
      </c>
    </row>
    <row r="9036">
      <c r="A9036" s="3" t="inlineStr">
        <is>
          <t>Endulini (Pty) Ltd</t>
        </is>
      </c>
      <c r="B9036" s="4" t="n">
        <v>44712</v>
      </c>
      <c r="C9036" s="3" t="inlineStr">
        <is>
          <t>Expenses</t>
        </is>
      </c>
      <c r="D9036" s="3" t="inlineStr">
        <is>
          <t>4552/000</t>
        </is>
      </c>
      <c r="E9036" s="3" t="inlineStr">
        <is>
          <t>Subscriptions - Xero</t>
        </is>
      </c>
      <c r="F9036" s="3" t="n">
        <v>600</v>
      </c>
      <c r="G9036" s="3" t="n">
        <v>1800</v>
      </c>
    </row>
    <row r="9037">
      <c r="A9037" s="3" t="inlineStr">
        <is>
          <t>Opportunity Global Sales (PTY) LTD</t>
        </is>
      </c>
      <c r="B9037" s="4" t="n">
        <v>44712</v>
      </c>
      <c r="C9037" s="3" t="inlineStr">
        <is>
          <t>Expenses</t>
        </is>
      </c>
      <c r="D9037" s="3" t="inlineStr">
        <is>
          <t>4552/000</t>
        </is>
      </c>
      <c r="E9037" s="3" t="inlineStr">
        <is>
          <t>Subscriptions - Xero</t>
        </is>
      </c>
      <c r="F9037" s="3" t="n">
        <v>600</v>
      </c>
      <c r="G9037" s="3" t="n">
        <v>1800</v>
      </c>
    </row>
    <row r="9038">
      <c r="A9038" s="3" t="inlineStr">
        <is>
          <t>Opportunity Management Holdings (PTY) LTD</t>
        </is>
      </c>
      <c r="B9038" s="4" t="n">
        <v>44712</v>
      </c>
      <c r="C9038" s="3" t="inlineStr">
        <is>
          <t>Expenses</t>
        </is>
      </c>
      <c r="D9038" s="3" t="inlineStr">
        <is>
          <t>4552/000</t>
        </is>
      </c>
      <c r="E9038" s="3" t="inlineStr">
        <is>
          <t>Subscriptions - Xero</t>
        </is>
      </c>
      <c r="F9038" s="3" t="n">
        <v>600</v>
      </c>
      <c r="G9038" s="3" t="n">
        <v>3450</v>
      </c>
    </row>
    <row r="9039">
      <c r="A9039" s="3" t="inlineStr">
        <is>
          <t>Opportunity Global Sales (PTY) LTD</t>
        </is>
      </c>
      <c r="B9039" s="4" t="n">
        <v>44712</v>
      </c>
      <c r="C9039" s="3" t="inlineStr">
        <is>
          <t>Expenses</t>
        </is>
      </c>
      <c r="D9039" s="3" t="inlineStr">
        <is>
          <t>4553/000</t>
        </is>
      </c>
      <c r="E9039" s="3" t="inlineStr">
        <is>
          <t>Subscriptions - CMA</t>
        </is>
      </c>
      <c r="F9039" s="3" t="n">
        <v>680</v>
      </c>
      <c r="G9039" s="3" t="n">
        <v>2040</v>
      </c>
    </row>
    <row r="9040">
      <c r="A9040" s="3" t="inlineStr">
        <is>
          <t>Quinate Consulting (Pty) Ltd</t>
        </is>
      </c>
      <c r="B9040" s="4" t="n">
        <v>44712</v>
      </c>
      <c r="C9040" s="3" t="inlineStr">
        <is>
          <t>Expenses</t>
        </is>
      </c>
      <c r="D9040" s="3" t="inlineStr">
        <is>
          <t>4554/000</t>
        </is>
      </c>
      <c r="E9040" s="3" t="inlineStr">
        <is>
          <t>Subscriptions - Xero</t>
        </is>
      </c>
      <c r="F9040" s="3" t="n">
        <v>600</v>
      </c>
      <c r="G9040" s="3" t="n">
        <v>1800</v>
      </c>
    </row>
    <row r="9041">
      <c r="A9041" s="3" t="inlineStr">
        <is>
          <t>Opportunity Global Sales (PTY) LTD</t>
        </is>
      </c>
      <c r="B9041" s="4" t="n">
        <v>44712</v>
      </c>
      <c r="C9041" s="3" t="inlineStr">
        <is>
          <t>Expenses</t>
        </is>
      </c>
      <c r="D9041" s="3" t="inlineStr">
        <is>
          <t>4554/000</t>
        </is>
      </c>
      <c r="E9041" s="3" t="inlineStr">
        <is>
          <t>Subscriptions - Zoho</t>
        </is>
      </c>
      <c r="F9041" s="3" t="n">
        <v>600</v>
      </c>
      <c r="G9041" s="3" t="n">
        <v>1800</v>
      </c>
    </row>
    <row r="9042">
      <c r="A9042" s="3" t="inlineStr">
        <is>
          <t>Opportunity Global Sales (PTY) LTD</t>
        </is>
      </c>
      <c r="B9042" s="4" t="n">
        <v>44712</v>
      </c>
      <c r="C9042" s="3" t="inlineStr">
        <is>
          <t>Expenses</t>
        </is>
      </c>
      <c r="D9042" s="3" t="inlineStr">
        <is>
          <t>4555/000</t>
        </is>
      </c>
      <c r="E9042" s="3" t="inlineStr">
        <is>
          <t>Subscriptions - EAAB</t>
        </is>
      </c>
      <c r="F9042" s="3" t="n">
        <v>0</v>
      </c>
      <c r="G9042" s="3" t="n">
        <v>8500</v>
      </c>
    </row>
    <row r="9043">
      <c r="A9043" s="3" t="inlineStr">
        <is>
          <t>Quinate Consulting (Pty) Ltd</t>
        </is>
      </c>
      <c r="B9043" s="4" t="n">
        <v>44712</v>
      </c>
      <c r="C9043" s="3" t="inlineStr">
        <is>
          <t>Expenses</t>
        </is>
      </c>
      <c r="D9043" s="3" t="inlineStr">
        <is>
          <t>4555/000</t>
        </is>
      </c>
      <c r="E9043" s="3" t="inlineStr">
        <is>
          <t>Subscriptions - OUMS</t>
        </is>
      </c>
      <c r="F9043" s="3" t="n">
        <v>6475.9</v>
      </c>
      <c r="G9043" s="3" t="n">
        <v>19427.7</v>
      </c>
    </row>
    <row r="9044">
      <c r="A9044" s="3" t="inlineStr">
        <is>
          <t>Noble Shield (Pty) Ltd ta Go Letting</t>
        </is>
      </c>
      <c r="B9044" s="4" t="n">
        <v>44712</v>
      </c>
      <c r="C9044" s="3" t="inlineStr">
        <is>
          <t>Expenses</t>
        </is>
      </c>
      <c r="D9044" s="3" t="inlineStr">
        <is>
          <t>4560/000</t>
        </is>
      </c>
      <c r="E9044" s="3" t="inlineStr">
        <is>
          <t>Small Assets - under R7000</t>
        </is>
      </c>
      <c r="F9044" s="3" t="n">
        <v>399</v>
      </c>
      <c r="G9044" s="3" t="n">
        <v>399</v>
      </c>
    </row>
    <row r="9045">
      <c r="A9045" s="3" t="inlineStr">
        <is>
          <t>Opportunity Global Investment (PTY) LTD</t>
        </is>
      </c>
      <c r="B9045" s="4" t="n">
        <v>44712</v>
      </c>
      <c r="C9045" s="3" t="inlineStr">
        <is>
          <t>Expenses</t>
        </is>
      </c>
      <c r="D9045" s="3" t="inlineStr">
        <is>
          <t>4600/000</t>
        </is>
      </c>
      <c r="E9045" s="3" t="inlineStr">
        <is>
          <t>Telephone _AND_ Fax</t>
        </is>
      </c>
      <c r="F9045" s="3" t="n">
        <v>3355</v>
      </c>
      <c r="G9045" s="3" t="n">
        <v>10065</v>
      </c>
    </row>
    <row r="9046">
      <c r="A9046" s="3" t="inlineStr">
        <is>
          <t>Trademark Holdings (Pty) Ltd</t>
        </is>
      </c>
      <c r="B9046" s="4" t="n">
        <v>44712</v>
      </c>
      <c r="C9046" s="3" t="inlineStr">
        <is>
          <t>Expenses</t>
        </is>
      </c>
      <c r="D9046" s="3" t="inlineStr">
        <is>
          <t>4600/000</t>
        </is>
      </c>
      <c r="E9046" s="3" t="inlineStr">
        <is>
          <t>Telephone _AND_ Fax</t>
        </is>
      </c>
      <c r="F9046" s="3" t="n">
        <v>1470.44</v>
      </c>
      <c r="G9046" s="3" t="n">
        <v>13133.66</v>
      </c>
    </row>
    <row r="9047">
      <c r="A9047" s="3" t="inlineStr">
        <is>
          <t>Noble Shield (Pty) Ltd ta Go Letting</t>
        </is>
      </c>
      <c r="B9047" s="4" t="n">
        <v>44712</v>
      </c>
      <c r="C9047" s="3" t="inlineStr">
        <is>
          <t>Expenses</t>
        </is>
      </c>
      <c r="D9047" s="3" t="inlineStr">
        <is>
          <t>4600/000</t>
        </is>
      </c>
      <c r="E9047" s="3" t="inlineStr">
        <is>
          <t>Telephone _AND_ Fax - VDB Office</t>
        </is>
      </c>
      <c r="F9047" s="3" t="n">
        <v>0</v>
      </c>
      <c r="G9047" s="3" t="n">
        <v>1926.25</v>
      </c>
    </row>
    <row r="9048">
      <c r="A9048" s="3" t="inlineStr">
        <is>
          <t>Noble Shield (Pty) Ltd ta Go Letting</t>
        </is>
      </c>
      <c r="B9048" s="4" t="n">
        <v>44712</v>
      </c>
      <c r="C9048" s="3" t="inlineStr">
        <is>
          <t>Expenses</t>
        </is>
      </c>
      <c r="D9048" s="3" t="inlineStr">
        <is>
          <t>4610/000</t>
        </is>
      </c>
      <c r="E9048" s="3" t="inlineStr">
        <is>
          <t>Telephone - CT Office</t>
        </is>
      </c>
      <c r="F9048" s="3" t="n">
        <v>1010.79</v>
      </c>
      <c r="G9048" s="3" t="n">
        <v>8287.120000000001</v>
      </c>
    </row>
    <row r="9049">
      <c r="A9049" s="3" t="inlineStr">
        <is>
          <t>Opportunity Management Holdings (PTY) LTD</t>
        </is>
      </c>
      <c r="B9049" s="4" t="n">
        <v>44712</v>
      </c>
      <c r="C9049" s="3" t="inlineStr">
        <is>
          <t>Expenses</t>
        </is>
      </c>
      <c r="D9049" s="3" t="inlineStr">
        <is>
          <t>4650/000</t>
        </is>
      </c>
      <c r="E9049" s="3" t="inlineStr">
        <is>
          <t>Travel _AND_ Accommodation</t>
        </is>
      </c>
      <c r="F9049" s="3" t="n">
        <v>0</v>
      </c>
      <c r="G9049" s="3" t="n">
        <v>139.13</v>
      </c>
    </row>
    <row r="9050">
      <c r="A9050" s="3" t="inlineStr">
        <is>
          <t>Quinate Consulting (Pty) Ltd</t>
        </is>
      </c>
      <c r="B9050" s="4" t="n">
        <v>44712</v>
      </c>
      <c r="C9050" s="3" t="inlineStr">
        <is>
          <t>Expenses</t>
        </is>
      </c>
      <c r="D9050" s="3" t="inlineStr">
        <is>
          <t>4650/000</t>
        </is>
      </c>
      <c r="E9050" s="3" t="inlineStr">
        <is>
          <t>Travel _AND_ Accommodation</t>
        </is>
      </c>
      <c r="F9050" s="3" t="n">
        <v>5386</v>
      </c>
      <c r="G9050" s="3" t="n">
        <v>5386</v>
      </c>
    </row>
    <row r="9051">
      <c r="A9051" s="3" t="inlineStr">
        <is>
          <t>Quinate Consulting (Pty) Ltd</t>
        </is>
      </c>
      <c r="B9051" s="4" t="n">
        <v>44712</v>
      </c>
      <c r="C9051" s="3" t="inlineStr">
        <is>
          <t>Expenses</t>
        </is>
      </c>
      <c r="D9051" s="3" t="inlineStr">
        <is>
          <t>4650/010</t>
        </is>
      </c>
      <c r="E9051" s="3" t="inlineStr">
        <is>
          <t>Travel - Local Flights</t>
        </is>
      </c>
      <c r="F9051" s="3" t="n">
        <v>6912.27</v>
      </c>
      <c r="G9051" s="3" t="n">
        <v>6912.27</v>
      </c>
    </row>
    <row r="9052">
      <c r="A9052" s="3" t="inlineStr">
        <is>
          <t>Opportunity Global Investment (PTY) LTD</t>
        </is>
      </c>
      <c r="B9052" s="4" t="n">
        <v>44712</v>
      </c>
      <c r="C9052" s="3" t="inlineStr">
        <is>
          <t>Expenses</t>
        </is>
      </c>
      <c r="D9052" s="3" t="inlineStr">
        <is>
          <t>4650/020</t>
        </is>
      </c>
      <c r="E9052" s="3" t="inlineStr">
        <is>
          <t>Travel Accomodation - Car Hire</t>
        </is>
      </c>
      <c r="F9052" s="3" t="n">
        <v>457.39</v>
      </c>
      <c r="G9052" s="3" t="n">
        <v>457.39</v>
      </c>
    </row>
    <row r="9053">
      <c r="A9053" s="3" t="inlineStr">
        <is>
          <t>Quinate Consulting (Pty) Ltd</t>
        </is>
      </c>
      <c r="B9053" s="4" t="n">
        <v>44712</v>
      </c>
      <c r="C9053" s="3" t="inlineStr">
        <is>
          <t>Expenses</t>
        </is>
      </c>
      <c r="D9053" s="3" t="inlineStr">
        <is>
          <t>4650/030</t>
        </is>
      </c>
      <c r="E9053" s="3" t="inlineStr">
        <is>
          <t>Travel - Parking</t>
        </is>
      </c>
      <c r="F9053" s="3" t="n">
        <v>34.78</v>
      </c>
      <c r="G9053" s="3" t="n">
        <v>121.74</v>
      </c>
    </row>
    <row r="9054">
      <c r="A9054" s="3" t="inlineStr">
        <is>
          <t>Quinate Consulting (Pty) Ltd</t>
        </is>
      </c>
      <c r="B9054" s="4" t="n">
        <v>44712</v>
      </c>
      <c r="C9054" s="3" t="inlineStr">
        <is>
          <t>Expenses</t>
        </is>
      </c>
      <c r="D9054" s="3" t="inlineStr">
        <is>
          <t>4650/040</t>
        </is>
      </c>
      <c r="E9054" s="3" t="inlineStr">
        <is>
          <t>Travel - Local Car Hire</t>
        </is>
      </c>
      <c r="F9054" s="3" t="n">
        <v>1873</v>
      </c>
      <c r="G9054" s="3" t="n">
        <v>1873</v>
      </c>
    </row>
    <row r="9055">
      <c r="A9055" s="3" t="inlineStr">
        <is>
          <t>Opportunity Global Investment (PTY) LTD</t>
        </is>
      </c>
      <c r="B9055" s="4" t="n">
        <v>44712</v>
      </c>
      <c r="C9055" s="3" t="inlineStr">
        <is>
          <t>Expenses</t>
        </is>
      </c>
      <c r="D9055" s="3" t="inlineStr">
        <is>
          <t>4650/080</t>
        </is>
      </c>
      <c r="E9055" s="3" t="inlineStr">
        <is>
          <t>Travel &amp; Accommodation - Staff Reimbursements</t>
        </is>
      </c>
      <c r="F9055" s="3" t="n">
        <v>0</v>
      </c>
      <c r="G9055" s="3" t="n">
        <v>453.72</v>
      </c>
    </row>
    <row r="9056">
      <c r="A9056" s="3" t="inlineStr">
        <is>
          <t>Opportunity Global Investment (PTY) LTD</t>
        </is>
      </c>
      <c r="B9056" s="4" t="n">
        <v>44712</v>
      </c>
      <c r="C9056" s="3" t="inlineStr">
        <is>
          <t>Expenses</t>
        </is>
      </c>
      <c r="D9056" s="3" t="inlineStr">
        <is>
          <t>4650/090</t>
        </is>
      </c>
      <c r="E9056" s="3" t="inlineStr">
        <is>
          <t>Travel &amp; Accom - Fuel</t>
        </is>
      </c>
      <c r="F9056" s="3" t="n">
        <v>2919.45</v>
      </c>
      <c r="G9056" s="3" t="n">
        <v>8998.969999999999</v>
      </c>
    </row>
    <row r="9057">
      <c r="A9057" s="3" t="inlineStr">
        <is>
          <t>Quinate Consulting (Pty) Ltd</t>
        </is>
      </c>
      <c r="B9057" s="4" t="n">
        <v>44712</v>
      </c>
      <c r="C9057" s="3" t="inlineStr">
        <is>
          <t>Expenses</t>
        </is>
      </c>
      <c r="D9057" s="3" t="inlineStr">
        <is>
          <t>4650/600</t>
        </is>
      </c>
      <c r="E9057" s="3" t="inlineStr">
        <is>
          <t>Travel - Fuel</t>
        </is>
      </c>
      <c r="F9057" s="3" t="n">
        <v>0</v>
      </c>
      <c r="G9057" s="3" t="n">
        <v>983.1799999999999</v>
      </c>
    </row>
    <row r="9058">
      <c r="A9058" s="3" t="inlineStr">
        <is>
          <t>Noble Shield (Pty) Ltd ta Go Letting</t>
        </is>
      </c>
      <c r="B9058" s="4" t="n">
        <v>44712</v>
      </c>
      <c r="C9058" s="3" t="inlineStr">
        <is>
          <t>Expenses</t>
        </is>
      </c>
      <c r="D9058" s="3" t="inlineStr">
        <is>
          <t>4700/000</t>
        </is>
      </c>
      <c r="E9058" s="3" t="inlineStr">
        <is>
          <t>PAYE Contributions</t>
        </is>
      </c>
      <c r="F9058" s="3" t="n">
        <v>4805.08</v>
      </c>
      <c r="G9058" s="3" t="n">
        <v>44846.9</v>
      </c>
    </row>
    <row r="9059">
      <c r="A9059" s="3" t="inlineStr">
        <is>
          <t>Trademark Holdings (Pty) Ltd</t>
        </is>
      </c>
      <c r="B9059" s="4" t="n">
        <v>44712</v>
      </c>
      <c r="C9059" s="3" t="inlineStr">
        <is>
          <t>Expenses</t>
        </is>
      </c>
      <c r="D9059" s="3" t="inlineStr">
        <is>
          <t>4700/000</t>
        </is>
      </c>
      <c r="E9059" s="3" t="inlineStr">
        <is>
          <t>PAYE Contributions</t>
        </is>
      </c>
      <c r="F9059" s="3" t="n">
        <v>4156.52</v>
      </c>
      <c r="G9059" s="3" t="n">
        <v>50429.2</v>
      </c>
    </row>
    <row r="9060">
      <c r="A9060" s="3" t="inlineStr">
        <is>
          <t>Opportunity Global Investment (PTY) LTD</t>
        </is>
      </c>
      <c r="B9060" s="4" t="n">
        <v>44712</v>
      </c>
      <c r="C9060" s="3" t="inlineStr">
        <is>
          <t>Expenses</t>
        </is>
      </c>
      <c r="D9060" s="3" t="inlineStr">
        <is>
          <t>4700/000</t>
        </is>
      </c>
      <c r="E9060" s="3" t="inlineStr">
        <is>
          <t>UIF Contributions</t>
        </is>
      </c>
      <c r="F9060" s="3" t="n">
        <v>177.12</v>
      </c>
      <c r="G9060" s="3" t="n">
        <v>531.36</v>
      </c>
    </row>
    <row r="9061">
      <c r="A9061" s="3" t="inlineStr">
        <is>
          <t>Opportunity Global Sales (PTY) LTD</t>
        </is>
      </c>
      <c r="B9061" s="4" t="n">
        <v>44712</v>
      </c>
      <c r="C9061" s="3" t="inlineStr">
        <is>
          <t>Expenses</t>
        </is>
      </c>
      <c r="D9061" s="3" t="inlineStr">
        <is>
          <t>4700/000</t>
        </is>
      </c>
      <c r="E9061" s="3" t="inlineStr">
        <is>
          <t>UIF Contributions</t>
        </is>
      </c>
      <c r="F9061" s="3" t="n">
        <v>177.12</v>
      </c>
      <c r="G9061" s="3" t="n">
        <v>631.36</v>
      </c>
    </row>
    <row r="9062">
      <c r="A9062" s="3" t="inlineStr">
        <is>
          <t>Opportunity Global Sales (PTY) LTD</t>
        </is>
      </c>
      <c r="B9062" s="4" t="n">
        <v>44712</v>
      </c>
      <c r="C9062" s="3" t="inlineStr">
        <is>
          <t>Expenses</t>
        </is>
      </c>
      <c r="D9062" s="3" t="inlineStr">
        <is>
          <t>4701/000</t>
        </is>
      </c>
      <c r="E9062" s="3" t="inlineStr">
        <is>
          <t>UIF Employee Contribution</t>
        </is>
      </c>
      <c r="F9062" s="3" t="n">
        <v>177.12</v>
      </c>
      <c r="G9062" s="3" t="n">
        <v>631.36</v>
      </c>
    </row>
    <row r="9063">
      <c r="A9063" s="3" t="inlineStr">
        <is>
          <t>Opportunity Global Investment (PTY) LTD</t>
        </is>
      </c>
      <c r="B9063" s="4" t="n">
        <v>44712</v>
      </c>
      <c r="C9063" s="3" t="inlineStr">
        <is>
          <t>Expenses</t>
        </is>
      </c>
      <c r="D9063" s="3" t="inlineStr">
        <is>
          <t>4701/000</t>
        </is>
      </c>
      <c r="E9063" s="3" t="inlineStr">
        <is>
          <t>UIF Employee Contributions</t>
        </is>
      </c>
      <c r="F9063" s="3" t="n">
        <v>177.12</v>
      </c>
      <c r="G9063" s="3" t="n">
        <v>531.36</v>
      </c>
    </row>
    <row r="9064">
      <c r="A9064" s="3" t="inlineStr">
        <is>
          <t>Noble Shield (Pty) Ltd ta Go Letting</t>
        </is>
      </c>
      <c r="B9064" s="4" t="n">
        <v>44712</v>
      </c>
      <c r="C9064" s="3" t="inlineStr">
        <is>
          <t>Expenses</t>
        </is>
      </c>
      <c r="D9064" s="3" t="inlineStr">
        <is>
          <t>4710/000</t>
        </is>
      </c>
      <c r="E9064" s="3" t="inlineStr">
        <is>
          <t>UIF Company Contributions</t>
        </is>
      </c>
      <c r="F9064" s="3" t="n">
        <v>245.25</v>
      </c>
      <c r="G9064" s="3" t="n">
        <v>1889.17</v>
      </c>
    </row>
    <row r="9065">
      <c r="A9065" s="3" t="inlineStr">
        <is>
          <t>Trademark Holdings (Pty) Ltd</t>
        </is>
      </c>
      <c r="B9065" s="4" t="n">
        <v>44712</v>
      </c>
      <c r="C9065" s="3" t="inlineStr">
        <is>
          <t>Expenses</t>
        </is>
      </c>
      <c r="D9065" s="3" t="inlineStr">
        <is>
          <t>4710/000</t>
        </is>
      </c>
      <c r="E9065" s="3" t="inlineStr">
        <is>
          <t>UIF Company Contributions</t>
        </is>
      </c>
      <c r="F9065" s="3" t="n">
        <v>95.25</v>
      </c>
      <c r="G9065" s="3" t="n">
        <v>1161.87</v>
      </c>
    </row>
    <row r="9066">
      <c r="A9066" s="3" t="inlineStr">
        <is>
          <t>Noble Shield (Pty) Ltd ta Go Letting</t>
        </is>
      </c>
      <c r="B9066" s="4" t="n">
        <v>44712</v>
      </c>
      <c r="C9066" s="3" t="inlineStr">
        <is>
          <t>Expenses</t>
        </is>
      </c>
      <c r="D9066" s="3" t="inlineStr">
        <is>
          <t>4711/000</t>
        </is>
      </c>
      <c r="E9066" s="3" t="inlineStr">
        <is>
          <t>UIF Employee Contribution</t>
        </is>
      </c>
      <c r="F9066" s="3" t="n">
        <v>245.25</v>
      </c>
      <c r="G9066" s="3" t="n">
        <v>1889.17</v>
      </c>
    </row>
    <row r="9067">
      <c r="A9067" s="3" t="inlineStr">
        <is>
          <t>Trademark Holdings (Pty) Ltd</t>
        </is>
      </c>
      <c r="B9067" s="4" t="n">
        <v>44712</v>
      </c>
      <c r="C9067" s="3" t="inlineStr">
        <is>
          <t>Expenses</t>
        </is>
      </c>
      <c r="D9067" s="3" t="inlineStr">
        <is>
          <t>4711/000</t>
        </is>
      </c>
      <c r="E9067" s="3" t="inlineStr">
        <is>
          <t>UIF Employee Contributions</t>
        </is>
      </c>
      <c r="F9067" s="3" t="n">
        <v>95.25</v>
      </c>
      <c r="G9067" s="3" t="n">
        <v>1161.87</v>
      </c>
    </row>
    <row r="9068">
      <c r="A9068" s="3" t="inlineStr">
        <is>
          <t>Noble Shield (Pty) Ltd ta Go Letting</t>
        </is>
      </c>
      <c r="B9068" s="4" t="n">
        <v>44712</v>
      </c>
      <c r="C9068" s="3" t="inlineStr">
        <is>
          <t>Expenses</t>
        </is>
      </c>
      <c r="D9068" s="3" t="inlineStr">
        <is>
          <t>4720/000</t>
        </is>
      </c>
      <c r="E9068" s="3" t="inlineStr">
        <is>
          <t>SDL Contributions</t>
        </is>
      </c>
      <c r="F9068" s="3" t="n">
        <v>428.81</v>
      </c>
      <c r="G9068" s="3" t="n">
        <v>3227.35</v>
      </c>
    </row>
    <row r="9069">
      <c r="A9069" s="3" t="inlineStr">
        <is>
          <t>Trademark Holdings (Pty) Ltd</t>
        </is>
      </c>
      <c r="B9069" s="4" t="n">
        <v>44712</v>
      </c>
      <c r="C9069" s="3" t="inlineStr">
        <is>
          <t>Expenses</t>
        </is>
      </c>
      <c r="D9069" s="3" t="inlineStr">
        <is>
          <t>4720/000</t>
        </is>
      </c>
      <c r="E9069" s="3" t="inlineStr">
        <is>
          <t>SDL Contributions</t>
        </is>
      </c>
      <c r="F9069" s="3" t="n">
        <v>274.29</v>
      </c>
      <c r="G9069" s="3" t="n">
        <v>2763.04</v>
      </c>
    </row>
    <row r="9070">
      <c r="A9070" s="3" t="inlineStr">
        <is>
          <t>Opportunity Global Investment (PTY) LTD</t>
        </is>
      </c>
      <c r="B9070" s="4" t="n">
        <v>44712</v>
      </c>
      <c r="C9070" s="3" t="inlineStr">
        <is>
          <t>Expenses</t>
        </is>
      </c>
      <c r="D9070" s="3" t="inlineStr">
        <is>
          <t>4730/000</t>
        </is>
      </c>
      <c r="E9070" s="3" t="inlineStr">
        <is>
          <t>PAYE Contributions</t>
        </is>
      </c>
      <c r="F9070" s="3" t="n">
        <v>9136.700000000001</v>
      </c>
      <c r="G9070" s="3" t="n">
        <v>27410.09</v>
      </c>
    </row>
    <row r="9071">
      <c r="A9071" s="3" t="inlineStr">
        <is>
          <t>Opportunity Global Sales (PTY) LTD</t>
        </is>
      </c>
      <c r="B9071" s="4" t="n">
        <v>44712</v>
      </c>
      <c r="C9071" s="3" t="inlineStr">
        <is>
          <t>Expenses</t>
        </is>
      </c>
      <c r="D9071" s="3" t="inlineStr">
        <is>
          <t>4730/000</t>
        </is>
      </c>
      <c r="E9071" s="3" t="inlineStr">
        <is>
          <t>PAYE Contributions</t>
        </is>
      </c>
      <c r="F9071" s="3" t="n">
        <v>35213.79</v>
      </c>
      <c r="G9071" s="3" t="n">
        <v>89687.49000000001</v>
      </c>
    </row>
    <row r="9072">
      <c r="A9072" s="3" t="inlineStr">
        <is>
          <t>Opportunity Management Holdings (PTY) LTD</t>
        </is>
      </c>
      <c r="B9072" s="4" t="n">
        <v>44712</v>
      </c>
      <c r="C9072" s="3" t="inlineStr">
        <is>
          <t>Expenses</t>
        </is>
      </c>
      <c r="D9072" s="3" t="inlineStr">
        <is>
          <t>4730/000</t>
        </is>
      </c>
      <c r="E9072" s="3" t="inlineStr">
        <is>
          <t>PAYE Contributions</t>
        </is>
      </c>
      <c r="F9072" s="3" t="n">
        <v>42420.99</v>
      </c>
      <c r="G9072" s="3" t="n">
        <v>298304.4</v>
      </c>
    </row>
    <row r="9073">
      <c r="A9073" s="3" t="inlineStr">
        <is>
          <t>Opportunity Global Investment (PTY) LTD</t>
        </is>
      </c>
      <c r="B9073" s="4" t="n">
        <v>44712</v>
      </c>
      <c r="C9073" s="3" t="inlineStr">
        <is>
          <t>Expenses</t>
        </is>
      </c>
      <c r="D9073" s="3" t="inlineStr">
        <is>
          <t>4740/000</t>
        </is>
      </c>
      <c r="E9073" s="3" t="inlineStr">
        <is>
          <t>SDL Contributions</t>
        </is>
      </c>
      <c r="F9073" s="3" t="n">
        <v>431.1</v>
      </c>
      <c r="G9073" s="3" t="n">
        <v>1293.3</v>
      </c>
    </row>
    <row r="9074">
      <c r="A9074" s="3" t="inlineStr">
        <is>
          <t>Opportunity Global Sales (PTY) LTD</t>
        </is>
      </c>
      <c r="B9074" s="4" t="n">
        <v>44712</v>
      </c>
      <c r="C9074" s="3" t="inlineStr">
        <is>
          <t>Expenses</t>
        </is>
      </c>
      <c r="D9074" s="3" t="inlineStr">
        <is>
          <t>4740/000</t>
        </is>
      </c>
      <c r="E9074" s="3" t="inlineStr">
        <is>
          <t>SDL Contributions</t>
        </is>
      </c>
      <c r="F9074" s="3" t="n">
        <v>1985.47</v>
      </c>
      <c r="G9074" s="3" t="n">
        <v>5146.47</v>
      </c>
    </row>
    <row r="9075">
      <c r="A9075" s="3" t="inlineStr">
        <is>
          <t>Opportunity Management Holdings (PTY) LTD</t>
        </is>
      </c>
      <c r="B9075" s="4" t="n">
        <v>44712</v>
      </c>
      <c r="C9075" s="3" t="inlineStr">
        <is>
          <t>Expenses</t>
        </is>
      </c>
      <c r="D9075" s="3" t="inlineStr">
        <is>
          <t>4740/000</t>
        </is>
      </c>
      <c r="E9075" s="3" t="inlineStr">
        <is>
          <t>UIF Company Contribution</t>
        </is>
      </c>
      <c r="F9075" s="3" t="n">
        <v>1377.22</v>
      </c>
      <c r="G9075" s="3" t="n">
        <v>9452.99</v>
      </c>
    </row>
    <row r="9076">
      <c r="A9076" s="3" t="inlineStr">
        <is>
          <t>Opportunity Management Holdings (PTY) LTD</t>
        </is>
      </c>
      <c r="B9076" s="4" t="n">
        <v>44712</v>
      </c>
      <c r="C9076" s="3" t="inlineStr">
        <is>
          <t>Expenses</t>
        </is>
      </c>
      <c r="D9076" s="3" t="inlineStr">
        <is>
          <t>4741/000</t>
        </is>
      </c>
      <c r="E9076" s="3" t="inlineStr">
        <is>
          <t>UIF Employee Contribution</t>
        </is>
      </c>
      <c r="F9076" s="3" t="n">
        <v>1377.22</v>
      </c>
      <c r="G9076" s="3" t="n">
        <v>9452.99</v>
      </c>
    </row>
    <row r="9077">
      <c r="A9077" s="3" t="inlineStr">
        <is>
          <t>Opportunity Management Holdings (PTY) LTD</t>
        </is>
      </c>
      <c r="B9077" s="4" t="n">
        <v>44712</v>
      </c>
      <c r="C9077" s="3" t="inlineStr">
        <is>
          <t>Expenses</t>
        </is>
      </c>
      <c r="D9077" s="3" t="inlineStr">
        <is>
          <t>4750/000</t>
        </is>
      </c>
      <c r="E9077" s="3" t="inlineStr">
        <is>
          <t>SDL Contribution</t>
        </is>
      </c>
      <c r="F9077" s="3" t="n">
        <v>2391.62</v>
      </c>
      <c r="G9077" s="3" t="n">
        <v>16435.47</v>
      </c>
    </row>
    <row r="9078">
      <c r="A9078" s="3" t="inlineStr">
        <is>
          <t>Noble Shield (Pty) Ltd ta Go Letting</t>
        </is>
      </c>
      <c r="B9078" s="4" t="n">
        <v>44712</v>
      </c>
      <c r="C9078" s="3" t="inlineStr">
        <is>
          <t>Equity</t>
        </is>
      </c>
      <c r="D9078" s="3" t="inlineStr">
        <is>
          <t>5100/000</t>
        </is>
      </c>
      <c r="E9078" s="3" t="inlineStr">
        <is>
          <t>Share Capital</t>
        </is>
      </c>
      <c r="F9078" s="3" t="n">
        <v>0</v>
      </c>
      <c r="G9078" s="3" t="n">
        <v>-1</v>
      </c>
    </row>
    <row r="9079">
      <c r="A9079" s="3" t="inlineStr">
        <is>
          <t>Opportunity Management Holdings (PTY) LTD</t>
        </is>
      </c>
      <c r="B9079" s="4" t="n">
        <v>44712</v>
      </c>
      <c r="C9079" s="3" t="inlineStr">
        <is>
          <t>Equity</t>
        </is>
      </c>
      <c r="D9079" s="3" t="inlineStr">
        <is>
          <t>5100/000</t>
        </is>
      </c>
      <c r="E9079" s="3" t="inlineStr">
        <is>
          <t>Share Capital / Members Contribution</t>
        </is>
      </c>
      <c r="F9079" s="3" t="n">
        <v>0</v>
      </c>
      <c r="G9079" s="3" t="n">
        <v>-120</v>
      </c>
    </row>
    <row r="9080">
      <c r="A9080" s="3" t="inlineStr">
        <is>
          <t>Quinate Consulting (Pty) Ltd</t>
        </is>
      </c>
      <c r="B9080" s="4" t="n">
        <v>44712</v>
      </c>
      <c r="C9080" s="3" t="inlineStr">
        <is>
          <t>Equity</t>
        </is>
      </c>
      <c r="D9080" s="3" t="inlineStr">
        <is>
          <t>5100/000</t>
        </is>
      </c>
      <c r="E9080" s="3" t="inlineStr">
        <is>
          <t>Share Capital / Members Contribution</t>
        </is>
      </c>
      <c r="F9080" s="3" t="n">
        <v>0</v>
      </c>
      <c r="G9080" s="3" t="n">
        <v>-120</v>
      </c>
    </row>
    <row r="9081">
      <c r="A9081" s="3" t="inlineStr">
        <is>
          <t>Trademark Holdings (Pty) Ltd</t>
        </is>
      </c>
      <c r="B9081" s="4" t="n">
        <v>44712</v>
      </c>
      <c r="C9081" s="3" t="inlineStr">
        <is>
          <t>Equity</t>
        </is>
      </c>
      <c r="D9081" s="3" t="inlineStr">
        <is>
          <t>5100/001</t>
        </is>
      </c>
      <c r="E9081" s="3" t="inlineStr">
        <is>
          <t>Share Capital - GFY Investments</t>
        </is>
      </c>
      <c r="F9081" s="3" t="n">
        <v>0</v>
      </c>
      <c r="G9081" s="3" t="n">
        <v>-60</v>
      </c>
    </row>
    <row r="9082">
      <c r="A9082" s="3" t="inlineStr">
        <is>
          <t>Trademark Holdings (Pty) Ltd</t>
        </is>
      </c>
      <c r="B9082" s="4" t="n">
        <v>44712</v>
      </c>
      <c r="C9082" s="3" t="inlineStr">
        <is>
          <t>Equity</t>
        </is>
      </c>
      <c r="D9082" s="3" t="inlineStr">
        <is>
          <t>5100/002</t>
        </is>
      </c>
      <c r="E9082" s="3" t="inlineStr">
        <is>
          <t>Share Capital - Zak Trust</t>
        </is>
      </c>
      <c r="F9082" s="3" t="n">
        <v>0</v>
      </c>
      <c r="G9082" s="3" t="n">
        <v>-60</v>
      </c>
    </row>
    <row r="9083">
      <c r="A9083" s="3" t="inlineStr">
        <is>
          <t>Opportunity Global Investment (PTY) LTD</t>
        </is>
      </c>
      <c r="B9083" s="4" t="n">
        <v>44712</v>
      </c>
      <c r="C9083" s="3" t="inlineStr">
        <is>
          <t>Equity</t>
        </is>
      </c>
      <c r="D9083" s="3" t="inlineStr">
        <is>
          <t>5101/000</t>
        </is>
      </c>
      <c r="E9083" s="3" t="inlineStr">
        <is>
          <t>Share Capital - Ordinary Type A</t>
        </is>
      </c>
      <c r="F9083" s="3" t="n">
        <v>0</v>
      </c>
      <c r="G9083" s="3" t="n">
        <v>-70</v>
      </c>
    </row>
    <row r="9084">
      <c r="A9084" s="3" t="inlineStr">
        <is>
          <t>Opportunity Global Investment (PTY) LTD</t>
        </is>
      </c>
      <c r="B9084" s="4" t="n">
        <v>44712</v>
      </c>
      <c r="C9084" s="3" t="inlineStr">
        <is>
          <t>Equity</t>
        </is>
      </c>
      <c r="D9084" s="3" t="inlineStr">
        <is>
          <t>5102/000</t>
        </is>
      </c>
      <c r="E9084" s="3" t="inlineStr">
        <is>
          <t>Share Capital - Ordinary Type B</t>
        </is>
      </c>
      <c r="F9084" s="3" t="n">
        <v>0</v>
      </c>
      <c r="G9084" s="3" t="n">
        <v>-30</v>
      </c>
    </row>
    <row r="9085">
      <c r="A9085" s="3" t="inlineStr">
        <is>
          <t>Endulini (Pty) Ltd</t>
        </is>
      </c>
      <c r="B9085" s="4" t="n">
        <v>44712</v>
      </c>
      <c r="C9085" s="3" t="inlineStr">
        <is>
          <t>Equity</t>
        </is>
      </c>
      <c r="D9085" s="3" t="inlineStr">
        <is>
          <t>5200/000</t>
        </is>
      </c>
      <c r="E9085" s="3" t="inlineStr">
        <is>
          <t>Retained Earnings / Loss</t>
        </is>
      </c>
      <c r="F9085" s="3" t="n">
        <v>0</v>
      </c>
      <c r="G9085" s="3" t="n">
        <v>-4937860.07</v>
      </c>
    </row>
    <row r="9086">
      <c r="A9086" s="3" t="inlineStr">
        <is>
          <t>Noble Shield (Pty) Ltd ta Go Letting</t>
        </is>
      </c>
      <c r="B9086" s="4" t="n">
        <v>44712</v>
      </c>
      <c r="C9086" s="3" t="inlineStr">
        <is>
          <t>Equity</t>
        </is>
      </c>
      <c r="D9086" s="3" t="inlineStr">
        <is>
          <t>5200/000</t>
        </is>
      </c>
      <c r="E9086" s="3" t="inlineStr">
        <is>
          <t>Retained Earnings / Loss</t>
        </is>
      </c>
      <c r="F9086" s="3" t="n">
        <v>0</v>
      </c>
      <c r="G9086" s="3" t="n">
        <v>-59256.74</v>
      </c>
    </row>
    <row r="9087">
      <c r="A9087" s="3" t="inlineStr">
        <is>
          <t>Opportunity Global Investment (PTY) LTD</t>
        </is>
      </c>
      <c r="B9087" s="4" t="n">
        <v>44712</v>
      </c>
      <c r="C9087" s="3" t="inlineStr">
        <is>
          <t>Equity</t>
        </is>
      </c>
      <c r="D9087" s="3" t="inlineStr">
        <is>
          <t>5200/000</t>
        </is>
      </c>
      <c r="E9087" s="3" t="inlineStr">
        <is>
          <t>Retained Earnings / Loss</t>
        </is>
      </c>
      <c r="F9087" s="3" t="n">
        <v>0</v>
      </c>
      <c r="G9087" s="3" t="n">
        <v>465853.58</v>
      </c>
    </row>
    <row r="9088">
      <c r="A9088" s="3" t="inlineStr">
        <is>
          <t>Opportunity Global Sales (PTY) LTD</t>
        </is>
      </c>
      <c r="B9088" s="4" t="n">
        <v>44712</v>
      </c>
      <c r="C9088" s="3" t="inlineStr">
        <is>
          <t>Equity</t>
        </is>
      </c>
      <c r="D9088" s="3" t="inlineStr">
        <is>
          <t>5200/000</t>
        </is>
      </c>
      <c r="E9088" s="3" t="inlineStr">
        <is>
          <t>Retained Earnings / Loss</t>
        </is>
      </c>
      <c r="F9088" s="3" t="n">
        <v>0</v>
      </c>
      <c r="G9088" s="3" t="n">
        <v>-565683.55</v>
      </c>
    </row>
    <row r="9089">
      <c r="A9089" s="3" t="inlineStr">
        <is>
          <t>Opportunity Management Holdings (PTY) LTD</t>
        </is>
      </c>
      <c r="B9089" s="4" t="n">
        <v>44712</v>
      </c>
      <c r="C9089" s="3" t="inlineStr">
        <is>
          <t>Equity</t>
        </is>
      </c>
      <c r="D9089" s="3" t="inlineStr">
        <is>
          <t>5200/000</t>
        </is>
      </c>
      <c r="E9089" s="3" t="inlineStr">
        <is>
          <t>Retained Earnings / Loss</t>
        </is>
      </c>
      <c r="F9089" s="3" t="n">
        <v>0</v>
      </c>
      <c r="G9089" s="3" t="n">
        <v>1435438.74</v>
      </c>
    </row>
    <row r="9090">
      <c r="A9090" s="3" t="inlineStr">
        <is>
          <t>Quinate Consulting (Pty) Ltd</t>
        </is>
      </c>
      <c r="B9090" s="4" t="n">
        <v>44712</v>
      </c>
      <c r="C9090" s="3" t="inlineStr">
        <is>
          <t>Equity</t>
        </is>
      </c>
      <c r="D9090" s="3" t="inlineStr">
        <is>
          <t>5200/000</t>
        </is>
      </c>
      <c r="E9090" s="3" t="inlineStr">
        <is>
          <t>Retained Earnings / Loss</t>
        </is>
      </c>
      <c r="F9090" s="3" t="n">
        <v>0</v>
      </c>
      <c r="G9090" s="3" t="n">
        <v>571333.3</v>
      </c>
    </row>
    <row r="9091">
      <c r="A9091" s="3" t="inlineStr">
        <is>
          <t>Trademark Holdings (Pty) Ltd</t>
        </is>
      </c>
      <c r="B9091" s="4" t="n">
        <v>44712</v>
      </c>
      <c r="C9091" s="3" t="inlineStr">
        <is>
          <t>Equity</t>
        </is>
      </c>
      <c r="D9091" s="3" t="inlineStr">
        <is>
          <t>5200/000</t>
        </is>
      </c>
      <c r="E9091" s="3" t="inlineStr">
        <is>
          <t>Retained Earnings / Loss</t>
        </is>
      </c>
      <c r="F9091" s="3" t="n">
        <v>0</v>
      </c>
      <c r="G9091" s="3" t="n">
        <v>-150612.02</v>
      </c>
    </row>
    <row r="9092">
      <c r="A9092" s="3" t="inlineStr">
        <is>
          <t>Quinate Consulting (Pty) Ltd</t>
        </is>
      </c>
      <c r="B9092" s="4" t="n">
        <v>44712</v>
      </c>
      <c r="C9092" s="3" t="inlineStr">
        <is>
          <t>Assets</t>
        </is>
      </c>
      <c r="D9092" s="3" t="inlineStr">
        <is>
          <t>5400/011</t>
        </is>
      </c>
      <c r="E9092" s="3" t="inlineStr">
        <is>
          <t>Members Loan - Nick Morgan</t>
        </is>
      </c>
      <c r="F9092" s="3" t="n">
        <v>0</v>
      </c>
      <c r="G9092" s="3" t="n">
        <v>-85743.69</v>
      </c>
    </row>
    <row r="9093">
      <c r="A9093" s="3" t="inlineStr">
        <is>
          <t>Opportunity Management Holdings (PTY) LTD</t>
        </is>
      </c>
      <c r="B9093" s="4" t="n">
        <v>44712</v>
      </c>
      <c r="C9093" s="3" t="inlineStr">
        <is>
          <t>Assets</t>
        </is>
      </c>
      <c r="D9093" s="3" t="inlineStr">
        <is>
          <t>5400/500</t>
        </is>
      </c>
      <c r="E9093" s="3" t="inlineStr">
        <is>
          <t>Shareholder - Zak Loan</t>
        </is>
      </c>
      <c r="F9093" s="3" t="n">
        <v>0</v>
      </c>
      <c r="G9093" s="3" t="n">
        <v>-171798.21</v>
      </c>
    </row>
    <row r="9094">
      <c r="A9094" s="3" t="inlineStr">
        <is>
          <t>Quinate Consulting (Pty) Ltd</t>
        </is>
      </c>
      <c r="B9094" s="4" t="n">
        <v>44712</v>
      </c>
      <c r="C9094" s="3" t="inlineStr">
        <is>
          <t>Liabilities</t>
        </is>
      </c>
      <c r="D9094" s="3" t="inlineStr">
        <is>
          <t>5500/010</t>
        </is>
      </c>
      <c r="E9094" s="3" t="inlineStr">
        <is>
          <t>Loan - Wynand Haywood</t>
        </is>
      </c>
      <c r="F9094" s="3" t="n">
        <v>0</v>
      </c>
      <c r="G9094" s="3" t="n">
        <v>1928.67</v>
      </c>
    </row>
    <row r="9095">
      <c r="A9095" s="3" t="inlineStr">
        <is>
          <t>Opportunity Global Investment (PTY) LTD</t>
        </is>
      </c>
      <c r="B9095" s="4" t="n">
        <v>44712</v>
      </c>
      <c r="C9095" s="3" t="inlineStr">
        <is>
          <t>Liabilities</t>
        </is>
      </c>
      <c r="D9095" s="3" t="inlineStr">
        <is>
          <t>5500/100</t>
        </is>
      </c>
      <c r="E9095" s="3" t="inlineStr">
        <is>
          <t>Loan - Cape Projects Construction</t>
        </is>
      </c>
      <c r="F9095" s="3" t="n">
        <v>115000</v>
      </c>
      <c r="G9095" s="3" t="n">
        <v>323000</v>
      </c>
    </row>
    <row r="9096">
      <c r="A9096" s="3" t="inlineStr">
        <is>
          <t>Noble Shield (Pty) Ltd ta Go Letting</t>
        </is>
      </c>
      <c r="B9096" s="4" t="n">
        <v>44712</v>
      </c>
      <c r="C9096" s="3" t="inlineStr">
        <is>
          <t>Liabilities</t>
        </is>
      </c>
      <c r="D9096" s="3" t="inlineStr">
        <is>
          <t>5500/100</t>
        </is>
      </c>
      <c r="E9096" s="3" t="inlineStr">
        <is>
          <t>Loan - Jupiter Trust</t>
        </is>
      </c>
      <c r="F9096" s="3" t="n">
        <v>0</v>
      </c>
      <c r="G9096" s="3" t="n">
        <v>-100228.75</v>
      </c>
    </row>
    <row r="9097">
      <c r="A9097" s="3" t="inlineStr">
        <is>
          <t>Endulini (Pty) Ltd</t>
        </is>
      </c>
      <c r="B9097" s="4" t="n">
        <v>44712</v>
      </c>
      <c r="C9097" s="3" t="inlineStr">
        <is>
          <t>Liabilities</t>
        </is>
      </c>
      <c r="D9097" s="3" t="inlineStr">
        <is>
          <t>5500/100</t>
        </is>
      </c>
      <c r="E9097" s="3" t="inlineStr">
        <is>
          <t>Loan - Quinate Consulting</t>
        </is>
      </c>
      <c r="F9097" s="3" t="n">
        <v>-281000</v>
      </c>
      <c r="G9097" s="3" t="n">
        <v>-10049761.7</v>
      </c>
    </row>
    <row r="9098">
      <c r="A9098" s="3" t="inlineStr">
        <is>
          <t>Opportunity Global Investment (PTY) LTD</t>
        </is>
      </c>
      <c r="B9098" s="4" t="n">
        <v>44712</v>
      </c>
      <c r="C9098" s="3" t="inlineStr">
        <is>
          <t>Liabilities</t>
        </is>
      </c>
      <c r="D9098" s="3" t="inlineStr">
        <is>
          <t>5500/112</t>
        </is>
      </c>
      <c r="E9098" s="3" t="inlineStr">
        <is>
          <t>Loan - GFY</t>
        </is>
      </c>
      <c r="F9098" s="3" t="n">
        <v>0</v>
      </c>
      <c r="G9098" s="3" t="n">
        <v>-289000</v>
      </c>
    </row>
    <row r="9099">
      <c r="A9099" s="3" t="inlineStr">
        <is>
          <t>Opportunity Management Holdings (PTY) LTD</t>
        </is>
      </c>
      <c r="B9099" s="4" t="n">
        <v>44712</v>
      </c>
      <c r="C9099" s="3" t="inlineStr">
        <is>
          <t>Liabilities</t>
        </is>
      </c>
      <c r="D9099" s="3" t="inlineStr">
        <is>
          <t>5500/150</t>
        </is>
      </c>
      <c r="E9099" s="3" t="inlineStr">
        <is>
          <t>Loan - Opportunity Investments</t>
        </is>
      </c>
      <c r="F9099" s="3" t="n">
        <v>-54550</v>
      </c>
      <c r="G9099" s="3" t="n">
        <v>0</v>
      </c>
    </row>
    <row r="9100">
      <c r="A9100" s="3" t="inlineStr">
        <is>
          <t>Quinate Consulting (Pty) Ltd</t>
        </is>
      </c>
      <c r="B9100" s="4" t="n">
        <v>44712</v>
      </c>
      <c r="C9100" s="3" t="inlineStr">
        <is>
          <t>Liabilities</t>
        </is>
      </c>
      <c r="D9100" s="3" t="inlineStr">
        <is>
          <t>5500/160</t>
        </is>
      </c>
      <c r="E9100" s="3" t="inlineStr">
        <is>
          <t>Loan - GFY Investment and Consulting</t>
        </is>
      </c>
      <c r="F9100" s="3" t="n">
        <v>0</v>
      </c>
      <c r="G9100" s="3" t="n">
        <v>-1750249.93</v>
      </c>
    </row>
    <row r="9101">
      <c r="A9101" s="3" t="inlineStr">
        <is>
          <t>Opportunity Management Holdings (PTY) LTD</t>
        </is>
      </c>
      <c r="B9101" s="4" t="n">
        <v>44712</v>
      </c>
      <c r="C9101" s="3" t="inlineStr">
        <is>
          <t>Liabilities</t>
        </is>
      </c>
      <c r="D9101" s="3" t="inlineStr">
        <is>
          <t>5500/200</t>
        </is>
      </c>
      <c r="E9101" s="3" t="inlineStr">
        <is>
          <t>Loan - Cape Projects</t>
        </is>
      </c>
      <c r="F9101" s="3" t="n">
        <v>-5233.05</v>
      </c>
      <c r="G9101" s="3" t="n">
        <v>50000</v>
      </c>
    </row>
    <row r="9102">
      <c r="A9102" s="3" t="inlineStr">
        <is>
          <t>Endulini (Pty) Ltd</t>
        </is>
      </c>
      <c r="B9102" s="4" t="n">
        <v>44712</v>
      </c>
      <c r="C9102" s="3" t="inlineStr">
        <is>
          <t>Liabilities</t>
        </is>
      </c>
      <c r="D9102" s="3" t="inlineStr">
        <is>
          <t>5500/250</t>
        </is>
      </c>
      <c r="E9102" s="3" t="inlineStr">
        <is>
          <t>Loan - Heron Projects</t>
        </is>
      </c>
      <c r="F9102" s="3" t="n">
        <v>0</v>
      </c>
      <c r="G9102" s="3" t="n">
        <v>4240.63</v>
      </c>
    </row>
    <row r="9103">
      <c r="A9103" s="3" t="inlineStr">
        <is>
          <t>Trademark Holdings (Pty) Ltd</t>
        </is>
      </c>
      <c r="B9103" s="4" t="n">
        <v>44712</v>
      </c>
      <c r="C9103" s="3" t="inlineStr">
        <is>
          <t>Liabilities</t>
        </is>
      </c>
      <c r="D9103" s="3" t="inlineStr">
        <is>
          <t>5500/250</t>
        </is>
      </c>
      <c r="E9103" s="3" t="inlineStr">
        <is>
          <t>Loan - Noble Shield</t>
        </is>
      </c>
      <c r="F9103" s="3" t="n">
        <v>0</v>
      </c>
      <c r="G9103" s="3" t="n">
        <v>83165.59</v>
      </c>
    </row>
    <row r="9104">
      <c r="A9104" s="3" t="inlineStr">
        <is>
          <t>Quinate Consulting (Pty) Ltd</t>
        </is>
      </c>
      <c r="B9104" s="4" t="n">
        <v>44712</v>
      </c>
      <c r="C9104" s="3" t="inlineStr">
        <is>
          <t>Liabilities</t>
        </is>
      </c>
      <c r="D9104" s="3" t="inlineStr">
        <is>
          <t>5500/300</t>
        </is>
      </c>
      <c r="E9104" s="3" t="inlineStr">
        <is>
          <t>Loan - Gengis</t>
        </is>
      </c>
      <c r="F9104" s="3" t="n">
        <v>-1528.77</v>
      </c>
      <c r="G9104" s="3" t="n">
        <v>-269353.43</v>
      </c>
    </row>
    <row r="9105">
      <c r="A9105" s="3" t="inlineStr">
        <is>
          <t>Opportunity Management Holdings (PTY) LTD</t>
        </is>
      </c>
      <c r="B9105" s="4" t="n">
        <v>44712</v>
      </c>
      <c r="C9105" s="3" t="inlineStr">
        <is>
          <t>Liabilities</t>
        </is>
      </c>
      <c r="D9105" s="3" t="inlineStr">
        <is>
          <t>5500/300</t>
        </is>
      </c>
      <c r="E9105" s="3" t="inlineStr">
        <is>
          <t>Loan - Opportunity Prop Management</t>
        </is>
      </c>
      <c r="F9105" s="3" t="n">
        <v>0</v>
      </c>
      <c r="G9105" s="3" t="n">
        <v>-1220204.15</v>
      </c>
    </row>
    <row r="9106">
      <c r="A9106" s="3" t="inlineStr">
        <is>
          <t>Noble Shield (Pty) Ltd ta Go Letting</t>
        </is>
      </c>
      <c r="B9106" s="4" t="n">
        <v>44712</v>
      </c>
      <c r="C9106" s="3" t="inlineStr">
        <is>
          <t>Liabilities</t>
        </is>
      </c>
      <c r="D9106" s="3" t="inlineStr">
        <is>
          <t>5500/300</t>
        </is>
      </c>
      <c r="E9106" s="3" t="inlineStr">
        <is>
          <t>Loan - Trademark Holdings</t>
        </is>
      </c>
      <c r="F9106" s="3" t="n">
        <v>0</v>
      </c>
      <c r="G9106" s="3" t="n">
        <v>-83165.59</v>
      </c>
    </row>
    <row r="9107">
      <c r="A9107" s="3" t="inlineStr">
        <is>
          <t>Opportunity Global Investment (PTY) LTD</t>
        </is>
      </c>
      <c r="B9107" s="4" t="n">
        <v>44712</v>
      </c>
      <c r="C9107" s="3" t="inlineStr">
        <is>
          <t>Liabilities</t>
        </is>
      </c>
      <c r="D9107" s="3" t="inlineStr">
        <is>
          <t>5500/350</t>
        </is>
      </c>
      <c r="E9107" s="3" t="inlineStr">
        <is>
          <t>Loan - Opportunity Management Holdings</t>
        </is>
      </c>
      <c r="F9107" s="3" t="n">
        <v>54550</v>
      </c>
      <c r="G9107" s="3" t="n">
        <v>0</v>
      </c>
    </row>
    <row r="9108">
      <c r="A9108" s="3" t="inlineStr">
        <is>
          <t>Trademark Holdings (Pty) Ltd</t>
        </is>
      </c>
      <c r="B9108" s="4" t="n">
        <v>44712</v>
      </c>
      <c r="C9108" s="3" t="inlineStr">
        <is>
          <t>Liabilities</t>
        </is>
      </c>
      <c r="D9108" s="3" t="inlineStr">
        <is>
          <t>5500/350</t>
        </is>
      </c>
      <c r="E9108" s="3" t="inlineStr">
        <is>
          <t>Loan - Quinate Consulting</t>
        </is>
      </c>
      <c r="F9108" s="3" t="n">
        <v>0</v>
      </c>
      <c r="G9108" s="3" t="n">
        <v>18635</v>
      </c>
    </row>
    <row r="9109">
      <c r="A9109" s="3" t="inlineStr">
        <is>
          <t>Trademark Holdings (Pty) Ltd</t>
        </is>
      </c>
      <c r="B9109" s="4" t="n">
        <v>44712</v>
      </c>
      <c r="C9109" s="3" t="inlineStr">
        <is>
          <t>Liabilities</t>
        </is>
      </c>
      <c r="D9109" s="3" t="inlineStr">
        <is>
          <t>5500/375</t>
        </is>
      </c>
      <c r="E9109" s="3" t="inlineStr">
        <is>
          <t>Loan - Opportunity Management Holdings Pty Ltd</t>
        </is>
      </c>
      <c r="F9109" s="3" t="n">
        <v>-27125</v>
      </c>
      <c r="G9109" s="3" t="n">
        <v>-27125</v>
      </c>
    </row>
    <row r="9110">
      <c r="A9110" s="3" t="inlineStr">
        <is>
          <t>Trademark Holdings (Pty) Ltd</t>
        </is>
      </c>
      <c r="B9110" s="4" t="n">
        <v>44712</v>
      </c>
      <c r="C9110" s="3" t="inlineStr">
        <is>
          <t>Liabilities</t>
        </is>
      </c>
      <c r="D9110" s="3" t="inlineStr">
        <is>
          <t>5500/450</t>
        </is>
      </c>
      <c r="E9110" s="3" t="inlineStr">
        <is>
          <t>Loan - Cape Projects Construction</t>
        </is>
      </c>
      <c r="F9110" s="3" t="n">
        <v>600</v>
      </c>
      <c r="G9110" s="3" t="n">
        <v>0</v>
      </c>
    </row>
    <row r="9111">
      <c r="A9111" s="3" t="inlineStr">
        <is>
          <t>Trademark Holdings (Pty) Ltd</t>
        </is>
      </c>
      <c r="B9111" s="4" t="n">
        <v>44712</v>
      </c>
      <c r="C9111" s="3" t="inlineStr">
        <is>
          <t>Liabilities</t>
        </is>
      </c>
      <c r="D9111" s="3" t="inlineStr">
        <is>
          <t>5500/500</t>
        </is>
      </c>
      <c r="E9111" s="3" t="inlineStr">
        <is>
          <t>Go Letting Brand Name</t>
        </is>
      </c>
      <c r="F9111" s="3" t="n">
        <v>0</v>
      </c>
      <c r="G9111" s="3" t="n">
        <v>93420</v>
      </c>
    </row>
    <row r="9112">
      <c r="A9112" s="3" t="inlineStr">
        <is>
          <t>Noble Shield (Pty) Ltd ta Go Letting</t>
        </is>
      </c>
      <c r="B9112" s="4" t="n">
        <v>44712</v>
      </c>
      <c r="C9112" s="3" t="inlineStr">
        <is>
          <t>Liabilities</t>
        </is>
      </c>
      <c r="D9112" s="3" t="inlineStr">
        <is>
          <t>5500/500</t>
        </is>
      </c>
      <c r="E9112" s="3" t="inlineStr">
        <is>
          <t>Loan - Cape Projects Construction</t>
        </is>
      </c>
      <c r="F9112" s="3" t="n">
        <v>600</v>
      </c>
      <c r="G9112" s="3" t="n">
        <v>0</v>
      </c>
    </row>
    <row r="9113">
      <c r="A9113" s="3" t="inlineStr">
        <is>
          <t>Quinate Consulting (Pty) Ltd</t>
        </is>
      </c>
      <c r="B9113" s="4" t="n">
        <v>44712</v>
      </c>
      <c r="C9113" s="3" t="inlineStr">
        <is>
          <t>Liabilities</t>
        </is>
      </c>
      <c r="D9113" s="3" t="inlineStr">
        <is>
          <t>5500/500</t>
        </is>
      </c>
      <c r="E9113" s="3" t="inlineStr">
        <is>
          <t>Loan - Opportunity Development Struct.</t>
        </is>
      </c>
      <c r="F9113" s="3" t="n">
        <v>0</v>
      </c>
      <c r="G9113" s="3" t="n">
        <v>-2380000</v>
      </c>
    </row>
    <row r="9114">
      <c r="A9114" s="3" t="inlineStr">
        <is>
          <t>Opportunity Management Holdings (PTY) LTD</t>
        </is>
      </c>
      <c r="B9114" s="4" t="n">
        <v>44712</v>
      </c>
      <c r="C9114" s="3" t="inlineStr">
        <is>
          <t>Liabilities</t>
        </is>
      </c>
      <c r="D9114" s="3" t="inlineStr">
        <is>
          <t>5500/500</t>
        </is>
      </c>
      <c r="E9114" s="3" t="inlineStr">
        <is>
          <t>Loan - Opportunity Tradermark Holdings</t>
        </is>
      </c>
      <c r="F9114" s="3" t="n">
        <v>27125</v>
      </c>
      <c r="G9114" s="3" t="n">
        <v>27125</v>
      </c>
    </row>
    <row r="9115">
      <c r="A9115" s="3" t="inlineStr">
        <is>
          <t>Quinate Consulting (Pty) Ltd</t>
        </is>
      </c>
      <c r="B9115" s="4" t="n">
        <v>44712</v>
      </c>
      <c r="C9115" s="3" t="inlineStr">
        <is>
          <t>Liabilities</t>
        </is>
      </c>
      <c r="D9115" s="3" t="inlineStr">
        <is>
          <t>5500/520</t>
        </is>
      </c>
      <c r="E9115" s="3" t="inlineStr">
        <is>
          <t>Loan - Opportunity Management Holdings</t>
        </is>
      </c>
      <c r="F9115" s="3" t="n">
        <v>0</v>
      </c>
      <c r="G9115" s="3" t="n">
        <v>-3900</v>
      </c>
    </row>
    <row r="9116">
      <c r="A9116" s="3" t="inlineStr">
        <is>
          <t>Opportunity Global Investment (PTY) LTD</t>
        </is>
      </c>
      <c r="B9116" s="4" t="n">
        <v>44712</v>
      </c>
      <c r="C9116" s="3" t="inlineStr">
        <is>
          <t>Liabilities</t>
        </is>
      </c>
      <c r="D9116" s="3" t="inlineStr">
        <is>
          <t>5500/650</t>
        </is>
      </c>
      <c r="E9116" s="3" t="inlineStr">
        <is>
          <t>Loan - Opportunit Global - Sales</t>
        </is>
      </c>
      <c r="F9116" s="3" t="n">
        <v>-342423.98</v>
      </c>
      <c r="G9116" s="3" t="n">
        <v>-1066235.04</v>
      </c>
    </row>
    <row r="9117">
      <c r="A9117" s="3" t="inlineStr">
        <is>
          <t>Opportunity Global Sales (PTY) LTD</t>
        </is>
      </c>
      <c r="B9117" s="4" t="n">
        <v>44712</v>
      </c>
      <c r="C9117" s="3" t="inlineStr">
        <is>
          <t>Liabilities</t>
        </is>
      </c>
      <c r="D9117" s="3" t="inlineStr">
        <is>
          <t>5500/650</t>
        </is>
      </c>
      <c r="E9117" s="3" t="inlineStr">
        <is>
          <t>Loan - Opportunity Investments</t>
        </is>
      </c>
      <c r="F9117" s="3" t="n">
        <v>342423.98</v>
      </c>
      <c r="G9117" s="3" t="n">
        <v>1066235.04</v>
      </c>
    </row>
    <row r="9118">
      <c r="A9118" s="3" t="inlineStr">
        <is>
          <t>Opportunity Management Holdings (PTY) LTD</t>
        </is>
      </c>
      <c r="B9118" s="4" t="n">
        <v>44712</v>
      </c>
      <c r="C9118" s="3" t="inlineStr">
        <is>
          <t>Liabilities</t>
        </is>
      </c>
      <c r="D9118" s="3" t="inlineStr">
        <is>
          <t>5500/700</t>
        </is>
      </c>
      <c r="E9118" s="3" t="inlineStr">
        <is>
          <t>Loan - Go Letting</t>
        </is>
      </c>
      <c r="F9118" s="3" t="n">
        <v>0</v>
      </c>
      <c r="G9118" s="3" t="n">
        <v>-120</v>
      </c>
    </row>
    <row r="9119">
      <c r="A9119" s="3" t="inlineStr">
        <is>
          <t>Quinate Consulting (Pty) Ltd</t>
        </is>
      </c>
      <c r="B9119" s="4" t="n">
        <v>44712</v>
      </c>
      <c r="C9119" s="3" t="inlineStr">
        <is>
          <t>Liabilities</t>
        </is>
      </c>
      <c r="D9119" s="3" t="inlineStr">
        <is>
          <t>5500/700</t>
        </is>
      </c>
      <c r="E9119" s="3" t="inlineStr">
        <is>
          <t>Loan - Trademark Holdings</t>
        </is>
      </c>
      <c r="F9119" s="3" t="n">
        <v>0</v>
      </c>
      <c r="G9119" s="3" t="n">
        <v>-18635</v>
      </c>
    </row>
    <row r="9120">
      <c r="A9120" s="3" t="inlineStr">
        <is>
          <t>Opportunity Global Investment (PTY) LTD</t>
        </is>
      </c>
      <c r="B9120" s="4" t="n">
        <v>44712</v>
      </c>
      <c r="C9120" s="3" t="inlineStr">
        <is>
          <t>Liabilities</t>
        </is>
      </c>
      <c r="D9120" s="3" t="inlineStr">
        <is>
          <t>5500/850</t>
        </is>
      </c>
      <c r="E9120" s="3" t="inlineStr">
        <is>
          <t>Loan - Nick Morgan</t>
        </is>
      </c>
      <c r="F9120" s="3" t="n">
        <v>0</v>
      </c>
      <c r="G9120" s="3" t="n">
        <v>4100</v>
      </c>
    </row>
    <row r="9121">
      <c r="A9121" s="3" t="inlineStr">
        <is>
          <t>Opportunity Global Investment (PTY) LTD</t>
        </is>
      </c>
      <c r="B9121" s="4" t="n">
        <v>44712</v>
      </c>
      <c r="C9121" s="3" t="inlineStr">
        <is>
          <t>Liabilities</t>
        </is>
      </c>
      <c r="D9121" s="3" t="inlineStr">
        <is>
          <t>5500/950</t>
        </is>
      </c>
      <c r="E9121" s="3" t="inlineStr">
        <is>
          <t>Loan - Gengis</t>
        </is>
      </c>
      <c r="F9121" s="3" t="n">
        <v>0</v>
      </c>
      <c r="G9121" s="3" t="n">
        <v>-120000</v>
      </c>
    </row>
    <row r="9122">
      <c r="A9122" s="3" t="inlineStr">
        <is>
          <t>Opportunity Global Sales (PTY) LTD</t>
        </is>
      </c>
      <c r="B9122" s="4" t="n">
        <v>44712</v>
      </c>
      <c r="C9122" s="3" t="inlineStr">
        <is>
          <t>Liabilities</t>
        </is>
      </c>
      <c r="D9122" s="3" t="inlineStr">
        <is>
          <t>5500/992</t>
        </is>
      </c>
      <c r="E9122" s="3" t="inlineStr">
        <is>
          <t>Loan - Anthony Commission</t>
        </is>
      </c>
      <c r="F9122" s="3" t="n">
        <v>-15000</v>
      </c>
      <c r="G9122" s="3" t="n">
        <v>0</v>
      </c>
    </row>
    <row r="9123">
      <c r="A9123" s="3" t="inlineStr">
        <is>
          <t>Quinate Consulting (Pty) Ltd</t>
        </is>
      </c>
      <c r="B9123" s="4" t="n">
        <v>44712</v>
      </c>
      <c r="C9123" s="3" t="inlineStr">
        <is>
          <t>Liabilities</t>
        </is>
      </c>
      <c r="D9123" s="3" t="inlineStr">
        <is>
          <t>5501/001</t>
        </is>
      </c>
      <c r="E9123" s="3" t="inlineStr">
        <is>
          <t>Loan - Endulini CIP Costs</t>
        </is>
      </c>
      <c r="F9123" s="3" t="n">
        <v>-39000</v>
      </c>
      <c r="G9123" s="3" t="n">
        <v>9729761.699999999</v>
      </c>
    </row>
    <row r="9124">
      <c r="A9124" s="3" t="inlineStr">
        <is>
          <t>Opportunity Management Holdings (PTY) LTD</t>
        </is>
      </c>
      <c r="B9124" s="4" t="n">
        <v>44712</v>
      </c>
      <c r="C9124" s="3" t="inlineStr">
        <is>
          <t>Liabilities</t>
        </is>
      </c>
      <c r="D9124" s="3" t="inlineStr">
        <is>
          <t>5510/100</t>
        </is>
      </c>
      <c r="E9124" s="3" t="inlineStr">
        <is>
          <t>Staff loan - Debbie Landsberg</t>
        </is>
      </c>
      <c r="F9124" s="3" t="n">
        <v>0</v>
      </c>
      <c r="G9124" s="3" t="n">
        <v>14400</v>
      </c>
    </row>
    <row r="9125">
      <c r="A9125" s="3" t="inlineStr">
        <is>
          <t>Noble Shield (Pty) Ltd ta Go Letting</t>
        </is>
      </c>
      <c r="B9125" s="4" t="n">
        <v>44712</v>
      </c>
      <c r="C9125" s="3" t="inlineStr">
        <is>
          <t>Assets</t>
        </is>
      </c>
      <c r="D9125" s="3" t="inlineStr">
        <is>
          <t>6250/010</t>
        </is>
      </c>
      <c r="E9125" s="3" t="inlineStr">
        <is>
          <t>Computer Equipment - @ Cost</t>
        </is>
      </c>
      <c r="F9125" s="3" t="n">
        <v>0</v>
      </c>
      <c r="G9125" s="3" t="n">
        <v>20397</v>
      </c>
    </row>
    <row r="9126">
      <c r="A9126" s="3" t="inlineStr">
        <is>
          <t>Opportunity Management Holdings (PTY) LTD</t>
        </is>
      </c>
      <c r="B9126" s="4" t="n">
        <v>44712</v>
      </c>
      <c r="C9126" s="3" t="inlineStr">
        <is>
          <t>Assets</t>
        </is>
      </c>
      <c r="D9126" s="3" t="inlineStr">
        <is>
          <t>6250/010</t>
        </is>
      </c>
      <c r="E9126" s="3" t="inlineStr">
        <is>
          <t>Computer Equipment - @ Cost</t>
        </is>
      </c>
      <c r="F9126" s="3" t="n">
        <v>9998.75</v>
      </c>
      <c r="G9126" s="3" t="n">
        <v>24910.15</v>
      </c>
    </row>
    <row r="9127">
      <c r="A9127" s="3" t="inlineStr">
        <is>
          <t>Quinate Consulting (Pty) Ltd</t>
        </is>
      </c>
      <c r="B9127" s="4" t="n">
        <v>44712</v>
      </c>
      <c r="C9127" s="3" t="inlineStr">
        <is>
          <t>Assets</t>
        </is>
      </c>
      <c r="D9127" s="3" t="inlineStr">
        <is>
          <t>6250/010</t>
        </is>
      </c>
      <c r="E9127" s="3" t="inlineStr">
        <is>
          <t>Computer Equipment - @ Cost</t>
        </is>
      </c>
      <c r="F9127" s="3" t="n">
        <v>0</v>
      </c>
      <c r="G9127" s="3" t="n">
        <v>137059.7</v>
      </c>
    </row>
    <row r="9128">
      <c r="A9128" s="3" t="inlineStr">
        <is>
          <t>Noble Shield (Pty) Ltd ta Go Letting</t>
        </is>
      </c>
      <c r="B9128" s="4" t="n">
        <v>44712</v>
      </c>
      <c r="C9128" s="3" t="inlineStr">
        <is>
          <t>Assets</t>
        </is>
      </c>
      <c r="D9128" s="3" t="inlineStr">
        <is>
          <t>6250/020</t>
        </is>
      </c>
      <c r="E9128" s="3" t="inlineStr">
        <is>
          <t>Computer Equipment - Accum Depre</t>
        </is>
      </c>
      <c r="F9128" s="3" t="n">
        <v>0</v>
      </c>
      <c r="G9128" s="3" t="n">
        <v>-9498</v>
      </c>
    </row>
    <row r="9129">
      <c r="A9129" s="3" t="inlineStr">
        <is>
          <t>Opportunity Management Holdings (PTY) LTD</t>
        </is>
      </c>
      <c r="B9129" s="4" t="n">
        <v>44712</v>
      </c>
      <c r="C9129" s="3" t="inlineStr">
        <is>
          <t>Assets</t>
        </is>
      </c>
      <c r="D9129" s="3" t="inlineStr">
        <is>
          <t>6250/020</t>
        </is>
      </c>
      <c r="E9129" s="3" t="inlineStr">
        <is>
          <t>Computer Equipment - Accum Depre</t>
        </is>
      </c>
      <c r="F9129" s="3" t="n">
        <v>-277.74</v>
      </c>
      <c r="G9129" s="3" t="n">
        <v>-277.74</v>
      </c>
    </row>
    <row r="9130">
      <c r="A9130" s="3" t="inlineStr">
        <is>
          <t>Quinate Consulting (Pty) Ltd</t>
        </is>
      </c>
      <c r="B9130" s="4" t="n">
        <v>44712</v>
      </c>
      <c r="C9130" s="3" t="inlineStr">
        <is>
          <t>Assets</t>
        </is>
      </c>
      <c r="D9130" s="3" t="inlineStr">
        <is>
          <t>6250/020</t>
        </is>
      </c>
      <c r="E9130" s="3" t="inlineStr">
        <is>
          <t>Computer Equipment - Accum Depre</t>
        </is>
      </c>
      <c r="F9130" s="3" t="n">
        <v>-3141.38</v>
      </c>
      <c r="G9130" s="3" t="n">
        <v>-71720.83</v>
      </c>
    </row>
    <row r="9131">
      <c r="A9131" s="3" t="inlineStr">
        <is>
          <t>Opportunity Management Holdings (PTY) LTD</t>
        </is>
      </c>
      <c r="B9131" s="4" t="n">
        <v>44712</v>
      </c>
      <c r="C9131" s="3" t="inlineStr">
        <is>
          <t>Assets</t>
        </is>
      </c>
      <c r="D9131" s="3" t="inlineStr">
        <is>
          <t>6250/030</t>
        </is>
      </c>
      <c r="E9131" s="3" t="inlineStr">
        <is>
          <t>Acc Depreciation - Computer Equipment</t>
        </is>
      </c>
      <c r="F9131" s="3" t="n">
        <v>0</v>
      </c>
      <c r="G9131" s="3" t="n">
        <v>-9441.25</v>
      </c>
    </row>
    <row r="9132">
      <c r="A9132" s="3" t="inlineStr">
        <is>
          <t>Quinate Consulting (Pty) Ltd</t>
        </is>
      </c>
      <c r="B9132" s="4" t="n">
        <v>44712</v>
      </c>
      <c r="C9132" s="3" t="inlineStr">
        <is>
          <t>Assets</t>
        </is>
      </c>
      <c r="D9132" s="3" t="inlineStr">
        <is>
          <t>6270/010</t>
        </is>
      </c>
      <c r="E9132" s="3" t="inlineStr">
        <is>
          <t>Site Containers - @ Cost</t>
        </is>
      </c>
      <c r="F9132" s="3" t="n">
        <v>0</v>
      </c>
      <c r="G9132" s="3" t="n">
        <v>19130.44</v>
      </c>
    </row>
    <row r="9133">
      <c r="A9133" s="3" t="inlineStr">
        <is>
          <t>Quinate Consulting (Pty) Ltd</t>
        </is>
      </c>
      <c r="B9133" s="4" t="n">
        <v>44712</v>
      </c>
      <c r="C9133" s="3" t="inlineStr">
        <is>
          <t>Assets</t>
        </is>
      </c>
      <c r="D9133" s="3" t="inlineStr">
        <is>
          <t>6270/020</t>
        </is>
      </c>
      <c r="E9133" s="3" t="inlineStr">
        <is>
          <t>Site Containers - Accum Depre</t>
        </is>
      </c>
      <c r="F9133" s="3" t="n">
        <v>-318.84</v>
      </c>
      <c r="G9133" s="3" t="n">
        <v>-4782.6</v>
      </c>
    </row>
    <row r="9134">
      <c r="A9134" s="3" t="inlineStr">
        <is>
          <t>Noble Shield (Pty) Ltd ta Go Letting</t>
        </is>
      </c>
      <c r="B9134" s="4" t="n">
        <v>44712</v>
      </c>
      <c r="C9134" s="3" t="inlineStr">
        <is>
          <t>Assets</t>
        </is>
      </c>
      <c r="D9134" s="3" t="inlineStr">
        <is>
          <t>6350/010</t>
        </is>
      </c>
      <c r="E9134" s="3" t="inlineStr">
        <is>
          <t>Furniture _AND_ Fittings - @ Cost</t>
        </is>
      </c>
      <c r="F9134" s="3" t="n">
        <v>0</v>
      </c>
      <c r="G9134" s="3" t="n">
        <v>2242</v>
      </c>
    </row>
    <row r="9135">
      <c r="A9135" s="3" t="inlineStr">
        <is>
          <t>Noble Shield (Pty) Ltd ta Go Letting</t>
        </is>
      </c>
      <c r="B9135" s="4" t="n">
        <v>44712</v>
      </c>
      <c r="C9135" s="3" t="inlineStr">
        <is>
          <t>Assets</t>
        </is>
      </c>
      <c r="D9135" s="3" t="inlineStr">
        <is>
          <t>6350/020</t>
        </is>
      </c>
      <c r="E9135" s="3" t="inlineStr">
        <is>
          <t>Furniture _AND_ Fittings - Accum Depre</t>
        </is>
      </c>
      <c r="F9135" s="3" t="n">
        <v>0</v>
      </c>
      <c r="G9135" s="3" t="n">
        <v>-2239</v>
      </c>
    </row>
    <row r="9136">
      <c r="A9136" s="3" t="inlineStr">
        <is>
          <t>Opportunity Management Holdings (PTY) LTD</t>
        </is>
      </c>
      <c r="B9136" s="4" t="n">
        <v>44712</v>
      </c>
      <c r="C9136" s="3" t="inlineStr">
        <is>
          <t>Liabilities</t>
        </is>
      </c>
      <c r="D9136" s="3" t="inlineStr">
        <is>
          <t>6500/000</t>
        </is>
      </c>
      <c r="E9136" s="3" t="inlineStr">
        <is>
          <t>Deposits - Held</t>
        </is>
      </c>
      <c r="F9136" s="3" t="n">
        <v>0</v>
      </c>
      <c r="G9136" s="3" t="n">
        <v>-12028.1</v>
      </c>
    </row>
    <row r="9137">
      <c r="A9137" s="3" t="inlineStr">
        <is>
          <t>Opportunity Management Holdings (PTY) LTD</t>
        </is>
      </c>
      <c r="B9137" s="4" t="n">
        <v>44712</v>
      </c>
      <c r="C9137" s="3" t="inlineStr">
        <is>
          <t>Liabilities</t>
        </is>
      </c>
      <c r="D9137" s="3" t="inlineStr">
        <is>
          <t>6510/000</t>
        </is>
      </c>
      <c r="E9137" s="3" t="inlineStr">
        <is>
          <t>Deposits Paid - Anicol Properties</t>
        </is>
      </c>
      <c r="F9137" s="3" t="n">
        <v>0</v>
      </c>
      <c r="G9137" s="3" t="n">
        <v>13755</v>
      </c>
    </row>
    <row r="9138">
      <c r="A9138" s="3" t="inlineStr">
        <is>
          <t>Opportunity Management Holdings (PTY) LTD</t>
        </is>
      </c>
      <c r="B9138" s="4" t="n">
        <v>44712</v>
      </c>
      <c r="C9138" s="3" t="inlineStr">
        <is>
          <t>Liabilities</t>
        </is>
      </c>
      <c r="D9138" s="3" t="inlineStr">
        <is>
          <t>6515/000</t>
        </is>
      </c>
      <c r="E9138" s="3" t="inlineStr">
        <is>
          <t>Deposits Paid</t>
        </is>
      </c>
      <c r="F9138" s="3" t="n">
        <v>0</v>
      </c>
      <c r="G9138" s="3" t="n">
        <v>3852.5</v>
      </c>
    </row>
    <row r="9139">
      <c r="A9139" s="3" t="inlineStr">
        <is>
          <t>Quinate Consulting (Pty) Ltd</t>
        </is>
      </c>
      <c r="B9139" s="4" t="n">
        <v>44712</v>
      </c>
      <c r="C9139" s="3" t="inlineStr">
        <is>
          <t>Assets</t>
        </is>
      </c>
      <c r="D9139" s="3" t="inlineStr">
        <is>
          <t>6600/010</t>
        </is>
      </c>
      <c r="E9139" s="3" t="inlineStr">
        <is>
          <t>Other Fixed Assets - @ Cost</t>
        </is>
      </c>
      <c r="F9139" s="3" t="n">
        <v>0</v>
      </c>
      <c r="G9139" s="3" t="n">
        <v>14442.5</v>
      </c>
    </row>
    <row r="9140">
      <c r="A9140" s="3" t="inlineStr">
        <is>
          <t>Quinate Consulting (Pty) Ltd</t>
        </is>
      </c>
      <c r="B9140" s="4" t="n">
        <v>44712</v>
      </c>
      <c r="C9140" s="3" t="inlineStr">
        <is>
          <t>Assets</t>
        </is>
      </c>
      <c r="D9140" s="3" t="inlineStr">
        <is>
          <t>6600/020</t>
        </is>
      </c>
      <c r="E9140" s="3" t="inlineStr">
        <is>
          <t>Other Fixed Assets - Accum Depre</t>
        </is>
      </c>
      <c r="F9140" s="3" t="n">
        <v>0</v>
      </c>
      <c r="G9140" s="3" t="n">
        <v>-14441.5</v>
      </c>
    </row>
    <row r="9141">
      <c r="A9141" s="3" t="inlineStr">
        <is>
          <t>Noble Shield (Pty) Ltd ta Go Letting</t>
        </is>
      </c>
      <c r="B9141" s="4" t="n">
        <v>44712</v>
      </c>
      <c r="C9141" s="3" t="inlineStr">
        <is>
          <t>Assets</t>
        </is>
      </c>
      <c r="D9141" s="3" t="inlineStr">
        <is>
          <t>7000/100</t>
        </is>
      </c>
      <c r="E9141" s="3" t="inlineStr">
        <is>
          <t>Goodwill - Purchase of Go Letting</t>
        </is>
      </c>
      <c r="F9141" s="3" t="n">
        <v>0</v>
      </c>
      <c r="G9141" s="3" t="n">
        <v>106580</v>
      </c>
    </row>
    <row r="9142">
      <c r="A9142" s="3" t="inlineStr">
        <is>
          <t>Opportunity Management Holdings (PTY) LTD</t>
        </is>
      </c>
      <c r="B9142" s="4" t="n">
        <v>44712</v>
      </c>
      <c r="C9142" s="3" t="inlineStr">
        <is>
          <t>Assets</t>
        </is>
      </c>
      <c r="D9142" s="3" t="inlineStr">
        <is>
          <t>7200/000</t>
        </is>
      </c>
      <c r="E9142" s="3" t="inlineStr">
        <is>
          <t>Shares in Subsidiary Companies</t>
        </is>
      </c>
      <c r="F9142" s="3" t="n">
        <v>0</v>
      </c>
      <c r="G9142" s="3" t="n">
        <v>120</v>
      </c>
    </row>
    <row r="9143">
      <c r="A9143" s="3" t="inlineStr">
        <is>
          <t>Endulini (Pty) Ltd</t>
        </is>
      </c>
      <c r="B9143" s="4" t="n">
        <v>44712</v>
      </c>
      <c r="C9143" s="3" t="inlineStr">
        <is>
          <t>Assets</t>
        </is>
      </c>
      <c r="D9143" s="3" t="inlineStr">
        <is>
          <t>7610/100</t>
        </is>
      </c>
      <c r="E9143" s="3" t="inlineStr">
        <is>
          <t>Endulini Land</t>
        </is>
      </c>
      <c r="F9143" s="3" t="n">
        <v>0</v>
      </c>
      <c r="G9143" s="3" t="n">
        <v>10572851.37</v>
      </c>
    </row>
    <row r="9144">
      <c r="A9144" s="3" t="inlineStr">
        <is>
          <t>Endulini (Pty) Ltd</t>
        </is>
      </c>
      <c r="B9144" s="4" t="n">
        <v>44712</v>
      </c>
      <c r="C9144" s="3" t="inlineStr">
        <is>
          <t>Assets</t>
        </is>
      </c>
      <c r="D9144" s="3" t="inlineStr">
        <is>
          <t>7610/101</t>
        </is>
      </c>
      <c r="E9144" s="3" t="inlineStr">
        <is>
          <t>Endulini Revaluation of Land stock</t>
        </is>
      </c>
      <c r="F9144" s="3" t="n">
        <v>0</v>
      </c>
      <c r="G9144" s="3" t="n">
        <v>6084085.78</v>
      </c>
    </row>
    <row r="9145">
      <c r="A9145" s="3" t="inlineStr">
        <is>
          <t>Endulini (Pty) Ltd</t>
        </is>
      </c>
      <c r="B9145" s="4" t="n">
        <v>44712</v>
      </c>
      <c r="C9145" s="3" t="inlineStr">
        <is>
          <t>Assets</t>
        </is>
      </c>
      <c r="D9145" s="3" t="inlineStr">
        <is>
          <t>7610/111</t>
        </is>
      </c>
      <c r="E9145" s="3" t="inlineStr">
        <is>
          <t>Endulini Closing Stock February 2021</t>
        </is>
      </c>
      <c r="F9145" s="3" t="n">
        <v>0</v>
      </c>
      <c r="G9145" s="3" t="n">
        <v>15044610.11</v>
      </c>
    </row>
    <row r="9146">
      <c r="A9146" s="3" t="inlineStr">
        <is>
          <t>Endulini (Pty) Ltd</t>
        </is>
      </c>
      <c r="B9146" s="4" t="n">
        <v>44712</v>
      </c>
      <c r="C9146" s="3" t="inlineStr">
        <is>
          <t>Assets</t>
        </is>
      </c>
      <c r="D9146" s="3" t="inlineStr">
        <is>
          <t>7610/180</t>
        </is>
      </c>
      <c r="E9146" s="3" t="inlineStr">
        <is>
          <t>Endulini CIP Architects</t>
        </is>
      </c>
      <c r="F9146" s="3" t="n">
        <v>0</v>
      </c>
      <c r="G9146" s="3" t="n">
        <v>519874</v>
      </c>
    </row>
    <row r="9147">
      <c r="A9147" s="3" t="inlineStr">
        <is>
          <t>Endulini (Pty) Ltd</t>
        </is>
      </c>
      <c r="B9147" s="4" t="n">
        <v>44712</v>
      </c>
      <c r="C9147" s="3" t="inlineStr">
        <is>
          <t>Assets</t>
        </is>
      </c>
      <c r="D9147" s="3" t="inlineStr">
        <is>
          <t>7610/200</t>
        </is>
      </c>
      <c r="E9147" s="3" t="inlineStr">
        <is>
          <t>Endulini CIP CoCT Land Use App</t>
        </is>
      </c>
      <c r="F9147" s="3" t="n">
        <v>0</v>
      </c>
      <c r="G9147" s="3" t="n">
        <v>232891.06</v>
      </c>
    </row>
    <row r="9148">
      <c r="A9148" s="3" t="inlineStr">
        <is>
          <t>Endulini (Pty) Ltd</t>
        </is>
      </c>
      <c r="B9148" s="4" t="n">
        <v>44712</v>
      </c>
      <c r="C9148" s="3" t="inlineStr">
        <is>
          <t>Assets</t>
        </is>
      </c>
      <c r="D9148" s="3" t="inlineStr">
        <is>
          <t>7610/205</t>
        </is>
      </c>
      <c r="E9148" s="3" t="inlineStr">
        <is>
          <t>Endulini CIP Site Establishments</t>
        </is>
      </c>
      <c r="F9148" s="3" t="n">
        <v>2716131.82</v>
      </c>
      <c r="G9148" s="3" t="n">
        <v>30633272.33</v>
      </c>
    </row>
    <row r="9149">
      <c r="A9149" s="3" t="inlineStr">
        <is>
          <t>Endulini (Pty) Ltd</t>
        </is>
      </c>
      <c r="B9149" s="4" t="n">
        <v>44712</v>
      </c>
      <c r="C9149" s="3" t="inlineStr">
        <is>
          <t>Assets</t>
        </is>
      </c>
      <c r="D9149" s="3" t="inlineStr">
        <is>
          <t>7610/209</t>
        </is>
      </c>
      <c r="E9149" s="3" t="inlineStr">
        <is>
          <t>Endulini CIP Construction Management</t>
        </is>
      </c>
      <c r="F9149" s="3" t="n">
        <v>15000</v>
      </c>
      <c r="G9149" s="3" t="n">
        <v>170375</v>
      </c>
    </row>
    <row r="9150">
      <c r="A9150" s="3" t="inlineStr">
        <is>
          <t>Endulini (Pty) Ltd</t>
        </is>
      </c>
      <c r="B9150" s="4" t="n">
        <v>44712</v>
      </c>
      <c r="C9150" s="3" t="inlineStr">
        <is>
          <t>Assets</t>
        </is>
      </c>
      <c r="D9150" s="3" t="inlineStr">
        <is>
          <t>7610/210</t>
        </is>
      </c>
      <c r="E9150" s="3" t="inlineStr">
        <is>
          <t>Endulini CIP Civil Works</t>
        </is>
      </c>
      <c r="F9150" s="3" t="n">
        <v>-131839.04</v>
      </c>
      <c r="G9150" s="3" t="n">
        <v>5769985.99</v>
      </c>
    </row>
    <row r="9151">
      <c r="A9151" s="3" t="inlineStr">
        <is>
          <t>Endulini (Pty) Ltd</t>
        </is>
      </c>
      <c r="B9151" s="4" t="n">
        <v>44712</v>
      </c>
      <c r="C9151" s="3" t="inlineStr">
        <is>
          <t>Assets</t>
        </is>
      </c>
      <c r="D9151" s="3" t="inlineStr">
        <is>
          <t>7610/215</t>
        </is>
      </c>
      <c r="E9151" s="3" t="inlineStr">
        <is>
          <t>Endulini CIP Civil Engineers</t>
        </is>
      </c>
      <c r="F9151" s="3" t="n">
        <v>0</v>
      </c>
      <c r="G9151" s="3" t="n">
        <v>183000</v>
      </c>
    </row>
    <row r="9152">
      <c r="A9152" s="3" t="inlineStr">
        <is>
          <t>Endulini (Pty) Ltd</t>
        </is>
      </c>
      <c r="B9152" s="4" t="n">
        <v>44712</v>
      </c>
      <c r="C9152" s="3" t="inlineStr">
        <is>
          <t>Assets</t>
        </is>
      </c>
      <c r="D9152" s="3" t="inlineStr">
        <is>
          <t>7610/220</t>
        </is>
      </c>
      <c r="E9152" s="3" t="inlineStr">
        <is>
          <t>Endulini CIP Structuring Project Fee Opp Invest</t>
        </is>
      </c>
      <c r="F9152" s="3" t="n">
        <v>0</v>
      </c>
      <c r="G9152" s="3" t="n">
        <v>483735.96</v>
      </c>
    </row>
    <row r="9153">
      <c r="A9153" s="3" t="inlineStr">
        <is>
          <t>Endulini (Pty) Ltd</t>
        </is>
      </c>
      <c r="B9153" s="4" t="n">
        <v>44712</v>
      </c>
      <c r="C9153" s="3" t="inlineStr">
        <is>
          <t>Assets</t>
        </is>
      </c>
      <c r="D9153" s="3" t="inlineStr">
        <is>
          <t>7610/225</t>
        </is>
      </c>
      <c r="E9153" s="3" t="inlineStr">
        <is>
          <t>Endulini CIP Structural engineering fee</t>
        </is>
      </c>
      <c r="F9153" s="3" t="n">
        <v>0</v>
      </c>
      <c r="G9153" s="3" t="n">
        <v>288645.08</v>
      </c>
    </row>
    <row r="9154">
      <c r="A9154" s="3" t="inlineStr">
        <is>
          <t>Endulini (Pty) Ltd</t>
        </is>
      </c>
      <c r="B9154" s="4" t="n">
        <v>44712</v>
      </c>
      <c r="C9154" s="3" t="inlineStr">
        <is>
          <t>Assets</t>
        </is>
      </c>
      <c r="D9154" s="3" t="inlineStr">
        <is>
          <t>7610/230</t>
        </is>
      </c>
      <c r="E9154" s="3" t="inlineStr">
        <is>
          <t>Endulini CIP Mechanical Engineering</t>
        </is>
      </c>
      <c r="F9154" s="3" t="n">
        <v>0</v>
      </c>
      <c r="G9154" s="3" t="n">
        <v>15570</v>
      </c>
    </row>
    <row r="9155">
      <c r="A9155" s="3" t="inlineStr">
        <is>
          <t>Endulini (Pty) Ltd</t>
        </is>
      </c>
      <c r="B9155" s="4" t="n">
        <v>44712</v>
      </c>
      <c r="C9155" s="3" t="inlineStr">
        <is>
          <t>Assets</t>
        </is>
      </c>
      <c r="D9155" s="3" t="inlineStr">
        <is>
          <t>7610/235</t>
        </is>
      </c>
      <c r="E9155" s="3" t="inlineStr">
        <is>
          <t>Endulini CIP Electrical Installation</t>
        </is>
      </c>
      <c r="F9155" s="3" t="n">
        <v>148843.27</v>
      </c>
      <c r="G9155" s="3" t="n">
        <v>1017315.89</v>
      </c>
    </row>
    <row r="9156">
      <c r="A9156" s="3" t="inlineStr">
        <is>
          <t>Endulini (Pty) Ltd</t>
        </is>
      </c>
      <c r="B9156" s="4" t="n">
        <v>44712</v>
      </c>
      <c r="C9156" s="3" t="inlineStr">
        <is>
          <t>Assets</t>
        </is>
      </c>
      <c r="D9156" s="3" t="inlineStr">
        <is>
          <t>7610/250</t>
        </is>
      </c>
      <c r="E9156" s="3" t="inlineStr">
        <is>
          <t>Endulini CIP Boundary Wall</t>
        </is>
      </c>
      <c r="F9156" s="3" t="n">
        <v>0</v>
      </c>
      <c r="G9156" s="3" t="n">
        <v>88400.8</v>
      </c>
    </row>
    <row r="9157">
      <c r="A9157" s="3" t="inlineStr">
        <is>
          <t>Endulini (Pty) Ltd</t>
        </is>
      </c>
      <c r="B9157" s="4" t="n">
        <v>44712</v>
      </c>
      <c r="C9157" s="3" t="inlineStr">
        <is>
          <t>Assets</t>
        </is>
      </c>
      <c r="D9157" s="3" t="inlineStr">
        <is>
          <t>7610/290</t>
        </is>
      </c>
      <c r="E9157" s="3" t="inlineStr">
        <is>
          <t>Endulini CIP Development Management Fees</t>
        </is>
      </c>
      <c r="F9157" s="3" t="n">
        <v>0</v>
      </c>
      <c r="G9157" s="3" t="n">
        <v>237496.62</v>
      </c>
    </row>
    <row r="9158">
      <c r="A9158" s="3" t="inlineStr">
        <is>
          <t>Endulini (Pty) Ltd</t>
        </is>
      </c>
      <c r="B9158" s="4" t="n">
        <v>44712</v>
      </c>
      <c r="C9158" s="3" t="inlineStr">
        <is>
          <t>Assets</t>
        </is>
      </c>
      <c r="D9158" s="3" t="inlineStr">
        <is>
          <t>7610/310</t>
        </is>
      </c>
      <c r="E9158" s="3" t="inlineStr">
        <is>
          <t>Endulini CIP Enviromental consultants</t>
        </is>
      </c>
      <c r="F9158" s="3" t="n">
        <v>6000</v>
      </c>
      <c r="G9158" s="3" t="n">
        <v>90000</v>
      </c>
    </row>
    <row r="9159">
      <c r="A9159" s="3" t="inlineStr">
        <is>
          <t>Endulini (Pty) Ltd</t>
        </is>
      </c>
      <c r="B9159" s="4" t="n">
        <v>44712</v>
      </c>
      <c r="C9159" s="3" t="inlineStr">
        <is>
          <t>Assets</t>
        </is>
      </c>
      <c r="D9159" s="3" t="inlineStr">
        <is>
          <t>7610/320</t>
        </is>
      </c>
      <c r="E9159" s="3" t="inlineStr">
        <is>
          <t>Endulini CIP Geotechnical</t>
        </is>
      </c>
      <c r="F9159" s="3" t="n">
        <v>0</v>
      </c>
      <c r="G9159" s="3" t="n">
        <v>13575</v>
      </c>
    </row>
    <row r="9160">
      <c r="A9160" s="3" t="inlineStr">
        <is>
          <t>Endulini (Pty) Ltd</t>
        </is>
      </c>
      <c r="B9160" s="4" t="n">
        <v>44712</v>
      </c>
      <c r="C9160" s="3" t="inlineStr">
        <is>
          <t>Assets</t>
        </is>
      </c>
      <c r="D9160" s="3" t="inlineStr">
        <is>
          <t>7610/330</t>
        </is>
      </c>
      <c r="E9160" s="3" t="inlineStr">
        <is>
          <t>Endulini CIP Health and Safety</t>
        </is>
      </c>
      <c r="F9160" s="3" t="n">
        <v>0</v>
      </c>
      <c r="G9160" s="3" t="n">
        <v>28200</v>
      </c>
    </row>
    <row r="9161">
      <c r="A9161" s="3" t="inlineStr">
        <is>
          <t>Endulini (Pty) Ltd</t>
        </is>
      </c>
      <c r="B9161" s="4" t="n">
        <v>44712</v>
      </c>
      <c r="C9161" s="3" t="inlineStr">
        <is>
          <t>Assets</t>
        </is>
      </c>
      <c r="D9161" s="3" t="inlineStr">
        <is>
          <t>7610/390</t>
        </is>
      </c>
      <c r="E9161" s="3" t="inlineStr">
        <is>
          <t>Endulini CIP Land Surveyor</t>
        </is>
      </c>
      <c r="F9161" s="3" t="n">
        <v>0</v>
      </c>
      <c r="G9161" s="3" t="n">
        <v>110823.2</v>
      </c>
    </row>
    <row r="9162">
      <c r="A9162" s="3" t="inlineStr">
        <is>
          <t>Endulini (Pty) Ltd</t>
        </is>
      </c>
      <c r="B9162" s="4" t="n">
        <v>44712</v>
      </c>
      <c r="C9162" s="3" t="inlineStr">
        <is>
          <t>Assets</t>
        </is>
      </c>
      <c r="D9162" s="3" t="inlineStr">
        <is>
          <t>7610/392</t>
        </is>
      </c>
      <c r="E9162" s="3" t="inlineStr">
        <is>
          <t>Endulini CIP Landscaping</t>
        </is>
      </c>
      <c r="F9162" s="3" t="n">
        <v>0</v>
      </c>
      <c r="G9162" s="3" t="n">
        <v>6100</v>
      </c>
    </row>
    <row r="9163">
      <c r="A9163" s="3" t="inlineStr">
        <is>
          <t>Endulini (Pty) Ltd</t>
        </is>
      </c>
      <c r="B9163" s="4" t="n">
        <v>44712</v>
      </c>
      <c r="C9163" s="3" t="inlineStr">
        <is>
          <t>Assets</t>
        </is>
      </c>
      <c r="D9163" s="3" t="inlineStr">
        <is>
          <t>7610/395</t>
        </is>
      </c>
      <c r="E9163" s="3" t="inlineStr">
        <is>
          <t>Endulini CIP NHBRC</t>
        </is>
      </c>
      <c r="F9163" s="3" t="n">
        <v>0</v>
      </c>
      <c r="G9163" s="3" t="n">
        <v>928847.49</v>
      </c>
    </row>
    <row r="9164">
      <c r="A9164" s="3" t="inlineStr">
        <is>
          <t>Endulini (Pty) Ltd</t>
        </is>
      </c>
      <c r="B9164" s="4" t="n">
        <v>44712</v>
      </c>
      <c r="C9164" s="3" t="inlineStr">
        <is>
          <t>Assets</t>
        </is>
      </c>
      <c r="D9164" s="3" t="inlineStr">
        <is>
          <t>7610/400</t>
        </is>
      </c>
      <c r="E9164" s="3" t="inlineStr">
        <is>
          <t>Endulini CIP Quantity Surveyor</t>
        </is>
      </c>
      <c r="F9164" s="3" t="n">
        <v>0</v>
      </c>
      <c r="G9164" s="3" t="n">
        <v>82136.36</v>
      </c>
    </row>
    <row r="9165">
      <c r="A9165" s="3" t="inlineStr">
        <is>
          <t>Endulini (Pty) Ltd</t>
        </is>
      </c>
      <c r="B9165" s="4" t="n">
        <v>44712</v>
      </c>
      <c r="C9165" s="3" t="inlineStr">
        <is>
          <t>Assets</t>
        </is>
      </c>
      <c r="D9165" s="3" t="inlineStr">
        <is>
          <t>7610/600</t>
        </is>
      </c>
      <c r="E9165" s="3" t="inlineStr">
        <is>
          <t>Endulini CIP Town Planning</t>
        </is>
      </c>
      <c r="F9165" s="3" t="n">
        <v>0</v>
      </c>
      <c r="G9165" s="3" t="n">
        <v>21105</v>
      </c>
    </row>
    <row r="9166">
      <c r="A9166" s="3" t="inlineStr">
        <is>
          <t>Endulini (Pty) Ltd</t>
        </is>
      </c>
      <c r="B9166" s="4" t="n">
        <v>44712</v>
      </c>
      <c r="C9166" s="3" t="inlineStr">
        <is>
          <t>Assets</t>
        </is>
      </c>
      <c r="D9166" s="3" t="inlineStr">
        <is>
          <t>7610/620</t>
        </is>
      </c>
      <c r="E9166" s="3" t="inlineStr">
        <is>
          <t>Endulini CIP Traffic Impact</t>
        </is>
      </c>
      <c r="F9166" s="3" t="n">
        <v>0</v>
      </c>
      <c r="G9166" s="3" t="n">
        <v>24915</v>
      </c>
    </row>
    <row r="9167">
      <c r="A9167" s="3" t="inlineStr">
        <is>
          <t>Endulini (Pty) Ltd</t>
        </is>
      </c>
      <c r="B9167" s="4" t="n">
        <v>44712</v>
      </c>
      <c r="C9167" s="3" t="inlineStr">
        <is>
          <t>Assets</t>
        </is>
      </c>
      <c r="D9167" s="3" t="inlineStr">
        <is>
          <t>7610/630</t>
        </is>
      </c>
      <c r="E9167" s="3" t="inlineStr">
        <is>
          <t>Endulini CIP CoCT Development Contributi</t>
        </is>
      </c>
      <c r="F9167" s="3" t="n">
        <v>0</v>
      </c>
      <c r="G9167" s="3" t="n">
        <v>661860.3100000001</v>
      </c>
    </row>
    <row r="9168">
      <c r="A9168" s="3" t="inlineStr">
        <is>
          <t>Endulini (Pty) Ltd</t>
        </is>
      </c>
      <c r="B9168" s="4" t="n">
        <v>44712</v>
      </c>
      <c r="C9168" s="3" t="inlineStr">
        <is>
          <t>Assets</t>
        </is>
      </c>
      <c r="D9168" s="3" t="inlineStr">
        <is>
          <t>7610/640</t>
        </is>
      </c>
      <c r="E9168" s="3" t="inlineStr">
        <is>
          <t>Endulini CIP CoCT Building plan application</t>
        </is>
      </c>
      <c r="F9168" s="3" t="n">
        <v>0</v>
      </c>
      <c r="G9168" s="3" t="n">
        <v>111203.22</v>
      </c>
    </row>
    <row r="9169">
      <c r="A9169" s="3" t="inlineStr">
        <is>
          <t>Quinate Consulting (Pty) Ltd</t>
        </is>
      </c>
      <c r="B9169" s="4" t="n">
        <v>44712</v>
      </c>
      <c r="C9169" s="3" t="inlineStr">
        <is>
          <t>Assets</t>
        </is>
      </c>
      <c r="D9169" s="3" t="inlineStr">
        <is>
          <t>7800/104</t>
        </is>
      </c>
      <c r="E9169" s="3" t="inlineStr">
        <is>
          <t>Stock - Closing Stock SW - 28 Feb 21</t>
        </is>
      </c>
      <c r="F9169" s="3" t="n">
        <v>0</v>
      </c>
      <c r="G9169" s="3" t="n">
        <v>2874478.88</v>
      </c>
    </row>
    <row r="9170">
      <c r="A9170" s="3" t="inlineStr">
        <is>
          <t>Quinate Consulting (Pty) Ltd</t>
        </is>
      </c>
      <c r="B9170" s="4" t="n">
        <v>44712</v>
      </c>
      <c r="C9170" s="3" t="inlineStr">
        <is>
          <t>Assets</t>
        </is>
      </c>
      <c r="D9170" s="3" t="inlineStr">
        <is>
          <t>7800/105</t>
        </is>
      </c>
      <c r="E9170" s="3" t="inlineStr">
        <is>
          <t>Stock - Closing Stock SH - 28 Feb 21</t>
        </is>
      </c>
      <c r="F9170" s="3" t="n">
        <v>0</v>
      </c>
      <c r="G9170" s="3" t="n">
        <v>2843477.6</v>
      </c>
    </row>
    <row r="9171">
      <c r="A9171" s="3" t="inlineStr">
        <is>
          <t>Endulini (Pty) Ltd</t>
        </is>
      </c>
      <c r="B9171" s="4" t="n">
        <v>44712</v>
      </c>
      <c r="C9171" s="3" t="inlineStr">
        <is>
          <t>Assets</t>
        </is>
      </c>
      <c r="D9171" s="3" t="inlineStr">
        <is>
          <t>8000/000</t>
        </is>
      </c>
      <c r="E9171" s="3" t="inlineStr">
        <is>
          <t>Customer Control Account</t>
        </is>
      </c>
      <c r="F9171" s="3" t="n">
        <v>246595.09</v>
      </c>
      <c r="G9171" s="3" t="n">
        <v>246595.09</v>
      </c>
    </row>
    <row r="9172">
      <c r="A9172" s="3" t="inlineStr">
        <is>
          <t>Noble Shield (Pty) Ltd ta Go Letting</t>
        </is>
      </c>
      <c r="B9172" s="4" t="n">
        <v>44712</v>
      </c>
      <c r="C9172" s="3" t="inlineStr">
        <is>
          <t>Assets</t>
        </is>
      </c>
      <c r="D9172" s="3" t="inlineStr">
        <is>
          <t>8000/000</t>
        </is>
      </c>
      <c r="E9172" s="3" t="inlineStr">
        <is>
          <t>Customer Control Account</t>
        </is>
      </c>
      <c r="F9172" s="3" t="n">
        <v>0</v>
      </c>
      <c r="G9172" s="3" t="n">
        <v>60289.32</v>
      </c>
    </row>
    <row r="9173">
      <c r="A9173" s="3" t="inlineStr">
        <is>
          <t>Opportunity Global Sales (PTY) LTD</t>
        </is>
      </c>
      <c r="B9173" s="4" t="n">
        <v>44712</v>
      </c>
      <c r="C9173" s="3" t="inlineStr">
        <is>
          <t>Assets</t>
        </is>
      </c>
      <c r="D9173" s="3" t="inlineStr">
        <is>
          <t>8000/000</t>
        </is>
      </c>
      <c r="E9173" s="3" t="inlineStr">
        <is>
          <t>Customer Control Account</t>
        </is>
      </c>
      <c r="F9173" s="3" t="n">
        <v>181164.52</v>
      </c>
      <c r="G9173" s="3" t="n">
        <v>220221.38</v>
      </c>
    </row>
    <row r="9174">
      <c r="A9174" s="3" t="inlineStr">
        <is>
          <t>Opportunity Management Holdings (PTY) LTD</t>
        </is>
      </c>
      <c r="B9174" s="4" t="n">
        <v>44712</v>
      </c>
      <c r="C9174" s="3" t="inlineStr">
        <is>
          <t>Assets</t>
        </is>
      </c>
      <c r="D9174" s="3" t="inlineStr">
        <is>
          <t>8000/000</t>
        </is>
      </c>
      <c r="E9174" s="3" t="inlineStr">
        <is>
          <t>Customer Control Account</t>
        </is>
      </c>
      <c r="F9174" s="3" t="n">
        <v>13198.99</v>
      </c>
      <c r="G9174" s="3" t="n">
        <v>15191.26</v>
      </c>
    </row>
    <row r="9175">
      <c r="A9175" s="3" t="inlineStr">
        <is>
          <t>Quinate Consulting (Pty) Ltd</t>
        </is>
      </c>
      <c r="B9175" s="4" t="n">
        <v>44712</v>
      </c>
      <c r="C9175" s="3" t="inlineStr">
        <is>
          <t>Assets</t>
        </is>
      </c>
      <c r="D9175" s="3" t="inlineStr">
        <is>
          <t>8000/000</t>
        </is>
      </c>
      <c r="E9175" s="3" t="inlineStr">
        <is>
          <t>Customer Control Account</t>
        </is>
      </c>
      <c r="F9175" s="3" t="n">
        <v>17100</v>
      </c>
      <c r="G9175" s="3" t="n">
        <v>19262.16</v>
      </c>
    </row>
    <row r="9176">
      <c r="A9176" s="3" t="inlineStr">
        <is>
          <t>Quinate Consulting (Pty) Ltd</t>
        </is>
      </c>
      <c r="B9176" s="4" t="n">
        <v>44712</v>
      </c>
      <c r="C9176" s="3" t="inlineStr">
        <is>
          <t>Assets</t>
        </is>
      </c>
      <c r="D9176" s="3" t="inlineStr">
        <is>
          <t>8001</t>
        </is>
      </c>
      <c r="E9176" s="3" t="inlineStr">
        <is>
          <t>Customer Control</t>
        </is>
      </c>
      <c r="F9176" s="3" t="n">
        <v>0</v>
      </c>
      <c r="G9176" s="3" t="n">
        <v>29487.49</v>
      </c>
    </row>
    <row r="9177">
      <c r="A9177" s="3" t="inlineStr">
        <is>
          <t>Opportunity Global Investment (PTY) LTD</t>
        </is>
      </c>
      <c r="B9177" s="4" t="n">
        <v>44712</v>
      </c>
      <c r="C9177" s="3" t="inlineStr">
        <is>
          <t>Assets</t>
        </is>
      </c>
      <c r="D9177" s="3" t="inlineStr">
        <is>
          <t>8200/010</t>
        </is>
      </c>
      <c r="E9177" s="3" t="inlineStr">
        <is>
          <t>Prepayments / Prepaid Expenses</t>
        </is>
      </c>
      <c r="F9177" s="3" t="n">
        <v>0</v>
      </c>
      <c r="G9177" s="3" t="n">
        <v>163867.93</v>
      </c>
    </row>
    <row r="9178">
      <c r="A9178" s="3" t="inlineStr">
        <is>
          <t>Quinate Consulting (Pty) Ltd</t>
        </is>
      </c>
      <c r="B9178" s="4" t="n">
        <v>44712</v>
      </c>
      <c r="C9178" s="3" t="inlineStr">
        <is>
          <t>Assets</t>
        </is>
      </c>
      <c r="D9178" s="3" t="inlineStr">
        <is>
          <t>8200/010</t>
        </is>
      </c>
      <c r="E9178" s="3" t="inlineStr">
        <is>
          <t>Prepayments / Prepaid Expenses</t>
        </is>
      </c>
      <c r="F9178" s="3" t="n">
        <v>0</v>
      </c>
      <c r="G9178" s="3" t="n">
        <v>109675</v>
      </c>
    </row>
    <row r="9179">
      <c r="A9179" s="3" t="inlineStr">
        <is>
          <t>Opportunity Global Investment (PTY) LTD</t>
        </is>
      </c>
      <c r="B9179" s="4" t="n">
        <v>44712</v>
      </c>
      <c r="C9179" s="3" t="inlineStr">
        <is>
          <t>Assets</t>
        </is>
      </c>
      <c r="D9179" s="3" t="inlineStr">
        <is>
          <t>8400/000</t>
        </is>
      </c>
      <c r="E9179" s="3" t="inlineStr">
        <is>
          <t>FNB 62093491696</t>
        </is>
      </c>
      <c r="F9179" s="3" t="n">
        <v>-8297.99</v>
      </c>
      <c r="G9179" s="3" t="n">
        <v>24426.93</v>
      </c>
    </row>
    <row r="9180">
      <c r="A9180" s="3" t="inlineStr">
        <is>
          <t>Opportunity Global Sales (PTY) LTD</t>
        </is>
      </c>
      <c r="B9180" s="4" t="n">
        <v>44712</v>
      </c>
      <c r="C9180" s="3" t="inlineStr">
        <is>
          <t>Assets</t>
        </is>
      </c>
      <c r="D9180" s="3" t="inlineStr">
        <is>
          <t>8400/000</t>
        </is>
      </c>
      <c r="E9180" s="3" t="inlineStr">
        <is>
          <t>FNB 62835620875</t>
        </is>
      </c>
      <c r="F9180" s="3" t="n">
        <v>485.62</v>
      </c>
      <c r="G9180" s="3" t="n">
        <v>47432.87</v>
      </c>
    </row>
    <row r="9181">
      <c r="A9181" s="3" t="inlineStr">
        <is>
          <t>Quinate Consulting (Pty) Ltd</t>
        </is>
      </c>
      <c r="B9181" s="4" t="n">
        <v>44712</v>
      </c>
      <c r="C9181" s="3" t="inlineStr">
        <is>
          <t>Assets</t>
        </is>
      </c>
      <c r="D9181" s="3" t="inlineStr">
        <is>
          <t>8400/000</t>
        </is>
      </c>
      <c r="E9181" s="3" t="inlineStr">
        <is>
          <t>RMB - 62736659189 - Call Acc</t>
        </is>
      </c>
      <c r="F9181" s="3" t="n">
        <v>-38.57</v>
      </c>
      <c r="G9181" s="3" t="n">
        <v>152488.15</v>
      </c>
    </row>
    <row r="9182">
      <c r="A9182" s="3" t="inlineStr">
        <is>
          <t>Trademark Holdings (Pty) Ltd</t>
        </is>
      </c>
      <c r="B9182" s="4" t="n">
        <v>44712</v>
      </c>
      <c r="C9182" s="3" t="inlineStr">
        <is>
          <t>Assets</t>
        </is>
      </c>
      <c r="D9182" s="3" t="inlineStr">
        <is>
          <t>8400/000</t>
        </is>
      </c>
      <c r="E9182" s="3" t="inlineStr">
        <is>
          <t>RMB 623 693 03640</t>
        </is>
      </c>
      <c r="F9182" s="3" t="n">
        <v>20154.44</v>
      </c>
      <c r="G9182" s="3" t="n">
        <v>50608.78</v>
      </c>
    </row>
    <row r="9183">
      <c r="A9183" s="3" t="inlineStr">
        <is>
          <t>Noble Shield (Pty) Ltd ta Go Letting</t>
        </is>
      </c>
      <c r="B9183" s="4" t="n">
        <v>44712</v>
      </c>
      <c r="C9183" s="3" t="inlineStr">
        <is>
          <t>Assets</t>
        </is>
      </c>
      <c r="D9183" s="3" t="inlineStr">
        <is>
          <t>8400/000</t>
        </is>
      </c>
      <c r="E9183" s="3" t="inlineStr">
        <is>
          <t>RMB 6250 573 3833</t>
        </is>
      </c>
      <c r="F9183" s="3" t="n">
        <v>-171.1</v>
      </c>
      <c r="G9183" s="3" t="n">
        <v>33439.41</v>
      </c>
    </row>
    <row r="9184">
      <c r="A9184" s="3" t="inlineStr">
        <is>
          <t>Endulini (Pty) Ltd</t>
        </is>
      </c>
      <c r="B9184" s="4" t="n">
        <v>44712</v>
      </c>
      <c r="C9184" s="3" t="inlineStr">
        <is>
          <t>Assets</t>
        </is>
      </c>
      <c r="D9184" s="3" t="inlineStr">
        <is>
          <t>8400/000</t>
        </is>
      </c>
      <c r="E9184" s="3" t="inlineStr">
        <is>
          <t>RMB 62906944576</t>
        </is>
      </c>
      <c r="F9184" s="3" t="n">
        <v>403261.39</v>
      </c>
      <c r="G9184" s="3" t="n">
        <v>456429.7</v>
      </c>
    </row>
    <row r="9185">
      <c r="A9185" s="3" t="inlineStr">
        <is>
          <t>Opportunity Management Holdings (PTY) LTD</t>
        </is>
      </c>
      <c r="B9185" s="4" t="n">
        <v>44712</v>
      </c>
      <c r="C9185" s="3" t="inlineStr">
        <is>
          <t>Assets</t>
        </is>
      </c>
      <c r="D9185" s="3" t="inlineStr">
        <is>
          <t>8400/000</t>
        </is>
      </c>
      <c r="E9185" s="3" t="inlineStr">
        <is>
          <t>RMB Cheq - 62312246920</t>
        </is>
      </c>
      <c r="F9185" s="3" t="n">
        <v>51907.19</v>
      </c>
      <c r="G9185" s="3" t="n">
        <v>81553.28</v>
      </c>
    </row>
    <row r="9186">
      <c r="A9186" s="3" t="inlineStr">
        <is>
          <t>Opportunity Global Investment (PTY) LTD</t>
        </is>
      </c>
      <c r="B9186" s="4" t="n">
        <v>44712</v>
      </c>
      <c r="C9186" s="3" t="inlineStr">
        <is>
          <t>Assets</t>
        </is>
      </c>
      <c r="D9186" s="3" t="inlineStr">
        <is>
          <t>8405/000</t>
        </is>
      </c>
      <c r="E9186" s="3" t="inlineStr">
        <is>
          <t>FNB Trust 62762449265</t>
        </is>
      </c>
      <c r="F9186" s="3" t="n">
        <v>-511.88</v>
      </c>
      <c r="G9186" s="3" t="n">
        <v>332.38</v>
      </c>
    </row>
    <row r="9187">
      <c r="A9187" s="3" t="inlineStr">
        <is>
          <t>Endulini (Pty) Ltd</t>
        </is>
      </c>
      <c r="B9187" s="4" t="n">
        <v>44712</v>
      </c>
      <c r="C9187" s="3" t="inlineStr">
        <is>
          <t>Assets</t>
        </is>
      </c>
      <c r="D9187" s="3" t="inlineStr">
        <is>
          <t>8410/000</t>
        </is>
      </c>
      <c r="E9187" s="3" t="inlineStr">
        <is>
          <t>Momentum Investor Account : RU 502229883</t>
        </is>
      </c>
      <c r="F9187" s="3" t="n">
        <v>-1603053.6</v>
      </c>
      <c r="G9187" s="3" t="n">
        <v>707208.53</v>
      </c>
    </row>
    <row r="9188">
      <c r="A9188" s="3" t="inlineStr">
        <is>
          <t>Opportunity Management Holdings (PTY) LTD</t>
        </is>
      </c>
      <c r="B9188" s="4" t="n">
        <v>44712</v>
      </c>
      <c r="C9188" s="3" t="inlineStr">
        <is>
          <t>Assets</t>
        </is>
      </c>
      <c r="D9188" s="3" t="inlineStr">
        <is>
          <t>8410/000</t>
        </is>
      </c>
      <c r="E9188" s="3" t="inlineStr">
        <is>
          <t>RMB Call Acc - 62312248851</t>
        </is>
      </c>
      <c r="F9188" s="3" t="n">
        <v>-407.64</v>
      </c>
      <c r="G9188" s="3" t="n">
        <v>327.19</v>
      </c>
    </row>
    <row r="9189">
      <c r="A9189" s="3" t="inlineStr">
        <is>
          <t>Noble Shield (Pty) Ltd ta Go Letting</t>
        </is>
      </c>
      <c r="B9189" s="4" t="n">
        <v>44712</v>
      </c>
      <c r="C9189" s="3" t="inlineStr">
        <is>
          <t>Assets</t>
        </is>
      </c>
      <c r="D9189" s="3" t="inlineStr">
        <is>
          <t>8410/000</t>
        </is>
      </c>
      <c r="E9189" s="3" t="inlineStr">
        <is>
          <t>RMB Trust Acc - 6250 615 1365</t>
        </is>
      </c>
      <c r="F9189" s="3" t="n">
        <v>-556.12</v>
      </c>
      <c r="G9189" s="3" t="n">
        <v>182.18</v>
      </c>
    </row>
    <row r="9190">
      <c r="A9190" s="3" t="inlineStr">
        <is>
          <t>Quinate Consulting (Pty) Ltd</t>
        </is>
      </c>
      <c r="B9190" s="4" t="n">
        <v>44712</v>
      </c>
      <c r="C9190" s="3" t="inlineStr">
        <is>
          <t>Assets</t>
        </is>
      </c>
      <c r="D9190" s="3" t="inlineStr">
        <is>
          <t>8415/000</t>
        </is>
      </c>
      <c r="E9190" s="3" t="inlineStr">
        <is>
          <t>STD Acc 071 958 959 - Facility Acc</t>
        </is>
      </c>
      <c r="F9190" s="3" t="n">
        <v>-85</v>
      </c>
      <c r="G9190" s="3" t="n">
        <v>4061.21</v>
      </c>
    </row>
    <row r="9191">
      <c r="A9191" s="3" t="inlineStr">
        <is>
          <t>Quinate Consulting (Pty) Ltd</t>
        </is>
      </c>
      <c r="B9191" s="4" t="n">
        <v>44712</v>
      </c>
      <c r="C9191" s="3" t="inlineStr">
        <is>
          <t>Assets</t>
        </is>
      </c>
      <c r="D9191" s="3" t="inlineStr">
        <is>
          <t>8430/000</t>
        </is>
      </c>
      <c r="E9191" s="3" t="inlineStr">
        <is>
          <t>Momentum Investment Acc - RU502230185</t>
        </is>
      </c>
      <c r="F9191" s="3" t="n">
        <v>0</v>
      </c>
      <c r="G9191" s="3" t="n">
        <v>511.01</v>
      </c>
    </row>
    <row r="9192">
      <c r="A9192" s="3" t="inlineStr">
        <is>
          <t>Opportunity Global Investment (PTY) LTD</t>
        </is>
      </c>
      <c r="B9192" s="4" t="n">
        <v>44712</v>
      </c>
      <c r="C9192" s="3" t="inlineStr">
        <is>
          <t>Assets</t>
        </is>
      </c>
      <c r="D9192" s="3" t="inlineStr">
        <is>
          <t>8440/000</t>
        </is>
      </c>
      <c r="E9192" s="3" t="inlineStr">
        <is>
          <t>FNB - Call 627602764438</t>
        </is>
      </c>
      <c r="F9192" s="3" t="n">
        <v>581.3</v>
      </c>
      <c r="G9192" s="3" t="n">
        <v>967.89</v>
      </c>
    </row>
    <row r="9193">
      <c r="A9193" s="3" t="inlineStr">
        <is>
          <t>Opportunity Global Investment (PTY) LTD</t>
        </is>
      </c>
      <c r="B9193" s="4" t="n">
        <v>44712</v>
      </c>
      <c r="C9193" s="3" t="inlineStr">
        <is>
          <t>Assets</t>
        </is>
      </c>
      <c r="D9193" s="3" t="inlineStr">
        <is>
          <t>8445/000</t>
        </is>
      </c>
      <c r="E9193" s="3" t="inlineStr">
        <is>
          <t>Momentum RU502230096</t>
        </is>
      </c>
      <c r="F9193" s="3" t="n">
        <v>0</v>
      </c>
      <c r="G9193" s="3" t="n">
        <v>4452.74</v>
      </c>
    </row>
    <row r="9194">
      <c r="A9194" s="3" t="inlineStr">
        <is>
          <t>Quinate Consulting (Pty) Ltd</t>
        </is>
      </c>
      <c r="B9194" s="4" t="n">
        <v>44712</v>
      </c>
      <c r="C9194" s="3" t="inlineStr">
        <is>
          <t>Assets</t>
        </is>
      </c>
      <c r="D9194" s="3" t="inlineStr">
        <is>
          <t>8450/000</t>
        </is>
      </c>
      <c r="E9194" s="3" t="inlineStr">
        <is>
          <t>A RMB 62275810820</t>
        </is>
      </c>
      <c r="F9194" s="3" t="n">
        <v>162928.33</v>
      </c>
      <c r="G9194" s="3" t="n">
        <v>295192.72</v>
      </c>
    </row>
    <row r="9195">
      <c r="A9195" s="3" t="inlineStr">
        <is>
          <t>Opportunity Management Holdings (PTY) LTD</t>
        </is>
      </c>
      <c r="B9195" s="4" t="n">
        <v>44712</v>
      </c>
      <c r="C9195" s="3" t="inlineStr">
        <is>
          <t>Assets</t>
        </is>
      </c>
      <c r="D9195" s="3" t="inlineStr">
        <is>
          <t>8450/000</t>
        </is>
      </c>
      <c r="E9195" s="3" t="inlineStr">
        <is>
          <t>Petty Cash - CT Office</t>
        </is>
      </c>
      <c r="F9195" s="3" t="n">
        <v>0</v>
      </c>
      <c r="G9195" s="3" t="n">
        <v>723.1</v>
      </c>
    </row>
    <row r="9196">
      <c r="A9196" s="3" t="inlineStr">
        <is>
          <t>Quinate Consulting (Pty) Ltd</t>
        </is>
      </c>
      <c r="B9196" s="4" t="n">
        <v>44712</v>
      </c>
      <c r="C9196" s="3" t="inlineStr">
        <is>
          <t>Liabilities</t>
        </is>
      </c>
      <c r="D9196" s="3" t="inlineStr">
        <is>
          <t>8480/100</t>
        </is>
      </c>
      <c r="E9196" s="3" t="inlineStr">
        <is>
          <t>Bond - SH20 - STD Bank 532010558</t>
        </is>
      </c>
      <c r="F9196" s="3" t="n">
        <v>12859.61</v>
      </c>
      <c r="G9196" s="3" t="n">
        <v>-1369587.93</v>
      </c>
    </row>
    <row r="9197">
      <c r="A9197" s="3" t="inlineStr">
        <is>
          <t>Quinate Consulting (Pty) Ltd</t>
        </is>
      </c>
      <c r="B9197" s="4" t="n">
        <v>44712</v>
      </c>
      <c r="C9197" s="3" t="inlineStr">
        <is>
          <t>Liabilities</t>
        </is>
      </c>
      <c r="D9197" s="3" t="inlineStr">
        <is>
          <t>8480/200</t>
        </is>
      </c>
      <c r="E9197" s="3" t="inlineStr">
        <is>
          <t>Bond - SH23 - STD Bank 532010035</t>
        </is>
      </c>
      <c r="F9197" s="3" t="n">
        <v>12855.65</v>
      </c>
      <c r="G9197" s="3" t="n">
        <v>-1369408.66</v>
      </c>
    </row>
    <row r="9198">
      <c r="A9198" s="3" t="inlineStr">
        <is>
          <t>Quinate Consulting (Pty) Ltd</t>
        </is>
      </c>
      <c r="B9198" s="4" t="n">
        <v>44712</v>
      </c>
      <c r="C9198" s="3" t="inlineStr">
        <is>
          <t>Liabilities</t>
        </is>
      </c>
      <c r="D9198" s="3" t="inlineStr">
        <is>
          <t>8480/300</t>
        </is>
      </c>
      <c r="E9198" s="3" t="inlineStr">
        <is>
          <t>Bond - SH24 - STD Bank 532372662</t>
        </is>
      </c>
      <c r="F9198" s="3" t="n">
        <v>11254.57</v>
      </c>
      <c r="G9198" s="3" t="n">
        <v>-1451543.86</v>
      </c>
    </row>
    <row r="9199">
      <c r="A9199" s="3" t="inlineStr">
        <is>
          <t>Quinate Consulting (Pty) Ltd</t>
        </is>
      </c>
      <c r="B9199" s="4" t="n">
        <v>44712</v>
      </c>
      <c r="C9199" s="3" t="inlineStr">
        <is>
          <t>Liabilities</t>
        </is>
      </c>
      <c r="D9199" s="3" t="inlineStr">
        <is>
          <t>8480/400</t>
        </is>
      </c>
      <c r="E9199" s="3" t="inlineStr">
        <is>
          <t>Bond - SW01 - STD Bank 532920627</t>
        </is>
      </c>
      <c r="F9199" s="3" t="n">
        <v>9444.719999999999</v>
      </c>
      <c r="G9199" s="3" t="n">
        <v>-1288947.81</v>
      </c>
    </row>
    <row r="9200">
      <c r="A9200" s="3" t="inlineStr">
        <is>
          <t>Quinate Consulting (Pty) Ltd</t>
        </is>
      </c>
      <c r="B9200" s="4" t="n">
        <v>44712</v>
      </c>
      <c r="C9200" s="3" t="inlineStr">
        <is>
          <t>Liabilities</t>
        </is>
      </c>
      <c r="D9200" s="3" t="inlineStr">
        <is>
          <t>8480/401</t>
        </is>
      </c>
      <c r="E9200" s="3" t="inlineStr">
        <is>
          <t>Bond - SW21 - STD Bank 532920597</t>
        </is>
      </c>
      <c r="F9200" s="3" t="n">
        <v>9448.459999999999</v>
      </c>
      <c r="G9200" s="3" t="n">
        <v>-1289459.22</v>
      </c>
    </row>
    <row r="9201">
      <c r="A9201" s="3" t="inlineStr">
        <is>
          <t>Opportunity Global Investment (PTY) LTD</t>
        </is>
      </c>
      <c r="B9201" s="4" t="n">
        <v>44712</v>
      </c>
      <c r="C9201" s="3" t="inlineStr">
        <is>
          <t>Liabilities</t>
        </is>
      </c>
      <c r="D9201" s="3" t="inlineStr">
        <is>
          <t>860</t>
        </is>
      </c>
      <c r="E9201" s="3" t="inlineStr">
        <is>
          <t>Rounding</t>
        </is>
      </c>
      <c r="F9201" s="3" t="n">
        <v>0</v>
      </c>
      <c r="G9201" s="3" t="n">
        <v>-0.03</v>
      </c>
    </row>
    <row r="9202">
      <c r="A9202" s="3" t="inlineStr">
        <is>
          <t>Opportunity Global Sales (PTY) LTD</t>
        </is>
      </c>
      <c r="B9202" s="4" t="n">
        <v>44712</v>
      </c>
      <c r="C9202" s="3" t="inlineStr">
        <is>
          <t>Liabilities</t>
        </is>
      </c>
      <c r="D9202" s="3" t="inlineStr">
        <is>
          <t>860</t>
        </is>
      </c>
      <c r="E9202" s="3" t="inlineStr">
        <is>
          <t>Rounding</t>
        </is>
      </c>
      <c r="F9202" s="3" t="n">
        <v>0</v>
      </c>
      <c r="G9202" s="3" t="n">
        <v>-1</v>
      </c>
    </row>
    <row r="9203">
      <c r="A9203" s="3" t="inlineStr">
        <is>
          <t>Quinate Consulting (Pty) Ltd</t>
        </is>
      </c>
      <c r="B9203" s="4" t="n">
        <v>44712</v>
      </c>
      <c r="C9203" s="3" t="inlineStr">
        <is>
          <t>Liabilities</t>
        </is>
      </c>
      <c r="D9203" s="3" t="inlineStr">
        <is>
          <t>860</t>
        </is>
      </c>
      <c r="E9203" s="3" t="inlineStr">
        <is>
          <t>Rounding</t>
        </is>
      </c>
      <c r="F9203" s="3" t="n">
        <v>0.05</v>
      </c>
      <c r="G9203" s="3" t="n">
        <v>0.08</v>
      </c>
    </row>
    <row r="9204">
      <c r="A9204" s="3" t="inlineStr">
        <is>
          <t>Trademark Holdings (Pty) Ltd</t>
        </is>
      </c>
      <c r="B9204" s="4" t="n">
        <v>44712</v>
      </c>
      <c r="C9204" s="3" t="inlineStr">
        <is>
          <t>Liabilities</t>
        </is>
      </c>
      <c r="D9204" s="3" t="inlineStr">
        <is>
          <t>860</t>
        </is>
      </c>
      <c r="E9204" s="3" t="inlineStr">
        <is>
          <t>Rounding</t>
        </is>
      </c>
      <c r="F9204" s="3" t="n">
        <v>0.2</v>
      </c>
      <c r="G9204" s="3" t="n">
        <v>0.2</v>
      </c>
    </row>
    <row r="9205">
      <c r="A9205" s="3" t="inlineStr">
        <is>
          <t>Endulini (Pty) Ltd</t>
        </is>
      </c>
      <c r="B9205" s="4" t="n">
        <v>44712</v>
      </c>
      <c r="C9205" s="3" t="inlineStr">
        <is>
          <t>Liabilities</t>
        </is>
      </c>
      <c r="D9205" s="3" t="inlineStr">
        <is>
          <t>9000/000</t>
        </is>
      </c>
      <c r="E9205" s="3" t="inlineStr">
        <is>
          <t>Supplier Control Account</t>
        </is>
      </c>
      <c r="F9205" s="3" t="n">
        <v>12123522.1</v>
      </c>
      <c r="G9205" s="3" t="n">
        <v>-42650149.46</v>
      </c>
    </row>
    <row r="9206">
      <c r="A9206" s="3" t="inlineStr">
        <is>
          <t>Noble Shield (Pty) Ltd ta Go Letting</t>
        </is>
      </c>
      <c r="B9206" s="4" t="n">
        <v>44712</v>
      </c>
      <c r="C9206" s="3" t="inlineStr">
        <is>
          <t>Liabilities</t>
        </is>
      </c>
      <c r="D9206" s="3" t="inlineStr">
        <is>
          <t>9000/000</t>
        </is>
      </c>
      <c r="E9206" s="3" t="inlineStr">
        <is>
          <t>Supplier Control Account</t>
        </is>
      </c>
      <c r="F9206" s="3" t="n">
        <v>4806.33</v>
      </c>
      <c r="G9206" s="3" t="n">
        <v>-20237.42</v>
      </c>
    </row>
    <row r="9207">
      <c r="A9207" s="3" t="inlineStr">
        <is>
          <t>Opportunity Global Investment (PTY) LTD</t>
        </is>
      </c>
      <c r="B9207" s="4" t="n">
        <v>44712</v>
      </c>
      <c r="C9207" s="3" t="inlineStr">
        <is>
          <t>Liabilities</t>
        </is>
      </c>
      <c r="D9207" s="3" t="inlineStr">
        <is>
          <t>9000/000</t>
        </is>
      </c>
      <c r="E9207" s="3" t="inlineStr">
        <is>
          <t>Supplier Control Account</t>
        </is>
      </c>
      <c r="F9207" s="3" t="n">
        <v>-7748.5</v>
      </c>
      <c r="G9207" s="3" t="n">
        <v>-125674.81</v>
      </c>
    </row>
    <row r="9208">
      <c r="A9208" s="3" t="inlineStr">
        <is>
          <t>Opportunity Global Sales (PTY) LTD</t>
        </is>
      </c>
      <c r="B9208" s="4" t="n">
        <v>44712</v>
      </c>
      <c r="C9208" s="3" t="inlineStr">
        <is>
          <t>Liabilities</t>
        </is>
      </c>
      <c r="D9208" s="3" t="inlineStr">
        <is>
          <t>9000/000</t>
        </is>
      </c>
      <c r="E9208" s="3" t="inlineStr">
        <is>
          <t>Supplier Control Account</t>
        </is>
      </c>
      <c r="F9208" s="3" t="n">
        <v>943.58</v>
      </c>
      <c r="G9208" s="3" t="n">
        <v>-1569.92</v>
      </c>
    </row>
    <row r="9209">
      <c r="A9209" s="3" t="inlineStr">
        <is>
          <t>Opportunity Management Holdings (PTY) LTD</t>
        </is>
      </c>
      <c r="B9209" s="4" t="n">
        <v>44712</v>
      </c>
      <c r="C9209" s="3" t="inlineStr">
        <is>
          <t>Liabilities</t>
        </is>
      </c>
      <c r="D9209" s="3" t="inlineStr">
        <is>
          <t>9000/000</t>
        </is>
      </c>
      <c r="E9209" s="3" t="inlineStr">
        <is>
          <t>Supplier Control Account</t>
        </is>
      </c>
      <c r="F9209" s="3" t="n">
        <v>-15893.56</v>
      </c>
      <c r="G9209" s="3" t="n">
        <v>-294635.34</v>
      </c>
    </row>
    <row r="9210">
      <c r="A9210" s="3" t="inlineStr">
        <is>
          <t>Quinate Consulting (Pty) Ltd</t>
        </is>
      </c>
      <c r="B9210" s="4" t="n">
        <v>44712</v>
      </c>
      <c r="C9210" s="3" t="inlineStr">
        <is>
          <t>Liabilities</t>
        </is>
      </c>
      <c r="D9210" s="3" t="inlineStr">
        <is>
          <t>9000/000</t>
        </is>
      </c>
      <c r="E9210" s="3" t="inlineStr">
        <is>
          <t>Supplier Control Account</t>
        </is>
      </c>
      <c r="F9210" s="3" t="n">
        <v>-27328.67</v>
      </c>
      <c r="G9210" s="3" t="n">
        <v>279821.36</v>
      </c>
    </row>
    <row r="9211">
      <c r="A9211" s="3" t="inlineStr">
        <is>
          <t>Trademark Holdings (Pty) Ltd</t>
        </is>
      </c>
      <c r="B9211" s="4" t="n">
        <v>44712</v>
      </c>
      <c r="C9211" s="3" t="inlineStr">
        <is>
          <t>Liabilities</t>
        </is>
      </c>
      <c r="D9211" s="3" t="inlineStr">
        <is>
          <t>9000/000</t>
        </is>
      </c>
      <c r="E9211" s="3" t="inlineStr">
        <is>
          <t>Supplier Control Account</t>
        </is>
      </c>
      <c r="F9211" s="3" t="n">
        <v>5103.92</v>
      </c>
      <c r="G9211" s="3" t="n">
        <v>-18117.83</v>
      </c>
    </row>
    <row r="9212">
      <c r="A9212" s="3" t="inlineStr">
        <is>
          <t>Quinate Consulting (Pty) Ltd</t>
        </is>
      </c>
      <c r="B9212" s="4" t="n">
        <v>44712</v>
      </c>
      <c r="C9212" s="3" t="inlineStr">
        <is>
          <t>Liabilities</t>
        </is>
      </c>
      <c r="D9212" s="3" t="inlineStr">
        <is>
          <t>9001</t>
        </is>
      </c>
      <c r="E9212" s="3" t="inlineStr">
        <is>
          <t>Supplier Control</t>
        </is>
      </c>
      <c r="F9212" s="3" t="n">
        <v>0</v>
      </c>
      <c r="G9212" s="3" t="n">
        <v>-347315.41</v>
      </c>
    </row>
    <row r="9213">
      <c r="A9213" s="3" t="inlineStr">
        <is>
          <t>Opportunity Management Holdings (PTY) LTD</t>
        </is>
      </c>
      <c r="B9213" s="4" t="n">
        <v>44712</v>
      </c>
      <c r="C9213" s="3" t="inlineStr">
        <is>
          <t>Liabilities</t>
        </is>
      </c>
      <c r="D9213" s="3" t="inlineStr">
        <is>
          <t>9100/000</t>
        </is>
      </c>
      <c r="E9213" s="3" t="inlineStr">
        <is>
          <t>PAYE/UIF/SDL Accrual - Prior Years ADJ</t>
        </is>
      </c>
      <c r="F9213" s="3" t="n">
        <v>8452.52</v>
      </c>
      <c r="G9213" s="3" t="n">
        <v>12678.78</v>
      </c>
    </row>
    <row r="9214">
      <c r="A9214" s="3" t="inlineStr">
        <is>
          <t>Opportunity Management Holdings (PTY) LTD</t>
        </is>
      </c>
      <c r="B9214" s="4" t="n">
        <v>44712</v>
      </c>
      <c r="C9214" s="3" t="inlineStr">
        <is>
          <t>Assets</t>
        </is>
      </c>
      <c r="D9214" s="3" t="inlineStr">
        <is>
          <t>9110/000</t>
        </is>
      </c>
      <c r="E9214" s="3" t="inlineStr">
        <is>
          <t>Deposit Received</t>
        </is>
      </c>
      <c r="F9214" s="3" t="n">
        <v>0</v>
      </c>
      <c r="G9214" s="3" t="n">
        <v>-3852.5</v>
      </c>
    </row>
    <row r="9215">
      <c r="A9215" s="3" t="inlineStr">
        <is>
          <t>Opportunity Global Investment (PTY) LTD</t>
        </is>
      </c>
      <c r="B9215" s="4" t="n">
        <v>44712</v>
      </c>
      <c r="C9215" s="3" t="inlineStr">
        <is>
          <t>Liabilities</t>
        </is>
      </c>
      <c r="D9215" s="3" t="inlineStr">
        <is>
          <t>9110/000</t>
        </is>
      </c>
      <c r="E9215" s="3" t="inlineStr">
        <is>
          <t>Taxation B/S</t>
        </is>
      </c>
      <c r="F9215" s="3" t="n">
        <v>0</v>
      </c>
      <c r="G9215" s="3" t="n">
        <v>2150.09</v>
      </c>
    </row>
    <row r="9216">
      <c r="A9216" s="3" t="inlineStr">
        <is>
          <t>Endulini (Pty) Ltd</t>
        </is>
      </c>
      <c r="B9216" s="4" t="n">
        <v>44712</v>
      </c>
      <c r="C9216" s="3" t="inlineStr">
        <is>
          <t>Liabilities</t>
        </is>
      </c>
      <c r="D9216" s="3" t="inlineStr">
        <is>
          <t>9200/100</t>
        </is>
      </c>
      <c r="E9216" s="3" t="inlineStr">
        <is>
          <t>Sundry Suppliers - Heron Fields</t>
        </is>
      </c>
      <c r="F9216" s="3" t="n">
        <v>300000</v>
      </c>
      <c r="G9216" s="3" t="n">
        <v>0</v>
      </c>
    </row>
    <row r="9217">
      <c r="A9217" s="3" t="inlineStr">
        <is>
          <t>Noble Shield (Pty) Ltd ta Go Letting</t>
        </is>
      </c>
      <c r="B9217" s="4" t="n">
        <v>44712</v>
      </c>
      <c r="C9217" s="3" t="inlineStr">
        <is>
          <t>Liabilities</t>
        </is>
      </c>
      <c r="D9217" s="3" t="inlineStr">
        <is>
          <t>9250/010</t>
        </is>
      </c>
      <c r="E9217" s="3" t="inlineStr">
        <is>
          <t>SALARY CONTROL</t>
        </is>
      </c>
      <c r="F9217" s="3" t="n">
        <v>4169.83</v>
      </c>
      <c r="G9217" s="3" t="n">
        <v>-12127.5</v>
      </c>
    </row>
    <row r="9218">
      <c r="A9218" s="3" t="inlineStr">
        <is>
          <t>Opportunity Global Sales (PTY) LTD</t>
        </is>
      </c>
      <c r="B9218" s="4" t="n">
        <v>44712</v>
      </c>
      <c r="C9218" s="3" t="inlineStr">
        <is>
          <t>Liabilities</t>
        </is>
      </c>
      <c r="D9218" s="3" t="inlineStr">
        <is>
          <t>9250/010</t>
        </is>
      </c>
      <c r="E9218" s="3" t="inlineStr">
        <is>
          <t>SALARY CONTROL</t>
        </is>
      </c>
      <c r="F9218" s="3" t="n">
        <v>-1280.06</v>
      </c>
      <c r="G9218" s="3" t="n">
        <v>0</v>
      </c>
    </row>
    <row r="9219">
      <c r="A9219" s="3" t="inlineStr">
        <is>
          <t>Opportunity Management Holdings (PTY) LTD</t>
        </is>
      </c>
      <c r="B9219" s="4" t="n">
        <v>44712</v>
      </c>
      <c r="C9219" s="3" t="inlineStr">
        <is>
          <t>Liabilities</t>
        </is>
      </c>
      <c r="D9219" s="3" t="inlineStr">
        <is>
          <t>9250/010</t>
        </is>
      </c>
      <c r="E9219" s="3" t="inlineStr">
        <is>
          <t>SALARY CONTROL</t>
        </is>
      </c>
      <c r="F9219" s="3" t="n">
        <v>4215</v>
      </c>
      <c r="G9219" s="3" t="n">
        <v>-1785</v>
      </c>
    </row>
    <row r="9220">
      <c r="A9220" s="3" t="inlineStr">
        <is>
          <t>Trademark Holdings (Pty) Ltd</t>
        </is>
      </c>
      <c r="B9220" s="4" t="n">
        <v>44712</v>
      </c>
      <c r="C9220" s="3" t="inlineStr">
        <is>
          <t>Liabilities</t>
        </is>
      </c>
      <c r="D9220" s="3" t="inlineStr">
        <is>
          <t>9250/010</t>
        </is>
      </c>
      <c r="E9220" s="3" t="inlineStr">
        <is>
          <t>SALARY CONTROL</t>
        </is>
      </c>
      <c r="F9220" s="3" t="n">
        <v>3052.85</v>
      </c>
      <c r="G9220" s="3" t="n">
        <v>-11474.71</v>
      </c>
    </row>
    <row r="9221">
      <c r="A9221" s="3" t="inlineStr">
        <is>
          <t>Noble Shield (Pty) Ltd ta Go Letting</t>
        </is>
      </c>
      <c r="B9221" s="4" t="n">
        <v>44712</v>
      </c>
      <c r="C9221" s="3" t="inlineStr">
        <is>
          <t>Liabilities</t>
        </is>
      </c>
      <c r="D9221" s="3" t="inlineStr">
        <is>
          <t>9250/020</t>
        </is>
      </c>
      <c r="E9221" s="3" t="inlineStr">
        <is>
          <t>PAYE, UIF AND SDL CONTROL</t>
        </is>
      </c>
      <c r="F9221" s="3" t="n">
        <v>-434.64</v>
      </c>
      <c r="G9221" s="3" t="n">
        <v>-6957.34</v>
      </c>
    </row>
    <row r="9222">
      <c r="A9222" s="3" t="inlineStr">
        <is>
          <t>Opportunity Global Investment (PTY) LTD</t>
        </is>
      </c>
      <c r="B9222" s="4" t="n">
        <v>44712</v>
      </c>
      <c r="C9222" s="3" t="inlineStr">
        <is>
          <t>Liabilities</t>
        </is>
      </c>
      <c r="D9222" s="3" t="inlineStr">
        <is>
          <t>9250/020</t>
        </is>
      </c>
      <c r="E9222" s="3" t="inlineStr">
        <is>
          <t>PAYE, UIF AND SDL CONTROL</t>
        </is>
      </c>
      <c r="F9222" s="3" t="n">
        <v>-127429.98</v>
      </c>
      <c r="G9222" s="3" t="n">
        <v>-47475.54</v>
      </c>
    </row>
    <row r="9223">
      <c r="A9223" s="3" t="inlineStr">
        <is>
          <t>Opportunity Global Sales (PTY) LTD</t>
        </is>
      </c>
      <c r="B9223" s="4" t="n">
        <v>44712</v>
      </c>
      <c r="C9223" s="3" t="inlineStr">
        <is>
          <t>Liabilities</t>
        </is>
      </c>
      <c r="D9223" s="3" t="inlineStr">
        <is>
          <t>9250/020</t>
        </is>
      </c>
      <c r="E9223" s="3" t="inlineStr">
        <is>
          <t>PAYE, UIF AND SDL CONTROL</t>
        </is>
      </c>
      <c r="F9223" s="3" t="n">
        <v>125022.52</v>
      </c>
      <c r="G9223" s="3" t="n">
        <v>0</v>
      </c>
    </row>
    <row r="9224">
      <c r="A9224" s="3" t="inlineStr">
        <is>
          <t>Opportunity Management Holdings (PTY) LTD</t>
        </is>
      </c>
      <c r="B9224" s="4" t="n">
        <v>44712</v>
      </c>
      <c r="C9224" s="3" t="inlineStr">
        <is>
          <t>Liabilities</t>
        </is>
      </c>
      <c r="D9224" s="3" t="inlineStr">
        <is>
          <t>9250/020</t>
        </is>
      </c>
      <c r="E9224" s="3" t="inlineStr">
        <is>
          <t>PAYE, UIF AND SDL CONTROL</t>
        </is>
      </c>
      <c r="F9224" s="3" t="n">
        <v>-2642.19</v>
      </c>
      <c r="G9224" s="3" t="n">
        <v>-47567.05</v>
      </c>
    </row>
    <row r="9225">
      <c r="A9225" s="3" t="inlineStr">
        <is>
          <t>Trademark Holdings (Pty) Ltd</t>
        </is>
      </c>
      <c r="B9225" s="4" t="n">
        <v>44712</v>
      </c>
      <c r="C9225" s="3" t="inlineStr">
        <is>
          <t>Liabilities</t>
        </is>
      </c>
      <c r="D9225" s="3" t="inlineStr">
        <is>
          <t>9250/020</t>
        </is>
      </c>
      <c r="E9225" s="3" t="inlineStr">
        <is>
          <t>PAYE, UIF AND SDL CONTROL</t>
        </is>
      </c>
      <c r="F9225" s="3" t="n">
        <v>1415.82</v>
      </c>
      <c r="G9225" s="3" t="n">
        <v>-4214.33</v>
      </c>
    </row>
    <row r="9226">
      <c r="A9226" s="3" t="inlineStr">
        <is>
          <t>Opportunity Global Investment (PTY) LTD</t>
        </is>
      </c>
      <c r="B9226" s="4" t="n">
        <v>44712</v>
      </c>
      <c r="C9226" s="3" t="inlineStr">
        <is>
          <t>Liabilities</t>
        </is>
      </c>
      <c r="D9226" s="3" t="inlineStr">
        <is>
          <t>9400/030</t>
        </is>
      </c>
      <c r="E9226" s="3" t="inlineStr">
        <is>
          <t>Accrued Expenses - PAYE_AND_UIF</t>
        </is>
      </c>
      <c r="F9226" s="3" t="n">
        <v>0</v>
      </c>
      <c r="G9226" s="3" t="n">
        <v>-2</v>
      </c>
    </row>
    <row r="9227">
      <c r="A9227" s="3" t="inlineStr">
        <is>
          <t>Trademark Holdings (Pty) Ltd</t>
        </is>
      </c>
      <c r="B9227" s="4" t="n">
        <v>44712</v>
      </c>
      <c r="C9227" s="3" t="inlineStr">
        <is>
          <t>Liabilities</t>
        </is>
      </c>
      <c r="D9227" s="3" t="inlineStr">
        <is>
          <t>9400/400</t>
        </is>
      </c>
      <c r="E9227" s="3" t="inlineStr">
        <is>
          <t>Deemed Dividend Tax</t>
        </is>
      </c>
      <c r="F9227" s="3" t="n">
        <v>0</v>
      </c>
      <c r="G9227" s="3" t="n">
        <v>-699.13</v>
      </c>
    </row>
    <row r="9228">
      <c r="A9228" s="3" t="inlineStr">
        <is>
          <t>Opportunity Global Investment (PTY) LTD</t>
        </is>
      </c>
      <c r="B9228" s="4" t="n">
        <v>44712</v>
      </c>
      <c r="C9228" s="3" t="inlineStr">
        <is>
          <t>Liabilities</t>
        </is>
      </c>
      <c r="D9228" s="3" t="inlineStr">
        <is>
          <t>9500/000</t>
        </is>
      </c>
      <c r="E9228" s="3" t="inlineStr">
        <is>
          <t>VAT Control Account</t>
        </is>
      </c>
      <c r="F9228" s="3" t="n">
        <v>75027.92</v>
      </c>
      <c r="G9228" s="3" t="n">
        <v>77068.28999999999</v>
      </c>
    </row>
    <row r="9229">
      <c r="A9229" s="3" t="inlineStr">
        <is>
          <t>Opportunity Global Sales (PTY) LTD</t>
        </is>
      </c>
      <c r="B9229" s="4" t="n">
        <v>44712</v>
      </c>
      <c r="C9229" s="3" t="inlineStr">
        <is>
          <t>Liabilities</t>
        </is>
      </c>
      <c r="D9229" s="3" t="inlineStr">
        <is>
          <t>9500/000</t>
        </is>
      </c>
      <c r="E9229" s="3" t="inlineStr">
        <is>
          <t>VAT Control Account</t>
        </is>
      </c>
      <c r="F9229" s="3" t="n">
        <v>-123783.51</v>
      </c>
      <c r="G9229" s="3" t="n">
        <v>-187348.09</v>
      </c>
    </row>
    <row r="9230">
      <c r="A9230" s="3" t="inlineStr">
        <is>
          <t>Opportunity Management Holdings (PTY) LTD</t>
        </is>
      </c>
      <c r="B9230" s="4" t="n">
        <v>44712</v>
      </c>
      <c r="C9230" s="3" t="inlineStr">
        <is>
          <t>Liabilities</t>
        </is>
      </c>
      <c r="D9230" s="3" t="inlineStr">
        <is>
          <t>9500/000</t>
        </is>
      </c>
      <c r="E9230" s="3" t="inlineStr">
        <is>
          <t>VAT Control Account</t>
        </is>
      </c>
      <c r="F9230" s="3" t="n">
        <v>-33579.76</v>
      </c>
      <c r="G9230" s="3" t="n">
        <v>-52748.75</v>
      </c>
    </row>
    <row r="9231">
      <c r="A9231" s="3" t="inlineStr">
        <is>
          <t>Endulini (Pty) Ltd</t>
        </is>
      </c>
      <c r="B9231" s="4" t="n">
        <v>44712</v>
      </c>
      <c r="C9231" s="3" t="inlineStr">
        <is>
          <t>Liabilities</t>
        </is>
      </c>
      <c r="D9231" s="3" t="inlineStr">
        <is>
          <t>9500/000</t>
        </is>
      </c>
      <c r="E9231" s="3" t="inlineStr">
        <is>
          <t>Vat / Tax Control Account</t>
        </is>
      </c>
      <c r="F9231" s="3" t="n">
        <v>-1844927.3</v>
      </c>
      <c r="G9231" s="3" t="n">
        <v>685992.98</v>
      </c>
    </row>
    <row r="9232">
      <c r="A9232" s="3" t="inlineStr">
        <is>
          <t>Quinate Consulting (Pty) Ltd</t>
        </is>
      </c>
      <c r="B9232" s="4" t="n">
        <v>44712</v>
      </c>
      <c r="C9232" s="3" t="inlineStr">
        <is>
          <t>Liabilities</t>
        </is>
      </c>
      <c r="D9232" s="3" t="inlineStr">
        <is>
          <t>9500/000</t>
        </is>
      </c>
      <c r="E9232" s="3" t="inlineStr">
        <is>
          <t>Vat Control Account</t>
        </is>
      </c>
      <c r="F9232" s="3" t="n">
        <v>-601376.14</v>
      </c>
      <c r="G9232" s="3" t="n">
        <v>-2480059.24</v>
      </c>
    </row>
    <row r="9233">
      <c r="A9233" s="3" t="inlineStr">
        <is>
          <t>Opportunity Management Holdings (PTY) LTD</t>
        </is>
      </c>
      <c r="B9233" s="4" t="n">
        <v>44712</v>
      </c>
      <c r="C9233" s="3" t="inlineStr">
        <is>
          <t>Liabilities</t>
        </is>
      </c>
      <c r="D9233" s="3" t="inlineStr">
        <is>
          <t>9501/000</t>
        </is>
      </c>
      <c r="E9233" s="3" t="inlineStr">
        <is>
          <t>Vat Adjustments - C2M</t>
        </is>
      </c>
      <c r="F9233" s="3" t="n">
        <v>0</v>
      </c>
      <c r="G9233" s="3" t="n">
        <v>47274.04</v>
      </c>
    </row>
    <row r="9234">
      <c r="A9234" s="3" t="inlineStr">
        <is>
          <t>Endulini (Pty) Ltd</t>
        </is>
      </c>
      <c r="B9234" s="4" t="n">
        <v>44712</v>
      </c>
      <c r="C9234" s="3" t="inlineStr">
        <is>
          <t>Liabilities</t>
        </is>
      </c>
      <c r="D9234" s="3" t="inlineStr">
        <is>
          <t>9899/D101</t>
        </is>
      </c>
      <c r="E9234" s="3" t="inlineStr">
        <is>
          <t>Sales - Unit Reg Control D101</t>
        </is>
      </c>
      <c r="F9234" s="3" t="n">
        <v>-17124.71</v>
      </c>
      <c r="G9234" s="3" t="n">
        <v>0</v>
      </c>
    </row>
    <row r="9235">
      <c r="A9235" s="3" t="inlineStr">
        <is>
          <t>Endulini (Pty) Ltd</t>
        </is>
      </c>
      <c r="B9235" s="4" t="n">
        <v>44712</v>
      </c>
      <c r="C9235" s="3" t="inlineStr">
        <is>
          <t>Liabilities</t>
        </is>
      </c>
      <c r="D9235" s="3" t="inlineStr">
        <is>
          <t>9899/D202</t>
        </is>
      </c>
      <c r="E9235" s="3" t="inlineStr">
        <is>
          <t>Sales - Unit Reg Control D202</t>
        </is>
      </c>
      <c r="F9235" s="3" t="n">
        <v>-56245.5</v>
      </c>
      <c r="G9235" s="3" t="n">
        <v>-56245.5</v>
      </c>
    </row>
    <row r="9236">
      <c r="A9236" s="3" t="inlineStr">
        <is>
          <t>Endulini (Pty) Ltd</t>
        </is>
      </c>
      <c r="B9236" s="4" t="n">
        <v>44712</v>
      </c>
      <c r="C9236" s="3" t="inlineStr">
        <is>
          <t>Liabilities</t>
        </is>
      </c>
      <c r="D9236" s="3" t="inlineStr">
        <is>
          <t>9899/D301</t>
        </is>
      </c>
      <c r="E9236" s="3" t="inlineStr">
        <is>
          <t>Sales - Unit Reg Control D301</t>
        </is>
      </c>
      <c r="F9236" s="3" t="n">
        <v>17357.37</v>
      </c>
      <c r="G9236" s="3" t="n">
        <v>17357.37</v>
      </c>
    </row>
    <row r="9237">
      <c r="A9237" s="3" t="inlineStr">
        <is>
          <t>Endulini (Pty) Ltd</t>
        </is>
      </c>
      <c r="B9237" s="4" t="n">
        <v>44712</v>
      </c>
      <c r="C9237" s="3" t="inlineStr">
        <is>
          <t>Liabilities</t>
        </is>
      </c>
      <c r="D9237" s="3" t="inlineStr">
        <is>
          <t>9899/E102</t>
        </is>
      </c>
      <c r="E9237" s="3" t="inlineStr">
        <is>
          <t>Sales - Unit Reg Control E102</t>
        </is>
      </c>
      <c r="F9237" s="3" t="n">
        <v>0</v>
      </c>
      <c r="G9237" s="3" t="n">
        <v>18311.87</v>
      </c>
    </row>
    <row r="9238">
      <c r="A9238" s="3" t="inlineStr">
        <is>
          <t>Endulini (Pty) Ltd</t>
        </is>
      </c>
      <c r="B9238" s="4" t="n">
        <v>44712</v>
      </c>
      <c r="C9238" s="3" t="inlineStr">
        <is>
          <t>Liabilities</t>
        </is>
      </c>
      <c r="D9238" s="3" t="inlineStr">
        <is>
          <t>9899/F103</t>
        </is>
      </c>
      <c r="E9238" s="3" t="inlineStr">
        <is>
          <t>Sales - Unit Reg Control F103</t>
        </is>
      </c>
      <c r="F9238" s="3" t="n">
        <v>84866.87</v>
      </c>
      <c r="G9238" s="3" t="n">
        <v>84866.87</v>
      </c>
    </row>
    <row r="9239">
      <c r="A9239" s="3" t="inlineStr">
        <is>
          <t>Endulini (Pty) Ltd</t>
        </is>
      </c>
      <c r="B9239" s="4" t="n">
        <v>44712</v>
      </c>
      <c r="C9239" s="3" t="inlineStr">
        <is>
          <t>Liabilities</t>
        </is>
      </c>
      <c r="D9239" s="3" t="inlineStr">
        <is>
          <t>9899/F202</t>
        </is>
      </c>
      <c r="E9239" s="3" t="inlineStr">
        <is>
          <t>Sales - Unit Reg Control F202</t>
        </is>
      </c>
      <c r="F9239" s="3" t="n">
        <v>18311.87</v>
      </c>
      <c r="G9239" s="3" t="n">
        <v>18311.87</v>
      </c>
    </row>
    <row r="9240">
      <c r="A9240" s="3" t="inlineStr">
        <is>
          <t>Endulini (Pty) Ltd</t>
        </is>
      </c>
      <c r="B9240" s="4" t="n">
        <v>44712</v>
      </c>
      <c r="C9240" s="3" t="inlineStr">
        <is>
          <t>Liabilities</t>
        </is>
      </c>
      <c r="D9240" s="3" t="inlineStr">
        <is>
          <t>9899/F203</t>
        </is>
      </c>
      <c r="E9240" s="3" t="inlineStr">
        <is>
          <t>Sales - Unit Reg Control F203</t>
        </is>
      </c>
      <c r="F9240" s="3" t="n">
        <v>-15297.37</v>
      </c>
      <c r="G9240" s="3" t="n">
        <v>900</v>
      </c>
    </row>
    <row r="9241">
      <c r="A9241" s="3" t="inlineStr">
        <is>
          <t>Quinate Consulting (Pty) Ltd</t>
        </is>
      </c>
      <c r="B9241" s="4" t="n">
        <v>44712</v>
      </c>
      <c r="C9241" s="3" t="inlineStr">
        <is>
          <t>Liabilities</t>
        </is>
      </c>
      <c r="D9241" s="3" t="inlineStr">
        <is>
          <t>9960/000</t>
        </is>
      </c>
      <c r="E9241" s="3" t="inlineStr">
        <is>
          <t>Deposits - Southwark Rentals</t>
        </is>
      </c>
      <c r="F9241" s="3" t="n">
        <v>0</v>
      </c>
      <c r="G9241" s="3" t="n">
        <v>-11500</v>
      </c>
    </row>
    <row r="9242">
      <c r="A9242" s="3" t="inlineStr">
        <is>
          <t>Noble Shield (Pty) Ltd ta Go Letting</t>
        </is>
      </c>
      <c r="B9242" s="4" t="n">
        <v>44712</v>
      </c>
      <c r="C9242" s="3" t="inlineStr">
        <is>
          <t>Expenses</t>
        </is>
      </c>
      <c r="D9242" s="3" t="inlineStr">
        <is>
          <t>ACB Link</t>
        </is>
      </c>
      <c r="E9242" s="3" t="inlineStr">
        <is>
          <t>Subscriptions - TPN</t>
        </is>
      </c>
      <c r="F9242" s="3" t="n">
        <v>1042.49</v>
      </c>
      <c r="G9242" s="3" t="n">
        <v>16462.3</v>
      </c>
    </row>
    <row r="9243">
      <c r="A9243" s="3" t="inlineStr">
        <is>
          <t>Noble Shield (Pty) Ltd ta Go Letting</t>
        </is>
      </c>
      <c r="B9243" s="4" t="n">
        <v>44712</v>
      </c>
      <c r="C9243" s="3" t="inlineStr">
        <is>
          <t>Liabilities</t>
        </is>
      </c>
      <c r="D9243" s="3" t="inlineStr">
        <is>
          <t>B/S</t>
        </is>
      </c>
      <c r="E9243" s="3" t="inlineStr">
        <is>
          <t>Tax Payable</t>
        </is>
      </c>
      <c r="F9243" s="3" t="n">
        <v>0</v>
      </c>
      <c r="G9243" s="3" t="n">
        <v>-6843.4</v>
      </c>
    </row>
    <row r="9244">
      <c r="A9244" s="3" t="inlineStr">
        <is>
          <t>Trademark Holdings (Pty) Ltd</t>
        </is>
      </c>
      <c r="B9244" s="4" t="n">
        <v>44712</v>
      </c>
      <c r="C9244" s="3" t="inlineStr">
        <is>
          <t>Liabilities</t>
        </is>
      </c>
      <c r="D9244" s="3" t="inlineStr">
        <is>
          <t>B/S</t>
        </is>
      </c>
      <c r="E9244" s="3" t="inlineStr">
        <is>
          <t>Taxation Payable</t>
        </is>
      </c>
      <c r="F9244" s="3" t="n">
        <v>0</v>
      </c>
      <c r="G9244" s="3" t="n">
        <v>-1960.56</v>
      </c>
    </row>
    <row r="9245">
      <c r="A9245" s="3" t="inlineStr">
        <is>
          <t>Quinate Consulting (Pty) Ltd</t>
        </is>
      </c>
      <c r="B9245" s="4" t="n">
        <v>44712</v>
      </c>
      <c r="C9245" s="3" t="inlineStr">
        <is>
          <t>Liabilities</t>
        </is>
      </c>
      <c r="D9245" s="3" t="inlineStr">
        <is>
          <t xml:space="preserve">B/S </t>
        </is>
      </c>
      <c r="E9245" s="3" t="inlineStr">
        <is>
          <t>Taxation Payable</t>
        </is>
      </c>
      <c r="F9245" s="3" t="n">
        <v>0</v>
      </c>
      <c r="G9245" s="3" t="n">
        <v>-15486</v>
      </c>
    </row>
    <row r="9246">
      <c r="A9246" s="3" t="inlineStr">
        <is>
          <t>Quinate Consulting (Pty) Ltd</t>
        </is>
      </c>
      <c r="B9246" s="4" t="n">
        <v>44712</v>
      </c>
      <c r="C9246" s="3" t="inlineStr">
        <is>
          <t>Liabilities</t>
        </is>
      </c>
      <c r="D9246" s="3" t="inlineStr">
        <is>
          <t>FV</t>
        </is>
      </c>
      <c r="E9246" s="3" t="inlineStr">
        <is>
          <t>Loan - Cape Projects Constuction</t>
        </is>
      </c>
      <c r="F9246" s="3" t="n">
        <v>320000</v>
      </c>
      <c r="G9246" s="3" t="n">
        <v>-2530000</v>
      </c>
    </row>
    <row r="9247">
      <c r="A9247" s="3" t="inlineStr">
        <is>
          <t>Trademark Holdings (Pty) Ltd</t>
        </is>
      </c>
      <c r="B9247" s="4" t="n">
        <v>44712</v>
      </c>
      <c r="C9247" s="3" t="inlineStr">
        <is>
          <t>Expenses</t>
        </is>
      </c>
      <c r="D9247" s="3" t="inlineStr">
        <is>
          <t>I/S</t>
        </is>
      </c>
      <c r="E9247" s="3" t="inlineStr">
        <is>
          <t>Income Tax Current Year</t>
        </is>
      </c>
      <c r="F9247" s="3" t="n">
        <v>0</v>
      </c>
      <c r="G9247" s="3" t="n">
        <v>2251.76</v>
      </c>
    </row>
    <row r="9248">
      <c r="A9248" s="3" t="inlineStr">
        <is>
          <t>Quinate Consulting (Pty) Ltd</t>
        </is>
      </c>
      <c r="B9248" s="4" t="n">
        <v>44712</v>
      </c>
      <c r="C9248" s="3" t="inlineStr">
        <is>
          <t>Liabilities</t>
        </is>
      </c>
      <c r="D9248" s="3" t="inlineStr">
        <is>
          <t>Sharehold OppDev</t>
        </is>
      </c>
      <c r="E9248" s="3" t="inlineStr">
        <is>
          <t>Loan - Justine Morgan</t>
        </is>
      </c>
      <c r="F9248" s="3" t="n">
        <v>0</v>
      </c>
      <c r="G9248" s="3" t="n">
        <v>-563766.76</v>
      </c>
    </row>
    <row r="9249">
      <c r="A9249" s="3" t="inlineStr">
        <is>
          <t>Opportunity Global Sales (PTY) LTD</t>
        </is>
      </c>
      <c r="B9249" s="4" t="n">
        <v>44742</v>
      </c>
      <c r="C9249" s="3" t="inlineStr">
        <is>
          <t>Revenue</t>
        </is>
      </c>
      <c r="D9249" s="3" t="inlineStr">
        <is>
          <t>1000/009</t>
        </is>
      </c>
      <c r="E9249" s="3" t="inlineStr">
        <is>
          <t>Sales - Comm on Payprop</t>
        </is>
      </c>
      <c r="F9249" s="3" t="n">
        <v>-1588.96</v>
      </c>
      <c r="G9249" s="3" t="n">
        <v>-14526.96</v>
      </c>
    </row>
    <row r="9250">
      <c r="A9250" s="3" t="inlineStr">
        <is>
          <t>Quinate Consulting (Pty) Ltd</t>
        </is>
      </c>
      <c r="B9250" s="4" t="n">
        <v>44742</v>
      </c>
      <c r="C9250" s="3" t="inlineStr">
        <is>
          <t>Revenue</t>
        </is>
      </c>
      <c r="D9250" s="3" t="inlineStr">
        <is>
          <t>1000/011</t>
        </is>
      </c>
      <c r="E9250" s="3" t="inlineStr">
        <is>
          <t>Rent Received - Soho Unit 23</t>
        </is>
      </c>
      <c r="F9250" s="3" t="n">
        <v>-12500</v>
      </c>
      <c r="G9250" s="3" t="n">
        <v>-50000</v>
      </c>
    </row>
    <row r="9251">
      <c r="A9251" s="3" t="inlineStr">
        <is>
          <t>Quinate Consulting (Pty) Ltd</t>
        </is>
      </c>
      <c r="B9251" s="4" t="n">
        <v>44742</v>
      </c>
      <c r="C9251" s="3" t="inlineStr">
        <is>
          <t>Revenue</t>
        </is>
      </c>
      <c r="D9251" s="3" t="inlineStr">
        <is>
          <t>1000/012</t>
        </is>
      </c>
      <c r="E9251" s="3" t="inlineStr">
        <is>
          <t>Rent Received - Soho Unit 24</t>
        </is>
      </c>
      <c r="F9251" s="3" t="n">
        <v>-13500</v>
      </c>
      <c r="G9251" s="3" t="n">
        <v>-54000</v>
      </c>
    </row>
    <row r="9252">
      <c r="A9252" s="3" t="inlineStr">
        <is>
          <t>Quinate Consulting (Pty) Ltd</t>
        </is>
      </c>
      <c r="B9252" s="4" t="n">
        <v>44742</v>
      </c>
      <c r="C9252" s="3" t="inlineStr">
        <is>
          <t>Revenue</t>
        </is>
      </c>
      <c r="D9252" s="3" t="inlineStr">
        <is>
          <t>1000/013</t>
        </is>
      </c>
      <c r="E9252" s="3" t="inlineStr">
        <is>
          <t>Rent Recieved - Soho Unit 20</t>
        </is>
      </c>
      <c r="F9252" s="3" t="n">
        <v>-12500</v>
      </c>
      <c r="G9252" s="3" t="n">
        <v>-50000</v>
      </c>
    </row>
    <row r="9253">
      <c r="A9253" s="3" t="inlineStr">
        <is>
          <t>Quinate Consulting (Pty) Ltd</t>
        </is>
      </c>
      <c r="B9253" s="4" t="n">
        <v>44742</v>
      </c>
      <c r="C9253" s="3" t="inlineStr">
        <is>
          <t>Revenue</t>
        </is>
      </c>
      <c r="D9253" s="3" t="inlineStr">
        <is>
          <t>1000/015</t>
        </is>
      </c>
      <c r="E9253" s="3" t="inlineStr">
        <is>
          <t>Rent Received - Southwark Unit 1</t>
        </is>
      </c>
      <c r="F9253" s="3" t="n">
        <v>0</v>
      </c>
      <c r="G9253" s="3" t="n">
        <v>-20000</v>
      </c>
    </row>
    <row r="9254">
      <c r="A9254" s="3" t="inlineStr">
        <is>
          <t>Quinate Consulting (Pty) Ltd</t>
        </is>
      </c>
      <c r="B9254" s="4" t="n">
        <v>44742</v>
      </c>
      <c r="C9254" s="3" t="inlineStr">
        <is>
          <t>Revenue</t>
        </is>
      </c>
      <c r="D9254" s="3" t="inlineStr">
        <is>
          <t>1000/016</t>
        </is>
      </c>
      <c r="E9254" s="3" t="inlineStr">
        <is>
          <t>Rent Recieved - Southwark Unit 21</t>
        </is>
      </c>
      <c r="F9254" s="3" t="n">
        <v>-10000</v>
      </c>
      <c r="G9254" s="3" t="n">
        <v>-40000</v>
      </c>
    </row>
    <row r="9255">
      <c r="A9255" s="3" t="inlineStr">
        <is>
          <t>Opportunity Global Sales (PTY) LTD</t>
        </is>
      </c>
      <c r="B9255" s="4" t="n">
        <v>44742</v>
      </c>
      <c r="C9255" s="3" t="inlineStr">
        <is>
          <t>Revenue</t>
        </is>
      </c>
      <c r="D9255" s="3" t="inlineStr">
        <is>
          <t>1000/100</t>
        </is>
      </c>
      <c r="E9255" s="3" t="inlineStr">
        <is>
          <t>Sales - Comm on External Sales</t>
        </is>
      </c>
      <c r="F9255" s="3" t="n">
        <v>0</v>
      </c>
      <c r="G9255" s="3" t="n">
        <v>-55000</v>
      </c>
    </row>
    <row r="9256">
      <c r="A9256" s="3" t="inlineStr">
        <is>
          <t>Noble Shield (Pty) Ltd ta Go Letting</t>
        </is>
      </c>
      <c r="B9256" s="4" t="n">
        <v>44742</v>
      </c>
      <c r="C9256" s="3" t="inlineStr">
        <is>
          <t>Revenue</t>
        </is>
      </c>
      <c r="D9256" s="3" t="inlineStr">
        <is>
          <t>1000/100</t>
        </is>
      </c>
      <c r="E9256" s="3" t="inlineStr">
        <is>
          <t>Sales - Payprop 328 - Michelle</t>
        </is>
      </c>
      <c r="F9256" s="3" t="n">
        <v>-71440.12</v>
      </c>
      <c r="G9256" s="3" t="n">
        <v>-742667.15</v>
      </c>
    </row>
    <row r="9257">
      <c r="A9257" s="3" t="inlineStr">
        <is>
          <t>Opportunity Global Sales (PTY) LTD</t>
        </is>
      </c>
      <c r="B9257" s="4" t="n">
        <v>44742</v>
      </c>
      <c r="C9257" s="3" t="inlineStr">
        <is>
          <t>Revenue</t>
        </is>
      </c>
      <c r="D9257" s="3" t="inlineStr">
        <is>
          <t>1000/120</t>
        </is>
      </c>
      <c r="E9257" s="3" t="inlineStr">
        <is>
          <t>Sales - Admin Fees on Rental Units</t>
        </is>
      </c>
      <c r="F9257" s="3" t="n">
        <v>-434.78</v>
      </c>
      <c r="G9257" s="3" t="n">
        <v>-6086.94</v>
      </c>
    </row>
    <row r="9258">
      <c r="A9258" s="3" t="inlineStr">
        <is>
          <t>Opportunity Global Sales (PTY) LTD</t>
        </is>
      </c>
      <c r="B9258" s="4" t="n">
        <v>44742</v>
      </c>
      <c r="C9258" s="3" t="inlineStr">
        <is>
          <t>Revenue</t>
        </is>
      </c>
      <c r="D9258" s="3" t="inlineStr">
        <is>
          <t>1000/150</t>
        </is>
      </c>
      <c r="E9258" s="3" t="inlineStr">
        <is>
          <t>Sales - Comm on External Rental</t>
        </is>
      </c>
      <c r="F9258" s="3" t="n">
        <v>-4434.78</v>
      </c>
      <c r="G9258" s="3" t="n">
        <v>-51739.13</v>
      </c>
    </row>
    <row r="9259">
      <c r="A9259" s="3" t="inlineStr">
        <is>
          <t>Opportunity Global Sales (PTY) LTD</t>
        </is>
      </c>
      <c r="B9259" s="4" t="n">
        <v>44742</v>
      </c>
      <c r="C9259" s="3" t="inlineStr">
        <is>
          <t>Revenue</t>
        </is>
      </c>
      <c r="D9259" s="3" t="inlineStr">
        <is>
          <t>1000/250</t>
        </is>
      </c>
      <c r="E9259" s="3" t="inlineStr">
        <is>
          <t>Sales - Comm on Endulini</t>
        </is>
      </c>
      <c r="F9259" s="3" t="n">
        <v>-119826.08</v>
      </c>
      <c r="G9259" s="3" t="n">
        <v>-1307876.95</v>
      </c>
    </row>
    <row r="9260">
      <c r="A9260" s="3" t="inlineStr">
        <is>
          <t>Trademark Holdings (Pty) Ltd</t>
        </is>
      </c>
      <c r="B9260" s="4" t="n">
        <v>44742</v>
      </c>
      <c r="C9260" s="3" t="inlineStr">
        <is>
          <t>Revenue</t>
        </is>
      </c>
      <c r="D9260" s="3" t="inlineStr">
        <is>
          <t>1000/300</t>
        </is>
      </c>
      <c r="E9260" s="3" t="inlineStr">
        <is>
          <t>Sales - Payprop - Lara</t>
        </is>
      </c>
      <c r="F9260" s="3" t="n">
        <v>-85464.2</v>
      </c>
      <c r="G9260" s="3" t="n">
        <v>-889847.13</v>
      </c>
    </row>
    <row r="9261">
      <c r="A9261" s="3" t="inlineStr">
        <is>
          <t>Opportunity Global Investment (PTY) LTD</t>
        </is>
      </c>
      <c r="B9261" s="4" t="n">
        <v>44742</v>
      </c>
      <c r="C9261" s="3" t="inlineStr">
        <is>
          <t>Revenue</t>
        </is>
      </c>
      <c r="D9261" s="3" t="inlineStr">
        <is>
          <t>1000/350</t>
        </is>
      </c>
      <c r="E9261" s="3" t="inlineStr">
        <is>
          <t>Sales - Investor Management - Heron Fields</t>
        </is>
      </c>
      <c r="F9261" s="3" t="n">
        <v>-86956.52</v>
      </c>
      <c r="G9261" s="3" t="n">
        <v>-132654.45</v>
      </c>
    </row>
    <row r="9262">
      <c r="A9262" s="3" t="inlineStr">
        <is>
          <t>Trademark Holdings (Pty) Ltd</t>
        </is>
      </c>
      <c r="B9262" s="4" t="n">
        <v>44742</v>
      </c>
      <c r="C9262" s="3" t="inlineStr">
        <is>
          <t>Revenue</t>
        </is>
      </c>
      <c r="D9262" s="3" t="inlineStr">
        <is>
          <t>1000/500</t>
        </is>
      </c>
      <c r="E9262" s="3" t="inlineStr">
        <is>
          <t>Sales - Commission external sale</t>
        </is>
      </c>
      <c r="F9262" s="3" t="n">
        <v>0</v>
      </c>
      <c r="G9262" s="3" t="n">
        <v>-70000</v>
      </c>
    </row>
    <row r="9263">
      <c r="A9263" s="3" t="inlineStr">
        <is>
          <t>Quinate Consulting (Pty) Ltd</t>
        </is>
      </c>
      <c r="B9263" s="4" t="n">
        <v>44742</v>
      </c>
      <c r="C9263" s="3" t="inlineStr">
        <is>
          <t>Revenue</t>
        </is>
      </c>
      <c r="D9263" s="3" t="inlineStr">
        <is>
          <t>1004/000</t>
        </is>
      </c>
      <c r="E9263" s="3" t="inlineStr">
        <is>
          <t>Interest received</t>
        </is>
      </c>
      <c r="F9263" s="3" t="n">
        <v>-396.21</v>
      </c>
      <c r="G9263" s="3" t="n">
        <v>-1413.12</v>
      </c>
    </row>
    <row r="9264">
      <c r="A9264" s="3" t="inlineStr">
        <is>
          <t>Endulini (Pty) Ltd</t>
        </is>
      </c>
      <c r="B9264" s="4" t="n">
        <v>44742</v>
      </c>
      <c r="C9264" s="3" t="inlineStr">
        <is>
          <t>Revenue</t>
        </is>
      </c>
      <c r="D9264" s="3" t="inlineStr">
        <is>
          <t>1100/000</t>
        </is>
      </c>
      <c r="E9264" s="3" t="inlineStr">
        <is>
          <t>Sales - Endulini</t>
        </is>
      </c>
      <c r="F9264" s="3" t="n">
        <v>-1239043.48</v>
      </c>
      <c r="G9264" s="3" t="n">
        <v>-26070434.8</v>
      </c>
    </row>
    <row r="9265">
      <c r="A9265" s="3" t="inlineStr">
        <is>
          <t>Opportunity Management Holdings (PTY) LTD</t>
        </is>
      </c>
      <c r="B9265" s="4" t="n">
        <v>44742</v>
      </c>
      <c r="C9265" s="3" t="inlineStr">
        <is>
          <t>Revenue</t>
        </is>
      </c>
      <c r="D9265" s="3" t="inlineStr">
        <is>
          <t>1100/001</t>
        </is>
      </c>
      <c r="E9265" s="3" t="inlineStr">
        <is>
          <t>Salary Recharges</t>
        </is>
      </c>
      <c r="F9265" s="3" t="n">
        <v>-350250</v>
      </c>
      <c r="G9265" s="3" t="n">
        <v>-2765077.91</v>
      </c>
    </row>
    <row r="9266">
      <c r="A9266" s="3" t="inlineStr">
        <is>
          <t>Endulini (Pty) Ltd</t>
        </is>
      </c>
      <c r="B9266" s="4" t="n">
        <v>44742</v>
      </c>
      <c r="C9266" s="3" t="inlineStr">
        <is>
          <t>Revenue</t>
        </is>
      </c>
      <c r="D9266" s="3" t="inlineStr">
        <is>
          <t>1100/100</t>
        </is>
      </c>
      <c r="E9266" s="3" t="inlineStr">
        <is>
          <t>Sales - Endulini - Exstras</t>
        </is>
      </c>
      <c r="F9266" s="3" t="n">
        <v>0</v>
      </c>
      <c r="G9266" s="3" t="n">
        <v>-8030</v>
      </c>
    </row>
    <row r="9267">
      <c r="A9267" s="3" t="inlineStr">
        <is>
          <t>Endulini (Pty) Ltd</t>
        </is>
      </c>
      <c r="B9267" s="4" t="n">
        <v>44742</v>
      </c>
      <c r="C9267" s="3" t="inlineStr">
        <is>
          <t>Revenue</t>
        </is>
      </c>
      <c r="D9267" s="3" t="inlineStr">
        <is>
          <t>1100/150</t>
        </is>
      </c>
      <c r="E9267" s="3" t="inlineStr">
        <is>
          <t>Sales - Endulini - Extras admin fee</t>
        </is>
      </c>
      <c r="F9267" s="3" t="n">
        <v>0</v>
      </c>
      <c r="G9267" s="3" t="n">
        <v>-2000</v>
      </c>
    </row>
    <row r="9268">
      <c r="A9268" s="3" t="inlineStr">
        <is>
          <t>Endulini (Pty) Ltd</t>
        </is>
      </c>
      <c r="B9268" s="4" t="n">
        <v>44742</v>
      </c>
      <c r="C9268" s="3" t="inlineStr">
        <is>
          <t>Revenue</t>
        </is>
      </c>
      <c r="D9268" s="3" t="inlineStr">
        <is>
          <t>1100/200</t>
        </is>
      </c>
      <c r="E9268" s="3" t="inlineStr">
        <is>
          <t>Sales - Endulini occupational rent</t>
        </is>
      </c>
      <c r="F9268" s="3" t="n">
        <v>0</v>
      </c>
      <c r="G9268" s="3" t="n">
        <v>-148109.42</v>
      </c>
    </row>
    <row r="9269">
      <c r="A9269" s="3" t="inlineStr">
        <is>
          <t>Noble Shield (Pty) Ltd ta Go Letting</t>
        </is>
      </c>
      <c r="B9269" s="4" t="n">
        <v>44742</v>
      </c>
      <c r="C9269" s="3" t="inlineStr">
        <is>
          <t>Revenue</t>
        </is>
      </c>
      <c r="D9269" s="3" t="inlineStr">
        <is>
          <t>1500/000</t>
        </is>
      </c>
      <c r="E9269" s="3" t="inlineStr">
        <is>
          <t>Insurance recovery</t>
        </is>
      </c>
      <c r="F9269" s="3" t="n">
        <v>0</v>
      </c>
      <c r="G9269" s="3" t="n">
        <v>-1750</v>
      </c>
    </row>
    <row r="9270">
      <c r="A9270" s="3" t="inlineStr">
        <is>
          <t>Endulini (Pty) Ltd</t>
        </is>
      </c>
      <c r="B9270" s="4" t="n">
        <v>44742</v>
      </c>
      <c r="C9270" s="3" t="inlineStr">
        <is>
          <t>Expenses</t>
        </is>
      </c>
      <c r="D9270" s="3" t="inlineStr">
        <is>
          <t>2000/001</t>
        </is>
      </c>
      <c r="E9270" s="3" t="inlineStr">
        <is>
          <t>COS - CIP Construction</t>
        </is>
      </c>
      <c r="F9270" s="3" t="n">
        <v>28155981.9</v>
      </c>
      <c r="G9270" s="3" t="n">
        <v>28155981.9</v>
      </c>
    </row>
    <row r="9271">
      <c r="A9271" s="3" t="inlineStr">
        <is>
          <t>Quinate Consulting (Pty) Ltd</t>
        </is>
      </c>
      <c r="B9271" s="4" t="n">
        <v>44742</v>
      </c>
      <c r="C9271" s="3" t="inlineStr">
        <is>
          <t>Expenses</t>
        </is>
      </c>
      <c r="D9271" s="3" t="inlineStr">
        <is>
          <t>2000/009</t>
        </is>
      </c>
      <c r="E9271" s="3" t="inlineStr">
        <is>
          <t>COS - Admin fees</t>
        </is>
      </c>
      <c r="F9271" s="3" t="n">
        <v>0</v>
      </c>
      <c r="G9271" s="3" t="n">
        <v>869.5700000000001</v>
      </c>
    </row>
    <row r="9272">
      <c r="A9272" s="3" t="inlineStr">
        <is>
          <t>Endulini (Pty) Ltd</t>
        </is>
      </c>
      <c r="B9272" s="4" t="n">
        <v>44742</v>
      </c>
      <c r="C9272" s="3" t="inlineStr">
        <is>
          <t>Expenses</t>
        </is>
      </c>
      <c r="D9272" s="3" t="inlineStr">
        <is>
          <t>2000/100</t>
        </is>
      </c>
      <c r="E9272" s="3" t="inlineStr">
        <is>
          <t>COS - Commission Endulini</t>
        </is>
      </c>
      <c r="F9272" s="3" t="n">
        <v>119826.08</v>
      </c>
      <c r="G9272" s="3" t="n">
        <v>1641876.95</v>
      </c>
    </row>
    <row r="9273">
      <c r="A9273" s="3" t="inlineStr">
        <is>
          <t>Noble Shield (Pty) Ltd ta Go Letting</t>
        </is>
      </c>
      <c r="B9273" s="4" t="n">
        <v>44742</v>
      </c>
      <c r="C9273" s="3" t="inlineStr">
        <is>
          <t>Expenses</t>
        </is>
      </c>
      <c r="D9273" s="3" t="inlineStr">
        <is>
          <t>2000/100</t>
        </is>
      </c>
      <c r="E9273" s="3" t="inlineStr">
        <is>
          <t>COS - Commission Paid</t>
        </is>
      </c>
      <c r="F9273" s="3" t="n">
        <v>13121.57</v>
      </c>
      <c r="G9273" s="3" t="n">
        <v>215962.8</v>
      </c>
    </row>
    <row r="9274">
      <c r="A9274" s="3" t="inlineStr">
        <is>
          <t>Opportunity Global Investment (PTY) LTD</t>
        </is>
      </c>
      <c r="B9274" s="4" t="n">
        <v>44742</v>
      </c>
      <c r="C9274" s="3" t="inlineStr">
        <is>
          <t>Expenses</t>
        </is>
      </c>
      <c r="D9274" s="3" t="inlineStr">
        <is>
          <t>2000/125</t>
        </is>
      </c>
      <c r="E9274" s="3" t="inlineStr">
        <is>
          <t>Referral commission - Endulini</t>
        </is>
      </c>
      <c r="F9274" s="3" t="n">
        <v>19000</v>
      </c>
      <c r="G9274" s="3" t="n">
        <v>19000</v>
      </c>
    </row>
    <row r="9275">
      <c r="A9275" s="3" t="inlineStr">
        <is>
          <t>Opportunity Global Sales (PTY) LTD</t>
        </is>
      </c>
      <c r="B9275" s="4" t="n">
        <v>44742</v>
      </c>
      <c r="C9275" s="3" t="inlineStr">
        <is>
          <t>Expenses</t>
        </is>
      </c>
      <c r="D9275" s="3" t="inlineStr">
        <is>
          <t>2000/131</t>
        </is>
      </c>
      <c r="E9275" s="3" t="inlineStr">
        <is>
          <t>COS - Sales Comm Endulini - Anthony</t>
        </is>
      </c>
      <c r="F9275" s="3" t="n">
        <v>0</v>
      </c>
      <c r="G9275" s="3" t="n">
        <v>62272.01</v>
      </c>
    </row>
    <row r="9276">
      <c r="A9276" s="3" t="inlineStr">
        <is>
          <t>Opportunity Global Sales (PTY) LTD</t>
        </is>
      </c>
      <c r="B9276" s="4" t="n">
        <v>44742</v>
      </c>
      <c r="C9276" s="3" t="inlineStr">
        <is>
          <t>Expenses</t>
        </is>
      </c>
      <c r="D9276" s="3" t="inlineStr">
        <is>
          <t>2000/132</t>
        </is>
      </c>
      <c r="E9276" s="3" t="inlineStr">
        <is>
          <t>COS - Sales Comm Endulini - Minette</t>
        </is>
      </c>
      <c r="F9276" s="3" t="n">
        <v>55400.63</v>
      </c>
      <c r="G9276" s="3" t="n">
        <v>219091.48</v>
      </c>
    </row>
    <row r="9277">
      <c r="A9277" s="3" t="inlineStr">
        <is>
          <t>Opportunity Global Sales (PTY) LTD</t>
        </is>
      </c>
      <c r="B9277" s="4" t="n">
        <v>44742</v>
      </c>
      <c r="C9277" s="3" t="inlineStr">
        <is>
          <t>Expenses</t>
        </is>
      </c>
      <c r="D9277" s="3" t="inlineStr">
        <is>
          <t>2000/133</t>
        </is>
      </c>
      <c r="E9277" s="3" t="inlineStr">
        <is>
          <t>COS - Sales Comm Endulini - External Agents</t>
        </is>
      </c>
      <c r="F9277" s="3" t="n">
        <v>0</v>
      </c>
      <c r="G9277" s="3" t="n">
        <v>9966</v>
      </c>
    </row>
    <row r="9278">
      <c r="A9278" s="3" t="inlineStr">
        <is>
          <t>Opportunity Global Sales (PTY) LTD</t>
        </is>
      </c>
      <c r="B9278" s="4" t="n">
        <v>44742</v>
      </c>
      <c r="C9278" s="3" t="inlineStr">
        <is>
          <t>Expenses</t>
        </is>
      </c>
      <c r="D9278" s="3" t="inlineStr">
        <is>
          <t>2000/135</t>
        </is>
      </c>
      <c r="E9278" s="3" t="inlineStr">
        <is>
          <t>COS - Sales Comm External - Minette</t>
        </is>
      </c>
      <c r="F9278" s="3" t="n">
        <v>0</v>
      </c>
      <c r="G9278" s="3" t="n">
        <v>33189.5</v>
      </c>
    </row>
    <row r="9279">
      <c r="A9279" s="3" t="inlineStr">
        <is>
          <t>Opportunity Global Investment (PTY) LTD</t>
        </is>
      </c>
      <c r="B9279" s="4" t="n">
        <v>44742</v>
      </c>
      <c r="C9279" s="3" t="inlineStr">
        <is>
          <t>Expenses</t>
        </is>
      </c>
      <c r="D9279" s="3" t="inlineStr">
        <is>
          <t>2000/135</t>
        </is>
      </c>
      <c r="E9279" s="3" t="inlineStr">
        <is>
          <t>Referral commission - Heron View</t>
        </is>
      </c>
      <c r="F9279" s="3" t="n">
        <v>113500</v>
      </c>
      <c r="G9279" s="3" t="n">
        <v>113500</v>
      </c>
    </row>
    <row r="9280">
      <c r="A9280" s="3" t="inlineStr">
        <is>
          <t>Opportunity Global Sales (PTY) LTD</t>
        </is>
      </c>
      <c r="B9280" s="4" t="n">
        <v>44742</v>
      </c>
      <c r="C9280" s="3" t="inlineStr">
        <is>
          <t>Expenses</t>
        </is>
      </c>
      <c r="D9280" s="3" t="inlineStr">
        <is>
          <t>2000/137</t>
        </is>
      </c>
      <c r="E9280" s="3" t="inlineStr">
        <is>
          <t>COS - Rental Comm External - Minette</t>
        </is>
      </c>
      <c r="F9280" s="3" t="n">
        <v>6110</v>
      </c>
      <c r="G9280" s="3" t="n">
        <v>26965.05</v>
      </c>
    </row>
    <row r="9281">
      <c r="A9281" s="3" t="inlineStr">
        <is>
          <t>Opportunity Global Sales (PTY) LTD</t>
        </is>
      </c>
      <c r="B9281" s="4" t="n">
        <v>44742</v>
      </c>
      <c r="C9281" s="3" t="inlineStr">
        <is>
          <t>Expenses</t>
        </is>
      </c>
      <c r="D9281" s="3" t="inlineStr">
        <is>
          <t>2000/139</t>
        </is>
      </c>
      <c r="E9281" s="3" t="inlineStr">
        <is>
          <t>COS - Sales Comm Heron Fields - Minette</t>
        </is>
      </c>
      <c r="F9281" s="3" t="n">
        <v>22644.82</v>
      </c>
      <c r="G9281" s="3" t="n">
        <v>118132.73</v>
      </c>
    </row>
    <row r="9282">
      <c r="A9282" s="3" t="inlineStr">
        <is>
          <t>Trademark Holdings (Pty) Ltd</t>
        </is>
      </c>
      <c r="B9282" s="4" t="n">
        <v>44742</v>
      </c>
      <c r="C9282" s="3" t="inlineStr">
        <is>
          <t>Expenses</t>
        </is>
      </c>
      <c r="D9282" s="3" t="inlineStr">
        <is>
          <t>2000/300</t>
        </is>
      </c>
      <c r="E9282" s="3" t="inlineStr">
        <is>
          <t>COS - Commission Paid</t>
        </is>
      </c>
      <c r="F9282" s="3" t="n">
        <v>15542.29</v>
      </c>
      <c r="G9282" s="3" t="n">
        <v>215207.87</v>
      </c>
    </row>
    <row r="9283">
      <c r="A9283" s="3" t="inlineStr">
        <is>
          <t>Opportunity Global Sales (PTY) LTD</t>
        </is>
      </c>
      <c r="B9283" s="4" t="n">
        <v>44742</v>
      </c>
      <c r="C9283" s="3" t="inlineStr">
        <is>
          <t>Expenses</t>
        </is>
      </c>
      <c r="D9283" s="3" t="inlineStr">
        <is>
          <t>2000/350</t>
        </is>
      </c>
      <c r="E9283" s="3" t="inlineStr">
        <is>
          <t>COS - Overrider Comm Endulini - Donovan</t>
        </is>
      </c>
      <c r="F9283" s="3" t="n">
        <v>0</v>
      </c>
      <c r="G9283" s="3" t="n">
        <v>56041.3</v>
      </c>
    </row>
    <row r="9284">
      <c r="A9284" s="3" t="inlineStr">
        <is>
          <t>Opportunity Global Sales (PTY) LTD</t>
        </is>
      </c>
      <c r="B9284" s="4" t="n">
        <v>44742</v>
      </c>
      <c r="C9284" s="3" t="inlineStr">
        <is>
          <t>Expenses</t>
        </is>
      </c>
      <c r="D9284" s="3" t="inlineStr">
        <is>
          <t>2000/351</t>
        </is>
      </c>
      <c r="E9284" s="3" t="inlineStr">
        <is>
          <t>COS - Overrider Comm External - Donovan</t>
        </is>
      </c>
      <c r="F9284" s="3" t="n">
        <v>0</v>
      </c>
      <c r="G9284" s="3" t="n">
        <v>7030.44</v>
      </c>
    </row>
    <row r="9285">
      <c r="A9285" s="3" t="inlineStr">
        <is>
          <t>Opportunity Global Sales (PTY) LTD</t>
        </is>
      </c>
      <c r="B9285" s="4" t="n">
        <v>44742</v>
      </c>
      <c r="C9285" s="3" t="inlineStr">
        <is>
          <t>Expenses</t>
        </is>
      </c>
      <c r="D9285" s="3" t="inlineStr">
        <is>
          <t>2000/370</t>
        </is>
      </c>
      <c r="E9285" s="3" t="inlineStr">
        <is>
          <t>COS - Overrider Comm Endulini - Morne</t>
        </is>
      </c>
      <c r="F9285" s="3" t="n">
        <v>1030.37</v>
      </c>
      <c r="G9285" s="3" t="n">
        <v>4107.85</v>
      </c>
    </row>
    <row r="9286">
      <c r="A9286" s="3" t="inlineStr">
        <is>
          <t>Opportunity Global Sales (PTY) LTD</t>
        </is>
      </c>
      <c r="B9286" s="4" t="n">
        <v>44742</v>
      </c>
      <c r="C9286" s="3" t="inlineStr">
        <is>
          <t>Expenses</t>
        </is>
      </c>
      <c r="D9286" s="3" t="inlineStr">
        <is>
          <t>2000/380</t>
        </is>
      </c>
      <c r="E9286" s="3" t="inlineStr">
        <is>
          <t>COS - Overrider Comm Heron Fields - Morne</t>
        </is>
      </c>
      <c r="F9286" s="3" t="n">
        <v>2071.17</v>
      </c>
      <c r="G9286" s="3" t="n">
        <v>3968.87</v>
      </c>
    </row>
    <row r="9287">
      <c r="A9287" s="3" t="inlineStr">
        <is>
          <t>Trademark Holdings (Pty) Ltd</t>
        </is>
      </c>
      <c r="B9287" s="4" t="n">
        <v>44742</v>
      </c>
      <c r="C9287" s="3" t="inlineStr">
        <is>
          <t>Expenses</t>
        </is>
      </c>
      <c r="D9287" s="3" t="inlineStr">
        <is>
          <t>2000/400</t>
        </is>
      </c>
      <c r="E9287" s="3" t="inlineStr">
        <is>
          <t>COS - Commission on external sales</t>
        </is>
      </c>
      <c r="F9287" s="3" t="n">
        <v>0</v>
      </c>
      <c r="G9287" s="3" t="n">
        <v>42000</v>
      </c>
    </row>
    <row r="9288">
      <c r="A9288" s="3" t="inlineStr">
        <is>
          <t>Endulini (Pty) Ltd</t>
        </is>
      </c>
      <c r="B9288" s="4" t="n">
        <v>44742</v>
      </c>
      <c r="C9288" s="3" t="inlineStr">
        <is>
          <t>Expenses</t>
        </is>
      </c>
      <c r="D9288" s="3" t="inlineStr">
        <is>
          <t>2000/400</t>
        </is>
      </c>
      <c r="E9288" s="3" t="inlineStr">
        <is>
          <t>COS - Gifts</t>
        </is>
      </c>
      <c r="F9288" s="3" t="n">
        <v>0</v>
      </c>
      <c r="G9288" s="3" t="n">
        <v>4270</v>
      </c>
    </row>
    <row r="9289">
      <c r="A9289" s="3" t="inlineStr">
        <is>
          <t>Opportunity Global Sales (PTY) LTD</t>
        </is>
      </c>
      <c r="B9289" s="4" t="n">
        <v>44742</v>
      </c>
      <c r="C9289" s="3" t="inlineStr">
        <is>
          <t>Expenses</t>
        </is>
      </c>
      <c r="D9289" s="3" t="inlineStr">
        <is>
          <t>2000/500</t>
        </is>
      </c>
      <c r="E9289" s="3" t="inlineStr">
        <is>
          <t>COS - Electricity Costs Endulini</t>
        </is>
      </c>
      <c r="F9289" s="3" t="n">
        <v>250</v>
      </c>
      <c r="G9289" s="3" t="n">
        <v>336.96</v>
      </c>
    </row>
    <row r="9290">
      <c r="A9290" s="3" t="inlineStr">
        <is>
          <t>Trademark Holdings (Pty) Ltd</t>
        </is>
      </c>
      <c r="B9290" s="4" t="n">
        <v>44742</v>
      </c>
      <c r="C9290" s="3" t="inlineStr">
        <is>
          <t>Expenses</t>
        </is>
      </c>
      <c r="D9290" s="3" t="inlineStr">
        <is>
          <t>2000/500</t>
        </is>
      </c>
      <c r="E9290" s="3" t="inlineStr">
        <is>
          <t>COS - Inspection fee</t>
        </is>
      </c>
      <c r="F9290" s="3" t="n">
        <v>0</v>
      </c>
      <c r="G9290" s="3" t="n">
        <v>1500</v>
      </c>
    </row>
    <row r="9291">
      <c r="A9291" s="3" t="inlineStr">
        <is>
          <t>Endulini (Pty) Ltd</t>
        </is>
      </c>
      <c r="B9291" s="4" t="n">
        <v>44742</v>
      </c>
      <c r="C9291" s="3" t="inlineStr">
        <is>
          <t>Expenses</t>
        </is>
      </c>
      <c r="D9291" s="3" t="inlineStr">
        <is>
          <t>2000/500</t>
        </is>
      </c>
      <c r="E9291" s="3" t="inlineStr">
        <is>
          <t>COS - Legal Fees Opening of Sec Title Scheme</t>
        </is>
      </c>
      <c r="F9291" s="3" t="n">
        <v>0</v>
      </c>
      <c r="G9291" s="3" t="n">
        <v>56287.76</v>
      </c>
    </row>
    <row r="9292">
      <c r="A9292" s="3" t="inlineStr">
        <is>
          <t>Endulini (Pty) Ltd</t>
        </is>
      </c>
      <c r="B9292" s="4" t="n">
        <v>44742</v>
      </c>
      <c r="C9292" s="3" t="inlineStr">
        <is>
          <t>Expenses</t>
        </is>
      </c>
      <c r="D9292" s="3" t="inlineStr">
        <is>
          <t>2000/600</t>
        </is>
      </c>
      <c r="E9292" s="3" t="inlineStr">
        <is>
          <t>COS - Legal fees</t>
        </is>
      </c>
      <c r="F9292" s="3" t="n">
        <v>96423.19</v>
      </c>
      <c r="G9292" s="3" t="n">
        <v>603454.86</v>
      </c>
    </row>
    <row r="9293">
      <c r="A9293" s="3" t="inlineStr">
        <is>
          <t>Endulini (Pty) Ltd</t>
        </is>
      </c>
      <c r="B9293" s="4" t="n">
        <v>44742</v>
      </c>
      <c r="C9293" s="3" t="inlineStr">
        <is>
          <t>Expenses</t>
        </is>
      </c>
      <c r="D9293" s="3" t="inlineStr">
        <is>
          <t>2000/700</t>
        </is>
      </c>
      <c r="E9293" s="3" t="inlineStr">
        <is>
          <t>COS - C2M Certificate for transfer</t>
        </is>
      </c>
      <c r="F9293" s="3" t="n">
        <v>0</v>
      </c>
      <c r="G9293" s="3" t="n">
        <v>8000</v>
      </c>
    </row>
    <row r="9294">
      <c r="A9294" s="3" t="inlineStr">
        <is>
          <t>Endulini (Pty) Ltd</t>
        </is>
      </c>
      <c r="B9294" s="4" t="n">
        <v>44742</v>
      </c>
      <c r="C9294" s="3" t="inlineStr">
        <is>
          <t>Expenses</t>
        </is>
      </c>
      <c r="D9294" s="3" t="inlineStr">
        <is>
          <t>2000/800</t>
        </is>
      </c>
      <c r="E9294" s="3" t="inlineStr">
        <is>
          <t>COS - Purchaser Variations</t>
        </is>
      </c>
      <c r="F9294" s="3" t="n">
        <v>0</v>
      </c>
      <c r="G9294" s="3" t="n">
        <v>8734.540000000001</v>
      </c>
    </row>
    <row r="9295">
      <c r="A9295" s="3" t="inlineStr">
        <is>
          <t>Quinate Consulting (Pty) Ltd</t>
        </is>
      </c>
      <c r="B9295" s="4" t="n">
        <v>44742</v>
      </c>
      <c r="C9295" s="3" t="inlineStr">
        <is>
          <t>Revenue</t>
        </is>
      </c>
      <c r="D9295" s="3" t="inlineStr">
        <is>
          <t>2400/200</t>
        </is>
      </c>
      <c r="E9295" s="3" t="inlineStr">
        <is>
          <t>Recovery Acc - Electricity SH</t>
        </is>
      </c>
      <c r="F9295" s="3" t="n">
        <v>-28102.25</v>
      </c>
      <c r="G9295" s="3" t="n">
        <v>-90811.25</v>
      </c>
    </row>
    <row r="9296">
      <c r="A9296" s="3" t="inlineStr">
        <is>
          <t>Quinate Consulting (Pty) Ltd</t>
        </is>
      </c>
      <c r="B9296" s="4" t="n">
        <v>44742</v>
      </c>
      <c r="C9296" s="3" t="inlineStr">
        <is>
          <t>Revenue</t>
        </is>
      </c>
      <c r="D9296" s="3" t="inlineStr">
        <is>
          <t>2400/300</t>
        </is>
      </c>
      <c r="E9296" s="3" t="inlineStr">
        <is>
          <t>Recovery Account - Electricity SW</t>
        </is>
      </c>
      <c r="F9296" s="3" t="n">
        <v>-21331.61</v>
      </c>
      <c r="G9296" s="3" t="n">
        <v>-67126.35000000001</v>
      </c>
    </row>
    <row r="9297">
      <c r="A9297" s="3" t="inlineStr">
        <is>
          <t>Endulini (Pty) Ltd</t>
        </is>
      </c>
      <c r="B9297" s="4" t="n">
        <v>44742</v>
      </c>
      <c r="C9297" s="3" t="inlineStr">
        <is>
          <t>Revenue</t>
        </is>
      </c>
      <c r="D9297" s="3" t="inlineStr">
        <is>
          <t>2750/000</t>
        </is>
      </c>
      <c r="E9297" s="3" t="inlineStr">
        <is>
          <t>Interest Received</t>
        </is>
      </c>
      <c r="F9297" s="3" t="n">
        <v>-40.06</v>
      </c>
      <c r="G9297" s="3" t="n">
        <v>-68.29000000000001</v>
      </c>
    </row>
    <row r="9298">
      <c r="A9298" s="3" t="inlineStr">
        <is>
          <t>Opportunity Management Holdings (PTY) LTD</t>
        </is>
      </c>
      <c r="B9298" s="4" t="n">
        <v>44742</v>
      </c>
      <c r="C9298" s="3" t="inlineStr">
        <is>
          <t>Revenue</t>
        </is>
      </c>
      <c r="D9298" s="3" t="inlineStr">
        <is>
          <t>2750/000</t>
        </is>
      </c>
      <c r="E9298" s="3" t="inlineStr">
        <is>
          <t>Interest Received</t>
        </is>
      </c>
      <c r="F9298" s="3" t="n">
        <v>0</v>
      </c>
      <c r="G9298" s="3" t="n">
        <v>-0.21</v>
      </c>
    </row>
    <row r="9299">
      <c r="A9299" s="3" t="inlineStr">
        <is>
          <t>Opportunity Global Sales (PTY) LTD</t>
        </is>
      </c>
      <c r="B9299" s="4" t="n">
        <v>44742</v>
      </c>
      <c r="C9299" s="3" t="inlineStr">
        <is>
          <t>Revenue</t>
        </is>
      </c>
      <c r="D9299" s="3" t="inlineStr">
        <is>
          <t>2750/000</t>
        </is>
      </c>
      <c r="E9299" s="3" t="inlineStr">
        <is>
          <t>Interest Received - Bank</t>
        </is>
      </c>
      <c r="F9299" s="3" t="n">
        <v>-2.3</v>
      </c>
      <c r="G9299" s="3" t="n">
        <v>-2.3</v>
      </c>
    </row>
    <row r="9300">
      <c r="A9300" s="3" t="inlineStr">
        <is>
          <t>Opportunity Global Investment (PTY) LTD</t>
        </is>
      </c>
      <c r="B9300" s="4" t="n">
        <v>44742</v>
      </c>
      <c r="C9300" s="3" t="inlineStr">
        <is>
          <t>Revenue</t>
        </is>
      </c>
      <c r="D9300" s="3" t="inlineStr">
        <is>
          <t>2753/000</t>
        </is>
      </c>
      <c r="E9300" s="3" t="inlineStr">
        <is>
          <t>Interest received - Momentum</t>
        </is>
      </c>
      <c r="F9300" s="3" t="n">
        <v>-54.57</v>
      </c>
      <c r="G9300" s="3" t="n">
        <v>-72.15000000000001</v>
      </c>
    </row>
    <row r="9301">
      <c r="A9301" s="3" t="inlineStr">
        <is>
          <t>Endulini (Pty) Ltd</t>
        </is>
      </c>
      <c r="B9301" s="4" t="n">
        <v>44742</v>
      </c>
      <c r="C9301" s="3" t="inlineStr">
        <is>
          <t>Revenue</t>
        </is>
      </c>
      <c r="D9301" s="3" t="inlineStr">
        <is>
          <t>2755/001</t>
        </is>
      </c>
      <c r="E9301" s="3" t="inlineStr">
        <is>
          <t>Interest Received - Momentum</t>
        </is>
      </c>
      <c r="F9301" s="3" t="n">
        <v>712.66</v>
      </c>
      <c r="G9301" s="3" t="n">
        <v>-23981.18</v>
      </c>
    </row>
    <row r="9302">
      <c r="A9302" s="3" t="inlineStr">
        <is>
          <t>Quinate Consulting (Pty) Ltd</t>
        </is>
      </c>
      <c r="B9302" s="4" t="n">
        <v>44742</v>
      </c>
      <c r="C9302" s="3" t="inlineStr">
        <is>
          <t>Revenue</t>
        </is>
      </c>
      <c r="D9302" s="3" t="inlineStr">
        <is>
          <t>2755/001</t>
        </is>
      </c>
      <c r="E9302" s="3" t="inlineStr">
        <is>
          <t>Interest Received - Momentum</t>
        </is>
      </c>
      <c r="F9302" s="3" t="n">
        <v>-4.24</v>
      </c>
      <c r="G9302" s="3" t="n">
        <v>-8.25</v>
      </c>
    </row>
    <row r="9303">
      <c r="A9303" s="3" t="inlineStr">
        <is>
          <t>Opportunity Global Investment (PTY) LTD</t>
        </is>
      </c>
      <c r="B9303" s="4" t="n">
        <v>44742</v>
      </c>
      <c r="C9303" s="3" t="inlineStr">
        <is>
          <t>Expenses</t>
        </is>
      </c>
      <c r="D9303" s="3" t="inlineStr">
        <is>
          <t>3000/200</t>
        </is>
      </c>
      <c r="E9303" s="3" t="inlineStr">
        <is>
          <t>Accounting Fees - General</t>
        </is>
      </c>
      <c r="F9303" s="3" t="n">
        <v>0</v>
      </c>
      <c r="G9303" s="3" t="n">
        <v>540</v>
      </c>
    </row>
    <row r="9304">
      <c r="A9304" s="3" t="inlineStr">
        <is>
          <t>Noble Shield (Pty) Ltd ta Go Letting</t>
        </is>
      </c>
      <c r="B9304" s="4" t="n">
        <v>44742</v>
      </c>
      <c r="C9304" s="3" t="inlineStr">
        <is>
          <t>Expenses</t>
        </is>
      </c>
      <c r="D9304" s="3" t="inlineStr">
        <is>
          <t>3000/300</t>
        </is>
      </c>
      <c r="E9304" s="3" t="inlineStr">
        <is>
          <t>Accounting Fees - Audit</t>
        </is>
      </c>
      <c r="F9304" s="3" t="n">
        <v>0</v>
      </c>
      <c r="G9304" s="3" t="n">
        <v>25967</v>
      </c>
    </row>
    <row r="9305">
      <c r="A9305" s="3" t="inlineStr">
        <is>
          <t>Trademark Holdings (Pty) Ltd</t>
        </is>
      </c>
      <c r="B9305" s="4" t="n">
        <v>44742</v>
      </c>
      <c r="C9305" s="3" t="inlineStr">
        <is>
          <t>Expenses</t>
        </is>
      </c>
      <c r="D9305" s="3" t="inlineStr">
        <is>
          <t>3000/300</t>
        </is>
      </c>
      <c r="E9305" s="3" t="inlineStr">
        <is>
          <t>Accounting Fees - Audit</t>
        </is>
      </c>
      <c r="F9305" s="3" t="n">
        <v>0</v>
      </c>
      <c r="G9305" s="3" t="n">
        <v>16790</v>
      </c>
    </row>
    <row r="9306">
      <c r="A9306" s="3" t="inlineStr">
        <is>
          <t>Noble Shield (Pty) Ltd ta Go Letting</t>
        </is>
      </c>
      <c r="B9306" s="4" t="n">
        <v>44742</v>
      </c>
      <c r="C9306" s="3" t="inlineStr">
        <is>
          <t>Expenses</t>
        </is>
      </c>
      <c r="D9306" s="3" t="inlineStr">
        <is>
          <t>3000/400</t>
        </is>
      </c>
      <c r="E9306" s="3" t="inlineStr">
        <is>
          <t>Accounting Fees - CipC</t>
        </is>
      </c>
      <c r="F9306" s="3" t="n">
        <v>0</v>
      </c>
      <c r="G9306" s="3" t="n">
        <v>100</v>
      </c>
    </row>
    <row r="9307">
      <c r="A9307" s="3" t="inlineStr">
        <is>
          <t>Trademark Holdings (Pty) Ltd</t>
        </is>
      </c>
      <c r="B9307" s="4" t="n">
        <v>44742</v>
      </c>
      <c r="C9307" s="3" t="inlineStr">
        <is>
          <t>Expenses</t>
        </is>
      </c>
      <c r="D9307" s="3" t="inlineStr">
        <is>
          <t>3000/500</t>
        </is>
      </c>
      <c r="E9307" s="3" t="inlineStr">
        <is>
          <t>Accounting Fees - Other</t>
        </is>
      </c>
      <c r="F9307" s="3" t="n">
        <v>0</v>
      </c>
      <c r="G9307" s="3" t="n">
        <v>621</v>
      </c>
    </row>
    <row r="9308">
      <c r="A9308" s="3" t="inlineStr">
        <is>
          <t>Opportunity Management Holdings (PTY) LTD</t>
        </is>
      </c>
      <c r="B9308" s="4" t="n">
        <v>44742</v>
      </c>
      <c r="C9308" s="3" t="inlineStr">
        <is>
          <t>Expenses</t>
        </is>
      </c>
      <c r="D9308" s="3" t="inlineStr">
        <is>
          <t>3001/000</t>
        </is>
      </c>
      <c r="E9308" s="3" t="inlineStr">
        <is>
          <t>Accounting Fees - Payroll</t>
        </is>
      </c>
      <c r="F9308" s="3" t="n">
        <v>0</v>
      </c>
      <c r="G9308" s="3" t="n">
        <v>577.5</v>
      </c>
    </row>
    <row r="9309">
      <c r="A9309" s="3" t="inlineStr">
        <is>
          <t>Quinate Consulting (Pty) Ltd</t>
        </is>
      </c>
      <c r="B9309" s="4" t="n">
        <v>44742</v>
      </c>
      <c r="C9309" s="3" t="inlineStr">
        <is>
          <t>Expenses</t>
        </is>
      </c>
      <c r="D9309" s="3" t="inlineStr">
        <is>
          <t>3001/000</t>
        </is>
      </c>
      <c r="E9309" s="3" t="inlineStr">
        <is>
          <t>Accounting fees - Other</t>
        </is>
      </c>
      <c r="F9309" s="3" t="n">
        <v>0</v>
      </c>
      <c r="G9309" s="3" t="n">
        <v>1850</v>
      </c>
    </row>
    <row r="9310">
      <c r="A9310" s="3" t="inlineStr">
        <is>
          <t>Opportunity Management Holdings (PTY) LTD</t>
        </is>
      </c>
      <c r="B9310" s="4" t="n">
        <v>44742</v>
      </c>
      <c r="C9310" s="3" t="inlineStr">
        <is>
          <t>Expenses</t>
        </is>
      </c>
      <c r="D9310" s="3" t="inlineStr">
        <is>
          <t>3004/000</t>
        </is>
      </c>
      <c r="E9310" s="3" t="inlineStr">
        <is>
          <t>Accounting fees - Janine Theart</t>
        </is>
      </c>
      <c r="F9310" s="3" t="n">
        <v>17500</v>
      </c>
      <c r="G9310" s="3" t="n">
        <v>152500</v>
      </c>
    </row>
    <row r="9311">
      <c r="A9311" s="3" t="inlineStr">
        <is>
          <t>Opportunity Management Holdings (PTY) LTD</t>
        </is>
      </c>
      <c r="B9311" s="4" t="n">
        <v>44742</v>
      </c>
      <c r="C9311" s="3" t="inlineStr">
        <is>
          <t>Expenses</t>
        </is>
      </c>
      <c r="D9311" s="3" t="inlineStr">
        <is>
          <t>3005/000</t>
        </is>
      </c>
      <c r="E9311" s="3" t="inlineStr">
        <is>
          <t>Accounting fees - Deric Dudley</t>
        </is>
      </c>
      <c r="F9311" s="3" t="n">
        <v>50000</v>
      </c>
      <c r="G9311" s="3" t="n">
        <v>414000</v>
      </c>
    </row>
    <row r="9312">
      <c r="A9312" s="3" t="inlineStr">
        <is>
          <t>Opportunity Management Holdings (PTY) LTD</t>
        </is>
      </c>
      <c r="B9312" s="4" t="n">
        <v>44742</v>
      </c>
      <c r="C9312" s="3" t="inlineStr">
        <is>
          <t>Expenses</t>
        </is>
      </c>
      <c r="D9312" s="3" t="inlineStr">
        <is>
          <t>3006/000</t>
        </is>
      </c>
      <c r="E9312" s="3" t="inlineStr">
        <is>
          <t>Accounting fees - CIPC</t>
        </is>
      </c>
      <c r="F9312" s="3" t="n">
        <v>0</v>
      </c>
      <c r="G9312" s="3" t="n">
        <v>350</v>
      </c>
    </row>
    <row r="9313">
      <c r="A9313" s="3" t="inlineStr">
        <is>
          <t>Opportunity Management Holdings (PTY) LTD</t>
        </is>
      </c>
      <c r="B9313" s="4" t="n">
        <v>44742</v>
      </c>
      <c r="C9313" s="3" t="inlineStr">
        <is>
          <t>Expenses</t>
        </is>
      </c>
      <c r="D9313" s="3" t="inlineStr">
        <is>
          <t>3007/000</t>
        </is>
      </c>
      <c r="E9313" s="3" t="inlineStr">
        <is>
          <t>Accounting fees - Warwick</t>
        </is>
      </c>
      <c r="F9313" s="3" t="n">
        <v>54000</v>
      </c>
      <c r="G9313" s="3" t="n">
        <v>254090.46</v>
      </c>
    </row>
    <row r="9314">
      <c r="A9314" s="3" t="inlineStr">
        <is>
          <t>Endulini (Pty) Ltd</t>
        </is>
      </c>
      <c r="B9314" s="4" t="n">
        <v>44742</v>
      </c>
      <c r="C9314" s="3" t="inlineStr">
        <is>
          <t>Expenses</t>
        </is>
      </c>
      <c r="D9314" s="3" t="inlineStr">
        <is>
          <t>3050/000</t>
        </is>
      </c>
      <c r="E9314" s="3" t="inlineStr">
        <is>
          <t>Advertising _AND_ Promotions</t>
        </is>
      </c>
      <c r="F9314" s="3" t="n">
        <v>0</v>
      </c>
      <c r="G9314" s="3" t="n">
        <v>4565</v>
      </c>
    </row>
    <row r="9315">
      <c r="A9315" s="3" t="inlineStr">
        <is>
          <t>Noble Shield (Pty) Ltd ta Go Letting</t>
        </is>
      </c>
      <c r="B9315" s="4" t="n">
        <v>44742</v>
      </c>
      <c r="C9315" s="3" t="inlineStr">
        <is>
          <t>Expenses</t>
        </is>
      </c>
      <c r="D9315" s="3" t="inlineStr">
        <is>
          <t>3050/000</t>
        </is>
      </c>
      <c r="E9315" s="3" t="inlineStr">
        <is>
          <t>Advertising _AND_ Promotions</t>
        </is>
      </c>
      <c r="F9315" s="3" t="n">
        <v>0</v>
      </c>
      <c r="G9315" s="3" t="n">
        <v>3862.5</v>
      </c>
    </row>
    <row r="9316">
      <c r="A9316" s="3" t="inlineStr">
        <is>
          <t>Opportunity Management Holdings (PTY) LTD</t>
        </is>
      </c>
      <c r="B9316" s="4" t="n">
        <v>44742</v>
      </c>
      <c r="C9316" s="3" t="inlineStr">
        <is>
          <t>Expenses</t>
        </is>
      </c>
      <c r="D9316" s="3" t="inlineStr">
        <is>
          <t>3050/000</t>
        </is>
      </c>
      <c r="E9316" s="3" t="inlineStr">
        <is>
          <t>Advertising _AND_ Promotions</t>
        </is>
      </c>
      <c r="F9316" s="3" t="n">
        <v>637.5</v>
      </c>
      <c r="G9316" s="3" t="n">
        <v>9442.5</v>
      </c>
    </row>
    <row r="9317">
      <c r="A9317" s="3" t="inlineStr">
        <is>
          <t>Quinate Consulting (Pty) Ltd</t>
        </is>
      </c>
      <c r="B9317" s="4" t="n">
        <v>44742</v>
      </c>
      <c r="C9317" s="3" t="inlineStr">
        <is>
          <t>Expenses</t>
        </is>
      </c>
      <c r="D9317" s="3" t="inlineStr">
        <is>
          <t>3050/000</t>
        </is>
      </c>
      <c r="E9317" s="3" t="inlineStr">
        <is>
          <t>Advertising _AND_ Promotions</t>
        </is>
      </c>
      <c r="F9317" s="3" t="n">
        <v>1875.22</v>
      </c>
      <c r="G9317" s="3" t="n">
        <v>1875.22</v>
      </c>
    </row>
    <row r="9318">
      <c r="A9318" s="3" t="inlineStr">
        <is>
          <t>Endulini (Pty) Ltd</t>
        </is>
      </c>
      <c r="B9318" s="4" t="n">
        <v>44742</v>
      </c>
      <c r="C9318" s="3" t="inlineStr">
        <is>
          <t>Expenses</t>
        </is>
      </c>
      <c r="D9318" s="3" t="inlineStr">
        <is>
          <t>3050/001</t>
        </is>
      </c>
      <c r="E9318" s="3" t="inlineStr">
        <is>
          <t>Advertising _AND_ Promotions - Media Agenda</t>
        </is>
      </c>
      <c r="F9318" s="3" t="n">
        <v>0</v>
      </c>
      <c r="G9318" s="3" t="n">
        <v>4000</v>
      </c>
    </row>
    <row r="9319">
      <c r="A9319" s="3" t="inlineStr">
        <is>
          <t>Noble Shield (Pty) Ltd ta Go Letting</t>
        </is>
      </c>
      <c r="B9319" s="4" t="n">
        <v>44742</v>
      </c>
      <c r="C9319" s="3" t="inlineStr">
        <is>
          <t>Expenses</t>
        </is>
      </c>
      <c r="D9319" s="3" t="inlineStr">
        <is>
          <t>3050/050</t>
        </is>
      </c>
      <c r="E9319" s="3" t="inlineStr">
        <is>
          <t>Advertising - Prop 24</t>
        </is>
      </c>
      <c r="F9319" s="3" t="n">
        <v>2198.8</v>
      </c>
      <c r="G9319" s="3" t="n">
        <v>20986.35</v>
      </c>
    </row>
    <row r="9320">
      <c r="A9320" s="3" t="inlineStr">
        <is>
          <t>Trademark Holdings (Pty) Ltd</t>
        </is>
      </c>
      <c r="B9320" s="4" t="n">
        <v>44742</v>
      </c>
      <c r="C9320" s="3" t="inlineStr">
        <is>
          <t>Expenses</t>
        </is>
      </c>
      <c r="D9320" s="3" t="inlineStr">
        <is>
          <t>3050/060</t>
        </is>
      </c>
      <c r="E9320" s="3" t="inlineStr">
        <is>
          <t>Advertising - Other</t>
        </is>
      </c>
      <c r="F9320" s="3" t="n">
        <v>0</v>
      </c>
      <c r="G9320" s="3" t="n">
        <v>7595.75</v>
      </c>
    </row>
    <row r="9321">
      <c r="A9321" s="3" t="inlineStr">
        <is>
          <t>Noble Shield (Pty) Ltd ta Go Letting</t>
        </is>
      </c>
      <c r="B9321" s="4" t="n">
        <v>44742</v>
      </c>
      <c r="C9321" s="3" t="inlineStr">
        <is>
          <t>Expenses</t>
        </is>
      </c>
      <c r="D9321" s="3" t="inlineStr">
        <is>
          <t>3050/070</t>
        </is>
      </c>
      <c r="E9321" s="3" t="inlineStr">
        <is>
          <t>Advertising - Facebook</t>
        </is>
      </c>
      <c r="F9321" s="3" t="n">
        <v>0</v>
      </c>
      <c r="G9321" s="3" t="n">
        <v>3317.35</v>
      </c>
    </row>
    <row r="9322">
      <c r="A9322" s="3" t="inlineStr">
        <is>
          <t>Opportunity Global Sales (PTY) LTD</t>
        </is>
      </c>
      <c r="B9322" s="4" t="n">
        <v>44742</v>
      </c>
      <c r="C9322" s="3" t="inlineStr">
        <is>
          <t>Expenses</t>
        </is>
      </c>
      <c r="D9322" s="3" t="inlineStr">
        <is>
          <t>3050/100</t>
        </is>
      </c>
      <c r="E9322" s="3" t="inlineStr">
        <is>
          <t>Advertising - Facebook</t>
        </is>
      </c>
      <c r="F9322" s="3" t="n">
        <v>10050.39</v>
      </c>
      <c r="G9322" s="3" t="n">
        <v>36730</v>
      </c>
    </row>
    <row r="9323">
      <c r="A9323" s="3" t="inlineStr">
        <is>
          <t>Opportunity Global Sales (PTY) LTD</t>
        </is>
      </c>
      <c r="B9323" s="4" t="n">
        <v>44742</v>
      </c>
      <c r="C9323" s="3" t="inlineStr">
        <is>
          <t>Expenses</t>
        </is>
      </c>
      <c r="D9323" s="3" t="inlineStr">
        <is>
          <t>3050/140</t>
        </is>
      </c>
      <c r="E9323" s="3" t="inlineStr">
        <is>
          <t>Advertising - Media Agenda</t>
        </is>
      </c>
      <c r="F9323" s="3" t="n">
        <v>0</v>
      </c>
      <c r="G9323" s="3" t="n">
        <v>1925</v>
      </c>
    </row>
    <row r="9324">
      <c r="A9324" s="3" t="inlineStr">
        <is>
          <t>Opportunity Global Investment (PTY) LTD</t>
        </is>
      </c>
      <c r="B9324" s="4" t="n">
        <v>44742</v>
      </c>
      <c r="C9324" s="3" t="inlineStr">
        <is>
          <t>Expenses</t>
        </is>
      </c>
      <c r="D9324" s="3" t="inlineStr">
        <is>
          <t>3050/250</t>
        </is>
      </c>
      <c r="E9324" s="3" t="inlineStr">
        <is>
          <t>Advertising - General</t>
        </is>
      </c>
      <c r="F9324" s="3" t="n">
        <v>874</v>
      </c>
      <c r="G9324" s="3" t="n">
        <v>874</v>
      </c>
    </row>
    <row r="9325">
      <c r="A9325" s="3" t="inlineStr">
        <is>
          <t>Opportunity Global Sales (PTY) LTD</t>
        </is>
      </c>
      <c r="B9325" s="4" t="n">
        <v>44742</v>
      </c>
      <c r="C9325" s="3" t="inlineStr">
        <is>
          <t>Expenses</t>
        </is>
      </c>
      <c r="D9325" s="3" t="inlineStr">
        <is>
          <t>3050/250</t>
        </is>
      </c>
      <c r="E9325" s="3" t="inlineStr">
        <is>
          <t>Advertising - General</t>
        </is>
      </c>
      <c r="F9325" s="3" t="n">
        <v>641.9400000000001</v>
      </c>
      <c r="G9325" s="3" t="n">
        <v>2373.85</v>
      </c>
    </row>
    <row r="9326">
      <c r="A9326" s="3" t="inlineStr">
        <is>
          <t>Opportunity Global Investment (PTY) LTD</t>
        </is>
      </c>
      <c r="B9326" s="4" t="n">
        <v>44742</v>
      </c>
      <c r="C9326" s="3" t="inlineStr">
        <is>
          <t>Expenses</t>
        </is>
      </c>
      <c r="D9326" s="3" t="inlineStr">
        <is>
          <t>3050/260</t>
        </is>
      </c>
      <c r="E9326" s="3" t="inlineStr">
        <is>
          <t>Advertising - Media Agenda</t>
        </is>
      </c>
      <c r="F9326" s="3" t="n">
        <v>0</v>
      </c>
      <c r="G9326" s="3" t="n">
        <v>687.5</v>
      </c>
    </row>
    <row r="9327">
      <c r="A9327" s="3" t="inlineStr">
        <is>
          <t>Opportunity Global Investment (PTY) LTD</t>
        </is>
      </c>
      <c r="B9327" s="4" t="n">
        <v>44742</v>
      </c>
      <c r="C9327" s="3" t="inlineStr">
        <is>
          <t>Expenses</t>
        </is>
      </c>
      <c r="D9327" s="3" t="inlineStr">
        <is>
          <t>3050/270</t>
        </is>
      </c>
      <c r="E9327" s="3" t="inlineStr">
        <is>
          <t>Advertising - Radia and TV Interviews</t>
        </is>
      </c>
      <c r="F9327" s="3" t="n">
        <v>34240</v>
      </c>
      <c r="G9327" s="3" t="n">
        <v>60672</v>
      </c>
    </row>
    <row r="9328">
      <c r="A9328" s="3" t="inlineStr">
        <is>
          <t>Opportunity Global Investment (PTY) LTD</t>
        </is>
      </c>
      <c r="B9328" s="4" t="n">
        <v>44742</v>
      </c>
      <c r="C9328" s="3" t="inlineStr">
        <is>
          <t>Expenses</t>
        </is>
      </c>
      <c r="D9328" s="3" t="inlineStr">
        <is>
          <t>3050/290</t>
        </is>
      </c>
      <c r="E9328" s="3" t="inlineStr">
        <is>
          <t>Advertising - Serene Living</t>
        </is>
      </c>
      <c r="F9328" s="3" t="n">
        <v>65086</v>
      </c>
      <c r="G9328" s="3" t="n">
        <v>260344</v>
      </c>
    </row>
    <row r="9329">
      <c r="A9329" s="3" t="inlineStr">
        <is>
          <t>Opportunity Global Investment (PTY) LTD</t>
        </is>
      </c>
      <c r="B9329" s="4" t="n">
        <v>44742</v>
      </c>
      <c r="C9329" s="3" t="inlineStr">
        <is>
          <t>Expenses</t>
        </is>
      </c>
      <c r="D9329" s="3" t="inlineStr">
        <is>
          <t>3050/295</t>
        </is>
      </c>
      <c r="E9329" s="3" t="inlineStr">
        <is>
          <t>Advertising - Reale Activation</t>
        </is>
      </c>
      <c r="F9329" s="3" t="n">
        <v>1586.31</v>
      </c>
      <c r="G9329" s="3" t="n">
        <v>33130.71</v>
      </c>
    </row>
    <row r="9330">
      <c r="A9330" s="3" t="inlineStr">
        <is>
          <t>Opportunity Global Investment (PTY) LTD</t>
        </is>
      </c>
      <c r="B9330" s="4" t="n">
        <v>44742</v>
      </c>
      <c r="C9330" s="3" t="inlineStr">
        <is>
          <t>Expenses</t>
        </is>
      </c>
      <c r="D9330" s="3" t="inlineStr">
        <is>
          <t>3050/300</t>
        </is>
      </c>
      <c r="E9330" s="3" t="inlineStr">
        <is>
          <t>Advertising - Design</t>
        </is>
      </c>
      <c r="F9330" s="3" t="n">
        <v>6796</v>
      </c>
      <c r="G9330" s="3" t="n">
        <v>24321</v>
      </c>
    </row>
    <row r="9331">
      <c r="A9331" s="3" t="inlineStr">
        <is>
          <t>Opportunity Global Sales (PTY) LTD</t>
        </is>
      </c>
      <c r="B9331" s="4" t="n">
        <v>44742</v>
      </c>
      <c r="C9331" s="3" t="inlineStr">
        <is>
          <t>Expenses</t>
        </is>
      </c>
      <c r="D9331" s="3" t="inlineStr">
        <is>
          <t>3050/350</t>
        </is>
      </c>
      <c r="E9331" s="3" t="inlineStr">
        <is>
          <t>Advertising - Private Property</t>
        </is>
      </c>
      <c r="F9331" s="3" t="n">
        <v>1250</v>
      </c>
      <c r="G9331" s="3" t="n">
        <v>5000</v>
      </c>
    </row>
    <row r="9332">
      <c r="A9332" s="3" t="inlineStr">
        <is>
          <t>Opportunity Global Sales (PTY) LTD</t>
        </is>
      </c>
      <c r="B9332" s="4" t="n">
        <v>44742</v>
      </c>
      <c r="C9332" s="3" t="inlineStr">
        <is>
          <t>Expenses</t>
        </is>
      </c>
      <c r="D9332" s="3" t="inlineStr">
        <is>
          <t>3050/370</t>
        </is>
      </c>
      <c r="E9332" s="3" t="inlineStr">
        <is>
          <t>Advertising - HR</t>
        </is>
      </c>
      <c r="F9332" s="3" t="n">
        <v>0</v>
      </c>
      <c r="G9332" s="3" t="n">
        <v>1200</v>
      </c>
    </row>
    <row r="9333">
      <c r="A9333" s="3" t="inlineStr">
        <is>
          <t>Quinate Consulting (Pty) Ltd</t>
        </is>
      </c>
      <c r="B9333" s="4" t="n">
        <v>44742</v>
      </c>
      <c r="C9333" s="3" t="inlineStr">
        <is>
          <t>Expenses</t>
        </is>
      </c>
      <c r="D9333" s="3" t="inlineStr">
        <is>
          <t>3050/400</t>
        </is>
      </c>
      <c r="E9333" s="3" t="inlineStr">
        <is>
          <t>Advertising - Prop24</t>
        </is>
      </c>
      <c r="F9333" s="3" t="n">
        <v>15507</v>
      </c>
      <c r="G9333" s="3" t="n">
        <v>53534</v>
      </c>
    </row>
    <row r="9334">
      <c r="A9334" s="3" t="inlineStr">
        <is>
          <t>Quinate Consulting (Pty) Ltd</t>
        </is>
      </c>
      <c r="B9334" s="4" t="n">
        <v>44742</v>
      </c>
      <c r="C9334" s="3" t="inlineStr">
        <is>
          <t>Expenses</t>
        </is>
      </c>
      <c r="D9334" s="3" t="inlineStr">
        <is>
          <t>3050/450</t>
        </is>
      </c>
      <c r="E9334" s="3" t="inlineStr">
        <is>
          <t>Advertising - Facebook</t>
        </is>
      </c>
      <c r="F9334" s="3" t="n">
        <v>10894.5</v>
      </c>
      <c r="G9334" s="3" t="n">
        <v>28098.55</v>
      </c>
    </row>
    <row r="9335">
      <c r="A9335" s="3" t="inlineStr">
        <is>
          <t>Opportunity Global Investment (PTY) LTD</t>
        </is>
      </c>
      <c r="B9335" s="4" t="n">
        <v>44742</v>
      </c>
      <c r="C9335" s="3" t="inlineStr">
        <is>
          <t>Expenses</t>
        </is>
      </c>
      <c r="D9335" s="3" t="inlineStr">
        <is>
          <t>3051/000</t>
        </is>
      </c>
      <c r="E9335" s="3" t="inlineStr">
        <is>
          <t>Advertising - Facebook</t>
        </is>
      </c>
      <c r="F9335" s="3" t="n">
        <v>15338.49</v>
      </c>
      <c r="G9335" s="3" t="n">
        <v>72611.17</v>
      </c>
    </row>
    <row r="9336">
      <c r="A9336" s="3" t="inlineStr">
        <is>
          <t>Opportunity Global Investment (PTY) LTD</t>
        </is>
      </c>
      <c r="B9336" s="4" t="n">
        <v>44742</v>
      </c>
      <c r="C9336" s="3" t="inlineStr">
        <is>
          <t>Expenses</t>
        </is>
      </c>
      <c r="D9336" s="3" t="inlineStr">
        <is>
          <t>3053/000</t>
        </is>
      </c>
      <c r="E9336" s="3" t="inlineStr">
        <is>
          <t>Advertising - Google Ads</t>
        </is>
      </c>
      <c r="F9336" s="3" t="n">
        <v>2191.56</v>
      </c>
      <c r="G9336" s="3" t="n">
        <v>5140.37</v>
      </c>
    </row>
    <row r="9337">
      <c r="A9337" s="3" t="inlineStr">
        <is>
          <t>Opportunity Management Holdings (PTY) LTD</t>
        </is>
      </c>
      <c r="B9337" s="4" t="n">
        <v>44742</v>
      </c>
      <c r="C9337" s="3" t="inlineStr">
        <is>
          <t>Expenses</t>
        </is>
      </c>
      <c r="D9337" s="3" t="inlineStr">
        <is>
          <t>3100/000</t>
        </is>
      </c>
      <c r="E9337" s="3" t="inlineStr">
        <is>
          <t>Accounting Fees - Audit Fees</t>
        </is>
      </c>
      <c r="F9337" s="3" t="n">
        <v>0</v>
      </c>
      <c r="G9337" s="3" t="n">
        <v>17550</v>
      </c>
    </row>
    <row r="9338">
      <c r="A9338" s="3" t="inlineStr">
        <is>
          <t>Endulini (Pty) Ltd</t>
        </is>
      </c>
      <c r="B9338" s="4" t="n">
        <v>44742</v>
      </c>
      <c r="C9338" s="3" t="inlineStr">
        <is>
          <t>Expenses</t>
        </is>
      </c>
      <c r="D9338" s="3" t="inlineStr">
        <is>
          <t>3200/000</t>
        </is>
      </c>
      <c r="E9338" s="3" t="inlineStr">
        <is>
          <t>Bank Charges</t>
        </is>
      </c>
      <c r="F9338" s="3" t="n">
        <v>530.1799999999999</v>
      </c>
      <c r="G9338" s="3" t="n">
        <v>2254.76</v>
      </c>
    </row>
    <row r="9339">
      <c r="A9339" s="3" t="inlineStr">
        <is>
          <t>Noble Shield (Pty) Ltd ta Go Letting</t>
        </is>
      </c>
      <c r="B9339" s="4" t="n">
        <v>44742</v>
      </c>
      <c r="C9339" s="3" t="inlineStr">
        <is>
          <t>Expenses</t>
        </is>
      </c>
      <c r="D9339" s="3" t="inlineStr">
        <is>
          <t>3200/000</t>
        </is>
      </c>
      <c r="E9339" s="3" t="inlineStr">
        <is>
          <t>Bank Charges</t>
        </is>
      </c>
      <c r="F9339" s="3" t="n">
        <v>1479.88</v>
      </c>
      <c r="G9339" s="3" t="n">
        <v>12669.84</v>
      </c>
    </row>
    <row r="9340">
      <c r="A9340" s="3" t="inlineStr">
        <is>
          <t>Opportunity Global Investment (PTY) LTD</t>
        </is>
      </c>
      <c r="B9340" s="4" t="n">
        <v>44742</v>
      </c>
      <c r="C9340" s="3" t="inlineStr">
        <is>
          <t>Expenses</t>
        </is>
      </c>
      <c r="D9340" s="3" t="inlineStr">
        <is>
          <t>3200/000</t>
        </is>
      </c>
      <c r="E9340" s="3" t="inlineStr">
        <is>
          <t>Bank Charges</t>
        </is>
      </c>
      <c r="F9340" s="3" t="n">
        <v>1641.19</v>
      </c>
      <c r="G9340" s="3" t="n">
        <v>7000.81</v>
      </c>
    </row>
    <row r="9341">
      <c r="A9341" s="3" t="inlineStr">
        <is>
          <t>Opportunity Global Sales (PTY) LTD</t>
        </is>
      </c>
      <c r="B9341" s="4" t="n">
        <v>44742</v>
      </c>
      <c r="C9341" s="3" t="inlineStr">
        <is>
          <t>Expenses</t>
        </is>
      </c>
      <c r="D9341" s="3" t="inlineStr">
        <is>
          <t>3200/000</t>
        </is>
      </c>
      <c r="E9341" s="3" t="inlineStr">
        <is>
          <t>Bank Charges</t>
        </is>
      </c>
      <c r="F9341" s="3" t="n">
        <v>883.2</v>
      </c>
      <c r="G9341" s="3" t="n">
        <v>3752.02</v>
      </c>
    </row>
    <row r="9342">
      <c r="A9342" s="3" t="inlineStr">
        <is>
          <t>Opportunity Management Holdings (PTY) LTD</t>
        </is>
      </c>
      <c r="B9342" s="4" t="n">
        <v>44742</v>
      </c>
      <c r="C9342" s="3" t="inlineStr">
        <is>
          <t>Expenses</t>
        </is>
      </c>
      <c r="D9342" s="3" t="inlineStr">
        <is>
          <t>3200/000</t>
        </is>
      </c>
      <c r="E9342" s="3" t="inlineStr">
        <is>
          <t>Bank Charges</t>
        </is>
      </c>
      <c r="F9342" s="3" t="n">
        <v>2459.7</v>
      </c>
      <c r="G9342" s="3" t="n">
        <v>14812.17</v>
      </c>
    </row>
    <row r="9343">
      <c r="A9343" s="3" t="inlineStr">
        <is>
          <t>Quinate Consulting (Pty) Ltd</t>
        </is>
      </c>
      <c r="B9343" s="4" t="n">
        <v>44742</v>
      </c>
      <c r="C9343" s="3" t="inlineStr">
        <is>
          <t>Expenses</t>
        </is>
      </c>
      <c r="D9343" s="3" t="inlineStr">
        <is>
          <t>3200/000</t>
        </is>
      </c>
      <c r="E9343" s="3" t="inlineStr">
        <is>
          <t>Bank Charges</t>
        </is>
      </c>
      <c r="F9343" s="3" t="n">
        <v>1811.51</v>
      </c>
      <c r="G9343" s="3" t="n">
        <v>6297.2</v>
      </c>
    </row>
    <row r="9344">
      <c r="A9344" s="3" t="inlineStr">
        <is>
          <t>Trademark Holdings (Pty) Ltd</t>
        </is>
      </c>
      <c r="B9344" s="4" t="n">
        <v>44742</v>
      </c>
      <c r="C9344" s="3" t="inlineStr">
        <is>
          <t>Expenses</t>
        </is>
      </c>
      <c r="D9344" s="3" t="inlineStr">
        <is>
          <t>3200/000</t>
        </is>
      </c>
      <c r="E9344" s="3" t="inlineStr">
        <is>
          <t>Bank Charges</t>
        </is>
      </c>
      <c r="F9344" s="3" t="n">
        <v>768.01</v>
      </c>
      <c r="G9344" s="3" t="n">
        <v>7225.56</v>
      </c>
    </row>
    <row r="9345">
      <c r="A9345" s="3" t="inlineStr">
        <is>
          <t>Quinate Consulting (Pty) Ltd</t>
        </is>
      </c>
      <c r="B9345" s="4" t="n">
        <v>44742</v>
      </c>
      <c r="C9345" s="3" t="inlineStr">
        <is>
          <t>Expenses</t>
        </is>
      </c>
      <c r="D9345" s="3" t="inlineStr">
        <is>
          <t>3220/000</t>
        </is>
      </c>
      <c r="E9345" s="3" t="inlineStr">
        <is>
          <t>Bank Charges - Bond Fees</t>
        </is>
      </c>
      <c r="F9345" s="3" t="n">
        <v>1117.41</v>
      </c>
      <c r="G9345" s="3" t="n">
        <v>4469.64</v>
      </c>
    </row>
    <row r="9346">
      <c r="A9346" s="3" t="inlineStr">
        <is>
          <t>Noble Shield (Pty) Ltd ta Go Letting</t>
        </is>
      </c>
      <c r="B9346" s="4" t="n">
        <v>44742</v>
      </c>
      <c r="C9346" s="3" t="inlineStr">
        <is>
          <t>Expenses</t>
        </is>
      </c>
      <c r="D9346" s="3" t="inlineStr">
        <is>
          <t>3230/000</t>
        </is>
      </c>
      <c r="E9346" s="3" t="inlineStr">
        <is>
          <t>Cell Phone - NM</t>
        </is>
      </c>
      <c r="F9346" s="3" t="n">
        <v>2311.84</v>
      </c>
      <c r="G9346" s="3" t="n">
        <v>22847.85</v>
      </c>
    </row>
    <row r="9347">
      <c r="A9347" s="3" t="inlineStr">
        <is>
          <t>Noble Shield (Pty) Ltd ta Go Letting</t>
        </is>
      </c>
      <c r="B9347" s="4" t="n">
        <v>44742</v>
      </c>
      <c r="C9347" s="3" t="inlineStr">
        <is>
          <t>Expenses</t>
        </is>
      </c>
      <c r="D9347" s="3" t="inlineStr">
        <is>
          <t>3233/000</t>
        </is>
      </c>
      <c r="E9347" s="3" t="inlineStr">
        <is>
          <t>Cell Data - Other</t>
        </is>
      </c>
      <c r="F9347" s="3" t="n">
        <v>199</v>
      </c>
      <c r="G9347" s="3" t="n">
        <v>2558</v>
      </c>
    </row>
    <row r="9348">
      <c r="A9348" s="3" t="inlineStr">
        <is>
          <t>Noble Shield (Pty) Ltd ta Go Letting</t>
        </is>
      </c>
      <c r="B9348" s="4" t="n">
        <v>44742</v>
      </c>
      <c r="C9348" s="3" t="inlineStr">
        <is>
          <t>Expenses</t>
        </is>
      </c>
      <c r="D9348" s="3" t="inlineStr">
        <is>
          <t>3233/100</t>
        </is>
      </c>
      <c r="E9348" s="3" t="inlineStr">
        <is>
          <t>Cell Data - Sales office Wifi</t>
        </is>
      </c>
      <c r="F9348" s="3" t="n">
        <v>369</v>
      </c>
      <c r="G9348" s="3" t="n">
        <v>3051</v>
      </c>
    </row>
    <row r="9349">
      <c r="A9349" s="3" t="inlineStr">
        <is>
          <t>Noble Shield (Pty) Ltd ta Go Letting</t>
        </is>
      </c>
      <c r="B9349" s="4" t="n">
        <v>44742</v>
      </c>
      <c r="C9349" s="3" t="inlineStr">
        <is>
          <t>Expenses</t>
        </is>
      </c>
      <c r="D9349" s="3" t="inlineStr">
        <is>
          <t>3250/000</t>
        </is>
      </c>
      <c r="E9349" s="3" t="inlineStr">
        <is>
          <t>Cleaning</t>
        </is>
      </c>
      <c r="F9349" s="3" t="n">
        <v>210.84</v>
      </c>
      <c r="G9349" s="3" t="n">
        <v>869.3200000000001</v>
      </c>
    </row>
    <row r="9350">
      <c r="A9350" s="3" t="inlineStr">
        <is>
          <t>Opportunity Global Investment (PTY) LTD</t>
        </is>
      </c>
      <c r="B9350" s="4" t="n">
        <v>44742</v>
      </c>
      <c r="C9350" s="3" t="inlineStr">
        <is>
          <t>Expenses</t>
        </is>
      </c>
      <c r="D9350" s="3" t="inlineStr">
        <is>
          <t>3250/000</t>
        </is>
      </c>
      <c r="E9350" s="3" t="inlineStr">
        <is>
          <t>Cleaning</t>
        </is>
      </c>
      <c r="F9350" s="3" t="n">
        <v>2700</v>
      </c>
      <c r="G9350" s="3" t="n">
        <v>10800</v>
      </c>
    </row>
    <row r="9351">
      <c r="A9351" s="3" t="inlineStr">
        <is>
          <t>Opportunity Management Holdings (PTY) LTD</t>
        </is>
      </c>
      <c r="B9351" s="4" t="n">
        <v>44742</v>
      </c>
      <c r="C9351" s="3" t="inlineStr">
        <is>
          <t>Expenses</t>
        </is>
      </c>
      <c r="D9351" s="3" t="inlineStr">
        <is>
          <t>3250/000</t>
        </is>
      </c>
      <c r="E9351" s="3" t="inlineStr">
        <is>
          <t>Cleaning</t>
        </is>
      </c>
      <c r="F9351" s="3" t="n">
        <v>1260.87</v>
      </c>
      <c r="G9351" s="3" t="n">
        <v>3260.87</v>
      </c>
    </row>
    <row r="9352">
      <c r="A9352" s="3" t="inlineStr">
        <is>
          <t>Trademark Holdings (Pty) Ltd</t>
        </is>
      </c>
      <c r="B9352" s="4" t="n">
        <v>44742</v>
      </c>
      <c r="C9352" s="3" t="inlineStr">
        <is>
          <t>Expenses</t>
        </is>
      </c>
      <c r="D9352" s="3" t="inlineStr">
        <is>
          <t>3250/000</t>
        </is>
      </c>
      <c r="E9352" s="3" t="inlineStr">
        <is>
          <t>Cleaning</t>
        </is>
      </c>
      <c r="F9352" s="3" t="n">
        <v>1040</v>
      </c>
      <c r="G9352" s="3" t="n">
        <v>9612</v>
      </c>
    </row>
    <row r="9353">
      <c r="A9353" s="3" t="inlineStr">
        <is>
          <t>Noble Shield (Pty) Ltd ta Go Letting</t>
        </is>
      </c>
      <c r="B9353" s="4" t="n">
        <v>44742</v>
      </c>
      <c r="C9353" s="3" t="inlineStr">
        <is>
          <t>Expenses</t>
        </is>
      </c>
      <c r="D9353" s="3" t="inlineStr">
        <is>
          <t>3300/000</t>
        </is>
      </c>
      <c r="E9353" s="3" t="inlineStr">
        <is>
          <t>Computer Expenses</t>
        </is>
      </c>
      <c r="F9353" s="3" t="n">
        <v>0</v>
      </c>
      <c r="G9353" s="3" t="n">
        <v>3226.5</v>
      </c>
    </row>
    <row r="9354">
      <c r="A9354" s="3" t="inlineStr">
        <is>
          <t>Opportunity Global Investment (PTY) LTD</t>
        </is>
      </c>
      <c r="B9354" s="4" t="n">
        <v>44742</v>
      </c>
      <c r="C9354" s="3" t="inlineStr">
        <is>
          <t>Expenses</t>
        </is>
      </c>
      <c r="D9354" s="3" t="inlineStr">
        <is>
          <t>3300/000</t>
        </is>
      </c>
      <c r="E9354" s="3" t="inlineStr">
        <is>
          <t>Computer Expenses</t>
        </is>
      </c>
      <c r="F9354" s="3" t="n">
        <v>0</v>
      </c>
      <c r="G9354" s="3" t="n">
        <v>1800</v>
      </c>
    </row>
    <row r="9355">
      <c r="A9355" s="3" t="inlineStr">
        <is>
          <t>Opportunity Global Sales (PTY) LTD</t>
        </is>
      </c>
      <c r="B9355" s="4" t="n">
        <v>44742</v>
      </c>
      <c r="C9355" s="3" t="inlineStr">
        <is>
          <t>Expenses</t>
        </is>
      </c>
      <c r="D9355" s="3" t="inlineStr">
        <is>
          <t>3300/000</t>
        </is>
      </c>
      <c r="E9355" s="3" t="inlineStr">
        <is>
          <t>Computer Expenses</t>
        </is>
      </c>
      <c r="F9355" s="3" t="n">
        <v>0</v>
      </c>
      <c r="G9355" s="3" t="n">
        <v>275</v>
      </c>
    </row>
    <row r="9356">
      <c r="A9356" s="3" t="inlineStr">
        <is>
          <t>Opportunity Management Holdings (PTY) LTD</t>
        </is>
      </c>
      <c r="B9356" s="4" t="n">
        <v>44742</v>
      </c>
      <c r="C9356" s="3" t="inlineStr">
        <is>
          <t>Expenses</t>
        </is>
      </c>
      <c r="D9356" s="3" t="inlineStr">
        <is>
          <t>3300/000</t>
        </is>
      </c>
      <c r="E9356" s="3" t="inlineStr">
        <is>
          <t>Computer Expenses</t>
        </is>
      </c>
      <c r="F9356" s="3" t="n">
        <v>630.4299999999999</v>
      </c>
      <c r="G9356" s="3" t="n">
        <v>2963.55</v>
      </c>
    </row>
    <row r="9357">
      <c r="A9357" s="3" t="inlineStr">
        <is>
          <t>Quinate Consulting (Pty) Ltd</t>
        </is>
      </c>
      <c r="B9357" s="4" t="n">
        <v>44742</v>
      </c>
      <c r="C9357" s="3" t="inlineStr">
        <is>
          <t>Expenses</t>
        </is>
      </c>
      <c r="D9357" s="3" t="inlineStr">
        <is>
          <t>3300/000</t>
        </is>
      </c>
      <c r="E9357" s="3" t="inlineStr">
        <is>
          <t>Computer Expenses</t>
        </is>
      </c>
      <c r="F9357" s="3" t="n">
        <v>0</v>
      </c>
      <c r="G9357" s="3" t="n">
        <v>509.04</v>
      </c>
    </row>
    <row r="9358">
      <c r="A9358" s="3" t="inlineStr">
        <is>
          <t>Trademark Holdings (Pty) Ltd</t>
        </is>
      </c>
      <c r="B9358" s="4" t="n">
        <v>44742</v>
      </c>
      <c r="C9358" s="3" t="inlineStr">
        <is>
          <t>Expenses</t>
        </is>
      </c>
      <c r="D9358" s="3" t="inlineStr">
        <is>
          <t>3300/000</t>
        </is>
      </c>
      <c r="E9358" s="3" t="inlineStr">
        <is>
          <t>Computer Expenses</t>
        </is>
      </c>
      <c r="F9358" s="3" t="n">
        <v>1246.5</v>
      </c>
      <c r="G9358" s="3" t="n">
        <v>8960.9</v>
      </c>
    </row>
    <row r="9359">
      <c r="A9359" s="3" t="inlineStr">
        <is>
          <t>Noble Shield (Pty) Ltd ta Go Letting</t>
        </is>
      </c>
      <c r="B9359" s="4" t="n">
        <v>44742</v>
      </c>
      <c r="C9359" s="3" t="inlineStr">
        <is>
          <t>Expenses</t>
        </is>
      </c>
      <c r="D9359" s="3" t="inlineStr">
        <is>
          <t>3300/120</t>
        </is>
      </c>
      <c r="E9359" s="3" t="inlineStr">
        <is>
          <t>Computer IT - Software Propworx</t>
        </is>
      </c>
      <c r="F9359" s="3" t="n">
        <v>2087.25</v>
      </c>
      <c r="G9359" s="3" t="n">
        <v>17658.25</v>
      </c>
    </row>
    <row r="9360">
      <c r="A9360" s="3" t="inlineStr">
        <is>
          <t>Trademark Holdings (Pty) Ltd</t>
        </is>
      </c>
      <c r="B9360" s="4" t="n">
        <v>44742</v>
      </c>
      <c r="C9360" s="3" t="inlineStr">
        <is>
          <t>Expenses</t>
        </is>
      </c>
      <c r="D9360" s="3" t="inlineStr">
        <is>
          <t>3300/125</t>
        </is>
      </c>
      <c r="E9360" s="3" t="inlineStr">
        <is>
          <t>Computer IT - CT</t>
        </is>
      </c>
      <c r="F9360" s="3" t="n">
        <v>0</v>
      </c>
      <c r="G9360" s="3" t="n">
        <v>106.38</v>
      </c>
    </row>
    <row r="9361">
      <c r="A9361" s="3" t="inlineStr">
        <is>
          <t>Trademark Holdings (Pty) Ltd</t>
        </is>
      </c>
      <c r="B9361" s="4" t="n">
        <v>44742</v>
      </c>
      <c r="C9361" s="3" t="inlineStr">
        <is>
          <t>Expenses</t>
        </is>
      </c>
      <c r="D9361" s="3" t="inlineStr">
        <is>
          <t>3300/130</t>
        </is>
      </c>
      <c r="E9361" s="3" t="inlineStr">
        <is>
          <t>Computer IT - Internet/Hosting Fees</t>
        </is>
      </c>
      <c r="F9361" s="3" t="n">
        <v>0</v>
      </c>
      <c r="G9361" s="3" t="n">
        <v>28939.75</v>
      </c>
    </row>
    <row r="9362">
      <c r="A9362" s="3" t="inlineStr">
        <is>
          <t>Trademark Holdings (Pty) Ltd</t>
        </is>
      </c>
      <c r="B9362" s="4" t="n">
        <v>44742</v>
      </c>
      <c r="C9362" s="3" t="inlineStr">
        <is>
          <t>Expenses</t>
        </is>
      </c>
      <c r="D9362" s="3" t="inlineStr">
        <is>
          <t>3300/145</t>
        </is>
      </c>
      <c r="E9362" s="3" t="inlineStr">
        <is>
          <t>Computer IT - Cloud Solve</t>
        </is>
      </c>
      <c r="F9362" s="3" t="n">
        <v>4588.5</v>
      </c>
      <c r="G9362" s="3" t="n">
        <v>39537</v>
      </c>
    </row>
    <row r="9363">
      <c r="A9363" s="3" t="inlineStr">
        <is>
          <t>Noble Shield (Pty) Ltd ta Go Letting</t>
        </is>
      </c>
      <c r="B9363" s="4" t="n">
        <v>44742</v>
      </c>
      <c r="C9363" s="3" t="inlineStr">
        <is>
          <t>Expenses</t>
        </is>
      </c>
      <c r="D9363" s="3" t="inlineStr">
        <is>
          <t>3300/170</t>
        </is>
      </c>
      <c r="E9363" s="3" t="inlineStr">
        <is>
          <t>Computer IT - VDB office Fibre</t>
        </is>
      </c>
      <c r="F9363" s="3" t="n">
        <v>790</v>
      </c>
      <c r="G9363" s="3" t="n">
        <v>8690</v>
      </c>
    </row>
    <row r="9364">
      <c r="A9364" s="3" t="inlineStr">
        <is>
          <t>Noble Shield (Pty) Ltd ta Go Letting</t>
        </is>
      </c>
      <c r="B9364" s="4" t="n">
        <v>44742</v>
      </c>
      <c r="C9364" s="3" t="inlineStr">
        <is>
          <t>Expenses</t>
        </is>
      </c>
      <c r="D9364" s="3" t="inlineStr">
        <is>
          <t>3301/000</t>
        </is>
      </c>
      <c r="E9364" s="3" t="inlineStr">
        <is>
          <t>Computer Expenses - Xero Setup</t>
        </is>
      </c>
      <c r="F9364" s="3" t="n">
        <v>0</v>
      </c>
      <c r="G9364" s="3" t="n">
        <v>3000</v>
      </c>
    </row>
    <row r="9365">
      <c r="A9365" s="3" t="inlineStr">
        <is>
          <t>Trademark Holdings (Pty) Ltd</t>
        </is>
      </c>
      <c r="B9365" s="4" t="n">
        <v>44742</v>
      </c>
      <c r="C9365" s="3" t="inlineStr">
        <is>
          <t>Expenses</t>
        </is>
      </c>
      <c r="D9365" s="3" t="inlineStr">
        <is>
          <t>3301/000</t>
        </is>
      </c>
      <c r="E9365" s="3" t="inlineStr">
        <is>
          <t>Computer Expenses - Xero Setup</t>
        </is>
      </c>
      <c r="F9365" s="3" t="n">
        <v>0</v>
      </c>
      <c r="G9365" s="3" t="n">
        <v>3000</v>
      </c>
    </row>
    <row r="9366">
      <c r="A9366" s="3" t="inlineStr">
        <is>
          <t>Opportunity Management Holdings (PTY) LTD</t>
        </is>
      </c>
      <c r="B9366" s="4" t="n">
        <v>44742</v>
      </c>
      <c r="C9366" s="3" t="inlineStr">
        <is>
          <t>Expenses</t>
        </is>
      </c>
      <c r="D9366" s="3" t="inlineStr">
        <is>
          <t>3350/000</t>
        </is>
      </c>
      <c r="E9366" s="3" t="inlineStr">
        <is>
          <t>Consulting Fees</t>
        </is>
      </c>
      <c r="F9366" s="3" t="n">
        <v>0</v>
      </c>
      <c r="G9366" s="3" t="n">
        <v>6000</v>
      </c>
    </row>
    <row r="9367">
      <c r="A9367" s="3" t="inlineStr">
        <is>
          <t>Opportunity Management Holdings (PTY) LTD</t>
        </is>
      </c>
      <c r="B9367" s="4" t="n">
        <v>44742</v>
      </c>
      <c r="C9367" s="3" t="inlineStr">
        <is>
          <t>Expenses</t>
        </is>
      </c>
      <c r="D9367" s="3" t="inlineStr">
        <is>
          <t>3350/100</t>
        </is>
      </c>
      <c r="E9367" s="3" t="inlineStr">
        <is>
          <t>Consulting Fee - Dirk Coetzee</t>
        </is>
      </c>
      <c r="F9367" s="3" t="n">
        <v>6000</v>
      </c>
      <c r="G9367" s="3" t="n">
        <v>12000</v>
      </c>
    </row>
    <row r="9368">
      <c r="A9368" s="3" t="inlineStr">
        <is>
          <t>Quinate Consulting (Pty) Ltd</t>
        </is>
      </c>
      <c r="B9368" s="4" t="n">
        <v>44742</v>
      </c>
      <c r="C9368" s="3" t="inlineStr">
        <is>
          <t>Expenses</t>
        </is>
      </c>
      <c r="D9368" s="3" t="inlineStr">
        <is>
          <t>3350/100</t>
        </is>
      </c>
      <c r="E9368" s="3" t="inlineStr">
        <is>
          <t>Consulting Fees</t>
        </is>
      </c>
      <c r="F9368" s="3" t="n">
        <v>0</v>
      </c>
      <c r="G9368" s="3" t="n">
        <v>-15000</v>
      </c>
    </row>
    <row r="9369">
      <c r="A9369" s="3" t="inlineStr">
        <is>
          <t>Endulini (Pty) Ltd</t>
        </is>
      </c>
      <c r="B9369" s="4" t="n">
        <v>44742</v>
      </c>
      <c r="C9369" s="3" t="inlineStr">
        <is>
          <t>Expenses</t>
        </is>
      </c>
      <c r="D9369" s="3" t="inlineStr">
        <is>
          <t>3350/100</t>
        </is>
      </c>
      <c r="E9369" s="3" t="inlineStr">
        <is>
          <t>Consulting Fees - Admin and Finance</t>
        </is>
      </c>
      <c r="F9369" s="3" t="n">
        <v>86425</v>
      </c>
      <c r="G9369" s="3" t="n">
        <v>319265.68</v>
      </c>
    </row>
    <row r="9370">
      <c r="A9370" s="3" t="inlineStr">
        <is>
          <t>Opportunity Global Investment (PTY) LTD</t>
        </is>
      </c>
      <c r="B9370" s="4" t="n">
        <v>44742</v>
      </c>
      <c r="C9370" s="3" t="inlineStr">
        <is>
          <t>Expenses</t>
        </is>
      </c>
      <c r="D9370" s="3" t="inlineStr">
        <is>
          <t>3350/100</t>
        </is>
      </c>
      <c r="E9370" s="3" t="inlineStr">
        <is>
          <t>Consulting Fees - Admin and Finance</t>
        </is>
      </c>
      <c r="F9370" s="3" t="n">
        <v>4775</v>
      </c>
      <c r="G9370" s="3" t="n">
        <v>19100</v>
      </c>
    </row>
    <row r="9371">
      <c r="A9371" s="3" t="inlineStr">
        <is>
          <t>Opportunity Global Sales (PTY) LTD</t>
        </is>
      </c>
      <c r="B9371" s="4" t="n">
        <v>44742</v>
      </c>
      <c r="C9371" s="3" t="inlineStr">
        <is>
          <t>Expenses</t>
        </is>
      </c>
      <c r="D9371" s="3" t="inlineStr">
        <is>
          <t>3350/100</t>
        </is>
      </c>
      <c r="E9371" s="3" t="inlineStr">
        <is>
          <t>Consulting Fees - Admin and Finance</t>
        </is>
      </c>
      <c r="F9371" s="3" t="n">
        <v>6100</v>
      </c>
      <c r="G9371" s="3" t="n">
        <v>24160</v>
      </c>
    </row>
    <row r="9372">
      <c r="A9372" s="3" t="inlineStr">
        <is>
          <t>Opportunity Global Investment (PTY) LTD</t>
        </is>
      </c>
      <c r="B9372" s="4" t="n">
        <v>44742</v>
      </c>
      <c r="C9372" s="3" t="inlineStr">
        <is>
          <t>Expenses</t>
        </is>
      </c>
      <c r="D9372" s="3" t="inlineStr">
        <is>
          <t>3350/200</t>
        </is>
      </c>
      <c r="E9372" s="3" t="inlineStr">
        <is>
          <t>Consulting Fees - Rockfin</t>
        </is>
      </c>
      <c r="F9372" s="3" t="n">
        <v>13850</v>
      </c>
      <c r="G9372" s="3" t="n">
        <v>18850</v>
      </c>
    </row>
    <row r="9373">
      <c r="A9373" s="3" t="inlineStr">
        <is>
          <t>Quinate Consulting (Pty) Ltd</t>
        </is>
      </c>
      <c r="B9373" s="4" t="n">
        <v>44742</v>
      </c>
      <c r="C9373" s="3" t="inlineStr">
        <is>
          <t>Expenses</t>
        </is>
      </c>
      <c r="D9373" s="3" t="inlineStr">
        <is>
          <t>3350/300</t>
        </is>
      </c>
      <c r="E9373" s="3" t="inlineStr">
        <is>
          <t>Consulting Fees - Admin and Finance</t>
        </is>
      </c>
      <c r="F9373" s="3" t="n">
        <v>2000</v>
      </c>
      <c r="G9373" s="3" t="n">
        <v>9700</v>
      </c>
    </row>
    <row r="9374">
      <c r="A9374" s="3" t="inlineStr">
        <is>
          <t>Opportunity Global Investment (PTY) LTD</t>
        </is>
      </c>
      <c r="B9374" s="4" t="n">
        <v>44742</v>
      </c>
      <c r="C9374" s="3" t="inlineStr">
        <is>
          <t>Expenses</t>
        </is>
      </c>
      <c r="D9374" s="3" t="inlineStr">
        <is>
          <t>3351/000</t>
        </is>
      </c>
      <c r="E9374" s="3" t="inlineStr">
        <is>
          <t>Consulting Fees - HR Joblaw</t>
        </is>
      </c>
      <c r="F9374" s="3" t="n">
        <v>1350</v>
      </c>
      <c r="G9374" s="3" t="n">
        <v>5400</v>
      </c>
    </row>
    <row r="9375">
      <c r="A9375" s="3" t="inlineStr">
        <is>
          <t>Quinate Consulting (Pty) Ltd</t>
        </is>
      </c>
      <c r="B9375" s="4" t="n">
        <v>44742</v>
      </c>
      <c r="C9375" s="3" t="inlineStr">
        <is>
          <t>Expenses</t>
        </is>
      </c>
      <c r="D9375" s="3" t="inlineStr">
        <is>
          <t>3351/000</t>
        </is>
      </c>
      <c r="E9375" s="3" t="inlineStr">
        <is>
          <t>Consulting fees - Trustees</t>
        </is>
      </c>
      <c r="F9375" s="3" t="n">
        <v>8000</v>
      </c>
      <c r="G9375" s="3" t="n">
        <v>28000</v>
      </c>
    </row>
    <row r="9376">
      <c r="A9376" s="3" t="inlineStr">
        <is>
          <t>Opportunity Global Investment (PTY) LTD</t>
        </is>
      </c>
      <c r="B9376" s="4" t="n">
        <v>44742</v>
      </c>
      <c r="C9376" s="3" t="inlineStr">
        <is>
          <t>Expenses</t>
        </is>
      </c>
      <c r="D9376" s="3" t="inlineStr">
        <is>
          <t>3352/000</t>
        </is>
      </c>
      <c r="E9376" s="3" t="inlineStr">
        <is>
          <t>Consulting Fees - Kert Scalzini</t>
        </is>
      </c>
      <c r="F9376" s="3" t="n">
        <v>0</v>
      </c>
      <c r="G9376" s="3" t="n">
        <v>20000</v>
      </c>
    </row>
    <row r="9377">
      <c r="A9377" s="3" t="inlineStr">
        <is>
          <t>Quinate Consulting (Pty) Ltd</t>
        </is>
      </c>
      <c r="B9377" s="4" t="n">
        <v>44742</v>
      </c>
      <c r="C9377" s="3" t="inlineStr">
        <is>
          <t>Expenses</t>
        </is>
      </c>
      <c r="D9377" s="3" t="inlineStr">
        <is>
          <t>3450/001</t>
        </is>
      </c>
      <c r="E9377" s="3" t="inlineStr">
        <is>
          <t>Depreciation - Computer Equipment</t>
        </is>
      </c>
      <c r="F9377" s="3" t="n">
        <v>3141.37</v>
      </c>
      <c r="G9377" s="3" t="n">
        <v>12565.51</v>
      </c>
    </row>
    <row r="9378">
      <c r="A9378" s="3" t="inlineStr">
        <is>
          <t>Quinate Consulting (Pty) Ltd</t>
        </is>
      </c>
      <c r="B9378" s="4" t="n">
        <v>44742</v>
      </c>
      <c r="C9378" s="3" t="inlineStr">
        <is>
          <t>Expenses</t>
        </is>
      </c>
      <c r="D9378" s="3" t="inlineStr">
        <is>
          <t>3450/002</t>
        </is>
      </c>
      <c r="E9378" s="3" t="inlineStr">
        <is>
          <t>Depreciation - Site Containers</t>
        </is>
      </c>
      <c r="F9378" s="3" t="n">
        <v>318.84</v>
      </c>
      <c r="G9378" s="3" t="n">
        <v>1275.36</v>
      </c>
    </row>
    <row r="9379">
      <c r="A9379" s="3" t="inlineStr">
        <is>
          <t>Opportunity Management Holdings (PTY) LTD</t>
        </is>
      </c>
      <c r="B9379" s="4" t="n">
        <v>44742</v>
      </c>
      <c r="C9379" s="3" t="inlineStr">
        <is>
          <t>Expenses</t>
        </is>
      </c>
      <c r="D9379" s="3" t="inlineStr">
        <is>
          <t>3451/000</t>
        </is>
      </c>
      <c r="E9379" s="3" t="inlineStr">
        <is>
          <t>Depreciation - Computer Equipment</t>
        </is>
      </c>
      <c r="F9379" s="3" t="n">
        <v>277.75</v>
      </c>
      <c r="G9379" s="3" t="n">
        <v>555.49</v>
      </c>
    </row>
    <row r="9380">
      <c r="A9380" s="3" t="inlineStr">
        <is>
          <t>Quinate Consulting (Pty) Ltd</t>
        </is>
      </c>
      <c r="B9380" s="4" t="n">
        <v>44742</v>
      </c>
      <c r="C9380" s="3" t="inlineStr">
        <is>
          <t>Expenses</t>
        </is>
      </c>
      <c r="D9380" s="3" t="inlineStr">
        <is>
          <t>3600/000</t>
        </is>
      </c>
      <c r="E9380" s="3" t="inlineStr">
        <is>
          <t>Donations</t>
        </is>
      </c>
      <c r="F9380" s="3" t="n">
        <v>535</v>
      </c>
      <c r="G9380" s="3" t="n">
        <v>2140</v>
      </c>
    </row>
    <row r="9381">
      <c r="A9381" s="3" t="inlineStr">
        <is>
          <t>Endulini (Pty) Ltd</t>
        </is>
      </c>
      <c r="B9381" s="4" t="n">
        <v>44742</v>
      </c>
      <c r="C9381" s="3" t="inlineStr">
        <is>
          <t>Expenses</t>
        </is>
      </c>
      <c r="D9381" s="3" t="inlineStr">
        <is>
          <t>3630/000</t>
        </is>
      </c>
      <c r="E9381" s="3" t="inlineStr">
        <is>
          <t>Electricity</t>
        </is>
      </c>
      <c r="F9381" s="3" t="n">
        <v>0</v>
      </c>
      <c r="G9381" s="3" t="n">
        <v>6713.99</v>
      </c>
    </row>
    <row r="9382">
      <c r="A9382" s="3" t="inlineStr">
        <is>
          <t>Noble Shield (Pty) Ltd ta Go Letting</t>
        </is>
      </c>
      <c r="B9382" s="4" t="n">
        <v>44742</v>
      </c>
      <c r="C9382" s="3" t="inlineStr">
        <is>
          <t>Expenses</t>
        </is>
      </c>
      <c r="D9382" s="3" t="inlineStr">
        <is>
          <t>3650/000</t>
        </is>
      </c>
      <c r="E9382" s="3" t="inlineStr">
        <is>
          <t>Electricity _AND_ Water</t>
        </is>
      </c>
      <c r="F9382" s="3" t="n">
        <v>0</v>
      </c>
      <c r="G9382" s="3" t="n">
        <v>5000</v>
      </c>
    </row>
    <row r="9383">
      <c r="A9383" s="3" t="inlineStr">
        <is>
          <t>Opportunity Global Investment (PTY) LTD</t>
        </is>
      </c>
      <c r="B9383" s="4" t="n">
        <v>44742</v>
      </c>
      <c r="C9383" s="3" t="inlineStr">
        <is>
          <t>Expenses</t>
        </is>
      </c>
      <c r="D9383" s="3" t="inlineStr">
        <is>
          <t>3650/000</t>
        </is>
      </c>
      <c r="E9383" s="3" t="inlineStr">
        <is>
          <t>Electricity _AND_ Water</t>
        </is>
      </c>
      <c r="F9383" s="3" t="n">
        <v>2950</v>
      </c>
      <c r="G9383" s="3" t="n">
        <v>11800</v>
      </c>
    </row>
    <row r="9384">
      <c r="A9384" s="3" t="inlineStr">
        <is>
          <t>Endulini (Pty) Ltd</t>
        </is>
      </c>
      <c r="B9384" s="4" t="n">
        <v>44742</v>
      </c>
      <c r="C9384" s="3" t="inlineStr">
        <is>
          <t>Expenses</t>
        </is>
      </c>
      <c r="D9384" s="3" t="inlineStr">
        <is>
          <t>3650/000</t>
        </is>
      </c>
      <c r="E9384" s="3" t="inlineStr">
        <is>
          <t>Water</t>
        </is>
      </c>
      <c r="F9384" s="3" t="n">
        <v>0</v>
      </c>
      <c r="G9384" s="3" t="n">
        <v>4310.7</v>
      </c>
    </row>
    <row r="9385">
      <c r="A9385" s="3" t="inlineStr">
        <is>
          <t>Quinate Consulting (Pty) Ltd</t>
        </is>
      </c>
      <c r="B9385" s="4" t="n">
        <v>44742</v>
      </c>
      <c r="C9385" s="3" t="inlineStr">
        <is>
          <t>Expenses</t>
        </is>
      </c>
      <c r="D9385" s="3" t="inlineStr">
        <is>
          <t>3651/000</t>
        </is>
      </c>
      <c r="E9385" s="3" t="inlineStr">
        <is>
          <t>Electricity _AND_ Water - Southwark</t>
        </is>
      </c>
      <c r="F9385" s="3" t="n">
        <v>19364.83</v>
      </c>
      <c r="G9385" s="3" t="n">
        <v>77962.69</v>
      </c>
    </row>
    <row r="9386">
      <c r="A9386" s="3" t="inlineStr">
        <is>
          <t>Quinate Consulting (Pty) Ltd</t>
        </is>
      </c>
      <c r="B9386" s="4" t="n">
        <v>44742</v>
      </c>
      <c r="C9386" s="3" t="inlineStr">
        <is>
          <t>Expenses</t>
        </is>
      </c>
      <c r="D9386" s="3" t="inlineStr">
        <is>
          <t>3652/000</t>
        </is>
      </c>
      <c r="E9386" s="3" t="inlineStr">
        <is>
          <t>Electricity _AND_ Water - Soho</t>
        </is>
      </c>
      <c r="F9386" s="3" t="n">
        <v>26574.23</v>
      </c>
      <c r="G9386" s="3" t="n">
        <v>84054.44</v>
      </c>
    </row>
    <row r="9387">
      <c r="A9387" s="3" t="inlineStr">
        <is>
          <t>Noble Shield (Pty) Ltd ta Go Letting</t>
        </is>
      </c>
      <c r="B9387" s="4" t="n">
        <v>44742</v>
      </c>
      <c r="C9387" s="3" t="inlineStr">
        <is>
          <t>Expenses</t>
        </is>
      </c>
      <c r="D9387" s="3" t="inlineStr">
        <is>
          <t>3700/000</t>
        </is>
      </c>
      <c r="E9387" s="3" t="inlineStr">
        <is>
          <t>Entertainment Expenses</t>
        </is>
      </c>
      <c r="F9387" s="3" t="n">
        <v>0</v>
      </c>
      <c r="G9387" s="3" t="n">
        <v>1200</v>
      </c>
    </row>
    <row r="9388">
      <c r="A9388" s="3" t="inlineStr">
        <is>
          <t>Opportunity Global Investment (PTY) LTD</t>
        </is>
      </c>
      <c r="B9388" s="4" t="n">
        <v>44742</v>
      </c>
      <c r="C9388" s="3" t="inlineStr">
        <is>
          <t>Expenses</t>
        </is>
      </c>
      <c r="D9388" s="3" t="inlineStr">
        <is>
          <t>3700/000</t>
        </is>
      </c>
      <c r="E9388" s="3" t="inlineStr">
        <is>
          <t>Entertainment Expenses</t>
        </is>
      </c>
      <c r="F9388" s="3" t="n">
        <v>1772</v>
      </c>
      <c r="G9388" s="3" t="n">
        <v>3500.95</v>
      </c>
    </row>
    <row r="9389">
      <c r="A9389" s="3" t="inlineStr">
        <is>
          <t>Opportunity Management Holdings (PTY) LTD</t>
        </is>
      </c>
      <c r="B9389" s="4" t="n">
        <v>44742</v>
      </c>
      <c r="C9389" s="3" t="inlineStr">
        <is>
          <t>Expenses</t>
        </is>
      </c>
      <c r="D9389" s="3" t="inlineStr">
        <is>
          <t>3700/000</t>
        </is>
      </c>
      <c r="E9389" s="3" t="inlineStr">
        <is>
          <t>Entertainment Expenses</t>
        </is>
      </c>
      <c r="F9389" s="3" t="n">
        <v>29.5</v>
      </c>
      <c r="G9389" s="3" t="n">
        <v>711.2</v>
      </c>
    </row>
    <row r="9390">
      <c r="A9390" s="3" t="inlineStr">
        <is>
          <t>Quinate Consulting (Pty) Ltd</t>
        </is>
      </c>
      <c r="B9390" s="4" t="n">
        <v>44742</v>
      </c>
      <c r="C9390" s="3" t="inlineStr">
        <is>
          <t>Expenses</t>
        </is>
      </c>
      <c r="D9390" s="3" t="inlineStr">
        <is>
          <t>3700/000</t>
        </is>
      </c>
      <c r="E9390" s="3" t="inlineStr">
        <is>
          <t>Entertainment Expenses</t>
        </is>
      </c>
      <c r="F9390" s="3" t="n">
        <v>0</v>
      </c>
      <c r="G9390" s="3" t="n">
        <v>4475.49</v>
      </c>
    </row>
    <row r="9391">
      <c r="A9391" s="3" t="inlineStr">
        <is>
          <t>Trademark Holdings (Pty) Ltd</t>
        </is>
      </c>
      <c r="B9391" s="4" t="n">
        <v>44742</v>
      </c>
      <c r="C9391" s="3" t="inlineStr">
        <is>
          <t>Expenses</t>
        </is>
      </c>
      <c r="D9391" s="3" t="inlineStr">
        <is>
          <t>3700/000</t>
        </is>
      </c>
      <c r="E9391" s="3" t="inlineStr">
        <is>
          <t>Entertainment Expenses</t>
        </is>
      </c>
      <c r="F9391" s="3" t="n">
        <v>0</v>
      </c>
      <c r="G9391" s="3" t="n">
        <v>4500</v>
      </c>
    </row>
    <row r="9392">
      <c r="A9392" s="3" t="inlineStr">
        <is>
          <t>Opportunity Global Investment (PTY) LTD</t>
        </is>
      </c>
      <c r="B9392" s="4" t="n">
        <v>44742</v>
      </c>
      <c r="C9392" s="3" t="inlineStr">
        <is>
          <t>Expenses</t>
        </is>
      </c>
      <c r="D9392" s="3" t="inlineStr">
        <is>
          <t>3800/010</t>
        </is>
      </c>
      <c r="E9392" s="3" t="inlineStr">
        <is>
          <t>General Expences - Gifts</t>
        </is>
      </c>
      <c r="F9392" s="3" t="n">
        <v>600.99</v>
      </c>
      <c r="G9392" s="3" t="n">
        <v>600.99</v>
      </c>
    </row>
    <row r="9393">
      <c r="A9393" s="3" t="inlineStr">
        <is>
          <t>Opportunity Management Holdings (PTY) LTD</t>
        </is>
      </c>
      <c r="B9393" s="4" t="n">
        <v>44742</v>
      </c>
      <c r="C9393" s="3" t="inlineStr">
        <is>
          <t>Expenses</t>
        </is>
      </c>
      <c r="D9393" s="3" t="inlineStr">
        <is>
          <t>3800/010</t>
        </is>
      </c>
      <c r="E9393" s="3" t="inlineStr">
        <is>
          <t>General Expenses - Gifts</t>
        </is>
      </c>
      <c r="F9393" s="3" t="n">
        <v>1339.13</v>
      </c>
      <c r="G9393" s="3" t="n">
        <v>1339.13</v>
      </c>
    </row>
    <row r="9394">
      <c r="A9394" s="3" t="inlineStr">
        <is>
          <t>Opportunity Management Holdings (PTY) LTD</t>
        </is>
      </c>
      <c r="B9394" s="4" t="n">
        <v>44742</v>
      </c>
      <c r="C9394" s="3" t="inlineStr">
        <is>
          <t>Expenses</t>
        </is>
      </c>
      <c r="D9394" s="3" t="inlineStr">
        <is>
          <t>3850/000</t>
        </is>
      </c>
      <c r="E9394" s="3" t="inlineStr">
        <is>
          <t>Insurance - Momentum</t>
        </is>
      </c>
      <c r="F9394" s="3" t="n">
        <v>1469.51</v>
      </c>
      <c r="G9394" s="3" t="n">
        <v>8817.059999999999</v>
      </c>
    </row>
    <row r="9395">
      <c r="A9395" s="3" t="inlineStr">
        <is>
          <t>Noble Shield (Pty) Ltd ta Go Letting</t>
        </is>
      </c>
      <c r="B9395" s="4" t="n">
        <v>44742</v>
      </c>
      <c r="C9395" s="3" t="inlineStr">
        <is>
          <t>Expenses</t>
        </is>
      </c>
      <c r="D9395" s="3" t="inlineStr">
        <is>
          <t>3850/100</t>
        </is>
      </c>
      <c r="E9395" s="3" t="inlineStr">
        <is>
          <t>Insurance - Santam</t>
        </is>
      </c>
      <c r="F9395" s="3" t="n">
        <v>4313.28</v>
      </c>
      <c r="G9395" s="3" t="n">
        <v>29520.31</v>
      </c>
    </row>
    <row r="9396">
      <c r="A9396" s="3" t="inlineStr">
        <is>
          <t>Noble Shield (Pty) Ltd ta Go Letting</t>
        </is>
      </c>
      <c r="B9396" s="4" t="n">
        <v>44742</v>
      </c>
      <c r="C9396" s="3" t="inlineStr">
        <is>
          <t>Expenses</t>
        </is>
      </c>
      <c r="D9396" s="3" t="inlineStr">
        <is>
          <t>3850/200</t>
        </is>
      </c>
      <c r="E9396" s="3" t="inlineStr">
        <is>
          <t>Insurance - A_AND_G</t>
        </is>
      </c>
      <c r="F9396" s="3" t="n">
        <v>1796</v>
      </c>
      <c r="G9396" s="3" t="n">
        <v>16971.26</v>
      </c>
    </row>
    <row r="9397">
      <c r="A9397" s="3" t="inlineStr">
        <is>
          <t>Quinate Consulting (Pty) Ltd</t>
        </is>
      </c>
      <c r="B9397" s="4" t="n">
        <v>44742</v>
      </c>
      <c r="C9397" s="3" t="inlineStr">
        <is>
          <t>Expenses</t>
        </is>
      </c>
      <c r="D9397" s="3" t="inlineStr">
        <is>
          <t>3851/000</t>
        </is>
      </c>
      <c r="E9397" s="3" t="inlineStr">
        <is>
          <t>Insurance - Momentum</t>
        </is>
      </c>
      <c r="F9397" s="3" t="n">
        <v>6825.93</v>
      </c>
      <c r="G9397" s="3" t="n">
        <v>27303.72</v>
      </c>
    </row>
    <row r="9398">
      <c r="A9398" s="3" t="inlineStr">
        <is>
          <t>Noble Shield (Pty) Ltd ta Go Letting</t>
        </is>
      </c>
      <c r="B9398" s="4" t="n">
        <v>44742</v>
      </c>
      <c r="C9398" s="3" t="inlineStr">
        <is>
          <t>Expenses</t>
        </is>
      </c>
      <c r="D9398" s="3" t="inlineStr">
        <is>
          <t>3900/000</t>
        </is>
      </c>
      <c r="E9398" s="3" t="inlineStr">
        <is>
          <t>Interest Paid</t>
        </is>
      </c>
      <c r="F9398" s="3" t="n">
        <v>0</v>
      </c>
      <c r="G9398" s="3" t="n">
        <v>0.02</v>
      </c>
    </row>
    <row r="9399">
      <c r="A9399" s="3" t="inlineStr">
        <is>
          <t>Quinate Consulting (Pty) Ltd</t>
        </is>
      </c>
      <c r="B9399" s="4" t="n">
        <v>44742</v>
      </c>
      <c r="C9399" s="3" t="inlineStr">
        <is>
          <t>Expenses</t>
        </is>
      </c>
      <c r="D9399" s="3" t="inlineStr">
        <is>
          <t>3900/000</t>
        </is>
      </c>
      <c r="E9399" s="3" t="inlineStr">
        <is>
          <t>Interest Paid</t>
        </is>
      </c>
      <c r="F9399" s="3" t="n">
        <v>0</v>
      </c>
      <c r="G9399" s="3" t="n">
        <v>470.78</v>
      </c>
    </row>
    <row r="9400">
      <c r="A9400" s="3" t="inlineStr">
        <is>
          <t>Quinate Consulting (Pty) Ltd</t>
        </is>
      </c>
      <c r="B9400" s="4" t="n">
        <v>44742</v>
      </c>
      <c r="C9400" s="3" t="inlineStr">
        <is>
          <t>Expenses</t>
        </is>
      </c>
      <c r="D9400" s="3" t="inlineStr">
        <is>
          <t>3900/050</t>
        </is>
      </c>
      <c r="E9400" s="3" t="inlineStr">
        <is>
          <t>Interest Paid - STD Bond Accounts</t>
        </is>
      </c>
      <c r="F9400" s="3" t="n">
        <v>94140.33</v>
      </c>
      <c r="G9400" s="3" t="n">
        <v>183535.5</v>
      </c>
    </row>
    <row r="9401">
      <c r="A9401" s="3" t="inlineStr">
        <is>
          <t>Endulini (Pty) Ltd</t>
        </is>
      </c>
      <c r="B9401" s="4" t="n">
        <v>44742</v>
      </c>
      <c r="C9401" s="3" t="inlineStr">
        <is>
          <t>Expenses</t>
        </is>
      </c>
      <c r="D9401" s="3" t="inlineStr">
        <is>
          <t>3900/111</t>
        </is>
      </c>
      <c r="E9401" s="3" t="inlineStr">
        <is>
          <t>Interest Paid - Investors @ 6.25%</t>
        </is>
      </c>
      <c r="F9401" s="3" t="n">
        <v>4109.59</v>
      </c>
      <c r="G9401" s="3" t="n">
        <v>383842.37</v>
      </c>
    </row>
    <row r="9402">
      <c r="A9402" s="3" t="inlineStr">
        <is>
          <t>Endulini (Pty) Ltd</t>
        </is>
      </c>
      <c r="B9402" s="4" t="n">
        <v>44742</v>
      </c>
      <c r="C9402" s="3" t="inlineStr">
        <is>
          <t>Expenses</t>
        </is>
      </c>
      <c r="D9402" s="3" t="inlineStr">
        <is>
          <t>3900/112</t>
        </is>
      </c>
      <c r="E9402" s="3" t="inlineStr">
        <is>
          <t>Interest Paid - Investors @ 6.5%</t>
        </is>
      </c>
      <c r="F9402" s="3" t="n">
        <v>0</v>
      </c>
      <c r="G9402" s="3" t="n">
        <v>34966.95</v>
      </c>
    </row>
    <row r="9403">
      <c r="A9403" s="3" t="inlineStr">
        <is>
          <t>Endulini (Pty) Ltd</t>
        </is>
      </c>
      <c r="B9403" s="4" t="n">
        <v>44742</v>
      </c>
      <c r="C9403" s="3" t="inlineStr">
        <is>
          <t>Expenses</t>
        </is>
      </c>
      <c r="D9403" s="3" t="inlineStr">
        <is>
          <t>3900/120</t>
        </is>
      </c>
      <c r="E9403" s="3" t="inlineStr">
        <is>
          <t>Interest Paid - Investors @ 7%</t>
        </is>
      </c>
      <c r="F9403" s="3" t="n">
        <v>0</v>
      </c>
      <c r="G9403" s="3" t="n">
        <v>9466.24</v>
      </c>
    </row>
    <row r="9404">
      <c r="A9404" s="3" t="inlineStr">
        <is>
          <t>Endulini (Pty) Ltd</t>
        </is>
      </c>
      <c r="B9404" s="4" t="n">
        <v>44742</v>
      </c>
      <c r="C9404" s="3" t="inlineStr">
        <is>
          <t>Expenses</t>
        </is>
      </c>
      <c r="D9404" s="3" t="inlineStr">
        <is>
          <t>3900/130</t>
        </is>
      </c>
      <c r="E9404" s="3" t="inlineStr">
        <is>
          <t>Interest Paid - Investors @ 8%</t>
        </is>
      </c>
      <c r="F9404" s="3" t="n">
        <v>0</v>
      </c>
      <c r="G9404" s="3" t="n">
        <v>8309.6</v>
      </c>
    </row>
    <row r="9405">
      <c r="A9405" s="3" t="inlineStr">
        <is>
          <t>Endulini (Pty) Ltd</t>
        </is>
      </c>
      <c r="B9405" s="4" t="n">
        <v>44742</v>
      </c>
      <c r="C9405" s="3" t="inlineStr">
        <is>
          <t>Expenses</t>
        </is>
      </c>
      <c r="D9405" s="3" t="inlineStr">
        <is>
          <t>3900/140</t>
        </is>
      </c>
      <c r="E9405" s="3" t="inlineStr">
        <is>
          <t>Interest Paid - Investors @ 9%</t>
        </is>
      </c>
      <c r="F9405" s="3" t="n">
        <v>0</v>
      </c>
      <c r="G9405" s="3" t="n">
        <v>4302.24</v>
      </c>
    </row>
    <row r="9406">
      <c r="A9406" s="3" t="inlineStr">
        <is>
          <t>Quinate Consulting (Pty) Ltd</t>
        </is>
      </c>
      <c r="B9406" s="4" t="n">
        <v>44742</v>
      </c>
      <c r="C9406" s="3" t="inlineStr">
        <is>
          <t>Expenses</t>
        </is>
      </c>
      <c r="D9406" s="3" t="inlineStr">
        <is>
          <t>3900/150</t>
        </is>
      </c>
      <c r="E9406" s="3" t="inlineStr">
        <is>
          <t>Interest Paid - Suppliers</t>
        </is>
      </c>
      <c r="F9406" s="3" t="n">
        <v>151.93</v>
      </c>
      <c r="G9406" s="3" t="n">
        <v>926.21</v>
      </c>
    </row>
    <row r="9407">
      <c r="A9407" s="3" t="inlineStr">
        <is>
          <t>Quinate Consulting (Pty) Ltd</t>
        </is>
      </c>
      <c r="B9407" s="4" t="n">
        <v>44742</v>
      </c>
      <c r="C9407" s="3" t="inlineStr">
        <is>
          <t>Expenses</t>
        </is>
      </c>
      <c r="D9407" s="3" t="inlineStr">
        <is>
          <t>3900/152</t>
        </is>
      </c>
      <c r="E9407" s="3" t="inlineStr">
        <is>
          <t>Interest Paid - Gengis</t>
        </is>
      </c>
      <c r="F9407" s="3" t="n">
        <v>1479.45</v>
      </c>
      <c r="G9407" s="3" t="n">
        <v>6016.44</v>
      </c>
    </row>
    <row r="9408">
      <c r="A9408" s="3" t="inlineStr">
        <is>
          <t>Endulini (Pty) Ltd</t>
        </is>
      </c>
      <c r="B9408" s="4" t="n">
        <v>44742</v>
      </c>
      <c r="C9408" s="3" t="inlineStr">
        <is>
          <t>Expenses</t>
        </is>
      </c>
      <c r="D9408" s="3" t="inlineStr">
        <is>
          <t>3900/200</t>
        </is>
      </c>
      <c r="E9408" s="3" t="inlineStr">
        <is>
          <t>Interest Paid - Investors @ 15%</t>
        </is>
      </c>
      <c r="F9408" s="3" t="n">
        <v>0</v>
      </c>
      <c r="G9408" s="3" t="n">
        <v>87781.17999999999</v>
      </c>
    </row>
    <row r="9409">
      <c r="A9409" s="3" t="inlineStr">
        <is>
          <t>Endulini (Pty) Ltd</t>
        </is>
      </c>
      <c r="B9409" s="4" t="n">
        <v>44742</v>
      </c>
      <c r="C9409" s="3" t="inlineStr">
        <is>
          <t>Expenses</t>
        </is>
      </c>
      <c r="D9409" s="3" t="inlineStr">
        <is>
          <t>3900/230</t>
        </is>
      </c>
      <c r="E9409" s="3" t="inlineStr">
        <is>
          <t>Interest Paid - Investors @ 18%</t>
        </is>
      </c>
      <c r="F9409" s="3" t="n">
        <v>239500</v>
      </c>
      <c r="G9409" s="3" t="n">
        <v>4326822.57</v>
      </c>
    </row>
    <row r="9410">
      <c r="A9410" s="3" t="inlineStr">
        <is>
          <t>Opportunity Management Holdings (PTY) LTD</t>
        </is>
      </c>
      <c r="B9410" s="4" t="n">
        <v>44742</v>
      </c>
      <c r="C9410" s="3" t="inlineStr">
        <is>
          <t>Expenses</t>
        </is>
      </c>
      <c r="D9410" s="3" t="inlineStr">
        <is>
          <t>3900/300</t>
        </is>
      </c>
      <c r="E9410" s="3" t="inlineStr">
        <is>
          <t>Interest Paid - Other</t>
        </is>
      </c>
      <c r="F9410" s="3" t="n">
        <v>0</v>
      </c>
      <c r="G9410" s="3" t="n">
        <v>1.79</v>
      </c>
    </row>
    <row r="9411">
      <c r="A9411" s="3" t="inlineStr">
        <is>
          <t>Opportunity Global Investment (PTY) LTD</t>
        </is>
      </c>
      <c r="B9411" s="4" t="n">
        <v>44742</v>
      </c>
      <c r="C9411" s="3" t="inlineStr">
        <is>
          <t>Expenses</t>
        </is>
      </c>
      <c r="D9411" s="3" t="inlineStr">
        <is>
          <t>3901/000</t>
        </is>
      </c>
      <c r="E9411" s="3" t="inlineStr">
        <is>
          <t>Interest Paid - Department of Labour</t>
        </is>
      </c>
      <c r="F9411" s="3" t="n">
        <v>0</v>
      </c>
      <c r="G9411" s="3" t="n">
        <v>1176.45</v>
      </c>
    </row>
    <row r="9412">
      <c r="A9412" s="3" t="inlineStr">
        <is>
          <t>Trademark Holdings (Pty) Ltd</t>
        </is>
      </c>
      <c r="B9412" s="4" t="n">
        <v>44742</v>
      </c>
      <c r="C9412" s="3" t="inlineStr">
        <is>
          <t>Expenses</t>
        </is>
      </c>
      <c r="D9412" s="3" t="inlineStr">
        <is>
          <t>3910/000</t>
        </is>
      </c>
      <c r="E9412" s="3" t="inlineStr">
        <is>
          <t>Penalties/Interest - SARS</t>
        </is>
      </c>
      <c r="F9412" s="3" t="n">
        <v>0</v>
      </c>
      <c r="G9412" s="3" t="n">
        <v>57.04</v>
      </c>
    </row>
    <row r="9413">
      <c r="A9413" s="3" t="inlineStr">
        <is>
          <t>Opportunity Management Holdings (PTY) LTD</t>
        </is>
      </c>
      <c r="B9413" s="4" t="n">
        <v>44742</v>
      </c>
      <c r="C9413" s="3" t="inlineStr">
        <is>
          <t>Expenses</t>
        </is>
      </c>
      <c r="D9413" s="3" t="inlineStr">
        <is>
          <t>3960/000</t>
        </is>
      </c>
      <c r="E9413" s="3" t="inlineStr">
        <is>
          <t>Internet Fees</t>
        </is>
      </c>
      <c r="F9413" s="3" t="n">
        <v>513.36</v>
      </c>
      <c r="G9413" s="3" t="n">
        <v>1522.23</v>
      </c>
    </row>
    <row r="9414">
      <c r="A9414" s="3" t="inlineStr">
        <is>
          <t>Quinate Consulting (Pty) Ltd</t>
        </is>
      </c>
      <c r="B9414" s="4" t="n">
        <v>44742</v>
      </c>
      <c r="C9414" s="3" t="inlineStr">
        <is>
          <t>Expenses</t>
        </is>
      </c>
      <c r="D9414" s="3" t="inlineStr">
        <is>
          <t>4000/000</t>
        </is>
      </c>
      <c r="E9414" s="3" t="inlineStr">
        <is>
          <t>Legal Fees</t>
        </is>
      </c>
      <c r="F9414" s="3" t="n">
        <v>6720</v>
      </c>
      <c r="G9414" s="3" t="n">
        <v>61720</v>
      </c>
    </row>
    <row r="9415">
      <c r="A9415" s="3" t="inlineStr">
        <is>
          <t>Quinate Consulting (Pty) Ltd</t>
        </is>
      </c>
      <c r="B9415" s="4" t="n">
        <v>44742</v>
      </c>
      <c r="C9415" s="3" t="inlineStr">
        <is>
          <t>Expenses</t>
        </is>
      </c>
      <c r="D9415" s="3" t="inlineStr">
        <is>
          <t>4065/000</t>
        </is>
      </c>
      <c r="E9415" s="3" t="inlineStr">
        <is>
          <t>Levies - SoHo</t>
        </is>
      </c>
      <c r="F9415" s="3" t="n">
        <v>6466.98</v>
      </c>
      <c r="G9415" s="3" t="n">
        <v>31087.78</v>
      </c>
    </row>
    <row r="9416">
      <c r="A9416" s="3" t="inlineStr">
        <is>
          <t>Quinate Consulting (Pty) Ltd</t>
        </is>
      </c>
      <c r="B9416" s="4" t="n">
        <v>44742</v>
      </c>
      <c r="C9416" s="3" t="inlineStr">
        <is>
          <t>Expenses</t>
        </is>
      </c>
      <c r="D9416" s="3" t="inlineStr">
        <is>
          <t>4066/000</t>
        </is>
      </c>
      <c r="E9416" s="3" t="inlineStr">
        <is>
          <t>Levies - Southwark</t>
        </is>
      </c>
      <c r="F9416" s="3" t="n">
        <v>3422.18</v>
      </c>
      <c r="G9416" s="3" t="n">
        <v>14559.42</v>
      </c>
    </row>
    <row r="9417">
      <c r="A9417" s="3" t="inlineStr">
        <is>
          <t>Endulini (Pty) Ltd</t>
        </is>
      </c>
      <c r="B9417" s="4" t="n">
        <v>44742</v>
      </c>
      <c r="C9417" s="3" t="inlineStr">
        <is>
          <t>Expenses</t>
        </is>
      </c>
      <c r="D9417" s="3" t="inlineStr">
        <is>
          <t>4100/001</t>
        </is>
      </c>
      <c r="E9417" s="3" t="inlineStr">
        <is>
          <t>Momentum Admin Fee</t>
        </is>
      </c>
      <c r="F9417" s="3" t="n">
        <v>7233.59</v>
      </c>
      <c r="G9417" s="3" t="n">
        <v>51934.64</v>
      </c>
    </row>
    <row r="9418">
      <c r="A9418" s="3" t="inlineStr">
        <is>
          <t>Quinate Consulting (Pty) Ltd</t>
        </is>
      </c>
      <c r="B9418" s="4" t="n">
        <v>44742</v>
      </c>
      <c r="C9418" s="3" t="inlineStr">
        <is>
          <t>Expenses</t>
        </is>
      </c>
      <c r="D9418" s="3" t="inlineStr">
        <is>
          <t>4100/001</t>
        </is>
      </c>
      <c r="E9418" s="3" t="inlineStr">
        <is>
          <t>Momentum Advise Fee</t>
        </is>
      </c>
      <c r="F9418" s="3" t="n">
        <v>0.43</v>
      </c>
      <c r="G9418" s="3" t="n">
        <v>0.85</v>
      </c>
    </row>
    <row r="9419">
      <c r="A9419" s="3" t="inlineStr">
        <is>
          <t>Opportunity Global Investment (PTY) LTD</t>
        </is>
      </c>
      <c r="B9419" s="4" t="n">
        <v>44742</v>
      </c>
      <c r="C9419" s="3" t="inlineStr">
        <is>
          <t>Expenses</t>
        </is>
      </c>
      <c r="D9419" s="3" t="inlineStr">
        <is>
          <t>4100/100</t>
        </is>
      </c>
      <c r="E9419" s="3" t="inlineStr">
        <is>
          <t>Members Salaries - Nick Morgan</t>
        </is>
      </c>
      <c r="F9419" s="3" t="n">
        <v>40937.18</v>
      </c>
      <c r="G9419" s="3" t="n">
        <v>163748.73</v>
      </c>
    </row>
    <row r="9420">
      <c r="A9420" s="3" t="inlineStr">
        <is>
          <t>Noble Shield (Pty) Ltd ta Go Letting</t>
        </is>
      </c>
      <c r="B9420" s="4" t="n">
        <v>44742</v>
      </c>
      <c r="C9420" s="3" t="inlineStr">
        <is>
          <t>Expenses</t>
        </is>
      </c>
      <c r="D9420" s="3" t="inlineStr">
        <is>
          <t>4200/000</t>
        </is>
      </c>
      <c r="E9420" s="3" t="inlineStr">
        <is>
          <t>Printing _AND_ Stationery</t>
        </is>
      </c>
      <c r="F9420" s="3" t="n">
        <v>1035</v>
      </c>
      <c r="G9420" s="3" t="n">
        <v>1410</v>
      </c>
    </row>
    <row r="9421">
      <c r="A9421" s="3" t="inlineStr">
        <is>
          <t>Opportunity Global Investment (PTY) LTD</t>
        </is>
      </c>
      <c r="B9421" s="4" t="n">
        <v>44742</v>
      </c>
      <c r="C9421" s="3" t="inlineStr">
        <is>
          <t>Expenses</t>
        </is>
      </c>
      <c r="D9421" s="3" t="inlineStr">
        <is>
          <t>4200/000</t>
        </is>
      </c>
      <c r="E9421" s="3" t="inlineStr">
        <is>
          <t>Printing _AND_ Stationery</t>
        </is>
      </c>
      <c r="F9421" s="3" t="n">
        <v>2367</v>
      </c>
      <c r="G9421" s="3" t="n">
        <v>9468</v>
      </c>
    </row>
    <row r="9422">
      <c r="A9422" s="3" t="inlineStr">
        <is>
          <t>Opportunity Management Holdings (PTY) LTD</t>
        </is>
      </c>
      <c r="B9422" s="4" t="n">
        <v>44742</v>
      </c>
      <c r="C9422" s="3" t="inlineStr">
        <is>
          <t>Expenses</t>
        </is>
      </c>
      <c r="D9422" s="3" t="inlineStr">
        <is>
          <t>4200/000</t>
        </is>
      </c>
      <c r="E9422" s="3" t="inlineStr">
        <is>
          <t>Printing _AND_ Stationery</t>
        </is>
      </c>
      <c r="F9422" s="3" t="n">
        <v>4017.14</v>
      </c>
      <c r="G9422" s="3" t="n">
        <v>9926.709999999999</v>
      </c>
    </row>
    <row r="9423">
      <c r="A9423" s="3" t="inlineStr">
        <is>
          <t>Quinate Consulting (Pty) Ltd</t>
        </is>
      </c>
      <c r="B9423" s="4" t="n">
        <v>44742</v>
      </c>
      <c r="C9423" s="3" t="inlineStr">
        <is>
          <t>Expenses</t>
        </is>
      </c>
      <c r="D9423" s="3" t="inlineStr">
        <is>
          <t>4200/000</t>
        </is>
      </c>
      <c r="E9423" s="3" t="inlineStr">
        <is>
          <t>Printing _AND_ Stationery</t>
        </is>
      </c>
      <c r="F9423" s="3" t="n">
        <v>0</v>
      </c>
      <c r="G9423" s="3" t="n">
        <v>1232.17</v>
      </c>
    </row>
    <row r="9424">
      <c r="A9424" s="3" t="inlineStr">
        <is>
          <t>Noble Shield (Pty) Ltd ta Go Letting</t>
        </is>
      </c>
      <c r="B9424" s="4" t="n">
        <v>44742</v>
      </c>
      <c r="C9424" s="3" t="inlineStr">
        <is>
          <t>Expenses</t>
        </is>
      </c>
      <c r="D9424" s="3" t="inlineStr">
        <is>
          <t>4200/100</t>
        </is>
      </c>
      <c r="E9424" s="3" t="inlineStr">
        <is>
          <t>Printing - Merchant West- Printer Rental</t>
        </is>
      </c>
      <c r="F9424" s="3" t="n">
        <v>1622.35</v>
      </c>
      <c r="G9424" s="3" t="n">
        <v>16192.82</v>
      </c>
    </row>
    <row r="9425">
      <c r="A9425" s="3" t="inlineStr">
        <is>
          <t>Noble Shield (Pty) Ltd ta Go Letting</t>
        </is>
      </c>
      <c r="B9425" s="4" t="n">
        <v>44742</v>
      </c>
      <c r="C9425" s="3" t="inlineStr">
        <is>
          <t>Expenses</t>
        </is>
      </c>
      <c r="D9425" s="3" t="inlineStr">
        <is>
          <t>4200/120</t>
        </is>
      </c>
      <c r="E9425" s="3" t="inlineStr">
        <is>
          <t>Printing - Ivy Line - Prints</t>
        </is>
      </c>
      <c r="F9425" s="3" t="n">
        <v>803.22</v>
      </c>
      <c r="G9425" s="3" t="n">
        <v>8014.64</v>
      </c>
    </row>
    <row r="9426">
      <c r="A9426" s="3" t="inlineStr">
        <is>
          <t>Noble Shield (Pty) Ltd ta Go Letting</t>
        </is>
      </c>
      <c r="B9426" s="4" t="n">
        <v>44742</v>
      </c>
      <c r="C9426" s="3" t="inlineStr">
        <is>
          <t>Expenses</t>
        </is>
      </c>
      <c r="D9426" s="3" t="inlineStr">
        <is>
          <t>4200/180</t>
        </is>
      </c>
      <c r="E9426" s="3" t="inlineStr">
        <is>
          <t>Printing - Ikon</t>
        </is>
      </c>
      <c r="F9426" s="3" t="n">
        <v>92</v>
      </c>
      <c r="G9426" s="3" t="n">
        <v>4743.61</v>
      </c>
    </row>
    <row r="9427">
      <c r="A9427" s="3" t="inlineStr">
        <is>
          <t>Noble Shield (Pty) Ltd ta Go Letting</t>
        </is>
      </c>
      <c r="B9427" s="4" t="n">
        <v>44742</v>
      </c>
      <c r="C9427" s="3" t="inlineStr">
        <is>
          <t>Expenses</t>
        </is>
      </c>
      <c r="D9427" s="3" t="inlineStr">
        <is>
          <t>4200/190</t>
        </is>
      </c>
      <c r="E9427" s="3" t="inlineStr">
        <is>
          <t>Printing - Centrafin printer rental</t>
        </is>
      </c>
      <c r="F9427" s="3" t="n">
        <v>2501.27</v>
      </c>
      <c r="G9427" s="3" t="n">
        <v>23910.46</v>
      </c>
    </row>
    <row r="9428">
      <c r="A9428" s="3" t="inlineStr">
        <is>
          <t>Noble Shield (Pty) Ltd ta Go Letting</t>
        </is>
      </c>
      <c r="B9428" s="4" t="n">
        <v>44742</v>
      </c>
      <c r="C9428" s="3" t="inlineStr">
        <is>
          <t>Expenses</t>
        </is>
      </c>
      <c r="D9428" s="3" t="inlineStr">
        <is>
          <t>4200/200</t>
        </is>
      </c>
      <c r="E9428" s="3" t="inlineStr">
        <is>
          <t>Printing - General Stationery VDB Office</t>
        </is>
      </c>
      <c r="F9428" s="3" t="n">
        <v>1241.33</v>
      </c>
      <c r="G9428" s="3" t="n">
        <v>4398.1</v>
      </c>
    </row>
    <row r="9429">
      <c r="A9429" s="3" t="inlineStr">
        <is>
          <t>Noble Shield (Pty) Ltd ta Go Letting</t>
        </is>
      </c>
      <c r="B9429" s="4" t="n">
        <v>44742</v>
      </c>
      <c r="C9429" s="3" t="inlineStr">
        <is>
          <t>Expenses</t>
        </is>
      </c>
      <c r="D9429" s="3" t="inlineStr">
        <is>
          <t>4290/000</t>
        </is>
      </c>
      <c r="E9429" s="3" t="inlineStr">
        <is>
          <t>Refreshments - CT Office</t>
        </is>
      </c>
      <c r="F9429" s="3" t="n">
        <v>725.77</v>
      </c>
      <c r="G9429" s="3" t="n">
        <v>7191.43</v>
      </c>
    </row>
    <row r="9430">
      <c r="A9430" s="3" t="inlineStr">
        <is>
          <t>Opportunity Global Investment (PTY) LTD</t>
        </is>
      </c>
      <c r="B9430" s="4" t="n">
        <v>44742</v>
      </c>
      <c r="C9430" s="3" t="inlineStr">
        <is>
          <t>Expenses</t>
        </is>
      </c>
      <c r="D9430" s="3" t="inlineStr">
        <is>
          <t>4290/000</t>
        </is>
      </c>
      <c r="E9430" s="3" t="inlineStr">
        <is>
          <t>Rent</t>
        </is>
      </c>
      <c r="F9430" s="3" t="n">
        <v>8770</v>
      </c>
      <c r="G9430" s="3" t="n">
        <v>35080</v>
      </c>
    </row>
    <row r="9431">
      <c r="A9431" s="3" t="inlineStr">
        <is>
          <t>Noble Shield (Pty) Ltd ta Go Letting</t>
        </is>
      </c>
      <c r="B9431" s="4" t="n">
        <v>44742</v>
      </c>
      <c r="C9431" s="3" t="inlineStr">
        <is>
          <t>Expenses</t>
        </is>
      </c>
      <c r="D9431" s="3" t="inlineStr">
        <is>
          <t>4291/000</t>
        </is>
      </c>
      <c r="E9431" s="3" t="inlineStr">
        <is>
          <t>Refreshments - VDB Office</t>
        </is>
      </c>
      <c r="F9431" s="3" t="n">
        <v>648.6</v>
      </c>
      <c r="G9431" s="3" t="n">
        <v>2549.69</v>
      </c>
    </row>
    <row r="9432">
      <c r="A9432" s="3" t="inlineStr">
        <is>
          <t>Trademark Holdings (Pty) Ltd</t>
        </is>
      </c>
      <c r="B9432" s="4" t="n">
        <v>44742</v>
      </c>
      <c r="C9432" s="3" t="inlineStr">
        <is>
          <t>Expenses</t>
        </is>
      </c>
      <c r="D9432" s="3" t="inlineStr">
        <is>
          <t>4300/000</t>
        </is>
      </c>
      <c r="E9432" s="3" t="inlineStr">
        <is>
          <t>Rent Paid</t>
        </is>
      </c>
      <c r="F9432" s="3" t="n">
        <v>735.3200000000001</v>
      </c>
      <c r="G9432" s="3" t="n">
        <v>60203.15</v>
      </c>
    </row>
    <row r="9433">
      <c r="A9433" s="3" t="inlineStr">
        <is>
          <t>Endulini (Pty) Ltd</t>
        </is>
      </c>
      <c r="B9433" s="4" t="n">
        <v>44742</v>
      </c>
      <c r="C9433" s="3" t="inlineStr">
        <is>
          <t>Expenses</t>
        </is>
      </c>
      <c r="D9433" s="3" t="inlineStr">
        <is>
          <t>4310/000</t>
        </is>
      </c>
      <c r="E9433" s="3" t="inlineStr">
        <is>
          <t>Rates</t>
        </is>
      </c>
      <c r="F9433" s="3" t="n">
        <v>0</v>
      </c>
      <c r="G9433" s="3" t="n">
        <v>28266.66</v>
      </c>
    </row>
    <row r="9434">
      <c r="A9434" s="3" t="inlineStr">
        <is>
          <t>Opportunity Global Investment (PTY) LTD</t>
        </is>
      </c>
      <c r="B9434" s="4" t="n">
        <v>44742</v>
      </c>
      <c r="C9434" s="3" t="inlineStr">
        <is>
          <t>Expenses</t>
        </is>
      </c>
      <c r="D9434" s="3" t="inlineStr">
        <is>
          <t>4310/000</t>
        </is>
      </c>
      <c r="E9434" s="3" t="inlineStr">
        <is>
          <t>Refreshments</t>
        </is>
      </c>
      <c r="F9434" s="3" t="n">
        <v>2521</v>
      </c>
      <c r="G9434" s="3" t="n">
        <v>10084</v>
      </c>
    </row>
    <row r="9435">
      <c r="A9435" s="3" t="inlineStr">
        <is>
          <t>Opportunity Management Holdings (PTY) LTD</t>
        </is>
      </c>
      <c r="B9435" s="4" t="n">
        <v>44742</v>
      </c>
      <c r="C9435" s="3" t="inlineStr">
        <is>
          <t>Expenses</t>
        </is>
      </c>
      <c r="D9435" s="3" t="inlineStr">
        <is>
          <t>4310/000</t>
        </is>
      </c>
      <c r="E9435" s="3" t="inlineStr">
        <is>
          <t>Refreshments</t>
        </is>
      </c>
      <c r="F9435" s="3" t="n">
        <v>1765.44</v>
      </c>
      <c r="G9435" s="3" t="n">
        <v>5416.75</v>
      </c>
    </row>
    <row r="9436">
      <c r="A9436" s="3" t="inlineStr">
        <is>
          <t>Quinate Consulting (Pty) Ltd</t>
        </is>
      </c>
      <c r="B9436" s="4" t="n">
        <v>44742</v>
      </c>
      <c r="C9436" s="3" t="inlineStr">
        <is>
          <t>Expenses</t>
        </is>
      </c>
      <c r="D9436" s="3" t="inlineStr">
        <is>
          <t>4312/000</t>
        </is>
      </c>
      <c r="E9436" s="3" t="inlineStr">
        <is>
          <t>Rates - SoHo Units</t>
        </is>
      </c>
      <c r="F9436" s="3" t="n">
        <v>2337.82</v>
      </c>
      <c r="G9436" s="3" t="n">
        <v>9508.9</v>
      </c>
    </row>
    <row r="9437">
      <c r="A9437" s="3" t="inlineStr">
        <is>
          <t>Noble Shield (Pty) Ltd ta Go Letting</t>
        </is>
      </c>
      <c r="B9437" s="4" t="n">
        <v>44742</v>
      </c>
      <c r="C9437" s="3" t="inlineStr">
        <is>
          <t>Expenses</t>
        </is>
      </c>
      <c r="D9437" s="3" t="inlineStr">
        <is>
          <t>4350/000</t>
        </is>
      </c>
      <c r="E9437" s="3" t="inlineStr">
        <is>
          <t>Repairs _AND_ Maintenance</t>
        </is>
      </c>
      <c r="F9437" s="3" t="n">
        <v>0</v>
      </c>
      <c r="G9437" s="3" t="n">
        <v>3068.83</v>
      </c>
    </row>
    <row r="9438">
      <c r="A9438" s="3" t="inlineStr">
        <is>
          <t>Opportunity Management Holdings (PTY) LTD</t>
        </is>
      </c>
      <c r="B9438" s="4" t="n">
        <v>44742</v>
      </c>
      <c r="C9438" s="3" t="inlineStr">
        <is>
          <t>Expenses</t>
        </is>
      </c>
      <c r="D9438" s="3" t="inlineStr">
        <is>
          <t>4350/000</t>
        </is>
      </c>
      <c r="E9438" s="3" t="inlineStr">
        <is>
          <t>Repairs _AND_ Maintenance</t>
        </is>
      </c>
      <c r="F9438" s="3" t="n">
        <v>191.29</v>
      </c>
      <c r="G9438" s="3" t="n">
        <v>699.08</v>
      </c>
    </row>
    <row r="9439">
      <c r="A9439" s="3" t="inlineStr">
        <is>
          <t>Trademark Holdings (Pty) Ltd</t>
        </is>
      </c>
      <c r="B9439" s="4" t="n">
        <v>44742</v>
      </c>
      <c r="C9439" s="3" t="inlineStr">
        <is>
          <t>Expenses</t>
        </is>
      </c>
      <c r="D9439" s="3" t="inlineStr">
        <is>
          <t>4350/000</t>
        </is>
      </c>
      <c r="E9439" s="3" t="inlineStr">
        <is>
          <t>Repairs _AND_ Maintenance</t>
        </is>
      </c>
      <c r="F9439" s="3" t="n">
        <v>0</v>
      </c>
      <c r="G9439" s="3" t="n">
        <v>925</v>
      </c>
    </row>
    <row r="9440">
      <c r="A9440" s="3" t="inlineStr">
        <is>
          <t>Quinate Consulting (Pty) Ltd</t>
        </is>
      </c>
      <c r="B9440" s="4" t="n">
        <v>44742</v>
      </c>
      <c r="C9440" s="3" t="inlineStr">
        <is>
          <t>Expenses</t>
        </is>
      </c>
      <c r="D9440" s="3" t="inlineStr">
        <is>
          <t>4350/000</t>
        </is>
      </c>
      <c r="E9440" s="3" t="inlineStr">
        <is>
          <t>Repairs and Maintenance - Southwark Units</t>
        </is>
      </c>
      <c r="F9440" s="3" t="n">
        <v>0</v>
      </c>
      <c r="G9440" s="3" t="n">
        <v>12416</v>
      </c>
    </row>
    <row r="9441">
      <c r="A9441" s="3" t="inlineStr">
        <is>
          <t>Opportunity Global Investment (PTY) LTD</t>
        </is>
      </c>
      <c r="B9441" s="4" t="n">
        <v>44742</v>
      </c>
      <c r="C9441" s="3" t="inlineStr">
        <is>
          <t>Expenses</t>
        </is>
      </c>
      <c r="D9441" s="3" t="inlineStr">
        <is>
          <t>4360/000</t>
        </is>
      </c>
      <c r="E9441" s="3" t="inlineStr">
        <is>
          <t>Secretarial - CIPC</t>
        </is>
      </c>
      <c r="F9441" s="3" t="n">
        <v>600</v>
      </c>
      <c r="G9441" s="3" t="n">
        <v>600</v>
      </c>
    </row>
    <row r="9442">
      <c r="A9442" s="3" t="inlineStr">
        <is>
          <t>Opportunity Management Holdings (PTY) LTD</t>
        </is>
      </c>
      <c r="B9442" s="4" t="n">
        <v>44742</v>
      </c>
      <c r="C9442" s="3" t="inlineStr">
        <is>
          <t>Expenses</t>
        </is>
      </c>
      <c r="D9442" s="3" t="inlineStr">
        <is>
          <t>4390/000</t>
        </is>
      </c>
      <c r="E9442" s="3" t="inlineStr">
        <is>
          <t>Small Assets</t>
        </is>
      </c>
      <c r="F9442" s="3" t="n">
        <v>5564.57</v>
      </c>
      <c r="G9442" s="3" t="n">
        <v>9239.309999999999</v>
      </c>
    </row>
    <row r="9443">
      <c r="A9443" s="3" t="inlineStr">
        <is>
          <t>Noble Shield (Pty) Ltd ta Go Letting</t>
        </is>
      </c>
      <c r="B9443" s="4" t="n">
        <v>44742</v>
      </c>
      <c r="C9443" s="3" t="inlineStr">
        <is>
          <t>Expenses</t>
        </is>
      </c>
      <c r="D9443" s="3" t="inlineStr">
        <is>
          <t>4400/000</t>
        </is>
      </c>
      <c r="E9443" s="3" t="inlineStr">
        <is>
          <t>Salaries _AND_ Wages</t>
        </is>
      </c>
      <c r="F9443" s="3" t="n">
        <v>26848.2</v>
      </c>
      <c r="G9443" s="3" t="n">
        <v>228123.62</v>
      </c>
    </row>
    <row r="9444">
      <c r="A9444" s="3" t="inlineStr">
        <is>
          <t>Opportunity Global Sales (PTY) LTD</t>
        </is>
      </c>
      <c r="B9444" s="4" t="n">
        <v>44742</v>
      </c>
      <c r="C9444" s="3" t="inlineStr">
        <is>
          <t>Expenses</t>
        </is>
      </c>
      <c r="D9444" s="3" t="inlineStr">
        <is>
          <t>4400/000</t>
        </is>
      </c>
      <c r="E9444" s="3" t="inlineStr">
        <is>
          <t>Salaries _AND_ Wages</t>
        </is>
      </c>
      <c r="F9444" s="3" t="n">
        <v>33255.54</v>
      </c>
      <c r="G9444" s="3" t="n">
        <v>139769.29</v>
      </c>
    </row>
    <row r="9445">
      <c r="A9445" s="3" t="inlineStr">
        <is>
          <t>Opportunity Management Holdings (PTY) LTD</t>
        </is>
      </c>
      <c r="B9445" s="4" t="n">
        <v>44742</v>
      </c>
      <c r="C9445" s="3" t="inlineStr">
        <is>
          <t>Expenses</t>
        </is>
      </c>
      <c r="D9445" s="3" t="inlineStr">
        <is>
          <t>4400/000</t>
        </is>
      </c>
      <c r="E9445" s="3" t="inlineStr">
        <is>
          <t>Salaries _AND_ Wages</t>
        </is>
      </c>
      <c r="F9445" s="3" t="n">
        <v>205903.75</v>
      </c>
      <c r="G9445" s="3" t="n">
        <v>1569478.06</v>
      </c>
    </row>
    <row r="9446">
      <c r="A9446" s="3" t="inlineStr">
        <is>
          <t>Trademark Holdings (Pty) Ltd</t>
        </is>
      </c>
      <c r="B9446" s="4" t="n">
        <v>44742</v>
      </c>
      <c r="C9446" s="3" t="inlineStr">
        <is>
          <t>Expenses</t>
        </is>
      </c>
      <c r="D9446" s="3" t="inlineStr">
        <is>
          <t>4400/000</t>
        </is>
      </c>
      <c r="E9446" s="3" t="inlineStr">
        <is>
          <t>Salaries _AND_ Wages</t>
        </is>
      </c>
      <c r="F9446" s="3" t="n">
        <v>39554.45</v>
      </c>
      <c r="G9446" s="3" t="n">
        <v>379109.21</v>
      </c>
    </row>
    <row r="9447">
      <c r="A9447" s="3" t="inlineStr">
        <is>
          <t>Opportunity Global Investment (PTY) LTD</t>
        </is>
      </c>
      <c r="B9447" s="4" t="n">
        <v>44742</v>
      </c>
      <c r="C9447" s="3" t="inlineStr">
        <is>
          <t>Expenses</t>
        </is>
      </c>
      <c r="D9447" s="3" t="inlineStr">
        <is>
          <t>4403/000</t>
        </is>
      </c>
      <c r="E9447" s="3" t="inlineStr">
        <is>
          <t>Study fees - Nick</t>
        </is>
      </c>
      <c r="F9447" s="3" t="n">
        <v>51825.9</v>
      </c>
      <c r="G9447" s="3" t="n">
        <v>51825.9</v>
      </c>
    </row>
    <row r="9448">
      <c r="A9448" s="3" t="inlineStr">
        <is>
          <t>Trademark Holdings (Pty) Ltd</t>
        </is>
      </c>
      <c r="B9448" s="4" t="n">
        <v>44742</v>
      </c>
      <c r="C9448" s="3" t="inlineStr">
        <is>
          <t>Expenses</t>
        </is>
      </c>
      <c r="D9448" s="3" t="inlineStr">
        <is>
          <t>4430/000</t>
        </is>
      </c>
      <c r="E9448" s="3" t="inlineStr">
        <is>
          <t>Secretarial fees - CIPC</t>
        </is>
      </c>
      <c r="F9448" s="3" t="n">
        <v>100</v>
      </c>
      <c r="G9448" s="3" t="n">
        <v>100</v>
      </c>
    </row>
    <row r="9449">
      <c r="A9449" s="3" t="inlineStr">
        <is>
          <t>Opportunity Management Holdings (PTY) LTD</t>
        </is>
      </c>
      <c r="B9449" s="4" t="n">
        <v>44742</v>
      </c>
      <c r="C9449" s="3" t="inlineStr">
        <is>
          <t>Expenses</t>
        </is>
      </c>
      <c r="D9449" s="3" t="inlineStr">
        <is>
          <t>4450/000</t>
        </is>
      </c>
      <c r="E9449" s="3" t="inlineStr">
        <is>
          <t>Staff Training</t>
        </is>
      </c>
      <c r="F9449" s="3" t="n">
        <v>0</v>
      </c>
      <c r="G9449" s="3" t="n">
        <v>4654</v>
      </c>
    </row>
    <row r="9450">
      <c r="A9450" s="3" t="inlineStr">
        <is>
          <t>Noble Shield (Pty) Ltd ta Go Letting</t>
        </is>
      </c>
      <c r="B9450" s="4" t="n">
        <v>44742</v>
      </c>
      <c r="C9450" s="3" t="inlineStr">
        <is>
          <t>Expenses</t>
        </is>
      </c>
      <c r="D9450" s="3" t="inlineStr">
        <is>
          <t>4500/000</t>
        </is>
      </c>
      <c r="E9450" s="3" t="inlineStr">
        <is>
          <t>Staff Welfare</t>
        </is>
      </c>
      <c r="F9450" s="3" t="n">
        <v>0</v>
      </c>
      <c r="G9450" s="3" t="n">
        <v>8468.879999999999</v>
      </c>
    </row>
    <row r="9451">
      <c r="A9451" s="3" t="inlineStr">
        <is>
          <t>Opportunity Global Investment (PTY) LTD</t>
        </is>
      </c>
      <c r="B9451" s="4" t="n">
        <v>44742</v>
      </c>
      <c r="C9451" s="3" t="inlineStr">
        <is>
          <t>Expenses</t>
        </is>
      </c>
      <c r="D9451" s="3" t="inlineStr">
        <is>
          <t>4500/000</t>
        </is>
      </c>
      <c r="E9451" s="3" t="inlineStr">
        <is>
          <t>Staff Welfare</t>
        </is>
      </c>
      <c r="F9451" s="3" t="n">
        <v>451.25</v>
      </c>
      <c r="G9451" s="3" t="n">
        <v>451.25</v>
      </c>
    </row>
    <row r="9452">
      <c r="A9452" s="3" t="inlineStr">
        <is>
          <t>Opportunity Management Holdings (PTY) LTD</t>
        </is>
      </c>
      <c r="B9452" s="4" t="n">
        <v>44742</v>
      </c>
      <c r="C9452" s="3" t="inlineStr">
        <is>
          <t>Expenses</t>
        </is>
      </c>
      <c r="D9452" s="3" t="inlineStr">
        <is>
          <t>4500/000</t>
        </is>
      </c>
      <c r="E9452" s="3" t="inlineStr">
        <is>
          <t>Staff Welfare</t>
        </is>
      </c>
      <c r="F9452" s="3" t="n">
        <v>1333.5</v>
      </c>
      <c r="G9452" s="3" t="n">
        <v>6724.07</v>
      </c>
    </row>
    <row r="9453">
      <c r="A9453" s="3" t="inlineStr">
        <is>
          <t>Noble Shield (Pty) Ltd ta Go Letting</t>
        </is>
      </c>
      <c r="B9453" s="4" t="n">
        <v>44742</v>
      </c>
      <c r="C9453" s="3" t="inlineStr">
        <is>
          <t>Expenses</t>
        </is>
      </c>
      <c r="D9453" s="3" t="inlineStr">
        <is>
          <t>4520/000</t>
        </is>
      </c>
      <c r="E9453" s="3" t="inlineStr">
        <is>
          <t>Security</t>
        </is>
      </c>
      <c r="F9453" s="3" t="n">
        <v>741.25</v>
      </c>
      <c r="G9453" s="3" t="n">
        <v>7497.28</v>
      </c>
    </row>
    <row r="9454">
      <c r="A9454" s="3" t="inlineStr">
        <is>
          <t>Noble Shield (Pty) Ltd ta Go Letting</t>
        </is>
      </c>
      <c r="B9454" s="4" t="n">
        <v>44742</v>
      </c>
      <c r="C9454" s="3" t="inlineStr">
        <is>
          <t>Expenses</t>
        </is>
      </c>
      <c r="D9454" s="3" t="inlineStr">
        <is>
          <t>4550/000</t>
        </is>
      </c>
      <c r="E9454" s="3" t="inlineStr">
        <is>
          <t>Subscriptions</t>
        </is>
      </c>
      <c r="F9454" s="3" t="n">
        <v>0</v>
      </c>
      <c r="G9454" s="3" t="n">
        <v>274.15</v>
      </c>
    </row>
    <row r="9455">
      <c r="A9455" s="3" t="inlineStr">
        <is>
          <t>Quinate Consulting (Pty) Ltd</t>
        </is>
      </c>
      <c r="B9455" s="4" t="n">
        <v>44742</v>
      </c>
      <c r="C9455" s="3" t="inlineStr">
        <is>
          <t>Expenses</t>
        </is>
      </c>
      <c r="D9455" s="3" t="inlineStr">
        <is>
          <t>4550/000</t>
        </is>
      </c>
      <c r="E9455" s="3" t="inlineStr">
        <is>
          <t>Subscriptions / Licenses</t>
        </is>
      </c>
      <c r="F9455" s="3" t="n">
        <v>7936.2</v>
      </c>
      <c r="G9455" s="3" t="n">
        <v>38222.35</v>
      </c>
    </row>
    <row r="9456">
      <c r="A9456" s="3" t="inlineStr">
        <is>
          <t>Opportunity Management Holdings (PTY) LTD</t>
        </is>
      </c>
      <c r="B9456" s="4" t="n">
        <v>44742</v>
      </c>
      <c r="C9456" s="3" t="inlineStr">
        <is>
          <t>Expenses</t>
        </is>
      </c>
      <c r="D9456" s="3" t="inlineStr">
        <is>
          <t>4550/000</t>
        </is>
      </c>
      <c r="E9456" s="3" t="inlineStr">
        <is>
          <t>Subscriptions _AND_ Lisences</t>
        </is>
      </c>
      <c r="F9456" s="3" t="n">
        <v>6761.93</v>
      </c>
      <c r="G9456" s="3" t="n">
        <v>16845.63</v>
      </c>
    </row>
    <row r="9457">
      <c r="A9457" s="3" t="inlineStr">
        <is>
          <t>Noble Shield (Pty) Ltd ta Go Letting</t>
        </is>
      </c>
      <c r="B9457" s="4" t="n">
        <v>44742</v>
      </c>
      <c r="C9457" s="3" t="inlineStr">
        <is>
          <t>Expenses</t>
        </is>
      </c>
      <c r="D9457" s="3" t="inlineStr">
        <is>
          <t>4550/100</t>
        </is>
      </c>
      <c r="E9457" s="3" t="inlineStr">
        <is>
          <t>Subscriptions - EAAB</t>
        </is>
      </c>
      <c r="F9457" s="3" t="n">
        <v>0</v>
      </c>
      <c r="G9457" s="3" t="n">
        <v>5010</v>
      </c>
    </row>
    <row r="9458">
      <c r="A9458" s="3" t="inlineStr">
        <is>
          <t>Trademark Holdings (Pty) Ltd</t>
        </is>
      </c>
      <c r="B9458" s="4" t="n">
        <v>44742</v>
      </c>
      <c r="C9458" s="3" t="inlineStr">
        <is>
          <t>Expenses</t>
        </is>
      </c>
      <c r="D9458" s="3" t="inlineStr">
        <is>
          <t>4550/100</t>
        </is>
      </c>
      <c r="E9458" s="3" t="inlineStr">
        <is>
          <t>Subscriptions - EAAB</t>
        </is>
      </c>
      <c r="F9458" s="3" t="n">
        <v>0</v>
      </c>
      <c r="G9458" s="3" t="n">
        <v>3710</v>
      </c>
    </row>
    <row r="9459">
      <c r="A9459" s="3" t="inlineStr">
        <is>
          <t>Opportunity Global Investment (PTY) LTD</t>
        </is>
      </c>
      <c r="B9459" s="4" t="n">
        <v>44742</v>
      </c>
      <c r="C9459" s="3" t="inlineStr">
        <is>
          <t>Expenses</t>
        </is>
      </c>
      <c r="D9459" s="3" t="inlineStr">
        <is>
          <t>4550/150</t>
        </is>
      </c>
      <c r="E9459" s="3" t="inlineStr">
        <is>
          <t>Subscriptions - Webbox</t>
        </is>
      </c>
      <c r="F9459" s="3" t="n">
        <v>1259</v>
      </c>
      <c r="G9459" s="3" t="n">
        <v>4942</v>
      </c>
    </row>
    <row r="9460">
      <c r="A9460" s="3" t="inlineStr">
        <is>
          <t>Opportunity Global Investment (PTY) LTD</t>
        </is>
      </c>
      <c r="B9460" s="4" t="n">
        <v>44742</v>
      </c>
      <c r="C9460" s="3" t="inlineStr">
        <is>
          <t>Expenses</t>
        </is>
      </c>
      <c r="D9460" s="3" t="inlineStr">
        <is>
          <t>4550/200</t>
        </is>
      </c>
      <c r="E9460" s="3" t="inlineStr">
        <is>
          <t>Subscriptions - Zoom</t>
        </is>
      </c>
      <c r="F9460" s="3" t="n">
        <v>247.5</v>
      </c>
      <c r="G9460" s="3" t="n">
        <v>961.99</v>
      </c>
    </row>
    <row r="9461">
      <c r="A9461" s="3" t="inlineStr">
        <is>
          <t>Opportunity Global Investment (PTY) LTD</t>
        </is>
      </c>
      <c r="B9461" s="4" t="n">
        <v>44742</v>
      </c>
      <c r="C9461" s="3" t="inlineStr">
        <is>
          <t>Expenses</t>
        </is>
      </c>
      <c r="D9461" s="3" t="inlineStr">
        <is>
          <t>4550/250</t>
        </is>
      </c>
      <c r="E9461" s="3" t="inlineStr">
        <is>
          <t>Subscriptions - LinkedIn</t>
        </is>
      </c>
      <c r="F9461" s="3" t="n">
        <v>1000.49</v>
      </c>
      <c r="G9461" s="3" t="n">
        <v>5002.45</v>
      </c>
    </row>
    <row r="9462">
      <c r="A9462" s="3" t="inlineStr">
        <is>
          <t>Noble Shield (Pty) Ltd ta Go Letting</t>
        </is>
      </c>
      <c r="B9462" s="4" t="n">
        <v>44742</v>
      </c>
      <c r="C9462" s="3" t="inlineStr">
        <is>
          <t>Expenses</t>
        </is>
      </c>
      <c r="D9462" s="3" t="inlineStr">
        <is>
          <t>4550/250</t>
        </is>
      </c>
      <c r="E9462" s="3" t="inlineStr">
        <is>
          <t>Subscriptions - Windeed reports</t>
        </is>
      </c>
      <c r="F9462" s="3" t="n">
        <v>0</v>
      </c>
      <c r="G9462" s="3" t="n">
        <v>79</v>
      </c>
    </row>
    <row r="9463">
      <c r="A9463" s="3" t="inlineStr">
        <is>
          <t>Opportunity Global Investment (PTY) LTD</t>
        </is>
      </c>
      <c r="B9463" s="4" t="n">
        <v>44742</v>
      </c>
      <c r="C9463" s="3" t="inlineStr">
        <is>
          <t>Expenses</t>
        </is>
      </c>
      <c r="D9463" s="3" t="inlineStr">
        <is>
          <t>4550/350</t>
        </is>
      </c>
      <c r="E9463" s="3" t="inlineStr">
        <is>
          <t>Subscriptions - Xero</t>
        </is>
      </c>
      <c r="F9463" s="3" t="n">
        <v>600</v>
      </c>
      <c r="G9463" s="3" t="n">
        <v>2400</v>
      </c>
    </row>
    <row r="9464">
      <c r="A9464" s="3" t="inlineStr">
        <is>
          <t>Opportunity Global Investment (PTY) LTD</t>
        </is>
      </c>
      <c r="B9464" s="4" t="n">
        <v>44742</v>
      </c>
      <c r="C9464" s="3" t="inlineStr">
        <is>
          <t>Expenses</t>
        </is>
      </c>
      <c r="D9464" s="3" t="inlineStr">
        <is>
          <t>4550/400</t>
        </is>
      </c>
      <c r="E9464" s="3" t="inlineStr">
        <is>
          <t>Subscriptions - Moneyweb</t>
        </is>
      </c>
      <c r="F9464" s="3" t="n">
        <v>54.78</v>
      </c>
      <c r="G9464" s="3" t="n">
        <v>219.12</v>
      </c>
    </row>
    <row r="9465">
      <c r="A9465" s="3" t="inlineStr">
        <is>
          <t>Trademark Holdings (Pty) Ltd</t>
        </is>
      </c>
      <c r="B9465" s="4" t="n">
        <v>44742</v>
      </c>
      <c r="C9465" s="3" t="inlineStr">
        <is>
          <t>Expenses</t>
        </is>
      </c>
      <c r="D9465" s="3" t="inlineStr">
        <is>
          <t>4550/400</t>
        </is>
      </c>
      <c r="E9465" s="3" t="inlineStr">
        <is>
          <t>Subscriptions - Xero</t>
        </is>
      </c>
      <c r="F9465" s="3" t="n">
        <v>600</v>
      </c>
      <c r="G9465" s="3" t="n">
        <v>6450</v>
      </c>
    </row>
    <row r="9466">
      <c r="A9466" s="3" t="inlineStr">
        <is>
          <t>Opportunity Global Investment (PTY) LTD</t>
        </is>
      </c>
      <c r="B9466" s="4" t="n">
        <v>44742</v>
      </c>
      <c r="C9466" s="3" t="inlineStr">
        <is>
          <t>Expenses</t>
        </is>
      </c>
      <c r="D9466" s="3" t="inlineStr">
        <is>
          <t>4550/450</t>
        </is>
      </c>
      <c r="E9466" s="3" t="inlineStr">
        <is>
          <t>Subscriptions - Adobe</t>
        </is>
      </c>
      <c r="F9466" s="3" t="n">
        <v>523.4299999999999</v>
      </c>
      <c r="G9466" s="3" t="n">
        <v>2017.59</v>
      </c>
    </row>
    <row r="9467">
      <c r="A9467" s="3" t="inlineStr">
        <is>
          <t>Noble Shield (Pty) Ltd ta Go Letting</t>
        </is>
      </c>
      <c r="B9467" s="4" t="n">
        <v>44742</v>
      </c>
      <c r="C9467" s="3" t="inlineStr">
        <is>
          <t>Expenses</t>
        </is>
      </c>
      <c r="D9467" s="3" t="inlineStr">
        <is>
          <t>4550/600</t>
        </is>
      </c>
      <c r="E9467" s="3" t="inlineStr">
        <is>
          <t>Subscriptions - Webbox</t>
        </is>
      </c>
      <c r="F9467" s="3" t="n">
        <v>1312.15</v>
      </c>
      <c r="G9467" s="3" t="n">
        <v>11407.61</v>
      </c>
    </row>
    <row r="9468">
      <c r="A9468" s="3" t="inlineStr">
        <is>
          <t>Noble Shield (Pty) Ltd ta Go Letting</t>
        </is>
      </c>
      <c r="B9468" s="4" t="n">
        <v>44742</v>
      </c>
      <c r="C9468" s="3" t="inlineStr">
        <is>
          <t>Expenses</t>
        </is>
      </c>
      <c r="D9468" s="3" t="inlineStr">
        <is>
          <t>4550/650</t>
        </is>
      </c>
      <c r="E9468" s="3" t="inlineStr">
        <is>
          <t>Subscriptions - Xero</t>
        </is>
      </c>
      <c r="F9468" s="3" t="n">
        <v>600</v>
      </c>
      <c r="G9468" s="3" t="n">
        <v>6450</v>
      </c>
    </row>
    <row r="9469">
      <c r="A9469" s="3" t="inlineStr">
        <is>
          <t>Noble Shield (Pty) Ltd ta Go Letting</t>
        </is>
      </c>
      <c r="B9469" s="4" t="n">
        <v>44742</v>
      </c>
      <c r="C9469" s="3" t="inlineStr">
        <is>
          <t>Expenses</t>
        </is>
      </c>
      <c r="D9469" s="3" t="inlineStr">
        <is>
          <t>4550/700</t>
        </is>
      </c>
      <c r="E9469" s="3" t="inlineStr">
        <is>
          <t>Subscriptions - Domain renewals</t>
        </is>
      </c>
      <c r="F9469" s="3" t="n">
        <v>0</v>
      </c>
      <c r="G9469" s="3" t="n">
        <v>1726.15</v>
      </c>
    </row>
    <row r="9470">
      <c r="A9470" s="3" t="inlineStr">
        <is>
          <t>Noble Shield (Pty) Ltd ta Go Letting</t>
        </is>
      </c>
      <c r="B9470" s="4" t="n">
        <v>44742</v>
      </c>
      <c r="C9470" s="3" t="inlineStr">
        <is>
          <t>Expenses</t>
        </is>
      </c>
      <c r="D9470" s="3" t="inlineStr">
        <is>
          <t>4550/800</t>
        </is>
      </c>
      <c r="E9470" s="3" t="inlineStr">
        <is>
          <t>Subscriptions - Adobe</t>
        </is>
      </c>
      <c r="F9470" s="3" t="n">
        <v>275.59</v>
      </c>
      <c r="G9470" s="3" t="n">
        <v>824.17</v>
      </c>
    </row>
    <row r="9471">
      <c r="A9471" s="3" t="inlineStr">
        <is>
          <t>Opportunity Global Sales (PTY) LTD</t>
        </is>
      </c>
      <c r="B9471" s="4" t="n">
        <v>44742</v>
      </c>
      <c r="C9471" s="3" t="inlineStr">
        <is>
          <t>Expenses</t>
        </is>
      </c>
      <c r="D9471" s="3" t="inlineStr">
        <is>
          <t>4551/000</t>
        </is>
      </c>
      <c r="E9471" s="3" t="inlineStr">
        <is>
          <t>Subscriptions - Payprop</t>
        </is>
      </c>
      <c r="F9471" s="3" t="n">
        <v>0</v>
      </c>
      <c r="G9471" s="3" t="n">
        <v>2822.68</v>
      </c>
    </row>
    <row r="9472">
      <c r="A9472" s="3" t="inlineStr">
        <is>
          <t>Opportunity Management Holdings (PTY) LTD</t>
        </is>
      </c>
      <c r="B9472" s="4" t="n">
        <v>44742</v>
      </c>
      <c r="C9472" s="3" t="inlineStr">
        <is>
          <t>Expenses</t>
        </is>
      </c>
      <c r="D9472" s="3" t="inlineStr">
        <is>
          <t>4551/000</t>
        </is>
      </c>
      <c r="E9472" s="3" t="inlineStr">
        <is>
          <t>Subscriptions - Xero - Setup</t>
        </is>
      </c>
      <c r="F9472" s="3" t="n">
        <v>0</v>
      </c>
      <c r="G9472" s="3" t="n">
        <v>3000</v>
      </c>
    </row>
    <row r="9473">
      <c r="A9473" s="3" t="inlineStr">
        <is>
          <t>Quinate Consulting (Pty) Ltd</t>
        </is>
      </c>
      <c r="B9473" s="4" t="n">
        <v>44742</v>
      </c>
      <c r="C9473" s="3" t="inlineStr">
        <is>
          <t>Expenses</t>
        </is>
      </c>
      <c r="D9473" s="3" t="inlineStr">
        <is>
          <t>4551/000</t>
        </is>
      </c>
      <c r="E9473" s="3" t="inlineStr">
        <is>
          <t>Subscriptions - Zoho</t>
        </is>
      </c>
      <c r="F9473" s="3" t="n">
        <v>1125</v>
      </c>
      <c r="G9473" s="3" t="n">
        <v>4500</v>
      </c>
    </row>
    <row r="9474">
      <c r="A9474" s="3" t="inlineStr">
        <is>
          <t>Endulini (Pty) Ltd</t>
        </is>
      </c>
      <c r="B9474" s="4" t="n">
        <v>44742</v>
      </c>
      <c r="C9474" s="3" t="inlineStr">
        <is>
          <t>Expenses</t>
        </is>
      </c>
      <c r="D9474" s="3" t="inlineStr">
        <is>
          <t>4552/000</t>
        </is>
      </c>
      <c r="E9474" s="3" t="inlineStr">
        <is>
          <t>Subscriptions - Xero</t>
        </is>
      </c>
      <c r="F9474" s="3" t="n">
        <v>600</v>
      </c>
      <c r="G9474" s="3" t="n">
        <v>2400</v>
      </c>
    </row>
    <row r="9475">
      <c r="A9475" s="3" t="inlineStr">
        <is>
          <t>Opportunity Global Sales (PTY) LTD</t>
        </is>
      </c>
      <c r="B9475" s="4" t="n">
        <v>44742</v>
      </c>
      <c r="C9475" s="3" t="inlineStr">
        <is>
          <t>Expenses</t>
        </is>
      </c>
      <c r="D9475" s="3" t="inlineStr">
        <is>
          <t>4552/000</t>
        </is>
      </c>
      <c r="E9475" s="3" t="inlineStr">
        <is>
          <t>Subscriptions - Xero</t>
        </is>
      </c>
      <c r="F9475" s="3" t="n">
        <v>600</v>
      </c>
      <c r="G9475" s="3" t="n">
        <v>2400</v>
      </c>
    </row>
    <row r="9476">
      <c r="A9476" s="3" t="inlineStr">
        <is>
          <t>Opportunity Management Holdings (PTY) LTD</t>
        </is>
      </c>
      <c r="B9476" s="4" t="n">
        <v>44742</v>
      </c>
      <c r="C9476" s="3" t="inlineStr">
        <is>
          <t>Expenses</t>
        </is>
      </c>
      <c r="D9476" s="3" t="inlineStr">
        <is>
          <t>4552/000</t>
        </is>
      </c>
      <c r="E9476" s="3" t="inlineStr">
        <is>
          <t>Subscriptions - Xero</t>
        </is>
      </c>
      <c r="F9476" s="3" t="n">
        <v>600</v>
      </c>
      <c r="G9476" s="3" t="n">
        <v>4050</v>
      </c>
    </row>
    <row r="9477">
      <c r="A9477" s="3" t="inlineStr">
        <is>
          <t>Opportunity Global Sales (PTY) LTD</t>
        </is>
      </c>
      <c r="B9477" s="4" t="n">
        <v>44742</v>
      </c>
      <c r="C9477" s="3" t="inlineStr">
        <is>
          <t>Expenses</t>
        </is>
      </c>
      <c r="D9477" s="3" t="inlineStr">
        <is>
          <t>4553/000</t>
        </is>
      </c>
      <c r="E9477" s="3" t="inlineStr">
        <is>
          <t>Subscriptions - CMA</t>
        </is>
      </c>
      <c r="F9477" s="3" t="n">
        <v>680</v>
      </c>
      <c r="G9477" s="3" t="n">
        <v>2720</v>
      </c>
    </row>
    <row r="9478">
      <c r="A9478" s="3" t="inlineStr">
        <is>
          <t>Quinate Consulting (Pty) Ltd</t>
        </is>
      </c>
      <c r="B9478" s="4" t="n">
        <v>44742</v>
      </c>
      <c r="C9478" s="3" t="inlineStr">
        <is>
          <t>Expenses</t>
        </is>
      </c>
      <c r="D9478" s="3" t="inlineStr">
        <is>
          <t>4554/000</t>
        </is>
      </c>
      <c r="E9478" s="3" t="inlineStr">
        <is>
          <t>Subscriptions - Xero</t>
        </is>
      </c>
      <c r="F9478" s="3" t="n">
        <v>600</v>
      </c>
      <c r="G9478" s="3" t="n">
        <v>2400</v>
      </c>
    </row>
    <row r="9479">
      <c r="A9479" s="3" t="inlineStr">
        <is>
          <t>Opportunity Global Sales (PTY) LTD</t>
        </is>
      </c>
      <c r="B9479" s="4" t="n">
        <v>44742</v>
      </c>
      <c r="C9479" s="3" t="inlineStr">
        <is>
          <t>Expenses</t>
        </is>
      </c>
      <c r="D9479" s="3" t="inlineStr">
        <is>
          <t>4554/000</t>
        </is>
      </c>
      <c r="E9479" s="3" t="inlineStr">
        <is>
          <t>Subscriptions - Zoho</t>
        </is>
      </c>
      <c r="F9479" s="3" t="n">
        <v>600</v>
      </c>
      <c r="G9479" s="3" t="n">
        <v>2400</v>
      </c>
    </row>
    <row r="9480">
      <c r="A9480" s="3" t="inlineStr">
        <is>
          <t>Opportunity Global Sales (PTY) LTD</t>
        </is>
      </c>
      <c r="B9480" s="4" t="n">
        <v>44742</v>
      </c>
      <c r="C9480" s="3" t="inlineStr">
        <is>
          <t>Expenses</t>
        </is>
      </c>
      <c r="D9480" s="3" t="inlineStr">
        <is>
          <t>4555/000</t>
        </is>
      </c>
      <c r="E9480" s="3" t="inlineStr">
        <is>
          <t>Subscriptions - EAAB</t>
        </is>
      </c>
      <c r="F9480" s="3" t="n">
        <v>0</v>
      </c>
      <c r="G9480" s="3" t="n">
        <v>8500</v>
      </c>
    </row>
    <row r="9481">
      <c r="A9481" s="3" t="inlineStr">
        <is>
          <t>Quinate Consulting (Pty) Ltd</t>
        </is>
      </c>
      <c r="B9481" s="4" t="n">
        <v>44742</v>
      </c>
      <c r="C9481" s="3" t="inlineStr">
        <is>
          <t>Expenses</t>
        </is>
      </c>
      <c r="D9481" s="3" t="inlineStr">
        <is>
          <t>4555/000</t>
        </is>
      </c>
      <c r="E9481" s="3" t="inlineStr">
        <is>
          <t>Subscriptions - OUMS</t>
        </is>
      </c>
      <c r="F9481" s="3" t="n">
        <v>6475.9</v>
      </c>
      <c r="G9481" s="3" t="n">
        <v>25903.6</v>
      </c>
    </row>
    <row r="9482">
      <c r="A9482" s="3" t="inlineStr">
        <is>
          <t>Noble Shield (Pty) Ltd ta Go Letting</t>
        </is>
      </c>
      <c r="B9482" s="4" t="n">
        <v>44742</v>
      </c>
      <c r="C9482" s="3" t="inlineStr">
        <is>
          <t>Expenses</t>
        </is>
      </c>
      <c r="D9482" s="3" t="inlineStr">
        <is>
          <t>4560/000</t>
        </is>
      </c>
      <c r="E9482" s="3" t="inlineStr">
        <is>
          <t>Small Assets - under R7000</t>
        </is>
      </c>
      <c r="F9482" s="3" t="n">
        <v>0</v>
      </c>
      <c r="G9482" s="3" t="n">
        <v>399</v>
      </c>
    </row>
    <row r="9483">
      <c r="A9483" s="3" t="inlineStr">
        <is>
          <t>Opportunity Global Investment (PTY) LTD</t>
        </is>
      </c>
      <c r="B9483" s="4" t="n">
        <v>44742</v>
      </c>
      <c r="C9483" s="3" t="inlineStr">
        <is>
          <t>Expenses</t>
        </is>
      </c>
      <c r="D9483" s="3" t="inlineStr">
        <is>
          <t>4600/000</t>
        </is>
      </c>
      <c r="E9483" s="3" t="inlineStr">
        <is>
          <t>Telephone _AND_ Fax</t>
        </is>
      </c>
      <c r="F9483" s="3" t="n">
        <v>3355</v>
      </c>
      <c r="G9483" s="3" t="n">
        <v>13420</v>
      </c>
    </row>
    <row r="9484">
      <c r="A9484" s="3" t="inlineStr">
        <is>
          <t>Trademark Holdings (Pty) Ltd</t>
        </is>
      </c>
      <c r="B9484" s="4" t="n">
        <v>44742</v>
      </c>
      <c r="C9484" s="3" t="inlineStr">
        <is>
          <t>Expenses</t>
        </is>
      </c>
      <c r="D9484" s="3" t="inlineStr">
        <is>
          <t>4600/000</t>
        </is>
      </c>
      <c r="E9484" s="3" t="inlineStr">
        <is>
          <t>Telephone _AND_ Fax</t>
        </is>
      </c>
      <c r="F9484" s="3" t="n">
        <v>1582.6</v>
      </c>
      <c r="G9484" s="3" t="n">
        <v>14716.26</v>
      </c>
    </row>
    <row r="9485">
      <c r="A9485" s="3" t="inlineStr">
        <is>
          <t>Noble Shield (Pty) Ltd ta Go Letting</t>
        </is>
      </c>
      <c r="B9485" s="4" t="n">
        <v>44742</v>
      </c>
      <c r="C9485" s="3" t="inlineStr">
        <is>
          <t>Expenses</t>
        </is>
      </c>
      <c r="D9485" s="3" t="inlineStr">
        <is>
          <t>4600/000</t>
        </is>
      </c>
      <c r="E9485" s="3" t="inlineStr">
        <is>
          <t>Telephone _AND_ Fax - VDB Office</t>
        </is>
      </c>
      <c r="F9485" s="3" t="n">
        <v>0</v>
      </c>
      <c r="G9485" s="3" t="n">
        <v>1926.25</v>
      </c>
    </row>
    <row r="9486">
      <c r="A9486" s="3" t="inlineStr">
        <is>
          <t>Noble Shield (Pty) Ltd ta Go Letting</t>
        </is>
      </c>
      <c r="B9486" s="4" t="n">
        <v>44742</v>
      </c>
      <c r="C9486" s="3" t="inlineStr">
        <is>
          <t>Expenses</t>
        </is>
      </c>
      <c r="D9486" s="3" t="inlineStr">
        <is>
          <t>4610/000</t>
        </is>
      </c>
      <c r="E9486" s="3" t="inlineStr">
        <is>
          <t>Telephone - CT Office</t>
        </is>
      </c>
      <c r="F9486" s="3" t="n">
        <v>1005.99</v>
      </c>
      <c r="G9486" s="3" t="n">
        <v>9293.110000000001</v>
      </c>
    </row>
    <row r="9487">
      <c r="A9487" s="3" t="inlineStr">
        <is>
          <t>Opportunity Management Holdings (PTY) LTD</t>
        </is>
      </c>
      <c r="B9487" s="4" t="n">
        <v>44742</v>
      </c>
      <c r="C9487" s="3" t="inlineStr">
        <is>
          <t>Expenses</t>
        </is>
      </c>
      <c r="D9487" s="3" t="inlineStr">
        <is>
          <t>4650/000</t>
        </is>
      </c>
      <c r="E9487" s="3" t="inlineStr">
        <is>
          <t>Travel _AND_ Accommodation</t>
        </is>
      </c>
      <c r="F9487" s="3" t="n">
        <v>0</v>
      </c>
      <c r="G9487" s="3" t="n">
        <v>139.13</v>
      </c>
    </row>
    <row r="9488">
      <c r="A9488" s="3" t="inlineStr">
        <is>
          <t>Quinate Consulting (Pty) Ltd</t>
        </is>
      </c>
      <c r="B9488" s="4" t="n">
        <v>44742</v>
      </c>
      <c r="C9488" s="3" t="inlineStr">
        <is>
          <t>Expenses</t>
        </is>
      </c>
      <c r="D9488" s="3" t="inlineStr">
        <is>
          <t>4650/000</t>
        </is>
      </c>
      <c r="E9488" s="3" t="inlineStr">
        <is>
          <t>Travel _AND_ Accommodation</t>
        </is>
      </c>
      <c r="F9488" s="3" t="n">
        <v>0</v>
      </c>
      <c r="G9488" s="3" t="n">
        <v>5386</v>
      </c>
    </row>
    <row r="9489">
      <c r="A9489" s="3" t="inlineStr">
        <is>
          <t>Quinate Consulting (Pty) Ltd</t>
        </is>
      </c>
      <c r="B9489" s="4" t="n">
        <v>44742</v>
      </c>
      <c r="C9489" s="3" t="inlineStr">
        <is>
          <t>Expenses</t>
        </is>
      </c>
      <c r="D9489" s="3" t="inlineStr">
        <is>
          <t>4650/010</t>
        </is>
      </c>
      <c r="E9489" s="3" t="inlineStr">
        <is>
          <t>Travel - Local Flights</t>
        </is>
      </c>
      <c r="F9489" s="3" t="n">
        <v>0</v>
      </c>
      <c r="G9489" s="3" t="n">
        <v>6912.27</v>
      </c>
    </row>
    <row r="9490">
      <c r="A9490" s="3" t="inlineStr">
        <is>
          <t>Opportunity Global Investment (PTY) LTD</t>
        </is>
      </c>
      <c r="B9490" s="4" t="n">
        <v>44742</v>
      </c>
      <c r="C9490" s="3" t="inlineStr">
        <is>
          <t>Expenses</t>
        </is>
      </c>
      <c r="D9490" s="3" t="inlineStr">
        <is>
          <t>4650/020</t>
        </is>
      </c>
      <c r="E9490" s="3" t="inlineStr">
        <is>
          <t>Travel Accomodation - Car Hire</t>
        </is>
      </c>
      <c r="F9490" s="3" t="n">
        <v>0</v>
      </c>
      <c r="G9490" s="3" t="n">
        <v>457.39</v>
      </c>
    </row>
    <row r="9491">
      <c r="A9491" s="3" t="inlineStr">
        <is>
          <t>Quinate Consulting (Pty) Ltd</t>
        </is>
      </c>
      <c r="B9491" s="4" t="n">
        <v>44742</v>
      </c>
      <c r="C9491" s="3" t="inlineStr">
        <is>
          <t>Expenses</t>
        </is>
      </c>
      <c r="D9491" s="3" t="inlineStr">
        <is>
          <t>4650/030</t>
        </is>
      </c>
      <c r="E9491" s="3" t="inlineStr">
        <is>
          <t>Travel - Parking</t>
        </is>
      </c>
      <c r="F9491" s="3" t="n">
        <v>0</v>
      </c>
      <c r="G9491" s="3" t="n">
        <v>121.74</v>
      </c>
    </row>
    <row r="9492">
      <c r="A9492" s="3" t="inlineStr">
        <is>
          <t>Quinate Consulting (Pty) Ltd</t>
        </is>
      </c>
      <c r="B9492" s="4" t="n">
        <v>44742</v>
      </c>
      <c r="C9492" s="3" t="inlineStr">
        <is>
          <t>Expenses</t>
        </is>
      </c>
      <c r="D9492" s="3" t="inlineStr">
        <is>
          <t>4650/040</t>
        </is>
      </c>
      <c r="E9492" s="3" t="inlineStr">
        <is>
          <t>Travel - Local Car Hire</t>
        </is>
      </c>
      <c r="F9492" s="3" t="n">
        <v>0</v>
      </c>
      <c r="G9492" s="3" t="n">
        <v>1873</v>
      </c>
    </row>
    <row r="9493">
      <c r="A9493" s="3" t="inlineStr">
        <is>
          <t>Opportunity Global Investment (PTY) LTD</t>
        </is>
      </c>
      <c r="B9493" s="4" t="n">
        <v>44742</v>
      </c>
      <c r="C9493" s="3" t="inlineStr">
        <is>
          <t>Expenses</t>
        </is>
      </c>
      <c r="D9493" s="3" t="inlineStr">
        <is>
          <t>4650/080</t>
        </is>
      </c>
      <c r="E9493" s="3" t="inlineStr">
        <is>
          <t>Travel &amp; Accommodation - Staff Reimbursements</t>
        </is>
      </c>
      <c r="F9493" s="3" t="n">
        <v>0</v>
      </c>
      <c r="G9493" s="3" t="n">
        <v>453.72</v>
      </c>
    </row>
    <row r="9494">
      <c r="A9494" s="3" t="inlineStr">
        <is>
          <t>Opportunity Global Investment (PTY) LTD</t>
        </is>
      </c>
      <c r="B9494" s="4" t="n">
        <v>44742</v>
      </c>
      <c r="C9494" s="3" t="inlineStr">
        <is>
          <t>Expenses</t>
        </is>
      </c>
      <c r="D9494" s="3" t="inlineStr">
        <is>
          <t>4650/090</t>
        </is>
      </c>
      <c r="E9494" s="3" t="inlineStr">
        <is>
          <t>Travel &amp; Accom - Fuel</t>
        </is>
      </c>
      <c r="F9494" s="3" t="n">
        <v>3606.35</v>
      </c>
      <c r="G9494" s="3" t="n">
        <v>12605.32</v>
      </c>
    </row>
    <row r="9495">
      <c r="A9495" s="3" t="inlineStr">
        <is>
          <t>Quinate Consulting (Pty) Ltd</t>
        </is>
      </c>
      <c r="B9495" s="4" t="n">
        <v>44742</v>
      </c>
      <c r="C9495" s="3" t="inlineStr">
        <is>
          <t>Expenses</t>
        </is>
      </c>
      <c r="D9495" s="3" t="inlineStr">
        <is>
          <t>4650/600</t>
        </is>
      </c>
      <c r="E9495" s="3" t="inlineStr">
        <is>
          <t>Travel - Fuel</t>
        </is>
      </c>
      <c r="F9495" s="3" t="n">
        <v>0</v>
      </c>
      <c r="G9495" s="3" t="n">
        <v>983.1799999999999</v>
      </c>
    </row>
    <row r="9496">
      <c r="A9496" s="3" t="inlineStr">
        <is>
          <t>Noble Shield (Pty) Ltd ta Go Letting</t>
        </is>
      </c>
      <c r="B9496" s="4" t="n">
        <v>44742</v>
      </c>
      <c r="C9496" s="3" t="inlineStr">
        <is>
          <t>Expenses</t>
        </is>
      </c>
      <c r="D9496" s="3" t="inlineStr">
        <is>
          <t>4700/000</t>
        </is>
      </c>
      <c r="E9496" s="3" t="inlineStr">
        <is>
          <t>PAYE Contributions</t>
        </is>
      </c>
      <c r="F9496" s="3" t="n">
        <v>4502.35</v>
      </c>
      <c r="G9496" s="3" t="n">
        <v>49349.25</v>
      </c>
    </row>
    <row r="9497">
      <c r="A9497" s="3" t="inlineStr">
        <is>
          <t>Trademark Holdings (Pty) Ltd</t>
        </is>
      </c>
      <c r="B9497" s="4" t="n">
        <v>44742</v>
      </c>
      <c r="C9497" s="3" t="inlineStr">
        <is>
          <t>Expenses</t>
        </is>
      </c>
      <c r="D9497" s="3" t="inlineStr">
        <is>
          <t>4700/000</t>
        </is>
      </c>
      <c r="E9497" s="3" t="inlineStr">
        <is>
          <t>PAYE Contributions</t>
        </is>
      </c>
      <c r="F9497" s="3" t="n">
        <v>4962.48</v>
      </c>
      <c r="G9497" s="3" t="n">
        <v>55391.68</v>
      </c>
    </row>
    <row r="9498">
      <c r="A9498" s="3" t="inlineStr">
        <is>
          <t>Opportunity Global Investment (PTY) LTD</t>
        </is>
      </c>
      <c r="B9498" s="4" t="n">
        <v>44742</v>
      </c>
      <c r="C9498" s="3" t="inlineStr">
        <is>
          <t>Expenses</t>
        </is>
      </c>
      <c r="D9498" s="3" t="inlineStr">
        <is>
          <t>4700/000</t>
        </is>
      </c>
      <c r="E9498" s="3" t="inlineStr">
        <is>
          <t>UIF Contributions</t>
        </is>
      </c>
      <c r="F9498" s="3" t="n">
        <v>177.12</v>
      </c>
      <c r="G9498" s="3" t="n">
        <v>708.48</v>
      </c>
    </row>
    <row r="9499">
      <c r="A9499" s="3" t="inlineStr">
        <is>
          <t>Opportunity Global Sales (PTY) LTD</t>
        </is>
      </c>
      <c r="B9499" s="4" t="n">
        <v>44742</v>
      </c>
      <c r="C9499" s="3" t="inlineStr">
        <is>
          <t>Expenses</t>
        </is>
      </c>
      <c r="D9499" s="3" t="inlineStr">
        <is>
          <t>4700/000</t>
        </is>
      </c>
      <c r="E9499" s="3" t="inlineStr">
        <is>
          <t>UIF Contributions</t>
        </is>
      </c>
      <c r="F9499" s="3" t="n">
        <v>177.12</v>
      </c>
      <c r="G9499" s="3" t="n">
        <v>808.48</v>
      </c>
    </row>
    <row r="9500">
      <c r="A9500" s="3" t="inlineStr">
        <is>
          <t>Opportunity Global Sales (PTY) LTD</t>
        </is>
      </c>
      <c r="B9500" s="4" t="n">
        <v>44742</v>
      </c>
      <c r="C9500" s="3" t="inlineStr">
        <is>
          <t>Expenses</t>
        </is>
      </c>
      <c r="D9500" s="3" t="inlineStr">
        <is>
          <t>4701/000</t>
        </is>
      </c>
      <c r="E9500" s="3" t="inlineStr">
        <is>
          <t>UIF Employee Contribution</t>
        </is>
      </c>
      <c r="F9500" s="3" t="n">
        <v>177.12</v>
      </c>
      <c r="G9500" s="3" t="n">
        <v>808.48</v>
      </c>
    </row>
    <row r="9501">
      <c r="A9501" s="3" t="inlineStr">
        <is>
          <t>Opportunity Global Investment (PTY) LTD</t>
        </is>
      </c>
      <c r="B9501" s="4" t="n">
        <v>44742</v>
      </c>
      <c r="C9501" s="3" t="inlineStr">
        <is>
          <t>Expenses</t>
        </is>
      </c>
      <c r="D9501" s="3" t="inlineStr">
        <is>
          <t>4701/000</t>
        </is>
      </c>
      <c r="E9501" s="3" t="inlineStr">
        <is>
          <t>UIF Employee Contributions</t>
        </is>
      </c>
      <c r="F9501" s="3" t="n">
        <v>177.12</v>
      </c>
      <c r="G9501" s="3" t="n">
        <v>708.48</v>
      </c>
    </row>
    <row r="9502">
      <c r="A9502" s="3" t="inlineStr">
        <is>
          <t>Noble Shield (Pty) Ltd ta Go Letting</t>
        </is>
      </c>
      <c r="B9502" s="4" t="n">
        <v>44742</v>
      </c>
      <c r="C9502" s="3" t="inlineStr">
        <is>
          <t>Expenses</t>
        </is>
      </c>
      <c r="D9502" s="3" t="inlineStr">
        <is>
          <t>4710/000</t>
        </is>
      </c>
      <c r="E9502" s="3" t="inlineStr">
        <is>
          <t>UIF Company Contributions</t>
        </is>
      </c>
      <c r="F9502" s="3" t="n">
        <v>245.25</v>
      </c>
      <c r="G9502" s="3" t="n">
        <v>2134.42</v>
      </c>
    </row>
    <row r="9503">
      <c r="A9503" s="3" t="inlineStr">
        <is>
          <t>Trademark Holdings (Pty) Ltd</t>
        </is>
      </c>
      <c r="B9503" s="4" t="n">
        <v>44742</v>
      </c>
      <c r="C9503" s="3" t="inlineStr">
        <is>
          <t>Expenses</t>
        </is>
      </c>
      <c r="D9503" s="3" t="inlineStr">
        <is>
          <t>4710/000</t>
        </is>
      </c>
      <c r="E9503" s="3" t="inlineStr">
        <is>
          <t>UIF Company Contributions</t>
        </is>
      </c>
      <c r="F9503" s="3" t="n">
        <v>95.25</v>
      </c>
      <c r="G9503" s="3" t="n">
        <v>1257.12</v>
      </c>
    </row>
    <row r="9504">
      <c r="A9504" s="3" t="inlineStr">
        <is>
          <t>Noble Shield (Pty) Ltd ta Go Letting</t>
        </is>
      </c>
      <c r="B9504" s="4" t="n">
        <v>44742</v>
      </c>
      <c r="C9504" s="3" t="inlineStr">
        <is>
          <t>Expenses</t>
        </is>
      </c>
      <c r="D9504" s="3" t="inlineStr">
        <is>
          <t>4711/000</t>
        </is>
      </c>
      <c r="E9504" s="3" t="inlineStr">
        <is>
          <t>UIF Employee Contribution</t>
        </is>
      </c>
      <c r="F9504" s="3" t="n">
        <v>245.25</v>
      </c>
      <c r="G9504" s="3" t="n">
        <v>2134.42</v>
      </c>
    </row>
    <row r="9505">
      <c r="A9505" s="3" t="inlineStr">
        <is>
          <t>Trademark Holdings (Pty) Ltd</t>
        </is>
      </c>
      <c r="B9505" s="4" t="n">
        <v>44742</v>
      </c>
      <c r="C9505" s="3" t="inlineStr">
        <is>
          <t>Expenses</t>
        </is>
      </c>
      <c r="D9505" s="3" t="inlineStr">
        <is>
          <t>4711/000</t>
        </is>
      </c>
      <c r="E9505" s="3" t="inlineStr">
        <is>
          <t>UIF Employee Contributions</t>
        </is>
      </c>
      <c r="F9505" s="3" t="n">
        <v>95.25</v>
      </c>
      <c r="G9505" s="3" t="n">
        <v>1257.12</v>
      </c>
    </row>
    <row r="9506">
      <c r="A9506" s="3" t="inlineStr">
        <is>
          <t>Noble Shield (Pty) Ltd ta Go Letting</t>
        </is>
      </c>
      <c r="B9506" s="4" t="n">
        <v>44742</v>
      </c>
      <c r="C9506" s="3" t="inlineStr">
        <is>
          <t>Expenses</t>
        </is>
      </c>
      <c r="D9506" s="3" t="inlineStr">
        <is>
          <t>4720/000</t>
        </is>
      </c>
      <c r="E9506" s="3" t="inlineStr">
        <is>
          <t>SDL Contributions</t>
        </is>
      </c>
      <c r="F9506" s="3" t="n">
        <v>417.18</v>
      </c>
      <c r="G9506" s="3" t="n">
        <v>3644.53</v>
      </c>
    </row>
    <row r="9507">
      <c r="A9507" s="3" t="inlineStr">
        <is>
          <t>Trademark Holdings (Pty) Ltd</t>
        </is>
      </c>
      <c r="B9507" s="4" t="n">
        <v>44742</v>
      </c>
      <c r="C9507" s="3" t="inlineStr">
        <is>
          <t>Expenses</t>
        </is>
      </c>
      <c r="D9507" s="3" t="inlineStr">
        <is>
          <t>4720/000</t>
        </is>
      </c>
      <c r="E9507" s="3" t="inlineStr">
        <is>
          <t>SDL Contributions</t>
        </is>
      </c>
      <c r="F9507" s="3" t="n">
        <v>300.3</v>
      </c>
      <c r="G9507" s="3" t="n">
        <v>3063.34</v>
      </c>
    </row>
    <row r="9508">
      <c r="A9508" s="3" t="inlineStr">
        <is>
          <t>Opportunity Global Investment (PTY) LTD</t>
        </is>
      </c>
      <c r="B9508" s="4" t="n">
        <v>44742</v>
      </c>
      <c r="C9508" s="3" t="inlineStr">
        <is>
          <t>Expenses</t>
        </is>
      </c>
      <c r="D9508" s="3" t="inlineStr">
        <is>
          <t>4730/000</t>
        </is>
      </c>
      <c r="E9508" s="3" t="inlineStr">
        <is>
          <t>PAYE Contributions</t>
        </is>
      </c>
      <c r="F9508" s="3" t="n">
        <v>9136.700000000001</v>
      </c>
      <c r="G9508" s="3" t="n">
        <v>36546.79</v>
      </c>
    </row>
    <row r="9509">
      <c r="A9509" s="3" t="inlineStr">
        <is>
          <t>Opportunity Global Sales (PTY) LTD</t>
        </is>
      </c>
      <c r="B9509" s="4" t="n">
        <v>44742</v>
      </c>
      <c r="C9509" s="3" t="inlineStr">
        <is>
          <t>Expenses</t>
        </is>
      </c>
      <c r="D9509" s="3" t="inlineStr">
        <is>
          <t>4730/000</t>
        </is>
      </c>
      <c r="E9509" s="3" t="inlineStr">
        <is>
          <t>PAYE Contributions</t>
        </is>
      </c>
      <c r="F9509" s="3" t="n">
        <v>31226.23</v>
      </c>
      <c r="G9509" s="3" t="n">
        <v>120913.72</v>
      </c>
    </row>
    <row r="9510">
      <c r="A9510" s="3" t="inlineStr">
        <is>
          <t>Opportunity Management Holdings (PTY) LTD</t>
        </is>
      </c>
      <c r="B9510" s="4" t="n">
        <v>44742</v>
      </c>
      <c r="C9510" s="3" t="inlineStr">
        <is>
          <t>Expenses</t>
        </is>
      </c>
      <c r="D9510" s="3" t="inlineStr">
        <is>
          <t>4730/000</t>
        </is>
      </c>
      <c r="E9510" s="3" t="inlineStr">
        <is>
          <t>PAYE Contributions</t>
        </is>
      </c>
      <c r="F9510" s="3" t="n">
        <v>42463.15</v>
      </c>
      <c r="G9510" s="3" t="n">
        <v>340767.55</v>
      </c>
    </row>
    <row r="9511">
      <c r="A9511" s="3" t="inlineStr">
        <is>
          <t>Opportunity Global Investment (PTY) LTD</t>
        </is>
      </c>
      <c r="B9511" s="4" t="n">
        <v>44742</v>
      </c>
      <c r="C9511" s="3" t="inlineStr">
        <is>
          <t>Expenses</t>
        </is>
      </c>
      <c r="D9511" s="3" t="inlineStr">
        <is>
          <t>4740/000</t>
        </is>
      </c>
      <c r="E9511" s="3" t="inlineStr">
        <is>
          <t>SDL Contributions</t>
        </is>
      </c>
      <c r="F9511" s="3" t="n">
        <v>431.1</v>
      </c>
      <c r="G9511" s="3" t="n">
        <v>1724.4</v>
      </c>
    </row>
    <row r="9512">
      <c r="A9512" s="3" t="inlineStr">
        <is>
          <t>Opportunity Global Sales (PTY) LTD</t>
        </is>
      </c>
      <c r="B9512" s="4" t="n">
        <v>44742</v>
      </c>
      <c r="C9512" s="3" t="inlineStr">
        <is>
          <t>Expenses</t>
        </is>
      </c>
      <c r="D9512" s="3" t="inlineStr">
        <is>
          <t>4740/000</t>
        </is>
      </c>
      <c r="E9512" s="3" t="inlineStr">
        <is>
          <t>SDL Contributions</t>
        </is>
      </c>
      <c r="F9512" s="3" t="n">
        <v>1482.14</v>
      </c>
      <c r="G9512" s="3" t="n">
        <v>6628.61</v>
      </c>
    </row>
    <row r="9513">
      <c r="A9513" s="3" t="inlineStr">
        <is>
          <t>Opportunity Management Holdings (PTY) LTD</t>
        </is>
      </c>
      <c r="B9513" s="4" t="n">
        <v>44742</v>
      </c>
      <c r="C9513" s="3" t="inlineStr">
        <is>
          <t>Expenses</t>
        </is>
      </c>
      <c r="D9513" s="3" t="inlineStr">
        <is>
          <t>4740/000</t>
        </is>
      </c>
      <c r="E9513" s="3" t="inlineStr">
        <is>
          <t>UIF Company Contribution</t>
        </is>
      </c>
      <c r="F9513" s="3" t="n">
        <v>1383.1</v>
      </c>
      <c r="G9513" s="3" t="n">
        <v>10836.09</v>
      </c>
    </row>
    <row r="9514">
      <c r="A9514" s="3" t="inlineStr">
        <is>
          <t>Opportunity Management Holdings (PTY) LTD</t>
        </is>
      </c>
      <c r="B9514" s="4" t="n">
        <v>44742</v>
      </c>
      <c r="C9514" s="3" t="inlineStr">
        <is>
          <t>Expenses</t>
        </is>
      </c>
      <c r="D9514" s="3" t="inlineStr">
        <is>
          <t>4741/000</t>
        </is>
      </c>
      <c r="E9514" s="3" t="inlineStr">
        <is>
          <t>UIF Employee Contribution</t>
        </is>
      </c>
      <c r="F9514" s="3" t="n">
        <v>1383.1</v>
      </c>
      <c r="G9514" s="3" t="n">
        <v>10836.09</v>
      </c>
    </row>
    <row r="9515">
      <c r="A9515" s="3" t="inlineStr">
        <is>
          <t>Opportunity Management Holdings (PTY) LTD</t>
        </is>
      </c>
      <c r="B9515" s="4" t="n">
        <v>44742</v>
      </c>
      <c r="C9515" s="3" t="inlineStr">
        <is>
          <t>Expenses</t>
        </is>
      </c>
      <c r="D9515" s="3" t="inlineStr">
        <is>
          <t>4750/000</t>
        </is>
      </c>
      <c r="E9515" s="3" t="inlineStr">
        <is>
          <t>SDL Contribution</t>
        </is>
      </c>
      <c r="F9515" s="3" t="n">
        <v>2397.5</v>
      </c>
      <c r="G9515" s="3" t="n">
        <v>18832.97</v>
      </c>
    </row>
    <row r="9516">
      <c r="A9516" s="3" t="inlineStr">
        <is>
          <t>Noble Shield (Pty) Ltd ta Go Letting</t>
        </is>
      </c>
      <c r="B9516" s="4" t="n">
        <v>44742</v>
      </c>
      <c r="C9516" s="3" t="inlineStr">
        <is>
          <t>Equity</t>
        </is>
      </c>
      <c r="D9516" s="3" t="inlineStr">
        <is>
          <t>5100/000</t>
        </is>
      </c>
      <c r="E9516" s="3" t="inlineStr">
        <is>
          <t>Share Capital</t>
        </is>
      </c>
      <c r="F9516" s="3" t="n">
        <v>0</v>
      </c>
      <c r="G9516" s="3" t="n">
        <v>-1</v>
      </c>
    </row>
    <row r="9517">
      <c r="A9517" s="3" t="inlineStr">
        <is>
          <t>Opportunity Management Holdings (PTY) LTD</t>
        </is>
      </c>
      <c r="B9517" s="4" t="n">
        <v>44742</v>
      </c>
      <c r="C9517" s="3" t="inlineStr">
        <is>
          <t>Equity</t>
        </is>
      </c>
      <c r="D9517" s="3" t="inlineStr">
        <is>
          <t>5100/000</t>
        </is>
      </c>
      <c r="E9517" s="3" t="inlineStr">
        <is>
          <t>Share Capital / Members Contribution</t>
        </is>
      </c>
      <c r="F9517" s="3" t="n">
        <v>0</v>
      </c>
      <c r="G9517" s="3" t="n">
        <v>-120</v>
      </c>
    </row>
    <row r="9518">
      <c r="A9518" s="3" t="inlineStr">
        <is>
          <t>Quinate Consulting (Pty) Ltd</t>
        </is>
      </c>
      <c r="B9518" s="4" t="n">
        <v>44742</v>
      </c>
      <c r="C9518" s="3" t="inlineStr">
        <is>
          <t>Equity</t>
        </is>
      </c>
      <c r="D9518" s="3" t="inlineStr">
        <is>
          <t>5100/000</t>
        </is>
      </c>
      <c r="E9518" s="3" t="inlineStr">
        <is>
          <t>Share Capital / Members Contribution</t>
        </is>
      </c>
      <c r="F9518" s="3" t="n">
        <v>0</v>
      </c>
      <c r="G9518" s="3" t="n">
        <v>-120</v>
      </c>
    </row>
    <row r="9519">
      <c r="A9519" s="3" t="inlineStr">
        <is>
          <t>Trademark Holdings (Pty) Ltd</t>
        </is>
      </c>
      <c r="B9519" s="4" t="n">
        <v>44742</v>
      </c>
      <c r="C9519" s="3" t="inlineStr">
        <is>
          <t>Equity</t>
        </is>
      </c>
      <c r="D9519" s="3" t="inlineStr">
        <is>
          <t>5100/001</t>
        </is>
      </c>
      <c r="E9519" s="3" t="inlineStr">
        <is>
          <t>Share Capital - GFY Investments</t>
        </is>
      </c>
      <c r="F9519" s="3" t="n">
        <v>0</v>
      </c>
      <c r="G9519" s="3" t="n">
        <v>-60</v>
      </c>
    </row>
    <row r="9520">
      <c r="A9520" s="3" t="inlineStr">
        <is>
          <t>Trademark Holdings (Pty) Ltd</t>
        </is>
      </c>
      <c r="B9520" s="4" t="n">
        <v>44742</v>
      </c>
      <c r="C9520" s="3" t="inlineStr">
        <is>
          <t>Equity</t>
        </is>
      </c>
      <c r="D9520" s="3" t="inlineStr">
        <is>
          <t>5100/002</t>
        </is>
      </c>
      <c r="E9520" s="3" t="inlineStr">
        <is>
          <t>Share Capital - Zak Trust</t>
        </is>
      </c>
      <c r="F9520" s="3" t="n">
        <v>0</v>
      </c>
      <c r="G9520" s="3" t="n">
        <v>-60</v>
      </c>
    </row>
    <row r="9521">
      <c r="A9521" s="3" t="inlineStr">
        <is>
          <t>Opportunity Global Investment (PTY) LTD</t>
        </is>
      </c>
      <c r="B9521" s="4" t="n">
        <v>44742</v>
      </c>
      <c r="C9521" s="3" t="inlineStr">
        <is>
          <t>Equity</t>
        </is>
      </c>
      <c r="D9521" s="3" t="inlineStr">
        <is>
          <t>5101/000</t>
        </is>
      </c>
      <c r="E9521" s="3" t="inlineStr">
        <is>
          <t>Share Capital - Ordinary Type A</t>
        </is>
      </c>
      <c r="F9521" s="3" t="n">
        <v>0</v>
      </c>
      <c r="G9521" s="3" t="n">
        <v>-70</v>
      </c>
    </row>
    <row r="9522">
      <c r="A9522" s="3" t="inlineStr">
        <is>
          <t>Opportunity Global Investment (PTY) LTD</t>
        </is>
      </c>
      <c r="B9522" s="4" t="n">
        <v>44742</v>
      </c>
      <c r="C9522" s="3" t="inlineStr">
        <is>
          <t>Equity</t>
        </is>
      </c>
      <c r="D9522" s="3" t="inlineStr">
        <is>
          <t>5102/000</t>
        </is>
      </c>
      <c r="E9522" s="3" t="inlineStr">
        <is>
          <t>Share Capital - Ordinary Type B</t>
        </is>
      </c>
      <c r="F9522" s="3" t="n">
        <v>0</v>
      </c>
      <c r="G9522" s="3" t="n">
        <v>-30</v>
      </c>
    </row>
    <row r="9523">
      <c r="A9523" s="3" t="inlineStr">
        <is>
          <t>Endulini (Pty) Ltd</t>
        </is>
      </c>
      <c r="B9523" s="4" t="n">
        <v>44742</v>
      </c>
      <c r="C9523" s="3" t="inlineStr">
        <is>
          <t>Equity</t>
        </is>
      </c>
      <c r="D9523" s="3" t="inlineStr">
        <is>
          <t>5200/000</t>
        </is>
      </c>
      <c r="E9523" s="3" t="inlineStr">
        <is>
          <t>Retained Earnings / Loss</t>
        </is>
      </c>
      <c r="F9523" s="3" t="n">
        <v>0</v>
      </c>
      <c r="G9523" s="3" t="n">
        <v>-4937860.07</v>
      </c>
    </row>
    <row r="9524">
      <c r="A9524" s="3" t="inlineStr">
        <is>
          <t>Noble Shield (Pty) Ltd ta Go Letting</t>
        </is>
      </c>
      <c r="B9524" s="4" t="n">
        <v>44742</v>
      </c>
      <c r="C9524" s="3" t="inlineStr">
        <is>
          <t>Equity</t>
        </is>
      </c>
      <c r="D9524" s="3" t="inlineStr">
        <is>
          <t>5200/000</t>
        </is>
      </c>
      <c r="E9524" s="3" t="inlineStr">
        <is>
          <t>Retained Earnings / Loss</t>
        </is>
      </c>
      <c r="F9524" s="3" t="n">
        <v>0</v>
      </c>
      <c r="G9524" s="3" t="n">
        <v>-59256.74</v>
      </c>
    </row>
    <row r="9525">
      <c r="A9525" s="3" t="inlineStr">
        <is>
          <t>Opportunity Global Investment (PTY) LTD</t>
        </is>
      </c>
      <c r="B9525" s="4" t="n">
        <v>44742</v>
      </c>
      <c r="C9525" s="3" t="inlineStr">
        <is>
          <t>Equity</t>
        </is>
      </c>
      <c r="D9525" s="3" t="inlineStr">
        <is>
          <t>5200/000</t>
        </is>
      </c>
      <c r="E9525" s="3" t="inlineStr">
        <is>
          <t>Retained Earnings / Loss</t>
        </is>
      </c>
      <c r="F9525" s="3" t="n">
        <v>0</v>
      </c>
      <c r="G9525" s="3" t="n">
        <v>465853.58</v>
      </c>
    </row>
    <row r="9526">
      <c r="A9526" s="3" t="inlineStr">
        <is>
          <t>Opportunity Global Sales (PTY) LTD</t>
        </is>
      </c>
      <c r="B9526" s="4" t="n">
        <v>44742</v>
      </c>
      <c r="C9526" s="3" t="inlineStr">
        <is>
          <t>Equity</t>
        </is>
      </c>
      <c r="D9526" s="3" t="inlineStr">
        <is>
          <t>5200/000</t>
        </is>
      </c>
      <c r="E9526" s="3" t="inlineStr">
        <is>
          <t>Retained Earnings / Loss</t>
        </is>
      </c>
      <c r="F9526" s="3" t="n">
        <v>0</v>
      </c>
      <c r="G9526" s="3" t="n">
        <v>-565683.55</v>
      </c>
    </row>
    <row r="9527">
      <c r="A9527" s="3" t="inlineStr">
        <is>
          <t>Opportunity Management Holdings (PTY) LTD</t>
        </is>
      </c>
      <c r="B9527" s="4" t="n">
        <v>44742</v>
      </c>
      <c r="C9527" s="3" t="inlineStr">
        <is>
          <t>Equity</t>
        </is>
      </c>
      <c r="D9527" s="3" t="inlineStr">
        <is>
          <t>5200/000</t>
        </is>
      </c>
      <c r="E9527" s="3" t="inlineStr">
        <is>
          <t>Retained Earnings / Loss</t>
        </is>
      </c>
      <c r="F9527" s="3" t="n">
        <v>0</v>
      </c>
      <c r="G9527" s="3" t="n">
        <v>1435438.74</v>
      </c>
    </row>
    <row r="9528">
      <c r="A9528" s="3" t="inlineStr">
        <is>
          <t>Quinate Consulting (Pty) Ltd</t>
        </is>
      </c>
      <c r="B9528" s="4" t="n">
        <v>44742</v>
      </c>
      <c r="C9528" s="3" t="inlineStr">
        <is>
          <t>Equity</t>
        </is>
      </c>
      <c r="D9528" s="3" t="inlineStr">
        <is>
          <t>5200/000</t>
        </is>
      </c>
      <c r="E9528" s="3" t="inlineStr">
        <is>
          <t>Retained Earnings / Loss</t>
        </is>
      </c>
      <c r="F9528" s="3" t="n">
        <v>0</v>
      </c>
      <c r="G9528" s="3" t="n">
        <v>571333.3</v>
      </c>
    </row>
    <row r="9529">
      <c r="A9529" s="3" t="inlineStr">
        <is>
          <t>Trademark Holdings (Pty) Ltd</t>
        </is>
      </c>
      <c r="B9529" s="4" t="n">
        <v>44742</v>
      </c>
      <c r="C9529" s="3" t="inlineStr">
        <is>
          <t>Equity</t>
        </is>
      </c>
      <c r="D9529" s="3" t="inlineStr">
        <is>
          <t>5200/000</t>
        </is>
      </c>
      <c r="E9529" s="3" t="inlineStr">
        <is>
          <t>Retained Earnings / Loss</t>
        </is>
      </c>
      <c r="F9529" s="3" t="n">
        <v>0</v>
      </c>
      <c r="G9529" s="3" t="n">
        <v>-150612.02</v>
      </c>
    </row>
    <row r="9530">
      <c r="A9530" s="3" t="inlineStr">
        <is>
          <t>Quinate Consulting (Pty) Ltd</t>
        </is>
      </c>
      <c r="B9530" s="4" t="n">
        <v>44742</v>
      </c>
      <c r="C9530" s="3" t="inlineStr">
        <is>
          <t>Assets</t>
        </is>
      </c>
      <c r="D9530" s="3" t="inlineStr">
        <is>
          <t>5400/011</t>
        </is>
      </c>
      <c r="E9530" s="3" t="inlineStr">
        <is>
          <t>Members Loan - Nick Morgan</t>
        </is>
      </c>
      <c r="F9530" s="3" t="n">
        <v>0</v>
      </c>
      <c r="G9530" s="3" t="n">
        <v>-85743.69</v>
      </c>
    </row>
    <row r="9531">
      <c r="A9531" s="3" t="inlineStr">
        <is>
          <t>Opportunity Management Holdings (PTY) LTD</t>
        </is>
      </c>
      <c r="B9531" s="4" t="n">
        <v>44742</v>
      </c>
      <c r="C9531" s="3" t="inlineStr">
        <is>
          <t>Assets</t>
        </is>
      </c>
      <c r="D9531" s="3" t="inlineStr">
        <is>
          <t>5400/500</t>
        </is>
      </c>
      <c r="E9531" s="3" t="inlineStr">
        <is>
          <t>Shareholder - Zak Loan</t>
        </is>
      </c>
      <c r="F9531" s="3" t="n">
        <v>0</v>
      </c>
      <c r="G9531" s="3" t="n">
        <v>-171798.21</v>
      </c>
    </row>
    <row r="9532">
      <c r="A9532" s="3" t="inlineStr">
        <is>
          <t>Quinate Consulting (Pty) Ltd</t>
        </is>
      </c>
      <c r="B9532" s="4" t="n">
        <v>44742</v>
      </c>
      <c r="C9532" s="3" t="inlineStr">
        <is>
          <t>Liabilities</t>
        </is>
      </c>
      <c r="D9532" s="3" t="inlineStr">
        <is>
          <t>5500/010</t>
        </is>
      </c>
      <c r="E9532" s="3" t="inlineStr">
        <is>
          <t>Loan - Wynand Haywood</t>
        </is>
      </c>
      <c r="F9532" s="3" t="n">
        <v>0</v>
      </c>
      <c r="G9532" s="3" t="n">
        <v>1928.67</v>
      </c>
    </row>
    <row r="9533">
      <c r="A9533" s="3" t="inlineStr">
        <is>
          <t>Quinate Consulting (Pty) Ltd</t>
        </is>
      </c>
      <c r="B9533" s="4" t="n">
        <v>44742</v>
      </c>
      <c r="C9533" s="3" t="inlineStr">
        <is>
          <t>Liabilities</t>
        </is>
      </c>
      <c r="D9533" s="3" t="inlineStr">
        <is>
          <t>5500/030</t>
        </is>
      </c>
      <c r="E9533" s="3" t="inlineStr">
        <is>
          <t>Loan - Heron Projects</t>
        </is>
      </c>
      <c r="F9533" s="3" t="n">
        <v>424000</v>
      </c>
      <c r="G9533" s="3" t="n">
        <v>424000</v>
      </c>
    </row>
    <row r="9534">
      <c r="A9534" s="3" t="inlineStr">
        <is>
          <t>Opportunity Global Investment (PTY) LTD</t>
        </is>
      </c>
      <c r="B9534" s="4" t="n">
        <v>44742</v>
      </c>
      <c r="C9534" s="3" t="inlineStr">
        <is>
          <t>Liabilities</t>
        </is>
      </c>
      <c r="D9534" s="3" t="inlineStr">
        <is>
          <t>5500/100</t>
        </is>
      </c>
      <c r="E9534" s="3" t="inlineStr">
        <is>
          <t>Loan - Cape Projects Construction</t>
        </is>
      </c>
      <c r="F9534" s="3" t="n">
        <v>-313000</v>
      </c>
      <c r="G9534" s="3" t="n">
        <v>10000</v>
      </c>
    </row>
    <row r="9535">
      <c r="A9535" s="3" t="inlineStr">
        <is>
          <t>Noble Shield (Pty) Ltd ta Go Letting</t>
        </is>
      </c>
      <c r="B9535" s="4" t="n">
        <v>44742</v>
      </c>
      <c r="C9535" s="3" t="inlineStr">
        <is>
          <t>Liabilities</t>
        </is>
      </c>
      <c r="D9535" s="3" t="inlineStr">
        <is>
          <t>5500/100</t>
        </is>
      </c>
      <c r="E9535" s="3" t="inlineStr">
        <is>
          <t>Loan - Jupiter Trust</t>
        </is>
      </c>
      <c r="F9535" s="3" t="n">
        <v>0</v>
      </c>
      <c r="G9535" s="3" t="n">
        <v>-100228.75</v>
      </c>
    </row>
    <row r="9536">
      <c r="A9536" s="3" t="inlineStr">
        <is>
          <t>Endulini (Pty) Ltd</t>
        </is>
      </c>
      <c r="B9536" s="4" t="n">
        <v>44742</v>
      </c>
      <c r="C9536" s="3" t="inlineStr">
        <is>
          <t>Liabilities</t>
        </is>
      </c>
      <c r="D9536" s="3" t="inlineStr">
        <is>
          <t>5500/100</t>
        </is>
      </c>
      <c r="E9536" s="3" t="inlineStr">
        <is>
          <t>Loan - Quinate Consulting</t>
        </is>
      </c>
      <c r="F9536" s="3" t="n">
        <v>63000</v>
      </c>
      <c r="G9536" s="3" t="n">
        <v>-9986761.699999999</v>
      </c>
    </row>
    <row r="9537">
      <c r="A9537" s="3" t="inlineStr">
        <is>
          <t>Opportunity Global Investment (PTY) LTD</t>
        </is>
      </c>
      <c r="B9537" s="4" t="n">
        <v>44742</v>
      </c>
      <c r="C9537" s="3" t="inlineStr">
        <is>
          <t>Liabilities</t>
        </is>
      </c>
      <c r="D9537" s="3" t="inlineStr">
        <is>
          <t>5500/112</t>
        </is>
      </c>
      <c r="E9537" s="3" t="inlineStr">
        <is>
          <t>Loan - GFY</t>
        </is>
      </c>
      <c r="F9537" s="3" t="n">
        <v>0</v>
      </c>
      <c r="G9537" s="3" t="n">
        <v>-289000</v>
      </c>
    </row>
    <row r="9538">
      <c r="A9538" s="3" t="inlineStr">
        <is>
          <t>Quinate Consulting (Pty) Ltd</t>
        </is>
      </c>
      <c r="B9538" s="4" t="n">
        <v>44742</v>
      </c>
      <c r="C9538" s="3" t="inlineStr">
        <is>
          <t>Liabilities</t>
        </is>
      </c>
      <c r="D9538" s="3" t="inlineStr">
        <is>
          <t>5500/150</t>
        </is>
      </c>
      <c r="E9538" s="3" t="inlineStr">
        <is>
          <t>Loan - Cape Projects Structuring</t>
        </is>
      </c>
      <c r="F9538" s="3" t="n">
        <v>-300000</v>
      </c>
      <c r="G9538" s="3" t="n">
        <v>-300000</v>
      </c>
    </row>
    <row r="9539">
      <c r="A9539" s="3" t="inlineStr">
        <is>
          <t>Quinate Consulting (Pty) Ltd</t>
        </is>
      </c>
      <c r="B9539" s="4" t="n">
        <v>44742</v>
      </c>
      <c r="C9539" s="3" t="inlineStr">
        <is>
          <t>Liabilities</t>
        </is>
      </c>
      <c r="D9539" s="3" t="inlineStr">
        <is>
          <t>5500/160</t>
        </is>
      </c>
      <c r="E9539" s="3" t="inlineStr">
        <is>
          <t>Loan - GFY Investment and Consulting</t>
        </is>
      </c>
      <c r="F9539" s="3" t="n">
        <v>-24618.82</v>
      </c>
      <c r="G9539" s="3" t="n">
        <v>-1774868.75</v>
      </c>
    </row>
    <row r="9540">
      <c r="A9540" s="3" t="inlineStr">
        <is>
          <t>Opportunity Management Holdings (PTY) LTD</t>
        </is>
      </c>
      <c r="B9540" s="4" t="n">
        <v>44742</v>
      </c>
      <c r="C9540" s="3" t="inlineStr">
        <is>
          <t>Liabilities</t>
        </is>
      </c>
      <c r="D9540" s="3" t="inlineStr">
        <is>
          <t>5500/200</t>
        </is>
      </c>
      <c r="E9540" s="3" t="inlineStr">
        <is>
          <t>Loan - Cape Projects</t>
        </is>
      </c>
      <c r="F9540" s="3" t="n">
        <v>-50000</v>
      </c>
      <c r="G9540" s="3" t="n">
        <v>0</v>
      </c>
    </row>
    <row r="9541">
      <c r="A9541" s="3" t="inlineStr">
        <is>
          <t>Endulini (Pty) Ltd</t>
        </is>
      </c>
      <c r="B9541" s="4" t="n">
        <v>44742</v>
      </c>
      <c r="C9541" s="3" t="inlineStr">
        <is>
          <t>Liabilities</t>
        </is>
      </c>
      <c r="D9541" s="3" t="inlineStr">
        <is>
          <t>5500/250</t>
        </is>
      </c>
      <c r="E9541" s="3" t="inlineStr">
        <is>
          <t>Loan - Heron Projects</t>
        </is>
      </c>
      <c r="F9541" s="3" t="n">
        <v>0</v>
      </c>
      <c r="G9541" s="3" t="n">
        <v>4240.63</v>
      </c>
    </row>
    <row r="9542">
      <c r="A9542" s="3" t="inlineStr">
        <is>
          <t>Trademark Holdings (Pty) Ltd</t>
        </is>
      </c>
      <c r="B9542" s="4" t="n">
        <v>44742</v>
      </c>
      <c r="C9542" s="3" t="inlineStr">
        <is>
          <t>Liabilities</t>
        </is>
      </c>
      <c r="D9542" s="3" t="inlineStr">
        <is>
          <t>5500/250</t>
        </is>
      </c>
      <c r="E9542" s="3" t="inlineStr">
        <is>
          <t>Loan - Noble Shield</t>
        </is>
      </c>
      <c r="F9542" s="3" t="n">
        <v>10000</v>
      </c>
      <c r="G9542" s="3" t="n">
        <v>93165.59</v>
      </c>
    </row>
    <row r="9543">
      <c r="A9543" s="3" t="inlineStr">
        <is>
          <t>Quinate Consulting (Pty) Ltd</t>
        </is>
      </c>
      <c r="B9543" s="4" t="n">
        <v>44742</v>
      </c>
      <c r="C9543" s="3" t="inlineStr">
        <is>
          <t>Liabilities</t>
        </is>
      </c>
      <c r="D9543" s="3" t="inlineStr">
        <is>
          <t>5500/300</t>
        </is>
      </c>
      <c r="E9543" s="3" t="inlineStr">
        <is>
          <t>Loan - Gengis</t>
        </is>
      </c>
      <c r="F9543" s="3" t="n">
        <v>-12030.37</v>
      </c>
      <c r="G9543" s="3" t="n">
        <v>-281383.8</v>
      </c>
    </row>
    <row r="9544">
      <c r="A9544" s="3" t="inlineStr">
        <is>
          <t>Opportunity Management Holdings (PTY) LTD</t>
        </is>
      </c>
      <c r="B9544" s="4" t="n">
        <v>44742</v>
      </c>
      <c r="C9544" s="3" t="inlineStr">
        <is>
          <t>Liabilities</t>
        </is>
      </c>
      <c r="D9544" s="3" t="inlineStr">
        <is>
          <t>5500/300</t>
        </is>
      </c>
      <c r="E9544" s="3" t="inlineStr">
        <is>
          <t>Loan - Opportunity Prop Management</t>
        </is>
      </c>
      <c r="F9544" s="3" t="n">
        <v>0</v>
      </c>
      <c r="G9544" s="3" t="n">
        <v>-1220204.15</v>
      </c>
    </row>
    <row r="9545">
      <c r="A9545" s="3" t="inlineStr">
        <is>
          <t>Noble Shield (Pty) Ltd ta Go Letting</t>
        </is>
      </c>
      <c r="B9545" s="4" t="n">
        <v>44742</v>
      </c>
      <c r="C9545" s="3" t="inlineStr">
        <is>
          <t>Liabilities</t>
        </is>
      </c>
      <c r="D9545" s="3" t="inlineStr">
        <is>
          <t>5500/300</t>
        </is>
      </c>
      <c r="E9545" s="3" t="inlineStr">
        <is>
          <t>Loan - Trademark Holdings</t>
        </is>
      </c>
      <c r="F9545" s="3" t="n">
        <v>-10000</v>
      </c>
      <c r="G9545" s="3" t="n">
        <v>-93165.59</v>
      </c>
    </row>
    <row r="9546">
      <c r="A9546" s="3" t="inlineStr">
        <is>
          <t>Trademark Holdings (Pty) Ltd</t>
        </is>
      </c>
      <c r="B9546" s="4" t="n">
        <v>44742</v>
      </c>
      <c r="C9546" s="3" t="inlineStr">
        <is>
          <t>Liabilities</t>
        </is>
      </c>
      <c r="D9546" s="3" t="inlineStr">
        <is>
          <t>5500/350</t>
        </is>
      </c>
      <c r="E9546" s="3" t="inlineStr">
        <is>
          <t>Loan - Quinate Consulting</t>
        </is>
      </c>
      <c r="F9546" s="3" t="n">
        <v>0</v>
      </c>
      <c r="G9546" s="3" t="n">
        <v>18635</v>
      </c>
    </row>
    <row r="9547">
      <c r="A9547" s="3" t="inlineStr">
        <is>
          <t>Trademark Holdings (Pty) Ltd</t>
        </is>
      </c>
      <c r="B9547" s="4" t="n">
        <v>44742</v>
      </c>
      <c r="C9547" s="3" t="inlineStr">
        <is>
          <t>Liabilities</t>
        </is>
      </c>
      <c r="D9547" s="3" t="inlineStr">
        <is>
          <t>5500/375</t>
        </is>
      </c>
      <c r="E9547" s="3" t="inlineStr">
        <is>
          <t>Loan - Opportunity Management Holdings Pty Ltd</t>
        </is>
      </c>
      <c r="F9547" s="3" t="n">
        <v>0</v>
      </c>
      <c r="G9547" s="3" t="n">
        <v>-27125</v>
      </c>
    </row>
    <row r="9548">
      <c r="A9548" s="3" t="inlineStr">
        <is>
          <t>Trademark Holdings (Pty) Ltd</t>
        </is>
      </c>
      <c r="B9548" s="4" t="n">
        <v>44742</v>
      </c>
      <c r="C9548" s="3" t="inlineStr">
        <is>
          <t>Liabilities</t>
        </is>
      </c>
      <c r="D9548" s="3" t="inlineStr">
        <is>
          <t>5500/450</t>
        </is>
      </c>
      <c r="E9548" s="3" t="inlineStr">
        <is>
          <t>Loan - Cape Projects Construction</t>
        </is>
      </c>
      <c r="F9548" s="3" t="n">
        <v>-600</v>
      </c>
      <c r="G9548" s="3" t="n">
        <v>-600</v>
      </c>
    </row>
    <row r="9549">
      <c r="A9549" s="3" t="inlineStr">
        <is>
          <t>Trademark Holdings (Pty) Ltd</t>
        </is>
      </c>
      <c r="B9549" s="4" t="n">
        <v>44742</v>
      </c>
      <c r="C9549" s="3" t="inlineStr">
        <is>
          <t>Liabilities</t>
        </is>
      </c>
      <c r="D9549" s="3" t="inlineStr">
        <is>
          <t>5500/460</t>
        </is>
      </c>
      <c r="E9549" s="3" t="inlineStr">
        <is>
          <t>Loan - Heron Projects</t>
        </is>
      </c>
      <c r="F9549" s="3" t="n">
        <v>45000</v>
      </c>
      <c r="G9549" s="3" t="n">
        <v>45000</v>
      </c>
    </row>
    <row r="9550">
      <c r="A9550" s="3" t="inlineStr">
        <is>
          <t>Trademark Holdings (Pty) Ltd</t>
        </is>
      </c>
      <c r="B9550" s="4" t="n">
        <v>44742</v>
      </c>
      <c r="C9550" s="3" t="inlineStr">
        <is>
          <t>Liabilities</t>
        </is>
      </c>
      <c r="D9550" s="3" t="inlineStr">
        <is>
          <t>5500/500</t>
        </is>
      </c>
      <c r="E9550" s="3" t="inlineStr">
        <is>
          <t>Go Letting Brand Name</t>
        </is>
      </c>
      <c r="F9550" s="3" t="n">
        <v>0</v>
      </c>
      <c r="G9550" s="3" t="n">
        <v>93420</v>
      </c>
    </row>
    <row r="9551">
      <c r="A9551" s="3" t="inlineStr">
        <is>
          <t>Noble Shield (Pty) Ltd ta Go Letting</t>
        </is>
      </c>
      <c r="B9551" s="4" t="n">
        <v>44742</v>
      </c>
      <c r="C9551" s="3" t="inlineStr">
        <is>
          <t>Liabilities</t>
        </is>
      </c>
      <c r="D9551" s="3" t="inlineStr">
        <is>
          <t>5500/500</t>
        </is>
      </c>
      <c r="E9551" s="3" t="inlineStr">
        <is>
          <t>Loan - Cape Projects Construction</t>
        </is>
      </c>
      <c r="F9551" s="3" t="n">
        <v>-600</v>
      </c>
      <c r="G9551" s="3" t="n">
        <v>-600</v>
      </c>
    </row>
    <row r="9552">
      <c r="A9552" s="3" t="inlineStr">
        <is>
          <t>Quinate Consulting (Pty) Ltd</t>
        </is>
      </c>
      <c r="B9552" s="4" t="n">
        <v>44742</v>
      </c>
      <c r="C9552" s="3" t="inlineStr">
        <is>
          <t>Liabilities</t>
        </is>
      </c>
      <c r="D9552" s="3" t="inlineStr">
        <is>
          <t>5500/500</t>
        </is>
      </c>
      <c r="E9552" s="3" t="inlineStr">
        <is>
          <t>Loan - Opportunity Development Struct.</t>
        </is>
      </c>
      <c r="F9552" s="3" t="n">
        <v>0</v>
      </c>
      <c r="G9552" s="3" t="n">
        <v>-2380000</v>
      </c>
    </row>
    <row r="9553">
      <c r="A9553" s="3" t="inlineStr">
        <is>
          <t>Opportunity Management Holdings (PTY) LTD</t>
        </is>
      </c>
      <c r="B9553" s="4" t="n">
        <v>44742</v>
      </c>
      <c r="C9553" s="3" t="inlineStr">
        <is>
          <t>Liabilities</t>
        </is>
      </c>
      <c r="D9553" s="3" t="inlineStr">
        <is>
          <t>5500/500</t>
        </is>
      </c>
      <c r="E9553" s="3" t="inlineStr">
        <is>
          <t>Loan - Opportunity Tradermark Holdings</t>
        </is>
      </c>
      <c r="F9553" s="3" t="n">
        <v>0</v>
      </c>
      <c r="G9553" s="3" t="n">
        <v>27125</v>
      </c>
    </row>
    <row r="9554">
      <c r="A9554" s="3" t="inlineStr">
        <is>
          <t>Quinate Consulting (Pty) Ltd</t>
        </is>
      </c>
      <c r="B9554" s="4" t="n">
        <v>44742</v>
      </c>
      <c r="C9554" s="3" t="inlineStr">
        <is>
          <t>Liabilities</t>
        </is>
      </c>
      <c r="D9554" s="3" t="inlineStr">
        <is>
          <t>5500/520</t>
        </is>
      </c>
      <c r="E9554" s="3" t="inlineStr">
        <is>
          <t>Loan - Opportunity Management Holdings</t>
        </is>
      </c>
      <c r="F9554" s="3" t="n">
        <v>0</v>
      </c>
      <c r="G9554" s="3" t="n">
        <v>-3900</v>
      </c>
    </row>
    <row r="9555">
      <c r="A9555" s="3" t="inlineStr">
        <is>
          <t>Opportunity Management Holdings (PTY) LTD</t>
        </is>
      </c>
      <c r="B9555" s="4" t="n">
        <v>44742</v>
      </c>
      <c r="C9555" s="3" t="inlineStr">
        <is>
          <t>Liabilities</t>
        </is>
      </c>
      <c r="D9555" s="3" t="inlineStr">
        <is>
          <t>5500/550</t>
        </is>
      </c>
      <c r="E9555" s="3" t="inlineStr">
        <is>
          <t>Loan - Heron Projects</t>
        </is>
      </c>
      <c r="F9555" s="3" t="n">
        <v>127000</v>
      </c>
      <c r="G9555" s="3" t="n">
        <v>127000</v>
      </c>
    </row>
    <row r="9556">
      <c r="A9556" s="3" t="inlineStr">
        <is>
          <t>Noble Shield (Pty) Ltd ta Go Letting</t>
        </is>
      </c>
      <c r="B9556" s="4" t="n">
        <v>44742</v>
      </c>
      <c r="C9556" s="3" t="inlineStr">
        <is>
          <t>Liabilities</t>
        </is>
      </c>
      <c r="D9556" s="3" t="inlineStr">
        <is>
          <t>5500/600</t>
        </is>
      </c>
      <c r="E9556" s="3" t="inlineStr">
        <is>
          <t>Loan - Heron Projects</t>
        </is>
      </c>
      <c r="F9556" s="3" t="n">
        <v>11000</v>
      </c>
      <c r="G9556" s="3" t="n">
        <v>11000</v>
      </c>
    </row>
    <row r="9557">
      <c r="A9557" s="3" t="inlineStr">
        <is>
          <t>Opportunity Global Investment (PTY) LTD</t>
        </is>
      </c>
      <c r="B9557" s="4" t="n">
        <v>44742</v>
      </c>
      <c r="C9557" s="3" t="inlineStr">
        <is>
          <t>Liabilities</t>
        </is>
      </c>
      <c r="D9557" s="3" t="inlineStr">
        <is>
          <t>5500/650</t>
        </is>
      </c>
      <c r="E9557" s="3" t="inlineStr">
        <is>
          <t>Loan - Opportunit Global - Sales</t>
        </is>
      </c>
      <c r="F9557" s="3" t="n">
        <v>-100937.39</v>
      </c>
      <c r="G9557" s="3" t="n">
        <v>-1167172.43</v>
      </c>
    </row>
    <row r="9558">
      <c r="A9558" s="3" t="inlineStr">
        <is>
          <t>Opportunity Global Sales (PTY) LTD</t>
        </is>
      </c>
      <c r="B9558" s="4" t="n">
        <v>44742</v>
      </c>
      <c r="C9558" s="3" t="inlineStr">
        <is>
          <t>Liabilities</t>
        </is>
      </c>
      <c r="D9558" s="3" t="inlineStr">
        <is>
          <t>5500/650</t>
        </is>
      </c>
      <c r="E9558" s="3" t="inlineStr">
        <is>
          <t>Loan - Opportunity Investments</t>
        </is>
      </c>
      <c r="F9558" s="3" t="n">
        <v>100937.39</v>
      </c>
      <c r="G9558" s="3" t="n">
        <v>1167172.43</v>
      </c>
    </row>
    <row r="9559">
      <c r="A9559" s="3" t="inlineStr">
        <is>
          <t>Opportunity Management Holdings (PTY) LTD</t>
        </is>
      </c>
      <c r="B9559" s="4" t="n">
        <v>44742</v>
      </c>
      <c r="C9559" s="3" t="inlineStr">
        <is>
          <t>Liabilities</t>
        </is>
      </c>
      <c r="D9559" s="3" t="inlineStr">
        <is>
          <t>5500/700</t>
        </is>
      </c>
      <c r="E9559" s="3" t="inlineStr">
        <is>
          <t>Loan - Go Letting</t>
        </is>
      </c>
      <c r="F9559" s="3" t="n">
        <v>0</v>
      </c>
      <c r="G9559" s="3" t="n">
        <v>-120</v>
      </c>
    </row>
    <row r="9560">
      <c r="A9560" s="3" t="inlineStr">
        <is>
          <t>Quinate Consulting (Pty) Ltd</t>
        </is>
      </c>
      <c r="B9560" s="4" t="n">
        <v>44742</v>
      </c>
      <c r="C9560" s="3" t="inlineStr">
        <is>
          <t>Liabilities</t>
        </is>
      </c>
      <c r="D9560" s="3" t="inlineStr">
        <is>
          <t>5500/700</t>
        </is>
      </c>
      <c r="E9560" s="3" t="inlineStr">
        <is>
          <t>Loan - Trademark Holdings</t>
        </is>
      </c>
      <c r="F9560" s="3" t="n">
        <v>0</v>
      </c>
      <c r="G9560" s="3" t="n">
        <v>-18635</v>
      </c>
    </row>
    <row r="9561">
      <c r="A9561" s="3" t="inlineStr">
        <is>
          <t>Opportunity Global Investment (PTY) LTD</t>
        </is>
      </c>
      <c r="B9561" s="4" t="n">
        <v>44742</v>
      </c>
      <c r="C9561" s="3" t="inlineStr">
        <is>
          <t>Liabilities</t>
        </is>
      </c>
      <c r="D9561" s="3" t="inlineStr">
        <is>
          <t>5500/750</t>
        </is>
      </c>
      <c r="E9561" s="3" t="inlineStr">
        <is>
          <t>Loan - Heron Projects</t>
        </is>
      </c>
      <c r="F9561" s="3" t="n">
        <v>127000</v>
      </c>
      <c r="G9561" s="3" t="n">
        <v>127000</v>
      </c>
    </row>
    <row r="9562">
      <c r="A9562" s="3" t="inlineStr">
        <is>
          <t>Opportunity Global Investment (PTY) LTD</t>
        </is>
      </c>
      <c r="B9562" s="4" t="n">
        <v>44742</v>
      </c>
      <c r="C9562" s="3" t="inlineStr">
        <is>
          <t>Liabilities</t>
        </is>
      </c>
      <c r="D9562" s="3" t="inlineStr">
        <is>
          <t>5500/850</t>
        </is>
      </c>
      <c r="E9562" s="3" t="inlineStr">
        <is>
          <t>Loan - Nick Morgan</t>
        </is>
      </c>
      <c r="F9562" s="3" t="n">
        <v>0</v>
      </c>
      <c r="G9562" s="3" t="n">
        <v>4100</v>
      </c>
    </row>
    <row r="9563">
      <c r="A9563" s="3" t="inlineStr">
        <is>
          <t>Opportunity Global Investment (PTY) LTD</t>
        </is>
      </c>
      <c r="B9563" s="4" t="n">
        <v>44742</v>
      </c>
      <c r="C9563" s="3" t="inlineStr">
        <is>
          <t>Liabilities</t>
        </is>
      </c>
      <c r="D9563" s="3" t="inlineStr">
        <is>
          <t>5500/950</t>
        </is>
      </c>
      <c r="E9563" s="3" t="inlineStr">
        <is>
          <t>Loan - Gengis</t>
        </is>
      </c>
      <c r="F9563" s="3" t="n">
        <v>0</v>
      </c>
      <c r="G9563" s="3" t="n">
        <v>-120000</v>
      </c>
    </row>
    <row r="9564">
      <c r="A9564" s="3" t="inlineStr">
        <is>
          <t>Quinate Consulting (Pty) Ltd</t>
        </is>
      </c>
      <c r="B9564" s="4" t="n">
        <v>44742</v>
      </c>
      <c r="C9564" s="3" t="inlineStr">
        <is>
          <t>Liabilities</t>
        </is>
      </c>
      <c r="D9564" s="3" t="inlineStr">
        <is>
          <t>5501/001</t>
        </is>
      </c>
      <c r="E9564" s="3" t="inlineStr">
        <is>
          <t>Loan - Endulini CIP Costs</t>
        </is>
      </c>
      <c r="F9564" s="3" t="n">
        <v>-63000</v>
      </c>
      <c r="G9564" s="3" t="n">
        <v>9666761.699999999</v>
      </c>
    </row>
    <row r="9565">
      <c r="A9565" s="3" t="inlineStr">
        <is>
          <t>Opportunity Management Holdings (PTY) LTD</t>
        </is>
      </c>
      <c r="B9565" s="4" t="n">
        <v>44742</v>
      </c>
      <c r="C9565" s="3" t="inlineStr">
        <is>
          <t>Liabilities</t>
        </is>
      </c>
      <c r="D9565" s="3" t="inlineStr">
        <is>
          <t>5510/100</t>
        </is>
      </c>
      <c r="E9565" s="3" t="inlineStr">
        <is>
          <t>Staff loan - Debbie Landsberg</t>
        </is>
      </c>
      <c r="F9565" s="3" t="n">
        <v>0</v>
      </c>
      <c r="G9565" s="3" t="n">
        <v>14400</v>
      </c>
    </row>
    <row r="9566">
      <c r="A9566" s="3" t="inlineStr">
        <is>
          <t>Noble Shield (Pty) Ltd ta Go Letting</t>
        </is>
      </c>
      <c r="B9566" s="4" t="n">
        <v>44742</v>
      </c>
      <c r="C9566" s="3" t="inlineStr">
        <is>
          <t>Assets</t>
        </is>
      </c>
      <c r="D9566" s="3" t="inlineStr">
        <is>
          <t>6250/010</t>
        </is>
      </c>
      <c r="E9566" s="3" t="inlineStr">
        <is>
          <t>Computer Equipment - @ Cost</t>
        </is>
      </c>
      <c r="F9566" s="3" t="n">
        <v>0</v>
      </c>
      <c r="G9566" s="3" t="n">
        <v>20397</v>
      </c>
    </row>
    <row r="9567">
      <c r="A9567" s="3" t="inlineStr">
        <is>
          <t>Opportunity Management Holdings (PTY) LTD</t>
        </is>
      </c>
      <c r="B9567" s="4" t="n">
        <v>44742</v>
      </c>
      <c r="C9567" s="3" t="inlineStr">
        <is>
          <t>Assets</t>
        </is>
      </c>
      <c r="D9567" s="3" t="inlineStr">
        <is>
          <t>6250/010</t>
        </is>
      </c>
      <c r="E9567" s="3" t="inlineStr">
        <is>
          <t>Computer Equipment - @ Cost</t>
        </is>
      </c>
      <c r="F9567" s="3" t="n">
        <v>0</v>
      </c>
      <c r="G9567" s="3" t="n">
        <v>24910.15</v>
      </c>
    </row>
    <row r="9568">
      <c r="A9568" s="3" t="inlineStr">
        <is>
          <t>Quinate Consulting (Pty) Ltd</t>
        </is>
      </c>
      <c r="B9568" s="4" t="n">
        <v>44742</v>
      </c>
      <c r="C9568" s="3" t="inlineStr">
        <is>
          <t>Assets</t>
        </is>
      </c>
      <c r="D9568" s="3" t="inlineStr">
        <is>
          <t>6250/010</t>
        </is>
      </c>
      <c r="E9568" s="3" t="inlineStr">
        <is>
          <t>Computer Equipment - @ Cost</t>
        </is>
      </c>
      <c r="F9568" s="3" t="n">
        <v>0</v>
      </c>
      <c r="G9568" s="3" t="n">
        <v>137059.7</v>
      </c>
    </row>
    <row r="9569">
      <c r="A9569" s="3" t="inlineStr">
        <is>
          <t>Noble Shield (Pty) Ltd ta Go Letting</t>
        </is>
      </c>
      <c r="B9569" s="4" t="n">
        <v>44742</v>
      </c>
      <c r="C9569" s="3" t="inlineStr">
        <is>
          <t>Assets</t>
        </is>
      </c>
      <c r="D9569" s="3" t="inlineStr">
        <is>
          <t>6250/020</t>
        </is>
      </c>
      <c r="E9569" s="3" t="inlineStr">
        <is>
          <t>Computer Equipment - Accum Depre</t>
        </is>
      </c>
      <c r="F9569" s="3" t="n">
        <v>0</v>
      </c>
      <c r="G9569" s="3" t="n">
        <v>-9498</v>
      </c>
    </row>
    <row r="9570">
      <c r="A9570" s="3" t="inlineStr">
        <is>
          <t>Opportunity Management Holdings (PTY) LTD</t>
        </is>
      </c>
      <c r="B9570" s="4" t="n">
        <v>44742</v>
      </c>
      <c r="C9570" s="3" t="inlineStr">
        <is>
          <t>Assets</t>
        </is>
      </c>
      <c r="D9570" s="3" t="inlineStr">
        <is>
          <t>6250/020</t>
        </is>
      </c>
      <c r="E9570" s="3" t="inlineStr">
        <is>
          <t>Computer Equipment - Accum Depre</t>
        </is>
      </c>
      <c r="F9570" s="3" t="n">
        <v>-277.75</v>
      </c>
      <c r="G9570" s="3" t="n">
        <v>-555.49</v>
      </c>
    </row>
    <row r="9571">
      <c r="A9571" s="3" t="inlineStr">
        <is>
          <t>Quinate Consulting (Pty) Ltd</t>
        </is>
      </c>
      <c r="B9571" s="4" t="n">
        <v>44742</v>
      </c>
      <c r="C9571" s="3" t="inlineStr">
        <is>
          <t>Assets</t>
        </is>
      </c>
      <c r="D9571" s="3" t="inlineStr">
        <is>
          <t>6250/020</t>
        </is>
      </c>
      <c r="E9571" s="3" t="inlineStr">
        <is>
          <t>Computer Equipment - Accum Depre</t>
        </is>
      </c>
      <c r="F9571" s="3" t="n">
        <v>-3141.37</v>
      </c>
      <c r="G9571" s="3" t="n">
        <v>-74862.2</v>
      </c>
    </row>
    <row r="9572">
      <c r="A9572" s="3" t="inlineStr">
        <is>
          <t>Opportunity Management Holdings (PTY) LTD</t>
        </is>
      </c>
      <c r="B9572" s="4" t="n">
        <v>44742</v>
      </c>
      <c r="C9572" s="3" t="inlineStr">
        <is>
          <t>Assets</t>
        </is>
      </c>
      <c r="D9572" s="3" t="inlineStr">
        <is>
          <t>6250/030</t>
        </is>
      </c>
      <c r="E9572" s="3" t="inlineStr">
        <is>
          <t>Acc Depreciation - Computer Equipment</t>
        </is>
      </c>
      <c r="F9572" s="3" t="n">
        <v>0</v>
      </c>
      <c r="G9572" s="3" t="n">
        <v>-9441.25</v>
      </c>
    </row>
    <row r="9573">
      <c r="A9573" s="3" t="inlineStr">
        <is>
          <t>Quinate Consulting (Pty) Ltd</t>
        </is>
      </c>
      <c r="B9573" s="4" t="n">
        <v>44742</v>
      </c>
      <c r="C9573" s="3" t="inlineStr">
        <is>
          <t>Assets</t>
        </is>
      </c>
      <c r="D9573" s="3" t="inlineStr">
        <is>
          <t>6270/010</t>
        </is>
      </c>
      <c r="E9573" s="3" t="inlineStr">
        <is>
          <t>Site Containers - @ Cost</t>
        </is>
      </c>
      <c r="F9573" s="3" t="n">
        <v>0</v>
      </c>
      <c r="G9573" s="3" t="n">
        <v>19130.44</v>
      </c>
    </row>
    <row r="9574">
      <c r="A9574" s="3" t="inlineStr">
        <is>
          <t>Quinate Consulting (Pty) Ltd</t>
        </is>
      </c>
      <c r="B9574" s="4" t="n">
        <v>44742</v>
      </c>
      <c r="C9574" s="3" t="inlineStr">
        <is>
          <t>Assets</t>
        </is>
      </c>
      <c r="D9574" s="3" t="inlineStr">
        <is>
          <t>6270/020</t>
        </is>
      </c>
      <c r="E9574" s="3" t="inlineStr">
        <is>
          <t>Site Containers - Accum Depre</t>
        </is>
      </c>
      <c r="F9574" s="3" t="n">
        <v>-318.84</v>
      </c>
      <c r="G9574" s="3" t="n">
        <v>-5101.44</v>
      </c>
    </row>
    <row r="9575">
      <c r="A9575" s="3" t="inlineStr">
        <is>
          <t>Noble Shield (Pty) Ltd ta Go Letting</t>
        </is>
      </c>
      <c r="B9575" s="4" t="n">
        <v>44742</v>
      </c>
      <c r="C9575" s="3" t="inlineStr">
        <is>
          <t>Assets</t>
        </is>
      </c>
      <c r="D9575" s="3" t="inlineStr">
        <is>
          <t>6350/010</t>
        </is>
      </c>
      <c r="E9575" s="3" t="inlineStr">
        <is>
          <t>Furniture _AND_ Fittings - @ Cost</t>
        </is>
      </c>
      <c r="F9575" s="3" t="n">
        <v>0</v>
      </c>
      <c r="G9575" s="3" t="n">
        <v>2242</v>
      </c>
    </row>
    <row r="9576">
      <c r="A9576" s="3" t="inlineStr">
        <is>
          <t>Noble Shield (Pty) Ltd ta Go Letting</t>
        </is>
      </c>
      <c r="B9576" s="4" t="n">
        <v>44742</v>
      </c>
      <c r="C9576" s="3" t="inlineStr">
        <is>
          <t>Assets</t>
        </is>
      </c>
      <c r="D9576" s="3" t="inlineStr">
        <is>
          <t>6350/020</t>
        </is>
      </c>
      <c r="E9576" s="3" t="inlineStr">
        <is>
          <t>Furniture _AND_ Fittings - Accum Depre</t>
        </is>
      </c>
      <c r="F9576" s="3" t="n">
        <v>0</v>
      </c>
      <c r="G9576" s="3" t="n">
        <v>-2239</v>
      </c>
    </row>
    <row r="9577">
      <c r="A9577" s="3" t="inlineStr">
        <is>
          <t>Opportunity Management Holdings (PTY) LTD</t>
        </is>
      </c>
      <c r="B9577" s="4" t="n">
        <v>44742</v>
      </c>
      <c r="C9577" s="3" t="inlineStr">
        <is>
          <t>Liabilities</t>
        </is>
      </c>
      <c r="D9577" s="3" t="inlineStr">
        <is>
          <t>6500/000</t>
        </is>
      </c>
      <c r="E9577" s="3" t="inlineStr">
        <is>
          <t>Deposits - Held</t>
        </is>
      </c>
      <c r="F9577" s="3" t="n">
        <v>0</v>
      </c>
      <c r="G9577" s="3" t="n">
        <v>-12028.1</v>
      </c>
    </row>
    <row r="9578">
      <c r="A9578" s="3" t="inlineStr">
        <is>
          <t>Opportunity Management Holdings (PTY) LTD</t>
        </is>
      </c>
      <c r="B9578" s="4" t="n">
        <v>44742</v>
      </c>
      <c r="C9578" s="3" t="inlineStr">
        <is>
          <t>Liabilities</t>
        </is>
      </c>
      <c r="D9578" s="3" t="inlineStr">
        <is>
          <t>6510/000</t>
        </is>
      </c>
      <c r="E9578" s="3" t="inlineStr">
        <is>
          <t>Deposits Paid - Anicol Properties</t>
        </is>
      </c>
      <c r="F9578" s="3" t="n">
        <v>0</v>
      </c>
      <c r="G9578" s="3" t="n">
        <v>13755</v>
      </c>
    </row>
    <row r="9579">
      <c r="A9579" s="3" t="inlineStr">
        <is>
          <t>Opportunity Management Holdings (PTY) LTD</t>
        </is>
      </c>
      <c r="B9579" s="4" t="n">
        <v>44742</v>
      </c>
      <c r="C9579" s="3" t="inlineStr">
        <is>
          <t>Liabilities</t>
        </is>
      </c>
      <c r="D9579" s="3" t="inlineStr">
        <is>
          <t>6515/000</t>
        </is>
      </c>
      <c r="E9579" s="3" t="inlineStr">
        <is>
          <t>Deposits Paid</t>
        </is>
      </c>
      <c r="F9579" s="3" t="n">
        <v>0</v>
      </c>
      <c r="G9579" s="3" t="n">
        <v>3852.5</v>
      </c>
    </row>
    <row r="9580">
      <c r="A9580" s="3" t="inlineStr">
        <is>
          <t>Quinate Consulting (Pty) Ltd</t>
        </is>
      </c>
      <c r="B9580" s="4" t="n">
        <v>44742</v>
      </c>
      <c r="C9580" s="3" t="inlineStr">
        <is>
          <t>Assets</t>
        </is>
      </c>
      <c r="D9580" s="3" t="inlineStr">
        <is>
          <t>6600/010</t>
        </is>
      </c>
      <c r="E9580" s="3" t="inlineStr">
        <is>
          <t>Other Fixed Assets - @ Cost</t>
        </is>
      </c>
      <c r="F9580" s="3" t="n">
        <v>0</v>
      </c>
      <c r="G9580" s="3" t="n">
        <v>14442.5</v>
      </c>
    </row>
    <row r="9581">
      <c r="A9581" s="3" t="inlineStr">
        <is>
          <t>Quinate Consulting (Pty) Ltd</t>
        </is>
      </c>
      <c r="B9581" s="4" t="n">
        <v>44742</v>
      </c>
      <c r="C9581" s="3" t="inlineStr">
        <is>
          <t>Assets</t>
        </is>
      </c>
      <c r="D9581" s="3" t="inlineStr">
        <is>
          <t>6600/020</t>
        </is>
      </c>
      <c r="E9581" s="3" t="inlineStr">
        <is>
          <t>Other Fixed Assets - Accum Depre</t>
        </is>
      </c>
      <c r="F9581" s="3" t="n">
        <v>0</v>
      </c>
      <c r="G9581" s="3" t="n">
        <v>-14441.5</v>
      </c>
    </row>
    <row r="9582">
      <c r="A9582" s="3" t="inlineStr">
        <is>
          <t>Noble Shield (Pty) Ltd ta Go Letting</t>
        </is>
      </c>
      <c r="B9582" s="4" t="n">
        <v>44742</v>
      </c>
      <c r="C9582" s="3" t="inlineStr">
        <is>
          <t>Assets</t>
        </is>
      </c>
      <c r="D9582" s="3" t="inlineStr">
        <is>
          <t>7000/100</t>
        </is>
      </c>
      <c r="E9582" s="3" t="inlineStr">
        <is>
          <t>Goodwill - Purchase of Go Letting</t>
        </is>
      </c>
      <c r="F9582" s="3" t="n">
        <v>0</v>
      </c>
      <c r="G9582" s="3" t="n">
        <v>106580</v>
      </c>
    </row>
    <row r="9583">
      <c r="A9583" s="3" t="inlineStr">
        <is>
          <t>Opportunity Management Holdings (PTY) LTD</t>
        </is>
      </c>
      <c r="B9583" s="4" t="n">
        <v>44742</v>
      </c>
      <c r="C9583" s="3" t="inlineStr">
        <is>
          <t>Assets</t>
        </is>
      </c>
      <c r="D9583" s="3" t="inlineStr">
        <is>
          <t>7200/000</t>
        </is>
      </c>
      <c r="E9583" s="3" t="inlineStr">
        <is>
          <t>Shares in Subsidiary Companies</t>
        </is>
      </c>
      <c r="F9583" s="3" t="n">
        <v>0</v>
      </c>
      <c r="G9583" s="3" t="n">
        <v>120</v>
      </c>
    </row>
    <row r="9584">
      <c r="A9584" s="3" t="inlineStr">
        <is>
          <t>Endulini (Pty) Ltd</t>
        </is>
      </c>
      <c r="B9584" s="4" t="n">
        <v>44742</v>
      </c>
      <c r="C9584" s="3" t="inlineStr">
        <is>
          <t>Assets</t>
        </is>
      </c>
      <c r="D9584" s="3" t="inlineStr">
        <is>
          <t>7610/100</t>
        </is>
      </c>
      <c r="E9584" s="3" t="inlineStr">
        <is>
          <t>Endulini Land</t>
        </is>
      </c>
      <c r="F9584" s="3" t="n">
        <v>0</v>
      </c>
      <c r="G9584" s="3" t="n">
        <v>10572851.37</v>
      </c>
    </row>
    <row r="9585">
      <c r="A9585" s="3" t="inlineStr">
        <is>
          <t>Endulini (Pty) Ltd</t>
        </is>
      </c>
      <c r="B9585" s="4" t="n">
        <v>44742</v>
      </c>
      <c r="C9585" s="3" t="inlineStr">
        <is>
          <t>Assets</t>
        </is>
      </c>
      <c r="D9585" s="3" t="inlineStr">
        <is>
          <t>7610/101</t>
        </is>
      </c>
      <c r="E9585" s="3" t="inlineStr">
        <is>
          <t>Endulini Revaluation of Land stock</t>
        </is>
      </c>
      <c r="F9585" s="3" t="n">
        <v>0</v>
      </c>
      <c r="G9585" s="3" t="n">
        <v>6084085.78</v>
      </c>
    </row>
    <row r="9586">
      <c r="A9586" s="3" t="inlineStr">
        <is>
          <t>Endulini (Pty) Ltd</t>
        </is>
      </c>
      <c r="B9586" s="4" t="n">
        <v>44742</v>
      </c>
      <c r="C9586" s="3" t="inlineStr">
        <is>
          <t>Assets</t>
        </is>
      </c>
      <c r="D9586" s="3" t="inlineStr">
        <is>
          <t>7610/111</t>
        </is>
      </c>
      <c r="E9586" s="3" t="inlineStr">
        <is>
          <t>Endulini Closing Stock February 2021</t>
        </is>
      </c>
      <c r="F9586" s="3" t="n">
        <v>0</v>
      </c>
      <c r="G9586" s="3" t="n">
        <v>15044610.11</v>
      </c>
    </row>
    <row r="9587">
      <c r="A9587" s="3" t="inlineStr">
        <is>
          <t>Endulini (Pty) Ltd</t>
        </is>
      </c>
      <c r="B9587" s="4" t="n">
        <v>44742</v>
      </c>
      <c r="C9587" s="3" t="inlineStr">
        <is>
          <t>Assets</t>
        </is>
      </c>
      <c r="D9587" s="3" t="inlineStr">
        <is>
          <t>7610/180</t>
        </is>
      </c>
      <c r="E9587" s="3" t="inlineStr">
        <is>
          <t>Endulini CIP Architects</t>
        </is>
      </c>
      <c r="F9587" s="3" t="n">
        <v>0</v>
      </c>
      <c r="G9587" s="3" t="n">
        <v>519874</v>
      </c>
    </row>
    <row r="9588">
      <c r="A9588" s="3" t="inlineStr">
        <is>
          <t>Endulini (Pty) Ltd</t>
        </is>
      </c>
      <c r="B9588" s="4" t="n">
        <v>44742</v>
      </c>
      <c r="C9588" s="3" t="inlineStr">
        <is>
          <t>Assets</t>
        </is>
      </c>
      <c r="D9588" s="3" t="inlineStr">
        <is>
          <t>7610/200</t>
        </is>
      </c>
      <c r="E9588" s="3" t="inlineStr">
        <is>
          <t>Endulini CIP CoCT Land Use App</t>
        </is>
      </c>
      <c r="F9588" s="3" t="n">
        <v>0</v>
      </c>
      <c r="G9588" s="3" t="n">
        <v>232891.06</v>
      </c>
    </row>
    <row r="9589">
      <c r="A9589" s="3" t="inlineStr">
        <is>
          <t>Endulini (Pty) Ltd</t>
        </is>
      </c>
      <c r="B9589" s="4" t="n">
        <v>44742</v>
      </c>
      <c r="C9589" s="3" t="inlineStr">
        <is>
          <t>Assets</t>
        </is>
      </c>
      <c r="D9589" s="3" t="inlineStr">
        <is>
          <t>7610/205</t>
        </is>
      </c>
      <c r="E9589" s="3" t="inlineStr">
        <is>
          <t>Endulini CIP Site Establishments</t>
        </is>
      </c>
      <c r="F9589" s="3" t="n">
        <v>12189246.16</v>
      </c>
      <c r="G9589" s="3" t="n">
        <v>42822518.49</v>
      </c>
    </row>
    <row r="9590">
      <c r="A9590" s="3" t="inlineStr">
        <is>
          <t>Endulini (Pty) Ltd</t>
        </is>
      </c>
      <c r="B9590" s="4" t="n">
        <v>44742</v>
      </c>
      <c r="C9590" s="3" t="inlineStr">
        <is>
          <t>Assets</t>
        </is>
      </c>
      <c r="D9590" s="3" t="inlineStr">
        <is>
          <t>7610/209</t>
        </is>
      </c>
      <c r="E9590" s="3" t="inlineStr">
        <is>
          <t>Endulini CIP Construction Management</t>
        </is>
      </c>
      <c r="F9590" s="3" t="n">
        <v>10000</v>
      </c>
      <c r="G9590" s="3" t="n">
        <v>180375</v>
      </c>
    </row>
    <row r="9591">
      <c r="A9591" s="3" t="inlineStr">
        <is>
          <t>Endulini (Pty) Ltd</t>
        </is>
      </c>
      <c r="B9591" s="4" t="n">
        <v>44742</v>
      </c>
      <c r="C9591" s="3" t="inlineStr">
        <is>
          <t>Assets</t>
        </is>
      </c>
      <c r="D9591" s="3" t="inlineStr">
        <is>
          <t>7610/210</t>
        </is>
      </c>
      <c r="E9591" s="3" t="inlineStr">
        <is>
          <t>Endulini CIP Civil Works</t>
        </is>
      </c>
      <c r="F9591" s="3" t="n">
        <v>0</v>
      </c>
      <c r="G9591" s="3" t="n">
        <v>5769985.99</v>
      </c>
    </row>
    <row r="9592">
      <c r="A9592" s="3" t="inlineStr">
        <is>
          <t>Endulini (Pty) Ltd</t>
        </is>
      </c>
      <c r="B9592" s="4" t="n">
        <v>44742</v>
      </c>
      <c r="C9592" s="3" t="inlineStr">
        <is>
          <t>Assets</t>
        </is>
      </c>
      <c r="D9592" s="3" t="inlineStr">
        <is>
          <t>7610/215</t>
        </is>
      </c>
      <c r="E9592" s="3" t="inlineStr">
        <is>
          <t>Endulini CIP Civil Engineers</t>
        </is>
      </c>
      <c r="F9592" s="3" t="n">
        <v>0</v>
      </c>
      <c r="G9592" s="3" t="n">
        <v>183000</v>
      </c>
    </row>
    <row r="9593">
      <c r="A9593" s="3" t="inlineStr">
        <is>
          <t>Endulini (Pty) Ltd</t>
        </is>
      </c>
      <c r="B9593" s="4" t="n">
        <v>44742</v>
      </c>
      <c r="C9593" s="3" t="inlineStr">
        <is>
          <t>Assets</t>
        </is>
      </c>
      <c r="D9593" s="3" t="inlineStr">
        <is>
          <t>7610/220</t>
        </is>
      </c>
      <c r="E9593" s="3" t="inlineStr">
        <is>
          <t>Endulini CIP Structuring Project Fee Opp Invest</t>
        </is>
      </c>
      <c r="F9593" s="3" t="n">
        <v>0</v>
      </c>
      <c r="G9593" s="3" t="n">
        <v>483735.96</v>
      </c>
    </row>
    <row r="9594">
      <c r="A9594" s="3" t="inlineStr">
        <is>
          <t>Endulini (Pty) Ltd</t>
        </is>
      </c>
      <c r="B9594" s="4" t="n">
        <v>44742</v>
      </c>
      <c r="C9594" s="3" t="inlineStr">
        <is>
          <t>Assets</t>
        </is>
      </c>
      <c r="D9594" s="3" t="inlineStr">
        <is>
          <t>7610/225</t>
        </is>
      </c>
      <c r="E9594" s="3" t="inlineStr">
        <is>
          <t>Endulini CIP Structural engineering fee</t>
        </is>
      </c>
      <c r="F9594" s="3" t="n">
        <v>57622.95</v>
      </c>
      <c r="G9594" s="3" t="n">
        <v>346268.03</v>
      </c>
    </row>
    <row r="9595">
      <c r="A9595" s="3" t="inlineStr">
        <is>
          <t>Endulini (Pty) Ltd</t>
        </is>
      </c>
      <c r="B9595" s="4" t="n">
        <v>44742</v>
      </c>
      <c r="C9595" s="3" t="inlineStr">
        <is>
          <t>Assets</t>
        </is>
      </c>
      <c r="D9595" s="3" t="inlineStr">
        <is>
          <t>7610/230</t>
        </is>
      </c>
      <c r="E9595" s="3" t="inlineStr">
        <is>
          <t>Endulini CIP Mechanical Engineering</t>
        </is>
      </c>
      <c r="F9595" s="3" t="n">
        <v>0</v>
      </c>
      <c r="G9595" s="3" t="n">
        <v>15570</v>
      </c>
    </row>
    <row r="9596">
      <c r="A9596" s="3" t="inlineStr">
        <is>
          <t>Endulini (Pty) Ltd</t>
        </is>
      </c>
      <c r="B9596" s="4" t="n">
        <v>44742</v>
      </c>
      <c r="C9596" s="3" t="inlineStr">
        <is>
          <t>Assets</t>
        </is>
      </c>
      <c r="D9596" s="3" t="inlineStr">
        <is>
          <t>7610/235</t>
        </is>
      </c>
      <c r="E9596" s="3" t="inlineStr">
        <is>
          <t>Endulini CIP Electrical Installation</t>
        </is>
      </c>
      <c r="F9596" s="3" t="n">
        <v>16703.19</v>
      </c>
      <c r="G9596" s="3" t="n">
        <v>1034019.08</v>
      </c>
    </row>
    <row r="9597">
      <c r="A9597" s="3" t="inlineStr">
        <is>
          <t>Endulini (Pty) Ltd</t>
        </is>
      </c>
      <c r="B9597" s="4" t="n">
        <v>44742</v>
      </c>
      <c r="C9597" s="3" t="inlineStr">
        <is>
          <t>Assets</t>
        </is>
      </c>
      <c r="D9597" s="3" t="inlineStr">
        <is>
          <t>7610/250</t>
        </is>
      </c>
      <c r="E9597" s="3" t="inlineStr">
        <is>
          <t>Endulini CIP Boundary Wall</t>
        </is>
      </c>
      <c r="F9597" s="3" t="n">
        <v>0</v>
      </c>
      <c r="G9597" s="3" t="n">
        <v>88400.8</v>
      </c>
    </row>
    <row r="9598">
      <c r="A9598" s="3" t="inlineStr">
        <is>
          <t>Endulini (Pty) Ltd</t>
        </is>
      </c>
      <c r="B9598" s="4" t="n">
        <v>44742</v>
      </c>
      <c r="C9598" s="3" t="inlineStr">
        <is>
          <t>Assets</t>
        </is>
      </c>
      <c r="D9598" s="3" t="inlineStr">
        <is>
          <t>7610/290</t>
        </is>
      </c>
      <c r="E9598" s="3" t="inlineStr">
        <is>
          <t>Endulini CIP Development Management Fees</t>
        </is>
      </c>
      <c r="F9598" s="3" t="n">
        <v>0</v>
      </c>
      <c r="G9598" s="3" t="n">
        <v>237496.62</v>
      </c>
    </row>
    <row r="9599">
      <c r="A9599" s="3" t="inlineStr">
        <is>
          <t>Endulini (Pty) Ltd</t>
        </is>
      </c>
      <c r="B9599" s="4" t="n">
        <v>44742</v>
      </c>
      <c r="C9599" s="3" t="inlineStr">
        <is>
          <t>Assets</t>
        </is>
      </c>
      <c r="D9599" s="3" t="inlineStr">
        <is>
          <t>7610/310</t>
        </is>
      </c>
      <c r="E9599" s="3" t="inlineStr">
        <is>
          <t>Endulini CIP Enviromental consultants</t>
        </is>
      </c>
      <c r="F9599" s="3" t="n">
        <v>6000</v>
      </c>
      <c r="G9599" s="3" t="n">
        <v>96000</v>
      </c>
    </row>
    <row r="9600">
      <c r="A9600" s="3" t="inlineStr">
        <is>
          <t>Endulini (Pty) Ltd</t>
        </is>
      </c>
      <c r="B9600" s="4" t="n">
        <v>44742</v>
      </c>
      <c r="C9600" s="3" t="inlineStr">
        <is>
          <t>Assets</t>
        </is>
      </c>
      <c r="D9600" s="3" t="inlineStr">
        <is>
          <t>7610/320</t>
        </is>
      </c>
      <c r="E9600" s="3" t="inlineStr">
        <is>
          <t>Endulini CIP Geotechnical</t>
        </is>
      </c>
      <c r="F9600" s="3" t="n">
        <v>0</v>
      </c>
      <c r="G9600" s="3" t="n">
        <v>13575</v>
      </c>
    </row>
    <row r="9601">
      <c r="A9601" s="3" t="inlineStr">
        <is>
          <t>Endulini (Pty) Ltd</t>
        </is>
      </c>
      <c r="B9601" s="4" t="n">
        <v>44742</v>
      </c>
      <c r="C9601" s="3" t="inlineStr">
        <is>
          <t>Assets</t>
        </is>
      </c>
      <c r="D9601" s="3" t="inlineStr">
        <is>
          <t>7610/330</t>
        </is>
      </c>
      <c r="E9601" s="3" t="inlineStr">
        <is>
          <t>Endulini CIP Health and Safety</t>
        </is>
      </c>
      <c r="F9601" s="3" t="n">
        <v>6400</v>
      </c>
      <c r="G9601" s="3" t="n">
        <v>34600</v>
      </c>
    </row>
    <row r="9602">
      <c r="A9602" s="3" t="inlineStr">
        <is>
          <t>Endulini (Pty) Ltd</t>
        </is>
      </c>
      <c r="B9602" s="4" t="n">
        <v>44742</v>
      </c>
      <c r="C9602" s="3" t="inlineStr">
        <is>
          <t>Assets</t>
        </is>
      </c>
      <c r="D9602" s="3" t="inlineStr">
        <is>
          <t>7610/390</t>
        </is>
      </c>
      <c r="E9602" s="3" t="inlineStr">
        <is>
          <t>Endulini CIP Land Surveyor</t>
        </is>
      </c>
      <c r="F9602" s="3" t="n">
        <v>75198</v>
      </c>
      <c r="G9602" s="3" t="n">
        <v>186021.2</v>
      </c>
    </row>
    <row r="9603">
      <c r="A9603" s="3" t="inlineStr">
        <is>
          <t>Endulini (Pty) Ltd</t>
        </is>
      </c>
      <c r="B9603" s="4" t="n">
        <v>44742</v>
      </c>
      <c r="C9603" s="3" t="inlineStr">
        <is>
          <t>Assets</t>
        </is>
      </c>
      <c r="D9603" s="3" t="inlineStr">
        <is>
          <t>7610/392</t>
        </is>
      </c>
      <c r="E9603" s="3" t="inlineStr">
        <is>
          <t>Endulini CIP Landscaping</t>
        </is>
      </c>
      <c r="F9603" s="3" t="n">
        <v>0</v>
      </c>
      <c r="G9603" s="3" t="n">
        <v>6100</v>
      </c>
    </row>
    <row r="9604">
      <c r="A9604" s="3" t="inlineStr">
        <is>
          <t>Endulini (Pty) Ltd</t>
        </is>
      </c>
      <c r="B9604" s="4" t="n">
        <v>44742</v>
      </c>
      <c r="C9604" s="3" t="inlineStr">
        <is>
          <t>Assets</t>
        </is>
      </c>
      <c r="D9604" s="3" t="inlineStr">
        <is>
          <t>7610/395</t>
        </is>
      </c>
      <c r="E9604" s="3" t="inlineStr">
        <is>
          <t>Endulini CIP NHBRC</t>
        </is>
      </c>
      <c r="F9604" s="3" t="n">
        <v>0</v>
      </c>
      <c r="G9604" s="3" t="n">
        <v>928847.49</v>
      </c>
    </row>
    <row r="9605">
      <c r="A9605" s="3" t="inlineStr">
        <is>
          <t>Endulini (Pty) Ltd</t>
        </is>
      </c>
      <c r="B9605" s="4" t="n">
        <v>44742</v>
      </c>
      <c r="C9605" s="3" t="inlineStr">
        <is>
          <t>Assets</t>
        </is>
      </c>
      <c r="D9605" s="3" t="inlineStr">
        <is>
          <t>7610/400</t>
        </is>
      </c>
      <c r="E9605" s="3" t="inlineStr">
        <is>
          <t>Endulini CIP Quantity Surveyor</t>
        </is>
      </c>
      <c r="F9605" s="3" t="n">
        <v>0</v>
      </c>
      <c r="G9605" s="3" t="n">
        <v>82136.36</v>
      </c>
    </row>
    <row r="9606">
      <c r="A9606" s="3" t="inlineStr">
        <is>
          <t>Endulini (Pty) Ltd</t>
        </is>
      </c>
      <c r="B9606" s="4" t="n">
        <v>44742</v>
      </c>
      <c r="C9606" s="3" t="inlineStr">
        <is>
          <t>Assets</t>
        </is>
      </c>
      <c r="D9606" s="3" t="inlineStr">
        <is>
          <t>7610/600</t>
        </is>
      </c>
      <c r="E9606" s="3" t="inlineStr">
        <is>
          <t>Endulini CIP Town Planning</t>
        </is>
      </c>
      <c r="F9606" s="3" t="n">
        <v>0</v>
      </c>
      <c r="G9606" s="3" t="n">
        <v>21105</v>
      </c>
    </row>
    <row r="9607">
      <c r="A9607" s="3" t="inlineStr">
        <is>
          <t>Endulini (Pty) Ltd</t>
        </is>
      </c>
      <c r="B9607" s="4" t="n">
        <v>44742</v>
      </c>
      <c r="C9607" s="3" t="inlineStr">
        <is>
          <t>Assets</t>
        </is>
      </c>
      <c r="D9607" s="3" t="inlineStr">
        <is>
          <t>7610/620</t>
        </is>
      </c>
      <c r="E9607" s="3" t="inlineStr">
        <is>
          <t>Endulini CIP Traffic Impact</t>
        </is>
      </c>
      <c r="F9607" s="3" t="n">
        <v>0</v>
      </c>
      <c r="G9607" s="3" t="n">
        <v>24915</v>
      </c>
    </row>
    <row r="9608">
      <c r="A9608" s="3" t="inlineStr">
        <is>
          <t>Endulini (Pty) Ltd</t>
        </is>
      </c>
      <c r="B9608" s="4" t="n">
        <v>44742</v>
      </c>
      <c r="C9608" s="3" t="inlineStr">
        <is>
          <t>Assets</t>
        </is>
      </c>
      <c r="D9608" s="3" t="inlineStr">
        <is>
          <t>7610/630</t>
        </is>
      </c>
      <c r="E9608" s="3" t="inlineStr">
        <is>
          <t>Endulini CIP CoCT Development Contributi</t>
        </is>
      </c>
      <c r="F9608" s="3" t="n">
        <v>0</v>
      </c>
      <c r="G9608" s="3" t="n">
        <v>661860.3100000001</v>
      </c>
    </row>
    <row r="9609">
      <c r="A9609" s="3" t="inlineStr">
        <is>
          <t>Endulini (Pty) Ltd</t>
        </is>
      </c>
      <c r="B9609" s="4" t="n">
        <v>44742</v>
      </c>
      <c r="C9609" s="3" t="inlineStr">
        <is>
          <t>Assets</t>
        </is>
      </c>
      <c r="D9609" s="3" t="inlineStr">
        <is>
          <t>7610/640</t>
        </is>
      </c>
      <c r="E9609" s="3" t="inlineStr">
        <is>
          <t>Endulini CIP CoCT Building plan application</t>
        </is>
      </c>
      <c r="F9609" s="3" t="n">
        <v>0</v>
      </c>
      <c r="G9609" s="3" t="n">
        <v>111203.22</v>
      </c>
    </row>
    <row r="9610">
      <c r="A9610" s="3" t="inlineStr">
        <is>
          <t>Endulini (Pty) Ltd</t>
        </is>
      </c>
      <c r="B9610" s="4" t="n">
        <v>44742</v>
      </c>
      <c r="C9610" s="3" t="inlineStr">
        <is>
          <t>Assets</t>
        </is>
      </c>
      <c r="D9610" s="3" t="inlineStr">
        <is>
          <t>7610/650</t>
        </is>
      </c>
      <c r="E9610" s="3" t="inlineStr">
        <is>
          <t>Endulini CIP - P&amp;G recoveries - Endulini&amp;Heron Fields/View</t>
        </is>
      </c>
      <c r="F9610" s="3" t="n">
        <v>-3023829.42</v>
      </c>
      <c r="G9610" s="3" t="n">
        <v>-3023829.42</v>
      </c>
    </row>
    <row r="9611">
      <c r="A9611" s="3" t="inlineStr">
        <is>
          <t>Endulini (Pty) Ltd</t>
        </is>
      </c>
      <c r="B9611" s="4" t="n">
        <v>44742</v>
      </c>
      <c r="C9611" s="3" t="inlineStr">
        <is>
          <t>Assets</t>
        </is>
      </c>
      <c r="D9611" s="3" t="inlineStr">
        <is>
          <t>7610/900</t>
        </is>
      </c>
      <c r="E9611" s="3" t="inlineStr">
        <is>
          <t>Endulini CIP Cost of Sales</t>
        </is>
      </c>
      <c r="F9611" s="3" t="n">
        <v>-28155981.9</v>
      </c>
      <c r="G9611" s="3" t="n">
        <v>-28155981.9</v>
      </c>
    </row>
    <row r="9612">
      <c r="A9612" s="3" t="inlineStr">
        <is>
          <t>Quinate Consulting (Pty) Ltd</t>
        </is>
      </c>
      <c r="B9612" s="4" t="n">
        <v>44742</v>
      </c>
      <c r="C9612" s="3" t="inlineStr">
        <is>
          <t>Assets</t>
        </is>
      </c>
      <c r="D9612" s="3" t="inlineStr">
        <is>
          <t>7800/104</t>
        </is>
      </c>
      <c r="E9612" s="3" t="inlineStr">
        <is>
          <t>Stock - Closing Stock SW - 28 Feb 21</t>
        </is>
      </c>
      <c r="F9612" s="3" t="n">
        <v>0</v>
      </c>
      <c r="G9612" s="3" t="n">
        <v>2874478.88</v>
      </c>
    </row>
    <row r="9613">
      <c r="A9613" s="3" t="inlineStr">
        <is>
          <t>Quinate Consulting (Pty) Ltd</t>
        </is>
      </c>
      <c r="B9613" s="4" t="n">
        <v>44742</v>
      </c>
      <c r="C9613" s="3" t="inlineStr">
        <is>
          <t>Assets</t>
        </is>
      </c>
      <c r="D9613" s="3" t="inlineStr">
        <is>
          <t>7800/105</t>
        </is>
      </c>
      <c r="E9613" s="3" t="inlineStr">
        <is>
          <t>Stock - Closing Stock SH - 28 Feb 21</t>
        </is>
      </c>
      <c r="F9613" s="3" t="n">
        <v>0</v>
      </c>
      <c r="G9613" s="3" t="n">
        <v>2843477.6</v>
      </c>
    </row>
    <row r="9614">
      <c r="A9614" s="3" t="inlineStr">
        <is>
          <t>Endulini (Pty) Ltd</t>
        </is>
      </c>
      <c r="B9614" s="4" t="n">
        <v>44742</v>
      </c>
      <c r="C9614" s="3" t="inlineStr">
        <is>
          <t>Assets</t>
        </is>
      </c>
      <c r="D9614" s="3" t="inlineStr">
        <is>
          <t>8000/000</t>
        </is>
      </c>
      <c r="E9614" s="3" t="inlineStr">
        <is>
          <t>Customer Control Account</t>
        </is>
      </c>
      <c r="F9614" s="3" t="n">
        <v>3230808.74</v>
      </c>
      <c r="G9614" s="3" t="n">
        <v>3477403.83</v>
      </c>
    </row>
    <row r="9615">
      <c r="A9615" s="3" t="inlineStr">
        <is>
          <t>Noble Shield (Pty) Ltd ta Go Letting</t>
        </is>
      </c>
      <c r="B9615" s="4" t="n">
        <v>44742</v>
      </c>
      <c r="C9615" s="3" t="inlineStr">
        <is>
          <t>Assets</t>
        </is>
      </c>
      <c r="D9615" s="3" t="inlineStr">
        <is>
          <t>8000/000</t>
        </is>
      </c>
      <c r="E9615" s="3" t="inlineStr">
        <is>
          <t>Customer Control Account</t>
        </is>
      </c>
      <c r="F9615" s="3" t="n">
        <v>0</v>
      </c>
      <c r="G9615" s="3" t="n">
        <v>60289.32</v>
      </c>
    </row>
    <row r="9616">
      <c r="A9616" s="3" t="inlineStr">
        <is>
          <t>Opportunity Global Investment (PTY) LTD</t>
        </is>
      </c>
      <c r="B9616" s="4" t="n">
        <v>44742</v>
      </c>
      <c r="C9616" s="3" t="inlineStr">
        <is>
          <t>Assets</t>
        </is>
      </c>
      <c r="D9616" s="3" t="inlineStr">
        <is>
          <t>8000/000</t>
        </is>
      </c>
      <c r="E9616" s="3" t="inlineStr">
        <is>
          <t>Customer Control Account</t>
        </is>
      </c>
      <c r="F9616" s="3" t="n">
        <v>100000</v>
      </c>
      <c r="G9616" s="3" t="n">
        <v>100000</v>
      </c>
    </row>
    <row r="9617">
      <c r="A9617" s="3" t="inlineStr">
        <is>
          <t>Opportunity Global Sales (PTY) LTD</t>
        </is>
      </c>
      <c r="B9617" s="4" t="n">
        <v>44742</v>
      </c>
      <c r="C9617" s="3" t="inlineStr">
        <is>
          <t>Assets</t>
        </is>
      </c>
      <c r="D9617" s="3" t="inlineStr">
        <is>
          <t>8000/000</t>
        </is>
      </c>
      <c r="E9617" s="3" t="inlineStr">
        <is>
          <t>Customer Control Account</t>
        </is>
      </c>
      <c r="F9617" s="3" t="n">
        <v>-89257.39</v>
      </c>
      <c r="G9617" s="3" t="n">
        <v>130963.99</v>
      </c>
    </row>
    <row r="9618">
      <c r="A9618" s="3" t="inlineStr">
        <is>
          <t>Opportunity Management Holdings (PTY) LTD</t>
        </is>
      </c>
      <c r="B9618" s="4" t="n">
        <v>44742</v>
      </c>
      <c r="C9618" s="3" t="inlineStr">
        <is>
          <t>Assets</t>
        </is>
      </c>
      <c r="D9618" s="3" t="inlineStr">
        <is>
          <t>8000/000</t>
        </is>
      </c>
      <c r="E9618" s="3" t="inlineStr">
        <is>
          <t>Customer Control Account</t>
        </is>
      </c>
      <c r="F9618" s="3" t="n">
        <v>-15191.26</v>
      </c>
      <c r="G9618" s="3" t="n">
        <v>0</v>
      </c>
    </row>
    <row r="9619">
      <c r="A9619" s="3" t="inlineStr">
        <is>
          <t>Quinate Consulting (Pty) Ltd</t>
        </is>
      </c>
      <c r="B9619" s="4" t="n">
        <v>44742</v>
      </c>
      <c r="C9619" s="3" t="inlineStr">
        <is>
          <t>Assets</t>
        </is>
      </c>
      <c r="D9619" s="3" t="inlineStr">
        <is>
          <t>8000/000</t>
        </is>
      </c>
      <c r="E9619" s="3" t="inlineStr">
        <is>
          <t>Customer Control Account</t>
        </is>
      </c>
      <c r="F9619" s="3" t="n">
        <v>-43707.16</v>
      </c>
      <c r="G9619" s="3" t="n">
        <v>-24445</v>
      </c>
    </row>
    <row r="9620">
      <c r="A9620" s="3" t="inlineStr">
        <is>
          <t>Quinate Consulting (Pty) Ltd</t>
        </is>
      </c>
      <c r="B9620" s="4" t="n">
        <v>44742</v>
      </c>
      <c r="C9620" s="3" t="inlineStr">
        <is>
          <t>Assets</t>
        </is>
      </c>
      <c r="D9620" s="3" t="inlineStr">
        <is>
          <t>8001</t>
        </is>
      </c>
      <c r="E9620" s="3" t="inlineStr">
        <is>
          <t>Customer Control</t>
        </is>
      </c>
      <c r="F9620" s="3" t="n">
        <v>0</v>
      </c>
      <c r="G9620" s="3" t="n">
        <v>29487.49</v>
      </c>
    </row>
    <row r="9621">
      <c r="A9621" s="3" t="inlineStr">
        <is>
          <t>Opportunity Global Investment (PTY) LTD</t>
        </is>
      </c>
      <c r="B9621" s="4" t="n">
        <v>44742</v>
      </c>
      <c r="C9621" s="3" t="inlineStr">
        <is>
          <t>Assets</t>
        </is>
      </c>
      <c r="D9621" s="3" t="inlineStr">
        <is>
          <t>8200/010</t>
        </is>
      </c>
      <c r="E9621" s="3" t="inlineStr">
        <is>
          <t>Prepayments / Prepaid Expenses</t>
        </is>
      </c>
      <c r="F9621" s="3" t="n">
        <v>-51825.9</v>
      </c>
      <c r="G9621" s="3" t="n">
        <v>112042.03</v>
      </c>
    </row>
    <row r="9622">
      <c r="A9622" s="3" t="inlineStr">
        <is>
          <t>Quinate Consulting (Pty) Ltd</t>
        </is>
      </c>
      <c r="B9622" s="4" t="n">
        <v>44742</v>
      </c>
      <c r="C9622" s="3" t="inlineStr">
        <is>
          <t>Assets</t>
        </is>
      </c>
      <c r="D9622" s="3" t="inlineStr">
        <is>
          <t>8200/010</t>
        </is>
      </c>
      <c r="E9622" s="3" t="inlineStr">
        <is>
          <t>Prepayments / Prepaid Expenses</t>
        </is>
      </c>
      <c r="F9622" s="3" t="n">
        <v>0</v>
      </c>
      <c r="G9622" s="3" t="n">
        <v>109675</v>
      </c>
    </row>
    <row r="9623">
      <c r="A9623" s="3" t="inlineStr">
        <is>
          <t>Opportunity Global Investment (PTY) LTD</t>
        </is>
      </c>
      <c r="B9623" s="4" t="n">
        <v>44742</v>
      </c>
      <c r="C9623" s="3" t="inlineStr">
        <is>
          <t>Assets</t>
        </is>
      </c>
      <c r="D9623" s="3" t="inlineStr">
        <is>
          <t>8400/000</t>
        </is>
      </c>
      <c r="E9623" s="3" t="inlineStr">
        <is>
          <t>FNB 62093491696</t>
        </is>
      </c>
      <c r="F9623" s="3" t="n">
        <v>-13618.26</v>
      </c>
      <c r="G9623" s="3" t="n">
        <v>10808.67</v>
      </c>
    </row>
    <row r="9624">
      <c r="A9624" s="3" t="inlineStr">
        <is>
          <t>Opportunity Global Sales (PTY) LTD</t>
        </is>
      </c>
      <c r="B9624" s="4" t="n">
        <v>44742</v>
      </c>
      <c r="C9624" s="3" t="inlineStr">
        <is>
          <t>Assets</t>
        </is>
      </c>
      <c r="D9624" s="3" t="inlineStr">
        <is>
          <t>8400/000</t>
        </is>
      </c>
      <c r="E9624" s="3" t="inlineStr">
        <is>
          <t>FNB 62835620875</t>
        </is>
      </c>
      <c r="F9624" s="3" t="n">
        <v>-32058.34</v>
      </c>
      <c r="G9624" s="3" t="n">
        <v>15374.53</v>
      </c>
    </row>
    <row r="9625">
      <c r="A9625" s="3" t="inlineStr">
        <is>
          <t>Quinate Consulting (Pty) Ltd</t>
        </is>
      </c>
      <c r="B9625" s="4" t="n">
        <v>44742</v>
      </c>
      <c r="C9625" s="3" t="inlineStr">
        <is>
          <t>Assets</t>
        </is>
      </c>
      <c r="D9625" s="3" t="inlineStr">
        <is>
          <t>8400/000</t>
        </is>
      </c>
      <c r="E9625" s="3" t="inlineStr">
        <is>
          <t>RMB - 62736659189 - Call Acc</t>
        </is>
      </c>
      <c r="F9625" s="3" t="n">
        <v>958.55</v>
      </c>
      <c r="G9625" s="3" t="n">
        <v>153446.7</v>
      </c>
    </row>
    <row r="9626">
      <c r="A9626" s="3" t="inlineStr">
        <is>
          <t>Trademark Holdings (Pty) Ltd</t>
        </is>
      </c>
      <c r="B9626" s="4" t="n">
        <v>44742</v>
      </c>
      <c r="C9626" s="3" t="inlineStr">
        <is>
          <t>Assets</t>
        </is>
      </c>
      <c r="D9626" s="3" t="inlineStr">
        <is>
          <t>8400/000</t>
        </is>
      </c>
      <c r="E9626" s="3" t="inlineStr">
        <is>
          <t>RMB 623 693 03640</t>
        </is>
      </c>
      <c r="F9626" s="3" t="n">
        <v>-43596.37</v>
      </c>
      <c r="G9626" s="3" t="n">
        <v>7012.41</v>
      </c>
    </row>
    <row r="9627">
      <c r="A9627" s="3" t="inlineStr">
        <is>
          <t>Noble Shield (Pty) Ltd ta Go Letting</t>
        </is>
      </c>
      <c r="B9627" s="4" t="n">
        <v>44742</v>
      </c>
      <c r="C9627" s="3" t="inlineStr">
        <is>
          <t>Assets</t>
        </is>
      </c>
      <c r="D9627" s="3" t="inlineStr">
        <is>
          <t>8400/000</t>
        </is>
      </c>
      <c r="E9627" s="3" t="inlineStr">
        <is>
          <t>RMB 6250 573 3833</t>
        </is>
      </c>
      <c r="F9627" s="3" t="n">
        <v>-3814.72</v>
      </c>
      <c r="G9627" s="3" t="n">
        <v>29624.69</v>
      </c>
    </row>
    <row r="9628">
      <c r="A9628" s="3" t="inlineStr">
        <is>
          <t>Endulini (Pty) Ltd</t>
        </is>
      </c>
      <c r="B9628" s="4" t="n">
        <v>44742</v>
      </c>
      <c r="C9628" s="3" t="inlineStr">
        <is>
          <t>Assets</t>
        </is>
      </c>
      <c r="D9628" s="3" t="inlineStr">
        <is>
          <t>8400/000</t>
        </is>
      </c>
      <c r="E9628" s="3" t="inlineStr">
        <is>
          <t>RMB 62906944576</t>
        </is>
      </c>
      <c r="F9628" s="3" t="n">
        <v>-446475.52</v>
      </c>
      <c r="G9628" s="3" t="n">
        <v>9954.18</v>
      </c>
    </row>
    <row r="9629">
      <c r="A9629" s="3" t="inlineStr">
        <is>
          <t>Opportunity Management Holdings (PTY) LTD</t>
        </is>
      </c>
      <c r="B9629" s="4" t="n">
        <v>44742</v>
      </c>
      <c r="C9629" s="3" t="inlineStr">
        <is>
          <t>Assets</t>
        </is>
      </c>
      <c r="D9629" s="3" t="inlineStr">
        <is>
          <t>8400/000</t>
        </is>
      </c>
      <c r="E9629" s="3" t="inlineStr">
        <is>
          <t>RMB Cheq - 62312246920</t>
        </is>
      </c>
      <c r="F9629" s="3" t="n">
        <v>-73365.06</v>
      </c>
      <c r="G9629" s="3" t="n">
        <v>8188.22</v>
      </c>
    </row>
    <row r="9630">
      <c r="A9630" s="3" t="inlineStr">
        <is>
          <t>Opportunity Global Investment (PTY) LTD</t>
        </is>
      </c>
      <c r="B9630" s="4" t="n">
        <v>44742</v>
      </c>
      <c r="C9630" s="3" t="inlineStr">
        <is>
          <t>Assets</t>
        </is>
      </c>
      <c r="D9630" s="3" t="inlineStr">
        <is>
          <t>8405/000</t>
        </is>
      </c>
      <c r="E9630" s="3" t="inlineStr">
        <is>
          <t>FNB Trust 62762449265</t>
        </is>
      </c>
      <c r="F9630" s="3" t="n">
        <v>481.8</v>
      </c>
      <c r="G9630" s="3" t="n">
        <v>814.1799999999999</v>
      </c>
    </row>
    <row r="9631">
      <c r="A9631" s="3" t="inlineStr">
        <is>
          <t>Endulini (Pty) Ltd</t>
        </is>
      </c>
      <c r="B9631" s="4" t="n">
        <v>44742</v>
      </c>
      <c r="C9631" s="3" t="inlineStr">
        <is>
          <t>Assets</t>
        </is>
      </c>
      <c r="D9631" s="3" t="inlineStr">
        <is>
          <t>8410/000</t>
        </is>
      </c>
      <c r="E9631" s="3" t="inlineStr">
        <is>
          <t>Momentum Investor Account : RU 502229883</t>
        </is>
      </c>
      <c r="F9631" s="3" t="n">
        <v>688343.39</v>
      </c>
      <c r="G9631" s="3" t="n">
        <v>1395551.92</v>
      </c>
    </row>
    <row r="9632">
      <c r="A9632" s="3" t="inlineStr">
        <is>
          <t>Opportunity Management Holdings (PTY) LTD</t>
        </is>
      </c>
      <c r="B9632" s="4" t="n">
        <v>44742</v>
      </c>
      <c r="C9632" s="3" t="inlineStr">
        <is>
          <t>Assets</t>
        </is>
      </c>
      <c r="D9632" s="3" t="inlineStr">
        <is>
          <t>8410/000</t>
        </is>
      </c>
      <c r="E9632" s="3" t="inlineStr">
        <is>
          <t>RMB Call Acc - 62312248851</t>
        </is>
      </c>
      <c r="F9632" s="3" t="n">
        <v>567.08</v>
      </c>
      <c r="G9632" s="3" t="n">
        <v>894.27</v>
      </c>
    </row>
    <row r="9633">
      <c r="A9633" s="3" t="inlineStr">
        <is>
          <t>Noble Shield (Pty) Ltd ta Go Letting</t>
        </is>
      </c>
      <c r="B9633" s="4" t="n">
        <v>44742</v>
      </c>
      <c r="C9633" s="3" t="inlineStr">
        <is>
          <t>Assets</t>
        </is>
      </c>
      <c r="D9633" s="3" t="inlineStr">
        <is>
          <t>8410/000</t>
        </is>
      </c>
      <c r="E9633" s="3" t="inlineStr">
        <is>
          <t>RMB Trust Acc - 6250 615 1365</t>
        </is>
      </c>
      <c r="F9633" s="3" t="n">
        <v>450.2</v>
      </c>
      <c r="G9633" s="3" t="n">
        <v>632.38</v>
      </c>
    </row>
    <row r="9634">
      <c r="A9634" s="3" t="inlineStr">
        <is>
          <t>Quinate Consulting (Pty) Ltd</t>
        </is>
      </c>
      <c r="B9634" s="4" t="n">
        <v>44742</v>
      </c>
      <c r="C9634" s="3" t="inlineStr">
        <is>
          <t>Assets</t>
        </is>
      </c>
      <c r="D9634" s="3" t="inlineStr">
        <is>
          <t>8415/000</t>
        </is>
      </c>
      <c r="E9634" s="3" t="inlineStr">
        <is>
          <t>STD Acc 071 958 959 - Facility Acc</t>
        </is>
      </c>
      <c r="F9634" s="3" t="n">
        <v>-85</v>
      </c>
      <c r="G9634" s="3" t="n">
        <v>3976.21</v>
      </c>
    </row>
    <row r="9635">
      <c r="A9635" s="3" t="inlineStr">
        <is>
          <t>Quinate Consulting (Pty) Ltd</t>
        </is>
      </c>
      <c r="B9635" s="4" t="n">
        <v>44742</v>
      </c>
      <c r="C9635" s="3" t="inlineStr">
        <is>
          <t>Assets</t>
        </is>
      </c>
      <c r="D9635" s="3" t="inlineStr">
        <is>
          <t>8430/000</t>
        </is>
      </c>
      <c r="E9635" s="3" t="inlineStr">
        <is>
          <t>Momentum Investment Acc - RU502230185</t>
        </is>
      </c>
      <c r="F9635" s="3" t="n">
        <v>3.75</v>
      </c>
      <c r="G9635" s="3" t="n">
        <v>514.76</v>
      </c>
    </row>
    <row r="9636">
      <c r="A9636" s="3" t="inlineStr">
        <is>
          <t>Opportunity Global Investment (PTY) LTD</t>
        </is>
      </c>
      <c r="B9636" s="4" t="n">
        <v>44742</v>
      </c>
      <c r="C9636" s="3" t="inlineStr">
        <is>
          <t>Assets</t>
        </is>
      </c>
      <c r="D9636" s="3" t="inlineStr">
        <is>
          <t>8440/000</t>
        </is>
      </c>
      <c r="E9636" s="3" t="inlineStr">
        <is>
          <t>FNB - Call 627602764438</t>
        </is>
      </c>
      <c r="F9636" s="3" t="n">
        <v>-440.82</v>
      </c>
      <c r="G9636" s="3" t="n">
        <v>527.0700000000001</v>
      </c>
    </row>
    <row r="9637">
      <c r="A9637" s="3" t="inlineStr">
        <is>
          <t>Opportunity Global Investment (PTY) LTD</t>
        </is>
      </c>
      <c r="B9637" s="4" t="n">
        <v>44742</v>
      </c>
      <c r="C9637" s="3" t="inlineStr">
        <is>
          <t>Assets</t>
        </is>
      </c>
      <c r="D9637" s="3" t="inlineStr">
        <is>
          <t>8445/000</t>
        </is>
      </c>
      <c r="E9637" s="3" t="inlineStr">
        <is>
          <t>Momentum RU502230096</t>
        </is>
      </c>
      <c r="F9637" s="3" t="n">
        <v>54.57</v>
      </c>
      <c r="G9637" s="3" t="n">
        <v>4507.31</v>
      </c>
    </row>
    <row r="9638">
      <c r="A9638" s="3" t="inlineStr">
        <is>
          <t>Quinate Consulting (Pty) Ltd</t>
        </is>
      </c>
      <c r="B9638" s="4" t="n">
        <v>44742</v>
      </c>
      <c r="C9638" s="3" t="inlineStr">
        <is>
          <t>Assets</t>
        </is>
      </c>
      <c r="D9638" s="3" t="inlineStr">
        <is>
          <t>8450/000</t>
        </is>
      </c>
      <c r="E9638" s="3" t="inlineStr">
        <is>
          <t>A RMB 62275810820</t>
        </is>
      </c>
      <c r="F9638" s="3" t="n">
        <v>-283395.59</v>
      </c>
      <c r="G9638" s="3" t="n">
        <v>11797.13</v>
      </c>
    </row>
    <row r="9639">
      <c r="A9639" s="3" t="inlineStr">
        <is>
          <t>Opportunity Management Holdings (PTY) LTD</t>
        </is>
      </c>
      <c r="B9639" s="4" t="n">
        <v>44742</v>
      </c>
      <c r="C9639" s="3" t="inlineStr">
        <is>
          <t>Assets</t>
        </is>
      </c>
      <c r="D9639" s="3" t="inlineStr">
        <is>
          <t>8450/000</t>
        </is>
      </c>
      <c r="E9639" s="3" t="inlineStr">
        <is>
          <t>Petty Cash - CT Office</t>
        </is>
      </c>
      <c r="F9639" s="3" t="n">
        <v>0</v>
      </c>
      <c r="G9639" s="3" t="n">
        <v>723.1</v>
      </c>
    </row>
    <row r="9640">
      <c r="A9640" s="3" t="inlineStr">
        <is>
          <t>Quinate Consulting (Pty) Ltd</t>
        </is>
      </c>
      <c r="B9640" s="4" t="n">
        <v>44742</v>
      </c>
      <c r="C9640" s="3" t="inlineStr">
        <is>
          <t>Liabilities</t>
        </is>
      </c>
      <c r="D9640" s="3" t="inlineStr">
        <is>
          <t>8480/100</t>
        </is>
      </c>
      <c r="E9640" s="3" t="inlineStr">
        <is>
          <t>Bond - SH20 - STD Bank 532010558</t>
        </is>
      </c>
      <c r="F9640" s="3" t="n">
        <v>-6702.58</v>
      </c>
      <c r="G9640" s="3" t="n">
        <v>-1376290.51</v>
      </c>
    </row>
    <row r="9641">
      <c r="A9641" s="3" t="inlineStr">
        <is>
          <t>Quinate Consulting (Pty) Ltd</t>
        </is>
      </c>
      <c r="B9641" s="4" t="n">
        <v>44742</v>
      </c>
      <c r="C9641" s="3" t="inlineStr">
        <is>
          <t>Liabilities</t>
        </is>
      </c>
      <c r="D9641" s="3" t="inlineStr">
        <is>
          <t>8480/200</t>
        </is>
      </c>
      <c r="E9641" s="3" t="inlineStr">
        <is>
          <t>Bond - SH23 - STD Bank 532010035</t>
        </is>
      </c>
      <c r="F9641" s="3" t="n">
        <v>-6703.99</v>
      </c>
      <c r="G9641" s="3" t="n">
        <v>-1376112.65</v>
      </c>
    </row>
    <row r="9642">
      <c r="A9642" s="3" t="inlineStr">
        <is>
          <t>Quinate Consulting (Pty) Ltd</t>
        </is>
      </c>
      <c r="B9642" s="4" t="n">
        <v>44742</v>
      </c>
      <c r="C9642" s="3" t="inlineStr">
        <is>
          <t>Liabilities</t>
        </is>
      </c>
      <c r="D9642" s="3" t="inlineStr">
        <is>
          <t>8480/300</t>
        </is>
      </c>
      <c r="E9642" s="3" t="inlineStr">
        <is>
          <t>Bond - SH24 - STD Bank 532372662</t>
        </is>
      </c>
      <c r="F9642" s="3" t="n">
        <v>-8856.690000000001</v>
      </c>
      <c r="G9642" s="3" t="n">
        <v>-1460400.55</v>
      </c>
    </row>
    <row r="9643">
      <c r="A9643" s="3" t="inlineStr">
        <is>
          <t>Quinate Consulting (Pty) Ltd</t>
        </is>
      </c>
      <c r="B9643" s="4" t="n">
        <v>44742</v>
      </c>
      <c r="C9643" s="3" t="inlineStr">
        <is>
          <t>Liabilities</t>
        </is>
      </c>
      <c r="D9643" s="3" t="inlineStr">
        <is>
          <t>8480/400</t>
        </is>
      </c>
      <c r="E9643" s="3" t="inlineStr">
        <is>
          <t>Bond - SW01 - STD Bank 532920627</t>
        </is>
      </c>
      <c r="F9643" s="3" t="n">
        <v>-8005.44</v>
      </c>
      <c r="G9643" s="3" t="n">
        <v>-1296953.25</v>
      </c>
    </row>
    <row r="9644">
      <c r="A9644" s="3" t="inlineStr">
        <is>
          <t>Quinate Consulting (Pty) Ltd</t>
        </is>
      </c>
      <c r="B9644" s="4" t="n">
        <v>44742</v>
      </c>
      <c r="C9644" s="3" t="inlineStr">
        <is>
          <t>Liabilities</t>
        </is>
      </c>
      <c r="D9644" s="3" t="inlineStr">
        <is>
          <t>8480/401</t>
        </is>
      </c>
      <c r="E9644" s="3" t="inlineStr">
        <is>
          <t>Bond - SW21 - STD Bank 532920597</t>
        </is>
      </c>
      <c r="F9644" s="3" t="n">
        <v>-8008.62</v>
      </c>
      <c r="G9644" s="3" t="n">
        <v>-1297467.84</v>
      </c>
    </row>
    <row r="9645">
      <c r="A9645" s="3" t="inlineStr">
        <is>
          <t>Opportunity Global Investment (PTY) LTD</t>
        </is>
      </c>
      <c r="B9645" s="4" t="n">
        <v>44742</v>
      </c>
      <c r="C9645" s="3" t="inlineStr">
        <is>
          <t>Liabilities</t>
        </is>
      </c>
      <c r="D9645" s="3" t="inlineStr">
        <is>
          <t>860</t>
        </is>
      </c>
      <c r="E9645" s="3" t="inlineStr">
        <is>
          <t>Rounding</t>
        </is>
      </c>
      <c r="F9645" s="3" t="n">
        <v>0</v>
      </c>
      <c r="G9645" s="3" t="n">
        <v>-0.03</v>
      </c>
    </row>
    <row r="9646">
      <c r="A9646" s="3" t="inlineStr">
        <is>
          <t>Opportunity Global Sales (PTY) LTD</t>
        </is>
      </c>
      <c r="B9646" s="4" t="n">
        <v>44742</v>
      </c>
      <c r="C9646" s="3" t="inlineStr">
        <is>
          <t>Liabilities</t>
        </is>
      </c>
      <c r="D9646" s="3" t="inlineStr">
        <is>
          <t>860</t>
        </is>
      </c>
      <c r="E9646" s="3" t="inlineStr">
        <is>
          <t>Rounding</t>
        </is>
      </c>
      <c r="F9646" s="3" t="n">
        <v>0</v>
      </c>
      <c r="G9646" s="3" t="n">
        <v>-1</v>
      </c>
    </row>
    <row r="9647">
      <c r="A9647" s="3" t="inlineStr">
        <is>
          <t>Quinate Consulting (Pty) Ltd</t>
        </is>
      </c>
      <c r="B9647" s="4" t="n">
        <v>44742</v>
      </c>
      <c r="C9647" s="3" t="inlineStr">
        <is>
          <t>Liabilities</t>
        </is>
      </c>
      <c r="D9647" s="3" t="inlineStr">
        <is>
          <t>860</t>
        </is>
      </c>
      <c r="E9647" s="3" t="inlineStr">
        <is>
          <t>Rounding</t>
        </is>
      </c>
      <c r="F9647" s="3" t="n">
        <v>0</v>
      </c>
      <c r="G9647" s="3" t="n">
        <v>0.08</v>
      </c>
    </row>
    <row r="9648">
      <c r="A9648" s="3" t="inlineStr">
        <is>
          <t>Trademark Holdings (Pty) Ltd</t>
        </is>
      </c>
      <c r="B9648" s="4" t="n">
        <v>44742</v>
      </c>
      <c r="C9648" s="3" t="inlineStr">
        <is>
          <t>Liabilities</t>
        </is>
      </c>
      <c r="D9648" s="3" t="inlineStr">
        <is>
          <t>860</t>
        </is>
      </c>
      <c r="E9648" s="3" t="inlineStr">
        <is>
          <t>Rounding</t>
        </is>
      </c>
      <c r="F9648" s="3" t="n">
        <v>0</v>
      </c>
      <c r="G9648" s="3" t="n">
        <v>0.2</v>
      </c>
    </row>
    <row r="9649">
      <c r="A9649" s="3" t="inlineStr">
        <is>
          <t>Endulini (Pty) Ltd</t>
        </is>
      </c>
      <c r="B9649" s="4" t="n">
        <v>44742</v>
      </c>
      <c r="C9649" s="3" t="inlineStr">
        <is>
          <t>Liabilities</t>
        </is>
      </c>
      <c r="D9649" s="3" t="inlineStr">
        <is>
          <t>9000/000</t>
        </is>
      </c>
      <c r="E9649" s="3" t="inlineStr">
        <is>
          <t>Supplier Control Account</t>
        </is>
      </c>
      <c r="F9649" s="3" t="n">
        <v>-13427656.39</v>
      </c>
      <c r="G9649" s="3" t="n">
        <v>-56077805.85</v>
      </c>
    </row>
    <row r="9650">
      <c r="A9650" s="3" t="inlineStr">
        <is>
          <t>Noble Shield (Pty) Ltd ta Go Letting</t>
        </is>
      </c>
      <c r="B9650" s="4" t="n">
        <v>44742</v>
      </c>
      <c r="C9650" s="3" t="inlineStr">
        <is>
          <t>Liabilities</t>
        </is>
      </c>
      <c r="D9650" s="3" t="inlineStr">
        <is>
          <t>9000/000</t>
        </is>
      </c>
      <c r="E9650" s="3" t="inlineStr">
        <is>
          <t>Supplier Control Account</t>
        </is>
      </c>
      <c r="F9650" s="3" t="n">
        <v>-2511.11</v>
      </c>
      <c r="G9650" s="3" t="n">
        <v>-22748.53</v>
      </c>
    </row>
    <row r="9651">
      <c r="A9651" s="3" t="inlineStr">
        <is>
          <t>Opportunity Global Investment (PTY) LTD</t>
        </is>
      </c>
      <c r="B9651" s="4" t="n">
        <v>44742</v>
      </c>
      <c r="C9651" s="3" t="inlineStr">
        <is>
          <t>Liabilities</t>
        </is>
      </c>
      <c r="D9651" s="3" t="inlineStr">
        <is>
          <t>9000/000</t>
        </is>
      </c>
      <c r="E9651" s="3" t="inlineStr">
        <is>
          <t>Supplier Control Account</t>
        </is>
      </c>
      <c r="F9651" s="3" t="n">
        <v>-86822.49000000001</v>
      </c>
      <c r="G9651" s="3" t="n">
        <v>-212497.3</v>
      </c>
    </row>
    <row r="9652">
      <c r="A9652" s="3" t="inlineStr">
        <is>
          <t>Opportunity Global Sales (PTY) LTD</t>
        </is>
      </c>
      <c r="B9652" s="4" t="n">
        <v>44742</v>
      </c>
      <c r="C9652" s="3" t="inlineStr">
        <is>
          <t>Liabilities</t>
        </is>
      </c>
      <c r="D9652" s="3" t="inlineStr">
        <is>
          <t>9000/000</t>
        </is>
      </c>
      <c r="E9652" s="3" t="inlineStr">
        <is>
          <t>Supplier Control Account</t>
        </is>
      </c>
      <c r="F9652" s="3" t="n">
        <v>-794.02</v>
      </c>
      <c r="G9652" s="3" t="n">
        <v>-2363.94</v>
      </c>
    </row>
    <row r="9653">
      <c r="A9653" s="3" t="inlineStr">
        <is>
          <t>Opportunity Management Holdings (PTY) LTD</t>
        </is>
      </c>
      <c r="B9653" s="4" t="n">
        <v>44742</v>
      </c>
      <c r="C9653" s="3" t="inlineStr">
        <is>
          <t>Liabilities</t>
        </is>
      </c>
      <c r="D9653" s="3" t="inlineStr">
        <is>
          <t>9000/000</t>
        </is>
      </c>
      <c r="E9653" s="3" t="inlineStr">
        <is>
          <t>Supplier Control Account</t>
        </is>
      </c>
      <c r="F9653" s="3" t="n">
        <v>-5362.5</v>
      </c>
      <c r="G9653" s="3" t="n">
        <v>-299997.84</v>
      </c>
    </row>
    <row r="9654">
      <c r="A9654" s="3" t="inlineStr">
        <is>
          <t>Quinate Consulting (Pty) Ltd</t>
        </is>
      </c>
      <c r="B9654" s="4" t="n">
        <v>44742</v>
      </c>
      <c r="C9654" s="3" t="inlineStr">
        <is>
          <t>Liabilities</t>
        </is>
      </c>
      <c r="D9654" s="3" t="inlineStr">
        <is>
          <t>9000/000</t>
        </is>
      </c>
      <c r="E9654" s="3" t="inlineStr">
        <is>
          <t>Supplier Control Account</t>
        </is>
      </c>
      <c r="F9654" s="3" t="n">
        <v>201926</v>
      </c>
      <c r="G9654" s="3" t="n">
        <v>481747.36</v>
      </c>
    </row>
    <row r="9655">
      <c r="A9655" s="3" t="inlineStr">
        <is>
          <t>Trademark Holdings (Pty) Ltd</t>
        </is>
      </c>
      <c r="B9655" s="4" t="n">
        <v>44742</v>
      </c>
      <c r="C9655" s="3" t="inlineStr">
        <is>
          <t>Liabilities</t>
        </is>
      </c>
      <c r="D9655" s="3" t="inlineStr">
        <is>
          <t>9000/000</t>
        </is>
      </c>
      <c r="E9655" s="3" t="inlineStr">
        <is>
          <t>Supplier Control Account</t>
        </is>
      </c>
      <c r="F9655" s="3" t="n">
        <v>6075.5</v>
      </c>
      <c r="G9655" s="3" t="n">
        <v>-12042.33</v>
      </c>
    </row>
    <row r="9656">
      <c r="A9656" s="3" t="inlineStr">
        <is>
          <t>Quinate Consulting (Pty) Ltd</t>
        </is>
      </c>
      <c r="B9656" s="4" t="n">
        <v>44742</v>
      </c>
      <c r="C9656" s="3" t="inlineStr">
        <is>
          <t>Liabilities</t>
        </is>
      </c>
      <c r="D9656" s="3" t="inlineStr">
        <is>
          <t>9001</t>
        </is>
      </c>
      <c r="E9656" s="3" t="inlineStr">
        <is>
          <t>Supplier Control</t>
        </is>
      </c>
      <c r="F9656" s="3" t="n">
        <v>0</v>
      </c>
      <c r="G9656" s="3" t="n">
        <v>-347315.41</v>
      </c>
    </row>
    <row r="9657">
      <c r="A9657" s="3" t="inlineStr">
        <is>
          <t>Opportunity Management Holdings (PTY) LTD</t>
        </is>
      </c>
      <c r="B9657" s="4" t="n">
        <v>44742</v>
      </c>
      <c r="C9657" s="3" t="inlineStr">
        <is>
          <t>Liabilities</t>
        </is>
      </c>
      <c r="D9657" s="3" t="inlineStr">
        <is>
          <t>9100/000</t>
        </is>
      </c>
      <c r="E9657" s="3" t="inlineStr">
        <is>
          <t>PAYE/UIF/SDL Accrual - Prior Years ADJ</t>
        </is>
      </c>
      <c r="F9657" s="3" t="n">
        <v>0</v>
      </c>
      <c r="G9657" s="3" t="n">
        <v>12678.78</v>
      </c>
    </row>
    <row r="9658">
      <c r="A9658" s="3" t="inlineStr">
        <is>
          <t>Opportunity Management Holdings (PTY) LTD</t>
        </is>
      </c>
      <c r="B9658" s="4" t="n">
        <v>44742</v>
      </c>
      <c r="C9658" s="3" t="inlineStr">
        <is>
          <t>Assets</t>
        </is>
      </c>
      <c r="D9658" s="3" t="inlineStr">
        <is>
          <t>9110/000</t>
        </is>
      </c>
      <c r="E9658" s="3" t="inlineStr">
        <is>
          <t>Deposit Received</t>
        </is>
      </c>
      <c r="F9658" s="3" t="n">
        <v>0</v>
      </c>
      <c r="G9658" s="3" t="n">
        <v>-3852.5</v>
      </c>
    </row>
    <row r="9659">
      <c r="A9659" s="3" t="inlineStr">
        <is>
          <t>Opportunity Global Investment (PTY) LTD</t>
        </is>
      </c>
      <c r="B9659" s="4" t="n">
        <v>44742</v>
      </c>
      <c r="C9659" s="3" t="inlineStr">
        <is>
          <t>Liabilities</t>
        </is>
      </c>
      <c r="D9659" s="3" t="inlineStr">
        <is>
          <t>9110/000</t>
        </is>
      </c>
      <c r="E9659" s="3" t="inlineStr">
        <is>
          <t>Taxation B/S</t>
        </is>
      </c>
      <c r="F9659" s="3" t="n">
        <v>0</v>
      </c>
      <c r="G9659" s="3" t="n">
        <v>2150.09</v>
      </c>
    </row>
    <row r="9660">
      <c r="A9660" s="3" t="inlineStr">
        <is>
          <t>Noble Shield (Pty) Ltd ta Go Letting</t>
        </is>
      </c>
      <c r="B9660" s="4" t="n">
        <v>44742</v>
      </c>
      <c r="C9660" s="3" t="inlineStr">
        <is>
          <t>Liabilities</t>
        </is>
      </c>
      <c r="D9660" s="3" t="inlineStr">
        <is>
          <t>9250/010</t>
        </is>
      </c>
      <c r="E9660" s="3" t="inlineStr">
        <is>
          <t>SALARY CONTROL</t>
        </is>
      </c>
      <c r="F9660" s="3" t="n">
        <v>861.58</v>
      </c>
      <c r="G9660" s="3" t="n">
        <v>-11265.92</v>
      </c>
    </row>
    <row r="9661">
      <c r="A9661" s="3" t="inlineStr">
        <is>
          <t>Opportunity Global Sales (PTY) LTD</t>
        </is>
      </c>
      <c r="B9661" s="4" t="n">
        <v>44742</v>
      </c>
      <c r="C9661" s="3" t="inlineStr">
        <is>
          <t>Liabilities</t>
        </is>
      </c>
      <c r="D9661" s="3" t="inlineStr">
        <is>
          <t>9250/010</t>
        </is>
      </c>
      <c r="E9661" s="3" t="inlineStr">
        <is>
          <t>SALARY CONTROL</t>
        </is>
      </c>
      <c r="F9661" s="3" t="n">
        <v>-11253.25</v>
      </c>
      <c r="G9661" s="3" t="n">
        <v>-11253.25</v>
      </c>
    </row>
    <row r="9662">
      <c r="A9662" s="3" t="inlineStr">
        <is>
          <t>Opportunity Management Holdings (PTY) LTD</t>
        </is>
      </c>
      <c r="B9662" s="4" t="n">
        <v>44742</v>
      </c>
      <c r="C9662" s="3" t="inlineStr">
        <is>
          <t>Liabilities</t>
        </is>
      </c>
      <c r="D9662" s="3" t="inlineStr">
        <is>
          <t>9250/010</t>
        </is>
      </c>
      <c r="E9662" s="3" t="inlineStr">
        <is>
          <t>SALARY CONTROL</t>
        </is>
      </c>
      <c r="F9662" s="3" t="n">
        <v>0</v>
      </c>
      <c r="G9662" s="3" t="n">
        <v>-1785</v>
      </c>
    </row>
    <row r="9663">
      <c r="A9663" s="3" t="inlineStr">
        <is>
          <t>Trademark Holdings (Pty) Ltd</t>
        </is>
      </c>
      <c r="B9663" s="4" t="n">
        <v>44742</v>
      </c>
      <c r="C9663" s="3" t="inlineStr">
        <is>
          <t>Liabilities</t>
        </is>
      </c>
      <c r="D9663" s="3" t="inlineStr">
        <is>
          <t>9250/010</t>
        </is>
      </c>
      <c r="E9663" s="3" t="inlineStr">
        <is>
          <t>SALARY CONTROL</t>
        </is>
      </c>
      <c r="F9663" s="3" t="n">
        <v>-1793.91</v>
      </c>
      <c r="G9663" s="3" t="n">
        <v>-13268.62</v>
      </c>
    </row>
    <row r="9664">
      <c r="A9664" s="3" t="inlineStr">
        <is>
          <t>Noble Shield (Pty) Ltd ta Go Letting</t>
        </is>
      </c>
      <c r="B9664" s="4" t="n">
        <v>44742</v>
      </c>
      <c r="C9664" s="3" t="inlineStr">
        <is>
          <t>Liabilities</t>
        </is>
      </c>
      <c r="D9664" s="3" t="inlineStr">
        <is>
          <t>9250/020</t>
        </is>
      </c>
      <c r="E9664" s="3" t="inlineStr">
        <is>
          <t>PAYE, UIF AND SDL CONTROL</t>
        </is>
      </c>
      <c r="F9664" s="3" t="n">
        <v>314.36</v>
      </c>
      <c r="G9664" s="3" t="n">
        <v>-6642.98</v>
      </c>
    </row>
    <row r="9665">
      <c r="A9665" s="3" t="inlineStr">
        <is>
          <t>Opportunity Global Investment (PTY) LTD</t>
        </is>
      </c>
      <c r="B9665" s="4" t="n">
        <v>44742</v>
      </c>
      <c r="C9665" s="3" t="inlineStr">
        <is>
          <t>Liabilities</t>
        </is>
      </c>
      <c r="D9665" s="3" t="inlineStr">
        <is>
          <t>9250/020</t>
        </is>
      </c>
      <c r="E9665" s="3" t="inlineStr">
        <is>
          <t>PAYE, UIF AND SDL CONTROL</t>
        </is>
      </c>
      <c r="F9665" s="3" t="n">
        <v>4490.89</v>
      </c>
      <c r="G9665" s="3" t="n">
        <v>-42984.65</v>
      </c>
    </row>
    <row r="9666">
      <c r="A9666" s="3" t="inlineStr">
        <is>
          <t>Opportunity Management Holdings (PTY) LTD</t>
        </is>
      </c>
      <c r="B9666" s="4" t="n">
        <v>44742</v>
      </c>
      <c r="C9666" s="3" t="inlineStr">
        <is>
          <t>Liabilities</t>
        </is>
      </c>
      <c r="D9666" s="3" t="inlineStr">
        <is>
          <t>9250/020</t>
        </is>
      </c>
      <c r="E9666" s="3" t="inlineStr">
        <is>
          <t>PAYE, UIF AND SDL CONTROL</t>
        </is>
      </c>
      <c r="F9666" s="3" t="n">
        <v>-59.8</v>
      </c>
      <c r="G9666" s="3" t="n">
        <v>-47626.85</v>
      </c>
    </row>
    <row r="9667">
      <c r="A9667" s="3" t="inlineStr">
        <is>
          <t>Trademark Holdings (Pty) Ltd</t>
        </is>
      </c>
      <c r="B9667" s="4" t="n">
        <v>44742</v>
      </c>
      <c r="C9667" s="3" t="inlineStr">
        <is>
          <t>Liabilities</t>
        </is>
      </c>
      <c r="D9667" s="3" t="inlineStr">
        <is>
          <t>9250/020</t>
        </is>
      </c>
      <c r="E9667" s="3" t="inlineStr">
        <is>
          <t>PAYE, UIF AND SDL CONTROL</t>
        </is>
      </c>
      <c r="F9667" s="3" t="n">
        <v>-831.97</v>
      </c>
      <c r="G9667" s="3" t="n">
        <v>-5046.3</v>
      </c>
    </row>
    <row r="9668">
      <c r="A9668" s="3" t="inlineStr">
        <is>
          <t>Opportunity Global Investment (PTY) LTD</t>
        </is>
      </c>
      <c r="B9668" s="4" t="n">
        <v>44742</v>
      </c>
      <c r="C9668" s="3" t="inlineStr">
        <is>
          <t>Liabilities</t>
        </is>
      </c>
      <c r="D9668" s="3" t="inlineStr">
        <is>
          <t>9400/030</t>
        </is>
      </c>
      <c r="E9668" s="3" t="inlineStr">
        <is>
          <t>Accrued Expenses - PAYE_AND_UIF</t>
        </is>
      </c>
      <c r="F9668" s="3" t="n">
        <v>0</v>
      </c>
      <c r="G9668" s="3" t="n">
        <v>-2</v>
      </c>
    </row>
    <row r="9669">
      <c r="A9669" s="3" t="inlineStr">
        <is>
          <t>Trademark Holdings (Pty) Ltd</t>
        </is>
      </c>
      <c r="B9669" s="4" t="n">
        <v>44742</v>
      </c>
      <c r="C9669" s="3" t="inlineStr">
        <is>
          <t>Liabilities</t>
        </is>
      </c>
      <c r="D9669" s="3" t="inlineStr">
        <is>
          <t>9400/400</t>
        </is>
      </c>
      <c r="E9669" s="3" t="inlineStr">
        <is>
          <t>Deemed Dividend Tax</t>
        </is>
      </c>
      <c r="F9669" s="3" t="n">
        <v>0</v>
      </c>
      <c r="G9669" s="3" t="n">
        <v>-699.13</v>
      </c>
    </row>
    <row r="9670">
      <c r="A9670" s="3" t="inlineStr">
        <is>
          <t>Opportunity Global Investment (PTY) LTD</t>
        </is>
      </c>
      <c r="B9670" s="4" t="n">
        <v>44742</v>
      </c>
      <c r="C9670" s="3" t="inlineStr">
        <is>
          <t>Liabilities</t>
        </is>
      </c>
      <c r="D9670" s="3" t="inlineStr">
        <is>
          <t>9500/000</t>
        </is>
      </c>
      <c r="E9670" s="3" t="inlineStr">
        <is>
          <t>VAT Control Account</t>
        </is>
      </c>
      <c r="F9670" s="3" t="n">
        <v>-1263.77</v>
      </c>
      <c r="G9670" s="3" t="n">
        <v>75804.52</v>
      </c>
    </row>
    <row r="9671">
      <c r="A9671" s="3" t="inlineStr">
        <is>
          <t>Opportunity Global Sales (PTY) LTD</t>
        </is>
      </c>
      <c r="B9671" s="4" t="n">
        <v>44742</v>
      </c>
      <c r="C9671" s="3" t="inlineStr">
        <is>
          <t>Liabilities</t>
        </is>
      </c>
      <c r="D9671" s="3" t="inlineStr">
        <is>
          <t>9500/000</t>
        </is>
      </c>
      <c r="E9671" s="3" t="inlineStr">
        <is>
          <t>VAT Control Account</t>
        </is>
      </c>
      <c r="F9671" s="3" t="n">
        <v>-15918.16</v>
      </c>
      <c r="G9671" s="3" t="n">
        <v>-203266.25</v>
      </c>
    </row>
    <row r="9672">
      <c r="A9672" s="3" t="inlineStr">
        <is>
          <t>Opportunity Management Holdings (PTY) LTD</t>
        </is>
      </c>
      <c r="B9672" s="4" t="n">
        <v>44742</v>
      </c>
      <c r="C9672" s="3" t="inlineStr">
        <is>
          <t>Liabilities</t>
        </is>
      </c>
      <c r="D9672" s="3" t="inlineStr">
        <is>
          <t>9500/000</t>
        </is>
      </c>
      <c r="E9672" s="3" t="inlineStr">
        <is>
          <t>VAT Control Account</t>
        </is>
      </c>
      <c r="F9672" s="3" t="n">
        <v>-42942.93</v>
      </c>
      <c r="G9672" s="3" t="n">
        <v>-95691.67999999999</v>
      </c>
    </row>
    <row r="9673">
      <c r="A9673" s="3" t="inlineStr">
        <is>
          <t>Endulini (Pty) Ltd</t>
        </is>
      </c>
      <c r="B9673" s="4" t="n">
        <v>44742</v>
      </c>
      <c r="C9673" s="3" t="inlineStr">
        <is>
          <t>Liabilities</t>
        </is>
      </c>
      <c r="D9673" s="3" t="inlineStr">
        <is>
          <t>9500/000</t>
        </is>
      </c>
      <c r="E9673" s="3" t="inlineStr">
        <is>
          <t>Vat / Tax Control Account</t>
        </is>
      </c>
      <c r="F9673" s="3" t="n">
        <v>1257123.1</v>
      </c>
      <c r="G9673" s="3" t="n">
        <v>1943116.08</v>
      </c>
    </row>
    <row r="9674">
      <c r="A9674" s="3" t="inlineStr">
        <is>
          <t>Quinate Consulting (Pty) Ltd</t>
        </is>
      </c>
      <c r="B9674" s="4" t="n">
        <v>44742</v>
      </c>
      <c r="C9674" s="3" t="inlineStr">
        <is>
          <t>Liabilities</t>
        </is>
      </c>
      <c r="D9674" s="3" t="inlineStr">
        <is>
          <t>9500/000</t>
        </is>
      </c>
      <c r="E9674" s="3" t="inlineStr">
        <is>
          <t>Vat Control Account</t>
        </is>
      </c>
      <c r="F9674" s="3" t="n">
        <v>11198.42</v>
      </c>
      <c r="G9674" s="3" t="n">
        <v>-2468860.82</v>
      </c>
    </row>
    <row r="9675">
      <c r="A9675" s="3" t="inlineStr">
        <is>
          <t>Opportunity Management Holdings (PTY) LTD</t>
        </is>
      </c>
      <c r="B9675" s="4" t="n">
        <v>44742</v>
      </c>
      <c r="C9675" s="3" t="inlineStr">
        <is>
          <t>Liabilities</t>
        </is>
      </c>
      <c r="D9675" s="3" t="inlineStr">
        <is>
          <t>9501/000</t>
        </is>
      </c>
      <c r="E9675" s="3" t="inlineStr">
        <is>
          <t>Vat Adjustments - C2M</t>
        </is>
      </c>
      <c r="F9675" s="3" t="n">
        <v>0</v>
      </c>
      <c r="G9675" s="3" t="n">
        <v>47274.04</v>
      </c>
    </row>
    <row r="9676">
      <c r="A9676" s="3" t="inlineStr">
        <is>
          <t>Endulini (Pty) Ltd</t>
        </is>
      </c>
      <c r="B9676" s="4" t="n">
        <v>44742</v>
      </c>
      <c r="C9676" s="3" t="inlineStr">
        <is>
          <t>Liabilities</t>
        </is>
      </c>
      <c r="D9676" s="3" t="inlineStr">
        <is>
          <t>9899/D202</t>
        </is>
      </c>
      <c r="E9676" s="3" t="inlineStr">
        <is>
          <t>Sales - Unit Reg Control D202</t>
        </is>
      </c>
      <c r="F9676" s="3" t="n">
        <v>120087.03</v>
      </c>
      <c r="G9676" s="3" t="n">
        <v>63841.53</v>
      </c>
    </row>
    <row r="9677">
      <c r="A9677" s="3" t="inlineStr">
        <is>
          <t>Endulini (Pty) Ltd</t>
        </is>
      </c>
      <c r="B9677" s="4" t="n">
        <v>44742</v>
      </c>
      <c r="C9677" s="3" t="inlineStr">
        <is>
          <t>Liabilities</t>
        </is>
      </c>
      <c r="D9677" s="3" t="inlineStr">
        <is>
          <t>9899/D301</t>
        </is>
      </c>
      <c r="E9677" s="3" t="inlineStr">
        <is>
          <t>Sales - Unit Reg Control D301</t>
        </is>
      </c>
      <c r="F9677" s="3" t="n">
        <v>-17357.37</v>
      </c>
      <c r="G9677" s="3" t="n">
        <v>0</v>
      </c>
    </row>
    <row r="9678">
      <c r="A9678" s="3" t="inlineStr">
        <is>
          <t>Endulini (Pty) Ltd</t>
        </is>
      </c>
      <c r="B9678" s="4" t="n">
        <v>44742</v>
      </c>
      <c r="C9678" s="3" t="inlineStr">
        <is>
          <t>Liabilities</t>
        </is>
      </c>
      <c r="D9678" s="3" t="inlineStr">
        <is>
          <t>9899/E102</t>
        </is>
      </c>
      <c r="E9678" s="3" t="inlineStr">
        <is>
          <t>Sales - Unit Reg Control E102</t>
        </is>
      </c>
      <c r="F9678" s="3" t="n">
        <v>-18311.87</v>
      </c>
      <c r="G9678" s="3" t="n">
        <v>0</v>
      </c>
    </row>
    <row r="9679">
      <c r="A9679" s="3" t="inlineStr">
        <is>
          <t>Endulini (Pty) Ltd</t>
        </is>
      </c>
      <c r="B9679" s="4" t="n">
        <v>44742</v>
      </c>
      <c r="C9679" s="3" t="inlineStr">
        <is>
          <t>Liabilities</t>
        </is>
      </c>
      <c r="D9679" s="3" t="inlineStr">
        <is>
          <t>9899/F103</t>
        </is>
      </c>
      <c r="E9679" s="3" t="inlineStr">
        <is>
          <t>Sales - Unit Reg Control F103</t>
        </is>
      </c>
      <c r="F9679" s="3" t="n">
        <v>-84866.87</v>
      </c>
      <c r="G9679" s="3" t="n">
        <v>0</v>
      </c>
    </row>
    <row r="9680">
      <c r="A9680" s="3" t="inlineStr">
        <is>
          <t>Endulini (Pty) Ltd</t>
        </is>
      </c>
      <c r="B9680" s="4" t="n">
        <v>44742</v>
      </c>
      <c r="C9680" s="3" t="inlineStr">
        <is>
          <t>Liabilities</t>
        </is>
      </c>
      <c r="D9680" s="3" t="inlineStr">
        <is>
          <t>9899/F202</t>
        </is>
      </c>
      <c r="E9680" s="3" t="inlineStr">
        <is>
          <t>Sales - Unit Reg Control F202</t>
        </is>
      </c>
      <c r="F9680" s="3" t="n">
        <v>-18311.87</v>
      </c>
      <c r="G9680" s="3" t="n">
        <v>0</v>
      </c>
    </row>
    <row r="9681">
      <c r="A9681" s="3" t="inlineStr">
        <is>
          <t>Endulini (Pty) Ltd</t>
        </is>
      </c>
      <c r="B9681" s="4" t="n">
        <v>44742</v>
      </c>
      <c r="C9681" s="3" t="inlineStr">
        <is>
          <t>Liabilities</t>
        </is>
      </c>
      <c r="D9681" s="3" t="inlineStr">
        <is>
          <t>9899/F203</t>
        </is>
      </c>
      <c r="E9681" s="3" t="inlineStr">
        <is>
          <t>Sales - Unit Reg Control F203</t>
        </is>
      </c>
      <c r="F9681" s="3" t="n">
        <v>0</v>
      </c>
      <c r="G9681" s="3" t="n">
        <v>900</v>
      </c>
    </row>
    <row r="9682">
      <c r="A9682" s="3" t="inlineStr">
        <is>
          <t>Quinate Consulting (Pty) Ltd</t>
        </is>
      </c>
      <c r="B9682" s="4" t="n">
        <v>44742</v>
      </c>
      <c r="C9682" s="3" t="inlineStr">
        <is>
          <t>Liabilities</t>
        </is>
      </c>
      <c r="D9682" s="3" t="inlineStr">
        <is>
          <t>9960/000</t>
        </is>
      </c>
      <c r="E9682" s="3" t="inlineStr">
        <is>
          <t>Deposits - Southwark Rentals</t>
        </is>
      </c>
      <c r="F9682" s="3" t="n">
        <v>0</v>
      </c>
      <c r="G9682" s="3" t="n">
        <v>-11500</v>
      </c>
    </row>
    <row r="9683">
      <c r="A9683" s="3" t="inlineStr">
        <is>
          <t>Noble Shield (Pty) Ltd ta Go Letting</t>
        </is>
      </c>
      <c r="B9683" s="4" t="n">
        <v>44742</v>
      </c>
      <c r="C9683" s="3" t="inlineStr">
        <is>
          <t>Expenses</t>
        </is>
      </c>
      <c r="D9683" s="3" t="inlineStr">
        <is>
          <t>ACB Link</t>
        </is>
      </c>
      <c r="E9683" s="3" t="inlineStr">
        <is>
          <t>Subscriptions - TPN</t>
        </is>
      </c>
      <c r="F9683" s="3" t="n">
        <v>1999.6</v>
      </c>
      <c r="G9683" s="3" t="n">
        <v>18461.9</v>
      </c>
    </row>
    <row r="9684">
      <c r="A9684" s="3" t="inlineStr">
        <is>
          <t>Noble Shield (Pty) Ltd ta Go Letting</t>
        </is>
      </c>
      <c r="B9684" s="4" t="n">
        <v>44742</v>
      </c>
      <c r="C9684" s="3" t="inlineStr">
        <is>
          <t>Liabilities</t>
        </is>
      </c>
      <c r="D9684" s="3" t="inlineStr">
        <is>
          <t>B/S</t>
        </is>
      </c>
      <c r="E9684" s="3" t="inlineStr">
        <is>
          <t>Tax Payable</t>
        </is>
      </c>
      <c r="F9684" s="3" t="n">
        <v>0</v>
      </c>
      <c r="G9684" s="3" t="n">
        <v>-6843.4</v>
      </c>
    </row>
    <row r="9685">
      <c r="A9685" s="3" t="inlineStr">
        <is>
          <t>Trademark Holdings (Pty) Ltd</t>
        </is>
      </c>
      <c r="B9685" s="4" t="n">
        <v>44742</v>
      </c>
      <c r="C9685" s="3" t="inlineStr">
        <is>
          <t>Liabilities</t>
        </is>
      </c>
      <c r="D9685" s="3" t="inlineStr">
        <is>
          <t>B/S</t>
        </is>
      </c>
      <c r="E9685" s="3" t="inlineStr">
        <is>
          <t>Taxation Payable</t>
        </is>
      </c>
      <c r="F9685" s="3" t="n">
        <v>0</v>
      </c>
      <c r="G9685" s="3" t="n">
        <v>-1960.56</v>
      </c>
    </row>
    <row r="9686">
      <c r="A9686" s="3" t="inlineStr">
        <is>
          <t>Quinate Consulting (Pty) Ltd</t>
        </is>
      </c>
      <c r="B9686" s="4" t="n">
        <v>44742</v>
      </c>
      <c r="C9686" s="3" t="inlineStr">
        <is>
          <t>Liabilities</t>
        </is>
      </c>
      <c r="D9686" s="3" t="inlineStr">
        <is>
          <t xml:space="preserve">B/S </t>
        </is>
      </c>
      <c r="E9686" s="3" t="inlineStr">
        <is>
          <t>Taxation Payable</t>
        </is>
      </c>
      <c r="F9686" s="3" t="n">
        <v>0</v>
      </c>
      <c r="G9686" s="3" t="n">
        <v>-15486</v>
      </c>
    </row>
    <row r="9687">
      <c r="A9687" s="3" t="inlineStr">
        <is>
          <t>Quinate Consulting (Pty) Ltd</t>
        </is>
      </c>
      <c r="B9687" s="4" t="n">
        <v>44742</v>
      </c>
      <c r="C9687" s="3" t="inlineStr">
        <is>
          <t>Liabilities</t>
        </is>
      </c>
      <c r="D9687" s="3" t="inlineStr">
        <is>
          <t>FV</t>
        </is>
      </c>
      <c r="E9687" s="3" t="inlineStr">
        <is>
          <t>Loan - Cape Projects Constuction</t>
        </is>
      </c>
      <c r="F9687" s="3" t="n">
        <v>0</v>
      </c>
      <c r="G9687" s="3" t="n">
        <v>-2530000</v>
      </c>
    </row>
    <row r="9688">
      <c r="A9688" s="3" t="inlineStr">
        <is>
          <t>Trademark Holdings (Pty) Ltd</t>
        </is>
      </c>
      <c r="B9688" s="4" t="n">
        <v>44742</v>
      </c>
      <c r="C9688" s="3" t="inlineStr">
        <is>
          <t>Expenses</t>
        </is>
      </c>
      <c r="D9688" s="3" t="inlineStr">
        <is>
          <t>I/S</t>
        </is>
      </c>
      <c r="E9688" s="3" t="inlineStr">
        <is>
          <t>Income Tax Current Year</t>
        </is>
      </c>
      <c r="F9688" s="3" t="n">
        <v>0</v>
      </c>
      <c r="G9688" s="3" t="n">
        <v>2251.76</v>
      </c>
    </row>
    <row r="9689">
      <c r="A9689" s="3" t="inlineStr">
        <is>
          <t>Quinate Consulting (Pty) Ltd</t>
        </is>
      </c>
      <c r="B9689" s="4" t="n">
        <v>44742</v>
      </c>
      <c r="C9689" s="3" t="inlineStr">
        <is>
          <t>Liabilities</t>
        </is>
      </c>
      <c r="D9689" s="3" t="inlineStr">
        <is>
          <t>Sharehold OppDev</t>
        </is>
      </c>
      <c r="E9689" s="3" t="inlineStr">
        <is>
          <t>Loan - Justine Morgan</t>
        </is>
      </c>
      <c r="F9689" s="3" t="n">
        <v>0</v>
      </c>
      <c r="G9689" s="3" t="n">
        <v>-563766.76</v>
      </c>
    </row>
    <row r="9690">
      <c r="A9690" s="3" t="inlineStr">
        <is>
          <t>Opportunity Global Investment (PTY) LTD</t>
        </is>
      </c>
      <c r="B9690" s="4" t="n">
        <v>44742</v>
      </c>
      <c r="C9690" s="3" t="inlineStr">
        <is>
          <t>Expenses</t>
        </is>
      </c>
      <c r="D9690" s="3" t="inlineStr">
        <is>
          <t>Swiftshutter</t>
        </is>
      </c>
      <c r="E9690" s="3" t="inlineStr">
        <is>
          <t>Advertising - Rousseau Lotter</t>
        </is>
      </c>
      <c r="F9690" s="3" t="n">
        <v>6600</v>
      </c>
      <c r="G9690" s="3" t="n">
        <v>6600</v>
      </c>
    </row>
    <row r="9691">
      <c r="A9691" s="3" t="inlineStr">
        <is>
          <t>Opportunity Global Sales (PTY) LTD</t>
        </is>
      </c>
      <c r="B9691" s="4" t="n">
        <v>44773</v>
      </c>
      <c r="C9691" s="3" t="inlineStr">
        <is>
          <t>Revenue</t>
        </is>
      </c>
      <c r="D9691" s="3" t="inlineStr">
        <is>
          <t>1000/009</t>
        </is>
      </c>
      <c r="E9691" s="3" t="inlineStr">
        <is>
          <t>Sales - Comm on Payprop</t>
        </is>
      </c>
      <c r="F9691" s="3" t="n">
        <v>-1064.18</v>
      </c>
      <c r="G9691" s="3" t="n">
        <v>-15591.14</v>
      </c>
    </row>
    <row r="9692">
      <c r="A9692" s="3" t="inlineStr">
        <is>
          <t>Quinate Consulting (Pty) Ltd</t>
        </is>
      </c>
      <c r="B9692" s="4" t="n">
        <v>44773</v>
      </c>
      <c r="C9692" s="3" t="inlineStr">
        <is>
          <t>Revenue</t>
        </is>
      </c>
      <c r="D9692" s="3" t="inlineStr">
        <is>
          <t>1000/011</t>
        </is>
      </c>
      <c r="E9692" s="3" t="inlineStr">
        <is>
          <t>Rent Received - Soho Unit 23</t>
        </is>
      </c>
      <c r="F9692" s="3" t="n">
        <v>-12500</v>
      </c>
      <c r="G9692" s="3" t="n">
        <v>-62500</v>
      </c>
    </row>
    <row r="9693">
      <c r="A9693" s="3" t="inlineStr">
        <is>
          <t>Quinate Consulting (Pty) Ltd</t>
        </is>
      </c>
      <c r="B9693" s="4" t="n">
        <v>44773</v>
      </c>
      <c r="C9693" s="3" t="inlineStr">
        <is>
          <t>Revenue</t>
        </is>
      </c>
      <c r="D9693" s="3" t="inlineStr">
        <is>
          <t>1000/012</t>
        </is>
      </c>
      <c r="E9693" s="3" t="inlineStr">
        <is>
          <t>Rent Received - Soho Unit 24</t>
        </is>
      </c>
      <c r="F9693" s="3" t="n">
        <v>-14445</v>
      </c>
      <c r="G9693" s="3" t="n">
        <v>-68445</v>
      </c>
    </row>
    <row r="9694">
      <c r="A9694" s="3" t="inlineStr">
        <is>
          <t>Quinate Consulting (Pty) Ltd</t>
        </is>
      </c>
      <c r="B9694" s="4" t="n">
        <v>44773</v>
      </c>
      <c r="C9694" s="3" t="inlineStr">
        <is>
          <t>Revenue</t>
        </is>
      </c>
      <c r="D9694" s="3" t="inlineStr">
        <is>
          <t>1000/013</t>
        </is>
      </c>
      <c r="E9694" s="3" t="inlineStr">
        <is>
          <t>Rent Recieved - Soho Unit 20</t>
        </is>
      </c>
      <c r="F9694" s="3" t="n">
        <v>-12500</v>
      </c>
      <c r="G9694" s="3" t="n">
        <v>-62500</v>
      </c>
    </row>
    <row r="9695">
      <c r="A9695" s="3" t="inlineStr">
        <is>
          <t>Quinate Consulting (Pty) Ltd</t>
        </is>
      </c>
      <c r="B9695" s="4" t="n">
        <v>44773</v>
      </c>
      <c r="C9695" s="3" t="inlineStr">
        <is>
          <t>Revenue</t>
        </is>
      </c>
      <c r="D9695" s="3" t="inlineStr">
        <is>
          <t>1000/015</t>
        </is>
      </c>
      <c r="E9695" s="3" t="inlineStr">
        <is>
          <t>Rent Received - Southwark Unit 1</t>
        </is>
      </c>
      <c r="F9695" s="3" t="n">
        <v>0</v>
      </c>
      <c r="G9695" s="3" t="n">
        <v>-20000</v>
      </c>
    </row>
    <row r="9696">
      <c r="A9696" s="3" t="inlineStr">
        <is>
          <t>Quinate Consulting (Pty) Ltd</t>
        </is>
      </c>
      <c r="B9696" s="4" t="n">
        <v>44773</v>
      </c>
      <c r="C9696" s="3" t="inlineStr">
        <is>
          <t>Revenue</t>
        </is>
      </c>
      <c r="D9696" s="3" t="inlineStr">
        <is>
          <t>1000/016</t>
        </is>
      </c>
      <c r="E9696" s="3" t="inlineStr">
        <is>
          <t>Rent Recieved - Southwark Unit 21</t>
        </is>
      </c>
      <c r="F9696" s="3" t="n">
        <v>-10000</v>
      </c>
      <c r="G9696" s="3" t="n">
        <v>-50000</v>
      </c>
    </row>
    <row r="9697">
      <c r="A9697" s="3" t="inlineStr">
        <is>
          <t>Opportunity Global Sales (PTY) LTD</t>
        </is>
      </c>
      <c r="B9697" s="4" t="n">
        <v>44773</v>
      </c>
      <c r="C9697" s="3" t="inlineStr">
        <is>
          <t>Revenue</t>
        </is>
      </c>
      <c r="D9697" s="3" t="inlineStr">
        <is>
          <t>1000/100</t>
        </is>
      </c>
      <c r="E9697" s="3" t="inlineStr">
        <is>
          <t>Sales - Comm on External Sales</t>
        </is>
      </c>
      <c r="F9697" s="3" t="n">
        <v>-41165.22</v>
      </c>
      <c r="G9697" s="3" t="n">
        <v>-96165.22</v>
      </c>
    </row>
    <row r="9698">
      <c r="A9698" s="3" t="inlineStr">
        <is>
          <t>Noble Shield (Pty) Ltd ta Go Letting</t>
        </is>
      </c>
      <c r="B9698" s="4" t="n">
        <v>44773</v>
      </c>
      <c r="C9698" s="3" t="inlineStr">
        <is>
          <t>Revenue</t>
        </is>
      </c>
      <c r="D9698" s="3" t="inlineStr">
        <is>
          <t>1000/100</t>
        </is>
      </c>
      <c r="E9698" s="3" t="inlineStr">
        <is>
          <t>Sales - Payprop 328 - Michelle</t>
        </is>
      </c>
      <c r="F9698" s="3" t="n">
        <v>-82154.08</v>
      </c>
      <c r="G9698" s="3" t="n">
        <v>-824821.23</v>
      </c>
    </row>
    <row r="9699">
      <c r="A9699" s="3" t="inlineStr">
        <is>
          <t>Opportunity Global Sales (PTY) LTD</t>
        </is>
      </c>
      <c r="B9699" s="4" t="n">
        <v>44773</v>
      </c>
      <c r="C9699" s="3" t="inlineStr">
        <is>
          <t>Revenue</t>
        </is>
      </c>
      <c r="D9699" s="3" t="inlineStr">
        <is>
          <t>1000/120</t>
        </is>
      </c>
      <c r="E9699" s="3" t="inlineStr">
        <is>
          <t>Sales - Admin Fees on Rental Units</t>
        </is>
      </c>
      <c r="F9699" s="3" t="n">
        <v>-3043.46</v>
      </c>
      <c r="G9699" s="3" t="n">
        <v>-9130.4</v>
      </c>
    </row>
    <row r="9700">
      <c r="A9700" s="3" t="inlineStr">
        <is>
          <t>Opportunity Global Sales (PTY) LTD</t>
        </is>
      </c>
      <c r="B9700" s="4" t="n">
        <v>44773</v>
      </c>
      <c r="C9700" s="3" t="inlineStr">
        <is>
          <t>Revenue</t>
        </is>
      </c>
      <c r="D9700" s="3" t="inlineStr">
        <is>
          <t>1000/150</t>
        </is>
      </c>
      <c r="E9700" s="3" t="inlineStr">
        <is>
          <t>Sales - Comm on External Rental</t>
        </is>
      </c>
      <c r="F9700" s="3" t="n">
        <v>-33408.68</v>
      </c>
      <c r="G9700" s="3" t="n">
        <v>-85147.81</v>
      </c>
    </row>
    <row r="9701">
      <c r="A9701" s="3" t="inlineStr">
        <is>
          <t>Opportunity Global Sales (PTY) LTD</t>
        </is>
      </c>
      <c r="B9701" s="4" t="n">
        <v>44773</v>
      </c>
      <c r="C9701" s="3" t="inlineStr">
        <is>
          <t>Revenue</t>
        </is>
      </c>
      <c r="D9701" s="3" t="inlineStr">
        <is>
          <t>1000/250</t>
        </is>
      </c>
      <c r="E9701" s="3" t="inlineStr">
        <is>
          <t>Sales - Comm on Endulini</t>
        </is>
      </c>
      <c r="F9701" s="3" t="n">
        <v>0</v>
      </c>
      <c r="G9701" s="3" t="n">
        <v>-1307876.95</v>
      </c>
    </row>
    <row r="9702">
      <c r="A9702" s="3" t="inlineStr">
        <is>
          <t>Trademark Holdings (Pty) Ltd</t>
        </is>
      </c>
      <c r="B9702" s="4" t="n">
        <v>44773</v>
      </c>
      <c r="C9702" s="3" t="inlineStr">
        <is>
          <t>Revenue</t>
        </is>
      </c>
      <c r="D9702" s="3" t="inlineStr">
        <is>
          <t>1000/300</t>
        </is>
      </c>
      <c r="E9702" s="3" t="inlineStr">
        <is>
          <t>Sales - Payprop - Lara</t>
        </is>
      </c>
      <c r="F9702" s="3" t="n">
        <v>-38536.71</v>
      </c>
      <c r="G9702" s="3" t="n">
        <v>-928383.84</v>
      </c>
    </row>
    <row r="9703">
      <c r="A9703" s="3" t="inlineStr">
        <is>
          <t>Opportunity Global Investment (PTY) LTD</t>
        </is>
      </c>
      <c r="B9703" s="4" t="n">
        <v>44773</v>
      </c>
      <c r="C9703" s="3" t="inlineStr">
        <is>
          <t>Revenue</t>
        </is>
      </c>
      <c r="D9703" s="3" t="inlineStr">
        <is>
          <t>1000/350</t>
        </is>
      </c>
      <c r="E9703" s="3" t="inlineStr">
        <is>
          <t>Sales - Investor Management - Heron Fields</t>
        </is>
      </c>
      <c r="F9703" s="3" t="n">
        <v>-256521.74</v>
      </c>
      <c r="G9703" s="3" t="n">
        <v>-389176.19</v>
      </c>
    </row>
    <row r="9704">
      <c r="A9704" s="3" t="inlineStr">
        <is>
          <t>Trademark Holdings (Pty) Ltd</t>
        </is>
      </c>
      <c r="B9704" s="4" t="n">
        <v>44773</v>
      </c>
      <c r="C9704" s="3" t="inlineStr">
        <is>
          <t>Revenue</t>
        </is>
      </c>
      <c r="D9704" s="3" t="inlineStr">
        <is>
          <t>1000/500</t>
        </is>
      </c>
      <c r="E9704" s="3" t="inlineStr">
        <is>
          <t>Sales - Commission external sale</t>
        </is>
      </c>
      <c r="F9704" s="3" t="n">
        <v>0</v>
      </c>
      <c r="G9704" s="3" t="n">
        <v>-70000</v>
      </c>
    </row>
    <row r="9705">
      <c r="A9705" s="3" t="inlineStr">
        <is>
          <t>Quinate Consulting (Pty) Ltd</t>
        </is>
      </c>
      <c r="B9705" s="4" t="n">
        <v>44773</v>
      </c>
      <c r="C9705" s="3" t="inlineStr">
        <is>
          <t>Revenue</t>
        </is>
      </c>
      <c r="D9705" s="3" t="inlineStr">
        <is>
          <t>1004/000</t>
        </is>
      </c>
      <c r="E9705" s="3" t="inlineStr">
        <is>
          <t>Interest received</t>
        </is>
      </c>
      <c r="F9705" s="3" t="n">
        <v>-439.66</v>
      </c>
      <c r="G9705" s="3" t="n">
        <v>-1852.78</v>
      </c>
    </row>
    <row r="9706">
      <c r="A9706" s="3" t="inlineStr">
        <is>
          <t>Endulini (Pty) Ltd</t>
        </is>
      </c>
      <c r="B9706" s="4" t="n">
        <v>44773</v>
      </c>
      <c r="C9706" s="3" t="inlineStr">
        <is>
          <t>Revenue</t>
        </is>
      </c>
      <c r="D9706" s="3" t="inlineStr">
        <is>
          <t>1100/000</t>
        </is>
      </c>
      <c r="E9706" s="3" t="inlineStr">
        <is>
          <t>Sales - Endulini</t>
        </is>
      </c>
      <c r="F9706" s="3" t="n">
        <v>-1085969.57</v>
      </c>
      <c r="G9706" s="3" t="n">
        <v>-27156404.37</v>
      </c>
    </row>
    <row r="9707">
      <c r="A9707" s="3" t="inlineStr">
        <is>
          <t>Opportunity Management Holdings (PTY) LTD</t>
        </is>
      </c>
      <c r="B9707" s="4" t="n">
        <v>44773</v>
      </c>
      <c r="C9707" s="3" t="inlineStr">
        <is>
          <t>Revenue</t>
        </is>
      </c>
      <c r="D9707" s="3" t="inlineStr">
        <is>
          <t>1100/001</t>
        </is>
      </c>
      <c r="E9707" s="3" t="inlineStr">
        <is>
          <t>Salary Recharges</t>
        </is>
      </c>
      <c r="F9707" s="3" t="n">
        <v>-350250</v>
      </c>
      <c r="G9707" s="3" t="n">
        <v>-3115327.91</v>
      </c>
    </row>
    <row r="9708">
      <c r="A9708" s="3" t="inlineStr">
        <is>
          <t>Endulini (Pty) Ltd</t>
        </is>
      </c>
      <c r="B9708" s="4" t="n">
        <v>44773</v>
      </c>
      <c r="C9708" s="3" t="inlineStr">
        <is>
          <t>Revenue</t>
        </is>
      </c>
      <c r="D9708" s="3" t="inlineStr">
        <is>
          <t>1100/100</t>
        </is>
      </c>
      <c r="E9708" s="3" t="inlineStr">
        <is>
          <t>Sales - Endulini - Exstras</t>
        </is>
      </c>
      <c r="F9708" s="3" t="n">
        <v>0</v>
      </c>
      <c r="G9708" s="3" t="n">
        <v>-8030</v>
      </c>
    </row>
    <row r="9709">
      <c r="A9709" s="3" t="inlineStr">
        <is>
          <t>Endulini (Pty) Ltd</t>
        </is>
      </c>
      <c r="B9709" s="4" t="n">
        <v>44773</v>
      </c>
      <c r="C9709" s="3" t="inlineStr">
        <is>
          <t>Revenue</t>
        </is>
      </c>
      <c r="D9709" s="3" t="inlineStr">
        <is>
          <t>1100/150</t>
        </is>
      </c>
      <c r="E9709" s="3" t="inlineStr">
        <is>
          <t>Sales - Endulini - Extras admin fee</t>
        </is>
      </c>
      <c r="F9709" s="3" t="n">
        <v>0</v>
      </c>
      <c r="G9709" s="3" t="n">
        <v>-2000</v>
      </c>
    </row>
    <row r="9710">
      <c r="A9710" s="3" t="inlineStr">
        <is>
          <t>Endulini (Pty) Ltd</t>
        </is>
      </c>
      <c r="B9710" s="4" t="n">
        <v>44773</v>
      </c>
      <c r="C9710" s="3" t="inlineStr">
        <is>
          <t>Revenue</t>
        </is>
      </c>
      <c r="D9710" s="3" t="inlineStr">
        <is>
          <t>1100/200</t>
        </is>
      </c>
      <c r="E9710" s="3" t="inlineStr">
        <is>
          <t>Sales - Endulini occupational rent</t>
        </is>
      </c>
      <c r="F9710" s="3" t="n">
        <v>0</v>
      </c>
      <c r="G9710" s="3" t="n">
        <v>-148109.42</v>
      </c>
    </row>
    <row r="9711">
      <c r="A9711" s="3" t="inlineStr">
        <is>
          <t>Noble Shield (Pty) Ltd ta Go Letting</t>
        </is>
      </c>
      <c r="B9711" s="4" t="n">
        <v>44773</v>
      </c>
      <c r="C9711" s="3" t="inlineStr">
        <is>
          <t>Revenue</t>
        </is>
      </c>
      <c r="D9711" s="3" t="inlineStr">
        <is>
          <t>1500/000</t>
        </is>
      </c>
      <c r="E9711" s="3" t="inlineStr">
        <is>
          <t>Insurance recovery</t>
        </is>
      </c>
      <c r="F9711" s="3" t="n">
        <v>0</v>
      </c>
      <c r="G9711" s="3" t="n">
        <v>-1750</v>
      </c>
    </row>
    <row r="9712">
      <c r="A9712" s="3" t="inlineStr">
        <is>
          <t>Endulini (Pty) Ltd</t>
        </is>
      </c>
      <c r="B9712" s="4" t="n">
        <v>44773</v>
      </c>
      <c r="C9712" s="3" t="inlineStr">
        <is>
          <t>Expenses</t>
        </is>
      </c>
      <c r="D9712" s="3" t="inlineStr">
        <is>
          <t>2000/001</t>
        </is>
      </c>
      <c r="E9712" s="3" t="inlineStr">
        <is>
          <t>COS - CIP Construction</t>
        </is>
      </c>
      <c r="F9712" s="3" t="n">
        <v>0</v>
      </c>
      <c r="G9712" s="3" t="n">
        <v>28155981.9</v>
      </c>
    </row>
    <row r="9713">
      <c r="A9713" s="3" t="inlineStr">
        <is>
          <t>Quinate Consulting (Pty) Ltd</t>
        </is>
      </c>
      <c r="B9713" s="4" t="n">
        <v>44773</v>
      </c>
      <c r="C9713" s="3" t="inlineStr">
        <is>
          <t>Expenses</t>
        </is>
      </c>
      <c r="D9713" s="3" t="inlineStr">
        <is>
          <t>2000/009</t>
        </is>
      </c>
      <c r="E9713" s="3" t="inlineStr">
        <is>
          <t>COS - Admin fees</t>
        </is>
      </c>
      <c r="F9713" s="3" t="n">
        <v>-869.5700000000001</v>
      </c>
      <c r="G9713" s="3" t="n">
        <v>0</v>
      </c>
    </row>
    <row r="9714">
      <c r="A9714" s="3" t="inlineStr">
        <is>
          <t>Endulini (Pty) Ltd</t>
        </is>
      </c>
      <c r="B9714" s="4" t="n">
        <v>44773</v>
      </c>
      <c r="C9714" s="3" t="inlineStr">
        <is>
          <t>Expenses</t>
        </is>
      </c>
      <c r="D9714" s="3" t="inlineStr">
        <is>
          <t>2000/100</t>
        </is>
      </c>
      <c r="E9714" s="3" t="inlineStr">
        <is>
          <t>COS - Commission Endulini</t>
        </is>
      </c>
      <c r="F9714" s="3" t="n">
        <v>0</v>
      </c>
      <c r="G9714" s="3" t="n">
        <v>1641876.95</v>
      </c>
    </row>
    <row r="9715">
      <c r="A9715" s="3" t="inlineStr">
        <is>
          <t>Noble Shield (Pty) Ltd ta Go Letting</t>
        </is>
      </c>
      <c r="B9715" s="4" t="n">
        <v>44773</v>
      </c>
      <c r="C9715" s="3" t="inlineStr">
        <is>
          <t>Expenses</t>
        </is>
      </c>
      <c r="D9715" s="3" t="inlineStr">
        <is>
          <t>2000/100</t>
        </is>
      </c>
      <c r="E9715" s="3" t="inlineStr">
        <is>
          <t>COS - Commission Paid</t>
        </is>
      </c>
      <c r="F9715" s="3" t="n">
        <v>15150.92</v>
      </c>
      <c r="G9715" s="3" t="n">
        <v>231113.72</v>
      </c>
    </row>
    <row r="9716">
      <c r="A9716" s="3" t="inlineStr">
        <is>
          <t>Opportunity Global Investment (PTY) LTD</t>
        </is>
      </c>
      <c r="B9716" s="4" t="n">
        <v>44773</v>
      </c>
      <c r="C9716" s="3" t="inlineStr">
        <is>
          <t>Expenses</t>
        </is>
      </c>
      <c r="D9716" s="3" t="inlineStr">
        <is>
          <t>2000/125</t>
        </is>
      </c>
      <c r="E9716" s="3" t="inlineStr">
        <is>
          <t>Referral commission - Endulini</t>
        </is>
      </c>
      <c r="F9716" s="3" t="n">
        <v>0</v>
      </c>
      <c r="G9716" s="3" t="n">
        <v>19000</v>
      </c>
    </row>
    <row r="9717">
      <c r="A9717" s="3" t="inlineStr">
        <is>
          <t>Opportunity Global Sales (PTY) LTD</t>
        </is>
      </c>
      <c r="B9717" s="4" t="n">
        <v>44773</v>
      </c>
      <c r="C9717" s="3" t="inlineStr">
        <is>
          <t>Expenses</t>
        </is>
      </c>
      <c r="D9717" s="3" t="inlineStr">
        <is>
          <t>2000/131</t>
        </is>
      </c>
      <c r="E9717" s="3" t="inlineStr">
        <is>
          <t>COS - Sales Comm Endulini - Anthony</t>
        </is>
      </c>
      <c r="F9717" s="3" t="n">
        <v>0</v>
      </c>
      <c r="G9717" s="3" t="n">
        <v>62272.01</v>
      </c>
    </row>
    <row r="9718">
      <c r="A9718" s="3" t="inlineStr">
        <is>
          <t>Opportunity Global Sales (PTY) LTD</t>
        </is>
      </c>
      <c r="B9718" s="4" t="n">
        <v>44773</v>
      </c>
      <c r="C9718" s="3" t="inlineStr">
        <is>
          <t>Expenses</t>
        </is>
      </c>
      <c r="D9718" s="3" t="inlineStr">
        <is>
          <t>2000/132</t>
        </is>
      </c>
      <c r="E9718" s="3" t="inlineStr">
        <is>
          <t>COS - Sales Comm Endulini - Minette</t>
        </is>
      </c>
      <c r="F9718" s="3" t="n">
        <v>-401.78</v>
      </c>
      <c r="G9718" s="3" t="n">
        <v>218689.7</v>
      </c>
    </row>
    <row r="9719">
      <c r="A9719" s="3" t="inlineStr">
        <is>
          <t>Opportunity Global Sales (PTY) LTD</t>
        </is>
      </c>
      <c r="B9719" s="4" t="n">
        <v>44773</v>
      </c>
      <c r="C9719" s="3" t="inlineStr">
        <is>
          <t>Expenses</t>
        </is>
      </c>
      <c r="D9719" s="3" t="inlineStr">
        <is>
          <t>2000/133</t>
        </is>
      </c>
      <c r="E9719" s="3" t="inlineStr">
        <is>
          <t>COS - Sales Comm Endulini - External Agents</t>
        </is>
      </c>
      <c r="F9719" s="3" t="n">
        <v>0</v>
      </c>
      <c r="G9719" s="3" t="n">
        <v>9966</v>
      </c>
    </row>
    <row r="9720">
      <c r="A9720" s="3" t="inlineStr">
        <is>
          <t>Opportunity Global Sales (PTY) LTD</t>
        </is>
      </c>
      <c r="B9720" s="4" t="n">
        <v>44773</v>
      </c>
      <c r="C9720" s="3" t="inlineStr">
        <is>
          <t>Expenses</t>
        </is>
      </c>
      <c r="D9720" s="3" t="inlineStr">
        <is>
          <t>2000/135</t>
        </is>
      </c>
      <c r="E9720" s="3" t="inlineStr">
        <is>
          <t>COS - Sales Comm External - Minette</t>
        </is>
      </c>
      <c r="F9720" s="3" t="n">
        <v>0</v>
      </c>
      <c r="G9720" s="3" t="n">
        <v>33189.5</v>
      </c>
    </row>
    <row r="9721">
      <c r="A9721" s="3" t="inlineStr">
        <is>
          <t>Opportunity Global Investment (PTY) LTD</t>
        </is>
      </c>
      <c r="B9721" s="4" t="n">
        <v>44773</v>
      </c>
      <c r="C9721" s="3" t="inlineStr">
        <is>
          <t>Expenses</t>
        </is>
      </c>
      <c r="D9721" s="3" t="inlineStr">
        <is>
          <t>2000/135</t>
        </is>
      </c>
      <c r="E9721" s="3" t="inlineStr">
        <is>
          <t>Referral commission - Heron View</t>
        </is>
      </c>
      <c r="F9721" s="3" t="n">
        <v>0</v>
      </c>
      <c r="G9721" s="3" t="n">
        <v>113500</v>
      </c>
    </row>
    <row r="9722">
      <c r="A9722" s="3" t="inlineStr">
        <is>
          <t>Opportunity Global Sales (PTY) LTD</t>
        </is>
      </c>
      <c r="B9722" s="4" t="n">
        <v>44773</v>
      </c>
      <c r="C9722" s="3" t="inlineStr">
        <is>
          <t>Expenses</t>
        </is>
      </c>
      <c r="D9722" s="3" t="inlineStr">
        <is>
          <t>2000/137</t>
        </is>
      </c>
      <c r="E9722" s="3" t="inlineStr">
        <is>
          <t>COS - Rental Comm External - Minette</t>
        </is>
      </c>
      <c r="F9722" s="3" t="n">
        <v>0</v>
      </c>
      <c r="G9722" s="3" t="n">
        <v>26965.05</v>
      </c>
    </row>
    <row r="9723">
      <c r="A9723" s="3" t="inlineStr">
        <is>
          <t>Opportunity Global Sales (PTY) LTD</t>
        </is>
      </c>
      <c r="B9723" s="4" t="n">
        <v>44773</v>
      </c>
      <c r="C9723" s="3" t="inlineStr">
        <is>
          <t>Expenses</t>
        </is>
      </c>
      <c r="D9723" s="3" t="inlineStr">
        <is>
          <t>2000/139</t>
        </is>
      </c>
      <c r="E9723" s="3" t="inlineStr">
        <is>
          <t>COS - Sales Comm Heron Fields - Minette</t>
        </is>
      </c>
      <c r="F9723" s="3" t="n">
        <v>38779.83</v>
      </c>
      <c r="G9723" s="3" t="n">
        <v>156912.56</v>
      </c>
    </row>
    <row r="9724">
      <c r="A9724" s="3" t="inlineStr">
        <is>
          <t>Trademark Holdings (Pty) Ltd</t>
        </is>
      </c>
      <c r="B9724" s="4" t="n">
        <v>44773</v>
      </c>
      <c r="C9724" s="3" t="inlineStr">
        <is>
          <t>Expenses</t>
        </is>
      </c>
      <c r="D9724" s="3" t="inlineStr">
        <is>
          <t>2000/300</t>
        </is>
      </c>
      <c r="E9724" s="3" t="inlineStr">
        <is>
          <t>COS - Commission Paid</t>
        </is>
      </c>
      <c r="F9724" s="3" t="n">
        <v>15599.24</v>
      </c>
      <c r="G9724" s="3" t="n">
        <v>230807.11</v>
      </c>
    </row>
    <row r="9725">
      <c r="A9725" s="3" t="inlineStr">
        <is>
          <t>Opportunity Global Sales (PTY) LTD</t>
        </is>
      </c>
      <c r="B9725" s="4" t="n">
        <v>44773</v>
      </c>
      <c r="C9725" s="3" t="inlineStr">
        <is>
          <t>Expenses</t>
        </is>
      </c>
      <c r="D9725" s="3" t="inlineStr">
        <is>
          <t>2000/350</t>
        </is>
      </c>
      <c r="E9725" s="3" t="inlineStr">
        <is>
          <t>COS - Overrider Comm Endulini - Donovan</t>
        </is>
      </c>
      <c r="F9725" s="3" t="n">
        <v>0</v>
      </c>
      <c r="G9725" s="3" t="n">
        <v>56041.3</v>
      </c>
    </row>
    <row r="9726">
      <c r="A9726" s="3" t="inlineStr">
        <is>
          <t>Opportunity Global Sales (PTY) LTD</t>
        </is>
      </c>
      <c r="B9726" s="4" t="n">
        <v>44773</v>
      </c>
      <c r="C9726" s="3" t="inlineStr">
        <is>
          <t>Expenses</t>
        </is>
      </c>
      <c r="D9726" s="3" t="inlineStr">
        <is>
          <t>2000/351</t>
        </is>
      </c>
      <c r="E9726" s="3" t="inlineStr">
        <is>
          <t>COS - Overrider Comm External - Donovan</t>
        </is>
      </c>
      <c r="F9726" s="3" t="n">
        <v>0</v>
      </c>
      <c r="G9726" s="3" t="n">
        <v>7030.44</v>
      </c>
    </row>
    <row r="9727">
      <c r="A9727" s="3" t="inlineStr">
        <is>
          <t>Opportunity Global Sales (PTY) LTD</t>
        </is>
      </c>
      <c r="B9727" s="4" t="n">
        <v>44773</v>
      </c>
      <c r="C9727" s="3" t="inlineStr">
        <is>
          <t>Expenses</t>
        </is>
      </c>
      <c r="D9727" s="3" t="inlineStr">
        <is>
          <t>2000/370</t>
        </is>
      </c>
      <c r="E9727" s="3" t="inlineStr">
        <is>
          <t>COS - Overrider Comm Endulini - Morne</t>
        </is>
      </c>
      <c r="F9727" s="3" t="n">
        <v>0</v>
      </c>
      <c r="G9727" s="3" t="n">
        <v>4107.85</v>
      </c>
    </row>
    <row r="9728">
      <c r="A9728" s="3" t="inlineStr">
        <is>
          <t>Opportunity Global Sales (PTY) LTD</t>
        </is>
      </c>
      <c r="B9728" s="4" t="n">
        <v>44773</v>
      </c>
      <c r="C9728" s="3" t="inlineStr">
        <is>
          <t>Expenses</t>
        </is>
      </c>
      <c r="D9728" s="3" t="inlineStr">
        <is>
          <t>2000/380</t>
        </is>
      </c>
      <c r="E9728" s="3" t="inlineStr">
        <is>
          <t>COS - Overrider Comm Heron Fields - Morne</t>
        </is>
      </c>
      <c r="F9728" s="3" t="n">
        <v>0</v>
      </c>
      <c r="G9728" s="3" t="n">
        <v>3968.87</v>
      </c>
    </row>
    <row r="9729">
      <c r="A9729" s="3" t="inlineStr">
        <is>
          <t>Trademark Holdings (Pty) Ltd</t>
        </is>
      </c>
      <c r="B9729" s="4" t="n">
        <v>44773</v>
      </c>
      <c r="C9729" s="3" t="inlineStr">
        <is>
          <t>Expenses</t>
        </is>
      </c>
      <c r="D9729" s="3" t="inlineStr">
        <is>
          <t>2000/400</t>
        </is>
      </c>
      <c r="E9729" s="3" t="inlineStr">
        <is>
          <t>COS - Commission on external sales</t>
        </is>
      </c>
      <c r="F9729" s="3" t="n">
        <v>0</v>
      </c>
      <c r="G9729" s="3" t="n">
        <v>42000</v>
      </c>
    </row>
    <row r="9730">
      <c r="A9730" s="3" t="inlineStr">
        <is>
          <t>Endulini (Pty) Ltd</t>
        </is>
      </c>
      <c r="B9730" s="4" t="n">
        <v>44773</v>
      </c>
      <c r="C9730" s="3" t="inlineStr">
        <is>
          <t>Expenses</t>
        </is>
      </c>
      <c r="D9730" s="3" t="inlineStr">
        <is>
          <t>2000/400</t>
        </is>
      </c>
      <c r="E9730" s="3" t="inlineStr">
        <is>
          <t>COS - Gifts</t>
        </is>
      </c>
      <c r="F9730" s="3" t="n">
        <v>0</v>
      </c>
      <c r="G9730" s="3" t="n">
        <v>4270</v>
      </c>
    </row>
    <row r="9731">
      <c r="A9731" s="3" t="inlineStr">
        <is>
          <t>Opportunity Global Sales (PTY) LTD</t>
        </is>
      </c>
      <c r="B9731" s="4" t="n">
        <v>44773</v>
      </c>
      <c r="C9731" s="3" t="inlineStr">
        <is>
          <t>Expenses</t>
        </is>
      </c>
      <c r="D9731" s="3" t="inlineStr">
        <is>
          <t>2000/500</t>
        </is>
      </c>
      <c r="E9731" s="3" t="inlineStr">
        <is>
          <t>COS - Electricity Costs Endulini</t>
        </is>
      </c>
      <c r="F9731" s="3" t="n">
        <v>0</v>
      </c>
      <c r="G9731" s="3" t="n">
        <v>336.96</v>
      </c>
    </row>
    <row r="9732">
      <c r="A9732" s="3" t="inlineStr">
        <is>
          <t>Trademark Holdings (Pty) Ltd</t>
        </is>
      </c>
      <c r="B9732" s="4" t="n">
        <v>44773</v>
      </c>
      <c r="C9732" s="3" t="inlineStr">
        <is>
          <t>Expenses</t>
        </is>
      </c>
      <c r="D9732" s="3" t="inlineStr">
        <is>
          <t>2000/500</t>
        </is>
      </c>
      <c r="E9732" s="3" t="inlineStr">
        <is>
          <t>COS - Inspection fee</t>
        </is>
      </c>
      <c r="F9732" s="3" t="n">
        <v>0</v>
      </c>
      <c r="G9732" s="3" t="n">
        <v>1500</v>
      </c>
    </row>
    <row r="9733">
      <c r="A9733" s="3" t="inlineStr">
        <is>
          <t>Endulini (Pty) Ltd</t>
        </is>
      </c>
      <c r="B9733" s="4" t="n">
        <v>44773</v>
      </c>
      <c r="C9733" s="3" t="inlineStr">
        <is>
          <t>Expenses</t>
        </is>
      </c>
      <c r="D9733" s="3" t="inlineStr">
        <is>
          <t>2000/500</t>
        </is>
      </c>
      <c r="E9733" s="3" t="inlineStr">
        <is>
          <t>COS - Legal Fees Opening of Sec Title Scheme</t>
        </is>
      </c>
      <c r="F9733" s="3" t="n">
        <v>0</v>
      </c>
      <c r="G9733" s="3" t="n">
        <v>56287.76</v>
      </c>
    </row>
    <row r="9734">
      <c r="A9734" s="3" t="inlineStr">
        <is>
          <t>Endulini (Pty) Ltd</t>
        </is>
      </c>
      <c r="B9734" s="4" t="n">
        <v>44773</v>
      </c>
      <c r="C9734" s="3" t="inlineStr">
        <is>
          <t>Expenses</t>
        </is>
      </c>
      <c r="D9734" s="3" t="inlineStr">
        <is>
          <t>2000/600</t>
        </is>
      </c>
      <c r="E9734" s="3" t="inlineStr">
        <is>
          <t>COS - Legal fees</t>
        </is>
      </c>
      <c r="F9734" s="3" t="n">
        <v>16363.83</v>
      </c>
      <c r="G9734" s="3" t="n">
        <v>619818.6899999999</v>
      </c>
    </row>
    <row r="9735">
      <c r="A9735" s="3" t="inlineStr">
        <is>
          <t>Endulini (Pty) Ltd</t>
        </is>
      </c>
      <c r="B9735" s="4" t="n">
        <v>44773</v>
      </c>
      <c r="C9735" s="3" t="inlineStr">
        <is>
          <t>Expenses</t>
        </is>
      </c>
      <c r="D9735" s="3" t="inlineStr">
        <is>
          <t>2000/700</t>
        </is>
      </c>
      <c r="E9735" s="3" t="inlineStr">
        <is>
          <t>COS - C2M Certificate for transfer</t>
        </is>
      </c>
      <c r="F9735" s="3" t="n">
        <v>0</v>
      </c>
      <c r="G9735" s="3" t="n">
        <v>8000</v>
      </c>
    </row>
    <row r="9736">
      <c r="A9736" s="3" t="inlineStr">
        <is>
          <t>Endulini (Pty) Ltd</t>
        </is>
      </c>
      <c r="B9736" s="4" t="n">
        <v>44773</v>
      </c>
      <c r="C9736" s="3" t="inlineStr">
        <is>
          <t>Expenses</t>
        </is>
      </c>
      <c r="D9736" s="3" t="inlineStr">
        <is>
          <t>2000/800</t>
        </is>
      </c>
      <c r="E9736" s="3" t="inlineStr">
        <is>
          <t>COS - Purchaser Variations</t>
        </is>
      </c>
      <c r="F9736" s="3" t="n">
        <v>0</v>
      </c>
      <c r="G9736" s="3" t="n">
        <v>8734.540000000001</v>
      </c>
    </row>
    <row r="9737">
      <c r="A9737" s="3" t="inlineStr">
        <is>
          <t>Endulini (Pty) Ltd</t>
        </is>
      </c>
      <c r="B9737" s="4" t="n">
        <v>44773</v>
      </c>
      <c r="C9737" s="3" t="inlineStr">
        <is>
          <t>Expenses</t>
        </is>
      </c>
      <c r="D9737" s="3" t="inlineStr">
        <is>
          <t>2000/900</t>
        </is>
      </c>
      <c r="E9737" s="3" t="inlineStr">
        <is>
          <t>COS - Legal fees Phase 2</t>
        </is>
      </c>
      <c r="F9737" s="3" t="n">
        <v>35638</v>
      </c>
      <c r="G9737" s="3" t="n">
        <v>35638</v>
      </c>
    </row>
    <row r="9738">
      <c r="A9738" s="3" t="inlineStr">
        <is>
          <t>Quinate Consulting (Pty) Ltd</t>
        </is>
      </c>
      <c r="B9738" s="4" t="n">
        <v>44773</v>
      </c>
      <c r="C9738" s="3" t="inlineStr">
        <is>
          <t>Revenue</t>
        </is>
      </c>
      <c r="D9738" s="3" t="inlineStr">
        <is>
          <t>2400/200</t>
        </is>
      </c>
      <c r="E9738" s="3" t="inlineStr">
        <is>
          <t>Recovery Acc - Electricity SH</t>
        </is>
      </c>
      <c r="F9738" s="3" t="n">
        <v>-29449.8</v>
      </c>
      <c r="G9738" s="3" t="n">
        <v>-120261.05</v>
      </c>
    </row>
    <row r="9739">
      <c r="A9739" s="3" t="inlineStr">
        <is>
          <t>Quinate Consulting (Pty) Ltd</t>
        </is>
      </c>
      <c r="B9739" s="4" t="n">
        <v>44773</v>
      </c>
      <c r="C9739" s="3" t="inlineStr">
        <is>
          <t>Revenue</t>
        </is>
      </c>
      <c r="D9739" s="3" t="inlineStr">
        <is>
          <t>2400/300</t>
        </is>
      </c>
      <c r="E9739" s="3" t="inlineStr">
        <is>
          <t>Recovery Account - Electricity SW</t>
        </is>
      </c>
      <c r="F9739" s="3" t="n">
        <v>-22404.95</v>
      </c>
      <c r="G9739" s="3" t="n">
        <v>-89531.3</v>
      </c>
    </row>
    <row r="9740">
      <c r="A9740" s="3" t="inlineStr">
        <is>
          <t>Endulini (Pty) Ltd</t>
        </is>
      </c>
      <c r="B9740" s="4" t="n">
        <v>44773</v>
      </c>
      <c r="C9740" s="3" t="inlineStr">
        <is>
          <t>Revenue</t>
        </is>
      </c>
      <c r="D9740" s="3" t="inlineStr">
        <is>
          <t>2750/000</t>
        </is>
      </c>
      <c r="E9740" s="3" t="inlineStr">
        <is>
          <t>Interest Received</t>
        </is>
      </c>
      <c r="F9740" s="3" t="n">
        <v>-26.38</v>
      </c>
      <c r="G9740" s="3" t="n">
        <v>-94.67</v>
      </c>
    </row>
    <row r="9741">
      <c r="A9741" s="3" t="inlineStr">
        <is>
          <t>Opportunity Management Holdings (PTY) LTD</t>
        </is>
      </c>
      <c r="B9741" s="4" t="n">
        <v>44773</v>
      </c>
      <c r="C9741" s="3" t="inlineStr">
        <is>
          <t>Revenue</t>
        </is>
      </c>
      <c r="D9741" s="3" t="inlineStr">
        <is>
          <t>2750/000</t>
        </is>
      </c>
      <c r="E9741" s="3" t="inlineStr">
        <is>
          <t>Interest Received</t>
        </is>
      </c>
      <c r="F9741" s="3" t="n">
        <v>0</v>
      </c>
      <c r="G9741" s="3" t="n">
        <v>-0.21</v>
      </c>
    </row>
    <row r="9742">
      <c r="A9742" s="3" t="inlineStr">
        <is>
          <t>Opportunity Global Sales (PTY) LTD</t>
        </is>
      </c>
      <c r="B9742" s="4" t="n">
        <v>44773</v>
      </c>
      <c r="C9742" s="3" t="inlineStr">
        <is>
          <t>Revenue</t>
        </is>
      </c>
      <c r="D9742" s="3" t="inlineStr">
        <is>
          <t>2750/000</t>
        </is>
      </c>
      <c r="E9742" s="3" t="inlineStr">
        <is>
          <t>Interest Received - Bank</t>
        </is>
      </c>
      <c r="F9742" s="3" t="n">
        <v>0</v>
      </c>
      <c r="G9742" s="3" t="n">
        <v>-2.3</v>
      </c>
    </row>
    <row r="9743">
      <c r="A9743" s="3" t="inlineStr">
        <is>
          <t>Opportunity Global Investment (PTY) LTD</t>
        </is>
      </c>
      <c r="B9743" s="4" t="n">
        <v>44773</v>
      </c>
      <c r="C9743" s="3" t="inlineStr">
        <is>
          <t>Revenue</t>
        </is>
      </c>
      <c r="D9743" s="3" t="inlineStr">
        <is>
          <t>2753/000</t>
        </is>
      </c>
      <c r="E9743" s="3" t="inlineStr">
        <is>
          <t>Interest received - Momentum</t>
        </is>
      </c>
      <c r="F9743" s="3" t="n">
        <v>-19.84</v>
      </c>
      <c r="G9743" s="3" t="n">
        <v>-91.98999999999999</v>
      </c>
    </row>
    <row r="9744">
      <c r="A9744" s="3" t="inlineStr">
        <is>
          <t>Endulini (Pty) Ltd</t>
        </is>
      </c>
      <c r="B9744" s="4" t="n">
        <v>44773</v>
      </c>
      <c r="C9744" s="3" t="inlineStr">
        <is>
          <t>Revenue</t>
        </is>
      </c>
      <c r="D9744" s="3" t="inlineStr">
        <is>
          <t>2755/001</t>
        </is>
      </c>
      <c r="E9744" s="3" t="inlineStr">
        <is>
          <t>Interest Received - Momentum</t>
        </is>
      </c>
      <c r="F9744" s="3" t="n">
        <v>-2579.61</v>
      </c>
      <c r="G9744" s="3" t="n">
        <v>-26560.79</v>
      </c>
    </row>
    <row r="9745">
      <c r="A9745" s="3" t="inlineStr">
        <is>
          <t>Quinate Consulting (Pty) Ltd</t>
        </is>
      </c>
      <c r="B9745" s="4" t="n">
        <v>44773</v>
      </c>
      <c r="C9745" s="3" t="inlineStr">
        <is>
          <t>Revenue</t>
        </is>
      </c>
      <c r="D9745" s="3" t="inlineStr">
        <is>
          <t>2755/001</t>
        </is>
      </c>
      <c r="E9745" s="3" t="inlineStr">
        <is>
          <t>Interest Received - Momentum</t>
        </is>
      </c>
      <c r="F9745" s="3" t="n">
        <v>-2.27</v>
      </c>
      <c r="G9745" s="3" t="n">
        <v>-10.52</v>
      </c>
    </row>
    <row r="9746">
      <c r="A9746" s="3" t="inlineStr">
        <is>
          <t>Opportunity Global Investment (PTY) LTD</t>
        </is>
      </c>
      <c r="B9746" s="4" t="n">
        <v>44773</v>
      </c>
      <c r="C9746" s="3" t="inlineStr">
        <is>
          <t>Expenses</t>
        </is>
      </c>
      <c r="D9746" s="3" t="inlineStr">
        <is>
          <t>3000/200</t>
        </is>
      </c>
      <c r="E9746" s="3" t="inlineStr">
        <is>
          <t>Accounting Fees - General</t>
        </is>
      </c>
      <c r="F9746" s="3" t="n">
        <v>0</v>
      </c>
      <c r="G9746" s="3" t="n">
        <v>540</v>
      </c>
    </row>
    <row r="9747">
      <c r="A9747" s="3" t="inlineStr">
        <is>
          <t>Noble Shield (Pty) Ltd ta Go Letting</t>
        </is>
      </c>
      <c r="B9747" s="4" t="n">
        <v>44773</v>
      </c>
      <c r="C9747" s="3" t="inlineStr">
        <is>
          <t>Expenses</t>
        </is>
      </c>
      <c r="D9747" s="3" t="inlineStr">
        <is>
          <t>3000/300</t>
        </is>
      </c>
      <c r="E9747" s="3" t="inlineStr">
        <is>
          <t>Accounting Fees - Audit</t>
        </is>
      </c>
      <c r="F9747" s="3" t="n">
        <v>0</v>
      </c>
      <c r="G9747" s="3" t="n">
        <v>25967</v>
      </c>
    </row>
    <row r="9748">
      <c r="A9748" s="3" t="inlineStr">
        <is>
          <t>Trademark Holdings (Pty) Ltd</t>
        </is>
      </c>
      <c r="B9748" s="4" t="n">
        <v>44773</v>
      </c>
      <c r="C9748" s="3" t="inlineStr">
        <is>
          <t>Expenses</t>
        </is>
      </c>
      <c r="D9748" s="3" t="inlineStr">
        <is>
          <t>3000/300</t>
        </is>
      </c>
      <c r="E9748" s="3" t="inlineStr">
        <is>
          <t>Accounting Fees - Audit</t>
        </is>
      </c>
      <c r="F9748" s="3" t="n">
        <v>0</v>
      </c>
      <c r="G9748" s="3" t="n">
        <v>16790</v>
      </c>
    </row>
    <row r="9749">
      <c r="A9749" s="3" t="inlineStr">
        <is>
          <t>Noble Shield (Pty) Ltd ta Go Letting</t>
        </is>
      </c>
      <c r="B9749" s="4" t="n">
        <v>44773</v>
      </c>
      <c r="C9749" s="3" t="inlineStr">
        <is>
          <t>Expenses</t>
        </is>
      </c>
      <c r="D9749" s="3" t="inlineStr">
        <is>
          <t>3000/400</t>
        </is>
      </c>
      <c r="E9749" s="3" t="inlineStr">
        <is>
          <t>Accounting Fees - CipC</t>
        </is>
      </c>
      <c r="F9749" s="3" t="n">
        <v>0</v>
      </c>
      <c r="G9749" s="3" t="n">
        <v>100</v>
      </c>
    </row>
    <row r="9750">
      <c r="A9750" s="3" t="inlineStr">
        <is>
          <t>Trademark Holdings (Pty) Ltd</t>
        </is>
      </c>
      <c r="B9750" s="4" t="n">
        <v>44773</v>
      </c>
      <c r="C9750" s="3" t="inlineStr">
        <is>
          <t>Expenses</t>
        </is>
      </c>
      <c r="D9750" s="3" t="inlineStr">
        <is>
          <t>3000/500</t>
        </is>
      </c>
      <c r="E9750" s="3" t="inlineStr">
        <is>
          <t>Accounting Fees - Other</t>
        </is>
      </c>
      <c r="F9750" s="3" t="n">
        <v>0</v>
      </c>
      <c r="G9750" s="3" t="n">
        <v>621</v>
      </c>
    </row>
    <row r="9751">
      <c r="A9751" s="3" t="inlineStr">
        <is>
          <t>Opportunity Management Holdings (PTY) LTD</t>
        </is>
      </c>
      <c r="B9751" s="4" t="n">
        <v>44773</v>
      </c>
      <c r="C9751" s="3" t="inlineStr">
        <is>
          <t>Expenses</t>
        </is>
      </c>
      <c r="D9751" s="3" t="inlineStr">
        <is>
          <t>3001/000</t>
        </is>
      </c>
      <c r="E9751" s="3" t="inlineStr">
        <is>
          <t>Accounting Fees - Payroll</t>
        </is>
      </c>
      <c r="F9751" s="3" t="n">
        <v>-350</v>
      </c>
      <c r="G9751" s="3" t="n">
        <v>227.5</v>
      </c>
    </row>
    <row r="9752">
      <c r="A9752" s="3" t="inlineStr">
        <is>
          <t>Quinate Consulting (Pty) Ltd</t>
        </is>
      </c>
      <c r="B9752" s="4" t="n">
        <v>44773</v>
      </c>
      <c r="C9752" s="3" t="inlineStr">
        <is>
          <t>Expenses</t>
        </is>
      </c>
      <c r="D9752" s="3" t="inlineStr">
        <is>
          <t>3001/000</t>
        </is>
      </c>
      <c r="E9752" s="3" t="inlineStr">
        <is>
          <t>Accounting fees - Other</t>
        </is>
      </c>
      <c r="F9752" s="3" t="n">
        <v>0</v>
      </c>
      <c r="G9752" s="3" t="n">
        <v>1850</v>
      </c>
    </row>
    <row r="9753">
      <c r="A9753" s="3" t="inlineStr">
        <is>
          <t>Opportunity Management Holdings (PTY) LTD</t>
        </is>
      </c>
      <c r="B9753" s="4" t="n">
        <v>44773</v>
      </c>
      <c r="C9753" s="3" t="inlineStr">
        <is>
          <t>Expenses</t>
        </is>
      </c>
      <c r="D9753" s="3" t="inlineStr">
        <is>
          <t>3004/000</t>
        </is>
      </c>
      <c r="E9753" s="3" t="inlineStr">
        <is>
          <t>Accounting fees - Janine Theart</t>
        </is>
      </c>
      <c r="F9753" s="3" t="n">
        <v>17500</v>
      </c>
      <c r="G9753" s="3" t="n">
        <v>170000</v>
      </c>
    </row>
    <row r="9754">
      <c r="A9754" s="3" t="inlineStr">
        <is>
          <t>Opportunity Management Holdings (PTY) LTD</t>
        </is>
      </c>
      <c r="B9754" s="4" t="n">
        <v>44773</v>
      </c>
      <c r="C9754" s="3" t="inlineStr">
        <is>
          <t>Expenses</t>
        </is>
      </c>
      <c r="D9754" s="3" t="inlineStr">
        <is>
          <t>3005/000</t>
        </is>
      </c>
      <c r="E9754" s="3" t="inlineStr">
        <is>
          <t>Accounting fees - Deric Dudley</t>
        </is>
      </c>
      <c r="F9754" s="3" t="n">
        <v>50000</v>
      </c>
      <c r="G9754" s="3" t="n">
        <v>464000</v>
      </c>
    </row>
    <row r="9755">
      <c r="A9755" s="3" t="inlineStr">
        <is>
          <t>Opportunity Management Holdings (PTY) LTD</t>
        </is>
      </c>
      <c r="B9755" s="4" t="n">
        <v>44773</v>
      </c>
      <c r="C9755" s="3" t="inlineStr">
        <is>
          <t>Expenses</t>
        </is>
      </c>
      <c r="D9755" s="3" t="inlineStr">
        <is>
          <t>3006/000</t>
        </is>
      </c>
      <c r="E9755" s="3" t="inlineStr">
        <is>
          <t>Accounting fees - CIPC</t>
        </is>
      </c>
      <c r="F9755" s="3" t="n">
        <v>0</v>
      </c>
      <c r="G9755" s="3" t="n">
        <v>350</v>
      </c>
    </row>
    <row r="9756">
      <c r="A9756" s="3" t="inlineStr">
        <is>
          <t>Opportunity Management Holdings (PTY) LTD</t>
        </is>
      </c>
      <c r="B9756" s="4" t="n">
        <v>44773</v>
      </c>
      <c r="C9756" s="3" t="inlineStr">
        <is>
          <t>Expenses</t>
        </is>
      </c>
      <c r="D9756" s="3" t="inlineStr">
        <is>
          <t>3007/000</t>
        </is>
      </c>
      <c r="E9756" s="3" t="inlineStr">
        <is>
          <t>Accounting fees - Warwick</t>
        </is>
      </c>
      <c r="F9756" s="3" t="n">
        <v>27000</v>
      </c>
      <c r="G9756" s="3" t="n">
        <v>281090.46</v>
      </c>
    </row>
    <row r="9757">
      <c r="A9757" s="3" t="inlineStr">
        <is>
          <t>Endulini (Pty) Ltd</t>
        </is>
      </c>
      <c r="B9757" s="4" t="n">
        <v>44773</v>
      </c>
      <c r="C9757" s="3" t="inlineStr">
        <is>
          <t>Expenses</t>
        </is>
      </c>
      <c r="D9757" s="3" t="inlineStr">
        <is>
          <t>3050/000</t>
        </is>
      </c>
      <c r="E9757" s="3" t="inlineStr">
        <is>
          <t>Advertising _AND_ Promotions</t>
        </is>
      </c>
      <c r="F9757" s="3" t="n">
        <v>7390</v>
      </c>
      <c r="G9757" s="3" t="n">
        <v>11955</v>
      </c>
    </row>
    <row r="9758">
      <c r="A9758" s="3" t="inlineStr">
        <is>
          <t>Noble Shield (Pty) Ltd ta Go Letting</t>
        </is>
      </c>
      <c r="B9758" s="4" t="n">
        <v>44773</v>
      </c>
      <c r="C9758" s="3" t="inlineStr">
        <is>
          <t>Expenses</t>
        </is>
      </c>
      <c r="D9758" s="3" t="inlineStr">
        <is>
          <t>3050/000</t>
        </is>
      </c>
      <c r="E9758" s="3" t="inlineStr">
        <is>
          <t>Advertising _AND_ Promotions</t>
        </is>
      </c>
      <c r="F9758" s="3" t="n">
        <v>0</v>
      </c>
      <c r="G9758" s="3" t="n">
        <v>3862.5</v>
      </c>
    </row>
    <row r="9759">
      <c r="A9759" s="3" t="inlineStr">
        <is>
          <t>Opportunity Management Holdings (PTY) LTD</t>
        </is>
      </c>
      <c r="B9759" s="4" t="n">
        <v>44773</v>
      </c>
      <c r="C9759" s="3" t="inlineStr">
        <is>
          <t>Expenses</t>
        </is>
      </c>
      <c r="D9759" s="3" t="inlineStr">
        <is>
          <t>3050/000</t>
        </is>
      </c>
      <c r="E9759" s="3" t="inlineStr">
        <is>
          <t>Advertising _AND_ Promotions</t>
        </is>
      </c>
      <c r="F9759" s="3" t="n">
        <v>7830</v>
      </c>
      <c r="G9759" s="3" t="n">
        <v>17272.5</v>
      </c>
    </row>
    <row r="9760">
      <c r="A9760" s="3" t="inlineStr">
        <is>
          <t>Quinate Consulting (Pty) Ltd</t>
        </is>
      </c>
      <c r="B9760" s="4" t="n">
        <v>44773</v>
      </c>
      <c r="C9760" s="3" t="inlineStr">
        <is>
          <t>Expenses</t>
        </is>
      </c>
      <c r="D9760" s="3" t="inlineStr">
        <is>
          <t>3050/000</t>
        </is>
      </c>
      <c r="E9760" s="3" t="inlineStr">
        <is>
          <t>Advertising _AND_ Promotions</t>
        </is>
      </c>
      <c r="F9760" s="3" t="n">
        <v>0</v>
      </c>
      <c r="G9760" s="3" t="n">
        <v>1875.22</v>
      </c>
    </row>
    <row r="9761">
      <c r="A9761" s="3" t="inlineStr">
        <is>
          <t>Endulini (Pty) Ltd</t>
        </is>
      </c>
      <c r="B9761" s="4" t="n">
        <v>44773</v>
      </c>
      <c r="C9761" s="3" t="inlineStr">
        <is>
          <t>Expenses</t>
        </is>
      </c>
      <c r="D9761" s="3" t="inlineStr">
        <is>
          <t>3050/001</t>
        </is>
      </c>
      <c r="E9761" s="3" t="inlineStr">
        <is>
          <t>Advertising _AND_ Promotions - Media Agenda</t>
        </is>
      </c>
      <c r="F9761" s="3" t="n">
        <v>2750</v>
      </c>
      <c r="G9761" s="3" t="n">
        <v>6750</v>
      </c>
    </row>
    <row r="9762">
      <c r="A9762" s="3" t="inlineStr">
        <is>
          <t>Noble Shield (Pty) Ltd ta Go Letting</t>
        </is>
      </c>
      <c r="B9762" s="4" t="n">
        <v>44773</v>
      </c>
      <c r="C9762" s="3" t="inlineStr">
        <is>
          <t>Expenses</t>
        </is>
      </c>
      <c r="D9762" s="3" t="inlineStr">
        <is>
          <t>3050/050</t>
        </is>
      </c>
      <c r="E9762" s="3" t="inlineStr">
        <is>
          <t>Advertising - Prop 24</t>
        </is>
      </c>
      <c r="F9762" s="3" t="n">
        <v>3807.65</v>
      </c>
      <c r="G9762" s="3" t="n">
        <v>24794</v>
      </c>
    </row>
    <row r="9763">
      <c r="A9763" s="3" t="inlineStr">
        <is>
          <t>Trademark Holdings (Pty) Ltd</t>
        </is>
      </c>
      <c r="B9763" s="4" t="n">
        <v>44773</v>
      </c>
      <c r="C9763" s="3" t="inlineStr">
        <is>
          <t>Expenses</t>
        </is>
      </c>
      <c r="D9763" s="3" t="inlineStr">
        <is>
          <t>3050/060</t>
        </is>
      </c>
      <c r="E9763" s="3" t="inlineStr">
        <is>
          <t>Advertising - Other</t>
        </is>
      </c>
      <c r="F9763" s="3" t="n">
        <v>0</v>
      </c>
      <c r="G9763" s="3" t="n">
        <v>7595.75</v>
      </c>
    </row>
    <row r="9764">
      <c r="A9764" s="3" t="inlineStr">
        <is>
          <t>Noble Shield (Pty) Ltd ta Go Letting</t>
        </is>
      </c>
      <c r="B9764" s="4" t="n">
        <v>44773</v>
      </c>
      <c r="C9764" s="3" t="inlineStr">
        <is>
          <t>Expenses</t>
        </is>
      </c>
      <c r="D9764" s="3" t="inlineStr">
        <is>
          <t>3050/070</t>
        </is>
      </c>
      <c r="E9764" s="3" t="inlineStr">
        <is>
          <t>Advertising - Facebook</t>
        </is>
      </c>
      <c r="F9764" s="3" t="n">
        <v>0</v>
      </c>
      <c r="G9764" s="3" t="n">
        <v>3317.35</v>
      </c>
    </row>
    <row r="9765">
      <c r="A9765" s="3" t="inlineStr">
        <is>
          <t>Opportunity Global Sales (PTY) LTD</t>
        </is>
      </c>
      <c r="B9765" s="4" t="n">
        <v>44773</v>
      </c>
      <c r="C9765" s="3" t="inlineStr">
        <is>
          <t>Expenses</t>
        </is>
      </c>
      <c r="D9765" s="3" t="inlineStr">
        <is>
          <t>3050/100</t>
        </is>
      </c>
      <c r="E9765" s="3" t="inlineStr">
        <is>
          <t>Advertising - Facebook</t>
        </is>
      </c>
      <c r="F9765" s="3" t="n">
        <v>11210.45</v>
      </c>
      <c r="G9765" s="3" t="n">
        <v>47940.45</v>
      </c>
    </row>
    <row r="9766">
      <c r="A9766" s="3" t="inlineStr">
        <is>
          <t>Opportunity Global Sales (PTY) LTD</t>
        </is>
      </c>
      <c r="B9766" s="4" t="n">
        <v>44773</v>
      </c>
      <c r="C9766" s="3" t="inlineStr">
        <is>
          <t>Expenses</t>
        </is>
      </c>
      <c r="D9766" s="3" t="inlineStr">
        <is>
          <t>3050/140</t>
        </is>
      </c>
      <c r="E9766" s="3" t="inlineStr">
        <is>
          <t>Advertising - Media Agenda</t>
        </is>
      </c>
      <c r="F9766" s="3" t="n">
        <v>1700</v>
      </c>
      <c r="G9766" s="3" t="n">
        <v>3625</v>
      </c>
    </row>
    <row r="9767">
      <c r="A9767" s="3" t="inlineStr">
        <is>
          <t>Opportunity Global Investment (PTY) LTD</t>
        </is>
      </c>
      <c r="B9767" s="4" t="n">
        <v>44773</v>
      </c>
      <c r="C9767" s="3" t="inlineStr">
        <is>
          <t>Expenses</t>
        </is>
      </c>
      <c r="D9767" s="3" t="inlineStr">
        <is>
          <t>3050/250</t>
        </is>
      </c>
      <c r="E9767" s="3" t="inlineStr">
        <is>
          <t>Advertising - General</t>
        </is>
      </c>
      <c r="F9767" s="3" t="n">
        <v>0</v>
      </c>
      <c r="G9767" s="3" t="n">
        <v>874</v>
      </c>
    </row>
    <row r="9768">
      <c r="A9768" s="3" t="inlineStr">
        <is>
          <t>Opportunity Global Sales (PTY) LTD</t>
        </is>
      </c>
      <c r="B9768" s="4" t="n">
        <v>44773</v>
      </c>
      <c r="C9768" s="3" t="inlineStr">
        <is>
          <t>Expenses</t>
        </is>
      </c>
      <c r="D9768" s="3" t="inlineStr">
        <is>
          <t>3050/250</t>
        </is>
      </c>
      <c r="E9768" s="3" t="inlineStr">
        <is>
          <t>Advertising - General</t>
        </is>
      </c>
      <c r="F9768" s="3" t="n">
        <v>11984.73</v>
      </c>
      <c r="G9768" s="3" t="n">
        <v>14358.58</v>
      </c>
    </row>
    <row r="9769">
      <c r="A9769" s="3" t="inlineStr">
        <is>
          <t>Opportunity Global Investment (PTY) LTD</t>
        </is>
      </c>
      <c r="B9769" s="4" t="n">
        <v>44773</v>
      </c>
      <c r="C9769" s="3" t="inlineStr">
        <is>
          <t>Expenses</t>
        </is>
      </c>
      <c r="D9769" s="3" t="inlineStr">
        <is>
          <t>3050/260</t>
        </is>
      </c>
      <c r="E9769" s="3" t="inlineStr">
        <is>
          <t>Advertising - Media Agenda</t>
        </is>
      </c>
      <c r="F9769" s="3" t="n">
        <v>0</v>
      </c>
      <c r="G9769" s="3" t="n">
        <v>687.5</v>
      </c>
    </row>
    <row r="9770">
      <c r="A9770" s="3" t="inlineStr">
        <is>
          <t>Opportunity Global Investment (PTY) LTD</t>
        </is>
      </c>
      <c r="B9770" s="4" t="n">
        <v>44773</v>
      </c>
      <c r="C9770" s="3" t="inlineStr">
        <is>
          <t>Expenses</t>
        </is>
      </c>
      <c r="D9770" s="3" t="inlineStr">
        <is>
          <t>3050/270</t>
        </is>
      </c>
      <c r="E9770" s="3" t="inlineStr">
        <is>
          <t>Advertising - Radia and TV Interviews</t>
        </is>
      </c>
      <c r="F9770" s="3" t="n">
        <v>58200</v>
      </c>
      <c r="G9770" s="3" t="n">
        <v>118872</v>
      </c>
    </row>
    <row r="9771">
      <c r="A9771" s="3" t="inlineStr">
        <is>
          <t>Opportunity Global Investment (PTY) LTD</t>
        </is>
      </c>
      <c r="B9771" s="4" t="n">
        <v>44773</v>
      </c>
      <c r="C9771" s="3" t="inlineStr">
        <is>
          <t>Expenses</t>
        </is>
      </c>
      <c r="D9771" s="3" t="inlineStr">
        <is>
          <t>3050/290</t>
        </is>
      </c>
      <c r="E9771" s="3" t="inlineStr">
        <is>
          <t>Advertising - Serene Living</t>
        </is>
      </c>
      <c r="F9771" s="3" t="n">
        <v>65086</v>
      </c>
      <c r="G9771" s="3" t="n">
        <v>325430</v>
      </c>
    </row>
    <row r="9772">
      <c r="A9772" s="3" t="inlineStr">
        <is>
          <t>Opportunity Global Investment (PTY) LTD</t>
        </is>
      </c>
      <c r="B9772" s="4" t="n">
        <v>44773</v>
      </c>
      <c r="C9772" s="3" t="inlineStr">
        <is>
          <t>Expenses</t>
        </is>
      </c>
      <c r="D9772" s="3" t="inlineStr">
        <is>
          <t>3050/295</t>
        </is>
      </c>
      <c r="E9772" s="3" t="inlineStr">
        <is>
          <t>Advertising - Reale Activation</t>
        </is>
      </c>
      <c r="F9772" s="3" t="n">
        <v>1658.92</v>
      </c>
      <c r="G9772" s="3" t="n">
        <v>34789.63</v>
      </c>
    </row>
    <row r="9773">
      <c r="A9773" s="3" t="inlineStr">
        <is>
          <t>Opportunity Global Investment (PTY) LTD</t>
        </is>
      </c>
      <c r="B9773" s="4" t="n">
        <v>44773</v>
      </c>
      <c r="C9773" s="3" t="inlineStr">
        <is>
          <t>Expenses</t>
        </is>
      </c>
      <c r="D9773" s="3" t="inlineStr">
        <is>
          <t>3050/300</t>
        </is>
      </c>
      <c r="E9773" s="3" t="inlineStr">
        <is>
          <t>Advertising - Design</t>
        </is>
      </c>
      <c r="F9773" s="3" t="n">
        <v>0</v>
      </c>
      <c r="G9773" s="3" t="n">
        <v>24321</v>
      </c>
    </row>
    <row r="9774">
      <c r="A9774" s="3" t="inlineStr">
        <is>
          <t>Opportunity Global Sales (PTY) LTD</t>
        </is>
      </c>
      <c r="B9774" s="4" t="n">
        <v>44773</v>
      </c>
      <c r="C9774" s="3" t="inlineStr">
        <is>
          <t>Expenses</t>
        </is>
      </c>
      <c r="D9774" s="3" t="inlineStr">
        <is>
          <t>3050/350</t>
        </is>
      </c>
      <c r="E9774" s="3" t="inlineStr">
        <is>
          <t>Advertising - Private Property</t>
        </is>
      </c>
      <c r="F9774" s="3" t="n">
        <v>1250</v>
      </c>
      <c r="G9774" s="3" t="n">
        <v>6250</v>
      </c>
    </row>
    <row r="9775">
      <c r="A9775" s="3" t="inlineStr">
        <is>
          <t>Opportunity Global Sales (PTY) LTD</t>
        </is>
      </c>
      <c r="B9775" s="4" t="n">
        <v>44773</v>
      </c>
      <c r="C9775" s="3" t="inlineStr">
        <is>
          <t>Expenses</t>
        </is>
      </c>
      <c r="D9775" s="3" t="inlineStr">
        <is>
          <t>3050/370</t>
        </is>
      </c>
      <c r="E9775" s="3" t="inlineStr">
        <is>
          <t>Advertising - HR</t>
        </is>
      </c>
      <c r="F9775" s="3" t="n">
        <v>0</v>
      </c>
      <c r="G9775" s="3" t="n">
        <v>1200</v>
      </c>
    </row>
    <row r="9776">
      <c r="A9776" s="3" t="inlineStr">
        <is>
          <t>Quinate Consulting (Pty) Ltd</t>
        </is>
      </c>
      <c r="B9776" s="4" t="n">
        <v>44773</v>
      </c>
      <c r="C9776" s="3" t="inlineStr">
        <is>
          <t>Expenses</t>
        </is>
      </c>
      <c r="D9776" s="3" t="inlineStr">
        <is>
          <t>3050/400</t>
        </is>
      </c>
      <c r="E9776" s="3" t="inlineStr">
        <is>
          <t>Advertising - Prop24</t>
        </is>
      </c>
      <c r="F9776" s="3" t="n">
        <v>15782</v>
      </c>
      <c r="G9776" s="3" t="n">
        <v>69316</v>
      </c>
    </row>
    <row r="9777">
      <c r="A9777" s="3" t="inlineStr">
        <is>
          <t>Quinate Consulting (Pty) Ltd</t>
        </is>
      </c>
      <c r="B9777" s="4" t="n">
        <v>44773</v>
      </c>
      <c r="C9777" s="3" t="inlineStr">
        <is>
          <t>Expenses</t>
        </is>
      </c>
      <c r="D9777" s="3" t="inlineStr">
        <is>
          <t>3050/450</t>
        </is>
      </c>
      <c r="E9777" s="3" t="inlineStr">
        <is>
          <t>Advertising - Facebook</t>
        </is>
      </c>
      <c r="F9777" s="3" t="n">
        <v>11290.21</v>
      </c>
      <c r="G9777" s="3" t="n">
        <v>39388.76</v>
      </c>
    </row>
    <row r="9778">
      <c r="A9778" s="3" t="inlineStr">
        <is>
          <t>Opportunity Global Investment (PTY) LTD</t>
        </is>
      </c>
      <c r="B9778" s="4" t="n">
        <v>44773</v>
      </c>
      <c r="C9778" s="3" t="inlineStr">
        <is>
          <t>Expenses</t>
        </is>
      </c>
      <c r="D9778" s="3" t="inlineStr">
        <is>
          <t>3051/000</t>
        </is>
      </c>
      <c r="E9778" s="3" t="inlineStr">
        <is>
          <t>Advertising - Facebook</t>
        </is>
      </c>
      <c r="F9778" s="3" t="n">
        <v>17651.46</v>
      </c>
      <c r="G9778" s="3" t="n">
        <v>90262.63</v>
      </c>
    </row>
    <row r="9779">
      <c r="A9779" s="3" t="inlineStr">
        <is>
          <t>Opportunity Global Investment (PTY) LTD</t>
        </is>
      </c>
      <c r="B9779" s="4" t="n">
        <v>44773</v>
      </c>
      <c r="C9779" s="3" t="inlineStr">
        <is>
          <t>Expenses</t>
        </is>
      </c>
      <c r="D9779" s="3" t="inlineStr">
        <is>
          <t>3053/000</t>
        </is>
      </c>
      <c r="E9779" s="3" t="inlineStr">
        <is>
          <t>Advertising - Google Ads</t>
        </is>
      </c>
      <c r="F9779" s="3" t="n">
        <v>751.4400000000001</v>
      </c>
      <c r="G9779" s="3" t="n">
        <v>5891.81</v>
      </c>
    </row>
    <row r="9780">
      <c r="A9780" s="3" t="inlineStr">
        <is>
          <t>Opportunity Management Holdings (PTY) LTD</t>
        </is>
      </c>
      <c r="B9780" s="4" t="n">
        <v>44773</v>
      </c>
      <c r="C9780" s="3" t="inlineStr">
        <is>
          <t>Expenses</t>
        </is>
      </c>
      <c r="D9780" s="3" t="inlineStr">
        <is>
          <t>3100/000</t>
        </is>
      </c>
      <c r="E9780" s="3" t="inlineStr">
        <is>
          <t>Accounting Fees - Audit Fees</t>
        </is>
      </c>
      <c r="F9780" s="3" t="n">
        <v>0</v>
      </c>
      <c r="G9780" s="3" t="n">
        <v>17550</v>
      </c>
    </row>
    <row r="9781">
      <c r="A9781" s="3" t="inlineStr">
        <is>
          <t>Endulini (Pty) Ltd</t>
        </is>
      </c>
      <c r="B9781" s="4" t="n">
        <v>44773</v>
      </c>
      <c r="C9781" s="3" t="inlineStr">
        <is>
          <t>Expenses</t>
        </is>
      </c>
      <c r="D9781" s="3" t="inlineStr">
        <is>
          <t>3200/000</t>
        </is>
      </c>
      <c r="E9781" s="3" t="inlineStr">
        <is>
          <t>Bank Charges</t>
        </is>
      </c>
      <c r="F9781" s="3" t="n">
        <v>986.34</v>
      </c>
      <c r="G9781" s="3" t="n">
        <v>3241.1</v>
      </c>
    </row>
    <row r="9782">
      <c r="A9782" s="3" t="inlineStr">
        <is>
          <t>Noble Shield (Pty) Ltd ta Go Letting</t>
        </is>
      </c>
      <c r="B9782" s="4" t="n">
        <v>44773</v>
      </c>
      <c r="C9782" s="3" t="inlineStr">
        <is>
          <t>Expenses</t>
        </is>
      </c>
      <c r="D9782" s="3" t="inlineStr">
        <is>
          <t>3200/000</t>
        </is>
      </c>
      <c r="E9782" s="3" t="inlineStr">
        <is>
          <t>Bank Charges</t>
        </is>
      </c>
      <c r="F9782" s="3" t="n">
        <v>2647.92</v>
      </c>
      <c r="G9782" s="3" t="n">
        <v>15317.76</v>
      </c>
    </row>
    <row r="9783">
      <c r="A9783" s="3" t="inlineStr">
        <is>
          <t>Opportunity Global Investment (PTY) LTD</t>
        </is>
      </c>
      <c r="B9783" s="4" t="n">
        <v>44773</v>
      </c>
      <c r="C9783" s="3" t="inlineStr">
        <is>
          <t>Expenses</t>
        </is>
      </c>
      <c r="D9783" s="3" t="inlineStr">
        <is>
          <t>3200/000</t>
        </is>
      </c>
      <c r="E9783" s="3" t="inlineStr">
        <is>
          <t>Bank Charges</t>
        </is>
      </c>
      <c r="F9783" s="3" t="n">
        <v>2998.74</v>
      </c>
      <c r="G9783" s="3" t="n">
        <v>9999.549999999999</v>
      </c>
    </row>
    <row r="9784">
      <c r="A9784" s="3" t="inlineStr">
        <is>
          <t>Opportunity Global Sales (PTY) LTD</t>
        </is>
      </c>
      <c r="B9784" s="4" t="n">
        <v>44773</v>
      </c>
      <c r="C9784" s="3" t="inlineStr">
        <is>
          <t>Expenses</t>
        </is>
      </c>
      <c r="D9784" s="3" t="inlineStr">
        <is>
          <t>3200/000</t>
        </is>
      </c>
      <c r="E9784" s="3" t="inlineStr">
        <is>
          <t>Bank Charges</t>
        </is>
      </c>
      <c r="F9784" s="3" t="n">
        <v>1365.81</v>
      </c>
      <c r="G9784" s="3" t="n">
        <v>5117.83</v>
      </c>
    </row>
    <row r="9785">
      <c r="A9785" s="3" t="inlineStr">
        <is>
          <t>Opportunity Management Holdings (PTY) LTD</t>
        </is>
      </c>
      <c r="B9785" s="4" t="n">
        <v>44773</v>
      </c>
      <c r="C9785" s="3" t="inlineStr">
        <is>
          <t>Expenses</t>
        </is>
      </c>
      <c r="D9785" s="3" t="inlineStr">
        <is>
          <t>3200/000</t>
        </is>
      </c>
      <c r="E9785" s="3" t="inlineStr">
        <is>
          <t>Bank Charges</t>
        </is>
      </c>
      <c r="F9785" s="3" t="n">
        <v>3716.77</v>
      </c>
      <c r="G9785" s="3" t="n">
        <v>18528.94</v>
      </c>
    </row>
    <row r="9786">
      <c r="A9786" s="3" t="inlineStr">
        <is>
          <t>Quinate Consulting (Pty) Ltd</t>
        </is>
      </c>
      <c r="B9786" s="4" t="n">
        <v>44773</v>
      </c>
      <c r="C9786" s="3" t="inlineStr">
        <is>
          <t>Expenses</t>
        </is>
      </c>
      <c r="D9786" s="3" t="inlineStr">
        <is>
          <t>3200/000</t>
        </is>
      </c>
      <c r="E9786" s="3" t="inlineStr">
        <is>
          <t>Bank Charges</t>
        </is>
      </c>
      <c r="F9786" s="3" t="n">
        <v>2281.52</v>
      </c>
      <c r="G9786" s="3" t="n">
        <v>8578.719999999999</v>
      </c>
    </row>
    <row r="9787">
      <c r="A9787" s="3" t="inlineStr">
        <is>
          <t>Trademark Holdings (Pty) Ltd</t>
        </is>
      </c>
      <c r="B9787" s="4" t="n">
        <v>44773</v>
      </c>
      <c r="C9787" s="3" t="inlineStr">
        <is>
          <t>Expenses</t>
        </is>
      </c>
      <c r="D9787" s="3" t="inlineStr">
        <is>
          <t>3200/000</t>
        </is>
      </c>
      <c r="E9787" s="3" t="inlineStr">
        <is>
          <t>Bank Charges</t>
        </is>
      </c>
      <c r="F9787" s="3" t="n">
        <v>1287.73</v>
      </c>
      <c r="G9787" s="3" t="n">
        <v>8513.290000000001</v>
      </c>
    </row>
    <row r="9788">
      <c r="A9788" s="3" t="inlineStr">
        <is>
          <t>Quinate Consulting (Pty) Ltd</t>
        </is>
      </c>
      <c r="B9788" s="4" t="n">
        <v>44773</v>
      </c>
      <c r="C9788" s="3" t="inlineStr">
        <is>
          <t>Expenses</t>
        </is>
      </c>
      <c r="D9788" s="3" t="inlineStr">
        <is>
          <t>3220/000</t>
        </is>
      </c>
      <c r="E9788" s="3" t="inlineStr">
        <is>
          <t>Bank Charges - Bond Fees</t>
        </is>
      </c>
      <c r="F9788" s="3" t="n">
        <v>1117.41</v>
      </c>
      <c r="G9788" s="3" t="n">
        <v>5587.05</v>
      </c>
    </row>
    <row r="9789">
      <c r="A9789" s="3" t="inlineStr">
        <is>
          <t>Noble Shield (Pty) Ltd ta Go Letting</t>
        </is>
      </c>
      <c r="B9789" s="4" t="n">
        <v>44773</v>
      </c>
      <c r="C9789" s="3" t="inlineStr">
        <is>
          <t>Expenses</t>
        </is>
      </c>
      <c r="D9789" s="3" t="inlineStr">
        <is>
          <t>3230/000</t>
        </is>
      </c>
      <c r="E9789" s="3" t="inlineStr">
        <is>
          <t>Cell Phone - NM</t>
        </is>
      </c>
      <c r="F9789" s="3" t="n">
        <v>2318.18</v>
      </c>
      <c r="G9789" s="3" t="n">
        <v>25166.03</v>
      </c>
    </row>
    <row r="9790">
      <c r="A9790" s="3" t="inlineStr">
        <is>
          <t>Noble Shield (Pty) Ltd ta Go Letting</t>
        </is>
      </c>
      <c r="B9790" s="4" t="n">
        <v>44773</v>
      </c>
      <c r="C9790" s="3" t="inlineStr">
        <is>
          <t>Expenses</t>
        </is>
      </c>
      <c r="D9790" s="3" t="inlineStr">
        <is>
          <t>3233/000</t>
        </is>
      </c>
      <c r="E9790" s="3" t="inlineStr">
        <is>
          <t>Cell Data - Other</t>
        </is>
      </c>
      <c r="F9790" s="3" t="n">
        <v>199</v>
      </c>
      <c r="G9790" s="3" t="n">
        <v>2757</v>
      </c>
    </row>
    <row r="9791">
      <c r="A9791" s="3" t="inlineStr">
        <is>
          <t>Noble Shield (Pty) Ltd ta Go Letting</t>
        </is>
      </c>
      <c r="B9791" s="4" t="n">
        <v>44773</v>
      </c>
      <c r="C9791" s="3" t="inlineStr">
        <is>
          <t>Expenses</t>
        </is>
      </c>
      <c r="D9791" s="3" t="inlineStr">
        <is>
          <t>3233/100</t>
        </is>
      </c>
      <c r="E9791" s="3" t="inlineStr">
        <is>
          <t>Cell Data - Sales office Wifi</t>
        </is>
      </c>
      <c r="F9791" s="3" t="n">
        <v>369</v>
      </c>
      <c r="G9791" s="3" t="n">
        <v>3420</v>
      </c>
    </row>
    <row r="9792">
      <c r="A9792" s="3" t="inlineStr">
        <is>
          <t>Noble Shield (Pty) Ltd ta Go Letting</t>
        </is>
      </c>
      <c r="B9792" s="4" t="n">
        <v>44773</v>
      </c>
      <c r="C9792" s="3" t="inlineStr">
        <is>
          <t>Expenses</t>
        </is>
      </c>
      <c r="D9792" s="3" t="inlineStr">
        <is>
          <t>3250/000</t>
        </is>
      </c>
      <c r="E9792" s="3" t="inlineStr">
        <is>
          <t>Cleaning</t>
        </is>
      </c>
      <c r="F9792" s="3" t="n">
        <v>0</v>
      </c>
      <c r="G9792" s="3" t="n">
        <v>869.3200000000001</v>
      </c>
    </row>
    <row r="9793">
      <c r="A9793" s="3" t="inlineStr">
        <is>
          <t>Opportunity Global Investment (PTY) LTD</t>
        </is>
      </c>
      <c r="B9793" s="4" t="n">
        <v>44773</v>
      </c>
      <c r="C9793" s="3" t="inlineStr">
        <is>
          <t>Expenses</t>
        </is>
      </c>
      <c r="D9793" s="3" t="inlineStr">
        <is>
          <t>3250/000</t>
        </is>
      </c>
      <c r="E9793" s="3" t="inlineStr">
        <is>
          <t>Cleaning</t>
        </is>
      </c>
      <c r="F9793" s="3" t="n">
        <v>2700</v>
      </c>
      <c r="G9793" s="3" t="n">
        <v>13500</v>
      </c>
    </row>
    <row r="9794">
      <c r="A9794" s="3" t="inlineStr">
        <is>
          <t>Opportunity Management Holdings (PTY) LTD</t>
        </is>
      </c>
      <c r="B9794" s="4" t="n">
        <v>44773</v>
      </c>
      <c r="C9794" s="3" t="inlineStr">
        <is>
          <t>Expenses</t>
        </is>
      </c>
      <c r="D9794" s="3" t="inlineStr">
        <is>
          <t>3250/000</t>
        </is>
      </c>
      <c r="E9794" s="3" t="inlineStr">
        <is>
          <t>Cleaning</t>
        </is>
      </c>
      <c r="F9794" s="3" t="n">
        <v>823.03</v>
      </c>
      <c r="G9794" s="3" t="n">
        <v>4083.9</v>
      </c>
    </row>
    <row r="9795">
      <c r="A9795" s="3" t="inlineStr">
        <is>
          <t>Trademark Holdings (Pty) Ltd</t>
        </is>
      </c>
      <c r="B9795" s="4" t="n">
        <v>44773</v>
      </c>
      <c r="C9795" s="3" t="inlineStr">
        <is>
          <t>Expenses</t>
        </is>
      </c>
      <c r="D9795" s="3" t="inlineStr">
        <is>
          <t>3250/000</t>
        </is>
      </c>
      <c r="E9795" s="3" t="inlineStr">
        <is>
          <t>Cleaning</t>
        </is>
      </c>
      <c r="F9795" s="3" t="n">
        <v>1040</v>
      </c>
      <c r="G9795" s="3" t="n">
        <v>10652</v>
      </c>
    </row>
    <row r="9796">
      <c r="A9796" s="3" t="inlineStr">
        <is>
          <t>Noble Shield (Pty) Ltd ta Go Letting</t>
        </is>
      </c>
      <c r="B9796" s="4" t="n">
        <v>44773</v>
      </c>
      <c r="C9796" s="3" t="inlineStr">
        <is>
          <t>Expenses</t>
        </is>
      </c>
      <c r="D9796" s="3" t="inlineStr">
        <is>
          <t>3300/000</t>
        </is>
      </c>
      <c r="E9796" s="3" t="inlineStr">
        <is>
          <t>Computer Expenses</t>
        </is>
      </c>
      <c r="F9796" s="3" t="n">
        <v>0</v>
      </c>
      <c r="G9796" s="3" t="n">
        <v>3226.5</v>
      </c>
    </row>
    <row r="9797">
      <c r="A9797" s="3" t="inlineStr">
        <is>
          <t>Opportunity Global Investment (PTY) LTD</t>
        </is>
      </c>
      <c r="B9797" s="4" t="n">
        <v>44773</v>
      </c>
      <c r="C9797" s="3" t="inlineStr">
        <is>
          <t>Expenses</t>
        </is>
      </c>
      <c r="D9797" s="3" t="inlineStr">
        <is>
          <t>3300/000</t>
        </is>
      </c>
      <c r="E9797" s="3" t="inlineStr">
        <is>
          <t>Computer Expenses</t>
        </is>
      </c>
      <c r="F9797" s="3" t="n">
        <v>-1800</v>
      </c>
      <c r="G9797" s="3" t="n">
        <v>0</v>
      </c>
    </row>
    <row r="9798">
      <c r="A9798" s="3" t="inlineStr">
        <is>
          <t>Opportunity Global Sales (PTY) LTD</t>
        </is>
      </c>
      <c r="B9798" s="4" t="n">
        <v>44773</v>
      </c>
      <c r="C9798" s="3" t="inlineStr">
        <is>
          <t>Expenses</t>
        </is>
      </c>
      <c r="D9798" s="3" t="inlineStr">
        <is>
          <t>3300/000</t>
        </is>
      </c>
      <c r="E9798" s="3" t="inlineStr">
        <is>
          <t>Computer Expenses</t>
        </is>
      </c>
      <c r="F9798" s="3" t="n">
        <v>1800</v>
      </c>
      <c r="G9798" s="3" t="n">
        <v>2075</v>
      </c>
    </row>
    <row r="9799">
      <c r="A9799" s="3" t="inlineStr">
        <is>
          <t>Opportunity Management Holdings (PTY) LTD</t>
        </is>
      </c>
      <c r="B9799" s="4" t="n">
        <v>44773</v>
      </c>
      <c r="C9799" s="3" t="inlineStr">
        <is>
          <t>Expenses</t>
        </is>
      </c>
      <c r="D9799" s="3" t="inlineStr">
        <is>
          <t>3300/000</t>
        </is>
      </c>
      <c r="E9799" s="3" t="inlineStr">
        <is>
          <t>Computer Expenses</t>
        </is>
      </c>
      <c r="F9799" s="3" t="n">
        <v>49.99</v>
      </c>
      <c r="G9799" s="3" t="n">
        <v>3013.54</v>
      </c>
    </row>
    <row r="9800">
      <c r="A9800" s="3" t="inlineStr">
        <is>
          <t>Quinate Consulting (Pty) Ltd</t>
        </is>
      </c>
      <c r="B9800" s="4" t="n">
        <v>44773</v>
      </c>
      <c r="C9800" s="3" t="inlineStr">
        <is>
          <t>Expenses</t>
        </is>
      </c>
      <c r="D9800" s="3" t="inlineStr">
        <is>
          <t>3300/000</t>
        </is>
      </c>
      <c r="E9800" s="3" t="inlineStr">
        <is>
          <t>Computer Expenses</t>
        </is>
      </c>
      <c r="F9800" s="3" t="n">
        <v>0</v>
      </c>
      <c r="G9800" s="3" t="n">
        <v>509.04</v>
      </c>
    </row>
    <row r="9801">
      <c r="A9801" s="3" t="inlineStr">
        <is>
          <t>Trademark Holdings (Pty) Ltd</t>
        </is>
      </c>
      <c r="B9801" s="4" t="n">
        <v>44773</v>
      </c>
      <c r="C9801" s="3" t="inlineStr">
        <is>
          <t>Expenses</t>
        </is>
      </c>
      <c r="D9801" s="3" t="inlineStr">
        <is>
          <t>3300/000</t>
        </is>
      </c>
      <c r="E9801" s="3" t="inlineStr">
        <is>
          <t>Computer Expenses</t>
        </is>
      </c>
      <c r="F9801" s="3" t="n">
        <v>0</v>
      </c>
      <c r="G9801" s="3" t="n">
        <v>8960.9</v>
      </c>
    </row>
    <row r="9802">
      <c r="A9802" s="3" t="inlineStr">
        <is>
          <t>Noble Shield (Pty) Ltd ta Go Letting</t>
        </is>
      </c>
      <c r="B9802" s="4" t="n">
        <v>44773</v>
      </c>
      <c r="C9802" s="3" t="inlineStr">
        <is>
          <t>Expenses</t>
        </is>
      </c>
      <c r="D9802" s="3" t="inlineStr">
        <is>
          <t>3300/120</t>
        </is>
      </c>
      <c r="E9802" s="3" t="inlineStr">
        <is>
          <t>Computer IT - Software Propworx</t>
        </is>
      </c>
      <c r="F9802" s="3" t="n">
        <v>2087.25</v>
      </c>
      <c r="G9802" s="3" t="n">
        <v>19745.5</v>
      </c>
    </row>
    <row r="9803">
      <c r="A9803" s="3" t="inlineStr">
        <is>
          <t>Trademark Holdings (Pty) Ltd</t>
        </is>
      </c>
      <c r="B9803" s="4" t="n">
        <v>44773</v>
      </c>
      <c r="C9803" s="3" t="inlineStr">
        <is>
          <t>Expenses</t>
        </is>
      </c>
      <c r="D9803" s="3" t="inlineStr">
        <is>
          <t>3300/125</t>
        </is>
      </c>
      <c r="E9803" s="3" t="inlineStr">
        <is>
          <t>Computer IT - CT</t>
        </is>
      </c>
      <c r="F9803" s="3" t="n">
        <v>0</v>
      </c>
      <c r="G9803" s="3" t="n">
        <v>106.38</v>
      </c>
    </row>
    <row r="9804">
      <c r="A9804" s="3" t="inlineStr">
        <is>
          <t>Trademark Holdings (Pty) Ltd</t>
        </is>
      </c>
      <c r="B9804" s="4" t="n">
        <v>44773</v>
      </c>
      <c r="C9804" s="3" t="inlineStr">
        <is>
          <t>Expenses</t>
        </is>
      </c>
      <c r="D9804" s="3" t="inlineStr">
        <is>
          <t>3300/130</t>
        </is>
      </c>
      <c r="E9804" s="3" t="inlineStr">
        <is>
          <t>Computer IT - Internet/Hosting Fees</t>
        </is>
      </c>
      <c r="F9804" s="3" t="n">
        <v>0</v>
      </c>
      <c r="G9804" s="3" t="n">
        <v>28939.75</v>
      </c>
    </row>
    <row r="9805">
      <c r="A9805" s="3" t="inlineStr">
        <is>
          <t>Trademark Holdings (Pty) Ltd</t>
        </is>
      </c>
      <c r="B9805" s="4" t="n">
        <v>44773</v>
      </c>
      <c r="C9805" s="3" t="inlineStr">
        <is>
          <t>Expenses</t>
        </is>
      </c>
      <c r="D9805" s="3" t="inlineStr">
        <is>
          <t>3300/145</t>
        </is>
      </c>
      <c r="E9805" s="3" t="inlineStr">
        <is>
          <t>Computer IT - Cloud Solve</t>
        </is>
      </c>
      <c r="F9805" s="3" t="n">
        <v>4588.5</v>
      </c>
      <c r="G9805" s="3" t="n">
        <v>44125.5</v>
      </c>
    </row>
    <row r="9806">
      <c r="A9806" s="3" t="inlineStr">
        <is>
          <t>Noble Shield (Pty) Ltd ta Go Letting</t>
        </is>
      </c>
      <c r="B9806" s="4" t="n">
        <v>44773</v>
      </c>
      <c r="C9806" s="3" t="inlineStr">
        <is>
          <t>Expenses</t>
        </is>
      </c>
      <c r="D9806" s="3" t="inlineStr">
        <is>
          <t>3300/170</t>
        </is>
      </c>
      <c r="E9806" s="3" t="inlineStr">
        <is>
          <t>Computer IT - VDB office Fibre</t>
        </is>
      </c>
      <c r="F9806" s="3" t="n">
        <v>790</v>
      </c>
      <c r="G9806" s="3" t="n">
        <v>9480</v>
      </c>
    </row>
    <row r="9807">
      <c r="A9807" s="3" t="inlineStr">
        <is>
          <t>Noble Shield (Pty) Ltd ta Go Letting</t>
        </is>
      </c>
      <c r="B9807" s="4" t="n">
        <v>44773</v>
      </c>
      <c r="C9807" s="3" t="inlineStr">
        <is>
          <t>Expenses</t>
        </is>
      </c>
      <c r="D9807" s="3" t="inlineStr">
        <is>
          <t>3301/000</t>
        </is>
      </c>
      <c r="E9807" s="3" t="inlineStr">
        <is>
          <t>Computer Expenses - Xero Setup</t>
        </is>
      </c>
      <c r="F9807" s="3" t="n">
        <v>0</v>
      </c>
      <c r="G9807" s="3" t="n">
        <v>3000</v>
      </c>
    </row>
    <row r="9808">
      <c r="A9808" s="3" t="inlineStr">
        <is>
          <t>Trademark Holdings (Pty) Ltd</t>
        </is>
      </c>
      <c r="B9808" s="4" t="n">
        <v>44773</v>
      </c>
      <c r="C9808" s="3" t="inlineStr">
        <is>
          <t>Expenses</t>
        </is>
      </c>
      <c r="D9808" s="3" t="inlineStr">
        <is>
          <t>3301/000</t>
        </is>
      </c>
      <c r="E9808" s="3" t="inlineStr">
        <is>
          <t>Computer Expenses - Xero Setup</t>
        </is>
      </c>
      <c r="F9808" s="3" t="n">
        <v>0</v>
      </c>
      <c r="G9808" s="3" t="n">
        <v>3000</v>
      </c>
    </row>
    <row r="9809">
      <c r="A9809" s="3" t="inlineStr">
        <is>
          <t>Opportunity Management Holdings (PTY) LTD</t>
        </is>
      </c>
      <c r="B9809" s="4" t="n">
        <v>44773</v>
      </c>
      <c r="C9809" s="3" t="inlineStr">
        <is>
          <t>Expenses</t>
        </is>
      </c>
      <c r="D9809" s="3" t="inlineStr">
        <is>
          <t>3350/000</t>
        </is>
      </c>
      <c r="E9809" s="3" t="inlineStr">
        <is>
          <t>Consulting Fees</t>
        </is>
      </c>
      <c r="F9809" s="3" t="n">
        <v>0</v>
      </c>
      <c r="G9809" s="3" t="n">
        <v>6000</v>
      </c>
    </row>
    <row r="9810">
      <c r="A9810" s="3" t="inlineStr">
        <is>
          <t>Opportunity Management Holdings (PTY) LTD</t>
        </is>
      </c>
      <c r="B9810" s="4" t="n">
        <v>44773</v>
      </c>
      <c r="C9810" s="3" t="inlineStr">
        <is>
          <t>Expenses</t>
        </is>
      </c>
      <c r="D9810" s="3" t="inlineStr">
        <is>
          <t>3350/100</t>
        </is>
      </c>
      <c r="E9810" s="3" t="inlineStr">
        <is>
          <t>Consulting Fee - Dirk Coetzee</t>
        </is>
      </c>
      <c r="F9810" s="3" t="n">
        <v>6000</v>
      </c>
      <c r="G9810" s="3" t="n">
        <v>18000</v>
      </c>
    </row>
    <row r="9811">
      <c r="A9811" s="3" t="inlineStr">
        <is>
          <t>Quinate Consulting (Pty) Ltd</t>
        </is>
      </c>
      <c r="B9811" s="4" t="n">
        <v>44773</v>
      </c>
      <c r="C9811" s="3" t="inlineStr">
        <is>
          <t>Expenses</t>
        </is>
      </c>
      <c r="D9811" s="3" t="inlineStr">
        <is>
          <t>3350/100</t>
        </is>
      </c>
      <c r="E9811" s="3" t="inlineStr">
        <is>
          <t>Consulting Fees</t>
        </is>
      </c>
      <c r="F9811" s="3" t="n">
        <v>0</v>
      </c>
      <c r="G9811" s="3" t="n">
        <v>-15000</v>
      </c>
    </row>
    <row r="9812">
      <c r="A9812" s="3" t="inlineStr">
        <is>
          <t>Endulini (Pty) Ltd</t>
        </is>
      </c>
      <c r="B9812" s="4" t="n">
        <v>44773</v>
      </c>
      <c r="C9812" s="3" t="inlineStr">
        <is>
          <t>Expenses</t>
        </is>
      </c>
      <c r="D9812" s="3" t="inlineStr">
        <is>
          <t>3350/100</t>
        </is>
      </c>
      <c r="E9812" s="3" t="inlineStr">
        <is>
          <t>Consulting Fees - Admin and Finance</t>
        </is>
      </c>
      <c r="F9812" s="3" t="n">
        <v>86425</v>
      </c>
      <c r="G9812" s="3" t="n">
        <v>405690.68</v>
      </c>
    </row>
    <row r="9813">
      <c r="A9813" s="3" t="inlineStr">
        <is>
          <t>Opportunity Global Investment (PTY) LTD</t>
        </is>
      </c>
      <c r="B9813" s="4" t="n">
        <v>44773</v>
      </c>
      <c r="C9813" s="3" t="inlineStr">
        <is>
          <t>Expenses</t>
        </is>
      </c>
      <c r="D9813" s="3" t="inlineStr">
        <is>
          <t>3350/100</t>
        </is>
      </c>
      <c r="E9813" s="3" t="inlineStr">
        <is>
          <t>Consulting Fees - Admin and Finance</t>
        </is>
      </c>
      <c r="F9813" s="3" t="n">
        <v>4775</v>
      </c>
      <c r="G9813" s="3" t="n">
        <v>23875</v>
      </c>
    </row>
    <row r="9814">
      <c r="A9814" s="3" t="inlineStr">
        <is>
          <t>Opportunity Global Sales (PTY) LTD</t>
        </is>
      </c>
      <c r="B9814" s="4" t="n">
        <v>44773</v>
      </c>
      <c r="C9814" s="3" t="inlineStr">
        <is>
          <t>Expenses</t>
        </is>
      </c>
      <c r="D9814" s="3" t="inlineStr">
        <is>
          <t>3350/100</t>
        </is>
      </c>
      <c r="E9814" s="3" t="inlineStr">
        <is>
          <t>Consulting Fees - Admin and Finance</t>
        </is>
      </c>
      <c r="F9814" s="3" t="n">
        <v>6100</v>
      </c>
      <c r="G9814" s="3" t="n">
        <v>30260</v>
      </c>
    </row>
    <row r="9815">
      <c r="A9815" s="3" t="inlineStr">
        <is>
          <t>Opportunity Global Investment (PTY) LTD</t>
        </is>
      </c>
      <c r="B9815" s="4" t="n">
        <v>44773</v>
      </c>
      <c r="C9815" s="3" t="inlineStr">
        <is>
          <t>Expenses</t>
        </is>
      </c>
      <c r="D9815" s="3" t="inlineStr">
        <is>
          <t>3350/200</t>
        </is>
      </c>
      <c r="E9815" s="3" t="inlineStr">
        <is>
          <t>Consulting Fees - Rockfin</t>
        </is>
      </c>
      <c r="F9815" s="3" t="n">
        <v>10000</v>
      </c>
      <c r="G9815" s="3" t="n">
        <v>28850</v>
      </c>
    </row>
    <row r="9816">
      <c r="A9816" s="3" t="inlineStr">
        <is>
          <t>Quinate Consulting (Pty) Ltd</t>
        </is>
      </c>
      <c r="B9816" s="4" t="n">
        <v>44773</v>
      </c>
      <c r="C9816" s="3" t="inlineStr">
        <is>
          <t>Expenses</t>
        </is>
      </c>
      <c r="D9816" s="3" t="inlineStr">
        <is>
          <t>3350/300</t>
        </is>
      </c>
      <c r="E9816" s="3" t="inlineStr">
        <is>
          <t>Consulting Fees - Admin and Finance</t>
        </is>
      </c>
      <c r="F9816" s="3" t="n">
        <v>2000</v>
      </c>
      <c r="G9816" s="3" t="n">
        <v>11700</v>
      </c>
    </row>
    <row r="9817">
      <c r="A9817" s="3" t="inlineStr">
        <is>
          <t>Opportunity Global Investment (PTY) LTD</t>
        </is>
      </c>
      <c r="B9817" s="4" t="n">
        <v>44773</v>
      </c>
      <c r="C9817" s="3" t="inlineStr">
        <is>
          <t>Expenses</t>
        </is>
      </c>
      <c r="D9817" s="3" t="inlineStr">
        <is>
          <t>3351/000</t>
        </is>
      </c>
      <c r="E9817" s="3" t="inlineStr">
        <is>
          <t>Consulting Fees - HR Joblaw</t>
        </is>
      </c>
      <c r="F9817" s="3" t="n">
        <v>1455.3</v>
      </c>
      <c r="G9817" s="3" t="n">
        <v>6855.3</v>
      </c>
    </row>
    <row r="9818">
      <c r="A9818" s="3" t="inlineStr">
        <is>
          <t>Quinate Consulting (Pty) Ltd</t>
        </is>
      </c>
      <c r="B9818" s="4" t="n">
        <v>44773</v>
      </c>
      <c r="C9818" s="3" t="inlineStr">
        <is>
          <t>Expenses</t>
        </is>
      </c>
      <c r="D9818" s="3" t="inlineStr">
        <is>
          <t>3351/000</t>
        </is>
      </c>
      <c r="E9818" s="3" t="inlineStr">
        <is>
          <t>Consulting fees - Trustees</t>
        </is>
      </c>
      <c r="F9818" s="3" t="n">
        <v>8000</v>
      </c>
      <c r="G9818" s="3" t="n">
        <v>36000</v>
      </c>
    </row>
    <row r="9819">
      <c r="A9819" s="3" t="inlineStr">
        <is>
          <t>Opportunity Global Investment (PTY) LTD</t>
        </is>
      </c>
      <c r="B9819" s="4" t="n">
        <v>44773</v>
      </c>
      <c r="C9819" s="3" t="inlineStr">
        <is>
          <t>Expenses</t>
        </is>
      </c>
      <c r="D9819" s="3" t="inlineStr">
        <is>
          <t>3352/000</t>
        </is>
      </c>
      <c r="E9819" s="3" t="inlineStr">
        <is>
          <t>Consulting Fees - Kert Scalzini</t>
        </is>
      </c>
      <c r="F9819" s="3" t="n">
        <v>0</v>
      </c>
      <c r="G9819" s="3" t="n">
        <v>20000</v>
      </c>
    </row>
    <row r="9820">
      <c r="A9820" s="3" t="inlineStr">
        <is>
          <t>Quinate Consulting (Pty) Ltd</t>
        </is>
      </c>
      <c r="B9820" s="4" t="n">
        <v>44773</v>
      </c>
      <c r="C9820" s="3" t="inlineStr">
        <is>
          <t>Expenses</t>
        </is>
      </c>
      <c r="D9820" s="3" t="inlineStr">
        <is>
          <t>3450/001</t>
        </is>
      </c>
      <c r="E9820" s="3" t="inlineStr">
        <is>
          <t>Depreciation - Computer Equipment</t>
        </is>
      </c>
      <c r="F9820" s="3" t="n">
        <v>3141.41</v>
      </c>
      <c r="G9820" s="3" t="n">
        <v>15706.92</v>
      </c>
    </row>
    <row r="9821">
      <c r="A9821" s="3" t="inlineStr">
        <is>
          <t>Quinate Consulting (Pty) Ltd</t>
        </is>
      </c>
      <c r="B9821" s="4" t="n">
        <v>44773</v>
      </c>
      <c r="C9821" s="3" t="inlineStr">
        <is>
          <t>Expenses</t>
        </is>
      </c>
      <c r="D9821" s="3" t="inlineStr">
        <is>
          <t>3450/002</t>
        </is>
      </c>
      <c r="E9821" s="3" t="inlineStr">
        <is>
          <t>Depreciation - Site Containers</t>
        </is>
      </c>
      <c r="F9821" s="3" t="n">
        <v>318.84</v>
      </c>
      <c r="G9821" s="3" t="n">
        <v>1594.2</v>
      </c>
    </row>
    <row r="9822">
      <c r="A9822" s="3" t="inlineStr">
        <is>
          <t>Opportunity Global Sales (PTY) LTD</t>
        </is>
      </c>
      <c r="B9822" s="4" t="n">
        <v>44773</v>
      </c>
      <c r="C9822" s="3" t="inlineStr">
        <is>
          <t>Expenses</t>
        </is>
      </c>
      <c r="D9822" s="3" t="inlineStr">
        <is>
          <t>3450/030</t>
        </is>
      </c>
      <c r="E9822" s="3" t="inlineStr">
        <is>
          <t>Depreciation - Furniture and Fittings</t>
        </is>
      </c>
      <c r="F9822" s="3" t="n">
        <v>408.05</v>
      </c>
      <c r="G9822" s="3" t="n">
        <v>408.05</v>
      </c>
    </row>
    <row r="9823">
      <c r="A9823" s="3" t="inlineStr">
        <is>
          <t>Opportunity Management Holdings (PTY) LTD</t>
        </is>
      </c>
      <c r="B9823" s="4" t="n">
        <v>44773</v>
      </c>
      <c r="C9823" s="3" t="inlineStr">
        <is>
          <t>Expenses</t>
        </is>
      </c>
      <c r="D9823" s="3" t="inlineStr">
        <is>
          <t>3451/000</t>
        </is>
      </c>
      <c r="E9823" s="3" t="inlineStr">
        <is>
          <t>Depreciation - Computer Equipment</t>
        </is>
      </c>
      <c r="F9823" s="3" t="n">
        <v>337.98</v>
      </c>
      <c r="G9823" s="3" t="n">
        <v>893.47</v>
      </c>
    </row>
    <row r="9824">
      <c r="A9824" s="3" t="inlineStr">
        <is>
          <t>Quinate Consulting (Pty) Ltd</t>
        </is>
      </c>
      <c r="B9824" s="4" t="n">
        <v>44773</v>
      </c>
      <c r="C9824" s="3" t="inlineStr">
        <is>
          <t>Expenses</t>
        </is>
      </c>
      <c r="D9824" s="3" t="inlineStr">
        <is>
          <t>3600/000</t>
        </is>
      </c>
      <c r="E9824" s="3" t="inlineStr">
        <is>
          <t>Donations</t>
        </is>
      </c>
      <c r="F9824" s="3" t="n">
        <v>535</v>
      </c>
      <c r="G9824" s="3" t="n">
        <v>2675</v>
      </c>
    </row>
    <row r="9825">
      <c r="A9825" s="3" t="inlineStr">
        <is>
          <t>Endulini (Pty) Ltd</t>
        </is>
      </c>
      <c r="B9825" s="4" t="n">
        <v>44773</v>
      </c>
      <c r="C9825" s="3" t="inlineStr">
        <is>
          <t>Expenses</t>
        </is>
      </c>
      <c r="D9825" s="3" t="inlineStr">
        <is>
          <t>3630/000</t>
        </is>
      </c>
      <c r="E9825" s="3" t="inlineStr">
        <is>
          <t>Electricity</t>
        </is>
      </c>
      <c r="F9825" s="3" t="n">
        <v>0</v>
      </c>
      <c r="G9825" s="3" t="n">
        <v>6713.99</v>
      </c>
    </row>
    <row r="9826">
      <c r="A9826" s="3" t="inlineStr">
        <is>
          <t>Noble Shield (Pty) Ltd ta Go Letting</t>
        </is>
      </c>
      <c r="B9826" s="4" t="n">
        <v>44773</v>
      </c>
      <c r="C9826" s="3" t="inlineStr">
        <is>
          <t>Expenses</t>
        </is>
      </c>
      <c r="D9826" s="3" t="inlineStr">
        <is>
          <t>3650/000</t>
        </is>
      </c>
      <c r="E9826" s="3" t="inlineStr">
        <is>
          <t>Electricity _AND_ Water</t>
        </is>
      </c>
      <c r="F9826" s="3" t="n">
        <v>500</v>
      </c>
      <c r="G9826" s="3" t="n">
        <v>5500</v>
      </c>
    </row>
    <row r="9827">
      <c r="A9827" s="3" t="inlineStr">
        <is>
          <t>Opportunity Global Investment (PTY) LTD</t>
        </is>
      </c>
      <c r="B9827" s="4" t="n">
        <v>44773</v>
      </c>
      <c r="C9827" s="3" t="inlineStr">
        <is>
          <t>Expenses</t>
        </is>
      </c>
      <c r="D9827" s="3" t="inlineStr">
        <is>
          <t>3650/000</t>
        </is>
      </c>
      <c r="E9827" s="3" t="inlineStr">
        <is>
          <t>Electricity _AND_ Water</t>
        </is>
      </c>
      <c r="F9827" s="3" t="n">
        <v>2950</v>
      </c>
      <c r="G9827" s="3" t="n">
        <v>14750</v>
      </c>
    </row>
    <row r="9828">
      <c r="A9828" s="3" t="inlineStr">
        <is>
          <t>Endulini (Pty) Ltd</t>
        </is>
      </c>
      <c r="B9828" s="4" t="n">
        <v>44773</v>
      </c>
      <c r="C9828" s="3" t="inlineStr">
        <is>
          <t>Expenses</t>
        </is>
      </c>
      <c r="D9828" s="3" t="inlineStr">
        <is>
          <t>3650/000</t>
        </is>
      </c>
      <c r="E9828" s="3" t="inlineStr">
        <is>
          <t>Water</t>
        </is>
      </c>
      <c r="F9828" s="3" t="n">
        <v>0</v>
      </c>
      <c r="G9828" s="3" t="n">
        <v>4310.7</v>
      </c>
    </row>
    <row r="9829">
      <c r="A9829" s="3" t="inlineStr">
        <is>
          <t>Noble Shield (Pty) Ltd ta Go Letting</t>
        </is>
      </c>
      <c r="B9829" s="4" t="n">
        <v>44773</v>
      </c>
      <c r="C9829" s="3" t="inlineStr">
        <is>
          <t>Expenses</t>
        </is>
      </c>
      <c r="D9829" s="3" t="inlineStr">
        <is>
          <t>3651/000</t>
        </is>
      </c>
      <c r="E9829" s="3" t="inlineStr">
        <is>
          <t>Electricity _AND_ Water - Rentals</t>
        </is>
      </c>
      <c r="F9829" s="3" t="n">
        <v>1000</v>
      </c>
      <c r="G9829" s="3" t="n">
        <v>1000</v>
      </c>
    </row>
    <row r="9830">
      <c r="A9830" s="3" t="inlineStr">
        <is>
          <t>Quinate Consulting (Pty) Ltd</t>
        </is>
      </c>
      <c r="B9830" s="4" t="n">
        <v>44773</v>
      </c>
      <c r="C9830" s="3" t="inlineStr">
        <is>
          <t>Expenses</t>
        </is>
      </c>
      <c r="D9830" s="3" t="inlineStr">
        <is>
          <t>3651/000</t>
        </is>
      </c>
      <c r="E9830" s="3" t="inlineStr">
        <is>
          <t>Electricity _AND_ Water - Southwark</t>
        </is>
      </c>
      <c r="F9830" s="3" t="n">
        <v>20031.69</v>
      </c>
      <c r="G9830" s="3" t="n">
        <v>97994.38</v>
      </c>
    </row>
    <row r="9831">
      <c r="A9831" s="3" t="inlineStr">
        <is>
          <t>Quinate Consulting (Pty) Ltd</t>
        </is>
      </c>
      <c r="B9831" s="4" t="n">
        <v>44773</v>
      </c>
      <c r="C9831" s="3" t="inlineStr">
        <is>
          <t>Expenses</t>
        </is>
      </c>
      <c r="D9831" s="3" t="inlineStr">
        <is>
          <t>3652/000</t>
        </is>
      </c>
      <c r="E9831" s="3" t="inlineStr">
        <is>
          <t>Electricity _AND_ Water - Soho</t>
        </is>
      </c>
      <c r="F9831" s="3" t="n">
        <v>32245.52</v>
      </c>
      <c r="G9831" s="3" t="n">
        <v>116299.96</v>
      </c>
    </row>
    <row r="9832">
      <c r="A9832" s="3" t="inlineStr">
        <is>
          <t>Noble Shield (Pty) Ltd ta Go Letting</t>
        </is>
      </c>
      <c r="B9832" s="4" t="n">
        <v>44773</v>
      </c>
      <c r="C9832" s="3" t="inlineStr">
        <is>
          <t>Expenses</t>
        </is>
      </c>
      <c r="D9832" s="3" t="inlineStr">
        <is>
          <t>3700/000</t>
        </is>
      </c>
      <c r="E9832" s="3" t="inlineStr">
        <is>
          <t>Entertainment Expenses</t>
        </is>
      </c>
      <c r="F9832" s="3" t="n">
        <v>0</v>
      </c>
      <c r="G9832" s="3" t="n">
        <v>1200</v>
      </c>
    </row>
    <row r="9833">
      <c r="A9833" s="3" t="inlineStr">
        <is>
          <t>Opportunity Global Investment (PTY) LTD</t>
        </is>
      </c>
      <c r="B9833" s="4" t="n">
        <v>44773</v>
      </c>
      <c r="C9833" s="3" t="inlineStr">
        <is>
          <t>Expenses</t>
        </is>
      </c>
      <c r="D9833" s="3" t="inlineStr">
        <is>
          <t>3700/000</t>
        </is>
      </c>
      <c r="E9833" s="3" t="inlineStr">
        <is>
          <t>Entertainment Expenses</t>
        </is>
      </c>
      <c r="F9833" s="3" t="n">
        <v>1339.02</v>
      </c>
      <c r="G9833" s="3" t="n">
        <v>4839.97</v>
      </c>
    </row>
    <row r="9834">
      <c r="A9834" s="3" t="inlineStr">
        <is>
          <t>Opportunity Management Holdings (PTY) LTD</t>
        </is>
      </c>
      <c r="B9834" s="4" t="n">
        <v>44773</v>
      </c>
      <c r="C9834" s="3" t="inlineStr">
        <is>
          <t>Expenses</t>
        </is>
      </c>
      <c r="D9834" s="3" t="inlineStr">
        <is>
          <t>3700/000</t>
        </is>
      </c>
      <c r="E9834" s="3" t="inlineStr">
        <is>
          <t>Entertainment Expenses</t>
        </is>
      </c>
      <c r="F9834" s="3" t="n">
        <v>0</v>
      </c>
      <c r="G9834" s="3" t="n">
        <v>711.2</v>
      </c>
    </row>
    <row r="9835">
      <c r="A9835" s="3" t="inlineStr">
        <is>
          <t>Quinate Consulting (Pty) Ltd</t>
        </is>
      </c>
      <c r="B9835" s="4" t="n">
        <v>44773</v>
      </c>
      <c r="C9835" s="3" t="inlineStr">
        <is>
          <t>Expenses</t>
        </is>
      </c>
      <c r="D9835" s="3" t="inlineStr">
        <is>
          <t>3700/000</t>
        </is>
      </c>
      <c r="E9835" s="3" t="inlineStr">
        <is>
          <t>Entertainment Expenses</t>
        </is>
      </c>
      <c r="F9835" s="3" t="n">
        <v>300</v>
      </c>
      <c r="G9835" s="3" t="n">
        <v>4775.49</v>
      </c>
    </row>
    <row r="9836">
      <c r="A9836" s="3" t="inlineStr">
        <is>
          <t>Trademark Holdings (Pty) Ltd</t>
        </is>
      </c>
      <c r="B9836" s="4" t="n">
        <v>44773</v>
      </c>
      <c r="C9836" s="3" t="inlineStr">
        <is>
          <t>Expenses</t>
        </is>
      </c>
      <c r="D9836" s="3" t="inlineStr">
        <is>
          <t>3700/000</t>
        </is>
      </c>
      <c r="E9836" s="3" t="inlineStr">
        <is>
          <t>Entertainment Expenses</t>
        </is>
      </c>
      <c r="F9836" s="3" t="n">
        <v>0</v>
      </c>
      <c r="G9836" s="3" t="n">
        <v>4500</v>
      </c>
    </row>
    <row r="9837">
      <c r="A9837" s="3" t="inlineStr">
        <is>
          <t>Opportunity Global Investment (PTY) LTD</t>
        </is>
      </c>
      <c r="B9837" s="4" t="n">
        <v>44773</v>
      </c>
      <c r="C9837" s="3" t="inlineStr">
        <is>
          <t>Expenses</t>
        </is>
      </c>
      <c r="D9837" s="3" t="inlineStr">
        <is>
          <t>3800/010</t>
        </is>
      </c>
      <c r="E9837" s="3" t="inlineStr">
        <is>
          <t>General Expences - Gifts</t>
        </is>
      </c>
      <c r="F9837" s="3" t="n">
        <v>0</v>
      </c>
      <c r="G9837" s="3" t="n">
        <v>600.99</v>
      </c>
    </row>
    <row r="9838">
      <c r="A9838" s="3" t="inlineStr">
        <is>
          <t>Opportunity Management Holdings (PTY) LTD</t>
        </is>
      </c>
      <c r="B9838" s="4" t="n">
        <v>44773</v>
      </c>
      <c r="C9838" s="3" t="inlineStr">
        <is>
          <t>Expenses</t>
        </is>
      </c>
      <c r="D9838" s="3" t="inlineStr">
        <is>
          <t>3800/010</t>
        </is>
      </c>
      <c r="E9838" s="3" t="inlineStr">
        <is>
          <t>General Expenses - Gifts</t>
        </is>
      </c>
      <c r="F9838" s="3" t="n">
        <v>0</v>
      </c>
      <c r="G9838" s="3" t="n">
        <v>1339.13</v>
      </c>
    </row>
    <row r="9839">
      <c r="A9839" s="3" t="inlineStr">
        <is>
          <t>Opportunity Management Holdings (PTY) LTD</t>
        </is>
      </c>
      <c r="B9839" s="4" t="n">
        <v>44773</v>
      </c>
      <c r="C9839" s="3" t="inlineStr">
        <is>
          <t>Expenses</t>
        </is>
      </c>
      <c r="D9839" s="3" t="inlineStr">
        <is>
          <t>3850/000</t>
        </is>
      </c>
      <c r="E9839" s="3" t="inlineStr">
        <is>
          <t>Insurance - Momentum</t>
        </is>
      </c>
      <c r="F9839" s="3" t="n">
        <v>1469.51</v>
      </c>
      <c r="G9839" s="3" t="n">
        <v>10286.57</v>
      </c>
    </row>
    <row r="9840">
      <c r="A9840" s="3" t="inlineStr">
        <is>
          <t>Noble Shield (Pty) Ltd ta Go Letting</t>
        </is>
      </c>
      <c r="B9840" s="4" t="n">
        <v>44773</v>
      </c>
      <c r="C9840" s="3" t="inlineStr">
        <is>
          <t>Expenses</t>
        </is>
      </c>
      <c r="D9840" s="3" t="inlineStr">
        <is>
          <t>3850/100</t>
        </is>
      </c>
      <c r="E9840" s="3" t="inlineStr">
        <is>
          <t>Insurance - Santam</t>
        </is>
      </c>
      <c r="F9840" s="3" t="n">
        <v>3754.19</v>
      </c>
      <c r="G9840" s="3" t="n">
        <v>33274.5</v>
      </c>
    </row>
    <row r="9841">
      <c r="A9841" s="3" t="inlineStr">
        <is>
          <t>Noble Shield (Pty) Ltd ta Go Letting</t>
        </is>
      </c>
      <c r="B9841" s="4" t="n">
        <v>44773</v>
      </c>
      <c r="C9841" s="3" t="inlineStr">
        <is>
          <t>Expenses</t>
        </is>
      </c>
      <c r="D9841" s="3" t="inlineStr">
        <is>
          <t>3850/200</t>
        </is>
      </c>
      <c r="E9841" s="3" t="inlineStr">
        <is>
          <t>Insurance - A_AND_G</t>
        </is>
      </c>
      <c r="F9841" s="3" t="n">
        <v>1796</v>
      </c>
      <c r="G9841" s="3" t="n">
        <v>18767.26</v>
      </c>
    </row>
    <row r="9842">
      <c r="A9842" s="3" t="inlineStr">
        <is>
          <t>Quinate Consulting (Pty) Ltd</t>
        </is>
      </c>
      <c r="B9842" s="4" t="n">
        <v>44773</v>
      </c>
      <c r="C9842" s="3" t="inlineStr">
        <is>
          <t>Expenses</t>
        </is>
      </c>
      <c r="D9842" s="3" t="inlineStr">
        <is>
          <t>3851/000</t>
        </is>
      </c>
      <c r="E9842" s="3" t="inlineStr">
        <is>
          <t>Insurance - Momentum</t>
        </is>
      </c>
      <c r="F9842" s="3" t="n">
        <v>6825.93</v>
      </c>
      <c r="G9842" s="3" t="n">
        <v>34129.65</v>
      </c>
    </row>
    <row r="9843">
      <c r="A9843" s="3" t="inlineStr">
        <is>
          <t>Noble Shield (Pty) Ltd ta Go Letting</t>
        </is>
      </c>
      <c r="B9843" s="4" t="n">
        <v>44773</v>
      </c>
      <c r="C9843" s="3" t="inlineStr">
        <is>
          <t>Expenses</t>
        </is>
      </c>
      <c r="D9843" s="3" t="inlineStr">
        <is>
          <t>3900/000</t>
        </is>
      </c>
      <c r="E9843" s="3" t="inlineStr">
        <is>
          <t>Interest Paid</t>
        </is>
      </c>
      <c r="F9843" s="3" t="n">
        <v>0</v>
      </c>
      <c r="G9843" s="3" t="n">
        <v>0.02</v>
      </c>
    </row>
    <row r="9844">
      <c r="A9844" s="3" t="inlineStr">
        <is>
          <t>Quinate Consulting (Pty) Ltd</t>
        </is>
      </c>
      <c r="B9844" s="4" t="n">
        <v>44773</v>
      </c>
      <c r="C9844" s="3" t="inlineStr">
        <is>
          <t>Expenses</t>
        </is>
      </c>
      <c r="D9844" s="3" t="inlineStr">
        <is>
          <t>3900/000</t>
        </is>
      </c>
      <c r="E9844" s="3" t="inlineStr">
        <is>
          <t>Interest Paid</t>
        </is>
      </c>
      <c r="F9844" s="3" t="n">
        <v>0</v>
      </c>
      <c r="G9844" s="3" t="n">
        <v>470.78</v>
      </c>
    </row>
    <row r="9845">
      <c r="A9845" s="3" t="inlineStr">
        <is>
          <t>Quinate Consulting (Pty) Ltd</t>
        </is>
      </c>
      <c r="B9845" s="4" t="n">
        <v>44773</v>
      </c>
      <c r="C9845" s="3" t="inlineStr">
        <is>
          <t>Expenses</t>
        </is>
      </c>
      <c r="D9845" s="3" t="inlineStr">
        <is>
          <t>3900/050</t>
        </is>
      </c>
      <c r="E9845" s="3" t="inlineStr">
        <is>
          <t>Interest Paid - STD Bond Accounts</t>
        </is>
      </c>
      <c r="F9845" s="3" t="n">
        <v>50007.97</v>
      </c>
      <c r="G9845" s="3" t="n">
        <v>233543.47</v>
      </c>
    </row>
    <row r="9846">
      <c r="A9846" s="3" t="inlineStr">
        <is>
          <t>Endulini (Pty) Ltd</t>
        </is>
      </c>
      <c r="B9846" s="4" t="n">
        <v>44773</v>
      </c>
      <c r="C9846" s="3" t="inlineStr">
        <is>
          <t>Expenses</t>
        </is>
      </c>
      <c r="D9846" s="3" t="inlineStr">
        <is>
          <t>3900/111</t>
        </is>
      </c>
      <c r="E9846" s="3" t="inlineStr">
        <is>
          <t>Interest Paid - Investors @ 6.25%</t>
        </is>
      </c>
      <c r="F9846" s="3" t="n">
        <v>30295.57</v>
      </c>
      <c r="G9846" s="3" t="n">
        <v>414137.94</v>
      </c>
    </row>
    <row r="9847">
      <c r="A9847" s="3" t="inlineStr">
        <is>
          <t>Endulini (Pty) Ltd</t>
        </is>
      </c>
      <c r="B9847" s="4" t="n">
        <v>44773</v>
      </c>
      <c r="C9847" s="3" t="inlineStr">
        <is>
          <t>Expenses</t>
        </is>
      </c>
      <c r="D9847" s="3" t="inlineStr">
        <is>
          <t>3900/112</t>
        </is>
      </c>
      <c r="E9847" s="3" t="inlineStr">
        <is>
          <t>Interest Paid - Investors @ 6.5%</t>
        </is>
      </c>
      <c r="F9847" s="3" t="n">
        <v>0</v>
      </c>
      <c r="G9847" s="3" t="n">
        <v>34966.95</v>
      </c>
    </row>
    <row r="9848">
      <c r="A9848" s="3" t="inlineStr">
        <is>
          <t>Endulini (Pty) Ltd</t>
        </is>
      </c>
      <c r="B9848" s="4" t="n">
        <v>44773</v>
      </c>
      <c r="C9848" s="3" t="inlineStr">
        <is>
          <t>Expenses</t>
        </is>
      </c>
      <c r="D9848" s="3" t="inlineStr">
        <is>
          <t>3900/120</t>
        </is>
      </c>
      <c r="E9848" s="3" t="inlineStr">
        <is>
          <t>Interest Paid - Investors @ 7%</t>
        </is>
      </c>
      <c r="F9848" s="3" t="n">
        <v>0</v>
      </c>
      <c r="G9848" s="3" t="n">
        <v>9466.24</v>
      </c>
    </row>
    <row r="9849">
      <c r="A9849" s="3" t="inlineStr">
        <is>
          <t>Endulini (Pty) Ltd</t>
        </is>
      </c>
      <c r="B9849" s="4" t="n">
        <v>44773</v>
      </c>
      <c r="C9849" s="3" t="inlineStr">
        <is>
          <t>Expenses</t>
        </is>
      </c>
      <c r="D9849" s="3" t="inlineStr">
        <is>
          <t>3900/130</t>
        </is>
      </c>
      <c r="E9849" s="3" t="inlineStr">
        <is>
          <t>Interest Paid - Investors @ 8%</t>
        </is>
      </c>
      <c r="F9849" s="3" t="n">
        <v>0</v>
      </c>
      <c r="G9849" s="3" t="n">
        <v>8309.6</v>
      </c>
    </row>
    <row r="9850">
      <c r="A9850" s="3" t="inlineStr">
        <is>
          <t>Endulini (Pty) Ltd</t>
        </is>
      </c>
      <c r="B9850" s="4" t="n">
        <v>44773</v>
      </c>
      <c r="C9850" s="3" t="inlineStr">
        <is>
          <t>Expenses</t>
        </is>
      </c>
      <c r="D9850" s="3" t="inlineStr">
        <is>
          <t>3900/140</t>
        </is>
      </c>
      <c r="E9850" s="3" t="inlineStr">
        <is>
          <t>Interest Paid - Investors @ 9%</t>
        </is>
      </c>
      <c r="F9850" s="3" t="n">
        <v>0</v>
      </c>
      <c r="G9850" s="3" t="n">
        <v>4302.24</v>
      </c>
    </row>
    <row r="9851">
      <c r="A9851" s="3" t="inlineStr">
        <is>
          <t>Quinate Consulting (Pty) Ltd</t>
        </is>
      </c>
      <c r="B9851" s="4" t="n">
        <v>44773</v>
      </c>
      <c r="C9851" s="3" t="inlineStr">
        <is>
          <t>Expenses</t>
        </is>
      </c>
      <c r="D9851" s="3" t="inlineStr">
        <is>
          <t>3900/150</t>
        </is>
      </c>
      <c r="E9851" s="3" t="inlineStr">
        <is>
          <t>Interest Paid - Suppliers</t>
        </is>
      </c>
      <c r="F9851" s="3" t="n">
        <v>0</v>
      </c>
      <c r="G9851" s="3" t="n">
        <v>926.21</v>
      </c>
    </row>
    <row r="9852">
      <c r="A9852" s="3" t="inlineStr">
        <is>
          <t>Quinate Consulting (Pty) Ltd</t>
        </is>
      </c>
      <c r="B9852" s="4" t="n">
        <v>44773</v>
      </c>
      <c r="C9852" s="3" t="inlineStr">
        <is>
          <t>Expenses</t>
        </is>
      </c>
      <c r="D9852" s="3" t="inlineStr">
        <is>
          <t>3900/152</t>
        </is>
      </c>
      <c r="E9852" s="3" t="inlineStr">
        <is>
          <t>Interest Paid - Gengis</t>
        </is>
      </c>
      <c r="F9852" s="3" t="n">
        <v>1528.77</v>
      </c>
      <c r="G9852" s="3" t="n">
        <v>7545.21</v>
      </c>
    </row>
    <row r="9853">
      <c r="A9853" s="3" t="inlineStr">
        <is>
          <t>Endulini (Pty) Ltd</t>
        </is>
      </c>
      <c r="B9853" s="4" t="n">
        <v>44773</v>
      </c>
      <c r="C9853" s="3" t="inlineStr">
        <is>
          <t>Expenses</t>
        </is>
      </c>
      <c r="D9853" s="3" t="inlineStr">
        <is>
          <t>3900/200</t>
        </is>
      </c>
      <c r="E9853" s="3" t="inlineStr">
        <is>
          <t>Interest Paid - Investors @ 15%</t>
        </is>
      </c>
      <c r="F9853" s="3" t="n">
        <v>0</v>
      </c>
      <c r="G9853" s="3" t="n">
        <v>87781.17999999999</v>
      </c>
    </row>
    <row r="9854">
      <c r="A9854" s="3" t="inlineStr">
        <is>
          <t>Endulini (Pty) Ltd</t>
        </is>
      </c>
      <c r="B9854" s="4" t="n">
        <v>44773</v>
      </c>
      <c r="C9854" s="3" t="inlineStr">
        <is>
          <t>Expenses</t>
        </is>
      </c>
      <c r="D9854" s="3" t="inlineStr">
        <is>
          <t>3900/230</t>
        </is>
      </c>
      <c r="E9854" s="3" t="inlineStr">
        <is>
          <t>Interest Paid - Investors @ 18%</t>
        </is>
      </c>
      <c r="F9854" s="3" t="n">
        <v>231876.6</v>
      </c>
      <c r="G9854" s="3" t="n">
        <v>4558699.17</v>
      </c>
    </row>
    <row r="9855">
      <c r="A9855" s="3" t="inlineStr">
        <is>
          <t>Opportunity Management Holdings (PTY) LTD</t>
        </is>
      </c>
      <c r="B9855" s="4" t="n">
        <v>44773</v>
      </c>
      <c r="C9855" s="3" t="inlineStr">
        <is>
          <t>Expenses</t>
        </is>
      </c>
      <c r="D9855" s="3" t="inlineStr">
        <is>
          <t>3900/300</t>
        </is>
      </c>
      <c r="E9855" s="3" t="inlineStr">
        <is>
          <t>Interest Paid - Other</t>
        </is>
      </c>
      <c r="F9855" s="3" t="n">
        <v>-24.18</v>
      </c>
      <c r="G9855" s="3" t="n">
        <v>-22.39</v>
      </c>
    </row>
    <row r="9856">
      <c r="A9856" s="3" t="inlineStr">
        <is>
          <t>Opportunity Global Investment (PTY) LTD</t>
        </is>
      </c>
      <c r="B9856" s="4" t="n">
        <v>44773</v>
      </c>
      <c r="C9856" s="3" t="inlineStr">
        <is>
          <t>Expenses</t>
        </is>
      </c>
      <c r="D9856" s="3" t="inlineStr">
        <is>
          <t>3901/000</t>
        </is>
      </c>
      <c r="E9856" s="3" t="inlineStr">
        <is>
          <t>Interest Paid - Department of Labour</t>
        </is>
      </c>
      <c r="F9856" s="3" t="n">
        <v>257.7</v>
      </c>
      <c r="G9856" s="3" t="n">
        <v>1434.15</v>
      </c>
    </row>
    <row r="9857">
      <c r="A9857" s="3" t="inlineStr">
        <is>
          <t>Trademark Holdings (Pty) Ltd</t>
        </is>
      </c>
      <c r="B9857" s="4" t="n">
        <v>44773</v>
      </c>
      <c r="C9857" s="3" t="inlineStr">
        <is>
          <t>Expenses</t>
        </is>
      </c>
      <c r="D9857" s="3" t="inlineStr">
        <is>
          <t>3910/000</t>
        </is>
      </c>
      <c r="E9857" s="3" t="inlineStr">
        <is>
          <t>Penalties/Interest - SARS</t>
        </is>
      </c>
      <c r="F9857" s="3" t="n">
        <v>0</v>
      </c>
      <c r="G9857" s="3" t="n">
        <v>57.04</v>
      </c>
    </row>
    <row r="9858">
      <c r="A9858" s="3" t="inlineStr">
        <is>
          <t>Opportunity Management Holdings (PTY) LTD</t>
        </is>
      </c>
      <c r="B9858" s="4" t="n">
        <v>44773</v>
      </c>
      <c r="C9858" s="3" t="inlineStr">
        <is>
          <t>Expenses</t>
        </is>
      </c>
      <c r="D9858" s="3" t="inlineStr">
        <is>
          <t>3960/000</t>
        </is>
      </c>
      <c r="E9858" s="3" t="inlineStr">
        <is>
          <t>Internet Fees</t>
        </is>
      </c>
      <c r="F9858" s="3" t="n">
        <v>529.21</v>
      </c>
      <c r="G9858" s="3" t="n">
        <v>2051.44</v>
      </c>
    </row>
    <row r="9859">
      <c r="A9859" s="3" t="inlineStr">
        <is>
          <t>Quinate Consulting (Pty) Ltd</t>
        </is>
      </c>
      <c r="B9859" s="4" t="n">
        <v>44773</v>
      </c>
      <c r="C9859" s="3" t="inlineStr">
        <is>
          <t>Expenses</t>
        </is>
      </c>
      <c r="D9859" s="3" t="inlineStr">
        <is>
          <t>4000/000</t>
        </is>
      </c>
      <c r="E9859" s="3" t="inlineStr">
        <is>
          <t>Legal Fees</t>
        </is>
      </c>
      <c r="F9859" s="3" t="n">
        <v>0</v>
      </c>
      <c r="G9859" s="3" t="n">
        <v>61720</v>
      </c>
    </row>
    <row r="9860">
      <c r="A9860" s="3" t="inlineStr">
        <is>
          <t>Quinate Consulting (Pty) Ltd</t>
        </is>
      </c>
      <c r="B9860" s="4" t="n">
        <v>44773</v>
      </c>
      <c r="C9860" s="3" t="inlineStr">
        <is>
          <t>Expenses</t>
        </is>
      </c>
      <c r="D9860" s="3" t="inlineStr">
        <is>
          <t>4065/000</t>
        </is>
      </c>
      <c r="E9860" s="3" t="inlineStr">
        <is>
          <t>Levies - SoHo</t>
        </is>
      </c>
      <c r="F9860" s="3" t="n">
        <v>6466.98</v>
      </c>
      <c r="G9860" s="3" t="n">
        <v>37554.76</v>
      </c>
    </row>
    <row r="9861">
      <c r="A9861" s="3" t="inlineStr">
        <is>
          <t>Quinate Consulting (Pty) Ltd</t>
        </is>
      </c>
      <c r="B9861" s="4" t="n">
        <v>44773</v>
      </c>
      <c r="C9861" s="3" t="inlineStr">
        <is>
          <t>Expenses</t>
        </is>
      </c>
      <c r="D9861" s="3" t="inlineStr">
        <is>
          <t>4066/000</t>
        </is>
      </c>
      <c r="E9861" s="3" t="inlineStr">
        <is>
          <t>Levies - Southwark</t>
        </is>
      </c>
      <c r="F9861" s="3" t="n">
        <v>216.08</v>
      </c>
      <c r="G9861" s="3" t="n">
        <v>14775.5</v>
      </c>
    </row>
    <row r="9862">
      <c r="A9862" s="3" t="inlineStr">
        <is>
          <t>Endulini (Pty) Ltd</t>
        </is>
      </c>
      <c r="B9862" s="4" t="n">
        <v>44773</v>
      </c>
      <c r="C9862" s="3" t="inlineStr">
        <is>
          <t>Expenses</t>
        </is>
      </c>
      <c r="D9862" s="3" t="inlineStr">
        <is>
          <t>4100/001</t>
        </is>
      </c>
      <c r="E9862" s="3" t="inlineStr">
        <is>
          <t>Momentum Admin Fee</t>
        </is>
      </c>
      <c r="F9862" s="3" t="n">
        <v>362.05</v>
      </c>
      <c r="G9862" s="3" t="n">
        <v>52296.69</v>
      </c>
    </row>
    <row r="9863">
      <c r="A9863" s="3" t="inlineStr">
        <is>
          <t>Quinate Consulting (Pty) Ltd</t>
        </is>
      </c>
      <c r="B9863" s="4" t="n">
        <v>44773</v>
      </c>
      <c r="C9863" s="3" t="inlineStr">
        <is>
          <t>Expenses</t>
        </is>
      </c>
      <c r="D9863" s="3" t="inlineStr">
        <is>
          <t>4100/001</t>
        </is>
      </c>
      <c r="E9863" s="3" t="inlineStr">
        <is>
          <t>Momentum Advise Fee</t>
        </is>
      </c>
      <c r="F9863" s="3" t="n">
        <v>0.21</v>
      </c>
      <c r="G9863" s="3" t="n">
        <v>1.06</v>
      </c>
    </row>
    <row r="9864">
      <c r="A9864" s="3" t="inlineStr">
        <is>
          <t>Opportunity Global Investment (PTY) LTD</t>
        </is>
      </c>
      <c r="B9864" s="4" t="n">
        <v>44773</v>
      </c>
      <c r="C9864" s="3" t="inlineStr">
        <is>
          <t>Expenses</t>
        </is>
      </c>
      <c r="D9864" s="3" t="inlineStr">
        <is>
          <t>4100/100</t>
        </is>
      </c>
      <c r="E9864" s="3" t="inlineStr">
        <is>
          <t>Members Salaries - Nick Morgan</t>
        </is>
      </c>
      <c r="F9864" s="3" t="n">
        <v>40937.18</v>
      </c>
      <c r="G9864" s="3" t="n">
        <v>204685.91</v>
      </c>
    </row>
    <row r="9865">
      <c r="A9865" s="3" t="inlineStr">
        <is>
          <t>Noble Shield (Pty) Ltd ta Go Letting</t>
        </is>
      </c>
      <c r="B9865" s="4" t="n">
        <v>44773</v>
      </c>
      <c r="C9865" s="3" t="inlineStr">
        <is>
          <t>Expenses</t>
        </is>
      </c>
      <c r="D9865" s="3" t="inlineStr">
        <is>
          <t>4200/000</t>
        </is>
      </c>
      <c r="E9865" s="3" t="inlineStr">
        <is>
          <t>Printing _AND_ Stationery</t>
        </is>
      </c>
      <c r="F9865" s="3" t="n">
        <v>0</v>
      </c>
      <c r="G9865" s="3" t="n">
        <v>1410</v>
      </c>
    </row>
    <row r="9866">
      <c r="A9866" s="3" t="inlineStr">
        <is>
          <t>Opportunity Global Investment (PTY) LTD</t>
        </is>
      </c>
      <c r="B9866" s="4" t="n">
        <v>44773</v>
      </c>
      <c r="C9866" s="3" t="inlineStr">
        <is>
          <t>Expenses</t>
        </is>
      </c>
      <c r="D9866" s="3" t="inlineStr">
        <is>
          <t>4200/000</t>
        </is>
      </c>
      <c r="E9866" s="3" t="inlineStr">
        <is>
          <t>Printing _AND_ Stationery</t>
        </is>
      </c>
      <c r="F9866" s="3" t="n">
        <v>2367</v>
      </c>
      <c r="G9866" s="3" t="n">
        <v>11835</v>
      </c>
    </row>
    <row r="9867">
      <c r="A9867" s="3" t="inlineStr">
        <is>
          <t>Opportunity Management Holdings (PTY) LTD</t>
        </is>
      </c>
      <c r="B9867" s="4" t="n">
        <v>44773</v>
      </c>
      <c r="C9867" s="3" t="inlineStr">
        <is>
          <t>Expenses</t>
        </is>
      </c>
      <c r="D9867" s="3" t="inlineStr">
        <is>
          <t>4200/000</t>
        </is>
      </c>
      <c r="E9867" s="3" t="inlineStr">
        <is>
          <t>Printing _AND_ Stationery</t>
        </is>
      </c>
      <c r="F9867" s="3" t="n">
        <v>2459.75</v>
      </c>
      <c r="G9867" s="3" t="n">
        <v>12386.46</v>
      </c>
    </row>
    <row r="9868">
      <c r="A9868" s="3" t="inlineStr">
        <is>
          <t>Quinate Consulting (Pty) Ltd</t>
        </is>
      </c>
      <c r="B9868" s="4" t="n">
        <v>44773</v>
      </c>
      <c r="C9868" s="3" t="inlineStr">
        <is>
          <t>Expenses</t>
        </is>
      </c>
      <c r="D9868" s="3" t="inlineStr">
        <is>
          <t>4200/000</t>
        </is>
      </c>
      <c r="E9868" s="3" t="inlineStr">
        <is>
          <t>Printing _AND_ Stationery</t>
        </is>
      </c>
      <c r="F9868" s="3" t="n">
        <v>0</v>
      </c>
      <c r="G9868" s="3" t="n">
        <v>1232.17</v>
      </c>
    </row>
    <row r="9869">
      <c r="A9869" s="3" t="inlineStr">
        <is>
          <t>Noble Shield (Pty) Ltd ta Go Letting</t>
        </is>
      </c>
      <c r="B9869" s="4" t="n">
        <v>44773</v>
      </c>
      <c r="C9869" s="3" t="inlineStr">
        <is>
          <t>Expenses</t>
        </is>
      </c>
      <c r="D9869" s="3" t="inlineStr">
        <is>
          <t>4200/100</t>
        </is>
      </c>
      <c r="E9869" s="3" t="inlineStr">
        <is>
          <t>Printing - Merchant West- Printer Rental</t>
        </is>
      </c>
      <c r="F9869" s="3" t="n">
        <v>1624.97</v>
      </c>
      <c r="G9869" s="3" t="n">
        <v>17817.79</v>
      </c>
    </row>
    <row r="9870">
      <c r="A9870" s="3" t="inlineStr">
        <is>
          <t>Noble Shield (Pty) Ltd ta Go Letting</t>
        </is>
      </c>
      <c r="B9870" s="4" t="n">
        <v>44773</v>
      </c>
      <c r="C9870" s="3" t="inlineStr">
        <is>
          <t>Expenses</t>
        </is>
      </c>
      <c r="D9870" s="3" t="inlineStr">
        <is>
          <t>4200/120</t>
        </is>
      </c>
      <c r="E9870" s="3" t="inlineStr">
        <is>
          <t>Printing - Ivy Line - Prints</t>
        </is>
      </c>
      <c r="F9870" s="3" t="n">
        <v>798.55</v>
      </c>
      <c r="G9870" s="3" t="n">
        <v>8813.190000000001</v>
      </c>
    </row>
    <row r="9871">
      <c r="A9871" s="3" t="inlineStr">
        <is>
          <t>Noble Shield (Pty) Ltd ta Go Letting</t>
        </is>
      </c>
      <c r="B9871" s="4" t="n">
        <v>44773</v>
      </c>
      <c r="C9871" s="3" t="inlineStr">
        <is>
          <t>Expenses</t>
        </is>
      </c>
      <c r="D9871" s="3" t="inlineStr">
        <is>
          <t>4200/180</t>
        </is>
      </c>
      <c r="E9871" s="3" t="inlineStr">
        <is>
          <t>Printing - Ikon</t>
        </is>
      </c>
      <c r="F9871" s="3" t="n">
        <v>92</v>
      </c>
      <c r="G9871" s="3" t="n">
        <v>4835.61</v>
      </c>
    </row>
    <row r="9872">
      <c r="A9872" s="3" t="inlineStr">
        <is>
          <t>Noble Shield (Pty) Ltd ta Go Letting</t>
        </is>
      </c>
      <c r="B9872" s="4" t="n">
        <v>44773</v>
      </c>
      <c r="C9872" s="3" t="inlineStr">
        <is>
          <t>Expenses</t>
        </is>
      </c>
      <c r="D9872" s="3" t="inlineStr">
        <is>
          <t>4200/190</t>
        </is>
      </c>
      <c r="E9872" s="3" t="inlineStr">
        <is>
          <t>Printing - Centrafin printer rental</t>
        </is>
      </c>
      <c r="F9872" s="3" t="n">
        <v>2522.78</v>
      </c>
      <c r="G9872" s="3" t="n">
        <v>26433.24</v>
      </c>
    </row>
    <row r="9873">
      <c r="A9873" s="3" t="inlineStr">
        <is>
          <t>Noble Shield (Pty) Ltd ta Go Letting</t>
        </is>
      </c>
      <c r="B9873" s="4" t="n">
        <v>44773</v>
      </c>
      <c r="C9873" s="3" t="inlineStr">
        <is>
          <t>Expenses</t>
        </is>
      </c>
      <c r="D9873" s="3" t="inlineStr">
        <is>
          <t>4200/200</t>
        </is>
      </c>
      <c r="E9873" s="3" t="inlineStr">
        <is>
          <t>Printing - General Stationery VDB Office</t>
        </is>
      </c>
      <c r="F9873" s="3" t="n">
        <v>0</v>
      </c>
      <c r="G9873" s="3" t="n">
        <v>4398.1</v>
      </c>
    </row>
    <row r="9874">
      <c r="A9874" s="3" t="inlineStr">
        <is>
          <t>Noble Shield (Pty) Ltd ta Go Letting</t>
        </is>
      </c>
      <c r="B9874" s="4" t="n">
        <v>44773</v>
      </c>
      <c r="C9874" s="3" t="inlineStr">
        <is>
          <t>Expenses</t>
        </is>
      </c>
      <c r="D9874" s="3" t="inlineStr">
        <is>
          <t>4290/000</t>
        </is>
      </c>
      <c r="E9874" s="3" t="inlineStr">
        <is>
          <t>Refreshments - CT Office</t>
        </is>
      </c>
      <c r="F9874" s="3" t="n">
        <v>557.87</v>
      </c>
      <c r="G9874" s="3" t="n">
        <v>7749.3</v>
      </c>
    </row>
    <row r="9875">
      <c r="A9875" s="3" t="inlineStr">
        <is>
          <t>Opportunity Global Investment (PTY) LTD</t>
        </is>
      </c>
      <c r="B9875" s="4" t="n">
        <v>44773</v>
      </c>
      <c r="C9875" s="3" t="inlineStr">
        <is>
          <t>Expenses</t>
        </is>
      </c>
      <c r="D9875" s="3" t="inlineStr">
        <is>
          <t>4290/000</t>
        </is>
      </c>
      <c r="E9875" s="3" t="inlineStr">
        <is>
          <t>Rent</t>
        </is>
      </c>
      <c r="F9875" s="3" t="n">
        <v>8770</v>
      </c>
      <c r="G9875" s="3" t="n">
        <v>43850</v>
      </c>
    </row>
    <row r="9876">
      <c r="A9876" s="3" t="inlineStr">
        <is>
          <t>Noble Shield (Pty) Ltd ta Go Letting</t>
        </is>
      </c>
      <c r="B9876" s="4" t="n">
        <v>44773</v>
      </c>
      <c r="C9876" s="3" t="inlineStr">
        <is>
          <t>Expenses</t>
        </is>
      </c>
      <c r="D9876" s="3" t="inlineStr">
        <is>
          <t>4291/000</t>
        </is>
      </c>
      <c r="E9876" s="3" t="inlineStr">
        <is>
          <t>Refreshments - VDB Office</t>
        </is>
      </c>
      <c r="F9876" s="3" t="n">
        <v>788.6900000000001</v>
      </c>
      <c r="G9876" s="3" t="n">
        <v>3338.38</v>
      </c>
    </row>
    <row r="9877">
      <c r="A9877" s="3" t="inlineStr">
        <is>
          <t>Trademark Holdings (Pty) Ltd</t>
        </is>
      </c>
      <c r="B9877" s="4" t="n">
        <v>44773</v>
      </c>
      <c r="C9877" s="3" t="inlineStr">
        <is>
          <t>Expenses</t>
        </is>
      </c>
      <c r="D9877" s="3" t="inlineStr">
        <is>
          <t>4300/000</t>
        </is>
      </c>
      <c r="E9877" s="3" t="inlineStr">
        <is>
          <t>Rent Paid</t>
        </is>
      </c>
      <c r="F9877" s="3" t="n">
        <v>6427.32</v>
      </c>
      <c r="G9877" s="3" t="n">
        <v>66630.47</v>
      </c>
    </row>
    <row r="9878">
      <c r="A9878" s="3" t="inlineStr">
        <is>
          <t>Endulini (Pty) Ltd</t>
        </is>
      </c>
      <c r="B9878" s="4" t="n">
        <v>44773</v>
      </c>
      <c r="C9878" s="3" t="inlineStr">
        <is>
          <t>Expenses</t>
        </is>
      </c>
      <c r="D9878" s="3" t="inlineStr">
        <is>
          <t>4310/000</t>
        </is>
      </c>
      <c r="E9878" s="3" t="inlineStr">
        <is>
          <t>Rates</t>
        </is>
      </c>
      <c r="F9878" s="3" t="n">
        <v>0</v>
      </c>
      <c r="G9878" s="3" t="n">
        <v>28266.66</v>
      </c>
    </row>
    <row r="9879">
      <c r="A9879" s="3" t="inlineStr">
        <is>
          <t>Opportunity Global Investment (PTY) LTD</t>
        </is>
      </c>
      <c r="B9879" s="4" t="n">
        <v>44773</v>
      </c>
      <c r="C9879" s="3" t="inlineStr">
        <is>
          <t>Expenses</t>
        </is>
      </c>
      <c r="D9879" s="3" t="inlineStr">
        <is>
          <t>4310/000</t>
        </is>
      </c>
      <c r="E9879" s="3" t="inlineStr">
        <is>
          <t>Refreshments</t>
        </is>
      </c>
      <c r="F9879" s="3" t="n">
        <v>2521</v>
      </c>
      <c r="G9879" s="3" t="n">
        <v>12605</v>
      </c>
    </row>
    <row r="9880">
      <c r="A9880" s="3" t="inlineStr">
        <is>
          <t>Opportunity Management Holdings (PTY) LTD</t>
        </is>
      </c>
      <c r="B9880" s="4" t="n">
        <v>44773</v>
      </c>
      <c r="C9880" s="3" t="inlineStr">
        <is>
          <t>Expenses</t>
        </is>
      </c>
      <c r="D9880" s="3" t="inlineStr">
        <is>
          <t>4310/000</t>
        </is>
      </c>
      <c r="E9880" s="3" t="inlineStr">
        <is>
          <t>Refreshments</t>
        </is>
      </c>
      <c r="F9880" s="3" t="n">
        <v>1113.87</v>
      </c>
      <c r="G9880" s="3" t="n">
        <v>6530.62</v>
      </c>
    </row>
    <row r="9881">
      <c r="A9881" s="3" t="inlineStr">
        <is>
          <t>Quinate Consulting (Pty) Ltd</t>
        </is>
      </c>
      <c r="B9881" s="4" t="n">
        <v>44773</v>
      </c>
      <c r="C9881" s="3" t="inlineStr">
        <is>
          <t>Expenses</t>
        </is>
      </c>
      <c r="D9881" s="3" t="inlineStr">
        <is>
          <t>4312/000</t>
        </is>
      </c>
      <c r="E9881" s="3" t="inlineStr">
        <is>
          <t>Rates - SoHo Units</t>
        </is>
      </c>
      <c r="F9881" s="3" t="n">
        <v>2431.68</v>
      </c>
      <c r="G9881" s="3" t="n">
        <v>11940.58</v>
      </c>
    </row>
    <row r="9882">
      <c r="A9882" s="3" t="inlineStr">
        <is>
          <t>Noble Shield (Pty) Ltd ta Go Letting</t>
        </is>
      </c>
      <c r="B9882" s="4" t="n">
        <v>44773</v>
      </c>
      <c r="C9882" s="3" t="inlineStr">
        <is>
          <t>Expenses</t>
        </is>
      </c>
      <c r="D9882" s="3" t="inlineStr">
        <is>
          <t>4350/000</t>
        </is>
      </c>
      <c r="E9882" s="3" t="inlineStr">
        <is>
          <t>Repairs _AND_ Maintenance</t>
        </is>
      </c>
      <c r="F9882" s="3" t="n">
        <v>0</v>
      </c>
      <c r="G9882" s="3" t="n">
        <v>3068.83</v>
      </c>
    </row>
    <row r="9883">
      <c r="A9883" s="3" t="inlineStr">
        <is>
          <t>Opportunity Management Holdings (PTY) LTD</t>
        </is>
      </c>
      <c r="B9883" s="4" t="n">
        <v>44773</v>
      </c>
      <c r="C9883" s="3" t="inlineStr">
        <is>
          <t>Expenses</t>
        </is>
      </c>
      <c r="D9883" s="3" t="inlineStr">
        <is>
          <t>4350/000</t>
        </is>
      </c>
      <c r="E9883" s="3" t="inlineStr">
        <is>
          <t>Repairs _AND_ Maintenance</t>
        </is>
      </c>
      <c r="F9883" s="3" t="n">
        <v>112.17</v>
      </c>
      <c r="G9883" s="3" t="n">
        <v>811.25</v>
      </c>
    </row>
    <row r="9884">
      <c r="A9884" s="3" t="inlineStr">
        <is>
          <t>Trademark Holdings (Pty) Ltd</t>
        </is>
      </c>
      <c r="B9884" s="4" t="n">
        <v>44773</v>
      </c>
      <c r="C9884" s="3" t="inlineStr">
        <is>
          <t>Expenses</t>
        </is>
      </c>
      <c r="D9884" s="3" t="inlineStr">
        <is>
          <t>4350/000</t>
        </is>
      </c>
      <c r="E9884" s="3" t="inlineStr">
        <is>
          <t>Repairs _AND_ Maintenance</t>
        </is>
      </c>
      <c r="F9884" s="3" t="n">
        <v>0</v>
      </c>
      <c r="G9884" s="3" t="n">
        <v>925</v>
      </c>
    </row>
    <row r="9885">
      <c r="A9885" s="3" t="inlineStr">
        <is>
          <t>Quinate Consulting (Pty) Ltd</t>
        </is>
      </c>
      <c r="B9885" s="4" t="n">
        <v>44773</v>
      </c>
      <c r="C9885" s="3" t="inlineStr">
        <is>
          <t>Expenses</t>
        </is>
      </c>
      <c r="D9885" s="3" t="inlineStr">
        <is>
          <t>4350/000</t>
        </is>
      </c>
      <c r="E9885" s="3" t="inlineStr">
        <is>
          <t>Repairs and Maintenance - Southwark Units</t>
        </is>
      </c>
      <c r="F9885" s="3" t="n">
        <v>0</v>
      </c>
      <c r="G9885" s="3" t="n">
        <v>12416</v>
      </c>
    </row>
    <row r="9886">
      <c r="A9886" s="3" t="inlineStr">
        <is>
          <t>Opportunity Global Investment (PTY) LTD</t>
        </is>
      </c>
      <c r="B9886" s="4" t="n">
        <v>44773</v>
      </c>
      <c r="C9886" s="3" t="inlineStr">
        <is>
          <t>Expenses</t>
        </is>
      </c>
      <c r="D9886" s="3" t="inlineStr">
        <is>
          <t>4360/000</t>
        </is>
      </c>
      <c r="E9886" s="3" t="inlineStr">
        <is>
          <t>Secretarial - CIPC</t>
        </is>
      </c>
      <c r="F9886" s="3" t="n">
        <v>0</v>
      </c>
      <c r="G9886" s="3" t="n">
        <v>600</v>
      </c>
    </row>
    <row r="9887">
      <c r="A9887" s="3" t="inlineStr">
        <is>
          <t>Opportunity Management Holdings (PTY) LTD</t>
        </is>
      </c>
      <c r="B9887" s="4" t="n">
        <v>44773</v>
      </c>
      <c r="C9887" s="3" t="inlineStr">
        <is>
          <t>Expenses</t>
        </is>
      </c>
      <c r="D9887" s="3" t="inlineStr">
        <is>
          <t>4390/000</t>
        </is>
      </c>
      <c r="E9887" s="3" t="inlineStr">
        <is>
          <t>Small Assets</t>
        </is>
      </c>
      <c r="F9887" s="3" t="n">
        <v>4042.61</v>
      </c>
      <c r="G9887" s="3" t="n">
        <v>13281.92</v>
      </c>
    </row>
    <row r="9888">
      <c r="A9888" s="3" t="inlineStr">
        <is>
          <t>Noble Shield (Pty) Ltd ta Go Letting</t>
        </is>
      </c>
      <c r="B9888" s="4" t="n">
        <v>44773</v>
      </c>
      <c r="C9888" s="3" t="inlineStr">
        <is>
          <t>Expenses</t>
        </is>
      </c>
      <c r="D9888" s="3" t="inlineStr">
        <is>
          <t>4400/000</t>
        </is>
      </c>
      <c r="E9888" s="3" t="inlineStr">
        <is>
          <t>Salaries _AND_ Wages</t>
        </is>
      </c>
      <c r="F9888" s="3" t="n">
        <v>26848.19</v>
      </c>
      <c r="G9888" s="3" t="n">
        <v>254971.81</v>
      </c>
    </row>
    <row r="9889">
      <c r="A9889" s="3" t="inlineStr">
        <is>
          <t>Opportunity Global Sales (PTY) LTD</t>
        </is>
      </c>
      <c r="B9889" s="4" t="n">
        <v>44773</v>
      </c>
      <c r="C9889" s="3" t="inlineStr">
        <is>
          <t>Expenses</t>
        </is>
      </c>
      <c r="D9889" s="3" t="inlineStr">
        <is>
          <t>4400/000</t>
        </is>
      </c>
      <c r="E9889" s="3" t="inlineStr">
        <is>
          <t>Salaries _AND_ Wages</t>
        </is>
      </c>
      <c r="F9889" s="3" t="n">
        <v>39850.33</v>
      </c>
      <c r="G9889" s="3" t="n">
        <v>179619.62</v>
      </c>
    </row>
    <row r="9890">
      <c r="A9890" s="3" t="inlineStr">
        <is>
          <t>Opportunity Management Holdings (PTY) LTD</t>
        </is>
      </c>
      <c r="B9890" s="4" t="n">
        <v>44773</v>
      </c>
      <c r="C9890" s="3" t="inlineStr">
        <is>
          <t>Expenses</t>
        </is>
      </c>
      <c r="D9890" s="3" t="inlineStr">
        <is>
          <t>4400/000</t>
        </is>
      </c>
      <c r="E9890" s="3" t="inlineStr">
        <is>
          <t>Salaries _AND_ Wages</t>
        </is>
      </c>
      <c r="F9890" s="3" t="n">
        <v>194207.5</v>
      </c>
      <c r="G9890" s="3" t="n">
        <v>1763685.56</v>
      </c>
    </row>
    <row r="9891">
      <c r="A9891" s="3" t="inlineStr">
        <is>
          <t>Trademark Holdings (Pty) Ltd</t>
        </is>
      </c>
      <c r="B9891" s="4" t="n">
        <v>44773</v>
      </c>
      <c r="C9891" s="3" t="inlineStr">
        <is>
          <t>Expenses</t>
        </is>
      </c>
      <c r="D9891" s="3" t="inlineStr">
        <is>
          <t>4400/000</t>
        </is>
      </c>
      <c r="E9891" s="3" t="inlineStr">
        <is>
          <t>Salaries _AND_ Wages</t>
        </is>
      </c>
      <c r="F9891" s="3" t="n">
        <v>39554.45</v>
      </c>
      <c r="G9891" s="3" t="n">
        <v>418663.66</v>
      </c>
    </row>
    <row r="9892">
      <c r="A9892" s="3" t="inlineStr">
        <is>
          <t>Opportunity Global Investment (PTY) LTD</t>
        </is>
      </c>
      <c r="B9892" s="4" t="n">
        <v>44773</v>
      </c>
      <c r="C9892" s="3" t="inlineStr">
        <is>
          <t>Expenses</t>
        </is>
      </c>
      <c r="D9892" s="3" t="inlineStr">
        <is>
          <t>4403/000</t>
        </is>
      </c>
      <c r="E9892" s="3" t="inlineStr">
        <is>
          <t>Study fees - Nick</t>
        </is>
      </c>
      <c r="F9892" s="3" t="n">
        <v>0</v>
      </c>
      <c r="G9892" s="3" t="n">
        <v>51825.9</v>
      </c>
    </row>
    <row r="9893">
      <c r="A9893" s="3" t="inlineStr">
        <is>
          <t>Trademark Holdings (Pty) Ltd</t>
        </is>
      </c>
      <c r="B9893" s="4" t="n">
        <v>44773</v>
      </c>
      <c r="C9893" s="3" t="inlineStr">
        <is>
          <t>Expenses</t>
        </is>
      </c>
      <c r="D9893" s="3" t="inlineStr">
        <is>
          <t>4430/000</t>
        </is>
      </c>
      <c r="E9893" s="3" t="inlineStr">
        <is>
          <t>Secretarial fees - CIPC</t>
        </is>
      </c>
      <c r="F9893" s="3" t="n">
        <v>0</v>
      </c>
      <c r="G9893" s="3" t="n">
        <v>100</v>
      </c>
    </row>
    <row r="9894">
      <c r="A9894" s="3" t="inlineStr">
        <is>
          <t>Opportunity Management Holdings (PTY) LTD</t>
        </is>
      </c>
      <c r="B9894" s="4" t="n">
        <v>44773</v>
      </c>
      <c r="C9894" s="3" t="inlineStr">
        <is>
          <t>Expenses</t>
        </is>
      </c>
      <c r="D9894" s="3" t="inlineStr">
        <is>
          <t>4450/000</t>
        </is>
      </c>
      <c r="E9894" s="3" t="inlineStr">
        <is>
          <t>Staff Training</t>
        </is>
      </c>
      <c r="F9894" s="3" t="n">
        <v>0</v>
      </c>
      <c r="G9894" s="3" t="n">
        <v>4654</v>
      </c>
    </row>
    <row r="9895">
      <c r="A9895" s="3" t="inlineStr">
        <is>
          <t>Noble Shield (Pty) Ltd ta Go Letting</t>
        </is>
      </c>
      <c r="B9895" s="4" t="n">
        <v>44773</v>
      </c>
      <c r="C9895" s="3" t="inlineStr">
        <is>
          <t>Expenses</t>
        </is>
      </c>
      <c r="D9895" s="3" t="inlineStr">
        <is>
          <t>4500/000</t>
        </is>
      </c>
      <c r="E9895" s="3" t="inlineStr">
        <is>
          <t>Staff Welfare</t>
        </is>
      </c>
      <c r="F9895" s="3" t="n">
        <v>0</v>
      </c>
      <c r="G9895" s="3" t="n">
        <v>8468.879999999999</v>
      </c>
    </row>
    <row r="9896">
      <c r="A9896" s="3" t="inlineStr">
        <is>
          <t>Opportunity Global Investment (PTY) LTD</t>
        </is>
      </c>
      <c r="B9896" s="4" t="n">
        <v>44773</v>
      </c>
      <c r="C9896" s="3" t="inlineStr">
        <is>
          <t>Expenses</t>
        </is>
      </c>
      <c r="D9896" s="3" t="inlineStr">
        <is>
          <t>4500/000</t>
        </is>
      </c>
      <c r="E9896" s="3" t="inlineStr">
        <is>
          <t>Staff Welfare</t>
        </is>
      </c>
      <c r="F9896" s="3" t="n">
        <v>0</v>
      </c>
      <c r="G9896" s="3" t="n">
        <v>451.25</v>
      </c>
    </row>
    <row r="9897">
      <c r="A9897" s="3" t="inlineStr">
        <is>
          <t>Opportunity Management Holdings (PTY) LTD</t>
        </is>
      </c>
      <c r="B9897" s="4" t="n">
        <v>44773</v>
      </c>
      <c r="C9897" s="3" t="inlineStr">
        <is>
          <t>Expenses</t>
        </is>
      </c>
      <c r="D9897" s="3" t="inlineStr">
        <is>
          <t>4500/000</t>
        </is>
      </c>
      <c r="E9897" s="3" t="inlineStr">
        <is>
          <t>Staff Welfare</t>
        </is>
      </c>
      <c r="F9897" s="3" t="n">
        <v>1889.5</v>
      </c>
      <c r="G9897" s="3" t="n">
        <v>8613.57</v>
      </c>
    </row>
    <row r="9898">
      <c r="A9898" s="3" t="inlineStr">
        <is>
          <t>Noble Shield (Pty) Ltd ta Go Letting</t>
        </is>
      </c>
      <c r="B9898" s="4" t="n">
        <v>44773</v>
      </c>
      <c r="C9898" s="3" t="inlineStr">
        <is>
          <t>Expenses</t>
        </is>
      </c>
      <c r="D9898" s="3" t="inlineStr">
        <is>
          <t>4520/000</t>
        </is>
      </c>
      <c r="E9898" s="3" t="inlineStr">
        <is>
          <t>Security</t>
        </is>
      </c>
      <c r="F9898" s="3" t="n">
        <v>741.25</v>
      </c>
      <c r="G9898" s="3" t="n">
        <v>8238.530000000001</v>
      </c>
    </row>
    <row r="9899">
      <c r="A9899" s="3" t="inlineStr">
        <is>
          <t>Noble Shield (Pty) Ltd ta Go Letting</t>
        </is>
      </c>
      <c r="B9899" s="4" t="n">
        <v>44773</v>
      </c>
      <c r="C9899" s="3" t="inlineStr">
        <is>
          <t>Expenses</t>
        </is>
      </c>
      <c r="D9899" s="3" t="inlineStr">
        <is>
          <t>4550/000</t>
        </is>
      </c>
      <c r="E9899" s="3" t="inlineStr">
        <is>
          <t>Subscriptions</t>
        </is>
      </c>
      <c r="F9899" s="3" t="n">
        <v>0</v>
      </c>
      <c r="G9899" s="3" t="n">
        <v>274.15</v>
      </c>
    </row>
    <row r="9900">
      <c r="A9900" s="3" t="inlineStr">
        <is>
          <t>Quinate Consulting (Pty) Ltd</t>
        </is>
      </c>
      <c r="B9900" s="4" t="n">
        <v>44773</v>
      </c>
      <c r="C9900" s="3" t="inlineStr">
        <is>
          <t>Expenses</t>
        </is>
      </c>
      <c r="D9900" s="3" t="inlineStr">
        <is>
          <t>4550/000</t>
        </is>
      </c>
      <c r="E9900" s="3" t="inlineStr">
        <is>
          <t>Subscriptions / Licenses</t>
        </is>
      </c>
      <c r="F9900" s="3" t="n">
        <v>8056.6</v>
      </c>
      <c r="G9900" s="3" t="n">
        <v>46278.95</v>
      </c>
    </row>
    <row r="9901">
      <c r="A9901" s="3" t="inlineStr">
        <is>
          <t>Opportunity Management Holdings (PTY) LTD</t>
        </is>
      </c>
      <c r="B9901" s="4" t="n">
        <v>44773</v>
      </c>
      <c r="C9901" s="3" t="inlineStr">
        <is>
          <t>Expenses</t>
        </is>
      </c>
      <c r="D9901" s="3" t="inlineStr">
        <is>
          <t>4550/000</t>
        </is>
      </c>
      <c r="E9901" s="3" t="inlineStr">
        <is>
          <t>Subscriptions _AND_ Lisences</t>
        </is>
      </c>
      <c r="F9901" s="3" t="n">
        <v>1642.27</v>
      </c>
      <c r="G9901" s="3" t="n">
        <v>18487.9</v>
      </c>
    </row>
    <row r="9902">
      <c r="A9902" s="3" t="inlineStr">
        <is>
          <t>Noble Shield (Pty) Ltd ta Go Letting</t>
        </is>
      </c>
      <c r="B9902" s="4" t="n">
        <v>44773</v>
      </c>
      <c r="C9902" s="3" t="inlineStr">
        <is>
          <t>Expenses</t>
        </is>
      </c>
      <c r="D9902" s="3" t="inlineStr">
        <is>
          <t>4550/100</t>
        </is>
      </c>
      <c r="E9902" s="3" t="inlineStr">
        <is>
          <t>Subscriptions - EAAB</t>
        </is>
      </c>
      <c r="F9902" s="3" t="n">
        <v>0</v>
      </c>
      <c r="G9902" s="3" t="n">
        <v>5010</v>
      </c>
    </row>
    <row r="9903">
      <c r="A9903" s="3" t="inlineStr">
        <is>
          <t>Trademark Holdings (Pty) Ltd</t>
        </is>
      </c>
      <c r="B9903" s="4" t="n">
        <v>44773</v>
      </c>
      <c r="C9903" s="3" t="inlineStr">
        <is>
          <t>Expenses</t>
        </is>
      </c>
      <c r="D9903" s="3" t="inlineStr">
        <is>
          <t>4550/100</t>
        </is>
      </c>
      <c r="E9903" s="3" t="inlineStr">
        <is>
          <t>Subscriptions - EAAB</t>
        </is>
      </c>
      <c r="F9903" s="3" t="n">
        <v>0</v>
      </c>
      <c r="G9903" s="3" t="n">
        <v>3710</v>
      </c>
    </row>
    <row r="9904">
      <c r="A9904" s="3" t="inlineStr">
        <is>
          <t>Opportunity Global Investment (PTY) LTD</t>
        </is>
      </c>
      <c r="B9904" s="4" t="n">
        <v>44773</v>
      </c>
      <c r="C9904" s="3" t="inlineStr">
        <is>
          <t>Expenses</t>
        </is>
      </c>
      <c r="D9904" s="3" t="inlineStr">
        <is>
          <t>4550/150</t>
        </is>
      </c>
      <c r="E9904" s="3" t="inlineStr">
        <is>
          <t>Subscriptions - Webbox</t>
        </is>
      </c>
      <c r="F9904" s="3" t="n">
        <v>1259</v>
      </c>
      <c r="G9904" s="3" t="n">
        <v>6201</v>
      </c>
    </row>
    <row r="9905">
      <c r="A9905" s="3" t="inlineStr">
        <is>
          <t>Opportunity Global Investment (PTY) LTD</t>
        </is>
      </c>
      <c r="B9905" s="4" t="n">
        <v>44773</v>
      </c>
      <c r="C9905" s="3" t="inlineStr">
        <is>
          <t>Expenses</t>
        </is>
      </c>
      <c r="D9905" s="3" t="inlineStr">
        <is>
          <t>4550/200</t>
        </is>
      </c>
      <c r="E9905" s="3" t="inlineStr">
        <is>
          <t>Subscriptions - Zoom</t>
        </is>
      </c>
      <c r="F9905" s="3" t="n">
        <v>264.04</v>
      </c>
      <c r="G9905" s="3" t="n">
        <v>1226.03</v>
      </c>
    </row>
    <row r="9906">
      <c r="A9906" s="3" t="inlineStr">
        <is>
          <t>Opportunity Global Investment (PTY) LTD</t>
        </is>
      </c>
      <c r="B9906" s="4" t="n">
        <v>44773</v>
      </c>
      <c r="C9906" s="3" t="inlineStr">
        <is>
          <t>Expenses</t>
        </is>
      </c>
      <c r="D9906" s="3" t="inlineStr">
        <is>
          <t>4550/250</t>
        </is>
      </c>
      <c r="E9906" s="3" t="inlineStr">
        <is>
          <t>Subscriptions - LinkedIn</t>
        </is>
      </c>
      <c r="F9906" s="3" t="n">
        <v>1000.49</v>
      </c>
      <c r="G9906" s="3" t="n">
        <v>6002.94</v>
      </c>
    </row>
    <row r="9907">
      <c r="A9907" s="3" t="inlineStr">
        <is>
          <t>Noble Shield (Pty) Ltd ta Go Letting</t>
        </is>
      </c>
      <c r="B9907" s="4" t="n">
        <v>44773</v>
      </c>
      <c r="C9907" s="3" t="inlineStr">
        <is>
          <t>Expenses</t>
        </is>
      </c>
      <c r="D9907" s="3" t="inlineStr">
        <is>
          <t>4550/250</t>
        </is>
      </c>
      <c r="E9907" s="3" t="inlineStr">
        <is>
          <t>Subscriptions - Windeed reports</t>
        </is>
      </c>
      <c r="F9907" s="3" t="n">
        <v>0</v>
      </c>
      <c r="G9907" s="3" t="n">
        <v>79</v>
      </c>
    </row>
    <row r="9908">
      <c r="A9908" s="3" t="inlineStr">
        <is>
          <t>Opportunity Global Investment (PTY) LTD</t>
        </is>
      </c>
      <c r="B9908" s="4" t="n">
        <v>44773</v>
      </c>
      <c r="C9908" s="3" t="inlineStr">
        <is>
          <t>Expenses</t>
        </is>
      </c>
      <c r="D9908" s="3" t="inlineStr">
        <is>
          <t>4550/350</t>
        </is>
      </c>
      <c r="E9908" s="3" t="inlineStr">
        <is>
          <t>Subscriptions - Xero</t>
        </is>
      </c>
      <c r="F9908" s="3" t="n">
        <v>600</v>
      </c>
      <c r="G9908" s="3" t="n">
        <v>3000</v>
      </c>
    </row>
    <row r="9909">
      <c r="A9909" s="3" t="inlineStr">
        <is>
          <t>Opportunity Global Investment (PTY) LTD</t>
        </is>
      </c>
      <c r="B9909" s="4" t="n">
        <v>44773</v>
      </c>
      <c r="C9909" s="3" t="inlineStr">
        <is>
          <t>Expenses</t>
        </is>
      </c>
      <c r="D9909" s="3" t="inlineStr">
        <is>
          <t>4550/400</t>
        </is>
      </c>
      <c r="E9909" s="3" t="inlineStr">
        <is>
          <t>Subscriptions - Moneyweb</t>
        </is>
      </c>
      <c r="F9909" s="3" t="n">
        <v>54.78</v>
      </c>
      <c r="G9909" s="3" t="n">
        <v>273.9</v>
      </c>
    </row>
    <row r="9910">
      <c r="A9910" s="3" t="inlineStr">
        <is>
          <t>Trademark Holdings (Pty) Ltd</t>
        </is>
      </c>
      <c r="B9910" s="4" t="n">
        <v>44773</v>
      </c>
      <c r="C9910" s="3" t="inlineStr">
        <is>
          <t>Expenses</t>
        </is>
      </c>
      <c r="D9910" s="3" t="inlineStr">
        <is>
          <t>4550/400</t>
        </is>
      </c>
      <c r="E9910" s="3" t="inlineStr">
        <is>
          <t>Subscriptions - Xero</t>
        </is>
      </c>
      <c r="F9910" s="3" t="n">
        <v>600</v>
      </c>
      <c r="G9910" s="3" t="n">
        <v>7050</v>
      </c>
    </row>
    <row r="9911">
      <c r="A9911" s="3" t="inlineStr">
        <is>
          <t>Opportunity Global Investment (PTY) LTD</t>
        </is>
      </c>
      <c r="B9911" s="4" t="n">
        <v>44773</v>
      </c>
      <c r="C9911" s="3" t="inlineStr">
        <is>
          <t>Expenses</t>
        </is>
      </c>
      <c r="D9911" s="3" t="inlineStr">
        <is>
          <t>4550/450</t>
        </is>
      </c>
      <c r="E9911" s="3" t="inlineStr">
        <is>
          <t>Subscriptions - Adobe</t>
        </is>
      </c>
      <c r="F9911" s="3" t="n">
        <v>555.3</v>
      </c>
      <c r="G9911" s="3" t="n">
        <v>2572.89</v>
      </c>
    </row>
    <row r="9912">
      <c r="A9912" s="3" t="inlineStr">
        <is>
          <t>Noble Shield (Pty) Ltd ta Go Letting</t>
        </is>
      </c>
      <c r="B9912" s="4" t="n">
        <v>44773</v>
      </c>
      <c r="C9912" s="3" t="inlineStr">
        <is>
          <t>Expenses</t>
        </is>
      </c>
      <c r="D9912" s="3" t="inlineStr">
        <is>
          <t>4550/600</t>
        </is>
      </c>
      <c r="E9912" s="3" t="inlineStr">
        <is>
          <t>Subscriptions - Webbox</t>
        </is>
      </c>
      <c r="F9912" s="3" t="n">
        <v>1331.7</v>
      </c>
      <c r="G9912" s="3" t="n">
        <v>12739.31</v>
      </c>
    </row>
    <row r="9913">
      <c r="A9913" s="3" t="inlineStr">
        <is>
          <t>Noble Shield (Pty) Ltd ta Go Letting</t>
        </is>
      </c>
      <c r="B9913" s="4" t="n">
        <v>44773</v>
      </c>
      <c r="C9913" s="3" t="inlineStr">
        <is>
          <t>Expenses</t>
        </is>
      </c>
      <c r="D9913" s="3" t="inlineStr">
        <is>
          <t>4550/650</t>
        </is>
      </c>
      <c r="E9913" s="3" t="inlineStr">
        <is>
          <t>Subscriptions - Xero</t>
        </is>
      </c>
      <c r="F9913" s="3" t="n">
        <v>600</v>
      </c>
      <c r="G9913" s="3" t="n">
        <v>7050</v>
      </c>
    </row>
    <row r="9914">
      <c r="A9914" s="3" t="inlineStr">
        <is>
          <t>Noble Shield (Pty) Ltd ta Go Letting</t>
        </is>
      </c>
      <c r="B9914" s="4" t="n">
        <v>44773</v>
      </c>
      <c r="C9914" s="3" t="inlineStr">
        <is>
          <t>Expenses</t>
        </is>
      </c>
      <c r="D9914" s="3" t="inlineStr">
        <is>
          <t>4550/700</t>
        </is>
      </c>
      <c r="E9914" s="3" t="inlineStr">
        <is>
          <t>Subscriptions - Domain renewals</t>
        </is>
      </c>
      <c r="F9914" s="3" t="n">
        <v>0</v>
      </c>
      <c r="G9914" s="3" t="n">
        <v>1726.15</v>
      </c>
    </row>
    <row r="9915">
      <c r="A9915" s="3" t="inlineStr">
        <is>
          <t>Noble Shield (Pty) Ltd ta Go Letting</t>
        </is>
      </c>
      <c r="B9915" s="4" t="n">
        <v>44773</v>
      </c>
      <c r="C9915" s="3" t="inlineStr">
        <is>
          <t>Expenses</t>
        </is>
      </c>
      <c r="D9915" s="3" t="inlineStr">
        <is>
          <t>4550/800</t>
        </is>
      </c>
      <c r="E9915" s="3" t="inlineStr">
        <is>
          <t>Subscriptions - Adobe</t>
        </is>
      </c>
      <c r="F9915" s="3" t="n">
        <v>296.75</v>
      </c>
      <c r="G9915" s="3" t="n">
        <v>1120.92</v>
      </c>
    </row>
    <row r="9916">
      <c r="A9916" s="3" t="inlineStr">
        <is>
          <t>Opportunity Global Sales (PTY) LTD</t>
        </is>
      </c>
      <c r="B9916" s="4" t="n">
        <v>44773</v>
      </c>
      <c r="C9916" s="3" t="inlineStr">
        <is>
          <t>Expenses</t>
        </is>
      </c>
      <c r="D9916" s="3" t="inlineStr">
        <is>
          <t>4551/000</t>
        </is>
      </c>
      <c r="E9916" s="3" t="inlineStr">
        <is>
          <t>Subscriptions - Payprop</t>
        </is>
      </c>
      <c r="F9916" s="3" t="n">
        <v>591.3</v>
      </c>
      <c r="G9916" s="3" t="n">
        <v>3413.98</v>
      </c>
    </row>
    <row r="9917">
      <c r="A9917" s="3" t="inlineStr">
        <is>
          <t>Opportunity Management Holdings (PTY) LTD</t>
        </is>
      </c>
      <c r="B9917" s="4" t="n">
        <v>44773</v>
      </c>
      <c r="C9917" s="3" t="inlineStr">
        <is>
          <t>Expenses</t>
        </is>
      </c>
      <c r="D9917" s="3" t="inlineStr">
        <is>
          <t>4551/000</t>
        </is>
      </c>
      <c r="E9917" s="3" t="inlineStr">
        <is>
          <t>Subscriptions - Xero - Setup</t>
        </is>
      </c>
      <c r="F9917" s="3" t="n">
        <v>0</v>
      </c>
      <c r="G9917" s="3" t="n">
        <v>3000</v>
      </c>
    </row>
    <row r="9918">
      <c r="A9918" s="3" t="inlineStr">
        <is>
          <t>Quinate Consulting (Pty) Ltd</t>
        </is>
      </c>
      <c r="B9918" s="4" t="n">
        <v>44773</v>
      </c>
      <c r="C9918" s="3" t="inlineStr">
        <is>
          <t>Expenses</t>
        </is>
      </c>
      <c r="D9918" s="3" t="inlineStr">
        <is>
          <t>4551/000</t>
        </is>
      </c>
      <c r="E9918" s="3" t="inlineStr">
        <is>
          <t>Subscriptions - Zoho</t>
        </is>
      </c>
      <c r="F9918" s="3" t="n">
        <v>1125</v>
      </c>
      <c r="G9918" s="3" t="n">
        <v>5625</v>
      </c>
    </row>
    <row r="9919">
      <c r="A9919" s="3" t="inlineStr">
        <is>
          <t>Endulini (Pty) Ltd</t>
        </is>
      </c>
      <c r="B9919" s="4" t="n">
        <v>44773</v>
      </c>
      <c r="C9919" s="3" t="inlineStr">
        <is>
          <t>Expenses</t>
        </is>
      </c>
      <c r="D9919" s="3" t="inlineStr">
        <is>
          <t>4552/000</t>
        </is>
      </c>
      <c r="E9919" s="3" t="inlineStr">
        <is>
          <t>Subscriptions - Xero</t>
        </is>
      </c>
      <c r="F9919" s="3" t="n">
        <v>600</v>
      </c>
      <c r="G9919" s="3" t="n">
        <v>3000</v>
      </c>
    </row>
    <row r="9920">
      <c r="A9920" s="3" t="inlineStr">
        <is>
          <t>Opportunity Global Sales (PTY) LTD</t>
        </is>
      </c>
      <c r="B9920" s="4" t="n">
        <v>44773</v>
      </c>
      <c r="C9920" s="3" t="inlineStr">
        <is>
          <t>Expenses</t>
        </is>
      </c>
      <c r="D9920" s="3" t="inlineStr">
        <is>
          <t>4552/000</t>
        </is>
      </c>
      <c r="E9920" s="3" t="inlineStr">
        <is>
          <t>Subscriptions - Xero</t>
        </is>
      </c>
      <c r="F9920" s="3" t="n">
        <v>600</v>
      </c>
      <c r="G9920" s="3" t="n">
        <v>3000</v>
      </c>
    </row>
    <row r="9921">
      <c r="A9921" s="3" t="inlineStr">
        <is>
          <t>Opportunity Management Holdings (PTY) LTD</t>
        </is>
      </c>
      <c r="B9921" s="4" t="n">
        <v>44773</v>
      </c>
      <c r="C9921" s="3" t="inlineStr">
        <is>
          <t>Expenses</t>
        </is>
      </c>
      <c r="D9921" s="3" t="inlineStr">
        <is>
          <t>4552/000</t>
        </is>
      </c>
      <c r="E9921" s="3" t="inlineStr">
        <is>
          <t>Subscriptions - Xero</t>
        </is>
      </c>
      <c r="F9921" s="3" t="n">
        <v>600</v>
      </c>
      <c r="G9921" s="3" t="n">
        <v>4650</v>
      </c>
    </row>
    <row r="9922">
      <c r="A9922" s="3" t="inlineStr">
        <is>
          <t>Opportunity Global Sales (PTY) LTD</t>
        </is>
      </c>
      <c r="B9922" s="4" t="n">
        <v>44773</v>
      </c>
      <c r="C9922" s="3" t="inlineStr">
        <is>
          <t>Expenses</t>
        </is>
      </c>
      <c r="D9922" s="3" t="inlineStr">
        <is>
          <t>4553/000</t>
        </is>
      </c>
      <c r="E9922" s="3" t="inlineStr">
        <is>
          <t>Subscriptions - CMA</t>
        </is>
      </c>
      <c r="F9922" s="3" t="n">
        <v>680</v>
      </c>
      <c r="G9922" s="3" t="n">
        <v>3400</v>
      </c>
    </row>
    <row r="9923">
      <c r="A9923" s="3" t="inlineStr">
        <is>
          <t>Quinate Consulting (Pty) Ltd</t>
        </is>
      </c>
      <c r="B9923" s="4" t="n">
        <v>44773</v>
      </c>
      <c r="C9923" s="3" t="inlineStr">
        <is>
          <t>Expenses</t>
        </is>
      </c>
      <c r="D9923" s="3" t="inlineStr">
        <is>
          <t>4554/000</t>
        </is>
      </c>
      <c r="E9923" s="3" t="inlineStr">
        <is>
          <t>Subscriptions - Xero</t>
        </is>
      </c>
      <c r="F9923" s="3" t="n">
        <v>600</v>
      </c>
      <c r="G9923" s="3" t="n">
        <v>3000</v>
      </c>
    </row>
    <row r="9924">
      <c r="A9924" s="3" t="inlineStr">
        <is>
          <t>Opportunity Global Sales (PTY) LTD</t>
        </is>
      </c>
      <c r="B9924" s="4" t="n">
        <v>44773</v>
      </c>
      <c r="C9924" s="3" t="inlineStr">
        <is>
          <t>Expenses</t>
        </is>
      </c>
      <c r="D9924" s="3" t="inlineStr">
        <is>
          <t>4554/000</t>
        </is>
      </c>
      <c r="E9924" s="3" t="inlineStr">
        <is>
          <t>Subscriptions - Zoho</t>
        </is>
      </c>
      <c r="F9924" s="3" t="n">
        <v>855</v>
      </c>
      <c r="G9924" s="3" t="n">
        <v>3255</v>
      </c>
    </row>
    <row r="9925">
      <c r="A9925" s="3" t="inlineStr">
        <is>
          <t>Opportunity Global Sales (PTY) LTD</t>
        </is>
      </c>
      <c r="B9925" s="4" t="n">
        <v>44773</v>
      </c>
      <c r="C9925" s="3" t="inlineStr">
        <is>
          <t>Expenses</t>
        </is>
      </c>
      <c r="D9925" s="3" t="inlineStr">
        <is>
          <t>4555/000</t>
        </is>
      </c>
      <c r="E9925" s="3" t="inlineStr">
        <is>
          <t>Subscriptions - EAAB</t>
        </is>
      </c>
      <c r="F9925" s="3" t="n">
        <v>0</v>
      </c>
      <c r="G9925" s="3" t="n">
        <v>8500</v>
      </c>
    </row>
    <row r="9926">
      <c r="A9926" s="3" t="inlineStr">
        <is>
          <t>Quinate Consulting (Pty) Ltd</t>
        </is>
      </c>
      <c r="B9926" s="4" t="n">
        <v>44773</v>
      </c>
      <c r="C9926" s="3" t="inlineStr">
        <is>
          <t>Expenses</t>
        </is>
      </c>
      <c r="D9926" s="3" t="inlineStr">
        <is>
          <t>4555/000</t>
        </is>
      </c>
      <c r="E9926" s="3" t="inlineStr">
        <is>
          <t>Subscriptions - OUMS</t>
        </is>
      </c>
      <c r="F9926" s="3" t="n">
        <v>6475.9</v>
      </c>
      <c r="G9926" s="3" t="n">
        <v>32379.5</v>
      </c>
    </row>
    <row r="9927">
      <c r="A9927" s="3" t="inlineStr">
        <is>
          <t>Noble Shield (Pty) Ltd ta Go Letting</t>
        </is>
      </c>
      <c r="B9927" s="4" t="n">
        <v>44773</v>
      </c>
      <c r="C9927" s="3" t="inlineStr">
        <is>
          <t>Expenses</t>
        </is>
      </c>
      <c r="D9927" s="3" t="inlineStr">
        <is>
          <t>4560/000</t>
        </is>
      </c>
      <c r="E9927" s="3" t="inlineStr">
        <is>
          <t>Small Assets - under R7000</t>
        </is>
      </c>
      <c r="F9927" s="3" t="n">
        <v>0</v>
      </c>
      <c r="G9927" s="3" t="n">
        <v>399</v>
      </c>
    </row>
    <row r="9928">
      <c r="A9928" s="3" t="inlineStr">
        <is>
          <t>Opportunity Global Investment (PTY) LTD</t>
        </is>
      </c>
      <c r="B9928" s="4" t="n">
        <v>44773</v>
      </c>
      <c r="C9928" s="3" t="inlineStr">
        <is>
          <t>Expenses</t>
        </is>
      </c>
      <c r="D9928" s="3" t="inlineStr">
        <is>
          <t>4600/000</t>
        </is>
      </c>
      <c r="E9928" s="3" t="inlineStr">
        <is>
          <t>Telephone _AND_ Fax</t>
        </is>
      </c>
      <c r="F9928" s="3" t="n">
        <v>3355</v>
      </c>
      <c r="G9928" s="3" t="n">
        <v>16775</v>
      </c>
    </row>
    <row r="9929">
      <c r="A9929" s="3" t="inlineStr">
        <is>
          <t>Trademark Holdings (Pty) Ltd</t>
        </is>
      </c>
      <c r="B9929" s="4" t="n">
        <v>44773</v>
      </c>
      <c r="C9929" s="3" t="inlineStr">
        <is>
          <t>Expenses</t>
        </is>
      </c>
      <c r="D9929" s="3" t="inlineStr">
        <is>
          <t>4600/000</t>
        </is>
      </c>
      <c r="E9929" s="3" t="inlineStr">
        <is>
          <t>Telephone _AND_ Fax</t>
        </is>
      </c>
      <c r="F9929" s="3" t="n">
        <v>1662.49</v>
      </c>
      <c r="G9929" s="3" t="n">
        <v>16378.75</v>
      </c>
    </row>
    <row r="9930">
      <c r="A9930" s="3" t="inlineStr">
        <is>
          <t>Noble Shield (Pty) Ltd ta Go Letting</t>
        </is>
      </c>
      <c r="B9930" s="4" t="n">
        <v>44773</v>
      </c>
      <c r="C9930" s="3" t="inlineStr">
        <is>
          <t>Expenses</t>
        </is>
      </c>
      <c r="D9930" s="3" t="inlineStr">
        <is>
          <t>4600/000</t>
        </is>
      </c>
      <c r="E9930" s="3" t="inlineStr">
        <is>
          <t>Telephone _AND_ Fax - VDB Office</t>
        </is>
      </c>
      <c r="F9930" s="3" t="n">
        <v>0</v>
      </c>
      <c r="G9930" s="3" t="n">
        <v>1926.25</v>
      </c>
    </row>
    <row r="9931">
      <c r="A9931" s="3" t="inlineStr">
        <is>
          <t>Noble Shield (Pty) Ltd ta Go Letting</t>
        </is>
      </c>
      <c r="B9931" s="4" t="n">
        <v>44773</v>
      </c>
      <c r="C9931" s="3" t="inlineStr">
        <is>
          <t>Expenses</t>
        </is>
      </c>
      <c r="D9931" s="3" t="inlineStr">
        <is>
          <t>4610/000</t>
        </is>
      </c>
      <c r="E9931" s="3" t="inlineStr">
        <is>
          <t>Telephone - CT Office</t>
        </is>
      </c>
      <c r="F9931" s="3" t="n">
        <v>925.4</v>
      </c>
      <c r="G9931" s="3" t="n">
        <v>10218.51</v>
      </c>
    </row>
    <row r="9932">
      <c r="A9932" s="3" t="inlineStr">
        <is>
          <t>Noble Shield (Pty) Ltd ta Go Letting</t>
        </is>
      </c>
      <c r="B9932" s="4" t="n">
        <v>44773</v>
      </c>
      <c r="C9932" s="3" t="inlineStr">
        <is>
          <t>Expenses</t>
        </is>
      </c>
      <c r="D9932" s="3" t="inlineStr">
        <is>
          <t>4650/000</t>
        </is>
      </c>
      <c r="E9932" s="3" t="inlineStr">
        <is>
          <t>Travel _AND_ Accommodation</t>
        </is>
      </c>
      <c r="F9932" s="3" t="n">
        <v>533.8</v>
      </c>
      <c r="G9932" s="3" t="n">
        <v>533.8</v>
      </c>
    </row>
    <row r="9933">
      <c r="A9933" s="3" t="inlineStr">
        <is>
          <t>Opportunity Management Holdings (PTY) LTD</t>
        </is>
      </c>
      <c r="B9933" s="4" t="n">
        <v>44773</v>
      </c>
      <c r="C9933" s="3" t="inlineStr">
        <is>
          <t>Expenses</t>
        </is>
      </c>
      <c r="D9933" s="3" t="inlineStr">
        <is>
          <t>4650/000</t>
        </is>
      </c>
      <c r="E9933" s="3" t="inlineStr">
        <is>
          <t>Travel _AND_ Accommodation</t>
        </is>
      </c>
      <c r="F9933" s="3" t="n">
        <v>0</v>
      </c>
      <c r="G9933" s="3" t="n">
        <v>139.13</v>
      </c>
    </row>
    <row r="9934">
      <c r="A9934" s="3" t="inlineStr">
        <is>
          <t>Quinate Consulting (Pty) Ltd</t>
        </is>
      </c>
      <c r="B9934" s="4" t="n">
        <v>44773</v>
      </c>
      <c r="C9934" s="3" t="inlineStr">
        <is>
          <t>Expenses</t>
        </is>
      </c>
      <c r="D9934" s="3" t="inlineStr">
        <is>
          <t>4650/000</t>
        </is>
      </c>
      <c r="E9934" s="3" t="inlineStr">
        <is>
          <t>Travel _AND_ Accommodation</t>
        </is>
      </c>
      <c r="F9934" s="3" t="n">
        <v>0</v>
      </c>
      <c r="G9934" s="3" t="n">
        <v>5386</v>
      </c>
    </row>
    <row r="9935">
      <c r="A9935" s="3" t="inlineStr">
        <is>
          <t>Quinate Consulting (Pty) Ltd</t>
        </is>
      </c>
      <c r="B9935" s="4" t="n">
        <v>44773</v>
      </c>
      <c r="C9935" s="3" t="inlineStr">
        <is>
          <t>Expenses</t>
        </is>
      </c>
      <c r="D9935" s="3" t="inlineStr">
        <is>
          <t>4650/010</t>
        </is>
      </c>
      <c r="E9935" s="3" t="inlineStr">
        <is>
          <t>Travel - Local Flights</t>
        </is>
      </c>
      <c r="F9935" s="3" t="n">
        <v>0</v>
      </c>
      <c r="G9935" s="3" t="n">
        <v>6912.27</v>
      </c>
    </row>
    <row r="9936">
      <c r="A9936" s="3" t="inlineStr">
        <is>
          <t>Opportunity Global Investment (PTY) LTD</t>
        </is>
      </c>
      <c r="B9936" s="4" t="n">
        <v>44773</v>
      </c>
      <c r="C9936" s="3" t="inlineStr">
        <is>
          <t>Expenses</t>
        </is>
      </c>
      <c r="D9936" s="3" t="inlineStr">
        <is>
          <t>4650/020</t>
        </is>
      </c>
      <c r="E9936" s="3" t="inlineStr">
        <is>
          <t>Travel Accomodation - Car Hire</t>
        </is>
      </c>
      <c r="F9936" s="3" t="n">
        <v>0</v>
      </c>
      <c r="G9936" s="3" t="n">
        <v>457.39</v>
      </c>
    </row>
    <row r="9937">
      <c r="A9937" s="3" t="inlineStr">
        <is>
          <t>Quinate Consulting (Pty) Ltd</t>
        </is>
      </c>
      <c r="B9937" s="4" t="n">
        <v>44773</v>
      </c>
      <c r="C9937" s="3" t="inlineStr">
        <is>
          <t>Expenses</t>
        </is>
      </c>
      <c r="D9937" s="3" t="inlineStr">
        <is>
          <t>4650/030</t>
        </is>
      </c>
      <c r="E9937" s="3" t="inlineStr">
        <is>
          <t>Travel - Parking</t>
        </is>
      </c>
      <c r="F9937" s="3" t="n">
        <v>0</v>
      </c>
      <c r="G9937" s="3" t="n">
        <v>121.74</v>
      </c>
    </row>
    <row r="9938">
      <c r="A9938" s="3" t="inlineStr">
        <is>
          <t>Quinate Consulting (Pty) Ltd</t>
        </is>
      </c>
      <c r="B9938" s="4" t="n">
        <v>44773</v>
      </c>
      <c r="C9938" s="3" t="inlineStr">
        <is>
          <t>Expenses</t>
        </is>
      </c>
      <c r="D9938" s="3" t="inlineStr">
        <is>
          <t>4650/040</t>
        </is>
      </c>
      <c r="E9938" s="3" t="inlineStr">
        <is>
          <t>Travel - Local Car Hire</t>
        </is>
      </c>
      <c r="F9938" s="3" t="n">
        <v>0</v>
      </c>
      <c r="G9938" s="3" t="n">
        <v>1873</v>
      </c>
    </row>
    <row r="9939">
      <c r="A9939" s="3" t="inlineStr">
        <is>
          <t>Opportunity Global Investment (PTY) LTD</t>
        </is>
      </c>
      <c r="B9939" s="4" t="n">
        <v>44773</v>
      </c>
      <c r="C9939" s="3" t="inlineStr">
        <is>
          <t>Expenses</t>
        </is>
      </c>
      <c r="D9939" s="3" t="inlineStr">
        <is>
          <t>4650/080</t>
        </is>
      </c>
      <c r="E9939" s="3" t="inlineStr">
        <is>
          <t>Travel &amp; Accommodation - Staff Reimbursements</t>
        </is>
      </c>
      <c r="F9939" s="3" t="n">
        <v>0</v>
      </c>
      <c r="G9939" s="3" t="n">
        <v>453.72</v>
      </c>
    </row>
    <row r="9940">
      <c r="A9940" s="3" t="inlineStr">
        <is>
          <t>Opportunity Global Investment (PTY) LTD</t>
        </is>
      </c>
      <c r="B9940" s="4" t="n">
        <v>44773</v>
      </c>
      <c r="C9940" s="3" t="inlineStr">
        <is>
          <t>Expenses</t>
        </is>
      </c>
      <c r="D9940" s="3" t="inlineStr">
        <is>
          <t>4650/090</t>
        </is>
      </c>
      <c r="E9940" s="3" t="inlineStr">
        <is>
          <t>Travel &amp; Accom - Fuel</t>
        </is>
      </c>
      <c r="F9940" s="3" t="n">
        <v>3537.15</v>
      </c>
      <c r="G9940" s="3" t="n">
        <v>16142.47</v>
      </c>
    </row>
    <row r="9941">
      <c r="A9941" s="3" t="inlineStr">
        <is>
          <t>Quinate Consulting (Pty) Ltd</t>
        </is>
      </c>
      <c r="B9941" s="4" t="n">
        <v>44773</v>
      </c>
      <c r="C9941" s="3" t="inlineStr">
        <is>
          <t>Expenses</t>
        </is>
      </c>
      <c r="D9941" s="3" t="inlineStr">
        <is>
          <t>4650/600</t>
        </is>
      </c>
      <c r="E9941" s="3" t="inlineStr">
        <is>
          <t>Travel - Fuel</t>
        </is>
      </c>
      <c r="F9941" s="3" t="n">
        <v>0</v>
      </c>
      <c r="G9941" s="3" t="n">
        <v>983.1799999999999</v>
      </c>
    </row>
    <row r="9942">
      <c r="A9942" s="3" t="inlineStr">
        <is>
          <t>Noble Shield (Pty) Ltd ta Go Letting</t>
        </is>
      </c>
      <c r="B9942" s="4" t="n">
        <v>44773</v>
      </c>
      <c r="C9942" s="3" t="inlineStr">
        <is>
          <t>Expenses</t>
        </is>
      </c>
      <c r="D9942" s="3" t="inlineStr">
        <is>
          <t>4700/000</t>
        </is>
      </c>
      <c r="E9942" s="3" t="inlineStr">
        <is>
          <t>PAYE Contributions</t>
        </is>
      </c>
      <c r="F9942" s="3" t="n">
        <v>5215.38</v>
      </c>
      <c r="G9942" s="3" t="n">
        <v>54564.63</v>
      </c>
    </row>
    <row r="9943">
      <c r="A9943" s="3" t="inlineStr">
        <is>
          <t>Trademark Holdings (Pty) Ltd</t>
        </is>
      </c>
      <c r="B9943" s="4" t="n">
        <v>44773</v>
      </c>
      <c r="C9943" s="3" t="inlineStr">
        <is>
          <t>Expenses</t>
        </is>
      </c>
      <c r="D9943" s="3" t="inlineStr">
        <is>
          <t>4700/000</t>
        </is>
      </c>
      <c r="E9943" s="3" t="inlineStr">
        <is>
          <t>PAYE Contributions</t>
        </is>
      </c>
      <c r="F9943" s="3" t="n">
        <v>4988.05</v>
      </c>
      <c r="G9943" s="3" t="n">
        <v>60379.73</v>
      </c>
    </row>
    <row r="9944">
      <c r="A9944" s="3" t="inlineStr">
        <is>
          <t>Opportunity Global Investment (PTY) LTD</t>
        </is>
      </c>
      <c r="B9944" s="4" t="n">
        <v>44773</v>
      </c>
      <c r="C9944" s="3" t="inlineStr">
        <is>
          <t>Expenses</t>
        </is>
      </c>
      <c r="D9944" s="3" t="inlineStr">
        <is>
          <t>4700/000</t>
        </is>
      </c>
      <c r="E9944" s="3" t="inlineStr">
        <is>
          <t>UIF Contributions</t>
        </is>
      </c>
      <c r="F9944" s="3" t="n">
        <v>177.12</v>
      </c>
      <c r="G9944" s="3" t="n">
        <v>885.6</v>
      </c>
    </row>
    <row r="9945">
      <c r="A9945" s="3" t="inlineStr">
        <is>
          <t>Opportunity Global Sales (PTY) LTD</t>
        </is>
      </c>
      <c r="B9945" s="4" t="n">
        <v>44773</v>
      </c>
      <c r="C9945" s="3" t="inlineStr">
        <is>
          <t>Expenses</t>
        </is>
      </c>
      <c r="D9945" s="3" t="inlineStr">
        <is>
          <t>4700/000</t>
        </is>
      </c>
      <c r="E9945" s="3" t="inlineStr">
        <is>
          <t>UIF Contributions</t>
        </is>
      </c>
      <c r="F9945" s="3" t="n">
        <v>177.12</v>
      </c>
      <c r="G9945" s="3" t="n">
        <v>985.6</v>
      </c>
    </row>
    <row r="9946">
      <c r="A9946" s="3" t="inlineStr">
        <is>
          <t>Opportunity Global Sales (PTY) LTD</t>
        </is>
      </c>
      <c r="B9946" s="4" t="n">
        <v>44773</v>
      </c>
      <c r="C9946" s="3" t="inlineStr">
        <is>
          <t>Expenses</t>
        </is>
      </c>
      <c r="D9946" s="3" t="inlineStr">
        <is>
          <t>4701/000</t>
        </is>
      </c>
      <c r="E9946" s="3" t="inlineStr">
        <is>
          <t>UIF Employee Contribution</t>
        </is>
      </c>
      <c r="F9946" s="3" t="n">
        <v>177.12</v>
      </c>
      <c r="G9946" s="3" t="n">
        <v>985.6</v>
      </c>
    </row>
    <row r="9947">
      <c r="A9947" s="3" t="inlineStr">
        <is>
          <t>Opportunity Global Investment (PTY) LTD</t>
        </is>
      </c>
      <c r="B9947" s="4" t="n">
        <v>44773</v>
      </c>
      <c r="C9947" s="3" t="inlineStr">
        <is>
          <t>Expenses</t>
        </is>
      </c>
      <c r="D9947" s="3" t="inlineStr">
        <is>
          <t>4701/000</t>
        </is>
      </c>
      <c r="E9947" s="3" t="inlineStr">
        <is>
          <t>UIF Employee Contributions</t>
        </is>
      </c>
      <c r="F9947" s="3" t="n">
        <v>177.12</v>
      </c>
      <c r="G9947" s="3" t="n">
        <v>885.6</v>
      </c>
    </row>
    <row r="9948">
      <c r="A9948" s="3" t="inlineStr">
        <is>
          <t>Noble Shield (Pty) Ltd ta Go Letting</t>
        </is>
      </c>
      <c r="B9948" s="4" t="n">
        <v>44773</v>
      </c>
      <c r="C9948" s="3" t="inlineStr">
        <is>
          <t>Expenses</t>
        </is>
      </c>
      <c r="D9948" s="3" t="inlineStr">
        <is>
          <t>4710/000</t>
        </is>
      </c>
      <c r="E9948" s="3" t="inlineStr">
        <is>
          <t>UIF Company Contributions</t>
        </is>
      </c>
      <c r="F9948" s="3" t="n">
        <v>245.25</v>
      </c>
      <c r="G9948" s="3" t="n">
        <v>2379.67</v>
      </c>
    </row>
    <row r="9949">
      <c r="A9949" s="3" t="inlineStr">
        <is>
          <t>Trademark Holdings (Pty) Ltd</t>
        </is>
      </c>
      <c r="B9949" s="4" t="n">
        <v>44773</v>
      </c>
      <c r="C9949" s="3" t="inlineStr">
        <is>
          <t>Expenses</t>
        </is>
      </c>
      <c r="D9949" s="3" t="inlineStr">
        <is>
          <t>4710/000</t>
        </is>
      </c>
      <c r="E9949" s="3" t="inlineStr">
        <is>
          <t>UIF Company Contributions</t>
        </is>
      </c>
      <c r="F9949" s="3" t="n">
        <v>95.25</v>
      </c>
      <c r="G9949" s="3" t="n">
        <v>1352.37</v>
      </c>
    </row>
    <row r="9950">
      <c r="A9950" s="3" t="inlineStr">
        <is>
          <t>Noble Shield (Pty) Ltd ta Go Letting</t>
        </is>
      </c>
      <c r="B9950" s="4" t="n">
        <v>44773</v>
      </c>
      <c r="C9950" s="3" t="inlineStr">
        <is>
          <t>Expenses</t>
        </is>
      </c>
      <c r="D9950" s="3" t="inlineStr">
        <is>
          <t>4711/000</t>
        </is>
      </c>
      <c r="E9950" s="3" t="inlineStr">
        <is>
          <t>UIF Employee Contribution</t>
        </is>
      </c>
      <c r="F9950" s="3" t="n">
        <v>245.25</v>
      </c>
      <c r="G9950" s="3" t="n">
        <v>2379.67</v>
      </c>
    </row>
    <row r="9951">
      <c r="A9951" s="3" t="inlineStr">
        <is>
          <t>Trademark Holdings (Pty) Ltd</t>
        </is>
      </c>
      <c r="B9951" s="4" t="n">
        <v>44773</v>
      </c>
      <c r="C9951" s="3" t="inlineStr">
        <is>
          <t>Expenses</t>
        </is>
      </c>
      <c r="D9951" s="3" t="inlineStr">
        <is>
          <t>4711/000</t>
        </is>
      </c>
      <c r="E9951" s="3" t="inlineStr">
        <is>
          <t>UIF Employee Contributions</t>
        </is>
      </c>
      <c r="F9951" s="3" t="n">
        <v>95.25</v>
      </c>
      <c r="G9951" s="3" t="n">
        <v>1352.37</v>
      </c>
    </row>
    <row r="9952">
      <c r="A9952" s="3" t="inlineStr">
        <is>
          <t>Noble Shield (Pty) Ltd ta Go Letting</t>
        </is>
      </c>
      <c r="B9952" s="4" t="n">
        <v>44773</v>
      </c>
      <c r="C9952" s="3" t="inlineStr">
        <is>
          <t>Expenses</t>
        </is>
      </c>
      <c r="D9952" s="3" t="inlineStr">
        <is>
          <t>4720/000</t>
        </is>
      </c>
      <c r="E9952" s="3" t="inlineStr">
        <is>
          <t>SDL Contributions</t>
        </is>
      </c>
      <c r="F9952" s="3" t="n">
        <v>444.59</v>
      </c>
      <c r="G9952" s="3" t="n">
        <v>4089.12</v>
      </c>
    </row>
    <row r="9953">
      <c r="A9953" s="3" t="inlineStr">
        <is>
          <t>Trademark Holdings (Pty) Ltd</t>
        </is>
      </c>
      <c r="B9953" s="4" t="n">
        <v>44773</v>
      </c>
      <c r="C9953" s="3" t="inlineStr">
        <is>
          <t>Expenses</t>
        </is>
      </c>
      <c r="D9953" s="3" t="inlineStr">
        <is>
          <t>4720/000</t>
        </is>
      </c>
      <c r="E9953" s="3" t="inlineStr">
        <is>
          <t>SDL Contributions</t>
        </is>
      </c>
      <c r="F9953" s="3" t="n">
        <v>301.12</v>
      </c>
      <c r="G9953" s="3" t="n">
        <v>3364.46</v>
      </c>
    </row>
    <row r="9954">
      <c r="A9954" s="3" t="inlineStr">
        <is>
          <t>Opportunity Global Investment (PTY) LTD</t>
        </is>
      </c>
      <c r="B9954" s="4" t="n">
        <v>44773</v>
      </c>
      <c r="C9954" s="3" t="inlineStr">
        <is>
          <t>Expenses</t>
        </is>
      </c>
      <c r="D9954" s="3" t="inlineStr">
        <is>
          <t>4730/000</t>
        </is>
      </c>
      <c r="E9954" s="3" t="inlineStr">
        <is>
          <t>PAYE Contributions</t>
        </is>
      </c>
      <c r="F9954" s="3" t="n">
        <v>9136.700000000001</v>
      </c>
      <c r="G9954" s="3" t="n">
        <v>45683.49</v>
      </c>
    </row>
    <row r="9955">
      <c r="A9955" s="3" t="inlineStr">
        <is>
          <t>Opportunity Global Sales (PTY) LTD</t>
        </is>
      </c>
      <c r="B9955" s="4" t="n">
        <v>44773</v>
      </c>
      <c r="C9955" s="3" t="inlineStr">
        <is>
          <t>Expenses</t>
        </is>
      </c>
      <c r="D9955" s="3" t="inlineStr">
        <is>
          <t>4730/000</t>
        </is>
      </c>
      <c r="E9955" s="3" t="inlineStr">
        <is>
          <t>PAYE Contributions</t>
        </is>
      </c>
      <c r="F9955" s="3" t="n">
        <v>19302.38</v>
      </c>
      <c r="G9955" s="3" t="n">
        <v>140216.1</v>
      </c>
    </row>
    <row r="9956">
      <c r="A9956" s="3" t="inlineStr">
        <is>
          <t>Opportunity Management Holdings (PTY) LTD</t>
        </is>
      </c>
      <c r="B9956" s="4" t="n">
        <v>44773</v>
      </c>
      <c r="C9956" s="3" t="inlineStr">
        <is>
          <t>Expenses</t>
        </is>
      </c>
      <c r="D9956" s="3" t="inlineStr">
        <is>
          <t>4730/000</t>
        </is>
      </c>
      <c r="E9956" s="3" t="inlineStr">
        <is>
          <t>PAYE Contributions</t>
        </is>
      </c>
      <c r="F9956" s="3" t="n">
        <v>41536.9</v>
      </c>
      <c r="G9956" s="3" t="n">
        <v>382304.45</v>
      </c>
    </row>
    <row r="9957">
      <c r="A9957" s="3" t="inlineStr">
        <is>
          <t>Opportunity Global Investment (PTY) LTD</t>
        </is>
      </c>
      <c r="B9957" s="4" t="n">
        <v>44773</v>
      </c>
      <c r="C9957" s="3" t="inlineStr">
        <is>
          <t>Expenses</t>
        </is>
      </c>
      <c r="D9957" s="3" t="inlineStr">
        <is>
          <t>4740/000</t>
        </is>
      </c>
      <c r="E9957" s="3" t="inlineStr">
        <is>
          <t>SDL Contributions</t>
        </is>
      </c>
      <c r="F9957" s="3" t="n">
        <v>431.1</v>
      </c>
      <c r="G9957" s="3" t="n">
        <v>2155.5</v>
      </c>
    </row>
    <row r="9958">
      <c r="A9958" s="3" t="inlineStr">
        <is>
          <t>Opportunity Global Sales (PTY) LTD</t>
        </is>
      </c>
      <c r="B9958" s="4" t="n">
        <v>44773</v>
      </c>
      <c r="C9958" s="3" t="inlineStr">
        <is>
          <t>Expenses</t>
        </is>
      </c>
      <c r="D9958" s="3" t="inlineStr">
        <is>
          <t>4740/000</t>
        </is>
      </c>
      <c r="E9958" s="3" t="inlineStr">
        <is>
          <t>SDL Contributions</t>
        </is>
      </c>
      <c r="F9958" s="3" t="n">
        <v>1083.62</v>
      </c>
      <c r="G9958" s="3" t="n">
        <v>7712.23</v>
      </c>
    </row>
    <row r="9959">
      <c r="A9959" s="3" t="inlineStr">
        <is>
          <t>Opportunity Management Holdings (PTY) LTD</t>
        </is>
      </c>
      <c r="B9959" s="4" t="n">
        <v>44773</v>
      </c>
      <c r="C9959" s="3" t="inlineStr">
        <is>
          <t>Expenses</t>
        </is>
      </c>
      <c r="D9959" s="3" t="inlineStr">
        <is>
          <t>4740/000</t>
        </is>
      </c>
      <c r="E9959" s="3" t="inlineStr">
        <is>
          <t>UIF Company Contribution</t>
        </is>
      </c>
      <c r="F9959" s="3" t="n">
        <v>1255.6</v>
      </c>
      <c r="G9959" s="3" t="n">
        <v>12091.69</v>
      </c>
    </row>
    <row r="9960">
      <c r="A9960" s="3" t="inlineStr">
        <is>
          <t>Opportunity Management Holdings (PTY) LTD</t>
        </is>
      </c>
      <c r="B9960" s="4" t="n">
        <v>44773</v>
      </c>
      <c r="C9960" s="3" t="inlineStr">
        <is>
          <t>Expenses</t>
        </is>
      </c>
      <c r="D9960" s="3" t="inlineStr">
        <is>
          <t>4741/000</t>
        </is>
      </c>
      <c r="E9960" s="3" t="inlineStr">
        <is>
          <t>UIF Employee Contribution</t>
        </is>
      </c>
      <c r="F9960" s="3" t="n">
        <v>1255.6</v>
      </c>
      <c r="G9960" s="3" t="n">
        <v>12091.69</v>
      </c>
    </row>
    <row r="9961">
      <c r="A9961" s="3" t="inlineStr">
        <is>
          <t>Opportunity Management Holdings (PTY) LTD</t>
        </is>
      </c>
      <c r="B9961" s="4" t="n">
        <v>44773</v>
      </c>
      <c r="C9961" s="3" t="inlineStr">
        <is>
          <t>Expenses</t>
        </is>
      </c>
      <c r="D9961" s="3" t="inlineStr">
        <is>
          <t>4750/000</t>
        </is>
      </c>
      <c r="E9961" s="3" t="inlineStr">
        <is>
          <t>SDL Contribution</t>
        </is>
      </c>
      <c r="F9961" s="3" t="n">
        <v>2270</v>
      </c>
      <c r="G9961" s="3" t="n">
        <v>21102.97</v>
      </c>
    </row>
    <row r="9962">
      <c r="A9962" s="3" t="inlineStr">
        <is>
          <t>Noble Shield (Pty) Ltd ta Go Letting</t>
        </is>
      </c>
      <c r="B9962" s="4" t="n">
        <v>44773</v>
      </c>
      <c r="C9962" s="3" t="inlineStr">
        <is>
          <t>Equity</t>
        </is>
      </c>
      <c r="D9962" s="3" t="inlineStr">
        <is>
          <t>5100/000</t>
        </is>
      </c>
      <c r="E9962" s="3" t="inlineStr">
        <is>
          <t>Share Capital</t>
        </is>
      </c>
      <c r="F9962" s="3" t="n">
        <v>0</v>
      </c>
      <c r="G9962" s="3" t="n">
        <v>-1</v>
      </c>
    </row>
    <row r="9963">
      <c r="A9963" s="3" t="inlineStr">
        <is>
          <t>Opportunity Management Holdings (PTY) LTD</t>
        </is>
      </c>
      <c r="B9963" s="4" t="n">
        <v>44773</v>
      </c>
      <c r="C9963" s="3" t="inlineStr">
        <is>
          <t>Equity</t>
        </is>
      </c>
      <c r="D9963" s="3" t="inlineStr">
        <is>
          <t>5100/000</t>
        </is>
      </c>
      <c r="E9963" s="3" t="inlineStr">
        <is>
          <t>Share Capital / Members Contribution</t>
        </is>
      </c>
      <c r="F9963" s="3" t="n">
        <v>0</v>
      </c>
      <c r="G9963" s="3" t="n">
        <v>-120</v>
      </c>
    </row>
    <row r="9964">
      <c r="A9964" s="3" t="inlineStr">
        <is>
          <t>Quinate Consulting (Pty) Ltd</t>
        </is>
      </c>
      <c r="B9964" s="4" t="n">
        <v>44773</v>
      </c>
      <c r="C9964" s="3" t="inlineStr">
        <is>
          <t>Equity</t>
        </is>
      </c>
      <c r="D9964" s="3" t="inlineStr">
        <is>
          <t>5100/000</t>
        </is>
      </c>
      <c r="E9964" s="3" t="inlineStr">
        <is>
          <t>Share Capital / Members Contribution</t>
        </is>
      </c>
      <c r="F9964" s="3" t="n">
        <v>0</v>
      </c>
      <c r="G9964" s="3" t="n">
        <v>-120</v>
      </c>
    </row>
    <row r="9965">
      <c r="A9965" s="3" t="inlineStr">
        <is>
          <t>Trademark Holdings (Pty) Ltd</t>
        </is>
      </c>
      <c r="B9965" s="4" t="n">
        <v>44773</v>
      </c>
      <c r="C9965" s="3" t="inlineStr">
        <is>
          <t>Equity</t>
        </is>
      </c>
      <c r="D9965" s="3" t="inlineStr">
        <is>
          <t>5100/001</t>
        </is>
      </c>
      <c r="E9965" s="3" t="inlineStr">
        <is>
          <t>Share Capital - GFY Investments</t>
        </is>
      </c>
      <c r="F9965" s="3" t="n">
        <v>0</v>
      </c>
      <c r="G9965" s="3" t="n">
        <v>-60</v>
      </c>
    </row>
    <row r="9966">
      <c r="A9966" s="3" t="inlineStr">
        <is>
          <t>Trademark Holdings (Pty) Ltd</t>
        </is>
      </c>
      <c r="B9966" s="4" t="n">
        <v>44773</v>
      </c>
      <c r="C9966" s="3" t="inlineStr">
        <is>
          <t>Equity</t>
        </is>
      </c>
      <c r="D9966" s="3" t="inlineStr">
        <is>
          <t>5100/002</t>
        </is>
      </c>
      <c r="E9966" s="3" t="inlineStr">
        <is>
          <t>Share Capital - Zak Trust</t>
        </is>
      </c>
      <c r="F9966" s="3" t="n">
        <v>0</v>
      </c>
      <c r="G9966" s="3" t="n">
        <v>-60</v>
      </c>
    </row>
    <row r="9967">
      <c r="A9967" s="3" t="inlineStr">
        <is>
          <t>Opportunity Global Investment (PTY) LTD</t>
        </is>
      </c>
      <c r="B9967" s="4" t="n">
        <v>44773</v>
      </c>
      <c r="C9967" s="3" t="inlineStr">
        <is>
          <t>Equity</t>
        </is>
      </c>
      <c r="D9967" s="3" t="inlineStr">
        <is>
          <t>5101/000</t>
        </is>
      </c>
      <c r="E9967" s="3" t="inlineStr">
        <is>
          <t>Share Capital - Ordinary Type A</t>
        </is>
      </c>
      <c r="F9967" s="3" t="n">
        <v>0</v>
      </c>
      <c r="G9967" s="3" t="n">
        <v>-70</v>
      </c>
    </row>
    <row r="9968">
      <c r="A9968" s="3" t="inlineStr">
        <is>
          <t>Opportunity Global Investment (PTY) LTD</t>
        </is>
      </c>
      <c r="B9968" s="4" t="n">
        <v>44773</v>
      </c>
      <c r="C9968" s="3" t="inlineStr">
        <is>
          <t>Equity</t>
        </is>
      </c>
      <c r="D9968" s="3" t="inlineStr">
        <is>
          <t>5102/000</t>
        </is>
      </c>
      <c r="E9968" s="3" t="inlineStr">
        <is>
          <t>Share Capital - Ordinary Type B</t>
        </is>
      </c>
      <c r="F9968" s="3" t="n">
        <v>0</v>
      </c>
      <c r="G9968" s="3" t="n">
        <v>-30</v>
      </c>
    </row>
    <row r="9969">
      <c r="A9969" s="3" t="inlineStr">
        <is>
          <t>Endulini (Pty) Ltd</t>
        </is>
      </c>
      <c r="B9969" s="4" t="n">
        <v>44773</v>
      </c>
      <c r="C9969" s="3" t="inlineStr">
        <is>
          <t>Equity</t>
        </is>
      </c>
      <c r="D9969" s="3" t="inlineStr">
        <is>
          <t>5200/000</t>
        </is>
      </c>
      <c r="E9969" s="3" t="inlineStr">
        <is>
          <t>Retained Earnings / Loss</t>
        </is>
      </c>
      <c r="F9969" s="3" t="n">
        <v>0</v>
      </c>
      <c r="G9969" s="3" t="n">
        <v>-4937860.07</v>
      </c>
    </row>
    <row r="9970">
      <c r="A9970" s="3" t="inlineStr">
        <is>
          <t>Noble Shield (Pty) Ltd ta Go Letting</t>
        </is>
      </c>
      <c r="B9970" s="4" t="n">
        <v>44773</v>
      </c>
      <c r="C9970" s="3" t="inlineStr">
        <is>
          <t>Equity</t>
        </is>
      </c>
      <c r="D9970" s="3" t="inlineStr">
        <is>
          <t>5200/000</t>
        </is>
      </c>
      <c r="E9970" s="3" t="inlineStr">
        <is>
          <t>Retained Earnings / Loss</t>
        </is>
      </c>
      <c r="F9970" s="3" t="n">
        <v>0</v>
      </c>
      <c r="G9970" s="3" t="n">
        <v>-59256.74</v>
      </c>
    </row>
    <row r="9971">
      <c r="A9971" s="3" t="inlineStr">
        <is>
          <t>Opportunity Global Investment (PTY) LTD</t>
        </is>
      </c>
      <c r="B9971" s="4" t="n">
        <v>44773</v>
      </c>
      <c r="C9971" s="3" t="inlineStr">
        <is>
          <t>Equity</t>
        </is>
      </c>
      <c r="D9971" s="3" t="inlineStr">
        <is>
          <t>5200/000</t>
        </is>
      </c>
      <c r="E9971" s="3" t="inlineStr">
        <is>
          <t>Retained Earnings / Loss</t>
        </is>
      </c>
      <c r="F9971" s="3" t="n">
        <v>0</v>
      </c>
      <c r="G9971" s="3" t="n">
        <v>465853.58</v>
      </c>
    </row>
    <row r="9972">
      <c r="A9972" s="3" t="inlineStr">
        <is>
          <t>Opportunity Global Sales (PTY) LTD</t>
        </is>
      </c>
      <c r="B9972" s="4" t="n">
        <v>44773</v>
      </c>
      <c r="C9972" s="3" t="inlineStr">
        <is>
          <t>Equity</t>
        </is>
      </c>
      <c r="D9972" s="3" t="inlineStr">
        <is>
          <t>5200/000</t>
        </is>
      </c>
      <c r="E9972" s="3" t="inlineStr">
        <is>
          <t>Retained Earnings / Loss</t>
        </is>
      </c>
      <c r="F9972" s="3" t="n">
        <v>0</v>
      </c>
      <c r="G9972" s="3" t="n">
        <v>-565683.55</v>
      </c>
    </row>
    <row r="9973">
      <c r="A9973" s="3" t="inlineStr">
        <is>
          <t>Opportunity Management Holdings (PTY) LTD</t>
        </is>
      </c>
      <c r="B9973" s="4" t="n">
        <v>44773</v>
      </c>
      <c r="C9973" s="3" t="inlineStr">
        <is>
          <t>Equity</t>
        </is>
      </c>
      <c r="D9973" s="3" t="inlineStr">
        <is>
          <t>5200/000</t>
        </is>
      </c>
      <c r="E9973" s="3" t="inlineStr">
        <is>
          <t>Retained Earnings / Loss</t>
        </is>
      </c>
      <c r="F9973" s="3" t="n">
        <v>0</v>
      </c>
      <c r="G9973" s="3" t="n">
        <v>1435438.74</v>
      </c>
    </row>
    <row r="9974">
      <c r="A9974" s="3" t="inlineStr">
        <is>
          <t>Quinate Consulting (Pty) Ltd</t>
        </is>
      </c>
      <c r="B9974" s="4" t="n">
        <v>44773</v>
      </c>
      <c r="C9974" s="3" t="inlineStr">
        <is>
          <t>Equity</t>
        </is>
      </c>
      <c r="D9974" s="3" t="inlineStr">
        <is>
          <t>5200/000</t>
        </is>
      </c>
      <c r="E9974" s="3" t="inlineStr">
        <is>
          <t>Retained Earnings / Loss</t>
        </is>
      </c>
      <c r="F9974" s="3" t="n">
        <v>0</v>
      </c>
      <c r="G9974" s="3" t="n">
        <v>571333.3</v>
      </c>
    </row>
    <row r="9975">
      <c r="A9975" s="3" t="inlineStr">
        <is>
          <t>Trademark Holdings (Pty) Ltd</t>
        </is>
      </c>
      <c r="B9975" s="4" t="n">
        <v>44773</v>
      </c>
      <c r="C9975" s="3" t="inlineStr">
        <is>
          <t>Equity</t>
        </is>
      </c>
      <c r="D9975" s="3" t="inlineStr">
        <is>
          <t>5200/000</t>
        </is>
      </c>
      <c r="E9975" s="3" t="inlineStr">
        <is>
          <t>Retained Earnings / Loss</t>
        </is>
      </c>
      <c r="F9975" s="3" t="n">
        <v>0</v>
      </c>
      <c r="G9975" s="3" t="n">
        <v>-150612.02</v>
      </c>
    </row>
    <row r="9976">
      <c r="A9976" s="3" t="inlineStr">
        <is>
          <t>Quinate Consulting (Pty) Ltd</t>
        </is>
      </c>
      <c r="B9976" s="4" t="n">
        <v>44773</v>
      </c>
      <c r="C9976" s="3" t="inlineStr">
        <is>
          <t>Assets</t>
        </is>
      </c>
      <c r="D9976" s="3" t="inlineStr">
        <is>
          <t>5400/011</t>
        </is>
      </c>
      <c r="E9976" s="3" t="inlineStr">
        <is>
          <t>Members Loan - Nick Morgan</t>
        </is>
      </c>
      <c r="F9976" s="3" t="n">
        <v>0</v>
      </c>
      <c r="G9976" s="3" t="n">
        <v>-85743.69</v>
      </c>
    </row>
    <row r="9977">
      <c r="A9977" s="3" t="inlineStr">
        <is>
          <t>Opportunity Management Holdings (PTY) LTD</t>
        </is>
      </c>
      <c r="B9977" s="4" t="n">
        <v>44773</v>
      </c>
      <c r="C9977" s="3" t="inlineStr">
        <is>
          <t>Assets</t>
        </is>
      </c>
      <c r="D9977" s="3" t="inlineStr">
        <is>
          <t>5400/500</t>
        </is>
      </c>
      <c r="E9977" s="3" t="inlineStr">
        <is>
          <t>Shareholder - Zak Loan</t>
        </is>
      </c>
      <c r="F9977" s="3" t="n">
        <v>0</v>
      </c>
      <c r="G9977" s="3" t="n">
        <v>-171798.21</v>
      </c>
    </row>
    <row r="9978">
      <c r="A9978" s="3" t="inlineStr">
        <is>
          <t>Quinate Consulting (Pty) Ltd</t>
        </is>
      </c>
      <c r="B9978" s="4" t="n">
        <v>44773</v>
      </c>
      <c r="C9978" s="3" t="inlineStr">
        <is>
          <t>Liabilities</t>
        </is>
      </c>
      <c r="D9978" s="3" t="inlineStr">
        <is>
          <t>5500/010</t>
        </is>
      </c>
      <c r="E9978" s="3" t="inlineStr">
        <is>
          <t>Loan - Wynand Haywood</t>
        </is>
      </c>
      <c r="F9978" s="3" t="n">
        <v>0</v>
      </c>
      <c r="G9978" s="3" t="n">
        <v>1928.67</v>
      </c>
    </row>
    <row r="9979">
      <c r="A9979" s="3" t="inlineStr">
        <is>
          <t>Quinate Consulting (Pty) Ltd</t>
        </is>
      </c>
      <c r="B9979" s="4" t="n">
        <v>44773</v>
      </c>
      <c r="C9979" s="3" t="inlineStr">
        <is>
          <t>Liabilities</t>
        </is>
      </c>
      <c r="D9979" s="3" t="inlineStr">
        <is>
          <t>5500/030</t>
        </is>
      </c>
      <c r="E9979" s="3" t="inlineStr">
        <is>
          <t>Loan - Heron Projects</t>
        </is>
      </c>
      <c r="F9979" s="3" t="n">
        <v>-424000</v>
      </c>
      <c r="G9979" s="3" t="n">
        <v>0</v>
      </c>
    </row>
    <row r="9980">
      <c r="A9980" s="3" t="inlineStr">
        <is>
          <t>Opportunity Global Investment (PTY) LTD</t>
        </is>
      </c>
      <c r="B9980" s="4" t="n">
        <v>44773</v>
      </c>
      <c r="C9980" s="3" t="inlineStr">
        <is>
          <t>Liabilities</t>
        </is>
      </c>
      <c r="D9980" s="3" t="inlineStr">
        <is>
          <t>5500/100</t>
        </is>
      </c>
      <c r="E9980" s="3" t="inlineStr">
        <is>
          <t>Loan - Cape Projects Construction</t>
        </is>
      </c>
      <c r="F9980" s="3" t="n">
        <v>-75000</v>
      </c>
      <c r="G9980" s="3" t="n">
        <v>-65000</v>
      </c>
    </row>
    <row r="9981">
      <c r="A9981" s="3" t="inlineStr">
        <is>
          <t>Noble Shield (Pty) Ltd ta Go Letting</t>
        </is>
      </c>
      <c r="B9981" s="4" t="n">
        <v>44773</v>
      </c>
      <c r="C9981" s="3" t="inlineStr">
        <is>
          <t>Liabilities</t>
        </is>
      </c>
      <c r="D9981" s="3" t="inlineStr">
        <is>
          <t>5500/100</t>
        </is>
      </c>
      <c r="E9981" s="3" t="inlineStr">
        <is>
          <t>Loan - Jupiter Trust</t>
        </is>
      </c>
      <c r="F9981" s="3" t="n">
        <v>0</v>
      </c>
      <c r="G9981" s="3" t="n">
        <v>-100228.75</v>
      </c>
    </row>
    <row r="9982">
      <c r="A9982" s="3" t="inlineStr">
        <is>
          <t>Endulini (Pty) Ltd</t>
        </is>
      </c>
      <c r="B9982" s="4" t="n">
        <v>44773</v>
      </c>
      <c r="C9982" s="3" t="inlineStr">
        <is>
          <t>Liabilities</t>
        </is>
      </c>
      <c r="D9982" s="3" t="inlineStr">
        <is>
          <t>5500/100</t>
        </is>
      </c>
      <c r="E9982" s="3" t="inlineStr">
        <is>
          <t>Loan - Quinate Consulting</t>
        </is>
      </c>
      <c r="F9982" s="3" t="n">
        <v>-78000</v>
      </c>
      <c r="G9982" s="3" t="n">
        <v>-10064761.7</v>
      </c>
    </row>
    <row r="9983">
      <c r="A9983" s="3" t="inlineStr">
        <is>
          <t>Opportunity Global Investment (PTY) LTD</t>
        </is>
      </c>
      <c r="B9983" s="4" t="n">
        <v>44773</v>
      </c>
      <c r="C9983" s="3" t="inlineStr">
        <is>
          <t>Liabilities</t>
        </is>
      </c>
      <c r="D9983" s="3" t="inlineStr">
        <is>
          <t>5500/112</t>
        </is>
      </c>
      <c r="E9983" s="3" t="inlineStr">
        <is>
          <t>Loan - GFY</t>
        </is>
      </c>
      <c r="F9983" s="3" t="n">
        <v>0</v>
      </c>
      <c r="G9983" s="3" t="n">
        <v>-289000</v>
      </c>
    </row>
    <row r="9984">
      <c r="A9984" s="3" t="inlineStr">
        <is>
          <t>Endulini (Pty) Ltd</t>
        </is>
      </c>
      <c r="B9984" s="4" t="n">
        <v>44773</v>
      </c>
      <c r="C9984" s="3" t="inlineStr">
        <is>
          <t>Liabilities</t>
        </is>
      </c>
      <c r="D9984" s="3" t="inlineStr">
        <is>
          <t>5500/150</t>
        </is>
      </c>
      <c r="E9984" s="3" t="inlineStr">
        <is>
          <t>Loan - Cape Projects Construction</t>
        </is>
      </c>
      <c r="F9984" s="3" t="n">
        <v>-210000</v>
      </c>
      <c r="G9984" s="3" t="n">
        <v>-210000</v>
      </c>
    </row>
    <row r="9985">
      <c r="A9985" s="3" t="inlineStr">
        <is>
          <t>Quinate Consulting (Pty) Ltd</t>
        </is>
      </c>
      <c r="B9985" s="4" t="n">
        <v>44773</v>
      </c>
      <c r="C9985" s="3" t="inlineStr">
        <is>
          <t>Liabilities</t>
        </is>
      </c>
      <c r="D9985" s="3" t="inlineStr">
        <is>
          <t>5500/150</t>
        </is>
      </c>
      <c r="E9985" s="3" t="inlineStr">
        <is>
          <t>Loan - Cape Projects Structuring</t>
        </is>
      </c>
      <c r="F9985" s="3" t="n">
        <v>300000</v>
      </c>
      <c r="G9985" s="3" t="n">
        <v>0</v>
      </c>
    </row>
    <row r="9986">
      <c r="A9986" s="3" t="inlineStr">
        <is>
          <t>Quinate Consulting (Pty) Ltd</t>
        </is>
      </c>
      <c r="B9986" s="4" t="n">
        <v>44773</v>
      </c>
      <c r="C9986" s="3" t="inlineStr">
        <is>
          <t>Liabilities</t>
        </is>
      </c>
      <c r="D9986" s="3" t="inlineStr">
        <is>
          <t>5500/160</t>
        </is>
      </c>
      <c r="E9986" s="3" t="inlineStr">
        <is>
          <t>Loan - GFY Investment and Consulting</t>
        </is>
      </c>
      <c r="F9986" s="3" t="n">
        <v>24618.82</v>
      </c>
      <c r="G9986" s="3" t="n">
        <v>-1750249.93</v>
      </c>
    </row>
    <row r="9987">
      <c r="A9987" s="3" t="inlineStr">
        <is>
          <t>Opportunity Management Holdings (PTY) LTD</t>
        </is>
      </c>
      <c r="B9987" s="4" t="n">
        <v>44773</v>
      </c>
      <c r="C9987" s="3" t="inlineStr">
        <is>
          <t>Liabilities</t>
        </is>
      </c>
      <c r="D9987" s="3" t="inlineStr">
        <is>
          <t>5500/200</t>
        </is>
      </c>
      <c r="E9987" s="3" t="inlineStr">
        <is>
          <t>Loan - Cape Projects</t>
        </is>
      </c>
      <c r="F9987" s="3" t="n">
        <v>115000</v>
      </c>
      <c r="G9987" s="3" t="n">
        <v>115000</v>
      </c>
    </row>
    <row r="9988">
      <c r="A9988" s="3" t="inlineStr">
        <is>
          <t>Endulini (Pty) Ltd</t>
        </is>
      </c>
      <c r="B9988" s="4" t="n">
        <v>44773</v>
      </c>
      <c r="C9988" s="3" t="inlineStr">
        <is>
          <t>Liabilities</t>
        </is>
      </c>
      <c r="D9988" s="3" t="inlineStr">
        <is>
          <t>5500/250</t>
        </is>
      </c>
      <c r="E9988" s="3" t="inlineStr">
        <is>
          <t>Loan - Heron Projects</t>
        </is>
      </c>
      <c r="F9988" s="3" t="n">
        <v>0</v>
      </c>
      <c r="G9988" s="3" t="n">
        <v>4240.63</v>
      </c>
    </row>
    <row r="9989">
      <c r="A9989" s="3" t="inlineStr">
        <is>
          <t>Trademark Holdings (Pty) Ltd</t>
        </is>
      </c>
      <c r="B9989" s="4" t="n">
        <v>44773</v>
      </c>
      <c r="C9989" s="3" t="inlineStr">
        <is>
          <t>Liabilities</t>
        </is>
      </c>
      <c r="D9989" s="3" t="inlineStr">
        <is>
          <t>5500/250</t>
        </is>
      </c>
      <c r="E9989" s="3" t="inlineStr">
        <is>
          <t>Loan - Noble Shield</t>
        </is>
      </c>
      <c r="F9989" s="3" t="n">
        <v>0</v>
      </c>
      <c r="G9989" s="3" t="n">
        <v>93165.59</v>
      </c>
    </row>
    <row r="9990">
      <c r="A9990" s="3" t="inlineStr">
        <is>
          <t>Quinate Consulting (Pty) Ltd</t>
        </is>
      </c>
      <c r="B9990" s="4" t="n">
        <v>44773</v>
      </c>
      <c r="C9990" s="3" t="inlineStr">
        <is>
          <t>Liabilities</t>
        </is>
      </c>
      <c r="D9990" s="3" t="inlineStr">
        <is>
          <t>5500/300</t>
        </is>
      </c>
      <c r="E9990" s="3" t="inlineStr">
        <is>
          <t>Loan - Gengis</t>
        </is>
      </c>
      <c r="F9990" s="3" t="n">
        <v>9022.15</v>
      </c>
      <c r="G9990" s="3" t="n">
        <v>-272361.65</v>
      </c>
    </row>
    <row r="9991">
      <c r="A9991" s="3" t="inlineStr">
        <is>
          <t>Opportunity Management Holdings (PTY) LTD</t>
        </is>
      </c>
      <c r="B9991" s="4" t="n">
        <v>44773</v>
      </c>
      <c r="C9991" s="3" t="inlineStr">
        <is>
          <t>Liabilities</t>
        </is>
      </c>
      <c r="D9991" s="3" t="inlineStr">
        <is>
          <t>5500/300</t>
        </is>
      </c>
      <c r="E9991" s="3" t="inlineStr">
        <is>
          <t>Loan - Opportunity Prop Management</t>
        </is>
      </c>
      <c r="F9991" s="3" t="n">
        <v>0</v>
      </c>
      <c r="G9991" s="3" t="n">
        <v>-1220204.15</v>
      </c>
    </row>
    <row r="9992">
      <c r="A9992" s="3" t="inlineStr">
        <is>
          <t>Noble Shield (Pty) Ltd ta Go Letting</t>
        </is>
      </c>
      <c r="B9992" s="4" t="n">
        <v>44773</v>
      </c>
      <c r="C9992" s="3" t="inlineStr">
        <is>
          <t>Liabilities</t>
        </is>
      </c>
      <c r="D9992" s="3" t="inlineStr">
        <is>
          <t>5500/300</t>
        </is>
      </c>
      <c r="E9992" s="3" t="inlineStr">
        <is>
          <t>Loan - Trademark Holdings</t>
        </is>
      </c>
      <c r="F9992" s="3" t="n">
        <v>0</v>
      </c>
      <c r="G9992" s="3" t="n">
        <v>-93165.59</v>
      </c>
    </row>
    <row r="9993">
      <c r="A9993" s="3" t="inlineStr">
        <is>
          <t>Trademark Holdings (Pty) Ltd</t>
        </is>
      </c>
      <c r="B9993" s="4" t="n">
        <v>44773</v>
      </c>
      <c r="C9993" s="3" t="inlineStr">
        <is>
          <t>Liabilities</t>
        </is>
      </c>
      <c r="D9993" s="3" t="inlineStr">
        <is>
          <t>5500/350</t>
        </is>
      </c>
      <c r="E9993" s="3" t="inlineStr">
        <is>
          <t>Loan - Quinate Consulting</t>
        </is>
      </c>
      <c r="F9993" s="3" t="n">
        <v>-18635</v>
      </c>
      <c r="G9993" s="3" t="n">
        <v>0</v>
      </c>
    </row>
    <row r="9994">
      <c r="A9994" s="3" t="inlineStr">
        <is>
          <t>Trademark Holdings (Pty) Ltd</t>
        </is>
      </c>
      <c r="B9994" s="4" t="n">
        <v>44773</v>
      </c>
      <c r="C9994" s="3" t="inlineStr">
        <is>
          <t>Liabilities</t>
        </is>
      </c>
      <c r="D9994" s="3" t="inlineStr">
        <is>
          <t>5500/375</t>
        </is>
      </c>
      <c r="E9994" s="3" t="inlineStr">
        <is>
          <t>Loan - Opportunity Management Holdings Pty Ltd</t>
        </is>
      </c>
      <c r="F9994" s="3" t="n">
        <v>27125</v>
      </c>
      <c r="G9994" s="3" t="n">
        <v>0</v>
      </c>
    </row>
    <row r="9995">
      <c r="A9995" s="3" t="inlineStr">
        <is>
          <t>Trademark Holdings (Pty) Ltd</t>
        </is>
      </c>
      <c r="B9995" s="4" t="n">
        <v>44773</v>
      </c>
      <c r="C9995" s="3" t="inlineStr">
        <is>
          <t>Liabilities</t>
        </is>
      </c>
      <c r="D9995" s="3" t="inlineStr">
        <is>
          <t>5500/450</t>
        </is>
      </c>
      <c r="E9995" s="3" t="inlineStr">
        <is>
          <t>Loan - Cape Projects Construction</t>
        </is>
      </c>
      <c r="F9995" s="3" t="n">
        <v>0</v>
      </c>
      <c r="G9995" s="3" t="n">
        <v>-600</v>
      </c>
    </row>
    <row r="9996">
      <c r="A9996" s="3" t="inlineStr">
        <is>
          <t>Trademark Holdings (Pty) Ltd</t>
        </is>
      </c>
      <c r="B9996" s="4" t="n">
        <v>44773</v>
      </c>
      <c r="C9996" s="3" t="inlineStr">
        <is>
          <t>Liabilities</t>
        </is>
      </c>
      <c r="D9996" s="3" t="inlineStr">
        <is>
          <t>5500/460</t>
        </is>
      </c>
      <c r="E9996" s="3" t="inlineStr">
        <is>
          <t>Loan - Heron Projects</t>
        </is>
      </c>
      <c r="F9996" s="3" t="n">
        <v>-45000</v>
      </c>
      <c r="G9996" s="3" t="n">
        <v>0</v>
      </c>
    </row>
    <row r="9997">
      <c r="A9997" s="3" t="inlineStr">
        <is>
          <t>Trademark Holdings (Pty) Ltd</t>
        </is>
      </c>
      <c r="B9997" s="4" t="n">
        <v>44773</v>
      </c>
      <c r="C9997" s="3" t="inlineStr">
        <is>
          <t>Liabilities</t>
        </is>
      </c>
      <c r="D9997" s="3" t="inlineStr">
        <is>
          <t>5500/500</t>
        </is>
      </c>
      <c r="E9997" s="3" t="inlineStr">
        <is>
          <t>Go Letting Brand Name</t>
        </is>
      </c>
      <c r="F9997" s="3" t="n">
        <v>0</v>
      </c>
      <c r="G9997" s="3" t="n">
        <v>93420</v>
      </c>
    </row>
    <row r="9998">
      <c r="A9998" s="3" t="inlineStr">
        <is>
          <t>Noble Shield (Pty) Ltd ta Go Letting</t>
        </is>
      </c>
      <c r="B9998" s="4" t="n">
        <v>44773</v>
      </c>
      <c r="C9998" s="3" t="inlineStr">
        <is>
          <t>Liabilities</t>
        </is>
      </c>
      <c r="D9998" s="3" t="inlineStr">
        <is>
          <t>5500/500</t>
        </is>
      </c>
      <c r="E9998" s="3" t="inlineStr">
        <is>
          <t>Loan - Cape Projects Construction</t>
        </is>
      </c>
      <c r="F9998" s="3" t="n">
        <v>0</v>
      </c>
      <c r="G9998" s="3" t="n">
        <v>-600</v>
      </c>
    </row>
    <row r="9999">
      <c r="A9999" s="3" t="inlineStr">
        <is>
          <t>Quinate Consulting (Pty) Ltd</t>
        </is>
      </c>
      <c r="B9999" s="4" t="n">
        <v>44773</v>
      </c>
      <c r="C9999" s="3" t="inlineStr">
        <is>
          <t>Liabilities</t>
        </is>
      </c>
      <c r="D9999" s="3" t="inlineStr">
        <is>
          <t>5500/500</t>
        </is>
      </c>
      <c r="E9999" s="3" t="inlineStr">
        <is>
          <t>Loan - Opportunity Development Struct.</t>
        </is>
      </c>
      <c r="F9999" s="3" t="n">
        <v>0</v>
      </c>
      <c r="G9999" s="3" t="n">
        <v>-2380000</v>
      </c>
    </row>
    <row r="10000">
      <c r="A10000" s="3" t="inlineStr">
        <is>
          <t>Opportunity Management Holdings (PTY) LTD</t>
        </is>
      </c>
      <c r="B10000" s="4" t="n">
        <v>44773</v>
      </c>
      <c r="C10000" s="3" t="inlineStr">
        <is>
          <t>Liabilities</t>
        </is>
      </c>
      <c r="D10000" s="3" t="inlineStr">
        <is>
          <t>5500/500</t>
        </is>
      </c>
      <c r="E10000" s="3" t="inlineStr">
        <is>
          <t>Loan - Opportunity Tradermark Holdings</t>
        </is>
      </c>
      <c r="F10000" s="3" t="n">
        <v>-27125</v>
      </c>
      <c r="G10000" s="3" t="n">
        <v>0</v>
      </c>
    </row>
    <row r="10001">
      <c r="A10001" s="3" t="inlineStr">
        <is>
          <t>Quinate Consulting (Pty) Ltd</t>
        </is>
      </c>
      <c r="B10001" s="4" t="n">
        <v>44773</v>
      </c>
      <c r="C10001" s="3" t="inlineStr">
        <is>
          <t>Liabilities</t>
        </is>
      </c>
      <c r="D10001" s="3" t="inlineStr">
        <is>
          <t>5500/520</t>
        </is>
      </c>
      <c r="E10001" s="3" t="inlineStr">
        <is>
          <t>Loan - Opportunity Management Holdings</t>
        </is>
      </c>
      <c r="F10001" s="3" t="n">
        <v>0</v>
      </c>
      <c r="G10001" s="3" t="n">
        <v>-3900</v>
      </c>
    </row>
    <row r="10002">
      <c r="A10002" s="3" t="inlineStr">
        <is>
          <t>Opportunity Management Holdings (PTY) LTD</t>
        </is>
      </c>
      <c r="B10002" s="4" t="n">
        <v>44773</v>
      </c>
      <c r="C10002" s="3" t="inlineStr">
        <is>
          <t>Liabilities</t>
        </is>
      </c>
      <c r="D10002" s="3" t="inlineStr">
        <is>
          <t>5500/550</t>
        </is>
      </c>
      <c r="E10002" s="3" t="inlineStr">
        <is>
          <t>Loan - Heron Projects</t>
        </is>
      </c>
      <c r="F10002" s="3" t="n">
        <v>-127000</v>
      </c>
      <c r="G10002" s="3" t="n">
        <v>0</v>
      </c>
    </row>
    <row r="10003">
      <c r="A10003" s="3" t="inlineStr">
        <is>
          <t>Noble Shield (Pty) Ltd ta Go Letting</t>
        </is>
      </c>
      <c r="B10003" s="4" t="n">
        <v>44773</v>
      </c>
      <c r="C10003" s="3" t="inlineStr">
        <is>
          <t>Liabilities</t>
        </is>
      </c>
      <c r="D10003" s="3" t="inlineStr">
        <is>
          <t>5500/600</t>
        </is>
      </c>
      <c r="E10003" s="3" t="inlineStr">
        <is>
          <t>Loan - Heron Projects</t>
        </is>
      </c>
      <c r="F10003" s="3" t="n">
        <v>-11000</v>
      </c>
      <c r="G10003" s="3" t="n">
        <v>0</v>
      </c>
    </row>
    <row r="10004">
      <c r="A10004" s="3" t="inlineStr">
        <is>
          <t>Opportunity Global Investment (PTY) LTD</t>
        </is>
      </c>
      <c r="B10004" s="4" t="n">
        <v>44773</v>
      </c>
      <c r="C10004" s="3" t="inlineStr">
        <is>
          <t>Liabilities</t>
        </is>
      </c>
      <c r="D10004" s="3" t="inlineStr">
        <is>
          <t>5500/650</t>
        </is>
      </c>
      <c r="E10004" s="3" t="inlineStr">
        <is>
          <t>Loan - Opportunit Global - Sales</t>
        </is>
      </c>
      <c r="F10004" s="3" t="n">
        <v>94740.24000000001</v>
      </c>
      <c r="G10004" s="3" t="n">
        <v>-1072432.19</v>
      </c>
    </row>
    <row r="10005">
      <c r="A10005" s="3" t="inlineStr">
        <is>
          <t>Opportunity Global Sales (PTY) LTD</t>
        </is>
      </c>
      <c r="B10005" s="4" t="n">
        <v>44773</v>
      </c>
      <c r="C10005" s="3" t="inlineStr">
        <is>
          <t>Liabilities</t>
        </is>
      </c>
      <c r="D10005" s="3" t="inlineStr">
        <is>
          <t>5500/650</t>
        </is>
      </c>
      <c r="E10005" s="3" t="inlineStr">
        <is>
          <t>Loan - Opportunity Investments</t>
        </is>
      </c>
      <c r="F10005" s="3" t="n">
        <v>-94740.24000000001</v>
      </c>
      <c r="G10005" s="3" t="n">
        <v>1072432.19</v>
      </c>
    </row>
    <row r="10006">
      <c r="A10006" s="3" t="inlineStr">
        <is>
          <t>Opportunity Management Holdings (PTY) LTD</t>
        </is>
      </c>
      <c r="B10006" s="4" t="n">
        <v>44773</v>
      </c>
      <c r="C10006" s="3" t="inlineStr">
        <is>
          <t>Liabilities</t>
        </is>
      </c>
      <c r="D10006" s="3" t="inlineStr">
        <is>
          <t>5500/700</t>
        </is>
      </c>
      <c r="E10006" s="3" t="inlineStr">
        <is>
          <t>Loan - Go Letting</t>
        </is>
      </c>
      <c r="F10006" s="3" t="n">
        <v>0</v>
      </c>
      <c r="G10006" s="3" t="n">
        <v>-120</v>
      </c>
    </row>
    <row r="10007">
      <c r="A10007" s="3" t="inlineStr">
        <is>
          <t>Quinate Consulting (Pty) Ltd</t>
        </is>
      </c>
      <c r="B10007" s="4" t="n">
        <v>44773</v>
      </c>
      <c r="C10007" s="3" t="inlineStr">
        <is>
          <t>Liabilities</t>
        </is>
      </c>
      <c r="D10007" s="3" t="inlineStr">
        <is>
          <t>5500/700</t>
        </is>
      </c>
      <c r="E10007" s="3" t="inlineStr">
        <is>
          <t>Loan - Trademark Holdings</t>
        </is>
      </c>
      <c r="F10007" s="3" t="n">
        <v>18635</v>
      </c>
      <c r="G10007" s="3" t="n">
        <v>0</v>
      </c>
    </row>
    <row r="10008">
      <c r="A10008" s="3" t="inlineStr">
        <is>
          <t>Opportunity Global Investment (PTY) LTD</t>
        </is>
      </c>
      <c r="B10008" s="4" t="n">
        <v>44773</v>
      </c>
      <c r="C10008" s="3" t="inlineStr">
        <is>
          <t>Liabilities</t>
        </is>
      </c>
      <c r="D10008" s="3" t="inlineStr">
        <is>
          <t>5500/750</t>
        </is>
      </c>
      <c r="E10008" s="3" t="inlineStr">
        <is>
          <t>Loan - Heron Projects</t>
        </is>
      </c>
      <c r="F10008" s="3" t="n">
        <v>-127000</v>
      </c>
      <c r="G10008" s="3" t="n">
        <v>0</v>
      </c>
    </row>
    <row r="10009">
      <c r="A10009" s="3" t="inlineStr">
        <is>
          <t>Opportunity Global Investment (PTY) LTD</t>
        </is>
      </c>
      <c r="B10009" s="4" t="n">
        <v>44773</v>
      </c>
      <c r="C10009" s="3" t="inlineStr">
        <is>
          <t>Liabilities</t>
        </is>
      </c>
      <c r="D10009" s="3" t="inlineStr">
        <is>
          <t>5500/850</t>
        </is>
      </c>
      <c r="E10009" s="3" t="inlineStr">
        <is>
          <t>Loan - Nick Morgan</t>
        </is>
      </c>
      <c r="F10009" s="3" t="n">
        <v>0</v>
      </c>
      <c r="G10009" s="3" t="n">
        <v>4100</v>
      </c>
    </row>
    <row r="10010">
      <c r="A10010" s="3" t="inlineStr">
        <is>
          <t>Opportunity Global Investment (PTY) LTD</t>
        </is>
      </c>
      <c r="B10010" s="4" t="n">
        <v>44773</v>
      </c>
      <c r="C10010" s="3" t="inlineStr">
        <is>
          <t>Liabilities</t>
        </is>
      </c>
      <c r="D10010" s="3" t="inlineStr">
        <is>
          <t>5500/950</t>
        </is>
      </c>
      <c r="E10010" s="3" t="inlineStr">
        <is>
          <t>Loan - Gengis</t>
        </is>
      </c>
      <c r="F10010" s="3" t="n">
        <v>0</v>
      </c>
      <c r="G10010" s="3" t="n">
        <v>-120000</v>
      </c>
    </row>
    <row r="10011">
      <c r="A10011" s="3" t="inlineStr">
        <is>
          <t>Quinate Consulting (Pty) Ltd</t>
        </is>
      </c>
      <c r="B10011" s="4" t="n">
        <v>44773</v>
      </c>
      <c r="C10011" s="3" t="inlineStr">
        <is>
          <t>Liabilities</t>
        </is>
      </c>
      <c r="D10011" s="3" t="inlineStr">
        <is>
          <t>5501/001</t>
        </is>
      </c>
      <c r="E10011" s="3" t="inlineStr">
        <is>
          <t>Loan - Endulini CIP Costs</t>
        </is>
      </c>
      <c r="F10011" s="3" t="n">
        <v>78000</v>
      </c>
      <c r="G10011" s="3" t="n">
        <v>9744761.699999999</v>
      </c>
    </row>
    <row r="10012">
      <c r="A10012" s="3" t="inlineStr">
        <is>
          <t>Opportunity Management Holdings (PTY) LTD</t>
        </is>
      </c>
      <c r="B10012" s="4" t="n">
        <v>44773</v>
      </c>
      <c r="C10012" s="3" t="inlineStr">
        <is>
          <t>Liabilities</t>
        </is>
      </c>
      <c r="D10012" s="3" t="inlineStr">
        <is>
          <t>5510/100</t>
        </is>
      </c>
      <c r="E10012" s="3" t="inlineStr">
        <is>
          <t>Staff loan - Debbie Landsberg</t>
        </is>
      </c>
      <c r="F10012" s="3" t="n">
        <v>0</v>
      </c>
      <c r="G10012" s="3" t="n">
        <v>14400</v>
      </c>
    </row>
    <row r="10013">
      <c r="A10013" s="3" t="inlineStr">
        <is>
          <t>Noble Shield (Pty) Ltd ta Go Letting</t>
        </is>
      </c>
      <c r="B10013" s="4" t="n">
        <v>44773</v>
      </c>
      <c r="C10013" s="3" t="inlineStr">
        <is>
          <t>Assets</t>
        </is>
      </c>
      <c r="D10013" s="3" t="inlineStr">
        <is>
          <t>6250/010</t>
        </is>
      </c>
      <c r="E10013" s="3" t="inlineStr">
        <is>
          <t>Computer Equipment - @ Cost</t>
        </is>
      </c>
      <c r="F10013" s="3" t="n">
        <v>0</v>
      </c>
      <c r="G10013" s="3" t="n">
        <v>20397</v>
      </c>
    </row>
    <row r="10014">
      <c r="A10014" s="3" t="inlineStr">
        <is>
          <t>Opportunity Management Holdings (PTY) LTD</t>
        </is>
      </c>
      <c r="B10014" s="4" t="n">
        <v>44773</v>
      </c>
      <c r="C10014" s="3" t="inlineStr">
        <is>
          <t>Assets</t>
        </is>
      </c>
      <c r="D10014" s="3" t="inlineStr">
        <is>
          <t>6250/010</t>
        </is>
      </c>
      <c r="E10014" s="3" t="inlineStr">
        <is>
          <t>Computer Equipment - @ Cost</t>
        </is>
      </c>
      <c r="F10014" s="3" t="n">
        <v>2168.7</v>
      </c>
      <c r="G10014" s="3" t="n">
        <v>27078.85</v>
      </c>
    </row>
    <row r="10015">
      <c r="A10015" s="3" t="inlineStr">
        <is>
          <t>Quinate Consulting (Pty) Ltd</t>
        </is>
      </c>
      <c r="B10015" s="4" t="n">
        <v>44773</v>
      </c>
      <c r="C10015" s="3" t="inlineStr">
        <is>
          <t>Assets</t>
        </is>
      </c>
      <c r="D10015" s="3" t="inlineStr">
        <is>
          <t>6250/010</t>
        </is>
      </c>
      <c r="E10015" s="3" t="inlineStr">
        <is>
          <t>Computer Equipment - @ Cost</t>
        </is>
      </c>
      <c r="F10015" s="3" t="n">
        <v>0</v>
      </c>
      <c r="G10015" s="3" t="n">
        <v>137059.7</v>
      </c>
    </row>
    <row r="10016">
      <c r="A10016" s="3" t="inlineStr">
        <is>
          <t>Noble Shield (Pty) Ltd ta Go Letting</t>
        </is>
      </c>
      <c r="B10016" s="4" t="n">
        <v>44773</v>
      </c>
      <c r="C10016" s="3" t="inlineStr">
        <is>
          <t>Assets</t>
        </is>
      </c>
      <c r="D10016" s="3" t="inlineStr">
        <is>
          <t>6250/020</t>
        </is>
      </c>
      <c r="E10016" s="3" t="inlineStr">
        <is>
          <t>Computer Equipment - Accum Depre</t>
        </is>
      </c>
      <c r="F10016" s="3" t="n">
        <v>0</v>
      </c>
      <c r="G10016" s="3" t="n">
        <v>-9498</v>
      </c>
    </row>
    <row r="10017">
      <c r="A10017" s="3" t="inlineStr">
        <is>
          <t>Opportunity Management Holdings (PTY) LTD</t>
        </is>
      </c>
      <c r="B10017" s="4" t="n">
        <v>44773</v>
      </c>
      <c r="C10017" s="3" t="inlineStr">
        <is>
          <t>Assets</t>
        </is>
      </c>
      <c r="D10017" s="3" t="inlineStr">
        <is>
          <t>6250/020</t>
        </is>
      </c>
      <c r="E10017" s="3" t="inlineStr">
        <is>
          <t>Computer Equipment - Accum Depre</t>
        </is>
      </c>
      <c r="F10017" s="3" t="n">
        <v>-337.98</v>
      </c>
      <c r="G10017" s="3" t="n">
        <v>-893.47</v>
      </c>
    </row>
    <row r="10018">
      <c r="A10018" s="3" t="inlineStr">
        <is>
          <t>Quinate Consulting (Pty) Ltd</t>
        </is>
      </c>
      <c r="B10018" s="4" t="n">
        <v>44773</v>
      </c>
      <c r="C10018" s="3" t="inlineStr">
        <is>
          <t>Assets</t>
        </is>
      </c>
      <c r="D10018" s="3" t="inlineStr">
        <is>
          <t>6250/020</t>
        </is>
      </c>
      <c r="E10018" s="3" t="inlineStr">
        <is>
          <t>Computer Equipment - Accum Depre</t>
        </is>
      </c>
      <c r="F10018" s="3" t="n">
        <v>-3141.41</v>
      </c>
      <c r="G10018" s="3" t="n">
        <v>-78003.61</v>
      </c>
    </row>
    <row r="10019">
      <c r="A10019" s="3" t="inlineStr">
        <is>
          <t>Opportunity Management Holdings (PTY) LTD</t>
        </is>
      </c>
      <c r="B10019" s="4" t="n">
        <v>44773</v>
      </c>
      <c r="C10019" s="3" t="inlineStr">
        <is>
          <t>Assets</t>
        </is>
      </c>
      <c r="D10019" s="3" t="inlineStr">
        <is>
          <t>6250/030</t>
        </is>
      </c>
      <c r="E10019" s="3" t="inlineStr">
        <is>
          <t>Acc Depreciation - Computer Equipment</t>
        </is>
      </c>
      <c r="F10019" s="3" t="n">
        <v>0</v>
      </c>
      <c r="G10019" s="3" t="n">
        <v>-9441.25</v>
      </c>
    </row>
    <row r="10020">
      <c r="A10020" s="3" t="inlineStr">
        <is>
          <t>Quinate Consulting (Pty) Ltd</t>
        </is>
      </c>
      <c r="B10020" s="4" t="n">
        <v>44773</v>
      </c>
      <c r="C10020" s="3" t="inlineStr">
        <is>
          <t>Assets</t>
        </is>
      </c>
      <c r="D10020" s="3" t="inlineStr">
        <is>
          <t>6270/010</t>
        </is>
      </c>
      <c r="E10020" s="3" t="inlineStr">
        <is>
          <t>Site Containers - @ Cost</t>
        </is>
      </c>
      <c r="F10020" s="3" t="n">
        <v>0</v>
      </c>
      <c r="G10020" s="3" t="n">
        <v>19130.44</v>
      </c>
    </row>
    <row r="10021">
      <c r="A10021" s="3" t="inlineStr">
        <is>
          <t>Quinate Consulting (Pty) Ltd</t>
        </is>
      </c>
      <c r="B10021" s="4" t="n">
        <v>44773</v>
      </c>
      <c r="C10021" s="3" t="inlineStr">
        <is>
          <t>Assets</t>
        </is>
      </c>
      <c r="D10021" s="3" t="inlineStr">
        <is>
          <t>6270/020</t>
        </is>
      </c>
      <c r="E10021" s="3" t="inlineStr">
        <is>
          <t>Site Containers - Accum Depre</t>
        </is>
      </c>
      <c r="F10021" s="3" t="n">
        <v>-318.84</v>
      </c>
      <c r="G10021" s="3" t="n">
        <v>-5420.28</v>
      </c>
    </row>
    <row r="10022">
      <c r="A10022" s="3" t="inlineStr">
        <is>
          <t>Noble Shield (Pty) Ltd ta Go Letting</t>
        </is>
      </c>
      <c r="B10022" s="4" t="n">
        <v>44773</v>
      </c>
      <c r="C10022" s="3" t="inlineStr">
        <is>
          <t>Assets</t>
        </is>
      </c>
      <c r="D10022" s="3" t="inlineStr">
        <is>
          <t>6350/010</t>
        </is>
      </c>
      <c r="E10022" s="3" t="inlineStr">
        <is>
          <t>Furniture _AND_ Fittings - @ Cost</t>
        </is>
      </c>
      <c r="F10022" s="3" t="n">
        <v>0</v>
      </c>
      <c r="G10022" s="3" t="n">
        <v>2242</v>
      </c>
    </row>
    <row r="10023">
      <c r="A10023" s="3" t="inlineStr">
        <is>
          <t>Opportunity Global Sales (PTY) LTD</t>
        </is>
      </c>
      <c r="B10023" s="4" t="n">
        <v>44773</v>
      </c>
      <c r="C10023" s="3" t="inlineStr">
        <is>
          <t>Assets</t>
        </is>
      </c>
      <c r="D10023" s="3" t="inlineStr">
        <is>
          <t>6350/010</t>
        </is>
      </c>
      <c r="E10023" s="3" t="inlineStr">
        <is>
          <t>Furniture _AND_ Fittings - @ Cost</t>
        </is>
      </c>
      <c r="F10023" s="3" t="n">
        <v>29379.7</v>
      </c>
      <c r="G10023" s="3" t="n">
        <v>29379.7</v>
      </c>
    </row>
    <row r="10024">
      <c r="A10024" s="3" t="inlineStr">
        <is>
          <t>Noble Shield (Pty) Ltd ta Go Letting</t>
        </is>
      </c>
      <c r="B10024" s="4" t="n">
        <v>44773</v>
      </c>
      <c r="C10024" s="3" t="inlineStr">
        <is>
          <t>Assets</t>
        </is>
      </c>
      <c r="D10024" s="3" t="inlineStr">
        <is>
          <t>6350/020</t>
        </is>
      </c>
      <c r="E10024" s="3" t="inlineStr">
        <is>
          <t>Furniture _AND_ Fittings - Accum Depre</t>
        </is>
      </c>
      <c r="F10024" s="3" t="n">
        <v>0</v>
      </c>
      <c r="G10024" s="3" t="n">
        <v>-2239</v>
      </c>
    </row>
    <row r="10025">
      <c r="A10025" s="3" t="inlineStr">
        <is>
          <t>Opportunity Global Sales (PTY) LTD</t>
        </is>
      </c>
      <c r="B10025" s="4" t="n">
        <v>44773</v>
      </c>
      <c r="C10025" s="3" t="inlineStr">
        <is>
          <t>Assets</t>
        </is>
      </c>
      <c r="D10025" s="3" t="inlineStr">
        <is>
          <t>6350/020</t>
        </is>
      </c>
      <c r="E10025" s="3" t="inlineStr">
        <is>
          <t>Furniture _AND_ Fittings - Accum Depre</t>
        </is>
      </c>
      <c r="F10025" s="3" t="n">
        <v>-408.05</v>
      </c>
      <c r="G10025" s="3" t="n">
        <v>-408.05</v>
      </c>
    </row>
    <row r="10026">
      <c r="A10026" s="3" t="inlineStr">
        <is>
          <t>Opportunity Management Holdings (PTY) LTD</t>
        </is>
      </c>
      <c r="B10026" s="4" t="n">
        <v>44773</v>
      </c>
      <c r="C10026" s="3" t="inlineStr">
        <is>
          <t>Liabilities</t>
        </is>
      </c>
      <c r="D10026" s="3" t="inlineStr">
        <is>
          <t>6500/000</t>
        </is>
      </c>
      <c r="E10026" s="3" t="inlineStr">
        <is>
          <t>Deposits - Held</t>
        </is>
      </c>
      <c r="F10026" s="3" t="n">
        <v>0</v>
      </c>
      <c r="G10026" s="3" t="n">
        <v>-12028.1</v>
      </c>
    </row>
    <row r="10027">
      <c r="A10027" s="3" t="inlineStr">
        <is>
          <t>Opportunity Management Holdings (PTY) LTD</t>
        </is>
      </c>
      <c r="B10027" s="4" t="n">
        <v>44773</v>
      </c>
      <c r="C10027" s="3" t="inlineStr">
        <is>
          <t>Liabilities</t>
        </is>
      </c>
      <c r="D10027" s="3" t="inlineStr">
        <is>
          <t>6510/000</t>
        </is>
      </c>
      <c r="E10027" s="3" t="inlineStr">
        <is>
          <t>Deposits Paid - Anicol Properties</t>
        </is>
      </c>
      <c r="F10027" s="3" t="n">
        <v>0</v>
      </c>
      <c r="G10027" s="3" t="n">
        <v>13755</v>
      </c>
    </row>
    <row r="10028">
      <c r="A10028" s="3" t="inlineStr">
        <is>
          <t>Opportunity Management Holdings (PTY) LTD</t>
        </is>
      </c>
      <c r="B10028" s="4" t="n">
        <v>44773</v>
      </c>
      <c r="C10028" s="3" t="inlineStr">
        <is>
          <t>Liabilities</t>
        </is>
      </c>
      <c r="D10028" s="3" t="inlineStr">
        <is>
          <t>6515/000</t>
        </is>
      </c>
      <c r="E10028" s="3" t="inlineStr">
        <is>
          <t>Deposits Paid</t>
        </is>
      </c>
      <c r="F10028" s="3" t="n">
        <v>0</v>
      </c>
      <c r="G10028" s="3" t="n">
        <v>3852.5</v>
      </c>
    </row>
    <row r="10029">
      <c r="A10029" s="3" t="inlineStr">
        <is>
          <t>Quinate Consulting (Pty) Ltd</t>
        </is>
      </c>
      <c r="B10029" s="4" t="n">
        <v>44773</v>
      </c>
      <c r="C10029" s="3" t="inlineStr">
        <is>
          <t>Assets</t>
        </is>
      </c>
      <c r="D10029" s="3" t="inlineStr">
        <is>
          <t>6600/010</t>
        </is>
      </c>
      <c r="E10029" s="3" t="inlineStr">
        <is>
          <t>Other Fixed Assets - @ Cost</t>
        </is>
      </c>
      <c r="F10029" s="3" t="n">
        <v>0</v>
      </c>
      <c r="G10029" s="3" t="n">
        <v>14442.5</v>
      </c>
    </row>
    <row r="10030">
      <c r="A10030" s="3" t="inlineStr">
        <is>
          <t>Quinate Consulting (Pty) Ltd</t>
        </is>
      </c>
      <c r="B10030" s="4" t="n">
        <v>44773</v>
      </c>
      <c r="C10030" s="3" t="inlineStr">
        <is>
          <t>Assets</t>
        </is>
      </c>
      <c r="D10030" s="3" t="inlineStr">
        <is>
          <t>6600/020</t>
        </is>
      </c>
      <c r="E10030" s="3" t="inlineStr">
        <is>
          <t>Other Fixed Assets - Accum Depre</t>
        </is>
      </c>
      <c r="F10030" s="3" t="n">
        <v>0</v>
      </c>
      <c r="G10030" s="3" t="n">
        <v>-14441.5</v>
      </c>
    </row>
    <row r="10031">
      <c r="A10031" s="3" t="inlineStr">
        <is>
          <t>Noble Shield (Pty) Ltd ta Go Letting</t>
        </is>
      </c>
      <c r="B10031" s="4" t="n">
        <v>44773</v>
      </c>
      <c r="C10031" s="3" t="inlineStr">
        <is>
          <t>Assets</t>
        </is>
      </c>
      <c r="D10031" s="3" t="inlineStr">
        <is>
          <t>7000/100</t>
        </is>
      </c>
      <c r="E10031" s="3" t="inlineStr">
        <is>
          <t>Goodwill - Purchase of Go Letting</t>
        </is>
      </c>
      <c r="F10031" s="3" t="n">
        <v>0</v>
      </c>
      <c r="G10031" s="3" t="n">
        <v>106580</v>
      </c>
    </row>
    <row r="10032">
      <c r="A10032" s="3" t="inlineStr">
        <is>
          <t>Opportunity Management Holdings (PTY) LTD</t>
        </is>
      </c>
      <c r="B10032" s="4" t="n">
        <v>44773</v>
      </c>
      <c r="C10032" s="3" t="inlineStr">
        <is>
          <t>Assets</t>
        </is>
      </c>
      <c r="D10032" s="3" t="inlineStr">
        <is>
          <t>7200/000</t>
        </is>
      </c>
      <c r="E10032" s="3" t="inlineStr">
        <is>
          <t>Shares in Subsidiary Companies</t>
        </is>
      </c>
      <c r="F10032" s="3" t="n">
        <v>0</v>
      </c>
      <c r="G10032" s="3" t="n">
        <v>120</v>
      </c>
    </row>
    <row r="10033">
      <c r="A10033" s="3" t="inlineStr">
        <is>
          <t>Endulini (Pty) Ltd</t>
        </is>
      </c>
      <c r="B10033" s="4" t="n">
        <v>44773</v>
      </c>
      <c r="C10033" s="3" t="inlineStr">
        <is>
          <t>Assets</t>
        </is>
      </c>
      <c r="D10033" s="3" t="inlineStr">
        <is>
          <t>7610/100</t>
        </is>
      </c>
      <c r="E10033" s="3" t="inlineStr">
        <is>
          <t>Endulini Land</t>
        </is>
      </c>
      <c r="F10033" s="3" t="n">
        <v>0</v>
      </c>
      <c r="G10033" s="3" t="n">
        <v>10572851.37</v>
      </c>
    </row>
    <row r="10034">
      <c r="A10034" s="3" t="inlineStr">
        <is>
          <t>Endulini (Pty) Ltd</t>
        </is>
      </c>
      <c r="B10034" s="4" t="n">
        <v>44773</v>
      </c>
      <c r="C10034" s="3" t="inlineStr">
        <is>
          <t>Assets</t>
        </is>
      </c>
      <c r="D10034" s="3" t="inlineStr">
        <is>
          <t>7610/101</t>
        </is>
      </c>
      <c r="E10034" s="3" t="inlineStr">
        <is>
          <t>Endulini Revaluation of Land stock</t>
        </is>
      </c>
      <c r="F10034" s="3" t="n">
        <v>0</v>
      </c>
      <c r="G10034" s="3" t="n">
        <v>6084085.78</v>
      </c>
    </row>
    <row r="10035">
      <c r="A10035" s="3" t="inlineStr">
        <is>
          <t>Endulini (Pty) Ltd</t>
        </is>
      </c>
      <c r="B10035" s="4" t="n">
        <v>44773</v>
      </c>
      <c r="C10035" s="3" t="inlineStr">
        <is>
          <t>Assets</t>
        </is>
      </c>
      <c r="D10035" s="3" t="inlineStr">
        <is>
          <t>7610/111</t>
        </is>
      </c>
      <c r="E10035" s="3" t="inlineStr">
        <is>
          <t>Endulini Closing Stock February 2021</t>
        </is>
      </c>
      <c r="F10035" s="3" t="n">
        <v>0</v>
      </c>
      <c r="G10035" s="3" t="n">
        <v>15044610.11</v>
      </c>
    </row>
    <row r="10036">
      <c r="A10036" s="3" t="inlineStr">
        <is>
          <t>Endulini (Pty) Ltd</t>
        </is>
      </c>
      <c r="B10036" s="4" t="n">
        <v>44773</v>
      </c>
      <c r="C10036" s="3" t="inlineStr">
        <is>
          <t>Assets</t>
        </is>
      </c>
      <c r="D10036" s="3" t="inlineStr">
        <is>
          <t>7610/180</t>
        </is>
      </c>
      <c r="E10036" s="3" t="inlineStr">
        <is>
          <t>Endulini CIP Architects</t>
        </is>
      </c>
      <c r="F10036" s="3" t="n">
        <v>0</v>
      </c>
      <c r="G10036" s="3" t="n">
        <v>519874</v>
      </c>
    </row>
    <row r="10037">
      <c r="A10037" s="3" t="inlineStr">
        <is>
          <t>Endulini (Pty) Ltd</t>
        </is>
      </c>
      <c r="B10037" s="4" t="n">
        <v>44773</v>
      </c>
      <c r="C10037" s="3" t="inlineStr">
        <is>
          <t>Assets</t>
        </is>
      </c>
      <c r="D10037" s="3" t="inlineStr">
        <is>
          <t>7610/200</t>
        </is>
      </c>
      <c r="E10037" s="3" t="inlineStr">
        <is>
          <t>Endulini CIP CoCT Land Use App</t>
        </is>
      </c>
      <c r="F10037" s="3" t="n">
        <v>0</v>
      </c>
      <c r="G10037" s="3" t="n">
        <v>232891.06</v>
      </c>
    </row>
    <row r="10038">
      <c r="A10038" s="3" t="inlineStr">
        <is>
          <t>Endulini (Pty) Ltd</t>
        </is>
      </c>
      <c r="B10038" s="4" t="n">
        <v>44773</v>
      </c>
      <c r="C10038" s="3" t="inlineStr">
        <is>
          <t>Assets</t>
        </is>
      </c>
      <c r="D10038" s="3" t="inlineStr">
        <is>
          <t>7610/205</t>
        </is>
      </c>
      <c r="E10038" s="3" t="inlineStr">
        <is>
          <t>Endulini CIP Site Establishments</t>
        </is>
      </c>
      <c r="F10038" s="3" t="n">
        <v>-10393543.48</v>
      </c>
      <c r="G10038" s="3" t="n">
        <v>32428975.01</v>
      </c>
    </row>
    <row r="10039">
      <c r="A10039" s="3" t="inlineStr">
        <is>
          <t>Endulini (Pty) Ltd</t>
        </is>
      </c>
      <c r="B10039" s="4" t="n">
        <v>44773</v>
      </c>
      <c r="C10039" s="3" t="inlineStr">
        <is>
          <t>Assets</t>
        </is>
      </c>
      <c r="D10039" s="3" t="inlineStr">
        <is>
          <t>7610/209</t>
        </is>
      </c>
      <c r="E10039" s="3" t="inlineStr">
        <is>
          <t>Endulini CIP Construction Management</t>
        </is>
      </c>
      <c r="F10039" s="3" t="n">
        <v>10000</v>
      </c>
      <c r="G10039" s="3" t="n">
        <v>190375</v>
      </c>
    </row>
    <row r="10040">
      <c r="A10040" s="3" t="inlineStr">
        <is>
          <t>Endulini (Pty) Ltd</t>
        </is>
      </c>
      <c r="B10040" s="4" t="n">
        <v>44773</v>
      </c>
      <c r="C10040" s="3" t="inlineStr">
        <is>
          <t>Assets</t>
        </is>
      </c>
      <c r="D10040" s="3" t="inlineStr">
        <is>
          <t>7610/210</t>
        </is>
      </c>
      <c r="E10040" s="3" t="inlineStr">
        <is>
          <t>Endulini CIP Civil Works</t>
        </is>
      </c>
      <c r="F10040" s="3" t="n">
        <v>0</v>
      </c>
      <c r="G10040" s="3" t="n">
        <v>5769985.99</v>
      </c>
    </row>
    <row r="10041">
      <c r="A10041" s="3" t="inlineStr">
        <is>
          <t>Endulini (Pty) Ltd</t>
        </is>
      </c>
      <c r="B10041" s="4" t="n">
        <v>44773</v>
      </c>
      <c r="C10041" s="3" t="inlineStr">
        <is>
          <t>Assets</t>
        </is>
      </c>
      <c r="D10041" s="3" t="inlineStr">
        <is>
          <t>7610/215</t>
        </is>
      </c>
      <c r="E10041" s="3" t="inlineStr">
        <is>
          <t>Endulini CIP Civil Engineers</t>
        </is>
      </c>
      <c r="F10041" s="3" t="n">
        <v>0</v>
      </c>
      <c r="G10041" s="3" t="n">
        <v>183000</v>
      </c>
    </row>
    <row r="10042">
      <c r="A10042" s="3" t="inlineStr">
        <is>
          <t>Endulini (Pty) Ltd</t>
        </is>
      </c>
      <c r="B10042" s="4" t="n">
        <v>44773</v>
      </c>
      <c r="C10042" s="3" t="inlineStr">
        <is>
          <t>Assets</t>
        </is>
      </c>
      <c r="D10042" s="3" t="inlineStr">
        <is>
          <t>7610/220</t>
        </is>
      </c>
      <c r="E10042" s="3" t="inlineStr">
        <is>
          <t>Endulini CIP Structuring Project Fee Opp Invest</t>
        </is>
      </c>
      <c r="F10042" s="3" t="n">
        <v>0</v>
      </c>
      <c r="G10042" s="3" t="n">
        <v>483735.96</v>
      </c>
    </row>
    <row r="10043">
      <c r="A10043" s="3" t="inlineStr">
        <is>
          <t>Endulini (Pty) Ltd</t>
        </is>
      </c>
      <c r="B10043" s="4" t="n">
        <v>44773</v>
      </c>
      <c r="C10043" s="3" t="inlineStr">
        <is>
          <t>Assets</t>
        </is>
      </c>
      <c r="D10043" s="3" t="inlineStr">
        <is>
          <t>7610/225</t>
        </is>
      </c>
      <c r="E10043" s="3" t="inlineStr">
        <is>
          <t>Endulini CIP Structural engineering fee</t>
        </is>
      </c>
      <c r="F10043" s="3" t="n">
        <v>0</v>
      </c>
      <c r="G10043" s="3" t="n">
        <v>346268.03</v>
      </c>
    </row>
    <row r="10044">
      <c r="A10044" s="3" t="inlineStr">
        <is>
          <t>Endulini (Pty) Ltd</t>
        </is>
      </c>
      <c r="B10044" s="4" t="n">
        <v>44773</v>
      </c>
      <c r="C10044" s="3" t="inlineStr">
        <is>
          <t>Assets</t>
        </is>
      </c>
      <c r="D10044" s="3" t="inlineStr">
        <is>
          <t>7610/230</t>
        </is>
      </c>
      <c r="E10044" s="3" t="inlineStr">
        <is>
          <t>Endulini CIP Mechanical Engineering</t>
        </is>
      </c>
      <c r="F10044" s="3" t="n">
        <v>0</v>
      </c>
      <c r="G10044" s="3" t="n">
        <v>15570</v>
      </c>
    </row>
    <row r="10045">
      <c r="A10045" s="3" t="inlineStr">
        <is>
          <t>Endulini (Pty) Ltd</t>
        </is>
      </c>
      <c r="B10045" s="4" t="n">
        <v>44773</v>
      </c>
      <c r="C10045" s="3" t="inlineStr">
        <is>
          <t>Assets</t>
        </is>
      </c>
      <c r="D10045" s="3" t="inlineStr">
        <is>
          <t>7610/235</t>
        </is>
      </c>
      <c r="E10045" s="3" t="inlineStr">
        <is>
          <t>Endulini CIP Electrical Installation</t>
        </is>
      </c>
      <c r="F10045" s="3" t="n">
        <v>0</v>
      </c>
      <c r="G10045" s="3" t="n">
        <v>1034019.08</v>
      </c>
    </row>
    <row r="10046">
      <c r="A10046" s="3" t="inlineStr">
        <is>
          <t>Endulini (Pty) Ltd</t>
        </is>
      </c>
      <c r="B10046" s="4" t="n">
        <v>44773</v>
      </c>
      <c r="C10046" s="3" t="inlineStr">
        <is>
          <t>Assets</t>
        </is>
      </c>
      <c r="D10046" s="3" t="inlineStr">
        <is>
          <t>7610/250</t>
        </is>
      </c>
      <c r="E10046" s="3" t="inlineStr">
        <is>
          <t>Endulini CIP Boundary Wall</t>
        </is>
      </c>
      <c r="F10046" s="3" t="n">
        <v>0</v>
      </c>
      <c r="G10046" s="3" t="n">
        <v>88400.8</v>
      </c>
    </row>
    <row r="10047">
      <c r="A10047" s="3" t="inlineStr">
        <is>
          <t>Endulini (Pty) Ltd</t>
        </is>
      </c>
      <c r="B10047" s="4" t="n">
        <v>44773</v>
      </c>
      <c r="C10047" s="3" t="inlineStr">
        <is>
          <t>Assets</t>
        </is>
      </c>
      <c r="D10047" s="3" t="inlineStr">
        <is>
          <t>7610/290</t>
        </is>
      </c>
      <c r="E10047" s="3" t="inlineStr">
        <is>
          <t>Endulini CIP Development Management Fees</t>
        </is>
      </c>
      <c r="F10047" s="3" t="n">
        <v>0</v>
      </c>
      <c r="G10047" s="3" t="n">
        <v>237496.62</v>
      </c>
    </row>
    <row r="10048">
      <c r="A10048" s="3" t="inlineStr">
        <is>
          <t>Endulini (Pty) Ltd</t>
        </is>
      </c>
      <c r="B10048" s="4" t="n">
        <v>44773</v>
      </c>
      <c r="C10048" s="3" t="inlineStr">
        <is>
          <t>Assets</t>
        </is>
      </c>
      <c r="D10048" s="3" t="inlineStr">
        <is>
          <t>7610/310</t>
        </is>
      </c>
      <c r="E10048" s="3" t="inlineStr">
        <is>
          <t>Endulini CIP Enviromental consultants</t>
        </is>
      </c>
      <c r="F10048" s="3" t="n">
        <v>6000</v>
      </c>
      <c r="G10048" s="3" t="n">
        <v>102000</v>
      </c>
    </row>
    <row r="10049">
      <c r="A10049" s="3" t="inlineStr">
        <is>
          <t>Endulini (Pty) Ltd</t>
        </is>
      </c>
      <c r="B10049" s="4" t="n">
        <v>44773</v>
      </c>
      <c r="C10049" s="3" t="inlineStr">
        <is>
          <t>Assets</t>
        </is>
      </c>
      <c r="D10049" s="3" t="inlineStr">
        <is>
          <t>7610/320</t>
        </is>
      </c>
      <c r="E10049" s="3" t="inlineStr">
        <is>
          <t>Endulini CIP Geotechnical</t>
        </is>
      </c>
      <c r="F10049" s="3" t="n">
        <v>0</v>
      </c>
      <c r="G10049" s="3" t="n">
        <v>13575</v>
      </c>
    </row>
    <row r="10050">
      <c r="A10050" s="3" t="inlineStr">
        <is>
          <t>Endulini (Pty) Ltd</t>
        </is>
      </c>
      <c r="B10050" s="4" t="n">
        <v>44773</v>
      </c>
      <c r="C10050" s="3" t="inlineStr">
        <is>
          <t>Assets</t>
        </is>
      </c>
      <c r="D10050" s="3" t="inlineStr">
        <is>
          <t>7610/330</t>
        </is>
      </c>
      <c r="E10050" s="3" t="inlineStr">
        <is>
          <t>Endulini CIP Health and Safety</t>
        </is>
      </c>
      <c r="F10050" s="3" t="n">
        <v>5600</v>
      </c>
      <c r="G10050" s="3" t="n">
        <v>40200</v>
      </c>
    </row>
    <row r="10051">
      <c r="A10051" s="3" t="inlineStr">
        <is>
          <t>Endulini (Pty) Ltd</t>
        </is>
      </c>
      <c r="B10051" s="4" t="n">
        <v>44773</v>
      </c>
      <c r="C10051" s="3" t="inlineStr">
        <is>
          <t>Assets</t>
        </is>
      </c>
      <c r="D10051" s="3" t="inlineStr">
        <is>
          <t>7610/390</t>
        </is>
      </c>
      <c r="E10051" s="3" t="inlineStr">
        <is>
          <t>Endulini CIP Land Surveyor</t>
        </is>
      </c>
      <c r="F10051" s="3" t="n">
        <v>0</v>
      </c>
      <c r="G10051" s="3" t="n">
        <v>186021.2</v>
      </c>
    </row>
    <row r="10052">
      <c r="A10052" s="3" t="inlineStr">
        <is>
          <t>Endulini (Pty) Ltd</t>
        </is>
      </c>
      <c r="B10052" s="4" t="n">
        <v>44773</v>
      </c>
      <c r="C10052" s="3" t="inlineStr">
        <is>
          <t>Assets</t>
        </is>
      </c>
      <c r="D10052" s="3" t="inlineStr">
        <is>
          <t>7610/392</t>
        </is>
      </c>
      <c r="E10052" s="3" t="inlineStr">
        <is>
          <t>Endulini CIP Landscaping</t>
        </is>
      </c>
      <c r="F10052" s="3" t="n">
        <v>0</v>
      </c>
      <c r="G10052" s="3" t="n">
        <v>6100</v>
      </c>
    </row>
    <row r="10053">
      <c r="A10053" s="3" t="inlineStr">
        <is>
          <t>Endulini (Pty) Ltd</t>
        </is>
      </c>
      <c r="B10053" s="4" t="n">
        <v>44773</v>
      </c>
      <c r="C10053" s="3" t="inlineStr">
        <is>
          <t>Assets</t>
        </is>
      </c>
      <c r="D10053" s="3" t="inlineStr">
        <is>
          <t>7610/395</t>
        </is>
      </c>
      <c r="E10053" s="3" t="inlineStr">
        <is>
          <t>Endulini CIP NHBRC</t>
        </is>
      </c>
      <c r="F10053" s="3" t="n">
        <v>0</v>
      </c>
      <c r="G10053" s="3" t="n">
        <v>928847.49</v>
      </c>
    </row>
    <row r="10054">
      <c r="A10054" s="3" t="inlineStr">
        <is>
          <t>Endulini (Pty) Ltd</t>
        </is>
      </c>
      <c r="B10054" s="4" t="n">
        <v>44773</v>
      </c>
      <c r="C10054" s="3" t="inlineStr">
        <is>
          <t>Assets</t>
        </is>
      </c>
      <c r="D10054" s="3" t="inlineStr">
        <is>
          <t>7610/400</t>
        </is>
      </c>
      <c r="E10054" s="3" t="inlineStr">
        <is>
          <t>Endulini CIP Quantity Surveyor</t>
        </is>
      </c>
      <c r="F10054" s="3" t="n">
        <v>0</v>
      </c>
      <c r="G10054" s="3" t="n">
        <v>82136.36</v>
      </c>
    </row>
    <row r="10055">
      <c r="A10055" s="3" t="inlineStr">
        <is>
          <t>Endulini (Pty) Ltd</t>
        </is>
      </c>
      <c r="B10055" s="4" t="n">
        <v>44773</v>
      </c>
      <c r="C10055" s="3" t="inlineStr">
        <is>
          <t>Assets</t>
        </is>
      </c>
      <c r="D10055" s="3" t="inlineStr">
        <is>
          <t>7610/600</t>
        </is>
      </c>
      <c r="E10055" s="3" t="inlineStr">
        <is>
          <t>Endulini CIP Town Planning</t>
        </is>
      </c>
      <c r="F10055" s="3" t="n">
        <v>0</v>
      </c>
      <c r="G10055" s="3" t="n">
        <v>21105</v>
      </c>
    </row>
    <row r="10056">
      <c r="A10056" s="3" t="inlineStr">
        <is>
          <t>Endulini (Pty) Ltd</t>
        </is>
      </c>
      <c r="B10056" s="4" t="n">
        <v>44773</v>
      </c>
      <c r="C10056" s="3" t="inlineStr">
        <is>
          <t>Assets</t>
        </is>
      </c>
      <c r="D10056" s="3" t="inlineStr">
        <is>
          <t>7610/620</t>
        </is>
      </c>
      <c r="E10056" s="3" t="inlineStr">
        <is>
          <t>Endulini CIP Traffic Impact</t>
        </is>
      </c>
      <c r="F10056" s="3" t="n">
        <v>0</v>
      </c>
      <c r="G10056" s="3" t="n">
        <v>24915</v>
      </c>
    </row>
    <row r="10057">
      <c r="A10057" s="3" t="inlineStr">
        <is>
          <t>Endulini (Pty) Ltd</t>
        </is>
      </c>
      <c r="B10057" s="4" t="n">
        <v>44773</v>
      </c>
      <c r="C10057" s="3" t="inlineStr">
        <is>
          <t>Assets</t>
        </is>
      </c>
      <c r="D10057" s="3" t="inlineStr">
        <is>
          <t>7610/630</t>
        </is>
      </c>
      <c r="E10057" s="3" t="inlineStr">
        <is>
          <t>Endulini CIP CoCT Development Contributi</t>
        </is>
      </c>
      <c r="F10057" s="3" t="n">
        <v>0</v>
      </c>
      <c r="G10057" s="3" t="n">
        <v>661860.3100000001</v>
      </c>
    </row>
    <row r="10058">
      <c r="A10058" s="3" t="inlineStr">
        <is>
          <t>Endulini (Pty) Ltd</t>
        </is>
      </c>
      <c r="B10058" s="4" t="n">
        <v>44773</v>
      </c>
      <c r="C10058" s="3" t="inlineStr">
        <is>
          <t>Assets</t>
        </is>
      </c>
      <c r="D10058" s="3" t="inlineStr">
        <is>
          <t>7610/640</t>
        </is>
      </c>
      <c r="E10058" s="3" t="inlineStr">
        <is>
          <t>Endulini CIP CoCT Building plan application</t>
        </is>
      </c>
      <c r="F10058" s="3" t="n">
        <v>0</v>
      </c>
      <c r="G10058" s="3" t="n">
        <v>111203.22</v>
      </c>
    </row>
    <row r="10059">
      <c r="A10059" s="3" t="inlineStr">
        <is>
          <t>Endulini (Pty) Ltd</t>
        </is>
      </c>
      <c r="B10059" s="4" t="n">
        <v>44773</v>
      </c>
      <c r="C10059" s="3" t="inlineStr">
        <is>
          <t>Assets</t>
        </is>
      </c>
      <c r="D10059" s="3" t="inlineStr">
        <is>
          <t>7610/650</t>
        </is>
      </c>
      <c r="E10059" s="3" t="inlineStr">
        <is>
          <t>Endulini CIP - P&amp;G recoveries - Endulini&amp;Heron Fields/View</t>
        </is>
      </c>
      <c r="F10059" s="3" t="n">
        <v>0</v>
      </c>
      <c r="G10059" s="3" t="n">
        <v>-3023829.42</v>
      </c>
    </row>
    <row r="10060">
      <c r="A10060" s="3" t="inlineStr">
        <is>
          <t>Endulini (Pty) Ltd</t>
        </is>
      </c>
      <c r="B10060" s="4" t="n">
        <v>44773</v>
      </c>
      <c r="C10060" s="3" t="inlineStr">
        <is>
          <t>Assets</t>
        </is>
      </c>
      <c r="D10060" s="3" t="inlineStr">
        <is>
          <t>7610/900</t>
        </is>
      </c>
      <c r="E10060" s="3" t="inlineStr">
        <is>
          <t>Endulini CIP Cost of Sales</t>
        </is>
      </c>
      <c r="F10060" s="3" t="n">
        <v>0</v>
      </c>
      <c r="G10060" s="3" t="n">
        <v>-28155981.9</v>
      </c>
    </row>
    <row r="10061">
      <c r="A10061" s="3" t="inlineStr">
        <is>
          <t>Quinate Consulting (Pty) Ltd</t>
        </is>
      </c>
      <c r="B10061" s="4" t="n">
        <v>44773</v>
      </c>
      <c r="C10061" s="3" t="inlineStr">
        <is>
          <t>Assets</t>
        </is>
      </c>
      <c r="D10061" s="3" t="inlineStr">
        <is>
          <t>7800/104</t>
        </is>
      </c>
      <c r="E10061" s="3" t="inlineStr">
        <is>
          <t>Stock - Closing Stock SW - 28 Feb 21</t>
        </is>
      </c>
      <c r="F10061" s="3" t="n">
        <v>0</v>
      </c>
      <c r="G10061" s="3" t="n">
        <v>2874478.88</v>
      </c>
    </row>
    <row r="10062">
      <c r="A10062" s="3" t="inlineStr">
        <is>
          <t>Quinate Consulting (Pty) Ltd</t>
        </is>
      </c>
      <c r="B10062" s="4" t="n">
        <v>44773</v>
      </c>
      <c r="C10062" s="3" t="inlineStr">
        <is>
          <t>Assets</t>
        </is>
      </c>
      <c r="D10062" s="3" t="inlineStr">
        <is>
          <t>7800/105</t>
        </is>
      </c>
      <c r="E10062" s="3" t="inlineStr">
        <is>
          <t>Stock - Closing Stock SH - 28 Feb 21</t>
        </is>
      </c>
      <c r="F10062" s="3" t="n">
        <v>0</v>
      </c>
      <c r="G10062" s="3" t="n">
        <v>2843477.6</v>
      </c>
    </row>
    <row r="10063">
      <c r="A10063" s="3" t="inlineStr">
        <is>
          <t>Endulini (Pty) Ltd</t>
        </is>
      </c>
      <c r="B10063" s="4" t="n">
        <v>44773</v>
      </c>
      <c r="C10063" s="3" t="inlineStr">
        <is>
          <t>Assets</t>
        </is>
      </c>
      <c r="D10063" s="3" t="inlineStr">
        <is>
          <t>8000/000</t>
        </is>
      </c>
      <c r="E10063" s="3" t="inlineStr">
        <is>
          <t>Customer Control Account</t>
        </is>
      </c>
      <c r="F10063" s="3" t="n">
        <v>0</v>
      </c>
      <c r="G10063" s="3" t="n">
        <v>3477403.83</v>
      </c>
    </row>
    <row r="10064">
      <c r="A10064" s="3" t="inlineStr">
        <is>
          <t>Noble Shield (Pty) Ltd ta Go Letting</t>
        </is>
      </c>
      <c r="B10064" s="4" t="n">
        <v>44773</v>
      </c>
      <c r="C10064" s="3" t="inlineStr">
        <is>
          <t>Assets</t>
        </is>
      </c>
      <c r="D10064" s="3" t="inlineStr">
        <is>
          <t>8000/000</t>
        </is>
      </c>
      <c r="E10064" s="3" t="inlineStr">
        <is>
          <t>Customer Control Account</t>
        </is>
      </c>
      <c r="F10064" s="3" t="n">
        <v>0</v>
      </c>
      <c r="G10064" s="3" t="n">
        <v>60289.32</v>
      </c>
    </row>
    <row r="10065">
      <c r="A10065" s="3" t="inlineStr">
        <is>
          <t>Opportunity Global Investment (PTY) LTD</t>
        </is>
      </c>
      <c r="B10065" s="4" t="n">
        <v>44773</v>
      </c>
      <c r="C10065" s="3" t="inlineStr">
        <is>
          <t>Assets</t>
        </is>
      </c>
      <c r="D10065" s="3" t="inlineStr">
        <is>
          <t>8000/000</t>
        </is>
      </c>
      <c r="E10065" s="3" t="inlineStr">
        <is>
          <t>Customer Control Account</t>
        </is>
      </c>
      <c r="F10065" s="3" t="n">
        <v>-100000</v>
      </c>
      <c r="G10065" s="3" t="n">
        <v>0</v>
      </c>
    </row>
    <row r="10066">
      <c r="A10066" s="3" t="inlineStr">
        <is>
          <t>Opportunity Global Sales (PTY) LTD</t>
        </is>
      </c>
      <c r="B10066" s="4" t="n">
        <v>44773</v>
      </c>
      <c r="C10066" s="3" t="inlineStr">
        <is>
          <t>Assets</t>
        </is>
      </c>
      <c r="D10066" s="3" t="inlineStr">
        <is>
          <t>8000/000</t>
        </is>
      </c>
      <c r="E10066" s="3" t="inlineStr">
        <is>
          <t>Customer Control Account</t>
        </is>
      </c>
      <c r="F10066" s="3" t="n">
        <v>-3046.2</v>
      </c>
      <c r="G10066" s="3" t="n">
        <v>127917.79</v>
      </c>
    </row>
    <row r="10067">
      <c r="A10067" s="3" t="inlineStr">
        <is>
          <t>Quinate Consulting (Pty) Ltd</t>
        </is>
      </c>
      <c r="B10067" s="4" t="n">
        <v>44773</v>
      </c>
      <c r="C10067" s="3" t="inlineStr">
        <is>
          <t>Assets</t>
        </is>
      </c>
      <c r="D10067" s="3" t="inlineStr">
        <is>
          <t>8000/000</t>
        </is>
      </c>
      <c r="E10067" s="3" t="inlineStr">
        <is>
          <t>Customer Control Account</t>
        </is>
      </c>
      <c r="F10067" s="3" t="n">
        <v>21700</v>
      </c>
      <c r="G10067" s="3" t="n">
        <v>-2745</v>
      </c>
    </row>
    <row r="10068">
      <c r="A10068" s="3" t="inlineStr">
        <is>
          <t>Quinate Consulting (Pty) Ltd</t>
        </is>
      </c>
      <c r="B10068" s="4" t="n">
        <v>44773</v>
      </c>
      <c r="C10068" s="3" t="inlineStr">
        <is>
          <t>Assets</t>
        </is>
      </c>
      <c r="D10068" s="3" t="inlineStr">
        <is>
          <t>8001</t>
        </is>
      </c>
      <c r="E10068" s="3" t="inlineStr">
        <is>
          <t>Customer Control</t>
        </is>
      </c>
      <c r="F10068" s="3" t="n">
        <v>0</v>
      </c>
      <c r="G10068" s="3" t="n">
        <v>29487.49</v>
      </c>
    </row>
    <row r="10069">
      <c r="A10069" s="3" t="inlineStr">
        <is>
          <t>Opportunity Global Investment (PTY) LTD</t>
        </is>
      </c>
      <c r="B10069" s="4" t="n">
        <v>44773</v>
      </c>
      <c r="C10069" s="3" t="inlineStr">
        <is>
          <t>Assets</t>
        </is>
      </c>
      <c r="D10069" s="3" t="inlineStr">
        <is>
          <t>8200/010</t>
        </is>
      </c>
      <c r="E10069" s="3" t="inlineStr">
        <is>
          <t>Prepayments / Prepaid Expenses</t>
        </is>
      </c>
      <c r="F10069" s="3" t="n">
        <v>0</v>
      </c>
      <c r="G10069" s="3" t="n">
        <v>112042.03</v>
      </c>
    </row>
    <row r="10070">
      <c r="A10070" s="3" t="inlineStr">
        <is>
          <t>Quinate Consulting (Pty) Ltd</t>
        </is>
      </c>
      <c r="B10070" s="4" t="n">
        <v>44773</v>
      </c>
      <c r="C10070" s="3" t="inlineStr">
        <is>
          <t>Assets</t>
        </is>
      </c>
      <c r="D10070" s="3" t="inlineStr">
        <is>
          <t>8200/010</t>
        </is>
      </c>
      <c r="E10070" s="3" t="inlineStr">
        <is>
          <t>Prepayments / Prepaid Expenses</t>
        </is>
      </c>
      <c r="F10070" s="3" t="n">
        <v>0</v>
      </c>
      <c r="G10070" s="3" t="n">
        <v>109675</v>
      </c>
    </row>
    <row r="10071">
      <c r="A10071" s="3" t="inlineStr">
        <is>
          <t>Opportunity Global Investment (PTY) LTD</t>
        </is>
      </c>
      <c r="B10071" s="4" t="n">
        <v>44773</v>
      </c>
      <c r="C10071" s="3" t="inlineStr">
        <is>
          <t>Assets</t>
        </is>
      </c>
      <c r="D10071" s="3" t="inlineStr">
        <is>
          <t>8400/000</t>
        </is>
      </c>
      <c r="E10071" s="3" t="inlineStr">
        <is>
          <t>FNB 62093491696</t>
        </is>
      </c>
      <c r="F10071" s="3" t="n">
        <v>26495.48</v>
      </c>
      <c r="G10071" s="3" t="n">
        <v>37304.15</v>
      </c>
    </row>
    <row r="10072">
      <c r="A10072" s="3" t="inlineStr">
        <is>
          <t>Opportunity Global Sales (PTY) LTD</t>
        </is>
      </c>
      <c r="B10072" s="4" t="n">
        <v>44773</v>
      </c>
      <c r="C10072" s="3" t="inlineStr">
        <is>
          <t>Assets</t>
        </is>
      </c>
      <c r="D10072" s="3" t="inlineStr">
        <is>
          <t>8400/000</t>
        </is>
      </c>
      <c r="E10072" s="3" t="inlineStr">
        <is>
          <t>FNB 62835620875</t>
        </is>
      </c>
      <c r="F10072" s="3" t="n">
        <v>9477.209999999999</v>
      </c>
      <c r="G10072" s="3" t="n">
        <v>24851.74</v>
      </c>
    </row>
    <row r="10073">
      <c r="A10073" s="3" t="inlineStr">
        <is>
          <t>Quinate Consulting (Pty) Ltd</t>
        </is>
      </c>
      <c r="B10073" s="4" t="n">
        <v>44773</v>
      </c>
      <c r="C10073" s="3" t="inlineStr">
        <is>
          <t>Assets</t>
        </is>
      </c>
      <c r="D10073" s="3" t="inlineStr">
        <is>
          <t>8400/000</t>
        </is>
      </c>
      <c r="E10073" s="3" t="inlineStr">
        <is>
          <t>RMB - 62736659189 - Call Acc</t>
        </is>
      </c>
      <c r="F10073" s="3" t="n">
        <v>-505.18</v>
      </c>
      <c r="G10073" s="3" t="n">
        <v>152941.52</v>
      </c>
    </row>
    <row r="10074">
      <c r="A10074" s="3" t="inlineStr">
        <is>
          <t>Trademark Holdings (Pty) Ltd</t>
        </is>
      </c>
      <c r="B10074" s="4" t="n">
        <v>44773</v>
      </c>
      <c r="C10074" s="3" t="inlineStr">
        <is>
          <t>Assets</t>
        </is>
      </c>
      <c r="D10074" s="3" t="inlineStr">
        <is>
          <t>8400/000</t>
        </is>
      </c>
      <c r="E10074" s="3" t="inlineStr">
        <is>
          <t>RMB 623 693 03640</t>
        </is>
      </c>
      <c r="F10074" s="3" t="n">
        <v>43850.77</v>
      </c>
      <c r="G10074" s="3" t="n">
        <v>50863.18</v>
      </c>
    </row>
    <row r="10075">
      <c r="A10075" s="3" t="inlineStr">
        <is>
          <t>Noble Shield (Pty) Ltd ta Go Letting</t>
        </is>
      </c>
      <c r="B10075" s="4" t="n">
        <v>44773</v>
      </c>
      <c r="C10075" s="3" t="inlineStr">
        <is>
          <t>Assets</t>
        </is>
      </c>
      <c r="D10075" s="3" t="inlineStr">
        <is>
          <t>8400/000</t>
        </is>
      </c>
      <c r="E10075" s="3" t="inlineStr">
        <is>
          <t>RMB 6250 573 3833</t>
        </is>
      </c>
      <c r="F10075" s="3" t="n">
        <v>16737.94</v>
      </c>
      <c r="G10075" s="3" t="n">
        <v>46362.63</v>
      </c>
    </row>
    <row r="10076">
      <c r="A10076" s="3" t="inlineStr">
        <is>
          <t>Endulini (Pty) Ltd</t>
        </is>
      </c>
      <c r="B10076" s="4" t="n">
        <v>44773</v>
      </c>
      <c r="C10076" s="3" t="inlineStr">
        <is>
          <t>Assets</t>
        </is>
      </c>
      <c r="D10076" s="3" t="inlineStr">
        <is>
          <t>8400/000</t>
        </is>
      </c>
      <c r="E10076" s="3" t="inlineStr">
        <is>
          <t>RMB 62906944576</t>
        </is>
      </c>
      <c r="F10076" s="3" t="n">
        <v>4497.1</v>
      </c>
      <c r="G10076" s="3" t="n">
        <v>14451.28</v>
      </c>
    </row>
    <row r="10077">
      <c r="A10077" s="3" t="inlineStr">
        <is>
          <t>Opportunity Management Holdings (PTY) LTD</t>
        </is>
      </c>
      <c r="B10077" s="4" t="n">
        <v>44773</v>
      </c>
      <c r="C10077" s="3" t="inlineStr">
        <is>
          <t>Assets</t>
        </is>
      </c>
      <c r="D10077" s="3" t="inlineStr">
        <is>
          <t>8400/000</t>
        </is>
      </c>
      <c r="E10077" s="3" t="inlineStr">
        <is>
          <t>RMB Cheq - 62312246920</t>
        </is>
      </c>
      <c r="F10077" s="3" t="n">
        <v>22948.39</v>
      </c>
      <c r="G10077" s="3" t="n">
        <v>31136.61</v>
      </c>
    </row>
    <row r="10078">
      <c r="A10078" s="3" t="inlineStr">
        <is>
          <t>Opportunity Global Investment (PTY) LTD</t>
        </is>
      </c>
      <c r="B10078" s="4" t="n">
        <v>44773</v>
      </c>
      <c r="C10078" s="3" t="inlineStr">
        <is>
          <t>Assets</t>
        </is>
      </c>
      <c r="D10078" s="3" t="inlineStr">
        <is>
          <t>8405/000</t>
        </is>
      </c>
      <c r="E10078" s="3" t="inlineStr">
        <is>
          <t>FNB Trust 62762449265</t>
        </is>
      </c>
      <c r="F10078" s="3" t="n">
        <v>-40.02</v>
      </c>
      <c r="G10078" s="3" t="n">
        <v>774.16</v>
      </c>
    </row>
    <row r="10079">
      <c r="A10079" s="3" t="inlineStr">
        <is>
          <t>Endulini (Pty) Ltd</t>
        </is>
      </c>
      <c r="B10079" s="4" t="n">
        <v>44773</v>
      </c>
      <c r="C10079" s="3" t="inlineStr">
        <is>
          <t>Assets</t>
        </is>
      </c>
      <c r="D10079" s="3" t="inlineStr">
        <is>
          <t>8410/000</t>
        </is>
      </c>
      <c r="E10079" s="3" t="inlineStr">
        <is>
          <t>Momentum Investor Account : RU 502229883</t>
        </is>
      </c>
      <c r="F10079" s="3" t="n">
        <v>-997836.75</v>
      </c>
      <c r="G10079" s="3" t="n">
        <v>397715.17</v>
      </c>
    </row>
    <row r="10080">
      <c r="A10080" s="3" t="inlineStr">
        <is>
          <t>Opportunity Management Holdings (PTY) LTD</t>
        </is>
      </c>
      <c r="B10080" s="4" t="n">
        <v>44773</v>
      </c>
      <c r="C10080" s="3" t="inlineStr">
        <is>
          <t>Assets</t>
        </is>
      </c>
      <c r="D10080" s="3" t="inlineStr">
        <is>
          <t>8410/000</t>
        </is>
      </c>
      <c r="E10080" s="3" t="inlineStr">
        <is>
          <t>RMB Call Acc - 62312248851</t>
        </is>
      </c>
      <c r="F10080" s="3" t="n">
        <v>63.06</v>
      </c>
      <c r="G10080" s="3" t="n">
        <v>957.33</v>
      </c>
    </row>
    <row r="10081">
      <c r="A10081" s="3" t="inlineStr">
        <is>
          <t>Noble Shield (Pty) Ltd ta Go Letting</t>
        </is>
      </c>
      <c r="B10081" s="4" t="n">
        <v>44773</v>
      </c>
      <c r="C10081" s="3" t="inlineStr">
        <is>
          <t>Assets</t>
        </is>
      </c>
      <c r="D10081" s="3" t="inlineStr">
        <is>
          <t>8410/000</t>
        </is>
      </c>
      <c r="E10081" s="3" t="inlineStr">
        <is>
          <t>RMB Trust Acc - 6250 615 1365</t>
        </is>
      </c>
      <c r="F10081" s="3" t="n">
        <v>-65.3</v>
      </c>
      <c r="G10081" s="3" t="n">
        <v>567.08</v>
      </c>
    </row>
    <row r="10082">
      <c r="A10082" s="3" t="inlineStr">
        <is>
          <t>Quinate Consulting (Pty) Ltd</t>
        </is>
      </c>
      <c r="B10082" s="4" t="n">
        <v>44773</v>
      </c>
      <c r="C10082" s="3" t="inlineStr">
        <is>
          <t>Assets</t>
        </is>
      </c>
      <c r="D10082" s="3" t="inlineStr">
        <is>
          <t>8415/000</t>
        </is>
      </c>
      <c r="E10082" s="3" t="inlineStr">
        <is>
          <t>STD Acc 071 958 959 - Facility Acc</t>
        </is>
      </c>
      <c r="F10082" s="3" t="n">
        <v>-85</v>
      </c>
      <c r="G10082" s="3" t="n">
        <v>3891.21</v>
      </c>
    </row>
    <row r="10083">
      <c r="A10083" s="3" t="inlineStr">
        <is>
          <t>Quinate Consulting (Pty) Ltd</t>
        </is>
      </c>
      <c r="B10083" s="4" t="n">
        <v>44773</v>
      </c>
      <c r="C10083" s="3" t="inlineStr">
        <is>
          <t>Assets</t>
        </is>
      </c>
      <c r="D10083" s="3" t="inlineStr">
        <is>
          <t>8430/000</t>
        </is>
      </c>
      <c r="E10083" s="3" t="inlineStr">
        <is>
          <t>Momentum Investment Acc - RU502230185</t>
        </is>
      </c>
      <c r="F10083" s="3" t="n">
        <v>2.03</v>
      </c>
      <c r="G10083" s="3" t="n">
        <v>516.79</v>
      </c>
    </row>
    <row r="10084">
      <c r="A10084" s="3" t="inlineStr">
        <is>
          <t>Opportunity Global Investment (PTY) LTD</t>
        </is>
      </c>
      <c r="B10084" s="4" t="n">
        <v>44773</v>
      </c>
      <c r="C10084" s="3" t="inlineStr">
        <is>
          <t>Assets</t>
        </is>
      </c>
      <c r="D10084" s="3" t="inlineStr">
        <is>
          <t>8440/000</t>
        </is>
      </c>
      <c r="E10084" s="3" t="inlineStr">
        <is>
          <t>FNB - Call 627602764438</t>
        </is>
      </c>
      <c r="F10084" s="3" t="n">
        <v>58.32</v>
      </c>
      <c r="G10084" s="3" t="n">
        <v>585.39</v>
      </c>
    </row>
    <row r="10085">
      <c r="A10085" s="3" t="inlineStr">
        <is>
          <t>Opportunity Global Investment (PTY) LTD</t>
        </is>
      </c>
      <c r="B10085" s="4" t="n">
        <v>44773</v>
      </c>
      <c r="C10085" s="3" t="inlineStr">
        <is>
          <t>Assets</t>
        </is>
      </c>
      <c r="D10085" s="3" t="inlineStr">
        <is>
          <t>8445/000</t>
        </is>
      </c>
      <c r="E10085" s="3" t="inlineStr">
        <is>
          <t>Momentum RU502230096</t>
        </is>
      </c>
      <c r="F10085" s="3" t="n">
        <v>19.84</v>
      </c>
      <c r="G10085" s="3" t="n">
        <v>4527.15</v>
      </c>
    </row>
    <row r="10086">
      <c r="A10086" s="3" t="inlineStr">
        <is>
          <t>Quinate Consulting (Pty) Ltd</t>
        </is>
      </c>
      <c r="B10086" s="4" t="n">
        <v>44773</v>
      </c>
      <c r="C10086" s="3" t="inlineStr">
        <is>
          <t>Assets</t>
        </is>
      </c>
      <c r="D10086" s="3" t="inlineStr">
        <is>
          <t>8450/000</t>
        </is>
      </c>
      <c r="E10086" s="3" t="inlineStr">
        <is>
          <t>A RMB 62275810820</t>
        </is>
      </c>
      <c r="F10086" s="3" t="n">
        <v>20247.1</v>
      </c>
      <c r="G10086" s="3" t="n">
        <v>32044.23</v>
      </c>
    </row>
    <row r="10087">
      <c r="A10087" s="3" t="inlineStr">
        <is>
          <t>Opportunity Management Holdings (PTY) LTD</t>
        </is>
      </c>
      <c r="B10087" s="4" t="n">
        <v>44773</v>
      </c>
      <c r="C10087" s="3" t="inlineStr">
        <is>
          <t>Assets</t>
        </is>
      </c>
      <c r="D10087" s="3" t="inlineStr">
        <is>
          <t>8450/000</t>
        </is>
      </c>
      <c r="E10087" s="3" t="inlineStr">
        <is>
          <t>Petty Cash - CT Office</t>
        </is>
      </c>
      <c r="F10087" s="3" t="n">
        <v>1000</v>
      </c>
      <c r="G10087" s="3" t="n">
        <v>1723.1</v>
      </c>
    </row>
    <row r="10088">
      <c r="A10088" s="3" t="inlineStr">
        <is>
          <t>Quinate Consulting (Pty) Ltd</t>
        </is>
      </c>
      <c r="B10088" s="4" t="n">
        <v>44773</v>
      </c>
      <c r="C10088" s="3" t="inlineStr">
        <is>
          <t>Liabilities</t>
        </is>
      </c>
      <c r="D10088" s="3" t="inlineStr">
        <is>
          <t>8480/100</t>
        </is>
      </c>
      <c r="E10088" s="3" t="inlineStr">
        <is>
          <t>Bond - SH20 - STD Bank 532010558</t>
        </is>
      </c>
      <c r="F10088" s="3" t="n">
        <v>2905.76</v>
      </c>
      <c r="G10088" s="3" t="n">
        <v>-1373384.75</v>
      </c>
    </row>
    <row r="10089">
      <c r="A10089" s="3" t="inlineStr">
        <is>
          <t>Quinate Consulting (Pty) Ltd</t>
        </is>
      </c>
      <c r="B10089" s="4" t="n">
        <v>44773</v>
      </c>
      <c r="C10089" s="3" t="inlineStr">
        <is>
          <t>Liabilities</t>
        </is>
      </c>
      <c r="D10089" s="3" t="inlineStr">
        <is>
          <t>8480/200</t>
        </is>
      </c>
      <c r="E10089" s="3" t="inlineStr">
        <is>
          <t>Bond - SH23 - STD Bank 532010035</t>
        </is>
      </c>
      <c r="F10089" s="3" t="n">
        <v>2903.01</v>
      </c>
      <c r="G10089" s="3" t="n">
        <v>-1373209.64</v>
      </c>
    </row>
    <row r="10090">
      <c r="A10090" s="3" t="inlineStr">
        <is>
          <t>Quinate Consulting (Pty) Ltd</t>
        </is>
      </c>
      <c r="B10090" s="4" t="n">
        <v>44773</v>
      </c>
      <c r="C10090" s="3" t="inlineStr">
        <is>
          <t>Liabilities</t>
        </is>
      </c>
      <c r="D10090" s="3" t="inlineStr">
        <is>
          <t>8480/300</t>
        </is>
      </c>
      <c r="E10090" s="3" t="inlineStr">
        <is>
          <t>Bond - SH24 - STD Bank 532372662</t>
        </is>
      </c>
      <c r="F10090" s="3" t="n">
        <v>1061.73</v>
      </c>
      <c r="G10090" s="3" t="n">
        <v>-1459338.82</v>
      </c>
    </row>
    <row r="10091">
      <c r="A10091" s="3" t="inlineStr">
        <is>
          <t>Quinate Consulting (Pty) Ltd</t>
        </is>
      </c>
      <c r="B10091" s="4" t="n">
        <v>44773</v>
      </c>
      <c r="C10091" s="3" t="inlineStr">
        <is>
          <t>Liabilities</t>
        </is>
      </c>
      <c r="D10091" s="3" t="inlineStr">
        <is>
          <t>8480/400</t>
        </is>
      </c>
      <c r="E10091" s="3" t="inlineStr">
        <is>
          <t>Bond - SW01 - STD Bank 532920627</t>
        </is>
      </c>
      <c r="F10091" s="3" t="n">
        <v>587</v>
      </c>
      <c r="G10091" s="3" t="n">
        <v>-1296366.25</v>
      </c>
    </row>
    <row r="10092">
      <c r="A10092" s="3" t="inlineStr">
        <is>
          <t>Quinate Consulting (Pty) Ltd</t>
        </is>
      </c>
      <c r="B10092" s="4" t="n">
        <v>44773</v>
      </c>
      <c r="C10092" s="3" t="inlineStr">
        <is>
          <t>Liabilities</t>
        </is>
      </c>
      <c r="D10092" s="3" t="inlineStr">
        <is>
          <t>8480/401</t>
        </is>
      </c>
      <c r="E10092" s="3" t="inlineStr">
        <is>
          <t>Bond - SW21 - STD Bank 532920597</t>
        </is>
      </c>
      <c r="F10092" s="3" t="n">
        <v>587.23</v>
      </c>
      <c r="G10092" s="3" t="n">
        <v>-1296880.61</v>
      </c>
    </row>
    <row r="10093">
      <c r="A10093" s="3" t="inlineStr">
        <is>
          <t>Opportunity Global Investment (PTY) LTD</t>
        </is>
      </c>
      <c r="B10093" s="4" t="n">
        <v>44773</v>
      </c>
      <c r="C10093" s="3" t="inlineStr">
        <is>
          <t>Liabilities</t>
        </is>
      </c>
      <c r="D10093" s="3" t="inlineStr">
        <is>
          <t>860</t>
        </is>
      </c>
      <c r="E10093" s="3" t="inlineStr">
        <is>
          <t>Rounding</t>
        </is>
      </c>
      <c r="F10093" s="3" t="n">
        <v>0</v>
      </c>
      <c r="G10093" s="3" t="n">
        <v>-0.03</v>
      </c>
    </row>
    <row r="10094">
      <c r="A10094" s="3" t="inlineStr">
        <is>
          <t>Opportunity Global Sales (PTY) LTD</t>
        </is>
      </c>
      <c r="B10094" s="4" t="n">
        <v>44773</v>
      </c>
      <c r="C10094" s="3" t="inlineStr">
        <is>
          <t>Liabilities</t>
        </is>
      </c>
      <c r="D10094" s="3" t="inlineStr">
        <is>
          <t>860</t>
        </is>
      </c>
      <c r="E10094" s="3" t="inlineStr">
        <is>
          <t>Rounding</t>
        </is>
      </c>
      <c r="F10094" s="3" t="n">
        <v>0</v>
      </c>
      <c r="G10094" s="3" t="n">
        <v>-1</v>
      </c>
    </row>
    <row r="10095">
      <c r="A10095" s="3" t="inlineStr">
        <is>
          <t>Quinate Consulting (Pty) Ltd</t>
        </is>
      </c>
      <c r="B10095" s="4" t="n">
        <v>44773</v>
      </c>
      <c r="C10095" s="3" t="inlineStr">
        <is>
          <t>Liabilities</t>
        </is>
      </c>
      <c r="D10095" s="3" t="inlineStr">
        <is>
          <t>860</t>
        </is>
      </c>
      <c r="E10095" s="3" t="inlineStr">
        <is>
          <t>Rounding</t>
        </is>
      </c>
      <c r="F10095" s="3" t="n">
        <v>0.01</v>
      </c>
      <c r="G10095" s="3" t="n">
        <v>0.09</v>
      </c>
    </row>
    <row r="10096">
      <c r="A10096" s="3" t="inlineStr">
        <is>
          <t>Trademark Holdings (Pty) Ltd</t>
        </is>
      </c>
      <c r="B10096" s="4" t="n">
        <v>44773</v>
      </c>
      <c r="C10096" s="3" t="inlineStr">
        <is>
          <t>Liabilities</t>
        </is>
      </c>
      <c r="D10096" s="3" t="inlineStr">
        <is>
          <t>860</t>
        </is>
      </c>
      <c r="E10096" s="3" t="inlineStr">
        <is>
          <t>Rounding</t>
        </is>
      </c>
      <c r="F10096" s="3" t="n">
        <v>0</v>
      </c>
      <c r="G10096" s="3" t="n">
        <v>0.2</v>
      </c>
    </row>
    <row r="10097">
      <c r="A10097" s="3" t="inlineStr">
        <is>
          <t>Endulini (Pty) Ltd</t>
        </is>
      </c>
      <c r="B10097" s="4" t="n">
        <v>44773</v>
      </c>
      <c r="C10097" s="3" t="inlineStr">
        <is>
          <t>Liabilities</t>
        </is>
      </c>
      <c r="D10097" s="3" t="inlineStr">
        <is>
          <t>9000/000</t>
        </is>
      </c>
      <c r="E10097" s="3" t="inlineStr">
        <is>
          <t>Supplier Control Account</t>
        </is>
      </c>
      <c r="F10097" s="3" t="n">
        <v>14096616.76</v>
      </c>
      <c r="G10097" s="3" t="n">
        <v>-41981189.09</v>
      </c>
    </row>
    <row r="10098">
      <c r="A10098" s="3" t="inlineStr">
        <is>
          <t>Noble Shield (Pty) Ltd ta Go Letting</t>
        </is>
      </c>
      <c r="B10098" s="4" t="n">
        <v>44773</v>
      </c>
      <c r="C10098" s="3" t="inlineStr">
        <is>
          <t>Liabilities</t>
        </is>
      </c>
      <c r="D10098" s="3" t="inlineStr">
        <is>
          <t>9000/000</t>
        </is>
      </c>
      <c r="E10098" s="3" t="inlineStr">
        <is>
          <t>Supplier Control Account</t>
        </is>
      </c>
      <c r="F10098" s="3" t="n">
        <v>-428.22</v>
      </c>
      <c r="G10098" s="3" t="n">
        <v>-23176.75</v>
      </c>
    </row>
    <row r="10099">
      <c r="A10099" s="3" t="inlineStr">
        <is>
          <t>Opportunity Global Investment (PTY) LTD</t>
        </is>
      </c>
      <c r="B10099" s="4" t="n">
        <v>44773</v>
      </c>
      <c r="C10099" s="3" t="inlineStr">
        <is>
          <t>Liabilities</t>
        </is>
      </c>
      <c r="D10099" s="3" t="inlineStr">
        <is>
          <t>9000/000</t>
        </is>
      </c>
      <c r="E10099" s="3" t="inlineStr">
        <is>
          <t>Supplier Control Account</t>
        </is>
      </c>
      <c r="F10099" s="3" t="n">
        <v>76384.8</v>
      </c>
      <c r="G10099" s="3" t="n">
        <v>-136112.5</v>
      </c>
    </row>
    <row r="10100">
      <c r="A10100" s="3" t="inlineStr">
        <is>
          <t>Opportunity Global Sales (PTY) LTD</t>
        </is>
      </c>
      <c r="B10100" s="4" t="n">
        <v>44773</v>
      </c>
      <c r="C10100" s="3" t="inlineStr">
        <is>
          <t>Liabilities</t>
        </is>
      </c>
      <c r="D10100" s="3" t="inlineStr">
        <is>
          <t>9000/000</t>
        </is>
      </c>
      <c r="E10100" s="3" t="inlineStr">
        <is>
          <t>Supplier Control Account</t>
        </is>
      </c>
      <c r="F10100" s="3" t="n">
        <v>-7131.56</v>
      </c>
      <c r="G10100" s="3" t="n">
        <v>-9495.5</v>
      </c>
    </row>
    <row r="10101">
      <c r="A10101" s="3" t="inlineStr">
        <is>
          <t>Opportunity Management Holdings (PTY) LTD</t>
        </is>
      </c>
      <c r="B10101" s="4" t="n">
        <v>44773</v>
      </c>
      <c r="C10101" s="3" t="inlineStr">
        <is>
          <t>Liabilities</t>
        </is>
      </c>
      <c r="D10101" s="3" t="inlineStr">
        <is>
          <t>9000/000</t>
        </is>
      </c>
      <c r="E10101" s="3" t="inlineStr">
        <is>
          <t>Supplier Control Account</t>
        </is>
      </c>
      <c r="F10101" s="3" t="n">
        <v>40233.99</v>
      </c>
      <c r="G10101" s="3" t="n">
        <v>-259763.85</v>
      </c>
    </row>
    <row r="10102">
      <c r="A10102" s="3" t="inlineStr">
        <is>
          <t>Quinate Consulting (Pty) Ltd</t>
        </is>
      </c>
      <c r="B10102" s="4" t="n">
        <v>44773</v>
      </c>
      <c r="C10102" s="3" t="inlineStr">
        <is>
          <t>Liabilities</t>
        </is>
      </c>
      <c r="D10102" s="3" t="inlineStr">
        <is>
          <t>9000/000</t>
        </is>
      </c>
      <c r="E10102" s="3" t="inlineStr">
        <is>
          <t>Supplier Control Account</t>
        </is>
      </c>
      <c r="F10102" s="3" t="n">
        <v>20945.93</v>
      </c>
      <c r="G10102" s="3" t="n">
        <v>502693.29</v>
      </c>
    </row>
    <row r="10103">
      <c r="A10103" s="3" t="inlineStr">
        <is>
          <t>Trademark Holdings (Pty) Ltd</t>
        </is>
      </c>
      <c r="B10103" s="4" t="n">
        <v>44773</v>
      </c>
      <c r="C10103" s="3" t="inlineStr">
        <is>
          <t>Liabilities</t>
        </is>
      </c>
      <c r="D10103" s="3" t="inlineStr">
        <is>
          <t>9000/000</t>
        </is>
      </c>
      <c r="E10103" s="3" t="inlineStr">
        <is>
          <t>Supplier Control Account</t>
        </is>
      </c>
      <c r="F10103" s="3" t="n">
        <v>1537.5</v>
      </c>
      <c r="G10103" s="3" t="n">
        <v>-10504.83</v>
      </c>
    </row>
    <row r="10104">
      <c r="A10104" s="3" t="inlineStr">
        <is>
          <t>Quinate Consulting (Pty) Ltd</t>
        </is>
      </c>
      <c r="B10104" s="4" t="n">
        <v>44773</v>
      </c>
      <c r="C10104" s="3" t="inlineStr">
        <is>
          <t>Liabilities</t>
        </is>
      </c>
      <c r="D10104" s="3" t="inlineStr">
        <is>
          <t>9001</t>
        </is>
      </c>
      <c r="E10104" s="3" t="inlineStr">
        <is>
          <t>Supplier Control</t>
        </is>
      </c>
      <c r="F10104" s="3" t="n">
        <v>0</v>
      </c>
      <c r="G10104" s="3" t="n">
        <v>-347315.41</v>
      </c>
    </row>
    <row r="10105">
      <c r="A10105" s="3" t="inlineStr">
        <is>
          <t>Opportunity Management Holdings (PTY) LTD</t>
        </is>
      </c>
      <c r="B10105" s="4" t="n">
        <v>44773</v>
      </c>
      <c r="C10105" s="3" t="inlineStr">
        <is>
          <t>Liabilities</t>
        </is>
      </c>
      <c r="D10105" s="3" t="inlineStr">
        <is>
          <t>9100/000</t>
        </is>
      </c>
      <c r="E10105" s="3" t="inlineStr">
        <is>
          <t>PAYE/UIF/SDL Accrual - Prior Years ADJ</t>
        </is>
      </c>
      <c r="F10105" s="3" t="n">
        <v>0</v>
      </c>
      <c r="G10105" s="3" t="n">
        <v>12678.78</v>
      </c>
    </row>
    <row r="10106">
      <c r="A10106" s="3" t="inlineStr">
        <is>
          <t>Opportunity Management Holdings (PTY) LTD</t>
        </is>
      </c>
      <c r="B10106" s="4" t="n">
        <v>44773</v>
      </c>
      <c r="C10106" s="3" t="inlineStr">
        <is>
          <t>Assets</t>
        </is>
      </c>
      <c r="D10106" s="3" t="inlineStr">
        <is>
          <t>9110/000</t>
        </is>
      </c>
      <c r="E10106" s="3" t="inlineStr">
        <is>
          <t>Deposit Received</t>
        </is>
      </c>
      <c r="F10106" s="3" t="n">
        <v>0</v>
      </c>
      <c r="G10106" s="3" t="n">
        <v>-3852.5</v>
      </c>
    </row>
    <row r="10107">
      <c r="A10107" s="3" t="inlineStr">
        <is>
          <t>Opportunity Global Investment (PTY) LTD</t>
        </is>
      </c>
      <c r="B10107" s="4" t="n">
        <v>44773</v>
      </c>
      <c r="C10107" s="3" t="inlineStr">
        <is>
          <t>Liabilities</t>
        </is>
      </c>
      <c r="D10107" s="3" t="inlineStr">
        <is>
          <t>9110/000</t>
        </is>
      </c>
      <c r="E10107" s="3" t="inlineStr">
        <is>
          <t>Taxation B/S</t>
        </is>
      </c>
      <c r="F10107" s="3" t="n">
        <v>0</v>
      </c>
      <c r="G10107" s="3" t="n">
        <v>2150.09</v>
      </c>
    </row>
    <row r="10108">
      <c r="A10108" s="3" t="inlineStr">
        <is>
          <t>Trademark Holdings (Pty) Ltd</t>
        </is>
      </c>
      <c r="B10108" s="4" t="n">
        <v>44773</v>
      </c>
      <c r="C10108" s="3" t="inlineStr">
        <is>
          <t>Liabilities</t>
        </is>
      </c>
      <c r="D10108" s="3" t="inlineStr">
        <is>
          <t>9230/000</t>
        </is>
      </c>
      <c r="E10108" s="3" t="inlineStr">
        <is>
          <t>Income Received in Advanced</t>
        </is>
      </c>
      <c r="F10108" s="3" t="n">
        <v>-46497.62</v>
      </c>
      <c r="G10108" s="3" t="n">
        <v>-46497.62</v>
      </c>
    </row>
    <row r="10109">
      <c r="A10109" s="3" t="inlineStr">
        <is>
          <t>Noble Shield (Pty) Ltd ta Go Letting</t>
        </is>
      </c>
      <c r="B10109" s="4" t="n">
        <v>44773</v>
      </c>
      <c r="C10109" s="3" t="inlineStr">
        <is>
          <t>Liabilities</t>
        </is>
      </c>
      <c r="D10109" s="3" t="inlineStr">
        <is>
          <t>9250/010</t>
        </is>
      </c>
      <c r="E10109" s="3" t="inlineStr">
        <is>
          <t>SALARY CONTROL</t>
        </is>
      </c>
      <c r="F10109" s="3" t="n">
        <v>-2029.35</v>
      </c>
      <c r="G10109" s="3" t="n">
        <v>-13295.27</v>
      </c>
    </row>
    <row r="10110">
      <c r="A10110" s="3" t="inlineStr">
        <is>
          <t>Opportunity Global Sales (PTY) LTD</t>
        </is>
      </c>
      <c r="B10110" s="4" t="n">
        <v>44773</v>
      </c>
      <c r="C10110" s="3" t="inlineStr">
        <is>
          <t>Liabilities</t>
        </is>
      </c>
      <c r="D10110" s="3" t="inlineStr">
        <is>
          <t>9250/010</t>
        </is>
      </c>
      <c r="E10110" s="3" t="inlineStr">
        <is>
          <t>SALARY CONTROL</t>
        </is>
      </c>
      <c r="F10110" s="3" t="n">
        <v>11253.26</v>
      </c>
      <c r="G10110" s="3" t="n">
        <v>0.01</v>
      </c>
    </row>
    <row r="10111">
      <c r="A10111" s="3" t="inlineStr">
        <is>
          <t>Opportunity Management Holdings (PTY) LTD</t>
        </is>
      </c>
      <c r="B10111" s="4" t="n">
        <v>44773</v>
      </c>
      <c r="C10111" s="3" t="inlineStr">
        <is>
          <t>Liabilities</t>
        </is>
      </c>
      <c r="D10111" s="3" t="inlineStr">
        <is>
          <t>9250/010</t>
        </is>
      </c>
      <c r="E10111" s="3" t="inlineStr">
        <is>
          <t>SALARY CONTROL</t>
        </is>
      </c>
      <c r="F10111" s="3" t="n">
        <v>0</v>
      </c>
      <c r="G10111" s="3" t="n">
        <v>-1785</v>
      </c>
    </row>
    <row r="10112">
      <c r="A10112" s="3" t="inlineStr">
        <is>
          <t>Trademark Holdings (Pty) Ltd</t>
        </is>
      </c>
      <c r="B10112" s="4" t="n">
        <v>44773</v>
      </c>
      <c r="C10112" s="3" t="inlineStr">
        <is>
          <t>Liabilities</t>
        </is>
      </c>
      <c r="D10112" s="3" t="inlineStr">
        <is>
          <t>9250/010</t>
        </is>
      </c>
      <c r="E10112" s="3" t="inlineStr">
        <is>
          <t>SALARY CONTROL</t>
        </is>
      </c>
      <c r="F10112" s="3" t="n">
        <v>-56.95</v>
      </c>
      <c r="G10112" s="3" t="n">
        <v>-13325.57</v>
      </c>
    </row>
    <row r="10113">
      <c r="A10113" s="3" t="inlineStr">
        <is>
          <t>Noble Shield (Pty) Ltd ta Go Letting</t>
        </is>
      </c>
      <c r="B10113" s="4" t="n">
        <v>44773</v>
      </c>
      <c r="C10113" s="3" t="inlineStr">
        <is>
          <t>Liabilities</t>
        </is>
      </c>
      <c r="D10113" s="3" t="inlineStr">
        <is>
          <t>9250/020</t>
        </is>
      </c>
      <c r="E10113" s="3" t="inlineStr">
        <is>
          <t>PAYE, UIF AND SDL CONTROL</t>
        </is>
      </c>
      <c r="F10113" s="3" t="n">
        <v>-740.4400000000001</v>
      </c>
      <c r="G10113" s="3" t="n">
        <v>-7383.42</v>
      </c>
    </row>
    <row r="10114">
      <c r="A10114" s="3" t="inlineStr">
        <is>
          <t>Opportunity Global Investment (PTY) LTD</t>
        </is>
      </c>
      <c r="B10114" s="4" t="n">
        <v>44773</v>
      </c>
      <c r="C10114" s="3" t="inlineStr">
        <is>
          <t>Liabilities</t>
        </is>
      </c>
      <c r="D10114" s="3" t="inlineStr">
        <is>
          <t>9250/020</t>
        </is>
      </c>
      <c r="E10114" s="3" t="inlineStr">
        <is>
          <t>PAYE, UIF AND SDL CONTROL</t>
        </is>
      </c>
      <c r="F10114" s="3" t="n">
        <v>12322.37</v>
      </c>
      <c r="G10114" s="3" t="n">
        <v>-30662.28</v>
      </c>
    </row>
    <row r="10115">
      <c r="A10115" s="3" t="inlineStr">
        <is>
          <t>Opportunity Management Holdings (PTY) LTD</t>
        </is>
      </c>
      <c r="B10115" s="4" t="n">
        <v>44773</v>
      </c>
      <c r="C10115" s="3" t="inlineStr">
        <is>
          <t>Liabilities</t>
        </is>
      </c>
      <c r="D10115" s="3" t="inlineStr">
        <is>
          <t>9250/020</t>
        </is>
      </c>
      <c r="E10115" s="3" t="inlineStr">
        <is>
          <t>PAYE, UIF AND SDL CONTROL</t>
        </is>
      </c>
      <c r="F10115" s="3" t="n">
        <v>1308.75</v>
      </c>
      <c r="G10115" s="3" t="n">
        <v>-46318.1</v>
      </c>
    </row>
    <row r="10116">
      <c r="A10116" s="3" t="inlineStr">
        <is>
          <t>Trademark Holdings (Pty) Ltd</t>
        </is>
      </c>
      <c r="B10116" s="4" t="n">
        <v>44773</v>
      </c>
      <c r="C10116" s="3" t="inlineStr">
        <is>
          <t>Liabilities</t>
        </is>
      </c>
      <c r="D10116" s="3" t="inlineStr">
        <is>
          <t>9250/020</t>
        </is>
      </c>
      <c r="E10116" s="3" t="inlineStr">
        <is>
          <t>PAYE, UIF AND SDL CONTROL</t>
        </is>
      </c>
      <c r="F10116" s="3" t="n">
        <v>-26.39</v>
      </c>
      <c r="G10116" s="3" t="n">
        <v>-5072.69</v>
      </c>
    </row>
    <row r="10117">
      <c r="A10117" s="3" t="inlineStr">
        <is>
          <t>Opportunity Global Investment (PTY) LTD</t>
        </is>
      </c>
      <c r="B10117" s="4" t="n">
        <v>44773</v>
      </c>
      <c r="C10117" s="3" t="inlineStr">
        <is>
          <t>Liabilities</t>
        </is>
      </c>
      <c r="D10117" s="3" t="inlineStr">
        <is>
          <t>9400/030</t>
        </is>
      </c>
      <c r="E10117" s="3" t="inlineStr">
        <is>
          <t>Accrued Expenses - PAYE_AND_UIF</t>
        </is>
      </c>
      <c r="F10117" s="3" t="n">
        <v>0</v>
      </c>
      <c r="G10117" s="3" t="n">
        <v>-2</v>
      </c>
    </row>
    <row r="10118">
      <c r="A10118" s="3" t="inlineStr">
        <is>
          <t>Trademark Holdings (Pty) Ltd</t>
        </is>
      </c>
      <c r="B10118" s="4" t="n">
        <v>44773</v>
      </c>
      <c r="C10118" s="3" t="inlineStr">
        <is>
          <t>Liabilities</t>
        </is>
      </c>
      <c r="D10118" s="3" t="inlineStr">
        <is>
          <t>9400/400</t>
        </is>
      </c>
      <c r="E10118" s="3" t="inlineStr">
        <is>
          <t>Deemed Dividend Tax</t>
        </is>
      </c>
      <c r="F10118" s="3" t="n">
        <v>0</v>
      </c>
      <c r="G10118" s="3" t="n">
        <v>-699.13</v>
      </c>
    </row>
    <row r="10119">
      <c r="A10119" s="3" t="inlineStr">
        <is>
          <t>Opportunity Global Investment (PTY) LTD</t>
        </is>
      </c>
      <c r="B10119" s="4" t="n">
        <v>44773</v>
      </c>
      <c r="C10119" s="3" t="inlineStr">
        <is>
          <t>Liabilities</t>
        </is>
      </c>
      <c r="D10119" s="3" t="inlineStr">
        <is>
          <t>9500/000</t>
        </is>
      </c>
      <c r="E10119" s="3" t="inlineStr">
        <is>
          <t>VAT Control Account</t>
        </is>
      </c>
      <c r="F10119" s="3" t="n">
        <v>105393.99</v>
      </c>
      <c r="G10119" s="3" t="n">
        <v>181198.51</v>
      </c>
    </row>
    <row r="10120">
      <c r="A10120" s="3" t="inlineStr">
        <is>
          <t>Opportunity Global Sales (PTY) LTD</t>
        </is>
      </c>
      <c r="B10120" s="4" t="n">
        <v>44773</v>
      </c>
      <c r="C10120" s="3" t="inlineStr">
        <is>
          <t>Liabilities</t>
        </is>
      </c>
      <c r="D10120" s="3" t="inlineStr">
        <is>
          <t>9500/000</t>
        </is>
      </c>
      <c r="E10120" s="3" t="inlineStr">
        <is>
          <t>VAT Control Account</t>
        </is>
      </c>
      <c r="F10120" s="3" t="n">
        <v>-3616.54</v>
      </c>
      <c r="G10120" s="3" t="n">
        <v>-206882.79</v>
      </c>
    </row>
    <row r="10121">
      <c r="A10121" s="3" t="inlineStr">
        <is>
          <t>Opportunity Management Holdings (PTY) LTD</t>
        </is>
      </c>
      <c r="B10121" s="4" t="n">
        <v>44773</v>
      </c>
      <c r="C10121" s="3" t="inlineStr">
        <is>
          <t>Liabilities</t>
        </is>
      </c>
      <c r="D10121" s="3" t="inlineStr">
        <is>
          <t>9500/000</t>
        </is>
      </c>
      <c r="E10121" s="3" t="inlineStr">
        <is>
          <t>VAT Control Account</t>
        </is>
      </c>
      <c r="F10121" s="3" t="n">
        <v>-45277.99</v>
      </c>
      <c r="G10121" s="3" t="n">
        <v>-140969.67</v>
      </c>
    </row>
    <row r="10122">
      <c r="A10122" s="3" t="inlineStr">
        <is>
          <t>Endulini (Pty) Ltd</t>
        </is>
      </c>
      <c r="B10122" s="4" t="n">
        <v>44773</v>
      </c>
      <c r="C10122" s="3" t="inlineStr">
        <is>
          <t>Liabilities</t>
        </is>
      </c>
      <c r="D10122" s="3" t="inlineStr">
        <is>
          <t>9500/000</t>
        </is>
      </c>
      <c r="E10122" s="3" t="inlineStr">
        <is>
          <t>Vat / Tax Control Account</t>
        </is>
      </c>
      <c r="F10122" s="3" t="n">
        <v>-1702703.93</v>
      </c>
      <c r="G10122" s="3" t="n">
        <v>240412.15</v>
      </c>
    </row>
    <row r="10123">
      <c r="A10123" s="3" t="inlineStr">
        <is>
          <t>Quinate Consulting (Pty) Ltd</t>
        </is>
      </c>
      <c r="B10123" s="4" t="n">
        <v>44773</v>
      </c>
      <c r="C10123" s="3" t="inlineStr">
        <is>
          <t>Liabilities</t>
        </is>
      </c>
      <c r="D10123" s="3" t="inlineStr">
        <is>
          <t>9500/000</t>
        </is>
      </c>
      <c r="E10123" s="3" t="inlineStr">
        <is>
          <t>Vat Control Account</t>
        </is>
      </c>
      <c r="F10123" s="3" t="n">
        <v>48667.19</v>
      </c>
      <c r="G10123" s="3" t="n">
        <v>-2420193.63</v>
      </c>
    </row>
    <row r="10124">
      <c r="A10124" s="3" t="inlineStr">
        <is>
          <t>Opportunity Management Holdings (PTY) LTD</t>
        </is>
      </c>
      <c r="B10124" s="4" t="n">
        <v>44773</v>
      </c>
      <c r="C10124" s="3" t="inlineStr">
        <is>
          <t>Liabilities</t>
        </is>
      </c>
      <c r="D10124" s="3" t="inlineStr">
        <is>
          <t>9501/000</t>
        </is>
      </c>
      <c r="E10124" s="3" t="inlineStr">
        <is>
          <t>Vat Adjustments - C2M</t>
        </is>
      </c>
      <c r="F10124" s="3" t="n">
        <v>0</v>
      </c>
      <c r="G10124" s="3" t="n">
        <v>47274.04</v>
      </c>
    </row>
    <row r="10125">
      <c r="A10125" s="3" t="inlineStr">
        <is>
          <t>Endulini (Pty) Ltd</t>
        </is>
      </c>
      <c r="B10125" s="4" t="n">
        <v>44773</v>
      </c>
      <c r="C10125" s="3" t="inlineStr">
        <is>
          <t>Liabilities</t>
        </is>
      </c>
      <c r="D10125" s="3" t="inlineStr">
        <is>
          <t>9899/D202</t>
        </is>
      </c>
      <c r="E10125" s="3" t="inlineStr">
        <is>
          <t>Sales - Unit Reg Control D202</t>
        </is>
      </c>
      <c r="F10125" s="3" t="n">
        <v>-63841.53</v>
      </c>
      <c r="G10125" s="3" t="n">
        <v>0</v>
      </c>
    </row>
    <row r="10126">
      <c r="A10126" s="3" t="inlineStr">
        <is>
          <t>Endulini (Pty) Ltd</t>
        </is>
      </c>
      <c r="B10126" s="4" t="n">
        <v>44773</v>
      </c>
      <c r="C10126" s="3" t="inlineStr">
        <is>
          <t>Liabilities</t>
        </is>
      </c>
      <c r="D10126" s="3" t="inlineStr">
        <is>
          <t>9899/F203</t>
        </is>
      </c>
      <c r="E10126" s="3" t="inlineStr">
        <is>
          <t>Sales - Unit Reg Control F203</t>
        </is>
      </c>
      <c r="F10126" s="3" t="n">
        <v>-900</v>
      </c>
      <c r="G10126" s="3" t="n">
        <v>0</v>
      </c>
    </row>
    <row r="10127">
      <c r="A10127" s="3" t="inlineStr">
        <is>
          <t>Quinate Consulting (Pty) Ltd</t>
        </is>
      </c>
      <c r="B10127" s="4" t="n">
        <v>44773</v>
      </c>
      <c r="C10127" s="3" t="inlineStr">
        <is>
          <t>Liabilities</t>
        </is>
      </c>
      <c r="D10127" s="3" t="inlineStr">
        <is>
          <t>9960/000</t>
        </is>
      </c>
      <c r="E10127" s="3" t="inlineStr">
        <is>
          <t>Deposits - Southwark Rentals</t>
        </is>
      </c>
      <c r="F10127" s="3" t="n">
        <v>0</v>
      </c>
      <c r="G10127" s="3" t="n">
        <v>-11500</v>
      </c>
    </row>
    <row r="10128">
      <c r="A10128" s="3" t="inlineStr">
        <is>
          <t>Noble Shield (Pty) Ltd ta Go Letting</t>
        </is>
      </c>
      <c r="B10128" s="4" t="n">
        <v>44773</v>
      </c>
      <c r="C10128" s="3" t="inlineStr">
        <is>
          <t>Expenses</t>
        </is>
      </c>
      <c r="D10128" s="3" t="inlineStr">
        <is>
          <t>ACB Link</t>
        </is>
      </c>
      <c r="E10128" s="3" t="inlineStr">
        <is>
          <t>Subscriptions - TPN</t>
        </is>
      </c>
      <c r="F10128" s="3" t="n">
        <v>1446.92</v>
      </c>
      <c r="G10128" s="3" t="n">
        <v>19908.82</v>
      </c>
    </row>
    <row r="10129">
      <c r="A10129" s="3" t="inlineStr">
        <is>
          <t>Noble Shield (Pty) Ltd ta Go Letting</t>
        </is>
      </c>
      <c r="B10129" s="4" t="n">
        <v>44773</v>
      </c>
      <c r="C10129" s="3" t="inlineStr">
        <is>
          <t>Liabilities</t>
        </is>
      </c>
      <c r="D10129" s="3" t="inlineStr">
        <is>
          <t>B/S</t>
        </is>
      </c>
      <c r="E10129" s="3" t="inlineStr">
        <is>
          <t>Tax Payable</t>
        </is>
      </c>
      <c r="F10129" s="3" t="n">
        <v>0</v>
      </c>
      <c r="G10129" s="3" t="n">
        <v>-6843.4</v>
      </c>
    </row>
    <row r="10130">
      <c r="A10130" s="3" t="inlineStr">
        <is>
          <t>Trademark Holdings (Pty) Ltd</t>
        </is>
      </c>
      <c r="B10130" s="4" t="n">
        <v>44773</v>
      </c>
      <c r="C10130" s="3" t="inlineStr">
        <is>
          <t>Liabilities</t>
        </is>
      </c>
      <c r="D10130" s="3" t="inlineStr">
        <is>
          <t>B/S</t>
        </is>
      </c>
      <c r="E10130" s="3" t="inlineStr">
        <is>
          <t>Taxation Payable</t>
        </is>
      </c>
      <c r="F10130" s="3" t="n">
        <v>0</v>
      </c>
      <c r="G10130" s="3" t="n">
        <v>-1960.56</v>
      </c>
    </row>
    <row r="10131">
      <c r="A10131" s="3" t="inlineStr">
        <is>
          <t>Quinate Consulting (Pty) Ltd</t>
        </is>
      </c>
      <c r="B10131" s="4" t="n">
        <v>44773</v>
      </c>
      <c r="C10131" s="3" t="inlineStr">
        <is>
          <t>Liabilities</t>
        </is>
      </c>
      <c r="D10131" s="3" t="inlineStr">
        <is>
          <t xml:space="preserve">B/S </t>
        </is>
      </c>
      <c r="E10131" s="3" t="inlineStr">
        <is>
          <t>Taxation Payable</t>
        </is>
      </c>
      <c r="F10131" s="3" t="n">
        <v>0</v>
      </c>
      <c r="G10131" s="3" t="n">
        <v>-15486</v>
      </c>
    </row>
    <row r="10132">
      <c r="A10132" s="3" t="inlineStr">
        <is>
          <t>Quinate Consulting (Pty) Ltd</t>
        </is>
      </c>
      <c r="B10132" s="4" t="n">
        <v>44773</v>
      </c>
      <c r="C10132" s="3" t="inlineStr">
        <is>
          <t>Liabilities</t>
        </is>
      </c>
      <c r="D10132" s="3" t="inlineStr">
        <is>
          <t>FV</t>
        </is>
      </c>
      <c r="E10132" s="3" t="inlineStr">
        <is>
          <t>Loan - Cape Projects Constuction</t>
        </is>
      </c>
      <c r="F10132" s="3" t="n">
        <v>-200000</v>
      </c>
      <c r="G10132" s="3" t="n">
        <v>-2730000</v>
      </c>
    </row>
    <row r="10133">
      <c r="A10133" s="3" t="inlineStr">
        <is>
          <t>Trademark Holdings (Pty) Ltd</t>
        </is>
      </c>
      <c r="B10133" s="4" t="n">
        <v>44773</v>
      </c>
      <c r="C10133" s="3" t="inlineStr">
        <is>
          <t>Expenses</t>
        </is>
      </c>
      <c r="D10133" s="3" t="inlineStr">
        <is>
          <t>I/S</t>
        </is>
      </c>
      <c r="E10133" s="3" t="inlineStr">
        <is>
          <t>Income Tax Current Year</t>
        </is>
      </c>
      <c r="F10133" s="3" t="n">
        <v>0</v>
      </c>
      <c r="G10133" s="3" t="n">
        <v>2251.76</v>
      </c>
    </row>
    <row r="10134">
      <c r="A10134" s="3" t="inlineStr">
        <is>
          <t>Quinate Consulting (Pty) Ltd</t>
        </is>
      </c>
      <c r="B10134" s="4" t="n">
        <v>44773</v>
      </c>
      <c r="C10134" s="3" t="inlineStr">
        <is>
          <t>Liabilities</t>
        </is>
      </c>
      <c r="D10134" s="3" t="inlineStr">
        <is>
          <t>Sharehold OppDev</t>
        </is>
      </c>
      <c r="E10134" s="3" t="inlineStr">
        <is>
          <t>Loan - Justine Morgan</t>
        </is>
      </c>
      <c r="F10134" s="3" t="n">
        <v>0</v>
      </c>
      <c r="G10134" s="3" t="n">
        <v>-563766.76</v>
      </c>
    </row>
    <row r="10135">
      <c r="A10135" s="3" t="inlineStr">
        <is>
          <t>Opportunity Global Investment (PTY) LTD</t>
        </is>
      </c>
      <c r="B10135" s="4" t="n">
        <v>44773</v>
      </c>
      <c r="C10135" s="3" t="inlineStr">
        <is>
          <t>Expenses</t>
        </is>
      </c>
      <c r="D10135" s="3" t="inlineStr">
        <is>
          <t>Swiftshutter</t>
        </is>
      </c>
      <c r="E10135" s="3" t="inlineStr">
        <is>
          <t>Advertising - Rousseau Lotter</t>
        </is>
      </c>
      <c r="F10135" s="3" t="n">
        <v>0</v>
      </c>
      <c r="G10135" s="3" t="n">
        <v>6600</v>
      </c>
    </row>
    <row r="10136">
      <c r="A10136" s="3" t="inlineStr">
        <is>
          <t>Opportunity Global Sales (PTY) LTD</t>
        </is>
      </c>
      <c r="B10136" s="4" t="n">
        <v>44804</v>
      </c>
      <c r="C10136" s="3" t="inlineStr">
        <is>
          <t>Revenue</t>
        </is>
      </c>
      <c r="D10136" s="3" t="inlineStr">
        <is>
          <t>1000/009</t>
        </is>
      </c>
      <c r="E10136" s="3" t="inlineStr">
        <is>
          <t>Sales - Comm on Payprop</t>
        </is>
      </c>
      <c r="F10136" s="3" t="n">
        <v>-2526.16</v>
      </c>
      <c r="G10136" s="3" t="n">
        <v>-18117.3</v>
      </c>
    </row>
    <row r="10137">
      <c r="A10137" s="3" t="inlineStr">
        <is>
          <t>Quinate Consulting (Pty) Ltd</t>
        </is>
      </c>
      <c r="B10137" s="4" t="n">
        <v>44804</v>
      </c>
      <c r="C10137" s="3" t="inlineStr">
        <is>
          <t>Revenue</t>
        </is>
      </c>
      <c r="D10137" s="3" t="inlineStr">
        <is>
          <t>1000/011</t>
        </is>
      </c>
      <c r="E10137" s="3" t="inlineStr">
        <is>
          <t>Rent Received - Soho Unit 23</t>
        </is>
      </c>
      <c r="F10137" s="3" t="n">
        <v>-12500</v>
      </c>
      <c r="G10137" s="3" t="n">
        <v>-75000</v>
      </c>
    </row>
    <row r="10138">
      <c r="A10138" s="3" t="inlineStr">
        <is>
          <t>Quinate Consulting (Pty) Ltd</t>
        </is>
      </c>
      <c r="B10138" s="4" t="n">
        <v>44804</v>
      </c>
      <c r="C10138" s="3" t="inlineStr">
        <is>
          <t>Revenue</t>
        </is>
      </c>
      <c r="D10138" s="3" t="inlineStr">
        <is>
          <t>1000/012</t>
        </is>
      </c>
      <c r="E10138" s="3" t="inlineStr">
        <is>
          <t>Rent Received - Soho Unit 24</t>
        </is>
      </c>
      <c r="F10138" s="3" t="n">
        <v>-14445</v>
      </c>
      <c r="G10138" s="3" t="n">
        <v>-82890</v>
      </c>
    </row>
    <row r="10139">
      <c r="A10139" s="3" t="inlineStr">
        <is>
          <t>Quinate Consulting (Pty) Ltd</t>
        </is>
      </c>
      <c r="B10139" s="4" t="n">
        <v>44804</v>
      </c>
      <c r="C10139" s="3" t="inlineStr">
        <is>
          <t>Revenue</t>
        </is>
      </c>
      <c r="D10139" s="3" t="inlineStr">
        <is>
          <t>1000/013</t>
        </is>
      </c>
      <c r="E10139" s="3" t="inlineStr">
        <is>
          <t>Rent Recieved - Soho Unit 20</t>
        </is>
      </c>
      <c r="F10139" s="3" t="n">
        <v>-12500</v>
      </c>
      <c r="G10139" s="3" t="n">
        <v>-75000</v>
      </c>
    </row>
    <row r="10140">
      <c r="A10140" s="3" t="inlineStr">
        <is>
          <t>Quinate Consulting (Pty) Ltd</t>
        </is>
      </c>
      <c r="B10140" s="4" t="n">
        <v>44804</v>
      </c>
      <c r="C10140" s="3" t="inlineStr">
        <is>
          <t>Revenue</t>
        </is>
      </c>
      <c r="D10140" s="3" t="inlineStr">
        <is>
          <t>1000/015</t>
        </is>
      </c>
      <c r="E10140" s="3" t="inlineStr">
        <is>
          <t>Rent Received - Southwark Unit 1</t>
        </is>
      </c>
      <c r="F10140" s="3" t="n">
        <v>0</v>
      </c>
      <c r="G10140" s="3" t="n">
        <v>-20000</v>
      </c>
    </row>
    <row r="10141">
      <c r="A10141" s="3" t="inlineStr">
        <is>
          <t>Quinate Consulting (Pty) Ltd</t>
        </is>
      </c>
      <c r="B10141" s="4" t="n">
        <v>44804</v>
      </c>
      <c r="C10141" s="3" t="inlineStr">
        <is>
          <t>Revenue</t>
        </is>
      </c>
      <c r="D10141" s="3" t="inlineStr">
        <is>
          <t>1000/016</t>
        </is>
      </c>
      <c r="E10141" s="3" t="inlineStr">
        <is>
          <t>Rent Recieved - Southwark Unit 21</t>
        </is>
      </c>
      <c r="F10141" s="3" t="n">
        <v>-10000</v>
      </c>
      <c r="G10141" s="3" t="n">
        <v>-60000</v>
      </c>
    </row>
    <row r="10142">
      <c r="A10142" s="3" t="inlineStr">
        <is>
          <t>Opportunity Global Sales (PTY) LTD</t>
        </is>
      </c>
      <c r="B10142" s="4" t="n">
        <v>44804</v>
      </c>
      <c r="C10142" s="3" t="inlineStr">
        <is>
          <t>Revenue</t>
        </is>
      </c>
      <c r="D10142" s="3" t="inlineStr">
        <is>
          <t>1000/100</t>
        </is>
      </c>
      <c r="E10142" s="3" t="inlineStr">
        <is>
          <t>Sales - Comm on External Sales</t>
        </is>
      </c>
      <c r="F10142" s="3" t="n">
        <v>0</v>
      </c>
      <c r="G10142" s="3" t="n">
        <v>-96165.22</v>
      </c>
    </row>
    <row r="10143">
      <c r="A10143" s="3" t="inlineStr">
        <is>
          <t>Noble Shield (Pty) Ltd ta Go Letting</t>
        </is>
      </c>
      <c r="B10143" s="4" t="n">
        <v>44804</v>
      </c>
      <c r="C10143" s="3" t="inlineStr">
        <is>
          <t>Revenue</t>
        </is>
      </c>
      <c r="D10143" s="3" t="inlineStr">
        <is>
          <t>1000/100</t>
        </is>
      </c>
      <c r="E10143" s="3" t="inlineStr">
        <is>
          <t>Sales - Payprop 328 - Michelle</t>
        </is>
      </c>
      <c r="F10143" s="3" t="n">
        <v>-77679.28999999999</v>
      </c>
      <c r="G10143" s="3" t="n">
        <v>-902500.52</v>
      </c>
    </row>
    <row r="10144">
      <c r="A10144" s="3" t="inlineStr">
        <is>
          <t>Opportunity Global Sales (PTY) LTD</t>
        </is>
      </c>
      <c r="B10144" s="4" t="n">
        <v>44804</v>
      </c>
      <c r="C10144" s="3" t="inlineStr">
        <is>
          <t>Revenue</t>
        </is>
      </c>
      <c r="D10144" s="3" t="inlineStr">
        <is>
          <t>1000/120</t>
        </is>
      </c>
      <c r="E10144" s="3" t="inlineStr">
        <is>
          <t>Sales - Admin Fees on Rental Units</t>
        </is>
      </c>
      <c r="F10144" s="3" t="n">
        <v>-4478.26</v>
      </c>
      <c r="G10144" s="3" t="n">
        <v>-13608.66</v>
      </c>
    </row>
    <row r="10145">
      <c r="A10145" s="3" t="inlineStr">
        <is>
          <t>Opportunity Global Sales (PTY) LTD</t>
        </is>
      </c>
      <c r="B10145" s="4" t="n">
        <v>44804</v>
      </c>
      <c r="C10145" s="3" t="inlineStr">
        <is>
          <t>Revenue</t>
        </is>
      </c>
      <c r="D10145" s="3" t="inlineStr">
        <is>
          <t>1000/150</t>
        </is>
      </c>
      <c r="E10145" s="3" t="inlineStr">
        <is>
          <t>Sales - Comm on External Rental</t>
        </is>
      </c>
      <c r="F10145" s="3" t="n">
        <v>-41913.05</v>
      </c>
      <c r="G10145" s="3" t="n">
        <v>-127060.86</v>
      </c>
    </row>
    <row r="10146">
      <c r="A10146" s="3" t="inlineStr">
        <is>
          <t>Opportunity Global Sales (PTY) LTD</t>
        </is>
      </c>
      <c r="B10146" s="4" t="n">
        <v>44804</v>
      </c>
      <c r="C10146" s="3" t="inlineStr">
        <is>
          <t>Revenue</t>
        </is>
      </c>
      <c r="D10146" s="3" t="inlineStr">
        <is>
          <t>1000/250</t>
        </is>
      </c>
      <c r="E10146" s="3" t="inlineStr">
        <is>
          <t>Sales - Comm on Endulini</t>
        </is>
      </c>
      <c r="F10146" s="3" t="n">
        <v>0</v>
      </c>
      <c r="G10146" s="3" t="n">
        <v>-1307876.95</v>
      </c>
    </row>
    <row r="10147">
      <c r="A10147" s="3" t="inlineStr">
        <is>
          <t>Trademark Holdings (Pty) Ltd</t>
        </is>
      </c>
      <c r="B10147" s="4" t="n">
        <v>44804</v>
      </c>
      <c r="C10147" s="3" t="inlineStr">
        <is>
          <t>Revenue</t>
        </is>
      </c>
      <c r="D10147" s="3" t="inlineStr">
        <is>
          <t>1000/300</t>
        </is>
      </c>
      <c r="E10147" s="3" t="inlineStr">
        <is>
          <t>Sales - Payprop - Lara</t>
        </is>
      </c>
      <c r="F10147" s="3" t="n">
        <v>-125246.24</v>
      </c>
      <c r="G10147" s="3" t="n">
        <v>-1053630.08</v>
      </c>
    </row>
    <row r="10148">
      <c r="A10148" s="3" t="inlineStr">
        <is>
          <t>Opportunity Global Investment (PTY) LTD</t>
        </is>
      </c>
      <c r="B10148" s="4" t="n">
        <v>44804</v>
      </c>
      <c r="C10148" s="3" t="inlineStr">
        <is>
          <t>Revenue</t>
        </is>
      </c>
      <c r="D10148" s="3" t="inlineStr">
        <is>
          <t>1000/350</t>
        </is>
      </c>
      <c r="E10148" s="3" t="inlineStr">
        <is>
          <t>Sales - Investor Management - Heron Fields</t>
        </is>
      </c>
      <c r="F10148" s="3" t="n">
        <v>-382608.7</v>
      </c>
      <c r="G10148" s="3" t="n">
        <v>-771784.89</v>
      </c>
    </row>
    <row r="10149">
      <c r="A10149" s="3" t="inlineStr">
        <is>
          <t>Trademark Holdings (Pty) Ltd</t>
        </is>
      </c>
      <c r="B10149" s="4" t="n">
        <v>44804</v>
      </c>
      <c r="C10149" s="3" t="inlineStr">
        <is>
          <t>Revenue</t>
        </is>
      </c>
      <c r="D10149" s="3" t="inlineStr">
        <is>
          <t>1000/500</t>
        </is>
      </c>
      <c r="E10149" s="3" t="inlineStr">
        <is>
          <t>Sales - Commission external sale</t>
        </is>
      </c>
      <c r="F10149" s="3" t="n">
        <v>0</v>
      </c>
      <c r="G10149" s="3" t="n">
        <v>-70000</v>
      </c>
    </row>
    <row r="10150">
      <c r="A10150" s="3" t="inlineStr">
        <is>
          <t>Opportunity Global Sales (PTY) LTD</t>
        </is>
      </c>
      <c r="B10150" s="4" t="n">
        <v>44804</v>
      </c>
      <c r="C10150" s="3" t="inlineStr">
        <is>
          <t>Revenue</t>
        </is>
      </c>
      <c r="D10150" s="3" t="inlineStr">
        <is>
          <t>1000/902</t>
        </is>
      </c>
      <c r="E10150" s="3" t="inlineStr">
        <is>
          <t>Sales - Credit check</t>
        </is>
      </c>
      <c r="F10150" s="3" t="n">
        <v>-60.87</v>
      </c>
      <c r="G10150" s="3" t="n">
        <v>-60.87</v>
      </c>
    </row>
    <row r="10151">
      <c r="A10151" s="3" t="inlineStr">
        <is>
          <t>Quinate Consulting (Pty) Ltd</t>
        </is>
      </c>
      <c r="B10151" s="4" t="n">
        <v>44804</v>
      </c>
      <c r="C10151" s="3" t="inlineStr">
        <is>
          <t>Revenue</t>
        </is>
      </c>
      <c r="D10151" s="3" t="inlineStr">
        <is>
          <t>1004/000</t>
        </is>
      </c>
      <c r="E10151" s="3" t="inlineStr">
        <is>
          <t>Interest received</t>
        </is>
      </c>
      <c r="F10151" s="3" t="n">
        <v>-505.54</v>
      </c>
      <c r="G10151" s="3" t="n">
        <v>-2358.32</v>
      </c>
    </row>
    <row r="10152">
      <c r="A10152" s="3" t="inlineStr">
        <is>
          <t>Endulini (Pty) Ltd</t>
        </is>
      </c>
      <c r="B10152" s="4" t="n">
        <v>44804</v>
      </c>
      <c r="C10152" s="3" t="inlineStr">
        <is>
          <t>Revenue</t>
        </is>
      </c>
      <c r="D10152" s="3" t="inlineStr">
        <is>
          <t>1100/000</t>
        </is>
      </c>
      <c r="E10152" s="3" t="inlineStr">
        <is>
          <t>Sales - Endulini</t>
        </is>
      </c>
      <c r="F10152" s="3" t="n">
        <v>-1174318.57</v>
      </c>
      <c r="G10152" s="3" t="n">
        <v>-28330722.94</v>
      </c>
    </row>
    <row r="10153">
      <c r="A10153" s="3" t="inlineStr">
        <is>
          <t>Opportunity Management Holdings (PTY) LTD</t>
        </is>
      </c>
      <c r="B10153" s="4" t="n">
        <v>44804</v>
      </c>
      <c r="C10153" s="3" t="inlineStr">
        <is>
          <t>Revenue</t>
        </is>
      </c>
      <c r="D10153" s="3" t="inlineStr">
        <is>
          <t>1100/001</t>
        </is>
      </c>
      <c r="E10153" s="3" t="inlineStr">
        <is>
          <t>Salary Recharges</t>
        </is>
      </c>
      <c r="F10153" s="3" t="n">
        <v>-390500</v>
      </c>
      <c r="G10153" s="3" t="n">
        <v>-3505827.91</v>
      </c>
    </row>
    <row r="10154">
      <c r="A10154" s="3" t="inlineStr">
        <is>
          <t>Endulini (Pty) Ltd</t>
        </is>
      </c>
      <c r="B10154" s="4" t="n">
        <v>44804</v>
      </c>
      <c r="C10154" s="3" t="inlineStr">
        <is>
          <t>Revenue</t>
        </is>
      </c>
      <c r="D10154" s="3" t="inlineStr">
        <is>
          <t>1100/100</t>
        </is>
      </c>
      <c r="E10154" s="3" t="inlineStr">
        <is>
          <t>Sales - Endulini - Exstras</t>
        </is>
      </c>
      <c r="F10154" s="3" t="n">
        <v>0</v>
      </c>
      <c r="G10154" s="3" t="n">
        <v>-8030</v>
      </c>
    </row>
    <row r="10155">
      <c r="A10155" s="3" t="inlineStr">
        <is>
          <t>Endulini (Pty) Ltd</t>
        </is>
      </c>
      <c r="B10155" s="4" t="n">
        <v>44804</v>
      </c>
      <c r="C10155" s="3" t="inlineStr">
        <is>
          <t>Revenue</t>
        </is>
      </c>
      <c r="D10155" s="3" t="inlineStr">
        <is>
          <t>1100/150</t>
        </is>
      </c>
      <c r="E10155" s="3" t="inlineStr">
        <is>
          <t>Sales - Endulini - Extras admin fee</t>
        </is>
      </c>
      <c r="F10155" s="3" t="n">
        <v>0</v>
      </c>
      <c r="G10155" s="3" t="n">
        <v>-2000</v>
      </c>
    </row>
    <row r="10156">
      <c r="A10156" s="3" t="inlineStr">
        <is>
          <t>Endulini (Pty) Ltd</t>
        </is>
      </c>
      <c r="B10156" s="4" t="n">
        <v>44804</v>
      </c>
      <c r="C10156" s="3" t="inlineStr">
        <is>
          <t>Revenue</t>
        </is>
      </c>
      <c r="D10156" s="3" t="inlineStr">
        <is>
          <t>1100/200</t>
        </is>
      </c>
      <c r="E10156" s="3" t="inlineStr">
        <is>
          <t>Sales - Endulini occupational rent</t>
        </is>
      </c>
      <c r="F10156" s="3" t="n">
        <v>0</v>
      </c>
      <c r="G10156" s="3" t="n">
        <v>-148109.42</v>
      </c>
    </row>
    <row r="10157">
      <c r="A10157" s="3" t="inlineStr">
        <is>
          <t>Opportunity Management Holdings (PTY) LTD</t>
        </is>
      </c>
      <c r="B10157" s="4" t="n">
        <v>44804</v>
      </c>
      <c r="C10157" s="3" t="inlineStr">
        <is>
          <t>Revenue</t>
        </is>
      </c>
      <c r="D10157" s="3" t="inlineStr">
        <is>
          <t>1200/200</t>
        </is>
      </c>
      <c r="E10157" s="3" t="inlineStr">
        <is>
          <t>Management Fees - Heron Fields</t>
        </is>
      </c>
      <c r="F10157" s="3" t="n">
        <v>-400000</v>
      </c>
      <c r="G10157" s="3" t="n">
        <v>-400000</v>
      </c>
    </row>
    <row r="10158">
      <c r="A10158" s="3" t="inlineStr">
        <is>
          <t>Noble Shield (Pty) Ltd ta Go Letting</t>
        </is>
      </c>
      <c r="B10158" s="4" t="n">
        <v>44804</v>
      </c>
      <c r="C10158" s="3" t="inlineStr">
        <is>
          <t>Revenue</t>
        </is>
      </c>
      <c r="D10158" s="3" t="inlineStr">
        <is>
          <t>1500/000</t>
        </is>
      </c>
      <c r="E10158" s="3" t="inlineStr">
        <is>
          <t>Insurance recovery</t>
        </is>
      </c>
      <c r="F10158" s="3" t="n">
        <v>0</v>
      </c>
      <c r="G10158" s="3" t="n">
        <v>-1750</v>
      </c>
    </row>
    <row r="10159">
      <c r="A10159" s="3" t="inlineStr">
        <is>
          <t>Endulini (Pty) Ltd</t>
        </is>
      </c>
      <c r="B10159" s="4" t="n">
        <v>44804</v>
      </c>
      <c r="C10159" s="3" t="inlineStr">
        <is>
          <t>Expenses</t>
        </is>
      </c>
      <c r="D10159" s="3" t="inlineStr">
        <is>
          <t>2000/001</t>
        </is>
      </c>
      <c r="E10159" s="3" t="inlineStr">
        <is>
          <t>COS - CIP Construction</t>
        </is>
      </c>
      <c r="F10159" s="3" t="n">
        <v>0</v>
      </c>
      <c r="G10159" s="3" t="n">
        <v>28155981.9</v>
      </c>
    </row>
    <row r="10160">
      <c r="A10160" s="3" t="inlineStr">
        <is>
          <t>Endulini (Pty) Ltd</t>
        </is>
      </c>
      <c r="B10160" s="4" t="n">
        <v>44804</v>
      </c>
      <c r="C10160" s="3" t="inlineStr">
        <is>
          <t>Expenses</t>
        </is>
      </c>
      <c r="D10160" s="3" t="inlineStr">
        <is>
          <t>2000/100</t>
        </is>
      </c>
      <c r="E10160" s="3" t="inlineStr">
        <is>
          <t>COS - Commission Endulini</t>
        </is>
      </c>
      <c r="F10160" s="3" t="n">
        <v>0</v>
      </c>
      <c r="G10160" s="3" t="n">
        <v>1641876.95</v>
      </c>
    </row>
    <row r="10161">
      <c r="A10161" s="3" t="inlineStr">
        <is>
          <t>Noble Shield (Pty) Ltd ta Go Letting</t>
        </is>
      </c>
      <c r="B10161" s="4" t="n">
        <v>44804</v>
      </c>
      <c r="C10161" s="3" t="inlineStr">
        <is>
          <t>Expenses</t>
        </is>
      </c>
      <c r="D10161" s="3" t="inlineStr">
        <is>
          <t>2000/100</t>
        </is>
      </c>
      <c r="E10161" s="3" t="inlineStr">
        <is>
          <t>COS - Commission Paid</t>
        </is>
      </c>
      <c r="F10161" s="3" t="n">
        <v>-76066.03999999999</v>
      </c>
      <c r="G10161" s="3" t="n">
        <v>155047.68</v>
      </c>
    </row>
    <row r="10162">
      <c r="A10162" s="3" t="inlineStr">
        <is>
          <t>Opportunity Global Investment (PTY) LTD</t>
        </is>
      </c>
      <c r="B10162" s="4" t="n">
        <v>44804</v>
      </c>
      <c r="C10162" s="3" t="inlineStr">
        <is>
          <t>Expenses</t>
        </is>
      </c>
      <c r="D10162" s="3" t="inlineStr">
        <is>
          <t>2000/125</t>
        </is>
      </c>
      <c r="E10162" s="3" t="inlineStr">
        <is>
          <t>Referral commission - Endulini</t>
        </is>
      </c>
      <c r="F10162" s="3" t="n">
        <v>0</v>
      </c>
      <c r="G10162" s="3" t="n">
        <v>19000</v>
      </c>
    </row>
    <row r="10163">
      <c r="A10163" s="3" t="inlineStr">
        <is>
          <t>Opportunity Global Sales (PTY) LTD</t>
        </is>
      </c>
      <c r="B10163" s="4" t="n">
        <v>44804</v>
      </c>
      <c r="C10163" s="3" t="inlineStr">
        <is>
          <t>Expenses</t>
        </is>
      </c>
      <c r="D10163" s="3" t="inlineStr">
        <is>
          <t>2000/131</t>
        </is>
      </c>
      <c r="E10163" s="3" t="inlineStr">
        <is>
          <t>COS - Sales Comm Endulini - Anthony</t>
        </is>
      </c>
      <c r="F10163" s="3" t="n">
        <v>0</v>
      </c>
      <c r="G10163" s="3" t="n">
        <v>62272.01</v>
      </c>
    </row>
    <row r="10164">
      <c r="A10164" s="3" t="inlineStr">
        <is>
          <t>Opportunity Global Sales (PTY) LTD</t>
        </is>
      </c>
      <c r="B10164" s="4" t="n">
        <v>44804</v>
      </c>
      <c r="C10164" s="3" t="inlineStr">
        <is>
          <t>Expenses</t>
        </is>
      </c>
      <c r="D10164" s="3" t="inlineStr">
        <is>
          <t>2000/132</t>
        </is>
      </c>
      <c r="E10164" s="3" t="inlineStr">
        <is>
          <t>COS - Sales Comm Endulini - Minette</t>
        </is>
      </c>
      <c r="F10164" s="3" t="n">
        <v>18851.48</v>
      </c>
      <c r="G10164" s="3" t="n">
        <v>237541.18</v>
      </c>
    </row>
    <row r="10165">
      <c r="A10165" s="3" t="inlineStr">
        <is>
          <t>Opportunity Global Sales (PTY) LTD</t>
        </is>
      </c>
      <c r="B10165" s="4" t="n">
        <v>44804</v>
      </c>
      <c r="C10165" s="3" t="inlineStr">
        <is>
          <t>Expenses</t>
        </is>
      </c>
      <c r="D10165" s="3" t="inlineStr">
        <is>
          <t>2000/133</t>
        </is>
      </c>
      <c r="E10165" s="3" t="inlineStr">
        <is>
          <t>COS - Sales Comm Endulini - External Agents</t>
        </is>
      </c>
      <c r="F10165" s="3" t="n">
        <v>0</v>
      </c>
      <c r="G10165" s="3" t="n">
        <v>9966</v>
      </c>
    </row>
    <row r="10166">
      <c r="A10166" s="3" t="inlineStr">
        <is>
          <t>Opportunity Global Sales (PTY) LTD</t>
        </is>
      </c>
      <c r="B10166" s="4" t="n">
        <v>44804</v>
      </c>
      <c r="C10166" s="3" t="inlineStr">
        <is>
          <t>Expenses</t>
        </is>
      </c>
      <c r="D10166" s="3" t="inlineStr">
        <is>
          <t>2000/135</t>
        </is>
      </c>
      <c r="E10166" s="3" t="inlineStr">
        <is>
          <t>COS - Sales Comm External - Minette</t>
        </is>
      </c>
      <c r="F10166" s="3" t="n">
        <v>0</v>
      </c>
      <c r="G10166" s="3" t="n">
        <v>33189.5</v>
      </c>
    </row>
    <row r="10167">
      <c r="A10167" s="3" t="inlineStr">
        <is>
          <t>Opportunity Global Investment (PTY) LTD</t>
        </is>
      </c>
      <c r="B10167" s="4" t="n">
        <v>44804</v>
      </c>
      <c r="C10167" s="3" t="inlineStr">
        <is>
          <t>Expenses</t>
        </is>
      </c>
      <c r="D10167" s="3" t="inlineStr">
        <is>
          <t>2000/135</t>
        </is>
      </c>
      <c r="E10167" s="3" t="inlineStr">
        <is>
          <t>Referral commission - Heron View</t>
        </is>
      </c>
      <c r="F10167" s="3" t="n">
        <v>20500</v>
      </c>
      <c r="G10167" s="3" t="n">
        <v>134000</v>
      </c>
    </row>
    <row r="10168">
      <c r="A10168" s="3" t="inlineStr">
        <is>
          <t>Opportunity Global Sales (PTY) LTD</t>
        </is>
      </c>
      <c r="B10168" s="4" t="n">
        <v>44804</v>
      </c>
      <c r="C10168" s="3" t="inlineStr">
        <is>
          <t>Expenses</t>
        </is>
      </c>
      <c r="D10168" s="3" t="inlineStr">
        <is>
          <t>2000/137</t>
        </is>
      </c>
      <c r="E10168" s="3" t="inlineStr">
        <is>
          <t>COS - Rental Comm External - Minette</t>
        </is>
      </c>
      <c r="F10168" s="3" t="n">
        <v>17703</v>
      </c>
      <c r="G10168" s="3" t="n">
        <v>44668.05</v>
      </c>
    </row>
    <row r="10169">
      <c r="A10169" s="3" t="inlineStr">
        <is>
          <t>Opportunity Global Sales (PTY) LTD</t>
        </is>
      </c>
      <c r="B10169" s="4" t="n">
        <v>44804</v>
      </c>
      <c r="C10169" s="3" t="inlineStr">
        <is>
          <t>Expenses</t>
        </is>
      </c>
      <c r="D10169" s="3" t="inlineStr">
        <is>
          <t>2000/139</t>
        </is>
      </c>
      <c r="E10169" s="3" t="inlineStr">
        <is>
          <t>COS - Sales Comm Heron Fields - Minette</t>
        </is>
      </c>
      <c r="F10169" s="3" t="n">
        <v>17599.3</v>
      </c>
      <c r="G10169" s="3" t="n">
        <v>174511.86</v>
      </c>
    </row>
    <row r="10170">
      <c r="A10170" s="3" t="inlineStr">
        <is>
          <t>Trademark Holdings (Pty) Ltd</t>
        </is>
      </c>
      <c r="B10170" s="4" t="n">
        <v>44804</v>
      </c>
      <c r="C10170" s="3" t="inlineStr">
        <is>
          <t>Expenses</t>
        </is>
      </c>
      <c r="D10170" s="3" t="inlineStr">
        <is>
          <t>2000/300</t>
        </is>
      </c>
      <c r="E10170" s="3" t="inlineStr">
        <is>
          <t>COS - Commission Paid</t>
        </is>
      </c>
      <c r="F10170" s="3" t="n">
        <v>14636.15</v>
      </c>
      <c r="G10170" s="3" t="n">
        <v>245443.26</v>
      </c>
    </row>
    <row r="10171">
      <c r="A10171" s="3" t="inlineStr">
        <is>
          <t>Opportunity Global Sales (PTY) LTD</t>
        </is>
      </c>
      <c r="B10171" s="4" t="n">
        <v>44804</v>
      </c>
      <c r="C10171" s="3" t="inlineStr">
        <is>
          <t>Expenses</t>
        </is>
      </c>
      <c r="D10171" s="3" t="inlineStr">
        <is>
          <t>2000/350</t>
        </is>
      </c>
      <c r="E10171" s="3" t="inlineStr">
        <is>
          <t>COS - Overrider Comm Endulini - Donovan</t>
        </is>
      </c>
      <c r="F10171" s="3" t="n">
        <v>18165.91</v>
      </c>
      <c r="G10171" s="3" t="n">
        <v>74207.21000000001</v>
      </c>
    </row>
    <row r="10172">
      <c r="A10172" s="3" t="inlineStr">
        <is>
          <t>Opportunity Global Sales (PTY) LTD</t>
        </is>
      </c>
      <c r="B10172" s="4" t="n">
        <v>44804</v>
      </c>
      <c r="C10172" s="3" t="inlineStr">
        <is>
          <t>Expenses</t>
        </is>
      </c>
      <c r="D10172" s="3" t="inlineStr">
        <is>
          <t>2000/351</t>
        </is>
      </c>
      <c r="E10172" s="3" t="inlineStr">
        <is>
          <t>COS - Overrider Comm External - Donovan</t>
        </is>
      </c>
      <c r="F10172" s="3" t="n">
        <v>0</v>
      </c>
      <c r="G10172" s="3" t="n">
        <v>7030.44</v>
      </c>
    </row>
    <row r="10173">
      <c r="A10173" s="3" t="inlineStr">
        <is>
          <t>Opportunity Global Sales (PTY) LTD</t>
        </is>
      </c>
      <c r="B10173" s="4" t="n">
        <v>44804</v>
      </c>
      <c r="C10173" s="3" t="inlineStr">
        <is>
          <t>Expenses</t>
        </is>
      </c>
      <c r="D10173" s="3" t="inlineStr">
        <is>
          <t>2000/370</t>
        </is>
      </c>
      <c r="E10173" s="3" t="inlineStr">
        <is>
          <t>COS - Overrider Comm Endulini - Morne</t>
        </is>
      </c>
      <c r="F10173" s="3" t="n">
        <v>0</v>
      </c>
      <c r="G10173" s="3" t="n">
        <v>4107.85</v>
      </c>
    </row>
    <row r="10174">
      <c r="A10174" s="3" t="inlineStr">
        <is>
          <t>Opportunity Global Sales (PTY) LTD</t>
        </is>
      </c>
      <c r="B10174" s="4" t="n">
        <v>44804</v>
      </c>
      <c r="C10174" s="3" t="inlineStr">
        <is>
          <t>Expenses</t>
        </is>
      </c>
      <c r="D10174" s="3" t="inlineStr">
        <is>
          <t>2000/380</t>
        </is>
      </c>
      <c r="E10174" s="3" t="inlineStr">
        <is>
          <t>COS - Overrider Comm Heron Fields - Morne</t>
        </is>
      </c>
      <c r="F10174" s="3" t="n">
        <v>7271.22</v>
      </c>
      <c r="G10174" s="3" t="n">
        <v>11240.09</v>
      </c>
    </row>
    <row r="10175">
      <c r="A10175" s="3" t="inlineStr">
        <is>
          <t>Trademark Holdings (Pty) Ltd</t>
        </is>
      </c>
      <c r="B10175" s="4" t="n">
        <v>44804</v>
      </c>
      <c r="C10175" s="3" t="inlineStr">
        <is>
          <t>Expenses</t>
        </is>
      </c>
      <c r="D10175" s="3" t="inlineStr">
        <is>
          <t>2000/400</t>
        </is>
      </c>
      <c r="E10175" s="3" t="inlineStr">
        <is>
          <t>COS - Commission on external sales</t>
        </is>
      </c>
      <c r="F10175" s="3" t="n">
        <v>0</v>
      </c>
      <c r="G10175" s="3" t="n">
        <v>42000</v>
      </c>
    </row>
    <row r="10176">
      <c r="A10176" s="3" t="inlineStr">
        <is>
          <t>Endulini (Pty) Ltd</t>
        </is>
      </c>
      <c r="B10176" s="4" t="n">
        <v>44804</v>
      </c>
      <c r="C10176" s="3" t="inlineStr">
        <is>
          <t>Expenses</t>
        </is>
      </c>
      <c r="D10176" s="3" t="inlineStr">
        <is>
          <t>2000/400</t>
        </is>
      </c>
      <c r="E10176" s="3" t="inlineStr">
        <is>
          <t>COS - Gifts</t>
        </is>
      </c>
      <c r="F10176" s="3" t="n">
        <v>0</v>
      </c>
      <c r="G10176" s="3" t="n">
        <v>4270</v>
      </c>
    </row>
    <row r="10177">
      <c r="A10177" s="3" t="inlineStr">
        <is>
          <t>Opportunity Global Sales (PTY) LTD</t>
        </is>
      </c>
      <c r="B10177" s="4" t="n">
        <v>44804</v>
      </c>
      <c r="C10177" s="3" t="inlineStr">
        <is>
          <t>Expenses</t>
        </is>
      </c>
      <c r="D10177" s="3" t="inlineStr">
        <is>
          <t>2000/500</t>
        </is>
      </c>
      <c r="E10177" s="3" t="inlineStr">
        <is>
          <t>COS - Electricity Costs Endulini</t>
        </is>
      </c>
      <c r="F10177" s="3" t="n">
        <v>0</v>
      </c>
      <c r="G10177" s="3" t="n">
        <v>336.96</v>
      </c>
    </row>
    <row r="10178">
      <c r="A10178" s="3" t="inlineStr">
        <is>
          <t>Trademark Holdings (Pty) Ltd</t>
        </is>
      </c>
      <c r="B10178" s="4" t="n">
        <v>44804</v>
      </c>
      <c r="C10178" s="3" t="inlineStr">
        <is>
          <t>Expenses</t>
        </is>
      </c>
      <c r="D10178" s="3" t="inlineStr">
        <is>
          <t>2000/500</t>
        </is>
      </c>
      <c r="E10178" s="3" t="inlineStr">
        <is>
          <t>COS - Inspection fee</t>
        </is>
      </c>
      <c r="F10178" s="3" t="n">
        <v>0</v>
      </c>
      <c r="G10178" s="3" t="n">
        <v>1500</v>
      </c>
    </row>
    <row r="10179">
      <c r="A10179" s="3" t="inlineStr">
        <is>
          <t>Endulini (Pty) Ltd</t>
        </is>
      </c>
      <c r="B10179" s="4" t="n">
        <v>44804</v>
      </c>
      <c r="C10179" s="3" t="inlineStr">
        <is>
          <t>Expenses</t>
        </is>
      </c>
      <c r="D10179" s="3" t="inlineStr">
        <is>
          <t>2000/500</t>
        </is>
      </c>
      <c r="E10179" s="3" t="inlineStr">
        <is>
          <t>COS - Legal Fees Opening of Sec Title Scheme</t>
        </is>
      </c>
      <c r="F10179" s="3" t="n">
        <v>0</v>
      </c>
      <c r="G10179" s="3" t="n">
        <v>56287.76</v>
      </c>
    </row>
    <row r="10180">
      <c r="A10180" s="3" t="inlineStr">
        <is>
          <t>Endulini (Pty) Ltd</t>
        </is>
      </c>
      <c r="B10180" s="4" t="n">
        <v>44804</v>
      </c>
      <c r="C10180" s="3" t="inlineStr">
        <is>
          <t>Expenses</t>
        </is>
      </c>
      <c r="D10180" s="3" t="inlineStr">
        <is>
          <t>2000/600</t>
        </is>
      </c>
      <c r="E10180" s="3" t="inlineStr">
        <is>
          <t>COS - Legal fees</t>
        </is>
      </c>
      <c r="F10180" s="3" t="n">
        <v>16363.83</v>
      </c>
      <c r="G10180" s="3" t="n">
        <v>636182.52</v>
      </c>
    </row>
    <row r="10181">
      <c r="A10181" s="3" t="inlineStr">
        <is>
          <t>Endulini (Pty) Ltd</t>
        </is>
      </c>
      <c r="B10181" s="4" t="n">
        <v>44804</v>
      </c>
      <c r="C10181" s="3" t="inlineStr">
        <is>
          <t>Expenses</t>
        </is>
      </c>
      <c r="D10181" s="3" t="inlineStr">
        <is>
          <t>2000/700</t>
        </is>
      </c>
      <c r="E10181" s="3" t="inlineStr">
        <is>
          <t>COS - C2M Certificate for transfer</t>
        </is>
      </c>
      <c r="F10181" s="3" t="n">
        <v>0</v>
      </c>
      <c r="G10181" s="3" t="n">
        <v>8000</v>
      </c>
    </row>
    <row r="10182">
      <c r="A10182" s="3" t="inlineStr">
        <is>
          <t>Endulini (Pty) Ltd</t>
        </is>
      </c>
      <c r="B10182" s="4" t="n">
        <v>44804</v>
      </c>
      <c r="C10182" s="3" t="inlineStr">
        <is>
          <t>Expenses</t>
        </is>
      </c>
      <c r="D10182" s="3" t="inlineStr">
        <is>
          <t>2000/800</t>
        </is>
      </c>
      <c r="E10182" s="3" t="inlineStr">
        <is>
          <t>COS - Purchaser Variations</t>
        </is>
      </c>
      <c r="F10182" s="3" t="n">
        <v>0</v>
      </c>
      <c r="G10182" s="3" t="n">
        <v>8734.540000000001</v>
      </c>
    </row>
    <row r="10183">
      <c r="A10183" s="3" t="inlineStr">
        <is>
          <t>Endulini (Pty) Ltd</t>
        </is>
      </c>
      <c r="B10183" s="4" t="n">
        <v>44804</v>
      </c>
      <c r="C10183" s="3" t="inlineStr">
        <is>
          <t>Expenses</t>
        </is>
      </c>
      <c r="D10183" s="3" t="inlineStr">
        <is>
          <t>2000/900</t>
        </is>
      </c>
      <c r="E10183" s="3" t="inlineStr">
        <is>
          <t>COS - Legal fees Phase 2</t>
        </is>
      </c>
      <c r="F10183" s="3" t="n">
        <v>0</v>
      </c>
      <c r="G10183" s="3" t="n">
        <v>35638</v>
      </c>
    </row>
    <row r="10184">
      <c r="A10184" s="3" t="inlineStr">
        <is>
          <t>Quinate Consulting (Pty) Ltd</t>
        </is>
      </c>
      <c r="B10184" s="4" t="n">
        <v>44804</v>
      </c>
      <c r="C10184" s="3" t="inlineStr">
        <is>
          <t>Revenue</t>
        </is>
      </c>
      <c r="D10184" s="3" t="inlineStr">
        <is>
          <t>2400/200</t>
        </is>
      </c>
      <c r="E10184" s="3" t="inlineStr">
        <is>
          <t>Recovery Acc - Electricity SH</t>
        </is>
      </c>
      <c r="F10184" s="3" t="n">
        <v>-28950.97</v>
      </c>
      <c r="G10184" s="3" t="n">
        <v>-149212.02</v>
      </c>
    </row>
    <row r="10185">
      <c r="A10185" s="3" t="inlineStr">
        <is>
          <t>Quinate Consulting (Pty) Ltd</t>
        </is>
      </c>
      <c r="B10185" s="4" t="n">
        <v>44804</v>
      </c>
      <c r="C10185" s="3" t="inlineStr">
        <is>
          <t>Revenue</t>
        </is>
      </c>
      <c r="D10185" s="3" t="inlineStr">
        <is>
          <t>2400/300</t>
        </is>
      </c>
      <c r="E10185" s="3" t="inlineStr">
        <is>
          <t>Recovery Account - Electricity SW</t>
        </is>
      </c>
      <c r="F10185" s="3" t="n">
        <v>-22663.52</v>
      </c>
      <c r="G10185" s="3" t="n">
        <v>-112194.82</v>
      </c>
    </row>
    <row r="10186">
      <c r="A10186" s="3" t="inlineStr">
        <is>
          <t>Endulini (Pty) Ltd</t>
        </is>
      </c>
      <c r="B10186" s="4" t="n">
        <v>44804</v>
      </c>
      <c r="C10186" s="3" t="inlineStr">
        <is>
          <t>Revenue</t>
        </is>
      </c>
      <c r="D10186" s="3" t="inlineStr">
        <is>
          <t>2750/000</t>
        </is>
      </c>
      <c r="E10186" s="3" t="inlineStr">
        <is>
          <t>Interest Received</t>
        </is>
      </c>
      <c r="F10186" s="3" t="n">
        <v>-6.94</v>
      </c>
      <c r="G10186" s="3" t="n">
        <v>-101.61</v>
      </c>
    </row>
    <row r="10187">
      <c r="A10187" s="3" t="inlineStr">
        <is>
          <t>Opportunity Management Holdings (PTY) LTD</t>
        </is>
      </c>
      <c r="B10187" s="4" t="n">
        <v>44804</v>
      </c>
      <c r="C10187" s="3" t="inlineStr">
        <is>
          <t>Revenue</t>
        </is>
      </c>
      <c r="D10187" s="3" t="inlineStr">
        <is>
          <t>2750/000</t>
        </is>
      </c>
      <c r="E10187" s="3" t="inlineStr">
        <is>
          <t>Interest Received</t>
        </is>
      </c>
      <c r="F10187" s="3" t="n">
        <v>-1.49</v>
      </c>
      <c r="G10187" s="3" t="n">
        <v>-1.7</v>
      </c>
    </row>
    <row r="10188">
      <c r="A10188" s="3" t="inlineStr">
        <is>
          <t>Opportunity Global Sales (PTY) LTD</t>
        </is>
      </c>
      <c r="B10188" s="4" t="n">
        <v>44804</v>
      </c>
      <c r="C10188" s="3" t="inlineStr">
        <is>
          <t>Revenue</t>
        </is>
      </c>
      <c r="D10188" s="3" t="inlineStr">
        <is>
          <t>2750/000</t>
        </is>
      </c>
      <c r="E10188" s="3" t="inlineStr">
        <is>
          <t>Interest Received - Bank</t>
        </is>
      </c>
      <c r="F10188" s="3" t="n">
        <v>0</v>
      </c>
      <c r="G10188" s="3" t="n">
        <v>-2.3</v>
      </c>
    </row>
    <row r="10189">
      <c r="A10189" s="3" t="inlineStr">
        <is>
          <t>Opportunity Global Investment (PTY) LTD</t>
        </is>
      </c>
      <c r="B10189" s="4" t="n">
        <v>44804</v>
      </c>
      <c r="C10189" s="3" t="inlineStr">
        <is>
          <t>Revenue</t>
        </is>
      </c>
      <c r="D10189" s="3" t="inlineStr">
        <is>
          <t>2753/000</t>
        </is>
      </c>
      <c r="E10189" s="3" t="inlineStr">
        <is>
          <t>Interest received - Momentum</t>
        </is>
      </c>
      <c r="F10189" s="3" t="n">
        <v>-20.84</v>
      </c>
      <c r="G10189" s="3" t="n">
        <v>-112.83</v>
      </c>
    </row>
    <row r="10190">
      <c r="A10190" s="3" t="inlineStr">
        <is>
          <t>Endulini (Pty) Ltd</t>
        </is>
      </c>
      <c r="B10190" s="4" t="n">
        <v>44804</v>
      </c>
      <c r="C10190" s="3" t="inlineStr">
        <is>
          <t>Revenue</t>
        </is>
      </c>
      <c r="D10190" s="3" t="inlineStr">
        <is>
          <t>2755/001</t>
        </is>
      </c>
      <c r="E10190" s="3" t="inlineStr">
        <is>
          <t>Interest Received - Momentum</t>
        </is>
      </c>
      <c r="F10190" s="3" t="n">
        <v>-11.87</v>
      </c>
      <c r="G10190" s="3" t="n">
        <v>-26572.66</v>
      </c>
    </row>
    <row r="10191">
      <c r="A10191" s="3" t="inlineStr">
        <is>
          <t>Quinate Consulting (Pty) Ltd</t>
        </is>
      </c>
      <c r="B10191" s="4" t="n">
        <v>44804</v>
      </c>
      <c r="C10191" s="3" t="inlineStr">
        <is>
          <t>Revenue</t>
        </is>
      </c>
      <c r="D10191" s="3" t="inlineStr">
        <is>
          <t>2755/001</t>
        </is>
      </c>
      <c r="E10191" s="3" t="inlineStr">
        <is>
          <t>Interest Received - Momentum</t>
        </is>
      </c>
      <c r="F10191" s="3" t="n">
        <v>-2.37</v>
      </c>
      <c r="G10191" s="3" t="n">
        <v>-12.89</v>
      </c>
    </row>
    <row r="10192">
      <c r="A10192" s="3" t="inlineStr">
        <is>
          <t>Opportunity Global Investment (PTY) LTD</t>
        </is>
      </c>
      <c r="B10192" s="4" t="n">
        <v>44804</v>
      </c>
      <c r="C10192" s="3" t="inlineStr">
        <is>
          <t>Expenses</t>
        </is>
      </c>
      <c r="D10192" s="3" t="inlineStr">
        <is>
          <t>3000/200</t>
        </is>
      </c>
      <c r="E10192" s="3" t="inlineStr">
        <is>
          <t>Accounting Fees - General</t>
        </is>
      </c>
      <c r="F10192" s="3" t="n">
        <v>0</v>
      </c>
      <c r="G10192" s="3" t="n">
        <v>540</v>
      </c>
    </row>
    <row r="10193">
      <c r="A10193" s="3" t="inlineStr">
        <is>
          <t>Noble Shield (Pty) Ltd ta Go Letting</t>
        </is>
      </c>
      <c r="B10193" s="4" t="n">
        <v>44804</v>
      </c>
      <c r="C10193" s="3" t="inlineStr">
        <is>
          <t>Expenses</t>
        </is>
      </c>
      <c r="D10193" s="3" t="inlineStr">
        <is>
          <t>3000/300</t>
        </is>
      </c>
      <c r="E10193" s="3" t="inlineStr">
        <is>
          <t>Accounting Fees - Audit</t>
        </is>
      </c>
      <c r="F10193" s="3" t="n">
        <v>0</v>
      </c>
      <c r="G10193" s="3" t="n">
        <v>25967</v>
      </c>
    </row>
    <row r="10194">
      <c r="A10194" s="3" t="inlineStr">
        <is>
          <t>Trademark Holdings (Pty) Ltd</t>
        </is>
      </c>
      <c r="B10194" s="4" t="n">
        <v>44804</v>
      </c>
      <c r="C10194" s="3" t="inlineStr">
        <is>
          <t>Expenses</t>
        </is>
      </c>
      <c r="D10194" s="3" t="inlineStr">
        <is>
          <t>3000/300</t>
        </is>
      </c>
      <c r="E10194" s="3" t="inlineStr">
        <is>
          <t>Accounting Fees - Audit</t>
        </is>
      </c>
      <c r="F10194" s="3" t="n">
        <v>0</v>
      </c>
      <c r="G10194" s="3" t="n">
        <v>16790</v>
      </c>
    </row>
    <row r="10195">
      <c r="A10195" s="3" t="inlineStr">
        <is>
          <t>Noble Shield (Pty) Ltd ta Go Letting</t>
        </is>
      </c>
      <c r="B10195" s="4" t="n">
        <v>44804</v>
      </c>
      <c r="C10195" s="3" t="inlineStr">
        <is>
          <t>Expenses</t>
        </is>
      </c>
      <c r="D10195" s="3" t="inlineStr">
        <is>
          <t>3000/400</t>
        </is>
      </c>
      <c r="E10195" s="3" t="inlineStr">
        <is>
          <t>Accounting Fees - CipC</t>
        </is>
      </c>
      <c r="F10195" s="3" t="n">
        <v>0</v>
      </c>
      <c r="G10195" s="3" t="n">
        <v>100</v>
      </c>
    </row>
    <row r="10196">
      <c r="A10196" s="3" t="inlineStr">
        <is>
          <t>Trademark Holdings (Pty) Ltd</t>
        </is>
      </c>
      <c r="B10196" s="4" t="n">
        <v>44804</v>
      </c>
      <c r="C10196" s="3" t="inlineStr">
        <is>
          <t>Expenses</t>
        </is>
      </c>
      <c r="D10196" s="3" t="inlineStr">
        <is>
          <t>3000/500</t>
        </is>
      </c>
      <c r="E10196" s="3" t="inlineStr">
        <is>
          <t>Accounting Fees - Other</t>
        </is>
      </c>
      <c r="F10196" s="3" t="n">
        <v>0</v>
      </c>
      <c r="G10196" s="3" t="n">
        <v>621</v>
      </c>
    </row>
    <row r="10197">
      <c r="A10197" s="3" t="inlineStr">
        <is>
          <t>Opportunity Management Holdings (PTY) LTD</t>
        </is>
      </c>
      <c r="B10197" s="4" t="n">
        <v>44804</v>
      </c>
      <c r="C10197" s="3" t="inlineStr">
        <is>
          <t>Expenses</t>
        </is>
      </c>
      <c r="D10197" s="3" t="inlineStr">
        <is>
          <t>3001/000</t>
        </is>
      </c>
      <c r="E10197" s="3" t="inlineStr">
        <is>
          <t>Accounting Fees - Payroll</t>
        </is>
      </c>
      <c r="F10197" s="3" t="n">
        <v>0</v>
      </c>
      <c r="G10197" s="3" t="n">
        <v>227.5</v>
      </c>
    </row>
    <row r="10198">
      <c r="A10198" s="3" t="inlineStr">
        <is>
          <t>Quinate Consulting (Pty) Ltd</t>
        </is>
      </c>
      <c r="B10198" s="4" t="n">
        <v>44804</v>
      </c>
      <c r="C10198" s="3" t="inlineStr">
        <is>
          <t>Expenses</t>
        </is>
      </c>
      <c r="D10198" s="3" t="inlineStr">
        <is>
          <t>3001/000</t>
        </is>
      </c>
      <c r="E10198" s="3" t="inlineStr">
        <is>
          <t>Accounting fees - Other</t>
        </is>
      </c>
      <c r="F10198" s="3" t="n">
        <v>0</v>
      </c>
      <c r="G10198" s="3" t="n">
        <v>1850</v>
      </c>
    </row>
    <row r="10199">
      <c r="A10199" s="3" t="inlineStr">
        <is>
          <t>Opportunity Management Holdings (PTY) LTD</t>
        </is>
      </c>
      <c r="B10199" s="4" t="n">
        <v>44804</v>
      </c>
      <c r="C10199" s="3" t="inlineStr">
        <is>
          <t>Expenses</t>
        </is>
      </c>
      <c r="D10199" s="3" t="inlineStr">
        <is>
          <t>3004/000</t>
        </is>
      </c>
      <c r="E10199" s="3" t="inlineStr">
        <is>
          <t>Accounting fees - Janine Theart</t>
        </is>
      </c>
      <c r="F10199" s="3" t="n">
        <v>17500</v>
      </c>
      <c r="G10199" s="3" t="n">
        <v>187500</v>
      </c>
    </row>
    <row r="10200">
      <c r="A10200" s="3" t="inlineStr">
        <is>
          <t>Opportunity Management Holdings (PTY) LTD</t>
        </is>
      </c>
      <c r="B10200" s="4" t="n">
        <v>44804</v>
      </c>
      <c r="C10200" s="3" t="inlineStr">
        <is>
          <t>Expenses</t>
        </is>
      </c>
      <c r="D10200" s="3" t="inlineStr">
        <is>
          <t>3005/000</t>
        </is>
      </c>
      <c r="E10200" s="3" t="inlineStr">
        <is>
          <t>Accounting fees - Deric Dudley</t>
        </is>
      </c>
      <c r="F10200" s="3" t="n">
        <v>50000</v>
      </c>
      <c r="G10200" s="3" t="n">
        <v>514000</v>
      </c>
    </row>
    <row r="10201">
      <c r="A10201" s="3" t="inlineStr">
        <is>
          <t>Opportunity Management Holdings (PTY) LTD</t>
        </is>
      </c>
      <c r="B10201" s="4" t="n">
        <v>44804</v>
      </c>
      <c r="C10201" s="3" t="inlineStr">
        <is>
          <t>Expenses</t>
        </is>
      </c>
      <c r="D10201" s="3" t="inlineStr">
        <is>
          <t>3006/000</t>
        </is>
      </c>
      <c r="E10201" s="3" t="inlineStr">
        <is>
          <t>Accounting fees - CIPC</t>
        </is>
      </c>
      <c r="F10201" s="3" t="n">
        <v>0</v>
      </c>
      <c r="G10201" s="3" t="n">
        <v>350</v>
      </c>
    </row>
    <row r="10202">
      <c r="A10202" s="3" t="inlineStr">
        <is>
          <t>Opportunity Management Holdings (PTY) LTD</t>
        </is>
      </c>
      <c r="B10202" s="4" t="n">
        <v>44804</v>
      </c>
      <c r="C10202" s="3" t="inlineStr">
        <is>
          <t>Expenses</t>
        </is>
      </c>
      <c r="D10202" s="3" t="inlineStr">
        <is>
          <t>3007/000</t>
        </is>
      </c>
      <c r="E10202" s="3" t="inlineStr">
        <is>
          <t>Accounting fees - Warwick</t>
        </is>
      </c>
      <c r="F10202" s="3" t="n">
        <v>27000</v>
      </c>
      <c r="G10202" s="3" t="n">
        <v>308090.46</v>
      </c>
    </row>
    <row r="10203">
      <c r="A10203" s="3" t="inlineStr">
        <is>
          <t>Endulini (Pty) Ltd</t>
        </is>
      </c>
      <c r="B10203" s="4" t="n">
        <v>44804</v>
      </c>
      <c r="C10203" s="3" t="inlineStr">
        <is>
          <t>Expenses</t>
        </is>
      </c>
      <c r="D10203" s="3" t="inlineStr">
        <is>
          <t>3050/000</t>
        </is>
      </c>
      <c r="E10203" s="3" t="inlineStr">
        <is>
          <t>Advertising _AND_ Promotions</t>
        </is>
      </c>
      <c r="F10203" s="3" t="n">
        <v>10063</v>
      </c>
      <c r="G10203" s="3" t="n">
        <v>22018</v>
      </c>
    </row>
    <row r="10204">
      <c r="A10204" s="3" t="inlineStr">
        <is>
          <t>Noble Shield (Pty) Ltd ta Go Letting</t>
        </is>
      </c>
      <c r="B10204" s="4" t="n">
        <v>44804</v>
      </c>
      <c r="C10204" s="3" t="inlineStr">
        <is>
          <t>Expenses</t>
        </is>
      </c>
      <c r="D10204" s="3" t="inlineStr">
        <is>
          <t>3050/000</t>
        </is>
      </c>
      <c r="E10204" s="3" t="inlineStr">
        <is>
          <t>Advertising _AND_ Promotions</t>
        </is>
      </c>
      <c r="F10204" s="3" t="n">
        <v>0</v>
      </c>
      <c r="G10204" s="3" t="n">
        <v>3862.5</v>
      </c>
    </row>
    <row r="10205">
      <c r="A10205" s="3" t="inlineStr">
        <is>
          <t>Opportunity Management Holdings (PTY) LTD</t>
        </is>
      </c>
      <c r="B10205" s="4" t="n">
        <v>44804</v>
      </c>
      <c r="C10205" s="3" t="inlineStr">
        <is>
          <t>Expenses</t>
        </is>
      </c>
      <c r="D10205" s="3" t="inlineStr">
        <is>
          <t>3050/000</t>
        </is>
      </c>
      <c r="E10205" s="3" t="inlineStr">
        <is>
          <t>Advertising _AND_ Promotions</t>
        </is>
      </c>
      <c r="F10205" s="3" t="n">
        <v>0</v>
      </c>
      <c r="G10205" s="3" t="n">
        <v>17272.5</v>
      </c>
    </row>
    <row r="10206">
      <c r="A10206" s="3" t="inlineStr">
        <is>
          <t>Quinate Consulting (Pty) Ltd</t>
        </is>
      </c>
      <c r="B10206" s="4" t="n">
        <v>44804</v>
      </c>
      <c r="C10206" s="3" t="inlineStr">
        <is>
          <t>Expenses</t>
        </is>
      </c>
      <c r="D10206" s="3" t="inlineStr">
        <is>
          <t>3050/000</t>
        </is>
      </c>
      <c r="E10206" s="3" t="inlineStr">
        <is>
          <t>Advertising _AND_ Promotions</t>
        </is>
      </c>
      <c r="F10206" s="3" t="n">
        <v>0</v>
      </c>
      <c r="G10206" s="3" t="n">
        <v>1875.22</v>
      </c>
    </row>
    <row r="10207">
      <c r="A10207" s="3" t="inlineStr">
        <is>
          <t>Endulini (Pty) Ltd</t>
        </is>
      </c>
      <c r="B10207" s="4" t="n">
        <v>44804</v>
      </c>
      <c r="C10207" s="3" t="inlineStr">
        <is>
          <t>Expenses</t>
        </is>
      </c>
      <c r="D10207" s="3" t="inlineStr">
        <is>
          <t>3050/001</t>
        </is>
      </c>
      <c r="E10207" s="3" t="inlineStr">
        <is>
          <t>Advertising _AND_ Promotions - Media Agenda</t>
        </is>
      </c>
      <c r="F10207" s="3" t="n">
        <v>3100</v>
      </c>
      <c r="G10207" s="3" t="n">
        <v>9850</v>
      </c>
    </row>
    <row r="10208">
      <c r="A10208" s="3" t="inlineStr">
        <is>
          <t>Noble Shield (Pty) Ltd ta Go Letting</t>
        </is>
      </c>
      <c r="B10208" s="4" t="n">
        <v>44804</v>
      </c>
      <c r="C10208" s="3" t="inlineStr">
        <is>
          <t>Expenses</t>
        </is>
      </c>
      <c r="D10208" s="3" t="inlineStr">
        <is>
          <t>3050/050</t>
        </is>
      </c>
      <c r="E10208" s="3" t="inlineStr">
        <is>
          <t>Advertising - Prop 24</t>
        </is>
      </c>
      <c r="F10208" s="3" t="n">
        <v>2737</v>
      </c>
      <c r="G10208" s="3" t="n">
        <v>27531</v>
      </c>
    </row>
    <row r="10209">
      <c r="A10209" s="3" t="inlineStr">
        <is>
          <t>Trademark Holdings (Pty) Ltd</t>
        </is>
      </c>
      <c r="B10209" s="4" t="n">
        <v>44804</v>
      </c>
      <c r="C10209" s="3" t="inlineStr">
        <is>
          <t>Expenses</t>
        </is>
      </c>
      <c r="D10209" s="3" t="inlineStr">
        <is>
          <t>3050/060</t>
        </is>
      </c>
      <c r="E10209" s="3" t="inlineStr">
        <is>
          <t>Advertising - Other</t>
        </is>
      </c>
      <c r="F10209" s="3" t="n">
        <v>0</v>
      </c>
      <c r="G10209" s="3" t="n">
        <v>7595.75</v>
      </c>
    </row>
    <row r="10210">
      <c r="A10210" s="3" t="inlineStr">
        <is>
          <t>Noble Shield (Pty) Ltd ta Go Letting</t>
        </is>
      </c>
      <c r="B10210" s="4" t="n">
        <v>44804</v>
      </c>
      <c r="C10210" s="3" t="inlineStr">
        <is>
          <t>Expenses</t>
        </is>
      </c>
      <c r="D10210" s="3" t="inlineStr">
        <is>
          <t>3050/070</t>
        </is>
      </c>
      <c r="E10210" s="3" t="inlineStr">
        <is>
          <t>Advertising - Facebook</t>
        </is>
      </c>
      <c r="F10210" s="3" t="n">
        <v>0</v>
      </c>
      <c r="G10210" s="3" t="n">
        <v>3317.35</v>
      </c>
    </row>
    <row r="10211">
      <c r="A10211" s="3" t="inlineStr">
        <is>
          <t>Opportunity Global Sales (PTY) LTD</t>
        </is>
      </c>
      <c r="B10211" s="4" t="n">
        <v>44804</v>
      </c>
      <c r="C10211" s="3" t="inlineStr">
        <is>
          <t>Expenses</t>
        </is>
      </c>
      <c r="D10211" s="3" t="inlineStr">
        <is>
          <t>3050/100</t>
        </is>
      </c>
      <c r="E10211" s="3" t="inlineStr">
        <is>
          <t>Advertising - Facebook</t>
        </is>
      </c>
      <c r="F10211" s="3" t="n">
        <v>11277.58</v>
      </c>
      <c r="G10211" s="3" t="n">
        <v>59218.03</v>
      </c>
    </row>
    <row r="10212">
      <c r="A10212" s="3" t="inlineStr">
        <is>
          <t>Opportunity Global Sales (PTY) LTD</t>
        </is>
      </c>
      <c r="B10212" s="4" t="n">
        <v>44804</v>
      </c>
      <c r="C10212" s="3" t="inlineStr">
        <is>
          <t>Expenses</t>
        </is>
      </c>
      <c r="D10212" s="3" t="inlineStr">
        <is>
          <t>3050/140</t>
        </is>
      </c>
      <c r="E10212" s="3" t="inlineStr">
        <is>
          <t>Advertising - Media Agenda</t>
        </is>
      </c>
      <c r="F10212" s="3" t="n">
        <v>725</v>
      </c>
      <c r="G10212" s="3" t="n">
        <v>4350</v>
      </c>
    </row>
    <row r="10213">
      <c r="A10213" s="3" t="inlineStr">
        <is>
          <t>Opportunity Global Investment (PTY) LTD</t>
        </is>
      </c>
      <c r="B10213" s="4" t="n">
        <v>44804</v>
      </c>
      <c r="C10213" s="3" t="inlineStr">
        <is>
          <t>Expenses</t>
        </is>
      </c>
      <c r="D10213" s="3" t="inlineStr">
        <is>
          <t>3050/250</t>
        </is>
      </c>
      <c r="E10213" s="3" t="inlineStr">
        <is>
          <t>Advertising - General</t>
        </is>
      </c>
      <c r="F10213" s="3" t="n">
        <v>0</v>
      </c>
      <c r="G10213" s="3" t="n">
        <v>874</v>
      </c>
    </row>
    <row r="10214">
      <c r="A10214" s="3" t="inlineStr">
        <is>
          <t>Opportunity Global Sales (PTY) LTD</t>
        </is>
      </c>
      <c r="B10214" s="4" t="n">
        <v>44804</v>
      </c>
      <c r="C10214" s="3" t="inlineStr">
        <is>
          <t>Expenses</t>
        </is>
      </c>
      <c r="D10214" s="3" t="inlineStr">
        <is>
          <t>3050/250</t>
        </is>
      </c>
      <c r="E10214" s="3" t="inlineStr">
        <is>
          <t>Advertising - General</t>
        </is>
      </c>
      <c r="F10214" s="3" t="n">
        <v>23013.45</v>
      </c>
      <c r="G10214" s="3" t="n">
        <v>37372.03</v>
      </c>
    </row>
    <row r="10215">
      <c r="A10215" s="3" t="inlineStr">
        <is>
          <t>Opportunity Global Investment (PTY) LTD</t>
        </is>
      </c>
      <c r="B10215" s="4" t="n">
        <v>44804</v>
      </c>
      <c r="C10215" s="3" t="inlineStr">
        <is>
          <t>Expenses</t>
        </is>
      </c>
      <c r="D10215" s="3" t="inlineStr">
        <is>
          <t>3050/260</t>
        </is>
      </c>
      <c r="E10215" s="3" t="inlineStr">
        <is>
          <t>Advertising - Media Agenda</t>
        </is>
      </c>
      <c r="F10215" s="3" t="n">
        <v>137.5</v>
      </c>
      <c r="G10215" s="3" t="n">
        <v>825</v>
      </c>
    </row>
    <row r="10216">
      <c r="A10216" s="3" t="inlineStr">
        <is>
          <t>Opportunity Global Investment (PTY) LTD</t>
        </is>
      </c>
      <c r="B10216" s="4" t="n">
        <v>44804</v>
      </c>
      <c r="C10216" s="3" t="inlineStr">
        <is>
          <t>Expenses</t>
        </is>
      </c>
      <c r="D10216" s="3" t="inlineStr">
        <is>
          <t>3050/270</t>
        </is>
      </c>
      <c r="E10216" s="3" t="inlineStr">
        <is>
          <t>Advertising - Radia and TV Interviews</t>
        </is>
      </c>
      <c r="F10216" s="3" t="n">
        <v>15000</v>
      </c>
      <c r="G10216" s="3" t="n">
        <v>133872</v>
      </c>
    </row>
    <row r="10217">
      <c r="A10217" s="3" t="inlineStr">
        <is>
          <t>Opportunity Global Investment (PTY) LTD</t>
        </is>
      </c>
      <c r="B10217" s="4" t="n">
        <v>44804</v>
      </c>
      <c r="C10217" s="3" t="inlineStr">
        <is>
          <t>Expenses</t>
        </is>
      </c>
      <c r="D10217" s="3" t="inlineStr">
        <is>
          <t>3050/290</t>
        </is>
      </c>
      <c r="E10217" s="3" t="inlineStr">
        <is>
          <t>Advertising - Serene Living</t>
        </is>
      </c>
      <c r="F10217" s="3" t="n">
        <v>65086</v>
      </c>
      <c r="G10217" s="3" t="n">
        <v>390516</v>
      </c>
    </row>
    <row r="10218">
      <c r="A10218" s="3" t="inlineStr">
        <is>
          <t>Opportunity Global Investment (PTY) LTD</t>
        </is>
      </c>
      <c r="B10218" s="4" t="n">
        <v>44804</v>
      </c>
      <c r="C10218" s="3" t="inlineStr">
        <is>
          <t>Expenses</t>
        </is>
      </c>
      <c r="D10218" s="3" t="inlineStr">
        <is>
          <t>3050/295</t>
        </is>
      </c>
      <c r="E10218" s="3" t="inlineStr">
        <is>
          <t>Advertising - Reale Activation</t>
        </is>
      </c>
      <c r="F10218" s="3" t="n">
        <v>1680.3</v>
      </c>
      <c r="G10218" s="3" t="n">
        <v>36469.93</v>
      </c>
    </row>
    <row r="10219">
      <c r="A10219" s="3" t="inlineStr">
        <is>
          <t>Opportunity Global Investment (PTY) LTD</t>
        </is>
      </c>
      <c r="B10219" s="4" t="n">
        <v>44804</v>
      </c>
      <c r="C10219" s="3" t="inlineStr">
        <is>
          <t>Expenses</t>
        </is>
      </c>
      <c r="D10219" s="3" t="inlineStr">
        <is>
          <t>3050/300</t>
        </is>
      </c>
      <c r="E10219" s="3" t="inlineStr">
        <is>
          <t>Advertising - Design</t>
        </is>
      </c>
      <c r="F10219" s="3" t="n">
        <v>4770</v>
      </c>
      <c r="G10219" s="3" t="n">
        <v>29091</v>
      </c>
    </row>
    <row r="10220">
      <c r="A10220" s="3" t="inlineStr">
        <is>
          <t>Opportunity Global Sales (PTY) LTD</t>
        </is>
      </c>
      <c r="B10220" s="4" t="n">
        <v>44804</v>
      </c>
      <c r="C10220" s="3" t="inlineStr">
        <is>
          <t>Expenses</t>
        </is>
      </c>
      <c r="D10220" s="3" t="inlineStr">
        <is>
          <t>3050/350</t>
        </is>
      </c>
      <c r="E10220" s="3" t="inlineStr">
        <is>
          <t>Advertising - Private Property</t>
        </is>
      </c>
      <c r="F10220" s="3" t="n">
        <v>1250</v>
      </c>
      <c r="G10220" s="3" t="n">
        <v>7500</v>
      </c>
    </row>
    <row r="10221">
      <c r="A10221" s="3" t="inlineStr">
        <is>
          <t>Opportunity Global Sales (PTY) LTD</t>
        </is>
      </c>
      <c r="B10221" s="4" t="n">
        <v>44804</v>
      </c>
      <c r="C10221" s="3" t="inlineStr">
        <is>
          <t>Expenses</t>
        </is>
      </c>
      <c r="D10221" s="3" t="inlineStr">
        <is>
          <t>3050/370</t>
        </is>
      </c>
      <c r="E10221" s="3" t="inlineStr">
        <is>
          <t>Advertising - HR</t>
        </is>
      </c>
      <c r="F10221" s="3" t="n">
        <v>0</v>
      </c>
      <c r="G10221" s="3" t="n">
        <v>1200</v>
      </c>
    </row>
    <row r="10222">
      <c r="A10222" s="3" t="inlineStr">
        <is>
          <t>Quinate Consulting (Pty) Ltd</t>
        </is>
      </c>
      <c r="B10222" s="4" t="n">
        <v>44804</v>
      </c>
      <c r="C10222" s="3" t="inlineStr">
        <is>
          <t>Expenses</t>
        </is>
      </c>
      <c r="D10222" s="3" t="inlineStr">
        <is>
          <t>3050/400</t>
        </is>
      </c>
      <c r="E10222" s="3" t="inlineStr">
        <is>
          <t>Advertising - Prop24</t>
        </is>
      </c>
      <c r="F10222" s="3" t="n">
        <v>15782</v>
      </c>
      <c r="G10222" s="3" t="n">
        <v>85098</v>
      </c>
    </row>
    <row r="10223">
      <c r="A10223" s="3" t="inlineStr">
        <is>
          <t>Quinate Consulting (Pty) Ltd</t>
        </is>
      </c>
      <c r="B10223" s="4" t="n">
        <v>44804</v>
      </c>
      <c r="C10223" s="3" t="inlineStr">
        <is>
          <t>Expenses</t>
        </is>
      </c>
      <c r="D10223" s="3" t="inlineStr">
        <is>
          <t>3050/450</t>
        </is>
      </c>
      <c r="E10223" s="3" t="inlineStr">
        <is>
          <t>Advertising - Facebook</t>
        </is>
      </c>
      <c r="F10223" s="3" t="n">
        <v>12261.79</v>
      </c>
      <c r="G10223" s="3" t="n">
        <v>51650.55</v>
      </c>
    </row>
    <row r="10224">
      <c r="A10224" s="3" t="inlineStr">
        <is>
          <t>Opportunity Global Investment (PTY) LTD</t>
        </is>
      </c>
      <c r="B10224" s="4" t="n">
        <v>44804</v>
      </c>
      <c r="C10224" s="3" t="inlineStr">
        <is>
          <t>Expenses</t>
        </is>
      </c>
      <c r="D10224" s="3" t="inlineStr">
        <is>
          <t>3051/000</t>
        </is>
      </c>
      <c r="E10224" s="3" t="inlineStr">
        <is>
          <t>Advertising - Facebook</t>
        </is>
      </c>
      <c r="F10224" s="3" t="n">
        <v>18545.33</v>
      </c>
      <c r="G10224" s="3" t="n">
        <v>108807.96</v>
      </c>
    </row>
    <row r="10225">
      <c r="A10225" s="3" t="inlineStr">
        <is>
          <t>Opportunity Global Investment (PTY) LTD</t>
        </is>
      </c>
      <c r="B10225" s="4" t="n">
        <v>44804</v>
      </c>
      <c r="C10225" s="3" t="inlineStr">
        <is>
          <t>Expenses</t>
        </is>
      </c>
      <c r="D10225" s="3" t="inlineStr">
        <is>
          <t>3053/000</t>
        </is>
      </c>
      <c r="E10225" s="3" t="inlineStr">
        <is>
          <t>Advertising - Google Ads</t>
        </is>
      </c>
      <c r="F10225" s="3" t="n">
        <v>315.61</v>
      </c>
      <c r="G10225" s="3" t="n">
        <v>6207.42</v>
      </c>
    </row>
    <row r="10226">
      <c r="A10226" s="3" t="inlineStr">
        <is>
          <t>Opportunity Management Holdings (PTY) LTD</t>
        </is>
      </c>
      <c r="B10226" s="4" t="n">
        <v>44804</v>
      </c>
      <c r="C10226" s="3" t="inlineStr">
        <is>
          <t>Expenses</t>
        </is>
      </c>
      <c r="D10226" s="3" t="inlineStr">
        <is>
          <t>3100/000</t>
        </is>
      </c>
      <c r="E10226" s="3" t="inlineStr">
        <is>
          <t>Accounting Fees - Audit Fees</t>
        </is>
      </c>
      <c r="F10226" s="3" t="n">
        <v>0</v>
      </c>
      <c r="G10226" s="3" t="n">
        <v>17550</v>
      </c>
    </row>
    <row r="10227">
      <c r="A10227" s="3" t="inlineStr">
        <is>
          <t>Endulini (Pty) Ltd</t>
        </is>
      </c>
      <c r="B10227" s="4" t="n">
        <v>44804</v>
      </c>
      <c r="C10227" s="3" t="inlineStr">
        <is>
          <t>Expenses</t>
        </is>
      </c>
      <c r="D10227" s="3" t="inlineStr">
        <is>
          <t>3200/000</t>
        </is>
      </c>
      <c r="E10227" s="3" t="inlineStr">
        <is>
          <t>Bank Charges</t>
        </is>
      </c>
      <c r="F10227" s="3" t="n">
        <v>671.27</v>
      </c>
      <c r="G10227" s="3" t="n">
        <v>3912.37</v>
      </c>
    </row>
    <row r="10228">
      <c r="A10228" s="3" t="inlineStr">
        <is>
          <t>Noble Shield (Pty) Ltd ta Go Letting</t>
        </is>
      </c>
      <c r="B10228" s="4" t="n">
        <v>44804</v>
      </c>
      <c r="C10228" s="3" t="inlineStr">
        <is>
          <t>Expenses</t>
        </is>
      </c>
      <c r="D10228" s="3" t="inlineStr">
        <is>
          <t>3200/000</t>
        </is>
      </c>
      <c r="E10228" s="3" t="inlineStr">
        <is>
          <t>Bank Charges</t>
        </is>
      </c>
      <c r="F10228" s="3" t="n">
        <v>1743.54</v>
      </c>
      <c r="G10228" s="3" t="n">
        <v>17061.3</v>
      </c>
    </row>
    <row r="10229">
      <c r="A10229" s="3" t="inlineStr">
        <is>
          <t>Opportunity Global Investment (PTY) LTD</t>
        </is>
      </c>
      <c r="B10229" s="4" t="n">
        <v>44804</v>
      </c>
      <c r="C10229" s="3" t="inlineStr">
        <is>
          <t>Expenses</t>
        </is>
      </c>
      <c r="D10229" s="3" t="inlineStr">
        <is>
          <t>3200/000</t>
        </is>
      </c>
      <c r="E10229" s="3" t="inlineStr">
        <is>
          <t>Bank Charges</t>
        </is>
      </c>
      <c r="F10229" s="3" t="n">
        <v>1968.63</v>
      </c>
      <c r="G10229" s="3" t="n">
        <v>11968.18</v>
      </c>
    </row>
    <row r="10230">
      <c r="A10230" s="3" t="inlineStr">
        <is>
          <t>Opportunity Global Sales (PTY) LTD</t>
        </is>
      </c>
      <c r="B10230" s="4" t="n">
        <v>44804</v>
      </c>
      <c r="C10230" s="3" t="inlineStr">
        <is>
          <t>Expenses</t>
        </is>
      </c>
      <c r="D10230" s="3" t="inlineStr">
        <is>
          <t>3200/000</t>
        </is>
      </c>
      <c r="E10230" s="3" t="inlineStr">
        <is>
          <t>Bank Charges</t>
        </is>
      </c>
      <c r="F10230" s="3" t="n">
        <v>932.33</v>
      </c>
      <c r="G10230" s="3" t="n">
        <v>6050.16</v>
      </c>
    </row>
    <row r="10231">
      <c r="A10231" s="3" t="inlineStr">
        <is>
          <t>Opportunity Management Holdings (PTY) LTD</t>
        </is>
      </c>
      <c r="B10231" s="4" t="n">
        <v>44804</v>
      </c>
      <c r="C10231" s="3" t="inlineStr">
        <is>
          <t>Expenses</t>
        </is>
      </c>
      <c r="D10231" s="3" t="inlineStr">
        <is>
          <t>3200/000</t>
        </is>
      </c>
      <c r="E10231" s="3" t="inlineStr">
        <is>
          <t>Bank Charges</t>
        </is>
      </c>
      <c r="F10231" s="3" t="n">
        <v>2243.09</v>
      </c>
      <c r="G10231" s="3" t="n">
        <v>20772.03</v>
      </c>
    </row>
    <row r="10232">
      <c r="A10232" s="3" t="inlineStr">
        <is>
          <t>Quinate Consulting (Pty) Ltd</t>
        </is>
      </c>
      <c r="B10232" s="4" t="n">
        <v>44804</v>
      </c>
      <c r="C10232" s="3" t="inlineStr">
        <is>
          <t>Expenses</t>
        </is>
      </c>
      <c r="D10232" s="3" t="inlineStr">
        <is>
          <t>3200/000</t>
        </is>
      </c>
      <c r="E10232" s="3" t="inlineStr">
        <is>
          <t>Bank Charges</t>
        </is>
      </c>
      <c r="F10232" s="3" t="n">
        <v>1667.29</v>
      </c>
      <c r="G10232" s="3" t="n">
        <v>10246.01</v>
      </c>
    </row>
    <row r="10233">
      <c r="A10233" s="3" t="inlineStr">
        <is>
          <t>Trademark Holdings (Pty) Ltd</t>
        </is>
      </c>
      <c r="B10233" s="4" t="n">
        <v>44804</v>
      </c>
      <c r="C10233" s="3" t="inlineStr">
        <is>
          <t>Expenses</t>
        </is>
      </c>
      <c r="D10233" s="3" t="inlineStr">
        <is>
          <t>3200/000</t>
        </is>
      </c>
      <c r="E10233" s="3" t="inlineStr">
        <is>
          <t>Bank Charges</t>
        </is>
      </c>
      <c r="F10233" s="3" t="n">
        <v>908.6799999999999</v>
      </c>
      <c r="G10233" s="3" t="n">
        <v>9421.969999999999</v>
      </c>
    </row>
    <row r="10234">
      <c r="A10234" s="3" t="inlineStr">
        <is>
          <t>Quinate Consulting (Pty) Ltd</t>
        </is>
      </c>
      <c r="B10234" s="4" t="n">
        <v>44804</v>
      </c>
      <c r="C10234" s="3" t="inlineStr">
        <is>
          <t>Expenses</t>
        </is>
      </c>
      <c r="D10234" s="3" t="inlineStr">
        <is>
          <t>3220/000</t>
        </is>
      </c>
      <c r="E10234" s="3" t="inlineStr">
        <is>
          <t>Bank Charges - Bond Fees</t>
        </is>
      </c>
      <c r="F10234" s="3" t="n">
        <v>1117.41</v>
      </c>
      <c r="G10234" s="3" t="n">
        <v>6704.46</v>
      </c>
    </row>
    <row r="10235">
      <c r="A10235" s="3" t="inlineStr">
        <is>
          <t>Noble Shield (Pty) Ltd ta Go Letting</t>
        </is>
      </c>
      <c r="B10235" s="4" t="n">
        <v>44804</v>
      </c>
      <c r="C10235" s="3" t="inlineStr">
        <is>
          <t>Expenses</t>
        </is>
      </c>
      <c r="D10235" s="3" t="inlineStr">
        <is>
          <t>3230/000</t>
        </is>
      </c>
      <c r="E10235" s="3" t="inlineStr">
        <is>
          <t>Cell Phone - NM</t>
        </is>
      </c>
      <c r="F10235" s="3" t="n">
        <v>2318.99</v>
      </c>
      <c r="G10235" s="3" t="n">
        <v>27485.02</v>
      </c>
    </row>
    <row r="10236">
      <c r="A10236" s="3" t="inlineStr">
        <is>
          <t>Noble Shield (Pty) Ltd ta Go Letting</t>
        </is>
      </c>
      <c r="B10236" s="4" t="n">
        <v>44804</v>
      </c>
      <c r="C10236" s="3" t="inlineStr">
        <is>
          <t>Expenses</t>
        </is>
      </c>
      <c r="D10236" s="3" t="inlineStr">
        <is>
          <t>3233/000</t>
        </is>
      </c>
      <c r="E10236" s="3" t="inlineStr">
        <is>
          <t>Cell Data - Other</t>
        </is>
      </c>
      <c r="F10236" s="3" t="n">
        <v>199</v>
      </c>
      <c r="G10236" s="3" t="n">
        <v>2956</v>
      </c>
    </row>
    <row r="10237">
      <c r="A10237" s="3" t="inlineStr">
        <is>
          <t>Noble Shield (Pty) Ltd ta Go Letting</t>
        </is>
      </c>
      <c r="B10237" s="4" t="n">
        <v>44804</v>
      </c>
      <c r="C10237" s="3" t="inlineStr">
        <is>
          <t>Expenses</t>
        </is>
      </c>
      <c r="D10237" s="3" t="inlineStr">
        <is>
          <t>3233/100</t>
        </is>
      </c>
      <c r="E10237" s="3" t="inlineStr">
        <is>
          <t>Cell Data - Sales office Wifi</t>
        </is>
      </c>
      <c r="F10237" s="3" t="n">
        <v>369</v>
      </c>
      <c r="G10237" s="3" t="n">
        <v>3789</v>
      </c>
    </row>
    <row r="10238">
      <c r="A10238" s="3" t="inlineStr">
        <is>
          <t>Noble Shield (Pty) Ltd ta Go Letting</t>
        </is>
      </c>
      <c r="B10238" s="4" t="n">
        <v>44804</v>
      </c>
      <c r="C10238" s="3" t="inlineStr">
        <is>
          <t>Expenses</t>
        </is>
      </c>
      <c r="D10238" s="3" t="inlineStr">
        <is>
          <t>3250/000</t>
        </is>
      </c>
      <c r="E10238" s="3" t="inlineStr">
        <is>
          <t>Cleaning</t>
        </is>
      </c>
      <c r="F10238" s="3" t="n">
        <v>0</v>
      </c>
      <c r="G10238" s="3" t="n">
        <v>869.3200000000001</v>
      </c>
    </row>
    <row r="10239">
      <c r="A10239" s="3" t="inlineStr">
        <is>
          <t>Opportunity Global Investment (PTY) LTD</t>
        </is>
      </c>
      <c r="B10239" s="4" t="n">
        <v>44804</v>
      </c>
      <c r="C10239" s="3" t="inlineStr">
        <is>
          <t>Expenses</t>
        </is>
      </c>
      <c r="D10239" s="3" t="inlineStr">
        <is>
          <t>3250/000</t>
        </is>
      </c>
      <c r="E10239" s="3" t="inlineStr">
        <is>
          <t>Cleaning</t>
        </is>
      </c>
      <c r="F10239" s="3" t="n">
        <v>2700</v>
      </c>
      <c r="G10239" s="3" t="n">
        <v>16200</v>
      </c>
    </row>
    <row r="10240">
      <c r="A10240" s="3" t="inlineStr">
        <is>
          <t>Opportunity Management Holdings (PTY) LTD</t>
        </is>
      </c>
      <c r="B10240" s="4" t="n">
        <v>44804</v>
      </c>
      <c r="C10240" s="3" t="inlineStr">
        <is>
          <t>Expenses</t>
        </is>
      </c>
      <c r="D10240" s="3" t="inlineStr">
        <is>
          <t>3250/000</t>
        </is>
      </c>
      <c r="E10240" s="3" t="inlineStr">
        <is>
          <t>Cleaning</t>
        </is>
      </c>
      <c r="F10240" s="3" t="n">
        <v>1500</v>
      </c>
      <c r="G10240" s="3" t="n">
        <v>5583.9</v>
      </c>
    </row>
    <row r="10241">
      <c r="A10241" s="3" t="inlineStr">
        <is>
          <t>Trademark Holdings (Pty) Ltd</t>
        </is>
      </c>
      <c r="B10241" s="4" t="n">
        <v>44804</v>
      </c>
      <c r="C10241" s="3" t="inlineStr">
        <is>
          <t>Expenses</t>
        </is>
      </c>
      <c r="D10241" s="3" t="inlineStr">
        <is>
          <t>3250/000</t>
        </is>
      </c>
      <c r="E10241" s="3" t="inlineStr">
        <is>
          <t>Cleaning</t>
        </is>
      </c>
      <c r="F10241" s="3" t="n">
        <v>1040</v>
      </c>
      <c r="G10241" s="3" t="n">
        <v>11692</v>
      </c>
    </row>
    <row r="10242">
      <c r="A10242" s="3" t="inlineStr">
        <is>
          <t>Noble Shield (Pty) Ltd ta Go Letting</t>
        </is>
      </c>
      <c r="B10242" s="4" t="n">
        <v>44804</v>
      </c>
      <c r="C10242" s="3" t="inlineStr">
        <is>
          <t>Expenses</t>
        </is>
      </c>
      <c r="D10242" s="3" t="inlineStr">
        <is>
          <t>3300/000</t>
        </is>
      </c>
      <c r="E10242" s="3" t="inlineStr">
        <is>
          <t>Computer Expenses</t>
        </is>
      </c>
      <c r="F10242" s="3" t="n">
        <v>525</v>
      </c>
      <c r="G10242" s="3" t="n">
        <v>3751.5</v>
      </c>
    </row>
    <row r="10243">
      <c r="A10243" s="3" t="inlineStr">
        <is>
          <t>Opportunity Global Sales (PTY) LTD</t>
        </is>
      </c>
      <c r="B10243" s="4" t="n">
        <v>44804</v>
      </c>
      <c r="C10243" s="3" t="inlineStr">
        <is>
          <t>Expenses</t>
        </is>
      </c>
      <c r="D10243" s="3" t="inlineStr">
        <is>
          <t>3300/000</t>
        </is>
      </c>
      <c r="E10243" s="3" t="inlineStr">
        <is>
          <t>Computer Expenses</t>
        </is>
      </c>
      <c r="F10243" s="3" t="n">
        <v>0</v>
      </c>
      <c r="G10243" s="3" t="n">
        <v>2075</v>
      </c>
    </row>
    <row r="10244">
      <c r="A10244" s="3" t="inlineStr">
        <is>
          <t>Opportunity Management Holdings (PTY) LTD</t>
        </is>
      </c>
      <c r="B10244" s="4" t="n">
        <v>44804</v>
      </c>
      <c r="C10244" s="3" t="inlineStr">
        <is>
          <t>Expenses</t>
        </is>
      </c>
      <c r="D10244" s="3" t="inlineStr">
        <is>
          <t>3300/000</t>
        </is>
      </c>
      <c r="E10244" s="3" t="inlineStr">
        <is>
          <t>Computer Expenses</t>
        </is>
      </c>
      <c r="F10244" s="3" t="n">
        <v>1202.95</v>
      </c>
      <c r="G10244" s="3" t="n">
        <v>4216.49</v>
      </c>
    </row>
    <row r="10245">
      <c r="A10245" s="3" t="inlineStr">
        <is>
          <t>Quinate Consulting (Pty) Ltd</t>
        </is>
      </c>
      <c r="B10245" s="4" t="n">
        <v>44804</v>
      </c>
      <c r="C10245" s="3" t="inlineStr">
        <is>
          <t>Expenses</t>
        </is>
      </c>
      <c r="D10245" s="3" t="inlineStr">
        <is>
          <t>3300/000</t>
        </is>
      </c>
      <c r="E10245" s="3" t="inlineStr">
        <is>
          <t>Computer Expenses</t>
        </is>
      </c>
      <c r="F10245" s="3" t="n">
        <v>0</v>
      </c>
      <c r="G10245" s="3" t="n">
        <v>509.04</v>
      </c>
    </row>
    <row r="10246">
      <c r="A10246" s="3" t="inlineStr">
        <is>
          <t>Trademark Holdings (Pty) Ltd</t>
        </is>
      </c>
      <c r="B10246" s="4" t="n">
        <v>44804</v>
      </c>
      <c r="C10246" s="3" t="inlineStr">
        <is>
          <t>Expenses</t>
        </is>
      </c>
      <c r="D10246" s="3" t="inlineStr">
        <is>
          <t>3300/000</t>
        </is>
      </c>
      <c r="E10246" s="3" t="inlineStr">
        <is>
          <t>Computer Expenses</t>
        </is>
      </c>
      <c r="F10246" s="3" t="n">
        <v>0</v>
      </c>
      <c r="G10246" s="3" t="n">
        <v>8960.9</v>
      </c>
    </row>
    <row r="10247">
      <c r="A10247" s="3" t="inlineStr">
        <is>
          <t>Noble Shield (Pty) Ltd ta Go Letting</t>
        </is>
      </c>
      <c r="B10247" s="4" t="n">
        <v>44804</v>
      </c>
      <c r="C10247" s="3" t="inlineStr">
        <is>
          <t>Expenses</t>
        </is>
      </c>
      <c r="D10247" s="3" t="inlineStr">
        <is>
          <t>3300/120</t>
        </is>
      </c>
      <c r="E10247" s="3" t="inlineStr">
        <is>
          <t>Computer IT - Software Propworx</t>
        </is>
      </c>
      <c r="F10247" s="3" t="n">
        <v>2087.25</v>
      </c>
      <c r="G10247" s="3" t="n">
        <v>21832.75</v>
      </c>
    </row>
    <row r="10248">
      <c r="A10248" s="3" t="inlineStr">
        <is>
          <t>Trademark Holdings (Pty) Ltd</t>
        </is>
      </c>
      <c r="B10248" s="4" t="n">
        <v>44804</v>
      </c>
      <c r="C10248" s="3" t="inlineStr">
        <is>
          <t>Expenses</t>
        </is>
      </c>
      <c r="D10248" s="3" t="inlineStr">
        <is>
          <t>3300/125</t>
        </is>
      </c>
      <c r="E10248" s="3" t="inlineStr">
        <is>
          <t>Computer IT - CT</t>
        </is>
      </c>
      <c r="F10248" s="3" t="n">
        <v>0</v>
      </c>
      <c r="G10248" s="3" t="n">
        <v>106.38</v>
      </c>
    </row>
    <row r="10249">
      <c r="A10249" s="3" t="inlineStr">
        <is>
          <t>Trademark Holdings (Pty) Ltd</t>
        </is>
      </c>
      <c r="B10249" s="4" t="n">
        <v>44804</v>
      </c>
      <c r="C10249" s="3" t="inlineStr">
        <is>
          <t>Expenses</t>
        </is>
      </c>
      <c r="D10249" s="3" t="inlineStr">
        <is>
          <t>3300/130</t>
        </is>
      </c>
      <c r="E10249" s="3" t="inlineStr">
        <is>
          <t>Computer IT - Internet/Hosting Fees</t>
        </is>
      </c>
      <c r="F10249" s="3" t="n">
        <v>0</v>
      </c>
      <c r="G10249" s="3" t="n">
        <v>28939.75</v>
      </c>
    </row>
    <row r="10250">
      <c r="A10250" s="3" t="inlineStr">
        <is>
          <t>Trademark Holdings (Pty) Ltd</t>
        </is>
      </c>
      <c r="B10250" s="4" t="n">
        <v>44804</v>
      </c>
      <c r="C10250" s="3" t="inlineStr">
        <is>
          <t>Expenses</t>
        </is>
      </c>
      <c r="D10250" s="3" t="inlineStr">
        <is>
          <t>3300/145</t>
        </is>
      </c>
      <c r="E10250" s="3" t="inlineStr">
        <is>
          <t>Computer IT - Cloud Solve</t>
        </is>
      </c>
      <c r="F10250" s="3" t="n">
        <v>4588.5</v>
      </c>
      <c r="G10250" s="3" t="n">
        <v>48714</v>
      </c>
    </row>
    <row r="10251">
      <c r="A10251" s="3" t="inlineStr">
        <is>
          <t>Noble Shield (Pty) Ltd ta Go Letting</t>
        </is>
      </c>
      <c r="B10251" s="4" t="n">
        <v>44804</v>
      </c>
      <c r="C10251" s="3" t="inlineStr">
        <is>
          <t>Expenses</t>
        </is>
      </c>
      <c r="D10251" s="3" t="inlineStr">
        <is>
          <t>3300/170</t>
        </is>
      </c>
      <c r="E10251" s="3" t="inlineStr">
        <is>
          <t>Computer IT - VDB office Fibre</t>
        </is>
      </c>
      <c r="F10251" s="3" t="n">
        <v>0</v>
      </c>
      <c r="G10251" s="3" t="n">
        <v>9480</v>
      </c>
    </row>
    <row r="10252">
      <c r="A10252" s="3" t="inlineStr">
        <is>
          <t>Noble Shield (Pty) Ltd ta Go Letting</t>
        </is>
      </c>
      <c r="B10252" s="4" t="n">
        <v>44804</v>
      </c>
      <c r="C10252" s="3" t="inlineStr">
        <is>
          <t>Expenses</t>
        </is>
      </c>
      <c r="D10252" s="3" t="inlineStr">
        <is>
          <t>3301/000</t>
        </is>
      </c>
      <c r="E10252" s="3" t="inlineStr">
        <is>
          <t>Computer Expenses - Xero Setup</t>
        </is>
      </c>
      <c r="F10252" s="3" t="n">
        <v>0</v>
      </c>
      <c r="G10252" s="3" t="n">
        <v>3000</v>
      </c>
    </row>
    <row r="10253">
      <c r="A10253" s="3" t="inlineStr">
        <is>
          <t>Trademark Holdings (Pty) Ltd</t>
        </is>
      </c>
      <c r="B10253" s="4" t="n">
        <v>44804</v>
      </c>
      <c r="C10253" s="3" t="inlineStr">
        <is>
          <t>Expenses</t>
        </is>
      </c>
      <c r="D10253" s="3" t="inlineStr">
        <is>
          <t>3301/000</t>
        </is>
      </c>
      <c r="E10253" s="3" t="inlineStr">
        <is>
          <t>Computer Expenses - Xero Setup</t>
        </is>
      </c>
      <c r="F10253" s="3" t="n">
        <v>0</v>
      </c>
      <c r="G10253" s="3" t="n">
        <v>3000</v>
      </c>
    </row>
    <row r="10254">
      <c r="A10254" s="3" t="inlineStr">
        <is>
          <t>Opportunity Management Holdings (PTY) LTD</t>
        </is>
      </c>
      <c r="B10254" s="4" t="n">
        <v>44804</v>
      </c>
      <c r="C10254" s="3" t="inlineStr">
        <is>
          <t>Expenses</t>
        </is>
      </c>
      <c r="D10254" s="3" t="inlineStr">
        <is>
          <t>3350/000</t>
        </is>
      </c>
      <c r="E10254" s="3" t="inlineStr">
        <is>
          <t>Consulting Fees</t>
        </is>
      </c>
      <c r="F10254" s="3" t="n">
        <v>0</v>
      </c>
      <c r="G10254" s="3" t="n">
        <v>6000</v>
      </c>
    </row>
    <row r="10255">
      <c r="A10255" s="3" t="inlineStr">
        <is>
          <t>Trademark Holdings (Pty) Ltd</t>
        </is>
      </c>
      <c r="B10255" s="4" t="n">
        <v>44804</v>
      </c>
      <c r="C10255" s="3" t="inlineStr">
        <is>
          <t>Expenses</t>
        </is>
      </c>
      <c r="D10255" s="3" t="inlineStr">
        <is>
          <t>3350/000</t>
        </is>
      </c>
      <c r="E10255" s="3" t="inlineStr">
        <is>
          <t>Consulting Fees</t>
        </is>
      </c>
      <c r="F10255" s="3" t="n">
        <v>46000</v>
      </c>
      <c r="G10255" s="3" t="n">
        <v>46000</v>
      </c>
    </row>
    <row r="10256">
      <c r="A10256" s="3" t="inlineStr">
        <is>
          <t>Opportunity Management Holdings (PTY) LTD</t>
        </is>
      </c>
      <c r="B10256" s="4" t="n">
        <v>44804</v>
      </c>
      <c r="C10256" s="3" t="inlineStr">
        <is>
          <t>Expenses</t>
        </is>
      </c>
      <c r="D10256" s="3" t="inlineStr">
        <is>
          <t>3350/100</t>
        </is>
      </c>
      <c r="E10256" s="3" t="inlineStr">
        <is>
          <t>Consulting Fee - Dirk Coetzee</t>
        </is>
      </c>
      <c r="F10256" s="3" t="n">
        <v>6000</v>
      </c>
      <c r="G10256" s="3" t="n">
        <v>24000</v>
      </c>
    </row>
    <row r="10257">
      <c r="A10257" s="3" t="inlineStr">
        <is>
          <t>Quinate Consulting (Pty) Ltd</t>
        </is>
      </c>
      <c r="B10257" s="4" t="n">
        <v>44804</v>
      </c>
      <c r="C10257" s="3" t="inlineStr">
        <is>
          <t>Expenses</t>
        </is>
      </c>
      <c r="D10257" s="3" t="inlineStr">
        <is>
          <t>3350/100</t>
        </is>
      </c>
      <c r="E10257" s="3" t="inlineStr">
        <is>
          <t>Consulting Fees</t>
        </is>
      </c>
      <c r="F10257" s="3" t="n">
        <v>0</v>
      </c>
      <c r="G10257" s="3" t="n">
        <v>-15000</v>
      </c>
    </row>
    <row r="10258">
      <c r="A10258" s="3" t="inlineStr">
        <is>
          <t>Endulini (Pty) Ltd</t>
        </is>
      </c>
      <c r="B10258" s="4" t="n">
        <v>44804</v>
      </c>
      <c r="C10258" s="3" t="inlineStr">
        <is>
          <t>Expenses</t>
        </is>
      </c>
      <c r="D10258" s="3" t="inlineStr">
        <is>
          <t>3350/100</t>
        </is>
      </c>
      <c r="E10258" s="3" t="inlineStr">
        <is>
          <t>Consulting Fees - Admin and Finance</t>
        </is>
      </c>
      <c r="F10258" s="3" t="n">
        <v>83750</v>
      </c>
      <c r="G10258" s="3" t="n">
        <v>489440.68</v>
      </c>
    </row>
    <row r="10259">
      <c r="A10259" s="3" t="inlineStr">
        <is>
          <t>Opportunity Global Investment (PTY) LTD</t>
        </is>
      </c>
      <c r="B10259" s="4" t="n">
        <v>44804</v>
      </c>
      <c r="C10259" s="3" t="inlineStr">
        <is>
          <t>Expenses</t>
        </is>
      </c>
      <c r="D10259" s="3" t="inlineStr">
        <is>
          <t>3350/100</t>
        </is>
      </c>
      <c r="E10259" s="3" t="inlineStr">
        <is>
          <t>Consulting Fees - Admin and Finance</t>
        </is>
      </c>
      <c r="F10259" s="3" t="n">
        <v>5650</v>
      </c>
      <c r="G10259" s="3" t="n">
        <v>29525</v>
      </c>
    </row>
    <row r="10260">
      <c r="A10260" s="3" t="inlineStr">
        <is>
          <t>Opportunity Global Sales (PTY) LTD</t>
        </is>
      </c>
      <c r="B10260" s="4" t="n">
        <v>44804</v>
      </c>
      <c r="C10260" s="3" t="inlineStr">
        <is>
          <t>Expenses</t>
        </is>
      </c>
      <c r="D10260" s="3" t="inlineStr">
        <is>
          <t>3350/100</t>
        </is>
      </c>
      <c r="E10260" s="3" t="inlineStr">
        <is>
          <t>Consulting Fees - Admin and Finance</t>
        </is>
      </c>
      <c r="F10260" s="3" t="n">
        <v>7050</v>
      </c>
      <c r="G10260" s="3" t="n">
        <v>37310</v>
      </c>
    </row>
    <row r="10261">
      <c r="A10261" s="3" t="inlineStr">
        <is>
          <t>Opportunity Global Sales (PTY) LTD</t>
        </is>
      </c>
      <c r="B10261" s="4" t="n">
        <v>44804</v>
      </c>
      <c r="C10261" s="3" t="inlineStr">
        <is>
          <t>Expenses</t>
        </is>
      </c>
      <c r="D10261" s="3" t="inlineStr">
        <is>
          <t>3350/200</t>
        </is>
      </c>
      <c r="E10261" s="3" t="inlineStr">
        <is>
          <t>Consulting Fees - Agent Karien Muller</t>
        </is>
      </c>
      <c r="F10261" s="3" t="n">
        <v>10000</v>
      </c>
      <c r="G10261" s="3" t="n">
        <v>10000</v>
      </c>
    </row>
    <row r="10262">
      <c r="A10262" s="3" t="inlineStr">
        <is>
          <t>Opportunity Global Investment (PTY) LTD</t>
        </is>
      </c>
      <c r="B10262" s="4" t="n">
        <v>44804</v>
      </c>
      <c r="C10262" s="3" t="inlineStr">
        <is>
          <t>Expenses</t>
        </is>
      </c>
      <c r="D10262" s="3" t="inlineStr">
        <is>
          <t>3350/200</t>
        </is>
      </c>
      <c r="E10262" s="3" t="inlineStr">
        <is>
          <t>Consulting Fees - Rockfin</t>
        </is>
      </c>
      <c r="F10262" s="3" t="n">
        <v>0</v>
      </c>
      <c r="G10262" s="3" t="n">
        <v>28850</v>
      </c>
    </row>
    <row r="10263">
      <c r="A10263" s="3" t="inlineStr">
        <is>
          <t>Quinate Consulting (Pty) Ltd</t>
        </is>
      </c>
      <c r="B10263" s="4" t="n">
        <v>44804</v>
      </c>
      <c r="C10263" s="3" t="inlineStr">
        <is>
          <t>Expenses</t>
        </is>
      </c>
      <c r="D10263" s="3" t="inlineStr">
        <is>
          <t>3350/300</t>
        </is>
      </c>
      <c r="E10263" s="3" t="inlineStr">
        <is>
          <t>Consulting Fees - Admin and Finance</t>
        </is>
      </c>
      <c r="F10263" s="3" t="n">
        <v>2000</v>
      </c>
      <c r="G10263" s="3" t="n">
        <v>13700</v>
      </c>
    </row>
    <row r="10264">
      <c r="A10264" s="3" t="inlineStr">
        <is>
          <t>Opportunity Global Investment (PTY) LTD</t>
        </is>
      </c>
      <c r="B10264" s="4" t="n">
        <v>44804</v>
      </c>
      <c r="C10264" s="3" t="inlineStr">
        <is>
          <t>Expenses</t>
        </is>
      </c>
      <c r="D10264" s="3" t="inlineStr">
        <is>
          <t>3351/000</t>
        </is>
      </c>
      <c r="E10264" s="3" t="inlineStr">
        <is>
          <t>Consulting Fees - HR Joblaw</t>
        </is>
      </c>
      <c r="F10264" s="3" t="n">
        <v>1455.3</v>
      </c>
      <c r="G10264" s="3" t="n">
        <v>8310.6</v>
      </c>
    </row>
    <row r="10265">
      <c r="A10265" s="3" t="inlineStr">
        <is>
          <t>Quinate Consulting (Pty) Ltd</t>
        </is>
      </c>
      <c r="B10265" s="4" t="n">
        <v>44804</v>
      </c>
      <c r="C10265" s="3" t="inlineStr">
        <is>
          <t>Expenses</t>
        </is>
      </c>
      <c r="D10265" s="3" t="inlineStr">
        <is>
          <t>3351/000</t>
        </is>
      </c>
      <c r="E10265" s="3" t="inlineStr">
        <is>
          <t>Consulting fees - Trustees</t>
        </is>
      </c>
      <c r="F10265" s="3" t="n">
        <v>12600</v>
      </c>
      <c r="G10265" s="3" t="n">
        <v>48600</v>
      </c>
    </row>
    <row r="10266">
      <c r="A10266" s="3" t="inlineStr">
        <is>
          <t>Opportunity Global Investment (PTY) LTD</t>
        </is>
      </c>
      <c r="B10266" s="4" t="n">
        <v>44804</v>
      </c>
      <c r="C10266" s="3" t="inlineStr">
        <is>
          <t>Expenses</t>
        </is>
      </c>
      <c r="D10266" s="3" t="inlineStr">
        <is>
          <t>3352/000</t>
        </is>
      </c>
      <c r="E10266" s="3" t="inlineStr">
        <is>
          <t>Consulting Fees - Kert Scalzini</t>
        </is>
      </c>
      <c r="F10266" s="3" t="n">
        <v>0</v>
      </c>
      <c r="G10266" s="3" t="n">
        <v>20000</v>
      </c>
    </row>
    <row r="10267">
      <c r="A10267" s="3" t="inlineStr">
        <is>
          <t>Opportunity Global Investment (PTY) LTD</t>
        </is>
      </c>
      <c r="B10267" s="4" t="n">
        <v>44804</v>
      </c>
      <c r="C10267" s="3" t="inlineStr">
        <is>
          <t>Expenses</t>
        </is>
      </c>
      <c r="D10267" s="3" t="inlineStr">
        <is>
          <t>3353/000</t>
        </is>
      </c>
      <c r="E10267" s="3" t="inlineStr">
        <is>
          <t>Consulting Fees - Yolanda Steyn</t>
        </is>
      </c>
      <c r="F10267" s="3" t="n">
        <v>2000</v>
      </c>
      <c r="G10267" s="3" t="n">
        <v>2000</v>
      </c>
    </row>
    <row r="10268">
      <c r="A10268" s="3" t="inlineStr">
        <is>
          <t>Quinate Consulting (Pty) Ltd</t>
        </is>
      </c>
      <c r="B10268" s="4" t="n">
        <v>44804</v>
      </c>
      <c r="C10268" s="3" t="inlineStr">
        <is>
          <t>Expenses</t>
        </is>
      </c>
      <c r="D10268" s="3" t="inlineStr">
        <is>
          <t>3450/001</t>
        </is>
      </c>
      <c r="E10268" s="3" t="inlineStr">
        <is>
          <t>Depreciation - Computer Equipment</t>
        </is>
      </c>
      <c r="F10268" s="3" t="n">
        <v>3141.36</v>
      </c>
      <c r="G10268" s="3" t="n">
        <v>18848.28</v>
      </c>
    </row>
    <row r="10269">
      <c r="A10269" s="3" t="inlineStr">
        <is>
          <t>Quinate Consulting (Pty) Ltd</t>
        </is>
      </c>
      <c r="B10269" s="4" t="n">
        <v>44804</v>
      </c>
      <c r="C10269" s="3" t="inlineStr">
        <is>
          <t>Expenses</t>
        </is>
      </c>
      <c r="D10269" s="3" t="inlineStr">
        <is>
          <t>3450/002</t>
        </is>
      </c>
      <c r="E10269" s="3" t="inlineStr">
        <is>
          <t>Depreciation - Site Containers</t>
        </is>
      </c>
      <c r="F10269" s="3" t="n">
        <v>318.84</v>
      </c>
      <c r="G10269" s="3" t="n">
        <v>1913.04</v>
      </c>
    </row>
    <row r="10270">
      <c r="A10270" s="3" t="inlineStr">
        <is>
          <t>Opportunity Global Sales (PTY) LTD</t>
        </is>
      </c>
      <c r="B10270" s="4" t="n">
        <v>44804</v>
      </c>
      <c r="C10270" s="3" t="inlineStr">
        <is>
          <t>Expenses</t>
        </is>
      </c>
      <c r="D10270" s="3" t="inlineStr">
        <is>
          <t>3450/030</t>
        </is>
      </c>
      <c r="E10270" s="3" t="inlineStr">
        <is>
          <t>Depreciation - Furniture and Fittings</t>
        </is>
      </c>
      <c r="F10270" s="3" t="n">
        <v>408.05</v>
      </c>
      <c r="G10270" s="3" t="n">
        <v>816.1</v>
      </c>
    </row>
    <row r="10271">
      <c r="A10271" s="3" t="inlineStr">
        <is>
          <t>Noble Shield (Pty) Ltd ta Go Letting</t>
        </is>
      </c>
      <c r="B10271" s="4" t="n">
        <v>44804</v>
      </c>
      <c r="C10271" s="3" t="inlineStr">
        <is>
          <t>Expenses</t>
        </is>
      </c>
      <c r="D10271" s="3" t="inlineStr">
        <is>
          <t>3450/100</t>
        </is>
      </c>
      <c r="E10271" s="3" t="inlineStr">
        <is>
          <t>Depreciation - Computer Equipment</t>
        </is>
      </c>
      <c r="F10271" s="3" t="n">
        <v>2542.89</v>
      </c>
      <c r="G10271" s="3" t="n">
        <v>2542.89</v>
      </c>
    </row>
    <row r="10272">
      <c r="A10272" s="3" t="inlineStr">
        <is>
          <t>Opportunity Management Holdings (PTY) LTD</t>
        </is>
      </c>
      <c r="B10272" s="4" t="n">
        <v>44804</v>
      </c>
      <c r="C10272" s="3" t="inlineStr">
        <is>
          <t>Expenses</t>
        </is>
      </c>
      <c r="D10272" s="3" t="inlineStr">
        <is>
          <t>3451/000</t>
        </is>
      </c>
      <c r="E10272" s="3" t="inlineStr">
        <is>
          <t>Depreciation - Computer Equipment</t>
        </is>
      </c>
      <c r="F10272" s="3" t="n">
        <v>337.98</v>
      </c>
      <c r="G10272" s="3" t="n">
        <v>1231.45</v>
      </c>
    </row>
    <row r="10273">
      <c r="A10273" s="3" t="inlineStr">
        <is>
          <t>Quinate Consulting (Pty) Ltd</t>
        </is>
      </c>
      <c r="B10273" s="4" t="n">
        <v>44804</v>
      </c>
      <c r="C10273" s="3" t="inlineStr">
        <is>
          <t>Expenses</t>
        </is>
      </c>
      <c r="D10273" s="3" t="inlineStr">
        <is>
          <t>3600/000</t>
        </is>
      </c>
      <c r="E10273" s="3" t="inlineStr">
        <is>
          <t>Donations</t>
        </is>
      </c>
      <c r="F10273" s="3" t="n">
        <v>535</v>
      </c>
      <c r="G10273" s="3" t="n">
        <v>3210</v>
      </c>
    </row>
    <row r="10274">
      <c r="A10274" s="3" t="inlineStr">
        <is>
          <t>Endulini (Pty) Ltd</t>
        </is>
      </c>
      <c r="B10274" s="4" t="n">
        <v>44804</v>
      </c>
      <c r="C10274" s="3" t="inlineStr">
        <is>
          <t>Expenses</t>
        </is>
      </c>
      <c r="D10274" s="3" t="inlineStr">
        <is>
          <t>3630/000</t>
        </is>
      </c>
      <c r="E10274" s="3" t="inlineStr">
        <is>
          <t>Electricity</t>
        </is>
      </c>
      <c r="F10274" s="3" t="n">
        <v>0</v>
      </c>
      <c r="G10274" s="3" t="n">
        <v>6713.99</v>
      </c>
    </row>
    <row r="10275">
      <c r="A10275" s="3" t="inlineStr">
        <is>
          <t>Noble Shield (Pty) Ltd ta Go Letting</t>
        </is>
      </c>
      <c r="B10275" s="4" t="n">
        <v>44804</v>
      </c>
      <c r="C10275" s="3" t="inlineStr">
        <is>
          <t>Expenses</t>
        </is>
      </c>
      <c r="D10275" s="3" t="inlineStr">
        <is>
          <t>3650/000</t>
        </is>
      </c>
      <c r="E10275" s="3" t="inlineStr">
        <is>
          <t>Electricity _AND_ Water</t>
        </is>
      </c>
      <c r="F10275" s="3" t="n">
        <v>1000</v>
      </c>
      <c r="G10275" s="3" t="n">
        <v>6500</v>
      </c>
    </row>
    <row r="10276">
      <c r="A10276" s="3" t="inlineStr">
        <is>
          <t>Opportunity Global Investment (PTY) LTD</t>
        </is>
      </c>
      <c r="B10276" s="4" t="n">
        <v>44804</v>
      </c>
      <c r="C10276" s="3" t="inlineStr">
        <is>
          <t>Expenses</t>
        </is>
      </c>
      <c r="D10276" s="3" t="inlineStr">
        <is>
          <t>3650/000</t>
        </is>
      </c>
      <c r="E10276" s="3" t="inlineStr">
        <is>
          <t>Electricity _AND_ Water</t>
        </is>
      </c>
      <c r="F10276" s="3" t="n">
        <v>2950</v>
      </c>
      <c r="G10276" s="3" t="n">
        <v>17700</v>
      </c>
    </row>
    <row r="10277">
      <c r="A10277" s="3" t="inlineStr">
        <is>
          <t>Endulini (Pty) Ltd</t>
        </is>
      </c>
      <c r="B10277" s="4" t="n">
        <v>44804</v>
      </c>
      <c r="C10277" s="3" t="inlineStr">
        <is>
          <t>Expenses</t>
        </is>
      </c>
      <c r="D10277" s="3" t="inlineStr">
        <is>
          <t>3650/000</t>
        </is>
      </c>
      <c r="E10277" s="3" t="inlineStr">
        <is>
          <t>Water</t>
        </is>
      </c>
      <c r="F10277" s="3" t="n">
        <v>0</v>
      </c>
      <c r="G10277" s="3" t="n">
        <v>4310.7</v>
      </c>
    </row>
    <row r="10278">
      <c r="A10278" s="3" t="inlineStr">
        <is>
          <t>Noble Shield (Pty) Ltd ta Go Letting</t>
        </is>
      </c>
      <c r="B10278" s="4" t="n">
        <v>44804</v>
      </c>
      <c r="C10278" s="3" t="inlineStr">
        <is>
          <t>Expenses</t>
        </is>
      </c>
      <c r="D10278" s="3" t="inlineStr">
        <is>
          <t>3651/000</t>
        </is>
      </c>
      <c r="E10278" s="3" t="inlineStr">
        <is>
          <t>Electricity _AND_ Water - Rentals</t>
        </is>
      </c>
      <c r="F10278" s="3" t="n">
        <v>-1000</v>
      </c>
      <c r="G10278" s="3" t="n">
        <v>0</v>
      </c>
    </row>
    <row r="10279">
      <c r="A10279" s="3" t="inlineStr">
        <is>
          <t>Quinate Consulting (Pty) Ltd</t>
        </is>
      </c>
      <c r="B10279" s="4" t="n">
        <v>44804</v>
      </c>
      <c r="C10279" s="3" t="inlineStr">
        <is>
          <t>Expenses</t>
        </is>
      </c>
      <c r="D10279" s="3" t="inlineStr">
        <is>
          <t>3651/000</t>
        </is>
      </c>
      <c r="E10279" s="3" t="inlineStr">
        <is>
          <t>Electricity _AND_ Water - Southwark</t>
        </is>
      </c>
      <c r="F10279" s="3" t="n">
        <v>-5234.86</v>
      </c>
      <c r="G10279" s="3" t="n">
        <v>92759.52</v>
      </c>
    </row>
    <row r="10280">
      <c r="A10280" s="3" t="inlineStr">
        <is>
          <t>Quinate Consulting (Pty) Ltd</t>
        </is>
      </c>
      <c r="B10280" s="4" t="n">
        <v>44804</v>
      </c>
      <c r="C10280" s="3" t="inlineStr">
        <is>
          <t>Expenses</t>
        </is>
      </c>
      <c r="D10280" s="3" t="inlineStr">
        <is>
          <t>3652/000</t>
        </is>
      </c>
      <c r="E10280" s="3" t="inlineStr">
        <is>
          <t>Electricity _AND_ Water - Soho</t>
        </is>
      </c>
      <c r="F10280" s="3" t="n">
        <v>34708.03</v>
      </c>
      <c r="G10280" s="3" t="n">
        <v>151007.99</v>
      </c>
    </row>
    <row r="10281">
      <c r="A10281" s="3" t="inlineStr">
        <is>
          <t>Noble Shield (Pty) Ltd ta Go Letting</t>
        </is>
      </c>
      <c r="B10281" s="4" t="n">
        <v>44804</v>
      </c>
      <c r="C10281" s="3" t="inlineStr">
        <is>
          <t>Expenses</t>
        </is>
      </c>
      <c r="D10281" s="3" t="inlineStr">
        <is>
          <t>3700/000</t>
        </is>
      </c>
      <c r="E10281" s="3" t="inlineStr">
        <is>
          <t>Entertainment Expenses</t>
        </is>
      </c>
      <c r="F10281" s="3" t="n">
        <v>0</v>
      </c>
      <c r="G10281" s="3" t="n">
        <v>1200</v>
      </c>
    </row>
    <row r="10282">
      <c r="A10282" s="3" t="inlineStr">
        <is>
          <t>Opportunity Global Investment (PTY) LTD</t>
        </is>
      </c>
      <c r="B10282" s="4" t="n">
        <v>44804</v>
      </c>
      <c r="C10282" s="3" t="inlineStr">
        <is>
          <t>Expenses</t>
        </is>
      </c>
      <c r="D10282" s="3" t="inlineStr">
        <is>
          <t>3700/000</t>
        </is>
      </c>
      <c r="E10282" s="3" t="inlineStr">
        <is>
          <t>Entertainment Expenses</t>
        </is>
      </c>
      <c r="F10282" s="3" t="n">
        <v>597</v>
      </c>
      <c r="G10282" s="3" t="n">
        <v>5436.97</v>
      </c>
    </row>
    <row r="10283">
      <c r="A10283" s="3" t="inlineStr">
        <is>
          <t>Opportunity Management Holdings (PTY) LTD</t>
        </is>
      </c>
      <c r="B10283" s="4" t="n">
        <v>44804</v>
      </c>
      <c r="C10283" s="3" t="inlineStr">
        <is>
          <t>Expenses</t>
        </is>
      </c>
      <c r="D10283" s="3" t="inlineStr">
        <is>
          <t>3700/000</t>
        </is>
      </c>
      <c r="E10283" s="3" t="inlineStr">
        <is>
          <t>Entertainment Expenses</t>
        </is>
      </c>
      <c r="F10283" s="3" t="n">
        <v>0</v>
      </c>
      <c r="G10283" s="3" t="n">
        <v>711.2</v>
      </c>
    </row>
    <row r="10284">
      <c r="A10284" s="3" t="inlineStr">
        <is>
          <t>Quinate Consulting (Pty) Ltd</t>
        </is>
      </c>
      <c r="B10284" s="4" t="n">
        <v>44804</v>
      </c>
      <c r="C10284" s="3" t="inlineStr">
        <is>
          <t>Expenses</t>
        </is>
      </c>
      <c r="D10284" s="3" t="inlineStr">
        <is>
          <t>3700/000</t>
        </is>
      </c>
      <c r="E10284" s="3" t="inlineStr">
        <is>
          <t>Entertainment Expenses</t>
        </is>
      </c>
      <c r="F10284" s="3" t="n">
        <v>1494.32</v>
      </c>
      <c r="G10284" s="3" t="n">
        <v>6269.81</v>
      </c>
    </row>
    <row r="10285">
      <c r="A10285" s="3" t="inlineStr">
        <is>
          <t>Trademark Holdings (Pty) Ltd</t>
        </is>
      </c>
      <c r="B10285" s="4" t="n">
        <v>44804</v>
      </c>
      <c r="C10285" s="3" t="inlineStr">
        <is>
          <t>Expenses</t>
        </is>
      </c>
      <c r="D10285" s="3" t="inlineStr">
        <is>
          <t>3700/000</t>
        </is>
      </c>
      <c r="E10285" s="3" t="inlineStr">
        <is>
          <t>Entertainment Expenses</t>
        </is>
      </c>
      <c r="F10285" s="3" t="n">
        <v>0</v>
      </c>
      <c r="G10285" s="3" t="n">
        <v>4500</v>
      </c>
    </row>
    <row r="10286">
      <c r="A10286" s="3" t="inlineStr">
        <is>
          <t>Opportunity Global Investment (PTY) LTD</t>
        </is>
      </c>
      <c r="B10286" s="4" t="n">
        <v>44804</v>
      </c>
      <c r="C10286" s="3" t="inlineStr">
        <is>
          <t>Expenses</t>
        </is>
      </c>
      <c r="D10286" s="3" t="inlineStr">
        <is>
          <t>3800/010</t>
        </is>
      </c>
      <c r="E10286" s="3" t="inlineStr">
        <is>
          <t>General Expences - Gifts</t>
        </is>
      </c>
      <c r="F10286" s="3" t="n">
        <v>0</v>
      </c>
      <c r="G10286" s="3" t="n">
        <v>600.99</v>
      </c>
    </row>
    <row r="10287">
      <c r="A10287" s="3" t="inlineStr">
        <is>
          <t>Opportunity Management Holdings (PTY) LTD</t>
        </is>
      </c>
      <c r="B10287" s="4" t="n">
        <v>44804</v>
      </c>
      <c r="C10287" s="3" t="inlineStr">
        <is>
          <t>Expenses</t>
        </is>
      </c>
      <c r="D10287" s="3" t="inlineStr">
        <is>
          <t>3800/010</t>
        </is>
      </c>
      <c r="E10287" s="3" t="inlineStr">
        <is>
          <t>General Expenses - Gifts</t>
        </is>
      </c>
      <c r="F10287" s="3" t="n">
        <v>0</v>
      </c>
      <c r="G10287" s="3" t="n">
        <v>1339.13</v>
      </c>
    </row>
    <row r="10288">
      <c r="A10288" s="3" t="inlineStr">
        <is>
          <t>Opportunity Management Holdings (PTY) LTD</t>
        </is>
      </c>
      <c r="B10288" s="4" t="n">
        <v>44804</v>
      </c>
      <c r="C10288" s="3" t="inlineStr">
        <is>
          <t>Expenses</t>
        </is>
      </c>
      <c r="D10288" s="3" t="inlineStr">
        <is>
          <t>3850/000</t>
        </is>
      </c>
      <c r="E10288" s="3" t="inlineStr">
        <is>
          <t>Insurance - Momentum</t>
        </is>
      </c>
      <c r="F10288" s="3" t="n">
        <v>1469.51</v>
      </c>
      <c r="G10288" s="3" t="n">
        <v>11756.08</v>
      </c>
    </row>
    <row r="10289">
      <c r="A10289" s="3" t="inlineStr">
        <is>
          <t>Noble Shield (Pty) Ltd ta Go Letting</t>
        </is>
      </c>
      <c r="B10289" s="4" t="n">
        <v>44804</v>
      </c>
      <c r="C10289" s="3" t="inlineStr">
        <is>
          <t>Expenses</t>
        </is>
      </c>
      <c r="D10289" s="3" t="inlineStr">
        <is>
          <t>3850/100</t>
        </is>
      </c>
      <c r="E10289" s="3" t="inlineStr">
        <is>
          <t>Insurance - Santam</t>
        </is>
      </c>
      <c r="F10289" s="3" t="n">
        <v>3754.19</v>
      </c>
      <c r="G10289" s="3" t="n">
        <v>37028.69</v>
      </c>
    </row>
    <row r="10290">
      <c r="A10290" s="3" t="inlineStr">
        <is>
          <t>Noble Shield (Pty) Ltd ta Go Letting</t>
        </is>
      </c>
      <c r="B10290" s="4" t="n">
        <v>44804</v>
      </c>
      <c r="C10290" s="3" t="inlineStr">
        <is>
          <t>Expenses</t>
        </is>
      </c>
      <c r="D10290" s="3" t="inlineStr">
        <is>
          <t>3850/200</t>
        </is>
      </c>
      <c r="E10290" s="3" t="inlineStr">
        <is>
          <t>Insurance - A_AND_G</t>
        </is>
      </c>
      <c r="F10290" s="3" t="n">
        <v>1796</v>
      </c>
      <c r="G10290" s="3" t="n">
        <v>20563.26</v>
      </c>
    </row>
    <row r="10291">
      <c r="A10291" s="3" t="inlineStr">
        <is>
          <t>Quinate Consulting (Pty) Ltd</t>
        </is>
      </c>
      <c r="B10291" s="4" t="n">
        <v>44804</v>
      </c>
      <c r="C10291" s="3" t="inlineStr">
        <is>
          <t>Expenses</t>
        </is>
      </c>
      <c r="D10291" s="3" t="inlineStr">
        <is>
          <t>3851/000</t>
        </is>
      </c>
      <c r="E10291" s="3" t="inlineStr">
        <is>
          <t>Insurance - Momentum</t>
        </is>
      </c>
      <c r="F10291" s="3" t="n">
        <v>6825.93</v>
      </c>
      <c r="G10291" s="3" t="n">
        <v>40955.58</v>
      </c>
    </row>
    <row r="10292">
      <c r="A10292" s="3" t="inlineStr">
        <is>
          <t>Noble Shield (Pty) Ltd ta Go Letting</t>
        </is>
      </c>
      <c r="B10292" s="4" t="n">
        <v>44804</v>
      </c>
      <c r="C10292" s="3" t="inlineStr">
        <is>
          <t>Expenses</t>
        </is>
      </c>
      <c r="D10292" s="3" t="inlineStr">
        <is>
          <t>3900/000</t>
        </is>
      </c>
      <c r="E10292" s="3" t="inlineStr">
        <is>
          <t>Interest Paid</t>
        </is>
      </c>
      <c r="F10292" s="3" t="n">
        <v>0</v>
      </c>
      <c r="G10292" s="3" t="n">
        <v>0.02</v>
      </c>
    </row>
    <row r="10293">
      <c r="A10293" s="3" t="inlineStr">
        <is>
          <t>Quinate Consulting (Pty) Ltd</t>
        </is>
      </c>
      <c r="B10293" s="4" t="n">
        <v>44804</v>
      </c>
      <c r="C10293" s="3" t="inlineStr">
        <is>
          <t>Expenses</t>
        </is>
      </c>
      <c r="D10293" s="3" t="inlineStr">
        <is>
          <t>3900/000</t>
        </is>
      </c>
      <c r="E10293" s="3" t="inlineStr">
        <is>
          <t>Interest Paid</t>
        </is>
      </c>
      <c r="F10293" s="3" t="n">
        <v>181.1</v>
      </c>
      <c r="G10293" s="3" t="n">
        <v>651.88</v>
      </c>
    </row>
    <row r="10294">
      <c r="A10294" s="3" t="inlineStr">
        <is>
          <t>Quinate Consulting (Pty) Ltd</t>
        </is>
      </c>
      <c r="B10294" s="4" t="n">
        <v>44804</v>
      </c>
      <c r="C10294" s="3" t="inlineStr">
        <is>
          <t>Expenses</t>
        </is>
      </c>
      <c r="D10294" s="3" t="inlineStr">
        <is>
          <t>3900/050</t>
        </is>
      </c>
      <c r="E10294" s="3" t="inlineStr">
        <is>
          <t>Interest Paid - STD Bond Accounts</t>
        </is>
      </c>
      <c r="F10294" s="3" t="n">
        <v>52861.27</v>
      </c>
      <c r="G10294" s="3" t="n">
        <v>286404.74</v>
      </c>
    </row>
    <row r="10295">
      <c r="A10295" s="3" t="inlineStr">
        <is>
          <t>Endulini (Pty) Ltd</t>
        </is>
      </c>
      <c r="B10295" s="4" t="n">
        <v>44804</v>
      </c>
      <c r="C10295" s="3" t="inlineStr">
        <is>
          <t>Expenses</t>
        </is>
      </c>
      <c r="D10295" s="3" t="inlineStr">
        <is>
          <t>3900/111</t>
        </is>
      </c>
      <c r="E10295" s="3" t="inlineStr">
        <is>
          <t>Interest Paid - Investors @ 6.25%</t>
        </is>
      </c>
      <c r="F10295" s="3" t="n">
        <v>0</v>
      </c>
      <c r="G10295" s="3" t="n">
        <v>414137.94</v>
      </c>
    </row>
    <row r="10296">
      <c r="A10296" s="3" t="inlineStr">
        <is>
          <t>Endulini (Pty) Ltd</t>
        </is>
      </c>
      <c r="B10296" s="4" t="n">
        <v>44804</v>
      </c>
      <c r="C10296" s="3" t="inlineStr">
        <is>
          <t>Expenses</t>
        </is>
      </c>
      <c r="D10296" s="3" t="inlineStr">
        <is>
          <t>3900/112</t>
        </is>
      </c>
      <c r="E10296" s="3" t="inlineStr">
        <is>
          <t>Interest Paid - Investors @ 6.5%</t>
        </is>
      </c>
      <c r="F10296" s="3" t="n">
        <v>0</v>
      </c>
      <c r="G10296" s="3" t="n">
        <v>34966.95</v>
      </c>
    </row>
    <row r="10297">
      <c r="A10297" s="3" t="inlineStr">
        <is>
          <t>Endulini (Pty) Ltd</t>
        </is>
      </c>
      <c r="B10297" s="4" t="n">
        <v>44804</v>
      </c>
      <c r="C10297" s="3" t="inlineStr">
        <is>
          <t>Expenses</t>
        </is>
      </c>
      <c r="D10297" s="3" t="inlineStr">
        <is>
          <t>3900/120</t>
        </is>
      </c>
      <c r="E10297" s="3" t="inlineStr">
        <is>
          <t>Interest Paid - Investors @ 7%</t>
        </is>
      </c>
      <c r="F10297" s="3" t="n">
        <v>0</v>
      </c>
      <c r="G10297" s="3" t="n">
        <v>9466.24</v>
      </c>
    </row>
    <row r="10298">
      <c r="A10298" s="3" t="inlineStr">
        <is>
          <t>Endulini (Pty) Ltd</t>
        </is>
      </c>
      <c r="B10298" s="4" t="n">
        <v>44804</v>
      </c>
      <c r="C10298" s="3" t="inlineStr">
        <is>
          <t>Expenses</t>
        </is>
      </c>
      <c r="D10298" s="3" t="inlineStr">
        <is>
          <t>3900/130</t>
        </is>
      </c>
      <c r="E10298" s="3" t="inlineStr">
        <is>
          <t>Interest Paid - Investors @ 8%</t>
        </is>
      </c>
      <c r="F10298" s="3" t="n">
        <v>0</v>
      </c>
      <c r="G10298" s="3" t="n">
        <v>8309.6</v>
      </c>
    </row>
    <row r="10299">
      <c r="A10299" s="3" t="inlineStr">
        <is>
          <t>Endulini (Pty) Ltd</t>
        </is>
      </c>
      <c r="B10299" s="4" t="n">
        <v>44804</v>
      </c>
      <c r="C10299" s="3" t="inlineStr">
        <is>
          <t>Expenses</t>
        </is>
      </c>
      <c r="D10299" s="3" t="inlineStr">
        <is>
          <t>3900/140</t>
        </is>
      </c>
      <c r="E10299" s="3" t="inlineStr">
        <is>
          <t>Interest Paid - Investors @ 9%</t>
        </is>
      </c>
      <c r="F10299" s="3" t="n">
        <v>0</v>
      </c>
      <c r="G10299" s="3" t="n">
        <v>4302.24</v>
      </c>
    </row>
    <row r="10300">
      <c r="A10300" s="3" t="inlineStr">
        <is>
          <t>Quinate Consulting (Pty) Ltd</t>
        </is>
      </c>
      <c r="B10300" s="4" t="n">
        <v>44804</v>
      </c>
      <c r="C10300" s="3" t="inlineStr">
        <is>
          <t>Expenses</t>
        </is>
      </c>
      <c r="D10300" s="3" t="inlineStr">
        <is>
          <t>3900/150</t>
        </is>
      </c>
      <c r="E10300" s="3" t="inlineStr">
        <is>
          <t>Interest Paid - Suppliers</t>
        </is>
      </c>
      <c r="F10300" s="3" t="n">
        <v>0</v>
      </c>
      <c r="G10300" s="3" t="n">
        <v>926.21</v>
      </c>
    </row>
    <row r="10301">
      <c r="A10301" s="3" t="inlineStr">
        <is>
          <t>Quinate Consulting (Pty) Ltd</t>
        </is>
      </c>
      <c r="B10301" s="4" t="n">
        <v>44804</v>
      </c>
      <c r="C10301" s="3" t="inlineStr">
        <is>
          <t>Expenses</t>
        </is>
      </c>
      <c r="D10301" s="3" t="inlineStr">
        <is>
          <t>3900/152</t>
        </is>
      </c>
      <c r="E10301" s="3" t="inlineStr">
        <is>
          <t>Interest Paid - Gengis</t>
        </is>
      </c>
      <c r="F10301" s="3" t="n">
        <v>1528.77</v>
      </c>
      <c r="G10301" s="3" t="n">
        <v>9073.98</v>
      </c>
    </row>
    <row r="10302">
      <c r="A10302" s="3" t="inlineStr">
        <is>
          <t>Endulini (Pty) Ltd</t>
        </is>
      </c>
      <c r="B10302" s="4" t="n">
        <v>44804</v>
      </c>
      <c r="C10302" s="3" t="inlineStr">
        <is>
          <t>Expenses</t>
        </is>
      </c>
      <c r="D10302" s="3" t="inlineStr">
        <is>
          <t>3900/200</t>
        </is>
      </c>
      <c r="E10302" s="3" t="inlineStr">
        <is>
          <t>Interest Paid - Investors @ 15%</t>
        </is>
      </c>
      <c r="F10302" s="3" t="n">
        <v>0</v>
      </c>
      <c r="G10302" s="3" t="n">
        <v>87781.17999999999</v>
      </c>
    </row>
    <row r="10303">
      <c r="A10303" s="3" t="inlineStr">
        <is>
          <t>Opportunity Management Holdings (PTY) LTD</t>
        </is>
      </c>
      <c r="B10303" s="4" t="n">
        <v>44804</v>
      </c>
      <c r="C10303" s="3" t="inlineStr">
        <is>
          <t>Expenses</t>
        </is>
      </c>
      <c r="D10303" s="3" t="inlineStr">
        <is>
          <t>3900/200</t>
        </is>
      </c>
      <c r="E10303" s="3" t="inlineStr">
        <is>
          <t>Interest Paid - Sars Int_AND_Penalties</t>
        </is>
      </c>
      <c r="F10303" s="3" t="n">
        <v>22512.54</v>
      </c>
      <c r="G10303" s="3" t="n">
        <v>22512.54</v>
      </c>
    </row>
    <row r="10304">
      <c r="A10304" s="3" t="inlineStr">
        <is>
          <t>Endulini (Pty) Ltd</t>
        </is>
      </c>
      <c r="B10304" s="4" t="n">
        <v>44804</v>
      </c>
      <c r="C10304" s="3" t="inlineStr">
        <is>
          <t>Expenses</t>
        </is>
      </c>
      <c r="D10304" s="3" t="inlineStr">
        <is>
          <t>3900/230</t>
        </is>
      </c>
      <c r="E10304" s="3" t="inlineStr">
        <is>
          <t>Interest Paid - Investors @ 18%</t>
        </is>
      </c>
      <c r="F10304" s="3" t="n">
        <v>0</v>
      </c>
      <c r="G10304" s="3" t="n">
        <v>4558699.17</v>
      </c>
    </row>
    <row r="10305">
      <c r="A10305" s="3" t="inlineStr">
        <is>
          <t>Opportunity Management Holdings (PTY) LTD</t>
        </is>
      </c>
      <c r="B10305" s="4" t="n">
        <v>44804</v>
      </c>
      <c r="C10305" s="3" t="inlineStr">
        <is>
          <t>Expenses</t>
        </is>
      </c>
      <c r="D10305" s="3" t="inlineStr">
        <is>
          <t>3900/300</t>
        </is>
      </c>
      <c r="E10305" s="3" t="inlineStr">
        <is>
          <t>Interest Paid - Other</t>
        </is>
      </c>
      <c r="F10305" s="3" t="n">
        <v>0</v>
      </c>
      <c r="G10305" s="3" t="n">
        <v>-22.39</v>
      </c>
    </row>
    <row r="10306">
      <c r="A10306" s="3" t="inlineStr">
        <is>
          <t>Opportunity Global Investment (PTY) LTD</t>
        </is>
      </c>
      <c r="B10306" s="4" t="n">
        <v>44804</v>
      </c>
      <c r="C10306" s="3" t="inlineStr">
        <is>
          <t>Expenses</t>
        </is>
      </c>
      <c r="D10306" s="3" t="inlineStr">
        <is>
          <t>3901/000</t>
        </is>
      </c>
      <c r="E10306" s="3" t="inlineStr">
        <is>
          <t>Interest Paid - Department of Labour</t>
        </is>
      </c>
      <c r="F10306" s="3" t="n">
        <v>0</v>
      </c>
      <c r="G10306" s="3" t="n">
        <v>1434.15</v>
      </c>
    </row>
    <row r="10307">
      <c r="A10307" s="3" t="inlineStr">
        <is>
          <t>Trademark Holdings (Pty) Ltd</t>
        </is>
      </c>
      <c r="B10307" s="4" t="n">
        <v>44804</v>
      </c>
      <c r="C10307" s="3" t="inlineStr">
        <is>
          <t>Expenses</t>
        </is>
      </c>
      <c r="D10307" s="3" t="inlineStr">
        <is>
          <t>3910/000</t>
        </is>
      </c>
      <c r="E10307" s="3" t="inlineStr">
        <is>
          <t>Penalties/Interest - SARS</t>
        </is>
      </c>
      <c r="F10307" s="3" t="n">
        <v>291.2</v>
      </c>
      <c r="G10307" s="3" t="n">
        <v>348.24</v>
      </c>
    </row>
    <row r="10308">
      <c r="A10308" s="3" t="inlineStr">
        <is>
          <t>Opportunity Management Holdings (PTY) LTD</t>
        </is>
      </c>
      <c r="B10308" s="4" t="n">
        <v>44804</v>
      </c>
      <c r="C10308" s="3" t="inlineStr">
        <is>
          <t>Expenses</t>
        </is>
      </c>
      <c r="D10308" s="3" t="inlineStr">
        <is>
          <t>3960/000</t>
        </is>
      </c>
      <c r="E10308" s="3" t="inlineStr">
        <is>
          <t>Internet Fees</t>
        </is>
      </c>
      <c r="F10308" s="3" t="n">
        <v>511.97</v>
      </c>
      <c r="G10308" s="3" t="n">
        <v>2563.41</v>
      </c>
    </row>
    <row r="10309">
      <c r="A10309" s="3" t="inlineStr">
        <is>
          <t>Quinate Consulting (Pty) Ltd</t>
        </is>
      </c>
      <c r="B10309" s="4" t="n">
        <v>44804</v>
      </c>
      <c r="C10309" s="3" t="inlineStr">
        <is>
          <t>Expenses</t>
        </is>
      </c>
      <c r="D10309" s="3" t="inlineStr">
        <is>
          <t>4000/000</t>
        </is>
      </c>
      <c r="E10309" s="3" t="inlineStr">
        <is>
          <t>Legal Fees</t>
        </is>
      </c>
      <c r="F10309" s="3" t="n">
        <v>0</v>
      </c>
      <c r="G10309" s="3" t="n">
        <v>61720</v>
      </c>
    </row>
    <row r="10310">
      <c r="A10310" s="3" t="inlineStr">
        <is>
          <t>Quinate Consulting (Pty) Ltd</t>
        </is>
      </c>
      <c r="B10310" s="4" t="n">
        <v>44804</v>
      </c>
      <c r="C10310" s="3" t="inlineStr">
        <is>
          <t>Expenses</t>
        </is>
      </c>
      <c r="D10310" s="3" t="inlineStr">
        <is>
          <t>4065/000</t>
        </is>
      </c>
      <c r="E10310" s="3" t="inlineStr">
        <is>
          <t>Levies - SoHo</t>
        </is>
      </c>
      <c r="F10310" s="3" t="n">
        <v>6466.98</v>
      </c>
      <c r="G10310" s="3" t="n">
        <v>44021.74</v>
      </c>
    </row>
    <row r="10311">
      <c r="A10311" s="3" t="inlineStr">
        <is>
          <t>Quinate Consulting (Pty) Ltd</t>
        </is>
      </c>
      <c r="B10311" s="4" t="n">
        <v>44804</v>
      </c>
      <c r="C10311" s="3" t="inlineStr">
        <is>
          <t>Expenses</t>
        </is>
      </c>
      <c r="D10311" s="3" t="inlineStr">
        <is>
          <t>4066/000</t>
        </is>
      </c>
      <c r="E10311" s="3" t="inlineStr">
        <is>
          <t>Levies - Southwark</t>
        </is>
      </c>
      <c r="F10311" s="3" t="n">
        <v>3422.18</v>
      </c>
      <c r="G10311" s="3" t="n">
        <v>18197.68</v>
      </c>
    </row>
    <row r="10312">
      <c r="A10312" s="3" t="inlineStr">
        <is>
          <t>Endulini (Pty) Ltd</t>
        </is>
      </c>
      <c r="B10312" s="4" t="n">
        <v>44804</v>
      </c>
      <c r="C10312" s="3" t="inlineStr">
        <is>
          <t>Expenses</t>
        </is>
      </c>
      <c r="D10312" s="3" t="inlineStr">
        <is>
          <t>4100/001</t>
        </is>
      </c>
      <c r="E10312" s="3" t="inlineStr">
        <is>
          <t>Momentum Admin Fee</t>
        </is>
      </c>
      <c r="F10312" s="3" t="n">
        <v>60.17</v>
      </c>
      <c r="G10312" s="3" t="n">
        <v>52356.86</v>
      </c>
    </row>
    <row r="10313">
      <c r="A10313" s="3" t="inlineStr">
        <is>
          <t>Quinate Consulting (Pty) Ltd</t>
        </is>
      </c>
      <c r="B10313" s="4" t="n">
        <v>44804</v>
      </c>
      <c r="C10313" s="3" t="inlineStr">
        <is>
          <t>Expenses</t>
        </is>
      </c>
      <c r="D10313" s="3" t="inlineStr">
        <is>
          <t>4100/001</t>
        </is>
      </c>
      <c r="E10313" s="3" t="inlineStr">
        <is>
          <t>Momentum Advise Fee</t>
        </is>
      </c>
      <c r="F10313" s="3" t="n">
        <v>0.21</v>
      </c>
      <c r="G10313" s="3" t="n">
        <v>1.27</v>
      </c>
    </row>
    <row r="10314">
      <c r="A10314" s="3" t="inlineStr">
        <is>
          <t>Opportunity Global Investment (PTY) LTD</t>
        </is>
      </c>
      <c r="B10314" s="4" t="n">
        <v>44804</v>
      </c>
      <c r="C10314" s="3" t="inlineStr">
        <is>
          <t>Expenses</t>
        </is>
      </c>
      <c r="D10314" s="3" t="inlineStr">
        <is>
          <t>4100/100</t>
        </is>
      </c>
      <c r="E10314" s="3" t="inlineStr">
        <is>
          <t>Members Salaries - Nick Morgan</t>
        </is>
      </c>
      <c r="F10314" s="3" t="n">
        <v>40937.19</v>
      </c>
      <c r="G10314" s="3" t="n">
        <v>245623.1</v>
      </c>
    </row>
    <row r="10315">
      <c r="A10315" s="3" t="inlineStr">
        <is>
          <t>Noble Shield (Pty) Ltd ta Go Letting</t>
        </is>
      </c>
      <c r="B10315" s="4" t="n">
        <v>44804</v>
      </c>
      <c r="C10315" s="3" t="inlineStr">
        <is>
          <t>Expenses</t>
        </is>
      </c>
      <c r="D10315" s="3" t="inlineStr">
        <is>
          <t>4200/000</t>
        </is>
      </c>
      <c r="E10315" s="3" t="inlineStr">
        <is>
          <t>Printing _AND_ Stationery</t>
        </is>
      </c>
      <c r="F10315" s="3" t="n">
        <v>0</v>
      </c>
      <c r="G10315" s="3" t="n">
        <v>1410</v>
      </c>
    </row>
    <row r="10316">
      <c r="A10316" s="3" t="inlineStr">
        <is>
          <t>Opportunity Global Investment (PTY) LTD</t>
        </is>
      </c>
      <c r="B10316" s="4" t="n">
        <v>44804</v>
      </c>
      <c r="C10316" s="3" t="inlineStr">
        <is>
          <t>Expenses</t>
        </is>
      </c>
      <c r="D10316" s="3" t="inlineStr">
        <is>
          <t>4200/000</t>
        </is>
      </c>
      <c r="E10316" s="3" t="inlineStr">
        <is>
          <t>Printing _AND_ Stationery</t>
        </is>
      </c>
      <c r="F10316" s="3" t="n">
        <v>2367</v>
      </c>
      <c r="G10316" s="3" t="n">
        <v>14202</v>
      </c>
    </row>
    <row r="10317">
      <c r="A10317" s="3" t="inlineStr">
        <is>
          <t>Opportunity Global Sales (PTY) LTD</t>
        </is>
      </c>
      <c r="B10317" s="4" t="n">
        <v>44804</v>
      </c>
      <c r="C10317" s="3" t="inlineStr">
        <is>
          <t>Expenses</t>
        </is>
      </c>
      <c r="D10317" s="3" t="inlineStr">
        <is>
          <t>4200/000</t>
        </is>
      </c>
      <c r="E10317" s="3" t="inlineStr">
        <is>
          <t>Printing _AND_ Stationery</t>
        </is>
      </c>
      <c r="F10317" s="3" t="n">
        <v>220</v>
      </c>
      <c r="G10317" s="3" t="n">
        <v>220</v>
      </c>
    </row>
    <row r="10318">
      <c r="A10318" s="3" t="inlineStr">
        <is>
          <t>Opportunity Management Holdings (PTY) LTD</t>
        </is>
      </c>
      <c r="B10318" s="4" t="n">
        <v>44804</v>
      </c>
      <c r="C10318" s="3" t="inlineStr">
        <is>
          <t>Expenses</t>
        </is>
      </c>
      <c r="D10318" s="3" t="inlineStr">
        <is>
          <t>4200/000</t>
        </is>
      </c>
      <c r="E10318" s="3" t="inlineStr">
        <is>
          <t>Printing _AND_ Stationery</t>
        </is>
      </c>
      <c r="F10318" s="3" t="n">
        <v>769.46</v>
      </c>
      <c r="G10318" s="3" t="n">
        <v>13155.92</v>
      </c>
    </row>
    <row r="10319">
      <c r="A10319" s="3" t="inlineStr">
        <is>
          <t>Quinate Consulting (Pty) Ltd</t>
        </is>
      </c>
      <c r="B10319" s="4" t="n">
        <v>44804</v>
      </c>
      <c r="C10319" s="3" t="inlineStr">
        <is>
          <t>Expenses</t>
        </is>
      </c>
      <c r="D10319" s="3" t="inlineStr">
        <is>
          <t>4200/000</t>
        </is>
      </c>
      <c r="E10319" s="3" t="inlineStr">
        <is>
          <t>Printing _AND_ Stationery</t>
        </is>
      </c>
      <c r="F10319" s="3" t="n">
        <v>0</v>
      </c>
      <c r="G10319" s="3" t="n">
        <v>1232.17</v>
      </c>
    </row>
    <row r="10320">
      <c r="A10320" s="3" t="inlineStr">
        <is>
          <t>Noble Shield (Pty) Ltd ta Go Letting</t>
        </is>
      </c>
      <c r="B10320" s="4" t="n">
        <v>44804</v>
      </c>
      <c r="C10320" s="3" t="inlineStr">
        <is>
          <t>Expenses</t>
        </is>
      </c>
      <c r="D10320" s="3" t="inlineStr">
        <is>
          <t>4200/100</t>
        </is>
      </c>
      <c r="E10320" s="3" t="inlineStr">
        <is>
          <t>Printing - Merchant West- Printer Rental</t>
        </is>
      </c>
      <c r="F10320" s="3" t="n">
        <v>1624.97</v>
      </c>
      <c r="G10320" s="3" t="n">
        <v>19442.76</v>
      </c>
    </row>
    <row r="10321">
      <c r="A10321" s="3" t="inlineStr">
        <is>
          <t>Noble Shield (Pty) Ltd ta Go Letting</t>
        </is>
      </c>
      <c r="B10321" s="4" t="n">
        <v>44804</v>
      </c>
      <c r="C10321" s="3" t="inlineStr">
        <is>
          <t>Expenses</t>
        </is>
      </c>
      <c r="D10321" s="3" t="inlineStr">
        <is>
          <t>4200/120</t>
        </is>
      </c>
      <c r="E10321" s="3" t="inlineStr">
        <is>
          <t>Printing - Ivy Line - Prints</t>
        </is>
      </c>
      <c r="F10321" s="3" t="n">
        <v>827.8</v>
      </c>
      <c r="G10321" s="3" t="n">
        <v>9640.99</v>
      </c>
    </row>
    <row r="10322">
      <c r="A10322" s="3" t="inlineStr">
        <is>
          <t>Noble Shield (Pty) Ltd ta Go Letting</t>
        </is>
      </c>
      <c r="B10322" s="4" t="n">
        <v>44804</v>
      </c>
      <c r="C10322" s="3" t="inlineStr">
        <is>
          <t>Expenses</t>
        </is>
      </c>
      <c r="D10322" s="3" t="inlineStr">
        <is>
          <t>4200/180</t>
        </is>
      </c>
      <c r="E10322" s="3" t="inlineStr">
        <is>
          <t>Printing - Ikon</t>
        </is>
      </c>
      <c r="F10322" s="3" t="n">
        <v>183.49</v>
      </c>
      <c r="G10322" s="3" t="n">
        <v>5019.1</v>
      </c>
    </row>
    <row r="10323">
      <c r="A10323" s="3" t="inlineStr">
        <is>
          <t>Noble Shield (Pty) Ltd ta Go Letting</t>
        </is>
      </c>
      <c r="B10323" s="4" t="n">
        <v>44804</v>
      </c>
      <c r="C10323" s="3" t="inlineStr">
        <is>
          <t>Expenses</t>
        </is>
      </c>
      <c r="D10323" s="3" t="inlineStr">
        <is>
          <t>4200/190</t>
        </is>
      </c>
      <c r="E10323" s="3" t="inlineStr">
        <is>
          <t>Printing - Centrafin printer rental</t>
        </is>
      </c>
      <c r="F10323" s="3" t="n">
        <v>2522.78</v>
      </c>
      <c r="G10323" s="3" t="n">
        <v>28956.02</v>
      </c>
    </row>
    <row r="10324">
      <c r="A10324" s="3" t="inlineStr">
        <is>
          <t>Noble Shield (Pty) Ltd ta Go Letting</t>
        </is>
      </c>
      <c r="B10324" s="4" t="n">
        <v>44804</v>
      </c>
      <c r="C10324" s="3" t="inlineStr">
        <is>
          <t>Expenses</t>
        </is>
      </c>
      <c r="D10324" s="3" t="inlineStr">
        <is>
          <t>4200/200</t>
        </is>
      </c>
      <c r="E10324" s="3" t="inlineStr">
        <is>
          <t>Printing - General Stationery VDB Office</t>
        </is>
      </c>
      <c r="F10324" s="3" t="n">
        <v>0</v>
      </c>
      <c r="G10324" s="3" t="n">
        <v>4398.1</v>
      </c>
    </row>
    <row r="10325">
      <c r="A10325" s="3" t="inlineStr">
        <is>
          <t>Noble Shield (Pty) Ltd ta Go Letting</t>
        </is>
      </c>
      <c r="B10325" s="4" t="n">
        <v>44804</v>
      </c>
      <c r="C10325" s="3" t="inlineStr">
        <is>
          <t>Expenses</t>
        </is>
      </c>
      <c r="D10325" s="3" t="inlineStr">
        <is>
          <t>4290/000</t>
        </is>
      </c>
      <c r="E10325" s="3" t="inlineStr">
        <is>
          <t>Refreshments - CT Office</t>
        </is>
      </c>
      <c r="F10325" s="3" t="n">
        <v>809.72</v>
      </c>
      <c r="G10325" s="3" t="n">
        <v>8559.02</v>
      </c>
    </row>
    <row r="10326">
      <c r="A10326" s="3" t="inlineStr">
        <is>
          <t>Opportunity Global Investment (PTY) LTD</t>
        </is>
      </c>
      <c r="B10326" s="4" t="n">
        <v>44804</v>
      </c>
      <c r="C10326" s="3" t="inlineStr">
        <is>
          <t>Expenses</t>
        </is>
      </c>
      <c r="D10326" s="3" t="inlineStr">
        <is>
          <t>4290/000</t>
        </is>
      </c>
      <c r="E10326" s="3" t="inlineStr">
        <is>
          <t>Rent</t>
        </is>
      </c>
      <c r="F10326" s="3" t="n">
        <v>8770</v>
      </c>
      <c r="G10326" s="3" t="n">
        <v>52620</v>
      </c>
    </row>
    <row r="10327">
      <c r="A10327" s="3" t="inlineStr">
        <is>
          <t>Noble Shield (Pty) Ltd ta Go Letting</t>
        </is>
      </c>
      <c r="B10327" s="4" t="n">
        <v>44804</v>
      </c>
      <c r="C10327" s="3" t="inlineStr">
        <is>
          <t>Expenses</t>
        </is>
      </c>
      <c r="D10327" s="3" t="inlineStr">
        <is>
          <t>4291/000</t>
        </is>
      </c>
      <c r="E10327" s="3" t="inlineStr">
        <is>
          <t>Refreshments - VDB Office</t>
        </is>
      </c>
      <c r="F10327" s="3" t="n">
        <v>446.94</v>
      </c>
      <c r="G10327" s="3" t="n">
        <v>3785.32</v>
      </c>
    </row>
    <row r="10328">
      <c r="A10328" s="3" t="inlineStr">
        <is>
          <t>Trademark Holdings (Pty) Ltd</t>
        </is>
      </c>
      <c r="B10328" s="4" t="n">
        <v>44804</v>
      </c>
      <c r="C10328" s="3" t="inlineStr">
        <is>
          <t>Expenses</t>
        </is>
      </c>
      <c r="D10328" s="3" t="inlineStr">
        <is>
          <t>4300/000</t>
        </is>
      </c>
      <c r="E10328" s="3" t="inlineStr">
        <is>
          <t>Rent Paid</t>
        </is>
      </c>
      <c r="F10328" s="3" t="n">
        <v>6427.32</v>
      </c>
      <c r="G10328" s="3" t="n">
        <v>73057.78999999999</v>
      </c>
    </row>
    <row r="10329">
      <c r="A10329" s="3" t="inlineStr">
        <is>
          <t>Endulini (Pty) Ltd</t>
        </is>
      </c>
      <c r="B10329" s="4" t="n">
        <v>44804</v>
      </c>
      <c r="C10329" s="3" t="inlineStr">
        <is>
          <t>Expenses</t>
        </is>
      </c>
      <c r="D10329" s="3" t="inlineStr">
        <is>
          <t>4310/000</t>
        </is>
      </c>
      <c r="E10329" s="3" t="inlineStr">
        <is>
          <t>Rates</t>
        </is>
      </c>
      <c r="F10329" s="3" t="n">
        <v>0</v>
      </c>
      <c r="G10329" s="3" t="n">
        <v>28266.66</v>
      </c>
    </row>
    <row r="10330">
      <c r="A10330" s="3" t="inlineStr">
        <is>
          <t>Opportunity Global Investment (PTY) LTD</t>
        </is>
      </c>
      <c r="B10330" s="4" t="n">
        <v>44804</v>
      </c>
      <c r="C10330" s="3" t="inlineStr">
        <is>
          <t>Expenses</t>
        </is>
      </c>
      <c r="D10330" s="3" t="inlineStr">
        <is>
          <t>4310/000</t>
        </is>
      </c>
      <c r="E10330" s="3" t="inlineStr">
        <is>
          <t>Refreshments</t>
        </is>
      </c>
      <c r="F10330" s="3" t="n">
        <v>2521</v>
      </c>
      <c r="G10330" s="3" t="n">
        <v>15126</v>
      </c>
    </row>
    <row r="10331">
      <c r="A10331" s="3" t="inlineStr">
        <is>
          <t>Opportunity Management Holdings (PTY) LTD</t>
        </is>
      </c>
      <c r="B10331" s="4" t="n">
        <v>44804</v>
      </c>
      <c r="C10331" s="3" t="inlineStr">
        <is>
          <t>Expenses</t>
        </is>
      </c>
      <c r="D10331" s="3" t="inlineStr">
        <is>
          <t>4310/000</t>
        </is>
      </c>
      <c r="E10331" s="3" t="inlineStr">
        <is>
          <t>Refreshments</t>
        </is>
      </c>
      <c r="F10331" s="3" t="n">
        <v>1820.58</v>
      </c>
      <c r="G10331" s="3" t="n">
        <v>8351.200000000001</v>
      </c>
    </row>
    <row r="10332">
      <c r="A10332" s="3" t="inlineStr">
        <is>
          <t>Quinate Consulting (Pty) Ltd</t>
        </is>
      </c>
      <c r="B10332" s="4" t="n">
        <v>44804</v>
      </c>
      <c r="C10332" s="3" t="inlineStr">
        <is>
          <t>Expenses</t>
        </is>
      </c>
      <c r="D10332" s="3" t="inlineStr">
        <is>
          <t>4312/000</t>
        </is>
      </c>
      <c r="E10332" s="3" t="inlineStr">
        <is>
          <t>Rates - SoHo Units</t>
        </is>
      </c>
      <c r="F10332" s="3" t="n">
        <v>2459.56</v>
      </c>
      <c r="G10332" s="3" t="n">
        <v>14400.14</v>
      </c>
    </row>
    <row r="10333">
      <c r="A10333" s="3" t="inlineStr">
        <is>
          <t>Noble Shield (Pty) Ltd ta Go Letting</t>
        </is>
      </c>
      <c r="B10333" s="4" t="n">
        <v>44804</v>
      </c>
      <c r="C10333" s="3" t="inlineStr">
        <is>
          <t>Expenses</t>
        </is>
      </c>
      <c r="D10333" s="3" t="inlineStr">
        <is>
          <t>4350/000</t>
        </is>
      </c>
      <c r="E10333" s="3" t="inlineStr">
        <is>
          <t>Repairs _AND_ Maintenance</t>
        </is>
      </c>
      <c r="F10333" s="3" t="n">
        <v>0</v>
      </c>
      <c r="G10333" s="3" t="n">
        <v>3068.83</v>
      </c>
    </row>
    <row r="10334">
      <c r="A10334" s="3" t="inlineStr">
        <is>
          <t>Opportunity Management Holdings (PTY) LTD</t>
        </is>
      </c>
      <c r="B10334" s="4" t="n">
        <v>44804</v>
      </c>
      <c r="C10334" s="3" t="inlineStr">
        <is>
          <t>Expenses</t>
        </is>
      </c>
      <c r="D10334" s="3" t="inlineStr">
        <is>
          <t>4350/000</t>
        </is>
      </c>
      <c r="E10334" s="3" t="inlineStr">
        <is>
          <t>Repairs _AND_ Maintenance</t>
        </is>
      </c>
      <c r="F10334" s="3" t="n">
        <v>6256.65</v>
      </c>
      <c r="G10334" s="3" t="n">
        <v>7067.9</v>
      </c>
    </row>
    <row r="10335">
      <c r="A10335" s="3" t="inlineStr">
        <is>
          <t>Trademark Holdings (Pty) Ltd</t>
        </is>
      </c>
      <c r="B10335" s="4" t="n">
        <v>44804</v>
      </c>
      <c r="C10335" s="3" t="inlineStr">
        <is>
          <t>Expenses</t>
        </is>
      </c>
      <c r="D10335" s="3" t="inlineStr">
        <is>
          <t>4350/000</t>
        </is>
      </c>
      <c r="E10335" s="3" t="inlineStr">
        <is>
          <t>Repairs _AND_ Maintenance</t>
        </is>
      </c>
      <c r="F10335" s="3" t="n">
        <v>0</v>
      </c>
      <c r="G10335" s="3" t="n">
        <v>925</v>
      </c>
    </row>
    <row r="10336">
      <c r="A10336" s="3" t="inlineStr">
        <is>
          <t>Quinate Consulting (Pty) Ltd</t>
        </is>
      </c>
      <c r="B10336" s="4" t="n">
        <v>44804</v>
      </c>
      <c r="C10336" s="3" t="inlineStr">
        <is>
          <t>Expenses</t>
        </is>
      </c>
      <c r="D10336" s="3" t="inlineStr">
        <is>
          <t>4350/000</t>
        </is>
      </c>
      <c r="E10336" s="3" t="inlineStr">
        <is>
          <t>Repairs and Maintenance - Southwark Units</t>
        </is>
      </c>
      <c r="F10336" s="3" t="n">
        <v>0</v>
      </c>
      <c r="G10336" s="3" t="n">
        <v>12416</v>
      </c>
    </row>
    <row r="10337">
      <c r="A10337" s="3" t="inlineStr">
        <is>
          <t>Opportunity Global Investment (PTY) LTD</t>
        </is>
      </c>
      <c r="B10337" s="4" t="n">
        <v>44804</v>
      </c>
      <c r="C10337" s="3" t="inlineStr">
        <is>
          <t>Expenses</t>
        </is>
      </c>
      <c r="D10337" s="3" t="inlineStr">
        <is>
          <t>4360/000</t>
        </is>
      </c>
      <c r="E10337" s="3" t="inlineStr">
        <is>
          <t>Secretarial - CIPC</t>
        </is>
      </c>
      <c r="F10337" s="3" t="n">
        <v>0</v>
      </c>
      <c r="G10337" s="3" t="n">
        <v>600</v>
      </c>
    </row>
    <row r="10338">
      <c r="A10338" s="3" t="inlineStr">
        <is>
          <t>Opportunity Global Sales (PTY) LTD</t>
        </is>
      </c>
      <c r="B10338" s="4" t="n">
        <v>44804</v>
      </c>
      <c r="C10338" s="3" t="inlineStr">
        <is>
          <t>Expenses</t>
        </is>
      </c>
      <c r="D10338" s="3" t="inlineStr">
        <is>
          <t>4390/000</t>
        </is>
      </c>
      <c r="E10338" s="3" t="inlineStr">
        <is>
          <t>Small Assets</t>
        </is>
      </c>
      <c r="F10338" s="3" t="n">
        <v>14139.04</v>
      </c>
      <c r="G10338" s="3" t="n">
        <v>14139.04</v>
      </c>
    </row>
    <row r="10339">
      <c r="A10339" s="3" t="inlineStr">
        <is>
          <t>Opportunity Management Holdings (PTY) LTD</t>
        </is>
      </c>
      <c r="B10339" s="4" t="n">
        <v>44804</v>
      </c>
      <c r="C10339" s="3" t="inlineStr">
        <is>
          <t>Expenses</t>
        </is>
      </c>
      <c r="D10339" s="3" t="inlineStr">
        <is>
          <t>4390/000</t>
        </is>
      </c>
      <c r="E10339" s="3" t="inlineStr">
        <is>
          <t>Small Assets</t>
        </is>
      </c>
      <c r="F10339" s="3" t="n">
        <v>1869.57</v>
      </c>
      <c r="G10339" s="3" t="n">
        <v>15151.49</v>
      </c>
    </row>
    <row r="10340">
      <c r="A10340" s="3" t="inlineStr">
        <is>
          <t>Noble Shield (Pty) Ltd ta Go Letting</t>
        </is>
      </c>
      <c r="B10340" s="4" t="n">
        <v>44804</v>
      </c>
      <c r="C10340" s="3" t="inlineStr">
        <is>
          <t>Expenses</t>
        </is>
      </c>
      <c r="D10340" s="3" t="inlineStr">
        <is>
          <t>4400/000</t>
        </is>
      </c>
      <c r="E10340" s="3" t="inlineStr">
        <is>
          <t>Salaries _AND_ Wages</t>
        </is>
      </c>
      <c r="F10340" s="3" t="n">
        <v>31608.6</v>
      </c>
      <c r="G10340" s="3" t="n">
        <v>286580.41</v>
      </c>
    </row>
    <row r="10341">
      <c r="A10341" s="3" t="inlineStr">
        <is>
          <t>Opportunity Global Sales (PTY) LTD</t>
        </is>
      </c>
      <c r="B10341" s="4" t="n">
        <v>44804</v>
      </c>
      <c r="C10341" s="3" t="inlineStr">
        <is>
          <t>Expenses</t>
        </is>
      </c>
      <c r="D10341" s="3" t="inlineStr">
        <is>
          <t>4400/000</t>
        </is>
      </c>
      <c r="E10341" s="3" t="inlineStr">
        <is>
          <t>Salaries _AND_ Wages</t>
        </is>
      </c>
      <c r="F10341" s="3" t="n">
        <v>42824.28</v>
      </c>
      <c r="G10341" s="3" t="n">
        <v>222443.9</v>
      </c>
    </row>
    <row r="10342">
      <c r="A10342" s="3" t="inlineStr">
        <is>
          <t>Opportunity Management Holdings (PTY) LTD</t>
        </is>
      </c>
      <c r="B10342" s="4" t="n">
        <v>44804</v>
      </c>
      <c r="C10342" s="3" t="inlineStr">
        <is>
          <t>Expenses</t>
        </is>
      </c>
      <c r="D10342" s="3" t="inlineStr">
        <is>
          <t>4400/000</t>
        </is>
      </c>
      <c r="E10342" s="3" t="inlineStr">
        <is>
          <t>Salaries _AND_ Wages</t>
        </is>
      </c>
      <c r="F10342" s="3" t="n">
        <v>198636.5</v>
      </c>
      <c r="G10342" s="3" t="n">
        <v>1962322.06</v>
      </c>
    </row>
    <row r="10343">
      <c r="A10343" s="3" t="inlineStr">
        <is>
          <t>Trademark Holdings (Pty) Ltd</t>
        </is>
      </c>
      <c r="B10343" s="4" t="n">
        <v>44804</v>
      </c>
      <c r="C10343" s="3" t="inlineStr">
        <is>
          <t>Expenses</t>
        </is>
      </c>
      <c r="D10343" s="3" t="inlineStr">
        <is>
          <t>4400/000</t>
        </is>
      </c>
      <c r="E10343" s="3" t="inlineStr">
        <is>
          <t>Salaries _AND_ Wages</t>
        </is>
      </c>
      <c r="F10343" s="3" t="n">
        <v>47007.87</v>
      </c>
      <c r="G10343" s="3" t="n">
        <v>465671.53</v>
      </c>
    </row>
    <row r="10344">
      <c r="A10344" s="3" t="inlineStr">
        <is>
          <t>Opportunity Global Investment (PTY) LTD</t>
        </is>
      </c>
      <c r="B10344" s="4" t="n">
        <v>44804</v>
      </c>
      <c r="C10344" s="3" t="inlineStr">
        <is>
          <t>Expenses</t>
        </is>
      </c>
      <c r="D10344" s="3" t="inlineStr">
        <is>
          <t>4403/000</t>
        </is>
      </c>
      <c r="E10344" s="3" t="inlineStr">
        <is>
          <t>Study fees - Nick</t>
        </is>
      </c>
      <c r="F10344" s="3" t="n">
        <v>0</v>
      </c>
      <c r="G10344" s="3" t="n">
        <v>51825.9</v>
      </c>
    </row>
    <row r="10345">
      <c r="A10345" s="3" t="inlineStr">
        <is>
          <t>Trademark Holdings (Pty) Ltd</t>
        </is>
      </c>
      <c r="B10345" s="4" t="n">
        <v>44804</v>
      </c>
      <c r="C10345" s="3" t="inlineStr">
        <is>
          <t>Expenses</t>
        </is>
      </c>
      <c r="D10345" s="3" t="inlineStr">
        <is>
          <t>4430/000</t>
        </is>
      </c>
      <c r="E10345" s="3" t="inlineStr">
        <is>
          <t>Secretarial fees - CIPC</t>
        </is>
      </c>
      <c r="F10345" s="3" t="n">
        <v>0</v>
      </c>
      <c r="G10345" s="3" t="n">
        <v>100</v>
      </c>
    </row>
    <row r="10346">
      <c r="A10346" s="3" t="inlineStr">
        <is>
          <t>Opportunity Management Holdings (PTY) LTD</t>
        </is>
      </c>
      <c r="B10346" s="4" t="n">
        <v>44804</v>
      </c>
      <c r="C10346" s="3" t="inlineStr">
        <is>
          <t>Expenses</t>
        </is>
      </c>
      <c r="D10346" s="3" t="inlineStr">
        <is>
          <t>4450/000</t>
        </is>
      </c>
      <c r="E10346" s="3" t="inlineStr">
        <is>
          <t>Staff Training</t>
        </is>
      </c>
      <c r="F10346" s="3" t="n">
        <v>2130</v>
      </c>
      <c r="G10346" s="3" t="n">
        <v>6784</v>
      </c>
    </row>
    <row r="10347">
      <c r="A10347" s="3" t="inlineStr">
        <is>
          <t>Noble Shield (Pty) Ltd ta Go Letting</t>
        </is>
      </c>
      <c r="B10347" s="4" t="n">
        <v>44804</v>
      </c>
      <c r="C10347" s="3" t="inlineStr">
        <is>
          <t>Expenses</t>
        </is>
      </c>
      <c r="D10347" s="3" t="inlineStr">
        <is>
          <t>4500/000</t>
        </is>
      </c>
      <c r="E10347" s="3" t="inlineStr">
        <is>
          <t>Staff Welfare</t>
        </is>
      </c>
      <c r="F10347" s="3" t="n">
        <v>0</v>
      </c>
      <c r="G10347" s="3" t="n">
        <v>8468.879999999999</v>
      </c>
    </row>
    <row r="10348">
      <c r="A10348" s="3" t="inlineStr">
        <is>
          <t>Opportunity Global Investment (PTY) LTD</t>
        </is>
      </c>
      <c r="B10348" s="4" t="n">
        <v>44804</v>
      </c>
      <c r="C10348" s="3" t="inlineStr">
        <is>
          <t>Expenses</t>
        </is>
      </c>
      <c r="D10348" s="3" t="inlineStr">
        <is>
          <t>4500/000</t>
        </is>
      </c>
      <c r="E10348" s="3" t="inlineStr">
        <is>
          <t>Staff Welfare</t>
        </is>
      </c>
      <c r="F10348" s="3" t="n">
        <v>0</v>
      </c>
      <c r="G10348" s="3" t="n">
        <v>451.25</v>
      </c>
    </row>
    <row r="10349">
      <c r="A10349" s="3" t="inlineStr">
        <is>
          <t>Opportunity Management Holdings (PTY) LTD</t>
        </is>
      </c>
      <c r="B10349" s="4" t="n">
        <v>44804</v>
      </c>
      <c r="C10349" s="3" t="inlineStr">
        <is>
          <t>Expenses</t>
        </is>
      </c>
      <c r="D10349" s="3" t="inlineStr">
        <is>
          <t>4500/000</t>
        </is>
      </c>
      <c r="E10349" s="3" t="inlineStr">
        <is>
          <t>Staff Welfare</t>
        </is>
      </c>
      <c r="F10349" s="3" t="n">
        <v>2314.4</v>
      </c>
      <c r="G10349" s="3" t="n">
        <v>10927.97</v>
      </c>
    </row>
    <row r="10350">
      <c r="A10350" s="3" t="inlineStr">
        <is>
          <t>Noble Shield (Pty) Ltd ta Go Letting</t>
        </is>
      </c>
      <c r="B10350" s="4" t="n">
        <v>44804</v>
      </c>
      <c r="C10350" s="3" t="inlineStr">
        <is>
          <t>Expenses</t>
        </is>
      </c>
      <c r="D10350" s="3" t="inlineStr">
        <is>
          <t>4520/000</t>
        </is>
      </c>
      <c r="E10350" s="3" t="inlineStr">
        <is>
          <t>Security</t>
        </is>
      </c>
      <c r="F10350" s="3" t="n">
        <v>741.25</v>
      </c>
      <c r="G10350" s="3" t="n">
        <v>8979.780000000001</v>
      </c>
    </row>
    <row r="10351">
      <c r="A10351" s="3" t="inlineStr">
        <is>
          <t>Noble Shield (Pty) Ltd ta Go Letting</t>
        </is>
      </c>
      <c r="B10351" s="4" t="n">
        <v>44804</v>
      </c>
      <c r="C10351" s="3" t="inlineStr">
        <is>
          <t>Expenses</t>
        </is>
      </c>
      <c r="D10351" s="3" t="inlineStr">
        <is>
          <t>4550/000</t>
        </is>
      </c>
      <c r="E10351" s="3" t="inlineStr">
        <is>
          <t>Subscriptions</t>
        </is>
      </c>
      <c r="F10351" s="3" t="n">
        <v>0</v>
      </c>
      <c r="G10351" s="3" t="n">
        <v>274.15</v>
      </c>
    </row>
    <row r="10352">
      <c r="A10352" s="3" t="inlineStr">
        <is>
          <t>Quinate Consulting (Pty) Ltd</t>
        </is>
      </c>
      <c r="B10352" s="4" t="n">
        <v>44804</v>
      </c>
      <c r="C10352" s="3" t="inlineStr">
        <is>
          <t>Expenses</t>
        </is>
      </c>
      <c r="D10352" s="3" t="inlineStr">
        <is>
          <t>4550/000</t>
        </is>
      </c>
      <c r="E10352" s="3" t="inlineStr">
        <is>
          <t>Subscriptions / Licenses</t>
        </is>
      </c>
      <c r="F10352" s="3" t="n">
        <v>8151.61</v>
      </c>
      <c r="G10352" s="3" t="n">
        <v>54430.56</v>
      </c>
    </row>
    <row r="10353">
      <c r="A10353" s="3" t="inlineStr">
        <is>
          <t>Opportunity Management Holdings (PTY) LTD</t>
        </is>
      </c>
      <c r="B10353" s="4" t="n">
        <v>44804</v>
      </c>
      <c r="C10353" s="3" t="inlineStr">
        <is>
          <t>Expenses</t>
        </is>
      </c>
      <c r="D10353" s="3" t="inlineStr">
        <is>
          <t>4550/000</t>
        </is>
      </c>
      <c r="E10353" s="3" t="inlineStr">
        <is>
          <t>Subscriptions _AND_ Lisences</t>
        </is>
      </c>
      <c r="F10353" s="3" t="n">
        <v>1670.9</v>
      </c>
      <c r="G10353" s="3" t="n">
        <v>20158.8</v>
      </c>
    </row>
    <row r="10354">
      <c r="A10354" s="3" t="inlineStr">
        <is>
          <t>Noble Shield (Pty) Ltd ta Go Letting</t>
        </is>
      </c>
      <c r="B10354" s="4" t="n">
        <v>44804</v>
      </c>
      <c r="C10354" s="3" t="inlineStr">
        <is>
          <t>Expenses</t>
        </is>
      </c>
      <c r="D10354" s="3" t="inlineStr">
        <is>
          <t>4550/100</t>
        </is>
      </c>
      <c r="E10354" s="3" t="inlineStr">
        <is>
          <t>Subscriptions - EAAB</t>
        </is>
      </c>
      <c r="F10354" s="3" t="n">
        <v>0</v>
      </c>
      <c r="G10354" s="3" t="n">
        <v>5010</v>
      </c>
    </row>
    <row r="10355">
      <c r="A10355" s="3" t="inlineStr">
        <is>
          <t>Trademark Holdings (Pty) Ltd</t>
        </is>
      </c>
      <c r="B10355" s="4" t="n">
        <v>44804</v>
      </c>
      <c r="C10355" s="3" t="inlineStr">
        <is>
          <t>Expenses</t>
        </is>
      </c>
      <c r="D10355" s="3" t="inlineStr">
        <is>
          <t>4550/100</t>
        </is>
      </c>
      <c r="E10355" s="3" t="inlineStr">
        <is>
          <t>Subscriptions - EAAB</t>
        </is>
      </c>
      <c r="F10355" s="3" t="n">
        <v>0</v>
      </c>
      <c r="G10355" s="3" t="n">
        <v>3710</v>
      </c>
    </row>
    <row r="10356">
      <c r="A10356" s="3" t="inlineStr">
        <is>
          <t>Opportunity Global Investment (PTY) LTD</t>
        </is>
      </c>
      <c r="B10356" s="4" t="n">
        <v>44804</v>
      </c>
      <c r="C10356" s="3" t="inlineStr">
        <is>
          <t>Expenses</t>
        </is>
      </c>
      <c r="D10356" s="3" t="inlineStr">
        <is>
          <t>4550/150</t>
        </is>
      </c>
      <c r="E10356" s="3" t="inlineStr">
        <is>
          <t>Subscriptions - Webbox</t>
        </is>
      </c>
      <c r="F10356" s="3" t="n">
        <v>1259</v>
      </c>
      <c r="G10356" s="3" t="n">
        <v>7460</v>
      </c>
    </row>
    <row r="10357">
      <c r="A10357" s="3" t="inlineStr">
        <is>
          <t>Opportunity Global Investment (PTY) LTD</t>
        </is>
      </c>
      <c r="B10357" s="4" t="n">
        <v>44804</v>
      </c>
      <c r="C10357" s="3" t="inlineStr">
        <is>
          <t>Expenses</t>
        </is>
      </c>
      <c r="D10357" s="3" t="inlineStr">
        <is>
          <t>4550/200</t>
        </is>
      </c>
      <c r="E10357" s="3" t="inlineStr">
        <is>
          <t>Subscriptions - Zoom</t>
        </is>
      </c>
      <c r="F10357" s="3" t="n">
        <v>260.81</v>
      </c>
      <c r="G10357" s="3" t="n">
        <v>1486.84</v>
      </c>
    </row>
    <row r="10358">
      <c r="A10358" s="3" t="inlineStr">
        <is>
          <t>Opportunity Global Investment (PTY) LTD</t>
        </is>
      </c>
      <c r="B10358" s="4" t="n">
        <v>44804</v>
      </c>
      <c r="C10358" s="3" t="inlineStr">
        <is>
          <t>Expenses</t>
        </is>
      </c>
      <c r="D10358" s="3" t="inlineStr">
        <is>
          <t>4550/250</t>
        </is>
      </c>
      <c r="E10358" s="3" t="inlineStr">
        <is>
          <t>Subscriptions - LinkedIn</t>
        </is>
      </c>
      <c r="F10358" s="3" t="n">
        <v>1000.49</v>
      </c>
      <c r="G10358" s="3" t="n">
        <v>7003.43</v>
      </c>
    </row>
    <row r="10359">
      <c r="A10359" s="3" t="inlineStr">
        <is>
          <t>Noble Shield (Pty) Ltd ta Go Letting</t>
        </is>
      </c>
      <c r="B10359" s="4" t="n">
        <v>44804</v>
      </c>
      <c r="C10359" s="3" t="inlineStr">
        <is>
          <t>Expenses</t>
        </is>
      </c>
      <c r="D10359" s="3" t="inlineStr">
        <is>
          <t>4550/250</t>
        </is>
      </c>
      <c r="E10359" s="3" t="inlineStr">
        <is>
          <t>Subscriptions - Windeed reports</t>
        </is>
      </c>
      <c r="F10359" s="3" t="n">
        <v>0</v>
      </c>
      <c r="G10359" s="3" t="n">
        <v>79</v>
      </c>
    </row>
    <row r="10360">
      <c r="A10360" s="3" t="inlineStr">
        <is>
          <t>Opportunity Global Investment (PTY) LTD</t>
        </is>
      </c>
      <c r="B10360" s="4" t="n">
        <v>44804</v>
      </c>
      <c r="C10360" s="3" t="inlineStr">
        <is>
          <t>Expenses</t>
        </is>
      </c>
      <c r="D10360" s="3" t="inlineStr">
        <is>
          <t>4550/350</t>
        </is>
      </c>
      <c r="E10360" s="3" t="inlineStr">
        <is>
          <t>Subscriptions - Xero</t>
        </is>
      </c>
      <c r="F10360" s="3" t="n">
        <v>0</v>
      </c>
      <c r="G10360" s="3" t="n">
        <v>3000</v>
      </c>
    </row>
    <row r="10361">
      <c r="A10361" s="3" t="inlineStr">
        <is>
          <t>Opportunity Global Investment (PTY) LTD</t>
        </is>
      </c>
      <c r="B10361" s="4" t="n">
        <v>44804</v>
      </c>
      <c r="C10361" s="3" t="inlineStr">
        <is>
          <t>Expenses</t>
        </is>
      </c>
      <c r="D10361" s="3" t="inlineStr">
        <is>
          <t>4550/400</t>
        </is>
      </c>
      <c r="E10361" s="3" t="inlineStr">
        <is>
          <t>Subscriptions - Moneyweb</t>
        </is>
      </c>
      <c r="F10361" s="3" t="n">
        <v>54.78</v>
      </c>
      <c r="G10361" s="3" t="n">
        <v>328.68</v>
      </c>
    </row>
    <row r="10362">
      <c r="A10362" s="3" t="inlineStr">
        <is>
          <t>Trademark Holdings (Pty) Ltd</t>
        </is>
      </c>
      <c r="B10362" s="4" t="n">
        <v>44804</v>
      </c>
      <c r="C10362" s="3" t="inlineStr">
        <is>
          <t>Expenses</t>
        </is>
      </c>
      <c r="D10362" s="3" t="inlineStr">
        <is>
          <t>4550/400</t>
        </is>
      </c>
      <c r="E10362" s="3" t="inlineStr">
        <is>
          <t>Subscriptions - Xero</t>
        </is>
      </c>
      <c r="F10362" s="3" t="n">
        <v>600</v>
      </c>
      <c r="G10362" s="3" t="n">
        <v>7650</v>
      </c>
    </row>
    <row r="10363">
      <c r="A10363" s="3" t="inlineStr">
        <is>
          <t>Opportunity Global Investment (PTY) LTD</t>
        </is>
      </c>
      <c r="B10363" s="4" t="n">
        <v>44804</v>
      </c>
      <c r="C10363" s="3" t="inlineStr">
        <is>
          <t>Expenses</t>
        </is>
      </c>
      <c r="D10363" s="3" t="inlineStr">
        <is>
          <t>4550/450</t>
        </is>
      </c>
      <c r="E10363" s="3" t="inlineStr">
        <is>
          <t>Subscriptions - Adobe</t>
        </is>
      </c>
      <c r="F10363" s="3" t="n">
        <v>524</v>
      </c>
      <c r="G10363" s="3" t="n">
        <v>3096.89</v>
      </c>
    </row>
    <row r="10364">
      <c r="A10364" s="3" t="inlineStr">
        <is>
          <t>Noble Shield (Pty) Ltd ta Go Letting</t>
        </is>
      </c>
      <c r="B10364" s="4" t="n">
        <v>44804</v>
      </c>
      <c r="C10364" s="3" t="inlineStr">
        <is>
          <t>Expenses</t>
        </is>
      </c>
      <c r="D10364" s="3" t="inlineStr">
        <is>
          <t>4550/600</t>
        </is>
      </c>
      <c r="E10364" s="3" t="inlineStr">
        <is>
          <t>Subscriptions - Webbox</t>
        </is>
      </c>
      <c r="F10364" s="3" t="n">
        <v>1312.15</v>
      </c>
      <c r="G10364" s="3" t="n">
        <v>14051.46</v>
      </c>
    </row>
    <row r="10365">
      <c r="A10365" s="3" t="inlineStr">
        <is>
          <t>Noble Shield (Pty) Ltd ta Go Letting</t>
        </is>
      </c>
      <c r="B10365" s="4" t="n">
        <v>44804</v>
      </c>
      <c r="C10365" s="3" t="inlineStr">
        <is>
          <t>Expenses</t>
        </is>
      </c>
      <c r="D10365" s="3" t="inlineStr">
        <is>
          <t>4550/650</t>
        </is>
      </c>
      <c r="E10365" s="3" t="inlineStr">
        <is>
          <t>Subscriptions - Xero</t>
        </is>
      </c>
      <c r="F10365" s="3" t="n">
        <v>600</v>
      </c>
      <c r="G10365" s="3" t="n">
        <v>7650</v>
      </c>
    </row>
    <row r="10366">
      <c r="A10366" s="3" t="inlineStr">
        <is>
          <t>Noble Shield (Pty) Ltd ta Go Letting</t>
        </is>
      </c>
      <c r="B10366" s="4" t="n">
        <v>44804</v>
      </c>
      <c r="C10366" s="3" t="inlineStr">
        <is>
          <t>Expenses</t>
        </is>
      </c>
      <c r="D10366" s="3" t="inlineStr">
        <is>
          <t>4550/700</t>
        </is>
      </c>
      <c r="E10366" s="3" t="inlineStr">
        <is>
          <t>Subscriptions - Domain renewals</t>
        </is>
      </c>
      <c r="F10366" s="3" t="n">
        <v>1453.6</v>
      </c>
      <c r="G10366" s="3" t="n">
        <v>3179.75</v>
      </c>
    </row>
    <row r="10367">
      <c r="A10367" s="3" t="inlineStr">
        <is>
          <t>Noble Shield (Pty) Ltd ta Go Letting</t>
        </is>
      </c>
      <c r="B10367" s="4" t="n">
        <v>44804</v>
      </c>
      <c r="C10367" s="3" t="inlineStr">
        <is>
          <t>Expenses</t>
        </is>
      </c>
      <c r="D10367" s="3" t="inlineStr">
        <is>
          <t>4550/800</t>
        </is>
      </c>
      <c r="E10367" s="3" t="inlineStr">
        <is>
          <t>Subscriptions - Adobe</t>
        </is>
      </c>
      <c r="F10367" s="3" t="n">
        <v>297.65</v>
      </c>
      <c r="G10367" s="3" t="n">
        <v>1418.57</v>
      </c>
    </row>
    <row r="10368">
      <c r="A10368" s="3" t="inlineStr">
        <is>
          <t>Opportunity Global Sales (PTY) LTD</t>
        </is>
      </c>
      <c r="B10368" s="4" t="n">
        <v>44804</v>
      </c>
      <c r="C10368" s="3" t="inlineStr">
        <is>
          <t>Expenses</t>
        </is>
      </c>
      <c r="D10368" s="3" t="inlineStr">
        <is>
          <t>4551/000</t>
        </is>
      </c>
      <c r="E10368" s="3" t="inlineStr">
        <is>
          <t>Subscriptions - Payprop</t>
        </is>
      </c>
      <c r="F10368" s="3" t="n">
        <v>827.8200000000001</v>
      </c>
      <c r="G10368" s="3" t="n">
        <v>4241.8</v>
      </c>
    </row>
    <row r="10369">
      <c r="A10369" s="3" t="inlineStr">
        <is>
          <t>Opportunity Management Holdings (PTY) LTD</t>
        </is>
      </c>
      <c r="B10369" s="4" t="n">
        <v>44804</v>
      </c>
      <c r="C10369" s="3" t="inlineStr">
        <is>
          <t>Expenses</t>
        </is>
      </c>
      <c r="D10369" s="3" t="inlineStr">
        <is>
          <t>4551/000</t>
        </is>
      </c>
      <c r="E10369" s="3" t="inlineStr">
        <is>
          <t>Subscriptions - Xero - Setup</t>
        </is>
      </c>
      <c r="F10369" s="3" t="n">
        <v>0</v>
      </c>
      <c r="G10369" s="3" t="n">
        <v>3000</v>
      </c>
    </row>
    <row r="10370">
      <c r="A10370" s="3" t="inlineStr">
        <is>
          <t>Quinate Consulting (Pty) Ltd</t>
        </is>
      </c>
      <c r="B10370" s="4" t="n">
        <v>44804</v>
      </c>
      <c r="C10370" s="3" t="inlineStr">
        <is>
          <t>Expenses</t>
        </is>
      </c>
      <c r="D10370" s="3" t="inlineStr">
        <is>
          <t>4551/000</t>
        </is>
      </c>
      <c r="E10370" s="3" t="inlineStr">
        <is>
          <t>Subscriptions - Zoho</t>
        </is>
      </c>
      <c r="F10370" s="3" t="n">
        <v>1125</v>
      </c>
      <c r="G10370" s="3" t="n">
        <v>6750</v>
      </c>
    </row>
    <row r="10371">
      <c r="A10371" s="3" t="inlineStr">
        <is>
          <t>Endulini (Pty) Ltd</t>
        </is>
      </c>
      <c r="B10371" s="4" t="n">
        <v>44804</v>
      </c>
      <c r="C10371" s="3" t="inlineStr">
        <is>
          <t>Expenses</t>
        </is>
      </c>
      <c r="D10371" s="3" t="inlineStr">
        <is>
          <t>4552/000</t>
        </is>
      </c>
      <c r="E10371" s="3" t="inlineStr">
        <is>
          <t>Subscriptions - Xero</t>
        </is>
      </c>
      <c r="F10371" s="3" t="n">
        <v>0</v>
      </c>
      <c r="G10371" s="3" t="n">
        <v>3000</v>
      </c>
    </row>
    <row r="10372">
      <c r="A10372" s="3" t="inlineStr">
        <is>
          <t>Opportunity Global Sales (PTY) LTD</t>
        </is>
      </c>
      <c r="B10372" s="4" t="n">
        <v>44804</v>
      </c>
      <c r="C10372" s="3" t="inlineStr">
        <is>
          <t>Expenses</t>
        </is>
      </c>
      <c r="D10372" s="3" t="inlineStr">
        <is>
          <t>4552/000</t>
        </is>
      </c>
      <c r="E10372" s="3" t="inlineStr">
        <is>
          <t>Subscriptions - Xero</t>
        </is>
      </c>
      <c r="F10372" s="3" t="n">
        <v>0</v>
      </c>
      <c r="G10372" s="3" t="n">
        <v>3000</v>
      </c>
    </row>
    <row r="10373">
      <c r="A10373" s="3" t="inlineStr">
        <is>
          <t>Opportunity Management Holdings (PTY) LTD</t>
        </is>
      </c>
      <c r="B10373" s="4" t="n">
        <v>44804</v>
      </c>
      <c r="C10373" s="3" t="inlineStr">
        <is>
          <t>Expenses</t>
        </is>
      </c>
      <c r="D10373" s="3" t="inlineStr">
        <is>
          <t>4552/000</t>
        </is>
      </c>
      <c r="E10373" s="3" t="inlineStr">
        <is>
          <t>Subscriptions - Xero</t>
        </is>
      </c>
      <c r="F10373" s="3" t="n">
        <v>600</v>
      </c>
      <c r="G10373" s="3" t="n">
        <v>5250</v>
      </c>
    </row>
    <row r="10374">
      <c r="A10374" s="3" t="inlineStr">
        <is>
          <t>Opportunity Global Sales (PTY) LTD</t>
        </is>
      </c>
      <c r="B10374" s="4" t="n">
        <v>44804</v>
      </c>
      <c r="C10374" s="3" t="inlineStr">
        <is>
          <t>Expenses</t>
        </is>
      </c>
      <c r="D10374" s="3" t="inlineStr">
        <is>
          <t>4553/000</t>
        </is>
      </c>
      <c r="E10374" s="3" t="inlineStr">
        <is>
          <t>Subscriptions - CMA</t>
        </is>
      </c>
      <c r="F10374" s="3" t="n">
        <v>680</v>
      </c>
      <c r="G10374" s="3" t="n">
        <v>4080</v>
      </c>
    </row>
    <row r="10375">
      <c r="A10375" s="3" t="inlineStr">
        <is>
          <t>Quinate Consulting (Pty) Ltd</t>
        </is>
      </c>
      <c r="B10375" s="4" t="n">
        <v>44804</v>
      </c>
      <c r="C10375" s="3" t="inlineStr">
        <is>
          <t>Expenses</t>
        </is>
      </c>
      <c r="D10375" s="3" t="inlineStr">
        <is>
          <t>4554/000</t>
        </is>
      </c>
      <c r="E10375" s="3" t="inlineStr">
        <is>
          <t>Subscriptions - Xero</t>
        </is>
      </c>
      <c r="F10375" s="3" t="n">
        <v>0</v>
      </c>
      <c r="G10375" s="3" t="n">
        <v>3000</v>
      </c>
    </row>
    <row r="10376">
      <c r="A10376" s="3" t="inlineStr">
        <is>
          <t>Opportunity Global Sales (PTY) LTD</t>
        </is>
      </c>
      <c r="B10376" s="4" t="n">
        <v>44804</v>
      </c>
      <c r="C10376" s="3" t="inlineStr">
        <is>
          <t>Expenses</t>
        </is>
      </c>
      <c r="D10376" s="3" t="inlineStr">
        <is>
          <t>4554/000</t>
        </is>
      </c>
      <c r="E10376" s="3" t="inlineStr">
        <is>
          <t>Subscriptions - Zoho</t>
        </is>
      </c>
      <c r="F10376" s="3" t="n">
        <v>750</v>
      </c>
      <c r="G10376" s="3" t="n">
        <v>4005</v>
      </c>
    </row>
    <row r="10377">
      <c r="A10377" s="3" t="inlineStr">
        <is>
          <t>Opportunity Global Sales (PTY) LTD</t>
        </is>
      </c>
      <c r="B10377" s="4" t="n">
        <v>44804</v>
      </c>
      <c r="C10377" s="3" t="inlineStr">
        <is>
          <t>Expenses</t>
        </is>
      </c>
      <c r="D10377" s="3" t="inlineStr">
        <is>
          <t>4555/000</t>
        </is>
      </c>
      <c r="E10377" s="3" t="inlineStr">
        <is>
          <t>Subscriptions - EAAB</t>
        </is>
      </c>
      <c r="F10377" s="3" t="n">
        <v>0</v>
      </c>
      <c r="G10377" s="3" t="n">
        <v>8500</v>
      </c>
    </row>
    <row r="10378">
      <c r="A10378" s="3" t="inlineStr">
        <is>
          <t>Quinate Consulting (Pty) Ltd</t>
        </is>
      </c>
      <c r="B10378" s="4" t="n">
        <v>44804</v>
      </c>
      <c r="C10378" s="3" t="inlineStr">
        <is>
          <t>Expenses</t>
        </is>
      </c>
      <c r="D10378" s="3" t="inlineStr">
        <is>
          <t>4555/000</t>
        </is>
      </c>
      <c r="E10378" s="3" t="inlineStr">
        <is>
          <t>Subscriptions - OUMS</t>
        </is>
      </c>
      <c r="F10378" s="3" t="n">
        <v>6475.9</v>
      </c>
      <c r="G10378" s="3" t="n">
        <v>38855.4</v>
      </c>
    </row>
    <row r="10379">
      <c r="A10379" s="3" t="inlineStr">
        <is>
          <t>Noble Shield (Pty) Ltd ta Go Letting</t>
        </is>
      </c>
      <c r="B10379" s="4" t="n">
        <v>44804</v>
      </c>
      <c r="C10379" s="3" t="inlineStr">
        <is>
          <t>Expenses</t>
        </is>
      </c>
      <c r="D10379" s="3" t="inlineStr">
        <is>
          <t>4560/000</t>
        </is>
      </c>
      <c r="E10379" s="3" t="inlineStr">
        <is>
          <t>Small Assets - under R7000</t>
        </is>
      </c>
      <c r="F10379" s="3" t="n">
        <v>0</v>
      </c>
      <c r="G10379" s="3" t="n">
        <v>399</v>
      </c>
    </row>
    <row r="10380">
      <c r="A10380" s="3" t="inlineStr">
        <is>
          <t>Opportunity Global Investment (PTY) LTD</t>
        </is>
      </c>
      <c r="B10380" s="4" t="n">
        <v>44804</v>
      </c>
      <c r="C10380" s="3" t="inlineStr">
        <is>
          <t>Expenses</t>
        </is>
      </c>
      <c r="D10380" s="3" t="inlineStr">
        <is>
          <t>4600/000</t>
        </is>
      </c>
      <c r="E10380" s="3" t="inlineStr">
        <is>
          <t>Telephone _AND_ Fax</t>
        </is>
      </c>
      <c r="F10380" s="3" t="n">
        <v>3355</v>
      </c>
      <c r="G10380" s="3" t="n">
        <v>20130</v>
      </c>
    </row>
    <row r="10381">
      <c r="A10381" s="3" t="inlineStr">
        <is>
          <t>Trademark Holdings (Pty) Ltd</t>
        </is>
      </c>
      <c r="B10381" s="4" t="n">
        <v>44804</v>
      </c>
      <c r="C10381" s="3" t="inlineStr">
        <is>
          <t>Expenses</t>
        </is>
      </c>
      <c r="D10381" s="3" t="inlineStr">
        <is>
          <t>4600/000</t>
        </is>
      </c>
      <c r="E10381" s="3" t="inlineStr">
        <is>
          <t>Telephone _AND_ Fax</t>
        </is>
      </c>
      <c r="F10381" s="3" t="n">
        <v>1618.66</v>
      </c>
      <c r="G10381" s="3" t="n">
        <v>17997.41</v>
      </c>
    </row>
    <row r="10382">
      <c r="A10382" s="3" t="inlineStr">
        <is>
          <t>Noble Shield (Pty) Ltd ta Go Letting</t>
        </is>
      </c>
      <c r="B10382" s="4" t="n">
        <v>44804</v>
      </c>
      <c r="C10382" s="3" t="inlineStr">
        <is>
          <t>Expenses</t>
        </is>
      </c>
      <c r="D10382" s="3" t="inlineStr">
        <is>
          <t>4600/000</t>
        </is>
      </c>
      <c r="E10382" s="3" t="inlineStr">
        <is>
          <t>Telephone _AND_ Fax - VDB Office</t>
        </is>
      </c>
      <c r="F10382" s="3" t="n">
        <v>0</v>
      </c>
      <c r="G10382" s="3" t="n">
        <v>1926.25</v>
      </c>
    </row>
    <row r="10383">
      <c r="A10383" s="3" t="inlineStr">
        <is>
          <t>Noble Shield (Pty) Ltd ta Go Letting</t>
        </is>
      </c>
      <c r="B10383" s="4" t="n">
        <v>44804</v>
      </c>
      <c r="C10383" s="3" t="inlineStr">
        <is>
          <t>Expenses</t>
        </is>
      </c>
      <c r="D10383" s="3" t="inlineStr">
        <is>
          <t>4610/000</t>
        </is>
      </c>
      <c r="E10383" s="3" t="inlineStr">
        <is>
          <t>Telephone - CT Office</t>
        </is>
      </c>
      <c r="F10383" s="3" t="n">
        <v>816.83</v>
      </c>
      <c r="G10383" s="3" t="n">
        <v>11035.34</v>
      </c>
    </row>
    <row r="10384">
      <c r="A10384" s="3" t="inlineStr">
        <is>
          <t>Noble Shield (Pty) Ltd ta Go Letting</t>
        </is>
      </c>
      <c r="B10384" s="4" t="n">
        <v>44804</v>
      </c>
      <c r="C10384" s="3" t="inlineStr">
        <is>
          <t>Expenses</t>
        </is>
      </c>
      <c r="D10384" s="3" t="inlineStr">
        <is>
          <t>4650/000</t>
        </is>
      </c>
      <c r="E10384" s="3" t="inlineStr">
        <is>
          <t>Travel _AND_ Accommodation</t>
        </is>
      </c>
      <c r="F10384" s="3" t="n">
        <v>0</v>
      </c>
      <c r="G10384" s="3" t="n">
        <v>533.8</v>
      </c>
    </row>
    <row r="10385">
      <c r="A10385" s="3" t="inlineStr">
        <is>
          <t>Opportunity Management Holdings (PTY) LTD</t>
        </is>
      </c>
      <c r="B10385" s="4" t="n">
        <v>44804</v>
      </c>
      <c r="C10385" s="3" t="inlineStr">
        <is>
          <t>Expenses</t>
        </is>
      </c>
      <c r="D10385" s="3" t="inlineStr">
        <is>
          <t>4650/000</t>
        </is>
      </c>
      <c r="E10385" s="3" t="inlineStr">
        <is>
          <t>Travel _AND_ Accommodation</t>
        </is>
      </c>
      <c r="F10385" s="3" t="n">
        <v>34.78</v>
      </c>
      <c r="G10385" s="3" t="n">
        <v>173.91</v>
      </c>
    </row>
    <row r="10386">
      <c r="A10386" s="3" t="inlineStr">
        <is>
          <t>Quinate Consulting (Pty) Ltd</t>
        </is>
      </c>
      <c r="B10386" s="4" t="n">
        <v>44804</v>
      </c>
      <c r="C10386" s="3" t="inlineStr">
        <is>
          <t>Expenses</t>
        </is>
      </c>
      <c r="D10386" s="3" t="inlineStr">
        <is>
          <t>4650/000</t>
        </is>
      </c>
      <c r="E10386" s="3" t="inlineStr">
        <is>
          <t>Travel _AND_ Accommodation</t>
        </is>
      </c>
      <c r="F10386" s="3" t="n">
        <v>0</v>
      </c>
      <c r="G10386" s="3" t="n">
        <v>5386</v>
      </c>
    </row>
    <row r="10387">
      <c r="A10387" s="3" t="inlineStr">
        <is>
          <t>Quinate Consulting (Pty) Ltd</t>
        </is>
      </c>
      <c r="B10387" s="4" t="n">
        <v>44804</v>
      </c>
      <c r="C10387" s="3" t="inlineStr">
        <is>
          <t>Expenses</t>
        </is>
      </c>
      <c r="D10387" s="3" t="inlineStr">
        <is>
          <t>4650/010</t>
        </is>
      </c>
      <c r="E10387" s="3" t="inlineStr">
        <is>
          <t>Travel - Local Flights</t>
        </is>
      </c>
      <c r="F10387" s="3" t="n">
        <v>0</v>
      </c>
      <c r="G10387" s="3" t="n">
        <v>6912.27</v>
      </c>
    </row>
    <row r="10388">
      <c r="A10388" s="3" t="inlineStr">
        <is>
          <t>Opportunity Global Investment (PTY) LTD</t>
        </is>
      </c>
      <c r="B10388" s="4" t="n">
        <v>44804</v>
      </c>
      <c r="C10388" s="3" t="inlineStr">
        <is>
          <t>Expenses</t>
        </is>
      </c>
      <c r="D10388" s="3" t="inlineStr">
        <is>
          <t>4650/020</t>
        </is>
      </c>
      <c r="E10388" s="3" t="inlineStr">
        <is>
          <t>Travel Accomodation - Car Hire</t>
        </is>
      </c>
      <c r="F10388" s="3" t="n">
        <v>0</v>
      </c>
      <c r="G10388" s="3" t="n">
        <v>457.39</v>
      </c>
    </row>
    <row r="10389">
      <c r="A10389" s="3" t="inlineStr">
        <is>
          <t>Quinate Consulting (Pty) Ltd</t>
        </is>
      </c>
      <c r="B10389" s="4" t="n">
        <v>44804</v>
      </c>
      <c r="C10389" s="3" t="inlineStr">
        <is>
          <t>Expenses</t>
        </is>
      </c>
      <c r="D10389" s="3" t="inlineStr">
        <is>
          <t>4650/030</t>
        </is>
      </c>
      <c r="E10389" s="3" t="inlineStr">
        <is>
          <t>Travel - Parking</t>
        </is>
      </c>
      <c r="F10389" s="3" t="n">
        <v>34.78</v>
      </c>
      <c r="G10389" s="3" t="n">
        <v>156.52</v>
      </c>
    </row>
    <row r="10390">
      <c r="A10390" s="3" t="inlineStr">
        <is>
          <t>Quinate Consulting (Pty) Ltd</t>
        </is>
      </c>
      <c r="B10390" s="4" t="n">
        <v>44804</v>
      </c>
      <c r="C10390" s="3" t="inlineStr">
        <is>
          <t>Expenses</t>
        </is>
      </c>
      <c r="D10390" s="3" t="inlineStr">
        <is>
          <t>4650/040</t>
        </is>
      </c>
      <c r="E10390" s="3" t="inlineStr">
        <is>
          <t>Travel - Local Car Hire</t>
        </is>
      </c>
      <c r="F10390" s="3" t="n">
        <v>0</v>
      </c>
      <c r="G10390" s="3" t="n">
        <v>1873</v>
      </c>
    </row>
    <row r="10391">
      <c r="A10391" s="3" t="inlineStr">
        <is>
          <t>Opportunity Global Investment (PTY) LTD</t>
        </is>
      </c>
      <c r="B10391" s="4" t="n">
        <v>44804</v>
      </c>
      <c r="C10391" s="3" t="inlineStr">
        <is>
          <t>Expenses</t>
        </is>
      </c>
      <c r="D10391" s="3" t="inlineStr">
        <is>
          <t>4650/080</t>
        </is>
      </c>
      <c r="E10391" s="3" t="inlineStr">
        <is>
          <t>Travel &amp; Accommodation - Staff Reimbursements</t>
        </is>
      </c>
      <c r="F10391" s="3" t="n">
        <v>0</v>
      </c>
      <c r="G10391" s="3" t="n">
        <v>453.72</v>
      </c>
    </row>
    <row r="10392">
      <c r="A10392" s="3" t="inlineStr">
        <is>
          <t>Opportunity Global Investment (PTY) LTD</t>
        </is>
      </c>
      <c r="B10392" s="4" t="n">
        <v>44804</v>
      </c>
      <c r="C10392" s="3" t="inlineStr">
        <is>
          <t>Expenses</t>
        </is>
      </c>
      <c r="D10392" s="3" t="inlineStr">
        <is>
          <t>4650/090</t>
        </is>
      </c>
      <c r="E10392" s="3" t="inlineStr">
        <is>
          <t>Travel &amp; Accom - Fuel</t>
        </is>
      </c>
      <c r="F10392" s="3" t="n">
        <v>4031.6</v>
      </c>
      <c r="G10392" s="3" t="n">
        <v>20174.07</v>
      </c>
    </row>
    <row r="10393">
      <c r="A10393" s="3" t="inlineStr">
        <is>
          <t>Quinate Consulting (Pty) Ltd</t>
        </is>
      </c>
      <c r="B10393" s="4" t="n">
        <v>44804</v>
      </c>
      <c r="C10393" s="3" t="inlineStr">
        <is>
          <t>Expenses</t>
        </is>
      </c>
      <c r="D10393" s="3" t="inlineStr">
        <is>
          <t>4650/600</t>
        </is>
      </c>
      <c r="E10393" s="3" t="inlineStr">
        <is>
          <t>Travel - Fuel</t>
        </is>
      </c>
      <c r="F10393" s="3" t="n">
        <v>0</v>
      </c>
      <c r="G10393" s="3" t="n">
        <v>983.1799999999999</v>
      </c>
    </row>
    <row r="10394">
      <c r="A10394" s="3" t="inlineStr">
        <is>
          <t>Noble Shield (Pty) Ltd ta Go Letting</t>
        </is>
      </c>
      <c r="B10394" s="4" t="n">
        <v>44804</v>
      </c>
      <c r="C10394" s="3" t="inlineStr">
        <is>
          <t>Expenses</t>
        </is>
      </c>
      <c r="D10394" s="3" t="inlineStr">
        <is>
          <t>4700/000</t>
        </is>
      </c>
      <c r="E10394" s="3" t="inlineStr">
        <is>
          <t>PAYE Contributions</t>
        </is>
      </c>
      <c r="F10394" s="3" t="n">
        <v>3778.63</v>
      </c>
      <c r="G10394" s="3" t="n">
        <v>58343.26</v>
      </c>
    </row>
    <row r="10395">
      <c r="A10395" s="3" t="inlineStr">
        <is>
          <t>Trademark Holdings (Pty) Ltd</t>
        </is>
      </c>
      <c r="B10395" s="4" t="n">
        <v>44804</v>
      </c>
      <c r="C10395" s="3" t="inlineStr">
        <is>
          <t>Expenses</t>
        </is>
      </c>
      <c r="D10395" s="3" t="inlineStr">
        <is>
          <t>4700/000</t>
        </is>
      </c>
      <c r="E10395" s="3" t="inlineStr">
        <is>
          <t>PAYE Contributions</t>
        </is>
      </c>
      <c r="F10395" s="3" t="n">
        <v>4962.36</v>
      </c>
      <c r="G10395" s="3" t="n">
        <v>65342.09</v>
      </c>
    </row>
    <row r="10396">
      <c r="A10396" s="3" t="inlineStr">
        <is>
          <t>Opportunity Global Investment (PTY) LTD</t>
        </is>
      </c>
      <c r="B10396" s="4" t="n">
        <v>44804</v>
      </c>
      <c r="C10396" s="3" t="inlineStr">
        <is>
          <t>Expenses</t>
        </is>
      </c>
      <c r="D10396" s="3" t="inlineStr">
        <is>
          <t>4700/000</t>
        </is>
      </c>
      <c r="E10396" s="3" t="inlineStr">
        <is>
          <t>UIF Contributions</t>
        </is>
      </c>
      <c r="F10396" s="3" t="n">
        <v>177.12</v>
      </c>
      <c r="G10396" s="3" t="n">
        <v>1062.72</v>
      </c>
    </row>
    <row r="10397">
      <c r="A10397" s="3" t="inlineStr">
        <is>
          <t>Opportunity Global Sales (PTY) LTD</t>
        </is>
      </c>
      <c r="B10397" s="4" t="n">
        <v>44804</v>
      </c>
      <c r="C10397" s="3" t="inlineStr">
        <is>
          <t>Expenses</t>
        </is>
      </c>
      <c r="D10397" s="3" t="inlineStr">
        <is>
          <t>4700/000</t>
        </is>
      </c>
      <c r="E10397" s="3" t="inlineStr">
        <is>
          <t>UIF Contributions</t>
        </is>
      </c>
      <c r="F10397" s="3" t="n">
        <v>177.12</v>
      </c>
      <c r="G10397" s="3" t="n">
        <v>1162.72</v>
      </c>
    </row>
    <row r="10398">
      <c r="A10398" s="3" t="inlineStr">
        <is>
          <t>Opportunity Global Sales (PTY) LTD</t>
        </is>
      </c>
      <c r="B10398" s="4" t="n">
        <v>44804</v>
      </c>
      <c r="C10398" s="3" t="inlineStr">
        <is>
          <t>Expenses</t>
        </is>
      </c>
      <c r="D10398" s="3" t="inlineStr">
        <is>
          <t>4701/000</t>
        </is>
      </c>
      <c r="E10398" s="3" t="inlineStr">
        <is>
          <t>UIF Employee Contribution</t>
        </is>
      </c>
      <c r="F10398" s="3" t="n">
        <v>177.12</v>
      </c>
      <c r="G10398" s="3" t="n">
        <v>1162.72</v>
      </c>
    </row>
    <row r="10399">
      <c r="A10399" s="3" t="inlineStr">
        <is>
          <t>Opportunity Global Investment (PTY) LTD</t>
        </is>
      </c>
      <c r="B10399" s="4" t="n">
        <v>44804</v>
      </c>
      <c r="C10399" s="3" t="inlineStr">
        <is>
          <t>Expenses</t>
        </is>
      </c>
      <c r="D10399" s="3" t="inlineStr">
        <is>
          <t>4701/000</t>
        </is>
      </c>
      <c r="E10399" s="3" t="inlineStr">
        <is>
          <t>UIF Employee Contributions</t>
        </is>
      </c>
      <c r="F10399" s="3" t="n">
        <v>177.12</v>
      </c>
      <c r="G10399" s="3" t="n">
        <v>1062.72</v>
      </c>
    </row>
    <row r="10400">
      <c r="A10400" s="3" t="inlineStr">
        <is>
          <t>Noble Shield (Pty) Ltd ta Go Letting</t>
        </is>
      </c>
      <c r="B10400" s="4" t="n">
        <v>44804</v>
      </c>
      <c r="C10400" s="3" t="inlineStr">
        <is>
          <t>Expenses</t>
        </is>
      </c>
      <c r="D10400" s="3" t="inlineStr">
        <is>
          <t>4710/000</t>
        </is>
      </c>
      <c r="E10400" s="3" t="inlineStr">
        <is>
          <t>UIF Company Contributions</t>
        </is>
      </c>
      <c r="F10400" s="3" t="n">
        <v>245.25</v>
      </c>
      <c r="G10400" s="3" t="n">
        <v>2624.92</v>
      </c>
    </row>
    <row r="10401">
      <c r="A10401" s="3" t="inlineStr">
        <is>
          <t>Trademark Holdings (Pty) Ltd</t>
        </is>
      </c>
      <c r="B10401" s="4" t="n">
        <v>44804</v>
      </c>
      <c r="C10401" s="3" t="inlineStr">
        <is>
          <t>Expenses</t>
        </is>
      </c>
      <c r="D10401" s="3" t="inlineStr">
        <is>
          <t>4710/000</t>
        </is>
      </c>
      <c r="E10401" s="3" t="inlineStr">
        <is>
          <t>UIF Company Contributions</t>
        </is>
      </c>
      <c r="F10401" s="3" t="n">
        <v>95.25</v>
      </c>
      <c r="G10401" s="3" t="n">
        <v>1447.62</v>
      </c>
    </row>
    <row r="10402">
      <c r="A10402" s="3" t="inlineStr">
        <is>
          <t>Noble Shield (Pty) Ltd ta Go Letting</t>
        </is>
      </c>
      <c r="B10402" s="4" t="n">
        <v>44804</v>
      </c>
      <c r="C10402" s="3" t="inlineStr">
        <is>
          <t>Expenses</t>
        </is>
      </c>
      <c r="D10402" s="3" t="inlineStr">
        <is>
          <t>4711/000</t>
        </is>
      </c>
      <c r="E10402" s="3" t="inlineStr">
        <is>
          <t>UIF Employee Contribution</t>
        </is>
      </c>
      <c r="F10402" s="3" t="n">
        <v>245.25</v>
      </c>
      <c r="G10402" s="3" t="n">
        <v>2624.92</v>
      </c>
    </row>
    <row r="10403">
      <c r="A10403" s="3" t="inlineStr">
        <is>
          <t>Trademark Holdings (Pty) Ltd</t>
        </is>
      </c>
      <c r="B10403" s="4" t="n">
        <v>44804</v>
      </c>
      <c r="C10403" s="3" t="inlineStr">
        <is>
          <t>Expenses</t>
        </is>
      </c>
      <c r="D10403" s="3" t="inlineStr">
        <is>
          <t>4711/000</t>
        </is>
      </c>
      <c r="E10403" s="3" t="inlineStr">
        <is>
          <t>UIF Employee Contributions</t>
        </is>
      </c>
      <c r="F10403" s="3" t="n">
        <v>95.25</v>
      </c>
      <c r="G10403" s="3" t="n">
        <v>1447.62</v>
      </c>
    </row>
    <row r="10404">
      <c r="A10404" s="3" t="inlineStr">
        <is>
          <t>Noble Shield (Pty) Ltd ta Go Letting</t>
        </is>
      </c>
      <c r="B10404" s="4" t="n">
        <v>44804</v>
      </c>
      <c r="C10404" s="3" t="inlineStr">
        <is>
          <t>Expenses</t>
        </is>
      </c>
      <c r="D10404" s="3" t="inlineStr">
        <is>
          <t>4720/000</t>
        </is>
      </c>
      <c r="E10404" s="3" t="inlineStr">
        <is>
          <t>SDL Contributions</t>
        </is>
      </c>
      <c r="F10404" s="3" t="n">
        <v>430.99</v>
      </c>
      <c r="G10404" s="3" t="n">
        <v>4520.11</v>
      </c>
    </row>
    <row r="10405">
      <c r="A10405" s="3" t="inlineStr">
        <is>
          <t>Trademark Holdings (Pty) Ltd</t>
        </is>
      </c>
      <c r="B10405" s="4" t="n">
        <v>44804</v>
      </c>
      <c r="C10405" s="3" t="inlineStr">
        <is>
          <t>Expenses</t>
        </is>
      </c>
      <c r="D10405" s="3" t="inlineStr">
        <is>
          <t>4720/000</t>
        </is>
      </c>
      <c r="E10405" s="3" t="inlineStr">
        <is>
          <t>SDL Contributions</t>
        </is>
      </c>
      <c r="F10405" s="3" t="n">
        <v>287.16</v>
      </c>
      <c r="G10405" s="3" t="n">
        <v>3651.62</v>
      </c>
    </row>
    <row r="10406">
      <c r="A10406" s="3" t="inlineStr">
        <is>
          <t>Opportunity Global Investment (PTY) LTD</t>
        </is>
      </c>
      <c r="B10406" s="4" t="n">
        <v>44804</v>
      </c>
      <c r="C10406" s="3" t="inlineStr">
        <is>
          <t>Expenses</t>
        </is>
      </c>
      <c r="D10406" s="3" t="inlineStr">
        <is>
          <t>4730/000</t>
        </is>
      </c>
      <c r="E10406" s="3" t="inlineStr">
        <is>
          <t>PAYE Contributions</t>
        </is>
      </c>
      <c r="F10406" s="3" t="n">
        <v>9136.690000000001</v>
      </c>
      <c r="G10406" s="3" t="n">
        <v>54820.18</v>
      </c>
    </row>
    <row r="10407">
      <c r="A10407" s="3" t="inlineStr">
        <is>
          <t>Opportunity Global Sales (PTY) LTD</t>
        </is>
      </c>
      <c r="B10407" s="4" t="n">
        <v>44804</v>
      </c>
      <c r="C10407" s="3" t="inlineStr">
        <is>
          <t>Expenses</t>
        </is>
      </c>
      <c r="D10407" s="3" t="inlineStr">
        <is>
          <t>4730/000</t>
        </is>
      </c>
      <c r="E10407" s="3" t="inlineStr">
        <is>
          <t>PAYE Contributions</t>
        </is>
      </c>
      <c r="F10407" s="3" t="n">
        <v>37555.92</v>
      </c>
      <c r="G10407" s="3" t="n">
        <v>177772.02</v>
      </c>
    </row>
    <row r="10408">
      <c r="A10408" s="3" t="inlineStr">
        <is>
          <t>Opportunity Management Holdings (PTY) LTD</t>
        </is>
      </c>
      <c r="B10408" s="4" t="n">
        <v>44804</v>
      </c>
      <c r="C10408" s="3" t="inlineStr">
        <is>
          <t>Expenses</t>
        </is>
      </c>
      <c r="D10408" s="3" t="inlineStr">
        <is>
          <t>4730/000</t>
        </is>
      </c>
      <c r="E10408" s="3" t="inlineStr">
        <is>
          <t>PAYE Contributions</t>
        </is>
      </c>
      <c r="F10408" s="3" t="n">
        <v>40925.15</v>
      </c>
      <c r="G10408" s="3" t="n">
        <v>423229.6</v>
      </c>
    </row>
    <row r="10409">
      <c r="A10409" s="3" t="inlineStr">
        <is>
          <t>Opportunity Management Holdings (PTY) LTD</t>
        </is>
      </c>
      <c r="B10409" s="4" t="n">
        <v>44804</v>
      </c>
      <c r="C10409" s="3" t="inlineStr">
        <is>
          <t>Expenses</t>
        </is>
      </c>
      <c r="D10409" s="3" t="inlineStr">
        <is>
          <t>4730/100</t>
        </is>
      </c>
      <c r="E10409" s="3" t="inlineStr">
        <is>
          <t>PAYE/UIF/SDL ADJ - Prior years</t>
        </is>
      </c>
      <c r="F10409" s="3" t="n">
        <v>29834.93</v>
      </c>
      <c r="G10409" s="3" t="n">
        <v>29834.93</v>
      </c>
    </row>
    <row r="10410">
      <c r="A10410" s="3" t="inlineStr">
        <is>
          <t>Opportunity Global Investment (PTY) LTD</t>
        </is>
      </c>
      <c r="B10410" s="4" t="n">
        <v>44804</v>
      </c>
      <c r="C10410" s="3" t="inlineStr">
        <is>
          <t>Expenses</t>
        </is>
      </c>
      <c r="D10410" s="3" t="inlineStr">
        <is>
          <t>4740/000</t>
        </is>
      </c>
      <c r="E10410" s="3" t="inlineStr">
        <is>
          <t>SDL Contributions</t>
        </is>
      </c>
      <c r="F10410" s="3" t="n">
        <v>431.1</v>
      </c>
      <c r="G10410" s="3" t="n">
        <v>2586.6</v>
      </c>
    </row>
    <row r="10411">
      <c r="A10411" s="3" t="inlineStr">
        <is>
          <t>Opportunity Global Sales (PTY) LTD</t>
        </is>
      </c>
      <c r="B10411" s="4" t="n">
        <v>44804</v>
      </c>
      <c r="C10411" s="3" t="inlineStr">
        <is>
          <t>Expenses</t>
        </is>
      </c>
      <c r="D10411" s="3" t="inlineStr">
        <is>
          <t>4740/000</t>
        </is>
      </c>
      <c r="E10411" s="3" t="inlineStr">
        <is>
          <t>SDL Contributions</t>
        </is>
      </c>
      <c r="F10411" s="3" t="n">
        <v>1336.23</v>
      </c>
      <c r="G10411" s="3" t="n">
        <v>9048.459999999999</v>
      </c>
    </row>
    <row r="10412">
      <c r="A10412" s="3" t="inlineStr">
        <is>
          <t>Opportunity Management Holdings (PTY) LTD</t>
        </is>
      </c>
      <c r="B10412" s="4" t="n">
        <v>44804</v>
      </c>
      <c r="C10412" s="3" t="inlineStr">
        <is>
          <t>Expenses</t>
        </is>
      </c>
      <c r="D10412" s="3" t="inlineStr">
        <is>
          <t>4740/000</t>
        </is>
      </c>
      <c r="E10412" s="3" t="inlineStr">
        <is>
          <t>UIF Company Contribution</t>
        </is>
      </c>
      <c r="F10412" s="3" t="n">
        <v>1269.6</v>
      </c>
      <c r="G10412" s="3" t="n">
        <v>13361.29</v>
      </c>
    </row>
    <row r="10413">
      <c r="A10413" s="3" t="inlineStr">
        <is>
          <t>Opportunity Management Holdings (PTY) LTD</t>
        </is>
      </c>
      <c r="B10413" s="4" t="n">
        <v>44804</v>
      </c>
      <c r="C10413" s="3" t="inlineStr">
        <is>
          <t>Expenses</t>
        </is>
      </c>
      <c r="D10413" s="3" t="inlineStr">
        <is>
          <t>4741/000</t>
        </is>
      </c>
      <c r="E10413" s="3" t="inlineStr">
        <is>
          <t>UIF Employee Contribution</t>
        </is>
      </c>
      <c r="F10413" s="3" t="n">
        <v>1269.6</v>
      </c>
      <c r="G10413" s="3" t="n">
        <v>13361.29</v>
      </c>
    </row>
    <row r="10414">
      <c r="A10414" s="3" t="inlineStr">
        <is>
          <t>Opportunity Management Holdings (PTY) LTD</t>
        </is>
      </c>
      <c r="B10414" s="4" t="n">
        <v>44804</v>
      </c>
      <c r="C10414" s="3" t="inlineStr">
        <is>
          <t>Expenses</t>
        </is>
      </c>
      <c r="D10414" s="3" t="inlineStr">
        <is>
          <t>4750/000</t>
        </is>
      </c>
      <c r="E10414" s="3" t="inlineStr">
        <is>
          <t>SDL Contribution</t>
        </is>
      </c>
      <c r="F10414" s="3" t="n">
        <v>2304</v>
      </c>
      <c r="G10414" s="3" t="n">
        <v>23406.97</v>
      </c>
    </row>
    <row r="10415">
      <c r="A10415" s="3" t="inlineStr">
        <is>
          <t>Noble Shield (Pty) Ltd ta Go Letting</t>
        </is>
      </c>
      <c r="B10415" s="4" t="n">
        <v>44804</v>
      </c>
      <c r="C10415" s="3" t="inlineStr">
        <is>
          <t>Expenses</t>
        </is>
      </c>
      <c r="D10415" s="3" t="inlineStr">
        <is>
          <t>4910/000</t>
        </is>
      </c>
      <c r="E10415" s="3" t="inlineStr">
        <is>
          <t>Penalties/Interest - SARS</t>
        </is>
      </c>
      <c r="F10415" s="3" t="n">
        <v>130.12</v>
      </c>
      <c r="G10415" s="3" t="n">
        <v>130.12</v>
      </c>
    </row>
    <row r="10416">
      <c r="A10416" s="3" t="inlineStr">
        <is>
          <t>Noble Shield (Pty) Ltd ta Go Letting</t>
        </is>
      </c>
      <c r="B10416" s="4" t="n">
        <v>44804</v>
      </c>
      <c r="C10416" s="3" t="inlineStr">
        <is>
          <t>Equity</t>
        </is>
      </c>
      <c r="D10416" s="3" t="inlineStr">
        <is>
          <t>5100/000</t>
        </is>
      </c>
      <c r="E10416" s="3" t="inlineStr">
        <is>
          <t>Share Capital</t>
        </is>
      </c>
      <c r="F10416" s="3" t="n">
        <v>0</v>
      </c>
      <c r="G10416" s="3" t="n">
        <v>-1</v>
      </c>
    </row>
    <row r="10417">
      <c r="A10417" s="3" t="inlineStr">
        <is>
          <t>Opportunity Management Holdings (PTY) LTD</t>
        </is>
      </c>
      <c r="B10417" s="4" t="n">
        <v>44804</v>
      </c>
      <c r="C10417" s="3" t="inlineStr">
        <is>
          <t>Equity</t>
        </is>
      </c>
      <c r="D10417" s="3" t="inlineStr">
        <is>
          <t>5100/000</t>
        </is>
      </c>
      <c r="E10417" s="3" t="inlineStr">
        <is>
          <t>Share Capital / Members Contribution</t>
        </is>
      </c>
      <c r="F10417" s="3" t="n">
        <v>0</v>
      </c>
      <c r="G10417" s="3" t="n">
        <v>-120</v>
      </c>
    </row>
    <row r="10418">
      <c r="A10418" s="3" t="inlineStr">
        <is>
          <t>Quinate Consulting (Pty) Ltd</t>
        </is>
      </c>
      <c r="B10418" s="4" t="n">
        <v>44804</v>
      </c>
      <c r="C10418" s="3" t="inlineStr">
        <is>
          <t>Equity</t>
        </is>
      </c>
      <c r="D10418" s="3" t="inlineStr">
        <is>
          <t>5100/000</t>
        </is>
      </c>
      <c r="E10418" s="3" t="inlineStr">
        <is>
          <t>Share Capital / Members Contribution</t>
        </is>
      </c>
      <c r="F10418" s="3" t="n">
        <v>0</v>
      </c>
      <c r="G10418" s="3" t="n">
        <v>-120</v>
      </c>
    </row>
    <row r="10419">
      <c r="A10419" s="3" t="inlineStr">
        <is>
          <t>Trademark Holdings (Pty) Ltd</t>
        </is>
      </c>
      <c r="B10419" s="4" t="n">
        <v>44804</v>
      </c>
      <c r="C10419" s="3" t="inlineStr">
        <is>
          <t>Equity</t>
        </is>
      </c>
      <c r="D10419" s="3" t="inlineStr">
        <is>
          <t>5100/001</t>
        </is>
      </c>
      <c r="E10419" s="3" t="inlineStr">
        <is>
          <t>Share Capital - GFY Investments</t>
        </is>
      </c>
      <c r="F10419" s="3" t="n">
        <v>0</v>
      </c>
      <c r="G10419" s="3" t="n">
        <v>-60</v>
      </c>
    </row>
    <row r="10420">
      <c r="A10420" s="3" t="inlineStr">
        <is>
          <t>Trademark Holdings (Pty) Ltd</t>
        </is>
      </c>
      <c r="B10420" s="4" t="n">
        <v>44804</v>
      </c>
      <c r="C10420" s="3" t="inlineStr">
        <is>
          <t>Equity</t>
        </is>
      </c>
      <c r="D10420" s="3" t="inlineStr">
        <is>
          <t>5100/002</t>
        </is>
      </c>
      <c r="E10420" s="3" t="inlineStr">
        <is>
          <t>Share Capital - Zak Trust</t>
        </is>
      </c>
      <c r="F10420" s="3" t="n">
        <v>0</v>
      </c>
      <c r="G10420" s="3" t="n">
        <v>-60</v>
      </c>
    </row>
    <row r="10421">
      <c r="A10421" s="3" t="inlineStr">
        <is>
          <t>Opportunity Global Investment (PTY) LTD</t>
        </is>
      </c>
      <c r="B10421" s="4" t="n">
        <v>44804</v>
      </c>
      <c r="C10421" s="3" t="inlineStr">
        <is>
          <t>Equity</t>
        </is>
      </c>
      <c r="D10421" s="3" t="inlineStr">
        <is>
          <t>5101/000</t>
        </is>
      </c>
      <c r="E10421" s="3" t="inlineStr">
        <is>
          <t>Share Capital - Ordinary Type A</t>
        </is>
      </c>
      <c r="F10421" s="3" t="n">
        <v>0</v>
      </c>
      <c r="G10421" s="3" t="n">
        <v>-70</v>
      </c>
    </row>
    <row r="10422">
      <c r="A10422" s="3" t="inlineStr">
        <is>
          <t>Opportunity Global Investment (PTY) LTD</t>
        </is>
      </c>
      <c r="B10422" s="4" t="n">
        <v>44804</v>
      </c>
      <c r="C10422" s="3" t="inlineStr">
        <is>
          <t>Equity</t>
        </is>
      </c>
      <c r="D10422" s="3" t="inlineStr">
        <is>
          <t>5102/000</t>
        </is>
      </c>
      <c r="E10422" s="3" t="inlineStr">
        <is>
          <t>Share Capital - Ordinary Type B</t>
        </is>
      </c>
      <c r="F10422" s="3" t="n">
        <v>0</v>
      </c>
      <c r="G10422" s="3" t="n">
        <v>-30</v>
      </c>
    </row>
    <row r="10423">
      <c r="A10423" s="3" t="inlineStr">
        <is>
          <t>Endulini (Pty) Ltd</t>
        </is>
      </c>
      <c r="B10423" s="4" t="n">
        <v>44804</v>
      </c>
      <c r="C10423" s="3" t="inlineStr">
        <is>
          <t>Equity</t>
        </is>
      </c>
      <c r="D10423" s="3" t="inlineStr">
        <is>
          <t>5200/000</t>
        </is>
      </c>
      <c r="E10423" s="3" t="inlineStr">
        <is>
          <t>Retained Earnings / Loss</t>
        </is>
      </c>
      <c r="F10423" s="3" t="n">
        <v>0</v>
      </c>
      <c r="G10423" s="3" t="n">
        <v>-4937860.07</v>
      </c>
    </row>
    <row r="10424">
      <c r="A10424" s="3" t="inlineStr">
        <is>
          <t>Noble Shield (Pty) Ltd ta Go Letting</t>
        </is>
      </c>
      <c r="B10424" s="4" t="n">
        <v>44804</v>
      </c>
      <c r="C10424" s="3" t="inlineStr">
        <is>
          <t>Equity</t>
        </is>
      </c>
      <c r="D10424" s="3" t="inlineStr">
        <is>
          <t>5200/000</t>
        </is>
      </c>
      <c r="E10424" s="3" t="inlineStr">
        <is>
          <t>Retained Earnings / Loss</t>
        </is>
      </c>
      <c r="F10424" s="3" t="n">
        <v>0</v>
      </c>
      <c r="G10424" s="3" t="n">
        <v>-59256.74</v>
      </c>
    </row>
    <row r="10425">
      <c r="A10425" s="3" t="inlineStr">
        <is>
          <t>Opportunity Global Investment (PTY) LTD</t>
        </is>
      </c>
      <c r="B10425" s="4" t="n">
        <v>44804</v>
      </c>
      <c r="C10425" s="3" t="inlineStr">
        <is>
          <t>Equity</t>
        </is>
      </c>
      <c r="D10425" s="3" t="inlineStr">
        <is>
          <t>5200/000</t>
        </is>
      </c>
      <c r="E10425" s="3" t="inlineStr">
        <is>
          <t>Retained Earnings / Loss</t>
        </is>
      </c>
      <c r="F10425" s="3" t="n">
        <v>0</v>
      </c>
      <c r="G10425" s="3" t="n">
        <v>465853.58</v>
      </c>
    </row>
    <row r="10426">
      <c r="A10426" s="3" t="inlineStr">
        <is>
          <t>Opportunity Global Sales (PTY) LTD</t>
        </is>
      </c>
      <c r="B10426" s="4" t="n">
        <v>44804</v>
      </c>
      <c r="C10426" s="3" t="inlineStr">
        <is>
          <t>Equity</t>
        </is>
      </c>
      <c r="D10426" s="3" t="inlineStr">
        <is>
          <t>5200/000</t>
        </is>
      </c>
      <c r="E10426" s="3" t="inlineStr">
        <is>
          <t>Retained Earnings / Loss</t>
        </is>
      </c>
      <c r="F10426" s="3" t="n">
        <v>0</v>
      </c>
      <c r="G10426" s="3" t="n">
        <v>-565683.55</v>
      </c>
    </row>
    <row r="10427">
      <c r="A10427" s="3" t="inlineStr">
        <is>
          <t>Opportunity Management Holdings (PTY) LTD</t>
        </is>
      </c>
      <c r="B10427" s="4" t="n">
        <v>44804</v>
      </c>
      <c r="C10427" s="3" t="inlineStr">
        <is>
          <t>Equity</t>
        </is>
      </c>
      <c r="D10427" s="3" t="inlineStr">
        <is>
          <t>5200/000</t>
        </is>
      </c>
      <c r="E10427" s="3" t="inlineStr">
        <is>
          <t>Retained Earnings / Loss</t>
        </is>
      </c>
      <c r="F10427" s="3" t="n">
        <v>0</v>
      </c>
      <c r="G10427" s="3" t="n">
        <v>1435438.74</v>
      </c>
    </row>
    <row r="10428">
      <c r="A10428" s="3" t="inlineStr">
        <is>
          <t>Quinate Consulting (Pty) Ltd</t>
        </is>
      </c>
      <c r="B10428" s="4" t="n">
        <v>44804</v>
      </c>
      <c r="C10428" s="3" t="inlineStr">
        <is>
          <t>Equity</t>
        </is>
      </c>
      <c r="D10428" s="3" t="inlineStr">
        <is>
          <t>5200/000</t>
        </is>
      </c>
      <c r="E10428" s="3" t="inlineStr">
        <is>
          <t>Retained Earnings / Loss</t>
        </is>
      </c>
      <c r="F10428" s="3" t="n">
        <v>0</v>
      </c>
      <c r="G10428" s="3" t="n">
        <v>571333.3</v>
      </c>
    </row>
    <row r="10429">
      <c r="A10429" s="3" t="inlineStr">
        <is>
          <t>Trademark Holdings (Pty) Ltd</t>
        </is>
      </c>
      <c r="B10429" s="4" t="n">
        <v>44804</v>
      </c>
      <c r="C10429" s="3" t="inlineStr">
        <is>
          <t>Equity</t>
        </is>
      </c>
      <c r="D10429" s="3" t="inlineStr">
        <is>
          <t>5200/000</t>
        </is>
      </c>
      <c r="E10429" s="3" t="inlineStr">
        <is>
          <t>Retained Earnings / Loss</t>
        </is>
      </c>
      <c r="F10429" s="3" t="n">
        <v>0</v>
      </c>
      <c r="G10429" s="3" t="n">
        <v>-150612.02</v>
      </c>
    </row>
    <row r="10430">
      <c r="A10430" s="3" t="inlineStr">
        <is>
          <t>Quinate Consulting (Pty) Ltd</t>
        </is>
      </c>
      <c r="B10430" s="4" t="n">
        <v>44804</v>
      </c>
      <c r="C10430" s="3" t="inlineStr">
        <is>
          <t>Assets</t>
        </is>
      </c>
      <c r="D10430" s="3" t="inlineStr">
        <is>
          <t>5400/011</t>
        </is>
      </c>
      <c r="E10430" s="3" t="inlineStr">
        <is>
          <t>Members Loan - Nick Morgan</t>
        </is>
      </c>
      <c r="F10430" s="3" t="n">
        <v>0</v>
      </c>
      <c r="G10430" s="3" t="n">
        <v>-85743.69</v>
      </c>
    </row>
    <row r="10431">
      <c r="A10431" s="3" t="inlineStr">
        <is>
          <t>Opportunity Management Holdings (PTY) LTD</t>
        </is>
      </c>
      <c r="B10431" s="4" t="n">
        <v>44804</v>
      </c>
      <c r="C10431" s="3" t="inlineStr">
        <is>
          <t>Assets</t>
        </is>
      </c>
      <c r="D10431" s="3" t="inlineStr">
        <is>
          <t>5400/500</t>
        </is>
      </c>
      <c r="E10431" s="3" t="inlineStr">
        <is>
          <t>Shareholder - Zak Loan</t>
        </is>
      </c>
      <c r="F10431" s="3" t="n">
        <v>0</v>
      </c>
      <c r="G10431" s="3" t="n">
        <v>-171798.21</v>
      </c>
    </row>
    <row r="10432">
      <c r="A10432" s="3" t="inlineStr">
        <is>
          <t>Quinate Consulting (Pty) Ltd</t>
        </is>
      </c>
      <c r="B10432" s="4" t="n">
        <v>44804</v>
      </c>
      <c r="C10432" s="3" t="inlineStr">
        <is>
          <t>Liabilities</t>
        </is>
      </c>
      <c r="D10432" s="3" t="inlineStr">
        <is>
          <t>5500/010</t>
        </is>
      </c>
      <c r="E10432" s="3" t="inlineStr">
        <is>
          <t>Loan - Wynand Haywood</t>
        </is>
      </c>
      <c r="F10432" s="3" t="n">
        <v>0</v>
      </c>
      <c r="G10432" s="3" t="n">
        <v>1928.67</v>
      </c>
    </row>
    <row r="10433">
      <c r="A10433" s="3" t="inlineStr">
        <is>
          <t>Opportunity Global Investment (PTY) LTD</t>
        </is>
      </c>
      <c r="B10433" s="4" t="n">
        <v>44804</v>
      </c>
      <c r="C10433" s="3" t="inlineStr">
        <is>
          <t>Liabilities</t>
        </is>
      </c>
      <c r="D10433" s="3" t="inlineStr">
        <is>
          <t>5500/100</t>
        </is>
      </c>
      <c r="E10433" s="3" t="inlineStr">
        <is>
          <t>Loan - Cape Projects Construction</t>
        </is>
      </c>
      <c r="F10433" s="3" t="n">
        <v>65000</v>
      </c>
      <c r="G10433" s="3" t="n">
        <v>0</v>
      </c>
    </row>
    <row r="10434">
      <c r="A10434" s="3" t="inlineStr">
        <is>
          <t>Noble Shield (Pty) Ltd ta Go Letting</t>
        </is>
      </c>
      <c r="B10434" s="4" t="n">
        <v>44804</v>
      </c>
      <c r="C10434" s="3" t="inlineStr">
        <is>
          <t>Liabilities</t>
        </is>
      </c>
      <c r="D10434" s="3" t="inlineStr">
        <is>
          <t>5500/100</t>
        </is>
      </c>
      <c r="E10434" s="3" t="inlineStr">
        <is>
          <t>Loan - Jupiter Trust</t>
        </is>
      </c>
      <c r="F10434" s="3" t="n">
        <v>0</v>
      </c>
      <c r="G10434" s="3" t="n">
        <v>-100228.75</v>
      </c>
    </row>
    <row r="10435">
      <c r="A10435" s="3" t="inlineStr">
        <is>
          <t>Endulini (Pty) Ltd</t>
        </is>
      </c>
      <c r="B10435" s="4" t="n">
        <v>44804</v>
      </c>
      <c r="C10435" s="3" t="inlineStr">
        <is>
          <t>Liabilities</t>
        </is>
      </c>
      <c r="D10435" s="3" t="inlineStr">
        <is>
          <t>5500/100</t>
        </is>
      </c>
      <c r="E10435" s="3" t="inlineStr">
        <is>
          <t>Loan - Quinate Consulting</t>
        </is>
      </c>
      <c r="F10435" s="3" t="n">
        <v>100000</v>
      </c>
      <c r="G10435" s="3" t="n">
        <v>-9964761.699999999</v>
      </c>
    </row>
    <row r="10436">
      <c r="A10436" s="3" t="inlineStr">
        <is>
          <t>Opportunity Global Investment (PTY) LTD</t>
        </is>
      </c>
      <c r="B10436" s="4" t="n">
        <v>44804</v>
      </c>
      <c r="C10436" s="3" t="inlineStr">
        <is>
          <t>Liabilities</t>
        </is>
      </c>
      <c r="D10436" s="3" t="inlineStr">
        <is>
          <t>5500/112</t>
        </is>
      </c>
      <c r="E10436" s="3" t="inlineStr">
        <is>
          <t>Loan - GFY</t>
        </is>
      </c>
      <c r="F10436" s="3" t="n">
        <v>0</v>
      </c>
      <c r="G10436" s="3" t="n">
        <v>-289000</v>
      </c>
    </row>
    <row r="10437">
      <c r="A10437" s="3" t="inlineStr">
        <is>
          <t>Endulini (Pty) Ltd</t>
        </is>
      </c>
      <c r="B10437" s="4" t="n">
        <v>44804</v>
      </c>
      <c r="C10437" s="3" t="inlineStr">
        <is>
          <t>Liabilities</t>
        </is>
      </c>
      <c r="D10437" s="3" t="inlineStr">
        <is>
          <t>5500/150</t>
        </is>
      </c>
      <c r="E10437" s="3" t="inlineStr">
        <is>
          <t>Loan - Cape Projects Construction</t>
        </is>
      </c>
      <c r="F10437" s="3" t="n">
        <v>-1139000</v>
      </c>
      <c r="G10437" s="3" t="n">
        <v>-1349000</v>
      </c>
    </row>
    <row r="10438">
      <c r="A10438" s="3" t="inlineStr">
        <is>
          <t>Quinate Consulting (Pty) Ltd</t>
        </is>
      </c>
      <c r="B10438" s="4" t="n">
        <v>44804</v>
      </c>
      <c r="C10438" s="3" t="inlineStr">
        <is>
          <t>Liabilities</t>
        </is>
      </c>
      <c r="D10438" s="3" t="inlineStr">
        <is>
          <t>5500/160</t>
        </is>
      </c>
      <c r="E10438" s="3" t="inlineStr">
        <is>
          <t>Loan - GFY Investment and Consulting</t>
        </is>
      </c>
      <c r="F10438" s="3" t="n">
        <v>0</v>
      </c>
      <c r="G10438" s="3" t="n">
        <v>-1750249.93</v>
      </c>
    </row>
    <row r="10439">
      <c r="A10439" s="3" t="inlineStr">
        <is>
          <t>Opportunity Management Holdings (PTY) LTD</t>
        </is>
      </c>
      <c r="B10439" s="4" t="n">
        <v>44804</v>
      </c>
      <c r="C10439" s="3" t="inlineStr">
        <is>
          <t>Liabilities</t>
        </is>
      </c>
      <c r="D10439" s="3" t="inlineStr">
        <is>
          <t>5500/200</t>
        </is>
      </c>
      <c r="E10439" s="3" t="inlineStr">
        <is>
          <t>Loan - Cape Projects</t>
        </is>
      </c>
      <c r="F10439" s="3" t="n">
        <v>-115000</v>
      </c>
      <c r="G10439" s="3" t="n">
        <v>0</v>
      </c>
    </row>
    <row r="10440">
      <c r="A10440" s="3" t="inlineStr">
        <is>
          <t>Endulini (Pty) Ltd</t>
        </is>
      </c>
      <c r="B10440" s="4" t="n">
        <v>44804</v>
      </c>
      <c r="C10440" s="3" t="inlineStr">
        <is>
          <t>Liabilities</t>
        </is>
      </c>
      <c r="D10440" s="3" t="inlineStr">
        <is>
          <t>5500/250</t>
        </is>
      </c>
      <c r="E10440" s="3" t="inlineStr">
        <is>
          <t>Loan - Heron Projects</t>
        </is>
      </c>
      <c r="F10440" s="3" t="n">
        <v>0</v>
      </c>
      <c r="G10440" s="3" t="n">
        <v>4240.63</v>
      </c>
    </row>
    <row r="10441">
      <c r="A10441" s="3" t="inlineStr">
        <is>
          <t>Trademark Holdings (Pty) Ltd</t>
        </is>
      </c>
      <c r="B10441" s="4" t="n">
        <v>44804</v>
      </c>
      <c r="C10441" s="3" t="inlineStr">
        <is>
          <t>Liabilities</t>
        </is>
      </c>
      <c r="D10441" s="3" t="inlineStr">
        <is>
          <t>5500/250</t>
        </is>
      </c>
      <c r="E10441" s="3" t="inlineStr">
        <is>
          <t>Loan - Noble Shield</t>
        </is>
      </c>
      <c r="F10441" s="3" t="n">
        <v>0</v>
      </c>
      <c r="G10441" s="3" t="n">
        <v>93165.59</v>
      </c>
    </row>
    <row r="10442">
      <c r="A10442" s="3" t="inlineStr">
        <is>
          <t>Quinate Consulting (Pty) Ltd</t>
        </is>
      </c>
      <c r="B10442" s="4" t="n">
        <v>44804</v>
      </c>
      <c r="C10442" s="3" t="inlineStr">
        <is>
          <t>Liabilities</t>
        </is>
      </c>
      <c r="D10442" s="3" t="inlineStr">
        <is>
          <t>5500/300</t>
        </is>
      </c>
      <c r="E10442" s="3" t="inlineStr">
        <is>
          <t>Loan - Gengis</t>
        </is>
      </c>
      <c r="F10442" s="3" t="n">
        <v>-1528.77</v>
      </c>
      <c r="G10442" s="3" t="n">
        <v>-273890.42</v>
      </c>
    </row>
    <row r="10443">
      <c r="A10443" s="3" t="inlineStr">
        <is>
          <t>Opportunity Management Holdings (PTY) LTD</t>
        </is>
      </c>
      <c r="B10443" s="4" t="n">
        <v>44804</v>
      </c>
      <c r="C10443" s="3" t="inlineStr">
        <is>
          <t>Liabilities</t>
        </is>
      </c>
      <c r="D10443" s="3" t="inlineStr">
        <is>
          <t>5500/300</t>
        </is>
      </c>
      <c r="E10443" s="3" t="inlineStr">
        <is>
          <t>Loan - Opportunity Prop Management</t>
        </is>
      </c>
      <c r="F10443" s="3" t="n">
        <v>0</v>
      </c>
      <c r="G10443" s="3" t="n">
        <v>-1220204.15</v>
      </c>
    </row>
    <row r="10444">
      <c r="A10444" s="3" t="inlineStr">
        <is>
          <t>Noble Shield (Pty) Ltd ta Go Letting</t>
        </is>
      </c>
      <c r="B10444" s="4" t="n">
        <v>44804</v>
      </c>
      <c r="C10444" s="3" t="inlineStr">
        <is>
          <t>Liabilities</t>
        </is>
      </c>
      <c r="D10444" s="3" t="inlineStr">
        <is>
          <t>5500/300</t>
        </is>
      </c>
      <c r="E10444" s="3" t="inlineStr">
        <is>
          <t>Loan - Trademark Holdings</t>
        </is>
      </c>
      <c r="F10444" s="3" t="n">
        <v>0</v>
      </c>
      <c r="G10444" s="3" t="n">
        <v>-93165.59</v>
      </c>
    </row>
    <row r="10445">
      <c r="A10445" s="3" t="inlineStr">
        <is>
          <t>Trademark Holdings (Pty) Ltd</t>
        </is>
      </c>
      <c r="B10445" s="4" t="n">
        <v>44804</v>
      </c>
      <c r="C10445" s="3" t="inlineStr">
        <is>
          <t>Liabilities</t>
        </is>
      </c>
      <c r="D10445" s="3" t="inlineStr">
        <is>
          <t>5500/375</t>
        </is>
      </c>
      <c r="E10445" s="3" t="inlineStr">
        <is>
          <t>Loan - Opportunity Management Holdings Pty Ltd</t>
        </is>
      </c>
      <c r="F10445" s="3" t="n">
        <v>-46000</v>
      </c>
      <c r="G10445" s="3" t="n">
        <v>-46000</v>
      </c>
    </row>
    <row r="10446">
      <c r="A10446" s="3" t="inlineStr">
        <is>
          <t>Trademark Holdings (Pty) Ltd</t>
        </is>
      </c>
      <c r="B10446" s="4" t="n">
        <v>44804</v>
      </c>
      <c r="C10446" s="3" t="inlineStr">
        <is>
          <t>Liabilities</t>
        </is>
      </c>
      <c r="D10446" s="3" t="inlineStr">
        <is>
          <t>5500/450</t>
        </is>
      </c>
      <c r="E10446" s="3" t="inlineStr">
        <is>
          <t>Loan - Cape Projects Construction</t>
        </is>
      </c>
      <c r="F10446" s="3" t="n">
        <v>600</v>
      </c>
      <c r="G10446" s="3" t="n">
        <v>0</v>
      </c>
    </row>
    <row r="10447">
      <c r="A10447" s="3" t="inlineStr">
        <is>
          <t>Trademark Holdings (Pty) Ltd</t>
        </is>
      </c>
      <c r="B10447" s="4" t="n">
        <v>44804</v>
      </c>
      <c r="C10447" s="3" t="inlineStr">
        <is>
          <t>Liabilities</t>
        </is>
      </c>
      <c r="D10447" s="3" t="inlineStr">
        <is>
          <t>5500/500</t>
        </is>
      </c>
      <c r="E10447" s="3" t="inlineStr">
        <is>
          <t>Go Letting Brand Name</t>
        </is>
      </c>
      <c r="F10447" s="3" t="n">
        <v>0</v>
      </c>
      <c r="G10447" s="3" t="n">
        <v>93420</v>
      </c>
    </row>
    <row r="10448">
      <c r="A10448" s="3" t="inlineStr">
        <is>
          <t>Noble Shield (Pty) Ltd ta Go Letting</t>
        </is>
      </c>
      <c r="B10448" s="4" t="n">
        <v>44804</v>
      </c>
      <c r="C10448" s="3" t="inlineStr">
        <is>
          <t>Liabilities</t>
        </is>
      </c>
      <c r="D10448" s="3" t="inlineStr">
        <is>
          <t>5500/500</t>
        </is>
      </c>
      <c r="E10448" s="3" t="inlineStr">
        <is>
          <t>Loan - Cape Projects Construction</t>
        </is>
      </c>
      <c r="F10448" s="3" t="n">
        <v>600</v>
      </c>
      <c r="G10448" s="3" t="n">
        <v>0</v>
      </c>
    </row>
    <row r="10449">
      <c r="A10449" s="3" t="inlineStr">
        <is>
          <t>Quinate Consulting (Pty) Ltd</t>
        </is>
      </c>
      <c r="B10449" s="4" t="n">
        <v>44804</v>
      </c>
      <c r="C10449" s="3" t="inlineStr">
        <is>
          <t>Liabilities</t>
        </is>
      </c>
      <c r="D10449" s="3" t="inlineStr">
        <is>
          <t>5500/500</t>
        </is>
      </c>
      <c r="E10449" s="3" t="inlineStr">
        <is>
          <t>Loan - Opportunity Development Struct.</t>
        </is>
      </c>
      <c r="F10449" s="3" t="n">
        <v>0</v>
      </c>
      <c r="G10449" s="3" t="n">
        <v>-2380000</v>
      </c>
    </row>
    <row r="10450">
      <c r="A10450" s="3" t="inlineStr">
        <is>
          <t>Opportunity Management Holdings (PTY) LTD</t>
        </is>
      </c>
      <c r="B10450" s="4" t="n">
        <v>44804</v>
      </c>
      <c r="C10450" s="3" t="inlineStr">
        <is>
          <t>Liabilities</t>
        </is>
      </c>
      <c r="D10450" s="3" t="inlineStr">
        <is>
          <t>5500/500</t>
        </is>
      </c>
      <c r="E10450" s="3" t="inlineStr">
        <is>
          <t>Loan - Opportunity Tradermark Holdings</t>
        </is>
      </c>
      <c r="F10450" s="3" t="n">
        <v>46000</v>
      </c>
      <c r="G10450" s="3" t="n">
        <v>46000</v>
      </c>
    </row>
    <row r="10451">
      <c r="A10451" s="3" t="inlineStr">
        <is>
          <t>Quinate Consulting (Pty) Ltd</t>
        </is>
      </c>
      <c r="B10451" s="4" t="n">
        <v>44804</v>
      </c>
      <c r="C10451" s="3" t="inlineStr">
        <is>
          <t>Liabilities</t>
        </is>
      </c>
      <c r="D10451" s="3" t="inlineStr">
        <is>
          <t>5500/520</t>
        </is>
      </c>
      <c r="E10451" s="3" t="inlineStr">
        <is>
          <t>Loan - Opportunity Management Holdings</t>
        </is>
      </c>
      <c r="F10451" s="3" t="n">
        <v>0</v>
      </c>
      <c r="G10451" s="3" t="n">
        <v>-3900</v>
      </c>
    </row>
    <row r="10452">
      <c r="A10452" s="3" t="inlineStr">
        <is>
          <t>Opportunity Global Investment (PTY) LTD</t>
        </is>
      </c>
      <c r="B10452" s="4" t="n">
        <v>44804</v>
      </c>
      <c r="C10452" s="3" t="inlineStr">
        <is>
          <t>Liabilities</t>
        </is>
      </c>
      <c r="D10452" s="3" t="inlineStr">
        <is>
          <t>5500/650</t>
        </is>
      </c>
      <c r="E10452" s="3" t="inlineStr">
        <is>
          <t>Loan - Opportunit Global - Sales</t>
        </is>
      </c>
      <c r="F10452" s="3" t="n">
        <v>122746.39</v>
      </c>
      <c r="G10452" s="3" t="n">
        <v>-949685.8</v>
      </c>
    </row>
    <row r="10453">
      <c r="A10453" s="3" t="inlineStr">
        <is>
          <t>Opportunity Global Sales (PTY) LTD</t>
        </is>
      </c>
      <c r="B10453" s="4" t="n">
        <v>44804</v>
      </c>
      <c r="C10453" s="3" t="inlineStr">
        <is>
          <t>Liabilities</t>
        </is>
      </c>
      <c r="D10453" s="3" t="inlineStr">
        <is>
          <t>5500/650</t>
        </is>
      </c>
      <c r="E10453" s="3" t="inlineStr">
        <is>
          <t>Loan - Opportunity Investments</t>
        </is>
      </c>
      <c r="F10453" s="3" t="n">
        <v>-122746.39</v>
      </c>
      <c r="G10453" s="3" t="n">
        <v>949685.8</v>
      </c>
    </row>
    <row r="10454">
      <c r="A10454" s="3" t="inlineStr">
        <is>
          <t>Opportunity Management Holdings (PTY) LTD</t>
        </is>
      </c>
      <c r="B10454" s="4" t="n">
        <v>44804</v>
      </c>
      <c r="C10454" s="3" t="inlineStr">
        <is>
          <t>Liabilities</t>
        </is>
      </c>
      <c r="D10454" s="3" t="inlineStr">
        <is>
          <t>5500/700</t>
        </is>
      </c>
      <c r="E10454" s="3" t="inlineStr">
        <is>
          <t>Loan - Go Letting</t>
        </is>
      </c>
      <c r="F10454" s="3" t="n">
        <v>0</v>
      </c>
      <c r="G10454" s="3" t="n">
        <v>-120</v>
      </c>
    </row>
    <row r="10455">
      <c r="A10455" s="3" t="inlineStr">
        <is>
          <t>Opportunity Global Investment (PTY) LTD</t>
        </is>
      </c>
      <c r="B10455" s="4" t="n">
        <v>44804</v>
      </c>
      <c r="C10455" s="3" t="inlineStr">
        <is>
          <t>Liabilities</t>
        </is>
      </c>
      <c r="D10455" s="3" t="inlineStr">
        <is>
          <t>5500/850</t>
        </is>
      </c>
      <c r="E10455" s="3" t="inlineStr">
        <is>
          <t>Loan - Nick Morgan</t>
        </is>
      </c>
      <c r="F10455" s="3" t="n">
        <v>0</v>
      </c>
      <c r="G10455" s="3" t="n">
        <v>4100</v>
      </c>
    </row>
    <row r="10456">
      <c r="A10456" s="3" t="inlineStr">
        <is>
          <t>Opportunity Global Investment (PTY) LTD</t>
        </is>
      </c>
      <c r="B10456" s="4" t="n">
        <v>44804</v>
      </c>
      <c r="C10456" s="3" t="inlineStr">
        <is>
          <t>Liabilities</t>
        </is>
      </c>
      <c r="D10456" s="3" t="inlineStr">
        <is>
          <t>5500/950</t>
        </is>
      </c>
      <c r="E10456" s="3" t="inlineStr">
        <is>
          <t>Loan - Gengis</t>
        </is>
      </c>
      <c r="F10456" s="3" t="n">
        <v>0</v>
      </c>
      <c r="G10456" s="3" t="n">
        <v>-120000</v>
      </c>
    </row>
    <row r="10457">
      <c r="A10457" s="3" t="inlineStr">
        <is>
          <t>Quinate Consulting (Pty) Ltd</t>
        </is>
      </c>
      <c r="B10457" s="4" t="n">
        <v>44804</v>
      </c>
      <c r="C10457" s="3" t="inlineStr">
        <is>
          <t>Liabilities</t>
        </is>
      </c>
      <c r="D10457" s="3" t="inlineStr">
        <is>
          <t>5501/001</t>
        </is>
      </c>
      <c r="E10457" s="3" t="inlineStr">
        <is>
          <t>Loan - Endulini CIP Costs</t>
        </is>
      </c>
      <c r="F10457" s="3" t="n">
        <v>-100000</v>
      </c>
      <c r="G10457" s="3" t="n">
        <v>9644761.699999999</v>
      </c>
    </row>
    <row r="10458">
      <c r="A10458" s="3" t="inlineStr">
        <is>
          <t>Opportunity Management Holdings (PTY) LTD</t>
        </is>
      </c>
      <c r="B10458" s="4" t="n">
        <v>44804</v>
      </c>
      <c r="C10458" s="3" t="inlineStr">
        <is>
          <t>Liabilities</t>
        </is>
      </c>
      <c r="D10458" s="3" t="inlineStr">
        <is>
          <t>5510/100</t>
        </is>
      </c>
      <c r="E10458" s="3" t="inlineStr">
        <is>
          <t>Staff loan - Debbie Landsberg</t>
        </is>
      </c>
      <c r="F10458" s="3" t="n">
        <v>0</v>
      </c>
      <c r="G10458" s="3" t="n">
        <v>14400</v>
      </c>
    </row>
    <row r="10459">
      <c r="A10459" s="3" t="inlineStr">
        <is>
          <t>Noble Shield (Pty) Ltd ta Go Letting</t>
        </is>
      </c>
      <c r="B10459" s="4" t="n">
        <v>44804</v>
      </c>
      <c r="C10459" s="3" t="inlineStr">
        <is>
          <t>Assets</t>
        </is>
      </c>
      <c r="D10459" s="3" t="inlineStr">
        <is>
          <t>6250/010</t>
        </is>
      </c>
      <c r="E10459" s="3" t="inlineStr">
        <is>
          <t>Computer Equipment - @ Cost</t>
        </is>
      </c>
      <c r="F10459" s="3" t="n">
        <v>0</v>
      </c>
      <c r="G10459" s="3" t="n">
        <v>20397</v>
      </c>
    </row>
    <row r="10460">
      <c r="A10460" s="3" t="inlineStr">
        <is>
          <t>Opportunity Management Holdings (PTY) LTD</t>
        </is>
      </c>
      <c r="B10460" s="4" t="n">
        <v>44804</v>
      </c>
      <c r="C10460" s="3" t="inlineStr">
        <is>
          <t>Assets</t>
        </is>
      </c>
      <c r="D10460" s="3" t="inlineStr">
        <is>
          <t>6250/010</t>
        </is>
      </c>
      <c r="E10460" s="3" t="inlineStr">
        <is>
          <t>Computer Equipment - @ Cost</t>
        </is>
      </c>
      <c r="F10460" s="3" t="n">
        <v>0</v>
      </c>
      <c r="G10460" s="3" t="n">
        <v>27078.85</v>
      </c>
    </row>
    <row r="10461">
      <c r="A10461" s="3" t="inlineStr">
        <is>
          <t>Quinate Consulting (Pty) Ltd</t>
        </is>
      </c>
      <c r="B10461" s="4" t="n">
        <v>44804</v>
      </c>
      <c r="C10461" s="3" t="inlineStr">
        <is>
          <t>Assets</t>
        </is>
      </c>
      <c r="D10461" s="3" t="inlineStr">
        <is>
          <t>6250/010</t>
        </is>
      </c>
      <c r="E10461" s="3" t="inlineStr">
        <is>
          <t>Computer Equipment - @ Cost</t>
        </is>
      </c>
      <c r="F10461" s="3" t="n">
        <v>0</v>
      </c>
      <c r="G10461" s="3" t="n">
        <v>137059.7</v>
      </c>
    </row>
    <row r="10462">
      <c r="A10462" s="3" t="inlineStr">
        <is>
          <t>Noble Shield (Pty) Ltd ta Go Letting</t>
        </is>
      </c>
      <c r="B10462" s="4" t="n">
        <v>44804</v>
      </c>
      <c r="C10462" s="3" t="inlineStr">
        <is>
          <t>Assets</t>
        </is>
      </c>
      <c r="D10462" s="3" t="inlineStr">
        <is>
          <t>6250/020</t>
        </is>
      </c>
      <c r="E10462" s="3" t="inlineStr">
        <is>
          <t>Computer Equipment - Accum Depre</t>
        </is>
      </c>
      <c r="F10462" s="3" t="n">
        <v>-2542.89</v>
      </c>
      <c r="G10462" s="3" t="n">
        <v>-12040.89</v>
      </c>
    </row>
    <row r="10463">
      <c r="A10463" s="3" t="inlineStr">
        <is>
          <t>Opportunity Management Holdings (PTY) LTD</t>
        </is>
      </c>
      <c r="B10463" s="4" t="n">
        <v>44804</v>
      </c>
      <c r="C10463" s="3" t="inlineStr">
        <is>
          <t>Assets</t>
        </is>
      </c>
      <c r="D10463" s="3" t="inlineStr">
        <is>
          <t>6250/020</t>
        </is>
      </c>
      <c r="E10463" s="3" t="inlineStr">
        <is>
          <t>Computer Equipment - Accum Depre</t>
        </is>
      </c>
      <c r="F10463" s="3" t="n">
        <v>-337.98</v>
      </c>
      <c r="G10463" s="3" t="n">
        <v>-1231.45</v>
      </c>
    </row>
    <row r="10464">
      <c r="A10464" s="3" t="inlineStr">
        <is>
          <t>Quinate Consulting (Pty) Ltd</t>
        </is>
      </c>
      <c r="B10464" s="4" t="n">
        <v>44804</v>
      </c>
      <c r="C10464" s="3" t="inlineStr">
        <is>
          <t>Assets</t>
        </is>
      </c>
      <c r="D10464" s="3" t="inlineStr">
        <is>
          <t>6250/020</t>
        </is>
      </c>
      <c r="E10464" s="3" t="inlineStr">
        <is>
          <t>Computer Equipment - Accum Depre</t>
        </is>
      </c>
      <c r="F10464" s="3" t="n">
        <v>-3141.36</v>
      </c>
      <c r="G10464" s="3" t="n">
        <v>-81144.97</v>
      </c>
    </row>
    <row r="10465">
      <c r="A10465" s="3" t="inlineStr">
        <is>
          <t>Opportunity Management Holdings (PTY) LTD</t>
        </is>
      </c>
      <c r="B10465" s="4" t="n">
        <v>44804</v>
      </c>
      <c r="C10465" s="3" t="inlineStr">
        <is>
          <t>Assets</t>
        </is>
      </c>
      <c r="D10465" s="3" t="inlineStr">
        <is>
          <t>6250/030</t>
        </is>
      </c>
      <c r="E10465" s="3" t="inlineStr">
        <is>
          <t>Acc Depreciation - Computer Equipment</t>
        </is>
      </c>
      <c r="F10465" s="3" t="n">
        <v>0</v>
      </c>
      <c r="G10465" s="3" t="n">
        <v>-9441.25</v>
      </c>
    </row>
    <row r="10466">
      <c r="A10466" s="3" t="inlineStr">
        <is>
          <t>Quinate Consulting (Pty) Ltd</t>
        </is>
      </c>
      <c r="B10466" s="4" t="n">
        <v>44804</v>
      </c>
      <c r="C10466" s="3" t="inlineStr">
        <is>
          <t>Assets</t>
        </is>
      </c>
      <c r="D10466" s="3" t="inlineStr">
        <is>
          <t>6270/010</t>
        </is>
      </c>
      <c r="E10466" s="3" t="inlineStr">
        <is>
          <t>Site Containers - @ Cost</t>
        </is>
      </c>
      <c r="F10466" s="3" t="n">
        <v>0</v>
      </c>
      <c r="G10466" s="3" t="n">
        <v>19130.44</v>
      </c>
    </row>
    <row r="10467">
      <c r="A10467" s="3" t="inlineStr">
        <is>
          <t>Quinate Consulting (Pty) Ltd</t>
        </is>
      </c>
      <c r="B10467" s="4" t="n">
        <v>44804</v>
      </c>
      <c r="C10467" s="3" t="inlineStr">
        <is>
          <t>Assets</t>
        </is>
      </c>
      <c r="D10467" s="3" t="inlineStr">
        <is>
          <t>6270/020</t>
        </is>
      </c>
      <c r="E10467" s="3" t="inlineStr">
        <is>
          <t>Site Containers - Accum Depre</t>
        </is>
      </c>
      <c r="F10467" s="3" t="n">
        <v>-318.84</v>
      </c>
      <c r="G10467" s="3" t="n">
        <v>-5739.12</v>
      </c>
    </row>
    <row r="10468">
      <c r="A10468" s="3" t="inlineStr">
        <is>
          <t>Noble Shield (Pty) Ltd ta Go Letting</t>
        </is>
      </c>
      <c r="B10468" s="4" t="n">
        <v>44804</v>
      </c>
      <c r="C10468" s="3" t="inlineStr">
        <is>
          <t>Assets</t>
        </is>
      </c>
      <c r="D10468" s="3" t="inlineStr">
        <is>
          <t>6350/010</t>
        </is>
      </c>
      <c r="E10468" s="3" t="inlineStr">
        <is>
          <t>Furniture _AND_ Fittings - @ Cost</t>
        </is>
      </c>
      <c r="F10468" s="3" t="n">
        <v>0</v>
      </c>
      <c r="G10468" s="3" t="n">
        <v>2242</v>
      </c>
    </row>
    <row r="10469">
      <c r="A10469" s="3" t="inlineStr">
        <is>
          <t>Opportunity Global Sales (PTY) LTD</t>
        </is>
      </c>
      <c r="B10469" s="4" t="n">
        <v>44804</v>
      </c>
      <c r="C10469" s="3" t="inlineStr">
        <is>
          <t>Assets</t>
        </is>
      </c>
      <c r="D10469" s="3" t="inlineStr">
        <is>
          <t>6350/010</t>
        </is>
      </c>
      <c r="E10469" s="3" t="inlineStr">
        <is>
          <t>Furniture _AND_ Fittings - @ Cost</t>
        </is>
      </c>
      <c r="F10469" s="3" t="n">
        <v>0</v>
      </c>
      <c r="G10469" s="3" t="n">
        <v>29379.7</v>
      </c>
    </row>
    <row r="10470">
      <c r="A10470" s="3" t="inlineStr">
        <is>
          <t>Noble Shield (Pty) Ltd ta Go Letting</t>
        </is>
      </c>
      <c r="B10470" s="4" t="n">
        <v>44804</v>
      </c>
      <c r="C10470" s="3" t="inlineStr">
        <is>
          <t>Assets</t>
        </is>
      </c>
      <c r="D10470" s="3" t="inlineStr">
        <is>
          <t>6350/020</t>
        </is>
      </c>
      <c r="E10470" s="3" t="inlineStr">
        <is>
          <t>Furniture _AND_ Fittings - Accum Depre</t>
        </is>
      </c>
      <c r="F10470" s="3" t="n">
        <v>0</v>
      </c>
      <c r="G10470" s="3" t="n">
        <v>-2239</v>
      </c>
    </row>
    <row r="10471">
      <c r="A10471" s="3" t="inlineStr">
        <is>
          <t>Opportunity Global Sales (PTY) LTD</t>
        </is>
      </c>
      <c r="B10471" s="4" t="n">
        <v>44804</v>
      </c>
      <c r="C10471" s="3" t="inlineStr">
        <is>
          <t>Assets</t>
        </is>
      </c>
      <c r="D10471" s="3" t="inlineStr">
        <is>
          <t>6350/020</t>
        </is>
      </c>
      <c r="E10471" s="3" t="inlineStr">
        <is>
          <t>Furniture _AND_ Fittings - Accum Depre</t>
        </is>
      </c>
      <c r="F10471" s="3" t="n">
        <v>-408.05</v>
      </c>
      <c r="G10471" s="3" t="n">
        <v>-816.1</v>
      </c>
    </row>
    <row r="10472">
      <c r="A10472" s="3" t="inlineStr">
        <is>
          <t>Opportunity Management Holdings (PTY) LTD</t>
        </is>
      </c>
      <c r="B10472" s="4" t="n">
        <v>44804</v>
      </c>
      <c r="C10472" s="3" t="inlineStr">
        <is>
          <t>Liabilities</t>
        </is>
      </c>
      <c r="D10472" s="3" t="inlineStr">
        <is>
          <t>6500/000</t>
        </is>
      </c>
      <c r="E10472" s="3" t="inlineStr">
        <is>
          <t>Deposits - Held</t>
        </is>
      </c>
      <c r="F10472" s="3" t="n">
        <v>0</v>
      </c>
      <c r="G10472" s="3" t="n">
        <v>-12028.1</v>
      </c>
    </row>
    <row r="10473">
      <c r="A10473" s="3" t="inlineStr">
        <is>
          <t>Opportunity Management Holdings (PTY) LTD</t>
        </is>
      </c>
      <c r="B10473" s="4" t="n">
        <v>44804</v>
      </c>
      <c r="C10473" s="3" t="inlineStr">
        <is>
          <t>Liabilities</t>
        </is>
      </c>
      <c r="D10473" s="3" t="inlineStr">
        <is>
          <t>6510/000</t>
        </is>
      </c>
      <c r="E10473" s="3" t="inlineStr">
        <is>
          <t>Deposits Paid - Anicol Properties</t>
        </is>
      </c>
      <c r="F10473" s="3" t="n">
        <v>0</v>
      </c>
      <c r="G10473" s="3" t="n">
        <v>13755</v>
      </c>
    </row>
    <row r="10474">
      <c r="A10474" s="3" t="inlineStr">
        <is>
          <t>Opportunity Management Holdings (PTY) LTD</t>
        </is>
      </c>
      <c r="B10474" s="4" t="n">
        <v>44804</v>
      </c>
      <c r="C10474" s="3" t="inlineStr">
        <is>
          <t>Liabilities</t>
        </is>
      </c>
      <c r="D10474" s="3" t="inlineStr">
        <is>
          <t>6515/000</t>
        </is>
      </c>
      <c r="E10474" s="3" t="inlineStr">
        <is>
          <t>Deposits Paid</t>
        </is>
      </c>
      <c r="F10474" s="3" t="n">
        <v>0</v>
      </c>
      <c r="G10474" s="3" t="n">
        <v>3852.5</v>
      </c>
    </row>
    <row r="10475">
      <c r="A10475" s="3" t="inlineStr">
        <is>
          <t>Quinate Consulting (Pty) Ltd</t>
        </is>
      </c>
      <c r="B10475" s="4" t="n">
        <v>44804</v>
      </c>
      <c r="C10475" s="3" t="inlineStr">
        <is>
          <t>Assets</t>
        </is>
      </c>
      <c r="D10475" s="3" t="inlineStr">
        <is>
          <t>6600/010</t>
        </is>
      </c>
      <c r="E10475" s="3" t="inlineStr">
        <is>
          <t>Other Fixed Assets - @ Cost</t>
        </is>
      </c>
      <c r="F10475" s="3" t="n">
        <v>0</v>
      </c>
      <c r="G10475" s="3" t="n">
        <v>14442.5</v>
      </c>
    </row>
    <row r="10476">
      <c r="A10476" s="3" t="inlineStr">
        <is>
          <t>Quinate Consulting (Pty) Ltd</t>
        </is>
      </c>
      <c r="B10476" s="4" t="n">
        <v>44804</v>
      </c>
      <c r="C10476" s="3" t="inlineStr">
        <is>
          <t>Assets</t>
        </is>
      </c>
      <c r="D10476" s="3" t="inlineStr">
        <is>
          <t>6600/020</t>
        </is>
      </c>
      <c r="E10476" s="3" t="inlineStr">
        <is>
          <t>Other Fixed Assets - Accum Depre</t>
        </is>
      </c>
      <c r="F10476" s="3" t="n">
        <v>0</v>
      </c>
      <c r="G10476" s="3" t="n">
        <v>-14441.5</v>
      </c>
    </row>
    <row r="10477">
      <c r="A10477" s="3" t="inlineStr">
        <is>
          <t>Noble Shield (Pty) Ltd ta Go Letting</t>
        </is>
      </c>
      <c r="B10477" s="4" t="n">
        <v>44804</v>
      </c>
      <c r="C10477" s="3" t="inlineStr">
        <is>
          <t>Assets</t>
        </is>
      </c>
      <c r="D10477" s="3" t="inlineStr">
        <is>
          <t>7000/100</t>
        </is>
      </c>
      <c r="E10477" s="3" t="inlineStr">
        <is>
          <t>Goodwill - Purchase of Go Letting</t>
        </is>
      </c>
      <c r="F10477" s="3" t="n">
        <v>0</v>
      </c>
      <c r="G10477" s="3" t="n">
        <v>106580</v>
      </c>
    </row>
    <row r="10478">
      <c r="A10478" s="3" t="inlineStr">
        <is>
          <t>Opportunity Management Holdings (PTY) LTD</t>
        </is>
      </c>
      <c r="B10478" s="4" t="n">
        <v>44804</v>
      </c>
      <c r="C10478" s="3" t="inlineStr">
        <is>
          <t>Assets</t>
        </is>
      </c>
      <c r="D10478" s="3" t="inlineStr">
        <is>
          <t>7200/000</t>
        </is>
      </c>
      <c r="E10478" s="3" t="inlineStr">
        <is>
          <t>Shares in Subsidiary Companies</t>
        </is>
      </c>
      <c r="F10478" s="3" t="n">
        <v>0</v>
      </c>
      <c r="G10478" s="3" t="n">
        <v>120</v>
      </c>
    </row>
    <row r="10479">
      <c r="A10479" s="3" t="inlineStr">
        <is>
          <t>Endulini (Pty) Ltd</t>
        </is>
      </c>
      <c r="B10479" s="4" t="n">
        <v>44804</v>
      </c>
      <c r="C10479" s="3" t="inlineStr">
        <is>
          <t>Assets</t>
        </is>
      </c>
      <c r="D10479" s="3" t="inlineStr">
        <is>
          <t>7610/100</t>
        </is>
      </c>
      <c r="E10479" s="3" t="inlineStr">
        <is>
          <t>Endulini Land</t>
        </is>
      </c>
      <c r="F10479" s="3" t="n">
        <v>0</v>
      </c>
      <c r="G10479" s="3" t="n">
        <v>10572851.37</v>
      </c>
    </row>
    <row r="10480">
      <c r="A10480" s="3" t="inlineStr">
        <is>
          <t>Endulini (Pty) Ltd</t>
        </is>
      </c>
      <c r="B10480" s="4" t="n">
        <v>44804</v>
      </c>
      <c r="C10480" s="3" t="inlineStr">
        <is>
          <t>Assets</t>
        </is>
      </c>
      <c r="D10480" s="3" t="inlineStr">
        <is>
          <t>7610/101</t>
        </is>
      </c>
      <c r="E10480" s="3" t="inlineStr">
        <is>
          <t>Endulini Revaluation of Land stock</t>
        </is>
      </c>
      <c r="F10480" s="3" t="n">
        <v>0</v>
      </c>
      <c r="G10480" s="3" t="n">
        <v>6084085.78</v>
      </c>
    </row>
    <row r="10481">
      <c r="A10481" s="3" t="inlineStr">
        <is>
          <t>Endulini (Pty) Ltd</t>
        </is>
      </c>
      <c r="B10481" s="4" t="n">
        <v>44804</v>
      </c>
      <c r="C10481" s="3" t="inlineStr">
        <is>
          <t>Assets</t>
        </is>
      </c>
      <c r="D10481" s="3" t="inlineStr">
        <is>
          <t>7610/111</t>
        </is>
      </c>
      <c r="E10481" s="3" t="inlineStr">
        <is>
          <t>Endulini Closing Stock February 2021</t>
        </is>
      </c>
      <c r="F10481" s="3" t="n">
        <v>0</v>
      </c>
      <c r="G10481" s="3" t="n">
        <v>15044610.11</v>
      </c>
    </row>
    <row r="10482">
      <c r="A10482" s="3" t="inlineStr">
        <is>
          <t>Endulini (Pty) Ltd</t>
        </is>
      </c>
      <c r="B10482" s="4" t="n">
        <v>44804</v>
      </c>
      <c r="C10482" s="3" t="inlineStr">
        <is>
          <t>Assets</t>
        </is>
      </c>
      <c r="D10482" s="3" t="inlineStr">
        <is>
          <t>7610/180</t>
        </is>
      </c>
      <c r="E10482" s="3" t="inlineStr">
        <is>
          <t>Endulini CIP Architects</t>
        </is>
      </c>
      <c r="F10482" s="3" t="n">
        <v>18000</v>
      </c>
      <c r="G10482" s="3" t="n">
        <v>537874</v>
      </c>
    </row>
    <row r="10483">
      <c r="A10483" s="3" t="inlineStr">
        <is>
          <t>Endulini (Pty) Ltd</t>
        </is>
      </c>
      <c r="B10483" s="4" t="n">
        <v>44804</v>
      </c>
      <c r="C10483" s="3" t="inlineStr">
        <is>
          <t>Assets</t>
        </is>
      </c>
      <c r="D10483" s="3" t="inlineStr">
        <is>
          <t>7610/200</t>
        </is>
      </c>
      <c r="E10483" s="3" t="inlineStr">
        <is>
          <t>Endulini CIP CoCT Land Use App</t>
        </is>
      </c>
      <c r="F10483" s="3" t="n">
        <v>0</v>
      </c>
      <c r="G10483" s="3" t="n">
        <v>232891.06</v>
      </c>
    </row>
    <row r="10484">
      <c r="A10484" s="3" t="inlineStr">
        <is>
          <t>Endulini (Pty) Ltd</t>
        </is>
      </c>
      <c r="B10484" s="4" t="n">
        <v>44804</v>
      </c>
      <c r="C10484" s="3" t="inlineStr">
        <is>
          <t>Assets</t>
        </is>
      </c>
      <c r="D10484" s="3" t="inlineStr">
        <is>
          <t>7610/205</t>
        </is>
      </c>
      <c r="E10484" s="3" t="inlineStr">
        <is>
          <t>Endulini CIP Site Establishments</t>
        </is>
      </c>
      <c r="F10484" s="3" t="n">
        <v>0</v>
      </c>
      <c r="G10484" s="3" t="n">
        <v>32428975.01</v>
      </c>
    </row>
    <row r="10485">
      <c r="A10485" s="3" t="inlineStr">
        <is>
          <t>Endulini (Pty) Ltd</t>
        </is>
      </c>
      <c r="B10485" s="4" t="n">
        <v>44804</v>
      </c>
      <c r="C10485" s="3" t="inlineStr">
        <is>
          <t>Assets</t>
        </is>
      </c>
      <c r="D10485" s="3" t="inlineStr">
        <is>
          <t>7610/209</t>
        </is>
      </c>
      <c r="E10485" s="3" t="inlineStr">
        <is>
          <t>Endulini CIP Construction Management</t>
        </is>
      </c>
      <c r="F10485" s="3" t="n">
        <v>10000</v>
      </c>
      <c r="G10485" s="3" t="n">
        <v>200375</v>
      </c>
    </row>
    <row r="10486">
      <c r="A10486" s="3" t="inlineStr">
        <is>
          <t>Endulini (Pty) Ltd</t>
        </is>
      </c>
      <c r="B10486" s="4" t="n">
        <v>44804</v>
      </c>
      <c r="C10486" s="3" t="inlineStr">
        <is>
          <t>Assets</t>
        </is>
      </c>
      <c r="D10486" s="3" t="inlineStr">
        <is>
          <t>7610/210</t>
        </is>
      </c>
      <c r="E10486" s="3" t="inlineStr">
        <is>
          <t>Endulini CIP Civil Works</t>
        </is>
      </c>
      <c r="F10486" s="3" t="n">
        <v>25716.15</v>
      </c>
      <c r="G10486" s="3" t="n">
        <v>5795702.14</v>
      </c>
    </row>
    <row r="10487">
      <c r="A10487" s="3" t="inlineStr">
        <is>
          <t>Endulini (Pty) Ltd</t>
        </is>
      </c>
      <c r="B10487" s="4" t="n">
        <v>44804</v>
      </c>
      <c r="C10487" s="3" t="inlineStr">
        <is>
          <t>Assets</t>
        </is>
      </c>
      <c r="D10487" s="3" t="inlineStr">
        <is>
          <t>7610/215</t>
        </is>
      </c>
      <c r="E10487" s="3" t="inlineStr">
        <is>
          <t>Endulini CIP Civil Engineers</t>
        </is>
      </c>
      <c r="F10487" s="3" t="n">
        <v>0</v>
      </c>
      <c r="G10487" s="3" t="n">
        <v>183000</v>
      </c>
    </row>
    <row r="10488">
      <c r="A10488" s="3" t="inlineStr">
        <is>
          <t>Endulini (Pty) Ltd</t>
        </is>
      </c>
      <c r="B10488" s="4" t="n">
        <v>44804</v>
      </c>
      <c r="C10488" s="3" t="inlineStr">
        <is>
          <t>Assets</t>
        </is>
      </c>
      <c r="D10488" s="3" t="inlineStr">
        <is>
          <t>7610/220</t>
        </is>
      </c>
      <c r="E10488" s="3" t="inlineStr">
        <is>
          <t>Endulini CIP Structuring Project Fee Opp Invest</t>
        </is>
      </c>
      <c r="F10488" s="3" t="n">
        <v>0</v>
      </c>
      <c r="G10488" s="3" t="n">
        <v>483735.96</v>
      </c>
    </row>
    <row r="10489">
      <c r="A10489" s="3" t="inlineStr">
        <is>
          <t>Endulini (Pty) Ltd</t>
        </is>
      </c>
      <c r="B10489" s="4" t="n">
        <v>44804</v>
      </c>
      <c r="C10489" s="3" t="inlineStr">
        <is>
          <t>Assets</t>
        </is>
      </c>
      <c r="D10489" s="3" t="inlineStr">
        <is>
          <t>7610/225</t>
        </is>
      </c>
      <c r="E10489" s="3" t="inlineStr">
        <is>
          <t>Endulini CIP Structural engineering fee</t>
        </is>
      </c>
      <c r="F10489" s="3" t="n">
        <v>0</v>
      </c>
      <c r="G10489" s="3" t="n">
        <v>346268.03</v>
      </c>
    </row>
    <row r="10490">
      <c r="A10490" s="3" t="inlineStr">
        <is>
          <t>Endulini (Pty) Ltd</t>
        </is>
      </c>
      <c r="B10490" s="4" t="n">
        <v>44804</v>
      </c>
      <c r="C10490" s="3" t="inlineStr">
        <is>
          <t>Assets</t>
        </is>
      </c>
      <c r="D10490" s="3" t="inlineStr">
        <is>
          <t>7610/230</t>
        </is>
      </c>
      <c r="E10490" s="3" t="inlineStr">
        <is>
          <t>Endulini CIP Mechanical Engineering</t>
        </is>
      </c>
      <c r="F10490" s="3" t="n">
        <v>0</v>
      </c>
      <c r="G10490" s="3" t="n">
        <v>15570</v>
      </c>
    </row>
    <row r="10491">
      <c r="A10491" s="3" t="inlineStr">
        <is>
          <t>Endulini (Pty) Ltd</t>
        </is>
      </c>
      <c r="B10491" s="4" t="n">
        <v>44804</v>
      </c>
      <c r="C10491" s="3" t="inlineStr">
        <is>
          <t>Assets</t>
        </is>
      </c>
      <c r="D10491" s="3" t="inlineStr">
        <is>
          <t>7610/235</t>
        </is>
      </c>
      <c r="E10491" s="3" t="inlineStr">
        <is>
          <t>Endulini CIP Electrical Installation</t>
        </is>
      </c>
      <c r="F10491" s="3" t="n">
        <v>0</v>
      </c>
      <c r="G10491" s="3" t="n">
        <v>1034019.08</v>
      </c>
    </row>
    <row r="10492">
      <c r="A10492" s="3" t="inlineStr">
        <is>
          <t>Endulini (Pty) Ltd</t>
        </is>
      </c>
      <c r="B10492" s="4" t="n">
        <v>44804</v>
      </c>
      <c r="C10492" s="3" t="inlineStr">
        <is>
          <t>Assets</t>
        </is>
      </c>
      <c r="D10492" s="3" t="inlineStr">
        <is>
          <t>7610/250</t>
        </is>
      </c>
      <c r="E10492" s="3" t="inlineStr">
        <is>
          <t>Endulini CIP Boundary Wall</t>
        </is>
      </c>
      <c r="F10492" s="3" t="n">
        <v>0</v>
      </c>
      <c r="G10492" s="3" t="n">
        <v>88400.8</v>
      </c>
    </row>
    <row r="10493">
      <c r="A10493" s="3" t="inlineStr">
        <is>
          <t>Endulini (Pty) Ltd</t>
        </is>
      </c>
      <c r="B10493" s="4" t="n">
        <v>44804</v>
      </c>
      <c r="C10493" s="3" t="inlineStr">
        <is>
          <t>Assets</t>
        </is>
      </c>
      <c r="D10493" s="3" t="inlineStr">
        <is>
          <t>7610/290</t>
        </is>
      </c>
      <c r="E10493" s="3" t="inlineStr">
        <is>
          <t>Endulini CIP Development Management Fees</t>
        </is>
      </c>
      <c r="F10493" s="3" t="n">
        <v>0</v>
      </c>
      <c r="G10493" s="3" t="n">
        <v>237496.62</v>
      </c>
    </row>
    <row r="10494">
      <c r="A10494" s="3" t="inlineStr">
        <is>
          <t>Endulini (Pty) Ltd</t>
        </is>
      </c>
      <c r="B10494" s="4" t="n">
        <v>44804</v>
      </c>
      <c r="C10494" s="3" t="inlineStr">
        <is>
          <t>Assets</t>
        </is>
      </c>
      <c r="D10494" s="3" t="inlineStr">
        <is>
          <t>7610/310</t>
        </is>
      </c>
      <c r="E10494" s="3" t="inlineStr">
        <is>
          <t>Endulini CIP Enviromental consultants</t>
        </is>
      </c>
      <c r="F10494" s="3" t="n">
        <v>6000</v>
      </c>
      <c r="G10494" s="3" t="n">
        <v>108000</v>
      </c>
    </row>
    <row r="10495">
      <c r="A10495" s="3" t="inlineStr">
        <is>
          <t>Endulini (Pty) Ltd</t>
        </is>
      </c>
      <c r="B10495" s="4" t="n">
        <v>44804</v>
      </c>
      <c r="C10495" s="3" t="inlineStr">
        <is>
          <t>Assets</t>
        </is>
      </c>
      <c r="D10495" s="3" t="inlineStr">
        <is>
          <t>7610/320</t>
        </is>
      </c>
      <c r="E10495" s="3" t="inlineStr">
        <is>
          <t>Endulini CIP Geotechnical</t>
        </is>
      </c>
      <c r="F10495" s="3" t="n">
        <v>0</v>
      </c>
      <c r="G10495" s="3" t="n">
        <v>13575</v>
      </c>
    </row>
    <row r="10496">
      <c r="A10496" s="3" t="inlineStr">
        <is>
          <t>Endulini (Pty) Ltd</t>
        </is>
      </c>
      <c r="B10496" s="4" t="n">
        <v>44804</v>
      </c>
      <c r="C10496" s="3" t="inlineStr">
        <is>
          <t>Assets</t>
        </is>
      </c>
      <c r="D10496" s="3" t="inlineStr">
        <is>
          <t>7610/330</t>
        </is>
      </c>
      <c r="E10496" s="3" t="inlineStr">
        <is>
          <t>Endulini CIP Health and Safety</t>
        </is>
      </c>
      <c r="F10496" s="3" t="n">
        <v>0</v>
      </c>
      <c r="G10496" s="3" t="n">
        <v>40200</v>
      </c>
    </row>
    <row r="10497">
      <c r="A10497" s="3" t="inlineStr">
        <is>
          <t>Endulini (Pty) Ltd</t>
        </is>
      </c>
      <c r="B10497" s="4" t="n">
        <v>44804</v>
      </c>
      <c r="C10497" s="3" t="inlineStr">
        <is>
          <t>Assets</t>
        </is>
      </c>
      <c r="D10497" s="3" t="inlineStr">
        <is>
          <t>7610/390</t>
        </is>
      </c>
      <c r="E10497" s="3" t="inlineStr">
        <is>
          <t>Endulini CIP Land Surveyor</t>
        </is>
      </c>
      <c r="F10497" s="3" t="n">
        <v>0</v>
      </c>
      <c r="G10497" s="3" t="n">
        <v>186021.2</v>
      </c>
    </row>
    <row r="10498">
      <c r="A10498" s="3" t="inlineStr">
        <is>
          <t>Endulini (Pty) Ltd</t>
        </is>
      </c>
      <c r="B10498" s="4" t="n">
        <v>44804</v>
      </c>
      <c r="C10498" s="3" t="inlineStr">
        <is>
          <t>Assets</t>
        </is>
      </c>
      <c r="D10498" s="3" t="inlineStr">
        <is>
          <t>7610/392</t>
        </is>
      </c>
      <c r="E10498" s="3" t="inlineStr">
        <is>
          <t>Endulini CIP Landscaping</t>
        </is>
      </c>
      <c r="F10498" s="3" t="n">
        <v>0</v>
      </c>
      <c r="G10498" s="3" t="n">
        <v>6100</v>
      </c>
    </row>
    <row r="10499">
      <c r="A10499" s="3" t="inlineStr">
        <is>
          <t>Endulini (Pty) Ltd</t>
        </is>
      </c>
      <c r="B10499" s="4" t="n">
        <v>44804</v>
      </c>
      <c r="C10499" s="3" t="inlineStr">
        <is>
          <t>Assets</t>
        </is>
      </c>
      <c r="D10499" s="3" t="inlineStr">
        <is>
          <t>7610/395</t>
        </is>
      </c>
      <c r="E10499" s="3" t="inlineStr">
        <is>
          <t>Endulini CIP NHBRC</t>
        </is>
      </c>
      <c r="F10499" s="3" t="n">
        <v>0</v>
      </c>
      <c r="G10499" s="3" t="n">
        <v>928847.49</v>
      </c>
    </row>
    <row r="10500">
      <c r="A10500" s="3" t="inlineStr">
        <is>
          <t>Endulini (Pty) Ltd</t>
        </is>
      </c>
      <c r="B10500" s="4" t="n">
        <v>44804</v>
      </c>
      <c r="C10500" s="3" t="inlineStr">
        <is>
          <t>Assets</t>
        </is>
      </c>
      <c r="D10500" s="3" t="inlineStr">
        <is>
          <t>7610/400</t>
        </is>
      </c>
      <c r="E10500" s="3" t="inlineStr">
        <is>
          <t>Endulini CIP Quantity Surveyor</t>
        </is>
      </c>
      <c r="F10500" s="3" t="n">
        <v>0</v>
      </c>
      <c r="G10500" s="3" t="n">
        <v>82136.36</v>
      </c>
    </row>
    <row r="10501">
      <c r="A10501" s="3" t="inlineStr">
        <is>
          <t>Endulini (Pty) Ltd</t>
        </is>
      </c>
      <c r="B10501" s="4" t="n">
        <v>44804</v>
      </c>
      <c r="C10501" s="3" t="inlineStr">
        <is>
          <t>Assets</t>
        </is>
      </c>
      <c r="D10501" s="3" t="inlineStr">
        <is>
          <t>7610/600</t>
        </is>
      </c>
      <c r="E10501" s="3" t="inlineStr">
        <is>
          <t>Endulini CIP Town Planning</t>
        </is>
      </c>
      <c r="F10501" s="3" t="n">
        <v>0</v>
      </c>
      <c r="G10501" s="3" t="n">
        <v>21105</v>
      </c>
    </row>
    <row r="10502">
      <c r="A10502" s="3" t="inlineStr">
        <is>
          <t>Endulini (Pty) Ltd</t>
        </is>
      </c>
      <c r="B10502" s="4" t="n">
        <v>44804</v>
      </c>
      <c r="C10502" s="3" t="inlineStr">
        <is>
          <t>Assets</t>
        </is>
      </c>
      <c r="D10502" s="3" t="inlineStr">
        <is>
          <t>7610/620</t>
        </is>
      </c>
      <c r="E10502" s="3" t="inlineStr">
        <is>
          <t>Endulini CIP Traffic Impact</t>
        </is>
      </c>
      <c r="F10502" s="3" t="n">
        <v>0</v>
      </c>
      <c r="G10502" s="3" t="n">
        <v>24915</v>
      </c>
    </row>
    <row r="10503">
      <c r="A10503" s="3" t="inlineStr">
        <is>
          <t>Endulini (Pty) Ltd</t>
        </is>
      </c>
      <c r="B10503" s="4" t="n">
        <v>44804</v>
      </c>
      <c r="C10503" s="3" t="inlineStr">
        <is>
          <t>Assets</t>
        </is>
      </c>
      <c r="D10503" s="3" t="inlineStr">
        <is>
          <t>7610/630</t>
        </is>
      </c>
      <c r="E10503" s="3" t="inlineStr">
        <is>
          <t>Endulini CIP CoCT Development Contributi</t>
        </is>
      </c>
      <c r="F10503" s="3" t="n">
        <v>0</v>
      </c>
      <c r="G10503" s="3" t="n">
        <v>661860.3100000001</v>
      </c>
    </row>
    <row r="10504">
      <c r="A10504" s="3" t="inlineStr">
        <is>
          <t>Endulini (Pty) Ltd</t>
        </is>
      </c>
      <c r="B10504" s="4" t="n">
        <v>44804</v>
      </c>
      <c r="C10504" s="3" t="inlineStr">
        <is>
          <t>Assets</t>
        </is>
      </c>
      <c r="D10504" s="3" t="inlineStr">
        <is>
          <t>7610/640</t>
        </is>
      </c>
      <c r="E10504" s="3" t="inlineStr">
        <is>
          <t>Endulini CIP CoCT Building plan application</t>
        </is>
      </c>
      <c r="F10504" s="3" t="n">
        <v>0</v>
      </c>
      <c r="G10504" s="3" t="n">
        <v>111203.22</v>
      </c>
    </row>
    <row r="10505">
      <c r="A10505" s="3" t="inlineStr">
        <is>
          <t>Endulini (Pty) Ltd</t>
        </is>
      </c>
      <c r="B10505" s="4" t="n">
        <v>44804</v>
      </c>
      <c r="C10505" s="3" t="inlineStr">
        <is>
          <t>Assets</t>
        </is>
      </c>
      <c r="D10505" s="3" t="inlineStr">
        <is>
          <t>7610/650</t>
        </is>
      </c>
      <c r="E10505" s="3" t="inlineStr">
        <is>
          <t>Endulini CIP - P&amp;G recoveries - Endulini&amp;Heron Fields/View</t>
        </is>
      </c>
      <c r="F10505" s="3" t="n">
        <v>0</v>
      </c>
      <c r="G10505" s="3" t="n">
        <v>-3023829.42</v>
      </c>
    </row>
    <row r="10506">
      <c r="A10506" s="3" t="inlineStr">
        <is>
          <t>Endulini (Pty) Ltd</t>
        </is>
      </c>
      <c r="B10506" s="4" t="n">
        <v>44804</v>
      </c>
      <c r="C10506" s="3" t="inlineStr">
        <is>
          <t>Assets</t>
        </is>
      </c>
      <c r="D10506" s="3" t="inlineStr">
        <is>
          <t>7610/900</t>
        </is>
      </c>
      <c r="E10506" s="3" t="inlineStr">
        <is>
          <t>Endulini CIP Cost of Sales</t>
        </is>
      </c>
      <c r="F10506" s="3" t="n">
        <v>0</v>
      </c>
      <c r="G10506" s="3" t="n">
        <v>-28155981.9</v>
      </c>
    </row>
    <row r="10507">
      <c r="A10507" s="3" t="inlineStr">
        <is>
          <t>Quinate Consulting (Pty) Ltd</t>
        </is>
      </c>
      <c r="B10507" s="4" t="n">
        <v>44804</v>
      </c>
      <c r="C10507" s="3" t="inlineStr">
        <is>
          <t>Assets</t>
        </is>
      </c>
      <c r="D10507" s="3" t="inlineStr">
        <is>
          <t>7800/104</t>
        </is>
      </c>
      <c r="E10507" s="3" t="inlineStr">
        <is>
          <t>Stock - Closing Stock SW - 28 Feb 21</t>
        </is>
      </c>
      <c r="F10507" s="3" t="n">
        <v>0</v>
      </c>
      <c r="G10507" s="3" t="n">
        <v>2874478.88</v>
      </c>
    </row>
    <row r="10508">
      <c r="A10508" s="3" t="inlineStr">
        <is>
          <t>Quinate Consulting (Pty) Ltd</t>
        </is>
      </c>
      <c r="B10508" s="4" t="n">
        <v>44804</v>
      </c>
      <c r="C10508" s="3" t="inlineStr">
        <is>
          <t>Assets</t>
        </is>
      </c>
      <c r="D10508" s="3" t="inlineStr">
        <is>
          <t>7800/105</t>
        </is>
      </c>
      <c r="E10508" s="3" t="inlineStr">
        <is>
          <t>Stock - Closing Stock SH - 28 Feb 21</t>
        </is>
      </c>
      <c r="F10508" s="3" t="n">
        <v>0</v>
      </c>
      <c r="G10508" s="3" t="n">
        <v>2843477.6</v>
      </c>
    </row>
    <row r="10509">
      <c r="A10509" s="3" t="inlineStr">
        <is>
          <t>Endulini (Pty) Ltd</t>
        </is>
      </c>
      <c r="B10509" s="4" t="n">
        <v>44804</v>
      </c>
      <c r="C10509" s="3" t="inlineStr">
        <is>
          <t>Assets</t>
        </is>
      </c>
      <c r="D10509" s="3" t="inlineStr">
        <is>
          <t>8000/000</t>
        </is>
      </c>
      <c r="E10509" s="3" t="inlineStr">
        <is>
          <t>Customer Control Account</t>
        </is>
      </c>
      <c r="F10509" s="3" t="n">
        <v>0</v>
      </c>
      <c r="G10509" s="3" t="n">
        <v>3477403.83</v>
      </c>
    </row>
    <row r="10510">
      <c r="A10510" s="3" t="inlineStr">
        <is>
          <t>Noble Shield (Pty) Ltd ta Go Letting</t>
        </is>
      </c>
      <c r="B10510" s="4" t="n">
        <v>44804</v>
      </c>
      <c r="C10510" s="3" t="inlineStr">
        <is>
          <t>Assets</t>
        </is>
      </c>
      <c r="D10510" s="3" t="inlineStr">
        <is>
          <t>8000/000</t>
        </is>
      </c>
      <c r="E10510" s="3" t="inlineStr">
        <is>
          <t>Customer Control Account</t>
        </is>
      </c>
      <c r="F10510" s="3" t="n">
        <v>0</v>
      </c>
      <c r="G10510" s="3" t="n">
        <v>60289.32</v>
      </c>
    </row>
    <row r="10511">
      <c r="A10511" s="3" t="inlineStr">
        <is>
          <t>Opportunity Global Sales (PTY) LTD</t>
        </is>
      </c>
      <c r="B10511" s="4" t="n">
        <v>44804</v>
      </c>
      <c r="C10511" s="3" t="inlineStr">
        <is>
          <t>Assets</t>
        </is>
      </c>
      <c r="D10511" s="3" t="inlineStr">
        <is>
          <t>8000/000</t>
        </is>
      </c>
      <c r="E10511" s="3" t="inlineStr">
        <is>
          <t>Customer Control Account</t>
        </is>
      </c>
      <c r="F10511" s="3" t="n">
        <v>-68877.16</v>
      </c>
      <c r="G10511" s="3" t="n">
        <v>59040.63</v>
      </c>
    </row>
    <row r="10512">
      <c r="A10512" s="3" t="inlineStr">
        <is>
          <t>Opportunity Management Holdings (PTY) LTD</t>
        </is>
      </c>
      <c r="B10512" s="4" t="n">
        <v>44804</v>
      </c>
      <c r="C10512" s="3" t="inlineStr">
        <is>
          <t>Assets</t>
        </is>
      </c>
      <c r="D10512" s="3" t="inlineStr">
        <is>
          <t>8000/000</t>
        </is>
      </c>
      <c r="E10512" s="3" t="inlineStr">
        <is>
          <t>Customer Control Account</t>
        </is>
      </c>
      <c r="F10512" s="3" t="n">
        <v>260000</v>
      </c>
      <c r="G10512" s="3" t="n">
        <v>260000</v>
      </c>
    </row>
    <row r="10513">
      <c r="A10513" s="3" t="inlineStr">
        <is>
          <t>Quinate Consulting (Pty) Ltd</t>
        </is>
      </c>
      <c r="B10513" s="4" t="n">
        <v>44804</v>
      </c>
      <c r="C10513" s="3" t="inlineStr">
        <is>
          <t>Assets</t>
        </is>
      </c>
      <c r="D10513" s="3" t="inlineStr">
        <is>
          <t>8000/000</t>
        </is>
      </c>
      <c r="E10513" s="3" t="inlineStr">
        <is>
          <t>Customer Control Account</t>
        </is>
      </c>
      <c r="F10513" s="3" t="n">
        <v>-21700</v>
      </c>
      <c r="G10513" s="3" t="n">
        <v>-24445</v>
      </c>
    </row>
    <row r="10514">
      <c r="A10514" s="3" t="inlineStr">
        <is>
          <t>Quinate Consulting (Pty) Ltd</t>
        </is>
      </c>
      <c r="B10514" s="4" t="n">
        <v>44804</v>
      </c>
      <c r="C10514" s="3" t="inlineStr">
        <is>
          <t>Assets</t>
        </is>
      </c>
      <c r="D10514" s="3" t="inlineStr">
        <is>
          <t>8001</t>
        </is>
      </c>
      <c r="E10514" s="3" t="inlineStr">
        <is>
          <t>Customer Control</t>
        </is>
      </c>
      <c r="F10514" s="3" t="n">
        <v>0</v>
      </c>
      <c r="G10514" s="3" t="n">
        <v>29487.49</v>
      </c>
    </row>
    <row r="10515">
      <c r="A10515" s="3" t="inlineStr">
        <is>
          <t>Noble Shield (Pty) Ltd ta Go Letting</t>
        </is>
      </c>
      <c r="B10515" s="4" t="n">
        <v>44804</v>
      </c>
      <c r="C10515" s="3" t="inlineStr">
        <is>
          <t>Assets</t>
        </is>
      </c>
      <c r="D10515" s="3" t="inlineStr">
        <is>
          <t>8200/010</t>
        </is>
      </c>
      <c r="E10515" s="3" t="inlineStr">
        <is>
          <t>Prepayments / Prepaid Expenses</t>
        </is>
      </c>
      <c r="F10515" s="3" t="n">
        <v>91000</v>
      </c>
      <c r="G10515" s="3" t="n">
        <v>91000</v>
      </c>
    </row>
    <row r="10516">
      <c r="A10516" s="3" t="inlineStr">
        <is>
          <t>Opportunity Global Investment (PTY) LTD</t>
        </is>
      </c>
      <c r="B10516" s="4" t="n">
        <v>44804</v>
      </c>
      <c r="C10516" s="3" t="inlineStr">
        <is>
          <t>Assets</t>
        </is>
      </c>
      <c r="D10516" s="3" t="inlineStr">
        <is>
          <t>8200/010</t>
        </is>
      </c>
      <c r="E10516" s="3" t="inlineStr">
        <is>
          <t>Prepayments / Prepaid Expenses</t>
        </is>
      </c>
      <c r="F10516" s="3" t="n">
        <v>0</v>
      </c>
      <c r="G10516" s="3" t="n">
        <v>112042.03</v>
      </c>
    </row>
    <row r="10517">
      <c r="A10517" s="3" t="inlineStr">
        <is>
          <t>Quinate Consulting (Pty) Ltd</t>
        </is>
      </c>
      <c r="B10517" s="4" t="n">
        <v>44804</v>
      </c>
      <c r="C10517" s="3" t="inlineStr">
        <is>
          <t>Assets</t>
        </is>
      </c>
      <c r="D10517" s="3" t="inlineStr">
        <is>
          <t>8200/010</t>
        </is>
      </c>
      <c r="E10517" s="3" t="inlineStr">
        <is>
          <t>Prepayments / Prepaid Expenses</t>
        </is>
      </c>
      <c r="F10517" s="3" t="n">
        <v>0</v>
      </c>
      <c r="G10517" s="3" t="n">
        <v>109675</v>
      </c>
    </row>
    <row r="10518">
      <c r="A10518" s="3" t="inlineStr">
        <is>
          <t>Opportunity Global Investment (PTY) LTD</t>
        </is>
      </c>
      <c r="B10518" s="4" t="n">
        <v>44804</v>
      </c>
      <c r="C10518" s="3" t="inlineStr">
        <is>
          <t>Assets</t>
        </is>
      </c>
      <c r="D10518" s="3" t="inlineStr">
        <is>
          <t>8400/000</t>
        </is>
      </c>
      <c r="E10518" s="3" t="inlineStr">
        <is>
          <t>FNB 62093491696</t>
        </is>
      </c>
      <c r="F10518" s="3" t="n">
        <v>19964.05</v>
      </c>
      <c r="G10518" s="3" t="n">
        <v>57268.2</v>
      </c>
    </row>
    <row r="10519">
      <c r="A10519" s="3" t="inlineStr">
        <is>
          <t>Opportunity Global Sales (PTY) LTD</t>
        </is>
      </c>
      <c r="B10519" s="4" t="n">
        <v>44804</v>
      </c>
      <c r="C10519" s="3" t="inlineStr">
        <is>
          <t>Assets</t>
        </is>
      </c>
      <c r="D10519" s="3" t="inlineStr">
        <is>
          <t>8400/000</t>
        </is>
      </c>
      <c r="E10519" s="3" t="inlineStr">
        <is>
          <t>FNB 62835620875</t>
        </is>
      </c>
      <c r="F10519" s="3" t="n">
        <v>5809.21</v>
      </c>
      <c r="G10519" s="3" t="n">
        <v>30660.95</v>
      </c>
    </row>
    <row r="10520">
      <c r="A10520" s="3" t="inlineStr">
        <is>
          <t>Quinate Consulting (Pty) Ltd</t>
        </is>
      </c>
      <c r="B10520" s="4" t="n">
        <v>44804</v>
      </c>
      <c r="C10520" s="3" t="inlineStr">
        <is>
          <t>Assets</t>
        </is>
      </c>
      <c r="D10520" s="3" t="inlineStr">
        <is>
          <t>8400/000</t>
        </is>
      </c>
      <c r="E10520" s="3" t="inlineStr">
        <is>
          <t>RMB - 62736659189 - Call Acc</t>
        </is>
      </c>
      <c r="F10520" s="3" t="n">
        <v>64.02</v>
      </c>
      <c r="G10520" s="3" t="n">
        <v>153005.54</v>
      </c>
    </row>
    <row r="10521">
      <c r="A10521" s="3" t="inlineStr">
        <is>
          <t>Trademark Holdings (Pty) Ltd</t>
        </is>
      </c>
      <c r="B10521" s="4" t="n">
        <v>44804</v>
      </c>
      <c r="C10521" s="3" t="inlineStr">
        <is>
          <t>Assets</t>
        </is>
      </c>
      <c r="D10521" s="3" t="inlineStr">
        <is>
          <t>8400/000</t>
        </is>
      </c>
      <c r="E10521" s="3" t="inlineStr">
        <is>
          <t>RMB 623 693 03640</t>
        </is>
      </c>
      <c r="F10521" s="3" t="n">
        <v>-1841.3</v>
      </c>
      <c r="G10521" s="3" t="n">
        <v>49021.88</v>
      </c>
    </row>
    <row r="10522">
      <c r="A10522" s="3" t="inlineStr">
        <is>
          <t>Noble Shield (Pty) Ltd ta Go Letting</t>
        </is>
      </c>
      <c r="B10522" s="4" t="n">
        <v>44804</v>
      </c>
      <c r="C10522" s="3" t="inlineStr">
        <is>
          <t>Assets</t>
        </is>
      </c>
      <c r="D10522" s="3" t="inlineStr">
        <is>
          <t>8400/000</t>
        </is>
      </c>
      <c r="E10522" s="3" t="inlineStr">
        <is>
          <t>RMB 6250 573 3833</t>
        </is>
      </c>
      <c r="F10522" s="3" t="n">
        <v>-2489.83</v>
      </c>
      <c r="G10522" s="3" t="n">
        <v>43872.8</v>
      </c>
    </row>
    <row r="10523">
      <c r="A10523" s="3" t="inlineStr">
        <is>
          <t>Endulini (Pty) Ltd</t>
        </is>
      </c>
      <c r="B10523" s="4" t="n">
        <v>44804</v>
      </c>
      <c r="C10523" s="3" t="inlineStr">
        <is>
          <t>Assets</t>
        </is>
      </c>
      <c r="D10523" s="3" t="inlineStr">
        <is>
          <t>8400/000</t>
        </is>
      </c>
      <c r="E10523" s="3" t="inlineStr">
        <is>
          <t>RMB 62906944576</t>
        </is>
      </c>
      <c r="F10523" s="3" t="n">
        <v>98331.31</v>
      </c>
      <c r="G10523" s="3" t="n">
        <v>112782.59</v>
      </c>
    </row>
    <row r="10524">
      <c r="A10524" s="3" t="inlineStr">
        <is>
          <t>Opportunity Management Holdings (PTY) LTD</t>
        </is>
      </c>
      <c r="B10524" s="4" t="n">
        <v>44804</v>
      </c>
      <c r="C10524" s="3" t="inlineStr">
        <is>
          <t>Assets</t>
        </is>
      </c>
      <c r="D10524" s="3" t="inlineStr">
        <is>
          <t>8400/000</t>
        </is>
      </c>
      <c r="E10524" s="3" t="inlineStr">
        <is>
          <t>RMB Cheq - 62312246920</t>
        </is>
      </c>
      <c r="F10524" s="3" t="n">
        <v>38780.9</v>
      </c>
      <c r="G10524" s="3" t="n">
        <v>69917.50999999999</v>
      </c>
    </row>
    <row r="10525">
      <c r="A10525" s="3" t="inlineStr">
        <is>
          <t>Opportunity Global Investment (PTY) LTD</t>
        </is>
      </c>
      <c r="B10525" s="4" t="n">
        <v>44804</v>
      </c>
      <c r="C10525" s="3" t="inlineStr">
        <is>
          <t>Assets</t>
        </is>
      </c>
      <c r="D10525" s="3" t="inlineStr">
        <is>
          <t>8405/000</t>
        </is>
      </c>
      <c r="E10525" s="3" t="inlineStr">
        <is>
          <t>FNB Trust 62762449265</t>
        </is>
      </c>
      <c r="F10525" s="3" t="n">
        <v>-151.34</v>
      </c>
      <c r="G10525" s="3" t="n">
        <v>622.8200000000001</v>
      </c>
    </row>
    <row r="10526">
      <c r="A10526" s="3" t="inlineStr">
        <is>
          <t>Endulini (Pty) Ltd</t>
        </is>
      </c>
      <c r="B10526" s="4" t="n">
        <v>44804</v>
      </c>
      <c r="C10526" s="3" t="inlineStr">
        <is>
          <t>Assets</t>
        </is>
      </c>
      <c r="D10526" s="3" t="inlineStr">
        <is>
          <t>8410/000</t>
        </is>
      </c>
      <c r="E10526" s="3" t="inlineStr">
        <is>
          <t>Momentum Investor Account : RU 502229883</t>
        </is>
      </c>
      <c r="F10526" s="3" t="n">
        <v>-395124.46</v>
      </c>
      <c r="G10526" s="3" t="n">
        <v>2590.71</v>
      </c>
    </row>
    <row r="10527">
      <c r="A10527" s="3" t="inlineStr">
        <is>
          <t>Opportunity Management Holdings (PTY) LTD</t>
        </is>
      </c>
      <c r="B10527" s="4" t="n">
        <v>44804</v>
      </c>
      <c r="C10527" s="3" t="inlineStr">
        <is>
          <t>Assets</t>
        </is>
      </c>
      <c r="D10527" s="3" t="inlineStr">
        <is>
          <t>8410/000</t>
        </is>
      </c>
      <c r="E10527" s="3" t="inlineStr">
        <is>
          <t>RMB Call Acc - 62312248851</t>
        </is>
      </c>
      <c r="F10527" s="3" t="n">
        <v>-76.79000000000001</v>
      </c>
      <c r="G10527" s="3" t="n">
        <v>880.54</v>
      </c>
    </row>
    <row r="10528">
      <c r="A10528" s="3" t="inlineStr">
        <is>
          <t>Noble Shield (Pty) Ltd ta Go Letting</t>
        </is>
      </c>
      <c r="B10528" s="4" t="n">
        <v>44804</v>
      </c>
      <c r="C10528" s="3" t="inlineStr">
        <is>
          <t>Assets</t>
        </is>
      </c>
      <c r="D10528" s="3" t="inlineStr">
        <is>
          <t>8410/000</t>
        </is>
      </c>
      <c r="E10528" s="3" t="inlineStr">
        <is>
          <t>RMB Trust Acc - 6250 615 1365</t>
        </is>
      </c>
      <c r="F10528" s="3" t="n">
        <v>-63.98</v>
      </c>
      <c r="G10528" s="3" t="n">
        <v>503.1</v>
      </c>
    </row>
    <row r="10529">
      <c r="A10529" s="3" t="inlineStr">
        <is>
          <t>Quinate Consulting (Pty) Ltd</t>
        </is>
      </c>
      <c r="B10529" s="4" t="n">
        <v>44804</v>
      </c>
      <c r="C10529" s="3" t="inlineStr">
        <is>
          <t>Assets</t>
        </is>
      </c>
      <c r="D10529" s="3" t="inlineStr">
        <is>
          <t>8415/000</t>
        </is>
      </c>
      <c r="E10529" s="3" t="inlineStr">
        <is>
          <t>STD Acc 071 958 959 - Facility Acc</t>
        </is>
      </c>
      <c r="F10529" s="3" t="n">
        <v>-85</v>
      </c>
      <c r="G10529" s="3" t="n">
        <v>3806.21</v>
      </c>
    </row>
    <row r="10530">
      <c r="A10530" s="3" t="inlineStr">
        <is>
          <t>Quinate Consulting (Pty) Ltd</t>
        </is>
      </c>
      <c r="B10530" s="4" t="n">
        <v>44804</v>
      </c>
      <c r="C10530" s="3" t="inlineStr">
        <is>
          <t>Assets</t>
        </is>
      </c>
      <c r="D10530" s="3" t="inlineStr">
        <is>
          <t>8430/000</t>
        </is>
      </c>
      <c r="E10530" s="3" t="inlineStr">
        <is>
          <t>Momentum Investment Acc - RU502230185</t>
        </is>
      </c>
      <c r="F10530" s="3" t="n">
        <v>2.13</v>
      </c>
      <c r="G10530" s="3" t="n">
        <v>518.92</v>
      </c>
    </row>
    <row r="10531">
      <c r="A10531" s="3" t="inlineStr">
        <is>
          <t>Opportunity Global Investment (PTY) LTD</t>
        </is>
      </c>
      <c r="B10531" s="4" t="n">
        <v>44804</v>
      </c>
      <c r="C10531" s="3" t="inlineStr">
        <is>
          <t>Assets</t>
        </is>
      </c>
      <c r="D10531" s="3" t="inlineStr">
        <is>
          <t>8440/000</t>
        </is>
      </c>
      <c r="E10531" s="3" t="inlineStr">
        <is>
          <t>FNB - Call 627602764438</t>
        </is>
      </c>
      <c r="F10531" s="3" t="n">
        <v>-83.02</v>
      </c>
      <c r="G10531" s="3" t="n">
        <v>502.37</v>
      </c>
    </row>
    <row r="10532">
      <c r="A10532" s="3" t="inlineStr">
        <is>
          <t>Opportunity Global Investment (PTY) LTD</t>
        </is>
      </c>
      <c r="B10532" s="4" t="n">
        <v>44804</v>
      </c>
      <c r="C10532" s="3" t="inlineStr">
        <is>
          <t>Assets</t>
        </is>
      </c>
      <c r="D10532" s="3" t="inlineStr">
        <is>
          <t>8445/000</t>
        </is>
      </c>
      <c r="E10532" s="3" t="inlineStr">
        <is>
          <t>Momentum RU502230096</t>
        </is>
      </c>
      <c r="F10532" s="3" t="n">
        <v>20.84</v>
      </c>
      <c r="G10532" s="3" t="n">
        <v>4547.99</v>
      </c>
    </row>
    <row r="10533">
      <c r="A10533" s="3" t="inlineStr">
        <is>
          <t>Quinate Consulting (Pty) Ltd</t>
        </is>
      </c>
      <c r="B10533" s="4" t="n">
        <v>44804</v>
      </c>
      <c r="C10533" s="3" t="inlineStr">
        <is>
          <t>Assets</t>
        </is>
      </c>
      <c r="D10533" s="3" t="inlineStr">
        <is>
          <t>8450/000</t>
        </is>
      </c>
      <c r="E10533" s="3" t="inlineStr">
        <is>
          <t>A RMB 62275810820</t>
        </is>
      </c>
      <c r="F10533" s="3" t="n">
        <v>47866.39</v>
      </c>
      <c r="G10533" s="3" t="n">
        <v>79910.62</v>
      </c>
    </row>
    <row r="10534">
      <c r="A10534" s="3" t="inlineStr">
        <is>
          <t>Opportunity Management Holdings (PTY) LTD</t>
        </is>
      </c>
      <c r="B10534" s="4" t="n">
        <v>44804</v>
      </c>
      <c r="C10534" s="3" t="inlineStr">
        <is>
          <t>Assets</t>
        </is>
      </c>
      <c r="D10534" s="3" t="inlineStr">
        <is>
          <t>8450/000</t>
        </is>
      </c>
      <c r="E10534" s="3" t="inlineStr">
        <is>
          <t>Petty Cash - CT Office</t>
        </is>
      </c>
      <c r="F10534" s="3" t="n">
        <v>-874.2</v>
      </c>
      <c r="G10534" s="3" t="n">
        <v>848.9</v>
      </c>
    </row>
    <row r="10535">
      <c r="A10535" s="3" t="inlineStr">
        <is>
          <t>Quinate Consulting (Pty) Ltd</t>
        </is>
      </c>
      <c r="B10535" s="4" t="n">
        <v>44804</v>
      </c>
      <c r="C10535" s="3" t="inlineStr">
        <is>
          <t>Liabilities</t>
        </is>
      </c>
      <c r="D10535" s="3" t="inlineStr">
        <is>
          <t>8480/100</t>
        </is>
      </c>
      <c r="E10535" s="3" t="inlineStr">
        <is>
          <t>Bond - SH20 - STD Bank 532010558</t>
        </is>
      </c>
      <c r="F10535" s="3" t="n">
        <v>2339.82</v>
      </c>
      <c r="G10535" s="3" t="n">
        <v>-1371044.93</v>
      </c>
    </row>
    <row r="10536">
      <c r="A10536" s="3" t="inlineStr">
        <is>
          <t>Quinate Consulting (Pty) Ltd</t>
        </is>
      </c>
      <c r="B10536" s="4" t="n">
        <v>44804</v>
      </c>
      <c r="C10536" s="3" t="inlineStr">
        <is>
          <t>Liabilities</t>
        </is>
      </c>
      <c r="D10536" s="3" t="inlineStr">
        <is>
          <t>8480/200</t>
        </is>
      </c>
      <c r="E10536" s="3" t="inlineStr">
        <is>
          <t>Bond - SH23 - STD Bank 532010035</t>
        </is>
      </c>
      <c r="F10536" s="3" t="n">
        <v>2337.12</v>
      </c>
      <c r="G10536" s="3" t="n">
        <v>-1370872.52</v>
      </c>
    </row>
    <row r="10537">
      <c r="A10537" s="3" t="inlineStr">
        <is>
          <t>Quinate Consulting (Pty) Ltd</t>
        </is>
      </c>
      <c r="B10537" s="4" t="n">
        <v>44804</v>
      </c>
      <c r="C10537" s="3" t="inlineStr">
        <is>
          <t>Liabilities</t>
        </is>
      </c>
      <c r="D10537" s="3" t="inlineStr">
        <is>
          <t>8480/300</t>
        </is>
      </c>
      <c r="E10537" s="3" t="inlineStr">
        <is>
          <t>Bond - SH24 - STD Bank 532372662</t>
        </is>
      </c>
      <c r="F10537" s="3" t="n">
        <v>443.93</v>
      </c>
      <c r="G10537" s="3" t="n">
        <v>-1458894.89</v>
      </c>
    </row>
    <row r="10538">
      <c r="A10538" s="3" t="inlineStr">
        <is>
          <t>Quinate Consulting (Pty) Ltd</t>
        </is>
      </c>
      <c r="B10538" s="4" t="n">
        <v>44804</v>
      </c>
      <c r="C10538" s="3" t="inlineStr">
        <is>
          <t>Liabilities</t>
        </is>
      </c>
      <c r="D10538" s="3" t="inlineStr">
        <is>
          <t>8480/400</t>
        </is>
      </c>
      <c r="E10538" s="3" t="inlineStr">
        <is>
          <t>Bond - SW01 - STD Bank 532920627</t>
        </is>
      </c>
      <c r="F10538" s="3" t="n">
        <v>35.27</v>
      </c>
      <c r="G10538" s="3" t="n">
        <v>-1296330.98</v>
      </c>
    </row>
    <row r="10539">
      <c r="A10539" s="3" t="inlineStr">
        <is>
          <t>Quinate Consulting (Pty) Ltd</t>
        </is>
      </c>
      <c r="B10539" s="4" t="n">
        <v>44804</v>
      </c>
      <c r="C10539" s="3" t="inlineStr">
        <is>
          <t>Liabilities</t>
        </is>
      </c>
      <c r="D10539" s="3" t="inlineStr">
        <is>
          <t>8480/401</t>
        </is>
      </c>
      <c r="E10539" s="3" t="inlineStr">
        <is>
          <t>Bond - SW21 - STD Bank 532920597</t>
        </is>
      </c>
      <c r="F10539" s="3" t="n">
        <v>35.29</v>
      </c>
      <c r="G10539" s="3" t="n">
        <v>-1296845.32</v>
      </c>
    </row>
    <row r="10540">
      <c r="A10540" s="3" t="inlineStr">
        <is>
          <t>Opportunity Global Investment (PTY) LTD</t>
        </is>
      </c>
      <c r="B10540" s="4" t="n">
        <v>44804</v>
      </c>
      <c r="C10540" s="3" t="inlineStr">
        <is>
          <t>Liabilities</t>
        </is>
      </c>
      <c r="D10540" s="3" t="inlineStr">
        <is>
          <t>860</t>
        </is>
      </c>
      <c r="E10540" s="3" t="inlineStr">
        <is>
          <t>Rounding</t>
        </is>
      </c>
      <c r="F10540" s="3" t="n">
        <v>0</v>
      </c>
      <c r="G10540" s="3" t="n">
        <v>-0.03</v>
      </c>
    </row>
    <row r="10541">
      <c r="A10541" s="3" t="inlineStr">
        <is>
          <t>Opportunity Global Sales (PTY) LTD</t>
        </is>
      </c>
      <c r="B10541" s="4" t="n">
        <v>44804</v>
      </c>
      <c r="C10541" s="3" t="inlineStr">
        <is>
          <t>Liabilities</t>
        </is>
      </c>
      <c r="D10541" s="3" t="inlineStr">
        <is>
          <t>860</t>
        </is>
      </c>
      <c r="E10541" s="3" t="inlineStr">
        <is>
          <t>Rounding</t>
        </is>
      </c>
      <c r="F10541" s="3" t="n">
        <v>0</v>
      </c>
      <c r="G10541" s="3" t="n">
        <v>-1</v>
      </c>
    </row>
    <row r="10542">
      <c r="A10542" s="3" t="inlineStr">
        <is>
          <t>Quinate Consulting (Pty) Ltd</t>
        </is>
      </c>
      <c r="B10542" s="4" t="n">
        <v>44804</v>
      </c>
      <c r="C10542" s="3" t="inlineStr">
        <is>
          <t>Liabilities</t>
        </is>
      </c>
      <c r="D10542" s="3" t="inlineStr">
        <is>
          <t>860</t>
        </is>
      </c>
      <c r="E10542" s="3" t="inlineStr">
        <is>
          <t>Rounding</t>
        </is>
      </c>
      <c r="F10542" s="3" t="n">
        <v>0</v>
      </c>
      <c r="G10542" s="3" t="n">
        <v>0.09</v>
      </c>
    </row>
    <row r="10543">
      <c r="A10543" s="3" t="inlineStr">
        <is>
          <t>Trademark Holdings (Pty) Ltd</t>
        </is>
      </c>
      <c r="B10543" s="4" t="n">
        <v>44804</v>
      </c>
      <c r="C10543" s="3" t="inlineStr">
        <is>
          <t>Liabilities</t>
        </is>
      </c>
      <c r="D10543" s="3" t="inlineStr">
        <is>
          <t>860</t>
        </is>
      </c>
      <c r="E10543" s="3" t="inlineStr">
        <is>
          <t>Rounding</t>
        </is>
      </c>
      <c r="F10543" s="3" t="n">
        <v>0</v>
      </c>
      <c r="G10543" s="3" t="n">
        <v>0.2</v>
      </c>
    </row>
    <row r="10544">
      <c r="A10544" s="3" t="inlineStr">
        <is>
          <t>Endulini (Pty) Ltd</t>
        </is>
      </c>
      <c r="B10544" s="4" t="n">
        <v>44804</v>
      </c>
      <c r="C10544" s="3" t="inlineStr">
        <is>
          <t>Liabilities</t>
        </is>
      </c>
      <c r="D10544" s="3" t="inlineStr">
        <is>
          <t>9000/000</t>
        </is>
      </c>
      <c r="E10544" s="3" t="inlineStr">
        <is>
          <t>Supplier Control Account</t>
        </is>
      </c>
      <c r="F10544" s="3" t="n">
        <v>2189214.86</v>
      </c>
      <c r="G10544" s="3" t="n">
        <v>-39791974.23</v>
      </c>
    </row>
    <row r="10545">
      <c r="A10545" s="3" t="inlineStr">
        <is>
          <t>Noble Shield (Pty) Ltd ta Go Letting</t>
        </is>
      </c>
      <c r="B10545" s="4" t="n">
        <v>44804</v>
      </c>
      <c r="C10545" s="3" t="inlineStr">
        <is>
          <t>Liabilities</t>
        </is>
      </c>
      <c r="D10545" s="3" t="inlineStr">
        <is>
          <t>9000/000</t>
        </is>
      </c>
      <c r="E10545" s="3" t="inlineStr">
        <is>
          <t>Supplier Control Account</t>
        </is>
      </c>
      <c r="F10545" s="3" t="n">
        <v>-1044.63</v>
      </c>
      <c r="G10545" s="3" t="n">
        <v>-24221.38</v>
      </c>
    </row>
    <row r="10546">
      <c r="A10546" s="3" t="inlineStr">
        <is>
          <t>Opportunity Global Investment (PTY) LTD</t>
        </is>
      </c>
      <c r="B10546" s="4" t="n">
        <v>44804</v>
      </c>
      <c r="C10546" s="3" t="inlineStr">
        <is>
          <t>Liabilities</t>
        </is>
      </c>
      <c r="D10546" s="3" t="inlineStr">
        <is>
          <t>9000/000</t>
        </is>
      </c>
      <c r="E10546" s="3" t="inlineStr">
        <is>
          <t>Supplier Control Account</t>
        </is>
      </c>
      <c r="F10546" s="3" t="n">
        <v>29864.4</v>
      </c>
      <c r="G10546" s="3" t="n">
        <v>-106248.1</v>
      </c>
    </row>
    <row r="10547">
      <c r="A10547" s="3" t="inlineStr">
        <is>
          <t>Opportunity Global Sales (PTY) LTD</t>
        </is>
      </c>
      <c r="B10547" s="4" t="n">
        <v>44804</v>
      </c>
      <c r="C10547" s="3" t="inlineStr">
        <is>
          <t>Liabilities</t>
        </is>
      </c>
      <c r="D10547" s="3" t="inlineStr">
        <is>
          <t>9000/000</t>
        </is>
      </c>
      <c r="E10547" s="3" t="inlineStr">
        <is>
          <t>Supplier Control Account</t>
        </is>
      </c>
      <c r="F10547" s="3" t="n">
        <v>3371.6</v>
      </c>
      <c r="G10547" s="3" t="n">
        <v>-6123.9</v>
      </c>
    </row>
    <row r="10548">
      <c r="A10548" s="3" t="inlineStr">
        <is>
          <t>Opportunity Management Holdings (PTY) LTD</t>
        </is>
      </c>
      <c r="B10548" s="4" t="n">
        <v>44804</v>
      </c>
      <c r="C10548" s="3" t="inlineStr">
        <is>
          <t>Liabilities</t>
        </is>
      </c>
      <c r="D10548" s="3" t="inlineStr">
        <is>
          <t>9000/000</t>
        </is>
      </c>
      <c r="E10548" s="3" t="inlineStr">
        <is>
          <t>Supplier Control Account</t>
        </is>
      </c>
      <c r="F10548" s="3" t="n">
        <v>-6533.4</v>
      </c>
      <c r="G10548" s="3" t="n">
        <v>-266297.25</v>
      </c>
    </row>
    <row r="10549">
      <c r="A10549" s="3" t="inlineStr">
        <is>
          <t>Quinate Consulting (Pty) Ltd</t>
        </is>
      </c>
      <c r="B10549" s="4" t="n">
        <v>44804</v>
      </c>
      <c r="C10549" s="3" t="inlineStr">
        <is>
          <t>Liabilities</t>
        </is>
      </c>
      <c r="D10549" s="3" t="inlineStr">
        <is>
          <t>9000/000</t>
        </is>
      </c>
      <c r="E10549" s="3" t="inlineStr">
        <is>
          <t>Supplier Control Account</t>
        </is>
      </c>
      <c r="F10549" s="3" t="n">
        <v>-7072.94</v>
      </c>
      <c r="G10549" s="3" t="n">
        <v>495620.35</v>
      </c>
    </row>
    <row r="10550">
      <c r="A10550" s="3" t="inlineStr">
        <is>
          <t>Trademark Holdings (Pty) Ltd</t>
        </is>
      </c>
      <c r="B10550" s="4" t="n">
        <v>44804</v>
      </c>
      <c r="C10550" s="3" t="inlineStr">
        <is>
          <t>Liabilities</t>
        </is>
      </c>
      <c r="D10550" s="3" t="inlineStr">
        <is>
          <t>9000/000</t>
        </is>
      </c>
      <c r="E10550" s="3" t="inlineStr">
        <is>
          <t>Supplier Control Account</t>
        </is>
      </c>
      <c r="F10550" s="3" t="n">
        <v>0</v>
      </c>
      <c r="G10550" s="3" t="n">
        <v>-10504.83</v>
      </c>
    </row>
    <row r="10551">
      <c r="A10551" s="3" t="inlineStr">
        <is>
          <t>Quinate Consulting (Pty) Ltd</t>
        </is>
      </c>
      <c r="B10551" s="4" t="n">
        <v>44804</v>
      </c>
      <c r="C10551" s="3" t="inlineStr">
        <is>
          <t>Liabilities</t>
        </is>
      </c>
      <c r="D10551" s="3" t="inlineStr">
        <is>
          <t>9001</t>
        </is>
      </c>
      <c r="E10551" s="3" t="inlineStr">
        <is>
          <t>Supplier Control</t>
        </is>
      </c>
      <c r="F10551" s="3" t="n">
        <v>0</v>
      </c>
      <c r="G10551" s="3" t="n">
        <v>-347315.41</v>
      </c>
    </row>
    <row r="10552">
      <c r="A10552" s="3" t="inlineStr">
        <is>
          <t>Opportunity Management Holdings (PTY) LTD</t>
        </is>
      </c>
      <c r="B10552" s="4" t="n">
        <v>44804</v>
      </c>
      <c r="C10552" s="3" t="inlineStr">
        <is>
          <t>Liabilities</t>
        </is>
      </c>
      <c r="D10552" s="3" t="inlineStr">
        <is>
          <t>9100/000</t>
        </is>
      </c>
      <c r="E10552" s="3" t="inlineStr">
        <is>
          <t>PAYE/UIF/SDL Accrual - Prior Years ADJ</t>
        </is>
      </c>
      <c r="F10552" s="3" t="n">
        <v>-52347.47</v>
      </c>
      <c r="G10552" s="3" t="n">
        <v>-39668.69</v>
      </c>
    </row>
    <row r="10553">
      <c r="A10553" s="3" t="inlineStr">
        <is>
          <t>Opportunity Management Holdings (PTY) LTD</t>
        </is>
      </c>
      <c r="B10553" s="4" t="n">
        <v>44804</v>
      </c>
      <c r="C10553" s="3" t="inlineStr">
        <is>
          <t>Assets</t>
        </is>
      </c>
      <c r="D10553" s="3" t="inlineStr">
        <is>
          <t>9110/000</t>
        </is>
      </c>
      <c r="E10553" s="3" t="inlineStr">
        <is>
          <t>Deposit Received</t>
        </is>
      </c>
      <c r="F10553" s="3" t="n">
        <v>0</v>
      </c>
      <c r="G10553" s="3" t="n">
        <v>-3852.5</v>
      </c>
    </row>
    <row r="10554">
      <c r="A10554" s="3" t="inlineStr">
        <is>
          <t>Opportunity Global Investment (PTY) LTD</t>
        </is>
      </c>
      <c r="B10554" s="4" t="n">
        <v>44804</v>
      </c>
      <c r="C10554" s="3" t="inlineStr">
        <is>
          <t>Liabilities</t>
        </is>
      </c>
      <c r="D10554" s="3" t="inlineStr">
        <is>
          <t>9110/000</t>
        </is>
      </c>
      <c r="E10554" s="3" t="inlineStr">
        <is>
          <t>Taxation B/S</t>
        </is>
      </c>
      <c r="F10554" s="3" t="n">
        <v>0</v>
      </c>
      <c r="G10554" s="3" t="n">
        <v>2150.09</v>
      </c>
    </row>
    <row r="10555">
      <c r="A10555" s="3" t="inlineStr">
        <is>
          <t>Trademark Holdings (Pty) Ltd</t>
        </is>
      </c>
      <c r="B10555" s="4" t="n">
        <v>44804</v>
      </c>
      <c r="C10555" s="3" t="inlineStr">
        <is>
          <t>Liabilities</t>
        </is>
      </c>
      <c r="D10555" s="3" t="inlineStr">
        <is>
          <t>9230/000</t>
        </is>
      </c>
      <c r="E10555" s="3" t="inlineStr">
        <is>
          <t>Income Received in Advanced</t>
        </is>
      </c>
      <c r="F10555" s="3" t="n">
        <v>46497.62</v>
      </c>
      <c r="G10555" s="3" t="n">
        <v>0</v>
      </c>
    </row>
    <row r="10556">
      <c r="A10556" s="3" t="inlineStr">
        <is>
          <t>Noble Shield (Pty) Ltd ta Go Letting</t>
        </is>
      </c>
      <c r="B10556" s="4" t="n">
        <v>44804</v>
      </c>
      <c r="C10556" s="3" t="inlineStr">
        <is>
          <t>Liabilities</t>
        </is>
      </c>
      <c r="D10556" s="3" t="inlineStr">
        <is>
          <t>9250/010</t>
        </is>
      </c>
      <c r="E10556" s="3" t="inlineStr">
        <is>
          <t>SALARY CONTROL</t>
        </is>
      </c>
      <c r="F10556" s="3" t="n">
        <v>-3753.44</v>
      </c>
      <c r="G10556" s="3" t="n">
        <v>-17048.71</v>
      </c>
    </row>
    <row r="10557">
      <c r="A10557" s="3" t="inlineStr">
        <is>
          <t>Opportunity Global Sales (PTY) LTD</t>
        </is>
      </c>
      <c r="B10557" s="4" t="n">
        <v>44804</v>
      </c>
      <c r="C10557" s="3" t="inlineStr">
        <is>
          <t>Liabilities</t>
        </is>
      </c>
      <c r="D10557" s="3" t="inlineStr">
        <is>
          <t>9250/010</t>
        </is>
      </c>
      <c r="E10557" s="3" t="inlineStr">
        <is>
          <t>SALARY CONTROL</t>
        </is>
      </c>
      <c r="F10557" s="3" t="n">
        <v>0</v>
      </c>
      <c r="G10557" s="3" t="n">
        <v>0.01</v>
      </c>
    </row>
    <row r="10558">
      <c r="A10558" s="3" t="inlineStr">
        <is>
          <t>Opportunity Management Holdings (PTY) LTD</t>
        </is>
      </c>
      <c r="B10558" s="4" t="n">
        <v>44804</v>
      </c>
      <c r="C10558" s="3" t="inlineStr">
        <is>
          <t>Liabilities</t>
        </is>
      </c>
      <c r="D10558" s="3" t="inlineStr">
        <is>
          <t>9250/010</t>
        </is>
      </c>
      <c r="E10558" s="3" t="inlineStr">
        <is>
          <t>SALARY CONTROL</t>
        </is>
      </c>
      <c r="F10558" s="3" t="n">
        <v>1785</v>
      </c>
      <c r="G10558" s="3" t="n">
        <v>0</v>
      </c>
    </row>
    <row r="10559">
      <c r="A10559" s="3" t="inlineStr">
        <is>
          <t>Trademark Holdings (Pty) Ltd</t>
        </is>
      </c>
      <c r="B10559" s="4" t="n">
        <v>44804</v>
      </c>
      <c r="C10559" s="3" t="inlineStr">
        <is>
          <t>Liabilities</t>
        </is>
      </c>
      <c r="D10559" s="3" t="inlineStr">
        <is>
          <t>9250/010</t>
        </is>
      </c>
      <c r="E10559" s="3" t="inlineStr">
        <is>
          <t>SALARY CONTROL</t>
        </is>
      </c>
      <c r="F10559" s="3" t="n">
        <v>-4215.33</v>
      </c>
      <c r="G10559" s="3" t="n">
        <v>-17540.9</v>
      </c>
    </row>
    <row r="10560">
      <c r="A10560" s="3" t="inlineStr">
        <is>
          <t>Noble Shield (Pty) Ltd ta Go Letting</t>
        </is>
      </c>
      <c r="B10560" s="4" t="n">
        <v>44804</v>
      </c>
      <c r="C10560" s="3" t="inlineStr">
        <is>
          <t>Liabilities</t>
        </is>
      </c>
      <c r="D10560" s="3" t="inlineStr">
        <is>
          <t>9250/020</t>
        </is>
      </c>
      <c r="E10560" s="3" t="inlineStr">
        <is>
          <t>PAYE, UIF AND SDL CONTROL</t>
        </is>
      </c>
      <c r="F10560" s="3" t="n">
        <v>1450.35</v>
      </c>
      <c r="G10560" s="3" t="n">
        <v>-5933.07</v>
      </c>
    </row>
    <row r="10561">
      <c r="A10561" s="3" t="inlineStr">
        <is>
          <t>Opportunity Global Investment (PTY) LTD</t>
        </is>
      </c>
      <c r="B10561" s="4" t="n">
        <v>44804</v>
      </c>
      <c r="C10561" s="3" t="inlineStr">
        <is>
          <t>Liabilities</t>
        </is>
      </c>
      <c r="D10561" s="3" t="inlineStr">
        <is>
          <t>9250/020</t>
        </is>
      </c>
      <c r="E10561" s="3" t="inlineStr">
        <is>
          <t>PAYE, UIF AND SDL CONTROL</t>
        </is>
      </c>
      <c r="F10561" s="3" t="n">
        <v>-21506.14</v>
      </c>
      <c r="G10561" s="3" t="n">
        <v>-52168.42</v>
      </c>
    </row>
    <row r="10562">
      <c r="A10562" s="3" t="inlineStr">
        <is>
          <t>Opportunity Management Holdings (PTY) LTD</t>
        </is>
      </c>
      <c r="B10562" s="4" t="n">
        <v>44804</v>
      </c>
      <c r="C10562" s="3" t="inlineStr">
        <is>
          <t>Liabilities</t>
        </is>
      </c>
      <c r="D10562" s="3" t="inlineStr">
        <is>
          <t>9250/020</t>
        </is>
      </c>
      <c r="E10562" s="3" t="inlineStr">
        <is>
          <t>PAYE, UIF AND SDL CONTROL</t>
        </is>
      </c>
      <c r="F10562" s="3" t="n">
        <v>549.75</v>
      </c>
      <c r="G10562" s="3" t="n">
        <v>-45768.35</v>
      </c>
    </row>
    <row r="10563">
      <c r="A10563" s="3" t="inlineStr">
        <is>
          <t>Trademark Holdings (Pty) Ltd</t>
        </is>
      </c>
      <c r="B10563" s="4" t="n">
        <v>44804</v>
      </c>
      <c r="C10563" s="3" t="inlineStr">
        <is>
          <t>Liabilities</t>
        </is>
      </c>
      <c r="D10563" s="3" t="inlineStr">
        <is>
          <t>9250/020</t>
        </is>
      </c>
      <c r="E10563" s="3" t="inlineStr">
        <is>
          <t>PAYE, UIF AND SDL CONTROL</t>
        </is>
      </c>
      <c r="F10563" s="3" t="n">
        <v>39.65</v>
      </c>
      <c r="G10563" s="3" t="n">
        <v>-5033.04</v>
      </c>
    </row>
    <row r="10564">
      <c r="A10564" s="3" t="inlineStr">
        <is>
          <t>Opportunity Global Investment (PTY) LTD</t>
        </is>
      </c>
      <c r="B10564" s="4" t="n">
        <v>44804</v>
      </c>
      <c r="C10564" s="3" t="inlineStr">
        <is>
          <t>Liabilities</t>
        </is>
      </c>
      <c r="D10564" s="3" t="inlineStr">
        <is>
          <t>9400/030</t>
        </is>
      </c>
      <c r="E10564" s="3" t="inlineStr">
        <is>
          <t>Accrued Expenses - PAYE_AND_UIF</t>
        </is>
      </c>
      <c r="F10564" s="3" t="n">
        <v>0</v>
      </c>
      <c r="G10564" s="3" t="n">
        <v>-2</v>
      </c>
    </row>
    <row r="10565">
      <c r="A10565" s="3" t="inlineStr">
        <is>
          <t>Trademark Holdings (Pty) Ltd</t>
        </is>
      </c>
      <c r="B10565" s="4" t="n">
        <v>44804</v>
      </c>
      <c r="C10565" s="3" t="inlineStr">
        <is>
          <t>Liabilities</t>
        </is>
      </c>
      <c r="D10565" s="3" t="inlineStr">
        <is>
          <t>9400/400</t>
        </is>
      </c>
      <c r="E10565" s="3" t="inlineStr">
        <is>
          <t>Deemed Dividend Tax</t>
        </is>
      </c>
      <c r="F10565" s="3" t="n">
        <v>0</v>
      </c>
      <c r="G10565" s="3" t="n">
        <v>-699.13</v>
      </c>
    </row>
    <row r="10566">
      <c r="A10566" s="3" t="inlineStr">
        <is>
          <t>Opportunity Global Investment (PTY) LTD</t>
        </is>
      </c>
      <c r="B10566" s="4" t="n">
        <v>44804</v>
      </c>
      <c r="C10566" s="3" t="inlineStr">
        <is>
          <t>Liabilities</t>
        </is>
      </c>
      <c r="D10566" s="3" t="inlineStr">
        <is>
          <t>9500/000</t>
        </is>
      </c>
      <c r="E10566" s="3" t="inlineStr">
        <is>
          <t>VAT Control Account</t>
        </is>
      </c>
      <c r="F10566" s="3" t="n">
        <v>-51584.21</v>
      </c>
      <c r="G10566" s="3" t="n">
        <v>129614.3</v>
      </c>
    </row>
    <row r="10567">
      <c r="A10567" s="3" t="inlineStr">
        <is>
          <t>Opportunity Global Sales (PTY) LTD</t>
        </is>
      </c>
      <c r="B10567" s="4" t="n">
        <v>44804</v>
      </c>
      <c r="C10567" s="3" t="inlineStr">
        <is>
          <t>Liabilities</t>
        </is>
      </c>
      <c r="D10567" s="3" t="inlineStr">
        <is>
          <t>9500/000</t>
        </is>
      </c>
      <c r="E10567" s="3" t="inlineStr">
        <is>
          <t>VAT Control Account</t>
        </is>
      </c>
      <c r="F10567" s="3" t="n">
        <v>-1105.72</v>
      </c>
      <c r="G10567" s="3" t="n">
        <v>-207988.51</v>
      </c>
    </row>
    <row r="10568">
      <c r="A10568" s="3" t="inlineStr">
        <is>
          <t>Opportunity Management Holdings (PTY) LTD</t>
        </is>
      </c>
      <c r="B10568" s="4" t="n">
        <v>44804</v>
      </c>
      <c r="C10568" s="3" t="inlineStr">
        <is>
          <t>Liabilities</t>
        </is>
      </c>
      <c r="D10568" s="3" t="inlineStr">
        <is>
          <t>9500/000</t>
        </is>
      </c>
      <c r="E10568" s="3" t="inlineStr">
        <is>
          <t>VAT Control Account</t>
        </is>
      </c>
      <c r="F10568" s="3" t="n">
        <v>196571.52</v>
      </c>
      <c r="G10568" s="3" t="n">
        <v>55601.85</v>
      </c>
    </row>
    <row r="10569">
      <c r="A10569" s="3" t="inlineStr">
        <is>
          <t>Endulini (Pty) Ltd</t>
        </is>
      </c>
      <c r="B10569" s="4" t="n">
        <v>44804</v>
      </c>
      <c r="C10569" s="3" t="inlineStr">
        <is>
          <t>Liabilities</t>
        </is>
      </c>
      <c r="D10569" s="3" t="inlineStr">
        <is>
          <t>9500/000</t>
        </is>
      </c>
      <c r="E10569" s="3" t="inlineStr">
        <is>
          <t>Vat / Tax Control Account</t>
        </is>
      </c>
      <c r="F10569" s="3" t="n">
        <v>-153904.64</v>
      </c>
      <c r="G10569" s="3" t="n">
        <v>86507.50999999999</v>
      </c>
    </row>
    <row r="10570">
      <c r="A10570" s="3" t="inlineStr">
        <is>
          <t>Quinate Consulting (Pty) Ltd</t>
        </is>
      </c>
      <c r="B10570" s="4" t="n">
        <v>44804</v>
      </c>
      <c r="C10570" s="3" t="inlineStr">
        <is>
          <t>Liabilities</t>
        </is>
      </c>
      <c r="D10570" s="3" t="inlineStr">
        <is>
          <t>9500/000</t>
        </is>
      </c>
      <c r="E10570" s="3" t="inlineStr">
        <is>
          <t>Vat Control Account</t>
        </is>
      </c>
      <c r="F10570" s="3" t="n">
        <v>12365.87</v>
      </c>
      <c r="G10570" s="3" t="n">
        <v>-2407827.76</v>
      </c>
    </row>
    <row r="10571">
      <c r="A10571" s="3" t="inlineStr">
        <is>
          <t>Opportunity Management Holdings (PTY) LTD</t>
        </is>
      </c>
      <c r="B10571" s="4" t="n">
        <v>44804</v>
      </c>
      <c r="C10571" s="3" t="inlineStr">
        <is>
          <t>Liabilities</t>
        </is>
      </c>
      <c r="D10571" s="3" t="inlineStr">
        <is>
          <t>9501/000</t>
        </is>
      </c>
      <c r="E10571" s="3" t="inlineStr">
        <is>
          <t>Vat Adjustments - C2M</t>
        </is>
      </c>
      <c r="F10571" s="3" t="n">
        <v>0</v>
      </c>
      <c r="G10571" s="3" t="n">
        <v>47274.04</v>
      </c>
    </row>
    <row r="10572">
      <c r="A10572" s="3" t="inlineStr">
        <is>
          <t>Endulini (Pty) Ltd</t>
        </is>
      </c>
      <c r="B10572" s="4" t="n">
        <v>44804</v>
      </c>
      <c r="C10572" s="3" t="inlineStr">
        <is>
          <t>Liabilities</t>
        </is>
      </c>
      <c r="D10572" s="3" t="inlineStr">
        <is>
          <t>9899/D103</t>
        </is>
      </c>
      <c r="E10572" s="3" t="inlineStr">
        <is>
          <t>Sales - Unit Reg Control D103</t>
        </is>
      </c>
      <c r="F10572" s="3" t="n">
        <v>301095.89</v>
      </c>
      <c r="G10572" s="3" t="n">
        <v>301095.89</v>
      </c>
    </row>
    <row r="10573">
      <c r="A10573" s="3" t="inlineStr">
        <is>
          <t>Quinate Consulting (Pty) Ltd</t>
        </is>
      </c>
      <c r="B10573" s="4" t="n">
        <v>44804</v>
      </c>
      <c r="C10573" s="3" t="inlineStr">
        <is>
          <t>Liabilities</t>
        </is>
      </c>
      <c r="D10573" s="3" t="inlineStr">
        <is>
          <t>9960/000</t>
        </is>
      </c>
      <c r="E10573" s="3" t="inlineStr">
        <is>
          <t>Deposits - Southwark Rentals</t>
        </is>
      </c>
      <c r="F10573" s="3" t="n">
        <v>0</v>
      </c>
      <c r="G10573" s="3" t="n">
        <v>-11500</v>
      </c>
    </row>
    <row r="10574">
      <c r="A10574" s="3" t="inlineStr">
        <is>
          <t>Noble Shield (Pty) Ltd ta Go Letting</t>
        </is>
      </c>
      <c r="B10574" s="4" t="n">
        <v>44804</v>
      </c>
      <c r="C10574" s="3" t="inlineStr">
        <is>
          <t>Expenses</t>
        </is>
      </c>
      <c r="D10574" s="3" t="inlineStr">
        <is>
          <t>ACB Link</t>
        </is>
      </c>
      <c r="E10574" s="3" t="inlineStr">
        <is>
          <t>Subscriptions - TPN</t>
        </is>
      </c>
      <c r="F10574" s="3" t="n">
        <v>2810.63</v>
      </c>
      <c r="G10574" s="3" t="n">
        <v>22719.45</v>
      </c>
    </row>
    <row r="10575">
      <c r="A10575" s="3" t="inlineStr">
        <is>
          <t>Noble Shield (Pty) Ltd ta Go Letting</t>
        </is>
      </c>
      <c r="B10575" s="4" t="n">
        <v>44804</v>
      </c>
      <c r="C10575" s="3" t="inlineStr">
        <is>
          <t>Liabilities</t>
        </is>
      </c>
      <c r="D10575" s="3" t="inlineStr">
        <is>
          <t>B/S</t>
        </is>
      </c>
      <c r="E10575" s="3" t="inlineStr">
        <is>
          <t>Tax Payable</t>
        </is>
      </c>
      <c r="F10575" s="3" t="n">
        <v>1630.24</v>
      </c>
      <c r="G10575" s="3" t="n">
        <v>-5213.16</v>
      </c>
    </row>
    <row r="10576">
      <c r="A10576" s="3" t="inlineStr">
        <is>
          <t>Trademark Holdings (Pty) Ltd</t>
        </is>
      </c>
      <c r="B10576" s="4" t="n">
        <v>44804</v>
      </c>
      <c r="C10576" s="3" t="inlineStr">
        <is>
          <t>Liabilities</t>
        </is>
      </c>
      <c r="D10576" s="3" t="inlineStr">
        <is>
          <t>B/S</t>
        </is>
      </c>
      <c r="E10576" s="3" t="inlineStr">
        <is>
          <t>Taxation Payable</t>
        </is>
      </c>
      <c r="F10576" s="3" t="n">
        <v>1607.2</v>
      </c>
      <c r="G10576" s="3" t="n">
        <v>-353.36</v>
      </c>
    </row>
    <row r="10577">
      <c r="A10577" s="3" t="inlineStr">
        <is>
          <t>Quinate Consulting (Pty) Ltd</t>
        </is>
      </c>
      <c r="B10577" s="4" t="n">
        <v>44804</v>
      </c>
      <c r="C10577" s="3" t="inlineStr">
        <is>
          <t>Liabilities</t>
        </is>
      </c>
      <c r="D10577" s="3" t="inlineStr">
        <is>
          <t xml:space="preserve">B/S </t>
        </is>
      </c>
      <c r="E10577" s="3" t="inlineStr">
        <is>
          <t>Taxation Payable</t>
        </is>
      </c>
      <c r="F10577" s="3" t="n">
        <v>0</v>
      </c>
      <c r="G10577" s="3" t="n">
        <v>-15486</v>
      </c>
    </row>
    <row r="10578">
      <c r="A10578" s="3" t="inlineStr">
        <is>
          <t>Quinate Consulting (Pty) Ltd</t>
        </is>
      </c>
      <c r="B10578" s="4" t="n">
        <v>44804</v>
      </c>
      <c r="C10578" s="3" t="inlineStr">
        <is>
          <t>Liabilities</t>
        </is>
      </c>
      <c r="D10578" s="3" t="inlineStr">
        <is>
          <t>FV</t>
        </is>
      </c>
      <c r="E10578" s="3" t="inlineStr">
        <is>
          <t>Loan - Cape Projects Constuction</t>
        </is>
      </c>
      <c r="F10578" s="3" t="n">
        <v>0</v>
      </c>
      <c r="G10578" s="3" t="n">
        <v>-2730000</v>
      </c>
    </row>
    <row r="10579">
      <c r="A10579" s="3" t="inlineStr">
        <is>
          <t>Trademark Holdings (Pty) Ltd</t>
        </is>
      </c>
      <c r="B10579" s="4" t="n">
        <v>44804</v>
      </c>
      <c r="C10579" s="3" t="inlineStr">
        <is>
          <t>Expenses</t>
        </is>
      </c>
      <c r="D10579" s="3" t="inlineStr">
        <is>
          <t>I/S</t>
        </is>
      </c>
      <c r="E10579" s="3" t="inlineStr">
        <is>
          <t>Income Tax Current Year</t>
        </is>
      </c>
      <c r="F10579" s="3" t="n">
        <v>0</v>
      </c>
      <c r="G10579" s="3" t="n">
        <v>2251.76</v>
      </c>
    </row>
    <row r="10580">
      <c r="A10580" s="3" t="inlineStr">
        <is>
          <t>Quinate Consulting (Pty) Ltd</t>
        </is>
      </c>
      <c r="B10580" s="4" t="n">
        <v>44804</v>
      </c>
      <c r="C10580" s="3" t="inlineStr">
        <is>
          <t>Liabilities</t>
        </is>
      </c>
      <c r="D10580" s="3" t="inlineStr">
        <is>
          <t>Sharehold OppDev</t>
        </is>
      </c>
      <c r="E10580" s="3" t="inlineStr">
        <is>
          <t>Loan - Justine Morgan</t>
        </is>
      </c>
      <c r="F10580" s="3" t="n">
        <v>0</v>
      </c>
      <c r="G10580" s="3" t="n">
        <v>-563766.76</v>
      </c>
    </row>
    <row r="10581">
      <c r="A10581" s="3" t="inlineStr">
        <is>
          <t>Opportunity Global Investment (PTY) LTD</t>
        </is>
      </c>
      <c r="B10581" s="4" t="n">
        <v>44804</v>
      </c>
      <c r="C10581" s="3" t="inlineStr">
        <is>
          <t>Expenses</t>
        </is>
      </c>
      <c r="D10581" s="3" t="inlineStr">
        <is>
          <t>Swiftshutter</t>
        </is>
      </c>
      <c r="E10581" s="3" t="inlineStr">
        <is>
          <t>Advertising - Rousseau Lotter</t>
        </is>
      </c>
      <c r="F10581" s="3" t="n">
        <v>0</v>
      </c>
      <c r="G10581" s="3" t="n">
        <v>6600</v>
      </c>
    </row>
    <row r="10582">
      <c r="A10582" s="3" t="inlineStr">
        <is>
          <t>Opportunity Global Sales (PTY) LTD</t>
        </is>
      </c>
      <c r="B10582" s="4" t="n">
        <v>44834</v>
      </c>
      <c r="C10582" s="3" t="inlineStr">
        <is>
          <t>Revenue</t>
        </is>
      </c>
      <c r="D10582" s="3" t="inlineStr">
        <is>
          <t>1000/009</t>
        </is>
      </c>
      <c r="E10582" s="3" t="inlineStr">
        <is>
          <t>Sales - Comm on Payprop</t>
        </is>
      </c>
      <c r="F10582" s="3" t="n">
        <v>-2350.03</v>
      </c>
      <c r="G10582" s="3" t="n">
        <v>-20467.33</v>
      </c>
    </row>
    <row r="10583">
      <c r="A10583" s="3" t="inlineStr">
        <is>
          <t>Quinate Consulting (Pty) Ltd</t>
        </is>
      </c>
      <c r="B10583" s="4" t="n">
        <v>44834</v>
      </c>
      <c r="C10583" s="3" t="inlineStr">
        <is>
          <t>Revenue</t>
        </is>
      </c>
      <c r="D10583" s="3" t="inlineStr">
        <is>
          <t>1000/011</t>
        </is>
      </c>
      <c r="E10583" s="3" t="inlineStr">
        <is>
          <t>Rent Received - Soho Unit 23</t>
        </is>
      </c>
      <c r="F10583" s="3" t="n">
        <v>-12500</v>
      </c>
      <c r="G10583" s="3" t="n">
        <v>-87500</v>
      </c>
    </row>
    <row r="10584">
      <c r="A10584" s="3" t="inlineStr">
        <is>
          <t>Quinate Consulting (Pty) Ltd</t>
        </is>
      </c>
      <c r="B10584" s="4" t="n">
        <v>44834</v>
      </c>
      <c r="C10584" s="3" t="inlineStr">
        <is>
          <t>Revenue</t>
        </is>
      </c>
      <c r="D10584" s="3" t="inlineStr">
        <is>
          <t>1000/012</t>
        </is>
      </c>
      <c r="E10584" s="3" t="inlineStr">
        <is>
          <t>Rent Received - Soho Unit 24</t>
        </is>
      </c>
      <c r="F10584" s="3" t="n">
        <v>-14445</v>
      </c>
      <c r="G10584" s="3" t="n">
        <v>-97335</v>
      </c>
    </row>
    <row r="10585">
      <c r="A10585" s="3" t="inlineStr">
        <is>
          <t>Quinate Consulting (Pty) Ltd</t>
        </is>
      </c>
      <c r="B10585" s="4" t="n">
        <v>44834</v>
      </c>
      <c r="C10585" s="3" t="inlineStr">
        <is>
          <t>Revenue</t>
        </is>
      </c>
      <c r="D10585" s="3" t="inlineStr">
        <is>
          <t>1000/013</t>
        </is>
      </c>
      <c r="E10585" s="3" t="inlineStr">
        <is>
          <t>Rent Recieved - Soho Unit 20</t>
        </is>
      </c>
      <c r="F10585" s="3" t="n">
        <v>-12500</v>
      </c>
      <c r="G10585" s="3" t="n">
        <v>-87500</v>
      </c>
    </row>
    <row r="10586">
      <c r="A10586" s="3" t="inlineStr">
        <is>
          <t>Quinate Consulting (Pty) Ltd</t>
        </is>
      </c>
      <c r="B10586" s="4" t="n">
        <v>44834</v>
      </c>
      <c r="C10586" s="3" t="inlineStr">
        <is>
          <t>Revenue</t>
        </is>
      </c>
      <c r="D10586" s="3" t="inlineStr">
        <is>
          <t>1000/015</t>
        </is>
      </c>
      <c r="E10586" s="3" t="inlineStr">
        <is>
          <t>Rent Received - Southwark Unit 1</t>
        </is>
      </c>
      <c r="F10586" s="3" t="n">
        <v>0</v>
      </c>
      <c r="G10586" s="3" t="n">
        <v>-20000</v>
      </c>
    </row>
    <row r="10587">
      <c r="A10587" s="3" t="inlineStr">
        <is>
          <t>Quinate Consulting (Pty) Ltd</t>
        </is>
      </c>
      <c r="B10587" s="4" t="n">
        <v>44834</v>
      </c>
      <c r="C10587" s="3" t="inlineStr">
        <is>
          <t>Revenue</t>
        </is>
      </c>
      <c r="D10587" s="3" t="inlineStr">
        <is>
          <t>1000/016</t>
        </is>
      </c>
      <c r="E10587" s="3" t="inlineStr">
        <is>
          <t>Rent Recieved - Southwark Unit 21</t>
        </is>
      </c>
      <c r="F10587" s="3" t="n">
        <v>-10000</v>
      </c>
      <c r="G10587" s="3" t="n">
        <v>-70000</v>
      </c>
    </row>
    <row r="10588">
      <c r="A10588" s="3" t="inlineStr">
        <is>
          <t>Opportunity Global Sales (PTY) LTD</t>
        </is>
      </c>
      <c r="B10588" s="4" t="n">
        <v>44834</v>
      </c>
      <c r="C10588" s="3" t="inlineStr">
        <is>
          <t>Revenue</t>
        </is>
      </c>
      <c r="D10588" s="3" t="inlineStr">
        <is>
          <t>1000/100</t>
        </is>
      </c>
      <c r="E10588" s="3" t="inlineStr">
        <is>
          <t>Sales - Comm on External Sales</t>
        </is>
      </c>
      <c r="F10588" s="3" t="n">
        <v>0</v>
      </c>
      <c r="G10588" s="3" t="n">
        <v>-96165.22</v>
      </c>
    </row>
    <row r="10589">
      <c r="A10589" s="3" t="inlineStr">
        <is>
          <t>Noble Shield (Pty) Ltd ta Go Letting</t>
        </is>
      </c>
      <c r="B10589" s="4" t="n">
        <v>44834</v>
      </c>
      <c r="C10589" s="3" t="inlineStr">
        <is>
          <t>Revenue</t>
        </is>
      </c>
      <c r="D10589" s="3" t="inlineStr">
        <is>
          <t>1000/100</t>
        </is>
      </c>
      <c r="E10589" s="3" t="inlineStr">
        <is>
          <t>Sales - Payprop 328 - Michelle</t>
        </is>
      </c>
      <c r="F10589" s="3" t="n">
        <v>-71786.33</v>
      </c>
      <c r="G10589" s="3" t="n">
        <v>-71786.33</v>
      </c>
    </row>
    <row r="10590">
      <c r="A10590" s="3" t="inlineStr">
        <is>
          <t>Opportunity Global Sales (PTY) LTD</t>
        </is>
      </c>
      <c r="B10590" s="4" t="n">
        <v>44834</v>
      </c>
      <c r="C10590" s="3" t="inlineStr">
        <is>
          <t>Revenue</t>
        </is>
      </c>
      <c r="D10590" s="3" t="inlineStr">
        <is>
          <t>1000/120</t>
        </is>
      </c>
      <c r="E10590" s="3" t="inlineStr">
        <is>
          <t>Sales - Admin Fees on Rental Units</t>
        </is>
      </c>
      <c r="F10590" s="3" t="n">
        <v>-1304.34</v>
      </c>
      <c r="G10590" s="3" t="n">
        <v>-14913</v>
      </c>
    </row>
    <row r="10591">
      <c r="A10591" s="3" t="inlineStr">
        <is>
          <t>Opportunity Global Sales (PTY) LTD</t>
        </is>
      </c>
      <c r="B10591" s="4" t="n">
        <v>44834</v>
      </c>
      <c r="C10591" s="3" t="inlineStr">
        <is>
          <t>Revenue</t>
        </is>
      </c>
      <c r="D10591" s="3" t="inlineStr">
        <is>
          <t>1000/150</t>
        </is>
      </c>
      <c r="E10591" s="3" t="inlineStr">
        <is>
          <t>Sales - Comm on External Rental</t>
        </is>
      </c>
      <c r="F10591" s="3" t="n">
        <v>-11391.31</v>
      </c>
      <c r="G10591" s="3" t="n">
        <v>-138452.17</v>
      </c>
    </row>
    <row r="10592">
      <c r="A10592" s="3" t="inlineStr">
        <is>
          <t>Opportunity Global Sales (PTY) LTD</t>
        </is>
      </c>
      <c r="B10592" s="4" t="n">
        <v>44834</v>
      </c>
      <c r="C10592" s="3" t="inlineStr">
        <is>
          <t>Revenue</t>
        </is>
      </c>
      <c r="D10592" s="3" t="inlineStr">
        <is>
          <t>1000/250</t>
        </is>
      </c>
      <c r="E10592" s="3" t="inlineStr">
        <is>
          <t>Sales - Comm on Endulini</t>
        </is>
      </c>
      <c r="F10592" s="3" t="n">
        <v>-270852.18</v>
      </c>
      <c r="G10592" s="3" t="n">
        <v>-1578729.13</v>
      </c>
    </row>
    <row r="10593">
      <c r="A10593" s="3" t="inlineStr">
        <is>
          <t>Trademark Holdings (Pty) Ltd</t>
        </is>
      </c>
      <c r="B10593" s="4" t="n">
        <v>44834</v>
      </c>
      <c r="C10593" s="3" t="inlineStr">
        <is>
          <t>Revenue</t>
        </is>
      </c>
      <c r="D10593" s="3" t="inlineStr">
        <is>
          <t>1000/300</t>
        </is>
      </c>
      <c r="E10593" s="3" t="inlineStr">
        <is>
          <t>Sales - Payprop - Lara</t>
        </is>
      </c>
      <c r="F10593" s="3" t="n">
        <v>-87785.64999999999</v>
      </c>
      <c r="G10593" s="3" t="n">
        <v>-87785.64999999999</v>
      </c>
    </row>
    <row r="10594">
      <c r="A10594" s="3" t="inlineStr">
        <is>
          <t>Opportunity Global Investment (PTY) LTD</t>
        </is>
      </c>
      <c r="B10594" s="4" t="n">
        <v>44834</v>
      </c>
      <c r="C10594" s="3" t="inlineStr">
        <is>
          <t>Revenue</t>
        </is>
      </c>
      <c r="D10594" s="3" t="inlineStr">
        <is>
          <t>1000/350</t>
        </is>
      </c>
      <c r="E10594" s="3" t="inlineStr">
        <is>
          <t>Sales - Investor Management - Heron Fields</t>
        </is>
      </c>
      <c r="F10594" s="3" t="n">
        <v>-380869.57</v>
      </c>
      <c r="G10594" s="3" t="n">
        <v>-1152654.46</v>
      </c>
    </row>
    <row r="10595">
      <c r="A10595" s="3" t="inlineStr">
        <is>
          <t>Opportunity Global Sales (PTY) LTD</t>
        </is>
      </c>
      <c r="B10595" s="4" t="n">
        <v>44834</v>
      </c>
      <c r="C10595" s="3" t="inlineStr">
        <is>
          <t>Revenue</t>
        </is>
      </c>
      <c r="D10595" s="3" t="inlineStr">
        <is>
          <t>1000/902</t>
        </is>
      </c>
      <c r="E10595" s="3" t="inlineStr">
        <is>
          <t>Sales - Credit check</t>
        </is>
      </c>
      <c r="F10595" s="3" t="n">
        <v>0</v>
      </c>
      <c r="G10595" s="3" t="n">
        <v>-60.87</v>
      </c>
    </row>
    <row r="10596">
      <c r="A10596" s="3" t="inlineStr">
        <is>
          <t>Quinate Consulting (Pty) Ltd</t>
        </is>
      </c>
      <c r="B10596" s="4" t="n">
        <v>44834</v>
      </c>
      <c r="C10596" s="3" t="inlineStr">
        <is>
          <t>Revenue</t>
        </is>
      </c>
      <c r="D10596" s="3" t="inlineStr">
        <is>
          <t>1004/000</t>
        </is>
      </c>
      <c r="E10596" s="3" t="inlineStr">
        <is>
          <t>Interest received</t>
        </is>
      </c>
      <c r="F10596" s="3" t="n">
        <v>-514.36</v>
      </c>
      <c r="G10596" s="3" t="n">
        <v>-2872.68</v>
      </c>
    </row>
    <row r="10597">
      <c r="A10597" s="3" t="inlineStr">
        <is>
          <t>Quinate Consulting (Pty) Ltd</t>
        </is>
      </c>
      <c r="B10597" s="4" t="n">
        <v>44834</v>
      </c>
      <c r="C10597" s="3" t="inlineStr">
        <is>
          <t>Revenue</t>
        </is>
      </c>
      <c r="D10597" s="3" t="inlineStr">
        <is>
          <t>1006/100</t>
        </is>
      </c>
      <c r="E10597" s="3" t="inlineStr">
        <is>
          <t>Rental income - Payprop</t>
        </is>
      </c>
      <c r="F10597" s="3" t="n">
        <v>-4800</v>
      </c>
      <c r="G10597" s="3" t="n">
        <v>-4800</v>
      </c>
    </row>
    <row r="10598">
      <c r="A10598" s="3" t="inlineStr">
        <is>
          <t>Endulini (Pty) Ltd</t>
        </is>
      </c>
      <c r="B10598" s="4" t="n">
        <v>44834</v>
      </c>
      <c r="C10598" s="3" t="inlineStr">
        <is>
          <t>Revenue</t>
        </is>
      </c>
      <c r="D10598" s="3" t="inlineStr">
        <is>
          <t>1100/000</t>
        </is>
      </c>
      <c r="E10598" s="3" t="inlineStr">
        <is>
          <t>Sales - Endulini</t>
        </is>
      </c>
      <c r="F10598" s="3" t="n">
        <v>-5369217.39</v>
      </c>
      <c r="G10598" s="3" t="n">
        <v>-33699940.33</v>
      </c>
    </row>
    <row r="10599">
      <c r="A10599" s="3" t="inlineStr">
        <is>
          <t>Opportunity Management Holdings (PTY) LTD</t>
        </is>
      </c>
      <c r="B10599" s="4" t="n">
        <v>44834</v>
      </c>
      <c r="C10599" s="3" t="inlineStr">
        <is>
          <t>Revenue</t>
        </is>
      </c>
      <c r="D10599" s="3" t="inlineStr">
        <is>
          <t>1100/001</t>
        </is>
      </c>
      <c r="E10599" s="3" t="inlineStr">
        <is>
          <t>Salary Recharges</t>
        </is>
      </c>
      <c r="F10599" s="3" t="n">
        <v>-378500</v>
      </c>
      <c r="G10599" s="3" t="n">
        <v>-378500</v>
      </c>
    </row>
    <row r="10600">
      <c r="A10600" s="3" t="inlineStr">
        <is>
          <t>Endulini (Pty) Ltd</t>
        </is>
      </c>
      <c r="B10600" s="4" t="n">
        <v>44834</v>
      </c>
      <c r="C10600" s="3" t="inlineStr">
        <is>
          <t>Revenue</t>
        </is>
      </c>
      <c r="D10600" s="3" t="inlineStr">
        <is>
          <t>1100/100</t>
        </is>
      </c>
      <c r="E10600" s="3" t="inlineStr">
        <is>
          <t>Sales - Endulini - Exstras</t>
        </is>
      </c>
      <c r="F10600" s="3" t="n">
        <v>0</v>
      </c>
      <c r="G10600" s="3" t="n">
        <v>-8030</v>
      </c>
    </row>
    <row r="10601">
      <c r="A10601" s="3" t="inlineStr">
        <is>
          <t>Endulini (Pty) Ltd</t>
        </is>
      </c>
      <c r="B10601" s="4" t="n">
        <v>44834</v>
      </c>
      <c r="C10601" s="3" t="inlineStr">
        <is>
          <t>Revenue</t>
        </is>
      </c>
      <c r="D10601" s="3" t="inlineStr">
        <is>
          <t>1100/150</t>
        </is>
      </c>
      <c r="E10601" s="3" t="inlineStr">
        <is>
          <t>Sales - Endulini - Extras admin fee</t>
        </is>
      </c>
      <c r="F10601" s="3" t="n">
        <v>0</v>
      </c>
      <c r="G10601" s="3" t="n">
        <v>-2000</v>
      </c>
    </row>
    <row r="10602">
      <c r="A10602" s="3" t="inlineStr">
        <is>
          <t>Endulini (Pty) Ltd</t>
        </is>
      </c>
      <c r="B10602" s="4" t="n">
        <v>44834</v>
      </c>
      <c r="C10602" s="3" t="inlineStr">
        <is>
          <t>Revenue</t>
        </is>
      </c>
      <c r="D10602" s="3" t="inlineStr">
        <is>
          <t>1100/200</t>
        </is>
      </c>
      <c r="E10602" s="3" t="inlineStr">
        <is>
          <t>Sales - Endulini occupational rent</t>
        </is>
      </c>
      <c r="F10602" s="3" t="n">
        <v>0</v>
      </c>
      <c r="G10602" s="3" t="n">
        <v>-148109.42</v>
      </c>
    </row>
    <row r="10603">
      <c r="A10603" s="3" t="inlineStr">
        <is>
          <t>Endulini (Pty) Ltd</t>
        </is>
      </c>
      <c r="B10603" s="4" t="n">
        <v>44834</v>
      </c>
      <c r="C10603" s="3" t="inlineStr">
        <is>
          <t>Expenses</t>
        </is>
      </c>
      <c r="D10603" s="3" t="inlineStr">
        <is>
          <t>2000/001</t>
        </is>
      </c>
      <c r="E10603" s="3" t="inlineStr">
        <is>
          <t>COS - CIP Construction</t>
        </is>
      </c>
      <c r="F10603" s="3" t="n">
        <v>0</v>
      </c>
      <c r="G10603" s="3" t="n">
        <v>28155981.9</v>
      </c>
    </row>
    <row r="10604">
      <c r="A10604" s="3" t="inlineStr">
        <is>
          <t>Opportunity Global Sales (PTY) LTD</t>
        </is>
      </c>
      <c r="B10604" s="4" t="n">
        <v>44834</v>
      </c>
      <c r="C10604" s="3" t="inlineStr">
        <is>
          <t>Expenses</t>
        </is>
      </c>
      <c r="D10604" s="3" t="inlineStr">
        <is>
          <t>2000/010</t>
        </is>
      </c>
      <c r="E10604" s="3" t="inlineStr">
        <is>
          <t>COS - PAYE on Commission</t>
        </is>
      </c>
      <c r="F10604" s="3" t="n">
        <v>36830.5</v>
      </c>
      <c r="G10604" s="3" t="n">
        <v>36830.5</v>
      </c>
    </row>
    <row r="10605">
      <c r="A10605" s="3" t="inlineStr">
        <is>
          <t>Endulini (Pty) Ltd</t>
        </is>
      </c>
      <c r="B10605" s="4" t="n">
        <v>44834</v>
      </c>
      <c r="C10605" s="3" t="inlineStr">
        <is>
          <t>Expenses</t>
        </is>
      </c>
      <c r="D10605" s="3" t="inlineStr">
        <is>
          <t>2000/100</t>
        </is>
      </c>
      <c r="E10605" s="3" t="inlineStr">
        <is>
          <t>COS - Commission Endulini</t>
        </is>
      </c>
      <c r="F10605" s="3" t="n">
        <v>270852.18</v>
      </c>
      <c r="G10605" s="3" t="n">
        <v>1912729.13</v>
      </c>
    </row>
    <row r="10606">
      <c r="A10606" s="3" t="inlineStr">
        <is>
          <t>Noble Shield (Pty) Ltd ta Go Letting</t>
        </is>
      </c>
      <c r="B10606" s="4" t="n">
        <v>44834</v>
      </c>
      <c r="C10606" s="3" t="inlineStr">
        <is>
          <t>Expenses</t>
        </is>
      </c>
      <c r="D10606" s="3" t="inlineStr">
        <is>
          <t>2000/100</t>
        </is>
      </c>
      <c r="E10606" s="3" t="inlineStr">
        <is>
          <t>COS - Commission Paid</t>
        </is>
      </c>
      <c r="F10606" s="3" t="n">
        <v>103422.9</v>
      </c>
      <c r="G10606" s="3" t="n">
        <v>103422.9</v>
      </c>
    </row>
    <row r="10607">
      <c r="A10607" s="3" t="inlineStr">
        <is>
          <t>Opportunity Global Investment (PTY) LTD</t>
        </is>
      </c>
      <c r="B10607" s="4" t="n">
        <v>44834</v>
      </c>
      <c r="C10607" s="3" t="inlineStr">
        <is>
          <t>Expenses</t>
        </is>
      </c>
      <c r="D10607" s="3" t="inlineStr">
        <is>
          <t>2000/125</t>
        </is>
      </c>
      <c r="E10607" s="3" t="inlineStr">
        <is>
          <t>Referral commission - Endulini</t>
        </is>
      </c>
      <c r="F10607" s="3" t="n">
        <v>0</v>
      </c>
      <c r="G10607" s="3" t="n">
        <v>19000</v>
      </c>
    </row>
    <row r="10608">
      <c r="A10608" s="3" t="inlineStr">
        <is>
          <t>Opportunity Global Sales (PTY) LTD</t>
        </is>
      </c>
      <c r="B10608" s="4" t="n">
        <v>44834</v>
      </c>
      <c r="C10608" s="3" t="inlineStr">
        <is>
          <t>Expenses</t>
        </is>
      </c>
      <c r="D10608" s="3" t="inlineStr">
        <is>
          <t>2000/131</t>
        </is>
      </c>
      <c r="E10608" s="3" t="inlineStr">
        <is>
          <t>COS - Sales Comm Endulini - Anthony</t>
        </is>
      </c>
      <c r="F10608" s="3" t="n">
        <v>0</v>
      </c>
      <c r="G10608" s="3" t="n">
        <v>62272.01</v>
      </c>
    </row>
    <row r="10609">
      <c r="A10609" s="3" t="inlineStr">
        <is>
          <t>Opportunity Global Sales (PTY) LTD</t>
        </is>
      </c>
      <c r="B10609" s="4" t="n">
        <v>44834</v>
      </c>
      <c r="C10609" s="3" t="inlineStr">
        <is>
          <t>Expenses</t>
        </is>
      </c>
      <c r="D10609" s="3" t="inlineStr">
        <is>
          <t>2000/132</t>
        </is>
      </c>
      <c r="E10609" s="3" t="inlineStr">
        <is>
          <t>COS - Sales Comm Endulini - Minette</t>
        </is>
      </c>
      <c r="F10609" s="3" t="n">
        <v>28667.73</v>
      </c>
      <c r="G10609" s="3" t="n">
        <v>266208.91</v>
      </c>
    </row>
    <row r="10610">
      <c r="A10610" s="3" t="inlineStr">
        <is>
          <t>Opportunity Global Sales (PTY) LTD</t>
        </is>
      </c>
      <c r="B10610" s="4" t="n">
        <v>44834</v>
      </c>
      <c r="C10610" s="3" t="inlineStr">
        <is>
          <t>Expenses</t>
        </is>
      </c>
      <c r="D10610" s="3" t="inlineStr">
        <is>
          <t>2000/133</t>
        </is>
      </c>
      <c r="E10610" s="3" t="inlineStr">
        <is>
          <t>COS - Sales Comm Endulini - External Agents</t>
        </is>
      </c>
      <c r="F10610" s="3" t="n">
        <v>0</v>
      </c>
      <c r="G10610" s="3" t="n">
        <v>9966</v>
      </c>
    </row>
    <row r="10611">
      <c r="A10611" s="3" t="inlineStr">
        <is>
          <t>Opportunity Global Sales (PTY) LTD</t>
        </is>
      </c>
      <c r="B10611" s="4" t="n">
        <v>44834</v>
      </c>
      <c r="C10611" s="3" t="inlineStr">
        <is>
          <t>Expenses</t>
        </is>
      </c>
      <c r="D10611" s="3" t="inlineStr">
        <is>
          <t>2000/135</t>
        </is>
      </c>
      <c r="E10611" s="3" t="inlineStr">
        <is>
          <t>COS - Sales Comm External - Minette</t>
        </is>
      </c>
      <c r="F10611" s="3" t="n">
        <v>8233.040000000001</v>
      </c>
      <c r="G10611" s="3" t="n">
        <v>41422.54</v>
      </c>
    </row>
    <row r="10612">
      <c r="A10612" s="3" t="inlineStr">
        <is>
          <t>Opportunity Global Investment (PTY) LTD</t>
        </is>
      </c>
      <c r="B10612" s="4" t="n">
        <v>44834</v>
      </c>
      <c r="C10612" s="3" t="inlineStr">
        <is>
          <t>Expenses</t>
        </is>
      </c>
      <c r="D10612" s="3" t="inlineStr">
        <is>
          <t>2000/135</t>
        </is>
      </c>
      <c r="E10612" s="3" t="inlineStr">
        <is>
          <t>Referral commission - Heron View</t>
        </is>
      </c>
      <c r="F10612" s="3" t="n">
        <v>0</v>
      </c>
      <c r="G10612" s="3" t="n">
        <v>134000</v>
      </c>
    </row>
    <row r="10613">
      <c r="A10613" s="3" t="inlineStr">
        <is>
          <t>Opportunity Global Sales (PTY) LTD</t>
        </is>
      </c>
      <c r="B10613" s="4" t="n">
        <v>44834</v>
      </c>
      <c r="C10613" s="3" t="inlineStr">
        <is>
          <t>Expenses</t>
        </is>
      </c>
      <c r="D10613" s="3" t="inlineStr">
        <is>
          <t>2000/137</t>
        </is>
      </c>
      <c r="E10613" s="3" t="inlineStr">
        <is>
          <t>COS - Rental Comm External - Minette</t>
        </is>
      </c>
      <c r="F10613" s="3" t="n">
        <v>19210</v>
      </c>
      <c r="G10613" s="3" t="n">
        <v>63878.05</v>
      </c>
    </row>
    <row r="10614">
      <c r="A10614" s="3" t="inlineStr">
        <is>
          <t>Opportunity Global Sales (PTY) LTD</t>
        </is>
      </c>
      <c r="B10614" s="4" t="n">
        <v>44834</v>
      </c>
      <c r="C10614" s="3" t="inlineStr">
        <is>
          <t>Expenses</t>
        </is>
      </c>
      <c r="D10614" s="3" t="inlineStr">
        <is>
          <t>2000/139</t>
        </is>
      </c>
      <c r="E10614" s="3" t="inlineStr">
        <is>
          <t>COS - Sales Comm Heron Fields - Minette</t>
        </is>
      </c>
      <c r="F10614" s="3" t="n">
        <v>28172.61</v>
      </c>
      <c r="G10614" s="3" t="n">
        <v>202684.47</v>
      </c>
    </row>
    <row r="10615">
      <c r="A10615" s="3" t="inlineStr">
        <is>
          <t>Opportunity Global Investment (PTY) LTD</t>
        </is>
      </c>
      <c r="B10615" s="4" t="n">
        <v>44834</v>
      </c>
      <c r="C10615" s="3" t="inlineStr">
        <is>
          <t>Expenses</t>
        </is>
      </c>
      <c r="D10615" s="3" t="inlineStr">
        <is>
          <t>2000/140</t>
        </is>
      </c>
      <c r="E10615" s="3" t="inlineStr">
        <is>
          <t>Referral commission - F Geldenhuys</t>
        </is>
      </c>
      <c r="F10615" s="3" t="n">
        <v>53400</v>
      </c>
      <c r="G10615" s="3" t="n">
        <v>53400</v>
      </c>
    </row>
    <row r="10616">
      <c r="A10616" s="3" t="inlineStr">
        <is>
          <t>Opportunity Global Sales (PTY) LTD</t>
        </is>
      </c>
      <c r="B10616" s="4" t="n">
        <v>44834</v>
      </c>
      <c r="C10616" s="3" t="inlineStr">
        <is>
          <t>Expenses</t>
        </is>
      </c>
      <c r="D10616" s="3" t="inlineStr">
        <is>
          <t>2000/143</t>
        </is>
      </c>
      <c r="E10616" s="3" t="inlineStr">
        <is>
          <t>COS - Sales Comm Endulini - Yvette</t>
        </is>
      </c>
      <c r="F10616" s="3" t="n">
        <v>22102.92</v>
      </c>
      <c r="G10616" s="3" t="n">
        <v>22102.92</v>
      </c>
    </row>
    <row r="10617">
      <c r="A10617" s="3" t="inlineStr">
        <is>
          <t>Opportunity Global Investment (PTY) LTD</t>
        </is>
      </c>
      <c r="B10617" s="4" t="n">
        <v>44834</v>
      </c>
      <c r="C10617" s="3" t="inlineStr">
        <is>
          <t>Expenses</t>
        </is>
      </c>
      <c r="D10617" s="3" t="inlineStr">
        <is>
          <t>2000/145</t>
        </is>
      </c>
      <c r="E10617" s="3" t="inlineStr">
        <is>
          <t>Referral commission - W Thomason</t>
        </is>
      </c>
      <c r="F10617" s="3" t="n">
        <v>36000</v>
      </c>
      <c r="G10617" s="3" t="n">
        <v>36000</v>
      </c>
    </row>
    <row r="10618">
      <c r="A10618" s="3" t="inlineStr">
        <is>
          <t>Opportunity Global Sales (PTY) LTD</t>
        </is>
      </c>
      <c r="B10618" s="4" t="n">
        <v>44834</v>
      </c>
      <c r="C10618" s="3" t="inlineStr">
        <is>
          <t>Expenses</t>
        </is>
      </c>
      <c r="D10618" s="3" t="inlineStr">
        <is>
          <t>2000/147</t>
        </is>
      </c>
      <c r="E10618" s="3" t="inlineStr">
        <is>
          <t>COS - Sales Comm Heron Fields - Yvette</t>
        </is>
      </c>
      <c r="F10618" s="3" t="n">
        <v>11443.63</v>
      </c>
      <c r="G10618" s="3" t="n">
        <v>11443.63</v>
      </c>
    </row>
    <row r="10619">
      <c r="A10619" s="3" t="inlineStr">
        <is>
          <t>Trademark Holdings (Pty) Ltd</t>
        </is>
      </c>
      <c r="B10619" s="4" t="n">
        <v>44834</v>
      </c>
      <c r="C10619" s="3" t="inlineStr">
        <is>
          <t>Expenses</t>
        </is>
      </c>
      <c r="D10619" s="3" t="inlineStr">
        <is>
          <t>2000/300</t>
        </is>
      </c>
      <c r="E10619" s="3" t="inlineStr">
        <is>
          <t>COS - Commission Paid</t>
        </is>
      </c>
      <c r="F10619" s="3" t="n">
        <v>15922.3</v>
      </c>
      <c r="G10619" s="3" t="n">
        <v>15922.3</v>
      </c>
    </row>
    <row r="10620">
      <c r="A10620" s="3" t="inlineStr">
        <is>
          <t>Opportunity Global Sales (PTY) LTD</t>
        </is>
      </c>
      <c r="B10620" s="4" t="n">
        <v>44834</v>
      </c>
      <c r="C10620" s="3" t="inlineStr">
        <is>
          <t>Expenses</t>
        </is>
      </c>
      <c r="D10620" s="3" t="inlineStr">
        <is>
          <t>2000/350</t>
        </is>
      </c>
      <c r="E10620" s="3" t="inlineStr">
        <is>
          <t>COS - Overrider Comm Endulini - Donovan</t>
        </is>
      </c>
      <c r="F10620" s="3" t="n">
        <v>0</v>
      </c>
      <c r="G10620" s="3" t="n">
        <v>74207.21000000001</v>
      </c>
    </row>
    <row r="10621">
      <c r="A10621" s="3" t="inlineStr">
        <is>
          <t>Opportunity Global Sales (PTY) LTD</t>
        </is>
      </c>
      <c r="B10621" s="4" t="n">
        <v>44834</v>
      </c>
      <c r="C10621" s="3" t="inlineStr">
        <is>
          <t>Expenses</t>
        </is>
      </c>
      <c r="D10621" s="3" t="inlineStr">
        <is>
          <t>2000/351</t>
        </is>
      </c>
      <c r="E10621" s="3" t="inlineStr">
        <is>
          <t>COS - Overrider Comm External - Donovan</t>
        </is>
      </c>
      <c r="F10621" s="3" t="n">
        <v>0</v>
      </c>
      <c r="G10621" s="3" t="n">
        <v>7030.44</v>
      </c>
    </row>
    <row r="10622">
      <c r="A10622" s="3" t="inlineStr">
        <is>
          <t>Opportunity Global Sales (PTY) LTD</t>
        </is>
      </c>
      <c r="B10622" s="4" t="n">
        <v>44834</v>
      </c>
      <c r="C10622" s="3" t="inlineStr">
        <is>
          <t>Expenses</t>
        </is>
      </c>
      <c r="D10622" s="3" t="inlineStr">
        <is>
          <t>2000/370</t>
        </is>
      </c>
      <c r="E10622" s="3" t="inlineStr">
        <is>
          <t>COS - Overrider Comm Endulini - Morne</t>
        </is>
      </c>
      <c r="F10622" s="3" t="n">
        <v>8161.44</v>
      </c>
      <c r="G10622" s="3" t="n">
        <v>12269.29</v>
      </c>
    </row>
    <row r="10623">
      <c r="A10623" s="3" t="inlineStr">
        <is>
          <t>Opportunity Global Sales (PTY) LTD</t>
        </is>
      </c>
      <c r="B10623" s="4" t="n">
        <v>44834</v>
      </c>
      <c r="C10623" s="3" t="inlineStr">
        <is>
          <t>Expenses</t>
        </is>
      </c>
      <c r="D10623" s="3" t="inlineStr">
        <is>
          <t>2000/380</t>
        </is>
      </c>
      <c r="E10623" s="3" t="inlineStr">
        <is>
          <t>COS - Overrider Comm Heron Fields - Morne</t>
        </is>
      </c>
      <c r="F10623" s="3" t="n">
        <v>5024.67</v>
      </c>
      <c r="G10623" s="3" t="n">
        <v>16264.76</v>
      </c>
    </row>
    <row r="10624">
      <c r="A10624" s="3" t="inlineStr">
        <is>
          <t>Endulini (Pty) Ltd</t>
        </is>
      </c>
      <c r="B10624" s="4" t="n">
        <v>44834</v>
      </c>
      <c r="C10624" s="3" t="inlineStr">
        <is>
          <t>Expenses</t>
        </is>
      </c>
      <c r="D10624" s="3" t="inlineStr">
        <is>
          <t>2000/400</t>
        </is>
      </c>
      <c r="E10624" s="3" t="inlineStr">
        <is>
          <t>COS - Gifts</t>
        </is>
      </c>
      <c r="F10624" s="3" t="n">
        <v>0</v>
      </c>
      <c r="G10624" s="3" t="n">
        <v>4270</v>
      </c>
    </row>
    <row r="10625">
      <c r="A10625" s="3" t="inlineStr">
        <is>
          <t>Opportunity Global Sales (PTY) LTD</t>
        </is>
      </c>
      <c r="B10625" s="4" t="n">
        <v>44834</v>
      </c>
      <c r="C10625" s="3" t="inlineStr">
        <is>
          <t>Expenses</t>
        </is>
      </c>
      <c r="D10625" s="3" t="inlineStr">
        <is>
          <t>2000/500</t>
        </is>
      </c>
      <c r="E10625" s="3" t="inlineStr">
        <is>
          <t>COS - Electricity Costs Endulini</t>
        </is>
      </c>
      <c r="F10625" s="3" t="n">
        <v>200</v>
      </c>
      <c r="G10625" s="3" t="n">
        <v>536.96</v>
      </c>
    </row>
    <row r="10626">
      <c r="A10626" s="3" t="inlineStr">
        <is>
          <t>Endulini (Pty) Ltd</t>
        </is>
      </c>
      <c r="B10626" s="4" t="n">
        <v>44834</v>
      </c>
      <c r="C10626" s="3" t="inlineStr">
        <is>
          <t>Expenses</t>
        </is>
      </c>
      <c r="D10626" s="3" t="inlineStr">
        <is>
          <t>2000/500</t>
        </is>
      </c>
      <c r="E10626" s="3" t="inlineStr">
        <is>
          <t>COS - Legal Fees Opening of Sec Title Scheme</t>
        </is>
      </c>
      <c r="F10626" s="3" t="n">
        <v>0</v>
      </c>
      <c r="G10626" s="3" t="n">
        <v>56287.76</v>
      </c>
    </row>
    <row r="10627">
      <c r="A10627" s="3" t="inlineStr">
        <is>
          <t>Endulini (Pty) Ltd</t>
        </is>
      </c>
      <c r="B10627" s="4" t="n">
        <v>44834</v>
      </c>
      <c r="C10627" s="3" t="inlineStr">
        <is>
          <t>Expenses</t>
        </is>
      </c>
      <c r="D10627" s="3" t="inlineStr">
        <is>
          <t>2000/600</t>
        </is>
      </c>
      <c r="E10627" s="3" t="inlineStr">
        <is>
          <t>COS - Legal fees</t>
        </is>
      </c>
      <c r="F10627" s="3" t="n">
        <v>88892.50999999999</v>
      </c>
      <c r="G10627" s="3" t="n">
        <v>725075.03</v>
      </c>
    </row>
    <row r="10628">
      <c r="A10628" s="3" t="inlineStr">
        <is>
          <t>Endulini (Pty) Ltd</t>
        </is>
      </c>
      <c r="B10628" s="4" t="n">
        <v>44834</v>
      </c>
      <c r="C10628" s="3" t="inlineStr">
        <is>
          <t>Expenses</t>
        </is>
      </c>
      <c r="D10628" s="3" t="inlineStr">
        <is>
          <t>2000/700</t>
        </is>
      </c>
      <c r="E10628" s="3" t="inlineStr">
        <is>
          <t>COS - C2M Certificate for transfer</t>
        </is>
      </c>
      <c r="F10628" s="3" t="n">
        <v>-2550</v>
      </c>
      <c r="G10628" s="3" t="n">
        <v>5450</v>
      </c>
    </row>
    <row r="10629">
      <c r="A10629" s="3" t="inlineStr">
        <is>
          <t>Endulini (Pty) Ltd</t>
        </is>
      </c>
      <c r="B10629" s="4" t="n">
        <v>44834</v>
      </c>
      <c r="C10629" s="3" t="inlineStr">
        <is>
          <t>Expenses</t>
        </is>
      </c>
      <c r="D10629" s="3" t="inlineStr">
        <is>
          <t>2000/800</t>
        </is>
      </c>
      <c r="E10629" s="3" t="inlineStr">
        <is>
          <t>COS - Purchaser Variations</t>
        </is>
      </c>
      <c r="F10629" s="3" t="n">
        <v>0</v>
      </c>
      <c r="G10629" s="3" t="n">
        <v>8734.540000000001</v>
      </c>
    </row>
    <row r="10630">
      <c r="A10630" s="3" t="inlineStr">
        <is>
          <t>Endulini (Pty) Ltd</t>
        </is>
      </c>
      <c r="B10630" s="4" t="n">
        <v>44834</v>
      </c>
      <c r="C10630" s="3" t="inlineStr">
        <is>
          <t>Expenses</t>
        </is>
      </c>
      <c r="D10630" s="3" t="inlineStr">
        <is>
          <t>2000/900</t>
        </is>
      </c>
      <c r="E10630" s="3" t="inlineStr">
        <is>
          <t>COS - Legal fees Phase 2</t>
        </is>
      </c>
      <c r="F10630" s="3" t="n">
        <v>0</v>
      </c>
      <c r="G10630" s="3" t="n">
        <v>35638</v>
      </c>
    </row>
    <row r="10631">
      <c r="A10631" s="3" t="inlineStr">
        <is>
          <t>Quinate Consulting (Pty) Ltd</t>
        </is>
      </c>
      <c r="B10631" s="4" t="n">
        <v>44834</v>
      </c>
      <c r="C10631" s="3" t="inlineStr">
        <is>
          <t>Revenue</t>
        </is>
      </c>
      <c r="D10631" s="3" t="inlineStr">
        <is>
          <t>2400/200</t>
        </is>
      </c>
      <c r="E10631" s="3" t="inlineStr">
        <is>
          <t>Recovery Acc - Electricity SH</t>
        </is>
      </c>
      <c r="F10631" s="3" t="n">
        <v>-33950.28</v>
      </c>
      <c r="G10631" s="3" t="n">
        <v>-183162.3</v>
      </c>
    </row>
    <row r="10632">
      <c r="A10632" s="3" t="inlineStr">
        <is>
          <t>Quinate Consulting (Pty) Ltd</t>
        </is>
      </c>
      <c r="B10632" s="4" t="n">
        <v>44834</v>
      </c>
      <c r="C10632" s="3" t="inlineStr">
        <is>
          <t>Revenue</t>
        </is>
      </c>
      <c r="D10632" s="3" t="inlineStr">
        <is>
          <t>2400/300</t>
        </is>
      </c>
      <c r="E10632" s="3" t="inlineStr">
        <is>
          <t>Recovery Account - Electricity SW</t>
        </is>
      </c>
      <c r="F10632" s="3" t="n">
        <v>-24662.85</v>
      </c>
      <c r="G10632" s="3" t="n">
        <v>-136857.67</v>
      </c>
    </row>
    <row r="10633">
      <c r="A10633" s="3" t="inlineStr">
        <is>
          <t>Endulini (Pty) Ltd</t>
        </is>
      </c>
      <c r="B10633" s="4" t="n">
        <v>44834</v>
      </c>
      <c r="C10633" s="3" t="inlineStr">
        <is>
          <t>Revenue</t>
        </is>
      </c>
      <c r="D10633" s="3" t="inlineStr">
        <is>
          <t>2750/000</t>
        </is>
      </c>
      <c r="E10633" s="3" t="inlineStr">
        <is>
          <t>Interest Received</t>
        </is>
      </c>
      <c r="F10633" s="3" t="n">
        <v>0</v>
      </c>
      <c r="G10633" s="3" t="n">
        <v>-101.61</v>
      </c>
    </row>
    <row r="10634">
      <c r="A10634" s="3" t="inlineStr">
        <is>
          <t>Opportunity Management Holdings (PTY) LTD</t>
        </is>
      </c>
      <c r="B10634" s="4" t="n">
        <v>44834</v>
      </c>
      <c r="C10634" s="3" t="inlineStr">
        <is>
          <t>Revenue</t>
        </is>
      </c>
      <c r="D10634" s="3" t="inlineStr">
        <is>
          <t>2750/000</t>
        </is>
      </c>
      <c r="E10634" s="3" t="inlineStr">
        <is>
          <t>Interest Received</t>
        </is>
      </c>
      <c r="F10634" s="3" t="n">
        <v>-0.3</v>
      </c>
      <c r="G10634" s="3" t="n">
        <v>-0.3</v>
      </c>
    </row>
    <row r="10635">
      <c r="A10635" s="3" t="inlineStr">
        <is>
          <t>Opportunity Global Sales (PTY) LTD</t>
        </is>
      </c>
      <c r="B10635" s="4" t="n">
        <v>44834</v>
      </c>
      <c r="C10635" s="3" t="inlineStr">
        <is>
          <t>Revenue</t>
        </is>
      </c>
      <c r="D10635" s="3" t="inlineStr">
        <is>
          <t>2750/000</t>
        </is>
      </c>
      <c r="E10635" s="3" t="inlineStr">
        <is>
          <t>Interest Received - Bank</t>
        </is>
      </c>
      <c r="F10635" s="3" t="n">
        <v>0</v>
      </c>
      <c r="G10635" s="3" t="n">
        <v>-2.3</v>
      </c>
    </row>
    <row r="10636">
      <c r="A10636" s="3" t="inlineStr">
        <is>
          <t>Opportunity Global Investment (PTY) LTD</t>
        </is>
      </c>
      <c r="B10636" s="4" t="n">
        <v>44834</v>
      </c>
      <c r="C10636" s="3" t="inlineStr">
        <is>
          <t>Revenue</t>
        </is>
      </c>
      <c r="D10636" s="3" t="inlineStr">
        <is>
          <t>2753/000</t>
        </is>
      </c>
      <c r="E10636" s="3" t="inlineStr">
        <is>
          <t>Interest received - Momentum</t>
        </is>
      </c>
      <c r="F10636" s="3" t="n">
        <v>0</v>
      </c>
      <c r="G10636" s="3" t="n">
        <v>-112.83</v>
      </c>
    </row>
    <row r="10637">
      <c r="A10637" s="3" t="inlineStr">
        <is>
          <t>Endulini (Pty) Ltd</t>
        </is>
      </c>
      <c r="B10637" s="4" t="n">
        <v>44834</v>
      </c>
      <c r="C10637" s="3" t="inlineStr">
        <is>
          <t>Revenue</t>
        </is>
      </c>
      <c r="D10637" s="3" t="inlineStr">
        <is>
          <t>2755/001</t>
        </is>
      </c>
      <c r="E10637" s="3" t="inlineStr">
        <is>
          <t>Interest Received - Momentum</t>
        </is>
      </c>
      <c r="F10637" s="3" t="n">
        <v>-12.2</v>
      </c>
      <c r="G10637" s="3" t="n">
        <v>-26584.86</v>
      </c>
    </row>
    <row r="10638">
      <c r="A10638" s="3" t="inlineStr">
        <is>
          <t>Quinate Consulting (Pty) Ltd</t>
        </is>
      </c>
      <c r="B10638" s="4" t="n">
        <v>44834</v>
      </c>
      <c r="C10638" s="3" t="inlineStr">
        <is>
          <t>Revenue</t>
        </is>
      </c>
      <c r="D10638" s="3" t="inlineStr">
        <is>
          <t>2755/001</t>
        </is>
      </c>
      <c r="E10638" s="3" t="inlineStr">
        <is>
          <t>Interest Received - Momentum</t>
        </is>
      </c>
      <c r="F10638" s="3" t="n">
        <v>-2.44</v>
      </c>
      <c r="G10638" s="3" t="n">
        <v>-15.33</v>
      </c>
    </row>
    <row r="10639">
      <c r="A10639" s="3" t="inlineStr">
        <is>
          <t>Opportunity Global Investment (PTY) LTD</t>
        </is>
      </c>
      <c r="B10639" s="4" t="n">
        <v>44834</v>
      </c>
      <c r="C10639" s="3" t="inlineStr">
        <is>
          <t>Expenses</t>
        </is>
      </c>
      <c r="D10639" s="3" t="inlineStr">
        <is>
          <t>3000/150</t>
        </is>
      </c>
      <c r="E10639" s="3" t="inlineStr">
        <is>
          <t>Accounting Fees - Audit</t>
        </is>
      </c>
      <c r="F10639" s="3" t="n">
        <v>7225</v>
      </c>
      <c r="G10639" s="3" t="n">
        <v>7225</v>
      </c>
    </row>
    <row r="10640">
      <c r="A10640" s="3" t="inlineStr">
        <is>
          <t>Opportunity Global Investment (PTY) LTD</t>
        </is>
      </c>
      <c r="B10640" s="4" t="n">
        <v>44834</v>
      </c>
      <c r="C10640" s="3" t="inlineStr">
        <is>
          <t>Expenses</t>
        </is>
      </c>
      <c r="D10640" s="3" t="inlineStr">
        <is>
          <t>3000/200</t>
        </is>
      </c>
      <c r="E10640" s="3" t="inlineStr">
        <is>
          <t>Accounting Fees - General</t>
        </is>
      </c>
      <c r="F10640" s="3" t="n">
        <v>0</v>
      </c>
      <c r="G10640" s="3" t="n">
        <v>540</v>
      </c>
    </row>
    <row r="10641">
      <c r="A10641" s="3" t="inlineStr">
        <is>
          <t>Quinate Consulting (Pty) Ltd</t>
        </is>
      </c>
      <c r="B10641" s="4" t="n">
        <v>44834</v>
      </c>
      <c r="C10641" s="3" t="inlineStr">
        <is>
          <t>Expenses</t>
        </is>
      </c>
      <c r="D10641" s="3" t="inlineStr">
        <is>
          <t>3001/000</t>
        </is>
      </c>
      <c r="E10641" s="3" t="inlineStr">
        <is>
          <t>Accounting fees - Other</t>
        </is>
      </c>
      <c r="F10641" s="3" t="n">
        <v>0</v>
      </c>
      <c r="G10641" s="3" t="n">
        <v>1850</v>
      </c>
    </row>
    <row r="10642">
      <c r="A10642" s="3" t="inlineStr">
        <is>
          <t>Opportunity Management Holdings (PTY) LTD</t>
        </is>
      </c>
      <c r="B10642" s="4" t="n">
        <v>44834</v>
      </c>
      <c r="C10642" s="3" t="inlineStr">
        <is>
          <t>Expenses</t>
        </is>
      </c>
      <c r="D10642" s="3" t="inlineStr">
        <is>
          <t>3004/000</t>
        </is>
      </c>
      <c r="E10642" s="3" t="inlineStr">
        <is>
          <t>Accounting fees - Janine Theart</t>
        </is>
      </c>
      <c r="F10642" s="3" t="n">
        <v>17500</v>
      </c>
      <c r="G10642" s="3" t="n">
        <v>17500</v>
      </c>
    </row>
    <row r="10643">
      <c r="A10643" s="3" t="inlineStr">
        <is>
          <t>Opportunity Management Holdings (PTY) LTD</t>
        </is>
      </c>
      <c r="B10643" s="4" t="n">
        <v>44834</v>
      </c>
      <c r="C10643" s="3" t="inlineStr">
        <is>
          <t>Expenses</t>
        </is>
      </c>
      <c r="D10643" s="3" t="inlineStr">
        <is>
          <t>3005/000</t>
        </is>
      </c>
      <c r="E10643" s="3" t="inlineStr">
        <is>
          <t>Accounting fees - Deric Dudley</t>
        </is>
      </c>
      <c r="F10643" s="3" t="n">
        <v>50000</v>
      </c>
      <c r="G10643" s="3" t="n">
        <v>50000</v>
      </c>
    </row>
    <row r="10644">
      <c r="A10644" s="3" t="inlineStr">
        <is>
          <t>Opportunity Management Holdings (PTY) LTD</t>
        </is>
      </c>
      <c r="B10644" s="4" t="n">
        <v>44834</v>
      </c>
      <c r="C10644" s="3" t="inlineStr">
        <is>
          <t>Expenses</t>
        </is>
      </c>
      <c r="D10644" s="3" t="inlineStr">
        <is>
          <t>3007/000</t>
        </is>
      </c>
      <c r="E10644" s="3" t="inlineStr">
        <is>
          <t>Accounting fees - Warwick</t>
        </is>
      </c>
      <c r="F10644" s="3" t="n">
        <v>27000</v>
      </c>
      <c r="G10644" s="3" t="n">
        <v>27000</v>
      </c>
    </row>
    <row r="10645">
      <c r="A10645" s="3" t="inlineStr">
        <is>
          <t>Endulini (Pty) Ltd</t>
        </is>
      </c>
      <c r="B10645" s="4" t="n">
        <v>44834</v>
      </c>
      <c r="C10645" s="3" t="inlineStr">
        <is>
          <t>Expenses</t>
        </is>
      </c>
      <c r="D10645" s="3" t="inlineStr">
        <is>
          <t>3050/000</t>
        </is>
      </c>
      <c r="E10645" s="3" t="inlineStr">
        <is>
          <t>Advertising _AND_ Promotions</t>
        </is>
      </c>
      <c r="F10645" s="3" t="n">
        <v>1580</v>
      </c>
      <c r="G10645" s="3" t="n">
        <v>23598</v>
      </c>
    </row>
    <row r="10646">
      <c r="A10646" s="3" t="inlineStr">
        <is>
          <t>Opportunity Management Holdings (PTY) LTD</t>
        </is>
      </c>
      <c r="B10646" s="4" t="n">
        <v>44834</v>
      </c>
      <c r="C10646" s="3" t="inlineStr">
        <is>
          <t>Expenses</t>
        </is>
      </c>
      <c r="D10646" s="3" t="inlineStr">
        <is>
          <t>3050/000</t>
        </is>
      </c>
      <c r="E10646" s="3" t="inlineStr">
        <is>
          <t>Advertising _AND_ Promotions</t>
        </is>
      </c>
      <c r="F10646" s="3" t="n">
        <v>500</v>
      </c>
      <c r="G10646" s="3" t="n">
        <v>500</v>
      </c>
    </row>
    <row r="10647">
      <c r="A10647" s="3" t="inlineStr">
        <is>
          <t>Quinate Consulting (Pty) Ltd</t>
        </is>
      </c>
      <c r="B10647" s="4" t="n">
        <v>44834</v>
      </c>
      <c r="C10647" s="3" t="inlineStr">
        <is>
          <t>Expenses</t>
        </is>
      </c>
      <c r="D10647" s="3" t="inlineStr">
        <is>
          <t>3050/000</t>
        </is>
      </c>
      <c r="E10647" s="3" t="inlineStr">
        <is>
          <t>Advertising _AND_ Promotions</t>
        </is>
      </c>
      <c r="F10647" s="3" t="n">
        <v>0</v>
      </c>
      <c r="G10647" s="3" t="n">
        <v>1875.22</v>
      </c>
    </row>
    <row r="10648">
      <c r="A10648" s="3" t="inlineStr">
        <is>
          <t>Endulini (Pty) Ltd</t>
        </is>
      </c>
      <c r="B10648" s="4" t="n">
        <v>44834</v>
      </c>
      <c r="C10648" s="3" t="inlineStr">
        <is>
          <t>Expenses</t>
        </is>
      </c>
      <c r="D10648" s="3" t="inlineStr">
        <is>
          <t>3050/001</t>
        </is>
      </c>
      <c r="E10648" s="3" t="inlineStr">
        <is>
          <t>Advertising _AND_ Promotions - Media Agenda</t>
        </is>
      </c>
      <c r="F10648" s="3" t="n">
        <v>1100</v>
      </c>
      <c r="G10648" s="3" t="n">
        <v>10950</v>
      </c>
    </row>
    <row r="10649">
      <c r="A10649" s="3" t="inlineStr">
        <is>
          <t>Noble Shield (Pty) Ltd ta Go Letting</t>
        </is>
      </c>
      <c r="B10649" s="4" t="n">
        <v>44834</v>
      </c>
      <c r="C10649" s="3" t="inlineStr">
        <is>
          <t>Expenses</t>
        </is>
      </c>
      <c r="D10649" s="3" t="inlineStr">
        <is>
          <t>3050/050</t>
        </is>
      </c>
      <c r="E10649" s="3" t="inlineStr">
        <is>
          <t>Advertising - Prop 24</t>
        </is>
      </c>
      <c r="F10649" s="3" t="n">
        <v>2737</v>
      </c>
      <c r="G10649" s="3" t="n">
        <v>2737</v>
      </c>
    </row>
    <row r="10650">
      <c r="A10650" s="3" t="inlineStr">
        <is>
          <t>Opportunity Global Sales (PTY) LTD</t>
        </is>
      </c>
      <c r="B10650" s="4" t="n">
        <v>44834</v>
      </c>
      <c r="C10650" s="3" t="inlineStr">
        <is>
          <t>Expenses</t>
        </is>
      </c>
      <c r="D10650" s="3" t="inlineStr">
        <is>
          <t>3050/100</t>
        </is>
      </c>
      <c r="E10650" s="3" t="inlineStr">
        <is>
          <t>Advertising - Facebook</t>
        </is>
      </c>
      <c r="F10650" s="3" t="n">
        <v>9000</v>
      </c>
      <c r="G10650" s="3" t="n">
        <v>68218.03</v>
      </c>
    </row>
    <row r="10651">
      <c r="A10651" s="3" t="inlineStr">
        <is>
          <t>Opportunity Global Sales (PTY) LTD</t>
        </is>
      </c>
      <c r="B10651" s="4" t="n">
        <v>44834</v>
      </c>
      <c r="C10651" s="3" t="inlineStr">
        <is>
          <t>Expenses</t>
        </is>
      </c>
      <c r="D10651" s="3" t="inlineStr">
        <is>
          <t>3050/140</t>
        </is>
      </c>
      <c r="E10651" s="3" t="inlineStr">
        <is>
          <t>Advertising - Media Agenda</t>
        </is>
      </c>
      <c r="F10651" s="3" t="n">
        <v>2550</v>
      </c>
      <c r="G10651" s="3" t="n">
        <v>6900</v>
      </c>
    </row>
    <row r="10652">
      <c r="A10652" s="3" t="inlineStr">
        <is>
          <t>Opportunity Global Investment (PTY) LTD</t>
        </is>
      </c>
      <c r="B10652" s="4" t="n">
        <v>44834</v>
      </c>
      <c r="C10652" s="3" t="inlineStr">
        <is>
          <t>Expenses</t>
        </is>
      </c>
      <c r="D10652" s="3" t="inlineStr">
        <is>
          <t>3050/250</t>
        </is>
      </c>
      <c r="E10652" s="3" t="inlineStr">
        <is>
          <t>Advertising - General</t>
        </is>
      </c>
      <c r="F10652" s="3" t="n">
        <v>4347.83</v>
      </c>
      <c r="G10652" s="3" t="n">
        <v>5221.83</v>
      </c>
    </row>
    <row r="10653">
      <c r="A10653" s="3" t="inlineStr">
        <is>
          <t>Opportunity Global Sales (PTY) LTD</t>
        </is>
      </c>
      <c r="B10653" s="4" t="n">
        <v>44834</v>
      </c>
      <c r="C10653" s="3" t="inlineStr">
        <is>
          <t>Expenses</t>
        </is>
      </c>
      <c r="D10653" s="3" t="inlineStr">
        <is>
          <t>3050/250</t>
        </is>
      </c>
      <c r="E10653" s="3" t="inlineStr">
        <is>
          <t>Advertising - General</t>
        </is>
      </c>
      <c r="F10653" s="3" t="n">
        <v>5979.9</v>
      </c>
      <c r="G10653" s="3" t="n">
        <v>43351.93</v>
      </c>
    </row>
    <row r="10654">
      <c r="A10654" s="3" t="inlineStr">
        <is>
          <t>Opportunity Global Investment (PTY) LTD</t>
        </is>
      </c>
      <c r="B10654" s="4" t="n">
        <v>44834</v>
      </c>
      <c r="C10654" s="3" t="inlineStr">
        <is>
          <t>Expenses</t>
        </is>
      </c>
      <c r="D10654" s="3" t="inlineStr">
        <is>
          <t>3050/260</t>
        </is>
      </c>
      <c r="E10654" s="3" t="inlineStr">
        <is>
          <t>Advertising - Media Agenda</t>
        </is>
      </c>
      <c r="F10654" s="3" t="n">
        <v>0</v>
      </c>
      <c r="G10654" s="3" t="n">
        <v>825</v>
      </c>
    </row>
    <row r="10655">
      <c r="A10655" s="3" t="inlineStr">
        <is>
          <t>Opportunity Global Investment (PTY) LTD</t>
        </is>
      </c>
      <c r="B10655" s="4" t="n">
        <v>44834</v>
      </c>
      <c r="C10655" s="3" t="inlineStr">
        <is>
          <t>Expenses</t>
        </is>
      </c>
      <c r="D10655" s="3" t="inlineStr">
        <is>
          <t>3050/270</t>
        </is>
      </c>
      <c r="E10655" s="3" t="inlineStr">
        <is>
          <t>Advertising - Radia and TV Interviews</t>
        </is>
      </c>
      <c r="F10655" s="3" t="n">
        <v>8000</v>
      </c>
      <c r="G10655" s="3" t="n">
        <v>141872</v>
      </c>
    </row>
    <row r="10656">
      <c r="A10656" s="3" t="inlineStr">
        <is>
          <t>Opportunity Global Investment (PTY) LTD</t>
        </is>
      </c>
      <c r="B10656" s="4" t="n">
        <v>44834</v>
      </c>
      <c r="C10656" s="3" t="inlineStr">
        <is>
          <t>Expenses</t>
        </is>
      </c>
      <c r="D10656" s="3" t="inlineStr">
        <is>
          <t>3050/290</t>
        </is>
      </c>
      <c r="E10656" s="3" t="inlineStr">
        <is>
          <t>Advertising - Serene Living</t>
        </is>
      </c>
      <c r="F10656" s="3" t="n">
        <v>65086</v>
      </c>
      <c r="G10656" s="3" t="n">
        <v>455602</v>
      </c>
    </row>
    <row r="10657">
      <c r="A10657" s="3" t="inlineStr">
        <is>
          <t>Opportunity Global Investment (PTY) LTD</t>
        </is>
      </c>
      <c r="B10657" s="4" t="n">
        <v>44834</v>
      </c>
      <c r="C10657" s="3" t="inlineStr">
        <is>
          <t>Expenses</t>
        </is>
      </c>
      <c r="D10657" s="3" t="inlineStr">
        <is>
          <t>3050/295</t>
        </is>
      </c>
      <c r="E10657" s="3" t="inlineStr">
        <is>
          <t>Advertising - Reale Activation</t>
        </is>
      </c>
      <c r="F10657" s="3" t="n">
        <v>31766.16</v>
      </c>
      <c r="G10657" s="3" t="n">
        <v>68236.09</v>
      </c>
    </row>
    <row r="10658">
      <c r="A10658" s="3" t="inlineStr">
        <is>
          <t>Opportunity Global Investment (PTY) LTD</t>
        </is>
      </c>
      <c r="B10658" s="4" t="n">
        <v>44834</v>
      </c>
      <c r="C10658" s="3" t="inlineStr">
        <is>
          <t>Expenses</t>
        </is>
      </c>
      <c r="D10658" s="3" t="inlineStr">
        <is>
          <t>3050/300</t>
        </is>
      </c>
      <c r="E10658" s="3" t="inlineStr">
        <is>
          <t>Advertising - Design</t>
        </is>
      </c>
      <c r="F10658" s="3" t="n">
        <v>5750</v>
      </c>
      <c r="G10658" s="3" t="n">
        <v>34841</v>
      </c>
    </row>
    <row r="10659">
      <c r="A10659" s="3" t="inlineStr">
        <is>
          <t>Opportunity Global Sales (PTY) LTD</t>
        </is>
      </c>
      <c r="B10659" s="4" t="n">
        <v>44834</v>
      </c>
      <c r="C10659" s="3" t="inlineStr">
        <is>
          <t>Expenses</t>
        </is>
      </c>
      <c r="D10659" s="3" t="inlineStr">
        <is>
          <t>3050/350</t>
        </is>
      </c>
      <c r="E10659" s="3" t="inlineStr">
        <is>
          <t>Advertising - Private Property</t>
        </is>
      </c>
      <c r="F10659" s="3" t="n">
        <v>1250</v>
      </c>
      <c r="G10659" s="3" t="n">
        <v>8750</v>
      </c>
    </row>
    <row r="10660">
      <c r="A10660" s="3" t="inlineStr">
        <is>
          <t>Opportunity Global Sales (PTY) LTD</t>
        </is>
      </c>
      <c r="B10660" s="4" t="n">
        <v>44834</v>
      </c>
      <c r="C10660" s="3" t="inlineStr">
        <is>
          <t>Expenses</t>
        </is>
      </c>
      <c r="D10660" s="3" t="inlineStr">
        <is>
          <t>3050/370</t>
        </is>
      </c>
      <c r="E10660" s="3" t="inlineStr">
        <is>
          <t>Advertising - HR</t>
        </is>
      </c>
      <c r="F10660" s="3" t="n">
        <v>522.42</v>
      </c>
      <c r="G10660" s="3" t="n">
        <v>1722.42</v>
      </c>
    </row>
    <row r="10661">
      <c r="A10661" s="3" t="inlineStr">
        <is>
          <t>Quinate Consulting (Pty) Ltd</t>
        </is>
      </c>
      <c r="B10661" s="4" t="n">
        <v>44834</v>
      </c>
      <c r="C10661" s="3" t="inlineStr">
        <is>
          <t>Expenses</t>
        </is>
      </c>
      <c r="D10661" s="3" t="inlineStr">
        <is>
          <t>3050/400</t>
        </is>
      </c>
      <c r="E10661" s="3" t="inlineStr">
        <is>
          <t>Advertising - Prop24</t>
        </is>
      </c>
      <c r="F10661" s="3" t="n">
        <v>16000</v>
      </c>
      <c r="G10661" s="3" t="n">
        <v>101098</v>
      </c>
    </row>
    <row r="10662">
      <c r="A10662" s="3" t="inlineStr">
        <is>
          <t>Quinate Consulting (Pty) Ltd</t>
        </is>
      </c>
      <c r="B10662" s="4" t="n">
        <v>44834</v>
      </c>
      <c r="C10662" s="3" t="inlineStr">
        <is>
          <t>Expenses</t>
        </is>
      </c>
      <c r="D10662" s="3" t="inlineStr">
        <is>
          <t>3050/450</t>
        </is>
      </c>
      <c r="E10662" s="3" t="inlineStr">
        <is>
          <t>Advertising - Facebook</t>
        </is>
      </c>
      <c r="F10662" s="3" t="n">
        <v>12252.73</v>
      </c>
      <c r="G10662" s="3" t="n">
        <v>63903.28</v>
      </c>
    </row>
    <row r="10663">
      <c r="A10663" s="3" t="inlineStr">
        <is>
          <t>Opportunity Global Investment (PTY) LTD</t>
        </is>
      </c>
      <c r="B10663" s="4" t="n">
        <v>44834</v>
      </c>
      <c r="C10663" s="3" t="inlineStr">
        <is>
          <t>Expenses</t>
        </is>
      </c>
      <c r="D10663" s="3" t="inlineStr">
        <is>
          <t>3051/000</t>
        </is>
      </c>
      <c r="E10663" s="3" t="inlineStr">
        <is>
          <t>Advertising - Facebook</t>
        </is>
      </c>
      <c r="F10663" s="3" t="n">
        <v>22125.49</v>
      </c>
      <c r="G10663" s="3" t="n">
        <v>130933.45</v>
      </c>
    </row>
    <row r="10664">
      <c r="A10664" s="3" t="inlineStr">
        <is>
          <t>Opportunity Global Investment (PTY) LTD</t>
        </is>
      </c>
      <c r="B10664" s="4" t="n">
        <v>44834</v>
      </c>
      <c r="C10664" s="3" t="inlineStr">
        <is>
          <t>Expenses</t>
        </is>
      </c>
      <c r="D10664" s="3" t="inlineStr">
        <is>
          <t>3053/000</t>
        </is>
      </c>
      <c r="E10664" s="3" t="inlineStr">
        <is>
          <t>Advertising - Google Ads</t>
        </is>
      </c>
      <c r="F10664" s="3" t="n">
        <v>0</v>
      </c>
      <c r="G10664" s="3" t="n">
        <v>6207.42</v>
      </c>
    </row>
    <row r="10665">
      <c r="A10665" s="3" t="inlineStr">
        <is>
          <t>Endulini (Pty) Ltd</t>
        </is>
      </c>
      <c r="B10665" s="4" t="n">
        <v>44834</v>
      </c>
      <c r="C10665" s="3" t="inlineStr">
        <is>
          <t>Expenses</t>
        </is>
      </c>
      <c r="D10665" s="3" t="inlineStr">
        <is>
          <t>3200/000</t>
        </is>
      </c>
      <c r="E10665" s="3" t="inlineStr">
        <is>
          <t>Bank Charges</t>
        </is>
      </c>
      <c r="F10665" s="3" t="n">
        <v>619.28</v>
      </c>
      <c r="G10665" s="3" t="n">
        <v>4531.65</v>
      </c>
    </row>
    <row r="10666">
      <c r="A10666" s="3" t="inlineStr">
        <is>
          <t>Noble Shield (Pty) Ltd ta Go Letting</t>
        </is>
      </c>
      <c r="B10666" s="4" t="n">
        <v>44834</v>
      </c>
      <c r="C10666" s="3" t="inlineStr">
        <is>
          <t>Expenses</t>
        </is>
      </c>
      <c r="D10666" s="3" t="inlineStr">
        <is>
          <t>3200/000</t>
        </is>
      </c>
      <c r="E10666" s="3" t="inlineStr">
        <is>
          <t>Bank Charges</t>
        </is>
      </c>
      <c r="F10666" s="3" t="n">
        <v>1695.46</v>
      </c>
      <c r="G10666" s="3" t="n">
        <v>1695.46</v>
      </c>
    </row>
    <row r="10667">
      <c r="A10667" s="3" t="inlineStr">
        <is>
          <t>Opportunity Global Investment (PTY) LTD</t>
        </is>
      </c>
      <c r="B10667" s="4" t="n">
        <v>44834</v>
      </c>
      <c r="C10667" s="3" t="inlineStr">
        <is>
          <t>Expenses</t>
        </is>
      </c>
      <c r="D10667" s="3" t="inlineStr">
        <is>
          <t>3200/000</t>
        </is>
      </c>
      <c r="E10667" s="3" t="inlineStr">
        <is>
          <t>Bank Charges</t>
        </is>
      </c>
      <c r="F10667" s="3" t="n">
        <v>1832.84</v>
      </c>
      <c r="G10667" s="3" t="n">
        <v>13801.02</v>
      </c>
    </row>
    <row r="10668">
      <c r="A10668" s="3" t="inlineStr">
        <is>
          <t>Opportunity Global Sales (PTY) LTD</t>
        </is>
      </c>
      <c r="B10668" s="4" t="n">
        <v>44834</v>
      </c>
      <c r="C10668" s="3" t="inlineStr">
        <is>
          <t>Expenses</t>
        </is>
      </c>
      <c r="D10668" s="3" t="inlineStr">
        <is>
          <t>3200/000</t>
        </is>
      </c>
      <c r="E10668" s="3" t="inlineStr">
        <is>
          <t>Bank Charges</t>
        </is>
      </c>
      <c r="F10668" s="3" t="n">
        <v>984.04</v>
      </c>
      <c r="G10668" s="3" t="n">
        <v>7034.2</v>
      </c>
    </row>
    <row r="10669">
      <c r="A10669" s="3" t="inlineStr">
        <is>
          <t>Opportunity Management Holdings (PTY) LTD</t>
        </is>
      </c>
      <c r="B10669" s="4" t="n">
        <v>44834</v>
      </c>
      <c r="C10669" s="3" t="inlineStr">
        <is>
          <t>Expenses</t>
        </is>
      </c>
      <c r="D10669" s="3" t="inlineStr">
        <is>
          <t>3200/000</t>
        </is>
      </c>
      <c r="E10669" s="3" t="inlineStr">
        <is>
          <t>Bank Charges</t>
        </is>
      </c>
      <c r="F10669" s="3" t="n">
        <v>1983.52</v>
      </c>
      <c r="G10669" s="3" t="n">
        <v>1983.52</v>
      </c>
    </row>
    <row r="10670">
      <c r="A10670" s="3" t="inlineStr">
        <is>
          <t>Quinate Consulting (Pty) Ltd</t>
        </is>
      </c>
      <c r="B10670" s="4" t="n">
        <v>44834</v>
      </c>
      <c r="C10670" s="3" t="inlineStr">
        <is>
          <t>Expenses</t>
        </is>
      </c>
      <c r="D10670" s="3" t="inlineStr">
        <is>
          <t>3200/000</t>
        </is>
      </c>
      <c r="E10670" s="3" t="inlineStr">
        <is>
          <t>Bank Charges</t>
        </is>
      </c>
      <c r="F10670" s="3" t="n">
        <v>2379.71</v>
      </c>
      <c r="G10670" s="3" t="n">
        <v>12625.72</v>
      </c>
    </row>
    <row r="10671">
      <c r="A10671" s="3" t="inlineStr">
        <is>
          <t>Trademark Holdings (Pty) Ltd</t>
        </is>
      </c>
      <c r="B10671" s="4" t="n">
        <v>44834</v>
      </c>
      <c r="C10671" s="3" t="inlineStr">
        <is>
          <t>Expenses</t>
        </is>
      </c>
      <c r="D10671" s="3" t="inlineStr">
        <is>
          <t>3200/000</t>
        </is>
      </c>
      <c r="E10671" s="3" t="inlineStr">
        <is>
          <t>Bank Charges</t>
        </is>
      </c>
      <c r="F10671" s="3" t="n">
        <v>841.16</v>
      </c>
      <c r="G10671" s="3" t="n">
        <v>841.16</v>
      </c>
    </row>
    <row r="10672">
      <c r="A10672" s="3" t="inlineStr">
        <is>
          <t>Quinate Consulting (Pty) Ltd</t>
        </is>
      </c>
      <c r="B10672" s="4" t="n">
        <v>44834</v>
      </c>
      <c r="C10672" s="3" t="inlineStr">
        <is>
          <t>Expenses</t>
        </is>
      </c>
      <c r="D10672" s="3" t="inlineStr">
        <is>
          <t>3220/000</t>
        </is>
      </c>
      <c r="E10672" s="3" t="inlineStr">
        <is>
          <t>Bank Charges - Bond Fees</t>
        </is>
      </c>
      <c r="F10672" s="3" t="n">
        <v>1117.41</v>
      </c>
      <c r="G10672" s="3" t="n">
        <v>7821.87</v>
      </c>
    </row>
    <row r="10673">
      <c r="A10673" s="3" t="inlineStr">
        <is>
          <t>Noble Shield (Pty) Ltd ta Go Letting</t>
        </is>
      </c>
      <c r="B10673" s="4" t="n">
        <v>44834</v>
      </c>
      <c r="C10673" s="3" t="inlineStr">
        <is>
          <t>Expenses</t>
        </is>
      </c>
      <c r="D10673" s="3" t="inlineStr">
        <is>
          <t>3230/000</t>
        </is>
      </c>
      <c r="E10673" s="3" t="inlineStr">
        <is>
          <t>Cell Phone - NM</t>
        </is>
      </c>
      <c r="F10673" s="3" t="n">
        <v>2318.18</v>
      </c>
      <c r="G10673" s="3" t="n">
        <v>2318.18</v>
      </c>
    </row>
    <row r="10674">
      <c r="A10674" s="3" t="inlineStr">
        <is>
          <t>Noble Shield (Pty) Ltd ta Go Letting</t>
        </is>
      </c>
      <c r="B10674" s="4" t="n">
        <v>44834</v>
      </c>
      <c r="C10674" s="3" t="inlineStr">
        <is>
          <t>Expenses</t>
        </is>
      </c>
      <c r="D10674" s="3" t="inlineStr">
        <is>
          <t>3233/000</t>
        </is>
      </c>
      <c r="E10674" s="3" t="inlineStr">
        <is>
          <t>Cell Data - Other</t>
        </is>
      </c>
      <c r="F10674" s="3" t="n">
        <v>199</v>
      </c>
      <c r="G10674" s="3" t="n">
        <v>199</v>
      </c>
    </row>
    <row r="10675">
      <c r="A10675" s="3" t="inlineStr">
        <is>
          <t>Noble Shield (Pty) Ltd ta Go Letting</t>
        </is>
      </c>
      <c r="B10675" s="4" t="n">
        <v>44834</v>
      </c>
      <c r="C10675" s="3" t="inlineStr">
        <is>
          <t>Expenses</t>
        </is>
      </c>
      <c r="D10675" s="3" t="inlineStr">
        <is>
          <t>3233/100</t>
        </is>
      </c>
      <c r="E10675" s="3" t="inlineStr">
        <is>
          <t>Cell Data - Sales office Wifi</t>
        </is>
      </c>
      <c r="F10675" s="3" t="n">
        <v>369</v>
      </c>
      <c r="G10675" s="3" t="n">
        <v>369</v>
      </c>
    </row>
    <row r="10676">
      <c r="A10676" s="3" t="inlineStr">
        <is>
          <t>Noble Shield (Pty) Ltd ta Go Letting</t>
        </is>
      </c>
      <c r="B10676" s="4" t="n">
        <v>44834</v>
      </c>
      <c r="C10676" s="3" t="inlineStr">
        <is>
          <t>Expenses</t>
        </is>
      </c>
      <c r="D10676" s="3" t="inlineStr">
        <is>
          <t>3250/000</t>
        </is>
      </c>
      <c r="E10676" s="3" t="inlineStr">
        <is>
          <t>Cleaning</t>
        </is>
      </c>
      <c r="F10676" s="3" t="n">
        <v>289.4</v>
      </c>
      <c r="G10676" s="3" t="n">
        <v>289.4</v>
      </c>
    </row>
    <row r="10677">
      <c r="A10677" s="3" t="inlineStr">
        <is>
          <t>Opportunity Global Investment (PTY) LTD</t>
        </is>
      </c>
      <c r="B10677" s="4" t="n">
        <v>44834</v>
      </c>
      <c r="C10677" s="3" t="inlineStr">
        <is>
          <t>Expenses</t>
        </is>
      </c>
      <c r="D10677" s="3" t="inlineStr">
        <is>
          <t>3250/000</t>
        </is>
      </c>
      <c r="E10677" s="3" t="inlineStr">
        <is>
          <t>Cleaning</t>
        </is>
      </c>
      <c r="F10677" s="3" t="n">
        <v>2700</v>
      </c>
      <c r="G10677" s="3" t="n">
        <v>18900</v>
      </c>
    </row>
    <row r="10678">
      <c r="A10678" s="3" t="inlineStr">
        <is>
          <t>Opportunity Management Holdings (PTY) LTD</t>
        </is>
      </c>
      <c r="B10678" s="4" t="n">
        <v>44834</v>
      </c>
      <c r="C10678" s="3" t="inlineStr">
        <is>
          <t>Expenses</t>
        </is>
      </c>
      <c r="D10678" s="3" t="inlineStr">
        <is>
          <t>3250/000</t>
        </is>
      </c>
      <c r="E10678" s="3" t="inlineStr">
        <is>
          <t>Cleaning</t>
        </is>
      </c>
      <c r="F10678" s="3" t="n">
        <v>1000</v>
      </c>
      <c r="G10678" s="3" t="n">
        <v>1000</v>
      </c>
    </row>
    <row r="10679">
      <c r="A10679" s="3" t="inlineStr">
        <is>
          <t>Trademark Holdings (Pty) Ltd</t>
        </is>
      </c>
      <c r="B10679" s="4" t="n">
        <v>44834</v>
      </c>
      <c r="C10679" s="3" t="inlineStr">
        <is>
          <t>Expenses</t>
        </is>
      </c>
      <c r="D10679" s="3" t="inlineStr">
        <is>
          <t>3250/000</t>
        </is>
      </c>
      <c r="E10679" s="3" t="inlineStr">
        <is>
          <t>Cleaning</t>
        </is>
      </c>
      <c r="F10679" s="3" t="n">
        <v>780</v>
      </c>
      <c r="G10679" s="3" t="n">
        <v>780</v>
      </c>
    </row>
    <row r="10680">
      <c r="A10680" s="3" t="inlineStr">
        <is>
          <t>Opportunity Global Investment (PTY) LTD</t>
        </is>
      </c>
      <c r="B10680" s="4" t="n">
        <v>44834</v>
      </c>
      <c r="C10680" s="3" t="inlineStr">
        <is>
          <t>Expenses</t>
        </is>
      </c>
      <c r="D10680" s="3" t="inlineStr">
        <is>
          <t>3300/000</t>
        </is>
      </c>
      <c r="E10680" s="3" t="inlineStr">
        <is>
          <t>Computer Expenses</t>
        </is>
      </c>
      <c r="F10680" s="3" t="n">
        <v>2086.86</v>
      </c>
      <c r="G10680" s="3" t="n">
        <v>2086.86</v>
      </c>
    </row>
    <row r="10681">
      <c r="A10681" s="3" t="inlineStr">
        <is>
          <t>Opportunity Global Sales (PTY) LTD</t>
        </is>
      </c>
      <c r="B10681" s="4" t="n">
        <v>44834</v>
      </c>
      <c r="C10681" s="3" t="inlineStr">
        <is>
          <t>Expenses</t>
        </is>
      </c>
      <c r="D10681" s="3" t="inlineStr">
        <is>
          <t>3300/000</t>
        </is>
      </c>
      <c r="E10681" s="3" t="inlineStr">
        <is>
          <t>Computer Expenses</t>
        </is>
      </c>
      <c r="F10681" s="3" t="n">
        <v>0</v>
      </c>
      <c r="G10681" s="3" t="n">
        <v>2075</v>
      </c>
    </row>
    <row r="10682">
      <c r="A10682" s="3" t="inlineStr">
        <is>
          <t>Opportunity Management Holdings (PTY) LTD</t>
        </is>
      </c>
      <c r="B10682" s="4" t="n">
        <v>44834</v>
      </c>
      <c r="C10682" s="3" t="inlineStr">
        <is>
          <t>Expenses</t>
        </is>
      </c>
      <c r="D10682" s="3" t="inlineStr">
        <is>
          <t>3300/000</t>
        </is>
      </c>
      <c r="E10682" s="3" t="inlineStr">
        <is>
          <t>Computer Expenses</t>
        </is>
      </c>
      <c r="F10682" s="3" t="n">
        <v>1753.35</v>
      </c>
      <c r="G10682" s="3" t="n">
        <v>1753.35</v>
      </c>
    </row>
    <row r="10683">
      <c r="A10683" s="3" t="inlineStr">
        <is>
          <t>Quinate Consulting (Pty) Ltd</t>
        </is>
      </c>
      <c r="B10683" s="4" t="n">
        <v>44834</v>
      </c>
      <c r="C10683" s="3" t="inlineStr">
        <is>
          <t>Expenses</t>
        </is>
      </c>
      <c r="D10683" s="3" t="inlineStr">
        <is>
          <t>3300/000</t>
        </is>
      </c>
      <c r="E10683" s="3" t="inlineStr">
        <is>
          <t>Computer Expenses</t>
        </is>
      </c>
      <c r="F10683" s="3" t="n">
        <v>0</v>
      </c>
      <c r="G10683" s="3" t="n">
        <v>509.04</v>
      </c>
    </row>
    <row r="10684">
      <c r="A10684" s="3" t="inlineStr">
        <is>
          <t>Noble Shield (Pty) Ltd ta Go Letting</t>
        </is>
      </c>
      <c r="B10684" s="4" t="n">
        <v>44834</v>
      </c>
      <c r="C10684" s="3" t="inlineStr">
        <is>
          <t>Expenses</t>
        </is>
      </c>
      <c r="D10684" s="3" t="inlineStr">
        <is>
          <t>3300/120</t>
        </is>
      </c>
      <c r="E10684" s="3" t="inlineStr">
        <is>
          <t>Computer IT - Software Propworx</t>
        </is>
      </c>
      <c r="F10684" s="3" t="n">
        <v>2087.25</v>
      </c>
      <c r="G10684" s="3" t="n">
        <v>2087.25</v>
      </c>
    </row>
    <row r="10685">
      <c r="A10685" s="3" t="inlineStr">
        <is>
          <t>Trademark Holdings (Pty) Ltd</t>
        </is>
      </c>
      <c r="B10685" s="4" t="n">
        <v>44834</v>
      </c>
      <c r="C10685" s="3" t="inlineStr">
        <is>
          <t>Expenses</t>
        </is>
      </c>
      <c r="D10685" s="3" t="inlineStr">
        <is>
          <t>3300/130</t>
        </is>
      </c>
      <c r="E10685" s="3" t="inlineStr">
        <is>
          <t>Computer IT - Internet/Hosting Fees</t>
        </is>
      </c>
      <c r="F10685" s="3" t="n">
        <v>-3599.5</v>
      </c>
      <c r="G10685" s="3" t="n">
        <v>-3599.5</v>
      </c>
    </row>
    <row r="10686">
      <c r="A10686" s="3" t="inlineStr">
        <is>
          <t>Trademark Holdings (Pty) Ltd</t>
        </is>
      </c>
      <c r="B10686" s="4" t="n">
        <v>44834</v>
      </c>
      <c r="C10686" s="3" t="inlineStr">
        <is>
          <t>Expenses</t>
        </is>
      </c>
      <c r="D10686" s="3" t="inlineStr">
        <is>
          <t>3300/145</t>
        </is>
      </c>
      <c r="E10686" s="3" t="inlineStr">
        <is>
          <t>Computer IT - Cloud Solve</t>
        </is>
      </c>
      <c r="F10686" s="3" t="n">
        <v>4588.5</v>
      </c>
      <c r="G10686" s="3" t="n">
        <v>4588.5</v>
      </c>
    </row>
    <row r="10687">
      <c r="A10687" s="3" t="inlineStr">
        <is>
          <t>Noble Shield (Pty) Ltd ta Go Letting</t>
        </is>
      </c>
      <c r="B10687" s="4" t="n">
        <v>44834</v>
      </c>
      <c r="C10687" s="3" t="inlineStr">
        <is>
          <t>Expenses</t>
        </is>
      </c>
      <c r="D10687" s="3" t="inlineStr">
        <is>
          <t>3300/170</t>
        </is>
      </c>
      <c r="E10687" s="3" t="inlineStr">
        <is>
          <t>Computer IT - VDB office Fibre</t>
        </is>
      </c>
      <c r="F10687" s="3" t="n">
        <v>1580</v>
      </c>
      <c r="G10687" s="3" t="n">
        <v>1580</v>
      </c>
    </row>
    <row r="10688">
      <c r="A10688" s="3" t="inlineStr">
        <is>
          <t>Trademark Holdings (Pty) Ltd</t>
        </is>
      </c>
      <c r="B10688" s="4" t="n">
        <v>44834</v>
      </c>
      <c r="C10688" s="3" t="inlineStr">
        <is>
          <t>Expenses</t>
        </is>
      </c>
      <c r="D10688" s="3" t="inlineStr">
        <is>
          <t>3350/000</t>
        </is>
      </c>
      <c r="E10688" s="3" t="inlineStr">
        <is>
          <t>Consulting Fees</t>
        </is>
      </c>
      <c r="F10688" s="3" t="n">
        <v>29400</v>
      </c>
      <c r="G10688" s="3" t="n">
        <v>29400</v>
      </c>
    </row>
    <row r="10689">
      <c r="A10689" s="3" t="inlineStr">
        <is>
          <t>Opportunity Management Holdings (PTY) LTD</t>
        </is>
      </c>
      <c r="B10689" s="4" t="n">
        <v>44834</v>
      </c>
      <c r="C10689" s="3" t="inlineStr">
        <is>
          <t>Expenses</t>
        </is>
      </c>
      <c r="D10689" s="3" t="inlineStr">
        <is>
          <t>3350/100</t>
        </is>
      </c>
      <c r="E10689" s="3" t="inlineStr">
        <is>
          <t>Consulting Fee - Dirk Coetzee</t>
        </is>
      </c>
      <c r="F10689" s="3" t="n">
        <v>6000</v>
      </c>
      <c r="G10689" s="3" t="n">
        <v>6000</v>
      </c>
    </row>
    <row r="10690">
      <c r="A10690" s="3" t="inlineStr">
        <is>
          <t>Quinate Consulting (Pty) Ltd</t>
        </is>
      </c>
      <c r="B10690" s="4" t="n">
        <v>44834</v>
      </c>
      <c r="C10690" s="3" t="inlineStr">
        <is>
          <t>Expenses</t>
        </is>
      </c>
      <c r="D10690" s="3" t="inlineStr">
        <is>
          <t>3350/100</t>
        </is>
      </c>
      <c r="E10690" s="3" t="inlineStr">
        <is>
          <t>Consulting Fees</t>
        </is>
      </c>
      <c r="F10690" s="3" t="n">
        <v>0</v>
      </c>
      <c r="G10690" s="3" t="n">
        <v>-15000</v>
      </c>
    </row>
    <row r="10691">
      <c r="A10691" s="3" t="inlineStr">
        <is>
          <t>Endulini (Pty) Ltd</t>
        </is>
      </c>
      <c r="B10691" s="4" t="n">
        <v>44834</v>
      </c>
      <c r="C10691" s="3" t="inlineStr">
        <is>
          <t>Expenses</t>
        </is>
      </c>
      <c r="D10691" s="3" t="inlineStr">
        <is>
          <t>3350/100</t>
        </is>
      </c>
      <c r="E10691" s="3" t="inlineStr">
        <is>
          <t>Consulting Fees - Admin and Finance</t>
        </is>
      </c>
      <c r="F10691" s="3" t="n">
        <v>90550</v>
      </c>
      <c r="G10691" s="3" t="n">
        <v>579990.6800000001</v>
      </c>
    </row>
    <row r="10692">
      <c r="A10692" s="3" t="inlineStr">
        <is>
          <t>Opportunity Global Investment (PTY) LTD</t>
        </is>
      </c>
      <c r="B10692" s="4" t="n">
        <v>44834</v>
      </c>
      <c r="C10692" s="3" t="inlineStr">
        <is>
          <t>Expenses</t>
        </is>
      </c>
      <c r="D10692" s="3" t="inlineStr">
        <is>
          <t>3350/100</t>
        </is>
      </c>
      <c r="E10692" s="3" t="inlineStr">
        <is>
          <t>Consulting Fees - Admin and Finance</t>
        </is>
      </c>
      <c r="F10692" s="3" t="n">
        <v>0</v>
      </c>
      <c r="G10692" s="3" t="n">
        <v>29525</v>
      </c>
    </row>
    <row r="10693">
      <c r="A10693" s="3" t="inlineStr">
        <is>
          <t>Opportunity Global Sales (PTY) LTD</t>
        </is>
      </c>
      <c r="B10693" s="4" t="n">
        <v>44834</v>
      </c>
      <c r="C10693" s="3" t="inlineStr">
        <is>
          <t>Expenses</t>
        </is>
      </c>
      <c r="D10693" s="3" t="inlineStr">
        <is>
          <t>3350/100</t>
        </is>
      </c>
      <c r="E10693" s="3" t="inlineStr">
        <is>
          <t>Consulting Fees - Admin and Finance</t>
        </is>
      </c>
      <c r="F10693" s="3" t="n">
        <v>15550</v>
      </c>
      <c r="G10693" s="3" t="n">
        <v>52860</v>
      </c>
    </row>
    <row r="10694">
      <c r="A10694" s="3" t="inlineStr">
        <is>
          <t>Opportunity Global Sales (PTY) LTD</t>
        </is>
      </c>
      <c r="B10694" s="4" t="n">
        <v>44834</v>
      </c>
      <c r="C10694" s="3" t="inlineStr">
        <is>
          <t>Expenses</t>
        </is>
      </c>
      <c r="D10694" s="3" t="inlineStr">
        <is>
          <t>3350/200</t>
        </is>
      </c>
      <c r="E10694" s="3" t="inlineStr">
        <is>
          <t>Consulting Fees - Agent Karien Muller</t>
        </is>
      </c>
      <c r="F10694" s="3" t="n">
        <v>10000</v>
      </c>
      <c r="G10694" s="3" t="n">
        <v>20000</v>
      </c>
    </row>
    <row r="10695">
      <c r="A10695" s="3" t="inlineStr">
        <is>
          <t>Opportunity Global Investment (PTY) LTD</t>
        </is>
      </c>
      <c r="B10695" s="4" t="n">
        <v>44834</v>
      </c>
      <c r="C10695" s="3" t="inlineStr">
        <is>
          <t>Expenses</t>
        </is>
      </c>
      <c r="D10695" s="3" t="inlineStr">
        <is>
          <t>3350/200</t>
        </is>
      </c>
      <c r="E10695" s="3" t="inlineStr">
        <is>
          <t>Consulting Fees - Rockfin</t>
        </is>
      </c>
      <c r="F10695" s="3" t="n">
        <v>0</v>
      </c>
      <c r="G10695" s="3" t="n">
        <v>28850</v>
      </c>
    </row>
    <row r="10696">
      <c r="A10696" s="3" t="inlineStr">
        <is>
          <t>Quinate Consulting (Pty) Ltd</t>
        </is>
      </c>
      <c r="B10696" s="4" t="n">
        <v>44834</v>
      </c>
      <c r="C10696" s="3" t="inlineStr">
        <is>
          <t>Expenses</t>
        </is>
      </c>
      <c r="D10696" s="3" t="inlineStr">
        <is>
          <t>3350/300</t>
        </is>
      </c>
      <c r="E10696" s="3" t="inlineStr">
        <is>
          <t>Consulting Fees - Admin and Finance</t>
        </is>
      </c>
      <c r="F10696" s="3" t="n">
        <v>2000</v>
      </c>
      <c r="G10696" s="3" t="n">
        <v>15700</v>
      </c>
    </row>
    <row r="10697">
      <c r="A10697" s="3" t="inlineStr">
        <is>
          <t>Opportunity Global Investment (PTY) LTD</t>
        </is>
      </c>
      <c r="B10697" s="4" t="n">
        <v>44834</v>
      </c>
      <c r="C10697" s="3" t="inlineStr">
        <is>
          <t>Expenses</t>
        </is>
      </c>
      <c r="D10697" s="3" t="inlineStr">
        <is>
          <t>3351/000</t>
        </is>
      </c>
      <c r="E10697" s="3" t="inlineStr">
        <is>
          <t>Consulting Fees - HR Joblaw</t>
        </is>
      </c>
      <c r="F10697" s="3" t="n">
        <v>1455.3</v>
      </c>
      <c r="G10697" s="3" t="n">
        <v>9765.9</v>
      </c>
    </row>
    <row r="10698">
      <c r="A10698" s="3" t="inlineStr">
        <is>
          <t>Quinate Consulting (Pty) Ltd</t>
        </is>
      </c>
      <c r="B10698" s="4" t="n">
        <v>44834</v>
      </c>
      <c r="C10698" s="3" t="inlineStr">
        <is>
          <t>Expenses</t>
        </is>
      </c>
      <c r="D10698" s="3" t="inlineStr">
        <is>
          <t>3351/000</t>
        </is>
      </c>
      <c r="E10698" s="3" t="inlineStr">
        <is>
          <t>Consulting fees - Trustees</t>
        </is>
      </c>
      <c r="F10698" s="3" t="n">
        <v>12600</v>
      </c>
      <c r="G10698" s="3" t="n">
        <v>61200</v>
      </c>
    </row>
    <row r="10699">
      <c r="A10699" s="3" t="inlineStr">
        <is>
          <t>Opportunity Global Investment (PTY) LTD</t>
        </is>
      </c>
      <c r="B10699" s="4" t="n">
        <v>44834</v>
      </c>
      <c r="C10699" s="3" t="inlineStr">
        <is>
          <t>Expenses</t>
        </is>
      </c>
      <c r="D10699" s="3" t="inlineStr">
        <is>
          <t>3352/000</t>
        </is>
      </c>
      <c r="E10699" s="3" t="inlineStr">
        <is>
          <t>Consulting Fees - Kert Scalzini</t>
        </is>
      </c>
      <c r="F10699" s="3" t="n">
        <v>0</v>
      </c>
      <c r="G10699" s="3" t="n">
        <v>20000</v>
      </c>
    </row>
    <row r="10700">
      <c r="A10700" s="3" t="inlineStr">
        <is>
          <t>Opportunity Global Investment (PTY) LTD</t>
        </is>
      </c>
      <c r="B10700" s="4" t="n">
        <v>44834</v>
      </c>
      <c r="C10700" s="3" t="inlineStr">
        <is>
          <t>Expenses</t>
        </is>
      </c>
      <c r="D10700" s="3" t="inlineStr">
        <is>
          <t>3353/000</t>
        </is>
      </c>
      <c r="E10700" s="3" t="inlineStr">
        <is>
          <t>Consulting Fees - Yolanda Steyn</t>
        </is>
      </c>
      <c r="F10700" s="3" t="n">
        <v>0</v>
      </c>
      <c r="G10700" s="3" t="n">
        <v>2000</v>
      </c>
    </row>
    <row r="10701">
      <c r="A10701" s="3" t="inlineStr">
        <is>
          <t>Quinate Consulting (Pty) Ltd</t>
        </is>
      </c>
      <c r="B10701" s="4" t="n">
        <v>44834</v>
      </c>
      <c r="C10701" s="3" t="inlineStr">
        <is>
          <t>Expenses</t>
        </is>
      </c>
      <c r="D10701" s="3" t="inlineStr">
        <is>
          <t>3450/001</t>
        </is>
      </c>
      <c r="E10701" s="3" t="inlineStr">
        <is>
          <t>Depreciation - Computer Equipment</t>
        </is>
      </c>
      <c r="F10701" s="3" t="n">
        <v>3141.38</v>
      </c>
      <c r="G10701" s="3" t="n">
        <v>21989.66</v>
      </c>
    </row>
    <row r="10702">
      <c r="A10702" s="3" t="inlineStr">
        <is>
          <t>Quinate Consulting (Pty) Ltd</t>
        </is>
      </c>
      <c r="B10702" s="4" t="n">
        <v>44834</v>
      </c>
      <c r="C10702" s="3" t="inlineStr">
        <is>
          <t>Expenses</t>
        </is>
      </c>
      <c r="D10702" s="3" t="inlineStr">
        <is>
          <t>3450/002</t>
        </is>
      </c>
      <c r="E10702" s="3" t="inlineStr">
        <is>
          <t>Depreciation - Site Containers</t>
        </is>
      </c>
      <c r="F10702" s="3" t="n">
        <v>318.84</v>
      </c>
      <c r="G10702" s="3" t="n">
        <v>2231.88</v>
      </c>
    </row>
    <row r="10703">
      <c r="A10703" s="3" t="inlineStr">
        <is>
          <t>Opportunity Global Sales (PTY) LTD</t>
        </is>
      </c>
      <c r="B10703" s="4" t="n">
        <v>44834</v>
      </c>
      <c r="C10703" s="3" t="inlineStr">
        <is>
          <t>Expenses</t>
        </is>
      </c>
      <c r="D10703" s="3" t="inlineStr">
        <is>
          <t>3450/030</t>
        </is>
      </c>
      <c r="E10703" s="3" t="inlineStr">
        <is>
          <t>Depreciation - Furniture and Fittings</t>
        </is>
      </c>
      <c r="F10703" s="3" t="n">
        <v>408.05</v>
      </c>
      <c r="G10703" s="3" t="n">
        <v>1224.15</v>
      </c>
    </row>
    <row r="10704">
      <c r="A10704" s="3" t="inlineStr">
        <is>
          <t>Opportunity Management Holdings (PTY) LTD</t>
        </is>
      </c>
      <c r="B10704" s="4" t="n">
        <v>44834</v>
      </c>
      <c r="C10704" s="3" t="inlineStr">
        <is>
          <t>Expenses</t>
        </is>
      </c>
      <c r="D10704" s="3" t="inlineStr">
        <is>
          <t>3451/000</t>
        </is>
      </c>
      <c r="E10704" s="3" t="inlineStr">
        <is>
          <t>Depreciation - Computer Equipment</t>
        </is>
      </c>
      <c r="F10704" s="3" t="n">
        <v>668.51</v>
      </c>
      <c r="G10704" s="3" t="n">
        <v>668.51</v>
      </c>
    </row>
    <row r="10705">
      <c r="A10705" s="3" t="inlineStr">
        <is>
          <t>Quinate Consulting (Pty) Ltd</t>
        </is>
      </c>
      <c r="B10705" s="4" t="n">
        <v>44834</v>
      </c>
      <c r="C10705" s="3" t="inlineStr">
        <is>
          <t>Expenses</t>
        </is>
      </c>
      <c r="D10705" s="3" t="inlineStr">
        <is>
          <t>3600/000</t>
        </is>
      </c>
      <c r="E10705" s="3" t="inlineStr">
        <is>
          <t>Donations</t>
        </is>
      </c>
      <c r="F10705" s="3" t="n">
        <v>535</v>
      </c>
      <c r="G10705" s="3" t="n">
        <v>3745</v>
      </c>
    </row>
    <row r="10706">
      <c r="A10706" s="3" t="inlineStr">
        <is>
          <t>Endulini (Pty) Ltd</t>
        </is>
      </c>
      <c r="B10706" s="4" t="n">
        <v>44834</v>
      </c>
      <c r="C10706" s="3" t="inlineStr">
        <is>
          <t>Expenses</t>
        </is>
      </c>
      <c r="D10706" s="3" t="inlineStr">
        <is>
          <t>3630/000</t>
        </is>
      </c>
      <c r="E10706" s="3" t="inlineStr">
        <is>
          <t>Electricity</t>
        </is>
      </c>
      <c r="F10706" s="3" t="n">
        <v>0</v>
      </c>
      <c r="G10706" s="3" t="n">
        <v>6713.99</v>
      </c>
    </row>
    <row r="10707">
      <c r="A10707" s="3" t="inlineStr">
        <is>
          <t>Noble Shield (Pty) Ltd ta Go Letting</t>
        </is>
      </c>
      <c r="B10707" s="4" t="n">
        <v>44834</v>
      </c>
      <c r="C10707" s="3" t="inlineStr">
        <is>
          <t>Expenses</t>
        </is>
      </c>
      <c r="D10707" s="3" t="inlineStr">
        <is>
          <t>3650/000</t>
        </is>
      </c>
      <c r="E10707" s="3" t="inlineStr">
        <is>
          <t>Electricity _AND_ Water</t>
        </is>
      </c>
      <c r="F10707" s="3" t="n">
        <v>500</v>
      </c>
      <c r="G10707" s="3" t="n">
        <v>500</v>
      </c>
    </row>
    <row r="10708">
      <c r="A10708" s="3" t="inlineStr">
        <is>
          <t>Opportunity Global Investment (PTY) LTD</t>
        </is>
      </c>
      <c r="B10708" s="4" t="n">
        <v>44834</v>
      </c>
      <c r="C10708" s="3" t="inlineStr">
        <is>
          <t>Expenses</t>
        </is>
      </c>
      <c r="D10708" s="3" t="inlineStr">
        <is>
          <t>3650/000</t>
        </is>
      </c>
      <c r="E10708" s="3" t="inlineStr">
        <is>
          <t>Electricity _AND_ Water</t>
        </is>
      </c>
      <c r="F10708" s="3" t="n">
        <v>2950</v>
      </c>
      <c r="G10708" s="3" t="n">
        <v>20650</v>
      </c>
    </row>
    <row r="10709">
      <c r="A10709" s="3" t="inlineStr">
        <is>
          <t>Endulini (Pty) Ltd</t>
        </is>
      </c>
      <c r="B10709" s="4" t="n">
        <v>44834</v>
      </c>
      <c r="C10709" s="3" t="inlineStr">
        <is>
          <t>Expenses</t>
        </is>
      </c>
      <c r="D10709" s="3" t="inlineStr">
        <is>
          <t>3650/000</t>
        </is>
      </c>
      <c r="E10709" s="3" t="inlineStr">
        <is>
          <t>Water</t>
        </is>
      </c>
      <c r="F10709" s="3" t="n">
        <v>0</v>
      </c>
      <c r="G10709" s="3" t="n">
        <v>4310.7</v>
      </c>
    </row>
    <row r="10710">
      <c r="A10710" s="3" t="inlineStr">
        <is>
          <t>Quinate Consulting (Pty) Ltd</t>
        </is>
      </c>
      <c r="B10710" s="4" t="n">
        <v>44834</v>
      </c>
      <c r="C10710" s="3" t="inlineStr">
        <is>
          <t>Expenses</t>
        </is>
      </c>
      <c r="D10710" s="3" t="inlineStr">
        <is>
          <t>3651/000</t>
        </is>
      </c>
      <c r="E10710" s="3" t="inlineStr">
        <is>
          <t>Electricity _AND_ Water - Southwark</t>
        </is>
      </c>
      <c r="F10710" s="3" t="n">
        <v>4075.58</v>
      </c>
      <c r="G10710" s="3" t="n">
        <v>96835.10000000001</v>
      </c>
    </row>
    <row r="10711">
      <c r="A10711" s="3" t="inlineStr">
        <is>
          <t>Quinate Consulting (Pty) Ltd</t>
        </is>
      </c>
      <c r="B10711" s="4" t="n">
        <v>44834</v>
      </c>
      <c r="C10711" s="3" t="inlineStr">
        <is>
          <t>Expenses</t>
        </is>
      </c>
      <c r="D10711" s="3" t="inlineStr">
        <is>
          <t>3652/000</t>
        </is>
      </c>
      <c r="E10711" s="3" t="inlineStr">
        <is>
          <t>Electricity _AND_ Water - Soho</t>
        </is>
      </c>
      <c r="F10711" s="3" t="n">
        <v>34705.06</v>
      </c>
      <c r="G10711" s="3" t="n">
        <v>185713.05</v>
      </c>
    </row>
    <row r="10712">
      <c r="A10712" s="3" t="inlineStr">
        <is>
          <t>Opportunity Global Investment (PTY) LTD</t>
        </is>
      </c>
      <c r="B10712" s="4" t="n">
        <v>44834</v>
      </c>
      <c r="C10712" s="3" t="inlineStr">
        <is>
          <t>Expenses</t>
        </is>
      </c>
      <c r="D10712" s="3" t="inlineStr">
        <is>
          <t>3700/000</t>
        </is>
      </c>
      <c r="E10712" s="3" t="inlineStr">
        <is>
          <t>Entertainment Expenses</t>
        </is>
      </c>
      <c r="F10712" s="3" t="n">
        <v>1020.39</v>
      </c>
      <c r="G10712" s="3" t="n">
        <v>6457.36</v>
      </c>
    </row>
    <row r="10713">
      <c r="A10713" s="3" t="inlineStr">
        <is>
          <t>Opportunity Management Holdings (PTY) LTD</t>
        </is>
      </c>
      <c r="B10713" s="4" t="n">
        <v>44834</v>
      </c>
      <c r="C10713" s="3" t="inlineStr">
        <is>
          <t>Expenses</t>
        </is>
      </c>
      <c r="D10713" s="3" t="inlineStr">
        <is>
          <t>3700/000</t>
        </is>
      </c>
      <c r="E10713" s="3" t="inlineStr">
        <is>
          <t>Entertainment Expenses</t>
        </is>
      </c>
      <c r="F10713" s="3" t="n">
        <v>45</v>
      </c>
      <c r="G10713" s="3" t="n">
        <v>45</v>
      </c>
    </row>
    <row r="10714">
      <c r="A10714" s="3" t="inlineStr">
        <is>
          <t>Quinate Consulting (Pty) Ltd</t>
        </is>
      </c>
      <c r="B10714" s="4" t="n">
        <v>44834</v>
      </c>
      <c r="C10714" s="3" t="inlineStr">
        <is>
          <t>Expenses</t>
        </is>
      </c>
      <c r="D10714" s="3" t="inlineStr">
        <is>
          <t>3700/000</t>
        </is>
      </c>
      <c r="E10714" s="3" t="inlineStr">
        <is>
          <t>Entertainment Expenses</t>
        </is>
      </c>
      <c r="F10714" s="3" t="n">
        <v>145</v>
      </c>
      <c r="G10714" s="3" t="n">
        <v>6414.81</v>
      </c>
    </row>
    <row r="10715">
      <c r="A10715" s="3" t="inlineStr">
        <is>
          <t>Opportunity Global Investment (PTY) LTD</t>
        </is>
      </c>
      <c r="B10715" s="4" t="n">
        <v>44834</v>
      </c>
      <c r="C10715" s="3" t="inlineStr">
        <is>
          <t>Expenses</t>
        </is>
      </c>
      <c r="D10715" s="3" t="inlineStr">
        <is>
          <t>3800/010</t>
        </is>
      </c>
      <c r="E10715" s="3" t="inlineStr">
        <is>
          <t>General Expences - Gifts</t>
        </is>
      </c>
      <c r="F10715" s="3" t="n">
        <v>0</v>
      </c>
      <c r="G10715" s="3" t="n">
        <v>600.99</v>
      </c>
    </row>
    <row r="10716">
      <c r="A10716" s="3" t="inlineStr">
        <is>
          <t>Opportunity Management Holdings (PTY) LTD</t>
        </is>
      </c>
      <c r="B10716" s="4" t="n">
        <v>44834</v>
      </c>
      <c r="C10716" s="3" t="inlineStr">
        <is>
          <t>Expenses</t>
        </is>
      </c>
      <c r="D10716" s="3" t="inlineStr">
        <is>
          <t>3850/000</t>
        </is>
      </c>
      <c r="E10716" s="3" t="inlineStr">
        <is>
          <t>Insurance - Momentum</t>
        </is>
      </c>
      <c r="F10716" s="3" t="n">
        <v>1469.51</v>
      </c>
      <c r="G10716" s="3" t="n">
        <v>1469.51</v>
      </c>
    </row>
    <row r="10717">
      <c r="A10717" s="3" t="inlineStr">
        <is>
          <t>Noble Shield (Pty) Ltd ta Go Letting</t>
        </is>
      </c>
      <c r="B10717" s="4" t="n">
        <v>44834</v>
      </c>
      <c r="C10717" s="3" t="inlineStr">
        <is>
          <t>Expenses</t>
        </is>
      </c>
      <c r="D10717" s="3" t="inlineStr">
        <is>
          <t>3850/100</t>
        </is>
      </c>
      <c r="E10717" s="3" t="inlineStr">
        <is>
          <t>Insurance - Santam</t>
        </is>
      </c>
      <c r="F10717" s="3" t="n">
        <v>3754.19</v>
      </c>
      <c r="G10717" s="3" t="n">
        <v>3754.19</v>
      </c>
    </row>
    <row r="10718">
      <c r="A10718" s="3" t="inlineStr">
        <is>
          <t>Noble Shield (Pty) Ltd ta Go Letting</t>
        </is>
      </c>
      <c r="B10718" s="4" t="n">
        <v>44834</v>
      </c>
      <c r="C10718" s="3" t="inlineStr">
        <is>
          <t>Expenses</t>
        </is>
      </c>
      <c r="D10718" s="3" t="inlineStr">
        <is>
          <t>3850/200</t>
        </is>
      </c>
      <c r="E10718" s="3" t="inlineStr">
        <is>
          <t>Insurance - A_AND_G</t>
        </is>
      </c>
      <c r="F10718" s="3" t="n">
        <v>1796</v>
      </c>
      <c r="G10718" s="3" t="n">
        <v>1796</v>
      </c>
    </row>
    <row r="10719">
      <c r="A10719" s="3" t="inlineStr">
        <is>
          <t>Quinate Consulting (Pty) Ltd</t>
        </is>
      </c>
      <c r="B10719" s="4" t="n">
        <v>44834</v>
      </c>
      <c r="C10719" s="3" t="inlineStr">
        <is>
          <t>Expenses</t>
        </is>
      </c>
      <c r="D10719" s="3" t="inlineStr">
        <is>
          <t>3851/000</t>
        </is>
      </c>
      <c r="E10719" s="3" t="inlineStr">
        <is>
          <t>Insurance - Momentum</t>
        </is>
      </c>
      <c r="F10719" s="3" t="n">
        <v>6825.93</v>
      </c>
      <c r="G10719" s="3" t="n">
        <v>47781.51</v>
      </c>
    </row>
    <row r="10720">
      <c r="A10720" s="3" t="inlineStr">
        <is>
          <t>Quinate Consulting (Pty) Ltd</t>
        </is>
      </c>
      <c r="B10720" s="4" t="n">
        <v>44834</v>
      </c>
      <c r="C10720" s="3" t="inlineStr">
        <is>
          <t>Expenses</t>
        </is>
      </c>
      <c r="D10720" s="3" t="inlineStr">
        <is>
          <t>3900/000</t>
        </is>
      </c>
      <c r="E10720" s="3" t="inlineStr">
        <is>
          <t>Interest Paid</t>
        </is>
      </c>
      <c r="F10720" s="3" t="n">
        <v>276.82</v>
      </c>
      <c r="G10720" s="3" t="n">
        <v>928.7</v>
      </c>
    </row>
    <row r="10721">
      <c r="A10721" s="3" t="inlineStr">
        <is>
          <t>Quinate Consulting (Pty) Ltd</t>
        </is>
      </c>
      <c r="B10721" s="4" t="n">
        <v>44834</v>
      </c>
      <c r="C10721" s="3" t="inlineStr">
        <is>
          <t>Expenses</t>
        </is>
      </c>
      <c r="D10721" s="3" t="inlineStr">
        <is>
          <t>3900/050</t>
        </is>
      </c>
      <c r="E10721" s="3" t="inlineStr">
        <is>
          <t>Interest Paid - STD Bond Accounts</t>
        </is>
      </c>
      <c r="F10721" s="3" t="n">
        <v>52201.81</v>
      </c>
      <c r="G10721" s="3" t="n">
        <v>338606.55</v>
      </c>
    </row>
    <row r="10722">
      <c r="A10722" s="3" t="inlineStr">
        <is>
          <t>Endulini (Pty) Ltd</t>
        </is>
      </c>
      <c r="B10722" s="4" t="n">
        <v>44834</v>
      </c>
      <c r="C10722" s="3" t="inlineStr">
        <is>
          <t>Expenses</t>
        </is>
      </c>
      <c r="D10722" s="3" t="inlineStr">
        <is>
          <t>3900/111</t>
        </is>
      </c>
      <c r="E10722" s="3" t="inlineStr">
        <is>
          <t>Interest Paid - Investors @ 6.25%</t>
        </is>
      </c>
      <c r="F10722" s="3" t="n">
        <v>40154.12</v>
      </c>
      <c r="G10722" s="3" t="n">
        <v>454292.06</v>
      </c>
    </row>
    <row r="10723">
      <c r="A10723" s="3" t="inlineStr">
        <is>
          <t>Endulini (Pty) Ltd</t>
        </is>
      </c>
      <c r="B10723" s="4" t="n">
        <v>44834</v>
      </c>
      <c r="C10723" s="3" t="inlineStr">
        <is>
          <t>Expenses</t>
        </is>
      </c>
      <c r="D10723" s="3" t="inlineStr">
        <is>
          <t>3900/112</t>
        </is>
      </c>
      <c r="E10723" s="3" t="inlineStr">
        <is>
          <t>Interest Paid - Investors @ 6.5%</t>
        </is>
      </c>
      <c r="F10723" s="3" t="n">
        <v>0</v>
      </c>
      <c r="G10723" s="3" t="n">
        <v>34966.95</v>
      </c>
    </row>
    <row r="10724">
      <c r="A10724" s="3" t="inlineStr">
        <is>
          <t>Endulini (Pty) Ltd</t>
        </is>
      </c>
      <c r="B10724" s="4" t="n">
        <v>44834</v>
      </c>
      <c r="C10724" s="3" t="inlineStr">
        <is>
          <t>Expenses</t>
        </is>
      </c>
      <c r="D10724" s="3" t="inlineStr">
        <is>
          <t>3900/120</t>
        </is>
      </c>
      <c r="E10724" s="3" t="inlineStr">
        <is>
          <t>Interest Paid - Investors @ 7%</t>
        </is>
      </c>
      <c r="F10724" s="3" t="n">
        <v>11054.45</v>
      </c>
      <c r="G10724" s="3" t="n">
        <v>20520.69</v>
      </c>
    </row>
    <row r="10725">
      <c r="A10725" s="3" t="inlineStr">
        <is>
          <t>Endulini (Pty) Ltd</t>
        </is>
      </c>
      <c r="B10725" s="4" t="n">
        <v>44834</v>
      </c>
      <c r="C10725" s="3" t="inlineStr">
        <is>
          <t>Expenses</t>
        </is>
      </c>
      <c r="D10725" s="3" t="inlineStr">
        <is>
          <t>3900/122</t>
        </is>
      </c>
      <c r="E10725" s="3" t="inlineStr">
        <is>
          <t>Interest Paid - Investors @ 7.5%</t>
        </is>
      </c>
      <c r="F10725" s="3" t="n">
        <v>7808.22</v>
      </c>
      <c r="G10725" s="3" t="n">
        <v>7808.22</v>
      </c>
    </row>
    <row r="10726">
      <c r="A10726" s="3" t="inlineStr">
        <is>
          <t>Endulini (Pty) Ltd</t>
        </is>
      </c>
      <c r="B10726" s="4" t="n">
        <v>44834</v>
      </c>
      <c r="C10726" s="3" t="inlineStr">
        <is>
          <t>Expenses</t>
        </is>
      </c>
      <c r="D10726" s="3" t="inlineStr">
        <is>
          <t>3900/130</t>
        </is>
      </c>
      <c r="E10726" s="3" t="inlineStr">
        <is>
          <t>Interest Paid - Investors @ 8%</t>
        </is>
      </c>
      <c r="F10726" s="3" t="n">
        <v>0</v>
      </c>
      <c r="G10726" s="3" t="n">
        <v>8309.6</v>
      </c>
    </row>
    <row r="10727">
      <c r="A10727" s="3" t="inlineStr">
        <is>
          <t>Endulini (Pty) Ltd</t>
        </is>
      </c>
      <c r="B10727" s="4" t="n">
        <v>44834</v>
      </c>
      <c r="C10727" s="3" t="inlineStr">
        <is>
          <t>Expenses</t>
        </is>
      </c>
      <c r="D10727" s="3" t="inlineStr">
        <is>
          <t>3900/140</t>
        </is>
      </c>
      <c r="E10727" s="3" t="inlineStr">
        <is>
          <t>Interest Paid - Investors @ 9%</t>
        </is>
      </c>
      <c r="F10727" s="3" t="n">
        <v>0</v>
      </c>
      <c r="G10727" s="3" t="n">
        <v>4302.24</v>
      </c>
    </row>
    <row r="10728">
      <c r="A10728" s="3" t="inlineStr">
        <is>
          <t>Quinate Consulting (Pty) Ltd</t>
        </is>
      </c>
      <c r="B10728" s="4" t="n">
        <v>44834</v>
      </c>
      <c r="C10728" s="3" t="inlineStr">
        <is>
          <t>Expenses</t>
        </is>
      </c>
      <c r="D10728" s="3" t="inlineStr">
        <is>
          <t>3900/150</t>
        </is>
      </c>
      <c r="E10728" s="3" t="inlineStr">
        <is>
          <t>Interest Paid - Suppliers</t>
        </is>
      </c>
      <c r="F10728" s="3" t="n">
        <v>0</v>
      </c>
      <c r="G10728" s="3" t="n">
        <v>926.21</v>
      </c>
    </row>
    <row r="10729">
      <c r="A10729" s="3" t="inlineStr">
        <is>
          <t>Quinate Consulting (Pty) Ltd</t>
        </is>
      </c>
      <c r="B10729" s="4" t="n">
        <v>44834</v>
      </c>
      <c r="C10729" s="3" t="inlineStr">
        <is>
          <t>Expenses</t>
        </is>
      </c>
      <c r="D10729" s="3" t="inlineStr">
        <is>
          <t>3900/152</t>
        </is>
      </c>
      <c r="E10729" s="3" t="inlineStr">
        <is>
          <t>Interest Paid - Gengis</t>
        </is>
      </c>
      <c r="F10729" s="3" t="n">
        <v>1479.45</v>
      </c>
      <c r="G10729" s="3" t="n">
        <v>10553.43</v>
      </c>
    </row>
    <row r="10730">
      <c r="A10730" s="3" t="inlineStr">
        <is>
          <t>Endulini (Pty) Ltd</t>
        </is>
      </c>
      <c r="B10730" s="4" t="n">
        <v>44834</v>
      </c>
      <c r="C10730" s="3" t="inlineStr">
        <is>
          <t>Expenses</t>
        </is>
      </c>
      <c r="D10730" s="3" t="inlineStr">
        <is>
          <t>3900/190</t>
        </is>
      </c>
      <c r="E10730" s="3" t="inlineStr">
        <is>
          <t>Interest Paid - Investors @ 14%</t>
        </is>
      </c>
      <c r="F10730" s="3" t="n">
        <v>6998.96</v>
      </c>
      <c r="G10730" s="3" t="n">
        <v>6998.96</v>
      </c>
    </row>
    <row r="10731">
      <c r="A10731" s="3" t="inlineStr">
        <is>
          <t>Endulini (Pty) Ltd</t>
        </is>
      </c>
      <c r="B10731" s="4" t="n">
        <v>44834</v>
      </c>
      <c r="C10731" s="3" t="inlineStr">
        <is>
          <t>Expenses</t>
        </is>
      </c>
      <c r="D10731" s="3" t="inlineStr">
        <is>
          <t>3900/200</t>
        </is>
      </c>
      <c r="E10731" s="3" t="inlineStr">
        <is>
          <t>Interest Paid - Investors @ 15%</t>
        </is>
      </c>
      <c r="F10731" s="3" t="n">
        <v>34828.76</v>
      </c>
      <c r="G10731" s="3" t="n">
        <v>122609.94</v>
      </c>
    </row>
    <row r="10732">
      <c r="A10732" s="3" t="inlineStr">
        <is>
          <t>Endulini (Pty) Ltd</t>
        </is>
      </c>
      <c r="B10732" s="4" t="n">
        <v>44834</v>
      </c>
      <c r="C10732" s="3" t="inlineStr">
        <is>
          <t>Expenses</t>
        </is>
      </c>
      <c r="D10732" s="3" t="inlineStr">
        <is>
          <t>3900/230</t>
        </is>
      </c>
      <c r="E10732" s="3" t="inlineStr">
        <is>
          <t>Interest Paid - Investors @ 18%</t>
        </is>
      </c>
      <c r="F10732" s="3" t="n">
        <v>852287.66</v>
      </c>
      <c r="G10732" s="3" t="n">
        <v>5410986.83</v>
      </c>
    </row>
    <row r="10733">
      <c r="A10733" s="3" t="inlineStr">
        <is>
          <t>Opportunity Global Investment (PTY) LTD</t>
        </is>
      </c>
      <c r="B10733" s="4" t="n">
        <v>44834</v>
      </c>
      <c r="C10733" s="3" t="inlineStr">
        <is>
          <t>Expenses</t>
        </is>
      </c>
      <c r="D10733" s="3" t="inlineStr">
        <is>
          <t>3901/000</t>
        </is>
      </c>
      <c r="E10733" s="3" t="inlineStr">
        <is>
          <t>Interest Paid - Department of Labour</t>
        </is>
      </c>
      <c r="F10733" s="3" t="n">
        <v>54.25</v>
      </c>
      <c r="G10733" s="3" t="n">
        <v>1488.4</v>
      </c>
    </row>
    <row r="10734">
      <c r="A10734" s="3" t="inlineStr">
        <is>
          <t>Opportunity Management Holdings (PTY) LTD</t>
        </is>
      </c>
      <c r="B10734" s="4" t="n">
        <v>44834</v>
      </c>
      <c r="C10734" s="3" t="inlineStr">
        <is>
          <t>Expenses</t>
        </is>
      </c>
      <c r="D10734" s="3" t="inlineStr">
        <is>
          <t>3960/000</t>
        </is>
      </c>
      <c r="E10734" s="3" t="inlineStr">
        <is>
          <t>Internet Fees</t>
        </is>
      </c>
      <c r="F10734" s="3" t="n">
        <v>528.86</v>
      </c>
      <c r="G10734" s="3" t="n">
        <v>528.86</v>
      </c>
    </row>
    <row r="10735">
      <c r="A10735" s="3" t="inlineStr">
        <is>
          <t>Quinate Consulting (Pty) Ltd</t>
        </is>
      </c>
      <c r="B10735" s="4" t="n">
        <v>44834</v>
      </c>
      <c r="C10735" s="3" t="inlineStr">
        <is>
          <t>Expenses</t>
        </is>
      </c>
      <c r="D10735" s="3" t="inlineStr">
        <is>
          <t>4000/000</t>
        </is>
      </c>
      <c r="E10735" s="3" t="inlineStr">
        <is>
          <t>Legal Fees</t>
        </is>
      </c>
      <c r="F10735" s="3" t="n">
        <v>0</v>
      </c>
      <c r="G10735" s="3" t="n">
        <v>61720</v>
      </c>
    </row>
    <row r="10736">
      <c r="A10736" s="3" t="inlineStr">
        <is>
          <t>Quinate Consulting (Pty) Ltd</t>
        </is>
      </c>
      <c r="B10736" s="4" t="n">
        <v>44834</v>
      </c>
      <c r="C10736" s="3" t="inlineStr">
        <is>
          <t>Expenses</t>
        </is>
      </c>
      <c r="D10736" s="3" t="inlineStr">
        <is>
          <t>4065/000</t>
        </is>
      </c>
      <c r="E10736" s="3" t="inlineStr">
        <is>
          <t>Levies - SoHo</t>
        </is>
      </c>
      <c r="F10736" s="3" t="n">
        <v>6466.98</v>
      </c>
      <c r="G10736" s="3" t="n">
        <v>50488.72</v>
      </c>
    </row>
    <row r="10737">
      <c r="A10737" s="3" t="inlineStr">
        <is>
          <t>Quinate Consulting (Pty) Ltd</t>
        </is>
      </c>
      <c r="B10737" s="4" t="n">
        <v>44834</v>
      </c>
      <c r="C10737" s="3" t="inlineStr">
        <is>
          <t>Expenses</t>
        </is>
      </c>
      <c r="D10737" s="3" t="inlineStr">
        <is>
          <t>4066/000</t>
        </is>
      </c>
      <c r="E10737" s="3" t="inlineStr">
        <is>
          <t>Levies - Southwark</t>
        </is>
      </c>
      <c r="F10737" s="3" t="n">
        <v>3422.18</v>
      </c>
      <c r="G10737" s="3" t="n">
        <v>21619.86</v>
      </c>
    </row>
    <row r="10738">
      <c r="A10738" s="3" t="inlineStr">
        <is>
          <t>Endulini (Pty) Ltd</t>
        </is>
      </c>
      <c r="B10738" s="4" t="n">
        <v>44834</v>
      </c>
      <c r="C10738" s="3" t="inlineStr">
        <is>
          <t>Expenses</t>
        </is>
      </c>
      <c r="D10738" s="3" t="inlineStr">
        <is>
          <t>4100/001</t>
        </is>
      </c>
      <c r="E10738" s="3" t="inlineStr">
        <is>
          <t>Momentum Admin Fee</t>
        </is>
      </c>
      <c r="F10738" s="3" t="n">
        <v>1.13</v>
      </c>
      <c r="G10738" s="3" t="n">
        <v>52357.99</v>
      </c>
    </row>
    <row r="10739">
      <c r="A10739" s="3" t="inlineStr">
        <is>
          <t>Quinate Consulting (Pty) Ltd</t>
        </is>
      </c>
      <c r="B10739" s="4" t="n">
        <v>44834</v>
      </c>
      <c r="C10739" s="3" t="inlineStr">
        <is>
          <t>Expenses</t>
        </is>
      </c>
      <c r="D10739" s="3" t="inlineStr">
        <is>
          <t>4100/001</t>
        </is>
      </c>
      <c r="E10739" s="3" t="inlineStr">
        <is>
          <t>Momentum Advise Fee</t>
        </is>
      </c>
      <c r="F10739" s="3" t="n">
        <v>0.23</v>
      </c>
      <c r="G10739" s="3" t="n">
        <v>1.5</v>
      </c>
    </row>
    <row r="10740">
      <c r="A10740" s="3" t="inlineStr">
        <is>
          <t>Opportunity Global Investment (PTY) LTD</t>
        </is>
      </c>
      <c r="B10740" s="4" t="n">
        <v>44834</v>
      </c>
      <c r="C10740" s="3" t="inlineStr">
        <is>
          <t>Expenses</t>
        </is>
      </c>
      <c r="D10740" s="3" t="inlineStr">
        <is>
          <t>4100/100</t>
        </is>
      </c>
      <c r="E10740" s="3" t="inlineStr">
        <is>
          <t>Members Salaries - Nick Morgan</t>
        </is>
      </c>
      <c r="F10740" s="3" t="n">
        <v>40937.18</v>
      </c>
      <c r="G10740" s="3" t="n">
        <v>286560.28</v>
      </c>
    </row>
    <row r="10741">
      <c r="A10741" s="3" t="inlineStr">
        <is>
          <t>Opportunity Global Investment (PTY) LTD</t>
        </is>
      </c>
      <c r="B10741" s="4" t="n">
        <v>44834</v>
      </c>
      <c r="C10741" s="3" t="inlineStr">
        <is>
          <t>Expenses</t>
        </is>
      </c>
      <c r="D10741" s="3" t="inlineStr">
        <is>
          <t>4200/000</t>
        </is>
      </c>
      <c r="E10741" s="3" t="inlineStr">
        <is>
          <t>Printing _AND_ Stationery</t>
        </is>
      </c>
      <c r="F10741" s="3" t="n">
        <v>2367</v>
      </c>
      <c r="G10741" s="3" t="n">
        <v>16569</v>
      </c>
    </row>
    <row r="10742">
      <c r="A10742" s="3" t="inlineStr">
        <is>
          <t>Opportunity Global Sales (PTY) LTD</t>
        </is>
      </c>
      <c r="B10742" s="4" t="n">
        <v>44834</v>
      </c>
      <c r="C10742" s="3" t="inlineStr">
        <is>
          <t>Expenses</t>
        </is>
      </c>
      <c r="D10742" s="3" t="inlineStr">
        <is>
          <t>4200/000</t>
        </is>
      </c>
      <c r="E10742" s="3" t="inlineStr">
        <is>
          <t>Printing _AND_ Stationery</t>
        </is>
      </c>
      <c r="F10742" s="3" t="n">
        <v>0</v>
      </c>
      <c r="G10742" s="3" t="n">
        <v>220</v>
      </c>
    </row>
    <row r="10743">
      <c r="A10743" s="3" t="inlineStr">
        <is>
          <t>Opportunity Management Holdings (PTY) LTD</t>
        </is>
      </c>
      <c r="B10743" s="4" t="n">
        <v>44834</v>
      </c>
      <c r="C10743" s="3" t="inlineStr">
        <is>
          <t>Expenses</t>
        </is>
      </c>
      <c r="D10743" s="3" t="inlineStr">
        <is>
          <t>4200/000</t>
        </is>
      </c>
      <c r="E10743" s="3" t="inlineStr">
        <is>
          <t>Printing _AND_ Stationery</t>
        </is>
      </c>
      <c r="F10743" s="3" t="n">
        <v>3870.37</v>
      </c>
      <c r="G10743" s="3" t="n">
        <v>3870.37</v>
      </c>
    </row>
    <row r="10744">
      <c r="A10744" s="3" t="inlineStr">
        <is>
          <t>Quinate Consulting (Pty) Ltd</t>
        </is>
      </c>
      <c r="B10744" s="4" t="n">
        <v>44834</v>
      </c>
      <c r="C10744" s="3" t="inlineStr">
        <is>
          <t>Expenses</t>
        </is>
      </c>
      <c r="D10744" s="3" t="inlineStr">
        <is>
          <t>4200/000</t>
        </is>
      </c>
      <c r="E10744" s="3" t="inlineStr">
        <is>
          <t>Printing _AND_ Stationery</t>
        </is>
      </c>
      <c r="F10744" s="3" t="n">
        <v>0</v>
      </c>
      <c r="G10744" s="3" t="n">
        <v>1232.17</v>
      </c>
    </row>
    <row r="10745">
      <c r="A10745" s="3" t="inlineStr">
        <is>
          <t>Noble Shield (Pty) Ltd ta Go Letting</t>
        </is>
      </c>
      <c r="B10745" s="4" t="n">
        <v>44834</v>
      </c>
      <c r="C10745" s="3" t="inlineStr">
        <is>
          <t>Expenses</t>
        </is>
      </c>
      <c r="D10745" s="3" t="inlineStr">
        <is>
          <t>4200/100</t>
        </is>
      </c>
      <c r="E10745" s="3" t="inlineStr">
        <is>
          <t>Printing - Merchant West- Printer Rental</t>
        </is>
      </c>
      <c r="F10745" s="3" t="n">
        <v>1628.84</v>
      </c>
      <c r="G10745" s="3" t="n">
        <v>1628.84</v>
      </c>
    </row>
    <row r="10746">
      <c r="A10746" s="3" t="inlineStr">
        <is>
          <t>Noble Shield (Pty) Ltd ta Go Letting</t>
        </is>
      </c>
      <c r="B10746" s="4" t="n">
        <v>44834</v>
      </c>
      <c r="C10746" s="3" t="inlineStr">
        <is>
          <t>Expenses</t>
        </is>
      </c>
      <c r="D10746" s="3" t="inlineStr">
        <is>
          <t>4200/120</t>
        </is>
      </c>
      <c r="E10746" s="3" t="inlineStr">
        <is>
          <t>Printing - Ivy Line - Prints</t>
        </is>
      </c>
      <c r="F10746" s="3" t="n">
        <v>1161.65</v>
      </c>
      <c r="G10746" s="3" t="n">
        <v>1161.65</v>
      </c>
    </row>
    <row r="10747">
      <c r="A10747" s="3" t="inlineStr">
        <is>
          <t>Noble Shield (Pty) Ltd ta Go Letting</t>
        </is>
      </c>
      <c r="B10747" s="4" t="n">
        <v>44834</v>
      </c>
      <c r="C10747" s="3" t="inlineStr">
        <is>
          <t>Expenses</t>
        </is>
      </c>
      <c r="D10747" s="3" t="inlineStr">
        <is>
          <t>4200/180</t>
        </is>
      </c>
      <c r="E10747" s="3" t="inlineStr">
        <is>
          <t>Printing - Ikon</t>
        </is>
      </c>
      <c r="F10747" s="3" t="n">
        <v>92</v>
      </c>
      <c r="G10747" s="3" t="n">
        <v>92</v>
      </c>
    </row>
    <row r="10748">
      <c r="A10748" s="3" t="inlineStr">
        <is>
          <t>Noble Shield (Pty) Ltd ta Go Letting</t>
        </is>
      </c>
      <c r="B10748" s="4" t="n">
        <v>44834</v>
      </c>
      <c r="C10748" s="3" t="inlineStr">
        <is>
          <t>Expenses</t>
        </is>
      </c>
      <c r="D10748" s="3" t="inlineStr">
        <is>
          <t>4200/190</t>
        </is>
      </c>
      <c r="E10748" s="3" t="inlineStr">
        <is>
          <t>Printing - Centrafin printer rental</t>
        </is>
      </c>
      <c r="F10748" s="3" t="n">
        <v>2553.77</v>
      </c>
      <c r="G10748" s="3" t="n">
        <v>2553.77</v>
      </c>
    </row>
    <row r="10749">
      <c r="A10749" s="3" t="inlineStr">
        <is>
          <t>Noble Shield (Pty) Ltd ta Go Letting</t>
        </is>
      </c>
      <c r="B10749" s="4" t="n">
        <v>44834</v>
      </c>
      <c r="C10749" s="3" t="inlineStr">
        <is>
          <t>Expenses</t>
        </is>
      </c>
      <c r="D10749" s="3" t="inlineStr">
        <is>
          <t>4200/200</t>
        </is>
      </c>
      <c r="E10749" s="3" t="inlineStr">
        <is>
          <t>Printing - General Stationery VDB Office</t>
        </is>
      </c>
      <c r="F10749" s="3" t="n">
        <v>2403.2</v>
      </c>
      <c r="G10749" s="3" t="n">
        <v>2403.2</v>
      </c>
    </row>
    <row r="10750">
      <c r="A10750" s="3" t="inlineStr">
        <is>
          <t>Noble Shield (Pty) Ltd ta Go Letting</t>
        </is>
      </c>
      <c r="B10750" s="4" t="n">
        <v>44834</v>
      </c>
      <c r="C10750" s="3" t="inlineStr">
        <is>
          <t>Expenses</t>
        </is>
      </c>
      <c r="D10750" s="3" t="inlineStr">
        <is>
          <t>4290/000</t>
        </is>
      </c>
      <c r="E10750" s="3" t="inlineStr">
        <is>
          <t>Refreshments - CT Office</t>
        </is>
      </c>
      <c r="F10750" s="3" t="n">
        <v>809.72</v>
      </c>
      <c r="G10750" s="3" t="n">
        <v>809.72</v>
      </c>
    </row>
    <row r="10751">
      <c r="A10751" s="3" t="inlineStr">
        <is>
          <t>Opportunity Global Investment (PTY) LTD</t>
        </is>
      </c>
      <c r="B10751" s="4" t="n">
        <v>44834</v>
      </c>
      <c r="C10751" s="3" t="inlineStr">
        <is>
          <t>Expenses</t>
        </is>
      </c>
      <c r="D10751" s="3" t="inlineStr">
        <is>
          <t>4290/000</t>
        </is>
      </c>
      <c r="E10751" s="3" t="inlineStr">
        <is>
          <t>Rent</t>
        </is>
      </c>
      <c r="F10751" s="3" t="n">
        <v>8770</v>
      </c>
      <c r="G10751" s="3" t="n">
        <v>61390</v>
      </c>
    </row>
    <row r="10752">
      <c r="A10752" s="3" t="inlineStr">
        <is>
          <t>Noble Shield (Pty) Ltd ta Go Letting</t>
        </is>
      </c>
      <c r="B10752" s="4" t="n">
        <v>44834</v>
      </c>
      <c r="C10752" s="3" t="inlineStr">
        <is>
          <t>Expenses</t>
        </is>
      </c>
      <c r="D10752" s="3" t="inlineStr">
        <is>
          <t>4291/000</t>
        </is>
      </c>
      <c r="E10752" s="3" t="inlineStr">
        <is>
          <t>Refreshments - VDB Office</t>
        </is>
      </c>
      <c r="F10752" s="3" t="n">
        <v>745.9</v>
      </c>
      <c r="G10752" s="3" t="n">
        <v>745.9</v>
      </c>
    </row>
    <row r="10753">
      <c r="A10753" s="3" t="inlineStr">
        <is>
          <t>Trademark Holdings (Pty) Ltd</t>
        </is>
      </c>
      <c r="B10753" s="4" t="n">
        <v>44834</v>
      </c>
      <c r="C10753" s="3" t="inlineStr">
        <is>
          <t>Expenses</t>
        </is>
      </c>
      <c r="D10753" s="3" t="inlineStr">
        <is>
          <t>4300/000</t>
        </is>
      </c>
      <c r="E10753" s="3" t="inlineStr">
        <is>
          <t>Rent Paid</t>
        </is>
      </c>
      <c r="F10753" s="3" t="n">
        <v>6427.32</v>
      </c>
      <c r="G10753" s="3" t="n">
        <v>6427.32</v>
      </c>
    </row>
    <row r="10754">
      <c r="A10754" s="3" t="inlineStr">
        <is>
          <t>Endulini (Pty) Ltd</t>
        </is>
      </c>
      <c r="B10754" s="4" t="n">
        <v>44834</v>
      </c>
      <c r="C10754" s="3" t="inlineStr">
        <is>
          <t>Expenses</t>
        </is>
      </c>
      <c r="D10754" s="3" t="inlineStr">
        <is>
          <t>4310/000</t>
        </is>
      </c>
      <c r="E10754" s="3" t="inlineStr">
        <is>
          <t>Rates</t>
        </is>
      </c>
      <c r="F10754" s="3" t="n">
        <v>0</v>
      </c>
      <c r="G10754" s="3" t="n">
        <v>28266.66</v>
      </c>
    </row>
    <row r="10755">
      <c r="A10755" s="3" t="inlineStr">
        <is>
          <t>Opportunity Global Investment (PTY) LTD</t>
        </is>
      </c>
      <c r="B10755" s="4" t="n">
        <v>44834</v>
      </c>
      <c r="C10755" s="3" t="inlineStr">
        <is>
          <t>Expenses</t>
        </is>
      </c>
      <c r="D10755" s="3" t="inlineStr">
        <is>
          <t>4310/000</t>
        </is>
      </c>
      <c r="E10755" s="3" t="inlineStr">
        <is>
          <t>Refreshments</t>
        </is>
      </c>
      <c r="F10755" s="3" t="n">
        <v>2521</v>
      </c>
      <c r="G10755" s="3" t="n">
        <v>17647</v>
      </c>
    </row>
    <row r="10756">
      <c r="A10756" s="3" t="inlineStr">
        <is>
          <t>Opportunity Management Holdings (PTY) LTD</t>
        </is>
      </c>
      <c r="B10756" s="4" t="n">
        <v>44834</v>
      </c>
      <c r="C10756" s="3" t="inlineStr">
        <is>
          <t>Expenses</t>
        </is>
      </c>
      <c r="D10756" s="3" t="inlineStr">
        <is>
          <t>4310/000</t>
        </is>
      </c>
      <c r="E10756" s="3" t="inlineStr">
        <is>
          <t>Refreshments</t>
        </is>
      </c>
      <c r="F10756" s="3" t="n">
        <v>1630.91</v>
      </c>
      <c r="G10756" s="3" t="n">
        <v>1630.91</v>
      </c>
    </row>
    <row r="10757">
      <c r="A10757" s="3" t="inlineStr">
        <is>
          <t>Quinate Consulting (Pty) Ltd</t>
        </is>
      </c>
      <c r="B10757" s="4" t="n">
        <v>44834</v>
      </c>
      <c r="C10757" s="3" t="inlineStr">
        <is>
          <t>Expenses</t>
        </is>
      </c>
      <c r="D10757" s="3" t="inlineStr">
        <is>
          <t>4312/000</t>
        </is>
      </c>
      <c r="E10757" s="3" t="inlineStr">
        <is>
          <t>Rates - SoHo Units</t>
        </is>
      </c>
      <c r="F10757" s="3" t="n">
        <v>2625.37</v>
      </c>
      <c r="G10757" s="3" t="n">
        <v>17025.51</v>
      </c>
    </row>
    <row r="10758">
      <c r="A10758" s="3" t="inlineStr">
        <is>
          <t>Quinate Consulting (Pty) Ltd</t>
        </is>
      </c>
      <c r="B10758" s="4" t="n">
        <v>44834</v>
      </c>
      <c r="C10758" s="3" t="inlineStr">
        <is>
          <t>Expenses</t>
        </is>
      </c>
      <c r="D10758" s="3" t="inlineStr">
        <is>
          <t>4350/000</t>
        </is>
      </c>
      <c r="E10758" s="3" t="inlineStr">
        <is>
          <t>Repairs and Maintenance - Southwark Units</t>
        </is>
      </c>
      <c r="F10758" s="3" t="n">
        <v>3004.12</v>
      </c>
      <c r="G10758" s="3" t="n">
        <v>15420.12</v>
      </c>
    </row>
    <row r="10759">
      <c r="A10759" s="3" t="inlineStr">
        <is>
          <t>Opportunity Global Investment (PTY) LTD</t>
        </is>
      </c>
      <c r="B10759" s="4" t="n">
        <v>44834</v>
      </c>
      <c r="C10759" s="3" t="inlineStr">
        <is>
          <t>Expenses</t>
        </is>
      </c>
      <c r="D10759" s="3" t="inlineStr">
        <is>
          <t>4360/000</t>
        </is>
      </c>
      <c r="E10759" s="3" t="inlineStr">
        <is>
          <t>Secretarial - CIPC</t>
        </is>
      </c>
      <c r="F10759" s="3" t="n">
        <v>0</v>
      </c>
      <c r="G10759" s="3" t="n">
        <v>600</v>
      </c>
    </row>
    <row r="10760">
      <c r="A10760" s="3" t="inlineStr">
        <is>
          <t>Opportunity Global Sales (PTY) LTD</t>
        </is>
      </c>
      <c r="B10760" s="4" t="n">
        <v>44834</v>
      </c>
      <c r="C10760" s="3" t="inlineStr">
        <is>
          <t>Expenses</t>
        </is>
      </c>
      <c r="D10760" s="3" t="inlineStr">
        <is>
          <t>4390/000</t>
        </is>
      </c>
      <c r="E10760" s="3" t="inlineStr">
        <is>
          <t>Small Assets</t>
        </is>
      </c>
      <c r="F10760" s="3" t="n">
        <v>4347.83</v>
      </c>
      <c r="G10760" s="3" t="n">
        <v>18486.87</v>
      </c>
    </row>
    <row r="10761">
      <c r="A10761" s="3" t="inlineStr">
        <is>
          <t>Opportunity Management Holdings (PTY) LTD</t>
        </is>
      </c>
      <c r="B10761" s="4" t="n">
        <v>44834</v>
      </c>
      <c r="C10761" s="3" t="inlineStr">
        <is>
          <t>Expenses</t>
        </is>
      </c>
      <c r="D10761" s="3" t="inlineStr">
        <is>
          <t>4390/000</t>
        </is>
      </c>
      <c r="E10761" s="3" t="inlineStr">
        <is>
          <t>Small Assets</t>
        </is>
      </c>
      <c r="F10761" s="3" t="n">
        <v>3476.52</v>
      </c>
      <c r="G10761" s="3" t="n">
        <v>3476.52</v>
      </c>
    </row>
    <row r="10762">
      <c r="A10762" s="3" t="inlineStr">
        <is>
          <t>Noble Shield (Pty) Ltd ta Go Letting</t>
        </is>
      </c>
      <c r="B10762" s="4" t="n">
        <v>44834</v>
      </c>
      <c r="C10762" s="3" t="inlineStr">
        <is>
          <t>Expenses</t>
        </is>
      </c>
      <c r="D10762" s="3" t="inlineStr">
        <is>
          <t>4400/000</t>
        </is>
      </c>
      <c r="E10762" s="3" t="inlineStr">
        <is>
          <t>Salaries _AND_ Wages</t>
        </is>
      </c>
      <c r="F10762" s="3" t="n">
        <v>26848.2</v>
      </c>
      <c r="G10762" s="3" t="n">
        <v>26848.2</v>
      </c>
    </row>
    <row r="10763">
      <c r="A10763" s="3" t="inlineStr">
        <is>
          <t>Opportunity Global Sales (PTY) LTD</t>
        </is>
      </c>
      <c r="B10763" s="4" t="n">
        <v>44834</v>
      </c>
      <c r="C10763" s="3" t="inlineStr">
        <is>
          <t>Expenses</t>
        </is>
      </c>
      <c r="D10763" s="3" t="inlineStr">
        <is>
          <t>4400/000</t>
        </is>
      </c>
      <c r="E10763" s="3" t="inlineStr">
        <is>
          <t>Salaries _AND_ Wages</t>
        </is>
      </c>
      <c r="F10763" s="3" t="n">
        <v>41455.54</v>
      </c>
      <c r="G10763" s="3" t="n">
        <v>263899.44</v>
      </c>
    </row>
    <row r="10764">
      <c r="A10764" s="3" t="inlineStr">
        <is>
          <t>Opportunity Management Holdings (PTY) LTD</t>
        </is>
      </c>
      <c r="B10764" s="4" t="n">
        <v>44834</v>
      </c>
      <c r="C10764" s="3" t="inlineStr">
        <is>
          <t>Expenses</t>
        </is>
      </c>
      <c r="D10764" s="3" t="inlineStr">
        <is>
          <t>4400/000</t>
        </is>
      </c>
      <c r="E10764" s="3" t="inlineStr">
        <is>
          <t>Salaries _AND_ Wages</t>
        </is>
      </c>
      <c r="F10764" s="3" t="n">
        <v>229683.2</v>
      </c>
      <c r="G10764" s="3" t="n">
        <v>229683.2</v>
      </c>
    </row>
    <row r="10765">
      <c r="A10765" s="3" t="inlineStr">
        <is>
          <t>Trademark Holdings (Pty) Ltd</t>
        </is>
      </c>
      <c r="B10765" s="4" t="n">
        <v>44834</v>
      </c>
      <c r="C10765" s="3" t="inlineStr">
        <is>
          <t>Expenses</t>
        </is>
      </c>
      <c r="D10765" s="3" t="inlineStr">
        <is>
          <t>4400/000</t>
        </is>
      </c>
      <c r="E10765" s="3" t="inlineStr">
        <is>
          <t>Salaries _AND_ Wages</t>
        </is>
      </c>
      <c r="F10765" s="3" t="n">
        <v>12429.45</v>
      </c>
      <c r="G10765" s="3" t="n">
        <v>12429.45</v>
      </c>
    </row>
    <row r="10766">
      <c r="A10766" s="3" t="inlineStr">
        <is>
          <t>Opportunity Global Investment (PTY) LTD</t>
        </is>
      </c>
      <c r="B10766" s="4" t="n">
        <v>44834</v>
      </c>
      <c r="C10766" s="3" t="inlineStr">
        <is>
          <t>Expenses</t>
        </is>
      </c>
      <c r="D10766" s="3" t="inlineStr">
        <is>
          <t>4403/000</t>
        </is>
      </c>
      <c r="E10766" s="3" t="inlineStr">
        <is>
          <t>Study fees - Nick</t>
        </is>
      </c>
      <c r="F10766" s="3" t="n">
        <v>0</v>
      </c>
      <c r="G10766" s="3" t="n">
        <v>51825.9</v>
      </c>
    </row>
    <row r="10767">
      <c r="A10767" s="3" t="inlineStr">
        <is>
          <t>Trademark Holdings (Pty) Ltd</t>
        </is>
      </c>
      <c r="B10767" s="4" t="n">
        <v>44834</v>
      </c>
      <c r="C10767" s="3" t="inlineStr">
        <is>
          <t>Expenses</t>
        </is>
      </c>
      <c r="D10767" s="3" t="inlineStr">
        <is>
          <t>4410/000</t>
        </is>
      </c>
      <c r="E10767" s="3" t="inlineStr">
        <is>
          <t>Salaries _AND_ Wages - WCA</t>
        </is>
      </c>
      <c r="F10767" s="3" t="n">
        <v>1397.74</v>
      </c>
      <c r="G10767" s="3" t="n">
        <v>1397.74</v>
      </c>
    </row>
    <row r="10768">
      <c r="A10768" s="3" t="inlineStr">
        <is>
          <t>Opportunity Global Investment (PTY) LTD</t>
        </is>
      </c>
      <c r="B10768" s="4" t="n">
        <v>44834</v>
      </c>
      <c r="C10768" s="3" t="inlineStr">
        <is>
          <t>Expenses</t>
        </is>
      </c>
      <c r="D10768" s="3" t="inlineStr">
        <is>
          <t>4500/000</t>
        </is>
      </c>
      <c r="E10768" s="3" t="inlineStr">
        <is>
          <t>Staff Welfare</t>
        </is>
      </c>
      <c r="F10768" s="3" t="n">
        <v>3500</v>
      </c>
      <c r="G10768" s="3" t="n">
        <v>3951.25</v>
      </c>
    </row>
    <row r="10769">
      <c r="A10769" s="3" t="inlineStr">
        <is>
          <t>Opportunity Management Holdings (PTY) LTD</t>
        </is>
      </c>
      <c r="B10769" s="4" t="n">
        <v>44834</v>
      </c>
      <c r="C10769" s="3" t="inlineStr">
        <is>
          <t>Expenses</t>
        </is>
      </c>
      <c r="D10769" s="3" t="inlineStr">
        <is>
          <t>4500/000</t>
        </is>
      </c>
      <c r="E10769" s="3" t="inlineStr">
        <is>
          <t>Staff Welfare</t>
        </is>
      </c>
      <c r="F10769" s="3" t="n">
        <v>2419.9</v>
      </c>
      <c r="G10769" s="3" t="n">
        <v>2419.9</v>
      </c>
    </row>
    <row r="10770">
      <c r="A10770" s="3" t="inlineStr">
        <is>
          <t>Noble Shield (Pty) Ltd ta Go Letting</t>
        </is>
      </c>
      <c r="B10770" s="4" t="n">
        <v>44834</v>
      </c>
      <c r="C10770" s="3" t="inlineStr">
        <is>
          <t>Expenses</t>
        </is>
      </c>
      <c r="D10770" s="3" t="inlineStr">
        <is>
          <t>4520/000</t>
        </is>
      </c>
      <c r="E10770" s="3" t="inlineStr">
        <is>
          <t>Security</t>
        </is>
      </c>
      <c r="F10770" s="3" t="n">
        <v>1172.69</v>
      </c>
      <c r="G10770" s="3" t="n">
        <v>1172.69</v>
      </c>
    </row>
    <row r="10771">
      <c r="A10771" s="3" t="inlineStr">
        <is>
          <t>Opportunity Global Sales (PTY) LTD</t>
        </is>
      </c>
      <c r="B10771" s="4" t="n">
        <v>44834</v>
      </c>
      <c r="C10771" s="3" t="inlineStr">
        <is>
          <t>Expenses</t>
        </is>
      </c>
      <c r="D10771" s="3" t="inlineStr">
        <is>
          <t>4550/000</t>
        </is>
      </c>
      <c r="E10771" s="3" t="inlineStr">
        <is>
          <t>Subscriptions - General</t>
        </is>
      </c>
      <c r="F10771" s="3" t="n">
        <v>762.26</v>
      </c>
      <c r="G10771" s="3" t="n">
        <v>762.26</v>
      </c>
    </row>
    <row r="10772">
      <c r="A10772" s="3" t="inlineStr">
        <is>
          <t>Quinate Consulting (Pty) Ltd</t>
        </is>
      </c>
      <c r="B10772" s="4" t="n">
        <v>44834</v>
      </c>
      <c r="C10772" s="3" t="inlineStr">
        <is>
          <t>Expenses</t>
        </is>
      </c>
      <c r="D10772" s="3" t="inlineStr">
        <is>
          <t>4550/000</t>
        </is>
      </c>
      <c r="E10772" s="3" t="inlineStr">
        <is>
          <t>Subscriptions / Licenses</t>
        </is>
      </c>
      <c r="F10772" s="3" t="n">
        <v>10030.12</v>
      </c>
      <c r="G10772" s="3" t="n">
        <v>64460.68</v>
      </c>
    </row>
    <row r="10773">
      <c r="A10773" s="3" t="inlineStr">
        <is>
          <t>Opportunity Management Holdings (PTY) LTD</t>
        </is>
      </c>
      <c r="B10773" s="4" t="n">
        <v>44834</v>
      </c>
      <c r="C10773" s="3" t="inlineStr">
        <is>
          <t>Expenses</t>
        </is>
      </c>
      <c r="D10773" s="3" t="inlineStr">
        <is>
          <t>4550/000</t>
        </is>
      </c>
      <c r="E10773" s="3" t="inlineStr">
        <is>
          <t>Subscriptions _AND_ Lisences</t>
        </is>
      </c>
      <c r="F10773" s="3" t="n">
        <v>1725.48</v>
      </c>
      <c r="G10773" s="3" t="n">
        <v>1725.48</v>
      </c>
    </row>
    <row r="10774">
      <c r="A10774" s="3" t="inlineStr">
        <is>
          <t>Opportunity Global Investment (PTY) LTD</t>
        </is>
      </c>
      <c r="B10774" s="4" t="n">
        <v>44834</v>
      </c>
      <c r="C10774" s="3" t="inlineStr">
        <is>
          <t>Expenses</t>
        </is>
      </c>
      <c r="D10774" s="3" t="inlineStr">
        <is>
          <t>4550/150</t>
        </is>
      </c>
      <c r="E10774" s="3" t="inlineStr">
        <is>
          <t>Subscriptions - Webbox</t>
        </is>
      </c>
      <c r="F10774" s="3" t="n">
        <v>1259</v>
      </c>
      <c r="G10774" s="3" t="n">
        <v>8719</v>
      </c>
    </row>
    <row r="10775">
      <c r="A10775" s="3" t="inlineStr">
        <is>
          <t>Opportunity Global Investment (PTY) LTD</t>
        </is>
      </c>
      <c r="B10775" s="4" t="n">
        <v>44834</v>
      </c>
      <c r="C10775" s="3" t="inlineStr">
        <is>
          <t>Expenses</t>
        </is>
      </c>
      <c r="D10775" s="3" t="inlineStr">
        <is>
          <t>4550/200</t>
        </is>
      </c>
      <c r="E10775" s="3" t="inlineStr">
        <is>
          <t>Subscriptions - Zoom</t>
        </is>
      </c>
      <c r="F10775" s="3" t="n">
        <v>272.1</v>
      </c>
      <c r="G10775" s="3" t="n">
        <v>1758.94</v>
      </c>
    </row>
    <row r="10776">
      <c r="A10776" s="3" t="inlineStr">
        <is>
          <t>Opportunity Global Investment (PTY) LTD</t>
        </is>
      </c>
      <c r="B10776" s="4" t="n">
        <v>44834</v>
      </c>
      <c r="C10776" s="3" t="inlineStr">
        <is>
          <t>Expenses</t>
        </is>
      </c>
      <c r="D10776" s="3" t="inlineStr">
        <is>
          <t>4550/250</t>
        </is>
      </c>
      <c r="E10776" s="3" t="inlineStr">
        <is>
          <t>Subscriptions - LinkedIn</t>
        </is>
      </c>
      <c r="F10776" s="3" t="n">
        <v>1000.49</v>
      </c>
      <c r="G10776" s="3" t="n">
        <v>8003.92</v>
      </c>
    </row>
    <row r="10777">
      <c r="A10777" s="3" t="inlineStr">
        <is>
          <t>Opportunity Global Investment (PTY) LTD</t>
        </is>
      </c>
      <c r="B10777" s="4" t="n">
        <v>44834</v>
      </c>
      <c r="C10777" s="3" t="inlineStr">
        <is>
          <t>Expenses</t>
        </is>
      </c>
      <c r="D10777" s="3" t="inlineStr">
        <is>
          <t>4550/350</t>
        </is>
      </c>
      <c r="E10777" s="3" t="inlineStr">
        <is>
          <t>Subscriptions - Xero</t>
        </is>
      </c>
      <c r="F10777" s="3" t="n">
        <v>1200</v>
      </c>
      <c r="G10777" s="3" t="n">
        <v>4200</v>
      </c>
    </row>
    <row r="10778">
      <c r="A10778" s="3" t="inlineStr">
        <is>
          <t>Opportunity Global Investment (PTY) LTD</t>
        </is>
      </c>
      <c r="B10778" s="4" t="n">
        <v>44834</v>
      </c>
      <c r="C10778" s="3" t="inlineStr">
        <is>
          <t>Expenses</t>
        </is>
      </c>
      <c r="D10778" s="3" t="inlineStr">
        <is>
          <t>4550/400</t>
        </is>
      </c>
      <c r="E10778" s="3" t="inlineStr">
        <is>
          <t>Subscriptions - Moneyweb</t>
        </is>
      </c>
      <c r="F10778" s="3" t="n">
        <v>54.78</v>
      </c>
      <c r="G10778" s="3" t="n">
        <v>383.46</v>
      </c>
    </row>
    <row r="10779">
      <c r="A10779" s="3" t="inlineStr">
        <is>
          <t>Trademark Holdings (Pty) Ltd</t>
        </is>
      </c>
      <c r="B10779" s="4" t="n">
        <v>44834</v>
      </c>
      <c r="C10779" s="3" t="inlineStr">
        <is>
          <t>Expenses</t>
        </is>
      </c>
      <c r="D10779" s="3" t="inlineStr">
        <is>
          <t>4550/400</t>
        </is>
      </c>
      <c r="E10779" s="3" t="inlineStr">
        <is>
          <t>Subscriptions - Xero</t>
        </is>
      </c>
      <c r="F10779" s="3" t="n">
        <v>600</v>
      </c>
      <c r="G10779" s="3" t="n">
        <v>600</v>
      </c>
    </row>
    <row r="10780">
      <c r="A10780" s="3" t="inlineStr">
        <is>
          <t>Opportunity Global Investment (PTY) LTD</t>
        </is>
      </c>
      <c r="B10780" s="4" t="n">
        <v>44834</v>
      </c>
      <c r="C10780" s="3" t="inlineStr">
        <is>
          <t>Expenses</t>
        </is>
      </c>
      <c r="D10780" s="3" t="inlineStr">
        <is>
          <t>4550/450</t>
        </is>
      </c>
      <c r="E10780" s="3" t="inlineStr">
        <is>
          <t>Subscriptions - Adobe</t>
        </is>
      </c>
      <c r="F10780" s="3" t="n">
        <v>562.23</v>
      </c>
      <c r="G10780" s="3" t="n">
        <v>3659.12</v>
      </c>
    </row>
    <row r="10781">
      <c r="A10781" s="3" t="inlineStr">
        <is>
          <t>Noble Shield (Pty) Ltd ta Go Letting</t>
        </is>
      </c>
      <c r="B10781" s="4" t="n">
        <v>44834</v>
      </c>
      <c r="C10781" s="3" t="inlineStr">
        <is>
          <t>Expenses</t>
        </is>
      </c>
      <c r="D10781" s="3" t="inlineStr">
        <is>
          <t>4550/600</t>
        </is>
      </c>
      <c r="E10781" s="3" t="inlineStr">
        <is>
          <t>Subscriptions - Webbox</t>
        </is>
      </c>
      <c r="F10781" s="3" t="n">
        <v>1331.7</v>
      </c>
      <c r="G10781" s="3" t="n">
        <v>1331.7</v>
      </c>
    </row>
    <row r="10782">
      <c r="A10782" s="3" t="inlineStr">
        <is>
          <t>Noble Shield (Pty) Ltd ta Go Letting</t>
        </is>
      </c>
      <c r="B10782" s="4" t="n">
        <v>44834</v>
      </c>
      <c r="C10782" s="3" t="inlineStr">
        <is>
          <t>Expenses</t>
        </is>
      </c>
      <c r="D10782" s="3" t="inlineStr">
        <is>
          <t>4550/650</t>
        </is>
      </c>
      <c r="E10782" s="3" t="inlineStr">
        <is>
          <t>Subscriptions - Xero</t>
        </is>
      </c>
      <c r="F10782" s="3" t="n">
        <v>600</v>
      </c>
      <c r="G10782" s="3" t="n">
        <v>600</v>
      </c>
    </row>
    <row r="10783">
      <c r="A10783" s="3" t="inlineStr">
        <is>
          <t>Noble Shield (Pty) Ltd ta Go Letting</t>
        </is>
      </c>
      <c r="B10783" s="4" t="n">
        <v>44834</v>
      </c>
      <c r="C10783" s="3" t="inlineStr">
        <is>
          <t>Expenses</t>
        </is>
      </c>
      <c r="D10783" s="3" t="inlineStr">
        <is>
          <t>4550/800</t>
        </is>
      </c>
      <c r="E10783" s="3" t="inlineStr">
        <is>
          <t>Subscriptions - Adobe</t>
        </is>
      </c>
      <c r="F10783" s="3" t="n">
        <v>304.98</v>
      </c>
      <c r="G10783" s="3" t="n">
        <v>304.98</v>
      </c>
    </row>
    <row r="10784">
      <c r="A10784" s="3" t="inlineStr">
        <is>
          <t>Opportunity Global Sales (PTY) LTD</t>
        </is>
      </c>
      <c r="B10784" s="4" t="n">
        <v>44834</v>
      </c>
      <c r="C10784" s="3" t="inlineStr">
        <is>
          <t>Expenses</t>
        </is>
      </c>
      <c r="D10784" s="3" t="inlineStr">
        <is>
          <t>4551/000</t>
        </is>
      </c>
      <c r="E10784" s="3" t="inlineStr">
        <is>
          <t>Subscriptions - Payprop</t>
        </is>
      </c>
      <c r="F10784" s="3" t="n">
        <v>1377.86</v>
      </c>
      <c r="G10784" s="3" t="n">
        <v>5619.66</v>
      </c>
    </row>
    <row r="10785">
      <c r="A10785" s="3" t="inlineStr">
        <is>
          <t>Quinate Consulting (Pty) Ltd</t>
        </is>
      </c>
      <c r="B10785" s="4" t="n">
        <v>44834</v>
      </c>
      <c r="C10785" s="3" t="inlineStr">
        <is>
          <t>Expenses</t>
        </is>
      </c>
      <c r="D10785" s="3" t="inlineStr">
        <is>
          <t>4551/000</t>
        </is>
      </c>
      <c r="E10785" s="3" t="inlineStr">
        <is>
          <t>Subscriptions - Zoho</t>
        </is>
      </c>
      <c r="F10785" s="3" t="n">
        <v>1125</v>
      </c>
      <c r="G10785" s="3" t="n">
        <v>7875</v>
      </c>
    </row>
    <row r="10786">
      <c r="A10786" s="3" t="inlineStr">
        <is>
          <t>Endulini (Pty) Ltd</t>
        </is>
      </c>
      <c r="B10786" s="4" t="n">
        <v>44834</v>
      </c>
      <c r="C10786" s="3" t="inlineStr">
        <is>
          <t>Expenses</t>
        </is>
      </c>
      <c r="D10786" s="3" t="inlineStr">
        <is>
          <t>4552/000</t>
        </is>
      </c>
      <c r="E10786" s="3" t="inlineStr">
        <is>
          <t>Subscriptions - Xero</t>
        </is>
      </c>
      <c r="F10786" s="3" t="n">
        <v>1200</v>
      </c>
      <c r="G10786" s="3" t="n">
        <v>4200</v>
      </c>
    </row>
    <row r="10787">
      <c r="A10787" s="3" t="inlineStr">
        <is>
          <t>Opportunity Global Sales (PTY) LTD</t>
        </is>
      </c>
      <c r="B10787" s="4" t="n">
        <v>44834</v>
      </c>
      <c r="C10787" s="3" t="inlineStr">
        <is>
          <t>Expenses</t>
        </is>
      </c>
      <c r="D10787" s="3" t="inlineStr">
        <is>
          <t>4552/000</t>
        </is>
      </c>
      <c r="E10787" s="3" t="inlineStr">
        <is>
          <t>Subscriptions - Xero</t>
        </is>
      </c>
      <c r="F10787" s="3" t="n">
        <v>0</v>
      </c>
      <c r="G10787" s="3" t="n">
        <v>3000</v>
      </c>
    </row>
    <row r="10788">
      <c r="A10788" s="3" t="inlineStr">
        <is>
          <t>Opportunity Management Holdings (PTY) LTD</t>
        </is>
      </c>
      <c r="B10788" s="4" t="n">
        <v>44834</v>
      </c>
      <c r="C10788" s="3" t="inlineStr">
        <is>
          <t>Expenses</t>
        </is>
      </c>
      <c r="D10788" s="3" t="inlineStr">
        <is>
          <t>4552/000</t>
        </is>
      </c>
      <c r="E10788" s="3" t="inlineStr">
        <is>
          <t>Subscriptions - Xero</t>
        </is>
      </c>
      <c r="F10788" s="3" t="n">
        <v>600</v>
      </c>
      <c r="G10788" s="3" t="n">
        <v>600</v>
      </c>
    </row>
    <row r="10789">
      <c r="A10789" s="3" t="inlineStr">
        <is>
          <t>Opportunity Global Sales (PTY) LTD</t>
        </is>
      </c>
      <c r="B10789" s="4" t="n">
        <v>44834</v>
      </c>
      <c r="C10789" s="3" t="inlineStr">
        <is>
          <t>Expenses</t>
        </is>
      </c>
      <c r="D10789" s="3" t="inlineStr">
        <is>
          <t>4553/000</t>
        </is>
      </c>
      <c r="E10789" s="3" t="inlineStr">
        <is>
          <t>Subscriptions - CMA</t>
        </is>
      </c>
      <c r="F10789" s="3" t="n">
        <v>680</v>
      </c>
      <c r="G10789" s="3" t="n">
        <v>4760</v>
      </c>
    </row>
    <row r="10790">
      <c r="A10790" s="3" t="inlineStr">
        <is>
          <t>Quinate Consulting (Pty) Ltd</t>
        </is>
      </c>
      <c r="B10790" s="4" t="n">
        <v>44834</v>
      </c>
      <c r="C10790" s="3" t="inlineStr">
        <is>
          <t>Expenses</t>
        </is>
      </c>
      <c r="D10790" s="3" t="inlineStr">
        <is>
          <t>4554/000</t>
        </is>
      </c>
      <c r="E10790" s="3" t="inlineStr">
        <is>
          <t>Subscriptions - Xero</t>
        </is>
      </c>
      <c r="F10790" s="3" t="n">
        <v>1200</v>
      </c>
      <c r="G10790" s="3" t="n">
        <v>4200</v>
      </c>
    </row>
    <row r="10791">
      <c r="A10791" s="3" t="inlineStr">
        <is>
          <t>Opportunity Global Sales (PTY) LTD</t>
        </is>
      </c>
      <c r="B10791" s="4" t="n">
        <v>44834</v>
      </c>
      <c r="C10791" s="3" t="inlineStr">
        <is>
          <t>Expenses</t>
        </is>
      </c>
      <c r="D10791" s="3" t="inlineStr">
        <is>
          <t>4554/000</t>
        </is>
      </c>
      <c r="E10791" s="3" t="inlineStr">
        <is>
          <t>Subscriptions - Zoho</t>
        </is>
      </c>
      <c r="F10791" s="3" t="n">
        <v>750</v>
      </c>
      <c r="G10791" s="3" t="n">
        <v>4755</v>
      </c>
    </row>
    <row r="10792">
      <c r="A10792" s="3" t="inlineStr">
        <is>
          <t>Opportunity Global Sales (PTY) LTD</t>
        </is>
      </c>
      <c r="B10792" s="4" t="n">
        <v>44834</v>
      </c>
      <c r="C10792" s="3" t="inlineStr">
        <is>
          <t>Expenses</t>
        </is>
      </c>
      <c r="D10792" s="3" t="inlineStr">
        <is>
          <t>4555/000</t>
        </is>
      </c>
      <c r="E10792" s="3" t="inlineStr">
        <is>
          <t>Subscriptions - EAAB</t>
        </is>
      </c>
      <c r="F10792" s="3" t="n">
        <v>0</v>
      </c>
      <c r="G10792" s="3" t="n">
        <v>8500</v>
      </c>
    </row>
    <row r="10793">
      <c r="A10793" s="3" t="inlineStr">
        <is>
          <t>Quinate Consulting (Pty) Ltd</t>
        </is>
      </c>
      <c r="B10793" s="4" t="n">
        <v>44834</v>
      </c>
      <c r="C10793" s="3" t="inlineStr">
        <is>
          <t>Expenses</t>
        </is>
      </c>
      <c r="D10793" s="3" t="inlineStr">
        <is>
          <t>4555/000</t>
        </is>
      </c>
      <c r="E10793" s="3" t="inlineStr">
        <is>
          <t>Subscriptions - OUMS</t>
        </is>
      </c>
      <c r="F10793" s="3" t="n">
        <v>6475.9</v>
      </c>
      <c r="G10793" s="3" t="n">
        <v>45331.3</v>
      </c>
    </row>
    <row r="10794">
      <c r="A10794" s="3" t="inlineStr">
        <is>
          <t>Opportunity Global Investment (PTY) LTD</t>
        </is>
      </c>
      <c r="B10794" s="4" t="n">
        <v>44834</v>
      </c>
      <c r="C10794" s="3" t="inlineStr">
        <is>
          <t>Expenses</t>
        </is>
      </c>
      <c r="D10794" s="3" t="inlineStr">
        <is>
          <t>4600/000</t>
        </is>
      </c>
      <c r="E10794" s="3" t="inlineStr">
        <is>
          <t>Telephone _AND_ Fax</t>
        </is>
      </c>
      <c r="F10794" s="3" t="n">
        <v>3355</v>
      </c>
      <c r="G10794" s="3" t="n">
        <v>23485</v>
      </c>
    </row>
    <row r="10795">
      <c r="A10795" s="3" t="inlineStr">
        <is>
          <t>Trademark Holdings (Pty) Ltd</t>
        </is>
      </c>
      <c r="B10795" s="4" t="n">
        <v>44834</v>
      </c>
      <c r="C10795" s="3" t="inlineStr">
        <is>
          <t>Expenses</t>
        </is>
      </c>
      <c r="D10795" s="3" t="inlineStr">
        <is>
          <t>4600/000</t>
        </is>
      </c>
      <c r="E10795" s="3" t="inlineStr">
        <is>
          <t>Telephone _AND_ Fax</t>
        </is>
      </c>
      <c r="F10795" s="3" t="n">
        <v>1541.32</v>
      </c>
      <c r="G10795" s="3" t="n">
        <v>1541.32</v>
      </c>
    </row>
    <row r="10796">
      <c r="A10796" s="3" t="inlineStr">
        <is>
          <t>Noble Shield (Pty) Ltd ta Go Letting</t>
        </is>
      </c>
      <c r="B10796" s="4" t="n">
        <v>44834</v>
      </c>
      <c r="C10796" s="3" t="inlineStr">
        <is>
          <t>Expenses</t>
        </is>
      </c>
      <c r="D10796" s="3" t="inlineStr">
        <is>
          <t>4610/000</t>
        </is>
      </c>
      <c r="E10796" s="3" t="inlineStr">
        <is>
          <t>Telephone - CT Office</t>
        </is>
      </c>
      <c r="F10796" s="3" t="n">
        <v>1025.36</v>
      </c>
      <c r="G10796" s="3" t="n">
        <v>1025.36</v>
      </c>
    </row>
    <row r="10797">
      <c r="A10797" s="3" t="inlineStr">
        <is>
          <t>Opportunity Global Investment (PTY) LTD</t>
        </is>
      </c>
      <c r="B10797" s="4" t="n">
        <v>44834</v>
      </c>
      <c r="C10797" s="3" t="inlineStr">
        <is>
          <t>Expenses</t>
        </is>
      </c>
      <c r="D10797" s="3" t="inlineStr">
        <is>
          <t>4650/000</t>
        </is>
      </c>
      <c r="E10797" s="3" t="inlineStr">
        <is>
          <t>Travel _AND_ Accommodation</t>
        </is>
      </c>
      <c r="F10797" s="3" t="n">
        <v>5132.86</v>
      </c>
      <c r="G10797" s="3" t="n">
        <v>5132.86</v>
      </c>
    </row>
    <row r="10798">
      <c r="A10798" s="3" t="inlineStr">
        <is>
          <t>Opportunity Management Holdings (PTY) LTD</t>
        </is>
      </c>
      <c r="B10798" s="4" t="n">
        <v>44834</v>
      </c>
      <c r="C10798" s="3" t="inlineStr">
        <is>
          <t>Expenses</t>
        </is>
      </c>
      <c r="D10798" s="3" t="inlineStr">
        <is>
          <t>4650/000</t>
        </is>
      </c>
      <c r="E10798" s="3" t="inlineStr">
        <is>
          <t>Travel _AND_ Accommodation</t>
        </is>
      </c>
      <c r="F10798" s="3" t="n">
        <v>74.90000000000001</v>
      </c>
      <c r="G10798" s="3" t="n">
        <v>74.90000000000001</v>
      </c>
    </row>
    <row r="10799">
      <c r="A10799" s="3" t="inlineStr">
        <is>
          <t>Quinate Consulting (Pty) Ltd</t>
        </is>
      </c>
      <c r="B10799" s="4" t="n">
        <v>44834</v>
      </c>
      <c r="C10799" s="3" t="inlineStr">
        <is>
          <t>Expenses</t>
        </is>
      </c>
      <c r="D10799" s="3" t="inlineStr">
        <is>
          <t>4650/000</t>
        </is>
      </c>
      <c r="E10799" s="3" t="inlineStr">
        <is>
          <t>Travel _AND_ Accommodation</t>
        </is>
      </c>
      <c r="F10799" s="3" t="n">
        <v>0</v>
      </c>
      <c r="G10799" s="3" t="n">
        <v>5386</v>
      </c>
    </row>
    <row r="10800">
      <c r="A10800" s="3" t="inlineStr">
        <is>
          <t>Quinate Consulting (Pty) Ltd</t>
        </is>
      </c>
      <c r="B10800" s="4" t="n">
        <v>44834</v>
      </c>
      <c r="C10800" s="3" t="inlineStr">
        <is>
          <t>Expenses</t>
        </is>
      </c>
      <c r="D10800" s="3" t="inlineStr">
        <is>
          <t>4650/010</t>
        </is>
      </c>
      <c r="E10800" s="3" t="inlineStr">
        <is>
          <t>Travel - Local Flights</t>
        </is>
      </c>
      <c r="F10800" s="3" t="n">
        <v>0</v>
      </c>
      <c r="G10800" s="3" t="n">
        <v>6912.27</v>
      </c>
    </row>
    <row r="10801">
      <c r="A10801" s="3" t="inlineStr">
        <is>
          <t>Opportunity Global Investment (PTY) LTD</t>
        </is>
      </c>
      <c r="B10801" s="4" t="n">
        <v>44834</v>
      </c>
      <c r="C10801" s="3" t="inlineStr">
        <is>
          <t>Expenses</t>
        </is>
      </c>
      <c r="D10801" s="3" t="inlineStr">
        <is>
          <t>4650/020</t>
        </is>
      </c>
      <c r="E10801" s="3" t="inlineStr">
        <is>
          <t>Travel Accomodation - Car Hire</t>
        </is>
      </c>
      <c r="F10801" s="3" t="n">
        <v>0</v>
      </c>
      <c r="G10801" s="3" t="n">
        <v>457.39</v>
      </c>
    </row>
    <row r="10802">
      <c r="A10802" s="3" t="inlineStr">
        <is>
          <t>Quinate Consulting (Pty) Ltd</t>
        </is>
      </c>
      <c r="B10802" s="4" t="n">
        <v>44834</v>
      </c>
      <c r="C10802" s="3" t="inlineStr">
        <is>
          <t>Expenses</t>
        </is>
      </c>
      <c r="D10802" s="3" t="inlineStr">
        <is>
          <t>4650/030</t>
        </is>
      </c>
      <c r="E10802" s="3" t="inlineStr">
        <is>
          <t>Travel - Parking</t>
        </is>
      </c>
      <c r="F10802" s="3" t="n">
        <v>0</v>
      </c>
      <c r="G10802" s="3" t="n">
        <v>156.52</v>
      </c>
    </row>
    <row r="10803">
      <c r="A10803" s="3" t="inlineStr">
        <is>
          <t>Quinate Consulting (Pty) Ltd</t>
        </is>
      </c>
      <c r="B10803" s="4" t="n">
        <v>44834</v>
      </c>
      <c r="C10803" s="3" t="inlineStr">
        <is>
          <t>Expenses</t>
        </is>
      </c>
      <c r="D10803" s="3" t="inlineStr">
        <is>
          <t>4650/040</t>
        </is>
      </c>
      <c r="E10803" s="3" t="inlineStr">
        <is>
          <t>Travel - Local Car Hire</t>
        </is>
      </c>
      <c r="F10803" s="3" t="n">
        <v>0</v>
      </c>
      <c r="G10803" s="3" t="n">
        <v>1873</v>
      </c>
    </row>
    <row r="10804">
      <c r="A10804" s="3" t="inlineStr">
        <is>
          <t>Opportunity Global Investment (PTY) LTD</t>
        </is>
      </c>
      <c r="B10804" s="4" t="n">
        <v>44834</v>
      </c>
      <c r="C10804" s="3" t="inlineStr">
        <is>
          <t>Expenses</t>
        </is>
      </c>
      <c r="D10804" s="3" t="inlineStr">
        <is>
          <t>4650/080</t>
        </is>
      </c>
      <c r="E10804" s="3" t="inlineStr">
        <is>
          <t>Travel &amp; Accommodation - Staff Reimbursements</t>
        </is>
      </c>
      <c r="F10804" s="3" t="n">
        <v>0</v>
      </c>
      <c r="G10804" s="3" t="n">
        <v>453.72</v>
      </c>
    </row>
    <row r="10805">
      <c r="A10805" s="3" t="inlineStr">
        <is>
          <t>Opportunity Global Investment (PTY) LTD</t>
        </is>
      </c>
      <c r="B10805" s="4" t="n">
        <v>44834</v>
      </c>
      <c r="C10805" s="3" t="inlineStr">
        <is>
          <t>Expenses</t>
        </is>
      </c>
      <c r="D10805" s="3" t="inlineStr">
        <is>
          <t>4650/090</t>
        </is>
      </c>
      <c r="E10805" s="3" t="inlineStr">
        <is>
          <t>Travel &amp; Accom - Fuel</t>
        </is>
      </c>
      <c r="F10805" s="3" t="n">
        <v>2786.95</v>
      </c>
      <c r="G10805" s="3" t="n">
        <v>22961.02</v>
      </c>
    </row>
    <row r="10806">
      <c r="A10806" s="3" t="inlineStr">
        <is>
          <t>Quinate Consulting (Pty) Ltd</t>
        </is>
      </c>
      <c r="B10806" s="4" t="n">
        <v>44834</v>
      </c>
      <c r="C10806" s="3" t="inlineStr">
        <is>
          <t>Expenses</t>
        </is>
      </c>
      <c r="D10806" s="3" t="inlineStr">
        <is>
          <t>4650/600</t>
        </is>
      </c>
      <c r="E10806" s="3" t="inlineStr">
        <is>
          <t>Travel - Fuel</t>
        </is>
      </c>
      <c r="F10806" s="3" t="n">
        <v>0</v>
      </c>
      <c r="G10806" s="3" t="n">
        <v>983.1799999999999</v>
      </c>
    </row>
    <row r="10807">
      <c r="A10807" s="3" t="inlineStr">
        <is>
          <t>Noble Shield (Pty) Ltd ta Go Letting</t>
        </is>
      </c>
      <c r="B10807" s="4" t="n">
        <v>44834</v>
      </c>
      <c r="C10807" s="3" t="inlineStr">
        <is>
          <t>Expenses</t>
        </is>
      </c>
      <c r="D10807" s="3" t="inlineStr">
        <is>
          <t>4700/000</t>
        </is>
      </c>
      <c r="E10807" s="3" t="inlineStr">
        <is>
          <t>PAYE Contributions</t>
        </is>
      </c>
      <c r="F10807" s="3" t="n">
        <v>4534.45</v>
      </c>
      <c r="G10807" s="3" t="n">
        <v>4534.45</v>
      </c>
    </row>
    <row r="10808">
      <c r="A10808" s="3" t="inlineStr">
        <is>
          <t>Trademark Holdings (Pty) Ltd</t>
        </is>
      </c>
      <c r="B10808" s="4" t="n">
        <v>44834</v>
      </c>
      <c r="C10808" s="3" t="inlineStr">
        <is>
          <t>Expenses</t>
        </is>
      </c>
      <c r="D10808" s="3" t="inlineStr">
        <is>
          <t>4700/000</t>
        </is>
      </c>
      <c r="E10808" s="3" t="inlineStr">
        <is>
          <t>PAYE Contributions</t>
        </is>
      </c>
      <c r="F10808" s="3" t="n">
        <v>5133.2</v>
      </c>
      <c r="G10808" s="3" t="n">
        <v>5133.2</v>
      </c>
    </row>
    <row r="10809">
      <c r="A10809" s="3" t="inlineStr">
        <is>
          <t>Opportunity Global Investment (PTY) LTD</t>
        </is>
      </c>
      <c r="B10809" s="4" t="n">
        <v>44834</v>
      </c>
      <c r="C10809" s="3" t="inlineStr">
        <is>
          <t>Expenses</t>
        </is>
      </c>
      <c r="D10809" s="3" t="inlineStr">
        <is>
          <t>4700/000</t>
        </is>
      </c>
      <c r="E10809" s="3" t="inlineStr">
        <is>
          <t>UIF Contributions</t>
        </is>
      </c>
      <c r="F10809" s="3" t="n">
        <v>177.12</v>
      </c>
      <c r="G10809" s="3" t="n">
        <v>1239.84</v>
      </c>
    </row>
    <row r="10810">
      <c r="A10810" s="3" t="inlineStr">
        <is>
          <t>Opportunity Global Sales (PTY) LTD</t>
        </is>
      </c>
      <c r="B10810" s="4" t="n">
        <v>44834</v>
      </c>
      <c r="C10810" s="3" t="inlineStr">
        <is>
          <t>Expenses</t>
        </is>
      </c>
      <c r="D10810" s="3" t="inlineStr">
        <is>
          <t>4700/000</t>
        </is>
      </c>
      <c r="E10810" s="3" t="inlineStr">
        <is>
          <t>UIF Contributions</t>
        </is>
      </c>
      <c r="F10810" s="3" t="n">
        <v>177.12</v>
      </c>
      <c r="G10810" s="3" t="n">
        <v>1339.84</v>
      </c>
    </row>
    <row r="10811">
      <c r="A10811" s="3" t="inlineStr">
        <is>
          <t>Opportunity Global Sales (PTY) LTD</t>
        </is>
      </c>
      <c r="B10811" s="4" t="n">
        <v>44834</v>
      </c>
      <c r="C10811" s="3" t="inlineStr">
        <is>
          <t>Expenses</t>
        </is>
      </c>
      <c r="D10811" s="3" t="inlineStr">
        <is>
          <t>4701/000</t>
        </is>
      </c>
      <c r="E10811" s="3" t="inlineStr">
        <is>
          <t>UIF Employee Contribution</t>
        </is>
      </c>
      <c r="F10811" s="3" t="n">
        <v>177.12</v>
      </c>
      <c r="G10811" s="3" t="n">
        <v>1339.84</v>
      </c>
    </row>
    <row r="10812">
      <c r="A10812" s="3" t="inlineStr">
        <is>
          <t>Opportunity Global Investment (PTY) LTD</t>
        </is>
      </c>
      <c r="B10812" s="4" t="n">
        <v>44834</v>
      </c>
      <c r="C10812" s="3" t="inlineStr">
        <is>
          <t>Expenses</t>
        </is>
      </c>
      <c r="D10812" s="3" t="inlineStr">
        <is>
          <t>4701/000</t>
        </is>
      </c>
      <c r="E10812" s="3" t="inlineStr">
        <is>
          <t>UIF Employee Contributions</t>
        </is>
      </c>
      <c r="F10812" s="3" t="n">
        <v>177.12</v>
      </c>
      <c r="G10812" s="3" t="n">
        <v>1239.84</v>
      </c>
    </row>
    <row r="10813">
      <c r="A10813" s="3" t="inlineStr">
        <is>
          <t>Noble Shield (Pty) Ltd ta Go Letting</t>
        </is>
      </c>
      <c r="B10813" s="4" t="n">
        <v>44834</v>
      </c>
      <c r="C10813" s="3" t="inlineStr">
        <is>
          <t>Expenses</t>
        </is>
      </c>
      <c r="D10813" s="3" t="inlineStr">
        <is>
          <t>4710/000</t>
        </is>
      </c>
      <c r="E10813" s="3" t="inlineStr">
        <is>
          <t>UIF Company Contributions</t>
        </is>
      </c>
      <c r="F10813" s="3" t="n">
        <v>245.25</v>
      </c>
      <c r="G10813" s="3" t="n">
        <v>245.25</v>
      </c>
    </row>
    <row r="10814">
      <c r="A10814" s="3" t="inlineStr">
        <is>
          <t>Trademark Holdings (Pty) Ltd</t>
        </is>
      </c>
      <c r="B10814" s="4" t="n">
        <v>44834</v>
      </c>
      <c r="C10814" s="3" t="inlineStr">
        <is>
          <t>Expenses</t>
        </is>
      </c>
      <c r="D10814" s="3" t="inlineStr">
        <is>
          <t>4710/000</t>
        </is>
      </c>
      <c r="E10814" s="3" t="inlineStr">
        <is>
          <t>UIF Company Contributions</t>
        </is>
      </c>
      <c r="F10814" s="3" t="n">
        <v>95.25</v>
      </c>
      <c r="G10814" s="3" t="n">
        <v>95.25</v>
      </c>
    </row>
    <row r="10815">
      <c r="A10815" s="3" t="inlineStr">
        <is>
          <t>Noble Shield (Pty) Ltd ta Go Letting</t>
        </is>
      </c>
      <c r="B10815" s="4" t="n">
        <v>44834</v>
      </c>
      <c r="C10815" s="3" t="inlineStr">
        <is>
          <t>Expenses</t>
        </is>
      </c>
      <c r="D10815" s="3" t="inlineStr">
        <is>
          <t>4711/000</t>
        </is>
      </c>
      <c r="E10815" s="3" t="inlineStr">
        <is>
          <t>UIF Employee Contribution</t>
        </is>
      </c>
      <c r="F10815" s="3" t="n">
        <v>245.25</v>
      </c>
      <c r="G10815" s="3" t="n">
        <v>245.25</v>
      </c>
    </row>
    <row r="10816">
      <c r="A10816" s="3" t="inlineStr">
        <is>
          <t>Trademark Holdings (Pty) Ltd</t>
        </is>
      </c>
      <c r="B10816" s="4" t="n">
        <v>44834</v>
      </c>
      <c r="C10816" s="3" t="inlineStr">
        <is>
          <t>Expenses</t>
        </is>
      </c>
      <c r="D10816" s="3" t="inlineStr">
        <is>
          <t>4711/000</t>
        </is>
      </c>
      <c r="E10816" s="3" t="inlineStr">
        <is>
          <t>UIF Employee Contributions</t>
        </is>
      </c>
      <c r="F10816" s="3" t="n">
        <v>95.25</v>
      </c>
      <c r="G10816" s="3" t="n">
        <v>95.25</v>
      </c>
    </row>
    <row r="10817">
      <c r="A10817" s="3" t="inlineStr">
        <is>
          <t>Noble Shield (Pty) Ltd ta Go Letting</t>
        </is>
      </c>
      <c r="B10817" s="4" t="n">
        <v>44834</v>
      </c>
      <c r="C10817" s="3" t="inlineStr">
        <is>
          <t>Expenses</t>
        </is>
      </c>
      <c r="D10817" s="3" t="inlineStr">
        <is>
          <t>4720/000</t>
        </is>
      </c>
      <c r="E10817" s="3" t="inlineStr">
        <is>
          <t>SDL Contributions</t>
        </is>
      </c>
      <c r="F10817" s="3" t="n">
        <v>418.41</v>
      </c>
      <c r="G10817" s="3" t="n">
        <v>418.41</v>
      </c>
    </row>
    <row r="10818">
      <c r="A10818" s="3" t="inlineStr">
        <is>
          <t>Trademark Holdings (Pty) Ltd</t>
        </is>
      </c>
      <c r="B10818" s="4" t="n">
        <v>44834</v>
      </c>
      <c r="C10818" s="3" t="inlineStr">
        <is>
          <t>Expenses</t>
        </is>
      </c>
      <c r="D10818" s="3" t="inlineStr">
        <is>
          <t>4720/000</t>
        </is>
      </c>
      <c r="E10818" s="3" t="inlineStr">
        <is>
          <t>SDL Contributions</t>
        </is>
      </c>
      <c r="F10818" s="3" t="n">
        <v>305.8</v>
      </c>
      <c r="G10818" s="3" t="n">
        <v>305.8</v>
      </c>
    </row>
    <row r="10819">
      <c r="A10819" s="3" t="inlineStr">
        <is>
          <t>Opportunity Global Investment (PTY) LTD</t>
        </is>
      </c>
      <c r="B10819" s="4" t="n">
        <v>44834</v>
      </c>
      <c r="C10819" s="3" t="inlineStr">
        <is>
          <t>Expenses</t>
        </is>
      </c>
      <c r="D10819" s="3" t="inlineStr">
        <is>
          <t>4730/000</t>
        </is>
      </c>
      <c r="E10819" s="3" t="inlineStr">
        <is>
          <t>PAYE Contributions</t>
        </is>
      </c>
      <c r="F10819" s="3" t="n">
        <v>9136.700000000001</v>
      </c>
      <c r="G10819" s="3" t="n">
        <v>63956.88</v>
      </c>
    </row>
    <row r="10820">
      <c r="A10820" s="3" t="inlineStr">
        <is>
          <t>Opportunity Global Sales (PTY) LTD</t>
        </is>
      </c>
      <c r="B10820" s="4" t="n">
        <v>44834</v>
      </c>
      <c r="C10820" s="3" t="inlineStr">
        <is>
          <t>Expenses</t>
        </is>
      </c>
      <c r="D10820" s="3" t="inlineStr">
        <is>
          <t>4730/000</t>
        </is>
      </c>
      <c r="E10820" s="3" t="inlineStr">
        <is>
          <t>PAYE Contributions</t>
        </is>
      </c>
      <c r="F10820" s="3" t="n">
        <v>8367.34</v>
      </c>
      <c r="G10820" s="3" t="n">
        <v>186139.36</v>
      </c>
    </row>
    <row r="10821">
      <c r="A10821" s="3" t="inlineStr">
        <is>
          <t>Opportunity Management Holdings (PTY) LTD</t>
        </is>
      </c>
      <c r="B10821" s="4" t="n">
        <v>44834</v>
      </c>
      <c r="C10821" s="3" t="inlineStr">
        <is>
          <t>Expenses</t>
        </is>
      </c>
      <c r="D10821" s="3" t="inlineStr">
        <is>
          <t>4730/000</t>
        </is>
      </c>
      <c r="E10821" s="3" t="inlineStr">
        <is>
          <t>PAYE Contributions</t>
        </is>
      </c>
      <c r="F10821" s="3" t="n">
        <v>46750.08</v>
      </c>
      <c r="G10821" s="3" t="n">
        <v>46750.08</v>
      </c>
    </row>
    <row r="10822">
      <c r="A10822" s="3" t="inlineStr">
        <is>
          <t>Opportunity Global Investment (PTY) LTD</t>
        </is>
      </c>
      <c r="B10822" s="4" t="n">
        <v>44834</v>
      </c>
      <c r="C10822" s="3" t="inlineStr">
        <is>
          <t>Expenses</t>
        </is>
      </c>
      <c r="D10822" s="3" t="inlineStr">
        <is>
          <t>4740/000</t>
        </is>
      </c>
      <c r="E10822" s="3" t="inlineStr">
        <is>
          <t>SDL Contributions</t>
        </is>
      </c>
      <c r="F10822" s="3" t="n">
        <v>431.1</v>
      </c>
      <c r="G10822" s="3" t="n">
        <v>3017.7</v>
      </c>
    </row>
    <row r="10823">
      <c r="A10823" s="3" t="inlineStr">
        <is>
          <t>Opportunity Global Sales (PTY) LTD</t>
        </is>
      </c>
      <c r="B10823" s="4" t="n">
        <v>44834</v>
      </c>
      <c r="C10823" s="3" t="inlineStr">
        <is>
          <t>Expenses</t>
        </is>
      </c>
      <c r="D10823" s="3" t="inlineStr">
        <is>
          <t>4740/000</t>
        </is>
      </c>
      <c r="E10823" s="3" t="inlineStr">
        <is>
          <t>SDL Contributions</t>
        </is>
      </c>
      <c r="F10823" s="3" t="n">
        <v>2040.6</v>
      </c>
      <c r="G10823" s="3" t="n">
        <v>11089.06</v>
      </c>
    </row>
    <row r="10824">
      <c r="A10824" s="3" t="inlineStr">
        <is>
          <t>Opportunity Management Holdings (PTY) LTD</t>
        </is>
      </c>
      <c r="B10824" s="4" t="n">
        <v>44834</v>
      </c>
      <c r="C10824" s="3" t="inlineStr">
        <is>
          <t>Expenses</t>
        </is>
      </c>
      <c r="D10824" s="3" t="inlineStr">
        <is>
          <t>4740/000</t>
        </is>
      </c>
      <c r="E10824" s="3" t="inlineStr">
        <is>
          <t>UIF Company Contribution</t>
        </is>
      </c>
      <c r="F10824" s="3" t="n">
        <v>1566.72</v>
      </c>
      <c r="G10824" s="3" t="n">
        <v>1566.72</v>
      </c>
    </row>
    <row r="10825">
      <c r="A10825" s="3" t="inlineStr">
        <is>
          <t>Opportunity Management Holdings (PTY) LTD</t>
        </is>
      </c>
      <c r="B10825" s="4" t="n">
        <v>44834</v>
      </c>
      <c r="C10825" s="3" t="inlineStr">
        <is>
          <t>Expenses</t>
        </is>
      </c>
      <c r="D10825" s="3" t="inlineStr">
        <is>
          <t>4741/000</t>
        </is>
      </c>
      <c r="E10825" s="3" t="inlineStr">
        <is>
          <t>UIF Employee Contribution</t>
        </is>
      </c>
      <c r="F10825" s="3" t="n">
        <v>1566.72</v>
      </c>
      <c r="G10825" s="3" t="n">
        <v>1566.72</v>
      </c>
    </row>
    <row r="10826">
      <c r="A10826" s="3" t="inlineStr">
        <is>
          <t>Opportunity Management Holdings (PTY) LTD</t>
        </is>
      </c>
      <c r="B10826" s="4" t="n">
        <v>44834</v>
      </c>
      <c r="C10826" s="3" t="inlineStr">
        <is>
          <t>Expenses</t>
        </is>
      </c>
      <c r="D10826" s="3" t="inlineStr">
        <is>
          <t>4750/000</t>
        </is>
      </c>
      <c r="E10826" s="3" t="inlineStr">
        <is>
          <t>SDL Contribution</t>
        </is>
      </c>
      <c r="F10826" s="3" t="n">
        <v>2644</v>
      </c>
      <c r="G10826" s="3" t="n">
        <v>2644</v>
      </c>
    </row>
    <row r="10827">
      <c r="A10827" s="3" t="inlineStr">
        <is>
          <t>Noble Shield (Pty) Ltd ta Go Letting</t>
        </is>
      </c>
      <c r="B10827" s="4" t="n">
        <v>44834</v>
      </c>
      <c r="C10827" s="3" t="inlineStr">
        <is>
          <t>Equity</t>
        </is>
      </c>
      <c r="D10827" s="3" t="inlineStr">
        <is>
          <t>5100/000</t>
        </is>
      </c>
      <c r="E10827" s="3" t="inlineStr">
        <is>
          <t>Share Capital</t>
        </is>
      </c>
      <c r="F10827" s="3" t="n">
        <v>0</v>
      </c>
      <c r="G10827" s="3" t="n">
        <v>-1</v>
      </c>
    </row>
    <row r="10828">
      <c r="A10828" s="3" t="inlineStr">
        <is>
          <t>Opportunity Management Holdings (PTY) LTD</t>
        </is>
      </c>
      <c r="B10828" s="4" t="n">
        <v>44834</v>
      </c>
      <c r="C10828" s="3" t="inlineStr">
        <is>
          <t>Equity</t>
        </is>
      </c>
      <c r="D10828" s="3" t="inlineStr">
        <is>
          <t>5100/000</t>
        </is>
      </c>
      <c r="E10828" s="3" t="inlineStr">
        <is>
          <t>Share Capital / Members Contribution</t>
        </is>
      </c>
      <c r="F10828" s="3" t="n">
        <v>0</v>
      </c>
      <c r="G10828" s="3" t="n">
        <v>-120</v>
      </c>
    </row>
    <row r="10829">
      <c r="A10829" s="3" t="inlineStr">
        <is>
          <t>Quinate Consulting (Pty) Ltd</t>
        </is>
      </c>
      <c r="B10829" s="4" t="n">
        <v>44834</v>
      </c>
      <c r="C10829" s="3" t="inlineStr">
        <is>
          <t>Equity</t>
        </is>
      </c>
      <c r="D10829" s="3" t="inlineStr">
        <is>
          <t>5100/000</t>
        </is>
      </c>
      <c r="E10829" s="3" t="inlineStr">
        <is>
          <t>Share Capital / Members Contribution</t>
        </is>
      </c>
      <c r="F10829" s="3" t="n">
        <v>0</v>
      </c>
      <c r="G10829" s="3" t="n">
        <v>-120</v>
      </c>
    </row>
    <row r="10830">
      <c r="A10830" s="3" t="inlineStr">
        <is>
          <t>Trademark Holdings (Pty) Ltd</t>
        </is>
      </c>
      <c r="B10830" s="4" t="n">
        <v>44834</v>
      </c>
      <c r="C10830" s="3" t="inlineStr">
        <is>
          <t>Equity</t>
        </is>
      </c>
      <c r="D10830" s="3" t="inlineStr">
        <is>
          <t>5100/001</t>
        </is>
      </c>
      <c r="E10830" s="3" t="inlineStr">
        <is>
          <t>Share Capital - GFY Investments</t>
        </is>
      </c>
      <c r="F10830" s="3" t="n">
        <v>0</v>
      </c>
      <c r="G10830" s="3" t="n">
        <v>-60</v>
      </c>
    </row>
    <row r="10831">
      <c r="A10831" s="3" t="inlineStr">
        <is>
          <t>Trademark Holdings (Pty) Ltd</t>
        </is>
      </c>
      <c r="B10831" s="4" t="n">
        <v>44834</v>
      </c>
      <c r="C10831" s="3" t="inlineStr">
        <is>
          <t>Equity</t>
        </is>
      </c>
      <c r="D10831" s="3" t="inlineStr">
        <is>
          <t>5100/002</t>
        </is>
      </c>
      <c r="E10831" s="3" t="inlineStr">
        <is>
          <t>Share Capital - Zak Trust</t>
        </is>
      </c>
      <c r="F10831" s="3" t="n">
        <v>0</v>
      </c>
      <c r="G10831" s="3" t="n">
        <v>-60</v>
      </c>
    </row>
    <row r="10832">
      <c r="A10832" s="3" t="inlineStr">
        <is>
          <t>Opportunity Global Investment (PTY) LTD</t>
        </is>
      </c>
      <c r="B10832" s="4" t="n">
        <v>44834</v>
      </c>
      <c r="C10832" s="3" t="inlineStr">
        <is>
          <t>Equity</t>
        </is>
      </c>
      <c r="D10832" s="3" t="inlineStr">
        <is>
          <t>5101/000</t>
        </is>
      </c>
      <c r="E10832" s="3" t="inlineStr">
        <is>
          <t>Share Capital - Ordinary Type A</t>
        </is>
      </c>
      <c r="F10832" s="3" t="n">
        <v>0</v>
      </c>
      <c r="G10832" s="3" t="n">
        <v>-70</v>
      </c>
    </row>
    <row r="10833">
      <c r="A10833" s="3" t="inlineStr">
        <is>
          <t>Opportunity Global Investment (PTY) LTD</t>
        </is>
      </c>
      <c r="B10833" s="4" t="n">
        <v>44834</v>
      </c>
      <c r="C10833" s="3" t="inlineStr">
        <is>
          <t>Equity</t>
        </is>
      </c>
      <c r="D10833" s="3" t="inlineStr">
        <is>
          <t>5102/000</t>
        </is>
      </c>
      <c r="E10833" s="3" t="inlineStr">
        <is>
          <t>Share Capital - Ordinary Type B</t>
        </is>
      </c>
      <c r="F10833" s="3" t="n">
        <v>0</v>
      </c>
      <c r="G10833" s="3" t="n">
        <v>-30</v>
      </c>
    </row>
    <row r="10834">
      <c r="A10834" s="3" t="inlineStr">
        <is>
          <t>Endulini (Pty) Ltd</t>
        </is>
      </c>
      <c r="B10834" s="4" t="n">
        <v>44834</v>
      </c>
      <c r="C10834" s="3" t="inlineStr">
        <is>
          <t>Equity</t>
        </is>
      </c>
      <c r="D10834" s="3" t="inlineStr">
        <is>
          <t>5200/000</t>
        </is>
      </c>
      <c r="E10834" s="3" t="inlineStr">
        <is>
          <t>Retained Earnings / Loss</t>
        </is>
      </c>
      <c r="F10834" s="3" t="n">
        <v>0</v>
      </c>
      <c r="G10834" s="3" t="n">
        <v>-4937860.07</v>
      </c>
    </row>
    <row r="10835">
      <c r="A10835" s="3" t="inlineStr">
        <is>
          <t>Noble Shield (Pty) Ltd ta Go Letting</t>
        </is>
      </c>
      <c r="B10835" s="4" t="n">
        <v>44834</v>
      </c>
      <c r="C10835" s="3" t="inlineStr">
        <is>
          <t>Equity</t>
        </is>
      </c>
      <c r="D10835" s="3" t="inlineStr">
        <is>
          <t>5200/000</t>
        </is>
      </c>
      <c r="E10835" s="3" t="inlineStr">
        <is>
          <t>Retained Earnings / Loss</t>
        </is>
      </c>
      <c r="F10835" s="3" t="n">
        <v>0</v>
      </c>
      <c r="G10835" s="3" t="n">
        <v>-64792.67</v>
      </c>
    </row>
    <row r="10836">
      <c r="A10836" s="3" t="inlineStr">
        <is>
          <t>Opportunity Global Investment (PTY) LTD</t>
        </is>
      </c>
      <c r="B10836" s="4" t="n">
        <v>44834</v>
      </c>
      <c r="C10836" s="3" t="inlineStr">
        <is>
          <t>Equity</t>
        </is>
      </c>
      <c r="D10836" s="3" t="inlineStr">
        <is>
          <t>5200/000</t>
        </is>
      </c>
      <c r="E10836" s="3" t="inlineStr">
        <is>
          <t>Retained Earnings / Loss</t>
        </is>
      </c>
      <c r="F10836" s="3" t="n">
        <v>0</v>
      </c>
      <c r="G10836" s="3" t="n">
        <v>465853.58</v>
      </c>
    </row>
    <row r="10837">
      <c r="A10837" s="3" t="inlineStr">
        <is>
          <t>Opportunity Global Sales (PTY) LTD</t>
        </is>
      </c>
      <c r="B10837" s="4" t="n">
        <v>44834</v>
      </c>
      <c r="C10837" s="3" t="inlineStr">
        <is>
          <t>Equity</t>
        </is>
      </c>
      <c r="D10837" s="3" t="inlineStr">
        <is>
          <t>5200/000</t>
        </is>
      </c>
      <c r="E10837" s="3" t="inlineStr">
        <is>
          <t>Retained Earnings / Loss</t>
        </is>
      </c>
      <c r="F10837" s="3" t="n">
        <v>0</v>
      </c>
      <c r="G10837" s="3" t="n">
        <v>-565683.55</v>
      </c>
    </row>
    <row r="10838">
      <c r="A10838" s="3" t="inlineStr">
        <is>
          <t>Opportunity Management Holdings (PTY) LTD</t>
        </is>
      </c>
      <c r="B10838" s="4" t="n">
        <v>44834</v>
      </c>
      <c r="C10838" s="3" t="inlineStr">
        <is>
          <t>Equity</t>
        </is>
      </c>
      <c r="D10838" s="3" t="inlineStr">
        <is>
          <t>5200/000</t>
        </is>
      </c>
      <c r="E10838" s="3" t="inlineStr">
        <is>
          <t>Retained Earnings / Loss</t>
        </is>
      </c>
      <c r="F10838" s="3" t="n">
        <v>0</v>
      </c>
      <c r="G10838" s="3" t="n">
        <v>1230800.76</v>
      </c>
    </row>
    <row r="10839">
      <c r="A10839" s="3" t="inlineStr">
        <is>
          <t>Quinate Consulting (Pty) Ltd</t>
        </is>
      </c>
      <c r="B10839" s="4" t="n">
        <v>44834</v>
      </c>
      <c r="C10839" s="3" t="inlineStr">
        <is>
          <t>Equity</t>
        </is>
      </c>
      <c r="D10839" s="3" t="inlineStr">
        <is>
          <t>5200/000</t>
        </is>
      </c>
      <c r="E10839" s="3" t="inlineStr">
        <is>
          <t>Retained Earnings / Loss</t>
        </is>
      </c>
      <c r="F10839" s="3" t="n">
        <v>0</v>
      </c>
      <c r="G10839" s="3" t="n">
        <v>571333.3</v>
      </c>
    </row>
    <row r="10840">
      <c r="A10840" s="3" t="inlineStr">
        <is>
          <t>Trademark Holdings (Pty) Ltd</t>
        </is>
      </c>
      <c r="B10840" s="4" t="n">
        <v>44834</v>
      </c>
      <c r="C10840" s="3" t="inlineStr">
        <is>
          <t>Equity</t>
        </is>
      </c>
      <c r="D10840" s="3" t="inlineStr">
        <is>
          <t>5200/000</t>
        </is>
      </c>
      <c r="E10840" s="3" t="inlineStr">
        <is>
          <t>Retained Earnings / Loss</t>
        </is>
      </c>
      <c r="F10840" s="3" t="n">
        <v>0</v>
      </c>
      <c r="G10840" s="3" t="n">
        <v>-155356.41</v>
      </c>
    </row>
    <row r="10841">
      <c r="A10841" s="3" t="inlineStr">
        <is>
          <t>Quinate Consulting (Pty) Ltd</t>
        </is>
      </c>
      <c r="B10841" s="4" t="n">
        <v>44834</v>
      </c>
      <c r="C10841" s="3" t="inlineStr">
        <is>
          <t>Assets</t>
        </is>
      </c>
      <c r="D10841" s="3" t="inlineStr">
        <is>
          <t>5400/011</t>
        </is>
      </c>
      <c r="E10841" s="3" t="inlineStr">
        <is>
          <t>Members Loan - Nick Morgan</t>
        </is>
      </c>
      <c r="F10841" s="3" t="n">
        <v>0</v>
      </c>
      <c r="G10841" s="3" t="n">
        <v>-85743.69</v>
      </c>
    </row>
    <row r="10842">
      <c r="A10842" s="3" t="inlineStr">
        <is>
          <t>Opportunity Management Holdings (PTY) LTD</t>
        </is>
      </c>
      <c r="B10842" s="4" t="n">
        <v>44834</v>
      </c>
      <c r="C10842" s="3" t="inlineStr">
        <is>
          <t>Assets</t>
        </is>
      </c>
      <c r="D10842" s="3" t="inlineStr">
        <is>
          <t>5400/500</t>
        </is>
      </c>
      <c r="E10842" s="3" t="inlineStr">
        <is>
          <t>Shareholder - Zak Loan</t>
        </is>
      </c>
      <c r="F10842" s="3" t="n">
        <v>0</v>
      </c>
      <c r="G10842" s="3" t="n">
        <v>-171798.21</v>
      </c>
    </row>
    <row r="10843">
      <c r="A10843" s="3" t="inlineStr">
        <is>
          <t>Quinate Consulting (Pty) Ltd</t>
        </is>
      </c>
      <c r="B10843" s="4" t="n">
        <v>44834</v>
      </c>
      <c r="C10843" s="3" t="inlineStr">
        <is>
          <t>Liabilities</t>
        </is>
      </c>
      <c r="D10843" s="3" t="inlineStr">
        <is>
          <t>5500/010</t>
        </is>
      </c>
      <c r="E10843" s="3" t="inlineStr">
        <is>
          <t>Loan - Wynand Haywood</t>
        </is>
      </c>
      <c r="F10843" s="3" t="n">
        <v>0</v>
      </c>
      <c r="G10843" s="3" t="n">
        <v>1928.67</v>
      </c>
    </row>
    <row r="10844">
      <c r="A10844" s="3" t="inlineStr">
        <is>
          <t>Noble Shield (Pty) Ltd ta Go Letting</t>
        </is>
      </c>
      <c r="B10844" s="4" t="n">
        <v>44834</v>
      </c>
      <c r="C10844" s="3" t="inlineStr">
        <is>
          <t>Liabilities</t>
        </is>
      </c>
      <c r="D10844" s="3" t="inlineStr">
        <is>
          <t>5500/100</t>
        </is>
      </c>
      <c r="E10844" s="3" t="inlineStr">
        <is>
          <t>Loan - Jupiter Trust</t>
        </is>
      </c>
      <c r="F10844" s="3" t="n">
        <v>0</v>
      </c>
      <c r="G10844" s="3" t="n">
        <v>-100228.75</v>
      </c>
    </row>
    <row r="10845">
      <c r="A10845" s="3" t="inlineStr">
        <is>
          <t>Endulini (Pty) Ltd</t>
        </is>
      </c>
      <c r="B10845" s="4" t="n">
        <v>44834</v>
      </c>
      <c r="C10845" s="3" t="inlineStr">
        <is>
          <t>Liabilities</t>
        </is>
      </c>
      <c r="D10845" s="3" t="inlineStr">
        <is>
          <t>5500/100</t>
        </is>
      </c>
      <c r="E10845" s="3" t="inlineStr">
        <is>
          <t>Loan - Quinate Consulting</t>
        </is>
      </c>
      <c r="F10845" s="3" t="n">
        <v>349800</v>
      </c>
      <c r="G10845" s="3" t="n">
        <v>-9614961.699999999</v>
      </c>
    </row>
    <row r="10846">
      <c r="A10846" s="3" t="inlineStr">
        <is>
          <t>Opportunity Global Investment (PTY) LTD</t>
        </is>
      </c>
      <c r="B10846" s="4" t="n">
        <v>44834</v>
      </c>
      <c r="C10846" s="3" t="inlineStr">
        <is>
          <t>Liabilities</t>
        </is>
      </c>
      <c r="D10846" s="3" t="inlineStr">
        <is>
          <t>5500/112</t>
        </is>
      </c>
      <c r="E10846" s="3" t="inlineStr">
        <is>
          <t>Loan - GFY</t>
        </is>
      </c>
      <c r="F10846" s="3" t="n">
        <v>0</v>
      </c>
      <c r="G10846" s="3" t="n">
        <v>-289000</v>
      </c>
    </row>
    <row r="10847">
      <c r="A10847" s="3" t="inlineStr">
        <is>
          <t>Endulini (Pty) Ltd</t>
        </is>
      </c>
      <c r="B10847" s="4" t="n">
        <v>44834</v>
      </c>
      <c r="C10847" s="3" t="inlineStr">
        <is>
          <t>Liabilities</t>
        </is>
      </c>
      <c r="D10847" s="3" t="inlineStr">
        <is>
          <t>5500/150</t>
        </is>
      </c>
      <c r="E10847" s="3" t="inlineStr">
        <is>
          <t>Loan - Cape Projects Construction</t>
        </is>
      </c>
      <c r="F10847" s="3" t="n">
        <v>-18000</v>
      </c>
      <c r="G10847" s="3" t="n">
        <v>-1367000</v>
      </c>
    </row>
    <row r="10848">
      <c r="A10848" s="3" t="inlineStr">
        <is>
          <t>Quinate Consulting (Pty) Ltd</t>
        </is>
      </c>
      <c r="B10848" s="4" t="n">
        <v>44834</v>
      </c>
      <c r="C10848" s="3" t="inlineStr">
        <is>
          <t>Liabilities</t>
        </is>
      </c>
      <c r="D10848" s="3" t="inlineStr">
        <is>
          <t>5500/160</t>
        </is>
      </c>
      <c r="E10848" s="3" t="inlineStr">
        <is>
          <t>Loan - GFY Investment and Consulting</t>
        </is>
      </c>
      <c r="F10848" s="3" t="n">
        <v>0</v>
      </c>
      <c r="G10848" s="3" t="n">
        <v>-1750249.93</v>
      </c>
    </row>
    <row r="10849">
      <c r="A10849" s="3" t="inlineStr">
        <is>
          <t>Endulini (Pty) Ltd</t>
        </is>
      </c>
      <c r="B10849" s="4" t="n">
        <v>44834</v>
      </c>
      <c r="C10849" s="3" t="inlineStr">
        <is>
          <t>Liabilities</t>
        </is>
      </c>
      <c r="D10849" s="3" t="inlineStr">
        <is>
          <t>5500/250</t>
        </is>
      </c>
      <c r="E10849" s="3" t="inlineStr">
        <is>
          <t>Loan - Heron Projects</t>
        </is>
      </c>
      <c r="F10849" s="3" t="n">
        <v>0</v>
      </c>
      <c r="G10849" s="3" t="n">
        <v>4240.63</v>
      </c>
    </row>
    <row r="10850">
      <c r="A10850" s="3" t="inlineStr">
        <is>
          <t>Trademark Holdings (Pty) Ltd</t>
        </is>
      </c>
      <c r="B10850" s="4" t="n">
        <v>44834</v>
      </c>
      <c r="C10850" s="3" t="inlineStr">
        <is>
          <t>Liabilities</t>
        </is>
      </c>
      <c r="D10850" s="3" t="inlineStr">
        <is>
          <t>5500/250</t>
        </is>
      </c>
      <c r="E10850" s="3" t="inlineStr">
        <is>
          <t>Loan - Noble Shield</t>
        </is>
      </c>
      <c r="F10850" s="3" t="n">
        <v>0</v>
      </c>
      <c r="G10850" s="3" t="n">
        <v>93165.59</v>
      </c>
    </row>
    <row r="10851">
      <c r="A10851" s="3" t="inlineStr">
        <is>
          <t>Quinate Consulting (Pty) Ltd</t>
        </is>
      </c>
      <c r="B10851" s="4" t="n">
        <v>44834</v>
      </c>
      <c r="C10851" s="3" t="inlineStr">
        <is>
          <t>Liabilities</t>
        </is>
      </c>
      <c r="D10851" s="3" t="inlineStr">
        <is>
          <t>5500/300</t>
        </is>
      </c>
      <c r="E10851" s="3" t="inlineStr">
        <is>
          <t>Loan - Gengis</t>
        </is>
      </c>
      <c r="F10851" s="3" t="n">
        <v>-1479.45</v>
      </c>
      <c r="G10851" s="3" t="n">
        <v>-275369.87</v>
      </c>
    </row>
    <row r="10852">
      <c r="A10852" s="3" t="inlineStr">
        <is>
          <t>Opportunity Management Holdings (PTY) LTD</t>
        </is>
      </c>
      <c r="B10852" s="4" t="n">
        <v>44834</v>
      </c>
      <c r="C10852" s="3" t="inlineStr">
        <is>
          <t>Liabilities</t>
        </is>
      </c>
      <c r="D10852" s="3" t="inlineStr">
        <is>
          <t>5500/300</t>
        </is>
      </c>
      <c r="E10852" s="3" t="inlineStr">
        <is>
          <t>Loan - Opportunity Prop Management</t>
        </is>
      </c>
      <c r="F10852" s="3" t="n">
        <v>0</v>
      </c>
      <c r="G10852" s="3" t="n">
        <v>-1220204.15</v>
      </c>
    </row>
    <row r="10853">
      <c r="A10853" s="3" t="inlineStr">
        <is>
          <t>Noble Shield (Pty) Ltd ta Go Letting</t>
        </is>
      </c>
      <c r="B10853" s="4" t="n">
        <v>44834</v>
      </c>
      <c r="C10853" s="3" t="inlineStr">
        <is>
          <t>Liabilities</t>
        </is>
      </c>
      <c r="D10853" s="3" t="inlineStr">
        <is>
          <t>5500/300</t>
        </is>
      </c>
      <c r="E10853" s="3" t="inlineStr">
        <is>
          <t>Loan - Trademark Holdings</t>
        </is>
      </c>
      <c r="F10853" s="3" t="n">
        <v>0</v>
      </c>
      <c r="G10853" s="3" t="n">
        <v>-93165.59</v>
      </c>
    </row>
    <row r="10854">
      <c r="A10854" s="3" t="inlineStr">
        <is>
          <t>Trademark Holdings (Pty) Ltd</t>
        </is>
      </c>
      <c r="B10854" s="4" t="n">
        <v>44834</v>
      </c>
      <c r="C10854" s="3" t="inlineStr">
        <is>
          <t>Liabilities</t>
        </is>
      </c>
      <c r="D10854" s="3" t="inlineStr">
        <is>
          <t>5500/375</t>
        </is>
      </c>
      <c r="E10854" s="3" t="inlineStr">
        <is>
          <t>Loan - Opportunity Management Holdings Pty Ltd</t>
        </is>
      </c>
      <c r="F10854" s="3" t="n">
        <v>0</v>
      </c>
      <c r="G10854" s="3" t="n">
        <v>-46000</v>
      </c>
    </row>
    <row r="10855">
      <c r="A10855" s="3" t="inlineStr">
        <is>
          <t>Trademark Holdings (Pty) Ltd</t>
        </is>
      </c>
      <c r="B10855" s="4" t="n">
        <v>44834</v>
      </c>
      <c r="C10855" s="3" t="inlineStr">
        <is>
          <t>Liabilities</t>
        </is>
      </c>
      <c r="D10855" s="3" t="inlineStr">
        <is>
          <t>5500/450</t>
        </is>
      </c>
      <c r="E10855" s="3" t="inlineStr">
        <is>
          <t>Loan - Cape Projects Construction</t>
        </is>
      </c>
      <c r="F10855" s="3" t="n">
        <v>-600</v>
      </c>
      <c r="G10855" s="3" t="n">
        <v>-600</v>
      </c>
    </row>
    <row r="10856">
      <c r="A10856" s="3" t="inlineStr">
        <is>
          <t>Trademark Holdings (Pty) Ltd</t>
        </is>
      </c>
      <c r="B10856" s="4" t="n">
        <v>44834</v>
      </c>
      <c r="C10856" s="3" t="inlineStr">
        <is>
          <t>Liabilities</t>
        </is>
      </c>
      <c r="D10856" s="3" t="inlineStr">
        <is>
          <t>5500/500</t>
        </is>
      </c>
      <c r="E10856" s="3" t="inlineStr">
        <is>
          <t>Go Letting Brand Name</t>
        </is>
      </c>
      <c r="F10856" s="3" t="n">
        <v>0</v>
      </c>
      <c r="G10856" s="3" t="n">
        <v>93420</v>
      </c>
    </row>
    <row r="10857">
      <c r="A10857" s="3" t="inlineStr">
        <is>
          <t>Noble Shield (Pty) Ltd ta Go Letting</t>
        </is>
      </c>
      <c r="B10857" s="4" t="n">
        <v>44834</v>
      </c>
      <c r="C10857" s="3" t="inlineStr">
        <is>
          <t>Liabilities</t>
        </is>
      </c>
      <c r="D10857" s="3" t="inlineStr">
        <is>
          <t>5500/500</t>
        </is>
      </c>
      <c r="E10857" s="3" t="inlineStr">
        <is>
          <t>Loan - Cape Projects Construction</t>
        </is>
      </c>
      <c r="F10857" s="3" t="n">
        <v>-600</v>
      </c>
      <c r="G10857" s="3" t="n">
        <v>-600</v>
      </c>
    </row>
    <row r="10858">
      <c r="A10858" s="3" t="inlineStr">
        <is>
          <t>Quinate Consulting (Pty) Ltd</t>
        </is>
      </c>
      <c r="B10858" s="4" t="n">
        <v>44834</v>
      </c>
      <c r="C10858" s="3" t="inlineStr">
        <is>
          <t>Liabilities</t>
        </is>
      </c>
      <c r="D10858" s="3" t="inlineStr">
        <is>
          <t>5500/500</t>
        </is>
      </c>
      <c r="E10858" s="3" t="inlineStr">
        <is>
          <t>Loan - Opportunity Development Struct.</t>
        </is>
      </c>
      <c r="F10858" s="3" t="n">
        <v>0</v>
      </c>
      <c r="G10858" s="3" t="n">
        <v>-2380000</v>
      </c>
    </row>
    <row r="10859">
      <c r="A10859" s="3" t="inlineStr">
        <is>
          <t>Opportunity Management Holdings (PTY) LTD</t>
        </is>
      </c>
      <c r="B10859" s="4" t="n">
        <v>44834</v>
      </c>
      <c r="C10859" s="3" t="inlineStr">
        <is>
          <t>Liabilities</t>
        </is>
      </c>
      <c r="D10859" s="3" t="inlineStr">
        <is>
          <t>5500/500</t>
        </is>
      </c>
      <c r="E10859" s="3" t="inlineStr">
        <is>
          <t>Loan - Opportunity Tradermark Holdings</t>
        </is>
      </c>
      <c r="F10859" s="3" t="n">
        <v>0</v>
      </c>
      <c r="G10859" s="3" t="n">
        <v>46000</v>
      </c>
    </row>
    <row r="10860">
      <c r="A10860" s="3" t="inlineStr">
        <is>
          <t>Quinate Consulting (Pty) Ltd</t>
        </is>
      </c>
      <c r="B10860" s="4" t="n">
        <v>44834</v>
      </c>
      <c r="C10860" s="3" t="inlineStr">
        <is>
          <t>Liabilities</t>
        </is>
      </c>
      <c r="D10860" s="3" t="inlineStr">
        <is>
          <t>5500/520</t>
        </is>
      </c>
      <c r="E10860" s="3" t="inlineStr">
        <is>
          <t>Loan - Opportunity Management Holdings</t>
        </is>
      </c>
      <c r="F10860" s="3" t="n">
        <v>0</v>
      </c>
      <c r="G10860" s="3" t="n">
        <v>-3900</v>
      </c>
    </row>
    <row r="10861">
      <c r="A10861" s="3" t="inlineStr">
        <is>
          <t>Opportunity Management Holdings (PTY) LTD</t>
        </is>
      </c>
      <c r="B10861" s="4" t="n">
        <v>44834</v>
      </c>
      <c r="C10861" s="3" t="inlineStr">
        <is>
          <t>Liabilities</t>
        </is>
      </c>
      <c r="D10861" s="3" t="inlineStr">
        <is>
          <t>5500/550</t>
        </is>
      </c>
      <c r="E10861" s="3" t="inlineStr">
        <is>
          <t>Loan - Heron Projects</t>
        </is>
      </c>
      <c r="F10861" s="3" t="n">
        <v>30000</v>
      </c>
      <c r="G10861" s="3" t="n">
        <v>30000</v>
      </c>
    </row>
    <row r="10862">
      <c r="A10862" s="3" t="inlineStr">
        <is>
          <t>Opportunity Global Investment (PTY) LTD</t>
        </is>
      </c>
      <c r="B10862" s="4" t="n">
        <v>44834</v>
      </c>
      <c r="C10862" s="3" t="inlineStr">
        <is>
          <t>Liabilities</t>
        </is>
      </c>
      <c r="D10862" s="3" t="inlineStr">
        <is>
          <t>5500/650</t>
        </is>
      </c>
      <c r="E10862" s="3" t="inlineStr">
        <is>
          <t>Loan - Opportunit Global - Sales</t>
        </is>
      </c>
      <c r="F10862" s="3" t="n">
        <v>25792.68</v>
      </c>
      <c r="G10862" s="3" t="n">
        <v>-923893.12</v>
      </c>
    </row>
    <row r="10863">
      <c r="A10863" s="3" t="inlineStr">
        <is>
          <t>Opportunity Global Sales (PTY) LTD</t>
        </is>
      </c>
      <c r="B10863" s="4" t="n">
        <v>44834</v>
      </c>
      <c r="C10863" s="3" t="inlineStr">
        <is>
          <t>Liabilities</t>
        </is>
      </c>
      <c r="D10863" s="3" t="inlineStr">
        <is>
          <t>5500/650</t>
        </is>
      </c>
      <c r="E10863" s="3" t="inlineStr">
        <is>
          <t>Loan - Opportunity Investments</t>
        </is>
      </c>
      <c r="F10863" s="3" t="n">
        <v>-24592.68</v>
      </c>
      <c r="G10863" s="3" t="n">
        <v>925093.12</v>
      </c>
    </row>
    <row r="10864">
      <c r="A10864" s="3" t="inlineStr">
        <is>
          <t>Opportunity Management Holdings (PTY) LTD</t>
        </is>
      </c>
      <c r="B10864" s="4" t="n">
        <v>44834</v>
      </c>
      <c r="C10864" s="3" t="inlineStr">
        <is>
          <t>Liabilities</t>
        </is>
      </c>
      <c r="D10864" s="3" t="inlineStr">
        <is>
          <t>5500/700</t>
        </is>
      </c>
      <c r="E10864" s="3" t="inlineStr">
        <is>
          <t>Loan - Go Letting</t>
        </is>
      </c>
      <c r="F10864" s="3" t="n">
        <v>0</v>
      </c>
      <c r="G10864" s="3" t="n">
        <v>-120</v>
      </c>
    </row>
    <row r="10865">
      <c r="A10865" s="3" t="inlineStr">
        <is>
          <t>Opportunity Global Investment (PTY) LTD</t>
        </is>
      </c>
      <c r="B10865" s="4" t="n">
        <v>44834</v>
      </c>
      <c r="C10865" s="3" t="inlineStr">
        <is>
          <t>Liabilities</t>
        </is>
      </c>
      <c r="D10865" s="3" t="inlineStr">
        <is>
          <t>5500/850</t>
        </is>
      </c>
      <c r="E10865" s="3" t="inlineStr">
        <is>
          <t>Loan - Nick Morgan</t>
        </is>
      </c>
      <c r="F10865" s="3" t="n">
        <v>0</v>
      </c>
      <c r="G10865" s="3" t="n">
        <v>4100</v>
      </c>
    </row>
    <row r="10866">
      <c r="A10866" s="3" t="inlineStr">
        <is>
          <t>Opportunity Global Investment (PTY) LTD</t>
        </is>
      </c>
      <c r="B10866" s="4" t="n">
        <v>44834</v>
      </c>
      <c r="C10866" s="3" t="inlineStr">
        <is>
          <t>Liabilities</t>
        </is>
      </c>
      <c r="D10866" s="3" t="inlineStr">
        <is>
          <t>5500/950</t>
        </is>
      </c>
      <c r="E10866" s="3" t="inlineStr">
        <is>
          <t>Loan - Gengis</t>
        </is>
      </c>
      <c r="F10866" s="3" t="n">
        <v>0</v>
      </c>
      <c r="G10866" s="3" t="n">
        <v>-120000</v>
      </c>
    </row>
    <row r="10867">
      <c r="A10867" s="3" t="inlineStr">
        <is>
          <t>Quinate Consulting (Pty) Ltd</t>
        </is>
      </c>
      <c r="B10867" s="4" t="n">
        <v>44834</v>
      </c>
      <c r="C10867" s="3" t="inlineStr">
        <is>
          <t>Liabilities</t>
        </is>
      </c>
      <c r="D10867" s="3" t="inlineStr">
        <is>
          <t>5501/001</t>
        </is>
      </c>
      <c r="E10867" s="3" t="inlineStr">
        <is>
          <t>Loan - Endulini CIP Costs</t>
        </is>
      </c>
      <c r="F10867" s="3" t="n">
        <v>-349800</v>
      </c>
      <c r="G10867" s="3" t="n">
        <v>9294961.699999999</v>
      </c>
    </row>
    <row r="10868">
      <c r="A10868" s="3" t="inlineStr">
        <is>
          <t>Opportunity Management Holdings (PTY) LTD</t>
        </is>
      </c>
      <c r="B10868" s="4" t="n">
        <v>44834</v>
      </c>
      <c r="C10868" s="3" t="inlineStr">
        <is>
          <t>Liabilities</t>
        </is>
      </c>
      <c r="D10868" s="3" t="inlineStr">
        <is>
          <t>5510/100</t>
        </is>
      </c>
      <c r="E10868" s="3" t="inlineStr">
        <is>
          <t>Staff loan - Debbie Landsberg</t>
        </is>
      </c>
      <c r="F10868" s="3" t="n">
        <v>-1500</v>
      </c>
      <c r="G10868" s="3" t="n">
        <v>12900</v>
      </c>
    </row>
    <row r="10869">
      <c r="A10869" s="3" t="inlineStr">
        <is>
          <t>Noble Shield (Pty) Ltd ta Go Letting</t>
        </is>
      </c>
      <c r="B10869" s="4" t="n">
        <v>44834</v>
      </c>
      <c r="C10869" s="3" t="inlineStr">
        <is>
          <t>Assets</t>
        </is>
      </c>
      <c r="D10869" s="3" t="inlineStr">
        <is>
          <t>6250/010</t>
        </is>
      </c>
      <c r="E10869" s="3" t="inlineStr">
        <is>
          <t>Computer Equipment - @ Cost</t>
        </is>
      </c>
      <c r="F10869" s="3" t="n">
        <v>0</v>
      </c>
      <c r="G10869" s="3" t="n">
        <v>20397</v>
      </c>
    </row>
    <row r="10870">
      <c r="A10870" s="3" t="inlineStr">
        <is>
          <t>Opportunity Management Holdings (PTY) LTD</t>
        </is>
      </c>
      <c r="B10870" s="4" t="n">
        <v>44834</v>
      </c>
      <c r="C10870" s="3" t="inlineStr">
        <is>
          <t>Assets</t>
        </is>
      </c>
      <c r="D10870" s="3" t="inlineStr">
        <is>
          <t>6250/010</t>
        </is>
      </c>
      <c r="E10870" s="3" t="inlineStr">
        <is>
          <t>Computer Equipment - @ Cost</t>
        </is>
      </c>
      <c r="F10870" s="3" t="n">
        <v>11899</v>
      </c>
      <c r="G10870" s="3" t="n">
        <v>38977.85</v>
      </c>
    </row>
    <row r="10871">
      <c r="A10871" s="3" t="inlineStr">
        <is>
          <t>Quinate Consulting (Pty) Ltd</t>
        </is>
      </c>
      <c r="B10871" s="4" t="n">
        <v>44834</v>
      </c>
      <c r="C10871" s="3" t="inlineStr">
        <is>
          <t>Assets</t>
        </is>
      </c>
      <c r="D10871" s="3" t="inlineStr">
        <is>
          <t>6250/010</t>
        </is>
      </c>
      <c r="E10871" s="3" t="inlineStr">
        <is>
          <t>Computer Equipment - @ Cost</t>
        </is>
      </c>
      <c r="F10871" s="3" t="n">
        <v>0</v>
      </c>
      <c r="G10871" s="3" t="n">
        <v>137059.7</v>
      </c>
    </row>
    <row r="10872">
      <c r="A10872" s="3" t="inlineStr">
        <is>
          <t>Noble Shield (Pty) Ltd ta Go Letting</t>
        </is>
      </c>
      <c r="B10872" s="4" t="n">
        <v>44834</v>
      </c>
      <c r="C10872" s="3" t="inlineStr">
        <is>
          <t>Assets</t>
        </is>
      </c>
      <c r="D10872" s="3" t="inlineStr">
        <is>
          <t>6250/020</t>
        </is>
      </c>
      <c r="E10872" s="3" t="inlineStr">
        <is>
          <t>Computer Equipment - Accum Depre</t>
        </is>
      </c>
      <c r="F10872" s="3" t="n">
        <v>0</v>
      </c>
      <c r="G10872" s="3" t="n">
        <v>-12040.89</v>
      </c>
    </row>
    <row r="10873">
      <c r="A10873" s="3" t="inlineStr">
        <is>
          <t>Opportunity Management Holdings (PTY) LTD</t>
        </is>
      </c>
      <c r="B10873" s="4" t="n">
        <v>44834</v>
      </c>
      <c r="C10873" s="3" t="inlineStr">
        <is>
          <t>Assets</t>
        </is>
      </c>
      <c r="D10873" s="3" t="inlineStr">
        <is>
          <t>6250/020</t>
        </is>
      </c>
      <c r="E10873" s="3" t="inlineStr">
        <is>
          <t>Computer Equipment - Accum Depre</t>
        </is>
      </c>
      <c r="F10873" s="3" t="n">
        <v>-668.51</v>
      </c>
      <c r="G10873" s="3" t="n">
        <v>-1899.96</v>
      </c>
    </row>
    <row r="10874">
      <c r="A10874" s="3" t="inlineStr">
        <is>
          <t>Quinate Consulting (Pty) Ltd</t>
        </is>
      </c>
      <c r="B10874" s="4" t="n">
        <v>44834</v>
      </c>
      <c r="C10874" s="3" t="inlineStr">
        <is>
          <t>Assets</t>
        </is>
      </c>
      <c r="D10874" s="3" t="inlineStr">
        <is>
          <t>6250/020</t>
        </is>
      </c>
      <c r="E10874" s="3" t="inlineStr">
        <is>
          <t>Computer Equipment - Accum Depre</t>
        </is>
      </c>
      <c r="F10874" s="3" t="n">
        <v>-3141.38</v>
      </c>
      <c r="G10874" s="3" t="n">
        <v>-84286.35000000001</v>
      </c>
    </row>
    <row r="10875">
      <c r="A10875" s="3" t="inlineStr">
        <is>
          <t>Opportunity Management Holdings (PTY) LTD</t>
        </is>
      </c>
      <c r="B10875" s="4" t="n">
        <v>44834</v>
      </c>
      <c r="C10875" s="3" t="inlineStr">
        <is>
          <t>Assets</t>
        </is>
      </c>
      <c r="D10875" s="3" t="inlineStr">
        <is>
          <t>6250/030</t>
        </is>
      </c>
      <c r="E10875" s="3" t="inlineStr">
        <is>
          <t>Acc Depreciation - Computer Equipment</t>
        </is>
      </c>
      <c r="F10875" s="3" t="n">
        <v>0</v>
      </c>
      <c r="G10875" s="3" t="n">
        <v>-9441.25</v>
      </c>
    </row>
    <row r="10876">
      <c r="A10876" s="3" t="inlineStr">
        <is>
          <t>Quinate Consulting (Pty) Ltd</t>
        </is>
      </c>
      <c r="B10876" s="4" t="n">
        <v>44834</v>
      </c>
      <c r="C10876" s="3" t="inlineStr">
        <is>
          <t>Assets</t>
        </is>
      </c>
      <c r="D10876" s="3" t="inlineStr">
        <is>
          <t>6270/010</t>
        </is>
      </c>
      <c r="E10876" s="3" t="inlineStr">
        <is>
          <t>Site Containers - @ Cost</t>
        </is>
      </c>
      <c r="F10876" s="3" t="n">
        <v>0</v>
      </c>
      <c r="G10876" s="3" t="n">
        <v>19130.44</v>
      </c>
    </row>
    <row r="10877">
      <c r="A10877" s="3" t="inlineStr">
        <is>
          <t>Quinate Consulting (Pty) Ltd</t>
        </is>
      </c>
      <c r="B10877" s="4" t="n">
        <v>44834</v>
      </c>
      <c r="C10877" s="3" t="inlineStr">
        <is>
          <t>Assets</t>
        </is>
      </c>
      <c r="D10877" s="3" t="inlineStr">
        <is>
          <t>6270/020</t>
        </is>
      </c>
      <c r="E10877" s="3" t="inlineStr">
        <is>
          <t>Site Containers - Accum Depre</t>
        </is>
      </c>
      <c r="F10877" s="3" t="n">
        <v>-318.84</v>
      </c>
      <c r="G10877" s="3" t="n">
        <v>-6057.96</v>
      </c>
    </row>
    <row r="10878">
      <c r="A10878" s="3" t="inlineStr">
        <is>
          <t>Noble Shield (Pty) Ltd ta Go Letting</t>
        </is>
      </c>
      <c r="B10878" s="4" t="n">
        <v>44834</v>
      </c>
      <c r="C10878" s="3" t="inlineStr">
        <is>
          <t>Assets</t>
        </is>
      </c>
      <c r="D10878" s="3" t="inlineStr">
        <is>
          <t>6350/010</t>
        </is>
      </c>
      <c r="E10878" s="3" t="inlineStr">
        <is>
          <t>Furniture _AND_ Fittings - @ Cost</t>
        </is>
      </c>
      <c r="F10878" s="3" t="n">
        <v>0</v>
      </c>
      <c r="G10878" s="3" t="n">
        <v>2242</v>
      </c>
    </row>
    <row r="10879">
      <c r="A10879" s="3" t="inlineStr">
        <is>
          <t>Opportunity Global Sales (PTY) LTD</t>
        </is>
      </c>
      <c r="B10879" s="4" t="n">
        <v>44834</v>
      </c>
      <c r="C10879" s="3" t="inlineStr">
        <is>
          <t>Assets</t>
        </is>
      </c>
      <c r="D10879" s="3" t="inlineStr">
        <is>
          <t>6350/010</t>
        </is>
      </c>
      <c r="E10879" s="3" t="inlineStr">
        <is>
          <t>Furniture _AND_ Fittings - @ Cost</t>
        </is>
      </c>
      <c r="F10879" s="3" t="n">
        <v>0</v>
      </c>
      <c r="G10879" s="3" t="n">
        <v>29379.7</v>
      </c>
    </row>
    <row r="10880">
      <c r="A10880" s="3" t="inlineStr">
        <is>
          <t>Noble Shield (Pty) Ltd ta Go Letting</t>
        </is>
      </c>
      <c r="B10880" s="4" t="n">
        <v>44834</v>
      </c>
      <c r="C10880" s="3" t="inlineStr">
        <is>
          <t>Assets</t>
        </is>
      </c>
      <c r="D10880" s="3" t="inlineStr">
        <is>
          <t>6350/020</t>
        </is>
      </c>
      <c r="E10880" s="3" t="inlineStr">
        <is>
          <t>Furniture _AND_ Fittings - Accum Depre</t>
        </is>
      </c>
      <c r="F10880" s="3" t="n">
        <v>0</v>
      </c>
      <c r="G10880" s="3" t="n">
        <v>-2239</v>
      </c>
    </row>
    <row r="10881">
      <c r="A10881" s="3" t="inlineStr">
        <is>
          <t>Opportunity Global Sales (PTY) LTD</t>
        </is>
      </c>
      <c r="B10881" s="4" t="n">
        <v>44834</v>
      </c>
      <c r="C10881" s="3" t="inlineStr">
        <is>
          <t>Assets</t>
        </is>
      </c>
      <c r="D10881" s="3" t="inlineStr">
        <is>
          <t>6350/020</t>
        </is>
      </c>
      <c r="E10881" s="3" t="inlineStr">
        <is>
          <t>Furniture _AND_ Fittings - Accum Depre</t>
        </is>
      </c>
      <c r="F10881" s="3" t="n">
        <v>-408.05</v>
      </c>
      <c r="G10881" s="3" t="n">
        <v>-1224.15</v>
      </c>
    </row>
    <row r="10882">
      <c r="A10882" s="3" t="inlineStr">
        <is>
          <t>Opportunity Management Holdings (PTY) LTD</t>
        </is>
      </c>
      <c r="B10882" s="4" t="n">
        <v>44834</v>
      </c>
      <c r="C10882" s="3" t="inlineStr">
        <is>
          <t>Liabilities</t>
        </is>
      </c>
      <c r="D10882" s="3" t="inlineStr">
        <is>
          <t>6500/000</t>
        </is>
      </c>
      <c r="E10882" s="3" t="inlineStr">
        <is>
          <t>Deposits - Held</t>
        </is>
      </c>
      <c r="F10882" s="3" t="n">
        <v>0</v>
      </c>
      <c r="G10882" s="3" t="n">
        <v>-12028.1</v>
      </c>
    </row>
    <row r="10883">
      <c r="A10883" s="3" t="inlineStr">
        <is>
          <t>Opportunity Management Holdings (PTY) LTD</t>
        </is>
      </c>
      <c r="B10883" s="4" t="n">
        <v>44834</v>
      </c>
      <c r="C10883" s="3" t="inlineStr">
        <is>
          <t>Liabilities</t>
        </is>
      </c>
      <c r="D10883" s="3" t="inlineStr">
        <is>
          <t>6510/000</t>
        </is>
      </c>
      <c r="E10883" s="3" t="inlineStr">
        <is>
          <t>Deposits Paid - Anicol Properties</t>
        </is>
      </c>
      <c r="F10883" s="3" t="n">
        <v>0</v>
      </c>
      <c r="G10883" s="3" t="n">
        <v>13755</v>
      </c>
    </row>
    <row r="10884">
      <c r="A10884" s="3" t="inlineStr">
        <is>
          <t>Opportunity Management Holdings (PTY) LTD</t>
        </is>
      </c>
      <c r="B10884" s="4" t="n">
        <v>44834</v>
      </c>
      <c r="C10884" s="3" t="inlineStr">
        <is>
          <t>Liabilities</t>
        </is>
      </c>
      <c r="D10884" s="3" t="inlineStr">
        <is>
          <t>6515/000</t>
        </is>
      </c>
      <c r="E10884" s="3" t="inlineStr">
        <is>
          <t>Deposits Paid</t>
        </is>
      </c>
      <c r="F10884" s="3" t="n">
        <v>0</v>
      </c>
      <c r="G10884" s="3" t="n">
        <v>3852.5</v>
      </c>
    </row>
    <row r="10885">
      <c r="A10885" s="3" t="inlineStr">
        <is>
          <t>Quinate Consulting (Pty) Ltd</t>
        </is>
      </c>
      <c r="B10885" s="4" t="n">
        <v>44834</v>
      </c>
      <c r="C10885" s="3" t="inlineStr">
        <is>
          <t>Assets</t>
        </is>
      </c>
      <c r="D10885" s="3" t="inlineStr">
        <is>
          <t>6600/010</t>
        </is>
      </c>
      <c r="E10885" s="3" t="inlineStr">
        <is>
          <t>Other Fixed Assets - @ Cost</t>
        </is>
      </c>
      <c r="F10885" s="3" t="n">
        <v>0</v>
      </c>
      <c r="G10885" s="3" t="n">
        <v>14442.5</v>
      </c>
    </row>
    <row r="10886">
      <c r="A10886" s="3" t="inlineStr">
        <is>
          <t>Quinate Consulting (Pty) Ltd</t>
        </is>
      </c>
      <c r="B10886" s="4" t="n">
        <v>44834</v>
      </c>
      <c r="C10886" s="3" t="inlineStr">
        <is>
          <t>Assets</t>
        </is>
      </c>
      <c r="D10886" s="3" t="inlineStr">
        <is>
          <t>6600/020</t>
        </is>
      </c>
      <c r="E10886" s="3" t="inlineStr">
        <is>
          <t>Other Fixed Assets - Accum Depre</t>
        </is>
      </c>
      <c r="F10886" s="3" t="n">
        <v>0</v>
      </c>
      <c r="G10886" s="3" t="n">
        <v>-14441.5</v>
      </c>
    </row>
    <row r="10887">
      <c r="A10887" s="3" t="inlineStr">
        <is>
          <t>Noble Shield (Pty) Ltd ta Go Letting</t>
        </is>
      </c>
      <c r="B10887" s="4" t="n">
        <v>44834</v>
      </c>
      <c r="C10887" s="3" t="inlineStr">
        <is>
          <t>Assets</t>
        </is>
      </c>
      <c r="D10887" s="3" t="inlineStr">
        <is>
          <t>7000/100</t>
        </is>
      </c>
      <c r="E10887" s="3" t="inlineStr">
        <is>
          <t>Goodwill - Purchase of Go Letting</t>
        </is>
      </c>
      <c r="F10887" s="3" t="n">
        <v>0</v>
      </c>
      <c r="G10887" s="3" t="n">
        <v>106580</v>
      </c>
    </row>
    <row r="10888">
      <c r="A10888" s="3" t="inlineStr">
        <is>
          <t>Opportunity Management Holdings (PTY) LTD</t>
        </is>
      </c>
      <c r="B10888" s="4" t="n">
        <v>44834</v>
      </c>
      <c r="C10888" s="3" t="inlineStr">
        <is>
          <t>Assets</t>
        </is>
      </c>
      <c r="D10888" s="3" t="inlineStr">
        <is>
          <t>7200/000</t>
        </is>
      </c>
      <c r="E10888" s="3" t="inlineStr">
        <is>
          <t>Shares in Subsidiary Companies</t>
        </is>
      </c>
      <c r="F10888" s="3" t="n">
        <v>0</v>
      </c>
      <c r="G10888" s="3" t="n">
        <v>120</v>
      </c>
    </row>
    <row r="10889">
      <c r="A10889" s="3" t="inlineStr">
        <is>
          <t>Endulini (Pty) Ltd</t>
        </is>
      </c>
      <c r="B10889" s="4" t="n">
        <v>44834</v>
      </c>
      <c r="C10889" s="3" t="inlineStr">
        <is>
          <t>Assets</t>
        </is>
      </c>
      <c r="D10889" s="3" t="inlineStr">
        <is>
          <t>7610/100</t>
        </is>
      </c>
      <c r="E10889" s="3" t="inlineStr">
        <is>
          <t>Endulini Land</t>
        </is>
      </c>
      <c r="F10889" s="3" t="n">
        <v>0</v>
      </c>
      <c r="G10889" s="3" t="n">
        <v>10572851.37</v>
      </c>
    </row>
    <row r="10890">
      <c r="A10890" s="3" t="inlineStr">
        <is>
          <t>Endulini (Pty) Ltd</t>
        </is>
      </c>
      <c r="B10890" s="4" t="n">
        <v>44834</v>
      </c>
      <c r="C10890" s="3" t="inlineStr">
        <is>
          <t>Assets</t>
        </is>
      </c>
      <c r="D10890" s="3" t="inlineStr">
        <is>
          <t>7610/101</t>
        </is>
      </c>
      <c r="E10890" s="3" t="inlineStr">
        <is>
          <t>Endulini Revaluation of Land stock</t>
        </is>
      </c>
      <c r="F10890" s="3" t="n">
        <v>0</v>
      </c>
      <c r="G10890" s="3" t="n">
        <v>6084085.78</v>
      </c>
    </row>
    <row r="10891">
      <c r="A10891" s="3" t="inlineStr">
        <is>
          <t>Endulini (Pty) Ltd</t>
        </is>
      </c>
      <c r="B10891" s="4" t="n">
        <v>44834</v>
      </c>
      <c r="C10891" s="3" t="inlineStr">
        <is>
          <t>Assets</t>
        </is>
      </c>
      <c r="D10891" s="3" t="inlineStr">
        <is>
          <t>7610/111</t>
        </is>
      </c>
      <c r="E10891" s="3" t="inlineStr">
        <is>
          <t>Endulini Closing Stock February 2021</t>
        </is>
      </c>
      <c r="F10891" s="3" t="n">
        <v>0</v>
      </c>
      <c r="G10891" s="3" t="n">
        <v>15044610.11</v>
      </c>
    </row>
    <row r="10892">
      <c r="A10892" s="3" t="inlineStr">
        <is>
          <t>Endulini (Pty) Ltd</t>
        </is>
      </c>
      <c r="B10892" s="4" t="n">
        <v>44834</v>
      </c>
      <c r="C10892" s="3" t="inlineStr">
        <is>
          <t>Assets</t>
        </is>
      </c>
      <c r="D10892" s="3" t="inlineStr">
        <is>
          <t>7610/180</t>
        </is>
      </c>
      <c r="E10892" s="3" t="inlineStr">
        <is>
          <t>Endulini CIP Architects</t>
        </is>
      </c>
      <c r="F10892" s="3" t="n">
        <v>0</v>
      </c>
      <c r="G10892" s="3" t="n">
        <v>537874</v>
      </c>
    </row>
    <row r="10893">
      <c r="A10893" s="3" t="inlineStr">
        <is>
          <t>Endulini (Pty) Ltd</t>
        </is>
      </c>
      <c r="B10893" s="4" t="n">
        <v>44834</v>
      </c>
      <c r="C10893" s="3" t="inlineStr">
        <is>
          <t>Assets</t>
        </is>
      </c>
      <c r="D10893" s="3" t="inlineStr">
        <is>
          <t>7610/200</t>
        </is>
      </c>
      <c r="E10893" s="3" t="inlineStr">
        <is>
          <t>Endulini CIP CoCT Land Use App</t>
        </is>
      </c>
      <c r="F10893" s="3" t="n">
        <v>0</v>
      </c>
      <c r="G10893" s="3" t="n">
        <v>232891.06</v>
      </c>
    </row>
    <row r="10894">
      <c r="A10894" s="3" t="inlineStr">
        <is>
          <t>Endulini (Pty) Ltd</t>
        </is>
      </c>
      <c r="B10894" s="4" t="n">
        <v>44834</v>
      </c>
      <c r="C10894" s="3" t="inlineStr">
        <is>
          <t>Assets</t>
        </is>
      </c>
      <c r="D10894" s="3" t="inlineStr">
        <is>
          <t>7610/205</t>
        </is>
      </c>
      <c r="E10894" s="3" t="inlineStr">
        <is>
          <t>Endulini CIP Site Establishments</t>
        </is>
      </c>
      <c r="F10894" s="3" t="n">
        <v>0</v>
      </c>
      <c r="G10894" s="3" t="n">
        <v>32428975.01</v>
      </c>
    </row>
    <row r="10895">
      <c r="A10895" s="3" t="inlineStr">
        <is>
          <t>Endulini (Pty) Ltd</t>
        </is>
      </c>
      <c r="B10895" s="4" t="n">
        <v>44834</v>
      </c>
      <c r="C10895" s="3" t="inlineStr">
        <is>
          <t>Assets</t>
        </is>
      </c>
      <c r="D10895" s="3" t="inlineStr">
        <is>
          <t>7610/209</t>
        </is>
      </c>
      <c r="E10895" s="3" t="inlineStr">
        <is>
          <t>Endulini CIP Construction Management</t>
        </is>
      </c>
      <c r="F10895" s="3" t="n">
        <v>6500</v>
      </c>
      <c r="G10895" s="3" t="n">
        <v>206875</v>
      </c>
    </row>
    <row r="10896">
      <c r="A10896" s="3" t="inlineStr">
        <is>
          <t>Endulini (Pty) Ltd</t>
        </is>
      </c>
      <c r="B10896" s="4" t="n">
        <v>44834</v>
      </c>
      <c r="C10896" s="3" t="inlineStr">
        <is>
          <t>Assets</t>
        </is>
      </c>
      <c r="D10896" s="3" t="inlineStr">
        <is>
          <t>7610/210</t>
        </is>
      </c>
      <c r="E10896" s="3" t="inlineStr">
        <is>
          <t>Endulini CIP Civil Works</t>
        </is>
      </c>
      <c r="F10896" s="3" t="n">
        <v>0</v>
      </c>
      <c r="G10896" s="3" t="n">
        <v>5795702.14</v>
      </c>
    </row>
    <row r="10897">
      <c r="A10897" s="3" t="inlineStr">
        <is>
          <t>Endulini (Pty) Ltd</t>
        </is>
      </c>
      <c r="B10897" s="4" t="n">
        <v>44834</v>
      </c>
      <c r="C10897" s="3" t="inlineStr">
        <is>
          <t>Assets</t>
        </is>
      </c>
      <c r="D10897" s="3" t="inlineStr">
        <is>
          <t>7610/215</t>
        </is>
      </c>
      <c r="E10897" s="3" t="inlineStr">
        <is>
          <t>Endulini CIP Civil Engineers</t>
        </is>
      </c>
      <c r="F10897" s="3" t="n">
        <v>0</v>
      </c>
      <c r="G10897" s="3" t="n">
        <v>183000</v>
      </c>
    </row>
    <row r="10898">
      <c r="A10898" s="3" t="inlineStr">
        <is>
          <t>Endulini (Pty) Ltd</t>
        </is>
      </c>
      <c r="B10898" s="4" t="n">
        <v>44834</v>
      </c>
      <c r="C10898" s="3" t="inlineStr">
        <is>
          <t>Assets</t>
        </is>
      </c>
      <c r="D10898" s="3" t="inlineStr">
        <is>
          <t>7610/220</t>
        </is>
      </c>
      <c r="E10898" s="3" t="inlineStr">
        <is>
          <t>Endulini CIP Structuring Project Fee Opp Invest</t>
        </is>
      </c>
      <c r="F10898" s="3" t="n">
        <v>0</v>
      </c>
      <c r="G10898" s="3" t="n">
        <v>483735.96</v>
      </c>
    </row>
    <row r="10899">
      <c r="A10899" s="3" t="inlineStr">
        <is>
          <t>Endulini (Pty) Ltd</t>
        </is>
      </c>
      <c r="B10899" s="4" t="n">
        <v>44834</v>
      </c>
      <c r="C10899" s="3" t="inlineStr">
        <is>
          <t>Assets</t>
        </is>
      </c>
      <c r="D10899" s="3" t="inlineStr">
        <is>
          <t>7610/225</t>
        </is>
      </c>
      <c r="E10899" s="3" t="inlineStr">
        <is>
          <t>Endulini CIP Structural engineering fee</t>
        </is>
      </c>
      <c r="F10899" s="3" t="n">
        <v>0</v>
      </c>
      <c r="G10899" s="3" t="n">
        <v>346268.03</v>
      </c>
    </row>
    <row r="10900">
      <c r="A10900" s="3" t="inlineStr">
        <is>
          <t>Endulini (Pty) Ltd</t>
        </is>
      </c>
      <c r="B10900" s="4" t="n">
        <v>44834</v>
      </c>
      <c r="C10900" s="3" t="inlineStr">
        <is>
          <t>Assets</t>
        </is>
      </c>
      <c r="D10900" s="3" t="inlineStr">
        <is>
          <t>7610/230</t>
        </is>
      </c>
      <c r="E10900" s="3" t="inlineStr">
        <is>
          <t>Endulini CIP Mechanical Engineering</t>
        </is>
      </c>
      <c r="F10900" s="3" t="n">
        <v>0</v>
      </c>
      <c r="G10900" s="3" t="n">
        <v>15570</v>
      </c>
    </row>
    <row r="10901">
      <c r="A10901" s="3" t="inlineStr">
        <is>
          <t>Endulini (Pty) Ltd</t>
        </is>
      </c>
      <c r="B10901" s="4" t="n">
        <v>44834</v>
      </c>
      <c r="C10901" s="3" t="inlineStr">
        <is>
          <t>Assets</t>
        </is>
      </c>
      <c r="D10901" s="3" t="inlineStr">
        <is>
          <t>7610/235</t>
        </is>
      </c>
      <c r="E10901" s="3" t="inlineStr">
        <is>
          <t>Endulini CIP Electrical Installation</t>
        </is>
      </c>
      <c r="F10901" s="3" t="n">
        <v>0</v>
      </c>
      <c r="G10901" s="3" t="n">
        <v>1034019.08</v>
      </c>
    </row>
    <row r="10902">
      <c r="A10902" s="3" t="inlineStr">
        <is>
          <t>Endulini (Pty) Ltd</t>
        </is>
      </c>
      <c r="B10902" s="4" t="n">
        <v>44834</v>
      </c>
      <c r="C10902" s="3" t="inlineStr">
        <is>
          <t>Assets</t>
        </is>
      </c>
      <c r="D10902" s="3" t="inlineStr">
        <is>
          <t>7610/250</t>
        </is>
      </c>
      <c r="E10902" s="3" t="inlineStr">
        <is>
          <t>Endulini CIP Boundary Wall</t>
        </is>
      </c>
      <c r="F10902" s="3" t="n">
        <v>0</v>
      </c>
      <c r="G10902" s="3" t="n">
        <v>88400.8</v>
      </c>
    </row>
    <row r="10903">
      <c r="A10903" s="3" t="inlineStr">
        <is>
          <t>Endulini (Pty) Ltd</t>
        </is>
      </c>
      <c r="B10903" s="4" t="n">
        <v>44834</v>
      </c>
      <c r="C10903" s="3" t="inlineStr">
        <is>
          <t>Assets</t>
        </is>
      </c>
      <c r="D10903" s="3" t="inlineStr">
        <is>
          <t>7610/290</t>
        </is>
      </c>
      <c r="E10903" s="3" t="inlineStr">
        <is>
          <t>Endulini CIP Development Management Fees</t>
        </is>
      </c>
      <c r="F10903" s="3" t="n">
        <v>0</v>
      </c>
      <c r="G10903" s="3" t="n">
        <v>237496.62</v>
      </c>
    </row>
    <row r="10904">
      <c r="A10904" s="3" t="inlineStr">
        <is>
          <t>Endulini (Pty) Ltd</t>
        </is>
      </c>
      <c r="B10904" s="4" t="n">
        <v>44834</v>
      </c>
      <c r="C10904" s="3" t="inlineStr">
        <is>
          <t>Assets</t>
        </is>
      </c>
      <c r="D10904" s="3" t="inlineStr">
        <is>
          <t>7610/310</t>
        </is>
      </c>
      <c r="E10904" s="3" t="inlineStr">
        <is>
          <t>Endulini CIP Enviromental consultants</t>
        </is>
      </c>
      <c r="F10904" s="3" t="n">
        <v>0</v>
      </c>
      <c r="G10904" s="3" t="n">
        <v>108000</v>
      </c>
    </row>
    <row r="10905">
      <c r="A10905" s="3" t="inlineStr">
        <is>
          <t>Endulini (Pty) Ltd</t>
        </is>
      </c>
      <c r="B10905" s="4" t="n">
        <v>44834</v>
      </c>
      <c r="C10905" s="3" t="inlineStr">
        <is>
          <t>Assets</t>
        </is>
      </c>
      <c r="D10905" s="3" t="inlineStr">
        <is>
          <t>7610/320</t>
        </is>
      </c>
      <c r="E10905" s="3" t="inlineStr">
        <is>
          <t>Endulini CIP Geotechnical</t>
        </is>
      </c>
      <c r="F10905" s="3" t="n">
        <v>0</v>
      </c>
      <c r="G10905" s="3" t="n">
        <v>13575</v>
      </c>
    </row>
    <row r="10906">
      <c r="A10906" s="3" t="inlineStr">
        <is>
          <t>Endulini (Pty) Ltd</t>
        </is>
      </c>
      <c r="B10906" s="4" t="n">
        <v>44834</v>
      </c>
      <c r="C10906" s="3" t="inlineStr">
        <is>
          <t>Assets</t>
        </is>
      </c>
      <c r="D10906" s="3" t="inlineStr">
        <is>
          <t>7610/330</t>
        </is>
      </c>
      <c r="E10906" s="3" t="inlineStr">
        <is>
          <t>Endulini CIP Health and Safety</t>
        </is>
      </c>
      <c r="F10906" s="3" t="n">
        <v>0</v>
      </c>
      <c r="G10906" s="3" t="n">
        <v>40200</v>
      </c>
    </row>
    <row r="10907">
      <c r="A10907" s="3" t="inlineStr">
        <is>
          <t>Endulini (Pty) Ltd</t>
        </is>
      </c>
      <c r="B10907" s="4" t="n">
        <v>44834</v>
      </c>
      <c r="C10907" s="3" t="inlineStr">
        <is>
          <t>Assets</t>
        </is>
      </c>
      <c r="D10907" s="3" t="inlineStr">
        <is>
          <t>7610/390</t>
        </is>
      </c>
      <c r="E10907" s="3" t="inlineStr">
        <is>
          <t>Endulini CIP Land Surveyor</t>
        </is>
      </c>
      <c r="F10907" s="3" t="n">
        <v>0</v>
      </c>
      <c r="G10907" s="3" t="n">
        <v>186021.2</v>
      </c>
    </row>
    <row r="10908">
      <c r="A10908" s="3" t="inlineStr">
        <is>
          <t>Endulini (Pty) Ltd</t>
        </is>
      </c>
      <c r="B10908" s="4" t="n">
        <v>44834</v>
      </c>
      <c r="C10908" s="3" t="inlineStr">
        <is>
          <t>Assets</t>
        </is>
      </c>
      <c r="D10908" s="3" t="inlineStr">
        <is>
          <t>7610/392</t>
        </is>
      </c>
      <c r="E10908" s="3" t="inlineStr">
        <is>
          <t>Endulini CIP Landscaping</t>
        </is>
      </c>
      <c r="F10908" s="3" t="n">
        <v>0</v>
      </c>
      <c r="G10908" s="3" t="n">
        <v>6100</v>
      </c>
    </row>
    <row r="10909">
      <c r="A10909" s="3" t="inlineStr">
        <is>
          <t>Endulini (Pty) Ltd</t>
        </is>
      </c>
      <c r="B10909" s="4" t="n">
        <v>44834</v>
      </c>
      <c r="C10909" s="3" t="inlineStr">
        <is>
          <t>Assets</t>
        </is>
      </c>
      <c r="D10909" s="3" t="inlineStr">
        <is>
          <t>7610/395</t>
        </is>
      </c>
      <c r="E10909" s="3" t="inlineStr">
        <is>
          <t>Endulini CIP NHBRC</t>
        </is>
      </c>
      <c r="F10909" s="3" t="n">
        <v>0</v>
      </c>
      <c r="G10909" s="3" t="n">
        <v>928847.49</v>
      </c>
    </row>
    <row r="10910">
      <c r="A10910" s="3" t="inlineStr">
        <is>
          <t>Endulini (Pty) Ltd</t>
        </is>
      </c>
      <c r="B10910" s="4" t="n">
        <v>44834</v>
      </c>
      <c r="C10910" s="3" t="inlineStr">
        <is>
          <t>Assets</t>
        </is>
      </c>
      <c r="D10910" s="3" t="inlineStr">
        <is>
          <t>7610/400</t>
        </is>
      </c>
      <c r="E10910" s="3" t="inlineStr">
        <is>
          <t>Endulini CIP Quantity Surveyor</t>
        </is>
      </c>
      <c r="F10910" s="3" t="n">
        <v>0</v>
      </c>
      <c r="G10910" s="3" t="n">
        <v>82136.36</v>
      </c>
    </row>
    <row r="10911">
      <c r="A10911" s="3" t="inlineStr">
        <is>
          <t>Endulini (Pty) Ltd</t>
        </is>
      </c>
      <c r="B10911" s="4" t="n">
        <v>44834</v>
      </c>
      <c r="C10911" s="3" t="inlineStr">
        <is>
          <t>Assets</t>
        </is>
      </c>
      <c r="D10911" s="3" t="inlineStr">
        <is>
          <t>7610/600</t>
        </is>
      </c>
      <c r="E10911" s="3" t="inlineStr">
        <is>
          <t>Endulini CIP Town Planning</t>
        </is>
      </c>
      <c r="F10911" s="3" t="n">
        <v>0</v>
      </c>
      <c r="G10911" s="3" t="n">
        <v>21105</v>
      </c>
    </row>
    <row r="10912">
      <c r="A10912" s="3" t="inlineStr">
        <is>
          <t>Endulini (Pty) Ltd</t>
        </is>
      </c>
      <c r="B10912" s="4" t="n">
        <v>44834</v>
      </c>
      <c r="C10912" s="3" t="inlineStr">
        <is>
          <t>Assets</t>
        </is>
      </c>
      <c r="D10912" s="3" t="inlineStr">
        <is>
          <t>7610/620</t>
        </is>
      </c>
      <c r="E10912" s="3" t="inlineStr">
        <is>
          <t>Endulini CIP Traffic Impact</t>
        </is>
      </c>
      <c r="F10912" s="3" t="n">
        <v>0</v>
      </c>
      <c r="G10912" s="3" t="n">
        <v>24915</v>
      </c>
    </row>
    <row r="10913">
      <c r="A10913" s="3" t="inlineStr">
        <is>
          <t>Endulini (Pty) Ltd</t>
        </is>
      </c>
      <c r="B10913" s="4" t="n">
        <v>44834</v>
      </c>
      <c r="C10913" s="3" t="inlineStr">
        <is>
          <t>Assets</t>
        </is>
      </c>
      <c r="D10913" s="3" t="inlineStr">
        <is>
          <t>7610/630</t>
        </is>
      </c>
      <c r="E10913" s="3" t="inlineStr">
        <is>
          <t>Endulini CIP CoCT Development Contributi</t>
        </is>
      </c>
      <c r="F10913" s="3" t="n">
        <v>0</v>
      </c>
      <c r="G10913" s="3" t="n">
        <v>661860.3100000001</v>
      </c>
    </row>
    <row r="10914">
      <c r="A10914" s="3" t="inlineStr">
        <is>
          <t>Endulini (Pty) Ltd</t>
        </is>
      </c>
      <c r="B10914" s="4" t="n">
        <v>44834</v>
      </c>
      <c r="C10914" s="3" t="inlineStr">
        <is>
          <t>Assets</t>
        </is>
      </c>
      <c r="D10914" s="3" t="inlineStr">
        <is>
          <t>7610/640</t>
        </is>
      </c>
      <c r="E10914" s="3" t="inlineStr">
        <is>
          <t>Endulini CIP CoCT Building plan application</t>
        </is>
      </c>
      <c r="F10914" s="3" t="n">
        <v>0</v>
      </c>
      <c r="G10914" s="3" t="n">
        <v>111203.22</v>
      </c>
    </row>
    <row r="10915">
      <c r="A10915" s="3" t="inlineStr">
        <is>
          <t>Endulini (Pty) Ltd</t>
        </is>
      </c>
      <c r="B10915" s="4" t="n">
        <v>44834</v>
      </c>
      <c r="C10915" s="3" t="inlineStr">
        <is>
          <t>Assets</t>
        </is>
      </c>
      <c r="D10915" s="3" t="inlineStr">
        <is>
          <t>7610/650</t>
        </is>
      </c>
      <c r="E10915" s="3" t="inlineStr">
        <is>
          <t>Endulini CIP - P&amp;G recoveries - Endulini&amp;Heron Fields/View</t>
        </is>
      </c>
      <c r="F10915" s="3" t="n">
        <v>0</v>
      </c>
      <c r="G10915" s="3" t="n">
        <v>-3023829.42</v>
      </c>
    </row>
    <row r="10916">
      <c r="A10916" s="3" t="inlineStr">
        <is>
          <t>Endulini (Pty) Ltd</t>
        </is>
      </c>
      <c r="B10916" s="4" t="n">
        <v>44834</v>
      </c>
      <c r="C10916" s="3" t="inlineStr">
        <is>
          <t>Assets</t>
        </is>
      </c>
      <c r="D10916" s="3" t="inlineStr">
        <is>
          <t>7610/900</t>
        </is>
      </c>
      <c r="E10916" s="3" t="inlineStr">
        <is>
          <t>Endulini CIP Cost of Sales</t>
        </is>
      </c>
      <c r="F10916" s="3" t="n">
        <v>0</v>
      </c>
      <c r="G10916" s="3" t="n">
        <v>-28155981.9</v>
      </c>
    </row>
    <row r="10917">
      <c r="A10917" s="3" t="inlineStr">
        <is>
          <t>Quinate Consulting (Pty) Ltd</t>
        </is>
      </c>
      <c r="B10917" s="4" t="n">
        <v>44834</v>
      </c>
      <c r="C10917" s="3" t="inlineStr">
        <is>
          <t>Assets</t>
        </is>
      </c>
      <c r="D10917" s="3" t="inlineStr">
        <is>
          <t>7800/104</t>
        </is>
      </c>
      <c r="E10917" s="3" t="inlineStr">
        <is>
          <t>Stock - Closing Stock SW - 28 Feb 21</t>
        </is>
      </c>
      <c r="F10917" s="3" t="n">
        <v>0</v>
      </c>
      <c r="G10917" s="3" t="n">
        <v>2874478.88</v>
      </c>
    </row>
    <row r="10918">
      <c r="A10918" s="3" t="inlineStr">
        <is>
          <t>Quinate Consulting (Pty) Ltd</t>
        </is>
      </c>
      <c r="B10918" s="4" t="n">
        <v>44834</v>
      </c>
      <c r="C10918" s="3" t="inlineStr">
        <is>
          <t>Assets</t>
        </is>
      </c>
      <c r="D10918" s="3" t="inlineStr">
        <is>
          <t>7800/105</t>
        </is>
      </c>
      <c r="E10918" s="3" t="inlineStr">
        <is>
          <t>Stock - Closing Stock SH - 28 Feb 21</t>
        </is>
      </c>
      <c r="F10918" s="3" t="n">
        <v>0</v>
      </c>
      <c r="G10918" s="3" t="n">
        <v>2843477.6</v>
      </c>
    </row>
    <row r="10919">
      <c r="A10919" s="3" t="inlineStr">
        <is>
          <t>Endulini (Pty) Ltd</t>
        </is>
      </c>
      <c r="B10919" s="4" t="n">
        <v>44834</v>
      </c>
      <c r="C10919" s="3" t="inlineStr">
        <is>
          <t>Assets</t>
        </is>
      </c>
      <c r="D10919" s="3" t="inlineStr">
        <is>
          <t>8000/000</t>
        </is>
      </c>
      <c r="E10919" s="3" t="inlineStr">
        <is>
          <t>Customer Control Account</t>
        </is>
      </c>
      <c r="F10919" s="3" t="n">
        <v>0</v>
      </c>
      <c r="G10919" s="3" t="n">
        <v>3477403.83</v>
      </c>
    </row>
    <row r="10920">
      <c r="A10920" s="3" t="inlineStr">
        <is>
          <t>Noble Shield (Pty) Ltd ta Go Letting</t>
        </is>
      </c>
      <c r="B10920" s="4" t="n">
        <v>44834</v>
      </c>
      <c r="C10920" s="3" t="inlineStr">
        <is>
          <t>Assets</t>
        </is>
      </c>
      <c r="D10920" s="3" t="inlineStr">
        <is>
          <t>8000/000</t>
        </is>
      </c>
      <c r="E10920" s="3" t="inlineStr">
        <is>
          <t>Customer Control Account</t>
        </is>
      </c>
      <c r="F10920" s="3" t="n">
        <v>0</v>
      </c>
      <c r="G10920" s="3" t="n">
        <v>60289.32</v>
      </c>
    </row>
    <row r="10921">
      <c r="A10921" s="3" t="inlineStr">
        <is>
          <t>Opportunity Global Sales (PTY) LTD</t>
        </is>
      </c>
      <c r="B10921" s="4" t="n">
        <v>44834</v>
      </c>
      <c r="C10921" s="3" t="inlineStr">
        <is>
          <t>Assets</t>
        </is>
      </c>
      <c r="D10921" s="3" t="inlineStr">
        <is>
          <t>8000/000</t>
        </is>
      </c>
      <c r="E10921" s="3" t="inlineStr">
        <is>
          <t>Customer Control Account</t>
        </is>
      </c>
      <c r="F10921" s="3" t="n">
        <v>-43104.34</v>
      </c>
      <c r="G10921" s="3" t="n">
        <v>15936.29</v>
      </c>
    </row>
    <row r="10922">
      <c r="A10922" s="3" t="inlineStr">
        <is>
          <t>Opportunity Management Holdings (PTY) LTD</t>
        </is>
      </c>
      <c r="B10922" s="4" t="n">
        <v>44834</v>
      </c>
      <c r="C10922" s="3" t="inlineStr">
        <is>
          <t>Assets</t>
        </is>
      </c>
      <c r="D10922" s="3" t="inlineStr">
        <is>
          <t>8000/000</t>
        </is>
      </c>
      <c r="E10922" s="3" t="inlineStr">
        <is>
          <t>Customer Control Account</t>
        </is>
      </c>
      <c r="F10922" s="3" t="n">
        <v>35412.5</v>
      </c>
      <c r="G10922" s="3" t="n">
        <v>295412.5</v>
      </c>
    </row>
    <row r="10923">
      <c r="A10923" s="3" t="inlineStr">
        <is>
          <t>Quinate Consulting (Pty) Ltd</t>
        </is>
      </c>
      <c r="B10923" s="4" t="n">
        <v>44834</v>
      </c>
      <c r="C10923" s="3" t="inlineStr">
        <is>
          <t>Assets</t>
        </is>
      </c>
      <c r="D10923" s="3" t="inlineStr">
        <is>
          <t>8000/000</t>
        </is>
      </c>
      <c r="E10923" s="3" t="inlineStr">
        <is>
          <t>Customer Control Account</t>
        </is>
      </c>
      <c r="F10923" s="3" t="n">
        <v>0</v>
      </c>
      <c r="G10923" s="3" t="n">
        <v>-24445</v>
      </c>
    </row>
    <row r="10924">
      <c r="A10924" s="3" t="inlineStr">
        <is>
          <t>Quinate Consulting (Pty) Ltd</t>
        </is>
      </c>
      <c r="B10924" s="4" t="n">
        <v>44834</v>
      </c>
      <c r="C10924" s="3" t="inlineStr">
        <is>
          <t>Assets</t>
        </is>
      </c>
      <c r="D10924" s="3" t="inlineStr">
        <is>
          <t>8001</t>
        </is>
      </c>
      <c r="E10924" s="3" t="inlineStr">
        <is>
          <t>Customer Control</t>
        </is>
      </c>
      <c r="F10924" s="3" t="n">
        <v>0</v>
      </c>
      <c r="G10924" s="3" t="n">
        <v>29487.49</v>
      </c>
    </row>
    <row r="10925">
      <c r="A10925" s="3" t="inlineStr">
        <is>
          <t>Noble Shield (Pty) Ltd ta Go Letting</t>
        </is>
      </c>
      <c r="B10925" s="4" t="n">
        <v>44834</v>
      </c>
      <c r="C10925" s="3" t="inlineStr">
        <is>
          <t>Assets</t>
        </is>
      </c>
      <c r="D10925" s="3" t="inlineStr">
        <is>
          <t>8200/010</t>
        </is>
      </c>
      <c r="E10925" s="3" t="inlineStr">
        <is>
          <t>Prepayments / Prepaid Expenses</t>
        </is>
      </c>
      <c r="F10925" s="3" t="n">
        <v>-91000</v>
      </c>
      <c r="G10925" s="3" t="n">
        <v>0</v>
      </c>
    </row>
    <row r="10926">
      <c r="A10926" s="3" t="inlineStr">
        <is>
          <t>Opportunity Global Investment (PTY) LTD</t>
        </is>
      </c>
      <c r="B10926" s="4" t="n">
        <v>44834</v>
      </c>
      <c r="C10926" s="3" t="inlineStr">
        <is>
          <t>Assets</t>
        </is>
      </c>
      <c r="D10926" s="3" t="inlineStr">
        <is>
          <t>8200/010</t>
        </is>
      </c>
      <c r="E10926" s="3" t="inlineStr">
        <is>
          <t>Prepayments / Prepaid Expenses</t>
        </is>
      </c>
      <c r="F10926" s="3" t="n">
        <v>-36500</v>
      </c>
      <c r="G10926" s="3" t="n">
        <v>75542.03</v>
      </c>
    </row>
    <row r="10927">
      <c r="A10927" s="3" t="inlineStr">
        <is>
          <t>Quinate Consulting (Pty) Ltd</t>
        </is>
      </c>
      <c r="B10927" s="4" t="n">
        <v>44834</v>
      </c>
      <c r="C10927" s="3" t="inlineStr">
        <is>
          <t>Assets</t>
        </is>
      </c>
      <c r="D10927" s="3" t="inlineStr">
        <is>
          <t>8200/010</t>
        </is>
      </c>
      <c r="E10927" s="3" t="inlineStr">
        <is>
          <t>Prepayments / Prepaid Expenses</t>
        </is>
      </c>
      <c r="F10927" s="3" t="n">
        <v>0</v>
      </c>
      <c r="G10927" s="3" t="n">
        <v>109675</v>
      </c>
    </row>
    <row r="10928">
      <c r="A10928" s="3" t="inlineStr">
        <is>
          <t>Opportunity Global Investment (PTY) LTD</t>
        </is>
      </c>
      <c r="B10928" s="4" t="n">
        <v>44834</v>
      </c>
      <c r="C10928" s="3" t="inlineStr">
        <is>
          <t>Assets</t>
        </is>
      </c>
      <c r="D10928" s="3" t="inlineStr">
        <is>
          <t>8400/000</t>
        </is>
      </c>
      <c r="E10928" s="3" t="inlineStr">
        <is>
          <t>FNB 62093491696</t>
        </is>
      </c>
      <c r="F10928" s="3" t="n">
        <v>49250.65</v>
      </c>
      <c r="G10928" s="3" t="n">
        <v>106518.85</v>
      </c>
    </row>
    <row r="10929">
      <c r="A10929" s="3" t="inlineStr">
        <is>
          <t>Opportunity Global Sales (PTY) LTD</t>
        </is>
      </c>
      <c r="B10929" s="4" t="n">
        <v>44834</v>
      </c>
      <c r="C10929" s="3" t="inlineStr">
        <is>
          <t>Assets</t>
        </is>
      </c>
      <c r="D10929" s="3" t="inlineStr">
        <is>
          <t>8400/000</t>
        </is>
      </c>
      <c r="E10929" s="3" t="inlineStr">
        <is>
          <t>FNB 62835620875</t>
        </is>
      </c>
      <c r="F10929" s="3" t="n">
        <v>126021.11</v>
      </c>
      <c r="G10929" s="3" t="n">
        <v>156682.06</v>
      </c>
    </row>
    <row r="10930">
      <c r="A10930" s="3" t="inlineStr">
        <is>
          <t>Quinate Consulting (Pty) Ltd</t>
        </is>
      </c>
      <c r="B10930" s="4" t="n">
        <v>44834</v>
      </c>
      <c r="C10930" s="3" t="inlineStr">
        <is>
          <t>Assets</t>
        </is>
      </c>
      <c r="D10930" s="3" t="inlineStr">
        <is>
          <t>8400/000</t>
        </is>
      </c>
      <c r="E10930" s="3" t="inlineStr">
        <is>
          <t>RMB - 62736659189 - Call Acc</t>
        </is>
      </c>
      <c r="F10930" s="3" t="n">
        <v>-391.17</v>
      </c>
      <c r="G10930" s="3" t="n">
        <v>152614.37</v>
      </c>
    </row>
    <row r="10931">
      <c r="A10931" s="3" t="inlineStr">
        <is>
          <t>Trademark Holdings (Pty) Ltd</t>
        </is>
      </c>
      <c r="B10931" s="4" t="n">
        <v>44834</v>
      </c>
      <c r="C10931" s="3" t="inlineStr">
        <is>
          <t>Assets</t>
        </is>
      </c>
      <c r="D10931" s="3" t="inlineStr">
        <is>
          <t>8400/000</t>
        </is>
      </c>
      <c r="E10931" s="3" t="inlineStr">
        <is>
          <t>RMB 623 693 03640</t>
        </is>
      </c>
      <c r="F10931" s="3" t="n">
        <v>12108.71</v>
      </c>
      <c r="G10931" s="3" t="n">
        <v>61130.59</v>
      </c>
    </row>
    <row r="10932">
      <c r="A10932" s="3" t="inlineStr">
        <is>
          <t>Noble Shield (Pty) Ltd ta Go Letting</t>
        </is>
      </c>
      <c r="B10932" s="4" t="n">
        <v>44834</v>
      </c>
      <c r="C10932" s="3" t="inlineStr">
        <is>
          <t>Assets</t>
        </is>
      </c>
      <c r="D10932" s="3" t="inlineStr">
        <is>
          <t>8400/000</t>
        </is>
      </c>
      <c r="E10932" s="3" t="inlineStr">
        <is>
          <t>RMB 6250 573 3833</t>
        </is>
      </c>
      <c r="F10932" s="3" t="n">
        <v>-9216.610000000001</v>
      </c>
      <c r="G10932" s="3" t="n">
        <v>34656.19</v>
      </c>
    </row>
    <row r="10933">
      <c r="A10933" s="3" t="inlineStr">
        <is>
          <t>Endulini (Pty) Ltd</t>
        </is>
      </c>
      <c r="B10933" s="4" t="n">
        <v>44834</v>
      </c>
      <c r="C10933" s="3" t="inlineStr">
        <is>
          <t>Assets</t>
        </is>
      </c>
      <c r="D10933" s="3" t="inlineStr">
        <is>
          <t>8400/000</t>
        </is>
      </c>
      <c r="E10933" s="3" t="inlineStr">
        <is>
          <t>RMB 62906944576</t>
        </is>
      </c>
      <c r="F10933" s="3" t="n">
        <v>407493.65</v>
      </c>
      <c r="G10933" s="3" t="n">
        <v>520276.24</v>
      </c>
    </row>
    <row r="10934">
      <c r="A10934" s="3" t="inlineStr">
        <is>
          <t>Opportunity Management Holdings (PTY) LTD</t>
        </is>
      </c>
      <c r="B10934" s="4" t="n">
        <v>44834</v>
      </c>
      <c r="C10934" s="3" t="inlineStr">
        <is>
          <t>Assets</t>
        </is>
      </c>
      <c r="D10934" s="3" t="inlineStr">
        <is>
          <t>8400/000</t>
        </is>
      </c>
      <c r="E10934" s="3" t="inlineStr">
        <is>
          <t>RMB Cheq - 62312246920</t>
        </is>
      </c>
      <c r="F10934" s="3" t="n">
        <v>-37850.46</v>
      </c>
      <c r="G10934" s="3" t="n">
        <v>32067.05</v>
      </c>
    </row>
    <row r="10935">
      <c r="A10935" s="3" t="inlineStr">
        <is>
          <t>Opportunity Global Investment (PTY) LTD</t>
        </is>
      </c>
      <c r="B10935" s="4" t="n">
        <v>44834</v>
      </c>
      <c r="C10935" s="3" t="inlineStr">
        <is>
          <t>Assets</t>
        </is>
      </c>
      <c r="D10935" s="3" t="inlineStr">
        <is>
          <t>8405/000</t>
        </is>
      </c>
      <c r="E10935" s="3" t="inlineStr">
        <is>
          <t>FNB Trust 62762449265</t>
        </is>
      </c>
      <c r="F10935" s="3" t="n">
        <v>415.02</v>
      </c>
      <c r="G10935" s="3" t="n">
        <v>1037.84</v>
      </c>
    </row>
    <row r="10936">
      <c r="A10936" s="3" t="inlineStr">
        <is>
          <t>Endulini (Pty) Ltd</t>
        </is>
      </c>
      <c r="B10936" s="4" t="n">
        <v>44834</v>
      </c>
      <c r="C10936" s="3" t="inlineStr">
        <is>
          <t>Assets</t>
        </is>
      </c>
      <c r="D10936" s="3" t="inlineStr">
        <is>
          <t>8410/000</t>
        </is>
      </c>
      <c r="E10936" s="3" t="inlineStr">
        <is>
          <t>Momentum Investor Account : RU 502229883</t>
        </is>
      </c>
      <c r="F10936" s="3" t="n">
        <v>10.9</v>
      </c>
      <c r="G10936" s="3" t="n">
        <v>2601.61</v>
      </c>
    </row>
    <row r="10937">
      <c r="A10937" s="3" t="inlineStr">
        <is>
          <t>Opportunity Management Holdings (PTY) LTD</t>
        </is>
      </c>
      <c r="B10937" s="4" t="n">
        <v>44834</v>
      </c>
      <c r="C10937" s="3" t="inlineStr">
        <is>
          <t>Assets</t>
        </is>
      </c>
      <c r="D10937" s="3" t="inlineStr">
        <is>
          <t>8410/000</t>
        </is>
      </c>
      <c r="E10937" s="3" t="inlineStr">
        <is>
          <t>RMB Call Acc - 62312248851</t>
        </is>
      </c>
      <c r="F10937" s="3" t="n">
        <v>193.12</v>
      </c>
      <c r="G10937" s="3" t="n">
        <v>1073.66</v>
      </c>
    </row>
    <row r="10938">
      <c r="A10938" s="3" t="inlineStr">
        <is>
          <t>Noble Shield (Pty) Ltd ta Go Letting</t>
        </is>
      </c>
      <c r="B10938" s="4" t="n">
        <v>44834</v>
      </c>
      <c r="C10938" s="3" t="inlineStr">
        <is>
          <t>Assets</t>
        </is>
      </c>
      <c r="D10938" s="3" t="inlineStr">
        <is>
          <t>8410/000</t>
        </is>
      </c>
      <c r="E10938" s="3" t="inlineStr">
        <is>
          <t>RMB Trust Acc - 6250 615 1365</t>
        </is>
      </c>
      <c r="F10938" s="3" t="n">
        <v>377.1</v>
      </c>
      <c r="G10938" s="3" t="n">
        <v>880.2</v>
      </c>
    </row>
    <row r="10939">
      <c r="A10939" s="3" t="inlineStr">
        <is>
          <t>Quinate Consulting (Pty) Ltd</t>
        </is>
      </c>
      <c r="B10939" s="4" t="n">
        <v>44834</v>
      </c>
      <c r="C10939" s="3" t="inlineStr">
        <is>
          <t>Assets</t>
        </is>
      </c>
      <c r="D10939" s="3" t="inlineStr">
        <is>
          <t>8415/000</t>
        </is>
      </c>
      <c r="E10939" s="3" t="inlineStr">
        <is>
          <t>STD Acc 071 958 959 - Facility Acc</t>
        </is>
      </c>
      <c r="F10939" s="3" t="n">
        <v>-85</v>
      </c>
      <c r="G10939" s="3" t="n">
        <v>3721.21</v>
      </c>
    </row>
    <row r="10940">
      <c r="A10940" s="3" t="inlineStr">
        <is>
          <t>Quinate Consulting (Pty) Ltd</t>
        </is>
      </c>
      <c r="B10940" s="4" t="n">
        <v>44834</v>
      </c>
      <c r="C10940" s="3" t="inlineStr">
        <is>
          <t>Assets</t>
        </is>
      </c>
      <c r="D10940" s="3" t="inlineStr">
        <is>
          <t>8430/000</t>
        </is>
      </c>
      <c r="E10940" s="3" t="inlineStr">
        <is>
          <t>Momentum Investment Acc - RU502230185</t>
        </is>
      </c>
      <c r="F10940" s="3" t="n">
        <v>2.18</v>
      </c>
      <c r="G10940" s="3" t="n">
        <v>521.1</v>
      </c>
    </row>
    <row r="10941">
      <c r="A10941" s="3" t="inlineStr">
        <is>
          <t>Opportunity Global Investment (PTY) LTD</t>
        </is>
      </c>
      <c r="B10941" s="4" t="n">
        <v>44834</v>
      </c>
      <c r="C10941" s="3" t="inlineStr">
        <is>
          <t>Assets</t>
        </is>
      </c>
      <c r="D10941" s="3" t="inlineStr">
        <is>
          <t>8440/000</t>
        </is>
      </c>
      <c r="E10941" s="3" t="inlineStr">
        <is>
          <t>FNB - Call 627602764438</t>
        </is>
      </c>
      <c r="F10941" s="3" t="n">
        <v>483.34</v>
      </c>
      <c r="G10941" s="3" t="n">
        <v>985.71</v>
      </c>
    </row>
    <row r="10942">
      <c r="A10942" s="3" t="inlineStr">
        <is>
          <t>Opportunity Global Investment (PTY) LTD</t>
        </is>
      </c>
      <c r="B10942" s="4" t="n">
        <v>44834</v>
      </c>
      <c r="C10942" s="3" t="inlineStr">
        <is>
          <t>Assets</t>
        </is>
      </c>
      <c r="D10942" s="3" t="inlineStr">
        <is>
          <t>8445/000</t>
        </is>
      </c>
      <c r="E10942" s="3" t="inlineStr">
        <is>
          <t>Momentum RU502230096</t>
        </is>
      </c>
      <c r="F10942" s="3" t="n">
        <v>0</v>
      </c>
      <c r="G10942" s="3" t="n">
        <v>4547.99</v>
      </c>
    </row>
    <row r="10943">
      <c r="A10943" s="3" t="inlineStr">
        <is>
          <t>Quinate Consulting (Pty) Ltd</t>
        </is>
      </c>
      <c r="B10943" s="4" t="n">
        <v>44834</v>
      </c>
      <c r="C10943" s="3" t="inlineStr">
        <is>
          <t>Assets</t>
        </is>
      </c>
      <c r="D10943" s="3" t="inlineStr">
        <is>
          <t>8450/000</t>
        </is>
      </c>
      <c r="E10943" s="3" t="inlineStr">
        <is>
          <t>A RMB 62275810820</t>
        </is>
      </c>
      <c r="F10943" s="3" t="n">
        <v>101652.27</v>
      </c>
      <c r="G10943" s="3" t="n">
        <v>181562.89</v>
      </c>
    </row>
    <row r="10944">
      <c r="A10944" s="3" t="inlineStr">
        <is>
          <t>Opportunity Management Holdings (PTY) LTD</t>
        </is>
      </c>
      <c r="B10944" s="4" t="n">
        <v>44834</v>
      </c>
      <c r="C10944" s="3" t="inlineStr">
        <is>
          <t>Assets</t>
        </is>
      </c>
      <c r="D10944" s="3" t="inlineStr">
        <is>
          <t>8450/000</t>
        </is>
      </c>
      <c r="E10944" s="3" t="inlineStr">
        <is>
          <t>Petty Cash - CT Office</t>
        </is>
      </c>
      <c r="F10944" s="3" t="n">
        <v>-250</v>
      </c>
      <c r="G10944" s="3" t="n">
        <v>598.9</v>
      </c>
    </row>
    <row r="10945">
      <c r="A10945" s="3" t="inlineStr">
        <is>
          <t>Quinate Consulting (Pty) Ltd</t>
        </is>
      </c>
      <c r="B10945" s="4" t="n">
        <v>44834</v>
      </c>
      <c r="C10945" s="3" t="inlineStr">
        <is>
          <t>Liabilities</t>
        </is>
      </c>
      <c r="D10945" s="3" t="inlineStr">
        <is>
          <t>8480/100</t>
        </is>
      </c>
      <c r="E10945" s="3" t="inlineStr">
        <is>
          <t>Bond - SH20 - STD Bank 532010558</t>
        </is>
      </c>
      <c r="F10945" s="3" t="n">
        <v>3142.79</v>
      </c>
      <c r="G10945" s="3" t="n">
        <v>-1367902.14</v>
      </c>
    </row>
    <row r="10946">
      <c r="A10946" s="3" t="inlineStr">
        <is>
          <t>Quinate Consulting (Pty) Ltd</t>
        </is>
      </c>
      <c r="B10946" s="4" t="n">
        <v>44834</v>
      </c>
      <c r="C10946" s="3" t="inlineStr">
        <is>
          <t>Liabilities</t>
        </is>
      </c>
      <c r="D10946" s="3" t="inlineStr">
        <is>
          <t>8480/200</t>
        </is>
      </c>
      <c r="E10946" s="3" t="inlineStr">
        <is>
          <t>Bond - SH23 - STD Bank 532010035</t>
        </is>
      </c>
      <c r="F10946" s="3" t="n">
        <v>3139.85</v>
      </c>
      <c r="G10946" s="3" t="n">
        <v>-1367732.67</v>
      </c>
    </row>
    <row r="10947">
      <c r="A10947" s="3" t="inlineStr">
        <is>
          <t>Quinate Consulting (Pty) Ltd</t>
        </is>
      </c>
      <c r="B10947" s="4" t="n">
        <v>44834</v>
      </c>
      <c r="C10947" s="3" t="inlineStr">
        <is>
          <t>Liabilities</t>
        </is>
      </c>
      <c r="D10947" s="3" t="inlineStr">
        <is>
          <t>8480/300</t>
        </is>
      </c>
      <c r="E10947" s="3" t="inlineStr">
        <is>
          <t>Bond - SH24 - STD Bank 532372662</t>
        </is>
      </c>
      <c r="F10947" s="3" t="n">
        <v>1366.27</v>
      </c>
      <c r="G10947" s="3" t="n">
        <v>-1457528.62</v>
      </c>
    </row>
    <row r="10948">
      <c r="A10948" s="3" t="inlineStr">
        <is>
          <t>Quinate Consulting (Pty) Ltd</t>
        </is>
      </c>
      <c r="B10948" s="4" t="n">
        <v>44834</v>
      </c>
      <c r="C10948" s="3" t="inlineStr">
        <is>
          <t>Liabilities</t>
        </is>
      </c>
      <c r="D10948" s="3" t="inlineStr">
        <is>
          <t>8480/400</t>
        </is>
      </c>
      <c r="E10948" s="3" t="inlineStr">
        <is>
          <t>Bond - SW01 - STD Bank 532920627</t>
        </is>
      </c>
      <c r="F10948" s="3" t="n">
        <v>830.16</v>
      </c>
      <c r="G10948" s="3" t="n">
        <v>-1295500.82</v>
      </c>
    </row>
    <row r="10949">
      <c r="A10949" s="3" t="inlineStr">
        <is>
          <t>Quinate Consulting (Pty) Ltd</t>
        </is>
      </c>
      <c r="B10949" s="4" t="n">
        <v>44834</v>
      </c>
      <c r="C10949" s="3" t="inlineStr">
        <is>
          <t>Liabilities</t>
        </is>
      </c>
      <c r="D10949" s="3" t="inlineStr">
        <is>
          <t>8480/401</t>
        </is>
      </c>
      <c r="E10949" s="3" t="inlineStr">
        <is>
          <t>Bond - SW21 - STD Bank 532920597</t>
        </is>
      </c>
      <c r="F10949" s="3" t="n">
        <v>830.49</v>
      </c>
      <c r="G10949" s="3" t="n">
        <v>-1296014.83</v>
      </c>
    </row>
    <row r="10950">
      <c r="A10950" s="3" t="inlineStr">
        <is>
          <t>Opportunity Global Investment (PTY) LTD</t>
        </is>
      </c>
      <c r="B10950" s="4" t="n">
        <v>44834</v>
      </c>
      <c r="C10950" s="3" t="inlineStr">
        <is>
          <t>Liabilities</t>
        </is>
      </c>
      <c r="D10950" s="3" t="inlineStr">
        <is>
          <t>860</t>
        </is>
      </c>
      <c r="E10950" s="3" t="inlineStr">
        <is>
          <t>Rounding</t>
        </is>
      </c>
      <c r="F10950" s="3" t="n">
        <v>0</v>
      </c>
      <c r="G10950" s="3" t="n">
        <v>-0.03</v>
      </c>
    </row>
    <row r="10951">
      <c r="A10951" s="3" t="inlineStr">
        <is>
          <t>Opportunity Global Sales (PTY) LTD</t>
        </is>
      </c>
      <c r="B10951" s="4" t="n">
        <v>44834</v>
      </c>
      <c r="C10951" s="3" t="inlineStr">
        <is>
          <t>Liabilities</t>
        </is>
      </c>
      <c r="D10951" s="3" t="inlineStr">
        <is>
          <t>860</t>
        </is>
      </c>
      <c r="E10951" s="3" t="inlineStr">
        <is>
          <t>Rounding</t>
        </is>
      </c>
      <c r="F10951" s="3" t="n">
        <v>0</v>
      </c>
      <c r="G10951" s="3" t="n">
        <v>-1</v>
      </c>
    </row>
    <row r="10952">
      <c r="A10952" s="3" t="inlineStr">
        <is>
          <t>Quinate Consulting (Pty) Ltd</t>
        </is>
      </c>
      <c r="B10952" s="4" t="n">
        <v>44834</v>
      </c>
      <c r="C10952" s="3" t="inlineStr">
        <is>
          <t>Liabilities</t>
        </is>
      </c>
      <c r="D10952" s="3" t="inlineStr">
        <is>
          <t>860</t>
        </is>
      </c>
      <c r="E10952" s="3" t="inlineStr">
        <is>
          <t>Rounding</t>
        </is>
      </c>
      <c r="F10952" s="3" t="n">
        <v>0</v>
      </c>
      <c r="G10952" s="3" t="n">
        <v>0.09</v>
      </c>
    </row>
    <row r="10953">
      <c r="A10953" s="3" t="inlineStr">
        <is>
          <t>Trademark Holdings (Pty) Ltd</t>
        </is>
      </c>
      <c r="B10953" s="4" t="n">
        <v>44834</v>
      </c>
      <c r="C10953" s="3" t="inlineStr">
        <is>
          <t>Liabilities</t>
        </is>
      </c>
      <c r="D10953" s="3" t="inlineStr">
        <is>
          <t>860</t>
        </is>
      </c>
      <c r="E10953" s="3" t="inlineStr">
        <is>
          <t>Rounding</t>
        </is>
      </c>
      <c r="F10953" s="3" t="n">
        <v>0</v>
      </c>
      <c r="G10953" s="3" t="n">
        <v>0.2</v>
      </c>
    </row>
    <row r="10954">
      <c r="A10954" s="3" t="inlineStr">
        <is>
          <t>Endulini (Pty) Ltd</t>
        </is>
      </c>
      <c r="B10954" s="4" t="n">
        <v>44834</v>
      </c>
      <c r="C10954" s="3" t="inlineStr">
        <is>
          <t>Liabilities</t>
        </is>
      </c>
      <c r="D10954" s="3" t="inlineStr">
        <is>
          <t>9000/000</t>
        </is>
      </c>
      <c r="E10954" s="3" t="inlineStr">
        <is>
          <t>Supplier Control Account</t>
        </is>
      </c>
      <c r="F10954" s="3" t="n">
        <v>4258841.45</v>
      </c>
      <c r="G10954" s="3" t="n">
        <v>-35533132.78</v>
      </c>
    </row>
    <row r="10955">
      <c r="A10955" s="3" t="inlineStr">
        <is>
          <t>Noble Shield (Pty) Ltd ta Go Letting</t>
        </is>
      </c>
      <c r="B10955" s="4" t="n">
        <v>44834</v>
      </c>
      <c r="C10955" s="3" t="inlineStr">
        <is>
          <t>Liabilities</t>
        </is>
      </c>
      <c r="D10955" s="3" t="inlineStr">
        <is>
          <t>9000/000</t>
        </is>
      </c>
      <c r="E10955" s="3" t="inlineStr">
        <is>
          <t>Supplier Control Account</t>
        </is>
      </c>
      <c r="F10955" s="3" t="n">
        <v>1400.83</v>
      </c>
      <c r="G10955" s="3" t="n">
        <v>-22820.55</v>
      </c>
    </row>
    <row r="10956">
      <c r="A10956" s="3" t="inlineStr">
        <is>
          <t>Opportunity Global Investment (PTY) LTD</t>
        </is>
      </c>
      <c r="B10956" s="4" t="n">
        <v>44834</v>
      </c>
      <c r="C10956" s="3" t="inlineStr">
        <is>
          <t>Liabilities</t>
        </is>
      </c>
      <c r="D10956" s="3" t="inlineStr">
        <is>
          <t>9000/000</t>
        </is>
      </c>
      <c r="E10956" s="3" t="inlineStr">
        <is>
          <t>Supplier Control Account</t>
        </is>
      </c>
      <c r="F10956" s="3" t="n">
        <v>-27263</v>
      </c>
      <c r="G10956" s="3" t="n">
        <v>-133511.1</v>
      </c>
    </row>
    <row r="10957">
      <c r="A10957" s="3" t="inlineStr">
        <is>
          <t>Opportunity Global Sales (PTY) LTD</t>
        </is>
      </c>
      <c r="B10957" s="4" t="n">
        <v>44834</v>
      </c>
      <c r="C10957" s="3" t="inlineStr">
        <is>
          <t>Liabilities</t>
        </is>
      </c>
      <c r="D10957" s="3" t="inlineStr">
        <is>
          <t>9000/000</t>
        </is>
      </c>
      <c r="E10957" s="3" t="inlineStr">
        <is>
          <t>Supplier Control Account</t>
        </is>
      </c>
      <c r="F10957" s="3" t="n">
        <v>-8651.1</v>
      </c>
      <c r="G10957" s="3" t="n">
        <v>-14775</v>
      </c>
    </row>
    <row r="10958">
      <c r="A10958" s="3" t="inlineStr">
        <is>
          <t>Opportunity Management Holdings (PTY) LTD</t>
        </is>
      </c>
      <c r="B10958" s="4" t="n">
        <v>44834</v>
      </c>
      <c r="C10958" s="3" t="inlineStr">
        <is>
          <t>Liabilities</t>
        </is>
      </c>
      <c r="D10958" s="3" t="inlineStr">
        <is>
          <t>9000/000</t>
        </is>
      </c>
      <c r="E10958" s="3" t="inlineStr">
        <is>
          <t>Supplier Control Account</t>
        </is>
      </c>
      <c r="F10958" s="3" t="n">
        <v>-13835.2</v>
      </c>
      <c r="G10958" s="3" t="n">
        <v>-280132.45</v>
      </c>
    </row>
    <row r="10959">
      <c r="A10959" s="3" t="inlineStr">
        <is>
          <t>Quinate Consulting (Pty) Ltd</t>
        </is>
      </c>
      <c r="B10959" s="4" t="n">
        <v>44834</v>
      </c>
      <c r="C10959" s="3" t="inlineStr">
        <is>
          <t>Liabilities</t>
        </is>
      </c>
      <c r="D10959" s="3" t="inlineStr">
        <is>
          <t>9000/000</t>
        </is>
      </c>
      <c r="E10959" s="3" t="inlineStr">
        <is>
          <t>Supplier Control Account</t>
        </is>
      </c>
      <c r="F10959" s="3" t="n">
        <v>30415.25</v>
      </c>
      <c r="G10959" s="3" t="n">
        <v>526035.6</v>
      </c>
    </row>
    <row r="10960">
      <c r="A10960" s="3" t="inlineStr">
        <is>
          <t>Trademark Holdings (Pty) Ltd</t>
        </is>
      </c>
      <c r="B10960" s="4" t="n">
        <v>44834</v>
      </c>
      <c r="C10960" s="3" t="inlineStr">
        <is>
          <t>Liabilities</t>
        </is>
      </c>
      <c r="D10960" s="3" t="inlineStr">
        <is>
          <t>9000/000</t>
        </is>
      </c>
      <c r="E10960" s="3" t="inlineStr">
        <is>
          <t>Supplier Control Account</t>
        </is>
      </c>
      <c r="F10960" s="3" t="n">
        <v>2201.76</v>
      </c>
      <c r="G10960" s="3" t="n">
        <v>-8303.07</v>
      </c>
    </row>
    <row r="10961">
      <c r="A10961" s="3" t="inlineStr">
        <is>
          <t>Quinate Consulting (Pty) Ltd</t>
        </is>
      </c>
      <c r="B10961" s="4" t="n">
        <v>44834</v>
      </c>
      <c r="C10961" s="3" t="inlineStr">
        <is>
          <t>Liabilities</t>
        </is>
      </c>
      <c r="D10961" s="3" t="inlineStr">
        <is>
          <t>9001</t>
        </is>
      </c>
      <c r="E10961" s="3" t="inlineStr">
        <is>
          <t>Supplier Control</t>
        </is>
      </c>
      <c r="F10961" s="3" t="n">
        <v>0</v>
      </c>
      <c r="G10961" s="3" t="n">
        <v>-347315.41</v>
      </c>
    </row>
    <row r="10962">
      <c r="A10962" s="3" t="inlineStr">
        <is>
          <t>Opportunity Management Holdings (PTY) LTD</t>
        </is>
      </c>
      <c r="B10962" s="4" t="n">
        <v>44834</v>
      </c>
      <c r="C10962" s="3" t="inlineStr">
        <is>
          <t>Liabilities</t>
        </is>
      </c>
      <c r="D10962" s="3" t="inlineStr">
        <is>
          <t>9100/000</t>
        </is>
      </c>
      <c r="E10962" s="3" t="inlineStr">
        <is>
          <t>PAYE/UIF/SDL Accrual - Prior Years ADJ</t>
        </is>
      </c>
      <c r="F10962" s="3" t="n">
        <v>5929.33</v>
      </c>
      <c r="G10962" s="3" t="n">
        <v>-33739.36</v>
      </c>
    </row>
    <row r="10963">
      <c r="A10963" s="3" t="inlineStr">
        <is>
          <t>Opportunity Management Holdings (PTY) LTD</t>
        </is>
      </c>
      <c r="B10963" s="4" t="n">
        <v>44834</v>
      </c>
      <c r="C10963" s="3" t="inlineStr">
        <is>
          <t>Assets</t>
        </is>
      </c>
      <c r="D10963" s="3" t="inlineStr">
        <is>
          <t>9110/000</t>
        </is>
      </c>
      <c r="E10963" s="3" t="inlineStr">
        <is>
          <t>Deposit Received</t>
        </is>
      </c>
      <c r="F10963" s="3" t="n">
        <v>0</v>
      </c>
      <c r="G10963" s="3" t="n">
        <v>-3852.5</v>
      </c>
    </row>
    <row r="10964">
      <c r="A10964" s="3" t="inlineStr">
        <is>
          <t>Opportunity Global Investment (PTY) LTD</t>
        </is>
      </c>
      <c r="B10964" s="4" t="n">
        <v>44834</v>
      </c>
      <c r="C10964" s="3" t="inlineStr">
        <is>
          <t>Liabilities</t>
        </is>
      </c>
      <c r="D10964" s="3" t="inlineStr">
        <is>
          <t>9110/000</t>
        </is>
      </c>
      <c r="E10964" s="3" t="inlineStr">
        <is>
          <t>Taxation B/S</t>
        </is>
      </c>
      <c r="F10964" s="3" t="n">
        <v>0</v>
      </c>
      <c r="G10964" s="3" t="n">
        <v>2150.09</v>
      </c>
    </row>
    <row r="10965">
      <c r="A10965" s="3" t="inlineStr">
        <is>
          <t>Noble Shield (Pty) Ltd ta Go Letting</t>
        </is>
      </c>
      <c r="B10965" s="4" t="n">
        <v>44834</v>
      </c>
      <c r="C10965" s="3" t="inlineStr">
        <is>
          <t>Liabilities</t>
        </is>
      </c>
      <c r="D10965" s="3" t="inlineStr">
        <is>
          <t>9250/010</t>
        </is>
      </c>
      <c r="E10965" s="3" t="inlineStr">
        <is>
          <t>SALARY CONTROL</t>
        </is>
      </c>
      <c r="F10965" s="3" t="n">
        <v>931.0599999999999</v>
      </c>
      <c r="G10965" s="3" t="n">
        <v>-16117.65</v>
      </c>
    </row>
    <row r="10966">
      <c r="A10966" s="3" t="inlineStr">
        <is>
          <t>Opportunity Global Sales (PTY) LTD</t>
        </is>
      </c>
      <c r="B10966" s="4" t="n">
        <v>44834</v>
      </c>
      <c r="C10966" s="3" t="inlineStr">
        <is>
          <t>Liabilities</t>
        </is>
      </c>
      <c r="D10966" s="3" t="inlineStr">
        <is>
          <t>9250/010</t>
        </is>
      </c>
      <c r="E10966" s="3" t="inlineStr">
        <is>
          <t>SALARY CONTROL</t>
        </is>
      </c>
      <c r="F10966" s="3" t="n">
        <v>0.01</v>
      </c>
      <c r="G10966" s="3" t="n">
        <v>0.02</v>
      </c>
    </row>
    <row r="10967">
      <c r="A10967" s="3" t="inlineStr">
        <is>
          <t>Trademark Holdings (Pty) Ltd</t>
        </is>
      </c>
      <c r="B10967" s="4" t="n">
        <v>44834</v>
      </c>
      <c r="C10967" s="3" t="inlineStr">
        <is>
          <t>Liabilities</t>
        </is>
      </c>
      <c r="D10967" s="3" t="inlineStr">
        <is>
          <t>9250/010</t>
        </is>
      </c>
      <c r="E10967" s="3" t="inlineStr">
        <is>
          <t>SALARY CONTROL</t>
        </is>
      </c>
      <c r="F10967" s="3" t="n">
        <v>-1286.15</v>
      </c>
      <c r="G10967" s="3" t="n">
        <v>-18827.05</v>
      </c>
    </row>
    <row r="10968">
      <c r="A10968" s="3" t="inlineStr">
        <is>
          <t>Noble Shield (Pty) Ltd ta Go Letting</t>
        </is>
      </c>
      <c r="B10968" s="4" t="n">
        <v>44834</v>
      </c>
      <c r="C10968" s="3" t="inlineStr">
        <is>
          <t>Liabilities</t>
        </is>
      </c>
      <c r="D10968" s="3" t="inlineStr">
        <is>
          <t>9250/020</t>
        </is>
      </c>
      <c r="E10968" s="3" t="inlineStr">
        <is>
          <t>PAYE, UIF AND SDL CONTROL</t>
        </is>
      </c>
      <c r="F10968" s="3" t="n">
        <v>489.71</v>
      </c>
      <c r="G10968" s="3" t="n">
        <v>-5443.36</v>
      </c>
    </row>
    <row r="10969">
      <c r="A10969" s="3" t="inlineStr">
        <is>
          <t>Opportunity Global Investment (PTY) LTD</t>
        </is>
      </c>
      <c r="B10969" s="4" t="n">
        <v>44834</v>
      </c>
      <c r="C10969" s="3" t="inlineStr">
        <is>
          <t>Liabilities</t>
        </is>
      </c>
      <c r="D10969" s="3" t="inlineStr">
        <is>
          <t>9250/020</t>
        </is>
      </c>
      <c r="E10969" s="3" t="inlineStr">
        <is>
          <t>PAYE, UIF AND SDL CONTROL</t>
        </is>
      </c>
      <c r="F10969" s="3" t="n">
        <v>-5346.3</v>
      </c>
      <c r="G10969" s="3" t="n">
        <v>-57514.72</v>
      </c>
    </row>
    <row r="10970">
      <c r="A10970" s="3" t="inlineStr">
        <is>
          <t>Opportunity Management Holdings (PTY) LTD</t>
        </is>
      </c>
      <c r="B10970" s="4" t="n">
        <v>44834</v>
      </c>
      <c r="C10970" s="3" t="inlineStr">
        <is>
          <t>Liabilities</t>
        </is>
      </c>
      <c r="D10970" s="3" t="inlineStr">
        <is>
          <t>9250/020</t>
        </is>
      </c>
      <c r="E10970" s="3" t="inlineStr">
        <is>
          <t>PAYE, UIF AND SDL CONTROL</t>
        </is>
      </c>
      <c r="F10970" s="3" t="n">
        <v>-6759.17</v>
      </c>
      <c r="G10970" s="3" t="n">
        <v>-52527.52</v>
      </c>
    </row>
    <row r="10971">
      <c r="A10971" s="3" t="inlineStr">
        <is>
          <t>Trademark Holdings (Pty) Ltd</t>
        </is>
      </c>
      <c r="B10971" s="4" t="n">
        <v>44834</v>
      </c>
      <c r="C10971" s="3" t="inlineStr">
        <is>
          <t>Liabilities</t>
        </is>
      </c>
      <c r="D10971" s="3" t="inlineStr">
        <is>
          <t>9250/020</t>
        </is>
      </c>
      <c r="E10971" s="3" t="inlineStr">
        <is>
          <t>PAYE, UIF AND SDL CONTROL</t>
        </is>
      </c>
      <c r="F10971" s="3" t="n">
        <v>-596.46</v>
      </c>
      <c r="G10971" s="3" t="n">
        <v>-5629.5</v>
      </c>
    </row>
    <row r="10972">
      <c r="A10972" s="3" t="inlineStr">
        <is>
          <t>Opportunity Global Investment (PTY) LTD</t>
        </is>
      </c>
      <c r="B10972" s="4" t="n">
        <v>44834</v>
      </c>
      <c r="C10972" s="3" t="inlineStr">
        <is>
          <t>Liabilities</t>
        </is>
      </c>
      <c r="D10972" s="3" t="inlineStr">
        <is>
          <t>9400/030</t>
        </is>
      </c>
      <c r="E10972" s="3" t="inlineStr">
        <is>
          <t>Accrued Expenses - PAYE_AND_UIF</t>
        </is>
      </c>
      <c r="F10972" s="3" t="n">
        <v>0</v>
      </c>
      <c r="G10972" s="3" t="n">
        <v>-2</v>
      </c>
    </row>
    <row r="10973">
      <c r="A10973" s="3" t="inlineStr">
        <is>
          <t>Trademark Holdings (Pty) Ltd</t>
        </is>
      </c>
      <c r="B10973" s="4" t="n">
        <v>44834</v>
      </c>
      <c r="C10973" s="3" t="inlineStr">
        <is>
          <t>Liabilities</t>
        </is>
      </c>
      <c r="D10973" s="3" t="inlineStr">
        <is>
          <t>9400/400</t>
        </is>
      </c>
      <c r="E10973" s="3" t="inlineStr">
        <is>
          <t>Deemed Dividend Tax</t>
        </is>
      </c>
      <c r="F10973" s="3" t="n">
        <v>0</v>
      </c>
      <c r="G10973" s="3" t="n">
        <v>-699.13</v>
      </c>
    </row>
    <row r="10974">
      <c r="A10974" s="3" t="inlineStr">
        <is>
          <t>Opportunity Global Investment (PTY) LTD</t>
        </is>
      </c>
      <c r="B10974" s="4" t="n">
        <v>44834</v>
      </c>
      <c r="C10974" s="3" t="inlineStr">
        <is>
          <t>Liabilities</t>
        </is>
      </c>
      <c r="D10974" s="3" t="inlineStr">
        <is>
          <t>9500/000</t>
        </is>
      </c>
      <c r="E10974" s="3" t="inlineStr">
        <is>
          <t>VAT Control Account</t>
        </is>
      </c>
      <c r="F10974" s="3" t="n">
        <v>44596.43</v>
      </c>
      <c r="G10974" s="3" t="n">
        <v>174210.73</v>
      </c>
    </row>
    <row r="10975">
      <c r="A10975" s="3" t="inlineStr">
        <is>
          <t>Opportunity Global Sales (PTY) LTD</t>
        </is>
      </c>
      <c r="B10975" s="4" t="n">
        <v>44834</v>
      </c>
      <c r="C10975" s="3" t="inlineStr">
        <is>
          <t>Liabilities</t>
        </is>
      </c>
      <c r="D10975" s="3" t="inlineStr">
        <is>
          <t>9500/000</t>
        </is>
      </c>
      <c r="E10975" s="3" t="inlineStr">
        <is>
          <t>VAT Control Account</t>
        </is>
      </c>
      <c r="F10975" s="3" t="n">
        <v>-37793.71</v>
      </c>
      <c r="G10975" s="3" t="n">
        <v>-245782.22</v>
      </c>
    </row>
    <row r="10976">
      <c r="A10976" s="3" t="inlineStr">
        <is>
          <t>Opportunity Management Holdings (PTY) LTD</t>
        </is>
      </c>
      <c r="B10976" s="4" t="n">
        <v>44834</v>
      </c>
      <c r="C10976" s="3" t="inlineStr">
        <is>
          <t>Liabilities</t>
        </is>
      </c>
      <c r="D10976" s="3" t="inlineStr">
        <is>
          <t>9500/000</t>
        </is>
      </c>
      <c r="E10976" s="3" t="inlineStr">
        <is>
          <t>VAT Control Account</t>
        </is>
      </c>
      <c r="F10976" s="3" t="n">
        <v>-48527.86</v>
      </c>
      <c r="G10976" s="3" t="n">
        <v>7073.99</v>
      </c>
    </row>
    <row r="10977">
      <c r="A10977" s="3" t="inlineStr">
        <is>
          <t>Endulini (Pty) Ltd</t>
        </is>
      </c>
      <c r="B10977" s="4" t="n">
        <v>44834</v>
      </c>
      <c r="C10977" s="3" t="inlineStr">
        <is>
          <t>Liabilities</t>
        </is>
      </c>
      <c r="D10977" s="3" t="inlineStr">
        <is>
          <t>9500/000</t>
        </is>
      </c>
      <c r="E10977" s="3" t="inlineStr">
        <is>
          <t>Vat / Tax Control Account</t>
        </is>
      </c>
      <c r="F10977" s="3" t="n">
        <v>-739697.79</v>
      </c>
      <c r="G10977" s="3" t="n">
        <v>-653190.28</v>
      </c>
    </row>
    <row r="10978">
      <c r="A10978" s="3" t="inlineStr">
        <is>
          <t>Quinate Consulting (Pty) Ltd</t>
        </is>
      </c>
      <c r="B10978" s="4" t="n">
        <v>44834</v>
      </c>
      <c r="C10978" s="3" t="inlineStr">
        <is>
          <t>Liabilities</t>
        </is>
      </c>
      <c r="D10978" s="3" t="inlineStr">
        <is>
          <t>9500/000</t>
        </is>
      </c>
      <c r="E10978" s="3" t="inlineStr">
        <is>
          <t>Vat Control Account</t>
        </is>
      </c>
      <c r="F10978" s="3" t="n">
        <v>142806.89</v>
      </c>
      <c r="G10978" s="3" t="n">
        <v>-2265020.87</v>
      </c>
    </row>
    <row r="10979">
      <c r="A10979" s="3" t="inlineStr">
        <is>
          <t>Opportunity Management Holdings (PTY) LTD</t>
        </is>
      </c>
      <c r="B10979" s="4" t="n">
        <v>44834</v>
      </c>
      <c r="C10979" s="3" t="inlineStr">
        <is>
          <t>Liabilities</t>
        </is>
      </c>
      <c r="D10979" s="3" t="inlineStr">
        <is>
          <t>9501/000</t>
        </is>
      </c>
      <c r="E10979" s="3" t="inlineStr">
        <is>
          <t>Vat Adjustments - C2M</t>
        </is>
      </c>
      <c r="F10979" s="3" t="n">
        <v>0</v>
      </c>
      <c r="G10979" s="3" t="n">
        <v>47274.04</v>
      </c>
    </row>
    <row r="10980">
      <c r="A10980" s="3" t="inlineStr">
        <is>
          <t>Endulini (Pty) Ltd</t>
        </is>
      </c>
      <c r="B10980" s="4" t="n">
        <v>44834</v>
      </c>
      <c r="C10980" s="3" t="inlineStr">
        <is>
          <t>Liabilities</t>
        </is>
      </c>
      <c r="D10980" s="3" t="inlineStr">
        <is>
          <t>9899/D103</t>
        </is>
      </c>
      <c r="E10980" s="3" t="inlineStr">
        <is>
          <t>Sales - Unit Reg Control D103</t>
        </is>
      </c>
      <c r="F10980" s="3" t="n">
        <v>-301095.89</v>
      </c>
      <c r="G10980" s="3" t="n">
        <v>0</v>
      </c>
    </row>
    <row r="10981">
      <c r="A10981" s="3" t="inlineStr">
        <is>
          <t>Quinate Consulting (Pty) Ltd</t>
        </is>
      </c>
      <c r="B10981" s="4" t="n">
        <v>44834</v>
      </c>
      <c r="C10981" s="3" t="inlineStr">
        <is>
          <t>Liabilities</t>
        </is>
      </c>
      <c r="D10981" s="3" t="inlineStr">
        <is>
          <t>9960/000</t>
        </is>
      </c>
      <c r="E10981" s="3" t="inlineStr">
        <is>
          <t>Deposits - Southwark Rentals</t>
        </is>
      </c>
      <c r="F10981" s="3" t="n">
        <v>0</v>
      </c>
      <c r="G10981" s="3" t="n">
        <v>-11500</v>
      </c>
    </row>
    <row r="10982">
      <c r="A10982" s="3" t="inlineStr">
        <is>
          <t>Noble Shield (Pty) Ltd ta Go Letting</t>
        </is>
      </c>
      <c r="B10982" s="4" t="n">
        <v>44834</v>
      </c>
      <c r="C10982" s="3" t="inlineStr">
        <is>
          <t>Expenses</t>
        </is>
      </c>
      <c r="D10982" s="3" t="inlineStr">
        <is>
          <t>ACB Link</t>
        </is>
      </c>
      <c r="E10982" s="3" t="inlineStr">
        <is>
          <t>Subscriptions - TPN</t>
        </is>
      </c>
      <c r="F10982" s="3" t="n">
        <v>2534.49</v>
      </c>
      <c r="G10982" s="3" t="n">
        <v>2534.49</v>
      </c>
    </row>
    <row r="10983">
      <c r="A10983" s="3" t="inlineStr">
        <is>
          <t>Noble Shield (Pty) Ltd ta Go Letting</t>
        </is>
      </c>
      <c r="B10983" s="4" t="n">
        <v>44834</v>
      </c>
      <c r="C10983" s="3" t="inlineStr">
        <is>
          <t>Liabilities</t>
        </is>
      </c>
      <c r="D10983" s="3" t="inlineStr">
        <is>
          <t>B/S</t>
        </is>
      </c>
      <c r="E10983" s="3" t="inlineStr">
        <is>
          <t>Tax Payable</t>
        </is>
      </c>
      <c r="F10983" s="3" t="n">
        <v>0</v>
      </c>
      <c r="G10983" s="3" t="n">
        <v>-5213.16</v>
      </c>
    </row>
    <row r="10984">
      <c r="A10984" s="3" t="inlineStr">
        <is>
          <t>Trademark Holdings (Pty) Ltd</t>
        </is>
      </c>
      <c r="B10984" s="4" t="n">
        <v>44834</v>
      </c>
      <c r="C10984" s="3" t="inlineStr">
        <is>
          <t>Liabilities</t>
        </is>
      </c>
      <c r="D10984" s="3" t="inlineStr">
        <is>
          <t>B/S</t>
        </is>
      </c>
      <c r="E10984" s="3" t="inlineStr">
        <is>
          <t>Taxation Payable</t>
        </is>
      </c>
      <c r="F10984" s="3" t="n">
        <v>0</v>
      </c>
      <c r="G10984" s="3" t="n">
        <v>-353.36</v>
      </c>
    </row>
    <row r="10985">
      <c r="A10985" s="3" t="inlineStr">
        <is>
          <t>Quinate Consulting (Pty) Ltd</t>
        </is>
      </c>
      <c r="B10985" s="4" t="n">
        <v>44834</v>
      </c>
      <c r="C10985" s="3" t="inlineStr">
        <is>
          <t>Liabilities</t>
        </is>
      </c>
      <c r="D10985" s="3" t="inlineStr">
        <is>
          <t xml:space="preserve">B/S </t>
        </is>
      </c>
      <c r="E10985" s="3" t="inlineStr">
        <is>
          <t>Taxation Payable</t>
        </is>
      </c>
      <c r="F10985" s="3" t="n">
        <v>0</v>
      </c>
      <c r="G10985" s="3" t="n">
        <v>-15486</v>
      </c>
    </row>
    <row r="10986">
      <c r="A10986" s="3" t="inlineStr">
        <is>
          <t>Quinate Consulting (Pty) Ltd</t>
        </is>
      </c>
      <c r="B10986" s="4" t="n">
        <v>44834</v>
      </c>
      <c r="C10986" s="3" t="inlineStr">
        <is>
          <t>Liabilities</t>
        </is>
      </c>
      <c r="D10986" s="3" t="inlineStr">
        <is>
          <t>FV</t>
        </is>
      </c>
      <c r="E10986" s="3" t="inlineStr">
        <is>
          <t>Loan - Cape Projects Constuction</t>
        </is>
      </c>
      <c r="F10986" s="3" t="n">
        <v>0</v>
      </c>
      <c r="G10986" s="3" t="n">
        <v>-2730000</v>
      </c>
    </row>
    <row r="10987">
      <c r="A10987" s="3" t="inlineStr">
        <is>
          <t>Quinate Consulting (Pty) Ltd</t>
        </is>
      </c>
      <c r="B10987" s="4" t="n">
        <v>44834</v>
      </c>
      <c r="C10987" s="3" t="inlineStr">
        <is>
          <t>Liabilities</t>
        </is>
      </c>
      <c r="D10987" s="3" t="inlineStr">
        <is>
          <t>Sharehold OppDev</t>
        </is>
      </c>
      <c r="E10987" s="3" t="inlineStr">
        <is>
          <t>Loan - Justine Morgan</t>
        </is>
      </c>
      <c r="F10987" s="3" t="n">
        <v>0</v>
      </c>
      <c r="G10987" s="3" t="n">
        <v>-563766.76</v>
      </c>
    </row>
    <row r="10988">
      <c r="A10988" s="3" t="inlineStr">
        <is>
          <t>Opportunity Global Investment (PTY) LTD</t>
        </is>
      </c>
      <c r="B10988" s="4" t="n">
        <v>44834</v>
      </c>
      <c r="C10988" s="3" t="inlineStr">
        <is>
          <t>Expenses</t>
        </is>
      </c>
      <c r="D10988" s="3" t="inlineStr">
        <is>
          <t>Swiftshutter</t>
        </is>
      </c>
      <c r="E10988" s="3" t="inlineStr">
        <is>
          <t>Advertising - Rousseau Lotter</t>
        </is>
      </c>
      <c r="F10988" s="3" t="n">
        <v>0</v>
      </c>
      <c r="G10988" s="3" t="n">
        <v>6600</v>
      </c>
    </row>
    <row r="10989">
      <c r="A10989" s="3" t="inlineStr">
        <is>
          <t>Opportunity Global Sales (PTY) LTD</t>
        </is>
      </c>
      <c r="B10989" s="4" t="n">
        <v>44865</v>
      </c>
      <c r="C10989" s="3" t="inlineStr">
        <is>
          <t>Revenue</t>
        </is>
      </c>
      <c r="D10989" s="3" t="inlineStr">
        <is>
          <t>1000/009</t>
        </is>
      </c>
      <c r="E10989" s="3" t="inlineStr">
        <is>
          <t>Sales - Comm on Payprop</t>
        </is>
      </c>
      <c r="F10989" s="3" t="n">
        <v>-1263.08</v>
      </c>
      <c r="G10989" s="3" t="n">
        <v>-21730.41</v>
      </c>
    </row>
    <row r="10990">
      <c r="A10990" s="3" t="inlineStr">
        <is>
          <t>Quinate Consulting (Pty) Ltd</t>
        </is>
      </c>
      <c r="B10990" s="4" t="n">
        <v>44865</v>
      </c>
      <c r="C10990" s="3" t="inlineStr">
        <is>
          <t>Revenue</t>
        </is>
      </c>
      <c r="D10990" s="3" t="inlineStr">
        <is>
          <t>1000/011</t>
        </is>
      </c>
      <c r="E10990" s="3" t="inlineStr">
        <is>
          <t>Rent Received - Soho Unit 23</t>
        </is>
      </c>
      <c r="F10990" s="3" t="n">
        <v>-12500</v>
      </c>
      <c r="G10990" s="3" t="n">
        <v>-100000</v>
      </c>
    </row>
    <row r="10991">
      <c r="A10991" s="3" t="inlineStr">
        <is>
          <t>Quinate Consulting (Pty) Ltd</t>
        </is>
      </c>
      <c r="B10991" s="4" t="n">
        <v>44865</v>
      </c>
      <c r="C10991" s="3" t="inlineStr">
        <is>
          <t>Revenue</t>
        </is>
      </c>
      <c r="D10991" s="3" t="inlineStr">
        <is>
          <t>1000/012</t>
        </is>
      </c>
      <c r="E10991" s="3" t="inlineStr">
        <is>
          <t>Rent Received - Soho Unit 24</t>
        </is>
      </c>
      <c r="F10991" s="3" t="n">
        <v>-14445</v>
      </c>
      <c r="G10991" s="3" t="n">
        <v>-111780</v>
      </c>
    </row>
    <row r="10992">
      <c r="A10992" s="3" t="inlineStr">
        <is>
          <t>Quinate Consulting (Pty) Ltd</t>
        </is>
      </c>
      <c r="B10992" s="4" t="n">
        <v>44865</v>
      </c>
      <c r="C10992" s="3" t="inlineStr">
        <is>
          <t>Revenue</t>
        </is>
      </c>
      <c r="D10992" s="3" t="inlineStr">
        <is>
          <t>1000/013</t>
        </is>
      </c>
      <c r="E10992" s="3" t="inlineStr">
        <is>
          <t>Rent Recieved - Soho Unit 20</t>
        </is>
      </c>
      <c r="F10992" s="3" t="n">
        <v>-12500</v>
      </c>
      <c r="G10992" s="3" t="n">
        <v>-100000</v>
      </c>
    </row>
    <row r="10993">
      <c r="A10993" s="3" t="inlineStr">
        <is>
          <t>Quinate Consulting (Pty) Ltd</t>
        </is>
      </c>
      <c r="B10993" s="4" t="n">
        <v>44865</v>
      </c>
      <c r="C10993" s="3" t="inlineStr">
        <is>
          <t>Revenue</t>
        </is>
      </c>
      <c r="D10993" s="3" t="inlineStr">
        <is>
          <t>1000/015</t>
        </is>
      </c>
      <c r="E10993" s="3" t="inlineStr">
        <is>
          <t>Rent Received - Southwark Unit 1</t>
        </is>
      </c>
      <c r="F10993" s="3" t="n">
        <v>0</v>
      </c>
      <c r="G10993" s="3" t="n">
        <v>-20000</v>
      </c>
    </row>
    <row r="10994">
      <c r="A10994" s="3" t="inlineStr">
        <is>
          <t>Quinate Consulting (Pty) Ltd</t>
        </is>
      </c>
      <c r="B10994" s="4" t="n">
        <v>44865</v>
      </c>
      <c r="C10994" s="3" t="inlineStr">
        <is>
          <t>Revenue</t>
        </is>
      </c>
      <c r="D10994" s="3" t="inlineStr">
        <is>
          <t>1000/016</t>
        </is>
      </c>
      <c r="E10994" s="3" t="inlineStr">
        <is>
          <t>Rent Recieved - Southwark Unit 21</t>
        </is>
      </c>
      <c r="F10994" s="3" t="n">
        <v>-10000</v>
      </c>
      <c r="G10994" s="3" t="n">
        <v>-80000</v>
      </c>
    </row>
    <row r="10995">
      <c r="A10995" s="3" t="inlineStr">
        <is>
          <t>Opportunity Global Sales (PTY) LTD</t>
        </is>
      </c>
      <c r="B10995" s="4" t="n">
        <v>44865</v>
      </c>
      <c r="C10995" s="3" t="inlineStr">
        <is>
          <t>Revenue</t>
        </is>
      </c>
      <c r="D10995" s="3" t="inlineStr">
        <is>
          <t>1000/100</t>
        </is>
      </c>
      <c r="E10995" s="3" t="inlineStr">
        <is>
          <t>Sales - Comm on External Sales</t>
        </is>
      </c>
      <c r="F10995" s="3" t="n">
        <v>0</v>
      </c>
      <c r="G10995" s="3" t="n">
        <v>-96165.22</v>
      </c>
    </row>
    <row r="10996">
      <c r="A10996" s="3" t="inlineStr">
        <is>
          <t>Noble Shield (Pty) Ltd ta Go Letting</t>
        </is>
      </c>
      <c r="B10996" s="4" t="n">
        <v>44865</v>
      </c>
      <c r="C10996" s="3" t="inlineStr">
        <is>
          <t>Revenue</t>
        </is>
      </c>
      <c r="D10996" s="3" t="inlineStr">
        <is>
          <t>1000/100</t>
        </is>
      </c>
      <c r="E10996" s="3" t="inlineStr">
        <is>
          <t>Sales - Payprop 328 - Michelle</t>
        </is>
      </c>
      <c r="F10996" s="3" t="n">
        <v>-75407.11</v>
      </c>
      <c r="G10996" s="3" t="n">
        <v>-147193.44</v>
      </c>
    </row>
    <row r="10997">
      <c r="A10997" s="3" t="inlineStr">
        <is>
          <t>Opportunity Global Sales (PTY) LTD</t>
        </is>
      </c>
      <c r="B10997" s="4" t="n">
        <v>44865</v>
      </c>
      <c r="C10997" s="3" t="inlineStr">
        <is>
          <t>Revenue</t>
        </is>
      </c>
      <c r="D10997" s="3" t="inlineStr">
        <is>
          <t>1000/120</t>
        </is>
      </c>
      <c r="E10997" s="3" t="inlineStr">
        <is>
          <t>Sales - Admin Fees on Rental Units</t>
        </is>
      </c>
      <c r="F10997" s="3" t="n">
        <v>-1304.34</v>
      </c>
      <c r="G10997" s="3" t="n">
        <v>-16217.34</v>
      </c>
    </row>
    <row r="10998">
      <c r="A10998" s="3" t="inlineStr">
        <is>
          <t>Opportunity Global Sales (PTY) LTD</t>
        </is>
      </c>
      <c r="B10998" s="4" t="n">
        <v>44865</v>
      </c>
      <c r="C10998" s="3" t="inlineStr">
        <is>
          <t>Revenue</t>
        </is>
      </c>
      <c r="D10998" s="3" t="inlineStr">
        <is>
          <t>1000/150</t>
        </is>
      </c>
      <c r="E10998" s="3" t="inlineStr">
        <is>
          <t>Sales - Comm on External Rental</t>
        </is>
      </c>
      <c r="F10998" s="3" t="n">
        <v>-42000</v>
      </c>
      <c r="G10998" s="3" t="n">
        <v>-180452.17</v>
      </c>
    </row>
    <row r="10999">
      <c r="A10999" s="3" t="inlineStr">
        <is>
          <t>Opportunity Global Sales (PTY) LTD</t>
        </is>
      </c>
      <c r="B10999" s="4" t="n">
        <v>44865</v>
      </c>
      <c r="C10999" s="3" t="inlineStr">
        <is>
          <t>Revenue</t>
        </is>
      </c>
      <c r="D10999" s="3" t="inlineStr">
        <is>
          <t>1000/250</t>
        </is>
      </c>
      <c r="E10999" s="3" t="inlineStr">
        <is>
          <t>Sales - Comm on Endulini</t>
        </is>
      </c>
      <c r="F10999" s="3" t="n">
        <v>-614052.1800000001</v>
      </c>
      <c r="G10999" s="3" t="n">
        <v>-2192781.31</v>
      </c>
    </row>
    <row r="11000">
      <c r="A11000" s="3" t="inlineStr">
        <is>
          <t>Trademark Holdings (Pty) Ltd</t>
        </is>
      </c>
      <c r="B11000" s="4" t="n">
        <v>44865</v>
      </c>
      <c r="C11000" s="3" t="inlineStr">
        <is>
          <t>Revenue</t>
        </is>
      </c>
      <c r="D11000" s="3" t="inlineStr">
        <is>
          <t>1000/300</t>
        </is>
      </c>
      <c r="E11000" s="3" t="inlineStr">
        <is>
          <t>Sales - Payprop - Lara</t>
        </is>
      </c>
      <c r="F11000" s="3" t="n">
        <v>-76640.61</v>
      </c>
      <c r="G11000" s="3" t="n">
        <v>-164426.26</v>
      </c>
    </row>
    <row r="11001">
      <c r="A11001" s="3" t="inlineStr">
        <is>
          <t>Opportunity Global Investment (PTY) LTD</t>
        </is>
      </c>
      <c r="B11001" s="4" t="n">
        <v>44865</v>
      </c>
      <c r="C11001" s="3" t="inlineStr">
        <is>
          <t>Revenue</t>
        </is>
      </c>
      <c r="D11001" s="3" t="inlineStr">
        <is>
          <t>1000/350</t>
        </is>
      </c>
      <c r="E11001" s="3" t="inlineStr">
        <is>
          <t>Sales - Investor Management - Heron Fields</t>
        </is>
      </c>
      <c r="F11001" s="3" t="n">
        <v>0</v>
      </c>
      <c r="G11001" s="3" t="n">
        <v>-1152654.46</v>
      </c>
    </row>
    <row r="11002">
      <c r="A11002" s="3" t="inlineStr">
        <is>
          <t>Trademark Holdings (Pty) Ltd</t>
        </is>
      </c>
      <c r="B11002" s="4" t="n">
        <v>44865</v>
      </c>
      <c r="C11002" s="3" t="inlineStr">
        <is>
          <t>Revenue</t>
        </is>
      </c>
      <c r="D11002" s="3" t="inlineStr">
        <is>
          <t>1000/500</t>
        </is>
      </c>
      <c r="E11002" s="3" t="inlineStr">
        <is>
          <t>Sales - Commission external sale</t>
        </is>
      </c>
      <c r="F11002" s="3" t="n">
        <v>-40000</v>
      </c>
      <c r="G11002" s="3" t="n">
        <v>-40000</v>
      </c>
    </row>
    <row r="11003">
      <c r="A11003" s="3" t="inlineStr">
        <is>
          <t>Opportunity Global Sales (PTY) LTD</t>
        </is>
      </c>
      <c r="B11003" s="4" t="n">
        <v>44865</v>
      </c>
      <c r="C11003" s="3" t="inlineStr">
        <is>
          <t>Revenue</t>
        </is>
      </c>
      <c r="D11003" s="3" t="inlineStr">
        <is>
          <t>1000/902</t>
        </is>
      </c>
      <c r="E11003" s="3" t="inlineStr">
        <is>
          <t>Sales - Credit check</t>
        </is>
      </c>
      <c r="F11003" s="3" t="n">
        <v>0</v>
      </c>
      <c r="G11003" s="3" t="n">
        <v>-60.87</v>
      </c>
    </row>
    <row r="11004">
      <c r="A11004" s="3" t="inlineStr">
        <is>
          <t>Quinate Consulting (Pty) Ltd</t>
        </is>
      </c>
      <c r="B11004" s="4" t="n">
        <v>44865</v>
      </c>
      <c r="C11004" s="3" t="inlineStr">
        <is>
          <t>Revenue</t>
        </is>
      </c>
      <c r="D11004" s="3" t="inlineStr">
        <is>
          <t>1004/000</t>
        </is>
      </c>
      <c r="E11004" s="3" t="inlineStr">
        <is>
          <t>Interest received</t>
        </is>
      </c>
      <c r="F11004" s="3" t="n">
        <v>-602.6799999999999</v>
      </c>
      <c r="G11004" s="3" t="n">
        <v>-3475.36</v>
      </c>
    </row>
    <row r="11005">
      <c r="A11005" s="3" t="inlineStr">
        <is>
          <t>Quinate Consulting (Pty) Ltd</t>
        </is>
      </c>
      <c r="B11005" s="4" t="n">
        <v>44865</v>
      </c>
      <c r="C11005" s="3" t="inlineStr">
        <is>
          <t>Revenue</t>
        </is>
      </c>
      <c r="D11005" s="3" t="inlineStr">
        <is>
          <t>1006/100</t>
        </is>
      </c>
      <c r="E11005" s="3" t="inlineStr">
        <is>
          <t>Rental income - Payprop</t>
        </is>
      </c>
      <c r="F11005" s="3" t="n">
        <v>-18468.25</v>
      </c>
      <c r="G11005" s="3" t="n">
        <v>-23268.25</v>
      </c>
    </row>
    <row r="11006">
      <c r="A11006" s="3" t="inlineStr">
        <is>
          <t>Endulini (Pty) Ltd</t>
        </is>
      </c>
      <c r="B11006" s="4" t="n">
        <v>44865</v>
      </c>
      <c r="C11006" s="3" t="inlineStr">
        <is>
          <t>Revenue</t>
        </is>
      </c>
      <c r="D11006" s="3" t="inlineStr">
        <is>
          <t>1100/000</t>
        </is>
      </c>
      <c r="E11006" s="3" t="inlineStr">
        <is>
          <t>Sales - Endulini</t>
        </is>
      </c>
      <c r="F11006" s="3" t="n">
        <v>-10876782.61</v>
      </c>
      <c r="G11006" s="3" t="n">
        <v>-44576722.94</v>
      </c>
    </row>
    <row r="11007">
      <c r="A11007" s="3" t="inlineStr">
        <is>
          <t>Opportunity Management Holdings (PTY) LTD</t>
        </is>
      </c>
      <c r="B11007" s="4" t="n">
        <v>44865</v>
      </c>
      <c r="C11007" s="3" t="inlineStr">
        <is>
          <t>Revenue</t>
        </is>
      </c>
      <c r="D11007" s="3" t="inlineStr">
        <is>
          <t>1100/001</t>
        </is>
      </c>
      <c r="E11007" s="3" t="inlineStr">
        <is>
          <t>Salary Recharges</t>
        </is>
      </c>
      <c r="F11007" s="3" t="n">
        <v>-378500</v>
      </c>
      <c r="G11007" s="3" t="n">
        <v>-757000</v>
      </c>
    </row>
    <row r="11008">
      <c r="A11008" s="3" t="inlineStr">
        <is>
          <t>Endulini (Pty) Ltd</t>
        </is>
      </c>
      <c r="B11008" s="4" t="n">
        <v>44865</v>
      </c>
      <c r="C11008" s="3" t="inlineStr">
        <is>
          <t>Revenue</t>
        </is>
      </c>
      <c r="D11008" s="3" t="inlineStr">
        <is>
          <t>1100/100</t>
        </is>
      </c>
      <c r="E11008" s="3" t="inlineStr">
        <is>
          <t>Sales - Endulini - Exstras</t>
        </is>
      </c>
      <c r="F11008" s="3" t="n">
        <v>0</v>
      </c>
      <c r="G11008" s="3" t="n">
        <v>-8030</v>
      </c>
    </row>
    <row r="11009">
      <c r="A11009" s="3" t="inlineStr">
        <is>
          <t>Endulini (Pty) Ltd</t>
        </is>
      </c>
      <c r="B11009" s="4" t="n">
        <v>44865</v>
      </c>
      <c r="C11009" s="3" t="inlineStr">
        <is>
          <t>Revenue</t>
        </is>
      </c>
      <c r="D11009" s="3" t="inlineStr">
        <is>
          <t>1100/150</t>
        </is>
      </c>
      <c r="E11009" s="3" t="inlineStr">
        <is>
          <t>Sales - Endulini - Extras admin fee</t>
        </is>
      </c>
      <c r="F11009" s="3" t="n">
        <v>0</v>
      </c>
      <c r="G11009" s="3" t="n">
        <v>-2000</v>
      </c>
    </row>
    <row r="11010">
      <c r="A11010" s="3" t="inlineStr">
        <is>
          <t>Endulini (Pty) Ltd</t>
        </is>
      </c>
      <c r="B11010" s="4" t="n">
        <v>44865</v>
      </c>
      <c r="C11010" s="3" t="inlineStr">
        <is>
          <t>Revenue</t>
        </is>
      </c>
      <c r="D11010" s="3" t="inlineStr">
        <is>
          <t>1100/200</t>
        </is>
      </c>
      <c r="E11010" s="3" t="inlineStr">
        <is>
          <t>Sales - Endulini occupational rent</t>
        </is>
      </c>
      <c r="F11010" s="3" t="n">
        <v>-14653.27</v>
      </c>
      <c r="G11010" s="3" t="n">
        <v>-162762.69</v>
      </c>
    </row>
    <row r="11011">
      <c r="A11011" s="3" t="inlineStr">
        <is>
          <t>Endulini (Pty) Ltd</t>
        </is>
      </c>
      <c r="B11011" s="4" t="n">
        <v>44865</v>
      </c>
      <c r="C11011" s="3" t="inlineStr">
        <is>
          <t>Revenue</t>
        </is>
      </c>
      <c r="D11011" s="3" t="inlineStr">
        <is>
          <t>1500/001</t>
        </is>
      </c>
      <c r="E11011" s="3" t="inlineStr">
        <is>
          <t>Revaluation of Land</t>
        </is>
      </c>
      <c r="F11011" s="3" t="n">
        <v>6084085.78</v>
      </c>
      <c r="G11011" s="3" t="n">
        <v>6084085.78</v>
      </c>
    </row>
    <row r="11012">
      <c r="A11012" s="3" t="inlineStr">
        <is>
          <t>Endulini (Pty) Ltd</t>
        </is>
      </c>
      <c r="B11012" s="4" t="n">
        <v>44865</v>
      </c>
      <c r="C11012" s="3" t="inlineStr">
        <is>
          <t>Expenses</t>
        </is>
      </c>
      <c r="D11012" s="3" t="inlineStr">
        <is>
          <t>2000/001</t>
        </is>
      </c>
      <c r="E11012" s="3" t="inlineStr">
        <is>
          <t>COS - CIP Construction</t>
        </is>
      </c>
      <c r="F11012" s="3" t="n">
        <v>0</v>
      </c>
      <c r="G11012" s="3" t="n">
        <v>28155981.9</v>
      </c>
    </row>
    <row r="11013">
      <c r="A11013" s="3" t="inlineStr">
        <is>
          <t>Opportunity Global Sales (PTY) LTD</t>
        </is>
      </c>
      <c r="B11013" s="4" t="n">
        <v>44865</v>
      </c>
      <c r="C11013" s="3" t="inlineStr">
        <is>
          <t>Expenses</t>
        </is>
      </c>
      <c r="D11013" s="3" t="inlineStr">
        <is>
          <t>2000/010</t>
        </is>
      </c>
      <c r="E11013" s="3" t="inlineStr">
        <is>
          <t>COS - PAYE on Commission</t>
        </is>
      </c>
      <c r="F11013" s="3" t="n">
        <v>53884.28</v>
      </c>
      <c r="G11013" s="3" t="n">
        <v>90714.78</v>
      </c>
    </row>
    <row r="11014">
      <c r="A11014" s="3" t="inlineStr">
        <is>
          <t>Endulini (Pty) Ltd</t>
        </is>
      </c>
      <c r="B11014" s="4" t="n">
        <v>44865</v>
      </c>
      <c r="C11014" s="3" t="inlineStr">
        <is>
          <t>Expenses</t>
        </is>
      </c>
      <c r="D11014" s="3" t="inlineStr">
        <is>
          <t>2000/100</t>
        </is>
      </c>
      <c r="E11014" s="3" t="inlineStr">
        <is>
          <t>COS - Commission Endulini</t>
        </is>
      </c>
      <c r="F11014" s="3" t="n">
        <v>614052.1800000001</v>
      </c>
      <c r="G11014" s="3" t="n">
        <v>2526781.31</v>
      </c>
    </row>
    <row r="11015">
      <c r="A11015" s="3" t="inlineStr">
        <is>
          <t>Noble Shield (Pty) Ltd ta Go Letting</t>
        </is>
      </c>
      <c r="B11015" s="4" t="n">
        <v>44865</v>
      </c>
      <c r="C11015" s="3" t="inlineStr">
        <is>
          <t>Expenses</t>
        </is>
      </c>
      <c r="D11015" s="3" t="inlineStr">
        <is>
          <t>2000/100</t>
        </is>
      </c>
      <c r="E11015" s="3" t="inlineStr">
        <is>
          <t>COS - Commission Paid</t>
        </is>
      </c>
      <c r="F11015" s="3" t="n">
        <v>13892.11</v>
      </c>
      <c r="G11015" s="3" t="n">
        <v>117315.01</v>
      </c>
    </row>
    <row r="11016">
      <c r="A11016" s="3" t="inlineStr">
        <is>
          <t>Opportunity Global Investment (PTY) LTD</t>
        </is>
      </c>
      <c r="B11016" s="4" t="n">
        <v>44865</v>
      </c>
      <c r="C11016" s="3" t="inlineStr">
        <is>
          <t>Expenses</t>
        </is>
      </c>
      <c r="D11016" s="3" t="inlineStr">
        <is>
          <t>2000/125</t>
        </is>
      </c>
      <c r="E11016" s="3" t="inlineStr">
        <is>
          <t>Referral commission - Endulini</t>
        </is>
      </c>
      <c r="F11016" s="3" t="n">
        <v>0</v>
      </c>
      <c r="G11016" s="3" t="n">
        <v>19000</v>
      </c>
    </row>
    <row r="11017">
      <c r="A11017" s="3" t="inlineStr">
        <is>
          <t>Opportunity Global Sales (PTY) LTD</t>
        </is>
      </c>
      <c r="B11017" s="4" t="n">
        <v>44865</v>
      </c>
      <c r="C11017" s="3" t="inlineStr">
        <is>
          <t>Expenses</t>
        </is>
      </c>
      <c r="D11017" s="3" t="inlineStr">
        <is>
          <t>2000/131</t>
        </is>
      </c>
      <c r="E11017" s="3" t="inlineStr">
        <is>
          <t>COS - Sales Comm Endulini - Anthony</t>
        </is>
      </c>
      <c r="F11017" s="3" t="n">
        <v>0</v>
      </c>
      <c r="G11017" s="3" t="n">
        <v>62272.01</v>
      </c>
    </row>
    <row r="11018">
      <c r="A11018" s="3" t="inlineStr">
        <is>
          <t>Opportunity Global Sales (PTY) LTD</t>
        </is>
      </c>
      <c r="B11018" s="4" t="n">
        <v>44865</v>
      </c>
      <c r="C11018" s="3" t="inlineStr">
        <is>
          <t>Expenses</t>
        </is>
      </c>
      <c r="D11018" s="3" t="inlineStr">
        <is>
          <t>2000/132</t>
        </is>
      </c>
      <c r="E11018" s="3" t="inlineStr">
        <is>
          <t>COS - Sales Comm Endulini - Minette</t>
        </is>
      </c>
      <c r="F11018" s="3" t="n">
        <v>102182.96</v>
      </c>
      <c r="G11018" s="3" t="n">
        <v>368391.87</v>
      </c>
    </row>
    <row r="11019">
      <c r="A11019" s="3" t="inlineStr">
        <is>
          <t>Opportunity Global Sales (PTY) LTD</t>
        </is>
      </c>
      <c r="B11019" s="4" t="n">
        <v>44865</v>
      </c>
      <c r="C11019" s="3" t="inlineStr">
        <is>
          <t>Expenses</t>
        </is>
      </c>
      <c r="D11019" s="3" t="inlineStr">
        <is>
          <t>2000/133</t>
        </is>
      </c>
      <c r="E11019" s="3" t="inlineStr">
        <is>
          <t>COS - Sales Comm Endulini - External Agents</t>
        </is>
      </c>
      <c r="F11019" s="3" t="n">
        <v>0</v>
      </c>
      <c r="G11019" s="3" t="n">
        <v>9966</v>
      </c>
    </row>
    <row r="11020">
      <c r="A11020" s="3" t="inlineStr">
        <is>
          <t>Opportunity Global Sales (PTY) LTD</t>
        </is>
      </c>
      <c r="B11020" s="4" t="n">
        <v>44865</v>
      </c>
      <c r="C11020" s="3" t="inlineStr">
        <is>
          <t>Expenses</t>
        </is>
      </c>
      <c r="D11020" s="3" t="inlineStr">
        <is>
          <t>2000/135</t>
        </is>
      </c>
      <c r="E11020" s="3" t="inlineStr">
        <is>
          <t>COS - Sales Comm External - Minette</t>
        </is>
      </c>
      <c r="F11020" s="3" t="n">
        <v>17703.91</v>
      </c>
      <c r="G11020" s="3" t="n">
        <v>59126.45</v>
      </c>
    </row>
    <row r="11021">
      <c r="A11021" s="3" t="inlineStr">
        <is>
          <t>Opportunity Global Investment (PTY) LTD</t>
        </is>
      </c>
      <c r="B11021" s="4" t="n">
        <v>44865</v>
      </c>
      <c r="C11021" s="3" t="inlineStr">
        <is>
          <t>Expenses</t>
        </is>
      </c>
      <c r="D11021" s="3" t="inlineStr">
        <is>
          <t>2000/135</t>
        </is>
      </c>
      <c r="E11021" s="3" t="inlineStr">
        <is>
          <t>Referral commission - Heron View</t>
        </is>
      </c>
      <c r="F11021" s="3" t="n">
        <v>10000</v>
      </c>
      <c r="G11021" s="3" t="n">
        <v>144000</v>
      </c>
    </row>
    <row r="11022">
      <c r="A11022" s="3" t="inlineStr">
        <is>
          <t>Opportunity Global Sales (PTY) LTD</t>
        </is>
      </c>
      <c r="B11022" s="4" t="n">
        <v>44865</v>
      </c>
      <c r="C11022" s="3" t="inlineStr">
        <is>
          <t>Expenses</t>
        </is>
      </c>
      <c r="D11022" s="3" t="inlineStr">
        <is>
          <t>2000/137</t>
        </is>
      </c>
      <c r="E11022" s="3" t="inlineStr">
        <is>
          <t>COS - Rental Comm External - Minette</t>
        </is>
      </c>
      <c r="F11022" s="3" t="n">
        <v>0</v>
      </c>
      <c r="G11022" s="3" t="n">
        <v>63878.05</v>
      </c>
    </row>
    <row r="11023">
      <c r="A11023" s="3" t="inlineStr">
        <is>
          <t>Opportunity Global Sales (PTY) LTD</t>
        </is>
      </c>
      <c r="B11023" s="4" t="n">
        <v>44865</v>
      </c>
      <c r="C11023" s="3" t="inlineStr">
        <is>
          <t>Expenses</t>
        </is>
      </c>
      <c r="D11023" s="3" t="inlineStr">
        <is>
          <t>2000/139</t>
        </is>
      </c>
      <c r="E11023" s="3" t="inlineStr">
        <is>
          <t>COS - Sales Comm Heron Fields - Minette</t>
        </is>
      </c>
      <c r="F11023" s="3" t="n">
        <v>0</v>
      </c>
      <c r="G11023" s="3" t="n">
        <v>202684.47</v>
      </c>
    </row>
    <row r="11024">
      <c r="A11024" s="3" t="inlineStr">
        <is>
          <t>Opportunity Global Investment (PTY) LTD</t>
        </is>
      </c>
      <c r="B11024" s="4" t="n">
        <v>44865</v>
      </c>
      <c r="C11024" s="3" t="inlineStr">
        <is>
          <t>Expenses</t>
        </is>
      </c>
      <c r="D11024" s="3" t="inlineStr">
        <is>
          <t>2000/140</t>
        </is>
      </c>
      <c r="E11024" s="3" t="inlineStr">
        <is>
          <t>Referral commission - F Geldenhuys</t>
        </is>
      </c>
      <c r="F11024" s="3" t="n">
        <v>0</v>
      </c>
      <c r="G11024" s="3" t="n">
        <v>53400</v>
      </c>
    </row>
    <row r="11025">
      <c r="A11025" s="3" t="inlineStr">
        <is>
          <t>Opportunity Global Sales (PTY) LTD</t>
        </is>
      </c>
      <c r="B11025" s="4" t="n">
        <v>44865</v>
      </c>
      <c r="C11025" s="3" t="inlineStr">
        <is>
          <t>Expenses</t>
        </is>
      </c>
      <c r="D11025" s="3" t="inlineStr">
        <is>
          <t>2000/143</t>
        </is>
      </c>
      <c r="E11025" s="3" t="inlineStr">
        <is>
          <t>COS - Sales Comm Endulini - Yvette</t>
        </is>
      </c>
      <c r="F11025" s="3" t="n">
        <v>0</v>
      </c>
      <c r="G11025" s="3" t="n">
        <v>22102.92</v>
      </c>
    </row>
    <row r="11026">
      <c r="A11026" s="3" t="inlineStr">
        <is>
          <t>Opportunity Global Investment (PTY) LTD</t>
        </is>
      </c>
      <c r="B11026" s="4" t="n">
        <v>44865</v>
      </c>
      <c r="C11026" s="3" t="inlineStr">
        <is>
          <t>Expenses</t>
        </is>
      </c>
      <c r="D11026" s="3" t="inlineStr">
        <is>
          <t>2000/145</t>
        </is>
      </c>
      <c r="E11026" s="3" t="inlineStr">
        <is>
          <t>Referral commission - W Thomason</t>
        </is>
      </c>
      <c r="F11026" s="3" t="n">
        <v>0</v>
      </c>
      <c r="G11026" s="3" t="n">
        <v>36000</v>
      </c>
    </row>
    <row r="11027">
      <c r="A11027" s="3" t="inlineStr">
        <is>
          <t>Opportunity Global Sales (PTY) LTD</t>
        </is>
      </c>
      <c r="B11027" s="4" t="n">
        <v>44865</v>
      </c>
      <c r="C11027" s="3" t="inlineStr">
        <is>
          <t>Expenses</t>
        </is>
      </c>
      <c r="D11027" s="3" t="inlineStr">
        <is>
          <t>2000/147</t>
        </is>
      </c>
      <c r="E11027" s="3" t="inlineStr">
        <is>
          <t>COS - Sales Comm Heron Fields - Yvette</t>
        </is>
      </c>
      <c r="F11027" s="3" t="n">
        <v>11407.98</v>
      </c>
      <c r="G11027" s="3" t="n">
        <v>22851.61</v>
      </c>
    </row>
    <row r="11028">
      <c r="A11028" s="3" t="inlineStr">
        <is>
          <t>Endulini (Pty) Ltd</t>
        </is>
      </c>
      <c r="B11028" s="4" t="n">
        <v>44865</v>
      </c>
      <c r="C11028" s="3" t="inlineStr">
        <is>
          <t>Expenses</t>
        </is>
      </c>
      <c r="D11028" s="3" t="inlineStr">
        <is>
          <t>2000/150</t>
        </is>
      </c>
      <c r="E11028" s="3" t="inlineStr">
        <is>
          <t>COS - Levies special agreement</t>
        </is>
      </c>
      <c r="F11028" s="3" t="n">
        <v>3424.1</v>
      </c>
      <c r="G11028" s="3" t="n">
        <v>3424.1</v>
      </c>
    </row>
    <row r="11029">
      <c r="A11029" s="3" t="inlineStr">
        <is>
          <t>Trademark Holdings (Pty) Ltd</t>
        </is>
      </c>
      <c r="B11029" s="4" t="n">
        <v>44865</v>
      </c>
      <c r="C11029" s="3" t="inlineStr">
        <is>
          <t>Expenses</t>
        </is>
      </c>
      <c r="D11029" s="3" t="inlineStr">
        <is>
          <t>2000/300</t>
        </is>
      </c>
      <c r="E11029" s="3" t="inlineStr">
        <is>
          <t>COS - Commission Paid</t>
        </is>
      </c>
      <c r="F11029" s="3" t="n">
        <v>14285.23</v>
      </c>
      <c r="G11029" s="3" t="n">
        <v>30207.53</v>
      </c>
    </row>
    <row r="11030">
      <c r="A11030" s="3" t="inlineStr">
        <is>
          <t>Opportunity Global Sales (PTY) LTD</t>
        </is>
      </c>
      <c r="B11030" s="4" t="n">
        <v>44865</v>
      </c>
      <c r="C11030" s="3" t="inlineStr">
        <is>
          <t>Expenses</t>
        </is>
      </c>
      <c r="D11030" s="3" t="inlineStr">
        <is>
          <t>2000/350</t>
        </is>
      </c>
      <c r="E11030" s="3" t="inlineStr">
        <is>
          <t>COS - Overrider Comm Endulini - Donovan</t>
        </is>
      </c>
      <c r="F11030" s="3" t="n">
        <v>0</v>
      </c>
      <c r="G11030" s="3" t="n">
        <v>74207.21000000001</v>
      </c>
    </row>
    <row r="11031">
      <c r="A11031" s="3" t="inlineStr">
        <is>
          <t>Opportunity Global Sales (PTY) LTD</t>
        </is>
      </c>
      <c r="B11031" s="4" t="n">
        <v>44865</v>
      </c>
      <c r="C11031" s="3" t="inlineStr">
        <is>
          <t>Expenses</t>
        </is>
      </c>
      <c r="D11031" s="3" t="inlineStr">
        <is>
          <t>2000/351</t>
        </is>
      </c>
      <c r="E11031" s="3" t="inlineStr">
        <is>
          <t>COS - Overrider Comm External - Donovan</t>
        </is>
      </c>
      <c r="F11031" s="3" t="n">
        <v>0</v>
      </c>
      <c r="G11031" s="3" t="n">
        <v>7030.44</v>
      </c>
    </row>
    <row r="11032">
      <c r="A11032" s="3" t="inlineStr">
        <is>
          <t>Opportunity Global Sales (PTY) LTD</t>
        </is>
      </c>
      <c r="B11032" s="4" t="n">
        <v>44865</v>
      </c>
      <c r="C11032" s="3" t="inlineStr">
        <is>
          <t>Expenses</t>
        </is>
      </c>
      <c r="D11032" s="3" t="inlineStr">
        <is>
          <t>2000/370</t>
        </is>
      </c>
      <c r="E11032" s="3" t="inlineStr">
        <is>
          <t>COS - Overrider Comm Endulini - Morne</t>
        </is>
      </c>
      <c r="F11032" s="3" t="n">
        <v>12272.54</v>
      </c>
      <c r="G11032" s="3" t="n">
        <v>24541.83</v>
      </c>
    </row>
    <row r="11033">
      <c r="A11033" s="3" t="inlineStr">
        <is>
          <t>Opportunity Global Sales (PTY) LTD</t>
        </is>
      </c>
      <c r="B11033" s="4" t="n">
        <v>44865</v>
      </c>
      <c r="C11033" s="3" t="inlineStr">
        <is>
          <t>Expenses</t>
        </is>
      </c>
      <c r="D11033" s="3" t="inlineStr">
        <is>
          <t>2000/380</t>
        </is>
      </c>
      <c r="E11033" s="3" t="inlineStr">
        <is>
          <t>COS - Overrider Comm Heron Fields - Morne</t>
        </is>
      </c>
      <c r="F11033" s="3" t="n">
        <v>0</v>
      </c>
      <c r="G11033" s="3" t="n">
        <v>16264.76</v>
      </c>
    </row>
    <row r="11034">
      <c r="A11034" s="3" t="inlineStr">
        <is>
          <t>Endulini (Pty) Ltd</t>
        </is>
      </c>
      <c r="B11034" s="4" t="n">
        <v>44865</v>
      </c>
      <c r="C11034" s="3" t="inlineStr">
        <is>
          <t>Expenses</t>
        </is>
      </c>
      <c r="D11034" s="3" t="inlineStr">
        <is>
          <t>2000/400</t>
        </is>
      </c>
      <c r="E11034" s="3" t="inlineStr">
        <is>
          <t>COS - Gifts</t>
        </is>
      </c>
      <c r="F11034" s="3" t="n">
        <v>0</v>
      </c>
      <c r="G11034" s="3" t="n">
        <v>4270</v>
      </c>
    </row>
    <row r="11035">
      <c r="A11035" s="3" t="inlineStr">
        <is>
          <t>Opportunity Global Sales (PTY) LTD</t>
        </is>
      </c>
      <c r="B11035" s="4" t="n">
        <v>44865</v>
      </c>
      <c r="C11035" s="3" t="inlineStr">
        <is>
          <t>Expenses</t>
        </is>
      </c>
      <c r="D11035" s="3" t="inlineStr">
        <is>
          <t>2000/500</t>
        </is>
      </c>
      <c r="E11035" s="3" t="inlineStr">
        <is>
          <t>COS - Electricity Costs Endulini</t>
        </is>
      </c>
      <c r="F11035" s="3" t="n">
        <v>0</v>
      </c>
      <c r="G11035" s="3" t="n">
        <v>536.96</v>
      </c>
    </row>
    <row r="11036">
      <c r="A11036" s="3" t="inlineStr">
        <is>
          <t>Endulini (Pty) Ltd</t>
        </is>
      </c>
      <c r="B11036" s="4" t="n">
        <v>44865</v>
      </c>
      <c r="C11036" s="3" t="inlineStr">
        <is>
          <t>Expenses</t>
        </is>
      </c>
      <c r="D11036" s="3" t="inlineStr">
        <is>
          <t>2000/500</t>
        </is>
      </c>
      <c r="E11036" s="3" t="inlineStr">
        <is>
          <t>COS - Legal Fees Opening of Sec Title Scheme</t>
        </is>
      </c>
      <c r="F11036" s="3" t="n">
        <v>0</v>
      </c>
      <c r="G11036" s="3" t="n">
        <v>56287.76</v>
      </c>
    </row>
    <row r="11037">
      <c r="A11037" s="3" t="inlineStr">
        <is>
          <t>Endulini (Pty) Ltd</t>
        </is>
      </c>
      <c r="B11037" s="4" t="n">
        <v>44865</v>
      </c>
      <c r="C11037" s="3" t="inlineStr">
        <is>
          <t>Expenses</t>
        </is>
      </c>
      <c r="D11037" s="3" t="inlineStr">
        <is>
          <t>2000/600</t>
        </is>
      </c>
      <c r="E11037" s="3" t="inlineStr">
        <is>
          <t>COS - Legal fees</t>
        </is>
      </c>
      <c r="F11037" s="3" t="n">
        <v>255489.7</v>
      </c>
      <c r="G11037" s="3" t="n">
        <v>980564.73</v>
      </c>
    </row>
    <row r="11038">
      <c r="A11038" s="3" t="inlineStr">
        <is>
          <t>Endulini (Pty) Ltd</t>
        </is>
      </c>
      <c r="B11038" s="4" t="n">
        <v>44865</v>
      </c>
      <c r="C11038" s="3" t="inlineStr">
        <is>
          <t>Expenses</t>
        </is>
      </c>
      <c r="D11038" s="3" t="inlineStr">
        <is>
          <t>2000/700</t>
        </is>
      </c>
      <c r="E11038" s="3" t="inlineStr">
        <is>
          <t>COS - C2M Certificate for transfer</t>
        </is>
      </c>
      <c r="F11038" s="3" t="n">
        <v>0</v>
      </c>
      <c r="G11038" s="3" t="n">
        <v>5450</v>
      </c>
    </row>
    <row r="11039">
      <c r="A11039" s="3" t="inlineStr">
        <is>
          <t>Endulini (Pty) Ltd</t>
        </is>
      </c>
      <c r="B11039" s="4" t="n">
        <v>44865</v>
      </c>
      <c r="C11039" s="3" t="inlineStr">
        <is>
          <t>Expenses</t>
        </is>
      </c>
      <c r="D11039" s="3" t="inlineStr">
        <is>
          <t>2000/800</t>
        </is>
      </c>
      <c r="E11039" s="3" t="inlineStr">
        <is>
          <t>COS - Purchaser Variations</t>
        </is>
      </c>
      <c r="F11039" s="3" t="n">
        <v>0</v>
      </c>
      <c r="G11039" s="3" t="n">
        <v>8734.540000000001</v>
      </c>
    </row>
    <row r="11040">
      <c r="A11040" s="3" t="inlineStr">
        <is>
          <t>Endulini (Pty) Ltd</t>
        </is>
      </c>
      <c r="B11040" s="4" t="n">
        <v>44865</v>
      </c>
      <c r="C11040" s="3" t="inlineStr">
        <is>
          <t>Expenses</t>
        </is>
      </c>
      <c r="D11040" s="3" t="inlineStr">
        <is>
          <t>2000/900</t>
        </is>
      </c>
      <c r="E11040" s="3" t="inlineStr">
        <is>
          <t>COS - Legal fees Phase 2</t>
        </is>
      </c>
      <c r="F11040" s="3" t="n">
        <v>0</v>
      </c>
      <c r="G11040" s="3" t="n">
        <v>35638</v>
      </c>
    </row>
    <row r="11041">
      <c r="A11041" s="3" t="inlineStr">
        <is>
          <t>Quinate Consulting (Pty) Ltd</t>
        </is>
      </c>
      <c r="B11041" s="4" t="n">
        <v>44865</v>
      </c>
      <c r="C11041" s="3" t="inlineStr">
        <is>
          <t>Revenue</t>
        </is>
      </c>
      <c r="D11041" s="3" t="inlineStr">
        <is>
          <t>2400/200</t>
        </is>
      </c>
      <c r="E11041" s="3" t="inlineStr">
        <is>
          <t>Recovery Acc - Electricity SH</t>
        </is>
      </c>
      <c r="F11041" s="3" t="n">
        <v>-25177.2</v>
      </c>
      <c r="G11041" s="3" t="n">
        <v>-208339.5</v>
      </c>
    </row>
    <row r="11042">
      <c r="A11042" s="3" t="inlineStr">
        <is>
          <t>Quinate Consulting (Pty) Ltd</t>
        </is>
      </c>
      <c r="B11042" s="4" t="n">
        <v>44865</v>
      </c>
      <c r="C11042" s="3" t="inlineStr">
        <is>
          <t>Revenue</t>
        </is>
      </c>
      <c r="D11042" s="3" t="inlineStr">
        <is>
          <t>2400/300</t>
        </is>
      </c>
      <c r="E11042" s="3" t="inlineStr">
        <is>
          <t>Recovery Account - Electricity SW</t>
        </is>
      </c>
      <c r="F11042" s="3" t="n">
        <v>-18720.16</v>
      </c>
      <c r="G11042" s="3" t="n">
        <v>-155577.83</v>
      </c>
    </row>
    <row r="11043">
      <c r="A11043" s="3" t="inlineStr">
        <is>
          <t>Endulini (Pty) Ltd</t>
        </is>
      </c>
      <c r="B11043" s="4" t="n">
        <v>44865</v>
      </c>
      <c r="C11043" s="3" t="inlineStr">
        <is>
          <t>Revenue</t>
        </is>
      </c>
      <c r="D11043" s="3" t="inlineStr">
        <is>
          <t>2750/000</t>
        </is>
      </c>
      <c r="E11043" s="3" t="inlineStr">
        <is>
          <t>Interest Received</t>
        </is>
      </c>
      <c r="F11043" s="3" t="n">
        <v>-93.7</v>
      </c>
      <c r="G11043" s="3" t="n">
        <v>-195.31</v>
      </c>
    </row>
    <row r="11044">
      <c r="A11044" s="3" t="inlineStr">
        <is>
          <t>Opportunity Management Holdings (PTY) LTD</t>
        </is>
      </c>
      <c r="B11044" s="4" t="n">
        <v>44865</v>
      </c>
      <c r="C11044" s="3" t="inlineStr">
        <is>
          <t>Revenue</t>
        </is>
      </c>
      <c r="D11044" s="3" t="inlineStr">
        <is>
          <t>2750/000</t>
        </is>
      </c>
      <c r="E11044" s="3" t="inlineStr">
        <is>
          <t>Interest Received</t>
        </is>
      </c>
      <c r="F11044" s="3" t="n">
        <v>-2.12</v>
      </c>
      <c r="G11044" s="3" t="n">
        <v>-2.42</v>
      </c>
    </row>
    <row r="11045">
      <c r="A11045" s="3" t="inlineStr">
        <is>
          <t>Opportunity Global Sales (PTY) LTD</t>
        </is>
      </c>
      <c r="B11045" s="4" t="n">
        <v>44865</v>
      </c>
      <c r="C11045" s="3" t="inlineStr">
        <is>
          <t>Revenue</t>
        </is>
      </c>
      <c r="D11045" s="3" t="inlineStr">
        <is>
          <t>2750/000</t>
        </is>
      </c>
      <c r="E11045" s="3" t="inlineStr">
        <is>
          <t>Interest Received - Bank</t>
        </is>
      </c>
      <c r="F11045" s="3" t="n">
        <v>0</v>
      </c>
      <c r="G11045" s="3" t="n">
        <v>-2.3</v>
      </c>
    </row>
    <row r="11046">
      <c r="A11046" s="3" t="inlineStr">
        <is>
          <t>Opportunity Global Investment (PTY) LTD</t>
        </is>
      </c>
      <c r="B11046" s="4" t="n">
        <v>44865</v>
      </c>
      <c r="C11046" s="3" t="inlineStr">
        <is>
          <t>Revenue</t>
        </is>
      </c>
      <c r="D11046" s="3" t="inlineStr">
        <is>
          <t>2753/000</t>
        </is>
      </c>
      <c r="E11046" s="3" t="inlineStr">
        <is>
          <t>Interest received - Momentum</t>
        </is>
      </c>
      <c r="F11046" s="3" t="n">
        <v>-45.78</v>
      </c>
      <c r="G11046" s="3" t="n">
        <v>-158.61</v>
      </c>
    </row>
    <row r="11047">
      <c r="A11047" s="3" t="inlineStr">
        <is>
          <t>Endulini (Pty) Ltd</t>
        </is>
      </c>
      <c r="B11047" s="4" t="n">
        <v>44865</v>
      </c>
      <c r="C11047" s="3" t="inlineStr">
        <is>
          <t>Revenue</t>
        </is>
      </c>
      <c r="D11047" s="3" t="inlineStr">
        <is>
          <t>2755/001</t>
        </is>
      </c>
      <c r="E11047" s="3" t="inlineStr">
        <is>
          <t>Interest Received - Momentum</t>
        </is>
      </c>
      <c r="F11047" s="3" t="n">
        <v>-13.86</v>
      </c>
      <c r="G11047" s="3" t="n">
        <v>-26598.72</v>
      </c>
    </row>
    <row r="11048">
      <c r="A11048" s="3" t="inlineStr">
        <is>
          <t>Quinate Consulting (Pty) Ltd</t>
        </is>
      </c>
      <c r="B11048" s="4" t="n">
        <v>44865</v>
      </c>
      <c r="C11048" s="3" t="inlineStr">
        <is>
          <t>Revenue</t>
        </is>
      </c>
      <c r="D11048" s="3" t="inlineStr">
        <is>
          <t>2755/001</t>
        </is>
      </c>
      <c r="E11048" s="3" t="inlineStr">
        <is>
          <t>Interest Received - Momentum</t>
        </is>
      </c>
      <c r="F11048" s="3" t="n">
        <v>-2.78</v>
      </c>
      <c r="G11048" s="3" t="n">
        <v>-18.11</v>
      </c>
    </row>
    <row r="11049">
      <c r="A11049" s="3" t="inlineStr">
        <is>
          <t>Opportunity Global Investment (PTY) LTD</t>
        </is>
      </c>
      <c r="B11049" s="4" t="n">
        <v>44865</v>
      </c>
      <c r="C11049" s="3" t="inlineStr">
        <is>
          <t>Expenses</t>
        </is>
      </c>
      <c r="D11049" s="3" t="inlineStr">
        <is>
          <t>3000/150</t>
        </is>
      </c>
      <c r="E11049" s="3" t="inlineStr">
        <is>
          <t>Accounting Fees - Audit</t>
        </is>
      </c>
      <c r="F11049" s="3" t="n">
        <v>0</v>
      </c>
      <c r="G11049" s="3" t="n">
        <v>7225</v>
      </c>
    </row>
    <row r="11050">
      <c r="A11050" s="3" t="inlineStr">
        <is>
          <t>Opportunity Global Investment (PTY) LTD</t>
        </is>
      </c>
      <c r="B11050" s="4" t="n">
        <v>44865</v>
      </c>
      <c r="C11050" s="3" t="inlineStr">
        <is>
          <t>Expenses</t>
        </is>
      </c>
      <c r="D11050" s="3" t="inlineStr">
        <is>
          <t>3000/200</t>
        </is>
      </c>
      <c r="E11050" s="3" t="inlineStr">
        <is>
          <t>Accounting Fees - General</t>
        </is>
      </c>
      <c r="F11050" s="3" t="n">
        <v>0</v>
      </c>
      <c r="G11050" s="3" t="n">
        <v>540</v>
      </c>
    </row>
    <row r="11051">
      <c r="A11051" s="3" t="inlineStr">
        <is>
          <t>Quinate Consulting (Pty) Ltd</t>
        </is>
      </c>
      <c r="B11051" s="4" t="n">
        <v>44865</v>
      </c>
      <c r="C11051" s="3" t="inlineStr">
        <is>
          <t>Expenses</t>
        </is>
      </c>
      <c r="D11051" s="3" t="inlineStr">
        <is>
          <t>3001/000</t>
        </is>
      </c>
      <c r="E11051" s="3" t="inlineStr">
        <is>
          <t>Accounting fees - Other</t>
        </is>
      </c>
      <c r="F11051" s="3" t="n">
        <v>0</v>
      </c>
      <c r="G11051" s="3" t="n">
        <v>1850</v>
      </c>
    </row>
    <row r="11052">
      <c r="A11052" s="3" t="inlineStr">
        <is>
          <t>Opportunity Management Holdings (PTY) LTD</t>
        </is>
      </c>
      <c r="B11052" s="4" t="n">
        <v>44865</v>
      </c>
      <c r="C11052" s="3" t="inlineStr">
        <is>
          <t>Expenses</t>
        </is>
      </c>
      <c r="D11052" s="3" t="inlineStr">
        <is>
          <t>3004/000</t>
        </is>
      </c>
      <c r="E11052" s="3" t="inlineStr">
        <is>
          <t>Accounting fees - Janine Theart</t>
        </is>
      </c>
      <c r="F11052" s="3" t="n">
        <v>17500</v>
      </c>
      <c r="G11052" s="3" t="n">
        <v>35000</v>
      </c>
    </row>
    <row r="11053">
      <c r="A11053" s="3" t="inlineStr">
        <is>
          <t>Opportunity Management Holdings (PTY) LTD</t>
        </is>
      </c>
      <c r="B11053" s="4" t="n">
        <v>44865</v>
      </c>
      <c r="C11053" s="3" t="inlineStr">
        <is>
          <t>Expenses</t>
        </is>
      </c>
      <c r="D11053" s="3" t="inlineStr">
        <is>
          <t>3005/000</t>
        </is>
      </c>
      <c r="E11053" s="3" t="inlineStr">
        <is>
          <t>Accounting fees - Deric Dudley</t>
        </is>
      </c>
      <c r="F11053" s="3" t="n">
        <v>50000</v>
      </c>
      <c r="G11053" s="3" t="n">
        <v>100000</v>
      </c>
    </row>
    <row r="11054">
      <c r="A11054" s="3" t="inlineStr">
        <is>
          <t>Opportunity Management Holdings (PTY) LTD</t>
        </is>
      </c>
      <c r="B11054" s="4" t="n">
        <v>44865</v>
      </c>
      <c r="C11054" s="3" t="inlineStr">
        <is>
          <t>Expenses</t>
        </is>
      </c>
      <c r="D11054" s="3" t="inlineStr">
        <is>
          <t>3007/000</t>
        </is>
      </c>
      <c r="E11054" s="3" t="inlineStr">
        <is>
          <t>Accounting fees - Warwick</t>
        </is>
      </c>
      <c r="F11054" s="3" t="n">
        <v>27000</v>
      </c>
      <c r="G11054" s="3" t="n">
        <v>54000</v>
      </c>
    </row>
    <row r="11055">
      <c r="A11055" s="3" t="inlineStr">
        <is>
          <t>Endulini (Pty) Ltd</t>
        </is>
      </c>
      <c r="B11055" s="4" t="n">
        <v>44865</v>
      </c>
      <c r="C11055" s="3" t="inlineStr">
        <is>
          <t>Expenses</t>
        </is>
      </c>
      <c r="D11055" s="3" t="inlineStr">
        <is>
          <t>3050/000</t>
        </is>
      </c>
      <c r="E11055" s="3" t="inlineStr">
        <is>
          <t>Advertising _AND_ Promotions</t>
        </is>
      </c>
      <c r="F11055" s="3" t="n">
        <v>0</v>
      </c>
      <c r="G11055" s="3" t="n">
        <v>23598</v>
      </c>
    </row>
    <row r="11056">
      <c r="A11056" s="3" t="inlineStr">
        <is>
          <t>Noble Shield (Pty) Ltd ta Go Letting</t>
        </is>
      </c>
      <c r="B11056" s="4" t="n">
        <v>44865</v>
      </c>
      <c r="C11056" s="3" t="inlineStr">
        <is>
          <t>Expenses</t>
        </is>
      </c>
      <c r="D11056" s="3" t="inlineStr">
        <is>
          <t>3050/000</t>
        </is>
      </c>
      <c r="E11056" s="3" t="inlineStr">
        <is>
          <t>Advertising _AND_ Promotions</t>
        </is>
      </c>
      <c r="F11056" s="3" t="n">
        <v>659.99</v>
      </c>
      <c r="G11056" s="3" t="n">
        <v>659.99</v>
      </c>
    </row>
    <row r="11057">
      <c r="A11057" s="3" t="inlineStr">
        <is>
          <t>Opportunity Management Holdings (PTY) LTD</t>
        </is>
      </c>
      <c r="B11057" s="4" t="n">
        <v>44865</v>
      </c>
      <c r="C11057" s="3" t="inlineStr">
        <is>
          <t>Expenses</t>
        </is>
      </c>
      <c r="D11057" s="3" t="inlineStr">
        <is>
          <t>3050/000</t>
        </is>
      </c>
      <c r="E11057" s="3" t="inlineStr">
        <is>
          <t>Advertising _AND_ Promotions</t>
        </is>
      </c>
      <c r="F11057" s="3" t="n">
        <v>0</v>
      </c>
      <c r="G11057" s="3" t="n">
        <v>500</v>
      </c>
    </row>
    <row r="11058">
      <c r="A11058" s="3" t="inlineStr">
        <is>
          <t>Quinate Consulting (Pty) Ltd</t>
        </is>
      </c>
      <c r="B11058" s="4" t="n">
        <v>44865</v>
      </c>
      <c r="C11058" s="3" t="inlineStr">
        <is>
          <t>Expenses</t>
        </is>
      </c>
      <c r="D11058" s="3" t="inlineStr">
        <is>
          <t>3050/000</t>
        </is>
      </c>
      <c r="E11058" s="3" t="inlineStr">
        <is>
          <t>Advertising _AND_ Promotions</t>
        </is>
      </c>
      <c r="F11058" s="3" t="n">
        <v>0</v>
      </c>
      <c r="G11058" s="3" t="n">
        <v>1875.22</v>
      </c>
    </row>
    <row r="11059">
      <c r="A11059" s="3" t="inlineStr">
        <is>
          <t>Endulini (Pty) Ltd</t>
        </is>
      </c>
      <c r="B11059" s="4" t="n">
        <v>44865</v>
      </c>
      <c r="C11059" s="3" t="inlineStr">
        <is>
          <t>Expenses</t>
        </is>
      </c>
      <c r="D11059" s="3" t="inlineStr">
        <is>
          <t>3050/001</t>
        </is>
      </c>
      <c r="E11059" s="3" t="inlineStr">
        <is>
          <t>Advertising _AND_ Promotions - Media Agenda</t>
        </is>
      </c>
      <c r="F11059" s="3" t="n">
        <v>375</v>
      </c>
      <c r="G11059" s="3" t="n">
        <v>11325</v>
      </c>
    </row>
    <row r="11060">
      <c r="A11060" s="3" t="inlineStr">
        <is>
          <t>Noble Shield (Pty) Ltd ta Go Letting</t>
        </is>
      </c>
      <c r="B11060" s="4" t="n">
        <v>44865</v>
      </c>
      <c r="C11060" s="3" t="inlineStr">
        <is>
          <t>Expenses</t>
        </is>
      </c>
      <c r="D11060" s="3" t="inlineStr">
        <is>
          <t>3050/050</t>
        </is>
      </c>
      <c r="E11060" s="3" t="inlineStr">
        <is>
          <t>Advertising - Prop 24</t>
        </is>
      </c>
      <c r="F11060" s="3" t="n">
        <v>2737</v>
      </c>
      <c r="G11060" s="3" t="n">
        <v>5474</v>
      </c>
    </row>
    <row r="11061">
      <c r="A11061" s="3" t="inlineStr">
        <is>
          <t>Opportunity Global Sales (PTY) LTD</t>
        </is>
      </c>
      <c r="B11061" s="4" t="n">
        <v>44865</v>
      </c>
      <c r="C11061" s="3" t="inlineStr">
        <is>
          <t>Expenses</t>
        </is>
      </c>
      <c r="D11061" s="3" t="inlineStr">
        <is>
          <t>3050/100</t>
        </is>
      </c>
      <c r="E11061" s="3" t="inlineStr">
        <is>
          <t>Advertising - Facebook</t>
        </is>
      </c>
      <c r="F11061" s="3" t="n">
        <v>12000</v>
      </c>
      <c r="G11061" s="3" t="n">
        <v>80218.03</v>
      </c>
    </row>
    <row r="11062">
      <c r="A11062" s="3" t="inlineStr">
        <is>
          <t>Opportunity Global Sales (PTY) LTD</t>
        </is>
      </c>
      <c r="B11062" s="4" t="n">
        <v>44865</v>
      </c>
      <c r="C11062" s="3" t="inlineStr">
        <is>
          <t>Expenses</t>
        </is>
      </c>
      <c r="D11062" s="3" t="inlineStr">
        <is>
          <t>3050/140</t>
        </is>
      </c>
      <c r="E11062" s="3" t="inlineStr">
        <is>
          <t>Advertising - Media Agenda</t>
        </is>
      </c>
      <c r="F11062" s="3" t="n">
        <v>0</v>
      </c>
      <c r="G11062" s="3" t="n">
        <v>6900</v>
      </c>
    </row>
    <row r="11063">
      <c r="A11063" s="3" t="inlineStr">
        <is>
          <t>Opportunity Global Investment (PTY) LTD</t>
        </is>
      </c>
      <c r="B11063" s="4" t="n">
        <v>44865</v>
      </c>
      <c r="C11063" s="3" t="inlineStr">
        <is>
          <t>Expenses</t>
        </is>
      </c>
      <c r="D11063" s="3" t="inlineStr">
        <is>
          <t>3050/250</t>
        </is>
      </c>
      <c r="E11063" s="3" t="inlineStr">
        <is>
          <t>Advertising - General</t>
        </is>
      </c>
      <c r="F11063" s="3" t="n">
        <v>490</v>
      </c>
      <c r="G11063" s="3" t="n">
        <v>5711.83</v>
      </c>
    </row>
    <row r="11064">
      <c r="A11064" s="3" t="inlineStr">
        <is>
          <t>Opportunity Global Sales (PTY) LTD</t>
        </is>
      </c>
      <c r="B11064" s="4" t="n">
        <v>44865</v>
      </c>
      <c r="C11064" s="3" t="inlineStr">
        <is>
          <t>Expenses</t>
        </is>
      </c>
      <c r="D11064" s="3" t="inlineStr">
        <is>
          <t>3050/250</t>
        </is>
      </c>
      <c r="E11064" s="3" t="inlineStr">
        <is>
          <t>Advertising - General</t>
        </is>
      </c>
      <c r="F11064" s="3" t="n">
        <v>1231.88</v>
      </c>
      <c r="G11064" s="3" t="n">
        <v>44583.81</v>
      </c>
    </row>
    <row r="11065">
      <c r="A11065" s="3" t="inlineStr">
        <is>
          <t>Opportunity Global Investment (PTY) LTD</t>
        </is>
      </c>
      <c r="B11065" s="4" t="n">
        <v>44865</v>
      </c>
      <c r="C11065" s="3" t="inlineStr">
        <is>
          <t>Expenses</t>
        </is>
      </c>
      <c r="D11065" s="3" t="inlineStr">
        <is>
          <t>3050/260</t>
        </is>
      </c>
      <c r="E11065" s="3" t="inlineStr">
        <is>
          <t>Advertising - Media Agenda</t>
        </is>
      </c>
      <c r="F11065" s="3" t="n">
        <v>2750</v>
      </c>
      <c r="G11065" s="3" t="n">
        <v>3575</v>
      </c>
    </row>
    <row r="11066">
      <c r="A11066" s="3" t="inlineStr">
        <is>
          <t>Opportunity Global Investment (PTY) LTD</t>
        </is>
      </c>
      <c r="B11066" s="4" t="n">
        <v>44865</v>
      </c>
      <c r="C11066" s="3" t="inlineStr">
        <is>
          <t>Expenses</t>
        </is>
      </c>
      <c r="D11066" s="3" t="inlineStr">
        <is>
          <t>3050/270</t>
        </is>
      </c>
      <c r="E11066" s="3" t="inlineStr">
        <is>
          <t>Advertising - Radia and TV Interviews</t>
        </is>
      </c>
      <c r="F11066" s="3" t="n">
        <v>0</v>
      </c>
      <c r="G11066" s="3" t="n">
        <v>141872</v>
      </c>
    </row>
    <row r="11067">
      <c r="A11067" s="3" t="inlineStr">
        <is>
          <t>Opportunity Global Investment (PTY) LTD</t>
        </is>
      </c>
      <c r="B11067" s="4" t="n">
        <v>44865</v>
      </c>
      <c r="C11067" s="3" t="inlineStr">
        <is>
          <t>Expenses</t>
        </is>
      </c>
      <c r="D11067" s="3" t="inlineStr">
        <is>
          <t>3050/290</t>
        </is>
      </c>
      <c r="E11067" s="3" t="inlineStr">
        <is>
          <t>Advertising - Serene Living</t>
        </is>
      </c>
      <c r="F11067" s="3" t="n">
        <v>65086</v>
      </c>
      <c r="G11067" s="3" t="n">
        <v>520688</v>
      </c>
    </row>
    <row r="11068">
      <c r="A11068" s="3" t="inlineStr">
        <is>
          <t>Opportunity Global Investment (PTY) LTD</t>
        </is>
      </c>
      <c r="B11068" s="4" t="n">
        <v>44865</v>
      </c>
      <c r="C11068" s="3" t="inlineStr">
        <is>
          <t>Expenses</t>
        </is>
      </c>
      <c r="D11068" s="3" t="inlineStr">
        <is>
          <t>3050/295</t>
        </is>
      </c>
      <c r="E11068" s="3" t="inlineStr">
        <is>
          <t>Advertising - Reale Activation</t>
        </is>
      </c>
      <c r="F11068" s="3" t="n">
        <v>1825.98</v>
      </c>
      <c r="G11068" s="3" t="n">
        <v>70062.07000000001</v>
      </c>
    </row>
    <row r="11069">
      <c r="A11069" s="3" t="inlineStr">
        <is>
          <t>Opportunity Global Investment (PTY) LTD</t>
        </is>
      </c>
      <c r="B11069" s="4" t="n">
        <v>44865</v>
      </c>
      <c r="C11069" s="3" t="inlineStr">
        <is>
          <t>Expenses</t>
        </is>
      </c>
      <c r="D11069" s="3" t="inlineStr">
        <is>
          <t>3050/300</t>
        </is>
      </c>
      <c r="E11069" s="3" t="inlineStr">
        <is>
          <t>Advertising - Design</t>
        </is>
      </c>
      <c r="F11069" s="3" t="n">
        <v>3250</v>
      </c>
      <c r="G11069" s="3" t="n">
        <v>38091</v>
      </c>
    </row>
    <row r="11070">
      <c r="A11070" s="3" t="inlineStr">
        <is>
          <t>Opportunity Global Sales (PTY) LTD</t>
        </is>
      </c>
      <c r="B11070" s="4" t="n">
        <v>44865</v>
      </c>
      <c r="C11070" s="3" t="inlineStr">
        <is>
          <t>Expenses</t>
        </is>
      </c>
      <c r="D11070" s="3" t="inlineStr">
        <is>
          <t>3050/350</t>
        </is>
      </c>
      <c r="E11070" s="3" t="inlineStr">
        <is>
          <t>Advertising - Private Property</t>
        </is>
      </c>
      <c r="F11070" s="3" t="n">
        <v>0</v>
      </c>
      <c r="G11070" s="3" t="n">
        <v>8750</v>
      </c>
    </row>
    <row r="11071">
      <c r="A11071" s="3" t="inlineStr">
        <is>
          <t>Opportunity Global Sales (PTY) LTD</t>
        </is>
      </c>
      <c r="B11071" s="4" t="n">
        <v>44865</v>
      </c>
      <c r="C11071" s="3" t="inlineStr">
        <is>
          <t>Expenses</t>
        </is>
      </c>
      <c r="D11071" s="3" t="inlineStr">
        <is>
          <t>3050/370</t>
        </is>
      </c>
      <c r="E11071" s="3" t="inlineStr">
        <is>
          <t>Advertising - HR</t>
        </is>
      </c>
      <c r="F11071" s="3" t="n">
        <v>556.65</v>
      </c>
      <c r="G11071" s="3" t="n">
        <v>2279.07</v>
      </c>
    </row>
    <row r="11072">
      <c r="A11072" s="3" t="inlineStr">
        <is>
          <t>Quinate Consulting (Pty) Ltd</t>
        </is>
      </c>
      <c r="B11072" s="4" t="n">
        <v>44865</v>
      </c>
      <c r="C11072" s="3" t="inlineStr">
        <is>
          <t>Expenses</t>
        </is>
      </c>
      <c r="D11072" s="3" t="inlineStr">
        <is>
          <t>3050/400</t>
        </is>
      </c>
      <c r="E11072" s="3" t="inlineStr">
        <is>
          <t>Advertising - Prop24</t>
        </is>
      </c>
      <c r="F11072" s="3" t="n">
        <v>15782</v>
      </c>
      <c r="G11072" s="3" t="n">
        <v>116880</v>
      </c>
    </row>
    <row r="11073">
      <c r="A11073" s="3" t="inlineStr">
        <is>
          <t>Quinate Consulting (Pty) Ltd</t>
        </is>
      </c>
      <c r="B11073" s="4" t="n">
        <v>44865</v>
      </c>
      <c r="C11073" s="3" t="inlineStr">
        <is>
          <t>Expenses</t>
        </is>
      </c>
      <c r="D11073" s="3" t="inlineStr">
        <is>
          <t>3050/450</t>
        </is>
      </c>
      <c r="E11073" s="3" t="inlineStr">
        <is>
          <t>Advertising - Facebook</t>
        </is>
      </c>
      <c r="F11073" s="3" t="n">
        <v>12409.62</v>
      </c>
      <c r="G11073" s="3" t="n">
        <v>76312.89999999999</v>
      </c>
    </row>
    <row r="11074">
      <c r="A11074" s="3" t="inlineStr">
        <is>
          <t>Opportunity Global Investment (PTY) LTD</t>
        </is>
      </c>
      <c r="B11074" s="4" t="n">
        <v>44865</v>
      </c>
      <c r="C11074" s="3" t="inlineStr">
        <is>
          <t>Expenses</t>
        </is>
      </c>
      <c r="D11074" s="3" t="inlineStr">
        <is>
          <t>3051/000</t>
        </is>
      </c>
      <c r="E11074" s="3" t="inlineStr">
        <is>
          <t>Advertising - Facebook</t>
        </is>
      </c>
      <c r="F11074" s="3" t="n">
        <v>21123.72</v>
      </c>
      <c r="G11074" s="3" t="n">
        <v>152057.17</v>
      </c>
    </row>
    <row r="11075">
      <c r="A11075" s="3" t="inlineStr">
        <is>
          <t>Opportunity Global Investment (PTY) LTD</t>
        </is>
      </c>
      <c r="B11075" s="4" t="n">
        <v>44865</v>
      </c>
      <c r="C11075" s="3" t="inlineStr">
        <is>
          <t>Expenses</t>
        </is>
      </c>
      <c r="D11075" s="3" t="inlineStr">
        <is>
          <t>3053/000</t>
        </is>
      </c>
      <c r="E11075" s="3" t="inlineStr">
        <is>
          <t>Advertising - Google Ads</t>
        </is>
      </c>
      <c r="F11075" s="3" t="n">
        <v>0</v>
      </c>
      <c r="G11075" s="3" t="n">
        <v>6207.42</v>
      </c>
    </row>
    <row r="11076">
      <c r="A11076" s="3" t="inlineStr">
        <is>
          <t>Endulini (Pty) Ltd</t>
        </is>
      </c>
      <c r="B11076" s="4" t="n">
        <v>44865</v>
      </c>
      <c r="C11076" s="3" t="inlineStr">
        <is>
          <t>Expenses</t>
        </is>
      </c>
      <c r="D11076" s="3" t="inlineStr">
        <is>
          <t>3200/000</t>
        </is>
      </c>
      <c r="E11076" s="3" t="inlineStr">
        <is>
          <t>Bank Charges</t>
        </is>
      </c>
      <c r="F11076" s="3" t="n">
        <v>148.51</v>
      </c>
      <c r="G11076" s="3" t="n">
        <v>4680.16</v>
      </c>
    </row>
    <row r="11077">
      <c r="A11077" s="3" t="inlineStr">
        <is>
          <t>Noble Shield (Pty) Ltd ta Go Letting</t>
        </is>
      </c>
      <c r="B11077" s="4" t="n">
        <v>44865</v>
      </c>
      <c r="C11077" s="3" t="inlineStr">
        <is>
          <t>Expenses</t>
        </is>
      </c>
      <c r="D11077" s="3" t="inlineStr">
        <is>
          <t>3200/000</t>
        </is>
      </c>
      <c r="E11077" s="3" t="inlineStr">
        <is>
          <t>Bank Charges</t>
        </is>
      </c>
      <c r="F11077" s="3" t="n">
        <v>520.51</v>
      </c>
      <c r="G11077" s="3" t="n">
        <v>2215.97</v>
      </c>
    </row>
    <row r="11078">
      <c r="A11078" s="3" t="inlineStr">
        <is>
          <t>Opportunity Global Investment (PTY) LTD</t>
        </is>
      </c>
      <c r="B11078" s="4" t="n">
        <v>44865</v>
      </c>
      <c r="C11078" s="3" t="inlineStr">
        <is>
          <t>Expenses</t>
        </is>
      </c>
      <c r="D11078" s="3" t="inlineStr">
        <is>
          <t>3200/000</t>
        </is>
      </c>
      <c r="E11078" s="3" t="inlineStr">
        <is>
          <t>Bank Charges</t>
        </is>
      </c>
      <c r="F11078" s="3" t="n">
        <v>541.36</v>
      </c>
      <c r="G11078" s="3" t="n">
        <v>14342.38</v>
      </c>
    </row>
    <row r="11079">
      <c r="A11079" s="3" t="inlineStr">
        <is>
          <t>Opportunity Global Sales (PTY) LTD</t>
        </is>
      </c>
      <c r="B11079" s="4" t="n">
        <v>44865</v>
      </c>
      <c r="C11079" s="3" t="inlineStr">
        <is>
          <t>Expenses</t>
        </is>
      </c>
      <c r="D11079" s="3" t="inlineStr">
        <is>
          <t>3200/000</t>
        </is>
      </c>
      <c r="E11079" s="3" t="inlineStr">
        <is>
          <t>Bank Charges</t>
        </is>
      </c>
      <c r="F11079" s="3" t="n">
        <v>620.78</v>
      </c>
      <c r="G11079" s="3" t="n">
        <v>7654.98</v>
      </c>
    </row>
    <row r="11080">
      <c r="A11080" s="3" t="inlineStr">
        <is>
          <t>Opportunity Management Holdings (PTY) LTD</t>
        </is>
      </c>
      <c r="B11080" s="4" t="n">
        <v>44865</v>
      </c>
      <c r="C11080" s="3" t="inlineStr">
        <is>
          <t>Expenses</t>
        </is>
      </c>
      <c r="D11080" s="3" t="inlineStr">
        <is>
          <t>3200/000</t>
        </is>
      </c>
      <c r="E11080" s="3" t="inlineStr">
        <is>
          <t>Bank Charges</t>
        </is>
      </c>
      <c r="F11080" s="3" t="n">
        <v>387.96</v>
      </c>
      <c r="G11080" s="3" t="n">
        <v>2371.48</v>
      </c>
    </row>
    <row r="11081">
      <c r="A11081" s="3" t="inlineStr">
        <is>
          <t>Quinate Consulting (Pty) Ltd</t>
        </is>
      </c>
      <c r="B11081" s="4" t="n">
        <v>44865</v>
      </c>
      <c r="C11081" s="3" t="inlineStr">
        <is>
          <t>Expenses</t>
        </is>
      </c>
      <c r="D11081" s="3" t="inlineStr">
        <is>
          <t>3200/000</t>
        </is>
      </c>
      <c r="E11081" s="3" t="inlineStr">
        <is>
          <t>Bank Charges</t>
        </is>
      </c>
      <c r="F11081" s="3" t="n">
        <v>666.55</v>
      </c>
      <c r="G11081" s="3" t="n">
        <v>13292.27</v>
      </c>
    </row>
    <row r="11082">
      <c r="A11082" s="3" t="inlineStr">
        <is>
          <t>Trademark Holdings (Pty) Ltd</t>
        </is>
      </c>
      <c r="B11082" s="4" t="n">
        <v>44865</v>
      </c>
      <c r="C11082" s="3" t="inlineStr">
        <is>
          <t>Expenses</t>
        </is>
      </c>
      <c r="D11082" s="3" t="inlineStr">
        <is>
          <t>3200/000</t>
        </is>
      </c>
      <c r="E11082" s="3" t="inlineStr">
        <is>
          <t>Bank Charges</t>
        </is>
      </c>
      <c r="F11082" s="3" t="n">
        <v>305.42</v>
      </c>
      <c r="G11082" s="3" t="n">
        <v>1146.58</v>
      </c>
    </row>
    <row r="11083">
      <c r="A11083" s="3" t="inlineStr">
        <is>
          <t>Quinate Consulting (Pty) Ltd</t>
        </is>
      </c>
      <c r="B11083" s="4" t="n">
        <v>44865</v>
      </c>
      <c r="C11083" s="3" t="inlineStr">
        <is>
          <t>Expenses</t>
        </is>
      </c>
      <c r="D11083" s="3" t="inlineStr">
        <is>
          <t>3220/000</t>
        </is>
      </c>
      <c r="E11083" s="3" t="inlineStr">
        <is>
          <t>Bank Charges - Bond Fees</t>
        </is>
      </c>
      <c r="F11083" s="3" t="n">
        <v>1117.41</v>
      </c>
      <c r="G11083" s="3" t="n">
        <v>8939.280000000001</v>
      </c>
    </row>
    <row r="11084">
      <c r="A11084" s="3" t="inlineStr">
        <is>
          <t>Noble Shield (Pty) Ltd ta Go Letting</t>
        </is>
      </c>
      <c r="B11084" s="4" t="n">
        <v>44865</v>
      </c>
      <c r="C11084" s="3" t="inlineStr">
        <is>
          <t>Expenses</t>
        </is>
      </c>
      <c r="D11084" s="3" t="inlineStr">
        <is>
          <t>3230/000</t>
        </is>
      </c>
      <c r="E11084" s="3" t="inlineStr">
        <is>
          <t>Cell Phone - NM</t>
        </is>
      </c>
      <c r="F11084" s="3" t="n">
        <v>2321.49</v>
      </c>
      <c r="G11084" s="3" t="n">
        <v>4639.67</v>
      </c>
    </row>
    <row r="11085">
      <c r="A11085" s="3" t="inlineStr">
        <is>
          <t>Noble Shield (Pty) Ltd ta Go Letting</t>
        </is>
      </c>
      <c r="B11085" s="4" t="n">
        <v>44865</v>
      </c>
      <c r="C11085" s="3" t="inlineStr">
        <is>
          <t>Expenses</t>
        </is>
      </c>
      <c r="D11085" s="3" t="inlineStr">
        <is>
          <t>3233/000</t>
        </is>
      </c>
      <c r="E11085" s="3" t="inlineStr">
        <is>
          <t>Cell Data - Other</t>
        </is>
      </c>
      <c r="F11085" s="3" t="n">
        <v>199</v>
      </c>
      <c r="G11085" s="3" t="n">
        <v>398</v>
      </c>
    </row>
    <row r="11086">
      <c r="A11086" s="3" t="inlineStr">
        <is>
          <t>Noble Shield (Pty) Ltd ta Go Letting</t>
        </is>
      </c>
      <c r="B11086" s="4" t="n">
        <v>44865</v>
      </c>
      <c r="C11086" s="3" t="inlineStr">
        <is>
          <t>Expenses</t>
        </is>
      </c>
      <c r="D11086" s="3" t="inlineStr">
        <is>
          <t>3233/100</t>
        </is>
      </c>
      <c r="E11086" s="3" t="inlineStr">
        <is>
          <t>Cell Data - Sales office Wifi</t>
        </is>
      </c>
      <c r="F11086" s="3" t="n">
        <v>369</v>
      </c>
      <c r="G11086" s="3" t="n">
        <v>738</v>
      </c>
    </row>
    <row r="11087">
      <c r="A11087" s="3" t="inlineStr">
        <is>
          <t>Noble Shield (Pty) Ltd ta Go Letting</t>
        </is>
      </c>
      <c r="B11087" s="4" t="n">
        <v>44865</v>
      </c>
      <c r="C11087" s="3" t="inlineStr">
        <is>
          <t>Expenses</t>
        </is>
      </c>
      <c r="D11087" s="3" t="inlineStr">
        <is>
          <t>3250/000</t>
        </is>
      </c>
      <c r="E11087" s="3" t="inlineStr">
        <is>
          <t>Cleaning</t>
        </is>
      </c>
      <c r="F11087" s="3" t="n">
        <v>0</v>
      </c>
      <c r="G11087" s="3" t="n">
        <v>289.4</v>
      </c>
    </row>
    <row r="11088">
      <c r="A11088" s="3" t="inlineStr">
        <is>
          <t>Opportunity Global Investment (PTY) LTD</t>
        </is>
      </c>
      <c r="B11088" s="4" t="n">
        <v>44865</v>
      </c>
      <c r="C11088" s="3" t="inlineStr">
        <is>
          <t>Expenses</t>
        </is>
      </c>
      <c r="D11088" s="3" t="inlineStr">
        <is>
          <t>3250/000</t>
        </is>
      </c>
      <c r="E11088" s="3" t="inlineStr">
        <is>
          <t>Cleaning</t>
        </is>
      </c>
      <c r="F11088" s="3" t="n">
        <v>2700</v>
      </c>
      <c r="G11088" s="3" t="n">
        <v>21600</v>
      </c>
    </row>
    <row r="11089">
      <c r="A11089" s="3" t="inlineStr">
        <is>
          <t>Opportunity Management Holdings (PTY) LTD</t>
        </is>
      </c>
      <c r="B11089" s="4" t="n">
        <v>44865</v>
      </c>
      <c r="C11089" s="3" t="inlineStr">
        <is>
          <t>Expenses</t>
        </is>
      </c>
      <c r="D11089" s="3" t="inlineStr">
        <is>
          <t>3250/000</t>
        </is>
      </c>
      <c r="E11089" s="3" t="inlineStr">
        <is>
          <t>Cleaning</t>
        </is>
      </c>
      <c r="F11089" s="3" t="n">
        <v>1596.5</v>
      </c>
      <c r="G11089" s="3" t="n">
        <v>2596.5</v>
      </c>
    </row>
    <row r="11090">
      <c r="A11090" s="3" t="inlineStr">
        <is>
          <t>Trademark Holdings (Pty) Ltd</t>
        </is>
      </c>
      <c r="B11090" s="4" t="n">
        <v>44865</v>
      </c>
      <c r="C11090" s="3" t="inlineStr">
        <is>
          <t>Expenses</t>
        </is>
      </c>
      <c r="D11090" s="3" t="inlineStr">
        <is>
          <t>3250/000</t>
        </is>
      </c>
      <c r="E11090" s="3" t="inlineStr">
        <is>
          <t>Cleaning</t>
        </is>
      </c>
      <c r="F11090" s="3" t="n">
        <v>1300</v>
      </c>
      <c r="G11090" s="3" t="n">
        <v>2080</v>
      </c>
    </row>
    <row r="11091">
      <c r="A11091" s="3" t="inlineStr">
        <is>
          <t>Opportunity Global Investment (PTY) LTD</t>
        </is>
      </c>
      <c r="B11091" s="4" t="n">
        <v>44865</v>
      </c>
      <c r="C11091" s="3" t="inlineStr">
        <is>
          <t>Expenses</t>
        </is>
      </c>
      <c r="D11091" s="3" t="inlineStr">
        <is>
          <t>3300/000</t>
        </is>
      </c>
      <c r="E11091" s="3" t="inlineStr">
        <is>
          <t>Computer Expenses</t>
        </is>
      </c>
      <c r="F11091" s="3" t="n">
        <v>-2086.87</v>
      </c>
      <c r="G11091" s="3" t="n">
        <v>-0.01</v>
      </c>
    </row>
    <row r="11092">
      <c r="A11092" s="3" t="inlineStr">
        <is>
          <t>Opportunity Global Sales (PTY) LTD</t>
        </is>
      </c>
      <c r="B11092" s="4" t="n">
        <v>44865</v>
      </c>
      <c r="C11092" s="3" t="inlineStr">
        <is>
          <t>Expenses</t>
        </is>
      </c>
      <c r="D11092" s="3" t="inlineStr">
        <is>
          <t>3300/000</t>
        </is>
      </c>
      <c r="E11092" s="3" t="inlineStr">
        <is>
          <t>Computer Expenses</t>
        </is>
      </c>
      <c r="F11092" s="3" t="n">
        <v>0</v>
      </c>
      <c r="G11092" s="3" t="n">
        <v>2075</v>
      </c>
    </row>
    <row r="11093">
      <c r="A11093" s="3" t="inlineStr">
        <is>
          <t>Opportunity Management Holdings (PTY) LTD</t>
        </is>
      </c>
      <c r="B11093" s="4" t="n">
        <v>44865</v>
      </c>
      <c r="C11093" s="3" t="inlineStr">
        <is>
          <t>Expenses</t>
        </is>
      </c>
      <c r="D11093" s="3" t="inlineStr">
        <is>
          <t>3300/000</t>
        </is>
      </c>
      <c r="E11093" s="3" t="inlineStr">
        <is>
          <t>Computer Expenses</t>
        </is>
      </c>
      <c r="F11093" s="3" t="n">
        <v>565.5599999999999</v>
      </c>
      <c r="G11093" s="3" t="n">
        <v>2318.91</v>
      </c>
    </row>
    <row r="11094">
      <c r="A11094" s="3" t="inlineStr">
        <is>
          <t>Quinate Consulting (Pty) Ltd</t>
        </is>
      </c>
      <c r="B11094" s="4" t="n">
        <v>44865</v>
      </c>
      <c r="C11094" s="3" t="inlineStr">
        <is>
          <t>Expenses</t>
        </is>
      </c>
      <c r="D11094" s="3" t="inlineStr">
        <is>
          <t>3300/000</t>
        </is>
      </c>
      <c r="E11094" s="3" t="inlineStr">
        <is>
          <t>Computer Expenses</t>
        </is>
      </c>
      <c r="F11094" s="3" t="n">
        <v>0</v>
      </c>
      <c r="G11094" s="3" t="n">
        <v>509.04</v>
      </c>
    </row>
    <row r="11095">
      <c r="A11095" s="3" t="inlineStr">
        <is>
          <t>Noble Shield (Pty) Ltd ta Go Letting</t>
        </is>
      </c>
      <c r="B11095" s="4" t="n">
        <v>44865</v>
      </c>
      <c r="C11095" s="3" t="inlineStr">
        <is>
          <t>Expenses</t>
        </is>
      </c>
      <c r="D11095" s="3" t="inlineStr">
        <is>
          <t>3300/120</t>
        </is>
      </c>
      <c r="E11095" s="3" t="inlineStr">
        <is>
          <t>Computer IT - Software Propworx</t>
        </is>
      </c>
      <c r="F11095" s="3" t="n">
        <v>2167.75</v>
      </c>
      <c r="G11095" s="3" t="n">
        <v>4255</v>
      </c>
    </row>
    <row r="11096">
      <c r="A11096" s="3" t="inlineStr">
        <is>
          <t>Trademark Holdings (Pty) Ltd</t>
        </is>
      </c>
      <c r="B11096" s="4" t="n">
        <v>44865</v>
      </c>
      <c r="C11096" s="3" t="inlineStr">
        <is>
          <t>Expenses</t>
        </is>
      </c>
      <c r="D11096" s="3" t="inlineStr">
        <is>
          <t>3300/130</t>
        </is>
      </c>
      <c r="E11096" s="3" t="inlineStr">
        <is>
          <t>Computer IT - Internet/Hosting Fees</t>
        </is>
      </c>
      <c r="F11096" s="3" t="n">
        <v>0</v>
      </c>
      <c r="G11096" s="3" t="n">
        <v>-3599.5</v>
      </c>
    </row>
    <row r="11097">
      <c r="A11097" s="3" t="inlineStr">
        <is>
          <t>Opportunity Management Holdings (PTY) LTD</t>
        </is>
      </c>
      <c r="B11097" s="4" t="n">
        <v>44865</v>
      </c>
      <c r="C11097" s="3" t="inlineStr">
        <is>
          <t>Expenses</t>
        </is>
      </c>
      <c r="D11097" s="3" t="inlineStr">
        <is>
          <t>3300/140</t>
        </is>
      </c>
      <c r="E11097" s="3" t="inlineStr">
        <is>
          <t>Computer IT</t>
        </is>
      </c>
      <c r="F11097" s="3" t="n">
        <v>15072.9</v>
      </c>
      <c r="G11097" s="3" t="n">
        <v>15072.9</v>
      </c>
    </row>
    <row r="11098">
      <c r="A11098" s="3" t="inlineStr">
        <is>
          <t>Trademark Holdings (Pty) Ltd</t>
        </is>
      </c>
      <c r="B11098" s="4" t="n">
        <v>44865</v>
      </c>
      <c r="C11098" s="3" t="inlineStr">
        <is>
          <t>Expenses</t>
        </is>
      </c>
      <c r="D11098" s="3" t="inlineStr">
        <is>
          <t>3300/145</t>
        </is>
      </c>
      <c r="E11098" s="3" t="inlineStr">
        <is>
          <t>Computer IT - Cloud Solve</t>
        </is>
      </c>
      <c r="F11098" s="3" t="n">
        <v>1725</v>
      </c>
      <c r="G11098" s="3" t="n">
        <v>6313.5</v>
      </c>
    </row>
    <row r="11099">
      <c r="A11099" s="3" t="inlineStr">
        <is>
          <t>Noble Shield (Pty) Ltd ta Go Letting</t>
        </is>
      </c>
      <c r="B11099" s="4" t="n">
        <v>44865</v>
      </c>
      <c r="C11099" s="3" t="inlineStr">
        <is>
          <t>Expenses</t>
        </is>
      </c>
      <c r="D11099" s="3" t="inlineStr">
        <is>
          <t>3300/170</t>
        </is>
      </c>
      <c r="E11099" s="3" t="inlineStr">
        <is>
          <t>Computer IT - VDB office Fibre</t>
        </is>
      </c>
      <c r="F11099" s="3" t="n">
        <v>0</v>
      </c>
      <c r="G11099" s="3" t="n">
        <v>1580</v>
      </c>
    </row>
    <row r="11100">
      <c r="A11100" s="3" t="inlineStr">
        <is>
          <t>Trademark Holdings (Pty) Ltd</t>
        </is>
      </c>
      <c r="B11100" s="4" t="n">
        <v>44865</v>
      </c>
      <c r="C11100" s="3" t="inlineStr">
        <is>
          <t>Expenses</t>
        </is>
      </c>
      <c r="D11100" s="3" t="inlineStr">
        <is>
          <t>3350/000</t>
        </is>
      </c>
      <c r="E11100" s="3" t="inlineStr">
        <is>
          <t>Consulting Fees</t>
        </is>
      </c>
      <c r="F11100" s="3" t="n">
        <v>29400</v>
      </c>
      <c r="G11100" s="3" t="n">
        <v>58800</v>
      </c>
    </row>
    <row r="11101">
      <c r="A11101" s="3" t="inlineStr">
        <is>
          <t>Opportunity Management Holdings (PTY) LTD</t>
        </is>
      </c>
      <c r="B11101" s="4" t="n">
        <v>44865</v>
      </c>
      <c r="C11101" s="3" t="inlineStr">
        <is>
          <t>Expenses</t>
        </is>
      </c>
      <c r="D11101" s="3" t="inlineStr">
        <is>
          <t>3350/100</t>
        </is>
      </c>
      <c r="E11101" s="3" t="inlineStr">
        <is>
          <t>Consulting Fee - Dirk Coetzee</t>
        </is>
      </c>
      <c r="F11101" s="3" t="n">
        <v>6000</v>
      </c>
      <c r="G11101" s="3" t="n">
        <v>12000</v>
      </c>
    </row>
    <row r="11102">
      <c r="A11102" s="3" t="inlineStr">
        <is>
          <t>Quinate Consulting (Pty) Ltd</t>
        </is>
      </c>
      <c r="B11102" s="4" t="n">
        <v>44865</v>
      </c>
      <c r="C11102" s="3" t="inlineStr">
        <is>
          <t>Expenses</t>
        </is>
      </c>
      <c r="D11102" s="3" t="inlineStr">
        <is>
          <t>3350/100</t>
        </is>
      </c>
      <c r="E11102" s="3" t="inlineStr">
        <is>
          <t>Consulting Fees</t>
        </is>
      </c>
      <c r="F11102" s="3" t="n">
        <v>0</v>
      </c>
      <c r="G11102" s="3" t="n">
        <v>-15000</v>
      </c>
    </row>
    <row r="11103">
      <c r="A11103" s="3" t="inlineStr">
        <is>
          <t>Endulini (Pty) Ltd</t>
        </is>
      </c>
      <c r="B11103" s="4" t="n">
        <v>44865</v>
      </c>
      <c r="C11103" s="3" t="inlineStr">
        <is>
          <t>Expenses</t>
        </is>
      </c>
      <c r="D11103" s="3" t="inlineStr">
        <is>
          <t>3350/100</t>
        </is>
      </c>
      <c r="E11103" s="3" t="inlineStr">
        <is>
          <t>Consulting Fees - Admin and Finance</t>
        </is>
      </c>
      <c r="F11103" s="3" t="n">
        <v>90550</v>
      </c>
      <c r="G11103" s="3" t="n">
        <v>670540.6800000001</v>
      </c>
    </row>
    <row r="11104">
      <c r="A11104" s="3" t="inlineStr">
        <is>
          <t>Opportunity Global Investment (PTY) LTD</t>
        </is>
      </c>
      <c r="B11104" s="4" t="n">
        <v>44865</v>
      </c>
      <c r="C11104" s="3" t="inlineStr">
        <is>
          <t>Expenses</t>
        </is>
      </c>
      <c r="D11104" s="3" t="inlineStr">
        <is>
          <t>3350/100</t>
        </is>
      </c>
      <c r="E11104" s="3" t="inlineStr">
        <is>
          <t>Consulting Fees - Admin and Finance</t>
        </is>
      </c>
      <c r="F11104" s="3" t="n">
        <v>28300</v>
      </c>
      <c r="G11104" s="3" t="n">
        <v>57825</v>
      </c>
    </row>
    <row r="11105">
      <c r="A11105" s="3" t="inlineStr">
        <is>
          <t>Opportunity Global Sales (PTY) LTD</t>
        </is>
      </c>
      <c r="B11105" s="4" t="n">
        <v>44865</v>
      </c>
      <c r="C11105" s="3" t="inlineStr">
        <is>
          <t>Expenses</t>
        </is>
      </c>
      <c r="D11105" s="3" t="inlineStr">
        <is>
          <t>3350/100</t>
        </is>
      </c>
      <c r="E11105" s="3" t="inlineStr">
        <is>
          <t>Consulting Fees - Admin and Finance</t>
        </is>
      </c>
      <c r="F11105" s="3" t="n">
        <v>15550</v>
      </c>
      <c r="G11105" s="3" t="n">
        <v>68410</v>
      </c>
    </row>
    <row r="11106">
      <c r="A11106" s="3" t="inlineStr">
        <is>
          <t>Opportunity Global Sales (PTY) LTD</t>
        </is>
      </c>
      <c r="B11106" s="4" t="n">
        <v>44865</v>
      </c>
      <c r="C11106" s="3" t="inlineStr">
        <is>
          <t>Expenses</t>
        </is>
      </c>
      <c r="D11106" s="3" t="inlineStr">
        <is>
          <t>3350/200</t>
        </is>
      </c>
      <c r="E11106" s="3" t="inlineStr">
        <is>
          <t>Consulting Fees - Agent Karien Muller</t>
        </is>
      </c>
      <c r="F11106" s="3" t="n">
        <v>10000</v>
      </c>
      <c r="G11106" s="3" t="n">
        <v>30000</v>
      </c>
    </row>
    <row r="11107">
      <c r="A11107" s="3" t="inlineStr">
        <is>
          <t>Opportunity Global Investment (PTY) LTD</t>
        </is>
      </c>
      <c r="B11107" s="4" t="n">
        <v>44865</v>
      </c>
      <c r="C11107" s="3" t="inlineStr">
        <is>
          <t>Expenses</t>
        </is>
      </c>
      <c r="D11107" s="3" t="inlineStr">
        <is>
          <t>3350/200</t>
        </is>
      </c>
      <c r="E11107" s="3" t="inlineStr">
        <is>
          <t>Consulting Fees - Rockfin</t>
        </is>
      </c>
      <c r="F11107" s="3" t="n">
        <v>33850</v>
      </c>
      <c r="G11107" s="3" t="n">
        <v>62700</v>
      </c>
    </row>
    <row r="11108">
      <c r="A11108" s="3" t="inlineStr">
        <is>
          <t>Quinate Consulting (Pty) Ltd</t>
        </is>
      </c>
      <c r="B11108" s="4" t="n">
        <v>44865</v>
      </c>
      <c r="C11108" s="3" t="inlineStr">
        <is>
          <t>Expenses</t>
        </is>
      </c>
      <c r="D11108" s="3" t="inlineStr">
        <is>
          <t>3350/300</t>
        </is>
      </c>
      <c r="E11108" s="3" t="inlineStr">
        <is>
          <t>Consulting Fees - Admin and Finance</t>
        </is>
      </c>
      <c r="F11108" s="3" t="n">
        <v>2000</v>
      </c>
      <c r="G11108" s="3" t="n">
        <v>17700</v>
      </c>
    </row>
    <row r="11109">
      <c r="A11109" s="3" t="inlineStr">
        <is>
          <t>Opportunity Global Investment (PTY) LTD</t>
        </is>
      </c>
      <c r="B11109" s="4" t="n">
        <v>44865</v>
      </c>
      <c r="C11109" s="3" t="inlineStr">
        <is>
          <t>Expenses</t>
        </is>
      </c>
      <c r="D11109" s="3" t="inlineStr">
        <is>
          <t>3351/000</t>
        </is>
      </c>
      <c r="E11109" s="3" t="inlineStr">
        <is>
          <t>Consulting Fees - HR Joblaw</t>
        </is>
      </c>
      <c r="F11109" s="3" t="n">
        <v>1455.3</v>
      </c>
      <c r="G11109" s="3" t="n">
        <v>11221.2</v>
      </c>
    </row>
    <row r="11110">
      <c r="A11110" s="3" t="inlineStr">
        <is>
          <t>Quinate Consulting (Pty) Ltd</t>
        </is>
      </c>
      <c r="B11110" s="4" t="n">
        <v>44865</v>
      </c>
      <c r="C11110" s="3" t="inlineStr">
        <is>
          <t>Expenses</t>
        </is>
      </c>
      <c r="D11110" s="3" t="inlineStr">
        <is>
          <t>3351/000</t>
        </is>
      </c>
      <c r="E11110" s="3" t="inlineStr">
        <is>
          <t>Consulting fees - Trustees</t>
        </is>
      </c>
      <c r="F11110" s="3" t="n">
        <v>12600</v>
      </c>
      <c r="G11110" s="3" t="n">
        <v>73800</v>
      </c>
    </row>
    <row r="11111">
      <c r="A11111" s="3" t="inlineStr">
        <is>
          <t>Opportunity Global Investment (PTY) LTD</t>
        </is>
      </c>
      <c r="B11111" s="4" t="n">
        <v>44865</v>
      </c>
      <c r="C11111" s="3" t="inlineStr">
        <is>
          <t>Expenses</t>
        </is>
      </c>
      <c r="D11111" s="3" t="inlineStr">
        <is>
          <t>3352/000</t>
        </is>
      </c>
      <c r="E11111" s="3" t="inlineStr">
        <is>
          <t>Consulting Fees - Kert Scalzini</t>
        </is>
      </c>
      <c r="F11111" s="3" t="n">
        <v>0</v>
      </c>
      <c r="G11111" s="3" t="n">
        <v>20000</v>
      </c>
    </row>
    <row r="11112">
      <c r="A11112" s="3" t="inlineStr">
        <is>
          <t>Opportunity Global Investment (PTY) LTD</t>
        </is>
      </c>
      <c r="B11112" s="4" t="n">
        <v>44865</v>
      </c>
      <c r="C11112" s="3" t="inlineStr">
        <is>
          <t>Expenses</t>
        </is>
      </c>
      <c r="D11112" s="3" t="inlineStr">
        <is>
          <t>3353/000</t>
        </is>
      </c>
      <c r="E11112" s="3" t="inlineStr">
        <is>
          <t>Consulting Fees - Yolanda Steyn</t>
        </is>
      </c>
      <c r="F11112" s="3" t="n">
        <v>0</v>
      </c>
      <c r="G11112" s="3" t="n">
        <v>2000</v>
      </c>
    </row>
    <row r="11113">
      <c r="A11113" s="3" t="inlineStr">
        <is>
          <t>Quinate Consulting (Pty) Ltd</t>
        </is>
      </c>
      <c r="B11113" s="4" t="n">
        <v>44865</v>
      </c>
      <c r="C11113" s="3" t="inlineStr">
        <is>
          <t>Expenses</t>
        </is>
      </c>
      <c r="D11113" s="3" t="inlineStr">
        <is>
          <t>3450/001</t>
        </is>
      </c>
      <c r="E11113" s="3" t="inlineStr">
        <is>
          <t>Depreciation - Computer Equipment</t>
        </is>
      </c>
      <c r="F11113" s="3" t="n">
        <v>3141.39</v>
      </c>
      <c r="G11113" s="3" t="n">
        <v>25131.05</v>
      </c>
    </row>
    <row r="11114">
      <c r="A11114" s="3" t="inlineStr">
        <is>
          <t>Quinate Consulting (Pty) Ltd</t>
        </is>
      </c>
      <c r="B11114" s="4" t="n">
        <v>44865</v>
      </c>
      <c r="C11114" s="3" t="inlineStr">
        <is>
          <t>Expenses</t>
        </is>
      </c>
      <c r="D11114" s="3" t="inlineStr">
        <is>
          <t>3450/002</t>
        </is>
      </c>
      <c r="E11114" s="3" t="inlineStr">
        <is>
          <t>Depreciation - Site Containers</t>
        </is>
      </c>
      <c r="F11114" s="3" t="n">
        <v>318.84</v>
      </c>
      <c r="G11114" s="3" t="n">
        <v>2550.72</v>
      </c>
    </row>
    <row r="11115">
      <c r="A11115" s="3" t="inlineStr">
        <is>
          <t>Opportunity Global Sales (PTY) LTD</t>
        </is>
      </c>
      <c r="B11115" s="4" t="n">
        <v>44865</v>
      </c>
      <c r="C11115" s="3" t="inlineStr">
        <is>
          <t>Expenses</t>
        </is>
      </c>
      <c r="D11115" s="3" t="inlineStr">
        <is>
          <t>3450/030</t>
        </is>
      </c>
      <c r="E11115" s="3" t="inlineStr">
        <is>
          <t>Depreciation - Furniture and Fittings</t>
        </is>
      </c>
      <c r="F11115" s="3" t="n">
        <v>408.06</v>
      </c>
      <c r="G11115" s="3" t="n">
        <v>1632.21</v>
      </c>
    </row>
    <row r="11116">
      <c r="A11116" s="3" t="inlineStr">
        <is>
          <t>Opportunity Management Holdings (PTY) LTD</t>
        </is>
      </c>
      <c r="B11116" s="4" t="n">
        <v>44865</v>
      </c>
      <c r="C11116" s="3" t="inlineStr">
        <is>
          <t>Expenses</t>
        </is>
      </c>
      <c r="D11116" s="3" t="inlineStr">
        <is>
          <t>3451/000</t>
        </is>
      </c>
      <c r="E11116" s="3" t="inlineStr">
        <is>
          <t>Depreciation - Computer Equipment</t>
        </is>
      </c>
      <c r="F11116" s="3" t="n">
        <v>668.52</v>
      </c>
      <c r="G11116" s="3" t="n">
        <v>1337.03</v>
      </c>
    </row>
    <row r="11117">
      <c r="A11117" s="3" t="inlineStr">
        <is>
          <t>Quinate Consulting (Pty) Ltd</t>
        </is>
      </c>
      <c r="B11117" s="4" t="n">
        <v>44865</v>
      </c>
      <c r="C11117" s="3" t="inlineStr">
        <is>
          <t>Expenses</t>
        </is>
      </c>
      <c r="D11117" s="3" t="inlineStr">
        <is>
          <t>3600/000</t>
        </is>
      </c>
      <c r="E11117" s="3" t="inlineStr">
        <is>
          <t>Donations</t>
        </is>
      </c>
      <c r="F11117" s="3" t="n">
        <v>535</v>
      </c>
      <c r="G11117" s="3" t="n">
        <v>4280</v>
      </c>
    </row>
    <row r="11118">
      <c r="A11118" s="3" t="inlineStr">
        <is>
          <t>Endulini (Pty) Ltd</t>
        </is>
      </c>
      <c r="B11118" s="4" t="n">
        <v>44865</v>
      </c>
      <c r="C11118" s="3" t="inlineStr">
        <is>
          <t>Expenses</t>
        </is>
      </c>
      <c r="D11118" s="3" t="inlineStr">
        <is>
          <t>3630/000</t>
        </is>
      </c>
      <c r="E11118" s="3" t="inlineStr">
        <is>
          <t>Electricity</t>
        </is>
      </c>
      <c r="F11118" s="3" t="n">
        <v>0</v>
      </c>
      <c r="G11118" s="3" t="n">
        <v>6713.99</v>
      </c>
    </row>
    <row r="11119">
      <c r="A11119" s="3" t="inlineStr">
        <is>
          <t>Noble Shield (Pty) Ltd ta Go Letting</t>
        </is>
      </c>
      <c r="B11119" s="4" t="n">
        <v>44865</v>
      </c>
      <c r="C11119" s="3" t="inlineStr">
        <is>
          <t>Expenses</t>
        </is>
      </c>
      <c r="D11119" s="3" t="inlineStr">
        <is>
          <t>3650/000</t>
        </is>
      </c>
      <c r="E11119" s="3" t="inlineStr">
        <is>
          <t>Electricity _AND_ Water</t>
        </is>
      </c>
      <c r="F11119" s="3" t="n">
        <v>500</v>
      </c>
      <c r="G11119" s="3" t="n">
        <v>1000</v>
      </c>
    </row>
    <row r="11120">
      <c r="A11120" s="3" t="inlineStr">
        <is>
          <t>Opportunity Global Investment (PTY) LTD</t>
        </is>
      </c>
      <c r="B11120" s="4" t="n">
        <v>44865</v>
      </c>
      <c r="C11120" s="3" t="inlineStr">
        <is>
          <t>Expenses</t>
        </is>
      </c>
      <c r="D11120" s="3" t="inlineStr">
        <is>
          <t>3650/000</t>
        </is>
      </c>
      <c r="E11120" s="3" t="inlineStr">
        <is>
          <t>Electricity _AND_ Water</t>
        </is>
      </c>
      <c r="F11120" s="3" t="n">
        <v>2950</v>
      </c>
      <c r="G11120" s="3" t="n">
        <v>23600</v>
      </c>
    </row>
    <row r="11121">
      <c r="A11121" s="3" t="inlineStr">
        <is>
          <t>Endulini (Pty) Ltd</t>
        </is>
      </c>
      <c r="B11121" s="4" t="n">
        <v>44865</v>
      </c>
      <c r="C11121" s="3" t="inlineStr">
        <is>
          <t>Expenses</t>
        </is>
      </c>
      <c r="D11121" s="3" t="inlineStr">
        <is>
          <t>3650/000</t>
        </is>
      </c>
      <c r="E11121" s="3" t="inlineStr">
        <is>
          <t>Water</t>
        </is>
      </c>
      <c r="F11121" s="3" t="n">
        <v>0</v>
      </c>
      <c r="G11121" s="3" t="n">
        <v>4310.7</v>
      </c>
    </row>
    <row r="11122">
      <c r="A11122" s="3" t="inlineStr">
        <is>
          <t>Noble Shield (Pty) Ltd ta Go Letting</t>
        </is>
      </c>
      <c r="B11122" s="4" t="n">
        <v>44865</v>
      </c>
      <c r="C11122" s="3" t="inlineStr">
        <is>
          <t>Expenses</t>
        </is>
      </c>
      <c r="D11122" s="3" t="inlineStr">
        <is>
          <t>3651/000</t>
        </is>
      </c>
      <c r="E11122" s="3" t="inlineStr">
        <is>
          <t>Electricity _AND_ Water - Rentals</t>
        </is>
      </c>
      <c r="F11122" s="3" t="n">
        <v>1000</v>
      </c>
      <c r="G11122" s="3" t="n">
        <v>1000</v>
      </c>
    </row>
    <row r="11123">
      <c r="A11123" s="3" t="inlineStr">
        <is>
          <t>Quinate Consulting (Pty) Ltd</t>
        </is>
      </c>
      <c r="B11123" s="4" t="n">
        <v>44865</v>
      </c>
      <c r="C11123" s="3" t="inlineStr">
        <is>
          <t>Expenses</t>
        </is>
      </c>
      <c r="D11123" s="3" t="inlineStr">
        <is>
          <t>3651/000</t>
        </is>
      </c>
      <c r="E11123" s="3" t="inlineStr">
        <is>
          <t>Electricity _AND_ Water - Southwark</t>
        </is>
      </c>
      <c r="F11123" s="3" t="n">
        <v>35595.46</v>
      </c>
      <c r="G11123" s="3" t="n">
        <v>132430.56</v>
      </c>
    </row>
    <row r="11124">
      <c r="A11124" s="3" t="inlineStr">
        <is>
          <t>Quinate Consulting (Pty) Ltd</t>
        </is>
      </c>
      <c r="B11124" s="4" t="n">
        <v>44865</v>
      </c>
      <c r="C11124" s="3" t="inlineStr">
        <is>
          <t>Expenses</t>
        </is>
      </c>
      <c r="D11124" s="3" t="inlineStr">
        <is>
          <t>3652/000</t>
        </is>
      </c>
      <c r="E11124" s="3" t="inlineStr">
        <is>
          <t>Electricity _AND_ Water - Soho</t>
        </is>
      </c>
      <c r="F11124" s="3" t="n">
        <v>21300.81</v>
      </c>
      <c r="G11124" s="3" t="n">
        <v>207013.86</v>
      </c>
    </row>
    <row r="11125">
      <c r="A11125" s="3" t="inlineStr">
        <is>
          <t>Opportunity Global Investment (PTY) LTD</t>
        </is>
      </c>
      <c r="B11125" s="4" t="n">
        <v>44865</v>
      </c>
      <c r="C11125" s="3" t="inlineStr">
        <is>
          <t>Expenses</t>
        </is>
      </c>
      <c r="D11125" s="3" t="inlineStr">
        <is>
          <t>3700/000</t>
        </is>
      </c>
      <c r="E11125" s="3" t="inlineStr">
        <is>
          <t>Entertainment Expenses</t>
        </is>
      </c>
      <c r="F11125" s="3" t="n">
        <v>1550</v>
      </c>
      <c r="G11125" s="3" t="n">
        <v>8007.36</v>
      </c>
    </row>
    <row r="11126">
      <c r="A11126" s="3" t="inlineStr">
        <is>
          <t>Opportunity Global Sales (PTY) LTD</t>
        </is>
      </c>
      <c r="B11126" s="4" t="n">
        <v>44865</v>
      </c>
      <c r="C11126" s="3" t="inlineStr">
        <is>
          <t>Expenses</t>
        </is>
      </c>
      <c r="D11126" s="3" t="inlineStr">
        <is>
          <t>3700/000</t>
        </is>
      </c>
      <c r="E11126" s="3" t="inlineStr">
        <is>
          <t>Entertainment Expenses</t>
        </is>
      </c>
      <c r="F11126" s="3" t="n">
        <v>220</v>
      </c>
      <c r="G11126" s="3" t="n">
        <v>220</v>
      </c>
    </row>
    <row r="11127">
      <c r="A11127" s="3" t="inlineStr">
        <is>
          <t>Opportunity Management Holdings (PTY) LTD</t>
        </is>
      </c>
      <c r="B11127" s="4" t="n">
        <v>44865</v>
      </c>
      <c r="C11127" s="3" t="inlineStr">
        <is>
          <t>Expenses</t>
        </is>
      </c>
      <c r="D11127" s="3" t="inlineStr">
        <is>
          <t>3700/000</t>
        </is>
      </c>
      <c r="E11127" s="3" t="inlineStr">
        <is>
          <t>Entertainment Expenses</t>
        </is>
      </c>
      <c r="F11127" s="3" t="n">
        <v>58.98</v>
      </c>
      <c r="G11127" s="3" t="n">
        <v>103.98</v>
      </c>
    </row>
    <row r="11128">
      <c r="A11128" s="3" t="inlineStr">
        <is>
          <t>Quinate Consulting (Pty) Ltd</t>
        </is>
      </c>
      <c r="B11128" s="4" t="n">
        <v>44865</v>
      </c>
      <c r="C11128" s="3" t="inlineStr">
        <is>
          <t>Expenses</t>
        </is>
      </c>
      <c r="D11128" s="3" t="inlineStr">
        <is>
          <t>3700/000</t>
        </is>
      </c>
      <c r="E11128" s="3" t="inlineStr">
        <is>
          <t>Entertainment Expenses</t>
        </is>
      </c>
      <c r="F11128" s="3" t="n">
        <v>299</v>
      </c>
      <c r="G11128" s="3" t="n">
        <v>6713.81</v>
      </c>
    </row>
    <row r="11129">
      <c r="A11129" s="3" t="inlineStr">
        <is>
          <t>Opportunity Global Investment (PTY) LTD</t>
        </is>
      </c>
      <c r="B11129" s="4" t="n">
        <v>44865</v>
      </c>
      <c r="C11129" s="3" t="inlineStr">
        <is>
          <t>Expenses</t>
        </is>
      </c>
      <c r="D11129" s="3" t="inlineStr">
        <is>
          <t>3800/010</t>
        </is>
      </c>
      <c r="E11129" s="3" t="inlineStr">
        <is>
          <t>General Expences - Gifts</t>
        </is>
      </c>
      <c r="F11129" s="3" t="n">
        <v>0</v>
      </c>
      <c r="G11129" s="3" t="n">
        <v>600.99</v>
      </c>
    </row>
    <row r="11130">
      <c r="A11130" s="3" t="inlineStr">
        <is>
          <t>Opportunity Management Holdings (PTY) LTD</t>
        </is>
      </c>
      <c r="B11130" s="4" t="n">
        <v>44865</v>
      </c>
      <c r="C11130" s="3" t="inlineStr">
        <is>
          <t>Expenses</t>
        </is>
      </c>
      <c r="D11130" s="3" t="inlineStr">
        <is>
          <t>3850/000</t>
        </is>
      </c>
      <c r="E11130" s="3" t="inlineStr">
        <is>
          <t>Insurance - Momentum</t>
        </is>
      </c>
      <c r="F11130" s="3" t="n">
        <v>1469.51</v>
      </c>
      <c r="G11130" s="3" t="n">
        <v>2939.02</v>
      </c>
    </row>
    <row r="11131">
      <c r="A11131" s="3" t="inlineStr">
        <is>
          <t>Noble Shield (Pty) Ltd ta Go Letting</t>
        </is>
      </c>
      <c r="B11131" s="4" t="n">
        <v>44865</v>
      </c>
      <c r="C11131" s="3" t="inlineStr">
        <is>
          <t>Expenses</t>
        </is>
      </c>
      <c r="D11131" s="3" t="inlineStr">
        <is>
          <t>3850/100</t>
        </is>
      </c>
      <c r="E11131" s="3" t="inlineStr">
        <is>
          <t>Insurance - Santam</t>
        </is>
      </c>
      <c r="F11131" s="3" t="n">
        <v>3754.19</v>
      </c>
      <c r="G11131" s="3" t="n">
        <v>7508.38</v>
      </c>
    </row>
    <row r="11132">
      <c r="A11132" s="3" t="inlineStr">
        <is>
          <t>Noble Shield (Pty) Ltd ta Go Letting</t>
        </is>
      </c>
      <c r="B11132" s="4" t="n">
        <v>44865</v>
      </c>
      <c r="C11132" s="3" t="inlineStr">
        <is>
          <t>Expenses</t>
        </is>
      </c>
      <c r="D11132" s="3" t="inlineStr">
        <is>
          <t>3850/200</t>
        </is>
      </c>
      <c r="E11132" s="3" t="inlineStr">
        <is>
          <t>Insurance - A_AND_G</t>
        </is>
      </c>
      <c r="F11132" s="3" t="n">
        <v>1796</v>
      </c>
      <c r="G11132" s="3" t="n">
        <v>3592</v>
      </c>
    </row>
    <row r="11133">
      <c r="A11133" s="3" t="inlineStr">
        <is>
          <t>Quinate Consulting (Pty) Ltd</t>
        </is>
      </c>
      <c r="B11133" s="4" t="n">
        <v>44865</v>
      </c>
      <c r="C11133" s="3" t="inlineStr">
        <is>
          <t>Expenses</t>
        </is>
      </c>
      <c r="D11133" s="3" t="inlineStr">
        <is>
          <t>3851/000</t>
        </is>
      </c>
      <c r="E11133" s="3" t="inlineStr">
        <is>
          <t>Insurance - Momentum</t>
        </is>
      </c>
      <c r="F11133" s="3" t="n">
        <v>7990.64</v>
      </c>
      <c r="G11133" s="3" t="n">
        <v>55772.15</v>
      </c>
    </row>
    <row r="11134">
      <c r="A11134" s="3" t="inlineStr">
        <is>
          <t>Quinate Consulting (Pty) Ltd</t>
        </is>
      </c>
      <c r="B11134" s="4" t="n">
        <v>44865</v>
      </c>
      <c r="C11134" s="3" t="inlineStr">
        <is>
          <t>Expenses</t>
        </is>
      </c>
      <c r="D11134" s="3" t="inlineStr">
        <is>
          <t>3900/000</t>
        </is>
      </c>
      <c r="E11134" s="3" t="inlineStr">
        <is>
          <t>Interest Paid</t>
        </is>
      </c>
      <c r="F11134" s="3" t="n">
        <v>236.17</v>
      </c>
      <c r="G11134" s="3" t="n">
        <v>1164.87</v>
      </c>
    </row>
    <row r="11135">
      <c r="A11135" s="3" t="inlineStr">
        <is>
          <t>Quinate Consulting (Pty) Ltd</t>
        </is>
      </c>
      <c r="B11135" s="4" t="n">
        <v>44865</v>
      </c>
      <c r="C11135" s="3" t="inlineStr">
        <is>
          <t>Expenses</t>
        </is>
      </c>
      <c r="D11135" s="3" t="inlineStr">
        <is>
          <t>3900/050</t>
        </is>
      </c>
      <c r="E11135" s="3" t="inlineStr">
        <is>
          <t>Interest Paid - STD Bond Accounts</t>
        </is>
      </c>
      <c r="F11135" s="3" t="n">
        <v>57010.1</v>
      </c>
      <c r="G11135" s="3" t="n">
        <v>395616.65</v>
      </c>
    </row>
    <row r="11136">
      <c r="A11136" s="3" t="inlineStr">
        <is>
          <t>Endulini (Pty) Ltd</t>
        </is>
      </c>
      <c r="B11136" s="4" t="n">
        <v>44865</v>
      </c>
      <c r="C11136" s="3" t="inlineStr">
        <is>
          <t>Expenses</t>
        </is>
      </c>
      <c r="D11136" s="3" t="inlineStr">
        <is>
          <t>3900/111</t>
        </is>
      </c>
      <c r="E11136" s="3" t="inlineStr">
        <is>
          <t>Interest Paid - Investors @ 6.25%</t>
        </is>
      </c>
      <c r="F11136" s="3" t="n">
        <v>54546.25</v>
      </c>
      <c r="G11136" s="3" t="n">
        <v>508838.31</v>
      </c>
    </row>
    <row r="11137">
      <c r="A11137" s="3" t="inlineStr">
        <is>
          <t>Endulini (Pty) Ltd</t>
        </is>
      </c>
      <c r="B11137" s="4" t="n">
        <v>44865</v>
      </c>
      <c r="C11137" s="3" t="inlineStr">
        <is>
          <t>Expenses</t>
        </is>
      </c>
      <c r="D11137" s="3" t="inlineStr">
        <is>
          <t>3900/112</t>
        </is>
      </c>
      <c r="E11137" s="3" t="inlineStr">
        <is>
          <t>Interest Paid - Investors @ 6.5%</t>
        </is>
      </c>
      <c r="F11137" s="3" t="n">
        <v>7915.74</v>
      </c>
      <c r="G11137" s="3" t="n">
        <v>42882.69</v>
      </c>
    </row>
    <row r="11138">
      <c r="A11138" s="3" t="inlineStr">
        <is>
          <t>Endulini (Pty) Ltd</t>
        </is>
      </c>
      <c r="B11138" s="4" t="n">
        <v>44865</v>
      </c>
      <c r="C11138" s="3" t="inlineStr">
        <is>
          <t>Expenses</t>
        </is>
      </c>
      <c r="D11138" s="3" t="inlineStr">
        <is>
          <t>3900/113</t>
        </is>
      </c>
      <c r="E11138" s="3" t="inlineStr">
        <is>
          <t>Interest Paid - Investors @ 6.75%</t>
        </is>
      </c>
      <c r="F11138" s="3" t="n">
        <v>73.97</v>
      </c>
      <c r="G11138" s="3" t="n">
        <v>73.97</v>
      </c>
    </row>
    <row r="11139">
      <c r="A11139" s="3" t="inlineStr">
        <is>
          <t>Endulini (Pty) Ltd</t>
        </is>
      </c>
      <c r="B11139" s="4" t="n">
        <v>44865</v>
      </c>
      <c r="C11139" s="3" t="inlineStr">
        <is>
          <t>Expenses</t>
        </is>
      </c>
      <c r="D11139" s="3" t="inlineStr">
        <is>
          <t>3900/120</t>
        </is>
      </c>
      <c r="E11139" s="3" t="inlineStr">
        <is>
          <t>Interest Paid - Investors @ 7%</t>
        </is>
      </c>
      <c r="F11139" s="3" t="n">
        <v>22880.61</v>
      </c>
      <c r="G11139" s="3" t="n">
        <v>43401.3</v>
      </c>
    </row>
    <row r="11140">
      <c r="A11140" s="3" t="inlineStr">
        <is>
          <t>Endulini (Pty) Ltd</t>
        </is>
      </c>
      <c r="B11140" s="4" t="n">
        <v>44865</v>
      </c>
      <c r="C11140" s="3" t="inlineStr">
        <is>
          <t>Expenses</t>
        </is>
      </c>
      <c r="D11140" s="3" t="inlineStr">
        <is>
          <t>3900/121</t>
        </is>
      </c>
      <c r="E11140" s="3" t="inlineStr">
        <is>
          <t>Interest Paid - Investors @ 7.25%</t>
        </is>
      </c>
      <c r="F11140" s="3" t="n">
        <v>6952.05</v>
      </c>
      <c r="G11140" s="3" t="n">
        <v>6952.05</v>
      </c>
    </row>
    <row r="11141">
      <c r="A11141" s="3" t="inlineStr">
        <is>
          <t>Endulini (Pty) Ltd</t>
        </is>
      </c>
      <c r="B11141" s="4" t="n">
        <v>44865</v>
      </c>
      <c r="C11141" s="3" t="inlineStr">
        <is>
          <t>Expenses</t>
        </is>
      </c>
      <c r="D11141" s="3" t="inlineStr">
        <is>
          <t>3900/122</t>
        </is>
      </c>
      <c r="E11141" s="3" t="inlineStr">
        <is>
          <t>Interest Paid - Investors @ 7.5%</t>
        </is>
      </c>
      <c r="F11141" s="3" t="n">
        <v>5753.42</v>
      </c>
      <c r="G11141" s="3" t="n">
        <v>13561.64</v>
      </c>
    </row>
    <row r="11142">
      <c r="A11142" s="3" t="inlineStr">
        <is>
          <t>Endulini (Pty) Ltd</t>
        </is>
      </c>
      <c r="B11142" s="4" t="n">
        <v>44865</v>
      </c>
      <c r="C11142" s="3" t="inlineStr">
        <is>
          <t>Expenses</t>
        </is>
      </c>
      <c r="D11142" s="3" t="inlineStr">
        <is>
          <t>3900/123</t>
        </is>
      </c>
      <c r="E11142" s="3" t="inlineStr">
        <is>
          <t>Interest Paid - Investors @ 7.75%</t>
        </is>
      </c>
      <c r="F11142" s="3" t="n">
        <v>5945.21</v>
      </c>
      <c r="G11142" s="3" t="n">
        <v>5945.21</v>
      </c>
    </row>
    <row r="11143">
      <c r="A11143" s="3" t="inlineStr">
        <is>
          <t>Endulini (Pty) Ltd</t>
        </is>
      </c>
      <c r="B11143" s="4" t="n">
        <v>44865</v>
      </c>
      <c r="C11143" s="3" t="inlineStr">
        <is>
          <t>Expenses</t>
        </is>
      </c>
      <c r="D11143" s="3" t="inlineStr">
        <is>
          <t>3900/130</t>
        </is>
      </c>
      <c r="E11143" s="3" t="inlineStr">
        <is>
          <t>Interest Paid - Investors @ 8%</t>
        </is>
      </c>
      <c r="F11143" s="3" t="n">
        <v>0</v>
      </c>
      <c r="G11143" s="3" t="n">
        <v>8309.6</v>
      </c>
    </row>
    <row r="11144">
      <c r="A11144" s="3" t="inlineStr">
        <is>
          <t>Endulini (Pty) Ltd</t>
        </is>
      </c>
      <c r="B11144" s="4" t="n">
        <v>44865</v>
      </c>
      <c r="C11144" s="3" t="inlineStr">
        <is>
          <t>Expenses</t>
        </is>
      </c>
      <c r="D11144" s="3" t="inlineStr">
        <is>
          <t>3900/131</t>
        </is>
      </c>
      <c r="E11144" s="3" t="inlineStr">
        <is>
          <t>Interest Paid - Investors @ 8.25%</t>
        </is>
      </c>
      <c r="F11144" s="3" t="n">
        <v>7797.94</v>
      </c>
      <c r="G11144" s="3" t="n">
        <v>7797.94</v>
      </c>
    </row>
    <row r="11145">
      <c r="A11145" s="3" t="inlineStr">
        <is>
          <t>Endulini (Pty) Ltd</t>
        </is>
      </c>
      <c r="B11145" s="4" t="n">
        <v>44865</v>
      </c>
      <c r="C11145" s="3" t="inlineStr">
        <is>
          <t>Expenses</t>
        </is>
      </c>
      <c r="D11145" s="3" t="inlineStr">
        <is>
          <t>3900/140</t>
        </is>
      </c>
      <c r="E11145" s="3" t="inlineStr">
        <is>
          <t>Interest Paid - Investors @ 9%</t>
        </is>
      </c>
      <c r="F11145" s="3" t="n">
        <v>8260.27</v>
      </c>
      <c r="G11145" s="3" t="n">
        <v>12562.51</v>
      </c>
    </row>
    <row r="11146">
      <c r="A11146" s="3" t="inlineStr">
        <is>
          <t>Endulini (Pty) Ltd</t>
        </is>
      </c>
      <c r="B11146" s="4" t="n">
        <v>44865</v>
      </c>
      <c r="C11146" s="3" t="inlineStr">
        <is>
          <t>Expenses</t>
        </is>
      </c>
      <c r="D11146" s="3" t="inlineStr">
        <is>
          <t>3900/143</t>
        </is>
      </c>
      <c r="E11146" s="3" t="inlineStr">
        <is>
          <t>Interest Paid - Investors @ 9.75%</t>
        </is>
      </c>
      <c r="F11146" s="3" t="n">
        <v>1469.19</v>
      </c>
      <c r="G11146" s="3" t="n">
        <v>1469.19</v>
      </c>
    </row>
    <row r="11147">
      <c r="A11147" s="3" t="inlineStr">
        <is>
          <t>Quinate Consulting (Pty) Ltd</t>
        </is>
      </c>
      <c r="B11147" s="4" t="n">
        <v>44865</v>
      </c>
      <c r="C11147" s="3" t="inlineStr">
        <is>
          <t>Expenses</t>
        </is>
      </c>
      <c r="D11147" s="3" t="inlineStr">
        <is>
          <t>3900/150</t>
        </is>
      </c>
      <c r="E11147" s="3" t="inlineStr">
        <is>
          <t>Interest Paid - Suppliers</t>
        </is>
      </c>
      <c r="F11147" s="3" t="n">
        <v>0</v>
      </c>
      <c r="G11147" s="3" t="n">
        <v>926.21</v>
      </c>
    </row>
    <row r="11148">
      <c r="A11148" s="3" t="inlineStr">
        <is>
          <t>Quinate Consulting (Pty) Ltd</t>
        </is>
      </c>
      <c r="B11148" s="4" t="n">
        <v>44865</v>
      </c>
      <c r="C11148" s="3" t="inlineStr">
        <is>
          <t>Expenses</t>
        </is>
      </c>
      <c r="D11148" s="3" t="inlineStr">
        <is>
          <t>3900/152</t>
        </is>
      </c>
      <c r="E11148" s="3" t="inlineStr">
        <is>
          <t>Interest Paid - Gengis</t>
        </is>
      </c>
      <c r="F11148" s="3" t="n">
        <v>1528.77</v>
      </c>
      <c r="G11148" s="3" t="n">
        <v>12082.2</v>
      </c>
    </row>
    <row r="11149">
      <c r="A11149" s="3" t="inlineStr">
        <is>
          <t>Endulini (Pty) Ltd</t>
        </is>
      </c>
      <c r="B11149" s="4" t="n">
        <v>44865</v>
      </c>
      <c r="C11149" s="3" t="inlineStr">
        <is>
          <t>Expenses</t>
        </is>
      </c>
      <c r="D11149" s="3" t="inlineStr">
        <is>
          <t>3900/190</t>
        </is>
      </c>
      <c r="E11149" s="3" t="inlineStr">
        <is>
          <t>Interest Paid - Investors @ 14%</t>
        </is>
      </c>
      <c r="F11149" s="3" t="n">
        <v>93367.94</v>
      </c>
      <c r="G11149" s="3" t="n">
        <v>100366.9</v>
      </c>
    </row>
    <row r="11150">
      <c r="A11150" s="3" t="inlineStr">
        <is>
          <t>Endulini (Pty) Ltd</t>
        </is>
      </c>
      <c r="B11150" s="4" t="n">
        <v>44865</v>
      </c>
      <c r="C11150" s="3" t="inlineStr">
        <is>
          <t>Expenses</t>
        </is>
      </c>
      <c r="D11150" s="3" t="inlineStr">
        <is>
          <t>3900/200</t>
        </is>
      </c>
      <c r="E11150" s="3" t="inlineStr">
        <is>
          <t>Interest Paid - Investors @ 15%</t>
        </is>
      </c>
      <c r="F11150" s="3" t="n">
        <v>387986.3</v>
      </c>
      <c r="G11150" s="3" t="n">
        <v>510596.24</v>
      </c>
    </row>
    <row r="11151">
      <c r="A11151" s="3" t="inlineStr">
        <is>
          <t>Endulini (Pty) Ltd</t>
        </is>
      </c>
      <c r="B11151" s="4" t="n">
        <v>44865</v>
      </c>
      <c r="C11151" s="3" t="inlineStr">
        <is>
          <t>Expenses</t>
        </is>
      </c>
      <c r="D11151" s="3" t="inlineStr">
        <is>
          <t>3900/210</t>
        </is>
      </c>
      <c r="E11151" s="3" t="inlineStr">
        <is>
          <t>Interest Paid - Investors @ 16%</t>
        </is>
      </c>
      <c r="F11151" s="3" t="n">
        <v>98739.73</v>
      </c>
      <c r="G11151" s="3" t="n">
        <v>98739.73</v>
      </c>
    </row>
    <row r="11152">
      <c r="A11152" s="3" t="inlineStr">
        <is>
          <t>Endulini (Pty) Ltd</t>
        </is>
      </c>
      <c r="B11152" s="4" t="n">
        <v>44865</v>
      </c>
      <c r="C11152" s="3" t="inlineStr">
        <is>
          <t>Expenses</t>
        </is>
      </c>
      <c r="D11152" s="3" t="inlineStr">
        <is>
          <t>3900/230</t>
        </is>
      </c>
      <c r="E11152" s="3" t="inlineStr">
        <is>
          <t>Interest Paid - Investors @ 18%</t>
        </is>
      </c>
      <c r="F11152" s="3" t="n">
        <v>651363.51</v>
      </c>
      <c r="G11152" s="3" t="n">
        <v>6062350.34</v>
      </c>
    </row>
    <row r="11153">
      <c r="A11153" s="3" t="inlineStr">
        <is>
          <t>Opportunity Global Investment (PTY) LTD</t>
        </is>
      </c>
      <c r="B11153" s="4" t="n">
        <v>44865</v>
      </c>
      <c r="C11153" s="3" t="inlineStr">
        <is>
          <t>Expenses</t>
        </is>
      </c>
      <c r="D11153" s="3" t="inlineStr">
        <is>
          <t>3901/000</t>
        </is>
      </c>
      <c r="E11153" s="3" t="inlineStr">
        <is>
          <t>Interest Paid - Department of Labour</t>
        </is>
      </c>
      <c r="F11153" s="3" t="n">
        <v>0</v>
      </c>
      <c r="G11153" s="3" t="n">
        <v>1488.4</v>
      </c>
    </row>
    <row r="11154">
      <c r="A11154" s="3" t="inlineStr">
        <is>
          <t>Opportunity Management Holdings (PTY) LTD</t>
        </is>
      </c>
      <c r="B11154" s="4" t="n">
        <v>44865</v>
      </c>
      <c r="C11154" s="3" t="inlineStr">
        <is>
          <t>Expenses</t>
        </is>
      </c>
      <c r="D11154" s="3" t="inlineStr">
        <is>
          <t>3960/000</t>
        </is>
      </c>
      <c r="E11154" s="3" t="inlineStr">
        <is>
          <t>Internet Fees</t>
        </is>
      </c>
      <c r="F11154" s="3" t="n">
        <v>548.77</v>
      </c>
      <c r="G11154" s="3" t="n">
        <v>1077.63</v>
      </c>
    </row>
    <row r="11155">
      <c r="A11155" s="3" t="inlineStr">
        <is>
          <t>Quinate Consulting (Pty) Ltd</t>
        </is>
      </c>
      <c r="B11155" s="4" t="n">
        <v>44865</v>
      </c>
      <c r="C11155" s="3" t="inlineStr">
        <is>
          <t>Expenses</t>
        </is>
      </c>
      <c r="D11155" s="3" t="inlineStr">
        <is>
          <t>4000/000</t>
        </is>
      </c>
      <c r="E11155" s="3" t="inlineStr">
        <is>
          <t>Legal Fees</t>
        </is>
      </c>
      <c r="F11155" s="3" t="n">
        <v>0</v>
      </c>
      <c r="G11155" s="3" t="n">
        <v>61720</v>
      </c>
    </row>
    <row r="11156">
      <c r="A11156" s="3" t="inlineStr">
        <is>
          <t>Quinate Consulting (Pty) Ltd</t>
        </is>
      </c>
      <c r="B11156" s="4" t="n">
        <v>44865</v>
      </c>
      <c r="C11156" s="3" t="inlineStr">
        <is>
          <t>Expenses</t>
        </is>
      </c>
      <c r="D11156" s="3" t="inlineStr">
        <is>
          <t>4065/000</t>
        </is>
      </c>
      <c r="E11156" s="3" t="inlineStr">
        <is>
          <t>Levies - SoHo</t>
        </is>
      </c>
      <c r="F11156" s="3" t="n">
        <v>6466.98</v>
      </c>
      <c r="G11156" s="3" t="n">
        <v>56955.7</v>
      </c>
    </row>
    <row r="11157">
      <c r="A11157" s="3" t="inlineStr">
        <is>
          <t>Quinate Consulting (Pty) Ltd</t>
        </is>
      </c>
      <c r="B11157" s="4" t="n">
        <v>44865</v>
      </c>
      <c r="C11157" s="3" t="inlineStr">
        <is>
          <t>Expenses</t>
        </is>
      </c>
      <c r="D11157" s="3" t="inlineStr">
        <is>
          <t>4066/000</t>
        </is>
      </c>
      <c r="E11157" s="3" t="inlineStr">
        <is>
          <t>Levies - Southwark</t>
        </is>
      </c>
      <c r="F11157" s="3" t="n">
        <v>3422.18</v>
      </c>
      <c r="G11157" s="3" t="n">
        <v>25042.04</v>
      </c>
    </row>
    <row r="11158">
      <c r="A11158" s="3" t="inlineStr">
        <is>
          <t>Endulini (Pty) Ltd</t>
        </is>
      </c>
      <c r="B11158" s="4" t="n">
        <v>44865</v>
      </c>
      <c r="C11158" s="3" t="inlineStr">
        <is>
          <t>Expenses</t>
        </is>
      </c>
      <c r="D11158" s="3" t="inlineStr">
        <is>
          <t>4100/001</t>
        </is>
      </c>
      <c r="E11158" s="3" t="inlineStr">
        <is>
          <t>Momentum Admin Fee</t>
        </is>
      </c>
      <c r="F11158" s="3" t="n">
        <v>1.07</v>
      </c>
      <c r="G11158" s="3" t="n">
        <v>52359.06</v>
      </c>
    </row>
    <row r="11159">
      <c r="A11159" s="3" t="inlineStr">
        <is>
          <t>Quinate Consulting (Pty) Ltd</t>
        </is>
      </c>
      <c r="B11159" s="4" t="n">
        <v>44865</v>
      </c>
      <c r="C11159" s="3" t="inlineStr">
        <is>
          <t>Expenses</t>
        </is>
      </c>
      <c r="D11159" s="3" t="inlineStr">
        <is>
          <t>4100/001</t>
        </is>
      </c>
      <c r="E11159" s="3" t="inlineStr">
        <is>
          <t>Momentum Advise Fee</t>
        </is>
      </c>
      <c r="F11159" s="3" t="n">
        <v>0.21</v>
      </c>
      <c r="G11159" s="3" t="n">
        <v>1.71</v>
      </c>
    </row>
    <row r="11160">
      <c r="A11160" s="3" t="inlineStr">
        <is>
          <t>Opportunity Global Investment (PTY) LTD</t>
        </is>
      </c>
      <c r="B11160" s="4" t="n">
        <v>44865</v>
      </c>
      <c r="C11160" s="3" t="inlineStr">
        <is>
          <t>Expenses</t>
        </is>
      </c>
      <c r="D11160" s="3" t="inlineStr">
        <is>
          <t>4100/100</t>
        </is>
      </c>
      <c r="E11160" s="3" t="inlineStr">
        <is>
          <t>Members Salaries - Nick Morgan</t>
        </is>
      </c>
      <c r="F11160" s="3" t="n">
        <v>40937.18</v>
      </c>
      <c r="G11160" s="3" t="n">
        <v>327497.46</v>
      </c>
    </row>
    <row r="11161">
      <c r="A11161" s="3" t="inlineStr">
        <is>
          <t>Opportunity Global Investment (PTY) LTD</t>
        </is>
      </c>
      <c r="B11161" s="4" t="n">
        <v>44865</v>
      </c>
      <c r="C11161" s="3" t="inlineStr">
        <is>
          <t>Expenses</t>
        </is>
      </c>
      <c r="D11161" s="3" t="inlineStr">
        <is>
          <t>4200/000</t>
        </is>
      </c>
      <c r="E11161" s="3" t="inlineStr">
        <is>
          <t>Printing _AND_ Stationery</t>
        </is>
      </c>
      <c r="F11161" s="3" t="n">
        <v>2367</v>
      </c>
      <c r="G11161" s="3" t="n">
        <v>18936</v>
      </c>
    </row>
    <row r="11162">
      <c r="A11162" s="3" t="inlineStr">
        <is>
          <t>Opportunity Global Sales (PTY) LTD</t>
        </is>
      </c>
      <c r="B11162" s="4" t="n">
        <v>44865</v>
      </c>
      <c r="C11162" s="3" t="inlineStr">
        <is>
          <t>Expenses</t>
        </is>
      </c>
      <c r="D11162" s="3" t="inlineStr">
        <is>
          <t>4200/000</t>
        </is>
      </c>
      <c r="E11162" s="3" t="inlineStr">
        <is>
          <t>Printing _AND_ Stationery</t>
        </is>
      </c>
      <c r="F11162" s="3" t="n">
        <v>2475</v>
      </c>
      <c r="G11162" s="3" t="n">
        <v>2695</v>
      </c>
    </row>
    <row r="11163">
      <c r="A11163" s="3" t="inlineStr">
        <is>
          <t>Opportunity Management Holdings (PTY) LTD</t>
        </is>
      </c>
      <c r="B11163" s="4" t="n">
        <v>44865</v>
      </c>
      <c r="C11163" s="3" t="inlineStr">
        <is>
          <t>Expenses</t>
        </is>
      </c>
      <c r="D11163" s="3" t="inlineStr">
        <is>
          <t>4200/000</t>
        </is>
      </c>
      <c r="E11163" s="3" t="inlineStr">
        <is>
          <t>Printing _AND_ Stationery</t>
        </is>
      </c>
      <c r="F11163" s="3" t="n">
        <v>2978.26</v>
      </c>
      <c r="G11163" s="3" t="n">
        <v>6848.63</v>
      </c>
    </row>
    <row r="11164">
      <c r="A11164" s="3" t="inlineStr">
        <is>
          <t>Quinate Consulting (Pty) Ltd</t>
        </is>
      </c>
      <c r="B11164" s="4" t="n">
        <v>44865</v>
      </c>
      <c r="C11164" s="3" t="inlineStr">
        <is>
          <t>Expenses</t>
        </is>
      </c>
      <c r="D11164" s="3" t="inlineStr">
        <is>
          <t>4200/000</t>
        </is>
      </c>
      <c r="E11164" s="3" t="inlineStr">
        <is>
          <t>Printing _AND_ Stationery</t>
        </is>
      </c>
      <c r="F11164" s="3" t="n">
        <v>0</v>
      </c>
      <c r="G11164" s="3" t="n">
        <v>1232.17</v>
      </c>
    </row>
    <row r="11165">
      <c r="A11165" s="3" t="inlineStr">
        <is>
          <t>Noble Shield (Pty) Ltd ta Go Letting</t>
        </is>
      </c>
      <c r="B11165" s="4" t="n">
        <v>44865</v>
      </c>
      <c r="C11165" s="3" t="inlineStr">
        <is>
          <t>Expenses</t>
        </is>
      </c>
      <c r="D11165" s="3" t="inlineStr">
        <is>
          <t>4200/100</t>
        </is>
      </c>
      <c r="E11165" s="3" t="inlineStr">
        <is>
          <t>Printing - Merchant West- Printer Rental</t>
        </is>
      </c>
      <c r="F11165" s="3" t="n">
        <v>1619.05</v>
      </c>
      <c r="G11165" s="3" t="n">
        <v>3247.89</v>
      </c>
    </row>
    <row r="11166">
      <c r="A11166" s="3" t="inlineStr">
        <is>
          <t>Noble Shield (Pty) Ltd ta Go Letting</t>
        </is>
      </c>
      <c r="B11166" s="4" t="n">
        <v>44865</v>
      </c>
      <c r="C11166" s="3" t="inlineStr">
        <is>
          <t>Expenses</t>
        </is>
      </c>
      <c r="D11166" s="3" t="inlineStr">
        <is>
          <t>4200/120</t>
        </is>
      </c>
      <c r="E11166" s="3" t="inlineStr">
        <is>
          <t>Printing - Ivy Line - Prints</t>
        </is>
      </c>
      <c r="F11166" s="3" t="n">
        <v>873.97</v>
      </c>
      <c r="G11166" s="3" t="n">
        <v>2035.62</v>
      </c>
    </row>
    <row r="11167">
      <c r="A11167" s="3" t="inlineStr">
        <is>
          <t>Noble Shield (Pty) Ltd ta Go Letting</t>
        </is>
      </c>
      <c r="B11167" s="4" t="n">
        <v>44865</v>
      </c>
      <c r="C11167" s="3" t="inlineStr">
        <is>
          <t>Expenses</t>
        </is>
      </c>
      <c r="D11167" s="3" t="inlineStr">
        <is>
          <t>4200/180</t>
        </is>
      </c>
      <c r="E11167" s="3" t="inlineStr">
        <is>
          <t>Printing - Ikon</t>
        </is>
      </c>
      <c r="F11167" s="3" t="n">
        <v>92</v>
      </c>
      <c r="G11167" s="3" t="n">
        <v>184</v>
      </c>
    </row>
    <row r="11168">
      <c r="A11168" s="3" t="inlineStr">
        <is>
          <t>Noble Shield (Pty) Ltd ta Go Letting</t>
        </is>
      </c>
      <c r="B11168" s="4" t="n">
        <v>44865</v>
      </c>
      <c r="C11168" s="3" t="inlineStr">
        <is>
          <t>Expenses</t>
        </is>
      </c>
      <c r="D11168" s="3" t="inlineStr">
        <is>
          <t>4200/190</t>
        </is>
      </c>
      <c r="E11168" s="3" t="inlineStr">
        <is>
          <t>Printing - Centrafin printer rental</t>
        </is>
      </c>
      <c r="F11168" s="3" t="n">
        <v>2553.77</v>
      </c>
      <c r="G11168" s="3" t="n">
        <v>5107.54</v>
      </c>
    </row>
    <row r="11169">
      <c r="A11169" s="3" t="inlineStr">
        <is>
          <t>Noble Shield (Pty) Ltd ta Go Letting</t>
        </is>
      </c>
      <c r="B11169" s="4" t="n">
        <v>44865</v>
      </c>
      <c r="C11169" s="3" t="inlineStr">
        <is>
          <t>Expenses</t>
        </is>
      </c>
      <c r="D11169" s="3" t="inlineStr">
        <is>
          <t>4200/200</t>
        </is>
      </c>
      <c r="E11169" s="3" t="inlineStr">
        <is>
          <t>Printing - General Stationery VDB Office</t>
        </is>
      </c>
      <c r="F11169" s="3" t="n">
        <v>0</v>
      </c>
      <c r="G11169" s="3" t="n">
        <v>2403.2</v>
      </c>
    </row>
    <row r="11170">
      <c r="A11170" s="3" t="inlineStr">
        <is>
          <t>Noble Shield (Pty) Ltd ta Go Letting</t>
        </is>
      </c>
      <c r="B11170" s="4" t="n">
        <v>44865</v>
      </c>
      <c r="C11170" s="3" t="inlineStr">
        <is>
          <t>Expenses</t>
        </is>
      </c>
      <c r="D11170" s="3" t="inlineStr">
        <is>
          <t>4290/000</t>
        </is>
      </c>
      <c r="E11170" s="3" t="inlineStr">
        <is>
          <t>Refreshments - CT Office</t>
        </is>
      </c>
      <c r="F11170" s="3" t="n">
        <v>977.62</v>
      </c>
      <c r="G11170" s="3" t="n">
        <v>1787.34</v>
      </c>
    </row>
    <row r="11171">
      <c r="A11171" s="3" t="inlineStr">
        <is>
          <t>Opportunity Global Investment (PTY) LTD</t>
        </is>
      </c>
      <c r="B11171" s="4" t="n">
        <v>44865</v>
      </c>
      <c r="C11171" s="3" t="inlineStr">
        <is>
          <t>Expenses</t>
        </is>
      </c>
      <c r="D11171" s="3" t="inlineStr">
        <is>
          <t>4290/000</t>
        </is>
      </c>
      <c r="E11171" s="3" t="inlineStr">
        <is>
          <t>Rent</t>
        </is>
      </c>
      <c r="F11171" s="3" t="n">
        <v>8770</v>
      </c>
      <c r="G11171" s="3" t="n">
        <v>70160</v>
      </c>
    </row>
    <row r="11172">
      <c r="A11172" s="3" t="inlineStr">
        <is>
          <t>Noble Shield (Pty) Ltd ta Go Letting</t>
        </is>
      </c>
      <c r="B11172" s="4" t="n">
        <v>44865</v>
      </c>
      <c r="C11172" s="3" t="inlineStr">
        <is>
          <t>Expenses</t>
        </is>
      </c>
      <c r="D11172" s="3" t="inlineStr">
        <is>
          <t>4291/000</t>
        </is>
      </c>
      <c r="E11172" s="3" t="inlineStr">
        <is>
          <t>Refreshments - VDB Office</t>
        </is>
      </c>
      <c r="F11172" s="3" t="n">
        <v>283.65</v>
      </c>
      <c r="G11172" s="3" t="n">
        <v>1029.55</v>
      </c>
    </row>
    <row r="11173">
      <c r="A11173" s="3" t="inlineStr">
        <is>
          <t>Trademark Holdings (Pty) Ltd</t>
        </is>
      </c>
      <c r="B11173" s="4" t="n">
        <v>44865</v>
      </c>
      <c r="C11173" s="3" t="inlineStr">
        <is>
          <t>Expenses</t>
        </is>
      </c>
      <c r="D11173" s="3" t="inlineStr">
        <is>
          <t>4300/000</t>
        </is>
      </c>
      <c r="E11173" s="3" t="inlineStr">
        <is>
          <t>Rent Paid</t>
        </is>
      </c>
      <c r="F11173" s="3" t="n">
        <v>6427.32</v>
      </c>
      <c r="G11173" s="3" t="n">
        <v>12854.64</v>
      </c>
    </row>
    <row r="11174">
      <c r="A11174" s="3" t="inlineStr">
        <is>
          <t>Endulini (Pty) Ltd</t>
        </is>
      </c>
      <c r="B11174" s="4" t="n">
        <v>44865</v>
      </c>
      <c r="C11174" s="3" t="inlineStr">
        <is>
          <t>Expenses</t>
        </is>
      </c>
      <c r="D11174" s="3" t="inlineStr">
        <is>
          <t>4310/000</t>
        </is>
      </c>
      <c r="E11174" s="3" t="inlineStr">
        <is>
          <t>Rates</t>
        </is>
      </c>
      <c r="F11174" s="3" t="n">
        <v>0</v>
      </c>
      <c r="G11174" s="3" t="n">
        <v>28266.66</v>
      </c>
    </row>
    <row r="11175">
      <c r="A11175" s="3" t="inlineStr">
        <is>
          <t>Opportunity Global Investment (PTY) LTD</t>
        </is>
      </c>
      <c r="B11175" s="4" t="n">
        <v>44865</v>
      </c>
      <c r="C11175" s="3" t="inlineStr">
        <is>
          <t>Expenses</t>
        </is>
      </c>
      <c r="D11175" s="3" t="inlineStr">
        <is>
          <t>4310/000</t>
        </is>
      </c>
      <c r="E11175" s="3" t="inlineStr">
        <is>
          <t>Refreshments</t>
        </is>
      </c>
      <c r="F11175" s="3" t="n">
        <v>2521</v>
      </c>
      <c r="G11175" s="3" t="n">
        <v>20168</v>
      </c>
    </row>
    <row r="11176">
      <c r="A11176" s="3" t="inlineStr">
        <is>
          <t>Opportunity Management Holdings (PTY) LTD</t>
        </is>
      </c>
      <c r="B11176" s="4" t="n">
        <v>44865</v>
      </c>
      <c r="C11176" s="3" t="inlineStr">
        <is>
          <t>Expenses</t>
        </is>
      </c>
      <c r="D11176" s="3" t="inlineStr">
        <is>
          <t>4310/000</t>
        </is>
      </c>
      <c r="E11176" s="3" t="inlineStr">
        <is>
          <t>Refreshments</t>
        </is>
      </c>
      <c r="F11176" s="3" t="n">
        <v>2020.22</v>
      </c>
      <c r="G11176" s="3" t="n">
        <v>3651.13</v>
      </c>
    </row>
    <row r="11177">
      <c r="A11177" s="3" t="inlineStr">
        <is>
          <t>Quinate Consulting (Pty) Ltd</t>
        </is>
      </c>
      <c r="B11177" s="4" t="n">
        <v>44865</v>
      </c>
      <c r="C11177" s="3" t="inlineStr">
        <is>
          <t>Expenses</t>
        </is>
      </c>
      <c r="D11177" s="3" t="inlineStr">
        <is>
          <t>4312/000</t>
        </is>
      </c>
      <c r="E11177" s="3" t="inlineStr">
        <is>
          <t>Rates - SoHo Units</t>
        </is>
      </c>
      <c r="F11177" s="3" t="n">
        <v>2597.74</v>
      </c>
      <c r="G11177" s="3" t="n">
        <v>19623.25</v>
      </c>
    </row>
    <row r="11178">
      <c r="A11178" s="3" t="inlineStr">
        <is>
          <t>Endulini (Pty) Ltd</t>
        </is>
      </c>
      <c r="B11178" s="4" t="n">
        <v>44865</v>
      </c>
      <c r="C11178" s="3" t="inlineStr">
        <is>
          <t>Expenses</t>
        </is>
      </c>
      <c r="D11178" s="3" t="inlineStr">
        <is>
          <t>4350/000</t>
        </is>
      </c>
      <c r="E11178" s="3" t="inlineStr">
        <is>
          <t>Repairs _AND_ Maintenance</t>
        </is>
      </c>
      <c r="F11178" s="3" t="n">
        <v>3415.69</v>
      </c>
      <c r="G11178" s="3" t="n">
        <v>3415.69</v>
      </c>
    </row>
    <row r="11179">
      <c r="A11179" s="3" t="inlineStr">
        <is>
          <t>Quinate Consulting (Pty) Ltd</t>
        </is>
      </c>
      <c r="B11179" s="4" t="n">
        <v>44865</v>
      </c>
      <c r="C11179" s="3" t="inlineStr">
        <is>
          <t>Expenses</t>
        </is>
      </c>
      <c r="D11179" s="3" t="inlineStr">
        <is>
          <t>4350/000</t>
        </is>
      </c>
      <c r="E11179" s="3" t="inlineStr">
        <is>
          <t>Repairs and Maintenance - Southwark Units</t>
        </is>
      </c>
      <c r="F11179" s="3" t="n">
        <v>0</v>
      </c>
      <c r="G11179" s="3" t="n">
        <v>15420.12</v>
      </c>
    </row>
    <row r="11180">
      <c r="A11180" s="3" t="inlineStr">
        <is>
          <t>Noble Shield (Pty) Ltd ta Go Letting</t>
        </is>
      </c>
      <c r="B11180" s="4" t="n">
        <v>44865</v>
      </c>
      <c r="C11180" s="3" t="inlineStr">
        <is>
          <t>Expenses</t>
        </is>
      </c>
      <c r="D11180" s="3" t="inlineStr">
        <is>
          <t>4351/000</t>
        </is>
      </c>
      <c r="E11180" s="3" t="inlineStr">
        <is>
          <t>Repairs _AND_ Maintanence - Rentals</t>
        </is>
      </c>
      <c r="F11180" s="3" t="n">
        <v>59.14</v>
      </c>
      <c r="G11180" s="3" t="n">
        <v>59.14</v>
      </c>
    </row>
    <row r="11181">
      <c r="A11181" s="3" t="inlineStr">
        <is>
          <t>Opportunity Global Investment (PTY) LTD</t>
        </is>
      </c>
      <c r="B11181" s="4" t="n">
        <v>44865</v>
      </c>
      <c r="C11181" s="3" t="inlineStr">
        <is>
          <t>Expenses</t>
        </is>
      </c>
      <c r="D11181" s="3" t="inlineStr">
        <is>
          <t>4360/000</t>
        </is>
      </c>
      <c r="E11181" s="3" t="inlineStr">
        <is>
          <t>Secretarial - CIPC</t>
        </is>
      </c>
      <c r="F11181" s="3" t="n">
        <v>0</v>
      </c>
      <c r="G11181" s="3" t="n">
        <v>600</v>
      </c>
    </row>
    <row r="11182">
      <c r="A11182" s="3" t="inlineStr">
        <is>
          <t>Opportunity Global Sales (PTY) LTD</t>
        </is>
      </c>
      <c r="B11182" s="4" t="n">
        <v>44865</v>
      </c>
      <c r="C11182" s="3" t="inlineStr">
        <is>
          <t>Expenses</t>
        </is>
      </c>
      <c r="D11182" s="3" t="inlineStr">
        <is>
          <t>4390/000</t>
        </is>
      </c>
      <c r="E11182" s="3" t="inlineStr">
        <is>
          <t>Small Assets</t>
        </is>
      </c>
      <c r="F11182" s="3" t="n">
        <v>0</v>
      </c>
      <c r="G11182" s="3" t="n">
        <v>18486.87</v>
      </c>
    </row>
    <row r="11183">
      <c r="A11183" s="3" t="inlineStr">
        <is>
          <t>Opportunity Management Holdings (PTY) LTD</t>
        </is>
      </c>
      <c r="B11183" s="4" t="n">
        <v>44865</v>
      </c>
      <c r="C11183" s="3" t="inlineStr">
        <is>
          <t>Expenses</t>
        </is>
      </c>
      <c r="D11183" s="3" t="inlineStr">
        <is>
          <t>4390/000</t>
        </is>
      </c>
      <c r="E11183" s="3" t="inlineStr">
        <is>
          <t>Small Assets</t>
        </is>
      </c>
      <c r="F11183" s="3" t="n">
        <v>0</v>
      </c>
      <c r="G11183" s="3" t="n">
        <v>3476.52</v>
      </c>
    </row>
    <row r="11184">
      <c r="A11184" s="3" t="inlineStr">
        <is>
          <t>Noble Shield (Pty) Ltd ta Go Letting</t>
        </is>
      </c>
      <c r="B11184" s="4" t="n">
        <v>44865</v>
      </c>
      <c r="C11184" s="3" t="inlineStr">
        <is>
          <t>Expenses</t>
        </is>
      </c>
      <c r="D11184" s="3" t="inlineStr">
        <is>
          <t>4400/000</t>
        </is>
      </c>
      <c r="E11184" s="3" t="inlineStr">
        <is>
          <t>Salaries _AND_ Wages</t>
        </is>
      </c>
      <c r="F11184" s="3" t="n">
        <v>26848.19</v>
      </c>
      <c r="G11184" s="3" t="n">
        <v>53696.39</v>
      </c>
    </row>
    <row r="11185">
      <c r="A11185" s="3" t="inlineStr">
        <is>
          <t>Opportunity Global Sales (PTY) LTD</t>
        </is>
      </c>
      <c r="B11185" s="4" t="n">
        <v>44865</v>
      </c>
      <c r="C11185" s="3" t="inlineStr">
        <is>
          <t>Expenses</t>
        </is>
      </c>
      <c r="D11185" s="3" t="inlineStr">
        <is>
          <t>4400/000</t>
        </is>
      </c>
      <c r="E11185" s="3" t="inlineStr">
        <is>
          <t>Salaries _AND_ Wages</t>
        </is>
      </c>
      <c r="F11185" s="3" t="n">
        <v>41455.53</v>
      </c>
      <c r="G11185" s="3" t="n">
        <v>305354.97</v>
      </c>
    </row>
    <row r="11186">
      <c r="A11186" s="3" t="inlineStr">
        <is>
          <t>Opportunity Management Holdings (PTY) LTD</t>
        </is>
      </c>
      <c r="B11186" s="4" t="n">
        <v>44865</v>
      </c>
      <c r="C11186" s="3" t="inlineStr">
        <is>
          <t>Expenses</t>
        </is>
      </c>
      <c r="D11186" s="3" t="inlineStr">
        <is>
          <t>4400/000</t>
        </is>
      </c>
      <c r="E11186" s="3" t="inlineStr">
        <is>
          <t>Salaries _AND_ Wages</t>
        </is>
      </c>
      <c r="F11186" s="3" t="n">
        <v>227324.84</v>
      </c>
      <c r="G11186" s="3" t="n">
        <v>457008.04</v>
      </c>
    </row>
    <row r="11187">
      <c r="A11187" s="3" t="inlineStr">
        <is>
          <t>Trademark Holdings (Pty) Ltd</t>
        </is>
      </c>
      <c r="B11187" s="4" t="n">
        <v>44865</v>
      </c>
      <c r="C11187" s="3" t="inlineStr">
        <is>
          <t>Expenses</t>
        </is>
      </c>
      <c r="D11187" s="3" t="inlineStr">
        <is>
          <t>4400/000</t>
        </is>
      </c>
      <c r="E11187" s="3" t="inlineStr">
        <is>
          <t>Salaries _AND_ Wages</t>
        </is>
      </c>
      <c r="F11187" s="3" t="n">
        <v>12429.45</v>
      </c>
      <c r="G11187" s="3" t="n">
        <v>24858.9</v>
      </c>
    </row>
    <row r="11188">
      <c r="A11188" s="3" t="inlineStr">
        <is>
          <t>Opportunity Global Investment (PTY) LTD</t>
        </is>
      </c>
      <c r="B11188" s="4" t="n">
        <v>44865</v>
      </c>
      <c r="C11188" s="3" t="inlineStr">
        <is>
          <t>Expenses</t>
        </is>
      </c>
      <c r="D11188" s="3" t="inlineStr">
        <is>
          <t>4403/000</t>
        </is>
      </c>
      <c r="E11188" s="3" t="inlineStr">
        <is>
          <t>Study fees - Nick</t>
        </is>
      </c>
      <c r="F11188" s="3" t="n">
        <v>0</v>
      </c>
      <c r="G11188" s="3" t="n">
        <v>51825.9</v>
      </c>
    </row>
    <row r="11189">
      <c r="A11189" s="3" t="inlineStr">
        <is>
          <t>Trademark Holdings (Pty) Ltd</t>
        </is>
      </c>
      <c r="B11189" s="4" t="n">
        <v>44865</v>
      </c>
      <c r="C11189" s="3" t="inlineStr">
        <is>
          <t>Expenses</t>
        </is>
      </c>
      <c r="D11189" s="3" t="inlineStr">
        <is>
          <t>4410/000</t>
        </is>
      </c>
      <c r="E11189" s="3" t="inlineStr">
        <is>
          <t>Salaries _AND_ Wages - WCA</t>
        </is>
      </c>
      <c r="F11189" s="3" t="n">
        <v>0</v>
      </c>
      <c r="G11189" s="3" t="n">
        <v>1397.74</v>
      </c>
    </row>
    <row r="11190">
      <c r="A11190" s="3" t="inlineStr">
        <is>
          <t>Opportunity Global Investment (PTY) LTD</t>
        </is>
      </c>
      <c r="B11190" s="4" t="n">
        <v>44865</v>
      </c>
      <c r="C11190" s="3" t="inlineStr">
        <is>
          <t>Expenses</t>
        </is>
      </c>
      <c r="D11190" s="3" t="inlineStr">
        <is>
          <t>4500/000</t>
        </is>
      </c>
      <c r="E11190" s="3" t="inlineStr">
        <is>
          <t>Staff Welfare</t>
        </is>
      </c>
      <c r="F11190" s="3" t="n">
        <v>0</v>
      </c>
      <c r="G11190" s="3" t="n">
        <v>3951.25</v>
      </c>
    </row>
    <row r="11191">
      <c r="A11191" s="3" t="inlineStr">
        <is>
          <t>Opportunity Global Sales (PTY) LTD</t>
        </is>
      </c>
      <c r="B11191" s="4" t="n">
        <v>44865</v>
      </c>
      <c r="C11191" s="3" t="inlineStr">
        <is>
          <t>Expenses</t>
        </is>
      </c>
      <c r="D11191" s="3" t="inlineStr">
        <is>
          <t>4500/000</t>
        </is>
      </c>
      <c r="E11191" s="3" t="inlineStr">
        <is>
          <t>Staff Welfare</t>
        </is>
      </c>
      <c r="F11191" s="3" t="n">
        <v>2499</v>
      </c>
      <c r="G11191" s="3" t="n">
        <v>2499</v>
      </c>
    </row>
    <row r="11192">
      <c r="A11192" s="3" t="inlineStr">
        <is>
          <t>Opportunity Management Holdings (PTY) LTD</t>
        </is>
      </c>
      <c r="B11192" s="4" t="n">
        <v>44865</v>
      </c>
      <c r="C11192" s="3" t="inlineStr">
        <is>
          <t>Expenses</t>
        </is>
      </c>
      <c r="D11192" s="3" t="inlineStr">
        <is>
          <t>4500/000</t>
        </is>
      </c>
      <c r="E11192" s="3" t="inlineStr">
        <is>
          <t>Staff Welfare</t>
        </is>
      </c>
      <c r="F11192" s="3" t="n">
        <v>1363.05</v>
      </c>
      <c r="G11192" s="3" t="n">
        <v>3782.95</v>
      </c>
    </row>
    <row r="11193">
      <c r="A11193" s="3" t="inlineStr">
        <is>
          <t>Noble Shield (Pty) Ltd ta Go Letting</t>
        </is>
      </c>
      <c r="B11193" s="4" t="n">
        <v>44865</v>
      </c>
      <c r="C11193" s="3" t="inlineStr">
        <is>
          <t>Expenses</t>
        </is>
      </c>
      <c r="D11193" s="3" t="inlineStr">
        <is>
          <t>4520/000</t>
        </is>
      </c>
      <c r="E11193" s="3" t="inlineStr">
        <is>
          <t>Security</t>
        </is>
      </c>
      <c r="F11193" s="3" t="n">
        <v>741.25</v>
      </c>
      <c r="G11193" s="3" t="n">
        <v>1913.94</v>
      </c>
    </row>
    <row r="11194">
      <c r="A11194" s="3" t="inlineStr">
        <is>
          <t>Opportunity Global Sales (PTY) LTD</t>
        </is>
      </c>
      <c r="B11194" s="4" t="n">
        <v>44865</v>
      </c>
      <c r="C11194" s="3" t="inlineStr">
        <is>
          <t>Expenses</t>
        </is>
      </c>
      <c r="D11194" s="3" t="inlineStr">
        <is>
          <t>4550/000</t>
        </is>
      </c>
      <c r="E11194" s="3" t="inlineStr">
        <is>
          <t>Subscriptions - General</t>
        </is>
      </c>
      <c r="F11194" s="3" t="n">
        <v>695</v>
      </c>
      <c r="G11194" s="3" t="n">
        <v>1457.26</v>
      </c>
    </row>
    <row r="11195">
      <c r="A11195" s="3" t="inlineStr">
        <is>
          <t>Quinate Consulting (Pty) Ltd</t>
        </is>
      </c>
      <c r="B11195" s="4" t="n">
        <v>44865</v>
      </c>
      <c r="C11195" s="3" t="inlineStr">
        <is>
          <t>Expenses</t>
        </is>
      </c>
      <c r="D11195" s="3" t="inlineStr">
        <is>
          <t>4550/000</t>
        </is>
      </c>
      <c r="E11195" s="3" t="inlineStr">
        <is>
          <t>Subscriptions / Licenses</t>
        </is>
      </c>
      <c r="F11195" s="3" t="n">
        <v>9883.790000000001</v>
      </c>
      <c r="G11195" s="3" t="n">
        <v>74344.47</v>
      </c>
    </row>
    <row r="11196">
      <c r="A11196" s="3" t="inlineStr">
        <is>
          <t>Opportunity Management Holdings (PTY) LTD</t>
        </is>
      </c>
      <c r="B11196" s="4" t="n">
        <v>44865</v>
      </c>
      <c r="C11196" s="3" t="inlineStr">
        <is>
          <t>Expenses</t>
        </is>
      </c>
      <c r="D11196" s="3" t="inlineStr">
        <is>
          <t>4550/000</t>
        </is>
      </c>
      <c r="E11196" s="3" t="inlineStr">
        <is>
          <t>Subscriptions _AND_ Lisences</t>
        </is>
      </c>
      <c r="F11196" s="3" t="n">
        <v>1772.26</v>
      </c>
      <c r="G11196" s="3" t="n">
        <v>3497.74</v>
      </c>
    </row>
    <row r="11197">
      <c r="A11197" s="3" t="inlineStr">
        <is>
          <t>Opportunity Global Investment (PTY) LTD</t>
        </is>
      </c>
      <c r="B11197" s="4" t="n">
        <v>44865</v>
      </c>
      <c r="C11197" s="3" t="inlineStr">
        <is>
          <t>Expenses</t>
        </is>
      </c>
      <c r="D11197" s="3" t="inlineStr">
        <is>
          <t>4550/050</t>
        </is>
      </c>
      <c r="E11197" s="3" t="inlineStr">
        <is>
          <t>Subscriptions - EAAB</t>
        </is>
      </c>
      <c r="F11197" s="3" t="n">
        <v>2340</v>
      </c>
      <c r="G11197" s="3" t="n">
        <v>2340</v>
      </c>
    </row>
    <row r="11198">
      <c r="A11198" s="3" t="inlineStr">
        <is>
          <t>Noble Shield (Pty) Ltd ta Go Letting</t>
        </is>
      </c>
      <c r="B11198" s="4" t="n">
        <v>44865</v>
      </c>
      <c r="C11198" s="3" t="inlineStr">
        <is>
          <t>Expenses</t>
        </is>
      </c>
      <c r="D11198" s="3" t="inlineStr">
        <is>
          <t>4550/100</t>
        </is>
      </c>
      <c r="E11198" s="3" t="inlineStr">
        <is>
          <t>Subscriptions - EAAB</t>
        </is>
      </c>
      <c r="F11198" s="3" t="n">
        <v>2340</v>
      </c>
      <c r="G11198" s="3" t="n">
        <v>2340</v>
      </c>
    </row>
    <row r="11199">
      <c r="A11199" s="3" t="inlineStr">
        <is>
          <t>Trademark Holdings (Pty) Ltd</t>
        </is>
      </c>
      <c r="B11199" s="4" t="n">
        <v>44865</v>
      </c>
      <c r="C11199" s="3" t="inlineStr">
        <is>
          <t>Expenses</t>
        </is>
      </c>
      <c r="D11199" s="3" t="inlineStr">
        <is>
          <t>4550/100</t>
        </is>
      </c>
      <c r="E11199" s="3" t="inlineStr">
        <is>
          <t>Subscriptions - EAAB</t>
        </is>
      </c>
      <c r="F11199" s="3" t="n">
        <v>2340</v>
      </c>
      <c r="G11199" s="3" t="n">
        <v>2340</v>
      </c>
    </row>
    <row r="11200">
      <c r="A11200" s="3" t="inlineStr">
        <is>
          <t>Opportunity Global Investment (PTY) LTD</t>
        </is>
      </c>
      <c r="B11200" s="4" t="n">
        <v>44865</v>
      </c>
      <c r="C11200" s="3" t="inlineStr">
        <is>
          <t>Expenses</t>
        </is>
      </c>
      <c r="D11200" s="3" t="inlineStr">
        <is>
          <t>4550/150</t>
        </is>
      </c>
      <c r="E11200" s="3" t="inlineStr">
        <is>
          <t>Subscriptions - Webbox</t>
        </is>
      </c>
      <c r="F11200" s="3" t="n">
        <v>1259</v>
      </c>
      <c r="G11200" s="3" t="n">
        <v>9978</v>
      </c>
    </row>
    <row r="11201">
      <c r="A11201" s="3" t="inlineStr">
        <is>
          <t>Opportunity Global Investment (PTY) LTD</t>
        </is>
      </c>
      <c r="B11201" s="4" t="n">
        <v>44865</v>
      </c>
      <c r="C11201" s="3" t="inlineStr">
        <is>
          <t>Expenses</t>
        </is>
      </c>
      <c r="D11201" s="3" t="inlineStr">
        <is>
          <t>4550/200</t>
        </is>
      </c>
      <c r="E11201" s="3" t="inlineStr">
        <is>
          <t>Subscriptions - Zoom</t>
        </is>
      </c>
      <c r="F11201" s="3" t="n">
        <v>283.04</v>
      </c>
      <c r="G11201" s="3" t="n">
        <v>2041.98</v>
      </c>
    </row>
    <row r="11202">
      <c r="A11202" s="3" t="inlineStr">
        <is>
          <t>Opportunity Global Investment (PTY) LTD</t>
        </is>
      </c>
      <c r="B11202" s="4" t="n">
        <v>44865</v>
      </c>
      <c r="C11202" s="3" t="inlineStr">
        <is>
          <t>Expenses</t>
        </is>
      </c>
      <c r="D11202" s="3" t="inlineStr">
        <is>
          <t>4550/250</t>
        </is>
      </c>
      <c r="E11202" s="3" t="inlineStr">
        <is>
          <t>Subscriptions - LinkedIn</t>
        </is>
      </c>
      <c r="F11202" s="3" t="n">
        <v>1000.49</v>
      </c>
      <c r="G11202" s="3" t="n">
        <v>9004.41</v>
      </c>
    </row>
    <row r="11203">
      <c r="A11203" s="3" t="inlineStr">
        <is>
          <t>Opportunity Global Investment (PTY) LTD</t>
        </is>
      </c>
      <c r="B11203" s="4" t="n">
        <v>44865</v>
      </c>
      <c r="C11203" s="3" t="inlineStr">
        <is>
          <t>Expenses</t>
        </is>
      </c>
      <c r="D11203" s="3" t="inlineStr">
        <is>
          <t>4550/350</t>
        </is>
      </c>
      <c r="E11203" s="3" t="inlineStr">
        <is>
          <t>Subscriptions - Xero</t>
        </is>
      </c>
      <c r="F11203" s="3" t="n">
        <v>600</v>
      </c>
      <c r="G11203" s="3" t="n">
        <v>4800</v>
      </c>
    </row>
    <row r="11204">
      <c r="A11204" s="3" t="inlineStr">
        <is>
          <t>Opportunity Global Investment (PTY) LTD</t>
        </is>
      </c>
      <c r="B11204" s="4" t="n">
        <v>44865</v>
      </c>
      <c r="C11204" s="3" t="inlineStr">
        <is>
          <t>Expenses</t>
        </is>
      </c>
      <c r="D11204" s="3" t="inlineStr">
        <is>
          <t>4550/400</t>
        </is>
      </c>
      <c r="E11204" s="3" t="inlineStr">
        <is>
          <t>Subscriptions - Moneyweb</t>
        </is>
      </c>
      <c r="F11204" s="3" t="n">
        <v>54.78</v>
      </c>
      <c r="G11204" s="3" t="n">
        <v>438.24</v>
      </c>
    </row>
    <row r="11205">
      <c r="A11205" s="3" t="inlineStr">
        <is>
          <t>Trademark Holdings (Pty) Ltd</t>
        </is>
      </c>
      <c r="B11205" s="4" t="n">
        <v>44865</v>
      </c>
      <c r="C11205" s="3" t="inlineStr">
        <is>
          <t>Expenses</t>
        </is>
      </c>
      <c r="D11205" s="3" t="inlineStr">
        <is>
          <t>4550/400</t>
        </is>
      </c>
      <c r="E11205" s="3" t="inlineStr">
        <is>
          <t>Subscriptions - Xero</t>
        </is>
      </c>
      <c r="F11205" s="3" t="n">
        <v>600</v>
      </c>
      <c r="G11205" s="3" t="n">
        <v>1200</v>
      </c>
    </row>
    <row r="11206">
      <c r="A11206" s="3" t="inlineStr">
        <is>
          <t>Opportunity Global Investment (PTY) LTD</t>
        </is>
      </c>
      <c r="B11206" s="4" t="n">
        <v>44865</v>
      </c>
      <c r="C11206" s="3" t="inlineStr">
        <is>
          <t>Expenses</t>
        </is>
      </c>
      <c r="D11206" s="3" t="inlineStr">
        <is>
          <t>4550/450</t>
        </is>
      </c>
      <c r="E11206" s="3" t="inlineStr">
        <is>
          <t>Subscriptions - Adobe</t>
        </is>
      </c>
      <c r="F11206" s="3" t="n">
        <v>590.27</v>
      </c>
      <c r="G11206" s="3" t="n">
        <v>4249.39</v>
      </c>
    </row>
    <row r="11207">
      <c r="A11207" s="3" t="inlineStr">
        <is>
          <t>Noble Shield (Pty) Ltd ta Go Letting</t>
        </is>
      </c>
      <c r="B11207" s="4" t="n">
        <v>44865</v>
      </c>
      <c r="C11207" s="3" t="inlineStr">
        <is>
          <t>Expenses</t>
        </is>
      </c>
      <c r="D11207" s="3" t="inlineStr">
        <is>
          <t>4550/600</t>
        </is>
      </c>
      <c r="E11207" s="3" t="inlineStr">
        <is>
          <t>Subscriptions - Webbox</t>
        </is>
      </c>
      <c r="F11207" s="3" t="n">
        <v>1331.7</v>
      </c>
      <c r="G11207" s="3" t="n">
        <v>2663.4</v>
      </c>
    </row>
    <row r="11208">
      <c r="A11208" s="3" t="inlineStr">
        <is>
          <t>Noble Shield (Pty) Ltd ta Go Letting</t>
        </is>
      </c>
      <c r="B11208" s="4" t="n">
        <v>44865</v>
      </c>
      <c r="C11208" s="3" t="inlineStr">
        <is>
          <t>Expenses</t>
        </is>
      </c>
      <c r="D11208" s="3" t="inlineStr">
        <is>
          <t>4550/650</t>
        </is>
      </c>
      <c r="E11208" s="3" t="inlineStr">
        <is>
          <t>Subscriptions - Xero</t>
        </is>
      </c>
      <c r="F11208" s="3" t="n">
        <v>600</v>
      </c>
      <c r="G11208" s="3" t="n">
        <v>1200</v>
      </c>
    </row>
    <row r="11209">
      <c r="A11209" s="3" t="inlineStr">
        <is>
          <t>Noble Shield (Pty) Ltd ta Go Letting</t>
        </is>
      </c>
      <c r="B11209" s="4" t="n">
        <v>44865</v>
      </c>
      <c r="C11209" s="3" t="inlineStr">
        <is>
          <t>Expenses</t>
        </is>
      </c>
      <c r="D11209" s="3" t="inlineStr">
        <is>
          <t>4550/800</t>
        </is>
      </c>
      <c r="E11209" s="3" t="inlineStr">
        <is>
          <t>Subscriptions - Adobe</t>
        </is>
      </c>
      <c r="F11209" s="3" t="n">
        <v>319.53</v>
      </c>
      <c r="G11209" s="3" t="n">
        <v>624.51</v>
      </c>
    </row>
    <row r="11210">
      <c r="A11210" s="3" t="inlineStr">
        <is>
          <t>Opportunity Global Sales (PTY) LTD</t>
        </is>
      </c>
      <c r="B11210" s="4" t="n">
        <v>44865</v>
      </c>
      <c r="C11210" s="3" t="inlineStr">
        <is>
          <t>Expenses</t>
        </is>
      </c>
      <c r="D11210" s="3" t="inlineStr">
        <is>
          <t>4551/000</t>
        </is>
      </c>
      <c r="E11210" s="3" t="inlineStr">
        <is>
          <t>Subscriptions - Payprop</t>
        </is>
      </c>
      <c r="F11210" s="3" t="n">
        <v>177.39</v>
      </c>
      <c r="G11210" s="3" t="n">
        <v>5797.05</v>
      </c>
    </row>
    <row r="11211">
      <c r="A11211" s="3" t="inlineStr">
        <is>
          <t>Quinate Consulting (Pty) Ltd</t>
        </is>
      </c>
      <c r="B11211" s="4" t="n">
        <v>44865</v>
      </c>
      <c r="C11211" s="3" t="inlineStr">
        <is>
          <t>Expenses</t>
        </is>
      </c>
      <c r="D11211" s="3" t="inlineStr">
        <is>
          <t>4551/000</t>
        </is>
      </c>
      <c r="E11211" s="3" t="inlineStr">
        <is>
          <t>Subscriptions - Zoho</t>
        </is>
      </c>
      <c r="F11211" s="3" t="n">
        <v>1125</v>
      </c>
      <c r="G11211" s="3" t="n">
        <v>9000</v>
      </c>
    </row>
    <row r="11212">
      <c r="A11212" s="3" t="inlineStr">
        <is>
          <t>Endulini (Pty) Ltd</t>
        </is>
      </c>
      <c r="B11212" s="4" t="n">
        <v>44865</v>
      </c>
      <c r="C11212" s="3" t="inlineStr">
        <is>
          <t>Expenses</t>
        </is>
      </c>
      <c r="D11212" s="3" t="inlineStr">
        <is>
          <t>4552/000</t>
        </is>
      </c>
      <c r="E11212" s="3" t="inlineStr">
        <is>
          <t>Subscriptions - Xero</t>
        </is>
      </c>
      <c r="F11212" s="3" t="n">
        <v>600</v>
      </c>
      <c r="G11212" s="3" t="n">
        <v>4800</v>
      </c>
    </row>
    <row r="11213">
      <c r="A11213" s="3" t="inlineStr">
        <is>
          <t>Opportunity Global Sales (PTY) LTD</t>
        </is>
      </c>
      <c r="B11213" s="4" t="n">
        <v>44865</v>
      </c>
      <c r="C11213" s="3" t="inlineStr">
        <is>
          <t>Expenses</t>
        </is>
      </c>
      <c r="D11213" s="3" t="inlineStr">
        <is>
          <t>4552/000</t>
        </is>
      </c>
      <c r="E11213" s="3" t="inlineStr">
        <is>
          <t>Subscriptions - Xero</t>
        </is>
      </c>
      <c r="F11213" s="3" t="n">
        <v>1800</v>
      </c>
      <c r="G11213" s="3" t="n">
        <v>4800</v>
      </c>
    </row>
    <row r="11214">
      <c r="A11214" s="3" t="inlineStr">
        <is>
          <t>Opportunity Management Holdings (PTY) LTD</t>
        </is>
      </c>
      <c r="B11214" s="4" t="n">
        <v>44865</v>
      </c>
      <c r="C11214" s="3" t="inlineStr">
        <is>
          <t>Expenses</t>
        </is>
      </c>
      <c r="D11214" s="3" t="inlineStr">
        <is>
          <t>4552/000</t>
        </is>
      </c>
      <c r="E11214" s="3" t="inlineStr">
        <is>
          <t>Subscriptions - Xero</t>
        </is>
      </c>
      <c r="F11214" s="3" t="n">
        <v>600</v>
      </c>
      <c r="G11214" s="3" t="n">
        <v>1200</v>
      </c>
    </row>
    <row r="11215">
      <c r="A11215" s="3" t="inlineStr">
        <is>
          <t>Opportunity Global Sales (PTY) LTD</t>
        </is>
      </c>
      <c r="B11215" s="4" t="n">
        <v>44865</v>
      </c>
      <c r="C11215" s="3" t="inlineStr">
        <is>
          <t>Expenses</t>
        </is>
      </c>
      <c r="D11215" s="3" t="inlineStr">
        <is>
          <t>4553/000</t>
        </is>
      </c>
      <c r="E11215" s="3" t="inlineStr">
        <is>
          <t>Subscriptions - CMA</t>
        </is>
      </c>
      <c r="F11215" s="3" t="n">
        <v>680</v>
      </c>
      <c r="G11215" s="3" t="n">
        <v>5440</v>
      </c>
    </row>
    <row r="11216">
      <c r="A11216" s="3" t="inlineStr">
        <is>
          <t>Quinate Consulting (Pty) Ltd</t>
        </is>
      </c>
      <c r="B11216" s="4" t="n">
        <v>44865</v>
      </c>
      <c r="C11216" s="3" t="inlineStr">
        <is>
          <t>Expenses</t>
        </is>
      </c>
      <c r="D11216" s="3" t="inlineStr">
        <is>
          <t>4554/000</t>
        </is>
      </c>
      <c r="E11216" s="3" t="inlineStr">
        <is>
          <t>Subscriptions - Xero</t>
        </is>
      </c>
      <c r="F11216" s="3" t="n">
        <v>600</v>
      </c>
      <c r="G11216" s="3" t="n">
        <v>4800</v>
      </c>
    </row>
    <row r="11217">
      <c r="A11217" s="3" t="inlineStr">
        <is>
          <t>Opportunity Global Sales (PTY) LTD</t>
        </is>
      </c>
      <c r="B11217" s="4" t="n">
        <v>44865</v>
      </c>
      <c r="C11217" s="3" t="inlineStr">
        <is>
          <t>Expenses</t>
        </is>
      </c>
      <c r="D11217" s="3" t="inlineStr">
        <is>
          <t>4554/000</t>
        </is>
      </c>
      <c r="E11217" s="3" t="inlineStr">
        <is>
          <t>Subscriptions - Zoho</t>
        </is>
      </c>
      <c r="F11217" s="3" t="n">
        <v>750</v>
      </c>
      <c r="G11217" s="3" t="n">
        <v>5505</v>
      </c>
    </row>
    <row r="11218">
      <c r="A11218" s="3" t="inlineStr">
        <is>
          <t>Opportunity Global Sales (PTY) LTD</t>
        </is>
      </c>
      <c r="B11218" s="4" t="n">
        <v>44865</v>
      </c>
      <c r="C11218" s="3" t="inlineStr">
        <is>
          <t>Expenses</t>
        </is>
      </c>
      <c r="D11218" s="3" t="inlineStr">
        <is>
          <t>4555/000</t>
        </is>
      </c>
      <c r="E11218" s="3" t="inlineStr">
        <is>
          <t>Subscriptions - EAAB</t>
        </is>
      </c>
      <c r="F11218" s="3" t="n">
        <v>7020</v>
      </c>
      <c r="G11218" s="3" t="n">
        <v>15520</v>
      </c>
    </row>
    <row r="11219">
      <c r="A11219" s="3" t="inlineStr">
        <is>
          <t>Quinate Consulting (Pty) Ltd</t>
        </is>
      </c>
      <c r="B11219" s="4" t="n">
        <v>44865</v>
      </c>
      <c r="C11219" s="3" t="inlineStr">
        <is>
          <t>Expenses</t>
        </is>
      </c>
      <c r="D11219" s="3" t="inlineStr">
        <is>
          <t>4555/000</t>
        </is>
      </c>
      <c r="E11219" s="3" t="inlineStr">
        <is>
          <t>Subscriptions - OUMS</t>
        </is>
      </c>
      <c r="F11219" s="3" t="n">
        <v>6475.9</v>
      </c>
      <c r="G11219" s="3" t="n">
        <v>51807.2</v>
      </c>
    </row>
    <row r="11220">
      <c r="A11220" s="3" t="inlineStr">
        <is>
          <t>Opportunity Global Investment (PTY) LTD</t>
        </is>
      </c>
      <c r="B11220" s="4" t="n">
        <v>44865</v>
      </c>
      <c r="C11220" s="3" t="inlineStr">
        <is>
          <t>Expenses</t>
        </is>
      </c>
      <c r="D11220" s="3" t="inlineStr">
        <is>
          <t>4600/000</t>
        </is>
      </c>
      <c r="E11220" s="3" t="inlineStr">
        <is>
          <t>Telephone _AND_ Fax</t>
        </is>
      </c>
      <c r="F11220" s="3" t="n">
        <v>3355</v>
      </c>
      <c r="G11220" s="3" t="n">
        <v>26840</v>
      </c>
    </row>
    <row r="11221">
      <c r="A11221" s="3" t="inlineStr">
        <is>
          <t>Trademark Holdings (Pty) Ltd</t>
        </is>
      </c>
      <c r="B11221" s="4" t="n">
        <v>44865</v>
      </c>
      <c r="C11221" s="3" t="inlineStr">
        <is>
          <t>Expenses</t>
        </is>
      </c>
      <c r="D11221" s="3" t="inlineStr">
        <is>
          <t>4600/000</t>
        </is>
      </c>
      <c r="E11221" s="3" t="inlineStr">
        <is>
          <t>Telephone _AND_ Fax</t>
        </is>
      </c>
      <c r="F11221" s="3" t="n">
        <v>1547.88</v>
      </c>
      <c r="G11221" s="3" t="n">
        <v>3089.2</v>
      </c>
    </row>
    <row r="11222">
      <c r="A11222" s="3" t="inlineStr">
        <is>
          <t>Noble Shield (Pty) Ltd ta Go Letting</t>
        </is>
      </c>
      <c r="B11222" s="4" t="n">
        <v>44865</v>
      </c>
      <c r="C11222" s="3" t="inlineStr">
        <is>
          <t>Expenses</t>
        </is>
      </c>
      <c r="D11222" s="3" t="inlineStr">
        <is>
          <t>4610/000</t>
        </is>
      </c>
      <c r="E11222" s="3" t="inlineStr">
        <is>
          <t>Telephone - CT Office</t>
        </is>
      </c>
      <c r="F11222" s="3" t="n">
        <v>977.08</v>
      </c>
      <c r="G11222" s="3" t="n">
        <v>2002.44</v>
      </c>
    </row>
    <row r="11223">
      <c r="A11223" s="3" t="inlineStr">
        <is>
          <t>Opportunity Global Investment (PTY) LTD</t>
        </is>
      </c>
      <c r="B11223" s="4" t="n">
        <v>44865</v>
      </c>
      <c r="C11223" s="3" t="inlineStr">
        <is>
          <t>Expenses</t>
        </is>
      </c>
      <c r="D11223" s="3" t="inlineStr">
        <is>
          <t>4650/000</t>
        </is>
      </c>
      <c r="E11223" s="3" t="inlineStr">
        <is>
          <t>Travel _AND_ Accommodation</t>
        </is>
      </c>
      <c r="F11223" s="3" t="n">
        <v>555</v>
      </c>
      <c r="G11223" s="3" t="n">
        <v>5687.86</v>
      </c>
    </row>
    <row r="11224">
      <c r="A11224" s="3" t="inlineStr">
        <is>
          <t>Opportunity Management Holdings (PTY) LTD</t>
        </is>
      </c>
      <c r="B11224" s="4" t="n">
        <v>44865</v>
      </c>
      <c r="C11224" s="3" t="inlineStr">
        <is>
          <t>Expenses</t>
        </is>
      </c>
      <c r="D11224" s="3" t="inlineStr">
        <is>
          <t>4650/000</t>
        </is>
      </c>
      <c r="E11224" s="3" t="inlineStr">
        <is>
          <t>Travel _AND_ Accommodation</t>
        </is>
      </c>
      <c r="F11224" s="3" t="n">
        <v>0</v>
      </c>
      <c r="G11224" s="3" t="n">
        <v>74.90000000000001</v>
      </c>
    </row>
    <row r="11225">
      <c r="A11225" s="3" t="inlineStr">
        <is>
          <t>Quinate Consulting (Pty) Ltd</t>
        </is>
      </c>
      <c r="B11225" s="4" t="n">
        <v>44865</v>
      </c>
      <c r="C11225" s="3" t="inlineStr">
        <is>
          <t>Expenses</t>
        </is>
      </c>
      <c r="D11225" s="3" t="inlineStr">
        <is>
          <t>4650/000</t>
        </is>
      </c>
      <c r="E11225" s="3" t="inlineStr">
        <is>
          <t>Travel _AND_ Accommodation</t>
        </is>
      </c>
      <c r="F11225" s="3" t="n">
        <v>0</v>
      </c>
      <c r="G11225" s="3" t="n">
        <v>5386</v>
      </c>
    </row>
    <row r="11226">
      <c r="A11226" s="3" t="inlineStr">
        <is>
          <t>Quinate Consulting (Pty) Ltd</t>
        </is>
      </c>
      <c r="B11226" s="4" t="n">
        <v>44865</v>
      </c>
      <c r="C11226" s="3" t="inlineStr">
        <is>
          <t>Expenses</t>
        </is>
      </c>
      <c r="D11226" s="3" t="inlineStr">
        <is>
          <t>4650/010</t>
        </is>
      </c>
      <c r="E11226" s="3" t="inlineStr">
        <is>
          <t>Travel - Local Flights</t>
        </is>
      </c>
      <c r="F11226" s="3" t="n">
        <v>0</v>
      </c>
      <c r="G11226" s="3" t="n">
        <v>6912.27</v>
      </c>
    </row>
    <row r="11227">
      <c r="A11227" s="3" t="inlineStr">
        <is>
          <t>Opportunity Global Investment (PTY) LTD</t>
        </is>
      </c>
      <c r="B11227" s="4" t="n">
        <v>44865</v>
      </c>
      <c r="C11227" s="3" t="inlineStr">
        <is>
          <t>Expenses</t>
        </is>
      </c>
      <c r="D11227" s="3" t="inlineStr">
        <is>
          <t>4650/020</t>
        </is>
      </c>
      <c r="E11227" s="3" t="inlineStr">
        <is>
          <t>Travel Accomodation - Car Hire</t>
        </is>
      </c>
      <c r="F11227" s="3" t="n">
        <v>0</v>
      </c>
      <c r="G11227" s="3" t="n">
        <v>457.39</v>
      </c>
    </row>
    <row r="11228">
      <c r="A11228" s="3" t="inlineStr">
        <is>
          <t>Quinate Consulting (Pty) Ltd</t>
        </is>
      </c>
      <c r="B11228" s="4" t="n">
        <v>44865</v>
      </c>
      <c r="C11228" s="3" t="inlineStr">
        <is>
          <t>Expenses</t>
        </is>
      </c>
      <c r="D11228" s="3" t="inlineStr">
        <is>
          <t>4650/030</t>
        </is>
      </c>
      <c r="E11228" s="3" t="inlineStr">
        <is>
          <t>Travel - Parking</t>
        </is>
      </c>
      <c r="F11228" s="3" t="n">
        <v>0</v>
      </c>
      <c r="G11228" s="3" t="n">
        <v>156.52</v>
      </c>
    </row>
    <row r="11229">
      <c r="A11229" s="3" t="inlineStr">
        <is>
          <t>Quinate Consulting (Pty) Ltd</t>
        </is>
      </c>
      <c r="B11229" s="4" t="n">
        <v>44865</v>
      </c>
      <c r="C11229" s="3" t="inlineStr">
        <is>
          <t>Expenses</t>
        </is>
      </c>
      <c r="D11229" s="3" t="inlineStr">
        <is>
          <t>4650/040</t>
        </is>
      </c>
      <c r="E11229" s="3" t="inlineStr">
        <is>
          <t>Travel - Local Car Hire</t>
        </is>
      </c>
      <c r="F11229" s="3" t="n">
        <v>0</v>
      </c>
      <c r="G11229" s="3" t="n">
        <v>1873</v>
      </c>
    </row>
    <row r="11230">
      <c r="A11230" s="3" t="inlineStr">
        <is>
          <t>Opportunity Global Investment (PTY) LTD</t>
        </is>
      </c>
      <c r="B11230" s="4" t="n">
        <v>44865</v>
      </c>
      <c r="C11230" s="3" t="inlineStr">
        <is>
          <t>Expenses</t>
        </is>
      </c>
      <c r="D11230" s="3" t="inlineStr">
        <is>
          <t>4650/080</t>
        </is>
      </c>
      <c r="E11230" s="3" t="inlineStr">
        <is>
          <t>Travel &amp; Accommodation - Staff Reimbursements</t>
        </is>
      </c>
      <c r="F11230" s="3" t="n">
        <v>0</v>
      </c>
      <c r="G11230" s="3" t="n">
        <v>453.72</v>
      </c>
    </row>
    <row r="11231">
      <c r="A11231" s="3" t="inlineStr">
        <is>
          <t>Opportunity Global Investment (PTY) LTD</t>
        </is>
      </c>
      <c r="B11231" s="4" t="n">
        <v>44865</v>
      </c>
      <c r="C11231" s="3" t="inlineStr">
        <is>
          <t>Expenses</t>
        </is>
      </c>
      <c r="D11231" s="3" t="inlineStr">
        <is>
          <t>4650/090</t>
        </is>
      </c>
      <c r="E11231" s="3" t="inlineStr">
        <is>
          <t>Travel &amp; Accom - Fuel</t>
        </is>
      </c>
      <c r="F11231" s="3" t="n">
        <v>3969.27</v>
      </c>
      <c r="G11231" s="3" t="n">
        <v>26930.29</v>
      </c>
    </row>
    <row r="11232">
      <c r="A11232" s="3" t="inlineStr">
        <is>
          <t>Quinate Consulting (Pty) Ltd</t>
        </is>
      </c>
      <c r="B11232" s="4" t="n">
        <v>44865</v>
      </c>
      <c r="C11232" s="3" t="inlineStr">
        <is>
          <t>Expenses</t>
        </is>
      </c>
      <c r="D11232" s="3" t="inlineStr">
        <is>
          <t>4650/600</t>
        </is>
      </c>
      <c r="E11232" s="3" t="inlineStr">
        <is>
          <t>Travel - Fuel</t>
        </is>
      </c>
      <c r="F11232" s="3" t="n">
        <v>0</v>
      </c>
      <c r="G11232" s="3" t="n">
        <v>983.1799999999999</v>
      </c>
    </row>
    <row r="11233">
      <c r="A11233" s="3" t="inlineStr">
        <is>
          <t>Noble Shield (Pty) Ltd ta Go Letting</t>
        </is>
      </c>
      <c r="B11233" s="4" t="n">
        <v>44865</v>
      </c>
      <c r="C11233" s="3" t="inlineStr">
        <is>
          <t>Expenses</t>
        </is>
      </c>
      <c r="D11233" s="3" t="inlineStr">
        <is>
          <t>4700/000</t>
        </is>
      </c>
      <c r="E11233" s="3" t="inlineStr">
        <is>
          <t>PAYE Contributions</t>
        </is>
      </c>
      <c r="F11233" s="3" t="n">
        <v>4773.1</v>
      </c>
      <c r="G11233" s="3" t="n">
        <v>9307.549999999999</v>
      </c>
    </row>
    <row r="11234">
      <c r="A11234" s="3" t="inlineStr">
        <is>
          <t>Trademark Holdings (Pty) Ltd</t>
        </is>
      </c>
      <c r="B11234" s="4" t="n">
        <v>44865</v>
      </c>
      <c r="C11234" s="3" t="inlineStr">
        <is>
          <t>Expenses</t>
        </is>
      </c>
      <c r="D11234" s="3" t="inlineStr">
        <is>
          <t>4700/000</t>
        </is>
      </c>
      <c r="E11234" s="3" t="inlineStr">
        <is>
          <t>PAYE Contributions</t>
        </is>
      </c>
      <c r="F11234" s="3" t="n">
        <v>4397.72</v>
      </c>
      <c r="G11234" s="3" t="n">
        <v>9530.92</v>
      </c>
    </row>
    <row r="11235">
      <c r="A11235" s="3" t="inlineStr">
        <is>
          <t>Opportunity Global Investment (PTY) LTD</t>
        </is>
      </c>
      <c r="B11235" s="4" t="n">
        <v>44865</v>
      </c>
      <c r="C11235" s="3" t="inlineStr">
        <is>
          <t>Expenses</t>
        </is>
      </c>
      <c r="D11235" s="3" t="inlineStr">
        <is>
          <t>4700/000</t>
        </is>
      </c>
      <c r="E11235" s="3" t="inlineStr">
        <is>
          <t>UIF Contributions</t>
        </is>
      </c>
      <c r="F11235" s="3" t="n">
        <v>177.12</v>
      </c>
      <c r="G11235" s="3" t="n">
        <v>1416.96</v>
      </c>
    </row>
    <row r="11236">
      <c r="A11236" s="3" t="inlineStr">
        <is>
          <t>Opportunity Global Sales (PTY) LTD</t>
        </is>
      </c>
      <c r="B11236" s="4" t="n">
        <v>44865</v>
      </c>
      <c r="C11236" s="3" t="inlineStr">
        <is>
          <t>Expenses</t>
        </is>
      </c>
      <c r="D11236" s="3" t="inlineStr">
        <is>
          <t>4700/000</t>
        </is>
      </c>
      <c r="E11236" s="3" t="inlineStr">
        <is>
          <t>UIF Contributions</t>
        </is>
      </c>
      <c r="F11236" s="3" t="n">
        <v>177.12</v>
      </c>
      <c r="G11236" s="3" t="n">
        <v>1516.96</v>
      </c>
    </row>
    <row r="11237">
      <c r="A11237" s="3" t="inlineStr">
        <is>
          <t>Opportunity Global Sales (PTY) LTD</t>
        </is>
      </c>
      <c r="B11237" s="4" t="n">
        <v>44865</v>
      </c>
      <c r="C11237" s="3" t="inlineStr">
        <is>
          <t>Expenses</t>
        </is>
      </c>
      <c r="D11237" s="3" t="inlineStr">
        <is>
          <t>4701/000</t>
        </is>
      </c>
      <c r="E11237" s="3" t="inlineStr">
        <is>
          <t>UIF Employee Contribution</t>
        </is>
      </c>
      <c r="F11237" s="3" t="n">
        <v>177.12</v>
      </c>
      <c r="G11237" s="3" t="n">
        <v>1516.96</v>
      </c>
    </row>
    <row r="11238">
      <c r="A11238" s="3" t="inlineStr">
        <is>
          <t>Opportunity Global Investment (PTY) LTD</t>
        </is>
      </c>
      <c r="B11238" s="4" t="n">
        <v>44865</v>
      </c>
      <c r="C11238" s="3" t="inlineStr">
        <is>
          <t>Expenses</t>
        </is>
      </c>
      <c r="D11238" s="3" t="inlineStr">
        <is>
          <t>4701/000</t>
        </is>
      </c>
      <c r="E11238" s="3" t="inlineStr">
        <is>
          <t>UIF Employee Contributions</t>
        </is>
      </c>
      <c r="F11238" s="3" t="n">
        <v>177.12</v>
      </c>
      <c r="G11238" s="3" t="n">
        <v>1416.96</v>
      </c>
    </row>
    <row r="11239">
      <c r="A11239" s="3" t="inlineStr">
        <is>
          <t>Noble Shield (Pty) Ltd ta Go Letting</t>
        </is>
      </c>
      <c r="B11239" s="4" t="n">
        <v>44865</v>
      </c>
      <c r="C11239" s="3" t="inlineStr">
        <is>
          <t>Expenses</t>
        </is>
      </c>
      <c r="D11239" s="3" t="inlineStr">
        <is>
          <t>4710/000</t>
        </is>
      </c>
      <c r="E11239" s="3" t="inlineStr">
        <is>
          <t>UIF Company Contributions</t>
        </is>
      </c>
      <c r="F11239" s="3" t="n">
        <v>245.25</v>
      </c>
      <c r="G11239" s="3" t="n">
        <v>490.5</v>
      </c>
    </row>
    <row r="11240">
      <c r="A11240" s="3" t="inlineStr">
        <is>
          <t>Trademark Holdings (Pty) Ltd</t>
        </is>
      </c>
      <c r="B11240" s="4" t="n">
        <v>44865</v>
      </c>
      <c r="C11240" s="3" t="inlineStr">
        <is>
          <t>Expenses</t>
        </is>
      </c>
      <c r="D11240" s="3" t="inlineStr">
        <is>
          <t>4710/000</t>
        </is>
      </c>
      <c r="E11240" s="3" t="inlineStr">
        <is>
          <t>UIF Company Contributions</t>
        </is>
      </c>
      <c r="F11240" s="3" t="n">
        <v>95.25</v>
      </c>
      <c r="G11240" s="3" t="n">
        <v>190.5</v>
      </c>
    </row>
    <row r="11241">
      <c r="A11241" s="3" t="inlineStr">
        <is>
          <t>Noble Shield (Pty) Ltd ta Go Letting</t>
        </is>
      </c>
      <c r="B11241" s="4" t="n">
        <v>44865</v>
      </c>
      <c r="C11241" s="3" t="inlineStr">
        <is>
          <t>Expenses</t>
        </is>
      </c>
      <c r="D11241" s="3" t="inlineStr">
        <is>
          <t>4711/000</t>
        </is>
      </c>
      <c r="E11241" s="3" t="inlineStr">
        <is>
          <t>UIF Employee Contribution</t>
        </is>
      </c>
      <c r="F11241" s="3" t="n">
        <v>245.25</v>
      </c>
      <c r="G11241" s="3" t="n">
        <v>490.5</v>
      </c>
    </row>
    <row r="11242">
      <c r="A11242" s="3" t="inlineStr">
        <is>
          <t>Trademark Holdings (Pty) Ltd</t>
        </is>
      </c>
      <c r="B11242" s="4" t="n">
        <v>44865</v>
      </c>
      <c r="C11242" s="3" t="inlineStr">
        <is>
          <t>Expenses</t>
        </is>
      </c>
      <c r="D11242" s="3" t="inlineStr">
        <is>
          <t>4711/000</t>
        </is>
      </c>
      <c r="E11242" s="3" t="inlineStr">
        <is>
          <t>UIF Employee Contributions</t>
        </is>
      </c>
      <c r="F11242" s="3" t="n">
        <v>95.25</v>
      </c>
      <c r="G11242" s="3" t="n">
        <v>190.5</v>
      </c>
    </row>
    <row r="11243">
      <c r="A11243" s="3" t="inlineStr">
        <is>
          <t>Noble Shield (Pty) Ltd ta Go Letting</t>
        </is>
      </c>
      <c r="B11243" s="4" t="n">
        <v>44865</v>
      </c>
      <c r="C11243" s="3" t="inlineStr">
        <is>
          <t>Expenses</t>
        </is>
      </c>
      <c r="D11243" s="3" t="inlineStr">
        <is>
          <t>4720/000</t>
        </is>
      </c>
      <c r="E11243" s="3" t="inlineStr">
        <is>
          <t>SDL Contributions</t>
        </is>
      </c>
      <c r="F11243" s="3" t="n">
        <v>427.59</v>
      </c>
      <c r="G11243" s="3" t="n">
        <v>846</v>
      </c>
    </row>
    <row r="11244">
      <c r="A11244" s="3" t="inlineStr">
        <is>
          <t>Trademark Holdings (Pty) Ltd</t>
        </is>
      </c>
      <c r="B11244" s="4" t="n">
        <v>44865</v>
      </c>
      <c r="C11244" s="3" t="inlineStr">
        <is>
          <t>Expenses</t>
        </is>
      </c>
      <c r="D11244" s="3" t="inlineStr">
        <is>
          <t>4720/000</t>
        </is>
      </c>
      <c r="E11244" s="3" t="inlineStr">
        <is>
          <t>SDL Contributions</t>
        </is>
      </c>
      <c r="F11244" s="3" t="n">
        <v>282.08</v>
      </c>
      <c r="G11244" s="3" t="n">
        <v>587.88</v>
      </c>
    </row>
    <row r="11245">
      <c r="A11245" s="3" t="inlineStr">
        <is>
          <t>Opportunity Global Investment (PTY) LTD</t>
        </is>
      </c>
      <c r="B11245" s="4" t="n">
        <v>44865</v>
      </c>
      <c r="C11245" s="3" t="inlineStr">
        <is>
          <t>Expenses</t>
        </is>
      </c>
      <c r="D11245" s="3" t="inlineStr">
        <is>
          <t>4730/000</t>
        </is>
      </c>
      <c r="E11245" s="3" t="inlineStr">
        <is>
          <t>PAYE Contributions</t>
        </is>
      </c>
      <c r="F11245" s="3" t="n">
        <v>9136.700000000001</v>
      </c>
      <c r="G11245" s="3" t="n">
        <v>73093.58</v>
      </c>
    </row>
    <row r="11246">
      <c r="A11246" s="3" t="inlineStr">
        <is>
          <t>Opportunity Global Sales (PTY) LTD</t>
        </is>
      </c>
      <c r="B11246" s="4" t="n">
        <v>44865</v>
      </c>
      <c r="C11246" s="3" t="inlineStr">
        <is>
          <t>Expenses</t>
        </is>
      </c>
      <c r="D11246" s="3" t="inlineStr">
        <is>
          <t>4730/000</t>
        </is>
      </c>
      <c r="E11246" s="3" t="inlineStr">
        <is>
          <t>PAYE Contributions</t>
        </is>
      </c>
      <c r="F11246" s="3" t="n">
        <v>8367.35</v>
      </c>
      <c r="G11246" s="3" t="n">
        <v>194506.71</v>
      </c>
    </row>
    <row r="11247">
      <c r="A11247" s="3" t="inlineStr">
        <is>
          <t>Opportunity Management Holdings (PTY) LTD</t>
        </is>
      </c>
      <c r="B11247" s="4" t="n">
        <v>44865</v>
      </c>
      <c r="C11247" s="3" t="inlineStr">
        <is>
          <t>Expenses</t>
        </is>
      </c>
      <c r="D11247" s="3" t="inlineStr">
        <is>
          <t>4730/000</t>
        </is>
      </c>
      <c r="E11247" s="3" t="inlineStr">
        <is>
          <t>PAYE Contributions</t>
        </is>
      </c>
      <c r="F11247" s="3" t="n">
        <v>44941.09</v>
      </c>
      <c r="G11247" s="3" t="n">
        <v>91691.17</v>
      </c>
    </row>
    <row r="11248">
      <c r="A11248" s="3" t="inlineStr">
        <is>
          <t>Opportunity Global Investment (PTY) LTD</t>
        </is>
      </c>
      <c r="B11248" s="4" t="n">
        <v>44865</v>
      </c>
      <c r="C11248" s="3" t="inlineStr">
        <is>
          <t>Expenses</t>
        </is>
      </c>
      <c r="D11248" s="3" t="inlineStr">
        <is>
          <t>4740/000</t>
        </is>
      </c>
      <c r="E11248" s="3" t="inlineStr">
        <is>
          <t>SDL Contributions</t>
        </is>
      </c>
      <c r="F11248" s="3" t="n">
        <v>431.1</v>
      </c>
      <c r="G11248" s="3" t="n">
        <v>3448.8</v>
      </c>
    </row>
    <row r="11249">
      <c r="A11249" s="3" t="inlineStr">
        <is>
          <t>Opportunity Global Sales (PTY) LTD</t>
        </is>
      </c>
      <c r="B11249" s="4" t="n">
        <v>44865</v>
      </c>
      <c r="C11249" s="3" t="inlineStr">
        <is>
          <t>Expenses</t>
        </is>
      </c>
      <c r="D11249" s="3" t="inlineStr">
        <is>
          <t>4740/000</t>
        </is>
      </c>
      <c r="E11249" s="3" t="inlineStr">
        <is>
          <t>SDL Contributions</t>
        </is>
      </c>
      <c r="F11249" s="3" t="n">
        <v>2345.8</v>
      </c>
      <c r="G11249" s="3" t="n">
        <v>13434.86</v>
      </c>
    </row>
    <row r="11250">
      <c r="A11250" s="3" t="inlineStr">
        <is>
          <t>Opportunity Management Holdings (PTY) LTD</t>
        </is>
      </c>
      <c r="B11250" s="4" t="n">
        <v>44865</v>
      </c>
      <c r="C11250" s="3" t="inlineStr">
        <is>
          <t>Expenses</t>
        </is>
      </c>
      <c r="D11250" s="3" t="inlineStr">
        <is>
          <t>4740/000</t>
        </is>
      </c>
      <c r="E11250" s="3" t="inlineStr">
        <is>
          <t>UIF Company Contribution</t>
        </is>
      </c>
      <c r="F11250" s="3" t="n">
        <v>1565.64</v>
      </c>
      <c r="G11250" s="3" t="n">
        <v>3132.36</v>
      </c>
    </row>
    <row r="11251">
      <c r="A11251" s="3" t="inlineStr">
        <is>
          <t>Opportunity Management Holdings (PTY) LTD</t>
        </is>
      </c>
      <c r="B11251" s="4" t="n">
        <v>44865</v>
      </c>
      <c r="C11251" s="3" t="inlineStr">
        <is>
          <t>Expenses</t>
        </is>
      </c>
      <c r="D11251" s="3" t="inlineStr">
        <is>
          <t>4741/000</t>
        </is>
      </c>
      <c r="E11251" s="3" t="inlineStr">
        <is>
          <t>UIF Employee Contribution</t>
        </is>
      </c>
      <c r="F11251" s="3" t="n">
        <v>1565.64</v>
      </c>
      <c r="G11251" s="3" t="n">
        <v>3132.36</v>
      </c>
    </row>
    <row r="11252">
      <c r="A11252" s="3" t="inlineStr">
        <is>
          <t>Opportunity Management Holdings (PTY) LTD</t>
        </is>
      </c>
      <c r="B11252" s="4" t="n">
        <v>44865</v>
      </c>
      <c r="C11252" s="3" t="inlineStr">
        <is>
          <t>Expenses</t>
        </is>
      </c>
      <c r="D11252" s="3" t="inlineStr">
        <is>
          <t>4750/000</t>
        </is>
      </c>
      <c r="E11252" s="3" t="inlineStr">
        <is>
          <t>SDL Contribution</t>
        </is>
      </c>
      <c r="F11252" s="3" t="n">
        <v>2602.31</v>
      </c>
      <c r="G11252" s="3" t="n">
        <v>5246.31</v>
      </c>
    </row>
    <row r="11253">
      <c r="A11253" s="3" t="inlineStr">
        <is>
          <t>Noble Shield (Pty) Ltd ta Go Letting</t>
        </is>
      </c>
      <c r="B11253" s="4" t="n">
        <v>44865</v>
      </c>
      <c r="C11253" s="3" t="inlineStr">
        <is>
          <t>Equity</t>
        </is>
      </c>
      <c r="D11253" s="3" t="inlineStr">
        <is>
          <t>5100/000</t>
        </is>
      </c>
      <c r="E11253" s="3" t="inlineStr">
        <is>
          <t>Share Capital</t>
        </is>
      </c>
      <c r="F11253" s="3" t="n">
        <v>0</v>
      </c>
      <c r="G11253" s="3" t="n">
        <v>-1</v>
      </c>
    </row>
    <row r="11254">
      <c r="A11254" s="3" t="inlineStr">
        <is>
          <t>Opportunity Management Holdings (PTY) LTD</t>
        </is>
      </c>
      <c r="B11254" s="4" t="n">
        <v>44865</v>
      </c>
      <c r="C11254" s="3" t="inlineStr">
        <is>
          <t>Equity</t>
        </is>
      </c>
      <c r="D11254" s="3" t="inlineStr">
        <is>
          <t>5100/000</t>
        </is>
      </c>
      <c r="E11254" s="3" t="inlineStr">
        <is>
          <t>Share Capital / Members Contribution</t>
        </is>
      </c>
      <c r="F11254" s="3" t="n">
        <v>0</v>
      </c>
      <c r="G11254" s="3" t="n">
        <v>-120</v>
      </c>
    </row>
    <row r="11255">
      <c r="A11255" s="3" t="inlineStr">
        <is>
          <t>Quinate Consulting (Pty) Ltd</t>
        </is>
      </c>
      <c r="B11255" s="4" t="n">
        <v>44865</v>
      </c>
      <c r="C11255" s="3" t="inlineStr">
        <is>
          <t>Equity</t>
        </is>
      </c>
      <c r="D11255" s="3" t="inlineStr">
        <is>
          <t>5100/000</t>
        </is>
      </c>
      <c r="E11255" s="3" t="inlineStr">
        <is>
          <t>Share Capital / Members Contribution</t>
        </is>
      </c>
      <c r="F11255" s="3" t="n">
        <v>0</v>
      </c>
      <c r="G11255" s="3" t="n">
        <v>-120</v>
      </c>
    </row>
    <row r="11256">
      <c r="A11256" s="3" t="inlineStr">
        <is>
          <t>Trademark Holdings (Pty) Ltd</t>
        </is>
      </c>
      <c r="B11256" s="4" t="n">
        <v>44865</v>
      </c>
      <c r="C11256" s="3" t="inlineStr">
        <is>
          <t>Equity</t>
        </is>
      </c>
      <c r="D11256" s="3" t="inlineStr">
        <is>
          <t>5100/001</t>
        </is>
      </c>
      <c r="E11256" s="3" t="inlineStr">
        <is>
          <t>Share Capital - GFY Investments</t>
        </is>
      </c>
      <c r="F11256" s="3" t="n">
        <v>0</v>
      </c>
      <c r="G11256" s="3" t="n">
        <v>-60</v>
      </c>
    </row>
    <row r="11257">
      <c r="A11257" s="3" t="inlineStr">
        <is>
          <t>Trademark Holdings (Pty) Ltd</t>
        </is>
      </c>
      <c r="B11257" s="4" t="n">
        <v>44865</v>
      </c>
      <c r="C11257" s="3" t="inlineStr">
        <is>
          <t>Equity</t>
        </is>
      </c>
      <c r="D11257" s="3" t="inlineStr">
        <is>
          <t>5100/002</t>
        </is>
      </c>
      <c r="E11257" s="3" t="inlineStr">
        <is>
          <t>Share Capital - Zak Trust</t>
        </is>
      </c>
      <c r="F11257" s="3" t="n">
        <v>0</v>
      </c>
      <c r="G11257" s="3" t="n">
        <v>-60</v>
      </c>
    </row>
    <row r="11258">
      <c r="A11258" s="3" t="inlineStr">
        <is>
          <t>Opportunity Global Investment (PTY) LTD</t>
        </is>
      </c>
      <c r="B11258" s="4" t="n">
        <v>44865</v>
      </c>
      <c r="C11258" s="3" t="inlineStr">
        <is>
          <t>Equity</t>
        </is>
      </c>
      <c r="D11258" s="3" t="inlineStr">
        <is>
          <t>5101/000</t>
        </is>
      </c>
      <c r="E11258" s="3" t="inlineStr">
        <is>
          <t>Share Capital - Ordinary Type A</t>
        </is>
      </c>
      <c r="F11258" s="3" t="n">
        <v>0</v>
      </c>
      <c r="G11258" s="3" t="n">
        <v>-70</v>
      </c>
    </row>
    <row r="11259">
      <c r="A11259" s="3" t="inlineStr">
        <is>
          <t>Opportunity Global Investment (PTY) LTD</t>
        </is>
      </c>
      <c r="B11259" s="4" t="n">
        <v>44865</v>
      </c>
      <c r="C11259" s="3" t="inlineStr">
        <is>
          <t>Equity</t>
        </is>
      </c>
      <c r="D11259" s="3" t="inlineStr">
        <is>
          <t>5102/000</t>
        </is>
      </c>
      <c r="E11259" s="3" t="inlineStr">
        <is>
          <t>Share Capital - Ordinary Type B</t>
        </is>
      </c>
      <c r="F11259" s="3" t="n">
        <v>0</v>
      </c>
      <c r="G11259" s="3" t="n">
        <v>-30</v>
      </c>
    </row>
    <row r="11260">
      <c r="A11260" s="3" t="inlineStr">
        <is>
          <t>Endulini (Pty) Ltd</t>
        </is>
      </c>
      <c r="B11260" s="4" t="n">
        <v>44865</v>
      </c>
      <c r="C11260" s="3" t="inlineStr">
        <is>
          <t>Equity</t>
        </is>
      </c>
      <c r="D11260" s="3" t="inlineStr">
        <is>
          <t>5200/000</t>
        </is>
      </c>
      <c r="E11260" s="3" t="inlineStr">
        <is>
          <t>Retained Earnings / Loss</t>
        </is>
      </c>
      <c r="F11260" s="3" t="n">
        <v>0</v>
      </c>
      <c r="G11260" s="3" t="n">
        <v>-4937860.07</v>
      </c>
    </row>
    <row r="11261">
      <c r="A11261" s="3" t="inlineStr">
        <is>
          <t>Noble Shield (Pty) Ltd ta Go Letting</t>
        </is>
      </c>
      <c r="B11261" s="4" t="n">
        <v>44865</v>
      </c>
      <c r="C11261" s="3" t="inlineStr">
        <is>
          <t>Equity</t>
        </is>
      </c>
      <c r="D11261" s="3" t="inlineStr">
        <is>
          <t>5200/000</t>
        </is>
      </c>
      <c r="E11261" s="3" t="inlineStr">
        <is>
          <t>Retained Earnings / Loss</t>
        </is>
      </c>
      <c r="F11261" s="3" t="n">
        <v>0</v>
      </c>
      <c r="G11261" s="3" t="n">
        <v>-64792.67</v>
      </c>
    </row>
    <row r="11262">
      <c r="A11262" s="3" t="inlineStr">
        <is>
          <t>Opportunity Global Investment (PTY) LTD</t>
        </is>
      </c>
      <c r="B11262" s="4" t="n">
        <v>44865</v>
      </c>
      <c r="C11262" s="3" t="inlineStr">
        <is>
          <t>Equity</t>
        </is>
      </c>
      <c r="D11262" s="3" t="inlineStr">
        <is>
          <t>5200/000</t>
        </is>
      </c>
      <c r="E11262" s="3" t="inlineStr">
        <is>
          <t>Retained Earnings / Loss</t>
        </is>
      </c>
      <c r="F11262" s="3" t="n">
        <v>0</v>
      </c>
      <c r="G11262" s="3" t="n">
        <v>465853.58</v>
      </c>
    </row>
    <row r="11263">
      <c r="A11263" s="3" t="inlineStr">
        <is>
          <t>Opportunity Global Sales (PTY) LTD</t>
        </is>
      </c>
      <c r="B11263" s="4" t="n">
        <v>44865</v>
      </c>
      <c r="C11263" s="3" t="inlineStr">
        <is>
          <t>Equity</t>
        </is>
      </c>
      <c r="D11263" s="3" t="inlineStr">
        <is>
          <t>5200/000</t>
        </is>
      </c>
      <c r="E11263" s="3" t="inlineStr">
        <is>
          <t>Retained Earnings / Loss</t>
        </is>
      </c>
      <c r="F11263" s="3" t="n">
        <v>0</v>
      </c>
      <c r="G11263" s="3" t="n">
        <v>-565683.55</v>
      </c>
    </row>
    <row r="11264">
      <c r="A11264" s="3" t="inlineStr">
        <is>
          <t>Opportunity Management Holdings (PTY) LTD</t>
        </is>
      </c>
      <c r="B11264" s="4" t="n">
        <v>44865</v>
      </c>
      <c r="C11264" s="3" t="inlineStr">
        <is>
          <t>Equity</t>
        </is>
      </c>
      <c r="D11264" s="3" t="inlineStr">
        <is>
          <t>5200/000</t>
        </is>
      </c>
      <c r="E11264" s="3" t="inlineStr">
        <is>
          <t>Retained Earnings / Loss</t>
        </is>
      </c>
      <c r="F11264" s="3" t="n">
        <v>0</v>
      </c>
      <c r="G11264" s="3" t="n">
        <v>1230800.76</v>
      </c>
    </row>
    <row r="11265">
      <c r="A11265" s="3" t="inlineStr">
        <is>
          <t>Quinate Consulting (Pty) Ltd</t>
        </is>
      </c>
      <c r="B11265" s="4" t="n">
        <v>44865</v>
      </c>
      <c r="C11265" s="3" t="inlineStr">
        <is>
          <t>Equity</t>
        </is>
      </c>
      <c r="D11265" s="3" t="inlineStr">
        <is>
          <t>5200/000</t>
        </is>
      </c>
      <c r="E11265" s="3" t="inlineStr">
        <is>
          <t>Retained Earnings / Loss</t>
        </is>
      </c>
      <c r="F11265" s="3" t="n">
        <v>0</v>
      </c>
      <c r="G11265" s="3" t="n">
        <v>571333.3</v>
      </c>
    </row>
    <row r="11266">
      <c r="A11266" s="3" t="inlineStr">
        <is>
          <t>Trademark Holdings (Pty) Ltd</t>
        </is>
      </c>
      <c r="B11266" s="4" t="n">
        <v>44865</v>
      </c>
      <c r="C11266" s="3" t="inlineStr">
        <is>
          <t>Equity</t>
        </is>
      </c>
      <c r="D11266" s="3" t="inlineStr">
        <is>
          <t>5200/000</t>
        </is>
      </c>
      <c r="E11266" s="3" t="inlineStr">
        <is>
          <t>Retained Earnings / Loss</t>
        </is>
      </c>
      <c r="F11266" s="3" t="n">
        <v>0</v>
      </c>
      <c r="G11266" s="3" t="n">
        <v>-155356.41</v>
      </c>
    </row>
    <row r="11267">
      <c r="A11267" s="3" t="inlineStr">
        <is>
          <t>Quinate Consulting (Pty) Ltd</t>
        </is>
      </c>
      <c r="B11267" s="4" t="n">
        <v>44865</v>
      </c>
      <c r="C11267" s="3" t="inlineStr">
        <is>
          <t>Assets</t>
        </is>
      </c>
      <c r="D11267" s="3" t="inlineStr">
        <is>
          <t>5400/011</t>
        </is>
      </c>
      <c r="E11267" s="3" t="inlineStr">
        <is>
          <t>Members Loan - Nick Morgan</t>
        </is>
      </c>
      <c r="F11267" s="3" t="n">
        <v>0</v>
      </c>
      <c r="G11267" s="3" t="n">
        <v>-85743.69</v>
      </c>
    </row>
    <row r="11268">
      <c r="A11268" s="3" t="inlineStr">
        <is>
          <t>Opportunity Management Holdings (PTY) LTD</t>
        </is>
      </c>
      <c r="B11268" s="4" t="n">
        <v>44865</v>
      </c>
      <c r="C11268" s="3" t="inlineStr">
        <is>
          <t>Assets</t>
        </is>
      </c>
      <c r="D11268" s="3" t="inlineStr">
        <is>
          <t>5400/500</t>
        </is>
      </c>
      <c r="E11268" s="3" t="inlineStr">
        <is>
          <t>Shareholder - Zak Loan</t>
        </is>
      </c>
      <c r="F11268" s="3" t="n">
        <v>0</v>
      </c>
      <c r="G11268" s="3" t="n">
        <v>-171798.21</v>
      </c>
    </row>
    <row r="11269">
      <c r="A11269" s="3" t="inlineStr">
        <is>
          <t>Quinate Consulting (Pty) Ltd</t>
        </is>
      </c>
      <c r="B11269" s="4" t="n">
        <v>44865</v>
      </c>
      <c r="C11269" s="3" t="inlineStr">
        <is>
          <t>Liabilities</t>
        </is>
      </c>
      <c r="D11269" s="3" t="inlineStr">
        <is>
          <t>5500/010</t>
        </is>
      </c>
      <c r="E11269" s="3" t="inlineStr">
        <is>
          <t>Loan - Wynand Haywood</t>
        </is>
      </c>
      <c r="F11269" s="3" t="n">
        <v>0</v>
      </c>
      <c r="G11269" s="3" t="n">
        <v>1928.67</v>
      </c>
    </row>
    <row r="11270">
      <c r="A11270" s="3" t="inlineStr">
        <is>
          <t>Noble Shield (Pty) Ltd ta Go Letting</t>
        </is>
      </c>
      <c r="B11270" s="4" t="n">
        <v>44865</v>
      </c>
      <c r="C11270" s="3" t="inlineStr">
        <is>
          <t>Liabilities</t>
        </is>
      </c>
      <c r="D11270" s="3" t="inlineStr">
        <is>
          <t>5500/100</t>
        </is>
      </c>
      <c r="E11270" s="3" t="inlineStr">
        <is>
          <t>Loan - Jupiter Trust</t>
        </is>
      </c>
      <c r="F11270" s="3" t="n">
        <v>0</v>
      </c>
      <c r="G11270" s="3" t="n">
        <v>-100228.75</v>
      </c>
    </row>
    <row r="11271">
      <c r="A11271" s="3" t="inlineStr">
        <is>
          <t>Endulini (Pty) Ltd</t>
        </is>
      </c>
      <c r="B11271" s="4" t="n">
        <v>44865</v>
      </c>
      <c r="C11271" s="3" t="inlineStr">
        <is>
          <t>Liabilities</t>
        </is>
      </c>
      <c r="D11271" s="3" t="inlineStr">
        <is>
          <t>5500/100</t>
        </is>
      </c>
      <c r="E11271" s="3" t="inlineStr">
        <is>
          <t>Loan - Quinate Consulting</t>
        </is>
      </c>
      <c r="F11271" s="3" t="n">
        <v>109400</v>
      </c>
      <c r="G11271" s="3" t="n">
        <v>-9505561.699999999</v>
      </c>
    </row>
    <row r="11272">
      <c r="A11272" s="3" t="inlineStr">
        <is>
          <t>Opportunity Global Investment (PTY) LTD</t>
        </is>
      </c>
      <c r="B11272" s="4" t="n">
        <v>44865</v>
      </c>
      <c r="C11272" s="3" t="inlineStr">
        <is>
          <t>Liabilities</t>
        </is>
      </c>
      <c r="D11272" s="3" t="inlineStr">
        <is>
          <t>5500/112</t>
        </is>
      </c>
      <c r="E11272" s="3" t="inlineStr">
        <is>
          <t>Loan - GFY</t>
        </is>
      </c>
      <c r="F11272" s="3" t="n">
        <v>0</v>
      </c>
      <c r="G11272" s="3" t="n">
        <v>-289000</v>
      </c>
    </row>
    <row r="11273">
      <c r="A11273" s="3" t="inlineStr">
        <is>
          <t>Endulini (Pty) Ltd</t>
        </is>
      </c>
      <c r="B11273" s="4" t="n">
        <v>44865</v>
      </c>
      <c r="C11273" s="3" t="inlineStr">
        <is>
          <t>Liabilities</t>
        </is>
      </c>
      <c r="D11273" s="3" t="inlineStr">
        <is>
          <t>5500/150</t>
        </is>
      </c>
      <c r="E11273" s="3" t="inlineStr">
        <is>
          <t>Loan - Cape Projects Construction</t>
        </is>
      </c>
      <c r="F11273" s="3" t="n">
        <v>0</v>
      </c>
      <c r="G11273" s="3" t="n">
        <v>-1367000</v>
      </c>
    </row>
    <row r="11274">
      <c r="A11274" s="3" t="inlineStr">
        <is>
          <t>Quinate Consulting (Pty) Ltd</t>
        </is>
      </c>
      <c r="B11274" s="4" t="n">
        <v>44865</v>
      </c>
      <c r="C11274" s="3" t="inlineStr">
        <is>
          <t>Liabilities</t>
        </is>
      </c>
      <c r="D11274" s="3" t="inlineStr">
        <is>
          <t>5500/160</t>
        </is>
      </c>
      <c r="E11274" s="3" t="inlineStr">
        <is>
          <t>Loan - GFY Investment and Consulting</t>
        </is>
      </c>
      <c r="F11274" s="3" t="n">
        <v>0</v>
      </c>
      <c r="G11274" s="3" t="n">
        <v>-1750249.93</v>
      </c>
    </row>
    <row r="11275">
      <c r="A11275" s="3" t="inlineStr">
        <is>
          <t>Endulini (Pty) Ltd</t>
        </is>
      </c>
      <c r="B11275" s="4" t="n">
        <v>44865</v>
      </c>
      <c r="C11275" s="3" t="inlineStr">
        <is>
          <t>Liabilities</t>
        </is>
      </c>
      <c r="D11275" s="3" t="inlineStr">
        <is>
          <t>5500/200</t>
        </is>
      </c>
      <c r="E11275" s="3" t="inlineStr">
        <is>
          <t>Loan - Opportunity Management Holdings</t>
        </is>
      </c>
      <c r="F11275" s="3" t="n">
        <v>100000</v>
      </c>
      <c r="G11275" s="3" t="n">
        <v>100000</v>
      </c>
    </row>
    <row r="11276">
      <c r="A11276" s="3" t="inlineStr">
        <is>
          <t>Endulini (Pty) Ltd</t>
        </is>
      </c>
      <c r="B11276" s="4" t="n">
        <v>44865</v>
      </c>
      <c r="C11276" s="3" t="inlineStr">
        <is>
          <t>Liabilities</t>
        </is>
      </c>
      <c r="D11276" s="3" t="inlineStr">
        <is>
          <t>5500/250</t>
        </is>
      </c>
      <c r="E11276" s="3" t="inlineStr">
        <is>
          <t>Loan - Heron Projects</t>
        </is>
      </c>
      <c r="F11276" s="3" t="n">
        <v>0</v>
      </c>
      <c r="G11276" s="3" t="n">
        <v>4240.63</v>
      </c>
    </row>
    <row r="11277">
      <c r="A11277" s="3" t="inlineStr">
        <is>
          <t>Trademark Holdings (Pty) Ltd</t>
        </is>
      </c>
      <c r="B11277" s="4" t="n">
        <v>44865</v>
      </c>
      <c r="C11277" s="3" t="inlineStr">
        <is>
          <t>Liabilities</t>
        </is>
      </c>
      <c r="D11277" s="3" t="inlineStr">
        <is>
          <t>5500/250</t>
        </is>
      </c>
      <c r="E11277" s="3" t="inlineStr">
        <is>
          <t>Loan - Noble Shield</t>
        </is>
      </c>
      <c r="F11277" s="3" t="n">
        <v>30000</v>
      </c>
      <c r="G11277" s="3" t="n">
        <v>123165.59</v>
      </c>
    </row>
    <row r="11278">
      <c r="A11278" s="3" t="inlineStr">
        <is>
          <t>Opportunity Management Holdings (PTY) LTD</t>
        </is>
      </c>
      <c r="B11278" s="4" t="n">
        <v>44865</v>
      </c>
      <c r="C11278" s="3" t="inlineStr">
        <is>
          <t>Liabilities</t>
        </is>
      </c>
      <c r="D11278" s="3" t="inlineStr">
        <is>
          <t>5500/250</t>
        </is>
      </c>
      <c r="E11278" s="3" t="inlineStr">
        <is>
          <t>Loan - Quinate</t>
        </is>
      </c>
      <c r="F11278" s="3" t="n">
        <v>-100000</v>
      </c>
      <c r="G11278" s="3" t="n">
        <v>-100000</v>
      </c>
    </row>
    <row r="11279">
      <c r="A11279" s="3" t="inlineStr">
        <is>
          <t>Quinate Consulting (Pty) Ltd</t>
        </is>
      </c>
      <c r="B11279" s="4" t="n">
        <v>44865</v>
      </c>
      <c r="C11279" s="3" t="inlineStr">
        <is>
          <t>Liabilities</t>
        </is>
      </c>
      <c r="D11279" s="3" t="inlineStr">
        <is>
          <t>5500/300</t>
        </is>
      </c>
      <c r="E11279" s="3" t="inlineStr">
        <is>
          <t>Loan - Gengis</t>
        </is>
      </c>
      <c r="F11279" s="3" t="n">
        <v>-1528.77</v>
      </c>
      <c r="G11279" s="3" t="n">
        <v>-276898.64</v>
      </c>
    </row>
    <row r="11280">
      <c r="A11280" s="3" t="inlineStr">
        <is>
          <t>Opportunity Management Holdings (PTY) LTD</t>
        </is>
      </c>
      <c r="B11280" s="4" t="n">
        <v>44865</v>
      </c>
      <c r="C11280" s="3" t="inlineStr">
        <is>
          <t>Liabilities</t>
        </is>
      </c>
      <c r="D11280" s="3" t="inlineStr">
        <is>
          <t>5500/300</t>
        </is>
      </c>
      <c r="E11280" s="3" t="inlineStr">
        <is>
          <t>Loan - Opportunity Prop Management</t>
        </is>
      </c>
      <c r="F11280" s="3" t="n">
        <v>0</v>
      </c>
      <c r="G11280" s="3" t="n">
        <v>-1220204.15</v>
      </c>
    </row>
    <row r="11281">
      <c r="A11281" s="3" t="inlineStr">
        <is>
          <t>Noble Shield (Pty) Ltd ta Go Letting</t>
        </is>
      </c>
      <c r="B11281" s="4" t="n">
        <v>44865</v>
      </c>
      <c r="C11281" s="3" t="inlineStr">
        <is>
          <t>Liabilities</t>
        </is>
      </c>
      <c r="D11281" s="3" t="inlineStr">
        <is>
          <t>5500/300</t>
        </is>
      </c>
      <c r="E11281" s="3" t="inlineStr">
        <is>
          <t>Loan - Trademark Holdings</t>
        </is>
      </c>
      <c r="F11281" s="3" t="n">
        <v>-30000</v>
      </c>
      <c r="G11281" s="3" t="n">
        <v>-123165.59</v>
      </c>
    </row>
    <row r="11282">
      <c r="A11282" s="3" t="inlineStr">
        <is>
          <t>Trademark Holdings (Pty) Ltd</t>
        </is>
      </c>
      <c r="B11282" s="4" t="n">
        <v>44865</v>
      </c>
      <c r="C11282" s="3" t="inlineStr">
        <is>
          <t>Liabilities</t>
        </is>
      </c>
      <c r="D11282" s="3" t="inlineStr">
        <is>
          <t>5500/375</t>
        </is>
      </c>
      <c r="E11282" s="3" t="inlineStr">
        <is>
          <t>Loan - Opportunity Management Holdings Pty Ltd</t>
        </is>
      </c>
      <c r="F11282" s="3" t="n">
        <v>-29400</v>
      </c>
      <c r="G11282" s="3" t="n">
        <v>-75400</v>
      </c>
    </row>
    <row r="11283">
      <c r="A11283" s="3" t="inlineStr">
        <is>
          <t>Trademark Holdings (Pty) Ltd</t>
        </is>
      </c>
      <c r="B11283" s="4" t="n">
        <v>44865</v>
      </c>
      <c r="C11283" s="3" t="inlineStr">
        <is>
          <t>Liabilities</t>
        </is>
      </c>
      <c r="D11283" s="3" t="inlineStr">
        <is>
          <t>5500/450</t>
        </is>
      </c>
      <c r="E11283" s="3" t="inlineStr">
        <is>
          <t>Loan - Cape Projects Construction</t>
        </is>
      </c>
      <c r="F11283" s="3" t="n">
        <v>-600</v>
      </c>
      <c r="G11283" s="3" t="n">
        <v>-1200</v>
      </c>
    </row>
    <row r="11284">
      <c r="A11284" s="3" t="inlineStr">
        <is>
          <t>Trademark Holdings (Pty) Ltd</t>
        </is>
      </c>
      <c r="B11284" s="4" t="n">
        <v>44865</v>
      </c>
      <c r="C11284" s="3" t="inlineStr">
        <is>
          <t>Liabilities</t>
        </is>
      </c>
      <c r="D11284" s="3" t="inlineStr">
        <is>
          <t>5500/500</t>
        </is>
      </c>
      <c r="E11284" s="3" t="inlineStr">
        <is>
          <t>Go Letting Brand Name</t>
        </is>
      </c>
      <c r="F11284" s="3" t="n">
        <v>0</v>
      </c>
      <c r="G11284" s="3" t="n">
        <v>93420</v>
      </c>
    </row>
    <row r="11285">
      <c r="A11285" s="3" t="inlineStr">
        <is>
          <t>Noble Shield (Pty) Ltd ta Go Letting</t>
        </is>
      </c>
      <c r="B11285" s="4" t="n">
        <v>44865</v>
      </c>
      <c r="C11285" s="3" t="inlineStr">
        <is>
          <t>Liabilities</t>
        </is>
      </c>
      <c r="D11285" s="3" t="inlineStr">
        <is>
          <t>5500/500</t>
        </is>
      </c>
      <c r="E11285" s="3" t="inlineStr">
        <is>
          <t>Loan - Cape Projects Construction</t>
        </is>
      </c>
      <c r="F11285" s="3" t="n">
        <v>-600</v>
      </c>
      <c r="G11285" s="3" t="n">
        <v>-1200</v>
      </c>
    </row>
    <row r="11286">
      <c r="A11286" s="3" t="inlineStr">
        <is>
          <t>Quinate Consulting (Pty) Ltd</t>
        </is>
      </c>
      <c r="B11286" s="4" t="n">
        <v>44865</v>
      </c>
      <c r="C11286" s="3" t="inlineStr">
        <is>
          <t>Liabilities</t>
        </is>
      </c>
      <c r="D11286" s="3" t="inlineStr">
        <is>
          <t>5500/500</t>
        </is>
      </c>
      <c r="E11286" s="3" t="inlineStr">
        <is>
          <t>Loan - Opportunity Development Struct.</t>
        </is>
      </c>
      <c r="F11286" s="3" t="n">
        <v>0</v>
      </c>
      <c r="G11286" s="3" t="n">
        <v>-2380000</v>
      </c>
    </row>
    <row r="11287">
      <c r="A11287" s="3" t="inlineStr">
        <is>
          <t>Opportunity Management Holdings (PTY) LTD</t>
        </is>
      </c>
      <c r="B11287" s="4" t="n">
        <v>44865</v>
      </c>
      <c r="C11287" s="3" t="inlineStr">
        <is>
          <t>Liabilities</t>
        </is>
      </c>
      <c r="D11287" s="3" t="inlineStr">
        <is>
          <t>5500/500</t>
        </is>
      </c>
      <c r="E11287" s="3" t="inlineStr">
        <is>
          <t>Loan - Opportunity Tradermark Holdings</t>
        </is>
      </c>
      <c r="F11287" s="3" t="n">
        <v>29400</v>
      </c>
      <c r="G11287" s="3" t="n">
        <v>75400</v>
      </c>
    </row>
    <row r="11288">
      <c r="A11288" s="3" t="inlineStr">
        <is>
          <t>Quinate Consulting (Pty) Ltd</t>
        </is>
      </c>
      <c r="B11288" s="4" t="n">
        <v>44865</v>
      </c>
      <c r="C11288" s="3" t="inlineStr">
        <is>
          <t>Liabilities</t>
        </is>
      </c>
      <c r="D11288" s="3" t="inlineStr">
        <is>
          <t>5500/520</t>
        </is>
      </c>
      <c r="E11288" s="3" t="inlineStr">
        <is>
          <t>Loan - Opportunity Management Holdings</t>
        </is>
      </c>
      <c r="F11288" s="3" t="n">
        <v>0</v>
      </c>
      <c r="G11288" s="3" t="n">
        <v>-3900</v>
      </c>
    </row>
    <row r="11289">
      <c r="A11289" s="3" t="inlineStr">
        <is>
          <t>Opportunity Management Holdings (PTY) LTD</t>
        </is>
      </c>
      <c r="B11289" s="4" t="n">
        <v>44865</v>
      </c>
      <c r="C11289" s="3" t="inlineStr">
        <is>
          <t>Liabilities</t>
        </is>
      </c>
      <c r="D11289" s="3" t="inlineStr">
        <is>
          <t>5500/550</t>
        </is>
      </c>
      <c r="E11289" s="3" t="inlineStr">
        <is>
          <t>Loan - Heron Projects</t>
        </is>
      </c>
      <c r="F11289" s="3" t="n">
        <v>0</v>
      </c>
      <c r="G11289" s="3" t="n">
        <v>30000</v>
      </c>
    </row>
    <row r="11290">
      <c r="A11290" s="3" t="inlineStr">
        <is>
          <t>Opportunity Global Investment (PTY) LTD</t>
        </is>
      </c>
      <c r="B11290" s="4" t="n">
        <v>44865</v>
      </c>
      <c r="C11290" s="3" t="inlineStr">
        <is>
          <t>Liabilities</t>
        </is>
      </c>
      <c r="D11290" s="3" t="inlineStr">
        <is>
          <t>5500/650</t>
        </is>
      </c>
      <c r="E11290" s="3" t="inlineStr">
        <is>
          <t>Loan - Opportunit Global - Sales</t>
        </is>
      </c>
      <c r="F11290" s="3" t="n">
        <v>-354400</v>
      </c>
      <c r="G11290" s="3" t="n">
        <v>-1278293.12</v>
      </c>
    </row>
    <row r="11291">
      <c r="A11291" s="3" t="inlineStr">
        <is>
          <t>Opportunity Global Sales (PTY) LTD</t>
        </is>
      </c>
      <c r="B11291" s="4" t="n">
        <v>44865</v>
      </c>
      <c r="C11291" s="3" t="inlineStr">
        <is>
          <t>Liabilities</t>
        </is>
      </c>
      <c r="D11291" s="3" t="inlineStr">
        <is>
          <t>5500/650</t>
        </is>
      </c>
      <c r="E11291" s="3" t="inlineStr">
        <is>
          <t>Loan - Opportunity Investments</t>
        </is>
      </c>
      <c r="F11291" s="3" t="n">
        <v>353200</v>
      </c>
      <c r="G11291" s="3" t="n">
        <v>1278293.12</v>
      </c>
    </row>
    <row r="11292">
      <c r="A11292" s="3" t="inlineStr">
        <is>
          <t>Opportunity Management Holdings (PTY) LTD</t>
        </is>
      </c>
      <c r="B11292" s="4" t="n">
        <v>44865</v>
      </c>
      <c r="C11292" s="3" t="inlineStr">
        <is>
          <t>Liabilities</t>
        </is>
      </c>
      <c r="D11292" s="3" t="inlineStr">
        <is>
          <t>5500/700</t>
        </is>
      </c>
      <c r="E11292" s="3" t="inlineStr">
        <is>
          <t>Loan - Go Letting</t>
        </is>
      </c>
      <c r="F11292" s="3" t="n">
        <v>0</v>
      </c>
      <c r="G11292" s="3" t="n">
        <v>-120</v>
      </c>
    </row>
    <row r="11293">
      <c r="A11293" s="3" t="inlineStr">
        <is>
          <t>Opportunity Global Investment (PTY) LTD</t>
        </is>
      </c>
      <c r="B11293" s="4" t="n">
        <v>44865</v>
      </c>
      <c r="C11293" s="3" t="inlineStr">
        <is>
          <t>Liabilities</t>
        </is>
      </c>
      <c r="D11293" s="3" t="inlineStr">
        <is>
          <t>5500/850</t>
        </is>
      </c>
      <c r="E11293" s="3" t="inlineStr">
        <is>
          <t>Loan - Nick Morgan</t>
        </is>
      </c>
      <c r="F11293" s="3" t="n">
        <v>0</v>
      </c>
      <c r="G11293" s="3" t="n">
        <v>4100</v>
      </c>
    </row>
    <row r="11294">
      <c r="A11294" s="3" t="inlineStr">
        <is>
          <t>Opportunity Global Investment (PTY) LTD</t>
        </is>
      </c>
      <c r="B11294" s="4" t="n">
        <v>44865</v>
      </c>
      <c r="C11294" s="3" t="inlineStr">
        <is>
          <t>Liabilities</t>
        </is>
      </c>
      <c r="D11294" s="3" t="inlineStr">
        <is>
          <t>5500/950</t>
        </is>
      </c>
      <c r="E11294" s="3" t="inlineStr">
        <is>
          <t>Loan - Gengis</t>
        </is>
      </c>
      <c r="F11294" s="3" t="n">
        <v>0</v>
      </c>
      <c r="G11294" s="3" t="n">
        <v>-120000</v>
      </c>
    </row>
    <row r="11295">
      <c r="A11295" s="3" t="inlineStr">
        <is>
          <t>Quinate Consulting (Pty) Ltd</t>
        </is>
      </c>
      <c r="B11295" s="4" t="n">
        <v>44865</v>
      </c>
      <c r="C11295" s="3" t="inlineStr">
        <is>
          <t>Liabilities</t>
        </is>
      </c>
      <c r="D11295" s="3" t="inlineStr">
        <is>
          <t>5501/001</t>
        </is>
      </c>
      <c r="E11295" s="3" t="inlineStr">
        <is>
          <t>Loan - Endulini CIP Costs</t>
        </is>
      </c>
      <c r="F11295" s="3" t="n">
        <v>-109400</v>
      </c>
      <c r="G11295" s="3" t="n">
        <v>9185561.699999999</v>
      </c>
    </row>
    <row r="11296">
      <c r="A11296" s="3" t="inlineStr">
        <is>
          <t>Opportunity Management Holdings (PTY) LTD</t>
        </is>
      </c>
      <c r="B11296" s="4" t="n">
        <v>44865</v>
      </c>
      <c r="C11296" s="3" t="inlineStr">
        <is>
          <t>Liabilities</t>
        </is>
      </c>
      <c r="D11296" s="3" t="inlineStr">
        <is>
          <t>5510/100</t>
        </is>
      </c>
      <c r="E11296" s="3" t="inlineStr">
        <is>
          <t>Staff loan - Debbie Landsberg</t>
        </is>
      </c>
      <c r="F11296" s="3" t="n">
        <v>-2000</v>
      </c>
      <c r="G11296" s="3" t="n">
        <v>10900</v>
      </c>
    </row>
    <row r="11297">
      <c r="A11297" s="3" t="inlineStr">
        <is>
          <t>Noble Shield (Pty) Ltd ta Go Letting</t>
        </is>
      </c>
      <c r="B11297" s="4" t="n">
        <v>44865</v>
      </c>
      <c r="C11297" s="3" t="inlineStr">
        <is>
          <t>Assets</t>
        </is>
      </c>
      <c r="D11297" s="3" t="inlineStr">
        <is>
          <t>6250/010</t>
        </is>
      </c>
      <c r="E11297" s="3" t="inlineStr">
        <is>
          <t>Computer Equipment - @ Cost</t>
        </is>
      </c>
      <c r="F11297" s="3" t="n">
        <v>0</v>
      </c>
      <c r="G11297" s="3" t="n">
        <v>20397</v>
      </c>
    </row>
    <row r="11298">
      <c r="A11298" s="3" t="inlineStr">
        <is>
          <t>Opportunity Management Holdings (PTY) LTD</t>
        </is>
      </c>
      <c r="B11298" s="4" t="n">
        <v>44865</v>
      </c>
      <c r="C11298" s="3" t="inlineStr">
        <is>
          <t>Assets</t>
        </is>
      </c>
      <c r="D11298" s="3" t="inlineStr">
        <is>
          <t>6250/010</t>
        </is>
      </c>
      <c r="E11298" s="3" t="inlineStr">
        <is>
          <t>Computer Equipment - @ Cost</t>
        </is>
      </c>
      <c r="F11298" s="3" t="n">
        <v>0</v>
      </c>
      <c r="G11298" s="3" t="n">
        <v>38977.85</v>
      </c>
    </row>
    <row r="11299">
      <c r="A11299" s="3" t="inlineStr">
        <is>
          <t>Quinate Consulting (Pty) Ltd</t>
        </is>
      </c>
      <c r="B11299" s="4" t="n">
        <v>44865</v>
      </c>
      <c r="C11299" s="3" t="inlineStr">
        <is>
          <t>Assets</t>
        </is>
      </c>
      <c r="D11299" s="3" t="inlineStr">
        <is>
          <t>6250/010</t>
        </is>
      </c>
      <c r="E11299" s="3" t="inlineStr">
        <is>
          <t>Computer Equipment - @ Cost</t>
        </is>
      </c>
      <c r="F11299" s="3" t="n">
        <v>0</v>
      </c>
      <c r="G11299" s="3" t="n">
        <v>137059.7</v>
      </c>
    </row>
    <row r="11300">
      <c r="A11300" s="3" t="inlineStr">
        <is>
          <t>Noble Shield (Pty) Ltd ta Go Letting</t>
        </is>
      </c>
      <c r="B11300" s="4" t="n">
        <v>44865</v>
      </c>
      <c r="C11300" s="3" t="inlineStr">
        <is>
          <t>Assets</t>
        </is>
      </c>
      <c r="D11300" s="3" t="inlineStr">
        <is>
          <t>6250/020</t>
        </is>
      </c>
      <c r="E11300" s="3" t="inlineStr">
        <is>
          <t>Computer Equipment - Accum Depre</t>
        </is>
      </c>
      <c r="F11300" s="3" t="n">
        <v>0</v>
      </c>
      <c r="G11300" s="3" t="n">
        <v>-12040.89</v>
      </c>
    </row>
    <row r="11301">
      <c r="A11301" s="3" t="inlineStr">
        <is>
          <t>Opportunity Management Holdings (PTY) LTD</t>
        </is>
      </c>
      <c r="B11301" s="4" t="n">
        <v>44865</v>
      </c>
      <c r="C11301" s="3" t="inlineStr">
        <is>
          <t>Assets</t>
        </is>
      </c>
      <c r="D11301" s="3" t="inlineStr">
        <is>
          <t>6250/020</t>
        </is>
      </c>
      <c r="E11301" s="3" t="inlineStr">
        <is>
          <t>Computer Equipment - Accum Depre</t>
        </is>
      </c>
      <c r="F11301" s="3" t="n">
        <v>-668.52</v>
      </c>
      <c r="G11301" s="3" t="n">
        <v>-2568.48</v>
      </c>
    </row>
    <row r="11302">
      <c r="A11302" s="3" t="inlineStr">
        <is>
          <t>Quinate Consulting (Pty) Ltd</t>
        </is>
      </c>
      <c r="B11302" s="4" t="n">
        <v>44865</v>
      </c>
      <c r="C11302" s="3" t="inlineStr">
        <is>
          <t>Assets</t>
        </is>
      </c>
      <c r="D11302" s="3" t="inlineStr">
        <is>
          <t>6250/020</t>
        </is>
      </c>
      <c r="E11302" s="3" t="inlineStr">
        <is>
          <t>Computer Equipment - Accum Depre</t>
        </is>
      </c>
      <c r="F11302" s="3" t="n">
        <v>-3141.39</v>
      </c>
      <c r="G11302" s="3" t="n">
        <v>-87427.74000000001</v>
      </c>
    </row>
    <row r="11303">
      <c r="A11303" s="3" t="inlineStr">
        <is>
          <t>Opportunity Management Holdings (PTY) LTD</t>
        </is>
      </c>
      <c r="B11303" s="4" t="n">
        <v>44865</v>
      </c>
      <c r="C11303" s="3" t="inlineStr">
        <is>
          <t>Assets</t>
        </is>
      </c>
      <c r="D11303" s="3" t="inlineStr">
        <is>
          <t>6250/030</t>
        </is>
      </c>
      <c r="E11303" s="3" t="inlineStr">
        <is>
          <t>Acc Depreciation - Computer Equipment</t>
        </is>
      </c>
      <c r="F11303" s="3" t="n">
        <v>0</v>
      </c>
      <c r="G11303" s="3" t="n">
        <v>-9441.25</v>
      </c>
    </row>
    <row r="11304">
      <c r="A11304" s="3" t="inlineStr">
        <is>
          <t>Quinate Consulting (Pty) Ltd</t>
        </is>
      </c>
      <c r="B11304" s="4" t="n">
        <v>44865</v>
      </c>
      <c r="C11304" s="3" t="inlineStr">
        <is>
          <t>Assets</t>
        </is>
      </c>
      <c r="D11304" s="3" t="inlineStr">
        <is>
          <t>6270/010</t>
        </is>
      </c>
      <c r="E11304" s="3" t="inlineStr">
        <is>
          <t>Site Containers - @ Cost</t>
        </is>
      </c>
      <c r="F11304" s="3" t="n">
        <v>0</v>
      </c>
      <c r="G11304" s="3" t="n">
        <v>19130.44</v>
      </c>
    </row>
    <row r="11305">
      <c r="A11305" s="3" t="inlineStr">
        <is>
          <t>Quinate Consulting (Pty) Ltd</t>
        </is>
      </c>
      <c r="B11305" s="4" t="n">
        <v>44865</v>
      </c>
      <c r="C11305" s="3" t="inlineStr">
        <is>
          <t>Assets</t>
        </is>
      </c>
      <c r="D11305" s="3" t="inlineStr">
        <is>
          <t>6270/020</t>
        </is>
      </c>
      <c r="E11305" s="3" t="inlineStr">
        <is>
          <t>Site Containers - Accum Depre</t>
        </is>
      </c>
      <c r="F11305" s="3" t="n">
        <v>-318.84</v>
      </c>
      <c r="G11305" s="3" t="n">
        <v>-6376.8</v>
      </c>
    </row>
    <row r="11306">
      <c r="A11306" s="3" t="inlineStr">
        <is>
          <t>Noble Shield (Pty) Ltd ta Go Letting</t>
        </is>
      </c>
      <c r="B11306" s="4" t="n">
        <v>44865</v>
      </c>
      <c r="C11306" s="3" t="inlineStr">
        <is>
          <t>Assets</t>
        </is>
      </c>
      <c r="D11306" s="3" t="inlineStr">
        <is>
          <t>6350/010</t>
        </is>
      </c>
      <c r="E11306" s="3" t="inlineStr">
        <is>
          <t>Furniture _AND_ Fittings - @ Cost</t>
        </is>
      </c>
      <c r="F11306" s="3" t="n">
        <v>0</v>
      </c>
      <c r="G11306" s="3" t="n">
        <v>2242</v>
      </c>
    </row>
    <row r="11307">
      <c r="A11307" s="3" t="inlineStr">
        <is>
          <t>Opportunity Global Sales (PTY) LTD</t>
        </is>
      </c>
      <c r="B11307" s="4" t="n">
        <v>44865</v>
      </c>
      <c r="C11307" s="3" t="inlineStr">
        <is>
          <t>Assets</t>
        </is>
      </c>
      <c r="D11307" s="3" t="inlineStr">
        <is>
          <t>6350/010</t>
        </is>
      </c>
      <c r="E11307" s="3" t="inlineStr">
        <is>
          <t>Furniture _AND_ Fittings - @ Cost</t>
        </is>
      </c>
      <c r="F11307" s="3" t="n">
        <v>0</v>
      </c>
      <c r="G11307" s="3" t="n">
        <v>29379.7</v>
      </c>
    </row>
    <row r="11308">
      <c r="A11308" s="3" t="inlineStr">
        <is>
          <t>Noble Shield (Pty) Ltd ta Go Letting</t>
        </is>
      </c>
      <c r="B11308" s="4" t="n">
        <v>44865</v>
      </c>
      <c r="C11308" s="3" t="inlineStr">
        <is>
          <t>Assets</t>
        </is>
      </c>
      <c r="D11308" s="3" t="inlineStr">
        <is>
          <t>6350/020</t>
        </is>
      </c>
      <c r="E11308" s="3" t="inlineStr">
        <is>
          <t>Furniture _AND_ Fittings - Accum Depre</t>
        </is>
      </c>
      <c r="F11308" s="3" t="n">
        <v>0</v>
      </c>
      <c r="G11308" s="3" t="n">
        <v>-2239</v>
      </c>
    </row>
    <row r="11309">
      <c r="A11309" s="3" t="inlineStr">
        <is>
          <t>Opportunity Global Sales (PTY) LTD</t>
        </is>
      </c>
      <c r="B11309" s="4" t="n">
        <v>44865</v>
      </c>
      <c r="C11309" s="3" t="inlineStr">
        <is>
          <t>Assets</t>
        </is>
      </c>
      <c r="D11309" s="3" t="inlineStr">
        <is>
          <t>6350/020</t>
        </is>
      </c>
      <c r="E11309" s="3" t="inlineStr">
        <is>
          <t>Furniture _AND_ Fittings - Accum Depre</t>
        </is>
      </c>
      <c r="F11309" s="3" t="n">
        <v>-408.06</v>
      </c>
      <c r="G11309" s="3" t="n">
        <v>-1632.21</v>
      </c>
    </row>
    <row r="11310">
      <c r="A11310" s="3" t="inlineStr">
        <is>
          <t>Opportunity Management Holdings (PTY) LTD</t>
        </is>
      </c>
      <c r="B11310" s="4" t="n">
        <v>44865</v>
      </c>
      <c r="C11310" s="3" t="inlineStr">
        <is>
          <t>Liabilities</t>
        </is>
      </c>
      <c r="D11310" s="3" t="inlineStr">
        <is>
          <t>6500/000</t>
        </is>
      </c>
      <c r="E11310" s="3" t="inlineStr">
        <is>
          <t>Deposits - Held</t>
        </is>
      </c>
      <c r="F11310" s="3" t="n">
        <v>0</v>
      </c>
      <c r="G11310" s="3" t="n">
        <v>-12028.1</v>
      </c>
    </row>
    <row r="11311">
      <c r="A11311" s="3" t="inlineStr">
        <is>
          <t>Opportunity Management Holdings (PTY) LTD</t>
        </is>
      </c>
      <c r="B11311" s="4" t="n">
        <v>44865</v>
      </c>
      <c r="C11311" s="3" t="inlineStr">
        <is>
          <t>Liabilities</t>
        </is>
      </c>
      <c r="D11311" s="3" t="inlineStr">
        <is>
          <t>6510/000</t>
        </is>
      </c>
      <c r="E11311" s="3" t="inlineStr">
        <is>
          <t>Deposits Paid - Anicol Properties</t>
        </is>
      </c>
      <c r="F11311" s="3" t="n">
        <v>0</v>
      </c>
      <c r="G11311" s="3" t="n">
        <v>13755</v>
      </c>
    </row>
    <row r="11312">
      <c r="A11312" s="3" t="inlineStr">
        <is>
          <t>Opportunity Management Holdings (PTY) LTD</t>
        </is>
      </c>
      <c r="B11312" s="4" t="n">
        <v>44865</v>
      </c>
      <c r="C11312" s="3" t="inlineStr">
        <is>
          <t>Liabilities</t>
        </is>
      </c>
      <c r="D11312" s="3" t="inlineStr">
        <is>
          <t>6515/000</t>
        </is>
      </c>
      <c r="E11312" s="3" t="inlineStr">
        <is>
          <t>Deposits Paid</t>
        </is>
      </c>
      <c r="F11312" s="3" t="n">
        <v>0</v>
      </c>
      <c r="G11312" s="3" t="n">
        <v>3852.5</v>
      </c>
    </row>
    <row r="11313">
      <c r="A11313" s="3" t="inlineStr">
        <is>
          <t>Quinate Consulting (Pty) Ltd</t>
        </is>
      </c>
      <c r="B11313" s="4" t="n">
        <v>44865</v>
      </c>
      <c r="C11313" s="3" t="inlineStr">
        <is>
          <t>Assets</t>
        </is>
      </c>
      <c r="D11313" s="3" t="inlineStr">
        <is>
          <t>6600/010</t>
        </is>
      </c>
      <c r="E11313" s="3" t="inlineStr">
        <is>
          <t>Other Fixed Assets - @ Cost</t>
        </is>
      </c>
      <c r="F11313" s="3" t="n">
        <v>0</v>
      </c>
      <c r="G11313" s="3" t="n">
        <v>14442.5</v>
      </c>
    </row>
    <row r="11314">
      <c r="A11314" s="3" t="inlineStr">
        <is>
          <t>Quinate Consulting (Pty) Ltd</t>
        </is>
      </c>
      <c r="B11314" s="4" t="n">
        <v>44865</v>
      </c>
      <c r="C11314" s="3" t="inlineStr">
        <is>
          <t>Assets</t>
        </is>
      </c>
      <c r="D11314" s="3" t="inlineStr">
        <is>
          <t>6600/020</t>
        </is>
      </c>
      <c r="E11314" s="3" t="inlineStr">
        <is>
          <t>Other Fixed Assets - Accum Depre</t>
        </is>
      </c>
      <c r="F11314" s="3" t="n">
        <v>0</v>
      </c>
      <c r="G11314" s="3" t="n">
        <v>-14441.5</v>
      </c>
    </row>
    <row r="11315">
      <c r="A11315" s="3" t="inlineStr">
        <is>
          <t>Noble Shield (Pty) Ltd ta Go Letting</t>
        </is>
      </c>
      <c r="B11315" s="4" t="n">
        <v>44865</v>
      </c>
      <c r="C11315" s="3" t="inlineStr">
        <is>
          <t>Assets</t>
        </is>
      </c>
      <c r="D11315" s="3" t="inlineStr">
        <is>
          <t>7000/100</t>
        </is>
      </c>
      <c r="E11315" s="3" t="inlineStr">
        <is>
          <t>Goodwill - Purchase of Go Letting</t>
        </is>
      </c>
      <c r="F11315" s="3" t="n">
        <v>0</v>
      </c>
      <c r="G11315" s="3" t="n">
        <v>106580</v>
      </c>
    </row>
    <row r="11316">
      <c r="A11316" s="3" t="inlineStr">
        <is>
          <t>Opportunity Management Holdings (PTY) LTD</t>
        </is>
      </c>
      <c r="B11316" s="4" t="n">
        <v>44865</v>
      </c>
      <c r="C11316" s="3" t="inlineStr">
        <is>
          <t>Assets</t>
        </is>
      </c>
      <c r="D11316" s="3" t="inlineStr">
        <is>
          <t>7200/000</t>
        </is>
      </c>
      <c r="E11316" s="3" t="inlineStr">
        <is>
          <t>Shares in Subsidiary Companies</t>
        </is>
      </c>
      <c r="F11316" s="3" t="n">
        <v>0</v>
      </c>
      <c r="G11316" s="3" t="n">
        <v>120</v>
      </c>
    </row>
    <row r="11317">
      <c r="A11317" s="3" t="inlineStr">
        <is>
          <t>Endulini (Pty) Ltd</t>
        </is>
      </c>
      <c r="B11317" s="4" t="n">
        <v>44865</v>
      </c>
      <c r="C11317" s="3" t="inlineStr">
        <is>
          <t>Assets</t>
        </is>
      </c>
      <c r="D11317" s="3" t="inlineStr">
        <is>
          <t>7610/100</t>
        </is>
      </c>
      <c r="E11317" s="3" t="inlineStr">
        <is>
          <t>Endulini Land</t>
        </is>
      </c>
      <c r="F11317" s="3" t="n">
        <v>0</v>
      </c>
      <c r="G11317" s="3" t="n">
        <v>10572851.37</v>
      </c>
    </row>
    <row r="11318">
      <c r="A11318" s="3" t="inlineStr">
        <is>
          <t>Endulini (Pty) Ltd</t>
        </is>
      </c>
      <c r="B11318" s="4" t="n">
        <v>44865</v>
      </c>
      <c r="C11318" s="3" t="inlineStr">
        <is>
          <t>Assets</t>
        </is>
      </c>
      <c r="D11318" s="3" t="inlineStr">
        <is>
          <t>7610/101</t>
        </is>
      </c>
      <c r="E11318" s="3" t="inlineStr">
        <is>
          <t>Endulini Revaluation of Land stock</t>
        </is>
      </c>
      <c r="F11318" s="3" t="n">
        <v>-6084085.78</v>
      </c>
      <c r="G11318" s="3" t="n">
        <v>0</v>
      </c>
    </row>
    <row r="11319">
      <c r="A11319" s="3" t="inlineStr">
        <is>
          <t>Endulini (Pty) Ltd</t>
        </is>
      </c>
      <c r="B11319" s="4" t="n">
        <v>44865</v>
      </c>
      <c r="C11319" s="3" t="inlineStr">
        <is>
          <t>Assets</t>
        </is>
      </c>
      <c r="D11319" s="3" t="inlineStr">
        <is>
          <t>7610/111</t>
        </is>
      </c>
      <c r="E11319" s="3" t="inlineStr">
        <is>
          <t>Endulini Closing Stock February 2021</t>
        </is>
      </c>
      <c r="F11319" s="3" t="n">
        <v>0</v>
      </c>
      <c r="G11319" s="3" t="n">
        <v>15044610.11</v>
      </c>
    </row>
    <row r="11320">
      <c r="A11320" s="3" t="inlineStr">
        <is>
          <t>Endulini (Pty) Ltd</t>
        </is>
      </c>
      <c r="B11320" s="4" t="n">
        <v>44865</v>
      </c>
      <c r="C11320" s="3" t="inlineStr">
        <is>
          <t>Assets</t>
        </is>
      </c>
      <c r="D11320" s="3" t="inlineStr">
        <is>
          <t>7610/180</t>
        </is>
      </c>
      <c r="E11320" s="3" t="inlineStr">
        <is>
          <t>Endulini CIP Architects</t>
        </is>
      </c>
      <c r="F11320" s="3" t="n">
        <v>669970.75</v>
      </c>
      <c r="G11320" s="3" t="n">
        <v>1207844.75</v>
      </c>
    </row>
    <row r="11321">
      <c r="A11321" s="3" t="inlineStr">
        <is>
          <t>Endulini (Pty) Ltd</t>
        </is>
      </c>
      <c r="B11321" s="4" t="n">
        <v>44865</v>
      </c>
      <c r="C11321" s="3" t="inlineStr">
        <is>
          <t>Assets</t>
        </is>
      </c>
      <c r="D11321" s="3" t="inlineStr">
        <is>
          <t>7610/200</t>
        </is>
      </c>
      <c r="E11321" s="3" t="inlineStr">
        <is>
          <t>Endulini CIP CoCT Land Use App</t>
        </is>
      </c>
      <c r="F11321" s="3" t="n">
        <v>0</v>
      </c>
      <c r="G11321" s="3" t="n">
        <v>232891.06</v>
      </c>
    </row>
    <row r="11322">
      <c r="A11322" s="3" t="inlineStr">
        <is>
          <t>Endulini (Pty) Ltd</t>
        </is>
      </c>
      <c r="B11322" s="4" t="n">
        <v>44865</v>
      </c>
      <c r="C11322" s="3" t="inlineStr">
        <is>
          <t>Assets</t>
        </is>
      </c>
      <c r="D11322" s="3" t="inlineStr">
        <is>
          <t>7610/205</t>
        </is>
      </c>
      <c r="E11322" s="3" t="inlineStr">
        <is>
          <t>Endulini CIP Site Establishments</t>
        </is>
      </c>
      <c r="F11322" s="3" t="n">
        <v>0</v>
      </c>
      <c r="G11322" s="3" t="n">
        <v>32428975.01</v>
      </c>
    </row>
    <row r="11323">
      <c r="A11323" s="3" t="inlineStr">
        <is>
          <t>Endulini (Pty) Ltd</t>
        </is>
      </c>
      <c r="B11323" s="4" t="n">
        <v>44865</v>
      </c>
      <c r="C11323" s="3" t="inlineStr">
        <is>
          <t>Assets</t>
        </is>
      </c>
      <c r="D11323" s="3" t="inlineStr">
        <is>
          <t>7610/209</t>
        </is>
      </c>
      <c r="E11323" s="3" t="inlineStr">
        <is>
          <t>Endulini CIP Construction Management</t>
        </is>
      </c>
      <c r="F11323" s="3" t="n">
        <v>6500</v>
      </c>
      <c r="G11323" s="3" t="n">
        <v>213375</v>
      </c>
    </row>
    <row r="11324">
      <c r="A11324" s="3" t="inlineStr">
        <is>
          <t>Endulini (Pty) Ltd</t>
        </is>
      </c>
      <c r="B11324" s="4" t="n">
        <v>44865</v>
      </c>
      <c r="C11324" s="3" t="inlineStr">
        <is>
          <t>Assets</t>
        </is>
      </c>
      <c r="D11324" s="3" t="inlineStr">
        <is>
          <t>7610/210</t>
        </is>
      </c>
      <c r="E11324" s="3" t="inlineStr">
        <is>
          <t>Endulini CIP Civil Works</t>
        </is>
      </c>
      <c r="F11324" s="3" t="n">
        <v>500000</v>
      </c>
      <c r="G11324" s="3" t="n">
        <v>6295702.14</v>
      </c>
    </row>
    <row r="11325">
      <c r="A11325" s="3" t="inlineStr">
        <is>
          <t>Endulini (Pty) Ltd</t>
        </is>
      </c>
      <c r="B11325" s="4" t="n">
        <v>44865</v>
      </c>
      <c r="C11325" s="3" t="inlineStr">
        <is>
          <t>Assets</t>
        </is>
      </c>
      <c r="D11325" s="3" t="inlineStr">
        <is>
          <t>7610/215</t>
        </is>
      </c>
      <c r="E11325" s="3" t="inlineStr">
        <is>
          <t>Endulini CIP Civil Engineers</t>
        </is>
      </c>
      <c r="F11325" s="3" t="n">
        <v>0</v>
      </c>
      <c r="G11325" s="3" t="n">
        <v>183000</v>
      </c>
    </row>
    <row r="11326">
      <c r="A11326" s="3" t="inlineStr">
        <is>
          <t>Endulini (Pty) Ltd</t>
        </is>
      </c>
      <c r="B11326" s="4" t="n">
        <v>44865</v>
      </c>
      <c r="C11326" s="3" t="inlineStr">
        <is>
          <t>Assets</t>
        </is>
      </c>
      <c r="D11326" s="3" t="inlineStr">
        <is>
          <t>7610/220</t>
        </is>
      </c>
      <c r="E11326" s="3" t="inlineStr">
        <is>
          <t>Endulini CIP Structuring Project Fee Opp Invest</t>
        </is>
      </c>
      <c r="F11326" s="3" t="n">
        <v>0</v>
      </c>
      <c r="G11326" s="3" t="n">
        <v>483735.96</v>
      </c>
    </row>
    <row r="11327">
      <c r="A11327" s="3" t="inlineStr">
        <is>
          <t>Endulini (Pty) Ltd</t>
        </is>
      </c>
      <c r="B11327" s="4" t="n">
        <v>44865</v>
      </c>
      <c r="C11327" s="3" t="inlineStr">
        <is>
          <t>Assets</t>
        </is>
      </c>
      <c r="D11327" s="3" t="inlineStr">
        <is>
          <t>7610/225</t>
        </is>
      </c>
      <c r="E11327" s="3" t="inlineStr">
        <is>
          <t>Endulini CIP Structural engineering fee</t>
        </is>
      </c>
      <c r="F11327" s="3" t="n">
        <v>0</v>
      </c>
      <c r="G11327" s="3" t="n">
        <v>346268.03</v>
      </c>
    </row>
    <row r="11328">
      <c r="A11328" s="3" t="inlineStr">
        <is>
          <t>Endulini (Pty) Ltd</t>
        </is>
      </c>
      <c r="B11328" s="4" t="n">
        <v>44865</v>
      </c>
      <c r="C11328" s="3" t="inlineStr">
        <is>
          <t>Assets</t>
        </is>
      </c>
      <c r="D11328" s="3" t="inlineStr">
        <is>
          <t>7610/230</t>
        </is>
      </c>
      <c r="E11328" s="3" t="inlineStr">
        <is>
          <t>Endulini CIP Mechanical Engineering</t>
        </is>
      </c>
      <c r="F11328" s="3" t="n">
        <v>0</v>
      </c>
      <c r="G11328" s="3" t="n">
        <v>15570</v>
      </c>
    </row>
    <row r="11329">
      <c r="A11329" s="3" t="inlineStr">
        <is>
          <t>Endulini (Pty) Ltd</t>
        </is>
      </c>
      <c r="B11329" s="4" t="n">
        <v>44865</v>
      </c>
      <c r="C11329" s="3" t="inlineStr">
        <is>
          <t>Assets</t>
        </is>
      </c>
      <c r="D11329" s="3" t="inlineStr">
        <is>
          <t>7610/235</t>
        </is>
      </c>
      <c r="E11329" s="3" t="inlineStr">
        <is>
          <t>Endulini CIP Electrical Installation</t>
        </is>
      </c>
      <c r="F11329" s="3" t="n">
        <v>0</v>
      </c>
      <c r="G11329" s="3" t="n">
        <v>1034019.08</v>
      </c>
    </row>
    <row r="11330">
      <c r="A11330" s="3" t="inlineStr">
        <is>
          <t>Endulini (Pty) Ltd</t>
        </is>
      </c>
      <c r="B11330" s="4" t="n">
        <v>44865</v>
      </c>
      <c r="C11330" s="3" t="inlineStr">
        <is>
          <t>Assets</t>
        </is>
      </c>
      <c r="D11330" s="3" t="inlineStr">
        <is>
          <t>7610/250</t>
        </is>
      </c>
      <c r="E11330" s="3" t="inlineStr">
        <is>
          <t>Endulini CIP Boundary Wall</t>
        </is>
      </c>
      <c r="F11330" s="3" t="n">
        <v>0</v>
      </c>
      <c r="G11330" s="3" t="n">
        <v>88400.8</v>
      </c>
    </row>
    <row r="11331">
      <c r="A11331" s="3" t="inlineStr">
        <is>
          <t>Endulini (Pty) Ltd</t>
        </is>
      </c>
      <c r="B11331" s="4" t="n">
        <v>44865</v>
      </c>
      <c r="C11331" s="3" t="inlineStr">
        <is>
          <t>Assets</t>
        </is>
      </c>
      <c r="D11331" s="3" t="inlineStr">
        <is>
          <t>7610/290</t>
        </is>
      </c>
      <c r="E11331" s="3" t="inlineStr">
        <is>
          <t>Endulini CIP Development Management Fees</t>
        </is>
      </c>
      <c r="F11331" s="3" t="n">
        <v>0</v>
      </c>
      <c r="G11331" s="3" t="n">
        <v>237496.62</v>
      </c>
    </row>
    <row r="11332">
      <c r="A11332" s="3" t="inlineStr">
        <is>
          <t>Endulini (Pty) Ltd</t>
        </is>
      </c>
      <c r="B11332" s="4" t="n">
        <v>44865</v>
      </c>
      <c r="C11332" s="3" t="inlineStr">
        <is>
          <t>Assets</t>
        </is>
      </c>
      <c r="D11332" s="3" t="inlineStr">
        <is>
          <t>7610/310</t>
        </is>
      </c>
      <c r="E11332" s="3" t="inlineStr">
        <is>
          <t>Endulini CIP Enviromental consultants</t>
        </is>
      </c>
      <c r="F11332" s="3" t="n">
        <v>0</v>
      </c>
      <c r="G11332" s="3" t="n">
        <v>108000</v>
      </c>
    </row>
    <row r="11333">
      <c r="A11333" s="3" t="inlineStr">
        <is>
          <t>Endulini (Pty) Ltd</t>
        </is>
      </c>
      <c r="B11333" s="4" t="n">
        <v>44865</v>
      </c>
      <c r="C11333" s="3" t="inlineStr">
        <is>
          <t>Assets</t>
        </is>
      </c>
      <c r="D11333" s="3" t="inlineStr">
        <is>
          <t>7610/320</t>
        </is>
      </c>
      <c r="E11333" s="3" t="inlineStr">
        <is>
          <t>Endulini CIP Geotechnical</t>
        </is>
      </c>
      <c r="F11333" s="3" t="n">
        <v>0</v>
      </c>
      <c r="G11333" s="3" t="n">
        <v>13575</v>
      </c>
    </row>
    <row r="11334">
      <c r="A11334" s="3" t="inlineStr">
        <is>
          <t>Endulini (Pty) Ltd</t>
        </is>
      </c>
      <c r="B11334" s="4" t="n">
        <v>44865</v>
      </c>
      <c r="C11334" s="3" t="inlineStr">
        <is>
          <t>Assets</t>
        </is>
      </c>
      <c r="D11334" s="3" t="inlineStr">
        <is>
          <t>7610/330</t>
        </is>
      </c>
      <c r="E11334" s="3" t="inlineStr">
        <is>
          <t>Endulini CIP Health and Safety</t>
        </is>
      </c>
      <c r="F11334" s="3" t="n">
        <v>0</v>
      </c>
      <c r="G11334" s="3" t="n">
        <v>40200</v>
      </c>
    </row>
    <row r="11335">
      <c r="A11335" s="3" t="inlineStr">
        <is>
          <t>Endulini (Pty) Ltd</t>
        </is>
      </c>
      <c r="B11335" s="4" t="n">
        <v>44865</v>
      </c>
      <c r="C11335" s="3" t="inlineStr">
        <is>
          <t>Assets</t>
        </is>
      </c>
      <c r="D11335" s="3" t="inlineStr">
        <is>
          <t>7610/390</t>
        </is>
      </c>
      <c r="E11335" s="3" t="inlineStr">
        <is>
          <t>Endulini CIP Land Surveyor</t>
        </is>
      </c>
      <c r="F11335" s="3" t="n">
        <v>0</v>
      </c>
      <c r="G11335" s="3" t="n">
        <v>186021.2</v>
      </c>
    </row>
    <row r="11336">
      <c r="A11336" s="3" t="inlineStr">
        <is>
          <t>Endulini (Pty) Ltd</t>
        </is>
      </c>
      <c r="B11336" s="4" t="n">
        <v>44865</v>
      </c>
      <c r="C11336" s="3" t="inlineStr">
        <is>
          <t>Assets</t>
        </is>
      </c>
      <c r="D11336" s="3" t="inlineStr">
        <is>
          <t>7610/392</t>
        </is>
      </c>
      <c r="E11336" s="3" t="inlineStr">
        <is>
          <t>Endulini CIP Landscaping</t>
        </is>
      </c>
      <c r="F11336" s="3" t="n">
        <v>0</v>
      </c>
      <c r="G11336" s="3" t="n">
        <v>6100</v>
      </c>
    </row>
    <row r="11337">
      <c r="A11337" s="3" t="inlineStr">
        <is>
          <t>Endulini (Pty) Ltd</t>
        </is>
      </c>
      <c r="B11337" s="4" t="n">
        <v>44865</v>
      </c>
      <c r="C11337" s="3" t="inlineStr">
        <is>
          <t>Assets</t>
        </is>
      </c>
      <c r="D11337" s="3" t="inlineStr">
        <is>
          <t>7610/395</t>
        </is>
      </c>
      <c r="E11337" s="3" t="inlineStr">
        <is>
          <t>Endulini CIP NHBRC</t>
        </is>
      </c>
      <c r="F11337" s="3" t="n">
        <v>0</v>
      </c>
      <c r="G11337" s="3" t="n">
        <v>928847.49</v>
      </c>
    </row>
    <row r="11338">
      <c r="A11338" s="3" t="inlineStr">
        <is>
          <t>Endulini (Pty) Ltd</t>
        </is>
      </c>
      <c r="B11338" s="4" t="n">
        <v>44865</v>
      </c>
      <c r="C11338" s="3" t="inlineStr">
        <is>
          <t>Assets</t>
        </is>
      </c>
      <c r="D11338" s="3" t="inlineStr">
        <is>
          <t>7610/400</t>
        </is>
      </c>
      <c r="E11338" s="3" t="inlineStr">
        <is>
          <t>Endulini CIP Quantity Surveyor</t>
        </is>
      </c>
      <c r="F11338" s="3" t="n">
        <v>0</v>
      </c>
      <c r="G11338" s="3" t="n">
        <v>82136.36</v>
      </c>
    </row>
    <row r="11339">
      <c r="A11339" s="3" t="inlineStr">
        <is>
          <t>Endulini (Pty) Ltd</t>
        </is>
      </c>
      <c r="B11339" s="4" t="n">
        <v>44865</v>
      </c>
      <c r="C11339" s="3" t="inlineStr">
        <is>
          <t>Assets</t>
        </is>
      </c>
      <c r="D11339" s="3" t="inlineStr">
        <is>
          <t>7610/600</t>
        </is>
      </c>
      <c r="E11339" s="3" t="inlineStr">
        <is>
          <t>Endulini CIP Town Planning</t>
        </is>
      </c>
      <c r="F11339" s="3" t="n">
        <v>0</v>
      </c>
      <c r="G11339" s="3" t="n">
        <v>21105</v>
      </c>
    </row>
    <row r="11340">
      <c r="A11340" s="3" t="inlineStr">
        <is>
          <t>Endulini (Pty) Ltd</t>
        </is>
      </c>
      <c r="B11340" s="4" t="n">
        <v>44865</v>
      </c>
      <c r="C11340" s="3" t="inlineStr">
        <is>
          <t>Assets</t>
        </is>
      </c>
      <c r="D11340" s="3" t="inlineStr">
        <is>
          <t>7610/620</t>
        </is>
      </c>
      <c r="E11340" s="3" t="inlineStr">
        <is>
          <t>Endulini CIP Traffic Impact</t>
        </is>
      </c>
      <c r="F11340" s="3" t="n">
        <v>0</v>
      </c>
      <c r="G11340" s="3" t="n">
        <v>24915</v>
      </c>
    </row>
    <row r="11341">
      <c r="A11341" s="3" t="inlineStr">
        <is>
          <t>Endulini (Pty) Ltd</t>
        </is>
      </c>
      <c r="B11341" s="4" t="n">
        <v>44865</v>
      </c>
      <c r="C11341" s="3" t="inlineStr">
        <is>
          <t>Assets</t>
        </is>
      </c>
      <c r="D11341" s="3" t="inlineStr">
        <is>
          <t>7610/630</t>
        </is>
      </c>
      <c r="E11341" s="3" t="inlineStr">
        <is>
          <t>Endulini CIP CoCT Development Contributi</t>
        </is>
      </c>
      <c r="F11341" s="3" t="n">
        <v>0</v>
      </c>
      <c r="G11341" s="3" t="n">
        <v>661860.3100000001</v>
      </c>
    </row>
    <row r="11342">
      <c r="A11342" s="3" t="inlineStr">
        <is>
          <t>Endulini (Pty) Ltd</t>
        </is>
      </c>
      <c r="B11342" s="4" t="n">
        <v>44865</v>
      </c>
      <c r="C11342" s="3" t="inlineStr">
        <is>
          <t>Assets</t>
        </is>
      </c>
      <c r="D11342" s="3" t="inlineStr">
        <is>
          <t>7610/640</t>
        </is>
      </c>
      <c r="E11342" s="3" t="inlineStr">
        <is>
          <t>Endulini CIP CoCT Building plan application</t>
        </is>
      </c>
      <c r="F11342" s="3" t="n">
        <v>0</v>
      </c>
      <c r="G11342" s="3" t="n">
        <v>111203.22</v>
      </c>
    </row>
    <row r="11343">
      <c r="A11343" s="3" t="inlineStr">
        <is>
          <t>Endulini (Pty) Ltd</t>
        </is>
      </c>
      <c r="B11343" s="4" t="n">
        <v>44865</v>
      </c>
      <c r="C11343" s="3" t="inlineStr">
        <is>
          <t>Assets</t>
        </is>
      </c>
      <c r="D11343" s="3" t="inlineStr">
        <is>
          <t>7610/650</t>
        </is>
      </c>
      <c r="E11343" s="3" t="inlineStr">
        <is>
          <t>Endulini CIP - P&amp;G recoveries - Endulini&amp;Heron Fields/View</t>
        </is>
      </c>
      <c r="F11343" s="3" t="n">
        <v>0</v>
      </c>
      <c r="G11343" s="3" t="n">
        <v>-3023829.42</v>
      </c>
    </row>
    <row r="11344">
      <c r="A11344" s="3" t="inlineStr">
        <is>
          <t>Endulini (Pty) Ltd</t>
        </is>
      </c>
      <c r="B11344" s="4" t="n">
        <v>44865</v>
      </c>
      <c r="C11344" s="3" t="inlineStr">
        <is>
          <t>Assets</t>
        </is>
      </c>
      <c r="D11344" s="3" t="inlineStr">
        <is>
          <t>7610/900</t>
        </is>
      </c>
      <c r="E11344" s="3" t="inlineStr">
        <is>
          <t>Endulini CIP Cost of Sales</t>
        </is>
      </c>
      <c r="F11344" s="3" t="n">
        <v>0</v>
      </c>
      <c r="G11344" s="3" t="n">
        <v>-28155981.9</v>
      </c>
    </row>
    <row r="11345">
      <c r="A11345" s="3" t="inlineStr">
        <is>
          <t>Quinate Consulting (Pty) Ltd</t>
        </is>
      </c>
      <c r="B11345" s="4" t="n">
        <v>44865</v>
      </c>
      <c r="C11345" s="3" t="inlineStr">
        <is>
          <t>Assets</t>
        </is>
      </c>
      <c r="D11345" s="3" t="inlineStr">
        <is>
          <t>7800/104</t>
        </is>
      </c>
      <c r="E11345" s="3" t="inlineStr">
        <is>
          <t>Stock - Closing Stock SW - 28 Feb 21</t>
        </is>
      </c>
      <c r="F11345" s="3" t="n">
        <v>0</v>
      </c>
      <c r="G11345" s="3" t="n">
        <v>2874478.88</v>
      </c>
    </row>
    <row r="11346">
      <c r="A11346" s="3" t="inlineStr">
        <is>
          <t>Quinate Consulting (Pty) Ltd</t>
        </is>
      </c>
      <c r="B11346" s="4" t="n">
        <v>44865</v>
      </c>
      <c r="C11346" s="3" t="inlineStr">
        <is>
          <t>Assets</t>
        </is>
      </c>
      <c r="D11346" s="3" t="inlineStr">
        <is>
          <t>7800/105</t>
        </is>
      </c>
      <c r="E11346" s="3" t="inlineStr">
        <is>
          <t>Stock - Closing Stock SH - 28 Feb 21</t>
        </is>
      </c>
      <c r="F11346" s="3" t="n">
        <v>0</v>
      </c>
      <c r="G11346" s="3" t="n">
        <v>2843477.6</v>
      </c>
    </row>
    <row r="11347">
      <c r="A11347" s="3" t="inlineStr">
        <is>
          <t>Endulini (Pty) Ltd</t>
        </is>
      </c>
      <c r="B11347" s="4" t="n">
        <v>44865</v>
      </c>
      <c r="C11347" s="3" t="inlineStr">
        <is>
          <t>Assets</t>
        </is>
      </c>
      <c r="D11347" s="3" t="inlineStr">
        <is>
          <t>8000/000</t>
        </is>
      </c>
      <c r="E11347" s="3" t="inlineStr">
        <is>
          <t>Customer Control Account</t>
        </is>
      </c>
      <c r="F11347" s="3" t="n">
        <v>1134.24</v>
      </c>
      <c r="G11347" s="3" t="n">
        <v>3478538.07</v>
      </c>
    </row>
    <row r="11348">
      <c r="A11348" s="3" t="inlineStr">
        <is>
          <t>Noble Shield (Pty) Ltd ta Go Letting</t>
        </is>
      </c>
      <c r="B11348" s="4" t="n">
        <v>44865</v>
      </c>
      <c r="C11348" s="3" t="inlineStr">
        <is>
          <t>Assets</t>
        </is>
      </c>
      <c r="D11348" s="3" t="inlineStr">
        <is>
          <t>8000/000</t>
        </is>
      </c>
      <c r="E11348" s="3" t="inlineStr">
        <is>
          <t>Customer Control Account</t>
        </is>
      </c>
      <c r="F11348" s="3" t="n">
        <v>0</v>
      </c>
      <c r="G11348" s="3" t="n">
        <v>60289.32</v>
      </c>
    </row>
    <row r="11349">
      <c r="A11349" s="3" t="inlineStr">
        <is>
          <t>Opportunity Global Sales (PTY) LTD</t>
        </is>
      </c>
      <c r="B11349" s="4" t="n">
        <v>44865</v>
      </c>
      <c r="C11349" s="3" t="inlineStr">
        <is>
          <t>Assets</t>
        </is>
      </c>
      <c r="D11349" s="3" t="inlineStr">
        <is>
          <t>8000/000</t>
        </is>
      </c>
      <c r="E11349" s="3" t="inlineStr">
        <is>
          <t>Customer Control Account</t>
        </is>
      </c>
      <c r="F11349" s="3" t="n">
        <v>120093.92</v>
      </c>
      <c r="G11349" s="3" t="n">
        <v>136030.21</v>
      </c>
    </row>
    <row r="11350">
      <c r="A11350" s="3" t="inlineStr">
        <is>
          <t>Opportunity Management Holdings (PTY) LTD</t>
        </is>
      </c>
      <c r="B11350" s="4" t="n">
        <v>44865</v>
      </c>
      <c r="C11350" s="3" t="inlineStr">
        <is>
          <t>Assets</t>
        </is>
      </c>
      <c r="D11350" s="3" t="inlineStr">
        <is>
          <t>8000/000</t>
        </is>
      </c>
      <c r="E11350" s="3" t="inlineStr">
        <is>
          <t>Customer Control Account</t>
        </is>
      </c>
      <c r="F11350" s="3" t="n">
        <v>-109975</v>
      </c>
      <c r="G11350" s="3" t="n">
        <v>185437.5</v>
      </c>
    </row>
    <row r="11351">
      <c r="A11351" s="3" t="inlineStr">
        <is>
          <t>Quinate Consulting (Pty) Ltd</t>
        </is>
      </c>
      <c r="B11351" s="4" t="n">
        <v>44865</v>
      </c>
      <c r="C11351" s="3" t="inlineStr">
        <is>
          <t>Assets</t>
        </is>
      </c>
      <c r="D11351" s="3" t="inlineStr">
        <is>
          <t>8000/000</t>
        </is>
      </c>
      <c r="E11351" s="3" t="inlineStr">
        <is>
          <t>Customer Control Account</t>
        </is>
      </c>
      <c r="F11351" s="3" t="n">
        <v>12500</v>
      </c>
      <c r="G11351" s="3" t="n">
        <v>-11945</v>
      </c>
    </row>
    <row r="11352">
      <c r="A11352" s="3" t="inlineStr">
        <is>
          <t>Quinate Consulting (Pty) Ltd</t>
        </is>
      </c>
      <c r="B11352" s="4" t="n">
        <v>44865</v>
      </c>
      <c r="C11352" s="3" t="inlineStr">
        <is>
          <t>Assets</t>
        </is>
      </c>
      <c r="D11352" s="3" t="inlineStr">
        <is>
          <t>8001</t>
        </is>
      </c>
      <c r="E11352" s="3" t="inlineStr">
        <is>
          <t>Customer Control</t>
        </is>
      </c>
      <c r="F11352" s="3" t="n">
        <v>0</v>
      </c>
      <c r="G11352" s="3" t="n">
        <v>29487.49</v>
      </c>
    </row>
    <row r="11353">
      <c r="A11353" s="3" t="inlineStr">
        <is>
          <t>Opportunity Global Investment (PTY) LTD</t>
        </is>
      </c>
      <c r="B11353" s="4" t="n">
        <v>44865</v>
      </c>
      <c r="C11353" s="3" t="inlineStr">
        <is>
          <t>Assets</t>
        </is>
      </c>
      <c r="D11353" s="3" t="inlineStr">
        <is>
          <t>8200/010</t>
        </is>
      </c>
      <c r="E11353" s="3" t="inlineStr">
        <is>
          <t>Prepayments / Prepaid Expenses</t>
        </is>
      </c>
      <c r="F11353" s="3" t="n">
        <v>0</v>
      </c>
      <c r="G11353" s="3" t="n">
        <v>75542.03</v>
      </c>
    </row>
    <row r="11354">
      <c r="A11354" s="3" t="inlineStr">
        <is>
          <t>Quinate Consulting (Pty) Ltd</t>
        </is>
      </c>
      <c r="B11354" s="4" t="n">
        <v>44865</v>
      </c>
      <c r="C11354" s="3" t="inlineStr">
        <is>
          <t>Assets</t>
        </is>
      </c>
      <c r="D11354" s="3" t="inlineStr">
        <is>
          <t>8200/010</t>
        </is>
      </c>
      <c r="E11354" s="3" t="inlineStr">
        <is>
          <t>Prepayments / Prepaid Expenses</t>
        </is>
      </c>
      <c r="F11354" s="3" t="n">
        <v>0</v>
      </c>
      <c r="G11354" s="3" t="n">
        <v>109675</v>
      </c>
    </row>
    <row r="11355">
      <c r="A11355" s="3" t="inlineStr">
        <is>
          <t>Opportunity Global Investment (PTY) LTD</t>
        </is>
      </c>
      <c r="B11355" s="4" t="n">
        <v>44865</v>
      </c>
      <c r="C11355" s="3" t="inlineStr">
        <is>
          <t>Assets</t>
        </is>
      </c>
      <c r="D11355" s="3" t="inlineStr">
        <is>
          <t>8400/000</t>
        </is>
      </c>
      <c r="E11355" s="3" t="inlineStr">
        <is>
          <t>FNB 62093491696</t>
        </is>
      </c>
      <c r="F11355" s="3" t="n">
        <v>-41341.71</v>
      </c>
      <c r="G11355" s="3" t="n">
        <v>65177.14</v>
      </c>
    </row>
    <row r="11356">
      <c r="A11356" s="3" t="inlineStr">
        <is>
          <t>Opportunity Global Sales (PTY) LTD</t>
        </is>
      </c>
      <c r="B11356" s="4" t="n">
        <v>44865</v>
      </c>
      <c r="C11356" s="3" t="inlineStr">
        <is>
          <t>Assets</t>
        </is>
      </c>
      <c r="D11356" s="3" t="inlineStr">
        <is>
          <t>8400/000</t>
        </is>
      </c>
      <c r="E11356" s="3" t="inlineStr">
        <is>
          <t>FNB 62835620875</t>
        </is>
      </c>
      <c r="F11356" s="3" t="n">
        <v>42120.71</v>
      </c>
      <c r="G11356" s="3" t="n">
        <v>198802.77</v>
      </c>
    </row>
    <row r="11357">
      <c r="A11357" s="3" t="inlineStr">
        <is>
          <t>Quinate Consulting (Pty) Ltd</t>
        </is>
      </c>
      <c r="B11357" s="4" t="n">
        <v>44865</v>
      </c>
      <c r="C11357" s="3" t="inlineStr">
        <is>
          <t>Assets</t>
        </is>
      </c>
      <c r="D11357" s="3" t="inlineStr">
        <is>
          <t>8400/000</t>
        </is>
      </c>
      <c r="E11357" s="3" t="inlineStr">
        <is>
          <t>RMB - 62736659189 - Call Acc</t>
        </is>
      </c>
      <c r="F11357" s="3" t="n">
        <v>590.04</v>
      </c>
      <c r="G11357" s="3" t="n">
        <v>153204.41</v>
      </c>
    </row>
    <row r="11358">
      <c r="A11358" s="3" t="inlineStr">
        <is>
          <t>Trademark Holdings (Pty) Ltd</t>
        </is>
      </c>
      <c r="B11358" s="4" t="n">
        <v>44865</v>
      </c>
      <c r="C11358" s="3" t="inlineStr">
        <is>
          <t>Assets</t>
        </is>
      </c>
      <c r="D11358" s="3" t="inlineStr">
        <is>
          <t>8400/000</t>
        </is>
      </c>
      <c r="E11358" s="3" t="inlineStr">
        <is>
          <t>RMB 623 693 03640</t>
        </is>
      </c>
      <c r="F11358" s="3" t="n">
        <v>39013.74</v>
      </c>
      <c r="G11358" s="3" t="n">
        <v>100144.33</v>
      </c>
    </row>
    <row r="11359">
      <c r="A11359" s="3" t="inlineStr">
        <is>
          <t>Noble Shield (Pty) Ltd ta Go Letting</t>
        </is>
      </c>
      <c r="B11359" s="4" t="n">
        <v>44865</v>
      </c>
      <c r="C11359" s="3" t="inlineStr">
        <is>
          <t>Assets</t>
        </is>
      </c>
      <c r="D11359" s="3" t="inlineStr">
        <is>
          <t>8400/000</t>
        </is>
      </c>
      <c r="E11359" s="3" t="inlineStr">
        <is>
          <t>RMB 6250 573 3833</t>
        </is>
      </c>
      <c r="F11359" s="3" t="n">
        <v>25344.73</v>
      </c>
      <c r="G11359" s="3" t="n">
        <v>60000.92</v>
      </c>
    </row>
    <row r="11360">
      <c r="A11360" s="3" t="inlineStr">
        <is>
          <t>Endulini (Pty) Ltd</t>
        </is>
      </c>
      <c r="B11360" s="4" t="n">
        <v>44865</v>
      </c>
      <c r="C11360" s="3" t="inlineStr">
        <is>
          <t>Assets</t>
        </is>
      </c>
      <c r="D11360" s="3" t="inlineStr">
        <is>
          <t>8400/000</t>
        </is>
      </c>
      <c r="E11360" s="3" t="inlineStr">
        <is>
          <t>RMB 62906944576</t>
        </is>
      </c>
      <c r="F11360" s="3" t="n">
        <v>-271130.25</v>
      </c>
      <c r="G11360" s="3" t="n">
        <v>249145.99</v>
      </c>
    </row>
    <row r="11361">
      <c r="A11361" s="3" t="inlineStr">
        <is>
          <t>Opportunity Management Holdings (PTY) LTD</t>
        </is>
      </c>
      <c r="B11361" s="4" t="n">
        <v>44865</v>
      </c>
      <c r="C11361" s="3" t="inlineStr">
        <is>
          <t>Assets</t>
        </is>
      </c>
      <c r="D11361" s="3" t="inlineStr">
        <is>
          <t>8400/000</t>
        </is>
      </c>
      <c r="E11361" s="3" t="inlineStr">
        <is>
          <t>RMB Cheq - 62312246920</t>
        </is>
      </c>
      <c r="F11361" s="3" t="n">
        <v>44219.33</v>
      </c>
      <c r="G11361" s="3" t="n">
        <v>76286.38</v>
      </c>
    </row>
    <row r="11362">
      <c r="A11362" s="3" t="inlineStr">
        <is>
          <t>Opportunity Global Investment (PTY) LTD</t>
        </is>
      </c>
      <c r="B11362" s="4" t="n">
        <v>44865</v>
      </c>
      <c r="C11362" s="3" t="inlineStr">
        <is>
          <t>Assets</t>
        </is>
      </c>
      <c r="D11362" s="3" t="inlineStr">
        <is>
          <t>8405/000</t>
        </is>
      </c>
      <c r="E11362" s="3" t="inlineStr">
        <is>
          <t>FNB Trust 62762449265</t>
        </is>
      </c>
      <c r="F11362" s="3" t="n">
        <v>-73.06</v>
      </c>
      <c r="G11362" s="3" t="n">
        <v>964.78</v>
      </c>
    </row>
    <row r="11363">
      <c r="A11363" s="3" t="inlineStr">
        <is>
          <t>Endulini (Pty) Ltd</t>
        </is>
      </c>
      <c r="B11363" s="4" t="n">
        <v>44865</v>
      </c>
      <c r="C11363" s="3" t="inlineStr">
        <is>
          <t>Assets</t>
        </is>
      </c>
      <c r="D11363" s="3" t="inlineStr">
        <is>
          <t>8410/000</t>
        </is>
      </c>
      <c r="E11363" s="3" t="inlineStr">
        <is>
          <t>Momentum Investor Account : RU 502229883</t>
        </is>
      </c>
      <c r="F11363" s="3" t="n">
        <v>12.63</v>
      </c>
      <c r="G11363" s="3" t="n">
        <v>2614.24</v>
      </c>
    </row>
    <row r="11364">
      <c r="A11364" s="3" t="inlineStr">
        <is>
          <t>Opportunity Management Holdings (PTY) LTD</t>
        </is>
      </c>
      <c r="B11364" s="4" t="n">
        <v>44865</v>
      </c>
      <c r="C11364" s="3" t="inlineStr">
        <is>
          <t>Assets</t>
        </is>
      </c>
      <c r="D11364" s="3" t="inlineStr">
        <is>
          <t>8410/000</t>
        </is>
      </c>
      <c r="E11364" s="3" t="inlineStr">
        <is>
          <t>RMB Call Acc - 62312248851</t>
        </is>
      </c>
      <c r="F11364" s="3" t="n">
        <v>-2.62</v>
      </c>
      <c r="G11364" s="3" t="n">
        <v>1071.04</v>
      </c>
    </row>
    <row r="11365">
      <c r="A11365" s="3" t="inlineStr">
        <is>
          <t>Noble Shield (Pty) Ltd ta Go Letting</t>
        </is>
      </c>
      <c r="B11365" s="4" t="n">
        <v>44865</v>
      </c>
      <c r="C11365" s="3" t="inlineStr">
        <is>
          <t>Assets</t>
        </is>
      </c>
      <c r="D11365" s="3" t="inlineStr">
        <is>
          <t>8410/000</t>
        </is>
      </c>
      <c r="E11365" s="3" t="inlineStr">
        <is>
          <t>RMB Trust Acc - 6250 615 1365</t>
        </is>
      </c>
      <c r="F11365" s="3" t="n">
        <v>-71.48</v>
      </c>
      <c r="G11365" s="3" t="n">
        <v>808.72</v>
      </c>
    </row>
    <row r="11366">
      <c r="A11366" s="3" t="inlineStr">
        <is>
          <t>Quinate Consulting (Pty) Ltd</t>
        </is>
      </c>
      <c r="B11366" s="4" t="n">
        <v>44865</v>
      </c>
      <c r="C11366" s="3" t="inlineStr">
        <is>
          <t>Assets</t>
        </is>
      </c>
      <c r="D11366" s="3" t="inlineStr">
        <is>
          <t>8415/000</t>
        </is>
      </c>
      <c r="E11366" s="3" t="inlineStr">
        <is>
          <t>STD Acc 071 958 959 - Facility Acc</t>
        </is>
      </c>
      <c r="F11366" s="3" t="n">
        <v>-85</v>
      </c>
      <c r="G11366" s="3" t="n">
        <v>3636.21</v>
      </c>
    </row>
    <row r="11367">
      <c r="A11367" s="3" t="inlineStr">
        <is>
          <t>Quinate Consulting (Pty) Ltd</t>
        </is>
      </c>
      <c r="B11367" s="4" t="n">
        <v>44865</v>
      </c>
      <c r="C11367" s="3" t="inlineStr">
        <is>
          <t>Assets</t>
        </is>
      </c>
      <c r="D11367" s="3" t="inlineStr">
        <is>
          <t>8430/000</t>
        </is>
      </c>
      <c r="E11367" s="3" t="inlineStr">
        <is>
          <t>Momentum Investment Acc - RU502230185</t>
        </is>
      </c>
      <c r="F11367" s="3" t="n">
        <v>2.54</v>
      </c>
      <c r="G11367" s="3" t="n">
        <v>523.64</v>
      </c>
    </row>
    <row r="11368">
      <c r="A11368" s="3" t="inlineStr">
        <is>
          <t>Opportunity Global Investment (PTY) LTD</t>
        </is>
      </c>
      <c r="B11368" s="4" t="n">
        <v>44865</v>
      </c>
      <c r="C11368" s="3" t="inlineStr">
        <is>
          <t>Assets</t>
        </is>
      </c>
      <c r="D11368" s="3" t="inlineStr">
        <is>
          <t>8440/000</t>
        </is>
      </c>
      <c r="E11368" s="3" t="inlineStr">
        <is>
          <t>FNB - Call 627602764438</t>
        </is>
      </c>
      <c r="F11368" s="3" t="n">
        <v>-9.48</v>
      </c>
      <c r="G11368" s="3" t="n">
        <v>976.23</v>
      </c>
    </row>
    <row r="11369">
      <c r="A11369" s="3" t="inlineStr">
        <is>
          <t>Opportunity Global Investment (PTY) LTD</t>
        </is>
      </c>
      <c r="B11369" s="4" t="n">
        <v>44865</v>
      </c>
      <c r="C11369" s="3" t="inlineStr">
        <is>
          <t>Assets</t>
        </is>
      </c>
      <c r="D11369" s="3" t="inlineStr">
        <is>
          <t>8445/000</t>
        </is>
      </c>
      <c r="E11369" s="3" t="inlineStr">
        <is>
          <t>Momentum RU502230096</t>
        </is>
      </c>
      <c r="F11369" s="3" t="n">
        <v>45.78</v>
      </c>
      <c r="G11369" s="3" t="n">
        <v>4593.77</v>
      </c>
    </row>
    <row r="11370">
      <c r="A11370" s="3" t="inlineStr">
        <is>
          <t>Quinate Consulting (Pty) Ltd</t>
        </is>
      </c>
      <c r="B11370" s="4" t="n">
        <v>44865</v>
      </c>
      <c r="C11370" s="3" t="inlineStr">
        <is>
          <t>Assets</t>
        </is>
      </c>
      <c r="D11370" s="3" t="inlineStr">
        <is>
          <t>8450/000</t>
        </is>
      </c>
      <c r="E11370" s="3" t="inlineStr">
        <is>
          <t>A RMB 62275810820</t>
        </is>
      </c>
      <c r="F11370" s="3" t="n">
        <v>-71656.97</v>
      </c>
      <c r="G11370" s="3" t="n">
        <v>109905.92</v>
      </c>
    </row>
    <row r="11371">
      <c r="A11371" s="3" t="inlineStr">
        <is>
          <t>Opportunity Management Holdings (PTY) LTD</t>
        </is>
      </c>
      <c r="B11371" s="4" t="n">
        <v>44865</v>
      </c>
      <c r="C11371" s="3" t="inlineStr">
        <is>
          <t>Assets</t>
        </is>
      </c>
      <c r="D11371" s="3" t="inlineStr">
        <is>
          <t>8450/000</t>
        </is>
      </c>
      <c r="E11371" s="3" t="inlineStr">
        <is>
          <t>Petty Cash - CT Office</t>
        </is>
      </c>
      <c r="F11371" s="3" t="n">
        <v>0</v>
      </c>
      <c r="G11371" s="3" t="n">
        <v>598.9</v>
      </c>
    </row>
    <row r="11372">
      <c r="A11372" s="3" t="inlineStr">
        <is>
          <t>Quinate Consulting (Pty) Ltd</t>
        </is>
      </c>
      <c r="B11372" s="4" t="n">
        <v>44865</v>
      </c>
      <c r="C11372" s="3" t="inlineStr">
        <is>
          <t>Liabilities</t>
        </is>
      </c>
      <c r="D11372" s="3" t="inlineStr">
        <is>
          <t>8480/100</t>
        </is>
      </c>
      <c r="E11372" s="3" t="inlineStr">
        <is>
          <t>Bond - SH20 - STD Bank 532010558</t>
        </is>
      </c>
      <c r="F11372" s="3" t="n">
        <v>2176.11</v>
      </c>
      <c r="G11372" s="3" t="n">
        <v>-1365726.03</v>
      </c>
    </row>
    <row r="11373">
      <c r="A11373" s="3" t="inlineStr">
        <is>
          <t>Quinate Consulting (Pty) Ltd</t>
        </is>
      </c>
      <c r="B11373" s="4" t="n">
        <v>44865</v>
      </c>
      <c r="C11373" s="3" t="inlineStr">
        <is>
          <t>Liabilities</t>
        </is>
      </c>
      <c r="D11373" s="3" t="inlineStr">
        <is>
          <t>8480/200</t>
        </is>
      </c>
      <c r="E11373" s="3" t="inlineStr">
        <is>
          <t>Bond - SH23 - STD Bank 532010035</t>
        </is>
      </c>
      <c r="F11373" s="3" t="n">
        <v>2173.26</v>
      </c>
      <c r="G11373" s="3" t="n">
        <v>-1365559.41</v>
      </c>
    </row>
    <row r="11374">
      <c r="A11374" s="3" t="inlineStr">
        <is>
          <t>Quinate Consulting (Pty) Ltd</t>
        </is>
      </c>
      <c r="B11374" s="4" t="n">
        <v>44865</v>
      </c>
      <c r="C11374" s="3" t="inlineStr">
        <is>
          <t>Liabilities</t>
        </is>
      </c>
      <c r="D11374" s="3" t="inlineStr">
        <is>
          <t>8480/300</t>
        </is>
      </c>
      <c r="E11374" s="3" t="inlineStr">
        <is>
          <t>Bond - SH24 - STD Bank 532372662</t>
        </is>
      </c>
      <c r="F11374" s="3" t="n">
        <v>329.04</v>
      </c>
      <c r="G11374" s="3" t="n">
        <v>-1457199.58</v>
      </c>
    </row>
    <row r="11375">
      <c r="A11375" s="3" t="inlineStr">
        <is>
          <t>Quinate Consulting (Pty) Ltd</t>
        </is>
      </c>
      <c r="B11375" s="4" t="n">
        <v>44865</v>
      </c>
      <c r="C11375" s="3" t="inlineStr">
        <is>
          <t>Liabilities</t>
        </is>
      </c>
      <c r="D11375" s="3" t="inlineStr">
        <is>
          <t>8480/400</t>
        </is>
      </c>
      <c r="E11375" s="3" t="inlineStr">
        <is>
          <t>Bond - SW01 - STD Bank 532920627</t>
        </is>
      </c>
      <c r="F11375" s="3" t="n">
        <v>-88.55</v>
      </c>
      <c r="G11375" s="3" t="n">
        <v>-1295589.37</v>
      </c>
    </row>
    <row r="11376">
      <c r="A11376" s="3" t="inlineStr">
        <is>
          <t>Quinate Consulting (Pty) Ltd</t>
        </is>
      </c>
      <c r="B11376" s="4" t="n">
        <v>44865</v>
      </c>
      <c r="C11376" s="3" t="inlineStr">
        <is>
          <t>Liabilities</t>
        </is>
      </c>
      <c r="D11376" s="3" t="inlineStr">
        <is>
          <t>8480/401</t>
        </is>
      </c>
      <c r="E11376" s="3" t="inlineStr">
        <is>
          <t>Bond - SW21 - STD Bank 532920597</t>
        </is>
      </c>
      <c r="F11376" s="3" t="n">
        <v>-88.59</v>
      </c>
      <c r="G11376" s="3" t="n">
        <v>-1296103.42</v>
      </c>
    </row>
    <row r="11377">
      <c r="A11377" s="3" t="inlineStr">
        <is>
          <t>Opportunity Global Investment (PTY) LTD</t>
        </is>
      </c>
      <c r="B11377" s="4" t="n">
        <v>44865</v>
      </c>
      <c r="C11377" s="3" t="inlineStr">
        <is>
          <t>Liabilities</t>
        </is>
      </c>
      <c r="D11377" s="3" t="inlineStr">
        <is>
          <t>860</t>
        </is>
      </c>
      <c r="E11377" s="3" t="inlineStr">
        <is>
          <t>Rounding</t>
        </is>
      </c>
      <c r="F11377" s="3" t="n">
        <v>0</v>
      </c>
      <c r="G11377" s="3" t="n">
        <v>-0.03</v>
      </c>
    </row>
    <row r="11378">
      <c r="A11378" s="3" t="inlineStr">
        <is>
          <t>Opportunity Global Sales (PTY) LTD</t>
        </is>
      </c>
      <c r="B11378" s="4" t="n">
        <v>44865</v>
      </c>
      <c r="C11378" s="3" t="inlineStr">
        <is>
          <t>Liabilities</t>
        </is>
      </c>
      <c r="D11378" s="3" t="inlineStr">
        <is>
          <t>860</t>
        </is>
      </c>
      <c r="E11378" s="3" t="inlineStr">
        <is>
          <t>Rounding</t>
        </is>
      </c>
      <c r="F11378" s="3" t="n">
        <v>0</v>
      </c>
      <c r="G11378" s="3" t="n">
        <v>-1</v>
      </c>
    </row>
    <row r="11379">
      <c r="A11379" s="3" t="inlineStr">
        <is>
          <t>Quinate Consulting (Pty) Ltd</t>
        </is>
      </c>
      <c r="B11379" s="4" t="n">
        <v>44865</v>
      </c>
      <c r="C11379" s="3" t="inlineStr">
        <is>
          <t>Liabilities</t>
        </is>
      </c>
      <c r="D11379" s="3" t="inlineStr">
        <is>
          <t>860</t>
        </is>
      </c>
      <c r="E11379" s="3" t="inlineStr">
        <is>
          <t>Rounding</t>
        </is>
      </c>
      <c r="F11379" s="3" t="n">
        <v>0</v>
      </c>
      <c r="G11379" s="3" t="n">
        <v>0.09</v>
      </c>
    </row>
    <row r="11380">
      <c r="A11380" s="3" t="inlineStr">
        <is>
          <t>Trademark Holdings (Pty) Ltd</t>
        </is>
      </c>
      <c r="B11380" s="4" t="n">
        <v>44865</v>
      </c>
      <c r="C11380" s="3" t="inlineStr">
        <is>
          <t>Liabilities</t>
        </is>
      </c>
      <c r="D11380" s="3" t="inlineStr">
        <is>
          <t>860</t>
        </is>
      </c>
      <c r="E11380" s="3" t="inlineStr">
        <is>
          <t>Rounding</t>
        </is>
      </c>
      <c r="F11380" s="3" t="n">
        <v>0</v>
      </c>
      <c r="G11380" s="3" t="n">
        <v>0.2</v>
      </c>
    </row>
    <row r="11381">
      <c r="A11381" s="3" t="inlineStr">
        <is>
          <t>Endulini (Pty) Ltd</t>
        </is>
      </c>
      <c r="B11381" s="4" t="n">
        <v>44865</v>
      </c>
      <c r="C11381" s="3" t="inlineStr">
        <is>
          <t>Liabilities</t>
        </is>
      </c>
      <c r="D11381" s="3" t="inlineStr">
        <is>
          <t>9000/000</t>
        </is>
      </c>
      <c r="E11381" s="3" t="inlineStr">
        <is>
          <t>Supplier Control Account</t>
        </is>
      </c>
      <c r="F11381" s="3" t="n">
        <v>8750998.130000001</v>
      </c>
      <c r="G11381" s="3" t="n">
        <v>-26782134.65</v>
      </c>
    </row>
    <row r="11382">
      <c r="A11382" s="3" t="inlineStr">
        <is>
          <t>Noble Shield (Pty) Ltd ta Go Letting</t>
        </is>
      </c>
      <c r="B11382" s="4" t="n">
        <v>44865</v>
      </c>
      <c r="C11382" s="3" t="inlineStr">
        <is>
          <t>Liabilities</t>
        </is>
      </c>
      <c r="D11382" s="3" t="inlineStr">
        <is>
          <t>9000/000</t>
        </is>
      </c>
      <c r="E11382" s="3" t="inlineStr">
        <is>
          <t>Supplier Control Account</t>
        </is>
      </c>
      <c r="F11382" s="3" t="n">
        <v>5348.79</v>
      </c>
      <c r="G11382" s="3" t="n">
        <v>-17471.76</v>
      </c>
    </row>
    <row r="11383">
      <c r="A11383" s="3" t="inlineStr">
        <is>
          <t>Opportunity Global Investment (PTY) LTD</t>
        </is>
      </c>
      <c r="B11383" s="4" t="n">
        <v>44865</v>
      </c>
      <c r="C11383" s="3" t="inlineStr">
        <is>
          <t>Liabilities</t>
        </is>
      </c>
      <c r="D11383" s="3" t="inlineStr">
        <is>
          <t>9000/000</t>
        </is>
      </c>
      <c r="E11383" s="3" t="inlineStr">
        <is>
          <t>Supplier Control Account</t>
        </is>
      </c>
      <c r="F11383" s="3" t="n">
        <v>73862.5</v>
      </c>
      <c r="G11383" s="3" t="n">
        <v>-59648.6</v>
      </c>
    </row>
    <row r="11384">
      <c r="A11384" s="3" t="inlineStr">
        <is>
          <t>Opportunity Global Sales (PTY) LTD</t>
        </is>
      </c>
      <c r="B11384" s="4" t="n">
        <v>44865</v>
      </c>
      <c r="C11384" s="3" t="inlineStr">
        <is>
          <t>Liabilities</t>
        </is>
      </c>
      <c r="D11384" s="3" t="inlineStr">
        <is>
          <t>9000/000</t>
        </is>
      </c>
      <c r="E11384" s="3" t="inlineStr">
        <is>
          <t>Supplier Control Account</t>
        </is>
      </c>
      <c r="F11384" s="3" t="n">
        <v>-3767.44</v>
      </c>
      <c r="G11384" s="3" t="n">
        <v>-18542.44</v>
      </c>
    </row>
    <row r="11385">
      <c r="A11385" s="3" t="inlineStr">
        <is>
          <t>Opportunity Management Holdings (PTY) LTD</t>
        </is>
      </c>
      <c r="B11385" s="4" t="n">
        <v>44865</v>
      </c>
      <c r="C11385" s="3" t="inlineStr">
        <is>
          <t>Liabilities</t>
        </is>
      </c>
      <c r="D11385" s="3" t="inlineStr">
        <is>
          <t>9000/000</t>
        </is>
      </c>
      <c r="E11385" s="3" t="inlineStr">
        <is>
          <t>Supplier Control Account</t>
        </is>
      </c>
      <c r="F11385" s="3" t="n">
        <v>6018.4</v>
      </c>
      <c r="G11385" s="3" t="n">
        <v>-274114.05</v>
      </c>
    </row>
    <row r="11386">
      <c r="A11386" s="3" t="inlineStr">
        <is>
          <t>Quinate Consulting (Pty) Ltd</t>
        </is>
      </c>
      <c r="B11386" s="4" t="n">
        <v>44865</v>
      </c>
      <c r="C11386" s="3" t="inlineStr">
        <is>
          <t>Liabilities</t>
        </is>
      </c>
      <c r="D11386" s="3" t="inlineStr">
        <is>
          <t>9000/000</t>
        </is>
      </c>
      <c r="E11386" s="3" t="inlineStr">
        <is>
          <t>Supplier Control Account</t>
        </is>
      </c>
      <c r="F11386" s="3" t="n">
        <v>-29796.09</v>
      </c>
      <c r="G11386" s="3" t="n">
        <v>496239.51</v>
      </c>
    </row>
    <row r="11387">
      <c r="A11387" s="3" t="inlineStr">
        <is>
          <t>Trademark Holdings (Pty) Ltd</t>
        </is>
      </c>
      <c r="B11387" s="4" t="n">
        <v>44865</v>
      </c>
      <c r="C11387" s="3" t="inlineStr">
        <is>
          <t>Liabilities</t>
        </is>
      </c>
      <c r="D11387" s="3" t="inlineStr">
        <is>
          <t>9000/000</t>
        </is>
      </c>
      <c r="E11387" s="3" t="inlineStr">
        <is>
          <t>Supplier Control Account</t>
        </is>
      </c>
      <c r="F11387" s="3" t="n">
        <v>0</v>
      </c>
      <c r="G11387" s="3" t="n">
        <v>-8303.07</v>
      </c>
    </row>
    <row r="11388">
      <c r="A11388" s="3" t="inlineStr">
        <is>
          <t>Quinate Consulting (Pty) Ltd</t>
        </is>
      </c>
      <c r="B11388" s="4" t="n">
        <v>44865</v>
      </c>
      <c r="C11388" s="3" t="inlineStr">
        <is>
          <t>Liabilities</t>
        </is>
      </c>
      <c r="D11388" s="3" t="inlineStr">
        <is>
          <t>9001</t>
        </is>
      </c>
      <c r="E11388" s="3" t="inlineStr">
        <is>
          <t>Supplier Control</t>
        </is>
      </c>
      <c r="F11388" s="3" t="n">
        <v>0</v>
      </c>
      <c r="G11388" s="3" t="n">
        <v>-347315.41</v>
      </c>
    </row>
    <row r="11389">
      <c r="A11389" s="3" t="inlineStr">
        <is>
          <t>Opportunity Management Holdings (PTY) LTD</t>
        </is>
      </c>
      <c r="B11389" s="4" t="n">
        <v>44865</v>
      </c>
      <c r="C11389" s="3" t="inlineStr">
        <is>
          <t>Liabilities</t>
        </is>
      </c>
      <c r="D11389" s="3" t="inlineStr">
        <is>
          <t>9100/000</t>
        </is>
      </c>
      <c r="E11389" s="3" t="inlineStr">
        <is>
          <t>PAYE/UIF/SDL Accrual - Prior Years ADJ</t>
        </is>
      </c>
      <c r="F11389" s="3" t="n">
        <v>0</v>
      </c>
      <c r="G11389" s="3" t="n">
        <v>-33739.36</v>
      </c>
    </row>
    <row r="11390">
      <c r="A11390" s="3" t="inlineStr">
        <is>
          <t>Opportunity Management Holdings (PTY) LTD</t>
        </is>
      </c>
      <c r="B11390" s="4" t="n">
        <v>44865</v>
      </c>
      <c r="C11390" s="3" t="inlineStr">
        <is>
          <t>Assets</t>
        </is>
      </c>
      <c r="D11390" s="3" t="inlineStr">
        <is>
          <t>9110/000</t>
        </is>
      </c>
      <c r="E11390" s="3" t="inlineStr">
        <is>
          <t>Deposit Received</t>
        </is>
      </c>
      <c r="F11390" s="3" t="n">
        <v>0</v>
      </c>
      <c r="G11390" s="3" t="n">
        <v>-3852.5</v>
      </c>
    </row>
    <row r="11391">
      <c r="A11391" s="3" t="inlineStr">
        <is>
          <t>Opportunity Global Investment (PTY) LTD</t>
        </is>
      </c>
      <c r="B11391" s="4" t="n">
        <v>44865</v>
      </c>
      <c r="C11391" s="3" t="inlineStr">
        <is>
          <t>Liabilities</t>
        </is>
      </c>
      <c r="D11391" s="3" t="inlineStr">
        <is>
          <t>9110/000</t>
        </is>
      </c>
      <c r="E11391" s="3" t="inlineStr">
        <is>
          <t>Taxation B/S</t>
        </is>
      </c>
      <c r="F11391" s="3" t="n">
        <v>0</v>
      </c>
      <c r="G11391" s="3" t="n">
        <v>2150.09</v>
      </c>
    </row>
    <row r="11392">
      <c r="A11392" s="3" t="inlineStr">
        <is>
          <t>Noble Shield (Pty) Ltd ta Go Letting</t>
        </is>
      </c>
      <c r="B11392" s="4" t="n">
        <v>44865</v>
      </c>
      <c r="C11392" s="3" t="inlineStr">
        <is>
          <t>Liabilities</t>
        </is>
      </c>
      <c r="D11392" s="3" t="inlineStr">
        <is>
          <t>9250/010</t>
        </is>
      </c>
      <c r="E11392" s="3" t="inlineStr">
        <is>
          <t>SALARY CONTROL</t>
        </is>
      </c>
      <c r="F11392" s="3" t="n">
        <v>-679.21</v>
      </c>
      <c r="G11392" s="3" t="n">
        <v>-16796.86</v>
      </c>
    </row>
    <row r="11393">
      <c r="A11393" s="3" t="inlineStr">
        <is>
          <t>Opportunity Global Sales (PTY) LTD</t>
        </is>
      </c>
      <c r="B11393" s="4" t="n">
        <v>44865</v>
      </c>
      <c r="C11393" s="3" t="inlineStr">
        <is>
          <t>Liabilities</t>
        </is>
      </c>
      <c r="D11393" s="3" t="inlineStr">
        <is>
          <t>9250/010</t>
        </is>
      </c>
      <c r="E11393" s="3" t="inlineStr">
        <is>
          <t>SALARY CONTROL</t>
        </is>
      </c>
      <c r="F11393" s="3" t="n">
        <v>0</v>
      </c>
      <c r="G11393" s="3" t="n">
        <v>0.02</v>
      </c>
    </row>
    <row r="11394">
      <c r="A11394" s="3" t="inlineStr">
        <is>
          <t>Trademark Holdings (Pty) Ltd</t>
        </is>
      </c>
      <c r="B11394" s="4" t="n">
        <v>44865</v>
      </c>
      <c r="C11394" s="3" t="inlineStr">
        <is>
          <t>Liabilities</t>
        </is>
      </c>
      <c r="D11394" s="3" t="inlineStr">
        <is>
          <t>9250/010</t>
        </is>
      </c>
      <c r="E11394" s="3" t="inlineStr">
        <is>
          <t>SALARY CONTROL</t>
        </is>
      </c>
      <c r="F11394" s="3" t="n">
        <v>1637.07</v>
      </c>
      <c r="G11394" s="3" t="n">
        <v>-17189.98</v>
      </c>
    </row>
    <row r="11395">
      <c r="A11395" s="3" t="inlineStr">
        <is>
          <t>Noble Shield (Pty) Ltd ta Go Letting</t>
        </is>
      </c>
      <c r="B11395" s="4" t="n">
        <v>44865</v>
      </c>
      <c r="C11395" s="3" t="inlineStr">
        <is>
          <t>Liabilities</t>
        </is>
      </c>
      <c r="D11395" s="3" t="inlineStr">
        <is>
          <t>9250/020</t>
        </is>
      </c>
      <c r="E11395" s="3" t="inlineStr">
        <is>
          <t>PAYE, UIF AND SDL CONTROL</t>
        </is>
      </c>
      <c r="F11395" s="3" t="n">
        <v>-247.83</v>
      </c>
      <c r="G11395" s="3" t="n">
        <v>-5691.19</v>
      </c>
    </row>
    <row r="11396">
      <c r="A11396" s="3" t="inlineStr">
        <is>
          <t>Opportunity Global Investment (PTY) LTD</t>
        </is>
      </c>
      <c r="B11396" s="4" t="n">
        <v>44865</v>
      </c>
      <c r="C11396" s="3" t="inlineStr">
        <is>
          <t>Liabilities</t>
        </is>
      </c>
      <c r="D11396" s="3" t="inlineStr">
        <is>
          <t>9250/020</t>
        </is>
      </c>
      <c r="E11396" s="3" t="inlineStr">
        <is>
          <t>PAYE, UIF AND SDL CONTROL</t>
        </is>
      </c>
      <c r="F11396" s="3" t="n">
        <v>47592.68</v>
      </c>
      <c r="G11396" s="3" t="n">
        <v>-9922.040000000001</v>
      </c>
    </row>
    <row r="11397">
      <c r="A11397" s="3" t="inlineStr">
        <is>
          <t>Opportunity Global Sales (PTY) LTD</t>
        </is>
      </c>
      <c r="B11397" s="4" t="n">
        <v>44865</v>
      </c>
      <c r="C11397" s="3" t="inlineStr">
        <is>
          <t>Liabilities</t>
        </is>
      </c>
      <c r="D11397" s="3" t="inlineStr">
        <is>
          <t>9250/020</t>
        </is>
      </c>
      <c r="E11397" s="3" t="inlineStr">
        <is>
          <t>PAYE, UIF AND SDL CONTROL</t>
        </is>
      </c>
      <c r="F11397" s="3" t="n">
        <v>-64951.67</v>
      </c>
      <c r="G11397" s="3" t="n">
        <v>-64951.67</v>
      </c>
    </row>
    <row r="11398">
      <c r="A11398" s="3" t="inlineStr">
        <is>
          <t>Opportunity Management Holdings (PTY) LTD</t>
        </is>
      </c>
      <c r="B11398" s="4" t="n">
        <v>44865</v>
      </c>
      <c r="C11398" s="3" t="inlineStr">
        <is>
          <t>Liabilities</t>
        </is>
      </c>
      <c r="D11398" s="3" t="inlineStr">
        <is>
          <t>9250/020</t>
        </is>
      </c>
      <c r="E11398" s="3" t="inlineStr">
        <is>
          <t>PAYE, UIF AND SDL CONTROL</t>
        </is>
      </c>
      <c r="F11398" s="3" t="n">
        <v>1852.84</v>
      </c>
      <c r="G11398" s="3" t="n">
        <v>-50674.68</v>
      </c>
    </row>
    <row r="11399">
      <c r="A11399" s="3" t="inlineStr">
        <is>
          <t>Trademark Holdings (Pty) Ltd</t>
        </is>
      </c>
      <c r="B11399" s="4" t="n">
        <v>44865</v>
      </c>
      <c r="C11399" s="3" t="inlineStr">
        <is>
          <t>Liabilities</t>
        </is>
      </c>
      <c r="D11399" s="3" t="inlineStr">
        <is>
          <t>9250/020</t>
        </is>
      </c>
      <c r="E11399" s="3" t="inlineStr">
        <is>
          <t>PAYE, UIF AND SDL CONTROL</t>
        </is>
      </c>
      <c r="F11399" s="3" t="n">
        <v>759.2</v>
      </c>
      <c r="G11399" s="3" t="n">
        <v>-4870.3</v>
      </c>
    </row>
    <row r="11400">
      <c r="A11400" s="3" t="inlineStr">
        <is>
          <t>Opportunity Global Investment (PTY) LTD</t>
        </is>
      </c>
      <c r="B11400" s="4" t="n">
        <v>44865</v>
      </c>
      <c r="C11400" s="3" t="inlineStr">
        <is>
          <t>Liabilities</t>
        </is>
      </c>
      <c r="D11400" s="3" t="inlineStr">
        <is>
          <t>9400/030</t>
        </is>
      </c>
      <c r="E11400" s="3" t="inlineStr">
        <is>
          <t>Accrued Expenses - PAYE_AND_UIF</t>
        </is>
      </c>
      <c r="F11400" s="3" t="n">
        <v>0</v>
      </c>
      <c r="G11400" s="3" t="n">
        <v>-2</v>
      </c>
    </row>
    <row r="11401">
      <c r="A11401" s="3" t="inlineStr">
        <is>
          <t>Trademark Holdings (Pty) Ltd</t>
        </is>
      </c>
      <c r="B11401" s="4" t="n">
        <v>44865</v>
      </c>
      <c r="C11401" s="3" t="inlineStr">
        <is>
          <t>Liabilities</t>
        </is>
      </c>
      <c r="D11401" s="3" t="inlineStr">
        <is>
          <t>9400/400</t>
        </is>
      </c>
      <c r="E11401" s="3" t="inlineStr">
        <is>
          <t>Deemed Dividend Tax</t>
        </is>
      </c>
      <c r="F11401" s="3" t="n">
        <v>0</v>
      </c>
      <c r="G11401" s="3" t="n">
        <v>-699.13</v>
      </c>
    </row>
    <row r="11402">
      <c r="A11402" s="3" t="inlineStr">
        <is>
          <t>Opportunity Global Investment (PTY) LTD</t>
        </is>
      </c>
      <c r="B11402" s="4" t="n">
        <v>44865</v>
      </c>
      <c r="C11402" s="3" t="inlineStr">
        <is>
          <t>Liabilities</t>
        </is>
      </c>
      <c r="D11402" s="3" t="inlineStr">
        <is>
          <t>9500/000</t>
        </is>
      </c>
      <c r="E11402" s="3" t="inlineStr">
        <is>
          <t>VAT Control Account</t>
        </is>
      </c>
      <c r="F11402" s="3" t="n">
        <v>13259.51</v>
      </c>
      <c r="G11402" s="3" t="n">
        <v>187470.24</v>
      </c>
    </row>
    <row r="11403">
      <c r="A11403" s="3" t="inlineStr">
        <is>
          <t>Opportunity Global Sales (PTY) LTD</t>
        </is>
      </c>
      <c r="B11403" s="4" t="n">
        <v>44865</v>
      </c>
      <c r="C11403" s="3" t="inlineStr">
        <is>
          <t>Liabilities</t>
        </is>
      </c>
      <c r="D11403" s="3" t="inlineStr">
        <is>
          <t>9500/000</t>
        </is>
      </c>
      <c r="E11403" s="3" t="inlineStr">
        <is>
          <t>VAT Control Account</t>
        </is>
      </c>
      <c r="F11403" s="3" t="n">
        <v>-94326.21000000001</v>
      </c>
      <c r="G11403" s="3" t="n">
        <v>-340108.43</v>
      </c>
    </row>
    <row r="11404">
      <c r="A11404" s="3" t="inlineStr">
        <is>
          <t>Opportunity Management Holdings (PTY) LTD</t>
        </is>
      </c>
      <c r="B11404" s="4" t="n">
        <v>44865</v>
      </c>
      <c r="C11404" s="3" t="inlineStr">
        <is>
          <t>Liabilities</t>
        </is>
      </c>
      <c r="D11404" s="3" t="inlineStr">
        <is>
          <t>9500/000</t>
        </is>
      </c>
      <c r="E11404" s="3" t="inlineStr">
        <is>
          <t>VAT Control Account</t>
        </is>
      </c>
      <c r="F11404" s="3" t="n">
        <v>102055.68</v>
      </c>
      <c r="G11404" s="3" t="n">
        <v>109129.67</v>
      </c>
    </row>
    <row r="11405">
      <c r="A11405" s="3" t="inlineStr">
        <is>
          <t>Endulini (Pty) Ltd</t>
        </is>
      </c>
      <c r="B11405" s="4" t="n">
        <v>44865</v>
      </c>
      <c r="C11405" s="3" t="inlineStr">
        <is>
          <t>Liabilities</t>
        </is>
      </c>
      <c r="D11405" s="3" t="inlineStr">
        <is>
          <t>9500/000</t>
        </is>
      </c>
      <c r="E11405" s="3" t="inlineStr">
        <is>
          <t>Vat / Tax Control Account</t>
        </is>
      </c>
      <c r="F11405" s="3" t="n">
        <v>-1315685.28</v>
      </c>
      <c r="G11405" s="3" t="n">
        <v>-1968875.56</v>
      </c>
    </row>
    <row r="11406">
      <c r="A11406" s="3" t="inlineStr">
        <is>
          <t>Quinate Consulting (Pty) Ltd</t>
        </is>
      </c>
      <c r="B11406" s="4" t="n">
        <v>44865</v>
      </c>
      <c r="C11406" s="3" t="inlineStr">
        <is>
          <t>Liabilities</t>
        </is>
      </c>
      <c r="D11406" s="3" t="inlineStr">
        <is>
          <t>9500/000</t>
        </is>
      </c>
      <c r="E11406" s="3" t="inlineStr">
        <is>
          <t>Vat Control Account</t>
        </is>
      </c>
      <c r="F11406" s="3" t="n">
        <v>107645.72</v>
      </c>
      <c r="G11406" s="3" t="n">
        <v>-2157375.15</v>
      </c>
    </row>
    <row r="11407">
      <c r="A11407" s="3" t="inlineStr">
        <is>
          <t>Opportunity Management Holdings (PTY) LTD</t>
        </is>
      </c>
      <c r="B11407" s="4" t="n">
        <v>44865</v>
      </c>
      <c r="C11407" s="3" t="inlineStr">
        <is>
          <t>Liabilities</t>
        </is>
      </c>
      <c r="D11407" s="3" t="inlineStr">
        <is>
          <t>9501/000</t>
        </is>
      </c>
      <c r="E11407" s="3" t="inlineStr">
        <is>
          <t>Vat Adjustments - C2M</t>
        </is>
      </c>
      <c r="F11407" s="3" t="n">
        <v>0</v>
      </c>
      <c r="G11407" s="3" t="n">
        <v>47274.04</v>
      </c>
    </row>
    <row r="11408">
      <c r="A11408" s="3" t="inlineStr">
        <is>
          <t>Endulini (Pty) Ltd</t>
        </is>
      </c>
      <c r="B11408" s="4" t="n">
        <v>44865</v>
      </c>
      <c r="C11408" s="3" t="inlineStr">
        <is>
          <t>Liabilities</t>
        </is>
      </c>
      <c r="D11408" s="3" t="inlineStr">
        <is>
          <t>9899/A101</t>
        </is>
      </c>
      <c r="E11408" s="3" t="inlineStr">
        <is>
          <t>Sales - Unit Reg Control A101</t>
        </is>
      </c>
      <c r="F11408" s="3" t="n">
        <v>19234.84</v>
      </c>
      <c r="G11408" s="3" t="n">
        <v>19234.84</v>
      </c>
    </row>
    <row r="11409">
      <c r="A11409" s="3" t="inlineStr">
        <is>
          <t>Quinate Consulting (Pty) Ltd</t>
        </is>
      </c>
      <c r="B11409" s="4" t="n">
        <v>44865</v>
      </c>
      <c r="C11409" s="3" t="inlineStr">
        <is>
          <t>Liabilities</t>
        </is>
      </c>
      <c r="D11409" s="3" t="inlineStr">
        <is>
          <t>9960/000</t>
        </is>
      </c>
      <c r="E11409" s="3" t="inlineStr">
        <is>
          <t>Deposits - Southwark Rentals</t>
        </is>
      </c>
      <c r="F11409" s="3" t="n">
        <v>0</v>
      </c>
      <c r="G11409" s="3" t="n">
        <v>-11500</v>
      </c>
    </row>
    <row r="11410">
      <c r="A11410" s="3" t="inlineStr">
        <is>
          <t>Noble Shield (Pty) Ltd ta Go Letting</t>
        </is>
      </c>
      <c r="B11410" s="4" t="n">
        <v>44865</v>
      </c>
      <c r="C11410" s="3" t="inlineStr">
        <is>
          <t>Expenses</t>
        </is>
      </c>
      <c r="D11410" s="3" t="inlineStr">
        <is>
          <t>ACB Link</t>
        </is>
      </c>
      <c r="E11410" s="3" t="inlineStr">
        <is>
          <t>Subscriptions - TPN</t>
        </is>
      </c>
      <c r="F11410" s="3" t="n">
        <v>1086.93</v>
      </c>
      <c r="G11410" s="3" t="n">
        <v>3621.42</v>
      </c>
    </row>
    <row r="11411">
      <c r="A11411" s="3" t="inlineStr">
        <is>
          <t>Noble Shield (Pty) Ltd ta Go Letting</t>
        </is>
      </c>
      <c r="B11411" s="4" t="n">
        <v>44865</v>
      </c>
      <c r="C11411" s="3" t="inlineStr">
        <is>
          <t>Liabilities</t>
        </is>
      </c>
      <c r="D11411" s="3" t="inlineStr">
        <is>
          <t>B/S</t>
        </is>
      </c>
      <c r="E11411" s="3" t="inlineStr">
        <is>
          <t>Tax Payable</t>
        </is>
      </c>
      <c r="F11411" s="3" t="n">
        <v>0</v>
      </c>
      <c r="G11411" s="3" t="n">
        <v>-5213.16</v>
      </c>
    </row>
    <row r="11412">
      <c r="A11412" s="3" t="inlineStr">
        <is>
          <t>Trademark Holdings (Pty) Ltd</t>
        </is>
      </c>
      <c r="B11412" s="4" t="n">
        <v>44865</v>
      </c>
      <c r="C11412" s="3" t="inlineStr">
        <is>
          <t>Liabilities</t>
        </is>
      </c>
      <c r="D11412" s="3" t="inlineStr">
        <is>
          <t>B/S</t>
        </is>
      </c>
      <c r="E11412" s="3" t="inlineStr">
        <is>
          <t>Taxation Payable</t>
        </is>
      </c>
      <c r="F11412" s="3" t="n">
        <v>0</v>
      </c>
      <c r="G11412" s="3" t="n">
        <v>-353.36</v>
      </c>
    </row>
    <row r="11413">
      <c r="A11413" s="3" t="inlineStr">
        <is>
          <t>Quinate Consulting (Pty) Ltd</t>
        </is>
      </c>
      <c r="B11413" s="4" t="n">
        <v>44865</v>
      </c>
      <c r="C11413" s="3" t="inlineStr">
        <is>
          <t>Liabilities</t>
        </is>
      </c>
      <c r="D11413" s="3" t="inlineStr">
        <is>
          <t xml:space="preserve">B/S </t>
        </is>
      </c>
      <c r="E11413" s="3" t="inlineStr">
        <is>
          <t>Taxation Payable</t>
        </is>
      </c>
      <c r="F11413" s="3" t="n">
        <v>0</v>
      </c>
      <c r="G11413" s="3" t="n">
        <v>-15486</v>
      </c>
    </row>
    <row r="11414">
      <c r="A11414" s="3" t="inlineStr">
        <is>
          <t>Quinate Consulting (Pty) Ltd</t>
        </is>
      </c>
      <c r="B11414" s="4" t="n">
        <v>44865</v>
      </c>
      <c r="C11414" s="3" t="inlineStr">
        <is>
          <t>Liabilities</t>
        </is>
      </c>
      <c r="D11414" s="3" t="inlineStr">
        <is>
          <t>FV</t>
        </is>
      </c>
      <c r="E11414" s="3" t="inlineStr">
        <is>
          <t>Loan - Cape Projects Constuction</t>
        </is>
      </c>
      <c r="F11414" s="3" t="n">
        <v>0</v>
      </c>
      <c r="G11414" s="3" t="n">
        <v>-2730000</v>
      </c>
    </row>
    <row r="11415">
      <c r="A11415" s="3" t="inlineStr">
        <is>
          <t>Quinate Consulting (Pty) Ltd</t>
        </is>
      </c>
      <c r="B11415" s="4" t="n">
        <v>44865</v>
      </c>
      <c r="C11415" s="3" t="inlineStr">
        <is>
          <t>Liabilities</t>
        </is>
      </c>
      <c r="D11415" s="3" t="inlineStr">
        <is>
          <t>Sharehold OppDev</t>
        </is>
      </c>
      <c r="E11415" s="3" t="inlineStr">
        <is>
          <t>Loan - Justine Morgan</t>
        </is>
      </c>
      <c r="F11415" s="3" t="n">
        <v>0</v>
      </c>
      <c r="G11415" s="3" t="n">
        <v>-563766.76</v>
      </c>
    </row>
    <row r="11416">
      <c r="A11416" s="3" t="inlineStr">
        <is>
          <t>Opportunity Global Investment (PTY) LTD</t>
        </is>
      </c>
      <c r="B11416" s="4" t="n">
        <v>44865</v>
      </c>
      <c r="C11416" s="3" t="inlineStr">
        <is>
          <t>Expenses</t>
        </is>
      </c>
      <c r="D11416" s="3" t="inlineStr">
        <is>
          <t>Swiftshutter</t>
        </is>
      </c>
      <c r="E11416" s="3" t="inlineStr">
        <is>
          <t>Advertising - Rousseau Lotter</t>
        </is>
      </c>
      <c r="F11416" s="3" t="n">
        <v>8800</v>
      </c>
      <c r="G11416" s="3" t="n">
        <v>15400</v>
      </c>
    </row>
    <row r="11417">
      <c r="A11417" s="3" t="inlineStr">
        <is>
          <t>Opportunity Global Sales (PTY) LTD</t>
        </is>
      </c>
      <c r="B11417" s="4" t="n">
        <v>44895</v>
      </c>
      <c r="C11417" s="3" t="inlineStr">
        <is>
          <t>Revenue</t>
        </is>
      </c>
      <c r="D11417" s="3" t="inlineStr">
        <is>
          <t>1000/009</t>
        </is>
      </c>
      <c r="E11417" s="3" t="inlineStr">
        <is>
          <t>Sales - Comm on Payprop</t>
        </is>
      </c>
      <c r="F11417" s="3" t="n">
        <v>-2212.61</v>
      </c>
      <c r="G11417" s="3" t="n">
        <v>-23943.02</v>
      </c>
    </row>
    <row r="11418">
      <c r="A11418" s="3" t="inlineStr">
        <is>
          <t>Quinate Consulting (Pty) Ltd</t>
        </is>
      </c>
      <c r="B11418" s="4" t="n">
        <v>44895</v>
      </c>
      <c r="C11418" s="3" t="inlineStr">
        <is>
          <t>Revenue</t>
        </is>
      </c>
      <c r="D11418" s="3" t="inlineStr">
        <is>
          <t>1000/011</t>
        </is>
      </c>
      <c r="E11418" s="3" t="inlineStr">
        <is>
          <t>Rent Received - Soho Unit 23</t>
        </is>
      </c>
      <c r="F11418" s="3" t="n">
        <v>-12500</v>
      </c>
      <c r="G11418" s="3" t="n">
        <v>-112500</v>
      </c>
    </row>
    <row r="11419">
      <c r="A11419" s="3" t="inlineStr">
        <is>
          <t>Quinate Consulting (Pty) Ltd</t>
        </is>
      </c>
      <c r="B11419" s="4" t="n">
        <v>44895</v>
      </c>
      <c r="C11419" s="3" t="inlineStr">
        <is>
          <t>Revenue</t>
        </is>
      </c>
      <c r="D11419" s="3" t="inlineStr">
        <is>
          <t>1000/012</t>
        </is>
      </c>
      <c r="E11419" s="3" t="inlineStr">
        <is>
          <t>Rent Received - Soho Unit 24</t>
        </is>
      </c>
      <c r="F11419" s="3" t="n">
        <v>-14445</v>
      </c>
      <c r="G11419" s="3" t="n">
        <v>-126225</v>
      </c>
    </row>
    <row r="11420">
      <c r="A11420" s="3" t="inlineStr">
        <is>
          <t>Quinate Consulting (Pty) Ltd</t>
        </is>
      </c>
      <c r="B11420" s="4" t="n">
        <v>44895</v>
      </c>
      <c r="C11420" s="3" t="inlineStr">
        <is>
          <t>Revenue</t>
        </is>
      </c>
      <c r="D11420" s="3" t="inlineStr">
        <is>
          <t>1000/013</t>
        </is>
      </c>
      <c r="E11420" s="3" t="inlineStr">
        <is>
          <t>Rent Recieved - Soho Unit 20</t>
        </is>
      </c>
      <c r="F11420" s="3" t="n">
        <v>-12500</v>
      </c>
      <c r="G11420" s="3" t="n">
        <v>-112500</v>
      </c>
    </row>
    <row r="11421">
      <c r="A11421" s="3" t="inlineStr">
        <is>
          <t>Quinate Consulting (Pty) Ltd</t>
        </is>
      </c>
      <c r="B11421" s="4" t="n">
        <v>44895</v>
      </c>
      <c r="C11421" s="3" t="inlineStr">
        <is>
          <t>Revenue</t>
        </is>
      </c>
      <c r="D11421" s="3" t="inlineStr">
        <is>
          <t>1000/015</t>
        </is>
      </c>
      <c r="E11421" s="3" t="inlineStr">
        <is>
          <t>Rent Received - Southwark Unit 1</t>
        </is>
      </c>
      <c r="F11421" s="3" t="n">
        <v>0</v>
      </c>
      <c r="G11421" s="3" t="n">
        <v>-20000</v>
      </c>
    </row>
    <row r="11422">
      <c r="A11422" s="3" t="inlineStr">
        <is>
          <t>Quinate Consulting (Pty) Ltd</t>
        </is>
      </c>
      <c r="B11422" s="4" t="n">
        <v>44895</v>
      </c>
      <c r="C11422" s="3" t="inlineStr">
        <is>
          <t>Revenue</t>
        </is>
      </c>
      <c r="D11422" s="3" t="inlineStr">
        <is>
          <t>1000/016</t>
        </is>
      </c>
      <c r="E11422" s="3" t="inlineStr">
        <is>
          <t>Rent Recieved - Southwark Unit 21</t>
        </is>
      </c>
      <c r="F11422" s="3" t="n">
        <v>-10000</v>
      </c>
      <c r="G11422" s="3" t="n">
        <v>-90000</v>
      </c>
    </row>
    <row r="11423">
      <c r="A11423" s="3" t="inlineStr">
        <is>
          <t>Opportunity Global Sales (PTY) LTD</t>
        </is>
      </c>
      <c r="B11423" s="4" t="n">
        <v>44895</v>
      </c>
      <c r="C11423" s="3" t="inlineStr">
        <is>
          <t>Revenue</t>
        </is>
      </c>
      <c r="D11423" s="3" t="inlineStr">
        <is>
          <t>1000/100</t>
        </is>
      </c>
      <c r="E11423" s="3" t="inlineStr">
        <is>
          <t>Sales - Comm on External Sales</t>
        </is>
      </c>
      <c r="F11423" s="3" t="n">
        <v>0</v>
      </c>
      <c r="G11423" s="3" t="n">
        <v>-96165.22</v>
      </c>
    </row>
    <row r="11424">
      <c r="A11424" s="3" t="inlineStr">
        <is>
          <t>Noble Shield (Pty) Ltd ta Go Letting</t>
        </is>
      </c>
      <c r="B11424" s="4" t="n">
        <v>44895</v>
      </c>
      <c r="C11424" s="3" t="inlineStr">
        <is>
          <t>Revenue</t>
        </is>
      </c>
      <c r="D11424" s="3" t="inlineStr">
        <is>
          <t>1000/100</t>
        </is>
      </c>
      <c r="E11424" s="3" t="inlineStr">
        <is>
          <t>Sales - Payprop 328 - Michelle</t>
        </is>
      </c>
      <c r="F11424" s="3" t="n">
        <v>-72627.22</v>
      </c>
      <c r="G11424" s="3" t="n">
        <v>-219820.66</v>
      </c>
    </row>
    <row r="11425">
      <c r="A11425" s="3" t="inlineStr">
        <is>
          <t>Opportunity Global Sales (PTY) LTD</t>
        </is>
      </c>
      <c r="B11425" s="4" t="n">
        <v>44895</v>
      </c>
      <c r="C11425" s="3" t="inlineStr">
        <is>
          <t>Revenue</t>
        </is>
      </c>
      <c r="D11425" s="3" t="inlineStr">
        <is>
          <t>1000/120</t>
        </is>
      </c>
      <c r="E11425" s="3" t="inlineStr">
        <is>
          <t>Sales - Admin Fees on Rental Units</t>
        </is>
      </c>
      <c r="F11425" s="3" t="n">
        <v>-7391.29</v>
      </c>
      <c r="G11425" s="3" t="n">
        <v>-23608.63</v>
      </c>
    </row>
    <row r="11426">
      <c r="A11426" s="3" t="inlineStr">
        <is>
          <t>Opportunity Global Sales (PTY) LTD</t>
        </is>
      </c>
      <c r="B11426" s="4" t="n">
        <v>44895</v>
      </c>
      <c r="C11426" s="3" t="inlineStr">
        <is>
          <t>Revenue</t>
        </is>
      </c>
      <c r="D11426" s="3" t="inlineStr">
        <is>
          <t>1000/150</t>
        </is>
      </c>
      <c r="E11426" s="3" t="inlineStr">
        <is>
          <t>Sales - Comm on External Rental</t>
        </is>
      </c>
      <c r="F11426" s="3" t="n">
        <v>-78695.63</v>
      </c>
      <c r="G11426" s="3" t="n">
        <v>-259147.8</v>
      </c>
    </row>
    <row r="11427">
      <c r="A11427" s="3" t="inlineStr">
        <is>
          <t>Opportunity Global Sales (PTY) LTD</t>
        </is>
      </c>
      <c r="B11427" s="4" t="n">
        <v>44895</v>
      </c>
      <c r="C11427" s="3" t="inlineStr">
        <is>
          <t>Revenue</t>
        </is>
      </c>
      <c r="D11427" s="3" t="inlineStr">
        <is>
          <t>1000/250</t>
        </is>
      </c>
      <c r="E11427" s="3" t="inlineStr">
        <is>
          <t>Sales - Comm on Endulini</t>
        </is>
      </c>
      <c r="F11427" s="3" t="n">
        <v>0</v>
      </c>
      <c r="G11427" s="3" t="n">
        <v>-2192781.31</v>
      </c>
    </row>
    <row r="11428">
      <c r="A11428" s="3" t="inlineStr">
        <is>
          <t>Opportunity Global Sales (PTY) LTD</t>
        </is>
      </c>
      <c r="B11428" s="4" t="n">
        <v>44895</v>
      </c>
      <c r="C11428" s="3" t="inlineStr">
        <is>
          <t>Revenue</t>
        </is>
      </c>
      <c r="D11428" s="3" t="inlineStr">
        <is>
          <t>1000/300</t>
        </is>
      </c>
      <c r="E11428" s="3" t="inlineStr">
        <is>
          <t>Sales - Comm on Heron Fields</t>
        </is>
      </c>
      <c r="F11428" s="3" t="n">
        <v>-692343.47</v>
      </c>
      <c r="G11428" s="3" t="n">
        <v>-692343.47</v>
      </c>
    </row>
    <row r="11429">
      <c r="A11429" s="3" t="inlineStr">
        <is>
          <t>Trademark Holdings (Pty) Ltd</t>
        </is>
      </c>
      <c r="B11429" s="4" t="n">
        <v>44895</v>
      </c>
      <c r="C11429" s="3" t="inlineStr">
        <is>
          <t>Revenue</t>
        </is>
      </c>
      <c r="D11429" s="3" t="inlineStr">
        <is>
          <t>1000/300</t>
        </is>
      </c>
      <c r="E11429" s="3" t="inlineStr">
        <is>
          <t>Sales - Payprop - Lara</t>
        </is>
      </c>
      <c r="F11429" s="3" t="n">
        <v>-96869.8</v>
      </c>
      <c r="G11429" s="3" t="n">
        <v>-261296.06</v>
      </c>
    </row>
    <row r="11430">
      <c r="A11430" s="3" t="inlineStr">
        <is>
          <t>Opportunity Global Investment (PTY) LTD</t>
        </is>
      </c>
      <c r="B11430" s="4" t="n">
        <v>44895</v>
      </c>
      <c r="C11430" s="3" t="inlineStr">
        <is>
          <t>Revenue</t>
        </is>
      </c>
      <c r="D11430" s="3" t="inlineStr">
        <is>
          <t>1000/350</t>
        </is>
      </c>
      <c r="E11430" s="3" t="inlineStr">
        <is>
          <t>Sales - Investor Management - Heron Fields</t>
        </is>
      </c>
      <c r="F11430" s="3" t="n">
        <v>0</v>
      </c>
      <c r="G11430" s="3" t="n">
        <v>-1152654.46</v>
      </c>
    </row>
    <row r="11431">
      <c r="A11431" s="3" t="inlineStr">
        <is>
          <t>Trademark Holdings (Pty) Ltd</t>
        </is>
      </c>
      <c r="B11431" s="4" t="n">
        <v>44895</v>
      </c>
      <c r="C11431" s="3" t="inlineStr">
        <is>
          <t>Revenue</t>
        </is>
      </c>
      <c r="D11431" s="3" t="inlineStr">
        <is>
          <t>1000/500</t>
        </is>
      </c>
      <c r="E11431" s="3" t="inlineStr">
        <is>
          <t>Sales - Commission external sale</t>
        </is>
      </c>
      <c r="F11431" s="3" t="n">
        <v>0</v>
      </c>
      <c r="G11431" s="3" t="n">
        <v>-40000</v>
      </c>
    </row>
    <row r="11432">
      <c r="A11432" s="3" t="inlineStr">
        <is>
          <t>Opportunity Global Sales (PTY) LTD</t>
        </is>
      </c>
      <c r="B11432" s="4" t="n">
        <v>44895</v>
      </c>
      <c r="C11432" s="3" t="inlineStr">
        <is>
          <t>Revenue</t>
        </is>
      </c>
      <c r="D11432" s="3" t="inlineStr">
        <is>
          <t>1000/902</t>
        </is>
      </c>
      <c r="E11432" s="3" t="inlineStr">
        <is>
          <t>Sales - Credit check</t>
        </is>
      </c>
      <c r="F11432" s="3" t="n">
        <v>0</v>
      </c>
      <c r="G11432" s="3" t="n">
        <v>-60.87</v>
      </c>
    </row>
    <row r="11433">
      <c r="A11433" s="3" t="inlineStr">
        <is>
          <t>Opportunity Global Sales (PTY) LTD</t>
        </is>
      </c>
      <c r="B11433" s="4" t="n">
        <v>44895</v>
      </c>
      <c r="C11433" s="3" t="inlineStr">
        <is>
          <t>Revenue</t>
        </is>
      </c>
      <c r="D11433" s="3" t="inlineStr">
        <is>
          <t>1000/903</t>
        </is>
      </c>
      <c r="E11433" s="3" t="inlineStr">
        <is>
          <t>Sales - Lease preparation fees</t>
        </is>
      </c>
      <c r="F11433" s="3" t="n">
        <v>-434.78</v>
      </c>
      <c r="G11433" s="3" t="n">
        <v>-434.78</v>
      </c>
    </row>
    <row r="11434">
      <c r="A11434" s="3" t="inlineStr">
        <is>
          <t>Quinate Consulting (Pty) Ltd</t>
        </is>
      </c>
      <c r="B11434" s="4" t="n">
        <v>44895</v>
      </c>
      <c r="C11434" s="3" t="inlineStr">
        <is>
          <t>Revenue</t>
        </is>
      </c>
      <c r="D11434" s="3" t="inlineStr">
        <is>
          <t>1002/200</t>
        </is>
      </c>
      <c r="E11434" s="3" t="inlineStr">
        <is>
          <t>Sales - Vodacom tower</t>
        </is>
      </c>
      <c r="F11434" s="3" t="n">
        <v>-29415.17</v>
      </c>
      <c r="G11434" s="3" t="n">
        <v>-29415.17</v>
      </c>
    </row>
    <row r="11435">
      <c r="A11435" s="3" t="inlineStr">
        <is>
          <t>Quinate Consulting (Pty) Ltd</t>
        </is>
      </c>
      <c r="B11435" s="4" t="n">
        <v>44895</v>
      </c>
      <c r="C11435" s="3" t="inlineStr">
        <is>
          <t>Revenue</t>
        </is>
      </c>
      <c r="D11435" s="3" t="inlineStr">
        <is>
          <t>1004/000</t>
        </is>
      </c>
      <c r="E11435" s="3" t="inlineStr">
        <is>
          <t>Interest received</t>
        </is>
      </c>
      <c r="F11435" s="3" t="n">
        <v>-604.4</v>
      </c>
      <c r="G11435" s="3" t="n">
        <v>-4079.76</v>
      </c>
    </row>
    <row r="11436">
      <c r="A11436" s="3" t="inlineStr">
        <is>
          <t>Quinate Consulting (Pty) Ltd</t>
        </is>
      </c>
      <c r="B11436" s="4" t="n">
        <v>44895</v>
      </c>
      <c r="C11436" s="3" t="inlineStr">
        <is>
          <t>Revenue</t>
        </is>
      </c>
      <c r="D11436" s="3" t="inlineStr">
        <is>
          <t>1006/100</t>
        </is>
      </c>
      <c r="E11436" s="3" t="inlineStr">
        <is>
          <t>Rental income - Payprop</t>
        </is>
      </c>
      <c r="F11436" s="3" t="n">
        <v>-17212.75</v>
      </c>
      <c r="G11436" s="3" t="n">
        <v>-40481</v>
      </c>
    </row>
    <row r="11437">
      <c r="A11437" s="3" t="inlineStr">
        <is>
          <t>Endulini (Pty) Ltd</t>
        </is>
      </c>
      <c r="B11437" s="4" t="n">
        <v>44895</v>
      </c>
      <c r="C11437" s="3" t="inlineStr">
        <is>
          <t>Revenue</t>
        </is>
      </c>
      <c r="D11437" s="3" t="inlineStr">
        <is>
          <t>1100/000</t>
        </is>
      </c>
      <c r="E11437" s="3" t="inlineStr">
        <is>
          <t>Sales - Endulini</t>
        </is>
      </c>
      <c r="F11437" s="3" t="n">
        <v>-2734608.7</v>
      </c>
      <c r="G11437" s="3" t="n">
        <v>-47311331.64</v>
      </c>
    </row>
    <row r="11438">
      <c r="A11438" s="3" t="inlineStr">
        <is>
          <t>Opportunity Management Holdings (PTY) LTD</t>
        </is>
      </c>
      <c r="B11438" s="4" t="n">
        <v>44895</v>
      </c>
      <c r="C11438" s="3" t="inlineStr">
        <is>
          <t>Revenue</t>
        </is>
      </c>
      <c r="D11438" s="3" t="inlineStr">
        <is>
          <t>1100/001</t>
        </is>
      </c>
      <c r="E11438" s="3" t="inlineStr">
        <is>
          <t>Salary Recharges</t>
        </is>
      </c>
      <c r="F11438" s="3" t="n">
        <v>-351500</v>
      </c>
      <c r="G11438" s="3" t="n">
        <v>-1108500</v>
      </c>
    </row>
    <row r="11439">
      <c r="A11439" s="3" t="inlineStr">
        <is>
          <t>Endulini (Pty) Ltd</t>
        </is>
      </c>
      <c r="B11439" s="4" t="n">
        <v>44895</v>
      </c>
      <c r="C11439" s="3" t="inlineStr">
        <is>
          <t>Revenue</t>
        </is>
      </c>
      <c r="D11439" s="3" t="inlineStr">
        <is>
          <t>1100/100</t>
        </is>
      </c>
      <c r="E11439" s="3" t="inlineStr">
        <is>
          <t>Sales - Endulini - Exstras</t>
        </is>
      </c>
      <c r="F11439" s="3" t="n">
        <v>0</v>
      </c>
      <c r="G11439" s="3" t="n">
        <v>-8030</v>
      </c>
    </row>
    <row r="11440">
      <c r="A11440" s="3" t="inlineStr">
        <is>
          <t>Endulini (Pty) Ltd</t>
        </is>
      </c>
      <c r="B11440" s="4" t="n">
        <v>44895</v>
      </c>
      <c r="C11440" s="3" t="inlineStr">
        <is>
          <t>Revenue</t>
        </is>
      </c>
      <c r="D11440" s="3" t="inlineStr">
        <is>
          <t>1100/150</t>
        </is>
      </c>
      <c r="E11440" s="3" t="inlineStr">
        <is>
          <t>Sales - Endulini - Extras admin fee</t>
        </is>
      </c>
      <c r="F11440" s="3" t="n">
        <v>0</v>
      </c>
      <c r="G11440" s="3" t="n">
        <v>-2000</v>
      </c>
    </row>
    <row r="11441">
      <c r="A11441" s="3" t="inlineStr">
        <is>
          <t>Endulini (Pty) Ltd</t>
        </is>
      </c>
      <c r="B11441" s="4" t="n">
        <v>44895</v>
      </c>
      <c r="C11441" s="3" t="inlineStr">
        <is>
          <t>Revenue</t>
        </is>
      </c>
      <c r="D11441" s="3" t="inlineStr">
        <is>
          <t>1100/200</t>
        </is>
      </c>
      <c r="E11441" s="3" t="inlineStr">
        <is>
          <t>Sales - Endulini occupational rent</t>
        </is>
      </c>
      <c r="F11441" s="3" t="n">
        <v>-40633.33</v>
      </c>
      <c r="G11441" s="3" t="n">
        <v>-203396.02</v>
      </c>
    </row>
    <row r="11442">
      <c r="A11442" s="3" t="inlineStr">
        <is>
          <t>Endulini (Pty) Ltd</t>
        </is>
      </c>
      <c r="B11442" s="4" t="n">
        <v>44895</v>
      </c>
      <c r="C11442" s="3" t="inlineStr">
        <is>
          <t>Revenue</t>
        </is>
      </c>
      <c r="D11442" s="3" t="inlineStr">
        <is>
          <t>1500/001</t>
        </is>
      </c>
      <c r="E11442" s="3" t="inlineStr">
        <is>
          <t>Revaluation of Land</t>
        </is>
      </c>
      <c r="F11442" s="3" t="n">
        <v>0</v>
      </c>
      <c r="G11442" s="3" t="n">
        <v>6084085.78</v>
      </c>
    </row>
    <row r="11443">
      <c r="A11443" s="3" t="inlineStr">
        <is>
          <t>Endulini (Pty) Ltd</t>
        </is>
      </c>
      <c r="B11443" s="4" t="n">
        <v>44895</v>
      </c>
      <c r="C11443" s="3" t="inlineStr">
        <is>
          <t>Expenses</t>
        </is>
      </c>
      <c r="D11443" s="3" t="inlineStr">
        <is>
          <t>2000/001</t>
        </is>
      </c>
      <c r="E11443" s="3" t="inlineStr">
        <is>
          <t>COS - CIP Construction</t>
        </is>
      </c>
      <c r="F11443" s="3" t="n">
        <v>0</v>
      </c>
      <c r="G11443" s="3" t="n">
        <v>28155981.9</v>
      </c>
    </row>
    <row r="11444">
      <c r="A11444" s="3" t="inlineStr">
        <is>
          <t>Opportunity Global Sales (PTY) LTD</t>
        </is>
      </c>
      <c r="B11444" s="4" t="n">
        <v>44895</v>
      </c>
      <c r="C11444" s="3" t="inlineStr">
        <is>
          <t>Expenses</t>
        </is>
      </c>
      <c r="D11444" s="3" t="inlineStr">
        <is>
          <t>2000/010</t>
        </is>
      </c>
      <c r="E11444" s="3" t="inlineStr">
        <is>
          <t>COS - PAYE on Commission</t>
        </is>
      </c>
      <c r="F11444" s="3" t="n">
        <v>46488.28</v>
      </c>
      <c r="G11444" s="3" t="n">
        <v>137203.06</v>
      </c>
    </row>
    <row r="11445">
      <c r="A11445" s="3" t="inlineStr">
        <is>
          <t>Quinate Consulting (Pty) Ltd</t>
        </is>
      </c>
      <c r="B11445" s="4" t="n">
        <v>44895</v>
      </c>
      <c r="C11445" s="3" t="inlineStr">
        <is>
          <t>Expenses</t>
        </is>
      </c>
      <c r="D11445" s="3" t="inlineStr">
        <is>
          <t>2000/080</t>
        </is>
      </c>
      <c r="E11445" s="3" t="inlineStr">
        <is>
          <t>COS - Repairs &amp; Maintenance Endulini units</t>
        </is>
      </c>
      <c r="F11445" s="3" t="n">
        <v>3734.81</v>
      </c>
      <c r="G11445" s="3" t="n">
        <v>3734.81</v>
      </c>
    </row>
    <row r="11446">
      <c r="A11446" s="3" t="inlineStr">
        <is>
          <t>Endulini (Pty) Ltd</t>
        </is>
      </c>
      <c r="B11446" s="4" t="n">
        <v>44895</v>
      </c>
      <c r="C11446" s="3" t="inlineStr">
        <is>
          <t>Expenses</t>
        </is>
      </c>
      <c r="D11446" s="3" t="inlineStr">
        <is>
          <t>2000/100</t>
        </is>
      </c>
      <c r="E11446" s="3" t="inlineStr">
        <is>
          <t>COS - Commission Endulini</t>
        </is>
      </c>
      <c r="F11446" s="3" t="n">
        <v>0</v>
      </c>
      <c r="G11446" s="3" t="n">
        <v>2526781.31</v>
      </c>
    </row>
    <row r="11447">
      <c r="A11447" s="3" t="inlineStr">
        <is>
          <t>Noble Shield (Pty) Ltd ta Go Letting</t>
        </is>
      </c>
      <c r="B11447" s="4" t="n">
        <v>44895</v>
      </c>
      <c r="C11447" s="3" t="inlineStr">
        <is>
          <t>Expenses</t>
        </is>
      </c>
      <c r="D11447" s="3" t="inlineStr">
        <is>
          <t>2000/100</t>
        </is>
      </c>
      <c r="E11447" s="3" t="inlineStr">
        <is>
          <t>COS - Commission Paid</t>
        </is>
      </c>
      <c r="F11447" s="3" t="n">
        <v>13449.89</v>
      </c>
      <c r="G11447" s="3" t="n">
        <v>130764.9</v>
      </c>
    </row>
    <row r="11448">
      <c r="A11448" s="3" t="inlineStr">
        <is>
          <t>Opportunity Global Investment (PTY) LTD</t>
        </is>
      </c>
      <c r="B11448" s="4" t="n">
        <v>44895</v>
      </c>
      <c r="C11448" s="3" t="inlineStr">
        <is>
          <t>Expenses</t>
        </is>
      </c>
      <c r="D11448" s="3" t="inlineStr">
        <is>
          <t>2000/125</t>
        </is>
      </c>
      <c r="E11448" s="3" t="inlineStr">
        <is>
          <t>Referral commission - Endulini</t>
        </is>
      </c>
      <c r="F11448" s="3" t="n">
        <v>0</v>
      </c>
      <c r="G11448" s="3" t="n">
        <v>19000</v>
      </c>
    </row>
    <row r="11449">
      <c r="A11449" s="3" t="inlineStr">
        <is>
          <t>Opportunity Global Sales (PTY) LTD</t>
        </is>
      </c>
      <c r="B11449" s="4" t="n">
        <v>44895</v>
      </c>
      <c r="C11449" s="3" t="inlineStr">
        <is>
          <t>Expenses</t>
        </is>
      </c>
      <c r="D11449" s="3" t="inlineStr">
        <is>
          <t>2000/131</t>
        </is>
      </c>
      <c r="E11449" s="3" t="inlineStr">
        <is>
          <t>COS - Sales Comm Endulini - Anthony</t>
        </is>
      </c>
      <c r="F11449" s="3" t="n">
        <v>0</v>
      </c>
      <c r="G11449" s="3" t="n">
        <v>62272.01</v>
      </c>
    </row>
    <row r="11450">
      <c r="A11450" s="3" t="inlineStr">
        <is>
          <t>Opportunity Global Sales (PTY) LTD</t>
        </is>
      </c>
      <c r="B11450" s="4" t="n">
        <v>44895</v>
      </c>
      <c r="C11450" s="3" t="inlineStr">
        <is>
          <t>Expenses</t>
        </is>
      </c>
      <c r="D11450" s="3" t="inlineStr">
        <is>
          <t>2000/132</t>
        </is>
      </c>
      <c r="E11450" s="3" t="inlineStr">
        <is>
          <t>COS - Sales Comm Endulini - Minette</t>
        </is>
      </c>
      <c r="F11450" s="3" t="n">
        <v>24971.83</v>
      </c>
      <c r="G11450" s="3" t="n">
        <v>393363.7</v>
      </c>
    </row>
    <row r="11451">
      <c r="A11451" s="3" t="inlineStr">
        <is>
          <t>Opportunity Global Sales (PTY) LTD</t>
        </is>
      </c>
      <c r="B11451" s="4" t="n">
        <v>44895</v>
      </c>
      <c r="C11451" s="3" t="inlineStr">
        <is>
          <t>Expenses</t>
        </is>
      </c>
      <c r="D11451" s="3" t="inlineStr">
        <is>
          <t>2000/133</t>
        </is>
      </c>
      <c r="E11451" s="3" t="inlineStr">
        <is>
          <t>COS - Sales Comm Endulini - External Agents</t>
        </is>
      </c>
      <c r="F11451" s="3" t="n">
        <v>0</v>
      </c>
      <c r="G11451" s="3" t="n">
        <v>9966</v>
      </c>
    </row>
    <row r="11452">
      <c r="A11452" s="3" t="inlineStr">
        <is>
          <t>Opportunity Global Sales (PTY) LTD</t>
        </is>
      </c>
      <c r="B11452" s="4" t="n">
        <v>44895</v>
      </c>
      <c r="C11452" s="3" t="inlineStr">
        <is>
          <t>Expenses</t>
        </is>
      </c>
      <c r="D11452" s="3" t="inlineStr">
        <is>
          <t>2000/135</t>
        </is>
      </c>
      <c r="E11452" s="3" t="inlineStr">
        <is>
          <t>COS - Sales Comm External - Minette</t>
        </is>
      </c>
      <c r="F11452" s="3" t="n">
        <v>0</v>
      </c>
      <c r="G11452" s="3" t="n">
        <v>59126.45</v>
      </c>
    </row>
    <row r="11453">
      <c r="A11453" s="3" t="inlineStr">
        <is>
          <t>Opportunity Global Investment (PTY) LTD</t>
        </is>
      </c>
      <c r="B11453" s="4" t="n">
        <v>44895</v>
      </c>
      <c r="C11453" s="3" t="inlineStr">
        <is>
          <t>Expenses</t>
        </is>
      </c>
      <c r="D11453" s="3" t="inlineStr">
        <is>
          <t>2000/135</t>
        </is>
      </c>
      <c r="E11453" s="3" t="inlineStr">
        <is>
          <t>Referral commission - Heron View</t>
        </is>
      </c>
      <c r="F11453" s="3" t="n">
        <v>0</v>
      </c>
      <c r="G11453" s="3" t="n">
        <v>144000</v>
      </c>
    </row>
    <row r="11454">
      <c r="A11454" s="3" t="inlineStr">
        <is>
          <t>Opportunity Global Sales (PTY) LTD</t>
        </is>
      </c>
      <c r="B11454" s="4" t="n">
        <v>44895</v>
      </c>
      <c r="C11454" s="3" t="inlineStr">
        <is>
          <t>Expenses</t>
        </is>
      </c>
      <c r="D11454" s="3" t="inlineStr">
        <is>
          <t>2000/137</t>
        </is>
      </c>
      <c r="E11454" s="3" t="inlineStr">
        <is>
          <t>COS - Rental Comm External - Minette</t>
        </is>
      </c>
      <c r="F11454" s="3" t="n">
        <v>28920</v>
      </c>
      <c r="G11454" s="3" t="n">
        <v>92798.05</v>
      </c>
    </row>
    <row r="11455">
      <c r="A11455" s="3" t="inlineStr">
        <is>
          <t>Opportunity Global Sales (PTY) LTD</t>
        </is>
      </c>
      <c r="B11455" s="4" t="n">
        <v>44895</v>
      </c>
      <c r="C11455" s="3" t="inlineStr">
        <is>
          <t>Expenses</t>
        </is>
      </c>
      <c r="D11455" s="3" t="inlineStr">
        <is>
          <t>2000/139</t>
        </is>
      </c>
      <c r="E11455" s="3" t="inlineStr">
        <is>
          <t>COS - Sales Comm Heron Fields - Minette</t>
        </is>
      </c>
      <c r="F11455" s="3" t="n">
        <v>107966.96</v>
      </c>
      <c r="G11455" s="3" t="n">
        <v>310651.43</v>
      </c>
    </row>
    <row r="11456">
      <c r="A11456" s="3" t="inlineStr">
        <is>
          <t>Opportunity Global Investment (PTY) LTD</t>
        </is>
      </c>
      <c r="B11456" s="4" t="n">
        <v>44895</v>
      </c>
      <c r="C11456" s="3" t="inlineStr">
        <is>
          <t>Expenses</t>
        </is>
      </c>
      <c r="D11456" s="3" t="inlineStr">
        <is>
          <t>2000/140</t>
        </is>
      </c>
      <c r="E11456" s="3" t="inlineStr">
        <is>
          <t>Referral commission - F Geldenhuys</t>
        </is>
      </c>
      <c r="F11456" s="3" t="n">
        <v>0</v>
      </c>
      <c r="G11456" s="3" t="n">
        <v>53400</v>
      </c>
    </row>
    <row r="11457">
      <c r="A11457" s="3" t="inlineStr">
        <is>
          <t>Opportunity Global Sales (PTY) LTD</t>
        </is>
      </c>
      <c r="B11457" s="4" t="n">
        <v>44895</v>
      </c>
      <c r="C11457" s="3" t="inlineStr">
        <is>
          <t>Expenses</t>
        </is>
      </c>
      <c r="D11457" s="3" t="inlineStr">
        <is>
          <t>2000/142</t>
        </is>
      </c>
      <c r="E11457" s="3" t="inlineStr">
        <is>
          <t>COS - Sales Comm Heron Fields - Anthony</t>
        </is>
      </c>
      <c r="F11457" s="3" t="n">
        <v>26954.78</v>
      </c>
      <c r="G11457" s="3" t="n">
        <v>26954.78</v>
      </c>
    </row>
    <row r="11458">
      <c r="A11458" s="3" t="inlineStr">
        <is>
          <t>Opportunity Global Sales (PTY) LTD</t>
        </is>
      </c>
      <c r="B11458" s="4" t="n">
        <v>44895</v>
      </c>
      <c r="C11458" s="3" t="inlineStr">
        <is>
          <t>Expenses</t>
        </is>
      </c>
      <c r="D11458" s="3" t="inlineStr">
        <is>
          <t>2000/143</t>
        </is>
      </c>
      <c r="E11458" s="3" t="inlineStr">
        <is>
          <t>COS - Sales Comm Endulini - Yvette</t>
        </is>
      </c>
      <c r="F11458" s="3" t="n">
        <v>0</v>
      </c>
      <c r="G11458" s="3" t="n">
        <v>22102.92</v>
      </c>
    </row>
    <row r="11459">
      <c r="A11459" s="3" t="inlineStr">
        <is>
          <t>Opportunity Global Investment (PTY) LTD</t>
        </is>
      </c>
      <c r="B11459" s="4" t="n">
        <v>44895</v>
      </c>
      <c r="C11459" s="3" t="inlineStr">
        <is>
          <t>Expenses</t>
        </is>
      </c>
      <c r="D11459" s="3" t="inlineStr">
        <is>
          <t>2000/145</t>
        </is>
      </c>
      <c r="E11459" s="3" t="inlineStr">
        <is>
          <t>Referral commission - W Thomason</t>
        </is>
      </c>
      <c r="F11459" s="3" t="n">
        <v>0</v>
      </c>
      <c r="G11459" s="3" t="n">
        <v>36000</v>
      </c>
    </row>
    <row r="11460">
      <c r="A11460" s="3" t="inlineStr">
        <is>
          <t>Opportunity Global Sales (PTY) LTD</t>
        </is>
      </c>
      <c r="B11460" s="4" t="n">
        <v>44895</v>
      </c>
      <c r="C11460" s="3" t="inlineStr">
        <is>
          <t>Expenses</t>
        </is>
      </c>
      <c r="D11460" s="3" t="inlineStr">
        <is>
          <t>2000/147</t>
        </is>
      </c>
      <c r="E11460" s="3" t="inlineStr">
        <is>
          <t>COS - Sales Comm Heron Fields - Yvette</t>
        </is>
      </c>
      <c r="F11460" s="3" t="n">
        <v>21746.4</v>
      </c>
      <c r="G11460" s="3" t="n">
        <v>44598.01</v>
      </c>
    </row>
    <row r="11461">
      <c r="A11461" s="3" t="inlineStr">
        <is>
          <t>Endulini (Pty) Ltd</t>
        </is>
      </c>
      <c r="B11461" s="4" t="n">
        <v>44895</v>
      </c>
      <c r="C11461" s="3" t="inlineStr">
        <is>
          <t>Expenses</t>
        </is>
      </c>
      <c r="D11461" s="3" t="inlineStr">
        <is>
          <t>2000/150</t>
        </is>
      </c>
      <c r="E11461" s="3" t="inlineStr">
        <is>
          <t>COS - Levies special agreement</t>
        </is>
      </c>
      <c r="F11461" s="3" t="n">
        <v>12988.89</v>
      </c>
      <c r="G11461" s="3" t="n">
        <v>16412.99</v>
      </c>
    </row>
    <row r="11462">
      <c r="A11462" s="3" t="inlineStr">
        <is>
          <t>Trademark Holdings (Pty) Ltd</t>
        </is>
      </c>
      <c r="B11462" s="4" t="n">
        <v>44895</v>
      </c>
      <c r="C11462" s="3" t="inlineStr">
        <is>
          <t>Expenses</t>
        </is>
      </c>
      <c r="D11462" s="3" t="inlineStr">
        <is>
          <t>2000/300</t>
        </is>
      </c>
      <c r="E11462" s="3" t="inlineStr">
        <is>
          <t>COS - Commission Paid</t>
        </is>
      </c>
      <c r="F11462" s="3" t="n">
        <v>17399.42</v>
      </c>
      <c r="G11462" s="3" t="n">
        <v>47606.95</v>
      </c>
    </row>
    <row r="11463">
      <c r="A11463" s="3" t="inlineStr">
        <is>
          <t>Opportunity Global Sales (PTY) LTD</t>
        </is>
      </c>
      <c r="B11463" s="4" t="n">
        <v>44895</v>
      </c>
      <c r="C11463" s="3" t="inlineStr">
        <is>
          <t>Expenses</t>
        </is>
      </c>
      <c r="D11463" s="3" t="inlineStr">
        <is>
          <t>2000/350</t>
        </is>
      </c>
      <c r="E11463" s="3" t="inlineStr">
        <is>
          <t>COS - Overrider Comm Endulini - Donovan</t>
        </is>
      </c>
      <c r="F11463" s="3" t="n">
        <v>0</v>
      </c>
      <c r="G11463" s="3" t="n">
        <v>74207.21000000001</v>
      </c>
    </row>
    <row r="11464">
      <c r="A11464" s="3" t="inlineStr">
        <is>
          <t>Opportunity Global Sales (PTY) LTD</t>
        </is>
      </c>
      <c r="B11464" s="4" t="n">
        <v>44895</v>
      </c>
      <c r="C11464" s="3" t="inlineStr">
        <is>
          <t>Expenses</t>
        </is>
      </c>
      <c r="D11464" s="3" t="inlineStr">
        <is>
          <t>2000/351</t>
        </is>
      </c>
      <c r="E11464" s="3" t="inlineStr">
        <is>
          <t>COS - Overrider Comm External - Donovan</t>
        </is>
      </c>
      <c r="F11464" s="3" t="n">
        <v>0</v>
      </c>
      <c r="G11464" s="3" t="n">
        <v>7030.44</v>
      </c>
    </row>
    <row r="11465">
      <c r="A11465" s="3" t="inlineStr">
        <is>
          <t>Opportunity Global Sales (PTY) LTD</t>
        </is>
      </c>
      <c r="B11465" s="4" t="n">
        <v>44895</v>
      </c>
      <c r="C11465" s="3" t="inlineStr">
        <is>
          <t>Expenses</t>
        </is>
      </c>
      <c r="D11465" s="3" t="inlineStr">
        <is>
          <t>2000/370</t>
        </is>
      </c>
      <c r="E11465" s="3" t="inlineStr">
        <is>
          <t>COS - Overrider Comm Endulini - Morne</t>
        </is>
      </c>
      <c r="F11465" s="3" t="n">
        <v>0</v>
      </c>
      <c r="G11465" s="3" t="n">
        <v>24541.83</v>
      </c>
    </row>
    <row r="11466">
      <c r="A11466" s="3" t="inlineStr">
        <is>
          <t>Opportunity Global Sales (PTY) LTD</t>
        </is>
      </c>
      <c r="B11466" s="4" t="n">
        <v>44895</v>
      </c>
      <c r="C11466" s="3" t="inlineStr">
        <is>
          <t>Expenses</t>
        </is>
      </c>
      <c r="D11466" s="3" t="inlineStr">
        <is>
          <t>2000/380</t>
        </is>
      </c>
      <c r="E11466" s="3" t="inlineStr">
        <is>
          <t>COS - Overrider Comm Heron Fields - Morne</t>
        </is>
      </c>
      <c r="F11466" s="3" t="n">
        <v>0</v>
      </c>
      <c r="G11466" s="3" t="n">
        <v>16264.76</v>
      </c>
    </row>
    <row r="11467">
      <c r="A11467" s="3" t="inlineStr">
        <is>
          <t>Trademark Holdings (Pty) Ltd</t>
        </is>
      </c>
      <c r="B11467" s="4" t="n">
        <v>44895</v>
      </c>
      <c r="C11467" s="3" t="inlineStr">
        <is>
          <t>Expenses</t>
        </is>
      </c>
      <c r="D11467" s="3" t="inlineStr">
        <is>
          <t>2000/400</t>
        </is>
      </c>
      <c r="E11467" s="3" t="inlineStr">
        <is>
          <t>COS - Commission on external sales</t>
        </is>
      </c>
      <c r="F11467" s="3" t="n">
        <v>24000</v>
      </c>
      <c r="G11467" s="3" t="n">
        <v>24000</v>
      </c>
    </row>
    <row r="11468">
      <c r="A11468" s="3" t="inlineStr">
        <is>
          <t>Endulini (Pty) Ltd</t>
        </is>
      </c>
      <c r="B11468" s="4" t="n">
        <v>44895</v>
      </c>
      <c r="C11468" s="3" t="inlineStr">
        <is>
          <t>Expenses</t>
        </is>
      </c>
      <c r="D11468" s="3" t="inlineStr">
        <is>
          <t>2000/400</t>
        </is>
      </c>
      <c r="E11468" s="3" t="inlineStr">
        <is>
          <t>COS - Gifts</t>
        </is>
      </c>
      <c r="F11468" s="3" t="n">
        <v>0</v>
      </c>
      <c r="G11468" s="3" t="n">
        <v>4270</v>
      </c>
    </row>
    <row r="11469">
      <c r="A11469" s="3" t="inlineStr">
        <is>
          <t>Opportunity Global Sales (PTY) LTD</t>
        </is>
      </c>
      <c r="B11469" s="4" t="n">
        <v>44895</v>
      </c>
      <c r="C11469" s="3" t="inlineStr">
        <is>
          <t>Expenses</t>
        </is>
      </c>
      <c r="D11469" s="3" t="inlineStr">
        <is>
          <t>2000/500</t>
        </is>
      </c>
      <c r="E11469" s="3" t="inlineStr">
        <is>
          <t>COS - Electricity Costs Endulini</t>
        </is>
      </c>
      <c r="F11469" s="3" t="n">
        <v>0</v>
      </c>
      <c r="G11469" s="3" t="n">
        <v>536.96</v>
      </c>
    </row>
    <row r="11470">
      <c r="A11470" s="3" t="inlineStr">
        <is>
          <t>Endulini (Pty) Ltd</t>
        </is>
      </c>
      <c r="B11470" s="4" t="n">
        <v>44895</v>
      </c>
      <c r="C11470" s="3" t="inlineStr">
        <is>
          <t>Expenses</t>
        </is>
      </c>
      <c r="D11470" s="3" t="inlineStr">
        <is>
          <t>2000/500</t>
        </is>
      </c>
      <c r="E11470" s="3" t="inlineStr">
        <is>
          <t>COS - Legal Fees Opening of Sec Title Scheme</t>
        </is>
      </c>
      <c r="F11470" s="3" t="n">
        <v>0</v>
      </c>
      <c r="G11470" s="3" t="n">
        <v>56287.76</v>
      </c>
    </row>
    <row r="11471">
      <c r="A11471" s="3" t="inlineStr">
        <is>
          <t>Opportunity Global Sales (PTY) LTD</t>
        </is>
      </c>
      <c r="B11471" s="4" t="n">
        <v>44895</v>
      </c>
      <c r="C11471" s="3" t="inlineStr">
        <is>
          <t>Expenses</t>
        </is>
      </c>
      <c r="D11471" s="3" t="inlineStr">
        <is>
          <t>2000/550</t>
        </is>
      </c>
      <c r="E11471" s="3" t="inlineStr">
        <is>
          <t>COS - Electricity Costs Heron Fields</t>
        </is>
      </c>
      <c r="F11471" s="3" t="n">
        <v>478.26</v>
      </c>
      <c r="G11471" s="3" t="n">
        <v>478.26</v>
      </c>
    </row>
    <row r="11472">
      <c r="A11472" s="3" t="inlineStr">
        <is>
          <t>Endulini (Pty) Ltd</t>
        </is>
      </c>
      <c r="B11472" s="4" t="n">
        <v>44895</v>
      </c>
      <c r="C11472" s="3" t="inlineStr">
        <is>
          <t>Expenses</t>
        </is>
      </c>
      <c r="D11472" s="3" t="inlineStr">
        <is>
          <t>2000/600</t>
        </is>
      </c>
      <c r="E11472" s="3" t="inlineStr">
        <is>
          <t>COS - Legal fees</t>
        </is>
      </c>
      <c r="F11472" s="3" t="n">
        <v>52874.85</v>
      </c>
      <c r="G11472" s="3" t="n">
        <v>1033439.58</v>
      </c>
    </row>
    <row r="11473">
      <c r="A11473" s="3" t="inlineStr">
        <is>
          <t>Endulini (Pty) Ltd</t>
        </is>
      </c>
      <c r="B11473" s="4" t="n">
        <v>44895</v>
      </c>
      <c r="C11473" s="3" t="inlineStr">
        <is>
          <t>Expenses</t>
        </is>
      </c>
      <c r="D11473" s="3" t="inlineStr">
        <is>
          <t>2000/700</t>
        </is>
      </c>
      <c r="E11473" s="3" t="inlineStr">
        <is>
          <t>COS - C2M Certificate for transfer</t>
        </is>
      </c>
      <c r="F11473" s="3" t="n">
        <v>0</v>
      </c>
      <c r="G11473" s="3" t="n">
        <v>5450</v>
      </c>
    </row>
    <row r="11474">
      <c r="A11474" s="3" t="inlineStr">
        <is>
          <t>Endulini (Pty) Ltd</t>
        </is>
      </c>
      <c r="B11474" s="4" t="n">
        <v>44895</v>
      </c>
      <c r="C11474" s="3" t="inlineStr">
        <is>
          <t>Expenses</t>
        </is>
      </c>
      <c r="D11474" s="3" t="inlineStr">
        <is>
          <t>2000/800</t>
        </is>
      </c>
      <c r="E11474" s="3" t="inlineStr">
        <is>
          <t>COS - Purchaser Variations</t>
        </is>
      </c>
      <c r="F11474" s="3" t="n">
        <v>0</v>
      </c>
      <c r="G11474" s="3" t="n">
        <v>8734.540000000001</v>
      </c>
    </row>
    <row r="11475">
      <c r="A11475" s="3" t="inlineStr">
        <is>
          <t>Endulini (Pty) Ltd</t>
        </is>
      </c>
      <c r="B11475" s="4" t="n">
        <v>44895</v>
      </c>
      <c r="C11475" s="3" t="inlineStr">
        <is>
          <t>Expenses</t>
        </is>
      </c>
      <c r="D11475" s="3" t="inlineStr">
        <is>
          <t>2000/900</t>
        </is>
      </c>
      <c r="E11475" s="3" t="inlineStr">
        <is>
          <t>COS - Legal fees Phase 2</t>
        </is>
      </c>
      <c r="F11475" s="3" t="n">
        <v>0</v>
      </c>
      <c r="G11475" s="3" t="n">
        <v>35638</v>
      </c>
    </row>
    <row r="11476">
      <c r="A11476" s="3" t="inlineStr">
        <is>
          <t>Quinate Consulting (Pty) Ltd</t>
        </is>
      </c>
      <c r="B11476" s="4" t="n">
        <v>44895</v>
      </c>
      <c r="C11476" s="3" t="inlineStr">
        <is>
          <t>Revenue</t>
        </is>
      </c>
      <c r="D11476" s="3" t="inlineStr">
        <is>
          <t>2400/200</t>
        </is>
      </c>
      <c r="E11476" s="3" t="inlineStr">
        <is>
          <t>Recovery Acc - Electricity SH</t>
        </is>
      </c>
      <c r="F11476" s="3" t="n">
        <v>-23565.18</v>
      </c>
      <c r="G11476" s="3" t="n">
        <v>-231904.68</v>
      </c>
    </row>
    <row r="11477">
      <c r="A11477" s="3" t="inlineStr">
        <is>
          <t>Quinate Consulting (Pty) Ltd</t>
        </is>
      </c>
      <c r="B11477" s="4" t="n">
        <v>44895</v>
      </c>
      <c r="C11477" s="3" t="inlineStr">
        <is>
          <t>Revenue</t>
        </is>
      </c>
      <c r="D11477" s="3" t="inlineStr">
        <is>
          <t>2400/300</t>
        </is>
      </c>
      <c r="E11477" s="3" t="inlineStr">
        <is>
          <t>Recovery Account - Electricity SW</t>
        </is>
      </c>
      <c r="F11477" s="3" t="n">
        <v>-18782.28</v>
      </c>
      <c r="G11477" s="3" t="n">
        <v>-174360.11</v>
      </c>
    </row>
    <row r="11478">
      <c r="A11478" s="3" t="inlineStr">
        <is>
          <t>Endulini (Pty) Ltd</t>
        </is>
      </c>
      <c r="B11478" s="4" t="n">
        <v>44895</v>
      </c>
      <c r="C11478" s="3" t="inlineStr">
        <is>
          <t>Revenue</t>
        </is>
      </c>
      <c r="D11478" s="3" t="inlineStr">
        <is>
          <t>2750/000</t>
        </is>
      </c>
      <c r="E11478" s="3" t="inlineStr">
        <is>
          <t>Interest Received</t>
        </is>
      </c>
      <c r="F11478" s="3" t="n">
        <v>-217.75</v>
      </c>
      <c r="G11478" s="3" t="n">
        <v>-413.06</v>
      </c>
    </row>
    <row r="11479">
      <c r="A11479" s="3" t="inlineStr">
        <is>
          <t>Opportunity Management Holdings (PTY) LTD</t>
        </is>
      </c>
      <c r="B11479" s="4" t="n">
        <v>44895</v>
      </c>
      <c r="C11479" s="3" t="inlineStr">
        <is>
          <t>Revenue</t>
        </is>
      </c>
      <c r="D11479" s="3" t="inlineStr">
        <is>
          <t>2750/000</t>
        </is>
      </c>
      <c r="E11479" s="3" t="inlineStr">
        <is>
          <t>Interest Received</t>
        </is>
      </c>
      <c r="F11479" s="3" t="n">
        <v>-126.01</v>
      </c>
      <c r="G11479" s="3" t="n">
        <v>-128.43</v>
      </c>
    </row>
    <row r="11480">
      <c r="A11480" s="3" t="inlineStr">
        <is>
          <t>Opportunity Global Sales (PTY) LTD</t>
        </is>
      </c>
      <c r="B11480" s="4" t="n">
        <v>44895</v>
      </c>
      <c r="C11480" s="3" t="inlineStr">
        <is>
          <t>Revenue</t>
        </is>
      </c>
      <c r="D11480" s="3" t="inlineStr">
        <is>
          <t>2750/000</t>
        </is>
      </c>
      <c r="E11480" s="3" t="inlineStr">
        <is>
          <t>Interest Received - Bank</t>
        </is>
      </c>
      <c r="F11480" s="3" t="n">
        <v>0</v>
      </c>
      <c r="G11480" s="3" t="n">
        <v>-2.3</v>
      </c>
    </row>
    <row r="11481">
      <c r="A11481" s="3" t="inlineStr">
        <is>
          <t>Opportunity Global Investment (PTY) LTD</t>
        </is>
      </c>
      <c r="B11481" s="4" t="n">
        <v>44895</v>
      </c>
      <c r="C11481" s="3" t="inlineStr">
        <is>
          <t>Revenue</t>
        </is>
      </c>
      <c r="D11481" s="3" t="inlineStr">
        <is>
          <t>2753/000</t>
        </is>
      </c>
      <c r="E11481" s="3" t="inlineStr">
        <is>
          <t>Interest received - Momentum</t>
        </is>
      </c>
      <c r="F11481" s="3" t="n">
        <v>0</v>
      </c>
      <c r="G11481" s="3" t="n">
        <v>-158.61</v>
      </c>
    </row>
    <row r="11482">
      <c r="A11482" s="3" t="inlineStr">
        <is>
          <t>Endulini (Pty) Ltd</t>
        </is>
      </c>
      <c r="B11482" s="4" t="n">
        <v>44895</v>
      </c>
      <c r="C11482" s="3" t="inlineStr">
        <is>
          <t>Revenue</t>
        </is>
      </c>
      <c r="D11482" s="3" t="inlineStr">
        <is>
          <t>2755/001</t>
        </is>
      </c>
      <c r="E11482" s="3" t="inlineStr">
        <is>
          <t>Interest Received - Momentum</t>
        </is>
      </c>
      <c r="F11482" s="3" t="n">
        <v>0</v>
      </c>
      <c r="G11482" s="3" t="n">
        <v>-26598.72</v>
      </c>
    </row>
    <row r="11483">
      <c r="A11483" s="3" t="inlineStr">
        <is>
          <t>Quinate Consulting (Pty) Ltd</t>
        </is>
      </c>
      <c r="B11483" s="4" t="n">
        <v>44895</v>
      </c>
      <c r="C11483" s="3" t="inlineStr">
        <is>
          <t>Revenue</t>
        </is>
      </c>
      <c r="D11483" s="3" t="inlineStr">
        <is>
          <t>2755/001</t>
        </is>
      </c>
      <c r="E11483" s="3" t="inlineStr">
        <is>
          <t>Interest Received - Momentum</t>
        </is>
      </c>
      <c r="F11483" s="3" t="n">
        <v>0</v>
      </c>
      <c r="G11483" s="3" t="n">
        <v>-18.11</v>
      </c>
    </row>
    <row r="11484">
      <c r="A11484" s="3" t="inlineStr">
        <is>
          <t>Opportunity Global Investment (PTY) LTD</t>
        </is>
      </c>
      <c r="B11484" s="4" t="n">
        <v>44895</v>
      </c>
      <c r="C11484" s="3" t="inlineStr">
        <is>
          <t>Expenses</t>
        </is>
      </c>
      <c r="D11484" s="3" t="inlineStr">
        <is>
          <t>3000/150</t>
        </is>
      </c>
      <c r="E11484" s="3" t="inlineStr">
        <is>
          <t>Accounting Fees - Audit</t>
        </is>
      </c>
      <c r="F11484" s="3" t="n">
        <v>0</v>
      </c>
      <c r="G11484" s="3" t="n">
        <v>7225</v>
      </c>
    </row>
    <row r="11485">
      <c r="A11485" s="3" t="inlineStr">
        <is>
          <t>Opportunity Global Investment (PTY) LTD</t>
        </is>
      </c>
      <c r="B11485" s="4" t="n">
        <v>44895</v>
      </c>
      <c r="C11485" s="3" t="inlineStr">
        <is>
          <t>Expenses</t>
        </is>
      </c>
      <c r="D11485" s="3" t="inlineStr">
        <is>
          <t>3000/200</t>
        </is>
      </c>
      <c r="E11485" s="3" t="inlineStr">
        <is>
          <t>Accounting Fees - General</t>
        </is>
      </c>
      <c r="F11485" s="3" t="n">
        <v>0</v>
      </c>
      <c r="G11485" s="3" t="n">
        <v>540</v>
      </c>
    </row>
    <row r="11486">
      <c r="A11486" s="3" t="inlineStr">
        <is>
          <t>Quinate Consulting (Pty) Ltd</t>
        </is>
      </c>
      <c r="B11486" s="4" t="n">
        <v>44895</v>
      </c>
      <c r="C11486" s="3" t="inlineStr">
        <is>
          <t>Expenses</t>
        </is>
      </c>
      <c r="D11486" s="3" t="inlineStr">
        <is>
          <t>3001/000</t>
        </is>
      </c>
      <c r="E11486" s="3" t="inlineStr">
        <is>
          <t>Accounting fees - Other</t>
        </is>
      </c>
      <c r="F11486" s="3" t="n">
        <v>0</v>
      </c>
      <c r="G11486" s="3" t="n">
        <v>1850</v>
      </c>
    </row>
    <row r="11487">
      <c r="A11487" s="3" t="inlineStr">
        <is>
          <t>Opportunity Management Holdings (PTY) LTD</t>
        </is>
      </c>
      <c r="B11487" s="4" t="n">
        <v>44895</v>
      </c>
      <c r="C11487" s="3" t="inlineStr">
        <is>
          <t>Expenses</t>
        </is>
      </c>
      <c r="D11487" s="3" t="inlineStr">
        <is>
          <t>3004/000</t>
        </is>
      </c>
      <c r="E11487" s="3" t="inlineStr">
        <is>
          <t>Accounting fees - Janine Theart</t>
        </is>
      </c>
      <c r="F11487" s="3" t="n">
        <v>17500</v>
      </c>
      <c r="G11487" s="3" t="n">
        <v>52500</v>
      </c>
    </row>
    <row r="11488">
      <c r="A11488" s="3" t="inlineStr">
        <is>
          <t>Quinate Consulting (Pty) Ltd</t>
        </is>
      </c>
      <c r="B11488" s="4" t="n">
        <v>44895</v>
      </c>
      <c r="C11488" s="3" t="inlineStr">
        <is>
          <t>Expenses</t>
        </is>
      </c>
      <c r="D11488" s="3" t="inlineStr">
        <is>
          <t>3005/000</t>
        </is>
      </c>
      <c r="E11488" s="3" t="inlineStr">
        <is>
          <t>Accounting fees - Audit</t>
        </is>
      </c>
      <c r="F11488" s="3" t="n">
        <v>19250</v>
      </c>
      <c r="G11488" s="3" t="n">
        <v>19250</v>
      </c>
    </row>
    <row r="11489">
      <c r="A11489" s="3" t="inlineStr">
        <is>
          <t>Opportunity Management Holdings (PTY) LTD</t>
        </is>
      </c>
      <c r="B11489" s="4" t="n">
        <v>44895</v>
      </c>
      <c r="C11489" s="3" t="inlineStr">
        <is>
          <t>Expenses</t>
        </is>
      </c>
      <c r="D11489" s="3" t="inlineStr">
        <is>
          <t>3005/000</t>
        </is>
      </c>
      <c r="E11489" s="3" t="inlineStr">
        <is>
          <t>Accounting fees - Deric Dudley</t>
        </is>
      </c>
      <c r="F11489" s="3" t="n">
        <v>50000</v>
      </c>
      <c r="G11489" s="3" t="n">
        <v>150000</v>
      </c>
    </row>
    <row r="11490">
      <c r="A11490" s="3" t="inlineStr">
        <is>
          <t>Opportunity Management Holdings (PTY) LTD</t>
        </is>
      </c>
      <c r="B11490" s="4" t="n">
        <v>44895</v>
      </c>
      <c r="C11490" s="3" t="inlineStr">
        <is>
          <t>Expenses</t>
        </is>
      </c>
      <c r="D11490" s="3" t="inlineStr">
        <is>
          <t>3006/000</t>
        </is>
      </c>
      <c r="E11490" s="3" t="inlineStr">
        <is>
          <t>Accounting fees - CIPC</t>
        </is>
      </c>
      <c r="F11490" s="3" t="n">
        <v>250</v>
      </c>
      <c r="G11490" s="3" t="n">
        <v>250</v>
      </c>
    </row>
    <row r="11491">
      <c r="A11491" s="3" t="inlineStr">
        <is>
          <t>Opportunity Management Holdings (PTY) LTD</t>
        </is>
      </c>
      <c r="B11491" s="4" t="n">
        <v>44895</v>
      </c>
      <c r="C11491" s="3" t="inlineStr">
        <is>
          <t>Expenses</t>
        </is>
      </c>
      <c r="D11491" s="3" t="inlineStr">
        <is>
          <t>3007/000</t>
        </is>
      </c>
      <c r="E11491" s="3" t="inlineStr">
        <is>
          <t>Accounting fees - Warwick</t>
        </is>
      </c>
      <c r="F11491" s="3" t="n">
        <v>0</v>
      </c>
      <c r="G11491" s="3" t="n">
        <v>54000</v>
      </c>
    </row>
    <row r="11492">
      <c r="A11492" s="3" t="inlineStr">
        <is>
          <t>Endulini (Pty) Ltd</t>
        </is>
      </c>
      <c r="B11492" s="4" t="n">
        <v>44895</v>
      </c>
      <c r="C11492" s="3" t="inlineStr">
        <is>
          <t>Expenses</t>
        </is>
      </c>
      <c r="D11492" s="3" t="inlineStr">
        <is>
          <t>3050/000</t>
        </is>
      </c>
      <c r="E11492" s="3" t="inlineStr">
        <is>
          <t>Advertising _AND_ Promotions</t>
        </is>
      </c>
      <c r="F11492" s="3" t="n">
        <v>0</v>
      </c>
      <c r="G11492" s="3" t="n">
        <v>23598</v>
      </c>
    </row>
    <row r="11493">
      <c r="A11493" s="3" t="inlineStr">
        <is>
          <t>Noble Shield (Pty) Ltd ta Go Letting</t>
        </is>
      </c>
      <c r="B11493" s="4" t="n">
        <v>44895</v>
      </c>
      <c r="C11493" s="3" t="inlineStr">
        <is>
          <t>Expenses</t>
        </is>
      </c>
      <c r="D11493" s="3" t="inlineStr">
        <is>
          <t>3050/000</t>
        </is>
      </c>
      <c r="E11493" s="3" t="inlineStr">
        <is>
          <t>Advertising _AND_ Promotions</t>
        </is>
      </c>
      <c r="F11493" s="3" t="n">
        <v>0</v>
      </c>
      <c r="G11493" s="3" t="n">
        <v>659.99</v>
      </c>
    </row>
    <row r="11494">
      <c r="A11494" s="3" t="inlineStr">
        <is>
          <t>Opportunity Management Holdings (PTY) LTD</t>
        </is>
      </c>
      <c r="B11494" s="4" t="n">
        <v>44895</v>
      </c>
      <c r="C11494" s="3" t="inlineStr">
        <is>
          <t>Expenses</t>
        </is>
      </c>
      <c r="D11494" s="3" t="inlineStr">
        <is>
          <t>3050/000</t>
        </is>
      </c>
      <c r="E11494" s="3" t="inlineStr">
        <is>
          <t>Advertising _AND_ Promotions</t>
        </is>
      </c>
      <c r="F11494" s="3" t="n">
        <v>0</v>
      </c>
      <c r="G11494" s="3" t="n">
        <v>500</v>
      </c>
    </row>
    <row r="11495">
      <c r="A11495" s="3" t="inlineStr">
        <is>
          <t>Quinate Consulting (Pty) Ltd</t>
        </is>
      </c>
      <c r="B11495" s="4" t="n">
        <v>44895</v>
      </c>
      <c r="C11495" s="3" t="inlineStr">
        <is>
          <t>Expenses</t>
        </is>
      </c>
      <c r="D11495" s="3" t="inlineStr">
        <is>
          <t>3050/000</t>
        </is>
      </c>
      <c r="E11495" s="3" t="inlineStr">
        <is>
          <t>Advertising _AND_ Promotions</t>
        </is>
      </c>
      <c r="F11495" s="3" t="n">
        <v>0</v>
      </c>
      <c r="G11495" s="3" t="n">
        <v>1875.22</v>
      </c>
    </row>
    <row r="11496">
      <c r="A11496" s="3" t="inlineStr">
        <is>
          <t>Trademark Holdings (Pty) Ltd</t>
        </is>
      </c>
      <c r="B11496" s="4" t="n">
        <v>44895</v>
      </c>
      <c r="C11496" s="3" t="inlineStr">
        <is>
          <t>Expenses</t>
        </is>
      </c>
      <c r="D11496" s="3" t="inlineStr">
        <is>
          <t>3050/000</t>
        </is>
      </c>
      <c r="E11496" s="3" t="inlineStr">
        <is>
          <t>Advertising _AND_ Promotions</t>
        </is>
      </c>
      <c r="F11496" s="3" t="n">
        <v>6852.5</v>
      </c>
      <c r="G11496" s="3" t="n">
        <v>6852.5</v>
      </c>
    </row>
    <row r="11497">
      <c r="A11497" s="3" t="inlineStr">
        <is>
          <t>Endulini (Pty) Ltd</t>
        </is>
      </c>
      <c r="B11497" s="4" t="n">
        <v>44895</v>
      </c>
      <c r="C11497" s="3" t="inlineStr">
        <is>
          <t>Expenses</t>
        </is>
      </c>
      <c r="D11497" s="3" t="inlineStr">
        <is>
          <t>3050/001</t>
        </is>
      </c>
      <c r="E11497" s="3" t="inlineStr">
        <is>
          <t>Advertising _AND_ Promotions - Media Agenda</t>
        </is>
      </c>
      <c r="F11497" s="3" t="n">
        <v>1375</v>
      </c>
      <c r="G11497" s="3" t="n">
        <v>12700</v>
      </c>
    </row>
    <row r="11498">
      <c r="A11498" s="3" t="inlineStr">
        <is>
          <t>Noble Shield (Pty) Ltd ta Go Letting</t>
        </is>
      </c>
      <c r="B11498" s="4" t="n">
        <v>44895</v>
      </c>
      <c r="C11498" s="3" t="inlineStr">
        <is>
          <t>Expenses</t>
        </is>
      </c>
      <c r="D11498" s="3" t="inlineStr">
        <is>
          <t>3050/050</t>
        </is>
      </c>
      <c r="E11498" s="3" t="inlineStr">
        <is>
          <t>Advertising - Prop 24</t>
        </is>
      </c>
      <c r="F11498" s="3" t="n">
        <v>3374.1</v>
      </c>
      <c r="G11498" s="3" t="n">
        <v>8848.1</v>
      </c>
    </row>
    <row r="11499">
      <c r="A11499" s="3" t="inlineStr">
        <is>
          <t>Opportunity Global Sales (PTY) LTD</t>
        </is>
      </c>
      <c r="B11499" s="4" t="n">
        <v>44895</v>
      </c>
      <c r="C11499" s="3" t="inlineStr">
        <is>
          <t>Expenses</t>
        </is>
      </c>
      <c r="D11499" s="3" t="inlineStr">
        <is>
          <t>3050/100</t>
        </is>
      </c>
      <c r="E11499" s="3" t="inlineStr">
        <is>
          <t>Advertising - Facebook</t>
        </is>
      </c>
      <c r="F11499" s="3" t="n">
        <v>15000</v>
      </c>
      <c r="G11499" s="3" t="n">
        <v>95218.03</v>
      </c>
    </row>
    <row r="11500">
      <c r="A11500" s="3" t="inlineStr">
        <is>
          <t>Opportunity Global Sales (PTY) LTD</t>
        </is>
      </c>
      <c r="B11500" s="4" t="n">
        <v>44895</v>
      </c>
      <c r="C11500" s="3" t="inlineStr">
        <is>
          <t>Expenses</t>
        </is>
      </c>
      <c r="D11500" s="3" t="inlineStr">
        <is>
          <t>3050/140</t>
        </is>
      </c>
      <c r="E11500" s="3" t="inlineStr">
        <is>
          <t>Advertising - Media Agenda</t>
        </is>
      </c>
      <c r="F11500" s="3" t="n">
        <v>3100</v>
      </c>
      <c r="G11500" s="3" t="n">
        <v>10000</v>
      </c>
    </row>
    <row r="11501">
      <c r="A11501" s="3" t="inlineStr">
        <is>
          <t>Opportunity Global Investment (PTY) LTD</t>
        </is>
      </c>
      <c r="B11501" s="4" t="n">
        <v>44895</v>
      </c>
      <c r="C11501" s="3" t="inlineStr">
        <is>
          <t>Expenses</t>
        </is>
      </c>
      <c r="D11501" s="3" t="inlineStr">
        <is>
          <t>3050/250</t>
        </is>
      </c>
      <c r="E11501" s="3" t="inlineStr">
        <is>
          <t>Advertising - General</t>
        </is>
      </c>
      <c r="F11501" s="3" t="n">
        <v>1380</v>
      </c>
      <c r="G11501" s="3" t="n">
        <v>7091.83</v>
      </c>
    </row>
    <row r="11502">
      <c r="A11502" s="3" t="inlineStr">
        <is>
          <t>Opportunity Global Sales (PTY) LTD</t>
        </is>
      </c>
      <c r="B11502" s="4" t="n">
        <v>44895</v>
      </c>
      <c r="C11502" s="3" t="inlineStr">
        <is>
          <t>Expenses</t>
        </is>
      </c>
      <c r="D11502" s="3" t="inlineStr">
        <is>
          <t>3050/250</t>
        </is>
      </c>
      <c r="E11502" s="3" t="inlineStr">
        <is>
          <t>Advertising - General</t>
        </is>
      </c>
      <c r="F11502" s="3" t="n">
        <v>1629.89</v>
      </c>
      <c r="G11502" s="3" t="n">
        <v>46213.7</v>
      </c>
    </row>
    <row r="11503">
      <c r="A11503" s="3" t="inlineStr">
        <is>
          <t>Opportunity Global Investment (PTY) LTD</t>
        </is>
      </c>
      <c r="B11503" s="4" t="n">
        <v>44895</v>
      </c>
      <c r="C11503" s="3" t="inlineStr">
        <is>
          <t>Expenses</t>
        </is>
      </c>
      <c r="D11503" s="3" t="inlineStr">
        <is>
          <t>3050/260</t>
        </is>
      </c>
      <c r="E11503" s="3" t="inlineStr">
        <is>
          <t>Advertising - Media Agenda</t>
        </is>
      </c>
      <c r="F11503" s="3" t="n">
        <v>0</v>
      </c>
      <c r="G11503" s="3" t="n">
        <v>3575</v>
      </c>
    </row>
    <row r="11504">
      <c r="A11504" s="3" t="inlineStr">
        <is>
          <t>Opportunity Global Investment (PTY) LTD</t>
        </is>
      </c>
      <c r="B11504" s="4" t="n">
        <v>44895</v>
      </c>
      <c r="C11504" s="3" t="inlineStr">
        <is>
          <t>Expenses</t>
        </is>
      </c>
      <c r="D11504" s="3" t="inlineStr">
        <is>
          <t>3050/270</t>
        </is>
      </c>
      <c r="E11504" s="3" t="inlineStr">
        <is>
          <t>Advertising - Radia and TV Interviews</t>
        </is>
      </c>
      <c r="F11504" s="3" t="n">
        <v>68200</v>
      </c>
      <c r="G11504" s="3" t="n">
        <v>210072</v>
      </c>
    </row>
    <row r="11505">
      <c r="A11505" s="3" t="inlineStr">
        <is>
          <t>Opportunity Global Investment (PTY) LTD</t>
        </is>
      </c>
      <c r="B11505" s="4" t="n">
        <v>44895</v>
      </c>
      <c r="C11505" s="3" t="inlineStr">
        <is>
          <t>Expenses</t>
        </is>
      </c>
      <c r="D11505" s="3" t="inlineStr">
        <is>
          <t>3050/290</t>
        </is>
      </c>
      <c r="E11505" s="3" t="inlineStr">
        <is>
          <t>Advertising - Serene Living</t>
        </is>
      </c>
      <c r="F11505" s="3" t="n">
        <v>65086</v>
      </c>
      <c r="G11505" s="3" t="n">
        <v>585774</v>
      </c>
    </row>
    <row r="11506">
      <c r="A11506" s="3" t="inlineStr">
        <is>
          <t>Opportunity Global Investment (PTY) LTD</t>
        </is>
      </c>
      <c r="B11506" s="4" t="n">
        <v>44895</v>
      </c>
      <c r="C11506" s="3" t="inlineStr">
        <is>
          <t>Expenses</t>
        </is>
      </c>
      <c r="D11506" s="3" t="inlineStr">
        <is>
          <t>3050/295</t>
        </is>
      </c>
      <c r="E11506" s="3" t="inlineStr">
        <is>
          <t>Advertising - Reale Activation</t>
        </is>
      </c>
      <c r="F11506" s="3" t="n">
        <v>1704.36</v>
      </c>
      <c r="G11506" s="3" t="n">
        <v>71766.42999999999</v>
      </c>
    </row>
    <row r="11507">
      <c r="A11507" s="3" t="inlineStr">
        <is>
          <t>Opportunity Global Investment (PTY) LTD</t>
        </is>
      </c>
      <c r="B11507" s="4" t="n">
        <v>44895</v>
      </c>
      <c r="C11507" s="3" t="inlineStr">
        <is>
          <t>Expenses</t>
        </is>
      </c>
      <c r="D11507" s="3" t="inlineStr">
        <is>
          <t>3050/300</t>
        </is>
      </c>
      <c r="E11507" s="3" t="inlineStr">
        <is>
          <t>Advertising - Design</t>
        </is>
      </c>
      <c r="F11507" s="3" t="n">
        <v>10400</v>
      </c>
      <c r="G11507" s="3" t="n">
        <v>48491</v>
      </c>
    </row>
    <row r="11508">
      <c r="A11508" s="3" t="inlineStr">
        <is>
          <t>Opportunity Global Sales (PTY) LTD</t>
        </is>
      </c>
      <c r="B11508" s="4" t="n">
        <v>44895</v>
      </c>
      <c r="C11508" s="3" t="inlineStr">
        <is>
          <t>Expenses</t>
        </is>
      </c>
      <c r="D11508" s="3" t="inlineStr">
        <is>
          <t>3050/350</t>
        </is>
      </c>
      <c r="E11508" s="3" t="inlineStr">
        <is>
          <t>Advertising - Private Property</t>
        </is>
      </c>
      <c r="F11508" s="3" t="n">
        <v>0</v>
      </c>
      <c r="G11508" s="3" t="n">
        <v>8750</v>
      </c>
    </row>
    <row r="11509">
      <c r="A11509" s="3" t="inlineStr">
        <is>
          <t>Opportunity Global Sales (PTY) LTD</t>
        </is>
      </c>
      <c r="B11509" s="4" t="n">
        <v>44895</v>
      </c>
      <c r="C11509" s="3" t="inlineStr">
        <is>
          <t>Expenses</t>
        </is>
      </c>
      <c r="D11509" s="3" t="inlineStr">
        <is>
          <t>3050/370</t>
        </is>
      </c>
      <c r="E11509" s="3" t="inlineStr">
        <is>
          <t>Advertising - HR</t>
        </is>
      </c>
      <c r="F11509" s="3" t="n">
        <v>188.37</v>
      </c>
      <c r="G11509" s="3" t="n">
        <v>2467.44</v>
      </c>
    </row>
    <row r="11510">
      <c r="A11510" s="3" t="inlineStr">
        <is>
          <t>Quinate Consulting (Pty) Ltd</t>
        </is>
      </c>
      <c r="B11510" s="4" t="n">
        <v>44895</v>
      </c>
      <c r="C11510" s="3" t="inlineStr">
        <is>
          <t>Expenses</t>
        </is>
      </c>
      <c r="D11510" s="3" t="inlineStr">
        <is>
          <t>3050/400</t>
        </is>
      </c>
      <c r="E11510" s="3" t="inlineStr">
        <is>
          <t>Advertising - Prop24</t>
        </is>
      </c>
      <c r="F11510" s="3" t="n">
        <v>16000</v>
      </c>
      <c r="G11510" s="3" t="n">
        <v>132880</v>
      </c>
    </row>
    <row r="11511">
      <c r="A11511" s="3" t="inlineStr">
        <is>
          <t>Quinate Consulting (Pty) Ltd</t>
        </is>
      </c>
      <c r="B11511" s="4" t="n">
        <v>44895</v>
      </c>
      <c r="C11511" s="3" t="inlineStr">
        <is>
          <t>Expenses</t>
        </is>
      </c>
      <c r="D11511" s="3" t="inlineStr">
        <is>
          <t>3050/450</t>
        </is>
      </c>
      <c r="E11511" s="3" t="inlineStr">
        <is>
          <t>Advertising - Facebook</t>
        </is>
      </c>
      <c r="F11511" s="3" t="n">
        <v>9315.34</v>
      </c>
      <c r="G11511" s="3" t="n">
        <v>85628.24000000001</v>
      </c>
    </row>
    <row r="11512">
      <c r="A11512" s="3" t="inlineStr">
        <is>
          <t>Opportunity Global Investment (PTY) LTD</t>
        </is>
      </c>
      <c r="B11512" s="4" t="n">
        <v>44895</v>
      </c>
      <c r="C11512" s="3" t="inlineStr">
        <is>
          <t>Expenses</t>
        </is>
      </c>
      <c r="D11512" s="3" t="inlineStr">
        <is>
          <t>3051/000</t>
        </is>
      </c>
      <c r="E11512" s="3" t="inlineStr">
        <is>
          <t>Advertising - Facebook</t>
        </is>
      </c>
      <c r="F11512" s="3" t="n">
        <v>25247.74</v>
      </c>
      <c r="G11512" s="3" t="n">
        <v>177304.91</v>
      </c>
    </row>
    <row r="11513">
      <c r="A11513" s="3" t="inlineStr">
        <is>
          <t>Opportunity Global Investment (PTY) LTD</t>
        </is>
      </c>
      <c r="B11513" s="4" t="n">
        <v>44895</v>
      </c>
      <c r="C11513" s="3" t="inlineStr">
        <is>
          <t>Expenses</t>
        </is>
      </c>
      <c r="D11513" s="3" t="inlineStr">
        <is>
          <t>3053/000</t>
        </is>
      </c>
      <c r="E11513" s="3" t="inlineStr">
        <is>
          <t>Advertising - Google Ads</t>
        </is>
      </c>
      <c r="F11513" s="3" t="n">
        <v>0</v>
      </c>
      <c r="G11513" s="3" t="n">
        <v>6207.42</v>
      </c>
    </row>
    <row r="11514">
      <c r="A11514" s="3" t="inlineStr">
        <is>
          <t>Endulini (Pty) Ltd</t>
        </is>
      </c>
      <c r="B11514" s="4" t="n">
        <v>44895</v>
      </c>
      <c r="C11514" s="3" t="inlineStr">
        <is>
          <t>Expenses</t>
        </is>
      </c>
      <c r="D11514" s="3" t="inlineStr">
        <is>
          <t>3200/000</t>
        </is>
      </c>
      <c r="E11514" s="3" t="inlineStr">
        <is>
          <t>Bank Charges</t>
        </is>
      </c>
      <c r="F11514" s="3" t="n">
        <v>276.1</v>
      </c>
      <c r="G11514" s="3" t="n">
        <v>4956.26</v>
      </c>
    </row>
    <row r="11515">
      <c r="A11515" s="3" t="inlineStr">
        <is>
          <t>Noble Shield (Pty) Ltd ta Go Letting</t>
        </is>
      </c>
      <c r="B11515" s="4" t="n">
        <v>44895</v>
      </c>
      <c r="C11515" s="3" t="inlineStr">
        <is>
          <t>Expenses</t>
        </is>
      </c>
      <c r="D11515" s="3" t="inlineStr">
        <is>
          <t>3200/000</t>
        </is>
      </c>
      <c r="E11515" s="3" t="inlineStr">
        <is>
          <t>Bank Charges</t>
        </is>
      </c>
      <c r="F11515" s="3" t="n">
        <v>622.88</v>
      </c>
      <c r="G11515" s="3" t="n">
        <v>2838.85</v>
      </c>
    </row>
    <row r="11516">
      <c r="A11516" s="3" t="inlineStr">
        <is>
          <t>Opportunity Global Investment (PTY) LTD</t>
        </is>
      </c>
      <c r="B11516" s="4" t="n">
        <v>44895</v>
      </c>
      <c r="C11516" s="3" t="inlineStr">
        <is>
          <t>Expenses</t>
        </is>
      </c>
      <c r="D11516" s="3" t="inlineStr">
        <is>
          <t>3200/000</t>
        </is>
      </c>
      <c r="E11516" s="3" t="inlineStr">
        <is>
          <t>Bank Charges</t>
        </is>
      </c>
      <c r="F11516" s="3" t="n">
        <v>438.02</v>
      </c>
      <c r="G11516" s="3" t="n">
        <v>14780.4</v>
      </c>
    </row>
    <row r="11517">
      <c r="A11517" s="3" t="inlineStr">
        <is>
          <t>Opportunity Global Sales (PTY) LTD</t>
        </is>
      </c>
      <c r="B11517" s="4" t="n">
        <v>44895</v>
      </c>
      <c r="C11517" s="3" t="inlineStr">
        <is>
          <t>Expenses</t>
        </is>
      </c>
      <c r="D11517" s="3" t="inlineStr">
        <is>
          <t>3200/000</t>
        </is>
      </c>
      <c r="E11517" s="3" t="inlineStr">
        <is>
          <t>Bank Charges</t>
        </is>
      </c>
      <c r="F11517" s="3" t="n">
        <v>525.87</v>
      </c>
      <c r="G11517" s="3" t="n">
        <v>8180.85</v>
      </c>
    </row>
    <row r="11518">
      <c r="A11518" s="3" t="inlineStr">
        <is>
          <t>Opportunity Management Holdings (PTY) LTD</t>
        </is>
      </c>
      <c r="B11518" s="4" t="n">
        <v>44895</v>
      </c>
      <c r="C11518" s="3" t="inlineStr">
        <is>
          <t>Expenses</t>
        </is>
      </c>
      <c r="D11518" s="3" t="inlineStr">
        <is>
          <t>3200/000</t>
        </is>
      </c>
      <c r="E11518" s="3" t="inlineStr">
        <is>
          <t>Bank Charges</t>
        </is>
      </c>
      <c r="F11518" s="3" t="n">
        <v>383.79</v>
      </c>
      <c r="G11518" s="3" t="n">
        <v>2755.27</v>
      </c>
    </row>
    <row r="11519">
      <c r="A11519" s="3" t="inlineStr">
        <is>
          <t>Quinate Consulting (Pty) Ltd</t>
        </is>
      </c>
      <c r="B11519" s="4" t="n">
        <v>44895</v>
      </c>
      <c r="C11519" s="3" t="inlineStr">
        <is>
          <t>Expenses</t>
        </is>
      </c>
      <c r="D11519" s="3" t="inlineStr">
        <is>
          <t>3200/000</t>
        </is>
      </c>
      <c r="E11519" s="3" t="inlineStr">
        <is>
          <t>Bank Charges</t>
        </is>
      </c>
      <c r="F11519" s="3" t="n">
        <v>569.72</v>
      </c>
      <c r="G11519" s="3" t="n">
        <v>13861.99</v>
      </c>
    </row>
    <row r="11520">
      <c r="A11520" s="3" t="inlineStr">
        <is>
          <t>Trademark Holdings (Pty) Ltd</t>
        </is>
      </c>
      <c r="B11520" s="4" t="n">
        <v>44895</v>
      </c>
      <c r="C11520" s="3" t="inlineStr">
        <is>
          <t>Expenses</t>
        </is>
      </c>
      <c r="D11520" s="3" t="inlineStr">
        <is>
          <t>3200/000</t>
        </is>
      </c>
      <c r="E11520" s="3" t="inlineStr">
        <is>
          <t>Bank Charges</t>
        </is>
      </c>
      <c r="F11520" s="3" t="n">
        <v>362</v>
      </c>
      <c r="G11520" s="3" t="n">
        <v>1508.58</v>
      </c>
    </row>
    <row r="11521">
      <c r="A11521" s="3" t="inlineStr">
        <is>
          <t>Quinate Consulting (Pty) Ltd</t>
        </is>
      </c>
      <c r="B11521" s="4" t="n">
        <v>44895</v>
      </c>
      <c r="C11521" s="3" t="inlineStr">
        <is>
          <t>Expenses</t>
        </is>
      </c>
      <c r="D11521" s="3" t="inlineStr">
        <is>
          <t>3220/000</t>
        </is>
      </c>
      <c r="E11521" s="3" t="inlineStr">
        <is>
          <t>Bank Charges - Bond Fees</t>
        </is>
      </c>
      <c r="F11521" s="3" t="n">
        <v>1043.5</v>
      </c>
      <c r="G11521" s="3" t="n">
        <v>9982.780000000001</v>
      </c>
    </row>
    <row r="11522">
      <c r="A11522" s="3" t="inlineStr">
        <is>
          <t>Noble Shield (Pty) Ltd ta Go Letting</t>
        </is>
      </c>
      <c r="B11522" s="4" t="n">
        <v>44895</v>
      </c>
      <c r="C11522" s="3" t="inlineStr">
        <is>
          <t>Expenses</t>
        </is>
      </c>
      <c r="D11522" s="3" t="inlineStr">
        <is>
          <t>3230/000</t>
        </is>
      </c>
      <c r="E11522" s="3" t="inlineStr">
        <is>
          <t>Cell Phone - NM</t>
        </is>
      </c>
      <c r="F11522" s="3" t="n">
        <v>2270.24</v>
      </c>
      <c r="G11522" s="3" t="n">
        <v>6909.91</v>
      </c>
    </row>
    <row r="11523">
      <c r="A11523" s="3" t="inlineStr">
        <is>
          <t>Noble Shield (Pty) Ltd ta Go Letting</t>
        </is>
      </c>
      <c r="B11523" s="4" t="n">
        <v>44895</v>
      </c>
      <c r="C11523" s="3" t="inlineStr">
        <is>
          <t>Expenses</t>
        </is>
      </c>
      <c r="D11523" s="3" t="inlineStr">
        <is>
          <t>3233/000</t>
        </is>
      </c>
      <c r="E11523" s="3" t="inlineStr">
        <is>
          <t>Cell Data - Other</t>
        </is>
      </c>
      <c r="F11523" s="3" t="n">
        <v>199</v>
      </c>
      <c r="G11523" s="3" t="n">
        <v>597</v>
      </c>
    </row>
    <row r="11524">
      <c r="A11524" s="3" t="inlineStr">
        <is>
          <t>Noble Shield (Pty) Ltd ta Go Letting</t>
        </is>
      </c>
      <c r="B11524" s="4" t="n">
        <v>44895</v>
      </c>
      <c r="C11524" s="3" t="inlineStr">
        <is>
          <t>Expenses</t>
        </is>
      </c>
      <c r="D11524" s="3" t="inlineStr">
        <is>
          <t>3233/100</t>
        </is>
      </c>
      <c r="E11524" s="3" t="inlineStr">
        <is>
          <t>Cell Data - Sales office Wifi</t>
        </is>
      </c>
      <c r="F11524" s="3" t="n">
        <v>369</v>
      </c>
      <c r="G11524" s="3" t="n">
        <v>1107</v>
      </c>
    </row>
    <row r="11525">
      <c r="A11525" s="3" t="inlineStr">
        <is>
          <t>Noble Shield (Pty) Ltd ta Go Letting</t>
        </is>
      </c>
      <c r="B11525" s="4" t="n">
        <v>44895</v>
      </c>
      <c r="C11525" s="3" t="inlineStr">
        <is>
          <t>Expenses</t>
        </is>
      </c>
      <c r="D11525" s="3" t="inlineStr">
        <is>
          <t>3250/000</t>
        </is>
      </c>
      <c r="E11525" s="3" t="inlineStr">
        <is>
          <t>Cleaning</t>
        </is>
      </c>
      <c r="F11525" s="3" t="n">
        <v>0</v>
      </c>
      <c r="G11525" s="3" t="n">
        <v>289.4</v>
      </c>
    </row>
    <row r="11526">
      <c r="A11526" s="3" t="inlineStr">
        <is>
          <t>Opportunity Global Investment (PTY) LTD</t>
        </is>
      </c>
      <c r="B11526" s="4" t="n">
        <v>44895</v>
      </c>
      <c r="C11526" s="3" t="inlineStr">
        <is>
          <t>Expenses</t>
        </is>
      </c>
      <c r="D11526" s="3" t="inlineStr">
        <is>
          <t>3250/000</t>
        </is>
      </c>
      <c r="E11526" s="3" t="inlineStr">
        <is>
          <t>Cleaning</t>
        </is>
      </c>
      <c r="F11526" s="3" t="n">
        <v>2700</v>
      </c>
      <c r="G11526" s="3" t="n">
        <v>24300</v>
      </c>
    </row>
    <row r="11527">
      <c r="A11527" s="3" t="inlineStr">
        <is>
          <t>Opportunity Management Holdings (PTY) LTD</t>
        </is>
      </c>
      <c r="B11527" s="4" t="n">
        <v>44895</v>
      </c>
      <c r="C11527" s="3" t="inlineStr">
        <is>
          <t>Expenses</t>
        </is>
      </c>
      <c r="D11527" s="3" t="inlineStr">
        <is>
          <t>3250/000</t>
        </is>
      </c>
      <c r="E11527" s="3" t="inlineStr">
        <is>
          <t>Cleaning</t>
        </is>
      </c>
      <c r="F11527" s="3" t="n">
        <v>2221.65</v>
      </c>
      <c r="G11527" s="3" t="n">
        <v>4818.15</v>
      </c>
    </row>
    <row r="11528">
      <c r="A11528" s="3" t="inlineStr">
        <is>
          <t>Trademark Holdings (Pty) Ltd</t>
        </is>
      </c>
      <c r="B11528" s="4" t="n">
        <v>44895</v>
      </c>
      <c r="C11528" s="3" t="inlineStr">
        <is>
          <t>Expenses</t>
        </is>
      </c>
      <c r="D11528" s="3" t="inlineStr">
        <is>
          <t>3250/000</t>
        </is>
      </c>
      <c r="E11528" s="3" t="inlineStr">
        <is>
          <t>Cleaning</t>
        </is>
      </c>
      <c r="F11528" s="3" t="n">
        <v>1040</v>
      </c>
      <c r="G11528" s="3" t="n">
        <v>3120</v>
      </c>
    </row>
    <row r="11529">
      <c r="A11529" s="3" t="inlineStr">
        <is>
          <t>Opportunity Global Investment (PTY) LTD</t>
        </is>
      </c>
      <c r="B11529" s="4" t="n">
        <v>44895</v>
      </c>
      <c r="C11529" s="3" t="inlineStr">
        <is>
          <t>Expenses</t>
        </is>
      </c>
      <c r="D11529" s="3" t="inlineStr">
        <is>
          <t>3300/000</t>
        </is>
      </c>
      <c r="E11529" s="3" t="inlineStr">
        <is>
          <t>Computer Expenses</t>
        </is>
      </c>
      <c r="F11529" s="3" t="n">
        <v>0</v>
      </c>
      <c r="G11529" s="3" t="n">
        <v>-0.01</v>
      </c>
    </row>
    <row r="11530">
      <c r="A11530" s="3" t="inlineStr">
        <is>
          <t>Opportunity Global Sales (PTY) LTD</t>
        </is>
      </c>
      <c r="B11530" s="4" t="n">
        <v>44895</v>
      </c>
      <c r="C11530" s="3" t="inlineStr">
        <is>
          <t>Expenses</t>
        </is>
      </c>
      <c r="D11530" s="3" t="inlineStr">
        <is>
          <t>3300/000</t>
        </is>
      </c>
      <c r="E11530" s="3" t="inlineStr">
        <is>
          <t>Computer Expenses</t>
        </is>
      </c>
      <c r="F11530" s="3" t="n">
        <v>0</v>
      </c>
      <c r="G11530" s="3" t="n">
        <v>2075</v>
      </c>
    </row>
    <row r="11531">
      <c r="A11531" s="3" t="inlineStr">
        <is>
          <t>Opportunity Management Holdings (PTY) LTD</t>
        </is>
      </c>
      <c r="B11531" s="4" t="n">
        <v>44895</v>
      </c>
      <c r="C11531" s="3" t="inlineStr">
        <is>
          <t>Expenses</t>
        </is>
      </c>
      <c r="D11531" s="3" t="inlineStr">
        <is>
          <t>3300/000</t>
        </is>
      </c>
      <c r="E11531" s="3" t="inlineStr">
        <is>
          <t>Computer Expenses</t>
        </is>
      </c>
      <c r="F11531" s="3" t="n">
        <v>0</v>
      </c>
      <c r="G11531" s="3" t="n">
        <v>2318.91</v>
      </c>
    </row>
    <row r="11532">
      <c r="A11532" s="3" t="inlineStr">
        <is>
          <t>Quinate Consulting (Pty) Ltd</t>
        </is>
      </c>
      <c r="B11532" s="4" t="n">
        <v>44895</v>
      </c>
      <c r="C11532" s="3" t="inlineStr">
        <is>
          <t>Expenses</t>
        </is>
      </c>
      <c r="D11532" s="3" t="inlineStr">
        <is>
          <t>3300/000</t>
        </is>
      </c>
      <c r="E11532" s="3" t="inlineStr">
        <is>
          <t>Computer Expenses</t>
        </is>
      </c>
      <c r="F11532" s="3" t="n">
        <v>0</v>
      </c>
      <c r="G11532" s="3" t="n">
        <v>509.04</v>
      </c>
    </row>
    <row r="11533">
      <c r="A11533" s="3" t="inlineStr">
        <is>
          <t>Noble Shield (Pty) Ltd ta Go Letting</t>
        </is>
      </c>
      <c r="B11533" s="4" t="n">
        <v>44895</v>
      </c>
      <c r="C11533" s="3" t="inlineStr">
        <is>
          <t>Expenses</t>
        </is>
      </c>
      <c r="D11533" s="3" t="inlineStr">
        <is>
          <t>3300/120</t>
        </is>
      </c>
      <c r="E11533" s="3" t="inlineStr">
        <is>
          <t>Computer IT - Software Propworx</t>
        </is>
      </c>
      <c r="F11533" s="3" t="n">
        <v>2167.75</v>
      </c>
      <c r="G11533" s="3" t="n">
        <v>6422.75</v>
      </c>
    </row>
    <row r="11534">
      <c r="A11534" s="3" t="inlineStr">
        <is>
          <t>Trademark Holdings (Pty) Ltd</t>
        </is>
      </c>
      <c r="B11534" s="4" t="n">
        <v>44895</v>
      </c>
      <c r="C11534" s="3" t="inlineStr">
        <is>
          <t>Expenses</t>
        </is>
      </c>
      <c r="D11534" s="3" t="inlineStr">
        <is>
          <t>3300/130</t>
        </is>
      </c>
      <c r="E11534" s="3" t="inlineStr">
        <is>
          <t>Computer IT - Internet/Hosting Fees</t>
        </is>
      </c>
      <c r="F11534" s="3" t="n">
        <v>0</v>
      </c>
      <c r="G11534" s="3" t="n">
        <v>-3599.5</v>
      </c>
    </row>
    <row r="11535">
      <c r="A11535" s="3" t="inlineStr">
        <is>
          <t>Opportunity Management Holdings (PTY) LTD</t>
        </is>
      </c>
      <c r="B11535" s="4" t="n">
        <v>44895</v>
      </c>
      <c r="C11535" s="3" t="inlineStr">
        <is>
          <t>Expenses</t>
        </is>
      </c>
      <c r="D11535" s="3" t="inlineStr">
        <is>
          <t>3300/140</t>
        </is>
      </c>
      <c r="E11535" s="3" t="inlineStr">
        <is>
          <t>Computer IT</t>
        </is>
      </c>
      <c r="F11535" s="3" t="n">
        <v>0</v>
      </c>
      <c r="G11535" s="3" t="n">
        <v>15072.9</v>
      </c>
    </row>
    <row r="11536">
      <c r="A11536" s="3" t="inlineStr">
        <is>
          <t>Trademark Holdings (Pty) Ltd</t>
        </is>
      </c>
      <c r="B11536" s="4" t="n">
        <v>44895</v>
      </c>
      <c r="C11536" s="3" t="inlineStr">
        <is>
          <t>Expenses</t>
        </is>
      </c>
      <c r="D11536" s="3" t="inlineStr">
        <is>
          <t>3300/145</t>
        </is>
      </c>
      <c r="E11536" s="3" t="inlineStr">
        <is>
          <t>Computer IT - Cloud Solve</t>
        </is>
      </c>
      <c r="F11536" s="3" t="n">
        <v>0</v>
      </c>
      <c r="G11536" s="3" t="n">
        <v>6313.5</v>
      </c>
    </row>
    <row r="11537">
      <c r="A11537" s="3" t="inlineStr">
        <is>
          <t>Noble Shield (Pty) Ltd ta Go Letting</t>
        </is>
      </c>
      <c r="B11537" s="4" t="n">
        <v>44895</v>
      </c>
      <c r="C11537" s="3" t="inlineStr">
        <is>
          <t>Expenses</t>
        </is>
      </c>
      <c r="D11537" s="3" t="inlineStr">
        <is>
          <t>3300/170</t>
        </is>
      </c>
      <c r="E11537" s="3" t="inlineStr">
        <is>
          <t>Computer IT - VDB office Fibre</t>
        </is>
      </c>
      <c r="F11537" s="3" t="n">
        <v>790</v>
      </c>
      <c r="G11537" s="3" t="n">
        <v>2370</v>
      </c>
    </row>
    <row r="11538">
      <c r="A11538" s="3" t="inlineStr">
        <is>
          <t>Trademark Holdings (Pty) Ltd</t>
        </is>
      </c>
      <c r="B11538" s="4" t="n">
        <v>44895</v>
      </c>
      <c r="C11538" s="3" t="inlineStr">
        <is>
          <t>Expenses</t>
        </is>
      </c>
      <c r="D11538" s="3" t="inlineStr">
        <is>
          <t>3350/000</t>
        </is>
      </c>
      <c r="E11538" s="3" t="inlineStr">
        <is>
          <t>Consulting Fees</t>
        </is>
      </c>
      <c r="F11538" s="3" t="n">
        <v>29400</v>
      </c>
      <c r="G11538" s="3" t="n">
        <v>88200</v>
      </c>
    </row>
    <row r="11539">
      <c r="A11539" s="3" t="inlineStr">
        <is>
          <t>Opportunity Management Holdings (PTY) LTD</t>
        </is>
      </c>
      <c r="B11539" s="4" t="n">
        <v>44895</v>
      </c>
      <c r="C11539" s="3" t="inlineStr">
        <is>
          <t>Expenses</t>
        </is>
      </c>
      <c r="D11539" s="3" t="inlineStr">
        <is>
          <t>3350/100</t>
        </is>
      </c>
      <c r="E11539" s="3" t="inlineStr">
        <is>
          <t>Consulting Fee - Dirk Coetzee</t>
        </is>
      </c>
      <c r="F11539" s="3" t="n">
        <v>6000</v>
      </c>
      <c r="G11539" s="3" t="n">
        <v>18000</v>
      </c>
    </row>
    <row r="11540">
      <c r="A11540" s="3" t="inlineStr">
        <is>
          <t>Quinate Consulting (Pty) Ltd</t>
        </is>
      </c>
      <c r="B11540" s="4" t="n">
        <v>44895</v>
      </c>
      <c r="C11540" s="3" t="inlineStr">
        <is>
          <t>Expenses</t>
        </is>
      </c>
      <c r="D11540" s="3" t="inlineStr">
        <is>
          <t>3350/100</t>
        </is>
      </c>
      <c r="E11540" s="3" t="inlineStr">
        <is>
          <t>Consulting Fees</t>
        </is>
      </c>
      <c r="F11540" s="3" t="n">
        <v>0</v>
      </c>
      <c r="G11540" s="3" t="n">
        <v>-15000</v>
      </c>
    </row>
    <row r="11541">
      <c r="A11541" s="3" t="inlineStr">
        <is>
          <t>Endulini (Pty) Ltd</t>
        </is>
      </c>
      <c r="B11541" s="4" t="n">
        <v>44895</v>
      </c>
      <c r="C11541" s="3" t="inlineStr">
        <is>
          <t>Expenses</t>
        </is>
      </c>
      <c r="D11541" s="3" t="inlineStr">
        <is>
          <t>3350/100</t>
        </is>
      </c>
      <c r="E11541" s="3" t="inlineStr">
        <is>
          <t>Consulting Fees - Admin and Finance</t>
        </is>
      </c>
      <c r="F11541" s="3" t="n">
        <v>81000</v>
      </c>
      <c r="G11541" s="3" t="n">
        <v>751540.6800000001</v>
      </c>
    </row>
    <row r="11542">
      <c r="A11542" s="3" t="inlineStr">
        <is>
          <t>Opportunity Global Investment (PTY) LTD</t>
        </is>
      </c>
      <c r="B11542" s="4" t="n">
        <v>44895</v>
      </c>
      <c r="C11542" s="3" t="inlineStr">
        <is>
          <t>Expenses</t>
        </is>
      </c>
      <c r="D11542" s="3" t="inlineStr">
        <is>
          <t>3350/100</t>
        </is>
      </c>
      <c r="E11542" s="3" t="inlineStr">
        <is>
          <t>Consulting Fees - Admin and Finance</t>
        </is>
      </c>
      <c r="F11542" s="3" t="n">
        <v>14150</v>
      </c>
      <c r="G11542" s="3" t="n">
        <v>71975</v>
      </c>
    </row>
    <row r="11543">
      <c r="A11543" s="3" t="inlineStr">
        <is>
          <t>Opportunity Global Sales (PTY) LTD</t>
        </is>
      </c>
      <c r="B11543" s="4" t="n">
        <v>44895</v>
      </c>
      <c r="C11543" s="3" t="inlineStr">
        <is>
          <t>Expenses</t>
        </is>
      </c>
      <c r="D11543" s="3" t="inlineStr">
        <is>
          <t>3350/100</t>
        </is>
      </c>
      <c r="E11543" s="3" t="inlineStr">
        <is>
          <t>Consulting Fees - Admin and Finance</t>
        </is>
      </c>
      <c r="F11543" s="3" t="n">
        <v>15550</v>
      </c>
      <c r="G11543" s="3" t="n">
        <v>83960</v>
      </c>
    </row>
    <row r="11544">
      <c r="A11544" s="3" t="inlineStr">
        <is>
          <t>Opportunity Global Sales (PTY) LTD</t>
        </is>
      </c>
      <c r="B11544" s="4" t="n">
        <v>44895</v>
      </c>
      <c r="C11544" s="3" t="inlineStr">
        <is>
          <t>Expenses</t>
        </is>
      </c>
      <c r="D11544" s="3" t="inlineStr">
        <is>
          <t>3350/200</t>
        </is>
      </c>
      <c r="E11544" s="3" t="inlineStr">
        <is>
          <t>Consulting Fees - Agent Karien Muller</t>
        </is>
      </c>
      <c r="F11544" s="3" t="n">
        <v>10000</v>
      </c>
      <c r="G11544" s="3" t="n">
        <v>40000</v>
      </c>
    </row>
    <row r="11545">
      <c r="A11545" s="3" t="inlineStr">
        <is>
          <t>Opportunity Global Investment (PTY) LTD</t>
        </is>
      </c>
      <c r="B11545" s="4" t="n">
        <v>44895</v>
      </c>
      <c r="C11545" s="3" t="inlineStr">
        <is>
          <t>Expenses</t>
        </is>
      </c>
      <c r="D11545" s="3" t="inlineStr">
        <is>
          <t>3350/200</t>
        </is>
      </c>
      <c r="E11545" s="3" t="inlineStr">
        <is>
          <t>Consulting Fees - Rockfin</t>
        </is>
      </c>
      <c r="F11545" s="3" t="n">
        <v>10000</v>
      </c>
      <c r="G11545" s="3" t="n">
        <v>72700</v>
      </c>
    </row>
    <row r="11546">
      <c r="A11546" s="3" t="inlineStr">
        <is>
          <t>Quinate Consulting (Pty) Ltd</t>
        </is>
      </c>
      <c r="B11546" s="4" t="n">
        <v>44895</v>
      </c>
      <c r="C11546" s="3" t="inlineStr">
        <is>
          <t>Expenses</t>
        </is>
      </c>
      <c r="D11546" s="3" t="inlineStr">
        <is>
          <t>3350/300</t>
        </is>
      </c>
      <c r="E11546" s="3" t="inlineStr">
        <is>
          <t>Consulting Fees - Admin and Finance</t>
        </is>
      </c>
      <c r="F11546" s="3" t="n">
        <v>2000</v>
      </c>
      <c r="G11546" s="3" t="n">
        <v>19700</v>
      </c>
    </row>
    <row r="11547">
      <c r="A11547" s="3" t="inlineStr">
        <is>
          <t>Opportunity Global Investment (PTY) LTD</t>
        </is>
      </c>
      <c r="B11547" s="4" t="n">
        <v>44895</v>
      </c>
      <c r="C11547" s="3" t="inlineStr">
        <is>
          <t>Expenses</t>
        </is>
      </c>
      <c r="D11547" s="3" t="inlineStr">
        <is>
          <t>3351/000</t>
        </is>
      </c>
      <c r="E11547" s="3" t="inlineStr">
        <is>
          <t>Consulting Fees - HR Joblaw</t>
        </is>
      </c>
      <c r="F11547" s="3" t="n">
        <v>1455.3</v>
      </c>
      <c r="G11547" s="3" t="n">
        <v>12676.5</v>
      </c>
    </row>
    <row r="11548">
      <c r="A11548" s="3" t="inlineStr">
        <is>
          <t>Quinate Consulting (Pty) Ltd</t>
        </is>
      </c>
      <c r="B11548" s="4" t="n">
        <v>44895</v>
      </c>
      <c r="C11548" s="3" t="inlineStr">
        <is>
          <t>Expenses</t>
        </is>
      </c>
      <c r="D11548" s="3" t="inlineStr">
        <is>
          <t>3351/000</t>
        </is>
      </c>
      <c r="E11548" s="3" t="inlineStr">
        <is>
          <t>Consulting fees - Trustees</t>
        </is>
      </c>
      <c r="F11548" s="3" t="n">
        <v>12600</v>
      </c>
      <c r="G11548" s="3" t="n">
        <v>86400</v>
      </c>
    </row>
    <row r="11549">
      <c r="A11549" s="3" t="inlineStr">
        <is>
          <t>Opportunity Global Investment (PTY) LTD</t>
        </is>
      </c>
      <c r="B11549" s="4" t="n">
        <v>44895</v>
      </c>
      <c r="C11549" s="3" t="inlineStr">
        <is>
          <t>Expenses</t>
        </is>
      </c>
      <c r="D11549" s="3" t="inlineStr">
        <is>
          <t>3352/000</t>
        </is>
      </c>
      <c r="E11549" s="3" t="inlineStr">
        <is>
          <t>Consulting Fees - Kert Scalzini</t>
        </is>
      </c>
      <c r="F11549" s="3" t="n">
        <v>0</v>
      </c>
      <c r="G11549" s="3" t="n">
        <v>20000</v>
      </c>
    </row>
    <row r="11550">
      <c r="A11550" s="3" t="inlineStr">
        <is>
          <t>Opportunity Global Investment (PTY) LTD</t>
        </is>
      </c>
      <c r="B11550" s="4" t="n">
        <v>44895</v>
      </c>
      <c r="C11550" s="3" t="inlineStr">
        <is>
          <t>Expenses</t>
        </is>
      </c>
      <c r="D11550" s="3" t="inlineStr">
        <is>
          <t>3353/000</t>
        </is>
      </c>
      <c r="E11550" s="3" t="inlineStr">
        <is>
          <t>Consulting Fees - Yolanda Steyn</t>
        </is>
      </c>
      <c r="F11550" s="3" t="n">
        <v>0</v>
      </c>
      <c r="G11550" s="3" t="n">
        <v>2000</v>
      </c>
    </row>
    <row r="11551">
      <c r="A11551" s="3" t="inlineStr">
        <is>
          <t>Quinate Consulting (Pty) Ltd</t>
        </is>
      </c>
      <c r="B11551" s="4" t="n">
        <v>44895</v>
      </c>
      <c r="C11551" s="3" t="inlineStr">
        <is>
          <t>Expenses</t>
        </is>
      </c>
      <c r="D11551" s="3" t="inlineStr">
        <is>
          <t>3450/001</t>
        </is>
      </c>
      <c r="E11551" s="3" t="inlineStr">
        <is>
          <t>Depreciation - Computer Equipment</t>
        </is>
      </c>
      <c r="F11551" s="3" t="n">
        <v>3141.38</v>
      </c>
      <c r="G11551" s="3" t="n">
        <v>28272.43</v>
      </c>
    </row>
    <row r="11552">
      <c r="A11552" s="3" t="inlineStr">
        <is>
          <t>Quinate Consulting (Pty) Ltd</t>
        </is>
      </c>
      <c r="B11552" s="4" t="n">
        <v>44895</v>
      </c>
      <c r="C11552" s="3" t="inlineStr">
        <is>
          <t>Expenses</t>
        </is>
      </c>
      <c r="D11552" s="3" t="inlineStr">
        <is>
          <t>3450/002</t>
        </is>
      </c>
      <c r="E11552" s="3" t="inlineStr">
        <is>
          <t>Depreciation - Site Containers</t>
        </is>
      </c>
      <c r="F11552" s="3" t="n">
        <v>318.84</v>
      </c>
      <c r="G11552" s="3" t="n">
        <v>2869.56</v>
      </c>
    </row>
    <row r="11553">
      <c r="A11553" s="3" t="inlineStr">
        <is>
          <t>Opportunity Global Sales (PTY) LTD</t>
        </is>
      </c>
      <c r="B11553" s="4" t="n">
        <v>44895</v>
      </c>
      <c r="C11553" s="3" t="inlineStr">
        <is>
          <t>Expenses</t>
        </is>
      </c>
      <c r="D11553" s="3" t="inlineStr">
        <is>
          <t>3450/030</t>
        </is>
      </c>
      <c r="E11553" s="3" t="inlineStr">
        <is>
          <t>Depreciation - Furniture and Fittings</t>
        </is>
      </c>
      <c r="F11553" s="3" t="n">
        <v>408.05</v>
      </c>
      <c r="G11553" s="3" t="n">
        <v>2040.26</v>
      </c>
    </row>
    <row r="11554">
      <c r="A11554" s="3" t="inlineStr">
        <is>
          <t>Opportunity Management Holdings (PTY) LTD</t>
        </is>
      </c>
      <c r="B11554" s="4" t="n">
        <v>44895</v>
      </c>
      <c r="C11554" s="3" t="inlineStr">
        <is>
          <t>Expenses</t>
        </is>
      </c>
      <c r="D11554" s="3" t="inlineStr">
        <is>
          <t>3451/000</t>
        </is>
      </c>
      <c r="E11554" s="3" t="inlineStr">
        <is>
          <t>Depreciation - Computer Equipment</t>
        </is>
      </c>
      <c r="F11554" s="3" t="n">
        <v>668.51</v>
      </c>
      <c r="G11554" s="3" t="n">
        <v>2005.54</v>
      </c>
    </row>
    <row r="11555">
      <c r="A11555" s="3" t="inlineStr">
        <is>
          <t>Quinate Consulting (Pty) Ltd</t>
        </is>
      </c>
      <c r="B11555" s="4" t="n">
        <v>44895</v>
      </c>
      <c r="C11555" s="3" t="inlineStr">
        <is>
          <t>Expenses</t>
        </is>
      </c>
      <c r="D11555" s="3" t="inlineStr">
        <is>
          <t>3600/000</t>
        </is>
      </c>
      <c r="E11555" s="3" t="inlineStr">
        <is>
          <t>Donations</t>
        </is>
      </c>
      <c r="F11555" s="3" t="n">
        <v>535</v>
      </c>
      <c r="G11555" s="3" t="n">
        <v>4815</v>
      </c>
    </row>
    <row r="11556">
      <c r="A11556" s="3" t="inlineStr">
        <is>
          <t>Endulini (Pty) Ltd</t>
        </is>
      </c>
      <c r="B11556" s="4" t="n">
        <v>44895</v>
      </c>
      <c r="C11556" s="3" t="inlineStr">
        <is>
          <t>Expenses</t>
        </is>
      </c>
      <c r="D11556" s="3" t="inlineStr">
        <is>
          <t>3630/000</t>
        </is>
      </c>
      <c r="E11556" s="3" t="inlineStr">
        <is>
          <t>Electricity</t>
        </is>
      </c>
      <c r="F11556" s="3" t="n">
        <v>0</v>
      </c>
      <c r="G11556" s="3" t="n">
        <v>6713.99</v>
      </c>
    </row>
    <row r="11557">
      <c r="A11557" s="3" t="inlineStr">
        <is>
          <t>Noble Shield (Pty) Ltd ta Go Letting</t>
        </is>
      </c>
      <c r="B11557" s="4" t="n">
        <v>44895</v>
      </c>
      <c r="C11557" s="3" t="inlineStr">
        <is>
          <t>Expenses</t>
        </is>
      </c>
      <c r="D11557" s="3" t="inlineStr">
        <is>
          <t>3650/000</t>
        </is>
      </c>
      <c r="E11557" s="3" t="inlineStr">
        <is>
          <t>Electricity _AND_ Water</t>
        </is>
      </c>
      <c r="F11557" s="3" t="n">
        <v>500</v>
      </c>
      <c r="G11557" s="3" t="n">
        <v>1500</v>
      </c>
    </row>
    <row r="11558">
      <c r="A11558" s="3" t="inlineStr">
        <is>
          <t>Opportunity Global Investment (PTY) LTD</t>
        </is>
      </c>
      <c r="B11558" s="4" t="n">
        <v>44895</v>
      </c>
      <c r="C11558" s="3" t="inlineStr">
        <is>
          <t>Expenses</t>
        </is>
      </c>
      <c r="D11558" s="3" t="inlineStr">
        <is>
          <t>3650/000</t>
        </is>
      </c>
      <c r="E11558" s="3" t="inlineStr">
        <is>
          <t>Electricity _AND_ Water</t>
        </is>
      </c>
      <c r="F11558" s="3" t="n">
        <v>2950</v>
      </c>
      <c r="G11558" s="3" t="n">
        <v>26550</v>
      </c>
    </row>
    <row r="11559">
      <c r="A11559" s="3" t="inlineStr">
        <is>
          <t>Endulini (Pty) Ltd</t>
        </is>
      </c>
      <c r="B11559" s="4" t="n">
        <v>44895</v>
      </c>
      <c r="C11559" s="3" t="inlineStr">
        <is>
          <t>Expenses</t>
        </is>
      </c>
      <c r="D11559" s="3" t="inlineStr">
        <is>
          <t>3650/000</t>
        </is>
      </c>
      <c r="E11559" s="3" t="inlineStr">
        <is>
          <t>Water</t>
        </is>
      </c>
      <c r="F11559" s="3" t="n">
        <v>0</v>
      </c>
      <c r="G11559" s="3" t="n">
        <v>4310.7</v>
      </c>
    </row>
    <row r="11560">
      <c r="A11560" s="3" t="inlineStr">
        <is>
          <t>Noble Shield (Pty) Ltd ta Go Letting</t>
        </is>
      </c>
      <c r="B11560" s="4" t="n">
        <v>44895</v>
      </c>
      <c r="C11560" s="3" t="inlineStr">
        <is>
          <t>Expenses</t>
        </is>
      </c>
      <c r="D11560" s="3" t="inlineStr">
        <is>
          <t>3651/000</t>
        </is>
      </c>
      <c r="E11560" s="3" t="inlineStr">
        <is>
          <t>Electricity _AND_ Water - Rentals</t>
        </is>
      </c>
      <c r="F11560" s="3" t="n">
        <v>-1000</v>
      </c>
      <c r="G11560" s="3" t="n">
        <v>0</v>
      </c>
    </row>
    <row r="11561">
      <c r="A11561" s="3" t="inlineStr">
        <is>
          <t>Quinate Consulting (Pty) Ltd</t>
        </is>
      </c>
      <c r="B11561" s="4" t="n">
        <v>44895</v>
      </c>
      <c r="C11561" s="3" t="inlineStr">
        <is>
          <t>Expenses</t>
        </is>
      </c>
      <c r="D11561" s="3" t="inlineStr">
        <is>
          <t>3651/000</t>
        </is>
      </c>
      <c r="E11561" s="3" t="inlineStr">
        <is>
          <t>Electricity _AND_ Water - Southwark</t>
        </is>
      </c>
      <c r="F11561" s="3" t="n">
        <v>3596.1</v>
      </c>
      <c r="G11561" s="3" t="n">
        <v>136026.66</v>
      </c>
    </row>
    <row r="11562">
      <c r="A11562" s="3" t="inlineStr">
        <is>
          <t>Quinate Consulting (Pty) Ltd</t>
        </is>
      </c>
      <c r="B11562" s="4" t="n">
        <v>44895</v>
      </c>
      <c r="C11562" s="3" t="inlineStr">
        <is>
          <t>Expenses</t>
        </is>
      </c>
      <c r="D11562" s="3" t="inlineStr">
        <is>
          <t>3652/000</t>
        </is>
      </c>
      <c r="E11562" s="3" t="inlineStr">
        <is>
          <t>Electricity _AND_ Water - Soho</t>
        </is>
      </c>
      <c r="F11562" s="3" t="n">
        <v>20777.85</v>
      </c>
      <c r="G11562" s="3" t="n">
        <v>227791.71</v>
      </c>
    </row>
    <row r="11563">
      <c r="A11563" s="3" t="inlineStr">
        <is>
          <t>Opportunity Global Investment (PTY) LTD</t>
        </is>
      </c>
      <c r="B11563" s="4" t="n">
        <v>44895</v>
      </c>
      <c r="C11563" s="3" t="inlineStr">
        <is>
          <t>Expenses</t>
        </is>
      </c>
      <c r="D11563" s="3" t="inlineStr">
        <is>
          <t>3700/000</t>
        </is>
      </c>
      <c r="E11563" s="3" t="inlineStr">
        <is>
          <t>Entertainment Expenses</t>
        </is>
      </c>
      <c r="F11563" s="3" t="n">
        <v>732.42</v>
      </c>
      <c r="G11563" s="3" t="n">
        <v>8739.780000000001</v>
      </c>
    </row>
    <row r="11564">
      <c r="A11564" s="3" t="inlineStr">
        <is>
          <t>Opportunity Global Sales (PTY) LTD</t>
        </is>
      </c>
      <c r="B11564" s="4" t="n">
        <v>44895</v>
      </c>
      <c r="C11564" s="3" t="inlineStr">
        <is>
          <t>Expenses</t>
        </is>
      </c>
      <c r="D11564" s="3" t="inlineStr">
        <is>
          <t>3700/000</t>
        </is>
      </c>
      <c r="E11564" s="3" t="inlineStr">
        <is>
          <t>Entertainment Expenses</t>
        </is>
      </c>
      <c r="F11564" s="3" t="n">
        <v>480</v>
      </c>
      <c r="G11564" s="3" t="n">
        <v>700</v>
      </c>
    </row>
    <row r="11565">
      <c r="A11565" s="3" t="inlineStr">
        <is>
          <t>Opportunity Management Holdings (PTY) LTD</t>
        </is>
      </c>
      <c r="B11565" s="4" t="n">
        <v>44895</v>
      </c>
      <c r="C11565" s="3" t="inlineStr">
        <is>
          <t>Expenses</t>
        </is>
      </c>
      <c r="D11565" s="3" t="inlineStr">
        <is>
          <t>3700/000</t>
        </is>
      </c>
      <c r="E11565" s="3" t="inlineStr">
        <is>
          <t>Entertainment Expenses</t>
        </is>
      </c>
      <c r="F11565" s="3" t="n">
        <v>0</v>
      </c>
      <c r="G11565" s="3" t="n">
        <v>103.98</v>
      </c>
    </row>
    <row r="11566">
      <c r="A11566" s="3" t="inlineStr">
        <is>
          <t>Quinate Consulting (Pty) Ltd</t>
        </is>
      </c>
      <c r="B11566" s="4" t="n">
        <v>44895</v>
      </c>
      <c r="C11566" s="3" t="inlineStr">
        <is>
          <t>Expenses</t>
        </is>
      </c>
      <c r="D11566" s="3" t="inlineStr">
        <is>
          <t>3700/000</t>
        </is>
      </c>
      <c r="E11566" s="3" t="inlineStr">
        <is>
          <t>Entertainment Expenses</t>
        </is>
      </c>
      <c r="F11566" s="3" t="n">
        <v>250</v>
      </c>
      <c r="G11566" s="3" t="n">
        <v>6963.81</v>
      </c>
    </row>
    <row r="11567">
      <c r="A11567" s="3" t="inlineStr">
        <is>
          <t>Opportunity Global Investment (PTY) LTD</t>
        </is>
      </c>
      <c r="B11567" s="4" t="n">
        <v>44895</v>
      </c>
      <c r="C11567" s="3" t="inlineStr">
        <is>
          <t>Expenses</t>
        </is>
      </c>
      <c r="D11567" s="3" t="inlineStr">
        <is>
          <t>3800/010</t>
        </is>
      </c>
      <c r="E11567" s="3" t="inlineStr">
        <is>
          <t>General Expences - Gifts</t>
        </is>
      </c>
      <c r="F11567" s="3" t="n">
        <v>0</v>
      </c>
      <c r="G11567" s="3" t="n">
        <v>600.99</v>
      </c>
    </row>
    <row r="11568">
      <c r="A11568" s="3" t="inlineStr">
        <is>
          <t>Opportunity Management Holdings (PTY) LTD</t>
        </is>
      </c>
      <c r="B11568" s="4" t="n">
        <v>44895</v>
      </c>
      <c r="C11568" s="3" t="inlineStr">
        <is>
          <t>Expenses</t>
        </is>
      </c>
      <c r="D11568" s="3" t="inlineStr">
        <is>
          <t>3850/000</t>
        </is>
      </c>
      <c r="E11568" s="3" t="inlineStr">
        <is>
          <t>Insurance - Momentum</t>
        </is>
      </c>
      <c r="F11568" s="3" t="n">
        <v>1469.51</v>
      </c>
      <c r="G11568" s="3" t="n">
        <v>4408.53</v>
      </c>
    </row>
    <row r="11569">
      <c r="A11569" s="3" t="inlineStr">
        <is>
          <t>Noble Shield (Pty) Ltd ta Go Letting</t>
        </is>
      </c>
      <c r="B11569" s="4" t="n">
        <v>44895</v>
      </c>
      <c r="C11569" s="3" t="inlineStr">
        <is>
          <t>Expenses</t>
        </is>
      </c>
      <c r="D11569" s="3" t="inlineStr">
        <is>
          <t>3850/100</t>
        </is>
      </c>
      <c r="E11569" s="3" t="inlineStr">
        <is>
          <t>Insurance - Santam</t>
        </is>
      </c>
      <c r="F11569" s="3" t="n">
        <v>3754.19</v>
      </c>
      <c r="G11569" s="3" t="n">
        <v>11262.57</v>
      </c>
    </row>
    <row r="11570">
      <c r="A11570" s="3" t="inlineStr">
        <is>
          <t>Noble Shield (Pty) Ltd ta Go Letting</t>
        </is>
      </c>
      <c r="B11570" s="4" t="n">
        <v>44895</v>
      </c>
      <c r="C11570" s="3" t="inlineStr">
        <is>
          <t>Expenses</t>
        </is>
      </c>
      <c r="D11570" s="3" t="inlineStr">
        <is>
          <t>3850/200</t>
        </is>
      </c>
      <c r="E11570" s="3" t="inlineStr">
        <is>
          <t>Insurance - A_AND_G</t>
        </is>
      </c>
      <c r="F11570" s="3" t="n">
        <v>1796</v>
      </c>
      <c r="G11570" s="3" t="n">
        <v>5388</v>
      </c>
    </row>
    <row r="11571">
      <c r="A11571" s="3" t="inlineStr">
        <is>
          <t>Quinate Consulting (Pty) Ltd</t>
        </is>
      </c>
      <c r="B11571" s="4" t="n">
        <v>44895</v>
      </c>
      <c r="C11571" s="3" t="inlineStr">
        <is>
          <t>Expenses</t>
        </is>
      </c>
      <c r="D11571" s="3" t="inlineStr">
        <is>
          <t>3851/000</t>
        </is>
      </c>
      <c r="E11571" s="3" t="inlineStr">
        <is>
          <t>Insurance - Momentum</t>
        </is>
      </c>
      <c r="F11571" s="3" t="n">
        <v>7990.64</v>
      </c>
      <c r="G11571" s="3" t="n">
        <v>63762.79</v>
      </c>
    </row>
    <row r="11572">
      <c r="A11572" s="3" t="inlineStr">
        <is>
          <t>Quinate Consulting (Pty) Ltd</t>
        </is>
      </c>
      <c r="B11572" s="4" t="n">
        <v>44895</v>
      </c>
      <c r="C11572" s="3" t="inlineStr">
        <is>
          <t>Expenses</t>
        </is>
      </c>
      <c r="D11572" s="3" t="inlineStr">
        <is>
          <t>3900/000</t>
        </is>
      </c>
      <c r="E11572" s="3" t="inlineStr">
        <is>
          <t>Interest Paid</t>
        </is>
      </c>
      <c r="F11572" s="3" t="n">
        <v>0</v>
      </c>
      <c r="G11572" s="3" t="n">
        <v>1164.87</v>
      </c>
    </row>
    <row r="11573">
      <c r="A11573" s="3" t="inlineStr">
        <is>
          <t>Quinate Consulting (Pty) Ltd</t>
        </is>
      </c>
      <c r="B11573" s="4" t="n">
        <v>44895</v>
      </c>
      <c r="C11573" s="3" t="inlineStr">
        <is>
          <t>Expenses</t>
        </is>
      </c>
      <c r="D11573" s="3" t="inlineStr">
        <is>
          <t>3900/050</t>
        </is>
      </c>
      <c r="E11573" s="3" t="inlineStr">
        <is>
          <t>Interest Paid - STD Bond Accounts</t>
        </is>
      </c>
      <c r="F11573" s="3" t="n">
        <v>0</v>
      </c>
      <c r="G11573" s="3" t="n">
        <v>395616.65</v>
      </c>
    </row>
    <row r="11574">
      <c r="A11574" s="3" t="inlineStr">
        <is>
          <t>Endulini (Pty) Ltd</t>
        </is>
      </c>
      <c r="B11574" s="4" t="n">
        <v>44895</v>
      </c>
      <c r="C11574" s="3" t="inlineStr">
        <is>
          <t>Expenses</t>
        </is>
      </c>
      <c r="D11574" s="3" t="inlineStr">
        <is>
          <t>3900/111</t>
        </is>
      </c>
      <c r="E11574" s="3" t="inlineStr">
        <is>
          <t>Interest Paid - Investors @ 6.25%</t>
        </is>
      </c>
      <c r="F11574" s="3" t="n">
        <v>0</v>
      </c>
      <c r="G11574" s="3" t="n">
        <v>508838.31</v>
      </c>
    </row>
    <row r="11575">
      <c r="A11575" s="3" t="inlineStr">
        <is>
          <t>Endulini (Pty) Ltd</t>
        </is>
      </c>
      <c r="B11575" s="4" t="n">
        <v>44895</v>
      </c>
      <c r="C11575" s="3" t="inlineStr">
        <is>
          <t>Expenses</t>
        </is>
      </c>
      <c r="D11575" s="3" t="inlineStr">
        <is>
          <t>3900/112</t>
        </is>
      </c>
      <c r="E11575" s="3" t="inlineStr">
        <is>
          <t>Interest Paid - Investors @ 6.5%</t>
        </is>
      </c>
      <c r="F11575" s="3" t="n">
        <v>0</v>
      </c>
      <c r="G11575" s="3" t="n">
        <v>42882.69</v>
      </c>
    </row>
    <row r="11576">
      <c r="A11576" s="3" t="inlineStr">
        <is>
          <t>Endulini (Pty) Ltd</t>
        </is>
      </c>
      <c r="B11576" s="4" t="n">
        <v>44895</v>
      </c>
      <c r="C11576" s="3" t="inlineStr">
        <is>
          <t>Expenses</t>
        </is>
      </c>
      <c r="D11576" s="3" t="inlineStr">
        <is>
          <t>3900/113</t>
        </is>
      </c>
      <c r="E11576" s="3" t="inlineStr">
        <is>
          <t>Interest Paid - Investors @ 6.75%</t>
        </is>
      </c>
      <c r="F11576" s="3" t="n">
        <v>0</v>
      </c>
      <c r="G11576" s="3" t="n">
        <v>73.97</v>
      </c>
    </row>
    <row r="11577">
      <c r="A11577" s="3" t="inlineStr">
        <is>
          <t>Endulini (Pty) Ltd</t>
        </is>
      </c>
      <c r="B11577" s="4" t="n">
        <v>44895</v>
      </c>
      <c r="C11577" s="3" t="inlineStr">
        <is>
          <t>Expenses</t>
        </is>
      </c>
      <c r="D11577" s="3" t="inlineStr">
        <is>
          <t>3900/120</t>
        </is>
      </c>
      <c r="E11577" s="3" t="inlineStr">
        <is>
          <t>Interest Paid - Investors @ 7%</t>
        </is>
      </c>
      <c r="F11577" s="3" t="n">
        <v>0</v>
      </c>
      <c r="G11577" s="3" t="n">
        <v>43401.3</v>
      </c>
    </row>
    <row r="11578">
      <c r="A11578" s="3" t="inlineStr">
        <is>
          <t>Endulini (Pty) Ltd</t>
        </is>
      </c>
      <c r="B11578" s="4" t="n">
        <v>44895</v>
      </c>
      <c r="C11578" s="3" t="inlineStr">
        <is>
          <t>Expenses</t>
        </is>
      </c>
      <c r="D11578" s="3" t="inlineStr">
        <is>
          <t>3900/121</t>
        </is>
      </c>
      <c r="E11578" s="3" t="inlineStr">
        <is>
          <t>Interest Paid - Investors @ 7.25%</t>
        </is>
      </c>
      <c r="F11578" s="3" t="n">
        <v>0</v>
      </c>
      <c r="G11578" s="3" t="n">
        <v>6952.05</v>
      </c>
    </row>
    <row r="11579">
      <c r="A11579" s="3" t="inlineStr">
        <is>
          <t>Endulini (Pty) Ltd</t>
        </is>
      </c>
      <c r="B11579" s="4" t="n">
        <v>44895</v>
      </c>
      <c r="C11579" s="3" t="inlineStr">
        <is>
          <t>Expenses</t>
        </is>
      </c>
      <c r="D11579" s="3" t="inlineStr">
        <is>
          <t>3900/122</t>
        </is>
      </c>
      <c r="E11579" s="3" t="inlineStr">
        <is>
          <t>Interest Paid - Investors @ 7.5%</t>
        </is>
      </c>
      <c r="F11579" s="3" t="n">
        <v>0</v>
      </c>
      <c r="G11579" s="3" t="n">
        <v>13561.64</v>
      </c>
    </row>
    <row r="11580">
      <c r="A11580" s="3" t="inlineStr">
        <is>
          <t>Endulini (Pty) Ltd</t>
        </is>
      </c>
      <c r="B11580" s="4" t="n">
        <v>44895</v>
      </c>
      <c r="C11580" s="3" t="inlineStr">
        <is>
          <t>Expenses</t>
        </is>
      </c>
      <c r="D11580" s="3" t="inlineStr">
        <is>
          <t>3900/123</t>
        </is>
      </c>
      <c r="E11580" s="3" t="inlineStr">
        <is>
          <t>Interest Paid - Investors @ 7.75%</t>
        </is>
      </c>
      <c r="F11580" s="3" t="n">
        <v>0</v>
      </c>
      <c r="G11580" s="3" t="n">
        <v>5945.21</v>
      </c>
    </row>
    <row r="11581">
      <c r="A11581" s="3" t="inlineStr">
        <is>
          <t>Endulini (Pty) Ltd</t>
        </is>
      </c>
      <c r="B11581" s="4" t="n">
        <v>44895</v>
      </c>
      <c r="C11581" s="3" t="inlineStr">
        <is>
          <t>Expenses</t>
        </is>
      </c>
      <c r="D11581" s="3" t="inlineStr">
        <is>
          <t>3900/130</t>
        </is>
      </c>
      <c r="E11581" s="3" t="inlineStr">
        <is>
          <t>Interest Paid - Investors @ 8%</t>
        </is>
      </c>
      <c r="F11581" s="3" t="n">
        <v>0</v>
      </c>
      <c r="G11581" s="3" t="n">
        <v>8309.6</v>
      </c>
    </row>
    <row r="11582">
      <c r="A11582" s="3" t="inlineStr">
        <is>
          <t>Endulini (Pty) Ltd</t>
        </is>
      </c>
      <c r="B11582" s="4" t="n">
        <v>44895</v>
      </c>
      <c r="C11582" s="3" t="inlineStr">
        <is>
          <t>Expenses</t>
        </is>
      </c>
      <c r="D11582" s="3" t="inlineStr">
        <is>
          <t>3900/131</t>
        </is>
      </c>
      <c r="E11582" s="3" t="inlineStr">
        <is>
          <t>Interest Paid - Investors @ 8.25%</t>
        </is>
      </c>
      <c r="F11582" s="3" t="n">
        <v>0</v>
      </c>
      <c r="G11582" s="3" t="n">
        <v>7797.94</v>
      </c>
    </row>
    <row r="11583">
      <c r="A11583" s="3" t="inlineStr">
        <is>
          <t>Endulini (Pty) Ltd</t>
        </is>
      </c>
      <c r="B11583" s="4" t="n">
        <v>44895</v>
      </c>
      <c r="C11583" s="3" t="inlineStr">
        <is>
          <t>Expenses</t>
        </is>
      </c>
      <c r="D11583" s="3" t="inlineStr">
        <is>
          <t>3900/140</t>
        </is>
      </c>
      <c r="E11583" s="3" t="inlineStr">
        <is>
          <t>Interest Paid - Investors @ 9%</t>
        </is>
      </c>
      <c r="F11583" s="3" t="n">
        <v>0</v>
      </c>
      <c r="G11583" s="3" t="n">
        <v>12562.51</v>
      </c>
    </row>
    <row r="11584">
      <c r="A11584" s="3" t="inlineStr">
        <is>
          <t>Endulini (Pty) Ltd</t>
        </is>
      </c>
      <c r="B11584" s="4" t="n">
        <v>44895</v>
      </c>
      <c r="C11584" s="3" t="inlineStr">
        <is>
          <t>Expenses</t>
        </is>
      </c>
      <c r="D11584" s="3" t="inlineStr">
        <is>
          <t>3900/143</t>
        </is>
      </c>
      <c r="E11584" s="3" t="inlineStr">
        <is>
          <t>Interest Paid - Investors @ 9.75%</t>
        </is>
      </c>
      <c r="F11584" s="3" t="n">
        <v>0</v>
      </c>
      <c r="G11584" s="3" t="n">
        <v>1469.19</v>
      </c>
    </row>
    <row r="11585">
      <c r="A11585" s="3" t="inlineStr">
        <is>
          <t>Quinate Consulting (Pty) Ltd</t>
        </is>
      </c>
      <c r="B11585" s="4" t="n">
        <v>44895</v>
      </c>
      <c r="C11585" s="3" t="inlineStr">
        <is>
          <t>Expenses</t>
        </is>
      </c>
      <c r="D11585" s="3" t="inlineStr">
        <is>
          <t>3900/150</t>
        </is>
      </c>
      <c r="E11585" s="3" t="inlineStr">
        <is>
          <t>Interest Paid - Suppliers</t>
        </is>
      </c>
      <c r="F11585" s="3" t="n">
        <v>0</v>
      </c>
      <c r="G11585" s="3" t="n">
        <v>926.21</v>
      </c>
    </row>
    <row r="11586">
      <c r="A11586" s="3" t="inlineStr">
        <is>
          <t>Quinate Consulting (Pty) Ltd</t>
        </is>
      </c>
      <c r="B11586" s="4" t="n">
        <v>44895</v>
      </c>
      <c r="C11586" s="3" t="inlineStr">
        <is>
          <t>Expenses</t>
        </is>
      </c>
      <c r="D11586" s="3" t="inlineStr">
        <is>
          <t>3900/152</t>
        </is>
      </c>
      <c r="E11586" s="3" t="inlineStr">
        <is>
          <t>Interest Paid - Gengis</t>
        </is>
      </c>
      <c r="F11586" s="3" t="n">
        <v>0</v>
      </c>
      <c r="G11586" s="3" t="n">
        <v>12082.2</v>
      </c>
    </row>
    <row r="11587">
      <c r="A11587" s="3" t="inlineStr">
        <is>
          <t>Endulini (Pty) Ltd</t>
        </is>
      </c>
      <c r="B11587" s="4" t="n">
        <v>44895</v>
      </c>
      <c r="C11587" s="3" t="inlineStr">
        <is>
          <t>Expenses</t>
        </is>
      </c>
      <c r="D11587" s="3" t="inlineStr">
        <is>
          <t>3900/190</t>
        </is>
      </c>
      <c r="E11587" s="3" t="inlineStr">
        <is>
          <t>Interest Paid - Investors @ 14%</t>
        </is>
      </c>
      <c r="F11587" s="3" t="n">
        <v>0</v>
      </c>
      <c r="G11587" s="3" t="n">
        <v>100366.9</v>
      </c>
    </row>
    <row r="11588">
      <c r="A11588" s="3" t="inlineStr">
        <is>
          <t>Endulini (Pty) Ltd</t>
        </is>
      </c>
      <c r="B11588" s="4" t="n">
        <v>44895</v>
      </c>
      <c r="C11588" s="3" t="inlineStr">
        <is>
          <t>Expenses</t>
        </is>
      </c>
      <c r="D11588" s="3" t="inlineStr">
        <is>
          <t>3900/200</t>
        </is>
      </c>
      <c r="E11588" s="3" t="inlineStr">
        <is>
          <t>Interest Paid - Investors @ 15%</t>
        </is>
      </c>
      <c r="F11588" s="3" t="n">
        <v>0</v>
      </c>
      <c r="G11588" s="3" t="n">
        <v>510596.24</v>
      </c>
    </row>
    <row r="11589">
      <c r="A11589" s="3" t="inlineStr">
        <is>
          <t>Endulini (Pty) Ltd</t>
        </is>
      </c>
      <c r="B11589" s="4" t="n">
        <v>44895</v>
      </c>
      <c r="C11589" s="3" t="inlineStr">
        <is>
          <t>Expenses</t>
        </is>
      </c>
      <c r="D11589" s="3" t="inlineStr">
        <is>
          <t>3900/210</t>
        </is>
      </c>
      <c r="E11589" s="3" t="inlineStr">
        <is>
          <t>Interest Paid - Investors @ 16%</t>
        </is>
      </c>
      <c r="F11589" s="3" t="n">
        <v>0</v>
      </c>
      <c r="G11589" s="3" t="n">
        <v>98739.73</v>
      </c>
    </row>
    <row r="11590">
      <c r="A11590" s="3" t="inlineStr">
        <is>
          <t>Endulini (Pty) Ltd</t>
        </is>
      </c>
      <c r="B11590" s="4" t="n">
        <v>44895</v>
      </c>
      <c r="C11590" s="3" t="inlineStr">
        <is>
          <t>Expenses</t>
        </is>
      </c>
      <c r="D11590" s="3" t="inlineStr">
        <is>
          <t>3900/230</t>
        </is>
      </c>
      <c r="E11590" s="3" t="inlineStr">
        <is>
          <t>Interest Paid - Investors @ 18%</t>
        </is>
      </c>
      <c r="F11590" s="3" t="n">
        <v>0</v>
      </c>
      <c r="G11590" s="3" t="n">
        <v>6062350.34</v>
      </c>
    </row>
    <row r="11591">
      <c r="A11591" s="3" t="inlineStr">
        <is>
          <t>Opportunity Global Investment (PTY) LTD</t>
        </is>
      </c>
      <c r="B11591" s="4" t="n">
        <v>44895</v>
      </c>
      <c r="C11591" s="3" t="inlineStr">
        <is>
          <t>Expenses</t>
        </is>
      </c>
      <c r="D11591" s="3" t="inlineStr">
        <is>
          <t>3901/000</t>
        </is>
      </c>
      <c r="E11591" s="3" t="inlineStr">
        <is>
          <t>Interest Paid - Department of Labour</t>
        </is>
      </c>
      <c r="F11591" s="3" t="n">
        <v>0</v>
      </c>
      <c r="G11591" s="3" t="n">
        <v>1488.4</v>
      </c>
    </row>
    <row r="11592">
      <c r="A11592" s="3" t="inlineStr">
        <is>
          <t>Opportunity Management Holdings (PTY) LTD</t>
        </is>
      </c>
      <c r="B11592" s="4" t="n">
        <v>44895</v>
      </c>
      <c r="C11592" s="3" t="inlineStr">
        <is>
          <t>Expenses</t>
        </is>
      </c>
      <c r="D11592" s="3" t="inlineStr">
        <is>
          <t>3960/000</t>
        </is>
      </c>
      <c r="E11592" s="3" t="inlineStr">
        <is>
          <t>Internet Fees</t>
        </is>
      </c>
      <c r="F11592" s="3" t="n">
        <v>535.77</v>
      </c>
      <c r="G11592" s="3" t="n">
        <v>1613.4</v>
      </c>
    </row>
    <row r="11593">
      <c r="A11593" s="3" t="inlineStr">
        <is>
          <t>Quinate Consulting (Pty) Ltd</t>
        </is>
      </c>
      <c r="B11593" s="4" t="n">
        <v>44895</v>
      </c>
      <c r="C11593" s="3" t="inlineStr">
        <is>
          <t>Expenses</t>
        </is>
      </c>
      <c r="D11593" s="3" t="inlineStr">
        <is>
          <t>4000/000</t>
        </is>
      </c>
      <c r="E11593" s="3" t="inlineStr">
        <is>
          <t>Legal Fees</t>
        </is>
      </c>
      <c r="F11593" s="3" t="n">
        <v>0</v>
      </c>
      <c r="G11593" s="3" t="n">
        <v>61720</v>
      </c>
    </row>
    <row r="11594">
      <c r="A11594" s="3" t="inlineStr">
        <is>
          <t>Quinate Consulting (Pty) Ltd</t>
        </is>
      </c>
      <c r="B11594" s="4" t="n">
        <v>44895</v>
      </c>
      <c r="C11594" s="3" t="inlineStr">
        <is>
          <t>Expenses</t>
        </is>
      </c>
      <c r="D11594" s="3" t="inlineStr">
        <is>
          <t>4065/000</t>
        </is>
      </c>
      <c r="E11594" s="3" t="inlineStr">
        <is>
          <t>Levies - SoHo</t>
        </is>
      </c>
      <c r="F11594" s="3" t="n">
        <v>6466.98</v>
      </c>
      <c r="G11594" s="3" t="n">
        <v>63422.68</v>
      </c>
    </row>
    <row r="11595">
      <c r="A11595" s="3" t="inlineStr">
        <is>
          <t>Quinate Consulting (Pty) Ltd</t>
        </is>
      </c>
      <c r="B11595" s="4" t="n">
        <v>44895</v>
      </c>
      <c r="C11595" s="3" t="inlineStr">
        <is>
          <t>Expenses</t>
        </is>
      </c>
      <c r="D11595" s="3" t="inlineStr">
        <is>
          <t>4066/000</t>
        </is>
      </c>
      <c r="E11595" s="3" t="inlineStr">
        <is>
          <t>Levies - Southwark</t>
        </is>
      </c>
      <c r="F11595" s="3" t="n">
        <v>3422.18</v>
      </c>
      <c r="G11595" s="3" t="n">
        <v>28464.22</v>
      </c>
    </row>
    <row r="11596">
      <c r="A11596" s="3" t="inlineStr">
        <is>
          <t>Endulini (Pty) Ltd</t>
        </is>
      </c>
      <c r="B11596" s="4" t="n">
        <v>44895</v>
      </c>
      <c r="C11596" s="3" t="inlineStr">
        <is>
          <t>Expenses</t>
        </is>
      </c>
      <c r="D11596" s="3" t="inlineStr">
        <is>
          <t>4100/001</t>
        </is>
      </c>
      <c r="E11596" s="3" t="inlineStr">
        <is>
          <t>Momentum Admin Fee</t>
        </is>
      </c>
      <c r="F11596" s="3" t="n">
        <v>0</v>
      </c>
      <c r="G11596" s="3" t="n">
        <v>52359.06</v>
      </c>
    </row>
    <row r="11597">
      <c r="A11597" s="3" t="inlineStr">
        <is>
          <t>Quinate Consulting (Pty) Ltd</t>
        </is>
      </c>
      <c r="B11597" s="4" t="n">
        <v>44895</v>
      </c>
      <c r="C11597" s="3" t="inlineStr">
        <is>
          <t>Expenses</t>
        </is>
      </c>
      <c r="D11597" s="3" t="inlineStr">
        <is>
          <t>4100/001</t>
        </is>
      </c>
      <c r="E11597" s="3" t="inlineStr">
        <is>
          <t>Momentum Advise Fee</t>
        </is>
      </c>
      <c r="F11597" s="3" t="n">
        <v>0</v>
      </c>
      <c r="G11597" s="3" t="n">
        <v>1.71</v>
      </c>
    </row>
    <row r="11598">
      <c r="A11598" s="3" t="inlineStr">
        <is>
          <t>Opportunity Global Investment (PTY) LTD</t>
        </is>
      </c>
      <c r="B11598" s="4" t="n">
        <v>44895</v>
      </c>
      <c r="C11598" s="3" t="inlineStr">
        <is>
          <t>Expenses</t>
        </is>
      </c>
      <c r="D11598" s="3" t="inlineStr">
        <is>
          <t>4100/100</t>
        </is>
      </c>
      <c r="E11598" s="3" t="inlineStr">
        <is>
          <t>Members Salaries - Nick Morgan</t>
        </is>
      </c>
      <c r="F11598" s="3" t="n">
        <v>40937.18</v>
      </c>
      <c r="G11598" s="3" t="n">
        <v>368434.64</v>
      </c>
    </row>
    <row r="11599">
      <c r="A11599" s="3" t="inlineStr">
        <is>
          <t>Opportunity Global Investment (PTY) LTD</t>
        </is>
      </c>
      <c r="B11599" s="4" t="n">
        <v>44895</v>
      </c>
      <c r="C11599" s="3" t="inlineStr">
        <is>
          <t>Expenses</t>
        </is>
      </c>
      <c r="D11599" s="3" t="inlineStr">
        <is>
          <t>4200/000</t>
        </is>
      </c>
      <c r="E11599" s="3" t="inlineStr">
        <is>
          <t>Printing _AND_ Stationery</t>
        </is>
      </c>
      <c r="F11599" s="3" t="n">
        <v>2367</v>
      </c>
      <c r="G11599" s="3" t="n">
        <v>21303</v>
      </c>
    </row>
    <row r="11600">
      <c r="A11600" s="3" t="inlineStr">
        <is>
          <t>Opportunity Global Sales (PTY) LTD</t>
        </is>
      </c>
      <c r="B11600" s="4" t="n">
        <v>44895</v>
      </c>
      <c r="C11600" s="3" t="inlineStr">
        <is>
          <t>Expenses</t>
        </is>
      </c>
      <c r="D11600" s="3" t="inlineStr">
        <is>
          <t>4200/000</t>
        </is>
      </c>
      <c r="E11600" s="3" t="inlineStr">
        <is>
          <t>Printing _AND_ Stationery</t>
        </is>
      </c>
      <c r="F11600" s="3" t="n">
        <v>0</v>
      </c>
      <c r="G11600" s="3" t="n">
        <v>2695</v>
      </c>
    </row>
    <row r="11601">
      <c r="A11601" s="3" t="inlineStr">
        <is>
          <t>Opportunity Management Holdings (PTY) LTD</t>
        </is>
      </c>
      <c r="B11601" s="4" t="n">
        <v>44895</v>
      </c>
      <c r="C11601" s="3" t="inlineStr">
        <is>
          <t>Expenses</t>
        </is>
      </c>
      <c r="D11601" s="3" t="inlineStr">
        <is>
          <t>4200/000</t>
        </is>
      </c>
      <c r="E11601" s="3" t="inlineStr">
        <is>
          <t>Printing _AND_ Stationery</t>
        </is>
      </c>
      <c r="F11601" s="3" t="n">
        <v>1565.17</v>
      </c>
      <c r="G11601" s="3" t="n">
        <v>8413.799999999999</v>
      </c>
    </row>
    <row r="11602">
      <c r="A11602" s="3" t="inlineStr">
        <is>
          <t>Quinate Consulting (Pty) Ltd</t>
        </is>
      </c>
      <c r="B11602" s="4" t="n">
        <v>44895</v>
      </c>
      <c r="C11602" s="3" t="inlineStr">
        <is>
          <t>Expenses</t>
        </is>
      </c>
      <c r="D11602" s="3" t="inlineStr">
        <is>
          <t>4200/000</t>
        </is>
      </c>
      <c r="E11602" s="3" t="inlineStr">
        <is>
          <t>Printing _AND_ Stationery</t>
        </is>
      </c>
      <c r="F11602" s="3" t="n">
        <v>0</v>
      </c>
      <c r="G11602" s="3" t="n">
        <v>1232.17</v>
      </c>
    </row>
    <row r="11603">
      <c r="A11603" s="3" t="inlineStr">
        <is>
          <t>Noble Shield (Pty) Ltd ta Go Letting</t>
        </is>
      </c>
      <c r="B11603" s="4" t="n">
        <v>44895</v>
      </c>
      <c r="C11603" s="3" t="inlineStr">
        <is>
          <t>Expenses</t>
        </is>
      </c>
      <c r="D11603" s="3" t="inlineStr">
        <is>
          <t>4200/100</t>
        </is>
      </c>
      <c r="E11603" s="3" t="inlineStr">
        <is>
          <t>Printing - Merchant West- Printer Rental</t>
        </is>
      </c>
      <c r="F11603" s="3" t="n">
        <v>1628.84</v>
      </c>
      <c r="G11603" s="3" t="n">
        <v>4876.73</v>
      </c>
    </row>
    <row r="11604">
      <c r="A11604" s="3" t="inlineStr">
        <is>
          <t>Noble Shield (Pty) Ltd ta Go Letting</t>
        </is>
      </c>
      <c r="B11604" s="4" t="n">
        <v>44895</v>
      </c>
      <c r="C11604" s="3" t="inlineStr">
        <is>
          <t>Expenses</t>
        </is>
      </c>
      <c r="D11604" s="3" t="inlineStr">
        <is>
          <t>4200/120</t>
        </is>
      </c>
      <c r="E11604" s="3" t="inlineStr">
        <is>
          <t>Printing - Ivy Line - Prints</t>
        </is>
      </c>
      <c r="F11604" s="3" t="n">
        <v>1108.82</v>
      </c>
      <c r="G11604" s="3" t="n">
        <v>3144.44</v>
      </c>
    </row>
    <row r="11605">
      <c r="A11605" s="3" t="inlineStr">
        <is>
          <t>Noble Shield (Pty) Ltd ta Go Letting</t>
        </is>
      </c>
      <c r="B11605" s="4" t="n">
        <v>44895</v>
      </c>
      <c r="C11605" s="3" t="inlineStr">
        <is>
          <t>Expenses</t>
        </is>
      </c>
      <c r="D11605" s="3" t="inlineStr">
        <is>
          <t>4200/180</t>
        </is>
      </c>
      <c r="E11605" s="3" t="inlineStr">
        <is>
          <t>Printing - Ikon</t>
        </is>
      </c>
      <c r="F11605" s="3" t="n">
        <v>92</v>
      </c>
      <c r="G11605" s="3" t="n">
        <v>276</v>
      </c>
    </row>
    <row r="11606">
      <c r="A11606" s="3" t="inlineStr">
        <is>
          <t>Noble Shield (Pty) Ltd ta Go Letting</t>
        </is>
      </c>
      <c r="B11606" s="4" t="n">
        <v>44895</v>
      </c>
      <c r="C11606" s="3" t="inlineStr">
        <is>
          <t>Expenses</t>
        </is>
      </c>
      <c r="D11606" s="3" t="inlineStr">
        <is>
          <t>4200/190</t>
        </is>
      </c>
      <c r="E11606" s="3" t="inlineStr">
        <is>
          <t>Printing - Centrafin printer rental</t>
        </is>
      </c>
      <c r="F11606" s="3" t="n">
        <v>2583.48</v>
      </c>
      <c r="G11606" s="3" t="n">
        <v>7691.02</v>
      </c>
    </row>
    <row r="11607">
      <c r="A11607" s="3" t="inlineStr">
        <is>
          <t>Noble Shield (Pty) Ltd ta Go Letting</t>
        </is>
      </c>
      <c r="B11607" s="4" t="n">
        <v>44895</v>
      </c>
      <c r="C11607" s="3" t="inlineStr">
        <is>
          <t>Expenses</t>
        </is>
      </c>
      <c r="D11607" s="3" t="inlineStr">
        <is>
          <t>4200/200</t>
        </is>
      </c>
      <c r="E11607" s="3" t="inlineStr">
        <is>
          <t>Printing - General Stationery VDB Office</t>
        </is>
      </c>
      <c r="F11607" s="3" t="n">
        <v>1142.92</v>
      </c>
      <c r="G11607" s="3" t="n">
        <v>3546.12</v>
      </c>
    </row>
    <row r="11608">
      <c r="A11608" s="3" t="inlineStr">
        <is>
          <t>Noble Shield (Pty) Ltd ta Go Letting</t>
        </is>
      </c>
      <c r="B11608" s="4" t="n">
        <v>44895</v>
      </c>
      <c r="C11608" s="3" t="inlineStr">
        <is>
          <t>Expenses</t>
        </is>
      </c>
      <c r="D11608" s="3" t="inlineStr">
        <is>
          <t>4290/000</t>
        </is>
      </c>
      <c r="E11608" s="3" t="inlineStr">
        <is>
          <t>Refreshments - CT Office</t>
        </is>
      </c>
      <c r="F11608" s="3" t="n">
        <v>1313.42</v>
      </c>
      <c r="G11608" s="3" t="n">
        <v>3100.76</v>
      </c>
    </row>
    <row r="11609">
      <c r="A11609" s="3" t="inlineStr">
        <is>
          <t>Opportunity Global Investment (PTY) LTD</t>
        </is>
      </c>
      <c r="B11609" s="4" t="n">
        <v>44895</v>
      </c>
      <c r="C11609" s="3" t="inlineStr">
        <is>
          <t>Expenses</t>
        </is>
      </c>
      <c r="D11609" s="3" t="inlineStr">
        <is>
          <t>4290/000</t>
        </is>
      </c>
      <c r="E11609" s="3" t="inlineStr">
        <is>
          <t>Rent</t>
        </is>
      </c>
      <c r="F11609" s="3" t="n">
        <v>8770</v>
      </c>
      <c r="G11609" s="3" t="n">
        <v>78930</v>
      </c>
    </row>
    <row r="11610">
      <c r="A11610" s="3" t="inlineStr">
        <is>
          <t>Noble Shield (Pty) Ltd ta Go Letting</t>
        </is>
      </c>
      <c r="B11610" s="4" t="n">
        <v>44895</v>
      </c>
      <c r="C11610" s="3" t="inlineStr">
        <is>
          <t>Expenses</t>
        </is>
      </c>
      <c r="D11610" s="3" t="inlineStr">
        <is>
          <t>4291/000</t>
        </is>
      </c>
      <c r="E11610" s="3" t="inlineStr">
        <is>
          <t>Refreshments - VDB Office</t>
        </is>
      </c>
      <c r="F11610" s="3" t="n">
        <v>320.96</v>
      </c>
      <c r="G11610" s="3" t="n">
        <v>1350.51</v>
      </c>
    </row>
    <row r="11611">
      <c r="A11611" s="3" t="inlineStr">
        <is>
          <t>Trademark Holdings (Pty) Ltd</t>
        </is>
      </c>
      <c r="B11611" s="4" t="n">
        <v>44895</v>
      </c>
      <c r="C11611" s="3" t="inlineStr">
        <is>
          <t>Expenses</t>
        </is>
      </c>
      <c r="D11611" s="3" t="inlineStr">
        <is>
          <t>4300/000</t>
        </is>
      </c>
      <c r="E11611" s="3" t="inlineStr">
        <is>
          <t>Rent Paid</t>
        </is>
      </c>
      <c r="F11611" s="3" t="n">
        <v>6527.31</v>
      </c>
      <c r="G11611" s="3" t="n">
        <v>19381.95</v>
      </c>
    </row>
    <row r="11612">
      <c r="A11612" s="3" t="inlineStr">
        <is>
          <t>Endulini (Pty) Ltd</t>
        </is>
      </c>
      <c r="B11612" s="4" t="n">
        <v>44895</v>
      </c>
      <c r="C11612" s="3" t="inlineStr">
        <is>
          <t>Expenses</t>
        </is>
      </c>
      <c r="D11612" s="3" t="inlineStr">
        <is>
          <t>4310/000</t>
        </is>
      </c>
      <c r="E11612" s="3" t="inlineStr">
        <is>
          <t>Rates</t>
        </is>
      </c>
      <c r="F11612" s="3" t="n">
        <v>-337.51</v>
      </c>
      <c r="G11612" s="3" t="n">
        <v>27929.15</v>
      </c>
    </row>
    <row r="11613">
      <c r="A11613" s="3" t="inlineStr">
        <is>
          <t>Opportunity Global Investment (PTY) LTD</t>
        </is>
      </c>
      <c r="B11613" s="4" t="n">
        <v>44895</v>
      </c>
      <c r="C11613" s="3" t="inlineStr">
        <is>
          <t>Expenses</t>
        </is>
      </c>
      <c r="D11613" s="3" t="inlineStr">
        <is>
          <t>4310/000</t>
        </is>
      </c>
      <c r="E11613" s="3" t="inlineStr">
        <is>
          <t>Refreshments</t>
        </is>
      </c>
      <c r="F11613" s="3" t="n">
        <v>2521</v>
      </c>
      <c r="G11613" s="3" t="n">
        <v>22689</v>
      </c>
    </row>
    <row r="11614">
      <c r="A11614" s="3" t="inlineStr">
        <is>
          <t>Opportunity Management Holdings (PTY) LTD</t>
        </is>
      </c>
      <c r="B11614" s="4" t="n">
        <v>44895</v>
      </c>
      <c r="C11614" s="3" t="inlineStr">
        <is>
          <t>Expenses</t>
        </is>
      </c>
      <c r="D11614" s="3" t="inlineStr">
        <is>
          <t>4310/000</t>
        </is>
      </c>
      <c r="E11614" s="3" t="inlineStr">
        <is>
          <t>Refreshments</t>
        </is>
      </c>
      <c r="F11614" s="3" t="n">
        <v>2304.72</v>
      </c>
      <c r="G11614" s="3" t="n">
        <v>5955.85</v>
      </c>
    </row>
    <row r="11615">
      <c r="A11615" s="3" t="inlineStr">
        <is>
          <t>Quinate Consulting (Pty) Ltd</t>
        </is>
      </c>
      <c r="B11615" s="4" t="n">
        <v>44895</v>
      </c>
      <c r="C11615" s="3" t="inlineStr">
        <is>
          <t>Expenses</t>
        </is>
      </c>
      <c r="D11615" s="3" t="inlineStr">
        <is>
          <t>4312/000</t>
        </is>
      </c>
      <c r="E11615" s="3" t="inlineStr">
        <is>
          <t>Rates - SoHo Units</t>
        </is>
      </c>
      <c r="F11615" s="3" t="n">
        <v>2404.29</v>
      </c>
      <c r="G11615" s="3" t="n">
        <v>22027.54</v>
      </c>
    </row>
    <row r="11616">
      <c r="A11616" s="3" t="inlineStr">
        <is>
          <t>Endulini (Pty) Ltd</t>
        </is>
      </c>
      <c r="B11616" s="4" t="n">
        <v>44895</v>
      </c>
      <c r="C11616" s="3" t="inlineStr">
        <is>
          <t>Expenses</t>
        </is>
      </c>
      <c r="D11616" s="3" t="inlineStr">
        <is>
          <t>4350/000</t>
        </is>
      </c>
      <c r="E11616" s="3" t="inlineStr">
        <is>
          <t>Repairs _AND_ Maintenance</t>
        </is>
      </c>
      <c r="F11616" s="3" t="n">
        <v>0</v>
      </c>
      <c r="G11616" s="3" t="n">
        <v>3415.69</v>
      </c>
    </row>
    <row r="11617">
      <c r="A11617" s="3" t="inlineStr">
        <is>
          <t>Noble Shield (Pty) Ltd ta Go Letting</t>
        </is>
      </c>
      <c r="B11617" s="4" t="n">
        <v>44895</v>
      </c>
      <c r="C11617" s="3" t="inlineStr">
        <is>
          <t>Expenses</t>
        </is>
      </c>
      <c r="D11617" s="3" t="inlineStr">
        <is>
          <t>4350/000</t>
        </is>
      </c>
      <c r="E11617" s="3" t="inlineStr">
        <is>
          <t>Repairs _AND_ Maintenance</t>
        </is>
      </c>
      <c r="F11617" s="3" t="n">
        <v>710</v>
      </c>
      <c r="G11617" s="3" t="n">
        <v>710</v>
      </c>
    </row>
    <row r="11618">
      <c r="A11618" s="3" t="inlineStr">
        <is>
          <t>Opportunity Management Holdings (PTY) LTD</t>
        </is>
      </c>
      <c r="B11618" s="4" t="n">
        <v>44895</v>
      </c>
      <c r="C11618" s="3" t="inlineStr">
        <is>
          <t>Expenses</t>
        </is>
      </c>
      <c r="D11618" s="3" t="inlineStr">
        <is>
          <t>4350/000</t>
        </is>
      </c>
      <c r="E11618" s="3" t="inlineStr">
        <is>
          <t>Repairs _AND_ Maintenance</t>
        </is>
      </c>
      <c r="F11618" s="3" t="n">
        <v>456.53</v>
      </c>
      <c r="G11618" s="3" t="n">
        <v>456.53</v>
      </c>
    </row>
    <row r="11619">
      <c r="A11619" s="3" t="inlineStr">
        <is>
          <t>Quinate Consulting (Pty) Ltd</t>
        </is>
      </c>
      <c r="B11619" s="4" t="n">
        <v>44895</v>
      </c>
      <c r="C11619" s="3" t="inlineStr">
        <is>
          <t>Expenses</t>
        </is>
      </c>
      <c r="D11619" s="3" t="inlineStr">
        <is>
          <t>4350/000</t>
        </is>
      </c>
      <c r="E11619" s="3" t="inlineStr">
        <is>
          <t>Repairs and Maintenance - Southwark Units</t>
        </is>
      </c>
      <c r="F11619" s="3" t="n">
        <v>0</v>
      </c>
      <c r="G11619" s="3" t="n">
        <v>15420.12</v>
      </c>
    </row>
    <row r="11620">
      <c r="A11620" s="3" t="inlineStr">
        <is>
          <t>Noble Shield (Pty) Ltd ta Go Letting</t>
        </is>
      </c>
      <c r="B11620" s="4" t="n">
        <v>44895</v>
      </c>
      <c r="C11620" s="3" t="inlineStr">
        <is>
          <t>Expenses</t>
        </is>
      </c>
      <c r="D11620" s="3" t="inlineStr">
        <is>
          <t>4351/000</t>
        </is>
      </c>
      <c r="E11620" s="3" t="inlineStr">
        <is>
          <t>Repairs _AND_ Maintanence - Rentals</t>
        </is>
      </c>
      <c r="F11620" s="3" t="n">
        <v>-59.14</v>
      </c>
      <c r="G11620" s="3" t="n">
        <v>0</v>
      </c>
    </row>
    <row r="11621">
      <c r="A11621" s="3" t="inlineStr">
        <is>
          <t>Opportunity Global Investment (PTY) LTD</t>
        </is>
      </c>
      <c r="B11621" s="4" t="n">
        <v>44895</v>
      </c>
      <c r="C11621" s="3" t="inlineStr">
        <is>
          <t>Expenses</t>
        </is>
      </c>
      <c r="D11621" s="3" t="inlineStr">
        <is>
          <t>4360/000</t>
        </is>
      </c>
      <c r="E11621" s="3" t="inlineStr">
        <is>
          <t>Secretarial - CIPC</t>
        </is>
      </c>
      <c r="F11621" s="3" t="n">
        <v>0</v>
      </c>
      <c r="G11621" s="3" t="n">
        <v>600</v>
      </c>
    </row>
    <row r="11622">
      <c r="A11622" s="3" t="inlineStr">
        <is>
          <t>Opportunity Global Sales (PTY) LTD</t>
        </is>
      </c>
      <c r="B11622" s="4" t="n">
        <v>44895</v>
      </c>
      <c r="C11622" s="3" t="inlineStr">
        <is>
          <t>Expenses</t>
        </is>
      </c>
      <c r="D11622" s="3" t="inlineStr">
        <is>
          <t>4390/000</t>
        </is>
      </c>
      <c r="E11622" s="3" t="inlineStr">
        <is>
          <t>Small Assets</t>
        </is>
      </c>
      <c r="F11622" s="3" t="n">
        <v>0</v>
      </c>
      <c r="G11622" s="3" t="n">
        <v>18486.87</v>
      </c>
    </row>
    <row r="11623">
      <c r="A11623" s="3" t="inlineStr">
        <is>
          <t>Opportunity Management Holdings (PTY) LTD</t>
        </is>
      </c>
      <c r="B11623" s="4" t="n">
        <v>44895</v>
      </c>
      <c r="C11623" s="3" t="inlineStr">
        <is>
          <t>Expenses</t>
        </is>
      </c>
      <c r="D11623" s="3" t="inlineStr">
        <is>
          <t>4390/000</t>
        </is>
      </c>
      <c r="E11623" s="3" t="inlineStr">
        <is>
          <t>Small Assets</t>
        </is>
      </c>
      <c r="F11623" s="3" t="n">
        <v>0</v>
      </c>
      <c r="G11623" s="3" t="n">
        <v>3476.52</v>
      </c>
    </row>
    <row r="11624">
      <c r="A11624" s="3" t="inlineStr">
        <is>
          <t>Noble Shield (Pty) Ltd ta Go Letting</t>
        </is>
      </c>
      <c r="B11624" s="4" t="n">
        <v>44895</v>
      </c>
      <c r="C11624" s="3" t="inlineStr">
        <is>
          <t>Expenses</t>
        </is>
      </c>
      <c r="D11624" s="3" t="inlineStr">
        <is>
          <t>4400/000</t>
        </is>
      </c>
      <c r="E11624" s="3" t="inlineStr">
        <is>
          <t>Salaries _AND_ Wages</t>
        </is>
      </c>
      <c r="F11624" s="3" t="n">
        <v>26848.2</v>
      </c>
      <c r="G11624" s="3" t="n">
        <v>80544.59</v>
      </c>
    </row>
    <row r="11625">
      <c r="A11625" s="3" t="inlineStr">
        <is>
          <t>Opportunity Global Sales (PTY) LTD</t>
        </is>
      </c>
      <c r="B11625" s="4" t="n">
        <v>44895</v>
      </c>
      <c r="C11625" s="3" t="inlineStr">
        <is>
          <t>Expenses</t>
        </is>
      </c>
      <c r="D11625" s="3" t="inlineStr">
        <is>
          <t>4400/000</t>
        </is>
      </c>
      <c r="E11625" s="3" t="inlineStr">
        <is>
          <t>Salaries _AND_ Wages</t>
        </is>
      </c>
      <c r="F11625" s="3" t="n">
        <v>41455.55</v>
      </c>
      <c r="G11625" s="3" t="n">
        <v>346810.52</v>
      </c>
    </row>
    <row r="11626">
      <c r="A11626" s="3" t="inlineStr">
        <is>
          <t>Opportunity Management Holdings (PTY) LTD</t>
        </is>
      </c>
      <c r="B11626" s="4" t="n">
        <v>44895</v>
      </c>
      <c r="C11626" s="3" t="inlineStr">
        <is>
          <t>Expenses</t>
        </is>
      </c>
      <c r="D11626" s="3" t="inlineStr">
        <is>
          <t>4400/000</t>
        </is>
      </c>
      <c r="E11626" s="3" t="inlineStr">
        <is>
          <t>Salaries _AND_ Wages</t>
        </is>
      </c>
      <c r="F11626" s="3" t="n">
        <v>231298.55</v>
      </c>
      <c r="G11626" s="3" t="n">
        <v>688306.59</v>
      </c>
    </row>
    <row r="11627">
      <c r="A11627" s="3" t="inlineStr">
        <is>
          <t>Trademark Holdings (Pty) Ltd</t>
        </is>
      </c>
      <c r="B11627" s="4" t="n">
        <v>44895</v>
      </c>
      <c r="C11627" s="3" t="inlineStr">
        <is>
          <t>Expenses</t>
        </is>
      </c>
      <c r="D11627" s="3" t="inlineStr">
        <is>
          <t>4400/000</t>
        </is>
      </c>
      <c r="E11627" s="3" t="inlineStr">
        <is>
          <t>Salaries _AND_ Wages</t>
        </is>
      </c>
      <c r="F11627" s="3" t="n">
        <v>12429.45</v>
      </c>
      <c r="G11627" s="3" t="n">
        <v>37288.35</v>
      </c>
    </row>
    <row r="11628">
      <c r="A11628" s="3" t="inlineStr">
        <is>
          <t>Opportunity Global Investment (PTY) LTD</t>
        </is>
      </c>
      <c r="B11628" s="4" t="n">
        <v>44895</v>
      </c>
      <c r="C11628" s="3" t="inlineStr">
        <is>
          <t>Expenses</t>
        </is>
      </c>
      <c r="D11628" s="3" t="inlineStr">
        <is>
          <t>4403/000</t>
        </is>
      </c>
      <c r="E11628" s="3" t="inlineStr">
        <is>
          <t>Study fees - Nick</t>
        </is>
      </c>
      <c r="F11628" s="3" t="n">
        <v>55361.14</v>
      </c>
      <c r="G11628" s="3" t="n">
        <v>107187.04</v>
      </c>
    </row>
    <row r="11629">
      <c r="A11629" s="3" t="inlineStr">
        <is>
          <t>Trademark Holdings (Pty) Ltd</t>
        </is>
      </c>
      <c r="B11629" s="4" t="n">
        <v>44895</v>
      </c>
      <c r="C11629" s="3" t="inlineStr">
        <is>
          <t>Expenses</t>
        </is>
      </c>
      <c r="D11629" s="3" t="inlineStr">
        <is>
          <t>4410/000</t>
        </is>
      </c>
      <c r="E11629" s="3" t="inlineStr">
        <is>
          <t>Salaries _AND_ Wages - WCA</t>
        </is>
      </c>
      <c r="F11629" s="3" t="n">
        <v>0</v>
      </c>
      <c r="G11629" s="3" t="n">
        <v>1397.74</v>
      </c>
    </row>
    <row r="11630">
      <c r="A11630" s="3" t="inlineStr">
        <is>
          <t>Opportunity Global Investment (PTY) LTD</t>
        </is>
      </c>
      <c r="B11630" s="4" t="n">
        <v>44895</v>
      </c>
      <c r="C11630" s="3" t="inlineStr">
        <is>
          <t>Expenses</t>
        </is>
      </c>
      <c r="D11630" s="3" t="inlineStr">
        <is>
          <t>4500/000</t>
        </is>
      </c>
      <c r="E11630" s="3" t="inlineStr">
        <is>
          <t>Staff Welfare</t>
        </is>
      </c>
      <c r="F11630" s="3" t="n">
        <v>0</v>
      </c>
      <c r="G11630" s="3" t="n">
        <v>3951.25</v>
      </c>
    </row>
    <row r="11631">
      <c r="A11631" s="3" t="inlineStr">
        <is>
          <t>Opportunity Global Sales (PTY) LTD</t>
        </is>
      </c>
      <c r="B11631" s="4" t="n">
        <v>44895</v>
      </c>
      <c r="C11631" s="3" t="inlineStr">
        <is>
          <t>Expenses</t>
        </is>
      </c>
      <c r="D11631" s="3" t="inlineStr">
        <is>
          <t>4500/000</t>
        </is>
      </c>
      <c r="E11631" s="3" t="inlineStr">
        <is>
          <t>Staff Welfare</t>
        </is>
      </c>
      <c r="F11631" s="3" t="n">
        <v>0</v>
      </c>
      <c r="G11631" s="3" t="n">
        <v>2499</v>
      </c>
    </row>
    <row r="11632">
      <c r="A11632" s="3" t="inlineStr">
        <is>
          <t>Opportunity Management Holdings (PTY) LTD</t>
        </is>
      </c>
      <c r="B11632" s="4" t="n">
        <v>44895</v>
      </c>
      <c r="C11632" s="3" t="inlineStr">
        <is>
          <t>Expenses</t>
        </is>
      </c>
      <c r="D11632" s="3" t="inlineStr">
        <is>
          <t>4500/000</t>
        </is>
      </c>
      <c r="E11632" s="3" t="inlineStr">
        <is>
          <t>Staff Welfare</t>
        </is>
      </c>
      <c r="F11632" s="3" t="n">
        <v>2455.92</v>
      </c>
      <c r="G11632" s="3" t="n">
        <v>6238.87</v>
      </c>
    </row>
    <row r="11633">
      <c r="A11633" s="3" t="inlineStr">
        <is>
          <t>Noble Shield (Pty) Ltd ta Go Letting</t>
        </is>
      </c>
      <c r="B11633" s="4" t="n">
        <v>44895</v>
      </c>
      <c r="C11633" s="3" t="inlineStr">
        <is>
          <t>Expenses</t>
        </is>
      </c>
      <c r="D11633" s="3" t="inlineStr">
        <is>
          <t>4520/000</t>
        </is>
      </c>
      <c r="E11633" s="3" t="inlineStr">
        <is>
          <t>Security</t>
        </is>
      </c>
      <c r="F11633" s="3" t="n">
        <v>741.25</v>
      </c>
      <c r="G11633" s="3" t="n">
        <v>2655.19</v>
      </c>
    </row>
    <row r="11634">
      <c r="A11634" s="3" t="inlineStr">
        <is>
          <t>Opportunity Global Sales (PTY) LTD</t>
        </is>
      </c>
      <c r="B11634" s="4" t="n">
        <v>44895</v>
      </c>
      <c r="C11634" s="3" t="inlineStr">
        <is>
          <t>Expenses</t>
        </is>
      </c>
      <c r="D11634" s="3" t="inlineStr">
        <is>
          <t>4550/000</t>
        </is>
      </c>
      <c r="E11634" s="3" t="inlineStr">
        <is>
          <t>Subscriptions - General</t>
        </is>
      </c>
      <c r="F11634" s="3" t="n">
        <v>1338.48</v>
      </c>
      <c r="G11634" s="3" t="n">
        <v>2795.74</v>
      </c>
    </row>
    <row r="11635">
      <c r="A11635" s="3" t="inlineStr">
        <is>
          <t>Quinate Consulting (Pty) Ltd</t>
        </is>
      </c>
      <c r="B11635" s="4" t="n">
        <v>44895</v>
      </c>
      <c r="C11635" s="3" t="inlineStr">
        <is>
          <t>Expenses</t>
        </is>
      </c>
      <c r="D11635" s="3" t="inlineStr">
        <is>
          <t>4550/000</t>
        </is>
      </c>
      <c r="E11635" s="3" t="inlineStr">
        <is>
          <t>Subscriptions / Licenses</t>
        </is>
      </c>
      <c r="F11635" s="3" t="n">
        <v>9189.5</v>
      </c>
      <c r="G11635" s="3" t="n">
        <v>83533.97</v>
      </c>
    </row>
    <row r="11636">
      <c r="A11636" s="3" t="inlineStr">
        <is>
          <t>Opportunity Management Holdings (PTY) LTD</t>
        </is>
      </c>
      <c r="B11636" s="4" t="n">
        <v>44895</v>
      </c>
      <c r="C11636" s="3" t="inlineStr">
        <is>
          <t>Expenses</t>
        </is>
      </c>
      <c r="D11636" s="3" t="inlineStr">
        <is>
          <t>4550/000</t>
        </is>
      </c>
      <c r="E11636" s="3" t="inlineStr">
        <is>
          <t>Subscriptions _AND_ Lisences</t>
        </is>
      </c>
      <c r="F11636" s="3" t="n">
        <v>3310.1</v>
      </c>
      <c r="G11636" s="3" t="n">
        <v>6807.84</v>
      </c>
    </row>
    <row r="11637">
      <c r="A11637" s="3" t="inlineStr">
        <is>
          <t>Opportunity Global Investment (PTY) LTD</t>
        </is>
      </c>
      <c r="B11637" s="4" t="n">
        <v>44895</v>
      </c>
      <c r="C11637" s="3" t="inlineStr">
        <is>
          <t>Expenses</t>
        </is>
      </c>
      <c r="D11637" s="3" t="inlineStr">
        <is>
          <t>4550/050</t>
        </is>
      </c>
      <c r="E11637" s="3" t="inlineStr">
        <is>
          <t>Subscriptions - EAAB</t>
        </is>
      </c>
      <c r="F11637" s="3" t="n">
        <v>0</v>
      </c>
      <c r="G11637" s="3" t="n">
        <v>2340</v>
      </c>
    </row>
    <row r="11638">
      <c r="A11638" s="3" t="inlineStr">
        <is>
          <t>Noble Shield (Pty) Ltd ta Go Letting</t>
        </is>
      </c>
      <c r="B11638" s="4" t="n">
        <v>44895</v>
      </c>
      <c r="C11638" s="3" t="inlineStr">
        <is>
          <t>Expenses</t>
        </is>
      </c>
      <c r="D11638" s="3" t="inlineStr">
        <is>
          <t>4550/100</t>
        </is>
      </c>
      <c r="E11638" s="3" t="inlineStr">
        <is>
          <t>Subscriptions - EAAB</t>
        </is>
      </c>
      <c r="F11638" s="3" t="n">
        <v>0</v>
      </c>
      <c r="G11638" s="3" t="n">
        <v>2340</v>
      </c>
    </row>
    <row r="11639">
      <c r="A11639" s="3" t="inlineStr">
        <is>
          <t>Trademark Holdings (Pty) Ltd</t>
        </is>
      </c>
      <c r="B11639" s="4" t="n">
        <v>44895</v>
      </c>
      <c r="C11639" s="3" t="inlineStr">
        <is>
          <t>Expenses</t>
        </is>
      </c>
      <c r="D11639" s="3" t="inlineStr">
        <is>
          <t>4550/100</t>
        </is>
      </c>
      <c r="E11639" s="3" t="inlineStr">
        <is>
          <t>Subscriptions - EAAB</t>
        </is>
      </c>
      <c r="F11639" s="3" t="n">
        <v>0</v>
      </c>
      <c r="G11639" s="3" t="n">
        <v>2340</v>
      </c>
    </row>
    <row r="11640">
      <c r="A11640" s="3" t="inlineStr">
        <is>
          <t>Opportunity Global Investment (PTY) LTD</t>
        </is>
      </c>
      <c r="B11640" s="4" t="n">
        <v>44895</v>
      </c>
      <c r="C11640" s="3" t="inlineStr">
        <is>
          <t>Expenses</t>
        </is>
      </c>
      <c r="D11640" s="3" t="inlineStr">
        <is>
          <t>4550/150</t>
        </is>
      </c>
      <c r="E11640" s="3" t="inlineStr">
        <is>
          <t>Subscriptions - Webbox</t>
        </is>
      </c>
      <c r="F11640" s="3" t="n">
        <v>1259</v>
      </c>
      <c r="G11640" s="3" t="n">
        <v>11237</v>
      </c>
    </row>
    <row r="11641">
      <c r="A11641" s="3" t="inlineStr">
        <is>
          <t>Opportunity Global Investment (PTY) LTD</t>
        </is>
      </c>
      <c r="B11641" s="4" t="n">
        <v>44895</v>
      </c>
      <c r="C11641" s="3" t="inlineStr">
        <is>
          <t>Expenses</t>
        </is>
      </c>
      <c r="D11641" s="3" t="inlineStr">
        <is>
          <t>4550/200</t>
        </is>
      </c>
      <c r="E11641" s="3" t="inlineStr">
        <is>
          <t>Subscriptions - Zoom</t>
        </is>
      </c>
      <c r="F11641" s="3" t="n">
        <v>267.1</v>
      </c>
      <c r="G11641" s="3" t="n">
        <v>2309.08</v>
      </c>
    </row>
    <row r="11642">
      <c r="A11642" s="3" t="inlineStr">
        <is>
          <t>Opportunity Global Investment (PTY) LTD</t>
        </is>
      </c>
      <c r="B11642" s="4" t="n">
        <v>44895</v>
      </c>
      <c r="C11642" s="3" t="inlineStr">
        <is>
          <t>Expenses</t>
        </is>
      </c>
      <c r="D11642" s="3" t="inlineStr">
        <is>
          <t>4550/250</t>
        </is>
      </c>
      <c r="E11642" s="3" t="inlineStr">
        <is>
          <t>Subscriptions - LinkedIn</t>
        </is>
      </c>
      <c r="F11642" s="3" t="n">
        <v>1000.49</v>
      </c>
      <c r="G11642" s="3" t="n">
        <v>10004.9</v>
      </c>
    </row>
    <row r="11643">
      <c r="A11643" s="3" t="inlineStr">
        <is>
          <t>Opportunity Global Investment (PTY) LTD</t>
        </is>
      </c>
      <c r="B11643" s="4" t="n">
        <v>44895</v>
      </c>
      <c r="C11643" s="3" t="inlineStr">
        <is>
          <t>Expenses</t>
        </is>
      </c>
      <c r="D11643" s="3" t="inlineStr">
        <is>
          <t>4550/350</t>
        </is>
      </c>
      <c r="E11643" s="3" t="inlineStr">
        <is>
          <t>Subscriptions - Xero</t>
        </is>
      </c>
      <c r="F11643" s="3" t="n">
        <v>600</v>
      </c>
      <c r="G11643" s="3" t="n">
        <v>5400</v>
      </c>
    </row>
    <row r="11644">
      <c r="A11644" s="3" t="inlineStr">
        <is>
          <t>Opportunity Global Investment (PTY) LTD</t>
        </is>
      </c>
      <c r="B11644" s="4" t="n">
        <v>44895</v>
      </c>
      <c r="C11644" s="3" t="inlineStr">
        <is>
          <t>Expenses</t>
        </is>
      </c>
      <c r="D11644" s="3" t="inlineStr">
        <is>
          <t>4550/400</t>
        </is>
      </c>
      <c r="E11644" s="3" t="inlineStr">
        <is>
          <t>Subscriptions - Moneyweb</t>
        </is>
      </c>
      <c r="F11644" s="3" t="n">
        <v>54.78</v>
      </c>
      <c r="G11644" s="3" t="n">
        <v>493.02</v>
      </c>
    </row>
    <row r="11645">
      <c r="A11645" s="3" t="inlineStr">
        <is>
          <t>Trademark Holdings (Pty) Ltd</t>
        </is>
      </c>
      <c r="B11645" s="4" t="n">
        <v>44895</v>
      </c>
      <c r="C11645" s="3" t="inlineStr">
        <is>
          <t>Expenses</t>
        </is>
      </c>
      <c r="D11645" s="3" t="inlineStr">
        <is>
          <t>4550/400</t>
        </is>
      </c>
      <c r="E11645" s="3" t="inlineStr">
        <is>
          <t>Subscriptions - Xero</t>
        </is>
      </c>
      <c r="F11645" s="3" t="n">
        <v>600</v>
      </c>
      <c r="G11645" s="3" t="n">
        <v>1800</v>
      </c>
    </row>
    <row r="11646">
      <c r="A11646" s="3" t="inlineStr">
        <is>
          <t>Opportunity Global Investment (PTY) LTD</t>
        </is>
      </c>
      <c r="B11646" s="4" t="n">
        <v>44895</v>
      </c>
      <c r="C11646" s="3" t="inlineStr">
        <is>
          <t>Expenses</t>
        </is>
      </c>
      <c r="D11646" s="3" t="inlineStr">
        <is>
          <t>4550/450</t>
        </is>
      </c>
      <c r="E11646" s="3" t="inlineStr">
        <is>
          <t>Subscriptions - Adobe</t>
        </is>
      </c>
      <c r="F11646" s="3" t="n">
        <v>558.7</v>
      </c>
      <c r="G11646" s="3" t="n">
        <v>4808.09</v>
      </c>
    </row>
    <row r="11647">
      <c r="A11647" s="3" t="inlineStr">
        <is>
          <t>Noble Shield (Pty) Ltd ta Go Letting</t>
        </is>
      </c>
      <c r="B11647" s="4" t="n">
        <v>44895</v>
      </c>
      <c r="C11647" s="3" t="inlineStr">
        <is>
          <t>Expenses</t>
        </is>
      </c>
      <c r="D11647" s="3" t="inlineStr">
        <is>
          <t>4550/600</t>
        </is>
      </c>
      <c r="E11647" s="3" t="inlineStr">
        <is>
          <t>Subscriptions - Webbox</t>
        </is>
      </c>
      <c r="F11647" s="3" t="n">
        <v>1312.15</v>
      </c>
      <c r="G11647" s="3" t="n">
        <v>3975.55</v>
      </c>
    </row>
    <row r="11648">
      <c r="A11648" s="3" t="inlineStr">
        <is>
          <t>Noble Shield (Pty) Ltd ta Go Letting</t>
        </is>
      </c>
      <c r="B11648" s="4" t="n">
        <v>44895</v>
      </c>
      <c r="C11648" s="3" t="inlineStr">
        <is>
          <t>Expenses</t>
        </is>
      </c>
      <c r="D11648" s="3" t="inlineStr">
        <is>
          <t>4550/650</t>
        </is>
      </c>
      <c r="E11648" s="3" t="inlineStr">
        <is>
          <t>Subscriptions - Xero</t>
        </is>
      </c>
      <c r="F11648" s="3" t="n">
        <v>600</v>
      </c>
      <c r="G11648" s="3" t="n">
        <v>1800</v>
      </c>
    </row>
    <row r="11649">
      <c r="A11649" s="3" t="inlineStr">
        <is>
          <t>Noble Shield (Pty) Ltd ta Go Letting</t>
        </is>
      </c>
      <c r="B11649" s="4" t="n">
        <v>44895</v>
      </c>
      <c r="C11649" s="3" t="inlineStr">
        <is>
          <t>Expenses</t>
        </is>
      </c>
      <c r="D11649" s="3" t="inlineStr">
        <is>
          <t>4550/800</t>
        </is>
      </c>
      <c r="E11649" s="3" t="inlineStr">
        <is>
          <t>Subscriptions - Adobe</t>
        </is>
      </c>
      <c r="F11649" s="3" t="n">
        <v>314.36</v>
      </c>
      <c r="G11649" s="3" t="n">
        <v>938.87</v>
      </c>
    </row>
    <row r="11650">
      <c r="A11650" s="3" t="inlineStr">
        <is>
          <t>Opportunity Global Sales (PTY) LTD</t>
        </is>
      </c>
      <c r="B11650" s="4" t="n">
        <v>44895</v>
      </c>
      <c r="C11650" s="3" t="inlineStr">
        <is>
          <t>Expenses</t>
        </is>
      </c>
      <c r="D11650" s="3" t="inlineStr">
        <is>
          <t>4551/000</t>
        </is>
      </c>
      <c r="E11650" s="3" t="inlineStr">
        <is>
          <t>Subscriptions - Payprop</t>
        </is>
      </c>
      <c r="F11650" s="3" t="n">
        <v>1469.46</v>
      </c>
      <c r="G11650" s="3" t="n">
        <v>7266.51</v>
      </c>
    </row>
    <row r="11651">
      <c r="A11651" s="3" t="inlineStr">
        <is>
          <t>Quinate Consulting (Pty) Ltd</t>
        </is>
      </c>
      <c r="B11651" s="4" t="n">
        <v>44895</v>
      </c>
      <c r="C11651" s="3" t="inlineStr">
        <is>
          <t>Expenses</t>
        </is>
      </c>
      <c r="D11651" s="3" t="inlineStr">
        <is>
          <t>4551/000</t>
        </is>
      </c>
      <c r="E11651" s="3" t="inlineStr">
        <is>
          <t>Subscriptions - Zoho</t>
        </is>
      </c>
      <c r="F11651" s="3" t="n">
        <v>1125</v>
      </c>
      <c r="G11651" s="3" t="n">
        <v>10125</v>
      </c>
    </row>
    <row r="11652">
      <c r="A11652" s="3" t="inlineStr">
        <is>
          <t>Endulini (Pty) Ltd</t>
        </is>
      </c>
      <c r="B11652" s="4" t="n">
        <v>44895</v>
      </c>
      <c r="C11652" s="3" t="inlineStr">
        <is>
          <t>Expenses</t>
        </is>
      </c>
      <c r="D11652" s="3" t="inlineStr">
        <is>
          <t>4552/000</t>
        </is>
      </c>
      <c r="E11652" s="3" t="inlineStr">
        <is>
          <t>Subscriptions - Xero</t>
        </is>
      </c>
      <c r="F11652" s="3" t="n">
        <v>0</v>
      </c>
      <c r="G11652" s="3" t="n">
        <v>4800</v>
      </c>
    </row>
    <row r="11653">
      <c r="A11653" s="3" t="inlineStr">
        <is>
          <t>Opportunity Global Sales (PTY) LTD</t>
        </is>
      </c>
      <c r="B11653" s="4" t="n">
        <v>44895</v>
      </c>
      <c r="C11653" s="3" t="inlineStr">
        <is>
          <t>Expenses</t>
        </is>
      </c>
      <c r="D11653" s="3" t="inlineStr">
        <is>
          <t>4552/000</t>
        </is>
      </c>
      <c r="E11653" s="3" t="inlineStr">
        <is>
          <t>Subscriptions - Xero</t>
        </is>
      </c>
      <c r="F11653" s="3" t="n">
        <v>600</v>
      </c>
      <c r="G11653" s="3" t="n">
        <v>5400</v>
      </c>
    </row>
    <row r="11654">
      <c r="A11654" s="3" t="inlineStr">
        <is>
          <t>Opportunity Management Holdings (PTY) LTD</t>
        </is>
      </c>
      <c r="B11654" s="4" t="n">
        <v>44895</v>
      </c>
      <c r="C11654" s="3" t="inlineStr">
        <is>
          <t>Expenses</t>
        </is>
      </c>
      <c r="D11654" s="3" t="inlineStr">
        <is>
          <t>4552/000</t>
        </is>
      </c>
      <c r="E11654" s="3" t="inlineStr">
        <is>
          <t>Subscriptions - Xero</t>
        </is>
      </c>
      <c r="F11654" s="3" t="n">
        <v>600</v>
      </c>
      <c r="G11654" s="3" t="n">
        <v>1800</v>
      </c>
    </row>
    <row r="11655">
      <c r="A11655" s="3" t="inlineStr">
        <is>
          <t>Opportunity Global Sales (PTY) LTD</t>
        </is>
      </c>
      <c r="B11655" s="4" t="n">
        <v>44895</v>
      </c>
      <c r="C11655" s="3" t="inlineStr">
        <is>
          <t>Expenses</t>
        </is>
      </c>
      <c r="D11655" s="3" t="inlineStr">
        <is>
          <t>4553/000</t>
        </is>
      </c>
      <c r="E11655" s="3" t="inlineStr">
        <is>
          <t>Subscriptions - CMA</t>
        </is>
      </c>
      <c r="F11655" s="3" t="n">
        <v>680</v>
      </c>
      <c r="G11655" s="3" t="n">
        <v>6120</v>
      </c>
    </row>
    <row r="11656">
      <c r="A11656" s="3" t="inlineStr">
        <is>
          <t>Quinate Consulting (Pty) Ltd</t>
        </is>
      </c>
      <c r="B11656" s="4" t="n">
        <v>44895</v>
      </c>
      <c r="C11656" s="3" t="inlineStr">
        <is>
          <t>Expenses</t>
        </is>
      </c>
      <c r="D11656" s="3" t="inlineStr">
        <is>
          <t>4554/000</t>
        </is>
      </c>
      <c r="E11656" s="3" t="inlineStr">
        <is>
          <t>Subscriptions - Xero</t>
        </is>
      </c>
      <c r="F11656" s="3" t="n">
        <v>600</v>
      </c>
      <c r="G11656" s="3" t="n">
        <v>5400</v>
      </c>
    </row>
    <row r="11657">
      <c r="A11657" s="3" t="inlineStr">
        <is>
          <t>Opportunity Global Sales (PTY) LTD</t>
        </is>
      </c>
      <c r="B11657" s="4" t="n">
        <v>44895</v>
      </c>
      <c r="C11657" s="3" t="inlineStr">
        <is>
          <t>Expenses</t>
        </is>
      </c>
      <c r="D11657" s="3" t="inlineStr">
        <is>
          <t>4554/000</t>
        </is>
      </c>
      <c r="E11657" s="3" t="inlineStr">
        <is>
          <t>Subscriptions - Zoho</t>
        </is>
      </c>
      <c r="F11657" s="3" t="n">
        <v>750</v>
      </c>
      <c r="G11657" s="3" t="n">
        <v>6255</v>
      </c>
    </row>
    <row r="11658">
      <c r="A11658" s="3" t="inlineStr">
        <is>
          <t>Opportunity Global Sales (PTY) LTD</t>
        </is>
      </c>
      <c r="B11658" s="4" t="n">
        <v>44895</v>
      </c>
      <c r="C11658" s="3" t="inlineStr">
        <is>
          <t>Expenses</t>
        </is>
      </c>
      <c r="D11658" s="3" t="inlineStr">
        <is>
          <t>4555/000</t>
        </is>
      </c>
      <c r="E11658" s="3" t="inlineStr">
        <is>
          <t>Subscriptions - EAAB</t>
        </is>
      </c>
      <c r="F11658" s="3" t="n">
        <v>0</v>
      </c>
      <c r="G11658" s="3" t="n">
        <v>15520</v>
      </c>
    </row>
    <row r="11659">
      <c r="A11659" s="3" t="inlineStr">
        <is>
          <t>Quinate Consulting (Pty) Ltd</t>
        </is>
      </c>
      <c r="B11659" s="4" t="n">
        <v>44895</v>
      </c>
      <c r="C11659" s="3" t="inlineStr">
        <is>
          <t>Expenses</t>
        </is>
      </c>
      <c r="D11659" s="3" t="inlineStr">
        <is>
          <t>4555/000</t>
        </is>
      </c>
      <c r="E11659" s="3" t="inlineStr">
        <is>
          <t>Subscriptions - OUMS</t>
        </is>
      </c>
      <c r="F11659" s="3" t="n">
        <v>6475.9</v>
      </c>
      <c r="G11659" s="3" t="n">
        <v>58283.1</v>
      </c>
    </row>
    <row r="11660">
      <c r="A11660" s="3" t="inlineStr">
        <is>
          <t>Opportunity Global Investment (PTY) LTD</t>
        </is>
      </c>
      <c r="B11660" s="4" t="n">
        <v>44895</v>
      </c>
      <c r="C11660" s="3" t="inlineStr">
        <is>
          <t>Expenses</t>
        </is>
      </c>
      <c r="D11660" s="3" t="inlineStr">
        <is>
          <t>4600/000</t>
        </is>
      </c>
      <c r="E11660" s="3" t="inlineStr">
        <is>
          <t>Telephone _AND_ Fax</t>
        </is>
      </c>
      <c r="F11660" s="3" t="n">
        <v>3355</v>
      </c>
      <c r="G11660" s="3" t="n">
        <v>30195</v>
      </c>
    </row>
    <row r="11661">
      <c r="A11661" s="3" t="inlineStr">
        <is>
          <t>Trademark Holdings (Pty) Ltd</t>
        </is>
      </c>
      <c r="B11661" s="4" t="n">
        <v>44895</v>
      </c>
      <c r="C11661" s="3" t="inlineStr">
        <is>
          <t>Expenses</t>
        </is>
      </c>
      <c r="D11661" s="3" t="inlineStr">
        <is>
          <t>4600/000</t>
        </is>
      </c>
      <c r="E11661" s="3" t="inlineStr">
        <is>
          <t>Telephone _AND_ Fax</t>
        </is>
      </c>
      <c r="F11661" s="3" t="n">
        <v>1552.09</v>
      </c>
      <c r="G11661" s="3" t="n">
        <v>4641.29</v>
      </c>
    </row>
    <row r="11662">
      <c r="A11662" s="3" t="inlineStr">
        <is>
          <t>Noble Shield (Pty) Ltd ta Go Letting</t>
        </is>
      </c>
      <c r="B11662" s="4" t="n">
        <v>44895</v>
      </c>
      <c r="C11662" s="3" t="inlineStr">
        <is>
          <t>Expenses</t>
        </is>
      </c>
      <c r="D11662" s="3" t="inlineStr">
        <is>
          <t>4610/000</t>
        </is>
      </c>
      <c r="E11662" s="3" t="inlineStr">
        <is>
          <t>Telephone - CT Office</t>
        </is>
      </c>
      <c r="F11662" s="3" t="n">
        <v>973.5700000000001</v>
      </c>
      <c r="G11662" s="3" t="n">
        <v>2976.01</v>
      </c>
    </row>
    <row r="11663">
      <c r="A11663" s="3" t="inlineStr">
        <is>
          <t>Opportunity Global Investment (PTY) LTD</t>
        </is>
      </c>
      <c r="B11663" s="4" t="n">
        <v>44895</v>
      </c>
      <c r="C11663" s="3" t="inlineStr">
        <is>
          <t>Expenses</t>
        </is>
      </c>
      <c r="D11663" s="3" t="inlineStr">
        <is>
          <t>4650/000</t>
        </is>
      </c>
      <c r="E11663" s="3" t="inlineStr">
        <is>
          <t>Travel _AND_ Accommodation</t>
        </is>
      </c>
      <c r="F11663" s="3" t="n">
        <v>11.3</v>
      </c>
      <c r="G11663" s="3" t="n">
        <v>5699.16</v>
      </c>
    </row>
    <row r="11664">
      <c r="A11664" s="3" t="inlineStr">
        <is>
          <t>Opportunity Management Holdings (PTY) LTD</t>
        </is>
      </c>
      <c r="B11664" s="4" t="n">
        <v>44895</v>
      </c>
      <c r="C11664" s="3" t="inlineStr">
        <is>
          <t>Expenses</t>
        </is>
      </c>
      <c r="D11664" s="3" t="inlineStr">
        <is>
          <t>4650/000</t>
        </is>
      </c>
      <c r="E11664" s="3" t="inlineStr">
        <is>
          <t>Travel _AND_ Accommodation</t>
        </is>
      </c>
      <c r="F11664" s="3" t="n">
        <v>497.42</v>
      </c>
      <c r="G11664" s="3" t="n">
        <v>572.3200000000001</v>
      </c>
    </row>
    <row r="11665">
      <c r="A11665" s="3" t="inlineStr">
        <is>
          <t>Quinate Consulting (Pty) Ltd</t>
        </is>
      </c>
      <c r="B11665" s="4" t="n">
        <v>44895</v>
      </c>
      <c r="C11665" s="3" t="inlineStr">
        <is>
          <t>Expenses</t>
        </is>
      </c>
      <c r="D11665" s="3" t="inlineStr">
        <is>
          <t>4650/000</t>
        </is>
      </c>
      <c r="E11665" s="3" t="inlineStr">
        <is>
          <t>Travel _AND_ Accommodation</t>
        </is>
      </c>
      <c r="F11665" s="3" t="n">
        <v>313.04</v>
      </c>
      <c r="G11665" s="3" t="n">
        <v>5699.04</v>
      </c>
    </row>
    <row r="11666">
      <c r="A11666" s="3" t="inlineStr">
        <is>
          <t>Quinate Consulting (Pty) Ltd</t>
        </is>
      </c>
      <c r="B11666" s="4" t="n">
        <v>44895</v>
      </c>
      <c r="C11666" s="3" t="inlineStr">
        <is>
          <t>Expenses</t>
        </is>
      </c>
      <c r="D11666" s="3" t="inlineStr">
        <is>
          <t>4650/010</t>
        </is>
      </c>
      <c r="E11666" s="3" t="inlineStr">
        <is>
          <t>Travel - Local Flights</t>
        </is>
      </c>
      <c r="F11666" s="3" t="n">
        <v>0</v>
      </c>
      <c r="G11666" s="3" t="n">
        <v>6912.27</v>
      </c>
    </row>
    <row r="11667">
      <c r="A11667" s="3" t="inlineStr">
        <is>
          <t>Opportunity Global Investment (PTY) LTD</t>
        </is>
      </c>
      <c r="B11667" s="4" t="n">
        <v>44895</v>
      </c>
      <c r="C11667" s="3" t="inlineStr">
        <is>
          <t>Expenses</t>
        </is>
      </c>
      <c r="D11667" s="3" t="inlineStr">
        <is>
          <t>4650/020</t>
        </is>
      </c>
      <c r="E11667" s="3" t="inlineStr">
        <is>
          <t>Travel Accomodation - Car Hire</t>
        </is>
      </c>
      <c r="F11667" s="3" t="n">
        <v>0</v>
      </c>
      <c r="G11667" s="3" t="n">
        <v>457.39</v>
      </c>
    </row>
    <row r="11668">
      <c r="A11668" s="3" t="inlineStr">
        <is>
          <t>Quinate Consulting (Pty) Ltd</t>
        </is>
      </c>
      <c r="B11668" s="4" t="n">
        <v>44895</v>
      </c>
      <c r="C11668" s="3" t="inlineStr">
        <is>
          <t>Expenses</t>
        </is>
      </c>
      <c r="D11668" s="3" t="inlineStr">
        <is>
          <t>4650/030</t>
        </is>
      </c>
      <c r="E11668" s="3" t="inlineStr">
        <is>
          <t>Travel - Parking</t>
        </is>
      </c>
      <c r="F11668" s="3" t="n">
        <v>0</v>
      </c>
      <c r="G11668" s="3" t="n">
        <v>156.52</v>
      </c>
    </row>
    <row r="11669">
      <c r="A11669" s="3" t="inlineStr">
        <is>
          <t>Quinate Consulting (Pty) Ltd</t>
        </is>
      </c>
      <c r="B11669" s="4" t="n">
        <v>44895</v>
      </c>
      <c r="C11669" s="3" t="inlineStr">
        <is>
          <t>Expenses</t>
        </is>
      </c>
      <c r="D11669" s="3" t="inlineStr">
        <is>
          <t>4650/040</t>
        </is>
      </c>
      <c r="E11669" s="3" t="inlineStr">
        <is>
          <t>Travel - Local Car Hire</t>
        </is>
      </c>
      <c r="F11669" s="3" t="n">
        <v>0</v>
      </c>
      <c r="G11669" s="3" t="n">
        <v>1873</v>
      </c>
    </row>
    <row r="11670">
      <c r="A11670" s="3" t="inlineStr">
        <is>
          <t>Opportunity Global Investment (PTY) LTD</t>
        </is>
      </c>
      <c r="B11670" s="4" t="n">
        <v>44895</v>
      </c>
      <c r="C11670" s="3" t="inlineStr">
        <is>
          <t>Expenses</t>
        </is>
      </c>
      <c r="D11670" s="3" t="inlineStr">
        <is>
          <t>4650/080</t>
        </is>
      </c>
      <c r="E11670" s="3" t="inlineStr">
        <is>
          <t>Travel &amp; Accommodation - Staff Reimbursements</t>
        </is>
      </c>
      <c r="F11670" s="3" t="n">
        <v>0</v>
      </c>
      <c r="G11670" s="3" t="n">
        <v>453.72</v>
      </c>
    </row>
    <row r="11671">
      <c r="A11671" s="3" t="inlineStr">
        <is>
          <t>Opportunity Global Investment (PTY) LTD</t>
        </is>
      </c>
      <c r="B11671" s="4" t="n">
        <v>44895</v>
      </c>
      <c r="C11671" s="3" t="inlineStr">
        <is>
          <t>Expenses</t>
        </is>
      </c>
      <c r="D11671" s="3" t="inlineStr">
        <is>
          <t>4650/090</t>
        </is>
      </c>
      <c r="E11671" s="3" t="inlineStr">
        <is>
          <t>Travel &amp; Accom - Fuel</t>
        </is>
      </c>
      <c r="F11671" s="3" t="n">
        <v>3054.9</v>
      </c>
      <c r="G11671" s="3" t="n">
        <v>29985.19</v>
      </c>
    </row>
    <row r="11672">
      <c r="A11672" s="3" t="inlineStr">
        <is>
          <t>Quinate Consulting (Pty) Ltd</t>
        </is>
      </c>
      <c r="B11672" s="4" t="n">
        <v>44895</v>
      </c>
      <c r="C11672" s="3" t="inlineStr">
        <is>
          <t>Expenses</t>
        </is>
      </c>
      <c r="D11672" s="3" t="inlineStr">
        <is>
          <t>4650/600</t>
        </is>
      </c>
      <c r="E11672" s="3" t="inlineStr">
        <is>
          <t>Travel - Fuel</t>
        </is>
      </c>
      <c r="F11672" s="3" t="n">
        <v>0</v>
      </c>
      <c r="G11672" s="3" t="n">
        <v>983.1799999999999</v>
      </c>
    </row>
    <row r="11673">
      <c r="A11673" s="3" t="inlineStr">
        <is>
          <t>Noble Shield (Pty) Ltd ta Go Letting</t>
        </is>
      </c>
      <c r="B11673" s="4" t="n">
        <v>44895</v>
      </c>
      <c r="C11673" s="3" t="inlineStr">
        <is>
          <t>Expenses</t>
        </is>
      </c>
      <c r="D11673" s="3" t="inlineStr">
        <is>
          <t>4700/000</t>
        </is>
      </c>
      <c r="E11673" s="3" t="inlineStr">
        <is>
          <t>PAYE Contributions</t>
        </is>
      </c>
      <c r="F11673" s="3" t="n">
        <v>4617.72</v>
      </c>
      <c r="G11673" s="3" t="n">
        <v>13925.27</v>
      </c>
    </row>
    <row r="11674">
      <c r="A11674" s="3" t="inlineStr">
        <is>
          <t>Trademark Holdings (Pty) Ltd</t>
        </is>
      </c>
      <c r="B11674" s="4" t="n">
        <v>44895</v>
      </c>
      <c r="C11674" s="3" t="inlineStr">
        <is>
          <t>Expenses</t>
        </is>
      </c>
      <c r="D11674" s="3" t="inlineStr">
        <is>
          <t>4700/000</t>
        </is>
      </c>
      <c r="E11674" s="3" t="inlineStr">
        <is>
          <t>PAYE Contributions</t>
        </is>
      </c>
      <c r="F11674" s="3" t="n">
        <v>5796.84</v>
      </c>
      <c r="G11674" s="3" t="n">
        <v>15327.76</v>
      </c>
    </row>
    <row r="11675">
      <c r="A11675" s="3" t="inlineStr">
        <is>
          <t>Opportunity Global Investment (PTY) LTD</t>
        </is>
      </c>
      <c r="B11675" s="4" t="n">
        <v>44895</v>
      </c>
      <c r="C11675" s="3" t="inlineStr">
        <is>
          <t>Expenses</t>
        </is>
      </c>
      <c r="D11675" s="3" t="inlineStr">
        <is>
          <t>4700/000</t>
        </is>
      </c>
      <c r="E11675" s="3" t="inlineStr">
        <is>
          <t>UIF Contributions</t>
        </is>
      </c>
      <c r="F11675" s="3" t="n">
        <v>177.12</v>
      </c>
      <c r="G11675" s="3" t="n">
        <v>1594.08</v>
      </c>
    </row>
    <row r="11676">
      <c r="A11676" s="3" t="inlineStr">
        <is>
          <t>Opportunity Global Sales (PTY) LTD</t>
        </is>
      </c>
      <c r="B11676" s="4" t="n">
        <v>44895</v>
      </c>
      <c r="C11676" s="3" t="inlineStr">
        <is>
          <t>Expenses</t>
        </is>
      </c>
      <c r="D11676" s="3" t="inlineStr">
        <is>
          <t>4700/000</t>
        </is>
      </c>
      <c r="E11676" s="3" t="inlineStr">
        <is>
          <t>UIF Contributions</t>
        </is>
      </c>
      <c r="F11676" s="3" t="n">
        <v>177.12</v>
      </c>
      <c r="G11676" s="3" t="n">
        <v>1694.08</v>
      </c>
    </row>
    <row r="11677">
      <c r="A11677" s="3" t="inlineStr">
        <is>
          <t>Opportunity Global Sales (PTY) LTD</t>
        </is>
      </c>
      <c r="B11677" s="4" t="n">
        <v>44895</v>
      </c>
      <c r="C11677" s="3" t="inlineStr">
        <is>
          <t>Expenses</t>
        </is>
      </c>
      <c r="D11677" s="3" t="inlineStr">
        <is>
          <t>4701/000</t>
        </is>
      </c>
      <c r="E11677" s="3" t="inlineStr">
        <is>
          <t>UIF Employee Contribution</t>
        </is>
      </c>
      <c r="F11677" s="3" t="n">
        <v>177.12</v>
      </c>
      <c r="G11677" s="3" t="n">
        <v>1694.08</v>
      </c>
    </row>
    <row r="11678">
      <c r="A11678" s="3" t="inlineStr">
        <is>
          <t>Opportunity Global Investment (PTY) LTD</t>
        </is>
      </c>
      <c r="B11678" s="4" t="n">
        <v>44895</v>
      </c>
      <c r="C11678" s="3" t="inlineStr">
        <is>
          <t>Expenses</t>
        </is>
      </c>
      <c r="D11678" s="3" t="inlineStr">
        <is>
          <t>4701/000</t>
        </is>
      </c>
      <c r="E11678" s="3" t="inlineStr">
        <is>
          <t>UIF Employee Contributions</t>
        </is>
      </c>
      <c r="F11678" s="3" t="n">
        <v>177.12</v>
      </c>
      <c r="G11678" s="3" t="n">
        <v>1594.08</v>
      </c>
    </row>
    <row r="11679">
      <c r="A11679" s="3" t="inlineStr">
        <is>
          <t>Noble Shield (Pty) Ltd ta Go Letting</t>
        </is>
      </c>
      <c r="B11679" s="4" t="n">
        <v>44895</v>
      </c>
      <c r="C11679" s="3" t="inlineStr">
        <is>
          <t>Expenses</t>
        </is>
      </c>
      <c r="D11679" s="3" t="inlineStr">
        <is>
          <t>4710/000</t>
        </is>
      </c>
      <c r="E11679" s="3" t="inlineStr">
        <is>
          <t>UIF Company Contributions</t>
        </is>
      </c>
      <c r="F11679" s="3" t="n">
        <v>245.25</v>
      </c>
      <c r="G11679" s="3" t="n">
        <v>735.75</v>
      </c>
    </row>
    <row r="11680">
      <c r="A11680" s="3" t="inlineStr">
        <is>
          <t>Trademark Holdings (Pty) Ltd</t>
        </is>
      </c>
      <c r="B11680" s="4" t="n">
        <v>44895</v>
      </c>
      <c r="C11680" s="3" t="inlineStr">
        <is>
          <t>Expenses</t>
        </is>
      </c>
      <c r="D11680" s="3" t="inlineStr">
        <is>
          <t>4710/000</t>
        </is>
      </c>
      <c r="E11680" s="3" t="inlineStr">
        <is>
          <t>UIF Company Contributions</t>
        </is>
      </c>
      <c r="F11680" s="3" t="n">
        <v>95.25</v>
      </c>
      <c r="G11680" s="3" t="n">
        <v>285.75</v>
      </c>
    </row>
    <row r="11681">
      <c r="A11681" s="3" t="inlineStr">
        <is>
          <t>Noble Shield (Pty) Ltd ta Go Letting</t>
        </is>
      </c>
      <c r="B11681" s="4" t="n">
        <v>44895</v>
      </c>
      <c r="C11681" s="3" t="inlineStr">
        <is>
          <t>Expenses</t>
        </is>
      </c>
      <c r="D11681" s="3" t="inlineStr">
        <is>
          <t>4711/000</t>
        </is>
      </c>
      <c r="E11681" s="3" t="inlineStr">
        <is>
          <t>UIF Employee Contribution</t>
        </is>
      </c>
      <c r="F11681" s="3" t="n">
        <v>245.25</v>
      </c>
      <c r="G11681" s="3" t="n">
        <v>735.75</v>
      </c>
    </row>
    <row r="11682">
      <c r="A11682" s="3" t="inlineStr">
        <is>
          <t>Trademark Holdings (Pty) Ltd</t>
        </is>
      </c>
      <c r="B11682" s="4" t="n">
        <v>44895</v>
      </c>
      <c r="C11682" s="3" t="inlineStr">
        <is>
          <t>Expenses</t>
        </is>
      </c>
      <c r="D11682" s="3" t="inlineStr">
        <is>
          <t>4711/000</t>
        </is>
      </c>
      <c r="E11682" s="3" t="inlineStr">
        <is>
          <t>UIF Employee Contributions</t>
        </is>
      </c>
      <c r="F11682" s="3" t="n">
        <v>95.25</v>
      </c>
      <c r="G11682" s="3" t="n">
        <v>285.75</v>
      </c>
    </row>
    <row r="11683">
      <c r="A11683" s="3" t="inlineStr">
        <is>
          <t>Noble Shield (Pty) Ltd ta Go Letting</t>
        </is>
      </c>
      <c r="B11683" s="4" t="n">
        <v>44895</v>
      </c>
      <c r="C11683" s="3" t="inlineStr">
        <is>
          <t>Expenses</t>
        </is>
      </c>
      <c r="D11683" s="3" t="inlineStr">
        <is>
          <t>4720/000</t>
        </is>
      </c>
      <c r="E11683" s="3" t="inlineStr">
        <is>
          <t>SDL Contributions</t>
        </is>
      </c>
      <c r="F11683" s="3" t="n">
        <v>421.61</v>
      </c>
      <c r="G11683" s="3" t="n">
        <v>1267.61</v>
      </c>
    </row>
    <row r="11684">
      <c r="A11684" s="3" t="inlineStr">
        <is>
          <t>Trademark Holdings (Pty) Ltd</t>
        </is>
      </c>
      <c r="B11684" s="4" t="n">
        <v>44895</v>
      </c>
      <c r="C11684" s="3" t="inlineStr">
        <is>
          <t>Expenses</t>
        </is>
      </c>
      <c r="D11684" s="3" t="inlineStr">
        <is>
          <t>4720/000</t>
        </is>
      </c>
      <c r="E11684" s="3" t="inlineStr">
        <is>
          <t>SDL Contributions</t>
        </is>
      </c>
      <c r="F11684" s="3" t="n">
        <v>327.21</v>
      </c>
      <c r="G11684" s="3" t="n">
        <v>915.09</v>
      </c>
    </row>
    <row r="11685">
      <c r="A11685" s="3" t="inlineStr">
        <is>
          <t>Opportunity Global Investment (PTY) LTD</t>
        </is>
      </c>
      <c r="B11685" s="4" t="n">
        <v>44895</v>
      </c>
      <c r="C11685" s="3" t="inlineStr">
        <is>
          <t>Expenses</t>
        </is>
      </c>
      <c r="D11685" s="3" t="inlineStr">
        <is>
          <t>4730/000</t>
        </is>
      </c>
      <c r="E11685" s="3" t="inlineStr">
        <is>
          <t>PAYE Contributions</t>
        </is>
      </c>
      <c r="F11685" s="3" t="n">
        <v>9136.700000000001</v>
      </c>
      <c r="G11685" s="3" t="n">
        <v>82230.28</v>
      </c>
    </row>
    <row r="11686">
      <c r="A11686" s="3" t="inlineStr">
        <is>
          <t>Opportunity Global Sales (PTY) LTD</t>
        </is>
      </c>
      <c r="B11686" s="4" t="n">
        <v>44895</v>
      </c>
      <c r="C11686" s="3" t="inlineStr">
        <is>
          <t>Expenses</t>
        </is>
      </c>
      <c r="D11686" s="3" t="inlineStr">
        <is>
          <t>4730/000</t>
        </is>
      </c>
      <c r="E11686" s="3" t="inlineStr">
        <is>
          <t>PAYE Contributions</t>
        </is>
      </c>
      <c r="F11686" s="3" t="n">
        <v>8367.33</v>
      </c>
      <c r="G11686" s="3" t="n">
        <v>202874.04</v>
      </c>
    </row>
    <row r="11687">
      <c r="A11687" s="3" t="inlineStr">
        <is>
          <t>Opportunity Management Holdings (PTY) LTD</t>
        </is>
      </c>
      <c r="B11687" s="4" t="n">
        <v>44895</v>
      </c>
      <c r="C11687" s="3" t="inlineStr">
        <is>
          <t>Expenses</t>
        </is>
      </c>
      <c r="D11687" s="3" t="inlineStr">
        <is>
          <t>4730/000</t>
        </is>
      </c>
      <c r="E11687" s="3" t="inlineStr">
        <is>
          <t>PAYE Contributions</t>
        </is>
      </c>
      <c r="F11687" s="3" t="n">
        <v>46124.73</v>
      </c>
      <c r="G11687" s="3" t="n">
        <v>137815.9</v>
      </c>
    </row>
    <row r="11688">
      <c r="A11688" s="3" t="inlineStr">
        <is>
          <t>Opportunity Global Investment (PTY) LTD</t>
        </is>
      </c>
      <c r="B11688" s="4" t="n">
        <v>44895</v>
      </c>
      <c r="C11688" s="3" t="inlineStr">
        <is>
          <t>Expenses</t>
        </is>
      </c>
      <c r="D11688" s="3" t="inlineStr">
        <is>
          <t>4740/000</t>
        </is>
      </c>
      <c r="E11688" s="3" t="inlineStr">
        <is>
          <t>SDL Contributions</t>
        </is>
      </c>
      <c r="F11688" s="3" t="n">
        <v>431.1</v>
      </c>
      <c r="G11688" s="3" t="n">
        <v>3879.9</v>
      </c>
    </row>
    <row r="11689">
      <c r="A11689" s="3" t="inlineStr">
        <is>
          <t>Opportunity Global Sales (PTY) LTD</t>
        </is>
      </c>
      <c r="B11689" s="4" t="n">
        <v>44895</v>
      </c>
      <c r="C11689" s="3" t="inlineStr">
        <is>
          <t>Expenses</t>
        </is>
      </c>
      <c r="D11689" s="3" t="inlineStr">
        <is>
          <t>4740/000</t>
        </is>
      </c>
      <c r="E11689" s="3" t="inlineStr">
        <is>
          <t>SDL Contributions</t>
        </is>
      </c>
      <c r="F11689" s="3" t="n">
        <v>2794.93</v>
      </c>
      <c r="G11689" s="3" t="n">
        <v>16229.79</v>
      </c>
    </row>
    <row r="11690">
      <c r="A11690" s="3" t="inlineStr">
        <is>
          <t>Opportunity Management Holdings (PTY) LTD</t>
        </is>
      </c>
      <c r="B11690" s="4" t="n">
        <v>44895</v>
      </c>
      <c r="C11690" s="3" t="inlineStr">
        <is>
          <t>Expenses</t>
        </is>
      </c>
      <c r="D11690" s="3" t="inlineStr">
        <is>
          <t>4740/000</t>
        </is>
      </c>
      <c r="E11690" s="3" t="inlineStr">
        <is>
          <t>UIF Company Contribution</t>
        </is>
      </c>
      <c r="F11690" s="3" t="n">
        <v>1576.72</v>
      </c>
      <c r="G11690" s="3" t="n">
        <v>4709.08</v>
      </c>
    </row>
    <row r="11691">
      <c r="A11691" s="3" t="inlineStr">
        <is>
          <t>Opportunity Management Holdings (PTY) LTD</t>
        </is>
      </c>
      <c r="B11691" s="4" t="n">
        <v>44895</v>
      </c>
      <c r="C11691" s="3" t="inlineStr">
        <is>
          <t>Expenses</t>
        </is>
      </c>
      <c r="D11691" s="3" t="inlineStr">
        <is>
          <t>4741/000</t>
        </is>
      </c>
      <c r="E11691" s="3" t="inlineStr">
        <is>
          <t>UIF Employee Contribution</t>
        </is>
      </c>
      <c r="F11691" s="3" t="n">
        <v>1576.72</v>
      </c>
      <c r="G11691" s="3" t="n">
        <v>4709.08</v>
      </c>
    </row>
    <row r="11692">
      <c r="A11692" s="3" t="inlineStr">
        <is>
          <t>Opportunity Management Holdings (PTY) LTD</t>
        </is>
      </c>
      <c r="B11692" s="4" t="n">
        <v>44895</v>
      </c>
      <c r="C11692" s="3" t="inlineStr">
        <is>
          <t>Expenses</t>
        </is>
      </c>
      <c r="D11692" s="3" t="inlineStr">
        <is>
          <t>4750/000</t>
        </is>
      </c>
      <c r="E11692" s="3" t="inlineStr">
        <is>
          <t>SDL Contribution</t>
        </is>
      </c>
      <c r="F11692" s="3" t="n">
        <v>2654</v>
      </c>
      <c r="G11692" s="3" t="n">
        <v>7900.31</v>
      </c>
    </row>
    <row r="11693">
      <c r="A11693" s="3" t="inlineStr">
        <is>
          <t>Noble Shield (Pty) Ltd ta Go Letting</t>
        </is>
      </c>
      <c r="B11693" s="4" t="n">
        <v>44895</v>
      </c>
      <c r="C11693" s="3" t="inlineStr">
        <is>
          <t>Equity</t>
        </is>
      </c>
      <c r="D11693" s="3" t="inlineStr">
        <is>
          <t>5100/000</t>
        </is>
      </c>
      <c r="E11693" s="3" t="inlineStr">
        <is>
          <t>Share Capital</t>
        </is>
      </c>
      <c r="F11693" s="3" t="n">
        <v>0</v>
      </c>
      <c r="G11693" s="3" t="n">
        <v>-1</v>
      </c>
    </row>
    <row r="11694">
      <c r="A11694" s="3" t="inlineStr">
        <is>
          <t>Opportunity Management Holdings (PTY) LTD</t>
        </is>
      </c>
      <c r="B11694" s="4" t="n">
        <v>44895</v>
      </c>
      <c r="C11694" s="3" t="inlineStr">
        <is>
          <t>Equity</t>
        </is>
      </c>
      <c r="D11694" s="3" t="inlineStr">
        <is>
          <t>5100/000</t>
        </is>
      </c>
      <c r="E11694" s="3" t="inlineStr">
        <is>
          <t>Share Capital / Members Contribution</t>
        </is>
      </c>
      <c r="F11694" s="3" t="n">
        <v>0</v>
      </c>
      <c r="G11694" s="3" t="n">
        <v>-120</v>
      </c>
    </row>
    <row r="11695">
      <c r="A11695" s="3" t="inlineStr">
        <is>
          <t>Quinate Consulting (Pty) Ltd</t>
        </is>
      </c>
      <c r="B11695" s="4" t="n">
        <v>44895</v>
      </c>
      <c r="C11695" s="3" t="inlineStr">
        <is>
          <t>Equity</t>
        </is>
      </c>
      <c r="D11695" s="3" t="inlineStr">
        <is>
          <t>5100/000</t>
        </is>
      </c>
      <c r="E11695" s="3" t="inlineStr">
        <is>
          <t>Share Capital / Members Contribution</t>
        </is>
      </c>
      <c r="F11695" s="3" t="n">
        <v>0</v>
      </c>
      <c r="G11695" s="3" t="n">
        <v>-120</v>
      </c>
    </row>
    <row r="11696">
      <c r="A11696" s="3" t="inlineStr">
        <is>
          <t>Trademark Holdings (Pty) Ltd</t>
        </is>
      </c>
      <c r="B11696" s="4" t="n">
        <v>44895</v>
      </c>
      <c r="C11696" s="3" t="inlineStr">
        <is>
          <t>Equity</t>
        </is>
      </c>
      <c r="D11696" s="3" t="inlineStr">
        <is>
          <t>5100/001</t>
        </is>
      </c>
      <c r="E11696" s="3" t="inlineStr">
        <is>
          <t>Share Capital - GFY Investments</t>
        </is>
      </c>
      <c r="F11696" s="3" t="n">
        <v>0</v>
      </c>
      <c r="G11696" s="3" t="n">
        <v>-60</v>
      </c>
    </row>
    <row r="11697">
      <c r="A11697" s="3" t="inlineStr">
        <is>
          <t>Trademark Holdings (Pty) Ltd</t>
        </is>
      </c>
      <c r="B11697" s="4" t="n">
        <v>44895</v>
      </c>
      <c r="C11697" s="3" t="inlineStr">
        <is>
          <t>Equity</t>
        </is>
      </c>
      <c r="D11697" s="3" t="inlineStr">
        <is>
          <t>5100/002</t>
        </is>
      </c>
      <c r="E11697" s="3" t="inlineStr">
        <is>
          <t>Share Capital - Zak Trust</t>
        </is>
      </c>
      <c r="F11697" s="3" t="n">
        <v>0</v>
      </c>
      <c r="G11697" s="3" t="n">
        <v>-60</v>
      </c>
    </row>
    <row r="11698">
      <c r="A11698" s="3" t="inlineStr">
        <is>
          <t>Opportunity Global Investment (PTY) LTD</t>
        </is>
      </c>
      <c r="B11698" s="4" t="n">
        <v>44895</v>
      </c>
      <c r="C11698" s="3" t="inlineStr">
        <is>
          <t>Equity</t>
        </is>
      </c>
      <c r="D11698" s="3" t="inlineStr">
        <is>
          <t>5101/000</t>
        </is>
      </c>
      <c r="E11698" s="3" t="inlineStr">
        <is>
          <t>Share Capital - Ordinary Type A</t>
        </is>
      </c>
      <c r="F11698" s="3" t="n">
        <v>0</v>
      </c>
      <c r="G11698" s="3" t="n">
        <v>-70</v>
      </c>
    </row>
    <row r="11699">
      <c r="A11699" s="3" t="inlineStr">
        <is>
          <t>Opportunity Global Investment (PTY) LTD</t>
        </is>
      </c>
      <c r="B11699" s="4" t="n">
        <v>44895</v>
      </c>
      <c r="C11699" s="3" t="inlineStr">
        <is>
          <t>Equity</t>
        </is>
      </c>
      <c r="D11699" s="3" t="inlineStr">
        <is>
          <t>5102/000</t>
        </is>
      </c>
      <c r="E11699" s="3" t="inlineStr">
        <is>
          <t>Share Capital - Ordinary Type B</t>
        </is>
      </c>
      <c r="F11699" s="3" t="n">
        <v>0</v>
      </c>
      <c r="G11699" s="3" t="n">
        <v>-30</v>
      </c>
    </row>
    <row r="11700">
      <c r="A11700" s="3" t="inlineStr">
        <is>
          <t>Endulini (Pty) Ltd</t>
        </is>
      </c>
      <c r="B11700" s="4" t="n">
        <v>44895</v>
      </c>
      <c r="C11700" s="3" t="inlineStr">
        <is>
          <t>Equity</t>
        </is>
      </c>
      <c r="D11700" s="3" t="inlineStr">
        <is>
          <t>5200/000</t>
        </is>
      </c>
      <c r="E11700" s="3" t="inlineStr">
        <is>
          <t>Retained Earnings / Loss</t>
        </is>
      </c>
      <c r="F11700" s="3" t="n">
        <v>0</v>
      </c>
      <c r="G11700" s="3" t="n">
        <v>-4937860.07</v>
      </c>
    </row>
    <row r="11701">
      <c r="A11701" s="3" t="inlineStr">
        <is>
          <t>Noble Shield (Pty) Ltd ta Go Letting</t>
        </is>
      </c>
      <c r="B11701" s="4" t="n">
        <v>44895</v>
      </c>
      <c r="C11701" s="3" t="inlineStr">
        <is>
          <t>Equity</t>
        </is>
      </c>
      <c r="D11701" s="3" t="inlineStr">
        <is>
          <t>5200/000</t>
        </is>
      </c>
      <c r="E11701" s="3" t="inlineStr">
        <is>
          <t>Retained Earnings / Loss</t>
        </is>
      </c>
      <c r="F11701" s="3" t="n">
        <v>0</v>
      </c>
      <c r="G11701" s="3" t="n">
        <v>-64792.67</v>
      </c>
    </row>
    <row r="11702">
      <c r="A11702" s="3" t="inlineStr">
        <is>
          <t>Opportunity Global Investment (PTY) LTD</t>
        </is>
      </c>
      <c r="B11702" s="4" t="n">
        <v>44895</v>
      </c>
      <c r="C11702" s="3" t="inlineStr">
        <is>
          <t>Equity</t>
        </is>
      </c>
      <c r="D11702" s="3" t="inlineStr">
        <is>
          <t>5200/000</t>
        </is>
      </c>
      <c r="E11702" s="3" t="inlineStr">
        <is>
          <t>Retained Earnings / Loss</t>
        </is>
      </c>
      <c r="F11702" s="3" t="n">
        <v>0</v>
      </c>
      <c r="G11702" s="3" t="n">
        <v>465853.58</v>
      </c>
    </row>
    <row r="11703">
      <c r="A11703" s="3" t="inlineStr">
        <is>
          <t>Opportunity Global Sales (PTY) LTD</t>
        </is>
      </c>
      <c r="B11703" s="4" t="n">
        <v>44895</v>
      </c>
      <c r="C11703" s="3" t="inlineStr">
        <is>
          <t>Equity</t>
        </is>
      </c>
      <c r="D11703" s="3" t="inlineStr">
        <is>
          <t>5200/000</t>
        </is>
      </c>
      <c r="E11703" s="3" t="inlineStr">
        <is>
          <t>Retained Earnings / Loss</t>
        </is>
      </c>
      <c r="F11703" s="3" t="n">
        <v>0</v>
      </c>
      <c r="G11703" s="3" t="n">
        <v>-565683.55</v>
      </c>
    </row>
    <row r="11704">
      <c r="A11704" s="3" t="inlineStr">
        <is>
          <t>Opportunity Management Holdings (PTY) LTD</t>
        </is>
      </c>
      <c r="B11704" s="4" t="n">
        <v>44895</v>
      </c>
      <c r="C11704" s="3" t="inlineStr">
        <is>
          <t>Equity</t>
        </is>
      </c>
      <c r="D11704" s="3" t="inlineStr">
        <is>
          <t>5200/000</t>
        </is>
      </c>
      <c r="E11704" s="3" t="inlineStr">
        <is>
          <t>Retained Earnings / Loss</t>
        </is>
      </c>
      <c r="F11704" s="3" t="n">
        <v>0</v>
      </c>
      <c r="G11704" s="3" t="n">
        <v>1230800.76</v>
      </c>
    </row>
    <row r="11705">
      <c r="A11705" s="3" t="inlineStr">
        <is>
          <t>Quinate Consulting (Pty) Ltd</t>
        </is>
      </c>
      <c r="B11705" s="4" t="n">
        <v>44895</v>
      </c>
      <c r="C11705" s="3" t="inlineStr">
        <is>
          <t>Equity</t>
        </is>
      </c>
      <c r="D11705" s="3" t="inlineStr">
        <is>
          <t>5200/000</t>
        </is>
      </c>
      <c r="E11705" s="3" t="inlineStr">
        <is>
          <t>Retained Earnings / Loss</t>
        </is>
      </c>
      <c r="F11705" s="3" t="n">
        <v>0</v>
      </c>
      <c r="G11705" s="3" t="n">
        <v>571333.3</v>
      </c>
    </row>
    <row r="11706">
      <c r="A11706" s="3" t="inlineStr">
        <is>
          <t>Trademark Holdings (Pty) Ltd</t>
        </is>
      </c>
      <c r="B11706" s="4" t="n">
        <v>44895</v>
      </c>
      <c r="C11706" s="3" t="inlineStr">
        <is>
          <t>Equity</t>
        </is>
      </c>
      <c r="D11706" s="3" t="inlineStr">
        <is>
          <t>5200/000</t>
        </is>
      </c>
      <c r="E11706" s="3" t="inlineStr">
        <is>
          <t>Retained Earnings / Loss</t>
        </is>
      </c>
      <c r="F11706" s="3" t="n">
        <v>0</v>
      </c>
      <c r="G11706" s="3" t="n">
        <v>-155356.41</v>
      </c>
    </row>
    <row r="11707">
      <c r="A11707" s="3" t="inlineStr">
        <is>
          <t>Quinate Consulting (Pty) Ltd</t>
        </is>
      </c>
      <c r="B11707" s="4" t="n">
        <v>44895</v>
      </c>
      <c r="C11707" s="3" t="inlineStr">
        <is>
          <t>Assets</t>
        </is>
      </c>
      <c r="D11707" s="3" t="inlineStr">
        <is>
          <t>5400/011</t>
        </is>
      </c>
      <c r="E11707" s="3" t="inlineStr">
        <is>
          <t>Members Loan - Nick Morgan</t>
        </is>
      </c>
      <c r="F11707" s="3" t="n">
        <v>0</v>
      </c>
      <c r="G11707" s="3" t="n">
        <v>-85743.69</v>
      </c>
    </row>
    <row r="11708">
      <c r="A11708" s="3" t="inlineStr">
        <is>
          <t>Opportunity Management Holdings (PTY) LTD</t>
        </is>
      </c>
      <c r="B11708" s="4" t="n">
        <v>44895</v>
      </c>
      <c r="C11708" s="3" t="inlineStr">
        <is>
          <t>Assets</t>
        </is>
      </c>
      <c r="D11708" s="3" t="inlineStr">
        <is>
          <t>5400/500</t>
        </is>
      </c>
      <c r="E11708" s="3" t="inlineStr">
        <is>
          <t>Shareholder - Zak Loan</t>
        </is>
      </c>
      <c r="F11708" s="3" t="n">
        <v>0</v>
      </c>
      <c r="G11708" s="3" t="n">
        <v>-171798.21</v>
      </c>
    </row>
    <row r="11709">
      <c r="A11709" s="3" t="inlineStr">
        <is>
          <t>Quinate Consulting (Pty) Ltd</t>
        </is>
      </c>
      <c r="B11709" s="4" t="n">
        <v>44895</v>
      </c>
      <c r="C11709" s="3" t="inlineStr">
        <is>
          <t>Liabilities</t>
        </is>
      </c>
      <c r="D11709" s="3" t="inlineStr">
        <is>
          <t>5500/010</t>
        </is>
      </c>
      <c r="E11709" s="3" t="inlineStr">
        <is>
          <t>Loan - Wynand Haywood</t>
        </is>
      </c>
      <c r="F11709" s="3" t="n">
        <v>0</v>
      </c>
      <c r="G11709" s="3" t="n">
        <v>1928.67</v>
      </c>
    </row>
    <row r="11710">
      <c r="A11710" s="3" t="inlineStr">
        <is>
          <t>Quinate Consulting (Pty) Ltd</t>
        </is>
      </c>
      <c r="B11710" s="4" t="n">
        <v>44895</v>
      </c>
      <c r="C11710" s="3" t="inlineStr">
        <is>
          <t>Liabilities</t>
        </is>
      </c>
      <c r="D11710" s="3" t="inlineStr">
        <is>
          <t>5500/030</t>
        </is>
      </c>
      <c r="E11710" s="3" t="inlineStr">
        <is>
          <t>Loan - Heron Projects</t>
        </is>
      </c>
      <c r="F11710" s="3" t="n">
        <v>-4000</v>
      </c>
      <c r="G11710" s="3" t="n">
        <v>-4000</v>
      </c>
    </row>
    <row r="11711">
      <c r="A11711" s="3" t="inlineStr">
        <is>
          <t>Noble Shield (Pty) Ltd ta Go Letting</t>
        </is>
      </c>
      <c r="B11711" s="4" t="n">
        <v>44895</v>
      </c>
      <c r="C11711" s="3" t="inlineStr">
        <is>
          <t>Liabilities</t>
        </is>
      </c>
      <c r="D11711" s="3" t="inlineStr">
        <is>
          <t>5500/100</t>
        </is>
      </c>
      <c r="E11711" s="3" t="inlineStr">
        <is>
          <t>Loan - Jupiter Trust</t>
        </is>
      </c>
      <c r="F11711" s="3" t="n">
        <v>0</v>
      </c>
      <c r="G11711" s="3" t="n">
        <v>-100228.75</v>
      </c>
    </row>
    <row r="11712">
      <c r="A11712" s="3" t="inlineStr">
        <is>
          <t>Endulini (Pty) Ltd</t>
        </is>
      </c>
      <c r="B11712" s="4" t="n">
        <v>44895</v>
      </c>
      <c r="C11712" s="3" t="inlineStr">
        <is>
          <t>Liabilities</t>
        </is>
      </c>
      <c r="D11712" s="3" t="inlineStr">
        <is>
          <t>5500/100</t>
        </is>
      </c>
      <c r="E11712" s="3" t="inlineStr">
        <is>
          <t>Loan - Quinate Consulting</t>
        </is>
      </c>
      <c r="F11712" s="3" t="n">
        <v>253812.6</v>
      </c>
      <c r="G11712" s="3" t="n">
        <v>-9251749.1</v>
      </c>
    </row>
    <row r="11713">
      <c r="A11713" s="3" t="inlineStr">
        <is>
          <t>Opportunity Global Investment (PTY) LTD</t>
        </is>
      </c>
      <c r="B11713" s="4" t="n">
        <v>44895</v>
      </c>
      <c r="C11713" s="3" t="inlineStr">
        <is>
          <t>Liabilities</t>
        </is>
      </c>
      <c r="D11713" s="3" t="inlineStr">
        <is>
          <t>5500/112</t>
        </is>
      </c>
      <c r="E11713" s="3" t="inlineStr">
        <is>
          <t>Loan - GFY</t>
        </is>
      </c>
      <c r="F11713" s="3" t="n">
        <v>0</v>
      </c>
      <c r="G11713" s="3" t="n">
        <v>-289000</v>
      </c>
    </row>
    <row r="11714">
      <c r="A11714" s="3" t="inlineStr">
        <is>
          <t>Endulini (Pty) Ltd</t>
        </is>
      </c>
      <c r="B11714" s="4" t="n">
        <v>44895</v>
      </c>
      <c r="C11714" s="3" t="inlineStr">
        <is>
          <t>Liabilities</t>
        </is>
      </c>
      <c r="D11714" s="3" t="inlineStr">
        <is>
          <t>5500/150</t>
        </is>
      </c>
      <c r="E11714" s="3" t="inlineStr">
        <is>
          <t>Loan - Cape Projects Construction</t>
        </is>
      </c>
      <c r="F11714" s="3" t="n">
        <v>0</v>
      </c>
      <c r="G11714" s="3" t="n">
        <v>-1367000</v>
      </c>
    </row>
    <row r="11715">
      <c r="A11715" s="3" t="inlineStr">
        <is>
          <t>Quinate Consulting (Pty) Ltd</t>
        </is>
      </c>
      <c r="B11715" s="4" t="n">
        <v>44895</v>
      </c>
      <c r="C11715" s="3" t="inlineStr">
        <is>
          <t>Liabilities</t>
        </is>
      </c>
      <c r="D11715" s="3" t="inlineStr">
        <is>
          <t>5500/160</t>
        </is>
      </c>
      <c r="E11715" s="3" t="inlineStr">
        <is>
          <t>Loan - GFY Investment and Consulting</t>
        </is>
      </c>
      <c r="F11715" s="3" t="n">
        <v>0</v>
      </c>
      <c r="G11715" s="3" t="n">
        <v>-1750249.93</v>
      </c>
    </row>
    <row r="11716">
      <c r="A11716" s="3" t="inlineStr">
        <is>
          <t>Endulini (Pty) Ltd</t>
        </is>
      </c>
      <c r="B11716" s="4" t="n">
        <v>44895</v>
      </c>
      <c r="C11716" s="3" t="inlineStr">
        <is>
          <t>Liabilities</t>
        </is>
      </c>
      <c r="D11716" s="3" t="inlineStr">
        <is>
          <t>5500/200</t>
        </is>
      </c>
      <c r="E11716" s="3" t="inlineStr">
        <is>
          <t>Loan - Opportunity Management Holdings</t>
        </is>
      </c>
      <c r="F11716" s="3" t="n">
        <v>-100000</v>
      </c>
      <c r="G11716" s="3" t="n">
        <v>0</v>
      </c>
    </row>
    <row r="11717">
      <c r="A11717" s="3" t="inlineStr">
        <is>
          <t>Endulini (Pty) Ltd</t>
        </is>
      </c>
      <c r="B11717" s="4" t="n">
        <v>44895</v>
      </c>
      <c r="C11717" s="3" t="inlineStr">
        <is>
          <t>Liabilities</t>
        </is>
      </c>
      <c r="D11717" s="3" t="inlineStr">
        <is>
          <t>5500/250</t>
        </is>
      </c>
      <c r="E11717" s="3" t="inlineStr">
        <is>
          <t>Loan - Heron Projects</t>
        </is>
      </c>
      <c r="F11717" s="3" t="n">
        <v>-4240.63</v>
      </c>
      <c r="G11717" s="3" t="n">
        <v>0</v>
      </c>
    </row>
    <row r="11718">
      <c r="A11718" s="3" t="inlineStr">
        <is>
          <t>Trademark Holdings (Pty) Ltd</t>
        </is>
      </c>
      <c r="B11718" s="4" t="n">
        <v>44895</v>
      </c>
      <c r="C11718" s="3" t="inlineStr">
        <is>
          <t>Liabilities</t>
        </is>
      </c>
      <c r="D11718" s="3" t="inlineStr">
        <is>
          <t>5500/250</t>
        </is>
      </c>
      <c r="E11718" s="3" t="inlineStr">
        <is>
          <t>Loan - Noble Shield</t>
        </is>
      </c>
      <c r="F11718" s="3" t="n">
        <v>-15000</v>
      </c>
      <c r="G11718" s="3" t="n">
        <v>108165.59</v>
      </c>
    </row>
    <row r="11719">
      <c r="A11719" s="3" t="inlineStr">
        <is>
          <t>Opportunity Management Holdings (PTY) LTD</t>
        </is>
      </c>
      <c r="B11719" s="4" t="n">
        <v>44895</v>
      </c>
      <c r="C11719" s="3" t="inlineStr">
        <is>
          <t>Liabilities</t>
        </is>
      </c>
      <c r="D11719" s="3" t="inlineStr">
        <is>
          <t>5500/250</t>
        </is>
      </c>
      <c r="E11719" s="3" t="inlineStr">
        <is>
          <t>Loan - Quinate</t>
        </is>
      </c>
      <c r="F11719" s="3" t="n">
        <v>100000</v>
      </c>
      <c r="G11719" s="3" t="n">
        <v>0</v>
      </c>
    </row>
    <row r="11720">
      <c r="A11720" s="3" t="inlineStr">
        <is>
          <t>Quinate Consulting (Pty) Ltd</t>
        </is>
      </c>
      <c r="B11720" s="4" t="n">
        <v>44895</v>
      </c>
      <c r="C11720" s="3" t="inlineStr">
        <is>
          <t>Liabilities</t>
        </is>
      </c>
      <c r="D11720" s="3" t="inlineStr">
        <is>
          <t>5500/300</t>
        </is>
      </c>
      <c r="E11720" s="3" t="inlineStr">
        <is>
          <t>Loan - Gengis</t>
        </is>
      </c>
      <c r="F11720" s="3" t="n">
        <v>0</v>
      </c>
      <c r="G11720" s="3" t="n">
        <v>-276898.64</v>
      </c>
    </row>
    <row r="11721">
      <c r="A11721" s="3" t="inlineStr">
        <is>
          <t>Opportunity Management Holdings (PTY) LTD</t>
        </is>
      </c>
      <c r="B11721" s="4" t="n">
        <v>44895</v>
      </c>
      <c r="C11721" s="3" t="inlineStr">
        <is>
          <t>Liabilities</t>
        </is>
      </c>
      <c r="D11721" s="3" t="inlineStr">
        <is>
          <t>5500/300</t>
        </is>
      </c>
      <c r="E11721" s="3" t="inlineStr">
        <is>
          <t>Loan - Opportunity Prop Management</t>
        </is>
      </c>
      <c r="F11721" s="3" t="n">
        <v>0</v>
      </c>
      <c r="G11721" s="3" t="n">
        <v>-1220204.15</v>
      </c>
    </row>
    <row r="11722">
      <c r="A11722" s="3" t="inlineStr">
        <is>
          <t>Noble Shield (Pty) Ltd ta Go Letting</t>
        </is>
      </c>
      <c r="B11722" s="4" t="n">
        <v>44895</v>
      </c>
      <c r="C11722" s="3" t="inlineStr">
        <is>
          <t>Liabilities</t>
        </is>
      </c>
      <c r="D11722" s="3" t="inlineStr">
        <is>
          <t>5500/300</t>
        </is>
      </c>
      <c r="E11722" s="3" t="inlineStr">
        <is>
          <t>Loan - Trademark Holdings</t>
        </is>
      </c>
      <c r="F11722" s="3" t="n">
        <v>15000</v>
      </c>
      <c r="G11722" s="3" t="n">
        <v>-108165.59</v>
      </c>
    </row>
    <row r="11723">
      <c r="A11723" s="3" t="inlineStr">
        <is>
          <t>Trademark Holdings (Pty) Ltd</t>
        </is>
      </c>
      <c r="B11723" s="4" t="n">
        <v>44895</v>
      </c>
      <c r="C11723" s="3" t="inlineStr">
        <is>
          <t>Liabilities</t>
        </is>
      </c>
      <c r="D11723" s="3" t="inlineStr">
        <is>
          <t>5500/375</t>
        </is>
      </c>
      <c r="E11723" s="3" t="inlineStr">
        <is>
          <t>Loan - Opportunity Management Holdings Pty Ltd</t>
        </is>
      </c>
      <c r="F11723" s="3" t="n">
        <v>29400</v>
      </c>
      <c r="G11723" s="3" t="n">
        <v>-46000</v>
      </c>
    </row>
    <row r="11724">
      <c r="A11724" s="3" t="inlineStr">
        <is>
          <t>Trademark Holdings (Pty) Ltd</t>
        </is>
      </c>
      <c r="B11724" s="4" t="n">
        <v>44895</v>
      </c>
      <c r="C11724" s="3" t="inlineStr">
        <is>
          <t>Liabilities</t>
        </is>
      </c>
      <c r="D11724" s="3" t="inlineStr">
        <is>
          <t>5500/450</t>
        </is>
      </c>
      <c r="E11724" s="3" t="inlineStr">
        <is>
          <t>Loan - Cape Projects Construction</t>
        </is>
      </c>
      <c r="F11724" s="3" t="n">
        <v>1200</v>
      </c>
      <c r="G11724" s="3" t="n">
        <v>0</v>
      </c>
    </row>
    <row r="11725">
      <c r="A11725" s="3" t="inlineStr">
        <is>
          <t>Trademark Holdings (Pty) Ltd</t>
        </is>
      </c>
      <c r="B11725" s="4" t="n">
        <v>44895</v>
      </c>
      <c r="C11725" s="3" t="inlineStr">
        <is>
          <t>Liabilities</t>
        </is>
      </c>
      <c r="D11725" s="3" t="inlineStr">
        <is>
          <t>5500/500</t>
        </is>
      </c>
      <c r="E11725" s="3" t="inlineStr">
        <is>
          <t>Go Letting Brand Name</t>
        </is>
      </c>
      <c r="F11725" s="3" t="n">
        <v>0</v>
      </c>
      <c r="G11725" s="3" t="n">
        <v>93420</v>
      </c>
    </row>
    <row r="11726">
      <c r="A11726" s="3" t="inlineStr">
        <is>
          <t>Noble Shield (Pty) Ltd ta Go Letting</t>
        </is>
      </c>
      <c r="B11726" s="4" t="n">
        <v>44895</v>
      </c>
      <c r="C11726" s="3" t="inlineStr">
        <is>
          <t>Liabilities</t>
        </is>
      </c>
      <c r="D11726" s="3" t="inlineStr">
        <is>
          <t>5500/500</t>
        </is>
      </c>
      <c r="E11726" s="3" t="inlineStr">
        <is>
          <t>Loan - Cape Projects Construction</t>
        </is>
      </c>
      <c r="F11726" s="3" t="n">
        <v>1200</v>
      </c>
      <c r="G11726" s="3" t="n">
        <v>0</v>
      </c>
    </row>
    <row r="11727">
      <c r="A11727" s="3" t="inlineStr">
        <is>
          <t>Quinate Consulting (Pty) Ltd</t>
        </is>
      </c>
      <c r="B11727" s="4" t="n">
        <v>44895</v>
      </c>
      <c r="C11727" s="3" t="inlineStr">
        <is>
          <t>Liabilities</t>
        </is>
      </c>
      <c r="D11727" s="3" t="inlineStr">
        <is>
          <t>5500/500</t>
        </is>
      </c>
      <c r="E11727" s="3" t="inlineStr">
        <is>
          <t>Loan - Opportunity Development Struct.</t>
        </is>
      </c>
      <c r="F11727" s="3" t="n">
        <v>0</v>
      </c>
      <c r="G11727" s="3" t="n">
        <v>-2380000</v>
      </c>
    </row>
    <row r="11728">
      <c r="A11728" s="3" t="inlineStr">
        <is>
          <t>Opportunity Management Holdings (PTY) LTD</t>
        </is>
      </c>
      <c r="B11728" s="4" t="n">
        <v>44895</v>
      </c>
      <c r="C11728" s="3" t="inlineStr">
        <is>
          <t>Liabilities</t>
        </is>
      </c>
      <c r="D11728" s="3" t="inlineStr">
        <is>
          <t>5500/500</t>
        </is>
      </c>
      <c r="E11728" s="3" t="inlineStr">
        <is>
          <t>Loan - Opportunity Tradermark Holdings</t>
        </is>
      </c>
      <c r="F11728" s="3" t="n">
        <v>-29400</v>
      </c>
      <c r="G11728" s="3" t="n">
        <v>46000</v>
      </c>
    </row>
    <row r="11729">
      <c r="A11729" s="3" t="inlineStr">
        <is>
          <t>Quinate Consulting (Pty) Ltd</t>
        </is>
      </c>
      <c r="B11729" s="4" t="n">
        <v>44895</v>
      </c>
      <c r="C11729" s="3" t="inlineStr">
        <is>
          <t>Liabilities</t>
        </is>
      </c>
      <c r="D11729" s="3" t="inlineStr">
        <is>
          <t>5500/520</t>
        </is>
      </c>
      <c r="E11729" s="3" t="inlineStr">
        <is>
          <t>Loan - Opportunity Management Holdings</t>
        </is>
      </c>
      <c r="F11729" s="3" t="n">
        <v>0</v>
      </c>
      <c r="G11729" s="3" t="n">
        <v>-3900</v>
      </c>
    </row>
    <row r="11730">
      <c r="A11730" s="3" t="inlineStr">
        <is>
          <t>Opportunity Management Holdings (PTY) LTD</t>
        </is>
      </c>
      <c r="B11730" s="4" t="n">
        <v>44895</v>
      </c>
      <c r="C11730" s="3" t="inlineStr">
        <is>
          <t>Liabilities</t>
        </is>
      </c>
      <c r="D11730" s="3" t="inlineStr">
        <is>
          <t>5500/550</t>
        </is>
      </c>
      <c r="E11730" s="3" t="inlineStr">
        <is>
          <t>Loan - Heron Projects</t>
        </is>
      </c>
      <c r="F11730" s="3" t="n">
        <v>-30000</v>
      </c>
      <c r="G11730" s="3" t="n">
        <v>0</v>
      </c>
    </row>
    <row r="11731">
      <c r="A11731" s="3" t="inlineStr">
        <is>
          <t>Opportunity Global Investment (PTY) LTD</t>
        </is>
      </c>
      <c r="B11731" s="4" t="n">
        <v>44895</v>
      </c>
      <c r="C11731" s="3" t="inlineStr">
        <is>
          <t>Liabilities</t>
        </is>
      </c>
      <c r="D11731" s="3" t="inlineStr">
        <is>
          <t>5500/650</t>
        </is>
      </c>
      <c r="E11731" s="3" t="inlineStr">
        <is>
          <t>Loan - Opportunit Global - Sales</t>
        </is>
      </c>
      <c r="F11731" s="3" t="n">
        <v>-513400</v>
      </c>
      <c r="G11731" s="3" t="n">
        <v>-1791693.12</v>
      </c>
    </row>
    <row r="11732">
      <c r="A11732" s="3" t="inlineStr">
        <is>
          <t>Opportunity Global Sales (PTY) LTD</t>
        </is>
      </c>
      <c r="B11732" s="4" t="n">
        <v>44895</v>
      </c>
      <c r="C11732" s="3" t="inlineStr">
        <is>
          <t>Liabilities</t>
        </is>
      </c>
      <c r="D11732" s="3" t="inlineStr">
        <is>
          <t>5500/650</t>
        </is>
      </c>
      <c r="E11732" s="3" t="inlineStr">
        <is>
          <t>Loan - Opportunity Investments</t>
        </is>
      </c>
      <c r="F11732" s="3" t="n">
        <v>513400</v>
      </c>
      <c r="G11732" s="3" t="n">
        <v>1791693.12</v>
      </c>
    </row>
    <row r="11733">
      <c r="A11733" s="3" t="inlineStr">
        <is>
          <t>Opportunity Management Holdings (PTY) LTD</t>
        </is>
      </c>
      <c r="B11733" s="4" t="n">
        <v>44895</v>
      </c>
      <c r="C11733" s="3" t="inlineStr">
        <is>
          <t>Liabilities</t>
        </is>
      </c>
      <c r="D11733" s="3" t="inlineStr">
        <is>
          <t>5500/700</t>
        </is>
      </c>
      <c r="E11733" s="3" t="inlineStr">
        <is>
          <t>Loan - Go Letting</t>
        </is>
      </c>
      <c r="F11733" s="3" t="n">
        <v>0</v>
      </c>
      <c r="G11733" s="3" t="n">
        <v>-120</v>
      </c>
    </row>
    <row r="11734">
      <c r="A11734" s="3" t="inlineStr">
        <is>
          <t>Opportunity Global Investment (PTY) LTD</t>
        </is>
      </c>
      <c r="B11734" s="4" t="n">
        <v>44895</v>
      </c>
      <c r="C11734" s="3" t="inlineStr">
        <is>
          <t>Liabilities</t>
        </is>
      </c>
      <c r="D11734" s="3" t="inlineStr">
        <is>
          <t>5500/850</t>
        </is>
      </c>
      <c r="E11734" s="3" t="inlineStr">
        <is>
          <t>Loan - Nick Morgan</t>
        </is>
      </c>
      <c r="F11734" s="3" t="n">
        <v>2100</v>
      </c>
      <c r="G11734" s="3" t="n">
        <v>6200</v>
      </c>
    </row>
    <row r="11735">
      <c r="A11735" s="3" t="inlineStr">
        <is>
          <t>Opportunity Global Investment (PTY) LTD</t>
        </is>
      </c>
      <c r="B11735" s="4" t="n">
        <v>44895</v>
      </c>
      <c r="C11735" s="3" t="inlineStr">
        <is>
          <t>Liabilities</t>
        </is>
      </c>
      <c r="D11735" s="3" t="inlineStr">
        <is>
          <t>5500/950</t>
        </is>
      </c>
      <c r="E11735" s="3" t="inlineStr">
        <is>
          <t>Loan - Gengis</t>
        </is>
      </c>
      <c r="F11735" s="3" t="n">
        <v>0</v>
      </c>
      <c r="G11735" s="3" t="n">
        <v>-120000</v>
      </c>
    </row>
    <row r="11736">
      <c r="A11736" s="3" t="inlineStr">
        <is>
          <t>Quinate Consulting (Pty) Ltd</t>
        </is>
      </c>
      <c r="B11736" s="4" t="n">
        <v>44895</v>
      </c>
      <c r="C11736" s="3" t="inlineStr">
        <is>
          <t>Liabilities</t>
        </is>
      </c>
      <c r="D11736" s="3" t="inlineStr">
        <is>
          <t>5501/001</t>
        </is>
      </c>
      <c r="E11736" s="3" t="inlineStr">
        <is>
          <t>Loan - Endulini CIP Costs</t>
        </is>
      </c>
      <c r="F11736" s="3" t="n">
        <v>-49400</v>
      </c>
      <c r="G11736" s="3" t="n">
        <v>9136161.699999999</v>
      </c>
    </row>
    <row r="11737">
      <c r="A11737" s="3" t="inlineStr">
        <is>
          <t>Opportunity Management Holdings (PTY) LTD</t>
        </is>
      </c>
      <c r="B11737" s="4" t="n">
        <v>44895</v>
      </c>
      <c r="C11737" s="3" t="inlineStr">
        <is>
          <t>Liabilities</t>
        </is>
      </c>
      <c r="D11737" s="3" t="inlineStr">
        <is>
          <t>5510/100</t>
        </is>
      </c>
      <c r="E11737" s="3" t="inlineStr">
        <is>
          <t>Staff loan - Debbie Landsberg</t>
        </is>
      </c>
      <c r="F11737" s="3" t="n">
        <v>-2000</v>
      </c>
      <c r="G11737" s="3" t="n">
        <v>8900</v>
      </c>
    </row>
    <row r="11738">
      <c r="A11738" s="3" t="inlineStr">
        <is>
          <t>Noble Shield (Pty) Ltd ta Go Letting</t>
        </is>
      </c>
      <c r="B11738" s="4" t="n">
        <v>44895</v>
      </c>
      <c r="C11738" s="3" t="inlineStr">
        <is>
          <t>Assets</t>
        </is>
      </c>
      <c r="D11738" s="3" t="inlineStr">
        <is>
          <t>6250/010</t>
        </is>
      </c>
      <c r="E11738" s="3" t="inlineStr">
        <is>
          <t>Computer Equipment - @ Cost</t>
        </is>
      </c>
      <c r="F11738" s="3" t="n">
        <v>0</v>
      </c>
      <c r="G11738" s="3" t="n">
        <v>20397</v>
      </c>
    </row>
    <row r="11739">
      <c r="A11739" s="3" t="inlineStr">
        <is>
          <t>Opportunity Management Holdings (PTY) LTD</t>
        </is>
      </c>
      <c r="B11739" s="4" t="n">
        <v>44895</v>
      </c>
      <c r="C11739" s="3" t="inlineStr">
        <is>
          <t>Assets</t>
        </is>
      </c>
      <c r="D11739" s="3" t="inlineStr">
        <is>
          <t>6250/010</t>
        </is>
      </c>
      <c r="E11739" s="3" t="inlineStr">
        <is>
          <t>Computer Equipment - @ Cost</t>
        </is>
      </c>
      <c r="F11739" s="3" t="n">
        <v>0</v>
      </c>
      <c r="G11739" s="3" t="n">
        <v>38977.85</v>
      </c>
    </row>
    <row r="11740">
      <c r="A11740" s="3" t="inlineStr">
        <is>
          <t>Quinate Consulting (Pty) Ltd</t>
        </is>
      </c>
      <c r="B11740" s="4" t="n">
        <v>44895</v>
      </c>
      <c r="C11740" s="3" t="inlineStr">
        <is>
          <t>Assets</t>
        </is>
      </c>
      <c r="D11740" s="3" t="inlineStr">
        <is>
          <t>6250/010</t>
        </is>
      </c>
      <c r="E11740" s="3" t="inlineStr">
        <is>
          <t>Computer Equipment - @ Cost</t>
        </is>
      </c>
      <c r="F11740" s="3" t="n">
        <v>0</v>
      </c>
      <c r="G11740" s="3" t="n">
        <v>137059.7</v>
      </c>
    </row>
    <row r="11741">
      <c r="A11741" s="3" t="inlineStr">
        <is>
          <t>Noble Shield (Pty) Ltd ta Go Letting</t>
        </is>
      </c>
      <c r="B11741" s="4" t="n">
        <v>44895</v>
      </c>
      <c r="C11741" s="3" t="inlineStr">
        <is>
          <t>Assets</t>
        </is>
      </c>
      <c r="D11741" s="3" t="inlineStr">
        <is>
          <t>6250/020</t>
        </is>
      </c>
      <c r="E11741" s="3" t="inlineStr">
        <is>
          <t>Computer Equipment - Accum Depre</t>
        </is>
      </c>
      <c r="F11741" s="3" t="n">
        <v>0</v>
      </c>
      <c r="G11741" s="3" t="n">
        <v>-12040.89</v>
      </c>
    </row>
    <row r="11742">
      <c r="A11742" s="3" t="inlineStr">
        <is>
          <t>Opportunity Management Holdings (PTY) LTD</t>
        </is>
      </c>
      <c r="B11742" s="4" t="n">
        <v>44895</v>
      </c>
      <c r="C11742" s="3" t="inlineStr">
        <is>
          <t>Assets</t>
        </is>
      </c>
      <c r="D11742" s="3" t="inlineStr">
        <is>
          <t>6250/020</t>
        </is>
      </c>
      <c r="E11742" s="3" t="inlineStr">
        <is>
          <t>Computer Equipment - Accum Depre</t>
        </is>
      </c>
      <c r="F11742" s="3" t="n">
        <v>-668.51</v>
      </c>
      <c r="G11742" s="3" t="n">
        <v>-3236.99</v>
      </c>
    </row>
    <row r="11743">
      <c r="A11743" s="3" t="inlineStr">
        <is>
          <t>Quinate Consulting (Pty) Ltd</t>
        </is>
      </c>
      <c r="B11743" s="4" t="n">
        <v>44895</v>
      </c>
      <c r="C11743" s="3" t="inlineStr">
        <is>
          <t>Assets</t>
        </is>
      </c>
      <c r="D11743" s="3" t="inlineStr">
        <is>
          <t>6250/020</t>
        </is>
      </c>
      <c r="E11743" s="3" t="inlineStr">
        <is>
          <t>Computer Equipment - Accum Depre</t>
        </is>
      </c>
      <c r="F11743" s="3" t="n">
        <v>-3141.38</v>
      </c>
      <c r="G11743" s="3" t="n">
        <v>-90569.12</v>
      </c>
    </row>
    <row r="11744">
      <c r="A11744" s="3" t="inlineStr">
        <is>
          <t>Opportunity Management Holdings (PTY) LTD</t>
        </is>
      </c>
      <c r="B11744" s="4" t="n">
        <v>44895</v>
      </c>
      <c r="C11744" s="3" t="inlineStr">
        <is>
          <t>Assets</t>
        </is>
      </c>
      <c r="D11744" s="3" t="inlineStr">
        <is>
          <t>6250/030</t>
        </is>
      </c>
      <c r="E11744" s="3" t="inlineStr">
        <is>
          <t>Acc Depreciation - Computer Equipment</t>
        </is>
      </c>
      <c r="F11744" s="3" t="n">
        <v>0</v>
      </c>
      <c r="G11744" s="3" t="n">
        <v>-9441.25</v>
      </c>
    </row>
    <row r="11745">
      <c r="A11745" s="3" t="inlineStr">
        <is>
          <t>Quinate Consulting (Pty) Ltd</t>
        </is>
      </c>
      <c r="B11745" s="4" t="n">
        <v>44895</v>
      </c>
      <c r="C11745" s="3" t="inlineStr">
        <is>
          <t>Assets</t>
        </is>
      </c>
      <c r="D11745" s="3" t="inlineStr">
        <is>
          <t>6270/010</t>
        </is>
      </c>
      <c r="E11745" s="3" t="inlineStr">
        <is>
          <t>Site Containers - @ Cost</t>
        </is>
      </c>
      <c r="F11745" s="3" t="n">
        <v>0</v>
      </c>
      <c r="G11745" s="3" t="n">
        <v>19130.44</v>
      </c>
    </row>
    <row r="11746">
      <c r="A11746" s="3" t="inlineStr">
        <is>
          <t>Quinate Consulting (Pty) Ltd</t>
        </is>
      </c>
      <c r="B11746" s="4" t="n">
        <v>44895</v>
      </c>
      <c r="C11746" s="3" t="inlineStr">
        <is>
          <t>Assets</t>
        </is>
      </c>
      <c r="D11746" s="3" t="inlineStr">
        <is>
          <t>6270/020</t>
        </is>
      </c>
      <c r="E11746" s="3" t="inlineStr">
        <is>
          <t>Site Containers - Accum Depre</t>
        </is>
      </c>
      <c r="F11746" s="3" t="n">
        <v>-318.84</v>
      </c>
      <c r="G11746" s="3" t="n">
        <v>-6695.64</v>
      </c>
    </row>
    <row r="11747">
      <c r="A11747" s="3" t="inlineStr">
        <is>
          <t>Noble Shield (Pty) Ltd ta Go Letting</t>
        </is>
      </c>
      <c r="B11747" s="4" t="n">
        <v>44895</v>
      </c>
      <c r="C11747" s="3" t="inlineStr">
        <is>
          <t>Assets</t>
        </is>
      </c>
      <c r="D11747" s="3" t="inlineStr">
        <is>
          <t>6350/010</t>
        </is>
      </c>
      <c r="E11747" s="3" t="inlineStr">
        <is>
          <t>Furniture _AND_ Fittings - @ Cost</t>
        </is>
      </c>
      <c r="F11747" s="3" t="n">
        <v>0</v>
      </c>
      <c r="G11747" s="3" t="n">
        <v>2242</v>
      </c>
    </row>
    <row r="11748">
      <c r="A11748" s="3" t="inlineStr">
        <is>
          <t>Opportunity Global Sales (PTY) LTD</t>
        </is>
      </c>
      <c r="B11748" s="4" t="n">
        <v>44895</v>
      </c>
      <c r="C11748" s="3" t="inlineStr">
        <is>
          <t>Assets</t>
        </is>
      </c>
      <c r="D11748" s="3" t="inlineStr">
        <is>
          <t>6350/010</t>
        </is>
      </c>
      <c r="E11748" s="3" t="inlineStr">
        <is>
          <t>Furniture _AND_ Fittings - @ Cost</t>
        </is>
      </c>
      <c r="F11748" s="3" t="n">
        <v>0</v>
      </c>
      <c r="G11748" s="3" t="n">
        <v>29379.7</v>
      </c>
    </row>
    <row r="11749">
      <c r="A11749" s="3" t="inlineStr">
        <is>
          <t>Noble Shield (Pty) Ltd ta Go Letting</t>
        </is>
      </c>
      <c r="B11749" s="4" t="n">
        <v>44895</v>
      </c>
      <c r="C11749" s="3" t="inlineStr">
        <is>
          <t>Assets</t>
        </is>
      </c>
      <c r="D11749" s="3" t="inlineStr">
        <is>
          <t>6350/020</t>
        </is>
      </c>
      <c r="E11749" s="3" t="inlineStr">
        <is>
          <t>Furniture _AND_ Fittings - Accum Depre</t>
        </is>
      </c>
      <c r="F11749" s="3" t="n">
        <v>0</v>
      </c>
      <c r="G11749" s="3" t="n">
        <v>-2239</v>
      </c>
    </row>
    <row r="11750">
      <c r="A11750" s="3" t="inlineStr">
        <is>
          <t>Opportunity Global Sales (PTY) LTD</t>
        </is>
      </c>
      <c r="B11750" s="4" t="n">
        <v>44895</v>
      </c>
      <c r="C11750" s="3" t="inlineStr">
        <is>
          <t>Assets</t>
        </is>
      </c>
      <c r="D11750" s="3" t="inlineStr">
        <is>
          <t>6350/020</t>
        </is>
      </c>
      <c r="E11750" s="3" t="inlineStr">
        <is>
          <t>Furniture _AND_ Fittings - Accum Depre</t>
        </is>
      </c>
      <c r="F11750" s="3" t="n">
        <v>-408.05</v>
      </c>
      <c r="G11750" s="3" t="n">
        <v>-2040.26</v>
      </c>
    </row>
    <row r="11751">
      <c r="A11751" s="3" t="inlineStr">
        <is>
          <t>Opportunity Management Holdings (PTY) LTD</t>
        </is>
      </c>
      <c r="B11751" s="4" t="n">
        <v>44895</v>
      </c>
      <c r="C11751" s="3" t="inlineStr">
        <is>
          <t>Liabilities</t>
        </is>
      </c>
      <c r="D11751" s="3" t="inlineStr">
        <is>
          <t>6500/000</t>
        </is>
      </c>
      <c r="E11751" s="3" t="inlineStr">
        <is>
          <t>Deposits - Held</t>
        </is>
      </c>
      <c r="F11751" s="3" t="n">
        <v>0</v>
      </c>
      <c r="G11751" s="3" t="n">
        <v>-12028.1</v>
      </c>
    </row>
    <row r="11752">
      <c r="A11752" s="3" t="inlineStr">
        <is>
          <t>Opportunity Management Holdings (PTY) LTD</t>
        </is>
      </c>
      <c r="B11752" s="4" t="n">
        <v>44895</v>
      </c>
      <c r="C11752" s="3" t="inlineStr">
        <is>
          <t>Liabilities</t>
        </is>
      </c>
      <c r="D11752" s="3" t="inlineStr">
        <is>
          <t>6510/000</t>
        </is>
      </c>
      <c r="E11752" s="3" t="inlineStr">
        <is>
          <t>Deposits Paid - Anicol Properties</t>
        </is>
      </c>
      <c r="F11752" s="3" t="n">
        <v>0</v>
      </c>
      <c r="G11752" s="3" t="n">
        <v>13755</v>
      </c>
    </row>
    <row r="11753">
      <c r="A11753" s="3" t="inlineStr">
        <is>
          <t>Opportunity Management Holdings (PTY) LTD</t>
        </is>
      </c>
      <c r="B11753" s="4" t="n">
        <v>44895</v>
      </c>
      <c r="C11753" s="3" t="inlineStr">
        <is>
          <t>Liabilities</t>
        </is>
      </c>
      <c r="D11753" s="3" t="inlineStr">
        <is>
          <t>6515/000</t>
        </is>
      </c>
      <c r="E11753" s="3" t="inlineStr">
        <is>
          <t>Deposits Paid</t>
        </is>
      </c>
      <c r="F11753" s="3" t="n">
        <v>0</v>
      </c>
      <c r="G11753" s="3" t="n">
        <v>3852.5</v>
      </c>
    </row>
    <row r="11754">
      <c r="A11754" s="3" t="inlineStr">
        <is>
          <t>Quinate Consulting (Pty) Ltd</t>
        </is>
      </c>
      <c r="B11754" s="4" t="n">
        <v>44895</v>
      </c>
      <c r="C11754" s="3" t="inlineStr">
        <is>
          <t>Assets</t>
        </is>
      </c>
      <c r="D11754" s="3" t="inlineStr">
        <is>
          <t>6600/010</t>
        </is>
      </c>
      <c r="E11754" s="3" t="inlineStr">
        <is>
          <t>Other Fixed Assets - @ Cost</t>
        </is>
      </c>
      <c r="F11754" s="3" t="n">
        <v>0</v>
      </c>
      <c r="G11754" s="3" t="n">
        <v>14442.5</v>
      </c>
    </row>
    <row r="11755">
      <c r="A11755" s="3" t="inlineStr">
        <is>
          <t>Quinate Consulting (Pty) Ltd</t>
        </is>
      </c>
      <c r="B11755" s="4" t="n">
        <v>44895</v>
      </c>
      <c r="C11755" s="3" t="inlineStr">
        <is>
          <t>Assets</t>
        </is>
      </c>
      <c r="D11755" s="3" t="inlineStr">
        <is>
          <t>6600/020</t>
        </is>
      </c>
      <c r="E11755" s="3" t="inlineStr">
        <is>
          <t>Other Fixed Assets - Accum Depre</t>
        </is>
      </c>
      <c r="F11755" s="3" t="n">
        <v>0</v>
      </c>
      <c r="G11755" s="3" t="n">
        <v>-14441.5</v>
      </c>
    </row>
    <row r="11756">
      <c r="A11756" s="3" t="inlineStr">
        <is>
          <t>Noble Shield (Pty) Ltd ta Go Letting</t>
        </is>
      </c>
      <c r="B11756" s="4" t="n">
        <v>44895</v>
      </c>
      <c r="C11756" s="3" t="inlineStr">
        <is>
          <t>Assets</t>
        </is>
      </c>
      <c r="D11756" s="3" t="inlineStr">
        <is>
          <t>7000/100</t>
        </is>
      </c>
      <c r="E11756" s="3" t="inlineStr">
        <is>
          <t>Goodwill - Purchase of Go Letting</t>
        </is>
      </c>
      <c r="F11756" s="3" t="n">
        <v>0</v>
      </c>
      <c r="G11756" s="3" t="n">
        <v>106580</v>
      </c>
    </row>
    <row r="11757">
      <c r="A11757" s="3" t="inlineStr">
        <is>
          <t>Opportunity Management Holdings (PTY) LTD</t>
        </is>
      </c>
      <c r="B11757" s="4" t="n">
        <v>44895</v>
      </c>
      <c r="C11757" s="3" t="inlineStr">
        <is>
          <t>Assets</t>
        </is>
      </c>
      <c r="D11757" s="3" t="inlineStr">
        <is>
          <t>7200/000</t>
        </is>
      </c>
      <c r="E11757" s="3" t="inlineStr">
        <is>
          <t>Shares in Subsidiary Companies</t>
        </is>
      </c>
      <c r="F11757" s="3" t="n">
        <v>0</v>
      </c>
      <c r="G11757" s="3" t="n">
        <v>120</v>
      </c>
    </row>
    <row r="11758">
      <c r="A11758" s="3" t="inlineStr">
        <is>
          <t>Endulini (Pty) Ltd</t>
        </is>
      </c>
      <c r="B11758" s="4" t="n">
        <v>44895</v>
      </c>
      <c r="C11758" s="3" t="inlineStr">
        <is>
          <t>Assets</t>
        </is>
      </c>
      <c r="D11758" s="3" t="inlineStr">
        <is>
          <t>7610/100</t>
        </is>
      </c>
      <c r="E11758" s="3" t="inlineStr">
        <is>
          <t>Endulini Land</t>
        </is>
      </c>
      <c r="F11758" s="3" t="n">
        <v>0</v>
      </c>
      <c r="G11758" s="3" t="n">
        <v>10572851.37</v>
      </c>
    </row>
    <row r="11759">
      <c r="A11759" s="3" t="inlineStr">
        <is>
          <t>Endulini (Pty) Ltd</t>
        </is>
      </c>
      <c r="B11759" s="4" t="n">
        <v>44895</v>
      </c>
      <c r="C11759" s="3" t="inlineStr">
        <is>
          <t>Assets</t>
        </is>
      </c>
      <c r="D11759" s="3" t="inlineStr">
        <is>
          <t>7610/111</t>
        </is>
      </c>
      <c r="E11759" s="3" t="inlineStr">
        <is>
          <t>Endulini Closing Stock February 2021</t>
        </is>
      </c>
      <c r="F11759" s="3" t="n">
        <v>0</v>
      </c>
      <c r="G11759" s="3" t="n">
        <v>15044610.11</v>
      </c>
    </row>
    <row r="11760">
      <c r="A11760" s="3" t="inlineStr">
        <is>
          <t>Endulini (Pty) Ltd</t>
        </is>
      </c>
      <c r="B11760" s="4" t="n">
        <v>44895</v>
      </c>
      <c r="C11760" s="3" t="inlineStr">
        <is>
          <t>Assets</t>
        </is>
      </c>
      <c r="D11760" s="3" t="inlineStr">
        <is>
          <t>7610/180</t>
        </is>
      </c>
      <c r="E11760" s="3" t="inlineStr">
        <is>
          <t>Endulini CIP Architects</t>
        </is>
      </c>
      <c r="F11760" s="3" t="n">
        <v>43658.26</v>
      </c>
      <c r="G11760" s="3" t="n">
        <v>1251503.01</v>
      </c>
    </row>
    <row r="11761">
      <c r="A11761" s="3" t="inlineStr">
        <is>
          <t>Endulini (Pty) Ltd</t>
        </is>
      </c>
      <c r="B11761" s="4" t="n">
        <v>44895</v>
      </c>
      <c r="C11761" s="3" t="inlineStr">
        <is>
          <t>Assets</t>
        </is>
      </c>
      <c r="D11761" s="3" t="inlineStr">
        <is>
          <t>7610/200</t>
        </is>
      </c>
      <c r="E11761" s="3" t="inlineStr">
        <is>
          <t>Endulini CIP CoCT Land Use App</t>
        </is>
      </c>
      <c r="F11761" s="3" t="n">
        <v>0</v>
      </c>
      <c r="G11761" s="3" t="n">
        <v>232891.06</v>
      </c>
    </row>
    <row r="11762">
      <c r="A11762" s="3" t="inlineStr">
        <is>
          <t>Endulini (Pty) Ltd</t>
        </is>
      </c>
      <c r="B11762" s="4" t="n">
        <v>44895</v>
      </c>
      <c r="C11762" s="3" t="inlineStr">
        <is>
          <t>Assets</t>
        </is>
      </c>
      <c r="D11762" s="3" t="inlineStr">
        <is>
          <t>7610/205</t>
        </is>
      </c>
      <c r="E11762" s="3" t="inlineStr">
        <is>
          <t>Endulini CIP Site Establishments</t>
        </is>
      </c>
      <c r="F11762" s="3" t="n">
        <v>0</v>
      </c>
      <c r="G11762" s="3" t="n">
        <v>32428975.01</v>
      </c>
    </row>
    <row r="11763">
      <c r="A11763" s="3" t="inlineStr">
        <is>
          <t>Endulini (Pty) Ltd</t>
        </is>
      </c>
      <c r="B11763" s="4" t="n">
        <v>44895</v>
      </c>
      <c r="C11763" s="3" t="inlineStr">
        <is>
          <t>Assets</t>
        </is>
      </c>
      <c r="D11763" s="3" t="inlineStr">
        <is>
          <t>7610/209</t>
        </is>
      </c>
      <c r="E11763" s="3" t="inlineStr">
        <is>
          <t>Endulini CIP Construction Management</t>
        </is>
      </c>
      <c r="F11763" s="3" t="n">
        <v>8500</v>
      </c>
      <c r="G11763" s="3" t="n">
        <v>221875</v>
      </c>
    </row>
    <row r="11764">
      <c r="A11764" s="3" t="inlineStr">
        <is>
          <t>Endulini (Pty) Ltd</t>
        </is>
      </c>
      <c r="B11764" s="4" t="n">
        <v>44895</v>
      </c>
      <c r="C11764" s="3" t="inlineStr">
        <is>
          <t>Assets</t>
        </is>
      </c>
      <c r="D11764" s="3" t="inlineStr">
        <is>
          <t>7610/210</t>
        </is>
      </c>
      <c r="E11764" s="3" t="inlineStr">
        <is>
          <t>Endulini CIP Civil Works</t>
        </is>
      </c>
      <c r="F11764" s="3" t="n">
        <v>0</v>
      </c>
      <c r="G11764" s="3" t="n">
        <v>6295702.14</v>
      </c>
    </row>
    <row r="11765">
      <c r="A11765" s="3" t="inlineStr">
        <is>
          <t>Endulini (Pty) Ltd</t>
        </is>
      </c>
      <c r="B11765" s="4" t="n">
        <v>44895</v>
      </c>
      <c r="C11765" s="3" t="inlineStr">
        <is>
          <t>Assets</t>
        </is>
      </c>
      <c r="D11765" s="3" t="inlineStr">
        <is>
          <t>7610/215</t>
        </is>
      </c>
      <c r="E11765" s="3" t="inlineStr">
        <is>
          <t>Endulini CIP Civil Engineers</t>
        </is>
      </c>
      <c r="F11765" s="3" t="n">
        <v>0</v>
      </c>
      <c r="G11765" s="3" t="n">
        <v>183000</v>
      </c>
    </row>
    <row r="11766">
      <c r="A11766" s="3" t="inlineStr">
        <is>
          <t>Endulini (Pty) Ltd</t>
        </is>
      </c>
      <c r="B11766" s="4" t="n">
        <v>44895</v>
      </c>
      <c r="C11766" s="3" t="inlineStr">
        <is>
          <t>Assets</t>
        </is>
      </c>
      <c r="D11766" s="3" t="inlineStr">
        <is>
          <t>7610/220</t>
        </is>
      </c>
      <c r="E11766" s="3" t="inlineStr">
        <is>
          <t>Endulini CIP Structuring Project Fee Opp Invest</t>
        </is>
      </c>
      <c r="F11766" s="3" t="n">
        <v>0</v>
      </c>
      <c r="G11766" s="3" t="n">
        <v>483735.96</v>
      </c>
    </row>
    <row r="11767">
      <c r="A11767" s="3" t="inlineStr">
        <is>
          <t>Endulini (Pty) Ltd</t>
        </is>
      </c>
      <c r="B11767" s="4" t="n">
        <v>44895</v>
      </c>
      <c r="C11767" s="3" t="inlineStr">
        <is>
          <t>Assets</t>
        </is>
      </c>
      <c r="D11767" s="3" t="inlineStr">
        <is>
          <t>7610/225</t>
        </is>
      </c>
      <c r="E11767" s="3" t="inlineStr">
        <is>
          <t>Endulini CIP Structural engineering fee</t>
        </is>
      </c>
      <c r="F11767" s="3" t="n">
        <v>0</v>
      </c>
      <c r="G11767" s="3" t="n">
        <v>346268.03</v>
      </c>
    </row>
    <row r="11768">
      <c r="A11768" s="3" t="inlineStr">
        <is>
          <t>Endulini (Pty) Ltd</t>
        </is>
      </c>
      <c r="B11768" s="4" t="n">
        <v>44895</v>
      </c>
      <c r="C11768" s="3" t="inlineStr">
        <is>
          <t>Assets</t>
        </is>
      </c>
      <c r="D11768" s="3" t="inlineStr">
        <is>
          <t>7610/230</t>
        </is>
      </c>
      <c r="E11768" s="3" t="inlineStr">
        <is>
          <t>Endulini CIP Mechanical Engineering</t>
        </is>
      </c>
      <c r="F11768" s="3" t="n">
        <v>0</v>
      </c>
      <c r="G11768" s="3" t="n">
        <v>15570</v>
      </c>
    </row>
    <row r="11769">
      <c r="A11769" s="3" t="inlineStr">
        <is>
          <t>Endulini (Pty) Ltd</t>
        </is>
      </c>
      <c r="B11769" s="4" t="n">
        <v>44895</v>
      </c>
      <c r="C11769" s="3" t="inlineStr">
        <is>
          <t>Assets</t>
        </is>
      </c>
      <c r="D11769" s="3" t="inlineStr">
        <is>
          <t>7610/235</t>
        </is>
      </c>
      <c r="E11769" s="3" t="inlineStr">
        <is>
          <t>Endulini CIP Electrical Installation</t>
        </is>
      </c>
      <c r="F11769" s="3" t="n">
        <v>0</v>
      </c>
      <c r="G11769" s="3" t="n">
        <v>1034019.08</v>
      </c>
    </row>
    <row r="11770">
      <c r="A11770" s="3" t="inlineStr">
        <is>
          <t>Endulini (Pty) Ltd</t>
        </is>
      </c>
      <c r="B11770" s="4" t="n">
        <v>44895</v>
      </c>
      <c r="C11770" s="3" t="inlineStr">
        <is>
          <t>Assets</t>
        </is>
      </c>
      <c r="D11770" s="3" t="inlineStr">
        <is>
          <t>7610/250</t>
        </is>
      </c>
      <c r="E11770" s="3" t="inlineStr">
        <is>
          <t>Endulini CIP Boundary Wall</t>
        </is>
      </c>
      <c r="F11770" s="3" t="n">
        <v>0</v>
      </c>
      <c r="G11770" s="3" t="n">
        <v>88400.8</v>
      </c>
    </row>
    <row r="11771">
      <c r="A11771" s="3" t="inlineStr">
        <is>
          <t>Endulini (Pty) Ltd</t>
        </is>
      </c>
      <c r="B11771" s="4" t="n">
        <v>44895</v>
      </c>
      <c r="C11771" s="3" t="inlineStr">
        <is>
          <t>Assets</t>
        </is>
      </c>
      <c r="D11771" s="3" t="inlineStr">
        <is>
          <t>7610/290</t>
        </is>
      </c>
      <c r="E11771" s="3" t="inlineStr">
        <is>
          <t>Endulini CIP Development Management Fees</t>
        </is>
      </c>
      <c r="F11771" s="3" t="n">
        <v>0</v>
      </c>
      <c r="G11771" s="3" t="n">
        <v>237496.62</v>
      </c>
    </row>
    <row r="11772">
      <c r="A11772" s="3" t="inlineStr">
        <is>
          <t>Endulini (Pty) Ltd</t>
        </is>
      </c>
      <c r="B11772" s="4" t="n">
        <v>44895</v>
      </c>
      <c r="C11772" s="3" t="inlineStr">
        <is>
          <t>Assets</t>
        </is>
      </c>
      <c r="D11772" s="3" t="inlineStr">
        <is>
          <t>7610/310</t>
        </is>
      </c>
      <c r="E11772" s="3" t="inlineStr">
        <is>
          <t>Endulini CIP Enviromental consultants</t>
        </is>
      </c>
      <c r="F11772" s="3" t="n">
        <v>0</v>
      </c>
      <c r="G11772" s="3" t="n">
        <v>108000</v>
      </c>
    </row>
    <row r="11773">
      <c r="A11773" s="3" t="inlineStr">
        <is>
          <t>Endulini (Pty) Ltd</t>
        </is>
      </c>
      <c r="B11773" s="4" t="n">
        <v>44895</v>
      </c>
      <c r="C11773" s="3" t="inlineStr">
        <is>
          <t>Assets</t>
        </is>
      </c>
      <c r="D11773" s="3" t="inlineStr">
        <is>
          <t>7610/320</t>
        </is>
      </c>
      <c r="E11773" s="3" t="inlineStr">
        <is>
          <t>Endulini CIP Geotechnical</t>
        </is>
      </c>
      <c r="F11773" s="3" t="n">
        <v>0</v>
      </c>
      <c r="G11773" s="3" t="n">
        <v>13575</v>
      </c>
    </row>
    <row r="11774">
      <c r="A11774" s="3" t="inlineStr">
        <is>
          <t>Endulini (Pty) Ltd</t>
        </is>
      </c>
      <c r="B11774" s="4" t="n">
        <v>44895</v>
      </c>
      <c r="C11774" s="3" t="inlineStr">
        <is>
          <t>Assets</t>
        </is>
      </c>
      <c r="D11774" s="3" t="inlineStr">
        <is>
          <t>7610/330</t>
        </is>
      </c>
      <c r="E11774" s="3" t="inlineStr">
        <is>
          <t>Endulini CIP Health and Safety</t>
        </is>
      </c>
      <c r="F11774" s="3" t="n">
        <v>0</v>
      </c>
      <c r="G11774" s="3" t="n">
        <v>40200</v>
      </c>
    </row>
    <row r="11775">
      <c r="A11775" s="3" t="inlineStr">
        <is>
          <t>Endulini (Pty) Ltd</t>
        </is>
      </c>
      <c r="B11775" s="4" t="n">
        <v>44895</v>
      </c>
      <c r="C11775" s="3" t="inlineStr">
        <is>
          <t>Assets</t>
        </is>
      </c>
      <c r="D11775" s="3" t="inlineStr">
        <is>
          <t>7610/390</t>
        </is>
      </c>
      <c r="E11775" s="3" t="inlineStr">
        <is>
          <t>Endulini CIP Land Surveyor</t>
        </is>
      </c>
      <c r="F11775" s="3" t="n">
        <v>0</v>
      </c>
      <c r="G11775" s="3" t="n">
        <v>186021.2</v>
      </c>
    </row>
    <row r="11776">
      <c r="A11776" s="3" t="inlineStr">
        <is>
          <t>Endulini (Pty) Ltd</t>
        </is>
      </c>
      <c r="B11776" s="4" t="n">
        <v>44895</v>
      </c>
      <c r="C11776" s="3" t="inlineStr">
        <is>
          <t>Assets</t>
        </is>
      </c>
      <c r="D11776" s="3" t="inlineStr">
        <is>
          <t>7610/392</t>
        </is>
      </c>
      <c r="E11776" s="3" t="inlineStr">
        <is>
          <t>Endulini CIP Landscaping</t>
        </is>
      </c>
      <c r="F11776" s="3" t="n">
        <v>0</v>
      </c>
      <c r="G11776" s="3" t="n">
        <v>6100</v>
      </c>
    </row>
    <row r="11777">
      <c r="A11777" s="3" t="inlineStr">
        <is>
          <t>Endulini (Pty) Ltd</t>
        </is>
      </c>
      <c r="B11777" s="4" t="n">
        <v>44895</v>
      </c>
      <c r="C11777" s="3" t="inlineStr">
        <is>
          <t>Assets</t>
        </is>
      </c>
      <c r="D11777" s="3" t="inlineStr">
        <is>
          <t>7610/395</t>
        </is>
      </c>
      <c r="E11777" s="3" t="inlineStr">
        <is>
          <t>Endulini CIP NHBRC</t>
        </is>
      </c>
      <c r="F11777" s="3" t="n">
        <v>0</v>
      </c>
      <c r="G11777" s="3" t="n">
        <v>928847.49</v>
      </c>
    </row>
    <row r="11778">
      <c r="A11778" s="3" t="inlineStr">
        <is>
          <t>Endulini (Pty) Ltd</t>
        </is>
      </c>
      <c r="B11778" s="4" t="n">
        <v>44895</v>
      </c>
      <c r="C11778" s="3" t="inlineStr">
        <is>
          <t>Assets</t>
        </is>
      </c>
      <c r="D11778" s="3" t="inlineStr">
        <is>
          <t>7610/400</t>
        </is>
      </c>
      <c r="E11778" s="3" t="inlineStr">
        <is>
          <t>Endulini CIP Quantity Surveyor</t>
        </is>
      </c>
      <c r="F11778" s="3" t="n">
        <v>0</v>
      </c>
      <c r="G11778" s="3" t="n">
        <v>82136.36</v>
      </c>
    </row>
    <row r="11779">
      <c r="A11779" s="3" t="inlineStr">
        <is>
          <t>Endulini (Pty) Ltd</t>
        </is>
      </c>
      <c r="B11779" s="4" t="n">
        <v>44895</v>
      </c>
      <c r="C11779" s="3" t="inlineStr">
        <is>
          <t>Assets</t>
        </is>
      </c>
      <c r="D11779" s="3" t="inlineStr">
        <is>
          <t>7610/600</t>
        </is>
      </c>
      <c r="E11779" s="3" t="inlineStr">
        <is>
          <t>Endulini CIP Town Planning</t>
        </is>
      </c>
      <c r="F11779" s="3" t="n">
        <v>0</v>
      </c>
      <c r="G11779" s="3" t="n">
        <v>21105</v>
      </c>
    </row>
    <row r="11780">
      <c r="A11780" s="3" t="inlineStr">
        <is>
          <t>Endulini (Pty) Ltd</t>
        </is>
      </c>
      <c r="B11780" s="4" t="n">
        <v>44895</v>
      </c>
      <c r="C11780" s="3" t="inlineStr">
        <is>
          <t>Assets</t>
        </is>
      </c>
      <c r="D11780" s="3" t="inlineStr">
        <is>
          <t>7610/620</t>
        </is>
      </c>
      <c r="E11780" s="3" t="inlineStr">
        <is>
          <t>Endulini CIP Traffic Impact</t>
        </is>
      </c>
      <c r="F11780" s="3" t="n">
        <v>0</v>
      </c>
      <c r="G11780" s="3" t="n">
        <v>24915</v>
      </c>
    </row>
    <row r="11781">
      <c r="A11781" s="3" t="inlineStr">
        <is>
          <t>Endulini (Pty) Ltd</t>
        </is>
      </c>
      <c r="B11781" s="4" t="n">
        <v>44895</v>
      </c>
      <c r="C11781" s="3" t="inlineStr">
        <is>
          <t>Assets</t>
        </is>
      </c>
      <c r="D11781" s="3" t="inlineStr">
        <is>
          <t>7610/630</t>
        </is>
      </c>
      <c r="E11781" s="3" t="inlineStr">
        <is>
          <t>Endulini CIP CoCT Development Contributi</t>
        </is>
      </c>
      <c r="F11781" s="3" t="n">
        <v>0</v>
      </c>
      <c r="G11781" s="3" t="n">
        <v>661860.3100000001</v>
      </c>
    </row>
    <row r="11782">
      <c r="A11782" s="3" t="inlineStr">
        <is>
          <t>Endulini (Pty) Ltd</t>
        </is>
      </c>
      <c r="B11782" s="4" t="n">
        <v>44895</v>
      </c>
      <c r="C11782" s="3" t="inlineStr">
        <is>
          <t>Assets</t>
        </is>
      </c>
      <c r="D11782" s="3" t="inlineStr">
        <is>
          <t>7610/640</t>
        </is>
      </c>
      <c r="E11782" s="3" t="inlineStr">
        <is>
          <t>Endulini CIP CoCT Building plan application</t>
        </is>
      </c>
      <c r="F11782" s="3" t="n">
        <v>0</v>
      </c>
      <c r="G11782" s="3" t="n">
        <v>111203.22</v>
      </c>
    </row>
    <row r="11783">
      <c r="A11783" s="3" t="inlineStr">
        <is>
          <t>Endulini (Pty) Ltd</t>
        </is>
      </c>
      <c r="B11783" s="4" t="n">
        <v>44895</v>
      </c>
      <c r="C11783" s="3" t="inlineStr">
        <is>
          <t>Assets</t>
        </is>
      </c>
      <c r="D11783" s="3" t="inlineStr">
        <is>
          <t>7610/650</t>
        </is>
      </c>
      <c r="E11783" s="3" t="inlineStr">
        <is>
          <t>Endulini CIP - P&amp;G recoveries - Endulini&amp;Heron Fields/View</t>
        </is>
      </c>
      <c r="F11783" s="3" t="n">
        <v>0</v>
      </c>
      <c r="G11783" s="3" t="n">
        <v>-3023829.42</v>
      </c>
    </row>
    <row r="11784">
      <c r="A11784" s="3" t="inlineStr">
        <is>
          <t>Endulini (Pty) Ltd</t>
        </is>
      </c>
      <c r="B11784" s="4" t="n">
        <v>44895</v>
      </c>
      <c r="C11784" s="3" t="inlineStr">
        <is>
          <t>Assets</t>
        </is>
      </c>
      <c r="D11784" s="3" t="inlineStr">
        <is>
          <t>7610/900</t>
        </is>
      </c>
      <c r="E11784" s="3" t="inlineStr">
        <is>
          <t>Endulini CIP Cost of Sales</t>
        </is>
      </c>
      <c r="F11784" s="3" t="n">
        <v>0</v>
      </c>
      <c r="G11784" s="3" t="n">
        <v>-28155981.9</v>
      </c>
    </row>
    <row r="11785">
      <c r="A11785" s="3" t="inlineStr">
        <is>
          <t>Quinate Consulting (Pty) Ltd</t>
        </is>
      </c>
      <c r="B11785" s="4" t="n">
        <v>44895</v>
      </c>
      <c r="C11785" s="3" t="inlineStr">
        <is>
          <t>Assets</t>
        </is>
      </c>
      <c r="D11785" s="3" t="inlineStr">
        <is>
          <t>7800/104</t>
        </is>
      </c>
      <c r="E11785" s="3" t="inlineStr">
        <is>
          <t>Stock - Closing Stock SW - 28 Feb 21</t>
        </is>
      </c>
      <c r="F11785" s="3" t="n">
        <v>0</v>
      </c>
      <c r="G11785" s="3" t="n">
        <v>2874478.88</v>
      </c>
    </row>
    <row r="11786">
      <c r="A11786" s="3" t="inlineStr">
        <is>
          <t>Quinate Consulting (Pty) Ltd</t>
        </is>
      </c>
      <c r="B11786" s="4" t="n">
        <v>44895</v>
      </c>
      <c r="C11786" s="3" t="inlineStr">
        <is>
          <t>Assets</t>
        </is>
      </c>
      <c r="D11786" s="3" t="inlineStr">
        <is>
          <t>7800/105</t>
        </is>
      </c>
      <c r="E11786" s="3" t="inlineStr">
        <is>
          <t>Stock - Closing Stock SH - 28 Feb 21</t>
        </is>
      </c>
      <c r="F11786" s="3" t="n">
        <v>0</v>
      </c>
      <c r="G11786" s="3" t="n">
        <v>2843477.6</v>
      </c>
    </row>
    <row r="11787">
      <c r="A11787" s="3" t="inlineStr">
        <is>
          <t>Endulini (Pty) Ltd</t>
        </is>
      </c>
      <c r="B11787" s="4" t="n">
        <v>44895</v>
      </c>
      <c r="C11787" s="3" t="inlineStr">
        <is>
          <t>Assets</t>
        </is>
      </c>
      <c r="D11787" s="3" t="inlineStr">
        <is>
          <t>8000/000</t>
        </is>
      </c>
      <c r="E11787" s="3" t="inlineStr">
        <is>
          <t>Customer Control Account</t>
        </is>
      </c>
      <c r="F11787" s="3" t="n">
        <v>0</v>
      </c>
      <c r="G11787" s="3" t="n">
        <v>3478538.07</v>
      </c>
    </row>
    <row r="11788">
      <c r="A11788" s="3" t="inlineStr">
        <is>
          <t>Noble Shield (Pty) Ltd ta Go Letting</t>
        </is>
      </c>
      <c r="B11788" s="4" t="n">
        <v>44895</v>
      </c>
      <c r="C11788" s="3" t="inlineStr">
        <is>
          <t>Assets</t>
        </is>
      </c>
      <c r="D11788" s="3" t="inlineStr">
        <is>
          <t>8000/000</t>
        </is>
      </c>
      <c r="E11788" s="3" t="inlineStr">
        <is>
          <t>Customer Control Account</t>
        </is>
      </c>
      <c r="F11788" s="3" t="n">
        <v>0</v>
      </c>
      <c r="G11788" s="3" t="n">
        <v>60289.32</v>
      </c>
    </row>
    <row r="11789">
      <c r="A11789" s="3" t="inlineStr">
        <is>
          <t>Opportunity Global Sales (PTY) LTD</t>
        </is>
      </c>
      <c r="B11789" s="4" t="n">
        <v>44895</v>
      </c>
      <c r="C11789" s="3" t="inlineStr">
        <is>
          <t>Assets</t>
        </is>
      </c>
      <c r="D11789" s="3" t="inlineStr">
        <is>
          <t>8000/000</t>
        </is>
      </c>
      <c r="E11789" s="3" t="inlineStr">
        <is>
          <t>Customer Control Account</t>
        </is>
      </c>
      <c r="F11789" s="3" t="n">
        <v>-25619.13</v>
      </c>
      <c r="G11789" s="3" t="n">
        <v>110411.08</v>
      </c>
    </row>
    <row r="11790">
      <c r="A11790" s="3" t="inlineStr">
        <is>
          <t>Opportunity Management Holdings (PTY) LTD</t>
        </is>
      </c>
      <c r="B11790" s="4" t="n">
        <v>44895</v>
      </c>
      <c r="C11790" s="3" t="inlineStr">
        <is>
          <t>Assets</t>
        </is>
      </c>
      <c r="D11790" s="3" t="inlineStr">
        <is>
          <t>8000/000</t>
        </is>
      </c>
      <c r="E11790" s="3" t="inlineStr">
        <is>
          <t>Customer Control Account</t>
        </is>
      </c>
      <c r="F11790" s="3" t="n">
        <v>-185437.5</v>
      </c>
      <c r="G11790" s="3" t="n">
        <v>0</v>
      </c>
    </row>
    <row r="11791">
      <c r="A11791" s="3" t="inlineStr">
        <is>
          <t>Quinate Consulting (Pty) Ltd</t>
        </is>
      </c>
      <c r="B11791" s="4" t="n">
        <v>44895</v>
      </c>
      <c r="C11791" s="3" t="inlineStr">
        <is>
          <t>Assets</t>
        </is>
      </c>
      <c r="D11791" s="3" t="inlineStr">
        <is>
          <t>8000/000</t>
        </is>
      </c>
      <c r="E11791" s="3" t="inlineStr">
        <is>
          <t>Customer Control Account</t>
        </is>
      </c>
      <c r="F11791" s="3" t="n">
        <v>4600</v>
      </c>
      <c r="G11791" s="3" t="n">
        <v>-7345</v>
      </c>
    </row>
    <row r="11792">
      <c r="A11792" s="3" t="inlineStr">
        <is>
          <t>Quinate Consulting (Pty) Ltd</t>
        </is>
      </c>
      <c r="B11792" s="4" t="n">
        <v>44895</v>
      </c>
      <c r="C11792" s="3" t="inlineStr">
        <is>
          <t>Assets</t>
        </is>
      </c>
      <c r="D11792" s="3" t="inlineStr">
        <is>
          <t>8001</t>
        </is>
      </c>
      <c r="E11792" s="3" t="inlineStr">
        <is>
          <t>Customer Control</t>
        </is>
      </c>
      <c r="F11792" s="3" t="n">
        <v>0</v>
      </c>
      <c r="G11792" s="3" t="n">
        <v>29487.49</v>
      </c>
    </row>
    <row r="11793">
      <c r="A11793" s="3" t="inlineStr">
        <is>
          <t>Opportunity Global Investment (PTY) LTD</t>
        </is>
      </c>
      <c r="B11793" s="4" t="n">
        <v>44895</v>
      </c>
      <c r="C11793" s="3" t="inlineStr">
        <is>
          <t>Assets</t>
        </is>
      </c>
      <c r="D11793" s="3" t="inlineStr">
        <is>
          <t>8200/010</t>
        </is>
      </c>
      <c r="E11793" s="3" t="inlineStr">
        <is>
          <t>Prepayments / Prepaid Expenses</t>
        </is>
      </c>
      <c r="F11793" s="3" t="n">
        <v>-55361.14</v>
      </c>
      <c r="G11793" s="3" t="n">
        <v>20180.89</v>
      </c>
    </row>
    <row r="11794">
      <c r="A11794" s="3" t="inlineStr">
        <is>
          <t>Quinate Consulting (Pty) Ltd</t>
        </is>
      </c>
      <c r="B11794" s="4" t="n">
        <v>44895</v>
      </c>
      <c r="C11794" s="3" t="inlineStr">
        <is>
          <t>Assets</t>
        </is>
      </c>
      <c r="D11794" s="3" t="inlineStr">
        <is>
          <t>8200/010</t>
        </is>
      </c>
      <c r="E11794" s="3" t="inlineStr">
        <is>
          <t>Prepayments / Prepaid Expenses</t>
        </is>
      </c>
      <c r="F11794" s="3" t="n">
        <v>0</v>
      </c>
      <c r="G11794" s="3" t="n">
        <v>109675</v>
      </c>
    </row>
    <row r="11795">
      <c r="A11795" s="3" t="inlineStr">
        <is>
          <t>Opportunity Global Sales (PTY) LTD</t>
        </is>
      </c>
      <c r="B11795" s="4" t="n">
        <v>44895</v>
      </c>
      <c r="C11795" s="3" t="inlineStr">
        <is>
          <t>Assets</t>
        </is>
      </c>
      <c r="D11795" s="3" t="inlineStr">
        <is>
          <t>8300/100</t>
        </is>
      </c>
      <c r="E11795" s="3" t="inlineStr">
        <is>
          <t>Staff Loan - Yvette Mostert</t>
        </is>
      </c>
      <c r="F11795" s="3" t="n">
        <v>4500</v>
      </c>
      <c r="G11795" s="3" t="n">
        <v>4500</v>
      </c>
    </row>
    <row r="11796">
      <c r="A11796" s="3" t="inlineStr">
        <is>
          <t>Opportunity Global Investment (PTY) LTD</t>
        </is>
      </c>
      <c r="B11796" s="4" t="n">
        <v>44895</v>
      </c>
      <c r="C11796" s="3" t="inlineStr">
        <is>
          <t>Assets</t>
        </is>
      </c>
      <c r="D11796" s="3" t="inlineStr">
        <is>
          <t>8400/000</t>
        </is>
      </c>
      <c r="E11796" s="3" t="inlineStr">
        <is>
          <t>FNB 62093491696</t>
        </is>
      </c>
      <c r="F11796" s="3" t="n">
        <v>936.73</v>
      </c>
      <c r="G11796" s="3" t="n">
        <v>66113.87</v>
      </c>
    </row>
    <row r="11797">
      <c r="A11797" s="3" t="inlineStr">
        <is>
          <t>Opportunity Global Sales (PTY) LTD</t>
        </is>
      </c>
      <c r="B11797" s="4" t="n">
        <v>44895</v>
      </c>
      <c r="C11797" s="3" t="inlineStr">
        <is>
          <t>Assets</t>
        </is>
      </c>
      <c r="D11797" s="3" t="inlineStr">
        <is>
          <t>8400/000</t>
        </is>
      </c>
      <c r="E11797" s="3" t="inlineStr">
        <is>
          <t>FNB 62835620875</t>
        </is>
      </c>
      <c r="F11797" s="3" t="n">
        <v>104630.44</v>
      </c>
      <c r="G11797" s="3" t="n">
        <v>303433.21</v>
      </c>
    </row>
    <row r="11798">
      <c r="A11798" s="3" t="inlineStr">
        <is>
          <t>Quinate Consulting (Pty) Ltd</t>
        </is>
      </c>
      <c r="B11798" s="4" t="n">
        <v>44895</v>
      </c>
      <c r="C11798" s="3" t="inlineStr">
        <is>
          <t>Assets</t>
        </is>
      </c>
      <c r="D11798" s="3" t="inlineStr">
        <is>
          <t>8400/000</t>
        </is>
      </c>
      <c r="E11798" s="3" t="inlineStr">
        <is>
          <t>RMB - 62736659189 - Call Acc</t>
        </is>
      </c>
      <c r="F11798" s="3" t="n">
        <v>599.66</v>
      </c>
      <c r="G11798" s="3" t="n">
        <v>153804.07</v>
      </c>
    </row>
    <row r="11799">
      <c r="A11799" s="3" t="inlineStr">
        <is>
          <t>Trademark Holdings (Pty) Ltd</t>
        </is>
      </c>
      <c r="B11799" s="4" t="n">
        <v>44895</v>
      </c>
      <c r="C11799" s="3" t="inlineStr">
        <is>
          <t>Assets</t>
        </is>
      </c>
      <c r="D11799" s="3" t="inlineStr">
        <is>
          <t>8400/000</t>
        </is>
      </c>
      <c r="E11799" s="3" t="inlineStr">
        <is>
          <t>RMB 623 693 03640</t>
        </is>
      </c>
      <c r="F11799" s="3" t="n">
        <v>-17549.09</v>
      </c>
      <c r="G11799" s="3" t="n">
        <v>82595.24000000001</v>
      </c>
    </row>
    <row r="11800">
      <c r="A11800" s="3" t="inlineStr">
        <is>
          <t>Noble Shield (Pty) Ltd ta Go Letting</t>
        </is>
      </c>
      <c r="B11800" s="4" t="n">
        <v>44895</v>
      </c>
      <c r="C11800" s="3" t="inlineStr">
        <is>
          <t>Assets</t>
        </is>
      </c>
      <c r="D11800" s="3" t="inlineStr">
        <is>
          <t>8400/000</t>
        </is>
      </c>
      <c r="E11800" s="3" t="inlineStr">
        <is>
          <t>RMB 6250 573 3833</t>
        </is>
      </c>
      <c r="F11800" s="3" t="n">
        <v>-12376.1</v>
      </c>
      <c r="G11800" s="3" t="n">
        <v>47624.82</v>
      </c>
    </row>
    <row r="11801">
      <c r="A11801" s="3" t="inlineStr">
        <is>
          <t>Endulini (Pty) Ltd</t>
        </is>
      </c>
      <c r="B11801" s="4" t="n">
        <v>44895</v>
      </c>
      <c r="C11801" s="3" t="inlineStr">
        <is>
          <t>Assets</t>
        </is>
      </c>
      <c r="D11801" s="3" t="inlineStr">
        <is>
          <t>8400/000</t>
        </is>
      </c>
      <c r="E11801" s="3" t="inlineStr">
        <is>
          <t>RMB 62906944576</t>
        </is>
      </c>
      <c r="F11801" s="3" t="n">
        <v>116087.34</v>
      </c>
      <c r="G11801" s="3" t="n">
        <v>365233.33</v>
      </c>
    </row>
    <row r="11802">
      <c r="A11802" s="3" t="inlineStr">
        <is>
          <t>Opportunity Management Holdings (PTY) LTD</t>
        </is>
      </c>
      <c r="B11802" s="4" t="n">
        <v>44895</v>
      </c>
      <c r="C11802" s="3" t="inlineStr">
        <is>
          <t>Assets</t>
        </is>
      </c>
      <c r="D11802" s="3" t="inlineStr">
        <is>
          <t>8400/000</t>
        </is>
      </c>
      <c r="E11802" s="3" t="inlineStr">
        <is>
          <t>RMB Cheq - 62312246920</t>
        </is>
      </c>
      <c r="F11802" s="3" t="n">
        <v>6571.48</v>
      </c>
      <c r="G11802" s="3" t="n">
        <v>82857.86</v>
      </c>
    </row>
    <row r="11803">
      <c r="A11803" s="3" t="inlineStr">
        <is>
          <t>Opportunity Global Investment (PTY) LTD</t>
        </is>
      </c>
      <c r="B11803" s="4" t="n">
        <v>44895</v>
      </c>
      <c r="C11803" s="3" t="inlineStr">
        <is>
          <t>Assets</t>
        </is>
      </c>
      <c r="D11803" s="3" t="inlineStr">
        <is>
          <t>8405/000</t>
        </is>
      </c>
      <c r="E11803" s="3" t="inlineStr">
        <is>
          <t>FNB Trust 62762449265</t>
        </is>
      </c>
      <c r="F11803" s="3" t="n">
        <v>-71.48</v>
      </c>
      <c r="G11803" s="3" t="n">
        <v>893.3</v>
      </c>
    </row>
    <row r="11804">
      <c r="A11804" s="3" t="inlineStr">
        <is>
          <t>Endulini (Pty) Ltd</t>
        </is>
      </c>
      <c r="B11804" s="4" t="n">
        <v>44895</v>
      </c>
      <c r="C11804" s="3" t="inlineStr">
        <is>
          <t>Assets</t>
        </is>
      </c>
      <c r="D11804" s="3" t="inlineStr">
        <is>
          <t>8410/000</t>
        </is>
      </c>
      <c r="E11804" s="3" t="inlineStr">
        <is>
          <t>Momentum Investor Account : RU 502229883</t>
        </is>
      </c>
      <c r="F11804" s="3" t="n">
        <v>0</v>
      </c>
      <c r="G11804" s="3" t="n">
        <v>2614.24</v>
      </c>
    </row>
    <row r="11805">
      <c r="A11805" s="3" t="inlineStr">
        <is>
          <t>Opportunity Management Holdings (PTY) LTD</t>
        </is>
      </c>
      <c r="B11805" s="4" t="n">
        <v>44895</v>
      </c>
      <c r="C11805" s="3" t="inlineStr">
        <is>
          <t>Assets</t>
        </is>
      </c>
      <c r="D11805" s="3" t="inlineStr">
        <is>
          <t>8410/000</t>
        </is>
      </c>
      <c r="E11805" s="3" t="inlineStr">
        <is>
          <t>RMB Call Acc - 62312248851</t>
        </is>
      </c>
      <c r="F11805" s="3" t="n">
        <v>150116.53</v>
      </c>
      <c r="G11805" s="3" t="n">
        <v>151187.57</v>
      </c>
    </row>
    <row r="11806">
      <c r="A11806" s="3" t="inlineStr">
        <is>
          <t>Noble Shield (Pty) Ltd ta Go Letting</t>
        </is>
      </c>
      <c r="B11806" s="4" t="n">
        <v>44895</v>
      </c>
      <c r="C11806" s="3" t="inlineStr">
        <is>
          <t>Assets</t>
        </is>
      </c>
      <c r="D11806" s="3" t="inlineStr">
        <is>
          <t>8410/000</t>
        </is>
      </c>
      <c r="E11806" s="3" t="inlineStr">
        <is>
          <t>RMB Trust Acc - 6250 615 1365</t>
        </is>
      </c>
      <c r="F11806" s="3" t="n">
        <v>-73.06</v>
      </c>
      <c r="G11806" s="3" t="n">
        <v>735.66</v>
      </c>
    </row>
    <row r="11807">
      <c r="A11807" s="3" t="inlineStr">
        <is>
          <t>Quinate Consulting (Pty) Ltd</t>
        </is>
      </c>
      <c r="B11807" s="4" t="n">
        <v>44895</v>
      </c>
      <c r="C11807" s="3" t="inlineStr">
        <is>
          <t>Assets</t>
        </is>
      </c>
      <c r="D11807" s="3" t="inlineStr">
        <is>
          <t>8415/000</t>
        </is>
      </c>
      <c r="E11807" s="3" t="inlineStr">
        <is>
          <t>STD Acc 071 958 959 - Facility Acc</t>
        </is>
      </c>
      <c r="F11807" s="3" t="n">
        <v>0</v>
      </c>
      <c r="G11807" s="3" t="n">
        <v>3636.21</v>
      </c>
    </row>
    <row r="11808">
      <c r="A11808" s="3" t="inlineStr">
        <is>
          <t>Quinate Consulting (Pty) Ltd</t>
        </is>
      </c>
      <c r="B11808" s="4" t="n">
        <v>44895</v>
      </c>
      <c r="C11808" s="3" t="inlineStr">
        <is>
          <t>Assets</t>
        </is>
      </c>
      <c r="D11808" s="3" t="inlineStr">
        <is>
          <t>8430/000</t>
        </is>
      </c>
      <c r="E11808" s="3" t="inlineStr">
        <is>
          <t>Momentum Investment Acc - RU502230185</t>
        </is>
      </c>
      <c r="F11808" s="3" t="n">
        <v>0</v>
      </c>
      <c r="G11808" s="3" t="n">
        <v>523.64</v>
      </c>
    </row>
    <row r="11809">
      <c r="A11809" s="3" t="inlineStr">
        <is>
          <t>Opportunity Global Investment (PTY) LTD</t>
        </is>
      </c>
      <c r="B11809" s="4" t="n">
        <v>44895</v>
      </c>
      <c r="C11809" s="3" t="inlineStr">
        <is>
          <t>Assets</t>
        </is>
      </c>
      <c r="D11809" s="3" t="inlineStr">
        <is>
          <t>8440/000</t>
        </is>
      </c>
      <c r="E11809" s="3" t="inlineStr">
        <is>
          <t>FNB - Call 627602764438</t>
        </is>
      </c>
      <c r="F11809" s="3" t="n">
        <v>-11.06</v>
      </c>
      <c r="G11809" s="3" t="n">
        <v>965.17</v>
      </c>
    </row>
    <row r="11810">
      <c r="A11810" s="3" t="inlineStr">
        <is>
          <t>Opportunity Global Investment (PTY) LTD</t>
        </is>
      </c>
      <c r="B11810" s="4" t="n">
        <v>44895</v>
      </c>
      <c r="C11810" s="3" t="inlineStr">
        <is>
          <t>Assets</t>
        </is>
      </c>
      <c r="D11810" s="3" t="inlineStr">
        <is>
          <t>8445/000</t>
        </is>
      </c>
      <c r="E11810" s="3" t="inlineStr">
        <is>
          <t>Momentum RU502230096</t>
        </is>
      </c>
      <c r="F11810" s="3" t="n">
        <v>0</v>
      </c>
      <c r="G11810" s="3" t="n">
        <v>4593.77</v>
      </c>
    </row>
    <row r="11811">
      <c r="A11811" s="3" t="inlineStr">
        <is>
          <t>Quinate Consulting (Pty) Ltd</t>
        </is>
      </c>
      <c r="B11811" s="4" t="n">
        <v>44895</v>
      </c>
      <c r="C11811" s="3" t="inlineStr">
        <is>
          <t>Assets</t>
        </is>
      </c>
      <c r="D11811" s="3" t="inlineStr">
        <is>
          <t>8450/000</t>
        </is>
      </c>
      <c r="E11811" s="3" t="inlineStr">
        <is>
          <t>A RMB 62275810820</t>
        </is>
      </c>
      <c r="F11811" s="3" t="n">
        <v>6905.25</v>
      </c>
      <c r="G11811" s="3" t="n">
        <v>116811.17</v>
      </c>
    </row>
    <row r="11812">
      <c r="A11812" s="3" t="inlineStr">
        <is>
          <t>Opportunity Management Holdings (PTY) LTD</t>
        </is>
      </c>
      <c r="B11812" s="4" t="n">
        <v>44895</v>
      </c>
      <c r="C11812" s="3" t="inlineStr">
        <is>
          <t>Assets</t>
        </is>
      </c>
      <c r="D11812" s="3" t="inlineStr">
        <is>
          <t>8450/000</t>
        </is>
      </c>
      <c r="E11812" s="3" t="inlineStr">
        <is>
          <t>Petty Cash - CT Office</t>
        </is>
      </c>
      <c r="F11812" s="3" t="n">
        <v>-250</v>
      </c>
      <c r="G11812" s="3" t="n">
        <v>348.9</v>
      </c>
    </row>
    <row r="11813">
      <c r="A11813" s="3" t="inlineStr">
        <is>
          <t>Quinate Consulting (Pty) Ltd</t>
        </is>
      </c>
      <c r="B11813" s="4" t="n">
        <v>44895</v>
      </c>
      <c r="C11813" s="3" t="inlineStr">
        <is>
          <t>Liabilities</t>
        </is>
      </c>
      <c r="D11813" s="3" t="inlineStr">
        <is>
          <t>8480/100</t>
        </is>
      </c>
      <c r="E11813" s="3" t="inlineStr">
        <is>
          <t>Bond - SH20 - STD Bank 532010558</t>
        </is>
      </c>
      <c r="F11813" s="3" t="n">
        <v>14586.53</v>
      </c>
      <c r="G11813" s="3" t="n">
        <v>-1351139.5</v>
      </c>
    </row>
    <row r="11814">
      <c r="A11814" s="3" t="inlineStr">
        <is>
          <t>Quinate Consulting (Pty) Ltd</t>
        </is>
      </c>
      <c r="B11814" s="4" t="n">
        <v>44895</v>
      </c>
      <c r="C11814" s="3" t="inlineStr">
        <is>
          <t>Liabilities</t>
        </is>
      </c>
      <c r="D11814" s="3" t="inlineStr">
        <is>
          <t>8480/200</t>
        </is>
      </c>
      <c r="E11814" s="3" t="inlineStr">
        <is>
          <t>Bond - SH23 - STD Bank 532010035</t>
        </is>
      </c>
      <c r="F11814" s="3" t="n">
        <v>14582.05</v>
      </c>
      <c r="G11814" s="3" t="n">
        <v>-1350977.36</v>
      </c>
    </row>
    <row r="11815">
      <c r="A11815" s="3" t="inlineStr">
        <is>
          <t>Quinate Consulting (Pty) Ltd</t>
        </is>
      </c>
      <c r="B11815" s="4" t="n">
        <v>44895</v>
      </c>
      <c r="C11815" s="3" t="inlineStr">
        <is>
          <t>Liabilities</t>
        </is>
      </c>
      <c r="D11815" s="3" t="inlineStr">
        <is>
          <t>8480/300</t>
        </is>
      </c>
      <c r="E11815" s="3" t="inlineStr">
        <is>
          <t>Bond - SH24 - STD Bank 532372662</t>
        </is>
      </c>
      <c r="F11815" s="3" t="n">
        <v>13348.01</v>
      </c>
      <c r="G11815" s="3" t="n">
        <v>-1443851.57</v>
      </c>
    </row>
    <row r="11816">
      <c r="A11816" s="3" t="inlineStr">
        <is>
          <t>Quinate Consulting (Pty) Ltd</t>
        </is>
      </c>
      <c r="B11816" s="4" t="n">
        <v>44895</v>
      </c>
      <c r="C11816" s="3" t="inlineStr">
        <is>
          <t>Liabilities</t>
        </is>
      </c>
      <c r="D11816" s="3" t="inlineStr">
        <is>
          <t>8480/400</t>
        </is>
      </c>
      <c r="E11816" s="3" t="inlineStr">
        <is>
          <t>Bond - SW01 - STD Bank 532920627</t>
        </is>
      </c>
      <c r="F11816" s="3" t="n">
        <v>11264.7</v>
      </c>
      <c r="G11816" s="3" t="n">
        <v>-1284324.67</v>
      </c>
    </row>
    <row r="11817">
      <c r="A11817" s="3" t="inlineStr">
        <is>
          <t>Quinate Consulting (Pty) Ltd</t>
        </is>
      </c>
      <c r="B11817" s="4" t="n">
        <v>44895</v>
      </c>
      <c r="C11817" s="3" t="inlineStr">
        <is>
          <t>Liabilities</t>
        </is>
      </c>
      <c r="D11817" s="3" t="inlineStr">
        <is>
          <t>8480/401</t>
        </is>
      </c>
      <c r="E11817" s="3" t="inlineStr">
        <is>
          <t>Bond - SW21 - STD Bank 532920597</t>
        </is>
      </c>
      <c r="F11817" s="3" t="n">
        <v>11269.17</v>
      </c>
      <c r="G11817" s="3" t="n">
        <v>-1284834.25</v>
      </c>
    </row>
    <row r="11818">
      <c r="A11818" s="3" t="inlineStr">
        <is>
          <t>Opportunity Global Investment (PTY) LTD</t>
        </is>
      </c>
      <c r="B11818" s="4" t="n">
        <v>44895</v>
      </c>
      <c r="C11818" s="3" t="inlineStr">
        <is>
          <t>Liabilities</t>
        </is>
      </c>
      <c r="D11818" s="3" t="inlineStr">
        <is>
          <t>860</t>
        </is>
      </c>
      <c r="E11818" s="3" t="inlineStr">
        <is>
          <t>Rounding</t>
        </is>
      </c>
      <c r="F11818" s="3" t="n">
        <v>0</v>
      </c>
      <c r="G11818" s="3" t="n">
        <v>-0.03</v>
      </c>
    </row>
    <row r="11819">
      <c r="A11819" s="3" t="inlineStr">
        <is>
          <t>Opportunity Global Sales (PTY) LTD</t>
        </is>
      </c>
      <c r="B11819" s="4" t="n">
        <v>44895</v>
      </c>
      <c r="C11819" s="3" t="inlineStr">
        <is>
          <t>Liabilities</t>
        </is>
      </c>
      <c r="D11819" s="3" t="inlineStr">
        <is>
          <t>860</t>
        </is>
      </c>
      <c r="E11819" s="3" t="inlineStr">
        <is>
          <t>Rounding</t>
        </is>
      </c>
      <c r="F11819" s="3" t="n">
        <v>0</v>
      </c>
      <c r="G11819" s="3" t="n">
        <v>-1</v>
      </c>
    </row>
    <row r="11820">
      <c r="A11820" s="3" t="inlineStr">
        <is>
          <t>Quinate Consulting (Pty) Ltd</t>
        </is>
      </c>
      <c r="B11820" s="4" t="n">
        <v>44895</v>
      </c>
      <c r="C11820" s="3" t="inlineStr">
        <is>
          <t>Liabilities</t>
        </is>
      </c>
      <c r="D11820" s="3" t="inlineStr">
        <is>
          <t>860</t>
        </is>
      </c>
      <c r="E11820" s="3" t="inlineStr">
        <is>
          <t>Rounding</t>
        </is>
      </c>
      <c r="F11820" s="3" t="n">
        <v>0</v>
      </c>
      <c r="G11820" s="3" t="n">
        <v>0.09</v>
      </c>
    </row>
    <row r="11821">
      <c r="A11821" s="3" t="inlineStr">
        <is>
          <t>Trademark Holdings (Pty) Ltd</t>
        </is>
      </c>
      <c r="B11821" s="4" t="n">
        <v>44895</v>
      </c>
      <c r="C11821" s="3" t="inlineStr">
        <is>
          <t>Liabilities</t>
        </is>
      </c>
      <c r="D11821" s="3" t="inlineStr">
        <is>
          <t>860</t>
        </is>
      </c>
      <c r="E11821" s="3" t="inlineStr">
        <is>
          <t>Rounding</t>
        </is>
      </c>
      <c r="F11821" s="3" t="n">
        <v>0</v>
      </c>
      <c r="G11821" s="3" t="n">
        <v>0.2</v>
      </c>
    </row>
    <row r="11822">
      <c r="A11822" s="3" t="inlineStr">
        <is>
          <t>Endulini (Pty) Ltd</t>
        </is>
      </c>
      <c r="B11822" s="4" t="n">
        <v>44895</v>
      </c>
      <c r="C11822" s="3" t="inlineStr">
        <is>
          <t>Liabilities</t>
        </is>
      </c>
      <c r="D11822" s="3" t="inlineStr">
        <is>
          <t>9000/000</t>
        </is>
      </c>
      <c r="E11822" s="3" t="inlineStr">
        <is>
          <t>Supplier Control Account</t>
        </is>
      </c>
      <c r="F11822" s="3" t="n">
        <v>2269643.58</v>
      </c>
      <c r="G11822" s="3" t="n">
        <v>-24512491.07</v>
      </c>
    </row>
    <row r="11823">
      <c r="A11823" s="3" t="inlineStr">
        <is>
          <t>Noble Shield (Pty) Ltd ta Go Letting</t>
        </is>
      </c>
      <c r="B11823" s="4" t="n">
        <v>44895</v>
      </c>
      <c r="C11823" s="3" t="inlineStr">
        <is>
          <t>Liabilities</t>
        </is>
      </c>
      <c r="D11823" s="3" t="inlineStr">
        <is>
          <t>9000/000</t>
        </is>
      </c>
      <c r="E11823" s="3" t="inlineStr">
        <is>
          <t>Supplier Control Account</t>
        </is>
      </c>
      <c r="F11823" s="3" t="n">
        <v>-8328.08</v>
      </c>
      <c r="G11823" s="3" t="n">
        <v>-25799.84</v>
      </c>
    </row>
    <row r="11824">
      <c r="A11824" s="3" t="inlineStr">
        <is>
          <t>Opportunity Global Investment (PTY) LTD</t>
        </is>
      </c>
      <c r="B11824" s="4" t="n">
        <v>44895</v>
      </c>
      <c r="C11824" s="3" t="inlineStr">
        <is>
          <t>Liabilities</t>
        </is>
      </c>
      <c r="D11824" s="3" t="inlineStr">
        <is>
          <t>9000/000</t>
        </is>
      </c>
      <c r="E11824" s="3" t="inlineStr">
        <is>
          <t>Supplier Control Account</t>
        </is>
      </c>
      <c r="F11824" s="3" t="n">
        <v>-9087.5</v>
      </c>
      <c r="G11824" s="3" t="n">
        <v>-68736.10000000001</v>
      </c>
    </row>
    <row r="11825">
      <c r="A11825" s="3" t="inlineStr">
        <is>
          <t>Opportunity Global Sales (PTY) LTD</t>
        </is>
      </c>
      <c r="B11825" s="4" t="n">
        <v>44895</v>
      </c>
      <c r="C11825" s="3" t="inlineStr">
        <is>
          <t>Liabilities</t>
        </is>
      </c>
      <c r="D11825" s="3" t="inlineStr">
        <is>
          <t>9000/000</t>
        </is>
      </c>
      <c r="E11825" s="3" t="inlineStr">
        <is>
          <t>Supplier Control Account</t>
        </is>
      </c>
      <c r="F11825" s="3" t="n">
        <v>13922.42</v>
      </c>
      <c r="G11825" s="3" t="n">
        <v>-4620.02</v>
      </c>
    </row>
    <row r="11826">
      <c r="A11826" s="3" t="inlineStr">
        <is>
          <t>Opportunity Management Holdings (PTY) LTD</t>
        </is>
      </c>
      <c r="B11826" s="4" t="n">
        <v>44895</v>
      </c>
      <c r="C11826" s="3" t="inlineStr">
        <is>
          <t>Liabilities</t>
        </is>
      </c>
      <c r="D11826" s="3" t="inlineStr">
        <is>
          <t>9000/000</t>
        </is>
      </c>
      <c r="E11826" s="3" t="inlineStr">
        <is>
          <t>Supplier Control Account</t>
        </is>
      </c>
      <c r="F11826" s="3" t="n">
        <v>17794.83</v>
      </c>
      <c r="G11826" s="3" t="n">
        <v>-256319.22</v>
      </c>
    </row>
    <row r="11827">
      <c r="A11827" s="3" t="inlineStr">
        <is>
          <t>Quinate Consulting (Pty) Ltd</t>
        </is>
      </c>
      <c r="B11827" s="4" t="n">
        <v>44895</v>
      </c>
      <c r="C11827" s="3" t="inlineStr">
        <is>
          <t>Liabilities</t>
        </is>
      </c>
      <c r="D11827" s="3" t="inlineStr">
        <is>
          <t>9000/000</t>
        </is>
      </c>
      <c r="E11827" s="3" t="inlineStr">
        <is>
          <t>Supplier Control Account</t>
        </is>
      </c>
      <c r="F11827" s="3" t="n">
        <v>-18043.88</v>
      </c>
      <c r="G11827" s="3" t="n">
        <v>478195.63</v>
      </c>
    </row>
    <row r="11828">
      <c r="A11828" s="3" t="inlineStr">
        <is>
          <t>Trademark Holdings (Pty) Ltd</t>
        </is>
      </c>
      <c r="B11828" s="4" t="n">
        <v>44895</v>
      </c>
      <c r="C11828" s="3" t="inlineStr">
        <is>
          <t>Liabilities</t>
        </is>
      </c>
      <c r="D11828" s="3" t="inlineStr">
        <is>
          <t>9000/000</t>
        </is>
      </c>
      <c r="E11828" s="3" t="inlineStr">
        <is>
          <t>Supplier Control Account</t>
        </is>
      </c>
      <c r="F11828" s="3" t="n">
        <v>-3099.99</v>
      </c>
      <c r="G11828" s="3" t="n">
        <v>-11403.06</v>
      </c>
    </row>
    <row r="11829">
      <c r="A11829" s="3" t="inlineStr">
        <is>
          <t>Quinate Consulting (Pty) Ltd</t>
        </is>
      </c>
      <c r="B11829" s="4" t="n">
        <v>44895</v>
      </c>
      <c r="C11829" s="3" t="inlineStr">
        <is>
          <t>Liabilities</t>
        </is>
      </c>
      <c r="D11829" s="3" t="inlineStr">
        <is>
          <t>9001</t>
        </is>
      </c>
      <c r="E11829" s="3" t="inlineStr">
        <is>
          <t>Supplier Control</t>
        </is>
      </c>
      <c r="F11829" s="3" t="n">
        <v>0</v>
      </c>
      <c r="G11829" s="3" t="n">
        <v>-347315.41</v>
      </c>
    </row>
    <row r="11830">
      <c r="A11830" s="3" t="inlineStr">
        <is>
          <t>Opportunity Management Holdings (PTY) LTD</t>
        </is>
      </c>
      <c r="B11830" s="4" t="n">
        <v>44895</v>
      </c>
      <c r="C11830" s="3" t="inlineStr">
        <is>
          <t>Liabilities</t>
        </is>
      </c>
      <c r="D11830" s="3" t="inlineStr">
        <is>
          <t>9100/000</t>
        </is>
      </c>
      <c r="E11830" s="3" t="inlineStr">
        <is>
          <t>PAYE/UIF/SDL Accrual - Prior Years ADJ</t>
        </is>
      </c>
      <c r="F11830" s="3" t="n">
        <v>0</v>
      </c>
      <c r="G11830" s="3" t="n">
        <v>-33739.36</v>
      </c>
    </row>
    <row r="11831">
      <c r="A11831" s="3" t="inlineStr">
        <is>
          <t>Opportunity Management Holdings (PTY) LTD</t>
        </is>
      </c>
      <c r="B11831" s="4" t="n">
        <v>44895</v>
      </c>
      <c r="C11831" s="3" t="inlineStr">
        <is>
          <t>Assets</t>
        </is>
      </c>
      <c r="D11831" s="3" t="inlineStr">
        <is>
          <t>9110/000</t>
        </is>
      </c>
      <c r="E11831" s="3" t="inlineStr">
        <is>
          <t>Deposit Received</t>
        </is>
      </c>
      <c r="F11831" s="3" t="n">
        <v>0</v>
      </c>
      <c r="G11831" s="3" t="n">
        <v>-3852.5</v>
      </c>
    </row>
    <row r="11832">
      <c r="A11832" s="3" t="inlineStr">
        <is>
          <t>Opportunity Global Investment (PTY) LTD</t>
        </is>
      </c>
      <c r="B11832" s="4" t="n">
        <v>44895</v>
      </c>
      <c r="C11832" s="3" t="inlineStr">
        <is>
          <t>Liabilities</t>
        </is>
      </c>
      <c r="D11832" s="3" t="inlineStr">
        <is>
          <t>9110/000</t>
        </is>
      </c>
      <c r="E11832" s="3" t="inlineStr">
        <is>
          <t>Taxation B/S</t>
        </is>
      </c>
      <c r="F11832" s="3" t="n">
        <v>0</v>
      </c>
      <c r="G11832" s="3" t="n">
        <v>2150.09</v>
      </c>
    </row>
    <row r="11833">
      <c r="A11833" s="3" t="inlineStr">
        <is>
          <t>Noble Shield (Pty) Ltd ta Go Letting</t>
        </is>
      </c>
      <c r="B11833" s="4" t="n">
        <v>44895</v>
      </c>
      <c r="C11833" s="3" t="inlineStr">
        <is>
          <t>Liabilities</t>
        </is>
      </c>
      <c r="D11833" s="3" t="inlineStr">
        <is>
          <t>9250/010</t>
        </is>
      </c>
      <c r="E11833" s="3" t="inlineStr">
        <is>
          <t>SALARY CONTROL</t>
        </is>
      </c>
      <c r="F11833" s="3" t="n">
        <v>442.22</v>
      </c>
      <c r="G11833" s="3" t="n">
        <v>-16354.64</v>
      </c>
    </row>
    <row r="11834">
      <c r="A11834" s="3" t="inlineStr">
        <is>
          <t>Opportunity Global Sales (PTY) LTD</t>
        </is>
      </c>
      <c r="B11834" s="4" t="n">
        <v>44895</v>
      </c>
      <c r="C11834" s="3" t="inlineStr">
        <is>
          <t>Liabilities</t>
        </is>
      </c>
      <c r="D11834" s="3" t="inlineStr">
        <is>
          <t>9250/010</t>
        </is>
      </c>
      <c r="E11834" s="3" t="inlineStr">
        <is>
          <t>SALARY CONTROL</t>
        </is>
      </c>
      <c r="F11834" s="3" t="n">
        <v>-21746.41</v>
      </c>
      <c r="G11834" s="3" t="n">
        <v>-21746.39</v>
      </c>
    </row>
    <row r="11835">
      <c r="A11835" s="3" t="inlineStr">
        <is>
          <t>Trademark Holdings (Pty) Ltd</t>
        </is>
      </c>
      <c r="B11835" s="4" t="n">
        <v>44895</v>
      </c>
      <c r="C11835" s="3" t="inlineStr">
        <is>
          <t>Liabilities</t>
        </is>
      </c>
      <c r="D11835" s="3" t="inlineStr">
        <is>
          <t>9250/010</t>
        </is>
      </c>
      <c r="E11835" s="3" t="inlineStr">
        <is>
          <t>SALARY CONTROL</t>
        </is>
      </c>
      <c r="F11835" s="3" t="n">
        <v>-3114.19</v>
      </c>
      <c r="G11835" s="3" t="n">
        <v>-20304.17</v>
      </c>
    </row>
    <row r="11836">
      <c r="A11836" s="3" t="inlineStr">
        <is>
          <t>Noble Shield (Pty) Ltd ta Go Letting</t>
        </is>
      </c>
      <c r="B11836" s="4" t="n">
        <v>44895</v>
      </c>
      <c r="C11836" s="3" t="inlineStr">
        <is>
          <t>Liabilities</t>
        </is>
      </c>
      <c r="D11836" s="3" t="inlineStr">
        <is>
          <t>9250/020</t>
        </is>
      </c>
      <c r="E11836" s="3" t="inlineStr">
        <is>
          <t>PAYE, UIF AND SDL CONTROL</t>
        </is>
      </c>
      <c r="F11836" s="3" t="n">
        <v>161.36</v>
      </c>
      <c r="G11836" s="3" t="n">
        <v>-5529.83</v>
      </c>
    </row>
    <row r="11837">
      <c r="A11837" s="3" t="inlineStr">
        <is>
          <t>Opportunity Global Investment (PTY) LTD</t>
        </is>
      </c>
      <c r="B11837" s="4" t="n">
        <v>44895</v>
      </c>
      <c r="C11837" s="3" t="inlineStr">
        <is>
          <t>Liabilities</t>
        </is>
      </c>
      <c r="D11837" s="3" t="inlineStr">
        <is>
          <t>9250/020</t>
        </is>
      </c>
      <c r="E11837" s="3" t="inlineStr">
        <is>
          <t>PAYE, UIF AND SDL CONTROL</t>
        </is>
      </c>
      <c r="F11837" s="3" t="n">
        <v>64951.67</v>
      </c>
      <c r="G11837" s="3" t="n">
        <v>55029.63</v>
      </c>
    </row>
    <row r="11838">
      <c r="A11838" s="3" t="inlineStr">
        <is>
          <t>Opportunity Global Sales (PTY) LTD</t>
        </is>
      </c>
      <c r="B11838" s="4" t="n">
        <v>44895</v>
      </c>
      <c r="C11838" s="3" t="inlineStr">
        <is>
          <t>Liabilities</t>
        </is>
      </c>
      <c r="D11838" s="3" t="inlineStr">
        <is>
          <t>9250/020</t>
        </is>
      </c>
      <c r="E11838" s="3" t="inlineStr">
        <is>
          <t>PAYE, UIF AND SDL CONTROL</t>
        </is>
      </c>
      <c r="F11838" s="3" t="n">
        <v>-58004.78</v>
      </c>
      <c r="G11838" s="3" t="n">
        <v>-122956.45</v>
      </c>
    </row>
    <row r="11839">
      <c r="A11839" s="3" t="inlineStr">
        <is>
          <t>Opportunity Management Holdings (PTY) LTD</t>
        </is>
      </c>
      <c r="B11839" s="4" t="n">
        <v>44895</v>
      </c>
      <c r="C11839" s="3" t="inlineStr">
        <is>
          <t>Liabilities</t>
        </is>
      </c>
      <c r="D11839" s="3" t="inlineStr">
        <is>
          <t>9250/020</t>
        </is>
      </c>
      <c r="E11839" s="3" t="inlineStr">
        <is>
          <t>PAYE, UIF AND SDL CONTROL</t>
        </is>
      </c>
      <c r="F11839" s="3" t="n">
        <v>-1257.49</v>
      </c>
      <c r="G11839" s="3" t="n">
        <v>-51932.17</v>
      </c>
    </row>
    <row r="11840">
      <c r="A11840" s="3" t="inlineStr">
        <is>
          <t>Trademark Holdings (Pty) Ltd</t>
        </is>
      </c>
      <c r="B11840" s="4" t="n">
        <v>44895</v>
      </c>
      <c r="C11840" s="3" t="inlineStr">
        <is>
          <t>Liabilities</t>
        </is>
      </c>
      <c r="D11840" s="3" t="inlineStr">
        <is>
          <t>9250/020</t>
        </is>
      </c>
      <c r="E11840" s="3" t="inlineStr">
        <is>
          <t>PAYE, UIF AND SDL CONTROL</t>
        </is>
      </c>
      <c r="F11840" s="3" t="n">
        <v>-1444.25</v>
      </c>
      <c r="G11840" s="3" t="n">
        <v>-6314.55</v>
      </c>
    </row>
    <row r="11841">
      <c r="A11841" s="3" t="inlineStr">
        <is>
          <t>Opportunity Global Investment (PTY) LTD</t>
        </is>
      </c>
      <c r="B11841" s="4" t="n">
        <v>44895</v>
      </c>
      <c r="C11841" s="3" t="inlineStr">
        <is>
          <t>Liabilities</t>
        </is>
      </c>
      <c r="D11841" s="3" t="inlineStr">
        <is>
          <t>9400/030</t>
        </is>
      </c>
      <c r="E11841" s="3" t="inlineStr">
        <is>
          <t>Accrued Expenses - PAYE_AND_UIF</t>
        </is>
      </c>
      <c r="F11841" s="3" t="n">
        <v>0</v>
      </c>
      <c r="G11841" s="3" t="n">
        <v>-2</v>
      </c>
    </row>
    <row r="11842">
      <c r="A11842" s="3" t="inlineStr">
        <is>
          <t>Trademark Holdings (Pty) Ltd</t>
        </is>
      </c>
      <c r="B11842" s="4" t="n">
        <v>44895</v>
      </c>
      <c r="C11842" s="3" t="inlineStr">
        <is>
          <t>Liabilities</t>
        </is>
      </c>
      <c r="D11842" s="3" t="inlineStr">
        <is>
          <t>9400/400</t>
        </is>
      </c>
      <c r="E11842" s="3" t="inlineStr">
        <is>
          <t>Deemed Dividend Tax</t>
        </is>
      </c>
      <c r="F11842" s="3" t="n">
        <v>0</v>
      </c>
      <c r="G11842" s="3" t="n">
        <v>-699.13</v>
      </c>
    </row>
    <row r="11843">
      <c r="A11843" s="3" t="inlineStr">
        <is>
          <t>Opportunity Global Investment (PTY) LTD</t>
        </is>
      </c>
      <c r="B11843" s="4" t="n">
        <v>44895</v>
      </c>
      <c r="C11843" s="3" t="inlineStr">
        <is>
          <t>Liabilities</t>
        </is>
      </c>
      <c r="D11843" s="3" t="inlineStr">
        <is>
          <t>9500/000</t>
        </is>
      </c>
      <c r="E11843" s="3" t="inlineStr">
        <is>
          <t>VAT Control Account</t>
        </is>
      </c>
      <c r="F11843" s="3" t="n">
        <v>175459.31</v>
      </c>
      <c r="G11843" s="3" t="n">
        <v>362929.55</v>
      </c>
    </row>
    <row r="11844">
      <c r="A11844" s="3" t="inlineStr">
        <is>
          <t>Opportunity Global Sales (PTY) LTD</t>
        </is>
      </c>
      <c r="B11844" s="4" t="n">
        <v>44895</v>
      </c>
      <c r="C11844" s="3" t="inlineStr">
        <is>
          <t>Liabilities</t>
        </is>
      </c>
      <c r="D11844" s="3" t="inlineStr">
        <is>
          <t>9500/000</t>
        </is>
      </c>
      <c r="E11844" s="3" t="inlineStr">
        <is>
          <t>VAT Control Account</t>
        </is>
      </c>
      <c r="F11844" s="3" t="n">
        <v>-111815.39</v>
      </c>
      <c r="G11844" s="3" t="n">
        <v>-451923.82</v>
      </c>
    </row>
    <row r="11845">
      <c r="A11845" s="3" t="inlineStr">
        <is>
          <t>Opportunity Management Holdings (PTY) LTD</t>
        </is>
      </c>
      <c r="B11845" s="4" t="n">
        <v>44895</v>
      </c>
      <c r="C11845" s="3" t="inlineStr">
        <is>
          <t>Liabilities</t>
        </is>
      </c>
      <c r="D11845" s="3" t="inlineStr">
        <is>
          <t>9500/000</t>
        </is>
      </c>
      <c r="E11845" s="3" t="inlineStr">
        <is>
          <t>VAT Control Account</t>
        </is>
      </c>
      <c r="F11845" s="3" t="n">
        <v>-47293.14</v>
      </c>
      <c r="G11845" s="3" t="n">
        <v>61836.53</v>
      </c>
    </row>
    <row r="11846">
      <c r="A11846" s="3" t="inlineStr">
        <is>
          <t>Endulini (Pty) Ltd</t>
        </is>
      </c>
      <c r="B11846" s="4" t="n">
        <v>44895</v>
      </c>
      <c r="C11846" s="3" t="inlineStr">
        <is>
          <t>Liabilities</t>
        </is>
      </c>
      <c r="D11846" s="3" t="inlineStr">
        <is>
          <t>9500/000</t>
        </is>
      </c>
      <c r="E11846" s="3" t="inlineStr">
        <is>
          <t>Vat / Tax Control Account</t>
        </is>
      </c>
      <c r="F11846" s="3" t="n">
        <v>-384407.71</v>
      </c>
      <c r="G11846" s="3" t="n">
        <v>-2353283.27</v>
      </c>
    </row>
    <row r="11847">
      <c r="A11847" s="3" t="inlineStr">
        <is>
          <t>Quinate Consulting (Pty) Ltd</t>
        </is>
      </c>
      <c r="B11847" s="4" t="n">
        <v>44895</v>
      </c>
      <c r="C11847" s="3" t="inlineStr">
        <is>
          <t>Liabilities</t>
        </is>
      </c>
      <c r="D11847" s="3" t="inlineStr">
        <is>
          <t>9500/000</t>
        </is>
      </c>
      <c r="E11847" s="3" t="inlineStr">
        <is>
          <t>Vat Control Account</t>
        </is>
      </c>
      <c r="F11847" s="3" t="n">
        <v>3730653.44</v>
      </c>
      <c r="G11847" s="3" t="n">
        <v>1573278.29</v>
      </c>
    </row>
    <row r="11848">
      <c r="A11848" s="3" t="inlineStr">
        <is>
          <t>Opportunity Management Holdings (PTY) LTD</t>
        </is>
      </c>
      <c r="B11848" s="4" t="n">
        <v>44895</v>
      </c>
      <c r="C11848" s="3" t="inlineStr">
        <is>
          <t>Liabilities</t>
        </is>
      </c>
      <c r="D11848" s="3" t="inlineStr">
        <is>
          <t>9501/000</t>
        </is>
      </c>
      <c r="E11848" s="3" t="inlineStr">
        <is>
          <t>Vat Adjustments - C2M</t>
        </is>
      </c>
      <c r="F11848" s="3" t="n">
        <v>0</v>
      </c>
      <c r="G11848" s="3" t="n">
        <v>47274.04</v>
      </c>
    </row>
    <row r="11849">
      <c r="A11849" s="3" t="inlineStr">
        <is>
          <t>Endulini (Pty) Ltd</t>
        </is>
      </c>
      <c r="B11849" s="4" t="n">
        <v>44895</v>
      </c>
      <c r="C11849" s="3" t="inlineStr">
        <is>
          <t>Liabilities</t>
        </is>
      </c>
      <c r="D11849" s="3" t="inlineStr">
        <is>
          <t>9899/A101</t>
        </is>
      </c>
      <c r="E11849" s="3" t="inlineStr">
        <is>
          <t>Sales - Unit Reg Control A101</t>
        </is>
      </c>
      <c r="F11849" s="3" t="n">
        <v>-20369.08</v>
      </c>
      <c r="G11849" s="3" t="n">
        <v>-1134.24</v>
      </c>
    </row>
    <row r="11850">
      <c r="A11850" s="3" t="inlineStr">
        <is>
          <t>Endulini (Pty) Ltd</t>
        </is>
      </c>
      <c r="B11850" s="4" t="n">
        <v>44895</v>
      </c>
      <c r="C11850" s="3" t="inlineStr">
        <is>
          <t>Liabilities</t>
        </is>
      </c>
      <c r="D11850" s="3" t="inlineStr">
        <is>
          <t>9899/A103</t>
        </is>
      </c>
      <c r="E11850" s="3" t="inlineStr">
        <is>
          <t>Sales - Unit Reg Control A103</t>
        </is>
      </c>
      <c r="F11850" s="3" t="n">
        <v>310213.16</v>
      </c>
      <c r="G11850" s="3" t="n">
        <v>310213.16</v>
      </c>
    </row>
    <row r="11851">
      <c r="A11851" s="3" t="inlineStr">
        <is>
          <t>Endulini (Pty) Ltd</t>
        </is>
      </c>
      <c r="B11851" s="4" t="n">
        <v>44895</v>
      </c>
      <c r="C11851" s="3" t="inlineStr">
        <is>
          <t>Liabilities</t>
        </is>
      </c>
      <c r="D11851" s="3" t="inlineStr">
        <is>
          <t>9899/A208</t>
        </is>
      </c>
      <c r="E11851" s="3" t="inlineStr">
        <is>
          <t>Sales - Unit Reg Control A208</t>
        </is>
      </c>
      <c r="F11851" s="3" t="n">
        <v>134384.93</v>
      </c>
      <c r="G11851" s="3" t="n">
        <v>134384.93</v>
      </c>
    </row>
    <row r="11852">
      <c r="A11852" s="3" t="inlineStr">
        <is>
          <t>Quinate Consulting (Pty) Ltd</t>
        </is>
      </c>
      <c r="B11852" s="4" t="n">
        <v>44895</v>
      </c>
      <c r="C11852" s="3" t="inlineStr">
        <is>
          <t>Liabilities</t>
        </is>
      </c>
      <c r="D11852" s="3" t="inlineStr">
        <is>
          <t>9960/000</t>
        </is>
      </c>
      <c r="E11852" s="3" t="inlineStr">
        <is>
          <t>Deposits - Southwark Rentals</t>
        </is>
      </c>
      <c r="F11852" s="3" t="n">
        <v>0</v>
      </c>
      <c r="G11852" s="3" t="n">
        <v>-11500</v>
      </c>
    </row>
    <row r="11853">
      <c r="A11853" s="3" t="inlineStr">
        <is>
          <t>Noble Shield (Pty) Ltd ta Go Letting</t>
        </is>
      </c>
      <c r="B11853" s="4" t="n">
        <v>44895</v>
      </c>
      <c r="C11853" s="3" t="inlineStr">
        <is>
          <t>Expenses</t>
        </is>
      </c>
      <c r="D11853" s="3" t="inlineStr">
        <is>
          <t>ACB Link</t>
        </is>
      </c>
      <c r="E11853" s="3" t="inlineStr">
        <is>
          <t>Subscriptions - TPN</t>
        </is>
      </c>
      <c r="F11853" s="3" t="n">
        <v>3147.17</v>
      </c>
      <c r="G11853" s="3" t="n">
        <v>6768.59</v>
      </c>
    </row>
    <row r="11854">
      <c r="A11854" s="3" t="inlineStr">
        <is>
          <t>Noble Shield (Pty) Ltd ta Go Letting</t>
        </is>
      </c>
      <c r="B11854" s="4" t="n">
        <v>44895</v>
      </c>
      <c r="C11854" s="3" t="inlineStr">
        <is>
          <t>Liabilities</t>
        </is>
      </c>
      <c r="D11854" s="3" t="inlineStr">
        <is>
          <t>B/S</t>
        </is>
      </c>
      <c r="E11854" s="3" t="inlineStr">
        <is>
          <t>Tax Payable</t>
        </is>
      </c>
      <c r="F11854" s="3" t="n">
        <v>0</v>
      </c>
      <c r="G11854" s="3" t="n">
        <v>-5213.16</v>
      </c>
    </row>
    <row r="11855">
      <c r="A11855" s="3" t="inlineStr">
        <is>
          <t>Trademark Holdings (Pty) Ltd</t>
        </is>
      </c>
      <c r="B11855" s="4" t="n">
        <v>44895</v>
      </c>
      <c r="C11855" s="3" t="inlineStr">
        <is>
          <t>Liabilities</t>
        </is>
      </c>
      <c r="D11855" s="3" t="inlineStr">
        <is>
          <t>B/S</t>
        </is>
      </c>
      <c r="E11855" s="3" t="inlineStr">
        <is>
          <t>Taxation Payable</t>
        </is>
      </c>
      <c r="F11855" s="3" t="n">
        <v>0</v>
      </c>
      <c r="G11855" s="3" t="n">
        <v>-353.36</v>
      </c>
    </row>
    <row r="11856">
      <c r="A11856" s="3" t="inlineStr">
        <is>
          <t>Quinate Consulting (Pty) Ltd</t>
        </is>
      </c>
      <c r="B11856" s="4" t="n">
        <v>44895</v>
      </c>
      <c r="C11856" s="3" t="inlineStr">
        <is>
          <t>Liabilities</t>
        </is>
      </c>
      <c r="D11856" s="3" t="inlineStr">
        <is>
          <t xml:space="preserve">B/S </t>
        </is>
      </c>
      <c r="E11856" s="3" t="inlineStr">
        <is>
          <t>Taxation Payable</t>
        </is>
      </c>
      <c r="F11856" s="3" t="n">
        <v>0</v>
      </c>
      <c r="G11856" s="3" t="n">
        <v>-15486</v>
      </c>
    </row>
    <row r="11857">
      <c r="A11857" s="3" t="inlineStr">
        <is>
          <t>Quinate Consulting (Pty) Ltd</t>
        </is>
      </c>
      <c r="B11857" s="4" t="n">
        <v>44895</v>
      </c>
      <c r="C11857" s="3" t="inlineStr">
        <is>
          <t>Liabilities</t>
        </is>
      </c>
      <c r="D11857" s="3" t="inlineStr">
        <is>
          <t>FV</t>
        </is>
      </c>
      <c r="E11857" s="3" t="inlineStr">
        <is>
          <t>Loan - Cape Projects Constuction</t>
        </is>
      </c>
      <c r="F11857" s="3" t="n">
        <v>-3725000</v>
      </c>
      <c r="G11857" s="3" t="n">
        <v>-6455000</v>
      </c>
    </row>
    <row r="11858">
      <c r="A11858" s="3" t="inlineStr">
        <is>
          <t>Quinate Consulting (Pty) Ltd</t>
        </is>
      </c>
      <c r="B11858" s="4" t="n">
        <v>44895</v>
      </c>
      <c r="C11858" s="3" t="inlineStr">
        <is>
          <t>Liabilities</t>
        </is>
      </c>
      <c r="D11858" s="3" t="inlineStr">
        <is>
          <t>Sharehold OppDev</t>
        </is>
      </c>
      <c r="E11858" s="3" t="inlineStr">
        <is>
          <t>Loan - Justine Morgan</t>
        </is>
      </c>
      <c r="F11858" s="3" t="n">
        <v>0</v>
      </c>
      <c r="G11858" s="3" t="n">
        <v>-563766.76</v>
      </c>
    </row>
    <row r="11859">
      <c r="A11859" s="3" t="inlineStr">
        <is>
          <t>Opportunity Global Investment (PTY) LTD</t>
        </is>
      </c>
      <c r="B11859" s="4" t="n">
        <v>44895</v>
      </c>
      <c r="C11859" s="3" t="inlineStr">
        <is>
          <t>Expenses</t>
        </is>
      </c>
      <c r="D11859" s="3" t="inlineStr">
        <is>
          <t>Swiftshutter</t>
        </is>
      </c>
      <c r="E11859" s="3" t="inlineStr">
        <is>
          <t>Advertising - Rousseau Lotter</t>
        </is>
      </c>
      <c r="F11859" s="3" t="n">
        <v>0</v>
      </c>
      <c r="G11859" s="3" t="n">
        <v>15400</v>
      </c>
    </row>
    <row r="11860">
      <c r="A11860" s="3" t="inlineStr">
        <is>
          <t>Opportunity Global Sales (PTY) LTD</t>
        </is>
      </c>
      <c r="B11860" s="4" t="n">
        <v>44926</v>
      </c>
      <c r="C11860" s="3" t="inlineStr">
        <is>
          <t>Revenue</t>
        </is>
      </c>
      <c r="D11860" s="3" t="inlineStr">
        <is>
          <t>1000/009</t>
        </is>
      </c>
      <c r="E11860" s="3" t="inlineStr">
        <is>
          <t>Sales - Comm on Payprop</t>
        </is>
      </c>
      <c r="F11860" s="3" t="n">
        <v>-2203.85</v>
      </c>
      <c r="G11860" s="3" t="n">
        <v>-26146.87</v>
      </c>
    </row>
    <row r="11861">
      <c r="A11861" s="3" t="inlineStr">
        <is>
          <t>Quinate Consulting (Pty) Ltd</t>
        </is>
      </c>
      <c r="B11861" s="4" t="n">
        <v>44926</v>
      </c>
      <c r="C11861" s="3" t="inlineStr">
        <is>
          <t>Revenue</t>
        </is>
      </c>
      <c r="D11861" s="3" t="inlineStr">
        <is>
          <t>1000/011</t>
        </is>
      </c>
      <c r="E11861" s="3" t="inlineStr">
        <is>
          <t>Rent Received - Soho Unit 23</t>
        </is>
      </c>
      <c r="F11861" s="3" t="n">
        <v>-12500</v>
      </c>
      <c r="G11861" s="3" t="n">
        <v>-125000</v>
      </c>
    </row>
    <row r="11862">
      <c r="A11862" s="3" t="inlineStr">
        <is>
          <t>Quinate Consulting (Pty) Ltd</t>
        </is>
      </c>
      <c r="B11862" s="4" t="n">
        <v>44926</v>
      </c>
      <c r="C11862" s="3" t="inlineStr">
        <is>
          <t>Revenue</t>
        </is>
      </c>
      <c r="D11862" s="3" t="inlineStr">
        <is>
          <t>1000/012</t>
        </is>
      </c>
      <c r="E11862" s="3" t="inlineStr">
        <is>
          <t>Rent Received - Soho Unit 24</t>
        </is>
      </c>
      <c r="F11862" s="3" t="n">
        <v>-14445</v>
      </c>
      <c r="G11862" s="3" t="n">
        <v>-140670</v>
      </c>
    </row>
    <row r="11863">
      <c r="A11863" s="3" t="inlineStr">
        <is>
          <t>Quinate Consulting (Pty) Ltd</t>
        </is>
      </c>
      <c r="B11863" s="4" t="n">
        <v>44926</v>
      </c>
      <c r="C11863" s="3" t="inlineStr">
        <is>
          <t>Revenue</t>
        </is>
      </c>
      <c r="D11863" s="3" t="inlineStr">
        <is>
          <t>1000/013</t>
        </is>
      </c>
      <c r="E11863" s="3" t="inlineStr">
        <is>
          <t>Rent Recieved - Soho Unit 20</t>
        </is>
      </c>
      <c r="F11863" s="3" t="n">
        <v>-12500</v>
      </c>
      <c r="G11863" s="3" t="n">
        <v>-125000</v>
      </c>
    </row>
    <row r="11864">
      <c r="A11864" s="3" t="inlineStr">
        <is>
          <t>Quinate Consulting (Pty) Ltd</t>
        </is>
      </c>
      <c r="B11864" s="4" t="n">
        <v>44926</v>
      </c>
      <c r="C11864" s="3" t="inlineStr">
        <is>
          <t>Revenue</t>
        </is>
      </c>
      <c r="D11864" s="3" t="inlineStr">
        <is>
          <t>1000/015</t>
        </is>
      </c>
      <c r="E11864" s="3" t="inlineStr">
        <is>
          <t>Rent Received - Southwark Unit 1</t>
        </is>
      </c>
      <c r="F11864" s="3" t="n">
        <v>0</v>
      </c>
      <c r="G11864" s="3" t="n">
        <v>-20000</v>
      </c>
    </row>
    <row r="11865">
      <c r="A11865" s="3" t="inlineStr">
        <is>
          <t>Quinate Consulting (Pty) Ltd</t>
        </is>
      </c>
      <c r="B11865" s="4" t="n">
        <v>44926</v>
      </c>
      <c r="C11865" s="3" t="inlineStr">
        <is>
          <t>Revenue</t>
        </is>
      </c>
      <c r="D11865" s="3" t="inlineStr">
        <is>
          <t>1000/016</t>
        </is>
      </c>
      <c r="E11865" s="3" t="inlineStr">
        <is>
          <t>Rent Recieved - Southwark Unit 21</t>
        </is>
      </c>
      <c r="F11865" s="3" t="n">
        <v>-10000</v>
      </c>
      <c r="G11865" s="3" t="n">
        <v>-100000</v>
      </c>
    </row>
    <row r="11866">
      <c r="A11866" s="3" t="inlineStr">
        <is>
          <t>Opportunity Global Sales (PTY) LTD</t>
        </is>
      </c>
      <c r="B11866" s="4" t="n">
        <v>44926</v>
      </c>
      <c r="C11866" s="3" t="inlineStr">
        <is>
          <t>Revenue</t>
        </is>
      </c>
      <c r="D11866" s="3" t="inlineStr">
        <is>
          <t>1000/100</t>
        </is>
      </c>
      <c r="E11866" s="3" t="inlineStr">
        <is>
          <t>Sales - Comm on External Sales</t>
        </is>
      </c>
      <c r="F11866" s="3" t="n">
        <v>0</v>
      </c>
      <c r="G11866" s="3" t="n">
        <v>-96165.22</v>
      </c>
    </row>
    <row r="11867">
      <c r="A11867" s="3" t="inlineStr">
        <is>
          <t>Noble Shield (Pty) Ltd ta Go Letting</t>
        </is>
      </c>
      <c r="B11867" s="4" t="n">
        <v>44926</v>
      </c>
      <c r="C11867" s="3" t="inlineStr">
        <is>
          <t>Revenue</t>
        </is>
      </c>
      <c r="D11867" s="3" t="inlineStr">
        <is>
          <t>1000/100</t>
        </is>
      </c>
      <c r="E11867" s="3" t="inlineStr">
        <is>
          <t>Sales - Payprop 328 - Michelle</t>
        </is>
      </c>
      <c r="F11867" s="3" t="n">
        <v>-75609.81</v>
      </c>
      <c r="G11867" s="3" t="n">
        <v>-295430.47</v>
      </c>
    </row>
    <row r="11868">
      <c r="A11868" s="3" t="inlineStr">
        <is>
          <t>Opportunity Global Sales (PTY) LTD</t>
        </is>
      </c>
      <c r="B11868" s="4" t="n">
        <v>44926</v>
      </c>
      <c r="C11868" s="3" t="inlineStr">
        <is>
          <t>Revenue</t>
        </is>
      </c>
      <c r="D11868" s="3" t="inlineStr">
        <is>
          <t>1000/120</t>
        </is>
      </c>
      <c r="E11868" s="3" t="inlineStr">
        <is>
          <t>Sales - Admin Fees on Rental Units</t>
        </is>
      </c>
      <c r="F11868" s="3" t="n">
        <v>-869.5599999999999</v>
      </c>
      <c r="G11868" s="3" t="n">
        <v>-24478.19</v>
      </c>
    </row>
    <row r="11869">
      <c r="A11869" s="3" t="inlineStr">
        <is>
          <t>Opportunity Global Sales (PTY) LTD</t>
        </is>
      </c>
      <c r="B11869" s="4" t="n">
        <v>44926</v>
      </c>
      <c r="C11869" s="3" t="inlineStr">
        <is>
          <t>Revenue</t>
        </is>
      </c>
      <c r="D11869" s="3" t="inlineStr">
        <is>
          <t>1000/150</t>
        </is>
      </c>
      <c r="E11869" s="3" t="inlineStr">
        <is>
          <t>Sales - Comm on External Rental</t>
        </is>
      </c>
      <c r="F11869" s="3" t="n">
        <v>-17826.08</v>
      </c>
      <c r="G11869" s="3" t="n">
        <v>-276973.88</v>
      </c>
    </row>
    <row r="11870">
      <c r="A11870" s="3" t="inlineStr">
        <is>
          <t>Opportunity Global Sales (PTY) LTD</t>
        </is>
      </c>
      <c r="B11870" s="4" t="n">
        <v>44926</v>
      </c>
      <c r="C11870" s="3" t="inlineStr">
        <is>
          <t>Revenue</t>
        </is>
      </c>
      <c r="D11870" s="3" t="inlineStr">
        <is>
          <t>1000/250</t>
        </is>
      </c>
      <c r="E11870" s="3" t="inlineStr">
        <is>
          <t>Sales - Comm on Endulini</t>
        </is>
      </c>
      <c r="F11870" s="3" t="n">
        <v>0</v>
      </c>
      <c r="G11870" s="3" t="n">
        <v>-2192781.31</v>
      </c>
    </row>
    <row r="11871">
      <c r="A11871" s="3" t="inlineStr">
        <is>
          <t>Opportunity Global Sales (PTY) LTD</t>
        </is>
      </c>
      <c r="B11871" s="4" t="n">
        <v>44926</v>
      </c>
      <c r="C11871" s="3" t="inlineStr">
        <is>
          <t>Revenue</t>
        </is>
      </c>
      <c r="D11871" s="3" t="inlineStr">
        <is>
          <t>1000/300</t>
        </is>
      </c>
      <c r="E11871" s="3" t="inlineStr">
        <is>
          <t>Sales - Comm on Heron Fields</t>
        </is>
      </c>
      <c r="F11871" s="3" t="n">
        <v>-444578.25</v>
      </c>
      <c r="G11871" s="3" t="n">
        <v>-1136921.72</v>
      </c>
    </row>
    <row r="11872">
      <c r="A11872" s="3" t="inlineStr">
        <is>
          <t>Trademark Holdings (Pty) Ltd</t>
        </is>
      </c>
      <c r="B11872" s="4" t="n">
        <v>44926</v>
      </c>
      <c r="C11872" s="3" t="inlineStr">
        <is>
          <t>Revenue</t>
        </is>
      </c>
      <c r="D11872" s="3" t="inlineStr">
        <is>
          <t>1000/300</t>
        </is>
      </c>
      <c r="E11872" s="3" t="inlineStr">
        <is>
          <t>Sales - Payprop - Lara</t>
        </is>
      </c>
      <c r="F11872" s="3" t="n">
        <v>-94550.83</v>
      </c>
      <c r="G11872" s="3" t="n">
        <v>-355846.89</v>
      </c>
    </row>
    <row r="11873">
      <c r="A11873" s="3" t="inlineStr">
        <is>
          <t>Opportunity Global Investment (PTY) LTD</t>
        </is>
      </c>
      <c r="B11873" s="4" t="n">
        <v>44926</v>
      </c>
      <c r="C11873" s="3" t="inlineStr">
        <is>
          <t>Revenue</t>
        </is>
      </c>
      <c r="D11873" s="3" t="inlineStr">
        <is>
          <t>1000/350</t>
        </is>
      </c>
      <c r="E11873" s="3" t="inlineStr">
        <is>
          <t>Sales - Investor Management - Heron Fields</t>
        </is>
      </c>
      <c r="F11873" s="3" t="n">
        <v>-280000</v>
      </c>
      <c r="G11873" s="3" t="n">
        <v>-1432654.46</v>
      </c>
    </row>
    <row r="11874">
      <c r="A11874" s="3" t="inlineStr">
        <is>
          <t>Noble Shield (Pty) Ltd ta Go Letting</t>
        </is>
      </c>
      <c r="B11874" s="4" t="n">
        <v>44926</v>
      </c>
      <c r="C11874" s="3" t="inlineStr">
        <is>
          <t>Revenue</t>
        </is>
      </c>
      <c r="D11874" s="3" t="inlineStr">
        <is>
          <t>1000/420</t>
        </is>
      </c>
      <c r="E11874" s="3" t="inlineStr">
        <is>
          <t>Sales - Commission Received - External</t>
        </is>
      </c>
      <c r="F11874" s="3" t="n">
        <v>-30000</v>
      </c>
      <c r="G11874" s="3" t="n">
        <v>-30000</v>
      </c>
    </row>
    <row r="11875">
      <c r="A11875" s="3" t="inlineStr">
        <is>
          <t>Trademark Holdings (Pty) Ltd</t>
        </is>
      </c>
      <c r="B11875" s="4" t="n">
        <v>44926</v>
      </c>
      <c r="C11875" s="3" t="inlineStr">
        <is>
          <t>Revenue</t>
        </is>
      </c>
      <c r="D11875" s="3" t="inlineStr">
        <is>
          <t>1000/500</t>
        </is>
      </c>
      <c r="E11875" s="3" t="inlineStr">
        <is>
          <t>Sales - Commission external sale</t>
        </is>
      </c>
      <c r="F11875" s="3" t="n">
        <v>-40000</v>
      </c>
      <c r="G11875" s="3" t="n">
        <v>-80000</v>
      </c>
    </row>
    <row r="11876">
      <c r="A11876" s="3" t="inlineStr">
        <is>
          <t>Opportunity Global Sales (PTY) LTD</t>
        </is>
      </c>
      <c r="B11876" s="4" t="n">
        <v>44926</v>
      </c>
      <c r="C11876" s="3" t="inlineStr">
        <is>
          <t>Revenue</t>
        </is>
      </c>
      <c r="D11876" s="3" t="inlineStr">
        <is>
          <t>1000/902</t>
        </is>
      </c>
      <c r="E11876" s="3" t="inlineStr">
        <is>
          <t>Sales - Credit check</t>
        </is>
      </c>
      <c r="F11876" s="3" t="n">
        <v>0</v>
      </c>
      <c r="G11876" s="3" t="n">
        <v>-60.87</v>
      </c>
    </row>
    <row r="11877">
      <c r="A11877" s="3" t="inlineStr">
        <is>
          <t>Opportunity Global Sales (PTY) LTD</t>
        </is>
      </c>
      <c r="B11877" s="4" t="n">
        <v>44926</v>
      </c>
      <c r="C11877" s="3" t="inlineStr">
        <is>
          <t>Revenue</t>
        </is>
      </c>
      <c r="D11877" s="3" t="inlineStr">
        <is>
          <t>1000/903</t>
        </is>
      </c>
      <c r="E11877" s="3" t="inlineStr">
        <is>
          <t>Sales - Lease preparation fees</t>
        </is>
      </c>
      <c r="F11877" s="3" t="n">
        <v>0</v>
      </c>
      <c r="G11877" s="3" t="n">
        <v>-434.78</v>
      </c>
    </row>
    <row r="11878">
      <c r="A11878" s="3" t="inlineStr">
        <is>
          <t>Quinate Consulting (Pty) Ltd</t>
        </is>
      </c>
      <c r="B11878" s="4" t="n">
        <v>44926</v>
      </c>
      <c r="C11878" s="3" t="inlineStr">
        <is>
          <t>Revenue</t>
        </is>
      </c>
      <c r="D11878" s="3" t="inlineStr">
        <is>
          <t>1002/200</t>
        </is>
      </c>
      <c r="E11878" s="3" t="inlineStr">
        <is>
          <t>Sales - Vodacom tower</t>
        </is>
      </c>
      <c r="F11878" s="3" t="n">
        <v>0</v>
      </c>
      <c r="G11878" s="3" t="n">
        <v>-29415.17</v>
      </c>
    </row>
    <row r="11879">
      <c r="A11879" s="3" t="inlineStr">
        <is>
          <t>Quinate Consulting (Pty) Ltd</t>
        </is>
      </c>
      <c r="B11879" s="4" t="n">
        <v>44926</v>
      </c>
      <c r="C11879" s="3" t="inlineStr">
        <is>
          <t>Revenue</t>
        </is>
      </c>
      <c r="D11879" s="3" t="inlineStr">
        <is>
          <t>1004/000</t>
        </is>
      </c>
      <c r="E11879" s="3" t="inlineStr">
        <is>
          <t>Interest received</t>
        </is>
      </c>
      <c r="F11879" s="3" t="n">
        <v>-705.36</v>
      </c>
      <c r="G11879" s="3" t="n">
        <v>-4785.12</v>
      </c>
    </row>
    <row r="11880">
      <c r="A11880" s="3" t="inlineStr">
        <is>
          <t>Quinate Consulting (Pty) Ltd</t>
        </is>
      </c>
      <c r="B11880" s="4" t="n">
        <v>44926</v>
      </c>
      <c r="C11880" s="3" t="inlineStr">
        <is>
          <t>Revenue</t>
        </is>
      </c>
      <c r="D11880" s="3" t="inlineStr">
        <is>
          <t>1006/100</t>
        </is>
      </c>
      <c r="E11880" s="3" t="inlineStr">
        <is>
          <t>Rental income - Payprop</t>
        </is>
      </c>
      <c r="F11880" s="3" t="n">
        <v>-26505</v>
      </c>
      <c r="G11880" s="3" t="n">
        <v>-66986</v>
      </c>
    </row>
    <row r="11881">
      <c r="A11881" s="3" t="inlineStr">
        <is>
          <t>Endulini (Pty) Ltd</t>
        </is>
      </c>
      <c r="B11881" s="4" t="n">
        <v>44926</v>
      </c>
      <c r="C11881" s="3" t="inlineStr">
        <is>
          <t>Revenue</t>
        </is>
      </c>
      <c r="D11881" s="3" t="inlineStr">
        <is>
          <t>1100/000</t>
        </is>
      </c>
      <c r="E11881" s="3" t="inlineStr">
        <is>
          <t>Sales - Endulini</t>
        </is>
      </c>
      <c r="F11881" s="3" t="n">
        <v>0</v>
      </c>
      <c r="G11881" s="3" t="n">
        <v>-47311331.64</v>
      </c>
    </row>
    <row r="11882">
      <c r="A11882" s="3" t="inlineStr">
        <is>
          <t>Opportunity Management Holdings (PTY) LTD</t>
        </is>
      </c>
      <c r="B11882" s="4" t="n">
        <v>44926</v>
      </c>
      <c r="C11882" s="3" t="inlineStr">
        <is>
          <t>Revenue</t>
        </is>
      </c>
      <c r="D11882" s="3" t="inlineStr">
        <is>
          <t>1100/001</t>
        </is>
      </c>
      <c r="E11882" s="3" t="inlineStr">
        <is>
          <t>Salary Recharges</t>
        </is>
      </c>
      <c r="F11882" s="3" t="n">
        <v>-369208.11</v>
      </c>
      <c r="G11882" s="3" t="n">
        <v>-1477708.11</v>
      </c>
    </row>
    <row r="11883">
      <c r="A11883" s="3" t="inlineStr">
        <is>
          <t>Endulini (Pty) Ltd</t>
        </is>
      </c>
      <c r="B11883" s="4" t="n">
        <v>44926</v>
      </c>
      <c r="C11883" s="3" t="inlineStr">
        <is>
          <t>Revenue</t>
        </is>
      </c>
      <c r="D11883" s="3" t="inlineStr">
        <is>
          <t>1100/100</t>
        </is>
      </c>
      <c r="E11883" s="3" t="inlineStr">
        <is>
          <t>Sales - Endulini - Exstras</t>
        </is>
      </c>
      <c r="F11883" s="3" t="n">
        <v>0</v>
      </c>
      <c r="G11883" s="3" t="n">
        <v>-8030</v>
      </c>
    </row>
    <row r="11884">
      <c r="A11884" s="3" t="inlineStr">
        <is>
          <t>Endulini (Pty) Ltd</t>
        </is>
      </c>
      <c r="B11884" s="4" t="n">
        <v>44926</v>
      </c>
      <c r="C11884" s="3" t="inlineStr">
        <is>
          <t>Revenue</t>
        </is>
      </c>
      <c r="D11884" s="3" t="inlineStr">
        <is>
          <t>1100/150</t>
        </is>
      </c>
      <c r="E11884" s="3" t="inlineStr">
        <is>
          <t>Sales - Endulini - Extras admin fee</t>
        </is>
      </c>
      <c r="F11884" s="3" t="n">
        <v>0</v>
      </c>
      <c r="G11884" s="3" t="n">
        <v>-2000</v>
      </c>
    </row>
    <row r="11885">
      <c r="A11885" s="3" t="inlineStr">
        <is>
          <t>Endulini (Pty) Ltd</t>
        </is>
      </c>
      <c r="B11885" s="4" t="n">
        <v>44926</v>
      </c>
      <c r="C11885" s="3" t="inlineStr">
        <is>
          <t>Revenue</t>
        </is>
      </c>
      <c r="D11885" s="3" t="inlineStr">
        <is>
          <t>1100/200</t>
        </is>
      </c>
      <c r="E11885" s="3" t="inlineStr">
        <is>
          <t>Sales - Endulini occupational rent</t>
        </is>
      </c>
      <c r="F11885" s="3" t="n">
        <v>0</v>
      </c>
      <c r="G11885" s="3" t="n">
        <v>-203396.02</v>
      </c>
    </row>
    <row r="11886">
      <c r="A11886" s="3" t="inlineStr">
        <is>
          <t>Endulini (Pty) Ltd</t>
        </is>
      </c>
      <c r="B11886" s="4" t="n">
        <v>44926</v>
      </c>
      <c r="C11886" s="3" t="inlineStr">
        <is>
          <t>Revenue</t>
        </is>
      </c>
      <c r="D11886" s="3" t="inlineStr">
        <is>
          <t>1500/001</t>
        </is>
      </c>
      <c r="E11886" s="3" t="inlineStr">
        <is>
          <t>Revaluation of Land</t>
        </is>
      </c>
      <c r="F11886" s="3" t="n">
        <v>0</v>
      </c>
      <c r="G11886" s="3" t="n">
        <v>6084085.78</v>
      </c>
    </row>
    <row r="11887">
      <c r="A11887" s="3" t="inlineStr">
        <is>
          <t>Endulini (Pty) Ltd</t>
        </is>
      </c>
      <c r="B11887" s="4" t="n">
        <v>44926</v>
      </c>
      <c r="C11887" s="3" t="inlineStr">
        <is>
          <t>Expenses</t>
        </is>
      </c>
      <c r="D11887" s="3" t="inlineStr">
        <is>
          <t>2000/001</t>
        </is>
      </c>
      <c r="E11887" s="3" t="inlineStr">
        <is>
          <t>COS - CIP Construction</t>
        </is>
      </c>
      <c r="F11887" s="3" t="n">
        <v>0</v>
      </c>
      <c r="G11887" s="3" t="n">
        <v>28155981.9</v>
      </c>
    </row>
    <row r="11888">
      <c r="A11888" s="3" t="inlineStr">
        <is>
          <t>Opportunity Global Sales (PTY) LTD</t>
        </is>
      </c>
      <c r="B11888" s="4" t="n">
        <v>44926</v>
      </c>
      <c r="C11888" s="3" t="inlineStr">
        <is>
          <t>Expenses</t>
        </is>
      </c>
      <c r="D11888" s="3" t="inlineStr">
        <is>
          <t>2000/010</t>
        </is>
      </c>
      <c r="E11888" s="3" t="inlineStr">
        <is>
          <t>COS - PAYE on Commission</t>
        </is>
      </c>
      <c r="F11888" s="3" t="n">
        <v>39509.97</v>
      </c>
      <c r="G11888" s="3" t="n">
        <v>176713.03</v>
      </c>
    </row>
    <row r="11889">
      <c r="A11889" s="3" t="inlineStr">
        <is>
          <t>Quinate Consulting (Pty) Ltd</t>
        </is>
      </c>
      <c r="B11889" s="4" t="n">
        <v>44926</v>
      </c>
      <c r="C11889" s="3" t="inlineStr">
        <is>
          <t>Expenses</t>
        </is>
      </c>
      <c r="D11889" s="3" t="inlineStr">
        <is>
          <t>2000/080</t>
        </is>
      </c>
      <c r="E11889" s="3" t="inlineStr">
        <is>
          <t>COS - Repairs &amp; Maintenance Endulini units</t>
        </is>
      </c>
      <c r="F11889" s="3" t="n">
        <v>0</v>
      </c>
      <c r="G11889" s="3" t="n">
        <v>3734.81</v>
      </c>
    </row>
    <row r="11890">
      <c r="A11890" s="3" t="inlineStr">
        <is>
          <t>Endulini (Pty) Ltd</t>
        </is>
      </c>
      <c r="B11890" s="4" t="n">
        <v>44926</v>
      </c>
      <c r="C11890" s="3" t="inlineStr">
        <is>
          <t>Expenses</t>
        </is>
      </c>
      <c r="D11890" s="3" t="inlineStr">
        <is>
          <t>2000/100</t>
        </is>
      </c>
      <c r="E11890" s="3" t="inlineStr">
        <is>
          <t>COS - Commission Endulini</t>
        </is>
      </c>
      <c r="F11890" s="3" t="n">
        <v>0</v>
      </c>
      <c r="G11890" s="3" t="n">
        <v>2526781.31</v>
      </c>
    </row>
    <row r="11891">
      <c r="A11891" s="3" t="inlineStr">
        <is>
          <t>Noble Shield (Pty) Ltd ta Go Letting</t>
        </is>
      </c>
      <c r="B11891" s="4" t="n">
        <v>44926</v>
      </c>
      <c r="C11891" s="3" t="inlineStr">
        <is>
          <t>Expenses</t>
        </is>
      </c>
      <c r="D11891" s="3" t="inlineStr">
        <is>
          <t>2000/100</t>
        </is>
      </c>
      <c r="E11891" s="3" t="inlineStr">
        <is>
          <t>COS - Commission Paid</t>
        </is>
      </c>
      <c r="F11891" s="3" t="n">
        <v>13859.79</v>
      </c>
      <c r="G11891" s="3" t="n">
        <v>144624.69</v>
      </c>
    </row>
    <row r="11892">
      <c r="A11892" s="3" t="inlineStr">
        <is>
          <t>Opportunity Global Investment (PTY) LTD</t>
        </is>
      </c>
      <c r="B11892" s="4" t="n">
        <v>44926</v>
      </c>
      <c r="C11892" s="3" t="inlineStr">
        <is>
          <t>Expenses</t>
        </is>
      </c>
      <c r="D11892" s="3" t="inlineStr">
        <is>
          <t>2000/125</t>
        </is>
      </c>
      <c r="E11892" s="3" t="inlineStr">
        <is>
          <t>Referral commission - Endulini</t>
        </is>
      </c>
      <c r="F11892" s="3" t="n">
        <v>0</v>
      </c>
      <c r="G11892" s="3" t="n">
        <v>19000</v>
      </c>
    </row>
    <row r="11893">
      <c r="A11893" s="3" t="inlineStr">
        <is>
          <t>Opportunity Global Sales (PTY) LTD</t>
        </is>
      </c>
      <c r="B11893" s="4" t="n">
        <v>44926</v>
      </c>
      <c r="C11893" s="3" t="inlineStr">
        <is>
          <t>Expenses</t>
        </is>
      </c>
      <c r="D11893" s="3" t="inlineStr">
        <is>
          <t>2000/131</t>
        </is>
      </c>
      <c r="E11893" s="3" t="inlineStr">
        <is>
          <t>COS - Sales Comm Endulini - Anthony</t>
        </is>
      </c>
      <c r="F11893" s="3" t="n">
        <v>0</v>
      </c>
      <c r="G11893" s="3" t="n">
        <v>62272.01</v>
      </c>
    </row>
    <row r="11894">
      <c r="A11894" s="3" t="inlineStr">
        <is>
          <t>Opportunity Global Sales (PTY) LTD</t>
        </is>
      </c>
      <c r="B11894" s="4" t="n">
        <v>44926</v>
      </c>
      <c r="C11894" s="3" t="inlineStr">
        <is>
          <t>Expenses</t>
        </is>
      </c>
      <c r="D11894" s="3" t="inlineStr">
        <is>
          <t>2000/132</t>
        </is>
      </c>
      <c r="E11894" s="3" t="inlineStr">
        <is>
          <t>COS - Sales Comm Endulini - Minette</t>
        </is>
      </c>
      <c r="F11894" s="3" t="n">
        <v>0</v>
      </c>
      <c r="G11894" s="3" t="n">
        <v>393363.7</v>
      </c>
    </row>
    <row r="11895">
      <c r="A11895" s="3" t="inlineStr">
        <is>
          <t>Opportunity Global Sales (PTY) LTD</t>
        </is>
      </c>
      <c r="B11895" s="4" t="n">
        <v>44926</v>
      </c>
      <c r="C11895" s="3" t="inlineStr">
        <is>
          <t>Expenses</t>
        </is>
      </c>
      <c r="D11895" s="3" t="inlineStr">
        <is>
          <t>2000/133</t>
        </is>
      </c>
      <c r="E11895" s="3" t="inlineStr">
        <is>
          <t>COS - Sales Comm Endulini - External Agents</t>
        </is>
      </c>
      <c r="F11895" s="3" t="n">
        <v>0</v>
      </c>
      <c r="G11895" s="3" t="n">
        <v>9966</v>
      </c>
    </row>
    <row r="11896">
      <c r="A11896" s="3" t="inlineStr">
        <is>
          <t>Opportunity Global Sales (PTY) LTD</t>
        </is>
      </c>
      <c r="B11896" s="4" t="n">
        <v>44926</v>
      </c>
      <c r="C11896" s="3" t="inlineStr">
        <is>
          <t>Expenses</t>
        </is>
      </c>
      <c r="D11896" s="3" t="inlineStr">
        <is>
          <t>2000/135</t>
        </is>
      </c>
      <c r="E11896" s="3" t="inlineStr">
        <is>
          <t>COS - Sales Comm External - Minette</t>
        </is>
      </c>
      <c r="F11896" s="3" t="n">
        <v>26200</v>
      </c>
      <c r="G11896" s="3" t="n">
        <v>85326.45</v>
      </c>
    </row>
    <row r="11897">
      <c r="A11897" s="3" t="inlineStr">
        <is>
          <t>Opportunity Global Investment (PTY) LTD</t>
        </is>
      </c>
      <c r="B11897" s="4" t="n">
        <v>44926</v>
      </c>
      <c r="C11897" s="3" t="inlineStr">
        <is>
          <t>Expenses</t>
        </is>
      </c>
      <c r="D11897" s="3" t="inlineStr">
        <is>
          <t>2000/135</t>
        </is>
      </c>
      <c r="E11897" s="3" t="inlineStr">
        <is>
          <t>Referral commission - Heron View</t>
        </is>
      </c>
      <c r="F11897" s="3" t="n">
        <v>0</v>
      </c>
      <c r="G11897" s="3" t="n">
        <v>144000</v>
      </c>
    </row>
    <row r="11898">
      <c r="A11898" s="3" t="inlineStr">
        <is>
          <t>Opportunity Global Sales (PTY) LTD</t>
        </is>
      </c>
      <c r="B11898" s="4" t="n">
        <v>44926</v>
      </c>
      <c r="C11898" s="3" t="inlineStr">
        <is>
          <t>Expenses</t>
        </is>
      </c>
      <c r="D11898" s="3" t="inlineStr">
        <is>
          <t>2000/137</t>
        </is>
      </c>
      <c r="E11898" s="3" t="inlineStr">
        <is>
          <t>COS - Rental Comm External - Minette</t>
        </is>
      </c>
      <c r="F11898" s="3" t="n">
        <v>0</v>
      </c>
      <c r="G11898" s="3" t="n">
        <v>92798.05</v>
      </c>
    </row>
    <row r="11899">
      <c r="A11899" s="3" t="inlineStr">
        <is>
          <t>Opportunity Global Sales (PTY) LTD</t>
        </is>
      </c>
      <c r="B11899" s="4" t="n">
        <v>44926</v>
      </c>
      <c r="C11899" s="3" t="inlineStr">
        <is>
          <t>Expenses</t>
        </is>
      </c>
      <c r="D11899" s="3" t="inlineStr">
        <is>
          <t>2000/139</t>
        </is>
      </c>
      <c r="E11899" s="3" t="inlineStr">
        <is>
          <t>COS - Sales Comm Heron Fields - Minette</t>
        </is>
      </c>
      <c r="F11899" s="3" t="n">
        <v>51998.4</v>
      </c>
      <c r="G11899" s="3" t="n">
        <v>362649.83</v>
      </c>
    </row>
    <row r="11900">
      <c r="A11900" s="3" t="inlineStr">
        <is>
          <t>Opportunity Global Investment (PTY) LTD</t>
        </is>
      </c>
      <c r="B11900" s="4" t="n">
        <v>44926</v>
      </c>
      <c r="C11900" s="3" t="inlineStr">
        <is>
          <t>Expenses</t>
        </is>
      </c>
      <c r="D11900" s="3" t="inlineStr">
        <is>
          <t>2000/140</t>
        </is>
      </c>
      <c r="E11900" s="3" t="inlineStr">
        <is>
          <t>Referral commission - F Geldenhuys</t>
        </is>
      </c>
      <c r="F11900" s="3" t="n">
        <v>47400</v>
      </c>
      <c r="G11900" s="3" t="n">
        <v>100800</v>
      </c>
    </row>
    <row r="11901">
      <c r="A11901" s="3" t="inlineStr">
        <is>
          <t>Opportunity Global Sales (PTY) LTD</t>
        </is>
      </c>
      <c r="B11901" s="4" t="n">
        <v>44926</v>
      </c>
      <c r="C11901" s="3" t="inlineStr">
        <is>
          <t>Expenses</t>
        </is>
      </c>
      <c r="D11901" s="3" t="inlineStr">
        <is>
          <t>2000/142</t>
        </is>
      </c>
      <c r="E11901" s="3" t="inlineStr">
        <is>
          <t>COS - Sales Comm Heron Fields - Anthony</t>
        </is>
      </c>
      <c r="F11901" s="3" t="n">
        <v>0</v>
      </c>
      <c r="G11901" s="3" t="n">
        <v>26954.78</v>
      </c>
    </row>
    <row r="11902">
      <c r="A11902" s="3" t="inlineStr">
        <is>
          <t>Opportunity Global Sales (PTY) LTD</t>
        </is>
      </c>
      <c r="B11902" s="4" t="n">
        <v>44926</v>
      </c>
      <c r="C11902" s="3" t="inlineStr">
        <is>
          <t>Expenses</t>
        </is>
      </c>
      <c r="D11902" s="3" t="inlineStr">
        <is>
          <t>2000/143</t>
        </is>
      </c>
      <c r="E11902" s="3" t="inlineStr">
        <is>
          <t>COS - Sales Comm Endulini - Yvette</t>
        </is>
      </c>
      <c r="F11902" s="3" t="n">
        <v>0</v>
      </c>
      <c r="G11902" s="3" t="n">
        <v>22102.92</v>
      </c>
    </row>
    <row r="11903">
      <c r="A11903" s="3" t="inlineStr">
        <is>
          <t>Opportunity Global Investment (PTY) LTD</t>
        </is>
      </c>
      <c r="B11903" s="4" t="n">
        <v>44926</v>
      </c>
      <c r="C11903" s="3" t="inlineStr">
        <is>
          <t>Expenses</t>
        </is>
      </c>
      <c r="D11903" s="3" t="inlineStr">
        <is>
          <t>2000/145</t>
        </is>
      </c>
      <c r="E11903" s="3" t="inlineStr">
        <is>
          <t>Referral commission - W Thomason</t>
        </is>
      </c>
      <c r="F11903" s="3" t="n">
        <v>0</v>
      </c>
      <c r="G11903" s="3" t="n">
        <v>36000</v>
      </c>
    </row>
    <row r="11904">
      <c r="A11904" s="3" t="inlineStr">
        <is>
          <t>Opportunity Global Sales (PTY) LTD</t>
        </is>
      </c>
      <c r="B11904" s="4" t="n">
        <v>44926</v>
      </c>
      <c r="C11904" s="3" t="inlineStr">
        <is>
          <t>Expenses</t>
        </is>
      </c>
      <c r="D11904" s="3" t="inlineStr">
        <is>
          <t>2000/147</t>
        </is>
      </c>
      <c r="E11904" s="3" t="inlineStr">
        <is>
          <t>COS - Sales Comm Heron Fields - Yvette</t>
        </is>
      </c>
      <c r="F11904" s="3" t="n">
        <v>70108.17</v>
      </c>
      <c r="G11904" s="3" t="n">
        <v>114706.18</v>
      </c>
    </row>
    <row r="11905">
      <c r="A11905" s="3" t="inlineStr">
        <is>
          <t>Endulini (Pty) Ltd</t>
        </is>
      </c>
      <c r="B11905" s="4" t="n">
        <v>44926</v>
      </c>
      <c r="C11905" s="3" t="inlineStr">
        <is>
          <t>Expenses</t>
        </is>
      </c>
      <c r="D11905" s="3" t="inlineStr">
        <is>
          <t>2000/150</t>
        </is>
      </c>
      <c r="E11905" s="3" t="inlineStr">
        <is>
          <t>COS - Levies special agreement</t>
        </is>
      </c>
      <c r="F11905" s="3" t="n">
        <v>11664.39</v>
      </c>
      <c r="G11905" s="3" t="n">
        <v>28077.38</v>
      </c>
    </row>
    <row r="11906">
      <c r="A11906" s="3" t="inlineStr">
        <is>
          <t>Opportunity Global Sales (PTY) LTD</t>
        </is>
      </c>
      <c r="B11906" s="4" t="n">
        <v>44926</v>
      </c>
      <c r="C11906" s="3" t="inlineStr">
        <is>
          <t>Expenses</t>
        </is>
      </c>
      <c r="D11906" s="3" t="inlineStr">
        <is>
          <t>2000/162</t>
        </is>
      </c>
      <c r="E11906" s="3" t="inlineStr">
        <is>
          <t>COS - Sales Comm Heron View - Yvette</t>
        </is>
      </c>
      <c r="F11906" s="3" t="n">
        <v>12620.16</v>
      </c>
      <c r="G11906" s="3" t="n">
        <v>12620.16</v>
      </c>
    </row>
    <row r="11907">
      <c r="A11907" s="3" t="inlineStr">
        <is>
          <t>Noble Shield (Pty) Ltd ta Go Letting</t>
        </is>
      </c>
      <c r="B11907" s="4" t="n">
        <v>44926</v>
      </c>
      <c r="C11907" s="3" t="inlineStr">
        <is>
          <t>Expenses</t>
        </is>
      </c>
      <c r="D11907" s="3" t="inlineStr">
        <is>
          <t>2000/200</t>
        </is>
      </c>
      <c r="E11907" s="3" t="inlineStr">
        <is>
          <t>COS - Commission on external sales</t>
        </is>
      </c>
      <c r="F11907" s="3" t="n">
        <v>18000</v>
      </c>
      <c r="G11907" s="3" t="n">
        <v>18000</v>
      </c>
    </row>
    <row r="11908">
      <c r="A11908" s="3" t="inlineStr">
        <is>
          <t>Trademark Holdings (Pty) Ltd</t>
        </is>
      </c>
      <c r="B11908" s="4" t="n">
        <v>44926</v>
      </c>
      <c r="C11908" s="3" t="inlineStr">
        <is>
          <t>Expenses</t>
        </is>
      </c>
      <c r="D11908" s="3" t="inlineStr">
        <is>
          <t>2000/300</t>
        </is>
      </c>
      <c r="E11908" s="3" t="inlineStr">
        <is>
          <t>COS - Commission Paid</t>
        </is>
      </c>
      <c r="F11908" s="3" t="n">
        <v>17000.48</v>
      </c>
      <c r="G11908" s="3" t="n">
        <v>64607.43</v>
      </c>
    </row>
    <row r="11909">
      <c r="A11909" s="3" t="inlineStr">
        <is>
          <t>Opportunity Global Sales (PTY) LTD</t>
        </is>
      </c>
      <c r="B11909" s="4" t="n">
        <v>44926</v>
      </c>
      <c r="C11909" s="3" t="inlineStr">
        <is>
          <t>Expenses</t>
        </is>
      </c>
      <c r="D11909" s="3" t="inlineStr">
        <is>
          <t>2000/350</t>
        </is>
      </c>
      <c r="E11909" s="3" t="inlineStr">
        <is>
          <t>COS - Overrider Comm Endulini - Donovan</t>
        </is>
      </c>
      <c r="F11909" s="3" t="n">
        <v>7721.21</v>
      </c>
      <c r="G11909" s="3" t="n">
        <v>81928.42</v>
      </c>
    </row>
    <row r="11910">
      <c r="A11910" s="3" t="inlineStr">
        <is>
          <t>Opportunity Global Sales (PTY) LTD</t>
        </is>
      </c>
      <c r="B11910" s="4" t="n">
        <v>44926</v>
      </c>
      <c r="C11910" s="3" t="inlineStr">
        <is>
          <t>Expenses</t>
        </is>
      </c>
      <c r="D11910" s="3" t="inlineStr">
        <is>
          <t>2000/351</t>
        </is>
      </c>
      <c r="E11910" s="3" t="inlineStr">
        <is>
          <t>COS - Overrider Comm External - Donovan</t>
        </is>
      </c>
      <c r="F11910" s="3" t="n">
        <v>0</v>
      </c>
      <c r="G11910" s="3" t="n">
        <v>7030.44</v>
      </c>
    </row>
    <row r="11911">
      <c r="A11911" s="3" t="inlineStr">
        <is>
          <t>Opportunity Global Sales (PTY) LTD</t>
        </is>
      </c>
      <c r="B11911" s="4" t="n">
        <v>44926</v>
      </c>
      <c r="C11911" s="3" t="inlineStr">
        <is>
          <t>Expenses</t>
        </is>
      </c>
      <c r="D11911" s="3" t="inlineStr">
        <is>
          <t>2000/352</t>
        </is>
      </c>
      <c r="E11911" s="3" t="inlineStr">
        <is>
          <t>COS - Overrider Comm Heron Fields - Donovan</t>
        </is>
      </c>
      <c r="F11911" s="3" t="n">
        <v>44709.92</v>
      </c>
      <c r="G11911" s="3" t="n">
        <v>44709.92</v>
      </c>
    </row>
    <row r="11912">
      <c r="A11912" s="3" t="inlineStr">
        <is>
          <t>Opportunity Global Sales (PTY) LTD</t>
        </is>
      </c>
      <c r="B11912" s="4" t="n">
        <v>44926</v>
      </c>
      <c r="C11912" s="3" t="inlineStr">
        <is>
          <t>Expenses</t>
        </is>
      </c>
      <c r="D11912" s="3" t="inlineStr">
        <is>
          <t>2000/370</t>
        </is>
      </c>
      <c r="E11912" s="3" t="inlineStr">
        <is>
          <t>COS - Overrider Comm Endulini - Morne</t>
        </is>
      </c>
      <c r="F11912" s="3" t="n">
        <v>5781.78</v>
      </c>
      <c r="G11912" s="3" t="n">
        <v>30323.61</v>
      </c>
    </row>
    <row r="11913">
      <c r="A11913" s="3" t="inlineStr">
        <is>
          <t>Opportunity Global Sales (PTY) LTD</t>
        </is>
      </c>
      <c r="B11913" s="4" t="n">
        <v>44926</v>
      </c>
      <c r="C11913" s="3" t="inlineStr">
        <is>
          <t>Expenses</t>
        </is>
      </c>
      <c r="D11913" s="3" t="inlineStr">
        <is>
          <t>2000/380</t>
        </is>
      </c>
      <c r="E11913" s="3" t="inlineStr">
        <is>
          <t>COS - Overrider Comm Heron Fields - Morne</t>
        </is>
      </c>
      <c r="F11913" s="3" t="n">
        <v>8523.33</v>
      </c>
      <c r="G11913" s="3" t="n">
        <v>24788.09</v>
      </c>
    </row>
    <row r="11914">
      <c r="A11914" s="3" t="inlineStr">
        <is>
          <t>Opportunity Global Sales (PTY) LTD</t>
        </is>
      </c>
      <c r="B11914" s="4" t="n">
        <v>44926</v>
      </c>
      <c r="C11914" s="3" t="inlineStr">
        <is>
          <t>Expenses</t>
        </is>
      </c>
      <c r="D11914" s="3" t="inlineStr">
        <is>
          <t>2000/383</t>
        </is>
      </c>
      <c r="E11914" s="3" t="inlineStr">
        <is>
          <t>COS - Overrider Comm Heron View - Morne</t>
        </is>
      </c>
      <c r="F11914" s="3" t="n">
        <v>1173.85</v>
      </c>
      <c r="G11914" s="3" t="n">
        <v>1173.85</v>
      </c>
    </row>
    <row r="11915">
      <c r="A11915" s="3" t="inlineStr">
        <is>
          <t>Trademark Holdings (Pty) Ltd</t>
        </is>
      </c>
      <c r="B11915" s="4" t="n">
        <v>44926</v>
      </c>
      <c r="C11915" s="3" t="inlineStr">
        <is>
          <t>Expenses</t>
        </is>
      </c>
      <c r="D11915" s="3" t="inlineStr">
        <is>
          <t>2000/400</t>
        </is>
      </c>
      <c r="E11915" s="3" t="inlineStr">
        <is>
          <t>COS - Commission on external sales</t>
        </is>
      </c>
      <c r="F11915" s="3" t="n">
        <v>24000</v>
      </c>
      <c r="G11915" s="3" t="n">
        <v>48000</v>
      </c>
    </row>
    <row r="11916">
      <c r="A11916" s="3" t="inlineStr">
        <is>
          <t>Endulini (Pty) Ltd</t>
        </is>
      </c>
      <c r="B11916" s="4" t="n">
        <v>44926</v>
      </c>
      <c r="C11916" s="3" t="inlineStr">
        <is>
          <t>Expenses</t>
        </is>
      </c>
      <c r="D11916" s="3" t="inlineStr">
        <is>
          <t>2000/400</t>
        </is>
      </c>
      <c r="E11916" s="3" t="inlineStr">
        <is>
          <t>COS - Gifts</t>
        </is>
      </c>
      <c r="F11916" s="3" t="n">
        <v>0</v>
      </c>
      <c r="G11916" s="3" t="n">
        <v>4270</v>
      </c>
    </row>
    <row r="11917">
      <c r="A11917" s="3" t="inlineStr">
        <is>
          <t>Opportunity Global Sales (PTY) LTD</t>
        </is>
      </c>
      <c r="B11917" s="4" t="n">
        <v>44926</v>
      </c>
      <c r="C11917" s="3" t="inlineStr">
        <is>
          <t>Expenses</t>
        </is>
      </c>
      <c r="D11917" s="3" t="inlineStr">
        <is>
          <t>2000/500</t>
        </is>
      </c>
      <c r="E11917" s="3" t="inlineStr">
        <is>
          <t>COS - Electricity Costs Endulini</t>
        </is>
      </c>
      <c r="F11917" s="3" t="n">
        <v>0</v>
      </c>
      <c r="G11917" s="3" t="n">
        <v>536.96</v>
      </c>
    </row>
    <row r="11918">
      <c r="A11918" s="3" t="inlineStr">
        <is>
          <t>Endulini (Pty) Ltd</t>
        </is>
      </c>
      <c r="B11918" s="4" t="n">
        <v>44926</v>
      </c>
      <c r="C11918" s="3" t="inlineStr">
        <is>
          <t>Expenses</t>
        </is>
      </c>
      <c r="D11918" s="3" t="inlineStr">
        <is>
          <t>2000/500</t>
        </is>
      </c>
      <c r="E11918" s="3" t="inlineStr">
        <is>
          <t>COS - Legal Fees Opening of Sec Title Scheme</t>
        </is>
      </c>
      <c r="F11918" s="3" t="n">
        <v>0</v>
      </c>
      <c r="G11918" s="3" t="n">
        <v>56287.76</v>
      </c>
    </row>
    <row r="11919">
      <c r="A11919" s="3" t="inlineStr">
        <is>
          <t>Opportunity Global Sales (PTY) LTD</t>
        </is>
      </c>
      <c r="B11919" s="4" t="n">
        <v>44926</v>
      </c>
      <c r="C11919" s="3" t="inlineStr">
        <is>
          <t>Expenses</t>
        </is>
      </c>
      <c r="D11919" s="3" t="inlineStr">
        <is>
          <t>2000/550</t>
        </is>
      </c>
      <c r="E11919" s="3" t="inlineStr">
        <is>
          <t>COS - Electricity Costs Heron Fields</t>
        </is>
      </c>
      <c r="F11919" s="3" t="n">
        <v>0</v>
      </c>
      <c r="G11919" s="3" t="n">
        <v>478.26</v>
      </c>
    </row>
    <row r="11920">
      <c r="A11920" s="3" t="inlineStr">
        <is>
          <t>Endulini (Pty) Ltd</t>
        </is>
      </c>
      <c r="B11920" s="4" t="n">
        <v>44926</v>
      </c>
      <c r="C11920" s="3" t="inlineStr">
        <is>
          <t>Expenses</t>
        </is>
      </c>
      <c r="D11920" s="3" t="inlineStr">
        <is>
          <t>2000/600</t>
        </is>
      </c>
      <c r="E11920" s="3" t="inlineStr">
        <is>
          <t>COS - Legal fees</t>
        </is>
      </c>
      <c r="F11920" s="3" t="n">
        <v>0</v>
      </c>
      <c r="G11920" s="3" t="n">
        <v>1033439.58</v>
      </c>
    </row>
    <row r="11921">
      <c r="A11921" s="3" t="inlineStr">
        <is>
          <t>Endulini (Pty) Ltd</t>
        </is>
      </c>
      <c r="B11921" s="4" t="n">
        <v>44926</v>
      </c>
      <c r="C11921" s="3" t="inlineStr">
        <is>
          <t>Expenses</t>
        </is>
      </c>
      <c r="D11921" s="3" t="inlineStr">
        <is>
          <t>2000/700</t>
        </is>
      </c>
      <c r="E11921" s="3" t="inlineStr">
        <is>
          <t>COS - C2M Certificate for transfer</t>
        </is>
      </c>
      <c r="F11921" s="3" t="n">
        <v>0</v>
      </c>
      <c r="G11921" s="3" t="n">
        <v>5450</v>
      </c>
    </row>
    <row r="11922">
      <c r="A11922" s="3" t="inlineStr">
        <is>
          <t>Endulini (Pty) Ltd</t>
        </is>
      </c>
      <c r="B11922" s="4" t="n">
        <v>44926</v>
      </c>
      <c r="C11922" s="3" t="inlineStr">
        <is>
          <t>Expenses</t>
        </is>
      </c>
      <c r="D11922" s="3" t="inlineStr">
        <is>
          <t>2000/800</t>
        </is>
      </c>
      <c r="E11922" s="3" t="inlineStr">
        <is>
          <t>COS - Purchaser Variations</t>
        </is>
      </c>
      <c r="F11922" s="3" t="n">
        <v>0</v>
      </c>
      <c r="G11922" s="3" t="n">
        <v>8734.540000000001</v>
      </c>
    </row>
    <row r="11923">
      <c r="A11923" s="3" t="inlineStr">
        <is>
          <t>Endulini (Pty) Ltd</t>
        </is>
      </c>
      <c r="B11923" s="4" t="n">
        <v>44926</v>
      </c>
      <c r="C11923" s="3" t="inlineStr">
        <is>
          <t>Expenses</t>
        </is>
      </c>
      <c r="D11923" s="3" t="inlineStr">
        <is>
          <t>2000/900</t>
        </is>
      </c>
      <c r="E11923" s="3" t="inlineStr">
        <is>
          <t>COS - Legal fees Phase 2</t>
        </is>
      </c>
      <c r="F11923" s="3" t="n">
        <v>0</v>
      </c>
      <c r="G11923" s="3" t="n">
        <v>35638</v>
      </c>
    </row>
    <row r="11924">
      <c r="A11924" s="3" t="inlineStr">
        <is>
          <t>Quinate Consulting (Pty) Ltd</t>
        </is>
      </c>
      <c r="B11924" s="4" t="n">
        <v>44926</v>
      </c>
      <c r="C11924" s="3" t="inlineStr">
        <is>
          <t>Revenue</t>
        </is>
      </c>
      <c r="D11924" s="3" t="inlineStr">
        <is>
          <t>2400/200</t>
        </is>
      </c>
      <c r="E11924" s="3" t="inlineStr">
        <is>
          <t>Recovery Acc - Electricity SH</t>
        </is>
      </c>
      <c r="F11924" s="3" t="n">
        <v>-21768.12</v>
      </c>
      <c r="G11924" s="3" t="n">
        <v>-253672.8</v>
      </c>
    </row>
    <row r="11925">
      <c r="A11925" s="3" t="inlineStr">
        <is>
          <t>Quinate Consulting (Pty) Ltd</t>
        </is>
      </c>
      <c r="B11925" s="4" t="n">
        <v>44926</v>
      </c>
      <c r="C11925" s="3" t="inlineStr">
        <is>
          <t>Revenue</t>
        </is>
      </c>
      <c r="D11925" s="3" t="inlineStr">
        <is>
          <t>2400/300</t>
        </is>
      </c>
      <c r="E11925" s="3" t="inlineStr">
        <is>
          <t>Recovery Account - Electricity SW</t>
        </is>
      </c>
      <c r="F11925" s="3" t="n">
        <v>-16061.48</v>
      </c>
      <c r="G11925" s="3" t="n">
        <v>-190421.59</v>
      </c>
    </row>
    <row r="11926">
      <c r="A11926" s="3" t="inlineStr">
        <is>
          <t>Endulini (Pty) Ltd</t>
        </is>
      </c>
      <c r="B11926" s="4" t="n">
        <v>44926</v>
      </c>
      <c r="C11926" s="3" t="inlineStr">
        <is>
          <t>Revenue</t>
        </is>
      </c>
      <c r="D11926" s="3" t="inlineStr">
        <is>
          <t>2750/000</t>
        </is>
      </c>
      <c r="E11926" s="3" t="inlineStr">
        <is>
          <t>Interest Received</t>
        </is>
      </c>
      <c r="F11926" s="3" t="n">
        <v>-147.57</v>
      </c>
      <c r="G11926" s="3" t="n">
        <v>-560.63</v>
      </c>
    </row>
    <row r="11927">
      <c r="A11927" s="3" t="inlineStr">
        <is>
          <t>Opportunity Management Holdings (PTY) LTD</t>
        </is>
      </c>
      <c r="B11927" s="4" t="n">
        <v>44926</v>
      </c>
      <c r="C11927" s="3" t="inlineStr">
        <is>
          <t>Revenue</t>
        </is>
      </c>
      <c r="D11927" s="3" t="inlineStr">
        <is>
          <t>2750/000</t>
        </is>
      </c>
      <c r="E11927" s="3" t="inlineStr">
        <is>
          <t>Interest Received</t>
        </is>
      </c>
      <c r="F11927" s="3" t="n">
        <v>-123.26</v>
      </c>
      <c r="G11927" s="3" t="n">
        <v>-251.69</v>
      </c>
    </row>
    <row r="11928">
      <c r="A11928" s="3" t="inlineStr">
        <is>
          <t>Opportunity Global Sales (PTY) LTD</t>
        </is>
      </c>
      <c r="B11928" s="4" t="n">
        <v>44926</v>
      </c>
      <c r="C11928" s="3" t="inlineStr">
        <is>
          <t>Revenue</t>
        </is>
      </c>
      <c r="D11928" s="3" t="inlineStr">
        <is>
          <t>2750/000</t>
        </is>
      </c>
      <c r="E11928" s="3" t="inlineStr">
        <is>
          <t>Interest Received - Bank</t>
        </is>
      </c>
      <c r="F11928" s="3" t="n">
        <v>-15.18</v>
      </c>
      <c r="G11928" s="3" t="n">
        <v>-17.48</v>
      </c>
    </row>
    <row r="11929">
      <c r="A11929" s="3" t="inlineStr">
        <is>
          <t>Opportunity Global Investment (PTY) LTD</t>
        </is>
      </c>
      <c r="B11929" s="4" t="n">
        <v>44926</v>
      </c>
      <c r="C11929" s="3" t="inlineStr">
        <is>
          <t>Revenue</t>
        </is>
      </c>
      <c r="D11929" s="3" t="inlineStr">
        <is>
          <t>2753/000</t>
        </is>
      </c>
      <c r="E11929" s="3" t="inlineStr">
        <is>
          <t>Interest received - Momentum</t>
        </is>
      </c>
      <c r="F11929" s="3" t="n">
        <v>0</v>
      </c>
      <c r="G11929" s="3" t="n">
        <v>-158.61</v>
      </c>
    </row>
    <row r="11930">
      <c r="A11930" s="3" t="inlineStr">
        <is>
          <t>Endulini (Pty) Ltd</t>
        </is>
      </c>
      <c r="B11930" s="4" t="n">
        <v>44926</v>
      </c>
      <c r="C11930" s="3" t="inlineStr">
        <is>
          <t>Revenue</t>
        </is>
      </c>
      <c r="D11930" s="3" t="inlineStr">
        <is>
          <t>2755/001</t>
        </is>
      </c>
      <c r="E11930" s="3" t="inlineStr">
        <is>
          <t>Interest Received - Momentum</t>
        </is>
      </c>
      <c r="F11930" s="3" t="n">
        <v>0</v>
      </c>
      <c r="G11930" s="3" t="n">
        <v>-26598.72</v>
      </c>
    </row>
    <row r="11931">
      <c r="A11931" s="3" t="inlineStr">
        <is>
          <t>Quinate Consulting (Pty) Ltd</t>
        </is>
      </c>
      <c r="B11931" s="4" t="n">
        <v>44926</v>
      </c>
      <c r="C11931" s="3" t="inlineStr">
        <is>
          <t>Revenue</t>
        </is>
      </c>
      <c r="D11931" s="3" t="inlineStr">
        <is>
          <t>2755/001</t>
        </is>
      </c>
      <c r="E11931" s="3" t="inlineStr">
        <is>
          <t>Interest Received - Momentum</t>
        </is>
      </c>
      <c r="F11931" s="3" t="n">
        <v>0</v>
      </c>
      <c r="G11931" s="3" t="n">
        <v>-18.11</v>
      </c>
    </row>
    <row r="11932">
      <c r="A11932" s="3" t="inlineStr">
        <is>
          <t>Opportunity Global Investment (PTY) LTD</t>
        </is>
      </c>
      <c r="B11932" s="4" t="n">
        <v>44926</v>
      </c>
      <c r="C11932" s="3" t="inlineStr">
        <is>
          <t>Expenses</t>
        </is>
      </c>
      <c r="D11932" s="3" t="inlineStr">
        <is>
          <t>3000/150</t>
        </is>
      </c>
      <c r="E11932" s="3" t="inlineStr">
        <is>
          <t>Accounting Fees - Audit</t>
        </is>
      </c>
      <c r="F11932" s="3" t="n">
        <v>0</v>
      </c>
      <c r="G11932" s="3" t="n">
        <v>7225</v>
      </c>
    </row>
    <row r="11933">
      <c r="A11933" s="3" t="inlineStr">
        <is>
          <t>Opportunity Global Investment (PTY) LTD</t>
        </is>
      </c>
      <c r="B11933" s="4" t="n">
        <v>44926</v>
      </c>
      <c r="C11933" s="3" t="inlineStr">
        <is>
          <t>Expenses</t>
        </is>
      </c>
      <c r="D11933" s="3" t="inlineStr">
        <is>
          <t>3000/200</t>
        </is>
      </c>
      <c r="E11933" s="3" t="inlineStr">
        <is>
          <t>Accounting Fees - General</t>
        </is>
      </c>
      <c r="F11933" s="3" t="n">
        <v>0</v>
      </c>
      <c r="G11933" s="3" t="n">
        <v>540</v>
      </c>
    </row>
    <row r="11934">
      <c r="A11934" s="3" t="inlineStr">
        <is>
          <t>Noble Shield (Pty) Ltd ta Go Letting</t>
        </is>
      </c>
      <c r="B11934" s="4" t="n">
        <v>44926</v>
      </c>
      <c r="C11934" s="3" t="inlineStr">
        <is>
          <t>Expenses</t>
        </is>
      </c>
      <c r="D11934" s="3" t="inlineStr">
        <is>
          <t>3000/300</t>
        </is>
      </c>
      <c r="E11934" s="3" t="inlineStr">
        <is>
          <t>Accounting Fees - Audit</t>
        </is>
      </c>
      <c r="F11934" s="3" t="n">
        <v>22367.5</v>
      </c>
      <c r="G11934" s="3" t="n">
        <v>22367.5</v>
      </c>
    </row>
    <row r="11935">
      <c r="A11935" s="3" t="inlineStr">
        <is>
          <t>Trademark Holdings (Pty) Ltd</t>
        </is>
      </c>
      <c r="B11935" s="4" t="n">
        <v>44926</v>
      </c>
      <c r="C11935" s="3" t="inlineStr">
        <is>
          <t>Expenses</t>
        </is>
      </c>
      <c r="D11935" s="3" t="inlineStr">
        <is>
          <t>3000/300</t>
        </is>
      </c>
      <c r="E11935" s="3" t="inlineStr">
        <is>
          <t>Accounting Fees - Audit</t>
        </is>
      </c>
      <c r="F11935" s="3" t="n">
        <v>22367.5</v>
      </c>
      <c r="G11935" s="3" t="n">
        <v>22367.5</v>
      </c>
    </row>
    <row r="11936">
      <c r="A11936" s="3" t="inlineStr">
        <is>
          <t>Quinate Consulting (Pty) Ltd</t>
        </is>
      </c>
      <c r="B11936" s="4" t="n">
        <v>44926</v>
      </c>
      <c r="C11936" s="3" t="inlineStr">
        <is>
          <t>Expenses</t>
        </is>
      </c>
      <c r="D11936" s="3" t="inlineStr">
        <is>
          <t>3001/000</t>
        </is>
      </c>
      <c r="E11936" s="3" t="inlineStr">
        <is>
          <t>Accounting fees - Other</t>
        </is>
      </c>
      <c r="F11936" s="3" t="n">
        <v>0</v>
      </c>
      <c r="G11936" s="3" t="n">
        <v>1850</v>
      </c>
    </row>
    <row r="11937">
      <c r="A11937" s="3" t="inlineStr">
        <is>
          <t>Opportunity Management Holdings (PTY) LTD</t>
        </is>
      </c>
      <c r="B11937" s="4" t="n">
        <v>44926</v>
      </c>
      <c r="C11937" s="3" t="inlineStr">
        <is>
          <t>Expenses</t>
        </is>
      </c>
      <c r="D11937" s="3" t="inlineStr">
        <is>
          <t>3004/000</t>
        </is>
      </c>
      <c r="E11937" s="3" t="inlineStr">
        <is>
          <t>Accounting fees - Janine Theart</t>
        </is>
      </c>
      <c r="F11937" s="3" t="n">
        <v>20932.16</v>
      </c>
      <c r="G11937" s="3" t="n">
        <v>73432.16</v>
      </c>
    </row>
    <row r="11938">
      <c r="A11938" s="3" t="inlineStr">
        <is>
          <t>Quinate Consulting (Pty) Ltd</t>
        </is>
      </c>
      <c r="B11938" s="4" t="n">
        <v>44926</v>
      </c>
      <c r="C11938" s="3" t="inlineStr">
        <is>
          <t>Expenses</t>
        </is>
      </c>
      <c r="D11938" s="3" t="inlineStr">
        <is>
          <t>3005/000</t>
        </is>
      </c>
      <c r="E11938" s="3" t="inlineStr">
        <is>
          <t>Accounting fees - Audit</t>
        </is>
      </c>
      <c r="F11938" s="3" t="n">
        <v>0</v>
      </c>
      <c r="G11938" s="3" t="n">
        <v>19250</v>
      </c>
    </row>
    <row r="11939">
      <c r="A11939" s="3" t="inlineStr">
        <is>
          <t>Opportunity Management Holdings (PTY) LTD</t>
        </is>
      </c>
      <c r="B11939" s="4" t="n">
        <v>44926</v>
      </c>
      <c r="C11939" s="3" t="inlineStr">
        <is>
          <t>Expenses</t>
        </is>
      </c>
      <c r="D11939" s="3" t="inlineStr">
        <is>
          <t>3005/000</t>
        </is>
      </c>
      <c r="E11939" s="3" t="inlineStr">
        <is>
          <t>Accounting fees - Deric Dudley</t>
        </is>
      </c>
      <c r="F11939" s="3" t="n">
        <v>60000</v>
      </c>
      <c r="G11939" s="3" t="n">
        <v>210000</v>
      </c>
    </row>
    <row r="11940">
      <c r="A11940" s="3" t="inlineStr">
        <is>
          <t>Opportunity Management Holdings (PTY) LTD</t>
        </is>
      </c>
      <c r="B11940" s="4" t="n">
        <v>44926</v>
      </c>
      <c r="C11940" s="3" t="inlineStr">
        <is>
          <t>Expenses</t>
        </is>
      </c>
      <c r="D11940" s="3" t="inlineStr">
        <is>
          <t>3006/000</t>
        </is>
      </c>
      <c r="E11940" s="3" t="inlineStr">
        <is>
          <t>Accounting fees - CIPC</t>
        </is>
      </c>
      <c r="F11940" s="3" t="n">
        <v>100</v>
      </c>
      <c r="G11940" s="3" t="n">
        <v>350</v>
      </c>
    </row>
    <row r="11941">
      <c r="A11941" s="3" t="inlineStr">
        <is>
          <t>Opportunity Management Holdings (PTY) LTD</t>
        </is>
      </c>
      <c r="B11941" s="4" t="n">
        <v>44926</v>
      </c>
      <c r="C11941" s="3" t="inlineStr">
        <is>
          <t>Expenses</t>
        </is>
      </c>
      <c r="D11941" s="3" t="inlineStr">
        <is>
          <t>3007/000</t>
        </is>
      </c>
      <c r="E11941" s="3" t="inlineStr">
        <is>
          <t>Accounting fees - Warwick</t>
        </is>
      </c>
      <c r="F11941" s="3" t="n">
        <v>0</v>
      </c>
      <c r="G11941" s="3" t="n">
        <v>54000</v>
      </c>
    </row>
    <row r="11942">
      <c r="A11942" s="3" t="inlineStr">
        <is>
          <t>Endulini (Pty) Ltd</t>
        </is>
      </c>
      <c r="B11942" s="4" t="n">
        <v>44926</v>
      </c>
      <c r="C11942" s="3" t="inlineStr">
        <is>
          <t>Expenses</t>
        </is>
      </c>
      <c r="D11942" s="3" t="inlineStr">
        <is>
          <t>3050/000</t>
        </is>
      </c>
      <c r="E11942" s="3" t="inlineStr">
        <is>
          <t>Advertising _AND_ Promotions</t>
        </is>
      </c>
      <c r="F11942" s="3" t="n">
        <v>0</v>
      </c>
      <c r="G11942" s="3" t="n">
        <v>23598</v>
      </c>
    </row>
    <row r="11943">
      <c r="A11943" s="3" t="inlineStr">
        <is>
          <t>Noble Shield (Pty) Ltd ta Go Letting</t>
        </is>
      </c>
      <c r="B11943" s="4" t="n">
        <v>44926</v>
      </c>
      <c r="C11943" s="3" t="inlineStr">
        <is>
          <t>Expenses</t>
        </is>
      </c>
      <c r="D11943" s="3" t="inlineStr">
        <is>
          <t>3050/000</t>
        </is>
      </c>
      <c r="E11943" s="3" t="inlineStr">
        <is>
          <t>Advertising _AND_ Promotions</t>
        </is>
      </c>
      <c r="F11943" s="3" t="n">
        <v>0</v>
      </c>
      <c r="G11943" s="3" t="n">
        <v>659.99</v>
      </c>
    </row>
    <row r="11944">
      <c r="A11944" s="3" t="inlineStr">
        <is>
          <t>Opportunity Management Holdings (PTY) LTD</t>
        </is>
      </c>
      <c r="B11944" s="4" t="n">
        <v>44926</v>
      </c>
      <c r="C11944" s="3" t="inlineStr">
        <is>
          <t>Expenses</t>
        </is>
      </c>
      <c r="D11944" s="3" t="inlineStr">
        <is>
          <t>3050/000</t>
        </is>
      </c>
      <c r="E11944" s="3" t="inlineStr">
        <is>
          <t>Advertising _AND_ Promotions</t>
        </is>
      </c>
      <c r="F11944" s="3" t="n">
        <v>0</v>
      </c>
      <c r="G11944" s="3" t="n">
        <v>500</v>
      </c>
    </row>
    <row r="11945">
      <c r="A11945" s="3" t="inlineStr">
        <is>
          <t>Quinate Consulting (Pty) Ltd</t>
        </is>
      </c>
      <c r="B11945" s="4" t="n">
        <v>44926</v>
      </c>
      <c r="C11945" s="3" t="inlineStr">
        <is>
          <t>Expenses</t>
        </is>
      </c>
      <c r="D11945" s="3" t="inlineStr">
        <is>
          <t>3050/000</t>
        </is>
      </c>
      <c r="E11945" s="3" t="inlineStr">
        <is>
          <t>Advertising _AND_ Promotions</t>
        </is>
      </c>
      <c r="F11945" s="3" t="n">
        <v>0</v>
      </c>
      <c r="G11945" s="3" t="n">
        <v>1875.22</v>
      </c>
    </row>
    <row r="11946">
      <c r="A11946" s="3" t="inlineStr">
        <is>
          <t>Trademark Holdings (Pty) Ltd</t>
        </is>
      </c>
      <c r="B11946" s="4" t="n">
        <v>44926</v>
      </c>
      <c r="C11946" s="3" t="inlineStr">
        <is>
          <t>Expenses</t>
        </is>
      </c>
      <c r="D11946" s="3" t="inlineStr">
        <is>
          <t>3050/000</t>
        </is>
      </c>
      <c r="E11946" s="3" t="inlineStr">
        <is>
          <t>Advertising _AND_ Promotions</t>
        </is>
      </c>
      <c r="F11946" s="3" t="n">
        <v>0</v>
      </c>
      <c r="G11946" s="3" t="n">
        <v>6852.5</v>
      </c>
    </row>
    <row r="11947">
      <c r="A11947" s="3" t="inlineStr">
        <is>
          <t>Endulini (Pty) Ltd</t>
        </is>
      </c>
      <c r="B11947" s="4" t="n">
        <v>44926</v>
      </c>
      <c r="C11947" s="3" t="inlineStr">
        <is>
          <t>Expenses</t>
        </is>
      </c>
      <c r="D11947" s="3" t="inlineStr">
        <is>
          <t>3050/001</t>
        </is>
      </c>
      <c r="E11947" s="3" t="inlineStr">
        <is>
          <t>Advertising _AND_ Promotions - Media Agenda</t>
        </is>
      </c>
      <c r="F11947" s="3" t="n">
        <v>1100</v>
      </c>
      <c r="G11947" s="3" t="n">
        <v>13800</v>
      </c>
    </row>
    <row r="11948">
      <c r="A11948" s="3" t="inlineStr">
        <is>
          <t>Noble Shield (Pty) Ltd ta Go Letting</t>
        </is>
      </c>
      <c r="B11948" s="4" t="n">
        <v>44926</v>
      </c>
      <c r="C11948" s="3" t="inlineStr">
        <is>
          <t>Expenses</t>
        </is>
      </c>
      <c r="D11948" s="3" t="inlineStr">
        <is>
          <t>3050/050</t>
        </is>
      </c>
      <c r="E11948" s="3" t="inlineStr">
        <is>
          <t>Advertising - Prop 24</t>
        </is>
      </c>
      <c r="F11948" s="3" t="n">
        <v>3374.1</v>
      </c>
      <c r="G11948" s="3" t="n">
        <v>12222.2</v>
      </c>
    </row>
    <row r="11949">
      <c r="A11949" s="3" t="inlineStr">
        <is>
          <t>Opportunity Global Sales (PTY) LTD</t>
        </is>
      </c>
      <c r="B11949" s="4" t="n">
        <v>44926</v>
      </c>
      <c r="C11949" s="3" t="inlineStr">
        <is>
          <t>Expenses</t>
        </is>
      </c>
      <c r="D11949" s="3" t="inlineStr">
        <is>
          <t>3050/100</t>
        </is>
      </c>
      <c r="E11949" s="3" t="inlineStr">
        <is>
          <t>Advertising - Facebook</t>
        </is>
      </c>
      <c r="F11949" s="3" t="n">
        <v>14156.07</v>
      </c>
      <c r="G11949" s="3" t="n">
        <v>109374.1</v>
      </c>
    </row>
    <row r="11950">
      <c r="A11950" s="3" t="inlineStr">
        <is>
          <t>Opportunity Global Sales (PTY) LTD</t>
        </is>
      </c>
      <c r="B11950" s="4" t="n">
        <v>44926</v>
      </c>
      <c r="C11950" s="3" t="inlineStr">
        <is>
          <t>Expenses</t>
        </is>
      </c>
      <c r="D11950" s="3" t="inlineStr">
        <is>
          <t>3050/140</t>
        </is>
      </c>
      <c r="E11950" s="3" t="inlineStr">
        <is>
          <t>Advertising - Media Agenda</t>
        </is>
      </c>
      <c r="F11950" s="3" t="n">
        <v>0</v>
      </c>
      <c r="G11950" s="3" t="n">
        <v>10000</v>
      </c>
    </row>
    <row r="11951">
      <c r="A11951" s="3" t="inlineStr">
        <is>
          <t>Opportunity Global Investment (PTY) LTD</t>
        </is>
      </c>
      <c r="B11951" s="4" t="n">
        <v>44926</v>
      </c>
      <c r="C11951" s="3" t="inlineStr">
        <is>
          <t>Expenses</t>
        </is>
      </c>
      <c r="D11951" s="3" t="inlineStr">
        <is>
          <t>3050/250</t>
        </is>
      </c>
      <c r="E11951" s="3" t="inlineStr">
        <is>
          <t>Advertising - General</t>
        </is>
      </c>
      <c r="F11951" s="3" t="n">
        <v>0</v>
      </c>
      <c r="G11951" s="3" t="n">
        <v>7091.83</v>
      </c>
    </row>
    <row r="11952">
      <c r="A11952" s="3" t="inlineStr">
        <is>
          <t>Opportunity Global Sales (PTY) LTD</t>
        </is>
      </c>
      <c r="B11952" s="4" t="n">
        <v>44926</v>
      </c>
      <c r="C11952" s="3" t="inlineStr">
        <is>
          <t>Expenses</t>
        </is>
      </c>
      <c r="D11952" s="3" t="inlineStr">
        <is>
          <t>3050/250</t>
        </is>
      </c>
      <c r="E11952" s="3" t="inlineStr">
        <is>
          <t>Advertising - General</t>
        </is>
      </c>
      <c r="F11952" s="3" t="n">
        <v>1079.88</v>
      </c>
      <c r="G11952" s="3" t="n">
        <v>47293.58</v>
      </c>
    </row>
    <row r="11953">
      <c r="A11953" s="3" t="inlineStr">
        <is>
          <t>Opportunity Global Investment (PTY) LTD</t>
        </is>
      </c>
      <c r="B11953" s="4" t="n">
        <v>44926</v>
      </c>
      <c r="C11953" s="3" t="inlineStr">
        <is>
          <t>Expenses</t>
        </is>
      </c>
      <c r="D11953" s="3" t="inlineStr">
        <is>
          <t>3050/260</t>
        </is>
      </c>
      <c r="E11953" s="3" t="inlineStr">
        <is>
          <t>Advertising - Media Agenda</t>
        </is>
      </c>
      <c r="F11953" s="3" t="n">
        <v>0</v>
      </c>
      <c r="G11953" s="3" t="n">
        <v>3575</v>
      </c>
    </row>
    <row r="11954">
      <c r="A11954" s="3" t="inlineStr">
        <is>
          <t>Opportunity Global Investment (PTY) LTD</t>
        </is>
      </c>
      <c r="B11954" s="4" t="n">
        <v>44926</v>
      </c>
      <c r="C11954" s="3" t="inlineStr">
        <is>
          <t>Expenses</t>
        </is>
      </c>
      <c r="D11954" s="3" t="inlineStr">
        <is>
          <t>3050/270</t>
        </is>
      </c>
      <c r="E11954" s="3" t="inlineStr">
        <is>
          <t>Advertising - Radia and TV Interviews</t>
        </is>
      </c>
      <c r="F11954" s="3" t="n">
        <v>0</v>
      </c>
      <c r="G11954" s="3" t="n">
        <v>210072</v>
      </c>
    </row>
    <row r="11955">
      <c r="A11955" s="3" t="inlineStr">
        <is>
          <t>Opportunity Global Investment (PTY) LTD</t>
        </is>
      </c>
      <c r="B11955" s="4" t="n">
        <v>44926</v>
      </c>
      <c r="C11955" s="3" t="inlineStr">
        <is>
          <t>Expenses</t>
        </is>
      </c>
      <c r="D11955" s="3" t="inlineStr">
        <is>
          <t>3050/290</t>
        </is>
      </c>
      <c r="E11955" s="3" t="inlineStr">
        <is>
          <t>Advertising - Serene Living</t>
        </is>
      </c>
      <c r="F11955" s="3" t="n">
        <v>65086</v>
      </c>
      <c r="G11955" s="3" t="n">
        <v>650860</v>
      </c>
    </row>
    <row r="11956">
      <c r="A11956" s="3" t="inlineStr">
        <is>
          <t>Opportunity Global Investment (PTY) LTD</t>
        </is>
      </c>
      <c r="B11956" s="4" t="n">
        <v>44926</v>
      </c>
      <c r="C11956" s="3" t="inlineStr">
        <is>
          <t>Expenses</t>
        </is>
      </c>
      <c r="D11956" s="3" t="inlineStr">
        <is>
          <t>3050/295</t>
        </is>
      </c>
      <c r="E11956" s="3" t="inlineStr">
        <is>
          <t>Advertising - Reale Activation</t>
        </is>
      </c>
      <c r="F11956" s="3" t="n">
        <v>1694.46</v>
      </c>
      <c r="G11956" s="3" t="n">
        <v>73460.89</v>
      </c>
    </row>
    <row r="11957">
      <c r="A11957" s="3" t="inlineStr">
        <is>
          <t>Opportunity Global Investment (PTY) LTD</t>
        </is>
      </c>
      <c r="B11957" s="4" t="n">
        <v>44926</v>
      </c>
      <c r="C11957" s="3" t="inlineStr">
        <is>
          <t>Expenses</t>
        </is>
      </c>
      <c r="D11957" s="3" t="inlineStr">
        <is>
          <t>3050/300</t>
        </is>
      </c>
      <c r="E11957" s="3" t="inlineStr">
        <is>
          <t>Advertising - Design</t>
        </is>
      </c>
      <c r="F11957" s="3" t="n">
        <v>0</v>
      </c>
      <c r="G11957" s="3" t="n">
        <v>48491</v>
      </c>
    </row>
    <row r="11958">
      <c r="A11958" s="3" t="inlineStr">
        <is>
          <t>Opportunity Global Sales (PTY) LTD</t>
        </is>
      </c>
      <c r="B11958" s="4" t="n">
        <v>44926</v>
      </c>
      <c r="C11958" s="3" t="inlineStr">
        <is>
          <t>Expenses</t>
        </is>
      </c>
      <c r="D11958" s="3" t="inlineStr">
        <is>
          <t>3050/350</t>
        </is>
      </c>
      <c r="E11958" s="3" t="inlineStr">
        <is>
          <t>Advertising - Private Property</t>
        </is>
      </c>
      <c r="F11958" s="3" t="n">
        <v>0</v>
      </c>
      <c r="G11958" s="3" t="n">
        <v>8750</v>
      </c>
    </row>
    <row r="11959">
      <c r="A11959" s="3" t="inlineStr">
        <is>
          <t>Opportunity Global Sales (PTY) LTD</t>
        </is>
      </c>
      <c r="B11959" s="4" t="n">
        <v>44926</v>
      </c>
      <c r="C11959" s="3" t="inlineStr">
        <is>
          <t>Expenses</t>
        </is>
      </c>
      <c r="D11959" s="3" t="inlineStr">
        <is>
          <t>3050/370</t>
        </is>
      </c>
      <c r="E11959" s="3" t="inlineStr">
        <is>
          <t>Advertising - HR</t>
        </is>
      </c>
      <c r="F11959" s="3" t="n">
        <v>0</v>
      </c>
      <c r="G11959" s="3" t="n">
        <v>2467.44</v>
      </c>
    </row>
    <row r="11960">
      <c r="A11960" s="3" t="inlineStr">
        <is>
          <t>Quinate Consulting (Pty) Ltd</t>
        </is>
      </c>
      <c r="B11960" s="4" t="n">
        <v>44926</v>
      </c>
      <c r="C11960" s="3" t="inlineStr">
        <is>
          <t>Expenses</t>
        </is>
      </c>
      <c r="D11960" s="3" t="inlineStr">
        <is>
          <t>3050/400</t>
        </is>
      </c>
      <c r="E11960" s="3" t="inlineStr">
        <is>
          <t>Advertising - Prop24</t>
        </is>
      </c>
      <c r="F11960" s="3" t="n">
        <v>16000</v>
      </c>
      <c r="G11960" s="3" t="n">
        <v>148880</v>
      </c>
    </row>
    <row r="11961">
      <c r="A11961" s="3" t="inlineStr">
        <is>
          <t>Quinate Consulting (Pty) Ltd</t>
        </is>
      </c>
      <c r="B11961" s="4" t="n">
        <v>44926</v>
      </c>
      <c r="C11961" s="3" t="inlineStr">
        <is>
          <t>Expenses</t>
        </is>
      </c>
      <c r="D11961" s="3" t="inlineStr">
        <is>
          <t>3050/450</t>
        </is>
      </c>
      <c r="E11961" s="3" t="inlineStr">
        <is>
          <t>Advertising - Facebook</t>
        </is>
      </c>
      <c r="F11961" s="3" t="n">
        <v>8153.84</v>
      </c>
      <c r="G11961" s="3" t="n">
        <v>93782.08</v>
      </c>
    </row>
    <row r="11962">
      <c r="A11962" s="3" t="inlineStr">
        <is>
          <t>Opportunity Global Investment (PTY) LTD</t>
        </is>
      </c>
      <c r="B11962" s="4" t="n">
        <v>44926</v>
      </c>
      <c r="C11962" s="3" t="inlineStr">
        <is>
          <t>Expenses</t>
        </is>
      </c>
      <c r="D11962" s="3" t="inlineStr">
        <is>
          <t>3051/000</t>
        </is>
      </c>
      <c r="E11962" s="3" t="inlineStr">
        <is>
          <t>Advertising - Facebook</t>
        </is>
      </c>
      <c r="F11962" s="3" t="n">
        <v>12051.11</v>
      </c>
      <c r="G11962" s="3" t="n">
        <v>189356.02</v>
      </c>
    </row>
    <row r="11963">
      <c r="A11963" s="3" t="inlineStr">
        <is>
          <t>Opportunity Global Investment (PTY) LTD</t>
        </is>
      </c>
      <c r="B11963" s="4" t="n">
        <v>44926</v>
      </c>
      <c r="C11963" s="3" t="inlineStr">
        <is>
          <t>Expenses</t>
        </is>
      </c>
      <c r="D11963" s="3" t="inlineStr">
        <is>
          <t>3053/000</t>
        </is>
      </c>
      <c r="E11963" s="3" t="inlineStr">
        <is>
          <t>Advertising - Google Ads</t>
        </is>
      </c>
      <c r="F11963" s="3" t="n">
        <v>0</v>
      </c>
      <c r="G11963" s="3" t="n">
        <v>6207.42</v>
      </c>
    </row>
    <row r="11964">
      <c r="A11964" s="3" t="inlineStr">
        <is>
          <t>Endulini (Pty) Ltd</t>
        </is>
      </c>
      <c r="B11964" s="4" t="n">
        <v>44926</v>
      </c>
      <c r="C11964" s="3" t="inlineStr">
        <is>
          <t>Expenses</t>
        </is>
      </c>
      <c r="D11964" s="3" t="inlineStr">
        <is>
          <t>3200/000</t>
        </is>
      </c>
      <c r="E11964" s="3" t="inlineStr">
        <is>
          <t>Bank Charges</t>
        </is>
      </c>
      <c r="F11964" s="3" t="n">
        <v>139.8</v>
      </c>
      <c r="G11964" s="3" t="n">
        <v>5096.06</v>
      </c>
    </row>
    <row r="11965">
      <c r="A11965" s="3" t="inlineStr">
        <is>
          <t>Noble Shield (Pty) Ltd ta Go Letting</t>
        </is>
      </c>
      <c r="B11965" s="4" t="n">
        <v>44926</v>
      </c>
      <c r="C11965" s="3" t="inlineStr">
        <is>
          <t>Expenses</t>
        </is>
      </c>
      <c r="D11965" s="3" t="inlineStr">
        <is>
          <t>3200/000</t>
        </is>
      </c>
      <c r="E11965" s="3" t="inlineStr">
        <is>
          <t>Bank Charges</t>
        </is>
      </c>
      <c r="F11965" s="3" t="n">
        <v>488.4</v>
      </c>
      <c r="G11965" s="3" t="n">
        <v>3327.25</v>
      </c>
    </row>
    <row r="11966">
      <c r="A11966" s="3" t="inlineStr">
        <is>
          <t>Opportunity Global Investment (PTY) LTD</t>
        </is>
      </c>
      <c r="B11966" s="4" t="n">
        <v>44926</v>
      </c>
      <c r="C11966" s="3" t="inlineStr">
        <is>
          <t>Expenses</t>
        </is>
      </c>
      <c r="D11966" s="3" t="inlineStr">
        <is>
          <t>3200/000</t>
        </is>
      </c>
      <c r="E11966" s="3" t="inlineStr">
        <is>
          <t>Bank Charges</t>
        </is>
      </c>
      <c r="F11966" s="3" t="n">
        <v>489.15</v>
      </c>
      <c r="G11966" s="3" t="n">
        <v>15269.55</v>
      </c>
    </row>
    <row r="11967">
      <c r="A11967" s="3" t="inlineStr">
        <is>
          <t>Opportunity Global Sales (PTY) LTD</t>
        </is>
      </c>
      <c r="B11967" s="4" t="n">
        <v>44926</v>
      </c>
      <c r="C11967" s="3" t="inlineStr">
        <is>
          <t>Expenses</t>
        </is>
      </c>
      <c r="D11967" s="3" t="inlineStr">
        <is>
          <t>3200/000</t>
        </is>
      </c>
      <c r="E11967" s="3" t="inlineStr">
        <is>
          <t>Bank Charges</t>
        </is>
      </c>
      <c r="F11967" s="3" t="n">
        <v>553.58</v>
      </c>
      <c r="G11967" s="3" t="n">
        <v>8734.43</v>
      </c>
    </row>
    <row r="11968">
      <c r="A11968" s="3" t="inlineStr">
        <is>
          <t>Opportunity Management Holdings (PTY) LTD</t>
        </is>
      </c>
      <c r="B11968" s="4" t="n">
        <v>44926</v>
      </c>
      <c r="C11968" s="3" t="inlineStr">
        <is>
          <t>Expenses</t>
        </is>
      </c>
      <c r="D11968" s="3" t="inlineStr">
        <is>
          <t>3200/000</t>
        </is>
      </c>
      <c r="E11968" s="3" t="inlineStr">
        <is>
          <t>Bank Charges</t>
        </is>
      </c>
      <c r="F11968" s="3" t="n">
        <v>401.86</v>
      </c>
      <c r="G11968" s="3" t="n">
        <v>3157.13</v>
      </c>
    </row>
    <row r="11969">
      <c r="A11969" s="3" t="inlineStr">
        <is>
          <t>Quinate Consulting (Pty) Ltd</t>
        </is>
      </c>
      <c r="B11969" s="4" t="n">
        <v>44926</v>
      </c>
      <c r="C11969" s="3" t="inlineStr">
        <is>
          <t>Expenses</t>
        </is>
      </c>
      <c r="D11969" s="3" t="inlineStr">
        <is>
          <t>3200/000</t>
        </is>
      </c>
      <c r="E11969" s="3" t="inlineStr">
        <is>
          <t>Bank Charges</t>
        </is>
      </c>
      <c r="F11969" s="3" t="n">
        <v>1280.92</v>
      </c>
      <c r="G11969" s="3" t="n">
        <v>15142.91</v>
      </c>
    </row>
    <row r="11970">
      <c r="A11970" s="3" t="inlineStr">
        <is>
          <t>Trademark Holdings (Pty) Ltd</t>
        </is>
      </c>
      <c r="B11970" s="4" t="n">
        <v>44926</v>
      </c>
      <c r="C11970" s="3" t="inlineStr">
        <is>
          <t>Expenses</t>
        </is>
      </c>
      <c r="D11970" s="3" t="inlineStr">
        <is>
          <t>3200/000</t>
        </is>
      </c>
      <c r="E11970" s="3" t="inlineStr">
        <is>
          <t>Bank Charges</t>
        </is>
      </c>
      <c r="F11970" s="3" t="n">
        <v>250.86</v>
      </c>
      <c r="G11970" s="3" t="n">
        <v>1759.44</v>
      </c>
    </row>
    <row r="11971">
      <c r="A11971" s="3" t="inlineStr">
        <is>
          <t>Quinate Consulting (Pty) Ltd</t>
        </is>
      </c>
      <c r="B11971" s="4" t="n">
        <v>44926</v>
      </c>
      <c r="C11971" s="3" t="inlineStr">
        <is>
          <t>Expenses</t>
        </is>
      </c>
      <c r="D11971" s="3" t="inlineStr">
        <is>
          <t>3220/000</t>
        </is>
      </c>
      <c r="E11971" s="3" t="inlineStr">
        <is>
          <t>Bank Charges - Bond Fees</t>
        </is>
      </c>
      <c r="F11971" s="3" t="n">
        <v>0</v>
      </c>
      <c r="G11971" s="3" t="n">
        <v>9982.780000000001</v>
      </c>
    </row>
    <row r="11972">
      <c r="A11972" s="3" t="inlineStr">
        <is>
          <t>Noble Shield (Pty) Ltd ta Go Letting</t>
        </is>
      </c>
      <c r="B11972" s="4" t="n">
        <v>44926</v>
      </c>
      <c r="C11972" s="3" t="inlineStr">
        <is>
          <t>Expenses</t>
        </is>
      </c>
      <c r="D11972" s="3" t="inlineStr">
        <is>
          <t>3230/000</t>
        </is>
      </c>
      <c r="E11972" s="3" t="inlineStr">
        <is>
          <t>Cell Phone - NM</t>
        </is>
      </c>
      <c r="F11972" s="3" t="n">
        <v>2129.74</v>
      </c>
      <c r="G11972" s="3" t="n">
        <v>9039.65</v>
      </c>
    </row>
    <row r="11973">
      <c r="A11973" s="3" t="inlineStr">
        <is>
          <t>Noble Shield (Pty) Ltd ta Go Letting</t>
        </is>
      </c>
      <c r="B11973" s="4" t="n">
        <v>44926</v>
      </c>
      <c r="C11973" s="3" t="inlineStr">
        <is>
          <t>Expenses</t>
        </is>
      </c>
      <c r="D11973" s="3" t="inlineStr">
        <is>
          <t>3233/000</t>
        </is>
      </c>
      <c r="E11973" s="3" t="inlineStr">
        <is>
          <t>Cell Data - Other</t>
        </is>
      </c>
      <c r="F11973" s="3" t="n">
        <v>199</v>
      </c>
      <c r="G11973" s="3" t="n">
        <v>796</v>
      </c>
    </row>
    <row r="11974">
      <c r="A11974" s="3" t="inlineStr">
        <is>
          <t>Noble Shield (Pty) Ltd ta Go Letting</t>
        </is>
      </c>
      <c r="B11974" s="4" t="n">
        <v>44926</v>
      </c>
      <c r="C11974" s="3" t="inlineStr">
        <is>
          <t>Expenses</t>
        </is>
      </c>
      <c r="D11974" s="3" t="inlineStr">
        <is>
          <t>3233/100</t>
        </is>
      </c>
      <c r="E11974" s="3" t="inlineStr">
        <is>
          <t>Cell Data - Sales office Wifi</t>
        </is>
      </c>
      <c r="F11974" s="3" t="n">
        <v>369</v>
      </c>
      <c r="G11974" s="3" t="n">
        <v>1476</v>
      </c>
    </row>
    <row r="11975">
      <c r="A11975" s="3" t="inlineStr">
        <is>
          <t>Noble Shield (Pty) Ltd ta Go Letting</t>
        </is>
      </c>
      <c r="B11975" s="4" t="n">
        <v>44926</v>
      </c>
      <c r="C11975" s="3" t="inlineStr">
        <is>
          <t>Expenses</t>
        </is>
      </c>
      <c r="D11975" s="3" t="inlineStr">
        <is>
          <t>3250/000</t>
        </is>
      </c>
      <c r="E11975" s="3" t="inlineStr">
        <is>
          <t>Cleaning</t>
        </is>
      </c>
      <c r="F11975" s="3" t="n">
        <v>0</v>
      </c>
      <c r="G11975" s="3" t="n">
        <v>289.4</v>
      </c>
    </row>
    <row r="11976">
      <c r="A11976" s="3" t="inlineStr">
        <is>
          <t>Opportunity Global Investment (PTY) LTD</t>
        </is>
      </c>
      <c r="B11976" s="4" t="n">
        <v>44926</v>
      </c>
      <c r="C11976" s="3" t="inlineStr">
        <is>
          <t>Expenses</t>
        </is>
      </c>
      <c r="D11976" s="3" t="inlineStr">
        <is>
          <t>3250/000</t>
        </is>
      </c>
      <c r="E11976" s="3" t="inlineStr">
        <is>
          <t>Cleaning</t>
        </is>
      </c>
      <c r="F11976" s="3" t="n">
        <v>2700</v>
      </c>
      <c r="G11976" s="3" t="n">
        <v>27000</v>
      </c>
    </row>
    <row r="11977">
      <c r="A11977" s="3" t="inlineStr">
        <is>
          <t>Opportunity Management Holdings (PTY) LTD</t>
        </is>
      </c>
      <c r="B11977" s="4" t="n">
        <v>44926</v>
      </c>
      <c r="C11977" s="3" t="inlineStr">
        <is>
          <t>Expenses</t>
        </is>
      </c>
      <c r="D11977" s="3" t="inlineStr">
        <is>
          <t>3250/000</t>
        </is>
      </c>
      <c r="E11977" s="3" t="inlineStr">
        <is>
          <t>Cleaning</t>
        </is>
      </c>
      <c r="F11977" s="3" t="n">
        <v>4000</v>
      </c>
      <c r="G11977" s="3" t="n">
        <v>8818.15</v>
      </c>
    </row>
    <row r="11978">
      <c r="A11978" s="3" t="inlineStr">
        <is>
          <t>Trademark Holdings (Pty) Ltd</t>
        </is>
      </c>
      <c r="B11978" s="4" t="n">
        <v>44926</v>
      </c>
      <c r="C11978" s="3" t="inlineStr">
        <is>
          <t>Expenses</t>
        </is>
      </c>
      <c r="D11978" s="3" t="inlineStr">
        <is>
          <t>3250/000</t>
        </is>
      </c>
      <c r="E11978" s="3" t="inlineStr">
        <is>
          <t>Cleaning</t>
        </is>
      </c>
      <c r="F11978" s="3" t="n">
        <v>520</v>
      </c>
      <c r="G11978" s="3" t="n">
        <v>3640</v>
      </c>
    </row>
    <row r="11979">
      <c r="A11979" s="3" t="inlineStr">
        <is>
          <t>Opportunity Global Investment (PTY) LTD</t>
        </is>
      </c>
      <c r="B11979" s="4" t="n">
        <v>44926</v>
      </c>
      <c r="C11979" s="3" t="inlineStr">
        <is>
          <t>Expenses</t>
        </is>
      </c>
      <c r="D11979" s="3" t="inlineStr">
        <is>
          <t>3300/000</t>
        </is>
      </c>
      <c r="E11979" s="3" t="inlineStr">
        <is>
          <t>Computer Expenses</t>
        </is>
      </c>
      <c r="F11979" s="3" t="n">
        <v>0</v>
      </c>
      <c r="G11979" s="3" t="n">
        <v>-0.01</v>
      </c>
    </row>
    <row r="11980">
      <c r="A11980" s="3" t="inlineStr">
        <is>
          <t>Opportunity Global Sales (PTY) LTD</t>
        </is>
      </c>
      <c r="B11980" s="4" t="n">
        <v>44926</v>
      </c>
      <c r="C11980" s="3" t="inlineStr">
        <is>
          <t>Expenses</t>
        </is>
      </c>
      <c r="D11980" s="3" t="inlineStr">
        <is>
          <t>3300/000</t>
        </is>
      </c>
      <c r="E11980" s="3" t="inlineStr">
        <is>
          <t>Computer Expenses</t>
        </is>
      </c>
      <c r="F11980" s="3" t="n">
        <v>0</v>
      </c>
      <c r="G11980" s="3" t="n">
        <v>2075</v>
      </c>
    </row>
    <row r="11981">
      <c r="A11981" s="3" t="inlineStr">
        <is>
          <t>Opportunity Management Holdings (PTY) LTD</t>
        </is>
      </c>
      <c r="B11981" s="4" t="n">
        <v>44926</v>
      </c>
      <c r="C11981" s="3" t="inlineStr">
        <is>
          <t>Expenses</t>
        </is>
      </c>
      <c r="D11981" s="3" t="inlineStr">
        <is>
          <t>3300/000</t>
        </is>
      </c>
      <c r="E11981" s="3" t="inlineStr">
        <is>
          <t>Computer Expenses</t>
        </is>
      </c>
      <c r="F11981" s="3" t="n">
        <v>0</v>
      </c>
      <c r="G11981" s="3" t="n">
        <v>2318.91</v>
      </c>
    </row>
    <row r="11982">
      <c r="A11982" s="3" t="inlineStr">
        <is>
          <t>Quinate Consulting (Pty) Ltd</t>
        </is>
      </c>
      <c r="B11982" s="4" t="n">
        <v>44926</v>
      </c>
      <c r="C11982" s="3" t="inlineStr">
        <is>
          <t>Expenses</t>
        </is>
      </c>
      <c r="D11982" s="3" t="inlineStr">
        <is>
          <t>3300/000</t>
        </is>
      </c>
      <c r="E11982" s="3" t="inlineStr">
        <is>
          <t>Computer Expenses</t>
        </is>
      </c>
      <c r="F11982" s="3" t="n">
        <v>0</v>
      </c>
      <c r="G11982" s="3" t="n">
        <v>509.04</v>
      </c>
    </row>
    <row r="11983">
      <c r="A11983" s="3" t="inlineStr">
        <is>
          <t>Noble Shield (Pty) Ltd ta Go Letting</t>
        </is>
      </c>
      <c r="B11983" s="4" t="n">
        <v>44926</v>
      </c>
      <c r="C11983" s="3" t="inlineStr">
        <is>
          <t>Expenses</t>
        </is>
      </c>
      <c r="D11983" s="3" t="inlineStr">
        <is>
          <t>3300/120</t>
        </is>
      </c>
      <c r="E11983" s="3" t="inlineStr">
        <is>
          <t>Computer IT - Software Propworx</t>
        </is>
      </c>
      <c r="F11983" s="3" t="n">
        <v>2167.75</v>
      </c>
      <c r="G11983" s="3" t="n">
        <v>8590.5</v>
      </c>
    </row>
    <row r="11984">
      <c r="A11984" s="3" t="inlineStr">
        <is>
          <t>Trademark Holdings (Pty) Ltd</t>
        </is>
      </c>
      <c r="B11984" s="4" t="n">
        <v>44926</v>
      </c>
      <c r="C11984" s="3" t="inlineStr">
        <is>
          <t>Expenses</t>
        </is>
      </c>
      <c r="D11984" s="3" t="inlineStr">
        <is>
          <t>3300/130</t>
        </is>
      </c>
      <c r="E11984" s="3" t="inlineStr">
        <is>
          <t>Computer IT - Internet/Hosting Fees</t>
        </is>
      </c>
      <c r="F11984" s="3" t="n">
        <v>0</v>
      </c>
      <c r="G11984" s="3" t="n">
        <v>-3599.5</v>
      </c>
    </row>
    <row r="11985">
      <c r="A11985" s="3" t="inlineStr">
        <is>
          <t>Opportunity Management Holdings (PTY) LTD</t>
        </is>
      </c>
      <c r="B11985" s="4" t="n">
        <v>44926</v>
      </c>
      <c r="C11985" s="3" t="inlineStr">
        <is>
          <t>Expenses</t>
        </is>
      </c>
      <c r="D11985" s="3" t="inlineStr">
        <is>
          <t>3300/140</t>
        </is>
      </c>
      <c r="E11985" s="3" t="inlineStr">
        <is>
          <t>Computer IT</t>
        </is>
      </c>
      <c r="F11985" s="3" t="n">
        <v>7291.14</v>
      </c>
      <c r="G11985" s="3" t="n">
        <v>22364.04</v>
      </c>
    </row>
    <row r="11986">
      <c r="A11986" s="3" t="inlineStr">
        <is>
          <t>Trademark Holdings (Pty) Ltd</t>
        </is>
      </c>
      <c r="B11986" s="4" t="n">
        <v>44926</v>
      </c>
      <c r="C11986" s="3" t="inlineStr">
        <is>
          <t>Expenses</t>
        </is>
      </c>
      <c r="D11986" s="3" t="inlineStr">
        <is>
          <t>3300/145</t>
        </is>
      </c>
      <c r="E11986" s="3" t="inlineStr">
        <is>
          <t>Computer IT - Cloud Solve</t>
        </is>
      </c>
      <c r="F11986" s="3" t="n">
        <v>0</v>
      </c>
      <c r="G11986" s="3" t="n">
        <v>6313.5</v>
      </c>
    </row>
    <row r="11987">
      <c r="A11987" s="3" t="inlineStr">
        <is>
          <t>Noble Shield (Pty) Ltd ta Go Letting</t>
        </is>
      </c>
      <c r="B11987" s="4" t="n">
        <v>44926</v>
      </c>
      <c r="C11987" s="3" t="inlineStr">
        <is>
          <t>Expenses</t>
        </is>
      </c>
      <c r="D11987" s="3" t="inlineStr">
        <is>
          <t>3300/170</t>
        </is>
      </c>
      <c r="E11987" s="3" t="inlineStr">
        <is>
          <t>Computer IT - VDB office Fibre</t>
        </is>
      </c>
      <c r="F11987" s="3" t="n">
        <v>790</v>
      </c>
      <c r="G11987" s="3" t="n">
        <v>3160</v>
      </c>
    </row>
    <row r="11988">
      <c r="A11988" s="3" t="inlineStr">
        <is>
          <t>Trademark Holdings (Pty) Ltd</t>
        </is>
      </c>
      <c r="B11988" s="4" t="n">
        <v>44926</v>
      </c>
      <c r="C11988" s="3" t="inlineStr">
        <is>
          <t>Expenses</t>
        </is>
      </c>
      <c r="D11988" s="3" t="inlineStr">
        <is>
          <t>3350/000</t>
        </is>
      </c>
      <c r="E11988" s="3" t="inlineStr">
        <is>
          <t>Consulting Fees</t>
        </is>
      </c>
      <c r="F11988" s="3" t="n">
        <v>29400</v>
      </c>
      <c r="G11988" s="3" t="n">
        <v>117600</v>
      </c>
    </row>
    <row r="11989">
      <c r="A11989" s="3" t="inlineStr">
        <is>
          <t>Opportunity Management Holdings (PTY) LTD</t>
        </is>
      </c>
      <c r="B11989" s="4" t="n">
        <v>44926</v>
      </c>
      <c r="C11989" s="3" t="inlineStr">
        <is>
          <t>Expenses</t>
        </is>
      </c>
      <c r="D11989" s="3" t="inlineStr">
        <is>
          <t>3350/100</t>
        </is>
      </c>
      <c r="E11989" s="3" t="inlineStr">
        <is>
          <t>Consulting Fee - Dirk Coetzee</t>
        </is>
      </c>
      <c r="F11989" s="3" t="n">
        <v>16000</v>
      </c>
      <c r="G11989" s="3" t="n">
        <v>34000</v>
      </c>
    </row>
    <row r="11990">
      <c r="A11990" s="3" t="inlineStr">
        <is>
          <t>Quinate Consulting (Pty) Ltd</t>
        </is>
      </c>
      <c r="B11990" s="4" t="n">
        <v>44926</v>
      </c>
      <c r="C11990" s="3" t="inlineStr">
        <is>
          <t>Expenses</t>
        </is>
      </c>
      <c r="D11990" s="3" t="inlineStr">
        <is>
          <t>3350/100</t>
        </is>
      </c>
      <c r="E11990" s="3" t="inlineStr">
        <is>
          <t>Consulting Fees</t>
        </is>
      </c>
      <c r="F11990" s="3" t="n">
        <v>0</v>
      </c>
      <c r="G11990" s="3" t="n">
        <v>-15000</v>
      </c>
    </row>
    <row r="11991">
      <c r="A11991" s="3" t="inlineStr">
        <is>
          <t>Endulini (Pty) Ltd</t>
        </is>
      </c>
      <c r="B11991" s="4" t="n">
        <v>44926</v>
      </c>
      <c r="C11991" s="3" t="inlineStr">
        <is>
          <t>Expenses</t>
        </is>
      </c>
      <c r="D11991" s="3" t="inlineStr">
        <is>
          <t>3350/100</t>
        </is>
      </c>
      <c r="E11991" s="3" t="inlineStr">
        <is>
          <t>Consulting Fees - Admin and Finance</t>
        </is>
      </c>
      <c r="F11991" s="3" t="n">
        <v>67419.22</v>
      </c>
      <c r="G11991" s="3" t="n">
        <v>818959.9</v>
      </c>
    </row>
    <row r="11992">
      <c r="A11992" s="3" t="inlineStr">
        <is>
          <t>Opportunity Global Investment (PTY) LTD</t>
        </is>
      </c>
      <c r="B11992" s="4" t="n">
        <v>44926</v>
      </c>
      <c r="C11992" s="3" t="inlineStr">
        <is>
          <t>Expenses</t>
        </is>
      </c>
      <c r="D11992" s="3" t="inlineStr">
        <is>
          <t>3350/100</t>
        </is>
      </c>
      <c r="E11992" s="3" t="inlineStr">
        <is>
          <t>Consulting Fees - Admin and Finance</t>
        </is>
      </c>
      <c r="F11992" s="3" t="n">
        <v>8650</v>
      </c>
      <c r="G11992" s="3" t="n">
        <v>80625</v>
      </c>
    </row>
    <row r="11993">
      <c r="A11993" s="3" t="inlineStr">
        <is>
          <t>Opportunity Global Sales (PTY) LTD</t>
        </is>
      </c>
      <c r="B11993" s="4" t="n">
        <v>44926</v>
      </c>
      <c r="C11993" s="3" t="inlineStr">
        <is>
          <t>Expenses</t>
        </is>
      </c>
      <c r="D11993" s="3" t="inlineStr">
        <is>
          <t>3350/100</t>
        </is>
      </c>
      <c r="E11993" s="3" t="inlineStr">
        <is>
          <t>Consulting Fees - Admin and Finance</t>
        </is>
      </c>
      <c r="F11993" s="3" t="n">
        <v>10050</v>
      </c>
      <c r="G11993" s="3" t="n">
        <v>94010</v>
      </c>
    </row>
    <row r="11994">
      <c r="A11994" s="3" t="inlineStr">
        <is>
          <t>Opportunity Management Holdings (PTY) LTD</t>
        </is>
      </c>
      <c r="B11994" s="4" t="n">
        <v>44926</v>
      </c>
      <c r="C11994" s="3" t="inlineStr">
        <is>
          <t>Expenses</t>
        </is>
      </c>
      <c r="D11994" s="3" t="inlineStr">
        <is>
          <t>3350/200</t>
        </is>
      </c>
      <c r="E11994" s="3" t="inlineStr">
        <is>
          <t>Consulting Fee - Staff recruitment</t>
        </is>
      </c>
      <c r="F11994" s="3" t="n">
        <v>17040</v>
      </c>
      <c r="G11994" s="3" t="n">
        <v>17040</v>
      </c>
    </row>
    <row r="11995">
      <c r="A11995" s="3" t="inlineStr">
        <is>
          <t>Opportunity Global Sales (PTY) LTD</t>
        </is>
      </c>
      <c r="B11995" s="4" t="n">
        <v>44926</v>
      </c>
      <c r="C11995" s="3" t="inlineStr">
        <is>
          <t>Expenses</t>
        </is>
      </c>
      <c r="D11995" s="3" t="inlineStr">
        <is>
          <t>3350/200</t>
        </is>
      </c>
      <c r="E11995" s="3" t="inlineStr">
        <is>
          <t>Consulting Fees - Agent Karien Muller</t>
        </is>
      </c>
      <c r="F11995" s="3" t="n">
        <v>10000</v>
      </c>
      <c r="G11995" s="3" t="n">
        <v>50000</v>
      </c>
    </row>
    <row r="11996">
      <c r="A11996" s="3" t="inlineStr">
        <is>
          <t>Opportunity Global Investment (PTY) LTD</t>
        </is>
      </c>
      <c r="B11996" s="4" t="n">
        <v>44926</v>
      </c>
      <c r="C11996" s="3" t="inlineStr">
        <is>
          <t>Expenses</t>
        </is>
      </c>
      <c r="D11996" s="3" t="inlineStr">
        <is>
          <t>3350/200</t>
        </is>
      </c>
      <c r="E11996" s="3" t="inlineStr">
        <is>
          <t>Consulting Fees - Rockfin</t>
        </is>
      </c>
      <c r="F11996" s="3" t="n">
        <v>10000</v>
      </c>
      <c r="G11996" s="3" t="n">
        <v>82700</v>
      </c>
    </row>
    <row r="11997">
      <c r="A11997" s="3" t="inlineStr">
        <is>
          <t>Quinate Consulting (Pty) Ltd</t>
        </is>
      </c>
      <c r="B11997" s="4" t="n">
        <v>44926</v>
      </c>
      <c r="C11997" s="3" t="inlineStr">
        <is>
          <t>Expenses</t>
        </is>
      </c>
      <c r="D11997" s="3" t="inlineStr">
        <is>
          <t>3350/300</t>
        </is>
      </c>
      <c r="E11997" s="3" t="inlineStr">
        <is>
          <t>Consulting Fees - Admin and Finance</t>
        </is>
      </c>
      <c r="F11997" s="3" t="n">
        <v>2000</v>
      </c>
      <c r="G11997" s="3" t="n">
        <v>21700</v>
      </c>
    </row>
    <row r="11998">
      <c r="A11998" s="3" t="inlineStr">
        <is>
          <t>Opportunity Global Investment (PTY) LTD</t>
        </is>
      </c>
      <c r="B11998" s="4" t="n">
        <v>44926</v>
      </c>
      <c r="C11998" s="3" t="inlineStr">
        <is>
          <t>Expenses</t>
        </is>
      </c>
      <c r="D11998" s="3" t="inlineStr">
        <is>
          <t>3351/000</t>
        </is>
      </c>
      <c r="E11998" s="3" t="inlineStr">
        <is>
          <t>Consulting Fees - HR Joblaw</t>
        </is>
      </c>
      <c r="F11998" s="3" t="n">
        <v>1455.3</v>
      </c>
      <c r="G11998" s="3" t="n">
        <v>14131.8</v>
      </c>
    </row>
    <row r="11999">
      <c r="A11999" s="3" t="inlineStr">
        <is>
          <t>Quinate Consulting (Pty) Ltd</t>
        </is>
      </c>
      <c r="B11999" s="4" t="n">
        <v>44926</v>
      </c>
      <c r="C11999" s="3" t="inlineStr">
        <is>
          <t>Expenses</t>
        </is>
      </c>
      <c r="D11999" s="3" t="inlineStr">
        <is>
          <t>3351/000</t>
        </is>
      </c>
      <c r="E11999" s="3" t="inlineStr">
        <is>
          <t>Consulting fees - Trustees</t>
        </is>
      </c>
      <c r="F11999" s="3" t="n">
        <v>12600</v>
      </c>
      <c r="G11999" s="3" t="n">
        <v>99000</v>
      </c>
    </row>
    <row r="12000">
      <c r="A12000" s="3" t="inlineStr">
        <is>
          <t>Opportunity Global Investment (PTY) LTD</t>
        </is>
      </c>
      <c r="B12000" s="4" t="n">
        <v>44926</v>
      </c>
      <c r="C12000" s="3" t="inlineStr">
        <is>
          <t>Expenses</t>
        </is>
      </c>
      <c r="D12000" s="3" t="inlineStr">
        <is>
          <t>3352/000</t>
        </is>
      </c>
      <c r="E12000" s="3" t="inlineStr">
        <is>
          <t>Consulting Fees - Kert Scalzini</t>
        </is>
      </c>
      <c r="F12000" s="3" t="n">
        <v>0</v>
      </c>
      <c r="G12000" s="3" t="n">
        <v>20000</v>
      </c>
    </row>
    <row r="12001">
      <c r="A12001" s="3" t="inlineStr">
        <is>
          <t>Opportunity Global Investment (PTY) LTD</t>
        </is>
      </c>
      <c r="B12001" s="4" t="n">
        <v>44926</v>
      </c>
      <c r="C12001" s="3" t="inlineStr">
        <is>
          <t>Expenses</t>
        </is>
      </c>
      <c r="D12001" s="3" t="inlineStr">
        <is>
          <t>3353/000</t>
        </is>
      </c>
      <c r="E12001" s="3" t="inlineStr">
        <is>
          <t>Consulting Fees - Yolanda Steyn</t>
        </is>
      </c>
      <c r="F12001" s="3" t="n">
        <v>0</v>
      </c>
      <c r="G12001" s="3" t="n">
        <v>2000</v>
      </c>
    </row>
    <row r="12002">
      <c r="A12002" s="3" t="inlineStr">
        <is>
          <t>Quinate Consulting (Pty) Ltd</t>
        </is>
      </c>
      <c r="B12002" s="4" t="n">
        <v>44926</v>
      </c>
      <c r="C12002" s="3" t="inlineStr">
        <is>
          <t>Expenses</t>
        </is>
      </c>
      <c r="D12002" s="3" t="inlineStr">
        <is>
          <t>3450/001</t>
        </is>
      </c>
      <c r="E12002" s="3" t="inlineStr">
        <is>
          <t>Depreciation - Computer Equipment</t>
        </is>
      </c>
      <c r="F12002" s="3" t="n">
        <v>3141.38</v>
      </c>
      <c r="G12002" s="3" t="n">
        <v>31413.81</v>
      </c>
    </row>
    <row r="12003">
      <c r="A12003" s="3" t="inlineStr">
        <is>
          <t>Quinate Consulting (Pty) Ltd</t>
        </is>
      </c>
      <c r="B12003" s="4" t="n">
        <v>44926</v>
      </c>
      <c r="C12003" s="3" t="inlineStr">
        <is>
          <t>Expenses</t>
        </is>
      </c>
      <c r="D12003" s="3" t="inlineStr">
        <is>
          <t>3450/002</t>
        </is>
      </c>
      <c r="E12003" s="3" t="inlineStr">
        <is>
          <t>Depreciation - Site Containers</t>
        </is>
      </c>
      <c r="F12003" s="3" t="n">
        <v>318.84</v>
      </c>
      <c r="G12003" s="3" t="n">
        <v>3188.4</v>
      </c>
    </row>
    <row r="12004">
      <c r="A12004" s="3" t="inlineStr">
        <is>
          <t>Opportunity Global Sales (PTY) LTD</t>
        </is>
      </c>
      <c r="B12004" s="4" t="n">
        <v>44926</v>
      </c>
      <c r="C12004" s="3" t="inlineStr">
        <is>
          <t>Expenses</t>
        </is>
      </c>
      <c r="D12004" s="3" t="inlineStr">
        <is>
          <t>3450/030</t>
        </is>
      </c>
      <c r="E12004" s="3" t="inlineStr">
        <is>
          <t>Depreciation - Furniture and Fittings</t>
        </is>
      </c>
      <c r="F12004" s="3" t="n">
        <v>408.05</v>
      </c>
      <c r="G12004" s="3" t="n">
        <v>2448.31</v>
      </c>
    </row>
    <row r="12005">
      <c r="A12005" s="3" t="inlineStr">
        <is>
          <t>Opportunity Management Holdings (PTY) LTD</t>
        </is>
      </c>
      <c r="B12005" s="4" t="n">
        <v>44926</v>
      </c>
      <c r="C12005" s="3" t="inlineStr">
        <is>
          <t>Expenses</t>
        </is>
      </c>
      <c r="D12005" s="3" t="inlineStr">
        <is>
          <t>3451/000</t>
        </is>
      </c>
      <c r="E12005" s="3" t="inlineStr">
        <is>
          <t>Depreciation - Computer Equipment</t>
        </is>
      </c>
      <c r="F12005" s="3" t="n">
        <v>668.51</v>
      </c>
      <c r="G12005" s="3" t="n">
        <v>2674.05</v>
      </c>
    </row>
    <row r="12006">
      <c r="A12006" s="3" t="inlineStr">
        <is>
          <t>Quinate Consulting (Pty) Ltd</t>
        </is>
      </c>
      <c r="B12006" s="4" t="n">
        <v>44926</v>
      </c>
      <c r="C12006" s="3" t="inlineStr">
        <is>
          <t>Expenses</t>
        </is>
      </c>
      <c r="D12006" s="3" t="inlineStr">
        <is>
          <t>3600/000</t>
        </is>
      </c>
      <c r="E12006" s="3" t="inlineStr">
        <is>
          <t>Donations</t>
        </is>
      </c>
      <c r="F12006" s="3" t="n">
        <v>535</v>
      </c>
      <c r="G12006" s="3" t="n">
        <v>5350</v>
      </c>
    </row>
    <row r="12007">
      <c r="A12007" s="3" t="inlineStr">
        <is>
          <t>Endulini (Pty) Ltd</t>
        </is>
      </c>
      <c r="B12007" s="4" t="n">
        <v>44926</v>
      </c>
      <c r="C12007" s="3" t="inlineStr">
        <is>
          <t>Expenses</t>
        </is>
      </c>
      <c r="D12007" s="3" t="inlineStr">
        <is>
          <t>3630/000</t>
        </is>
      </c>
      <c r="E12007" s="3" t="inlineStr">
        <is>
          <t>Electricity</t>
        </is>
      </c>
      <c r="F12007" s="3" t="n">
        <v>0</v>
      </c>
      <c r="G12007" s="3" t="n">
        <v>6713.99</v>
      </c>
    </row>
    <row r="12008">
      <c r="A12008" s="3" t="inlineStr">
        <is>
          <t>Noble Shield (Pty) Ltd ta Go Letting</t>
        </is>
      </c>
      <c r="B12008" s="4" t="n">
        <v>44926</v>
      </c>
      <c r="C12008" s="3" t="inlineStr">
        <is>
          <t>Expenses</t>
        </is>
      </c>
      <c r="D12008" s="3" t="inlineStr">
        <is>
          <t>3650/000</t>
        </is>
      </c>
      <c r="E12008" s="3" t="inlineStr">
        <is>
          <t>Electricity _AND_ Water</t>
        </is>
      </c>
      <c r="F12008" s="3" t="n">
        <v>0</v>
      </c>
      <c r="G12008" s="3" t="n">
        <v>1500</v>
      </c>
    </row>
    <row r="12009">
      <c r="A12009" s="3" t="inlineStr">
        <is>
          <t>Opportunity Global Investment (PTY) LTD</t>
        </is>
      </c>
      <c r="B12009" s="4" t="n">
        <v>44926</v>
      </c>
      <c r="C12009" s="3" t="inlineStr">
        <is>
          <t>Expenses</t>
        </is>
      </c>
      <c r="D12009" s="3" t="inlineStr">
        <is>
          <t>3650/000</t>
        </is>
      </c>
      <c r="E12009" s="3" t="inlineStr">
        <is>
          <t>Electricity _AND_ Water</t>
        </is>
      </c>
      <c r="F12009" s="3" t="n">
        <v>2950</v>
      </c>
      <c r="G12009" s="3" t="n">
        <v>29500</v>
      </c>
    </row>
    <row r="12010">
      <c r="A12010" s="3" t="inlineStr">
        <is>
          <t>Endulini (Pty) Ltd</t>
        </is>
      </c>
      <c r="B12010" s="4" t="n">
        <v>44926</v>
      </c>
      <c r="C12010" s="3" t="inlineStr">
        <is>
          <t>Expenses</t>
        </is>
      </c>
      <c r="D12010" s="3" t="inlineStr">
        <is>
          <t>3650/000</t>
        </is>
      </c>
      <c r="E12010" s="3" t="inlineStr">
        <is>
          <t>Water</t>
        </is>
      </c>
      <c r="F12010" s="3" t="n">
        <v>0</v>
      </c>
      <c r="G12010" s="3" t="n">
        <v>4310.7</v>
      </c>
    </row>
    <row r="12011">
      <c r="A12011" s="3" t="inlineStr">
        <is>
          <t>Noble Shield (Pty) Ltd ta Go Letting</t>
        </is>
      </c>
      <c r="B12011" s="4" t="n">
        <v>44926</v>
      </c>
      <c r="C12011" s="3" t="inlineStr">
        <is>
          <t>Expenses</t>
        </is>
      </c>
      <c r="D12011" s="3" t="inlineStr">
        <is>
          <t>3651/000</t>
        </is>
      </c>
      <c r="E12011" s="3" t="inlineStr">
        <is>
          <t>Electricity _AND_ Water - Rentals</t>
        </is>
      </c>
      <c r="F12011" s="3" t="n">
        <v>1000</v>
      </c>
      <c r="G12011" s="3" t="n">
        <v>1000</v>
      </c>
    </row>
    <row r="12012">
      <c r="A12012" s="3" t="inlineStr">
        <is>
          <t>Quinate Consulting (Pty) Ltd</t>
        </is>
      </c>
      <c r="B12012" s="4" t="n">
        <v>44926</v>
      </c>
      <c r="C12012" s="3" t="inlineStr">
        <is>
          <t>Expenses</t>
        </is>
      </c>
      <c r="D12012" s="3" t="inlineStr">
        <is>
          <t>3651/000</t>
        </is>
      </c>
      <c r="E12012" s="3" t="inlineStr">
        <is>
          <t>Electricity _AND_ Water - Southwark</t>
        </is>
      </c>
      <c r="F12012" s="3" t="n">
        <v>3715.97</v>
      </c>
      <c r="G12012" s="3" t="n">
        <v>139742.63</v>
      </c>
    </row>
    <row r="12013">
      <c r="A12013" s="3" t="inlineStr">
        <is>
          <t>Quinate Consulting (Pty) Ltd</t>
        </is>
      </c>
      <c r="B12013" s="4" t="n">
        <v>44926</v>
      </c>
      <c r="C12013" s="3" t="inlineStr">
        <is>
          <t>Expenses</t>
        </is>
      </c>
      <c r="D12013" s="3" t="inlineStr">
        <is>
          <t>3652/000</t>
        </is>
      </c>
      <c r="E12013" s="3" t="inlineStr">
        <is>
          <t>Electricity _AND_ Water - Soho</t>
        </is>
      </c>
      <c r="F12013" s="3" t="n">
        <v>20591.24</v>
      </c>
      <c r="G12013" s="3" t="n">
        <v>248382.95</v>
      </c>
    </row>
    <row r="12014">
      <c r="A12014" s="3" t="inlineStr">
        <is>
          <t>Noble Shield (Pty) Ltd ta Go Letting</t>
        </is>
      </c>
      <c r="B12014" s="4" t="n">
        <v>44926</v>
      </c>
      <c r="C12014" s="3" t="inlineStr">
        <is>
          <t>Expenses</t>
        </is>
      </c>
      <c r="D12014" s="3" t="inlineStr">
        <is>
          <t>3700/000</t>
        </is>
      </c>
      <c r="E12014" s="3" t="inlineStr">
        <is>
          <t>Entertainment Expenses</t>
        </is>
      </c>
      <c r="F12014" s="3" t="n">
        <v>1900</v>
      </c>
      <c r="G12014" s="3" t="n">
        <v>1900</v>
      </c>
    </row>
    <row r="12015">
      <c r="A12015" s="3" t="inlineStr">
        <is>
          <t>Opportunity Global Investment (PTY) LTD</t>
        </is>
      </c>
      <c r="B12015" s="4" t="n">
        <v>44926</v>
      </c>
      <c r="C12015" s="3" t="inlineStr">
        <is>
          <t>Expenses</t>
        </is>
      </c>
      <c r="D12015" s="3" t="inlineStr">
        <is>
          <t>3700/000</t>
        </is>
      </c>
      <c r="E12015" s="3" t="inlineStr">
        <is>
          <t>Entertainment Expenses</t>
        </is>
      </c>
      <c r="F12015" s="3" t="n">
        <v>579.39</v>
      </c>
      <c r="G12015" s="3" t="n">
        <v>9319.17</v>
      </c>
    </row>
    <row r="12016">
      <c r="A12016" s="3" t="inlineStr">
        <is>
          <t>Opportunity Global Sales (PTY) LTD</t>
        </is>
      </c>
      <c r="B12016" s="4" t="n">
        <v>44926</v>
      </c>
      <c r="C12016" s="3" t="inlineStr">
        <is>
          <t>Expenses</t>
        </is>
      </c>
      <c r="D12016" s="3" t="inlineStr">
        <is>
          <t>3700/000</t>
        </is>
      </c>
      <c r="E12016" s="3" t="inlineStr">
        <is>
          <t>Entertainment Expenses</t>
        </is>
      </c>
      <c r="F12016" s="3" t="n">
        <v>0</v>
      </c>
      <c r="G12016" s="3" t="n">
        <v>700</v>
      </c>
    </row>
    <row r="12017">
      <c r="A12017" s="3" t="inlineStr">
        <is>
          <t>Opportunity Management Holdings (PTY) LTD</t>
        </is>
      </c>
      <c r="B12017" s="4" t="n">
        <v>44926</v>
      </c>
      <c r="C12017" s="3" t="inlineStr">
        <is>
          <t>Expenses</t>
        </is>
      </c>
      <c r="D12017" s="3" t="inlineStr">
        <is>
          <t>3700/000</t>
        </is>
      </c>
      <c r="E12017" s="3" t="inlineStr">
        <is>
          <t>Entertainment Expenses</t>
        </is>
      </c>
      <c r="F12017" s="3" t="n">
        <v>876.9</v>
      </c>
      <c r="G12017" s="3" t="n">
        <v>980.88</v>
      </c>
    </row>
    <row r="12018">
      <c r="A12018" s="3" t="inlineStr">
        <is>
          <t>Quinate Consulting (Pty) Ltd</t>
        </is>
      </c>
      <c r="B12018" s="4" t="n">
        <v>44926</v>
      </c>
      <c r="C12018" s="3" t="inlineStr">
        <is>
          <t>Expenses</t>
        </is>
      </c>
      <c r="D12018" s="3" t="inlineStr">
        <is>
          <t>3700/000</t>
        </is>
      </c>
      <c r="E12018" s="3" t="inlineStr">
        <is>
          <t>Entertainment Expenses</t>
        </is>
      </c>
      <c r="F12018" s="3" t="n">
        <v>2200</v>
      </c>
      <c r="G12018" s="3" t="n">
        <v>9163.809999999999</v>
      </c>
    </row>
    <row r="12019">
      <c r="A12019" s="3" t="inlineStr">
        <is>
          <t>Opportunity Global Investment (PTY) LTD</t>
        </is>
      </c>
      <c r="B12019" s="4" t="n">
        <v>44926</v>
      </c>
      <c r="C12019" s="3" t="inlineStr">
        <is>
          <t>Expenses</t>
        </is>
      </c>
      <c r="D12019" s="3" t="inlineStr">
        <is>
          <t>3800/010</t>
        </is>
      </c>
      <c r="E12019" s="3" t="inlineStr">
        <is>
          <t>General Expences - Gifts</t>
        </is>
      </c>
      <c r="F12019" s="3" t="n">
        <v>0</v>
      </c>
      <c r="G12019" s="3" t="n">
        <v>600.99</v>
      </c>
    </row>
    <row r="12020">
      <c r="A12020" s="3" t="inlineStr">
        <is>
          <t>Opportunity Management Holdings (PTY) LTD</t>
        </is>
      </c>
      <c r="B12020" s="4" t="n">
        <v>44926</v>
      </c>
      <c r="C12020" s="3" t="inlineStr">
        <is>
          <t>Expenses</t>
        </is>
      </c>
      <c r="D12020" s="3" t="inlineStr">
        <is>
          <t>3850/000</t>
        </is>
      </c>
      <c r="E12020" s="3" t="inlineStr">
        <is>
          <t>Insurance - Momentum</t>
        </is>
      </c>
      <c r="F12020" s="3" t="n">
        <v>1469.51</v>
      </c>
      <c r="G12020" s="3" t="n">
        <v>5878.04</v>
      </c>
    </row>
    <row r="12021">
      <c r="A12021" s="3" t="inlineStr">
        <is>
          <t>Noble Shield (Pty) Ltd ta Go Letting</t>
        </is>
      </c>
      <c r="B12021" s="4" t="n">
        <v>44926</v>
      </c>
      <c r="C12021" s="3" t="inlineStr">
        <is>
          <t>Expenses</t>
        </is>
      </c>
      <c r="D12021" s="3" t="inlineStr">
        <is>
          <t>3850/100</t>
        </is>
      </c>
      <c r="E12021" s="3" t="inlineStr">
        <is>
          <t>Insurance - Santam</t>
        </is>
      </c>
      <c r="F12021" s="3" t="n">
        <v>3754.19</v>
      </c>
      <c r="G12021" s="3" t="n">
        <v>15016.76</v>
      </c>
    </row>
    <row r="12022">
      <c r="A12022" s="3" t="inlineStr">
        <is>
          <t>Noble Shield (Pty) Ltd ta Go Letting</t>
        </is>
      </c>
      <c r="B12022" s="4" t="n">
        <v>44926</v>
      </c>
      <c r="C12022" s="3" t="inlineStr">
        <is>
          <t>Expenses</t>
        </is>
      </c>
      <c r="D12022" s="3" t="inlineStr">
        <is>
          <t>3850/200</t>
        </is>
      </c>
      <c r="E12022" s="3" t="inlineStr">
        <is>
          <t>Insurance - A_AND_G</t>
        </is>
      </c>
      <c r="F12022" s="3" t="n">
        <v>3592</v>
      </c>
      <c r="G12022" s="3" t="n">
        <v>8980</v>
      </c>
    </row>
    <row r="12023">
      <c r="A12023" s="3" t="inlineStr">
        <is>
          <t>Quinate Consulting (Pty) Ltd</t>
        </is>
      </c>
      <c r="B12023" s="4" t="n">
        <v>44926</v>
      </c>
      <c r="C12023" s="3" t="inlineStr">
        <is>
          <t>Expenses</t>
        </is>
      </c>
      <c r="D12023" s="3" t="inlineStr">
        <is>
          <t>3851/000</t>
        </is>
      </c>
      <c r="E12023" s="3" t="inlineStr">
        <is>
          <t>Insurance - Momentum</t>
        </is>
      </c>
      <c r="F12023" s="3" t="n">
        <v>7990.64</v>
      </c>
      <c r="G12023" s="3" t="n">
        <v>71753.42999999999</v>
      </c>
    </row>
    <row r="12024">
      <c r="A12024" s="3" t="inlineStr">
        <is>
          <t>Quinate Consulting (Pty) Ltd</t>
        </is>
      </c>
      <c r="B12024" s="4" t="n">
        <v>44926</v>
      </c>
      <c r="C12024" s="3" t="inlineStr">
        <is>
          <t>Expenses</t>
        </is>
      </c>
      <c r="D12024" s="3" t="inlineStr">
        <is>
          <t>3900/000</t>
        </is>
      </c>
      <c r="E12024" s="3" t="inlineStr">
        <is>
          <t>Interest Paid</t>
        </is>
      </c>
      <c r="F12024" s="3" t="n">
        <v>0</v>
      </c>
      <c r="G12024" s="3" t="n">
        <v>1164.87</v>
      </c>
    </row>
    <row r="12025">
      <c r="A12025" s="3" t="inlineStr">
        <is>
          <t>Quinate Consulting (Pty) Ltd</t>
        </is>
      </c>
      <c r="B12025" s="4" t="n">
        <v>44926</v>
      </c>
      <c r="C12025" s="3" t="inlineStr">
        <is>
          <t>Expenses</t>
        </is>
      </c>
      <c r="D12025" s="3" t="inlineStr">
        <is>
          <t>3900/050</t>
        </is>
      </c>
      <c r="E12025" s="3" t="inlineStr">
        <is>
          <t>Interest Paid - STD Bond Accounts</t>
        </is>
      </c>
      <c r="F12025" s="3" t="n">
        <v>0</v>
      </c>
      <c r="G12025" s="3" t="n">
        <v>395616.65</v>
      </c>
    </row>
    <row r="12026">
      <c r="A12026" s="3" t="inlineStr">
        <is>
          <t>Endulini (Pty) Ltd</t>
        </is>
      </c>
      <c r="B12026" s="4" t="n">
        <v>44926</v>
      </c>
      <c r="C12026" s="3" t="inlineStr">
        <is>
          <t>Expenses</t>
        </is>
      </c>
      <c r="D12026" s="3" t="inlineStr">
        <is>
          <t>3900/111</t>
        </is>
      </c>
      <c r="E12026" s="3" t="inlineStr">
        <is>
          <t>Interest Paid - Investors @ 6.25%</t>
        </is>
      </c>
      <c r="F12026" s="3" t="n">
        <v>0</v>
      </c>
      <c r="G12026" s="3" t="n">
        <v>508838.31</v>
      </c>
    </row>
    <row r="12027">
      <c r="A12027" s="3" t="inlineStr">
        <is>
          <t>Endulini (Pty) Ltd</t>
        </is>
      </c>
      <c r="B12027" s="4" t="n">
        <v>44926</v>
      </c>
      <c r="C12027" s="3" t="inlineStr">
        <is>
          <t>Expenses</t>
        </is>
      </c>
      <c r="D12027" s="3" t="inlineStr">
        <is>
          <t>3900/112</t>
        </is>
      </c>
      <c r="E12027" s="3" t="inlineStr">
        <is>
          <t>Interest Paid - Investors @ 6.5%</t>
        </is>
      </c>
      <c r="F12027" s="3" t="n">
        <v>0</v>
      </c>
      <c r="G12027" s="3" t="n">
        <v>42882.69</v>
      </c>
    </row>
    <row r="12028">
      <c r="A12028" s="3" t="inlineStr">
        <is>
          <t>Endulini (Pty) Ltd</t>
        </is>
      </c>
      <c r="B12028" s="4" t="n">
        <v>44926</v>
      </c>
      <c r="C12028" s="3" t="inlineStr">
        <is>
          <t>Expenses</t>
        </is>
      </c>
      <c r="D12028" s="3" t="inlineStr">
        <is>
          <t>3900/113</t>
        </is>
      </c>
      <c r="E12028" s="3" t="inlineStr">
        <is>
          <t>Interest Paid - Investors @ 6.75%</t>
        </is>
      </c>
      <c r="F12028" s="3" t="n">
        <v>0</v>
      </c>
      <c r="G12028" s="3" t="n">
        <v>73.97</v>
      </c>
    </row>
    <row r="12029">
      <c r="A12029" s="3" t="inlineStr">
        <is>
          <t>Endulini (Pty) Ltd</t>
        </is>
      </c>
      <c r="B12029" s="4" t="n">
        <v>44926</v>
      </c>
      <c r="C12029" s="3" t="inlineStr">
        <is>
          <t>Expenses</t>
        </is>
      </c>
      <c r="D12029" s="3" t="inlineStr">
        <is>
          <t>3900/120</t>
        </is>
      </c>
      <c r="E12029" s="3" t="inlineStr">
        <is>
          <t>Interest Paid - Investors @ 7%</t>
        </is>
      </c>
      <c r="F12029" s="3" t="n">
        <v>0</v>
      </c>
      <c r="G12029" s="3" t="n">
        <v>43401.3</v>
      </c>
    </row>
    <row r="12030">
      <c r="A12030" s="3" t="inlineStr">
        <is>
          <t>Endulini (Pty) Ltd</t>
        </is>
      </c>
      <c r="B12030" s="4" t="n">
        <v>44926</v>
      </c>
      <c r="C12030" s="3" t="inlineStr">
        <is>
          <t>Expenses</t>
        </is>
      </c>
      <c r="D12030" s="3" t="inlineStr">
        <is>
          <t>3900/121</t>
        </is>
      </c>
      <c r="E12030" s="3" t="inlineStr">
        <is>
          <t>Interest Paid - Investors @ 7.25%</t>
        </is>
      </c>
      <c r="F12030" s="3" t="n">
        <v>0</v>
      </c>
      <c r="G12030" s="3" t="n">
        <v>6952.05</v>
      </c>
    </row>
    <row r="12031">
      <c r="A12031" s="3" t="inlineStr">
        <is>
          <t>Endulini (Pty) Ltd</t>
        </is>
      </c>
      <c r="B12031" s="4" t="n">
        <v>44926</v>
      </c>
      <c r="C12031" s="3" t="inlineStr">
        <is>
          <t>Expenses</t>
        </is>
      </c>
      <c r="D12031" s="3" t="inlineStr">
        <is>
          <t>3900/122</t>
        </is>
      </c>
      <c r="E12031" s="3" t="inlineStr">
        <is>
          <t>Interest Paid - Investors @ 7.5%</t>
        </is>
      </c>
      <c r="F12031" s="3" t="n">
        <v>0</v>
      </c>
      <c r="G12031" s="3" t="n">
        <v>13561.64</v>
      </c>
    </row>
    <row r="12032">
      <c r="A12032" s="3" t="inlineStr">
        <is>
          <t>Endulini (Pty) Ltd</t>
        </is>
      </c>
      <c r="B12032" s="4" t="n">
        <v>44926</v>
      </c>
      <c r="C12032" s="3" t="inlineStr">
        <is>
          <t>Expenses</t>
        </is>
      </c>
      <c r="D12032" s="3" t="inlineStr">
        <is>
          <t>3900/123</t>
        </is>
      </c>
      <c r="E12032" s="3" t="inlineStr">
        <is>
          <t>Interest Paid - Investors @ 7.75%</t>
        </is>
      </c>
      <c r="F12032" s="3" t="n">
        <v>0</v>
      </c>
      <c r="G12032" s="3" t="n">
        <v>5945.21</v>
      </c>
    </row>
    <row r="12033">
      <c r="A12033" s="3" t="inlineStr">
        <is>
          <t>Endulini (Pty) Ltd</t>
        </is>
      </c>
      <c r="B12033" s="4" t="n">
        <v>44926</v>
      </c>
      <c r="C12033" s="3" t="inlineStr">
        <is>
          <t>Expenses</t>
        </is>
      </c>
      <c r="D12033" s="3" t="inlineStr">
        <is>
          <t>3900/130</t>
        </is>
      </c>
      <c r="E12033" s="3" t="inlineStr">
        <is>
          <t>Interest Paid - Investors @ 8%</t>
        </is>
      </c>
      <c r="F12033" s="3" t="n">
        <v>0</v>
      </c>
      <c r="G12033" s="3" t="n">
        <v>8309.6</v>
      </c>
    </row>
    <row r="12034">
      <c r="A12034" s="3" t="inlineStr">
        <is>
          <t>Endulini (Pty) Ltd</t>
        </is>
      </c>
      <c r="B12034" s="4" t="n">
        <v>44926</v>
      </c>
      <c r="C12034" s="3" t="inlineStr">
        <is>
          <t>Expenses</t>
        </is>
      </c>
      <c r="D12034" s="3" t="inlineStr">
        <is>
          <t>3900/131</t>
        </is>
      </c>
      <c r="E12034" s="3" t="inlineStr">
        <is>
          <t>Interest Paid - Investors @ 8.25%</t>
        </is>
      </c>
      <c r="F12034" s="3" t="n">
        <v>0</v>
      </c>
      <c r="G12034" s="3" t="n">
        <v>7797.94</v>
      </c>
    </row>
    <row r="12035">
      <c r="A12035" s="3" t="inlineStr">
        <is>
          <t>Endulini (Pty) Ltd</t>
        </is>
      </c>
      <c r="B12035" s="4" t="n">
        <v>44926</v>
      </c>
      <c r="C12035" s="3" t="inlineStr">
        <is>
          <t>Expenses</t>
        </is>
      </c>
      <c r="D12035" s="3" t="inlineStr">
        <is>
          <t>3900/140</t>
        </is>
      </c>
      <c r="E12035" s="3" t="inlineStr">
        <is>
          <t>Interest Paid - Investors @ 9%</t>
        </is>
      </c>
      <c r="F12035" s="3" t="n">
        <v>0</v>
      </c>
      <c r="G12035" s="3" t="n">
        <v>12562.51</v>
      </c>
    </row>
    <row r="12036">
      <c r="A12036" s="3" t="inlineStr">
        <is>
          <t>Endulini (Pty) Ltd</t>
        </is>
      </c>
      <c r="B12036" s="4" t="n">
        <v>44926</v>
      </c>
      <c r="C12036" s="3" t="inlineStr">
        <is>
          <t>Expenses</t>
        </is>
      </c>
      <c r="D12036" s="3" t="inlineStr">
        <is>
          <t>3900/143</t>
        </is>
      </c>
      <c r="E12036" s="3" t="inlineStr">
        <is>
          <t>Interest Paid - Investors @ 9.75%</t>
        </is>
      </c>
      <c r="F12036" s="3" t="n">
        <v>0</v>
      </c>
      <c r="G12036" s="3" t="n">
        <v>1469.19</v>
      </c>
    </row>
    <row r="12037">
      <c r="A12037" s="3" t="inlineStr">
        <is>
          <t>Quinate Consulting (Pty) Ltd</t>
        </is>
      </c>
      <c r="B12037" s="4" t="n">
        <v>44926</v>
      </c>
      <c r="C12037" s="3" t="inlineStr">
        <is>
          <t>Expenses</t>
        </is>
      </c>
      <c r="D12037" s="3" t="inlineStr">
        <is>
          <t>3900/150</t>
        </is>
      </c>
      <c r="E12037" s="3" t="inlineStr">
        <is>
          <t>Interest Paid - Suppliers</t>
        </is>
      </c>
      <c r="F12037" s="3" t="n">
        <v>0</v>
      </c>
      <c r="G12037" s="3" t="n">
        <v>926.21</v>
      </c>
    </row>
    <row r="12038">
      <c r="A12038" s="3" t="inlineStr">
        <is>
          <t>Quinate Consulting (Pty) Ltd</t>
        </is>
      </c>
      <c r="B12038" s="4" t="n">
        <v>44926</v>
      </c>
      <c r="C12038" s="3" t="inlineStr">
        <is>
          <t>Expenses</t>
        </is>
      </c>
      <c r="D12038" s="3" t="inlineStr">
        <is>
          <t>3900/152</t>
        </is>
      </c>
      <c r="E12038" s="3" t="inlineStr">
        <is>
          <t>Interest Paid - Gengis</t>
        </is>
      </c>
      <c r="F12038" s="3" t="n">
        <v>0</v>
      </c>
      <c r="G12038" s="3" t="n">
        <v>12082.2</v>
      </c>
    </row>
    <row r="12039">
      <c r="A12039" s="3" t="inlineStr">
        <is>
          <t>Endulini (Pty) Ltd</t>
        </is>
      </c>
      <c r="B12039" s="4" t="n">
        <v>44926</v>
      </c>
      <c r="C12039" s="3" t="inlineStr">
        <is>
          <t>Expenses</t>
        </is>
      </c>
      <c r="D12039" s="3" t="inlineStr">
        <is>
          <t>3900/190</t>
        </is>
      </c>
      <c r="E12039" s="3" t="inlineStr">
        <is>
          <t>Interest Paid - Investors @ 14%</t>
        </is>
      </c>
      <c r="F12039" s="3" t="n">
        <v>0</v>
      </c>
      <c r="G12039" s="3" t="n">
        <v>100366.9</v>
      </c>
    </row>
    <row r="12040">
      <c r="A12040" s="3" t="inlineStr">
        <is>
          <t>Endulini (Pty) Ltd</t>
        </is>
      </c>
      <c r="B12040" s="4" t="n">
        <v>44926</v>
      </c>
      <c r="C12040" s="3" t="inlineStr">
        <is>
          <t>Expenses</t>
        </is>
      </c>
      <c r="D12040" s="3" t="inlineStr">
        <is>
          <t>3900/200</t>
        </is>
      </c>
      <c r="E12040" s="3" t="inlineStr">
        <is>
          <t>Interest Paid - Investors @ 15%</t>
        </is>
      </c>
      <c r="F12040" s="3" t="n">
        <v>0</v>
      </c>
      <c r="G12040" s="3" t="n">
        <v>510596.24</v>
      </c>
    </row>
    <row r="12041">
      <c r="A12041" s="3" t="inlineStr">
        <is>
          <t>Endulini (Pty) Ltd</t>
        </is>
      </c>
      <c r="B12041" s="4" t="n">
        <v>44926</v>
      </c>
      <c r="C12041" s="3" t="inlineStr">
        <is>
          <t>Expenses</t>
        </is>
      </c>
      <c r="D12041" s="3" t="inlineStr">
        <is>
          <t>3900/210</t>
        </is>
      </c>
      <c r="E12041" s="3" t="inlineStr">
        <is>
          <t>Interest Paid - Investors @ 16%</t>
        </is>
      </c>
      <c r="F12041" s="3" t="n">
        <v>0</v>
      </c>
      <c r="G12041" s="3" t="n">
        <v>98739.73</v>
      </c>
    </row>
    <row r="12042">
      <c r="A12042" s="3" t="inlineStr">
        <is>
          <t>Endulini (Pty) Ltd</t>
        </is>
      </c>
      <c r="B12042" s="4" t="n">
        <v>44926</v>
      </c>
      <c r="C12042" s="3" t="inlineStr">
        <is>
          <t>Expenses</t>
        </is>
      </c>
      <c r="D12042" s="3" t="inlineStr">
        <is>
          <t>3900/230</t>
        </is>
      </c>
      <c r="E12042" s="3" t="inlineStr">
        <is>
          <t>Interest Paid - Investors @ 18%</t>
        </is>
      </c>
      <c r="F12042" s="3" t="n">
        <v>0</v>
      </c>
      <c r="G12042" s="3" t="n">
        <v>6062350.34</v>
      </c>
    </row>
    <row r="12043">
      <c r="A12043" s="3" t="inlineStr">
        <is>
          <t>Opportunity Global Investment (PTY) LTD</t>
        </is>
      </c>
      <c r="B12043" s="4" t="n">
        <v>44926</v>
      </c>
      <c r="C12043" s="3" t="inlineStr">
        <is>
          <t>Expenses</t>
        </is>
      </c>
      <c r="D12043" s="3" t="inlineStr">
        <is>
          <t>3901/000</t>
        </is>
      </c>
      <c r="E12043" s="3" t="inlineStr">
        <is>
          <t>Interest Paid - Department of Labour</t>
        </is>
      </c>
      <c r="F12043" s="3" t="n">
        <v>0</v>
      </c>
      <c r="G12043" s="3" t="n">
        <v>1488.4</v>
      </c>
    </row>
    <row r="12044">
      <c r="A12044" s="3" t="inlineStr">
        <is>
          <t>Opportunity Management Holdings (PTY) LTD</t>
        </is>
      </c>
      <c r="B12044" s="4" t="n">
        <v>44926</v>
      </c>
      <c r="C12044" s="3" t="inlineStr">
        <is>
          <t>Expenses</t>
        </is>
      </c>
      <c r="D12044" s="3" t="inlineStr">
        <is>
          <t>3960/000</t>
        </is>
      </c>
      <c r="E12044" s="3" t="inlineStr">
        <is>
          <t>Internet Fees</t>
        </is>
      </c>
      <c r="F12044" s="3" t="n">
        <v>633.52</v>
      </c>
      <c r="G12044" s="3" t="n">
        <v>2246.92</v>
      </c>
    </row>
    <row r="12045">
      <c r="A12045" s="3" t="inlineStr">
        <is>
          <t>Quinate Consulting (Pty) Ltd</t>
        </is>
      </c>
      <c r="B12045" s="4" t="n">
        <v>44926</v>
      </c>
      <c r="C12045" s="3" t="inlineStr">
        <is>
          <t>Expenses</t>
        </is>
      </c>
      <c r="D12045" s="3" t="inlineStr">
        <is>
          <t>4000/000</t>
        </is>
      </c>
      <c r="E12045" s="3" t="inlineStr">
        <is>
          <t>Legal Fees</t>
        </is>
      </c>
      <c r="F12045" s="3" t="n">
        <v>0</v>
      </c>
      <c r="G12045" s="3" t="n">
        <v>61720</v>
      </c>
    </row>
    <row r="12046">
      <c r="A12046" s="3" t="inlineStr">
        <is>
          <t>Quinate Consulting (Pty) Ltd</t>
        </is>
      </c>
      <c r="B12046" s="4" t="n">
        <v>44926</v>
      </c>
      <c r="C12046" s="3" t="inlineStr">
        <is>
          <t>Expenses</t>
        </is>
      </c>
      <c r="D12046" s="3" t="inlineStr">
        <is>
          <t>4065/000</t>
        </is>
      </c>
      <c r="E12046" s="3" t="inlineStr">
        <is>
          <t>Levies - SoHo</t>
        </is>
      </c>
      <c r="F12046" s="3" t="n">
        <v>750</v>
      </c>
      <c r="G12046" s="3" t="n">
        <v>64172.68</v>
      </c>
    </row>
    <row r="12047">
      <c r="A12047" s="3" t="inlineStr">
        <is>
          <t>Quinate Consulting (Pty) Ltd</t>
        </is>
      </c>
      <c r="B12047" s="4" t="n">
        <v>44926</v>
      </c>
      <c r="C12047" s="3" t="inlineStr">
        <is>
          <t>Expenses</t>
        </is>
      </c>
      <c r="D12047" s="3" t="inlineStr">
        <is>
          <t>4066/000</t>
        </is>
      </c>
      <c r="E12047" s="3" t="inlineStr">
        <is>
          <t>Levies - Southwark</t>
        </is>
      </c>
      <c r="F12047" s="3" t="n">
        <v>6844.36</v>
      </c>
      <c r="G12047" s="3" t="n">
        <v>35308.58</v>
      </c>
    </row>
    <row r="12048">
      <c r="A12048" s="3" t="inlineStr">
        <is>
          <t>Quinate Consulting (Pty) Ltd</t>
        </is>
      </c>
      <c r="B12048" s="4" t="n">
        <v>44926</v>
      </c>
      <c r="C12048" s="3" t="inlineStr">
        <is>
          <t>Expenses</t>
        </is>
      </c>
      <c r="D12048" s="3" t="inlineStr">
        <is>
          <t>4067/000</t>
        </is>
      </c>
      <c r="E12048" s="3" t="inlineStr">
        <is>
          <t>Levies - C4 Property</t>
        </is>
      </c>
      <c r="F12048" s="3" t="n">
        <v>2827.14</v>
      </c>
      <c r="G12048" s="3" t="n">
        <v>2827.14</v>
      </c>
    </row>
    <row r="12049">
      <c r="A12049" s="3" t="inlineStr">
        <is>
          <t>Endulini (Pty) Ltd</t>
        </is>
      </c>
      <c r="B12049" s="4" t="n">
        <v>44926</v>
      </c>
      <c r="C12049" s="3" t="inlineStr">
        <is>
          <t>Expenses</t>
        </is>
      </c>
      <c r="D12049" s="3" t="inlineStr">
        <is>
          <t>4100/001</t>
        </is>
      </c>
      <c r="E12049" s="3" t="inlineStr">
        <is>
          <t>Momentum Admin Fee</t>
        </is>
      </c>
      <c r="F12049" s="3" t="n">
        <v>0</v>
      </c>
      <c r="G12049" s="3" t="n">
        <v>52359.06</v>
      </c>
    </row>
    <row r="12050">
      <c r="A12050" s="3" t="inlineStr">
        <is>
          <t>Quinate Consulting (Pty) Ltd</t>
        </is>
      </c>
      <c r="B12050" s="4" t="n">
        <v>44926</v>
      </c>
      <c r="C12050" s="3" t="inlineStr">
        <is>
          <t>Expenses</t>
        </is>
      </c>
      <c r="D12050" s="3" t="inlineStr">
        <is>
          <t>4100/001</t>
        </is>
      </c>
      <c r="E12050" s="3" t="inlineStr">
        <is>
          <t>Momentum Advise Fee</t>
        </is>
      </c>
      <c r="F12050" s="3" t="n">
        <v>0</v>
      </c>
      <c r="G12050" s="3" t="n">
        <v>1.71</v>
      </c>
    </row>
    <row r="12051">
      <c r="A12051" s="3" t="inlineStr">
        <is>
          <t>Opportunity Global Investment (PTY) LTD</t>
        </is>
      </c>
      <c r="B12051" s="4" t="n">
        <v>44926</v>
      </c>
      <c r="C12051" s="3" t="inlineStr">
        <is>
          <t>Expenses</t>
        </is>
      </c>
      <c r="D12051" s="3" t="inlineStr">
        <is>
          <t>4100/100</t>
        </is>
      </c>
      <c r="E12051" s="3" t="inlineStr">
        <is>
          <t>Members Salaries - Nick Morgan</t>
        </is>
      </c>
      <c r="F12051" s="3" t="n">
        <v>40937.19</v>
      </c>
      <c r="G12051" s="3" t="n">
        <v>409371.83</v>
      </c>
    </row>
    <row r="12052">
      <c r="A12052" s="3" t="inlineStr">
        <is>
          <t>Opportunity Global Investment (PTY) LTD</t>
        </is>
      </c>
      <c r="B12052" s="4" t="n">
        <v>44926</v>
      </c>
      <c r="C12052" s="3" t="inlineStr">
        <is>
          <t>Expenses</t>
        </is>
      </c>
      <c r="D12052" s="3" t="inlineStr">
        <is>
          <t>4200/000</t>
        </is>
      </c>
      <c r="E12052" s="3" t="inlineStr">
        <is>
          <t>Printing _AND_ Stationery</t>
        </is>
      </c>
      <c r="F12052" s="3" t="n">
        <v>2367</v>
      </c>
      <c r="G12052" s="3" t="n">
        <v>23670</v>
      </c>
    </row>
    <row r="12053">
      <c r="A12053" s="3" t="inlineStr">
        <is>
          <t>Opportunity Global Sales (PTY) LTD</t>
        </is>
      </c>
      <c r="B12053" s="4" t="n">
        <v>44926</v>
      </c>
      <c r="C12053" s="3" t="inlineStr">
        <is>
          <t>Expenses</t>
        </is>
      </c>
      <c r="D12053" s="3" t="inlineStr">
        <is>
          <t>4200/000</t>
        </is>
      </c>
      <c r="E12053" s="3" t="inlineStr">
        <is>
          <t>Printing _AND_ Stationery</t>
        </is>
      </c>
      <c r="F12053" s="3" t="n">
        <v>406.96</v>
      </c>
      <c r="G12053" s="3" t="n">
        <v>3101.96</v>
      </c>
    </row>
    <row r="12054">
      <c r="A12054" s="3" t="inlineStr">
        <is>
          <t>Opportunity Management Holdings (PTY) LTD</t>
        </is>
      </c>
      <c r="B12054" s="4" t="n">
        <v>44926</v>
      </c>
      <c r="C12054" s="3" t="inlineStr">
        <is>
          <t>Expenses</t>
        </is>
      </c>
      <c r="D12054" s="3" t="inlineStr">
        <is>
          <t>4200/000</t>
        </is>
      </c>
      <c r="E12054" s="3" t="inlineStr">
        <is>
          <t>Printing _AND_ Stationery</t>
        </is>
      </c>
      <c r="F12054" s="3" t="n">
        <v>0</v>
      </c>
      <c r="G12054" s="3" t="n">
        <v>8413.799999999999</v>
      </c>
    </row>
    <row r="12055">
      <c r="A12055" s="3" t="inlineStr">
        <is>
          <t>Quinate Consulting (Pty) Ltd</t>
        </is>
      </c>
      <c r="B12055" s="4" t="n">
        <v>44926</v>
      </c>
      <c r="C12055" s="3" t="inlineStr">
        <is>
          <t>Expenses</t>
        </is>
      </c>
      <c r="D12055" s="3" t="inlineStr">
        <is>
          <t>4200/000</t>
        </is>
      </c>
      <c r="E12055" s="3" t="inlineStr">
        <is>
          <t>Printing _AND_ Stationery</t>
        </is>
      </c>
      <c r="F12055" s="3" t="n">
        <v>0</v>
      </c>
      <c r="G12055" s="3" t="n">
        <v>1232.17</v>
      </c>
    </row>
    <row r="12056">
      <c r="A12056" s="3" t="inlineStr">
        <is>
          <t>Noble Shield (Pty) Ltd ta Go Letting</t>
        </is>
      </c>
      <c r="B12056" s="4" t="n">
        <v>44926</v>
      </c>
      <c r="C12056" s="3" t="inlineStr">
        <is>
          <t>Expenses</t>
        </is>
      </c>
      <c r="D12056" s="3" t="inlineStr">
        <is>
          <t>4200/100</t>
        </is>
      </c>
      <c r="E12056" s="3" t="inlineStr">
        <is>
          <t>Printing - Merchant West- Printer Rental</t>
        </is>
      </c>
      <c r="F12056" s="3" t="n">
        <v>1628.84</v>
      </c>
      <c r="G12056" s="3" t="n">
        <v>6505.57</v>
      </c>
    </row>
    <row r="12057">
      <c r="A12057" s="3" t="inlineStr">
        <is>
          <t>Noble Shield (Pty) Ltd ta Go Letting</t>
        </is>
      </c>
      <c r="B12057" s="4" t="n">
        <v>44926</v>
      </c>
      <c r="C12057" s="3" t="inlineStr">
        <is>
          <t>Expenses</t>
        </is>
      </c>
      <c r="D12057" s="3" t="inlineStr">
        <is>
          <t>4200/120</t>
        </is>
      </c>
      <c r="E12057" s="3" t="inlineStr">
        <is>
          <t>Printing - Ivy Line - Prints</t>
        </is>
      </c>
      <c r="F12057" s="3" t="n">
        <v>200.85</v>
      </c>
      <c r="G12057" s="3" t="n">
        <v>3345.29</v>
      </c>
    </row>
    <row r="12058">
      <c r="A12058" s="3" t="inlineStr">
        <is>
          <t>Noble Shield (Pty) Ltd ta Go Letting</t>
        </is>
      </c>
      <c r="B12058" s="4" t="n">
        <v>44926</v>
      </c>
      <c r="C12058" s="3" t="inlineStr">
        <is>
          <t>Expenses</t>
        </is>
      </c>
      <c r="D12058" s="3" t="inlineStr">
        <is>
          <t>4200/180</t>
        </is>
      </c>
      <c r="E12058" s="3" t="inlineStr">
        <is>
          <t>Printing - Ikon</t>
        </is>
      </c>
      <c r="F12058" s="3" t="n">
        <v>122.53</v>
      </c>
      <c r="G12058" s="3" t="n">
        <v>398.53</v>
      </c>
    </row>
    <row r="12059">
      <c r="A12059" s="3" t="inlineStr">
        <is>
          <t>Noble Shield (Pty) Ltd ta Go Letting</t>
        </is>
      </c>
      <c r="B12059" s="4" t="n">
        <v>44926</v>
      </c>
      <c r="C12059" s="3" t="inlineStr">
        <is>
          <t>Expenses</t>
        </is>
      </c>
      <c r="D12059" s="3" t="inlineStr">
        <is>
          <t>4200/190</t>
        </is>
      </c>
      <c r="E12059" s="3" t="inlineStr">
        <is>
          <t>Printing - Centrafin printer rental</t>
        </is>
      </c>
      <c r="F12059" s="3" t="n">
        <v>2583.48</v>
      </c>
      <c r="G12059" s="3" t="n">
        <v>10274.5</v>
      </c>
    </row>
    <row r="12060">
      <c r="A12060" s="3" t="inlineStr">
        <is>
          <t>Noble Shield (Pty) Ltd ta Go Letting</t>
        </is>
      </c>
      <c r="B12060" s="4" t="n">
        <v>44926</v>
      </c>
      <c r="C12060" s="3" t="inlineStr">
        <is>
          <t>Expenses</t>
        </is>
      </c>
      <c r="D12060" s="3" t="inlineStr">
        <is>
          <t>4200/200</t>
        </is>
      </c>
      <c r="E12060" s="3" t="inlineStr">
        <is>
          <t>Printing - General Stationery VDB Office</t>
        </is>
      </c>
      <c r="F12060" s="3" t="n">
        <v>0</v>
      </c>
      <c r="G12060" s="3" t="n">
        <v>3546.12</v>
      </c>
    </row>
    <row r="12061">
      <c r="A12061" s="3" t="inlineStr">
        <is>
          <t>Noble Shield (Pty) Ltd ta Go Letting</t>
        </is>
      </c>
      <c r="B12061" s="4" t="n">
        <v>44926</v>
      </c>
      <c r="C12061" s="3" t="inlineStr">
        <is>
          <t>Expenses</t>
        </is>
      </c>
      <c r="D12061" s="3" t="inlineStr">
        <is>
          <t>4290/000</t>
        </is>
      </c>
      <c r="E12061" s="3" t="inlineStr">
        <is>
          <t>Refreshments - CT Office</t>
        </is>
      </c>
      <c r="F12061" s="3" t="n">
        <v>1061.57</v>
      </c>
      <c r="G12061" s="3" t="n">
        <v>4162.33</v>
      </c>
    </row>
    <row r="12062">
      <c r="A12062" s="3" t="inlineStr">
        <is>
          <t>Opportunity Global Investment (PTY) LTD</t>
        </is>
      </c>
      <c r="B12062" s="4" t="n">
        <v>44926</v>
      </c>
      <c r="C12062" s="3" t="inlineStr">
        <is>
          <t>Expenses</t>
        </is>
      </c>
      <c r="D12062" s="3" t="inlineStr">
        <is>
          <t>4290/000</t>
        </is>
      </c>
      <c r="E12062" s="3" t="inlineStr">
        <is>
          <t>Rent</t>
        </is>
      </c>
      <c r="F12062" s="3" t="n">
        <v>8770</v>
      </c>
      <c r="G12062" s="3" t="n">
        <v>87700</v>
      </c>
    </row>
    <row r="12063">
      <c r="A12063" s="3" t="inlineStr">
        <is>
          <t>Noble Shield (Pty) Ltd ta Go Letting</t>
        </is>
      </c>
      <c r="B12063" s="4" t="n">
        <v>44926</v>
      </c>
      <c r="C12063" s="3" t="inlineStr">
        <is>
          <t>Expenses</t>
        </is>
      </c>
      <c r="D12063" s="3" t="inlineStr">
        <is>
          <t>4291/000</t>
        </is>
      </c>
      <c r="E12063" s="3" t="inlineStr">
        <is>
          <t>Refreshments - VDB Office</t>
        </is>
      </c>
      <c r="F12063" s="3" t="n">
        <v>324.96</v>
      </c>
      <c r="G12063" s="3" t="n">
        <v>1675.47</v>
      </c>
    </row>
    <row r="12064">
      <c r="A12064" s="3" t="inlineStr">
        <is>
          <t>Trademark Holdings (Pty) Ltd</t>
        </is>
      </c>
      <c r="B12064" s="4" t="n">
        <v>44926</v>
      </c>
      <c r="C12064" s="3" t="inlineStr">
        <is>
          <t>Expenses</t>
        </is>
      </c>
      <c r="D12064" s="3" t="inlineStr">
        <is>
          <t>4300/000</t>
        </is>
      </c>
      <c r="E12064" s="3" t="inlineStr">
        <is>
          <t>Rent Paid</t>
        </is>
      </c>
      <c r="F12064" s="3" t="n">
        <v>6527.31</v>
      </c>
      <c r="G12064" s="3" t="n">
        <v>25909.26</v>
      </c>
    </row>
    <row r="12065">
      <c r="A12065" s="3" t="inlineStr">
        <is>
          <t>Endulini (Pty) Ltd</t>
        </is>
      </c>
      <c r="B12065" s="4" t="n">
        <v>44926</v>
      </c>
      <c r="C12065" s="3" t="inlineStr">
        <is>
          <t>Expenses</t>
        </is>
      </c>
      <c r="D12065" s="3" t="inlineStr">
        <is>
          <t>4310/000</t>
        </is>
      </c>
      <c r="E12065" s="3" t="inlineStr">
        <is>
          <t>Rates</t>
        </is>
      </c>
      <c r="F12065" s="3" t="n">
        <v>0</v>
      </c>
      <c r="G12065" s="3" t="n">
        <v>27929.15</v>
      </c>
    </row>
    <row r="12066">
      <c r="A12066" s="3" t="inlineStr">
        <is>
          <t>Opportunity Global Investment (PTY) LTD</t>
        </is>
      </c>
      <c r="B12066" s="4" t="n">
        <v>44926</v>
      </c>
      <c r="C12066" s="3" t="inlineStr">
        <is>
          <t>Expenses</t>
        </is>
      </c>
      <c r="D12066" s="3" t="inlineStr">
        <is>
          <t>4310/000</t>
        </is>
      </c>
      <c r="E12066" s="3" t="inlineStr">
        <is>
          <t>Refreshments</t>
        </is>
      </c>
      <c r="F12066" s="3" t="n">
        <v>2521</v>
      </c>
      <c r="G12066" s="3" t="n">
        <v>25210</v>
      </c>
    </row>
    <row r="12067">
      <c r="A12067" s="3" t="inlineStr">
        <is>
          <t>Opportunity Management Holdings (PTY) LTD</t>
        </is>
      </c>
      <c r="B12067" s="4" t="n">
        <v>44926</v>
      </c>
      <c r="C12067" s="3" t="inlineStr">
        <is>
          <t>Expenses</t>
        </is>
      </c>
      <c r="D12067" s="3" t="inlineStr">
        <is>
          <t>4310/000</t>
        </is>
      </c>
      <c r="E12067" s="3" t="inlineStr">
        <is>
          <t>Refreshments</t>
        </is>
      </c>
      <c r="F12067" s="3" t="n">
        <v>408.67</v>
      </c>
      <c r="G12067" s="3" t="n">
        <v>6364.52</v>
      </c>
    </row>
    <row r="12068">
      <c r="A12068" s="3" t="inlineStr">
        <is>
          <t>Quinate Consulting (Pty) Ltd</t>
        </is>
      </c>
      <c r="B12068" s="4" t="n">
        <v>44926</v>
      </c>
      <c r="C12068" s="3" t="inlineStr">
        <is>
          <t>Expenses</t>
        </is>
      </c>
      <c r="D12068" s="3" t="inlineStr">
        <is>
          <t>4312/000</t>
        </is>
      </c>
      <c r="E12068" s="3" t="inlineStr">
        <is>
          <t>Rates - SoHo Units</t>
        </is>
      </c>
      <c r="F12068" s="3" t="n">
        <v>1658.12</v>
      </c>
      <c r="G12068" s="3" t="n">
        <v>23685.66</v>
      </c>
    </row>
    <row r="12069">
      <c r="A12069" s="3" t="inlineStr">
        <is>
          <t>Endulini (Pty) Ltd</t>
        </is>
      </c>
      <c r="B12069" s="4" t="n">
        <v>44926</v>
      </c>
      <c r="C12069" s="3" t="inlineStr">
        <is>
          <t>Expenses</t>
        </is>
      </c>
      <c r="D12069" s="3" t="inlineStr">
        <is>
          <t>4350/000</t>
        </is>
      </c>
      <c r="E12069" s="3" t="inlineStr">
        <is>
          <t>Repairs _AND_ Maintenance</t>
        </is>
      </c>
      <c r="F12069" s="3" t="n">
        <v>0</v>
      </c>
      <c r="G12069" s="3" t="n">
        <v>3415.69</v>
      </c>
    </row>
    <row r="12070">
      <c r="A12070" s="3" t="inlineStr">
        <is>
          <t>Noble Shield (Pty) Ltd ta Go Letting</t>
        </is>
      </c>
      <c r="B12070" s="4" t="n">
        <v>44926</v>
      </c>
      <c r="C12070" s="3" t="inlineStr">
        <is>
          <t>Expenses</t>
        </is>
      </c>
      <c r="D12070" s="3" t="inlineStr">
        <is>
          <t>4350/000</t>
        </is>
      </c>
      <c r="E12070" s="3" t="inlineStr">
        <is>
          <t>Repairs _AND_ Maintenance</t>
        </is>
      </c>
      <c r="F12070" s="3" t="n">
        <v>0</v>
      </c>
      <c r="G12070" s="3" t="n">
        <v>710</v>
      </c>
    </row>
    <row r="12071">
      <c r="A12071" s="3" t="inlineStr">
        <is>
          <t>Opportunity Management Holdings (PTY) LTD</t>
        </is>
      </c>
      <c r="B12071" s="4" t="n">
        <v>44926</v>
      </c>
      <c r="C12071" s="3" t="inlineStr">
        <is>
          <t>Expenses</t>
        </is>
      </c>
      <c r="D12071" s="3" t="inlineStr">
        <is>
          <t>4350/000</t>
        </is>
      </c>
      <c r="E12071" s="3" t="inlineStr">
        <is>
          <t>Repairs _AND_ Maintenance</t>
        </is>
      </c>
      <c r="F12071" s="3" t="n">
        <v>0</v>
      </c>
      <c r="G12071" s="3" t="n">
        <v>456.53</v>
      </c>
    </row>
    <row r="12072">
      <c r="A12072" s="3" t="inlineStr">
        <is>
          <t>Quinate Consulting (Pty) Ltd</t>
        </is>
      </c>
      <c r="B12072" s="4" t="n">
        <v>44926</v>
      </c>
      <c r="C12072" s="3" t="inlineStr">
        <is>
          <t>Expenses</t>
        </is>
      </c>
      <c r="D12072" s="3" t="inlineStr">
        <is>
          <t>4350/000</t>
        </is>
      </c>
      <c r="E12072" s="3" t="inlineStr">
        <is>
          <t>Repairs and Maintenance - Southwark Units</t>
        </is>
      </c>
      <c r="F12072" s="3" t="n">
        <v>0</v>
      </c>
      <c r="G12072" s="3" t="n">
        <v>15420.12</v>
      </c>
    </row>
    <row r="12073">
      <c r="A12073" s="3" t="inlineStr">
        <is>
          <t>Opportunity Global Investment (PTY) LTD</t>
        </is>
      </c>
      <c r="B12073" s="4" t="n">
        <v>44926</v>
      </c>
      <c r="C12073" s="3" t="inlineStr">
        <is>
          <t>Expenses</t>
        </is>
      </c>
      <c r="D12073" s="3" t="inlineStr">
        <is>
          <t>4360/000</t>
        </is>
      </c>
      <c r="E12073" s="3" t="inlineStr">
        <is>
          <t>Secretarial - CIPC</t>
        </is>
      </c>
      <c r="F12073" s="3" t="n">
        <v>0</v>
      </c>
      <c r="G12073" s="3" t="n">
        <v>600</v>
      </c>
    </row>
    <row r="12074">
      <c r="A12074" s="3" t="inlineStr">
        <is>
          <t>Opportunity Global Sales (PTY) LTD</t>
        </is>
      </c>
      <c r="B12074" s="4" t="n">
        <v>44926</v>
      </c>
      <c r="C12074" s="3" t="inlineStr">
        <is>
          <t>Expenses</t>
        </is>
      </c>
      <c r="D12074" s="3" t="inlineStr">
        <is>
          <t>4390/000</t>
        </is>
      </c>
      <c r="E12074" s="3" t="inlineStr">
        <is>
          <t>Small Assets</t>
        </is>
      </c>
      <c r="F12074" s="3" t="n">
        <v>0</v>
      </c>
      <c r="G12074" s="3" t="n">
        <v>18486.87</v>
      </c>
    </row>
    <row r="12075">
      <c r="A12075" s="3" t="inlineStr">
        <is>
          <t>Opportunity Management Holdings (PTY) LTD</t>
        </is>
      </c>
      <c r="B12075" s="4" t="n">
        <v>44926</v>
      </c>
      <c r="C12075" s="3" t="inlineStr">
        <is>
          <t>Expenses</t>
        </is>
      </c>
      <c r="D12075" s="3" t="inlineStr">
        <is>
          <t>4390/000</t>
        </is>
      </c>
      <c r="E12075" s="3" t="inlineStr">
        <is>
          <t>Small Assets</t>
        </is>
      </c>
      <c r="F12075" s="3" t="n">
        <v>13812.17</v>
      </c>
      <c r="G12075" s="3" t="n">
        <v>17288.69</v>
      </c>
    </row>
    <row r="12076">
      <c r="A12076" s="3" t="inlineStr">
        <is>
          <t>Noble Shield (Pty) Ltd ta Go Letting</t>
        </is>
      </c>
      <c r="B12076" s="4" t="n">
        <v>44926</v>
      </c>
      <c r="C12076" s="3" t="inlineStr">
        <is>
          <t>Expenses</t>
        </is>
      </c>
      <c r="D12076" s="3" t="inlineStr">
        <is>
          <t>4400/000</t>
        </is>
      </c>
      <c r="E12076" s="3" t="inlineStr">
        <is>
          <t>Salaries _AND_ Wages</t>
        </is>
      </c>
      <c r="F12076" s="3" t="n">
        <v>26848.2</v>
      </c>
      <c r="G12076" s="3" t="n">
        <v>107392.79</v>
      </c>
    </row>
    <row r="12077">
      <c r="A12077" s="3" t="inlineStr">
        <is>
          <t>Opportunity Global Sales (PTY) LTD</t>
        </is>
      </c>
      <c r="B12077" s="4" t="n">
        <v>44926</v>
      </c>
      <c r="C12077" s="3" t="inlineStr">
        <is>
          <t>Expenses</t>
        </is>
      </c>
      <c r="D12077" s="3" t="inlineStr">
        <is>
          <t>4400/000</t>
        </is>
      </c>
      <c r="E12077" s="3" t="inlineStr">
        <is>
          <t>Salaries _AND_ Wages</t>
        </is>
      </c>
      <c r="F12077" s="3" t="n">
        <v>41455.53</v>
      </c>
      <c r="G12077" s="3" t="n">
        <v>388266.05</v>
      </c>
    </row>
    <row r="12078">
      <c r="A12078" s="3" t="inlineStr">
        <is>
          <t>Opportunity Management Holdings (PTY) LTD</t>
        </is>
      </c>
      <c r="B12078" s="4" t="n">
        <v>44926</v>
      </c>
      <c r="C12078" s="3" t="inlineStr">
        <is>
          <t>Expenses</t>
        </is>
      </c>
      <c r="D12078" s="3" t="inlineStr">
        <is>
          <t>4400/000</t>
        </is>
      </c>
      <c r="E12078" s="3" t="inlineStr">
        <is>
          <t>Salaries _AND_ Wages</t>
        </is>
      </c>
      <c r="F12078" s="3" t="n">
        <v>228528.78</v>
      </c>
      <c r="G12078" s="3" t="n">
        <v>916835.37</v>
      </c>
    </row>
    <row r="12079">
      <c r="A12079" s="3" t="inlineStr">
        <is>
          <t>Trademark Holdings (Pty) Ltd</t>
        </is>
      </c>
      <c r="B12079" s="4" t="n">
        <v>44926</v>
      </c>
      <c r="C12079" s="3" t="inlineStr">
        <is>
          <t>Expenses</t>
        </is>
      </c>
      <c r="D12079" s="3" t="inlineStr">
        <is>
          <t>4400/000</t>
        </is>
      </c>
      <c r="E12079" s="3" t="inlineStr">
        <is>
          <t>Salaries _AND_ Wages</t>
        </is>
      </c>
      <c r="F12079" s="3" t="n">
        <v>12429.45</v>
      </c>
      <c r="G12079" s="3" t="n">
        <v>49717.8</v>
      </c>
    </row>
    <row r="12080">
      <c r="A12080" s="3" t="inlineStr">
        <is>
          <t>Opportunity Global Investment (PTY) LTD</t>
        </is>
      </c>
      <c r="B12080" s="4" t="n">
        <v>44926</v>
      </c>
      <c r="C12080" s="3" t="inlineStr">
        <is>
          <t>Expenses</t>
        </is>
      </c>
      <c r="D12080" s="3" t="inlineStr">
        <is>
          <t>4403/000</t>
        </is>
      </c>
      <c r="E12080" s="3" t="inlineStr">
        <is>
          <t>Study fees - Nick</t>
        </is>
      </c>
      <c r="F12080" s="3" t="n">
        <v>0</v>
      </c>
      <c r="G12080" s="3" t="n">
        <v>107187.04</v>
      </c>
    </row>
    <row r="12081">
      <c r="A12081" s="3" t="inlineStr">
        <is>
          <t>Trademark Holdings (Pty) Ltd</t>
        </is>
      </c>
      <c r="B12081" s="4" t="n">
        <v>44926</v>
      </c>
      <c r="C12081" s="3" t="inlineStr">
        <is>
          <t>Expenses</t>
        </is>
      </c>
      <c r="D12081" s="3" t="inlineStr">
        <is>
          <t>4410/000</t>
        </is>
      </c>
      <c r="E12081" s="3" t="inlineStr">
        <is>
          <t>Salaries _AND_ Wages - WCA</t>
        </is>
      </c>
      <c r="F12081" s="3" t="n">
        <v>0</v>
      </c>
      <c r="G12081" s="3" t="n">
        <v>1397.74</v>
      </c>
    </row>
    <row r="12082">
      <c r="A12082" s="3" t="inlineStr">
        <is>
          <t>Quinate Consulting (Pty) Ltd</t>
        </is>
      </c>
      <c r="B12082" s="4" t="n">
        <v>44926</v>
      </c>
      <c r="C12082" s="3" t="inlineStr">
        <is>
          <t>Expenses</t>
        </is>
      </c>
      <c r="D12082" s="3" t="inlineStr">
        <is>
          <t>4430/000</t>
        </is>
      </c>
      <c r="E12082" s="3" t="inlineStr">
        <is>
          <t>Small Assets</t>
        </is>
      </c>
      <c r="F12082" s="3" t="n">
        <v>38.66</v>
      </c>
      <c r="G12082" s="3" t="n">
        <v>38.66</v>
      </c>
    </row>
    <row r="12083">
      <c r="A12083" s="3" t="inlineStr">
        <is>
          <t>Opportunity Global Investment (PTY) LTD</t>
        </is>
      </c>
      <c r="B12083" s="4" t="n">
        <v>44926</v>
      </c>
      <c r="C12083" s="3" t="inlineStr">
        <is>
          <t>Expenses</t>
        </is>
      </c>
      <c r="D12083" s="3" t="inlineStr">
        <is>
          <t>4500/000</t>
        </is>
      </c>
      <c r="E12083" s="3" t="inlineStr">
        <is>
          <t>Staff Welfare</t>
        </is>
      </c>
      <c r="F12083" s="3" t="n">
        <v>0</v>
      </c>
      <c r="G12083" s="3" t="n">
        <v>3951.25</v>
      </c>
    </row>
    <row r="12084">
      <c r="A12084" s="3" t="inlineStr">
        <is>
          <t>Opportunity Global Sales (PTY) LTD</t>
        </is>
      </c>
      <c r="B12084" s="4" t="n">
        <v>44926</v>
      </c>
      <c r="C12084" s="3" t="inlineStr">
        <is>
          <t>Expenses</t>
        </is>
      </c>
      <c r="D12084" s="3" t="inlineStr">
        <is>
          <t>4500/000</t>
        </is>
      </c>
      <c r="E12084" s="3" t="inlineStr">
        <is>
          <t>Staff Welfare</t>
        </is>
      </c>
      <c r="F12084" s="3" t="n">
        <v>0</v>
      </c>
      <c r="G12084" s="3" t="n">
        <v>2499</v>
      </c>
    </row>
    <row r="12085">
      <c r="A12085" s="3" t="inlineStr">
        <is>
          <t>Opportunity Management Holdings (PTY) LTD</t>
        </is>
      </c>
      <c r="B12085" s="4" t="n">
        <v>44926</v>
      </c>
      <c r="C12085" s="3" t="inlineStr">
        <is>
          <t>Expenses</t>
        </is>
      </c>
      <c r="D12085" s="3" t="inlineStr">
        <is>
          <t>4500/000</t>
        </is>
      </c>
      <c r="E12085" s="3" t="inlineStr">
        <is>
          <t>Staff Welfare</t>
        </is>
      </c>
      <c r="F12085" s="3" t="n">
        <v>35971.05</v>
      </c>
      <c r="G12085" s="3" t="n">
        <v>42209.92</v>
      </c>
    </row>
    <row r="12086">
      <c r="A12086" s="3" t="inlineStr">
        <is>
          <t>Quinate Consulting (Pty) Ltd</t>
        </is>
      </c>
      <c r="B12086" s="4" t="n">
        <v>44926</v>
      </c>
      <c r="C12086" s="3" t="inlineStr">
        <is>
          <t>Expenses</t>
        </is>
      </c>
      <c r="D12086" s="3" t="inlineStr">
        <is>
          <t>4500/000</t>
        </is>
      </c>
      <c r="E12086" s="3" t="inlineStr">
        <is>
          <t>Staff Welfare</t>
        </is>
      </c>
      <c r="F12086" s="3" t="n">
        <v>635</v>
      </c>
      <c r="G12086" s="3" t="n">
        <v>635</v>
      </c>
    </row>
    <row r="12087">
      <c r="A12087" s="3" t="inlineStr">
        <is>
          <t>Noble Shield (Pty) Ltd ta Go Letting</t>
        </is>
      </c>
      <c r="B12087" s="4" t="n">
        <v>44926</v>
      </c>
      <c r="C12087" s="3" t="inlineStr">
        <is>
          <t>Expenses</t>
        </is>
      </c>
      <c r="D12087" s="3" t="inlineStr">
        <is>
          <t>4520/000</t>
        </is>
      </c>
      <c r="E12087" s="3" t="inlineStr">
        <is>
          <t>Security</t>
        </is>
      </c>
      <c r="F12087" s="3" t="n">
        <v>741.25</v>
      </c>
      <c r="G12087" s="3" t="n">
        <v>3396.44</v>
      </c>
    </row>
    <row r="12088">
      <c r="A12088" s="3" t="inlineStr">
        <is>
          <t>Opportunity Global Investment (PTY) LTD</t>
        </is>
      </c>
      <c r="B12088" s="4" t="n">
        <v>44926</v>
      </c>
      <c r="C12088" s="3" t="inlineStr">
        <is>
          <t>Expenses</t>
        </is>
      </c>
      <c r="D12088" s="3" t="inlineStr">
        <is>
          <t>4550/000</t>
        </is>
      </c>
      <c r="E12088" s="3" t="inlineStr">
        <is>
          <t>Subscriptions</t>
        </is>
      </c>
      <c r="F12088" s="3" t="n">
        <v>510.33</v>
      </c>
      <c r="G12088" s="3" t="n">
        <v>510.33</v>
      </c>
    </row>
    <row r="12089">
      <c r="A12089" s="3" t="inlineStr">
        <is>
          <t>Opportunity Global Sales (PTY) LTD</t>
        </is>
      </c>
      <c r="B12089" s="4" t="n">
        <v>44926</v>
      </c>
      <c r="C12089" s="3" t="inlineStr">
        <is>
          <t>Expenses</t>
        </is>
      </c>
      <c r="D12089" s="3" t="inlineStr">
        <is>
          <t>4550/000</t>
        </is>
      </c>
      <c r="E12089" s="3" t="inlineStr">
        <is>
          <t>Subscriptions - General</t>
        </is>
      </c>
      <c r="F12089" s="3" t="n">
        <v>0</v>
      </c>
      <c r="G12089" s="3" t="n">
        <v>2795.74</v>
      </c>
    </row>
    <row r="12090">
      <c r="A12090" s="3" t="inlineStr">
        <is>
          <t>Quinate Consulting (Pty) Ltd</t>
        </is>
      </c>
      <c r="B12090" s="4" t="n">
        <v>44926</v>
      </c>
      <c r="C12090" s="3" t="inlineStr">
        <is>
          <t>Expenses</t>
        </is>
      </c>
      <c r="D12090" s="3" t="inlineStr">
        <is>
          <t>4550/000</t>
        </is>
      </c>
      <c r="E12090" s="3" t="inlineStr">
        <is>
          <t>Subscriptions / Licenses</t>
        </is>
      </c>
      <c r="F12090" s="3" t="n">
        <v>9051.27</v>
      </c>
      <c r="G12090" s="3" t="n">
        <v>92585.24000000001</v>
      </c>
    </row>
    <row r="12091">
      <c r="A12091" s="3" t="inlineStr">
        <is>
          <t>Opportunity Management Holdings (PTY) LTD</t>
        </is>
      </c>
      <c r="B12091" s="4" t="n">
        <v>44926</v>
      </c>
      <c r="C12091" s="3" t="inlineStr">
        <is>
          <t>Expenses</t>
        </is>
      </c>
      <c r="D12091" s="3" t="inlineStr">
        <is>
          <t>4550/000</t>
        </is>
      </c>
      <c r="E12091" s="3" t="inlineStr">
        <is>
          <t>Subscriptions _AND_ Lisences</t>
        </is>
      </c>
      <c r="F12091" s="3" t="n">
        <v>3231.17</v>
      </c>
      <c r="G12091" s="3" t="n">
        <v>10039.01</v>
      </c>
    </row>
    <row r="12092">
      <c r="A12092" s="3" t="inlineStr">
        <is>
          <t>Opportunity Global Investment (PTY) LTD</t>
        </is>
      </c>
      <c r="B12092" s="4" t="n">
        <v>44926</v>
      </c>
      <c r="C12092" s="3" t="inlineStr">
        <is>
          <t>Expenses</t>
        </is>
      </c>
      <c r="D12092" s="3" t="inlineStr">
        <is>
          <t>4550/050</t>
        </is>
      </c>
      <c r="E12092" s="3" t="inlineStr">
        <is>
          <t>Subscriptions - EAAB</t>
        </is>
      </c>
      <c r="F12092" s="3" t="n">
        <v>0</v>
      </c>
      <c r="G12092" s="3" t="n">
        <v>2340</v>
      </c>
    </row>
    <row r="12093">
      <c r="A12093" s="3" t="inlineStr">
        <is>
          <t>Noble Shield (Pty) Ltd ta Go Letting</t>
        </is>
      </c>
      <c r="B12093" s="4" t="n">
        <v>44926</v>
      </c>
      <c r="C12093" s="3" t="inlineStr">
        <is>
          <t>Expenses</t>
        </is>
      </c>
      <c r="D12093" s="3" t="inlineStr">
        <is>
          <t>4550/100</t>
        </is>
      </c>
      <c r="E12093" s="3" t="inlineStr">
        <is>
          <t>Subscriptions - EAAB</t>
        </is>
      </c>
      <c r="F12093" s="3" t="n">
        <v>0</v>
      </c>
      <c r="G12093" s="3" t="n">
        <v>2340</v>
      </c>
    </row>
    <row r="12094">
      <c r="A12094" s="3" t="inlineStr">
        <is>
          <t>Trademark Holdings (Pty) Ltd</t>
        </is>
      </c>
      <c r="B12094" s="4" t="n">
        <v>44926</v>
      </c>
      <c r="C12094" s="3" t="inlineStr">
        <is>
          <t>Expenses</t>
        </is>
      </c>
      <c r="D12094" s="3" t="inlineStr">
        <is>
          <t>4550/100</t>
        </is>
      </c>
      <c r="E12094" s="3" t="inlineStr">
        <is>
          <t>Subscriptions - EAAB</t>
        </is>
      </c>
      <c r="F12094" s="3" t="n">
        <v>0</v>
      </c>
      <c r="G12094" s="3" t="n">
        <v>2340</v>
      </c>
    </row>
    <row r="12095">
      <c r="A12095" s="3" t="inlineStr">
        <is>
          <t>Opportunity Global Investment (PTY) LTD</t>
        </is>
      </c>
      <c r="B12095" s="4" t="n">
        <v>44926</v>
      </c>
      <c r="C12095" s="3" t="inlineStr">
        <is>
          <t>Expenses</t>
        </is>
      </c>
      <c r="D12095" s="3" t="inlineStr">
        <is>
          <t>4550/150</t>
        </is>
      </c>
      <c r="E12095" s="3" t="inlineStr">
        <is>
          <t>Subscriptions - Webbox</t>
        </is>
      </c>
      <c r="F12095" s="3" t="n">
        <v>1259</v>
      </c>
      <c r="G12095" s="3" t="n">
        <v>12496</v>
      </c>
    </row>
    <row r="12096">
      <c r="A12096" s="3" t="inlineStr">
        <is>
          <t>Opportunity Global Investment (PTY) LTD</t>
        </is>
      </c>
      <c r="B12096" s="4" t="n">
        <v>44926</v>
      </c>
      <c r="C12096" s="3" t="inlineStr">
        <is>
          <t>Expenses</t>
        </is>
      </c>
      <c r="D12096" s="3" t="inlineStr">
        <is>
          <t>4550/200</t>
        </is>
      </c>
      <c r="E12096" s="3" t="inlineStr">
        <is>
          <t>Subscriptions - Zoom</t>
        </is>
      </c>
      <c r="F12096" s="3" t="n">
        <v>0</v>
      </c>
      <c r="G12096" s="3" t="n">
        <v>2309.08</v>
      </c>
    </row>
    <row r="12097">
      <c r="A12097" s="3" t="inlineStr">
        <is>
          <t>Opportunity Global Investment (PTY) LTD</t>
        </is>
      </c>
      <c r="B12097" s="4" t="n">
        <v>44926</v>
      </c>
      <c r="C12097" s="3" t="inlineStr">
        <is>
          <t>Expenses</t>
        </is>
      </c>
      <c r="D12097" s="3" t="inlineStr">
        <is>
          <t>4550/250</t>
        </is>
      </c>
      <c r="E12097" s="3" t="inlineStr">
        <is>
          <t>Subscriptions - LinkedIn</t>
        </is>
      </c>
      <c r="F12097" s="3" t="n">
        <v>1000.49</v>
      </c>
      <c r="G12097" s="3" t="n">
        <v>11005.39</v>
      </c>
    </row>
    <row r="12098">
      <c r="A12098" s="3" t="inlineStr">
        <is>
          <t>Opportunity Global Investment (PTY) LTD</t>
        </is>
      </c>
      <c r="B12098" s="4" t="n">
        <v>44926</v>
      </c>
      <c r="C12098" s="3" t="inlineStr">
        <is>
          <t>Expenses</t>
        </is>
      </c>
      <c r="D12098" s="3" t="inlineStr">
        <is>
          <t>4550/350</t>
        </is>
      </c>
      <c r="E12098" s="3" t="inlineStr">
        <is>
          <t>Subscriptions - Xero</t>
        </is>
      </c>
      <c r="F12098" s="3" t="n">
        <v>600</v>
      </c>
      <c r="G12098" s="3" t="n">
        <v>6000</v>
      </c>
    </row>
    <row r="12099">
      <c r="A12099" s="3" t="inlineStr">
        <is>
          <t>Opportunity Global Investment (PTY) LTD</t>
        </is>
      </c>
      <c r="B12099" s="4" t="n">
        <v>44926</v>
      </c>
      <c r="C12099" s="3" t="inlineStr">
        <is>
          <t>Expenses</t>
        </is>
      </c>
      <c r="D12099" s="3" t="inlineStr">
        <is>
          <t>4550/400</t>
        </is>
      </c>
      <c r="E12099" s="3" t="inlineStr">
        <is>
          <t>Subscriptions - Moneyweb</t>
        </is>
      </c>
      <c r="F12099" s="3" t="n">
        <v>54.78</v>
      </c>
      <c r="G12099" s="3" t="n">
        <v>547.8</v>
      </c>
    </row>
    <row r="12100">
      <c r="A12100" s="3" t="inlineStr">
        <is>
          <t>Trademark Holdings (Pty) Ltd</t>
        </is>
      </c>
      <c r="B12100" s="4" t="n">
        <v>44926</v>
      </c>
      <c r="C12100" s="3" t="inlineStr">
        <is>
          <t>Expenses</t>
        </is>
      </c>
      <c r="D12100" s="3" t="inlineStr">
        <is>
          <t>4550/400</t>
        </is>
      </c>
      <c r="E12100" s="3" t="inlineStr">
        <is>
          <t>Subscriptions - Xero</t>
        </is>
      </c>
      <c r="F12100" s="3" t="n">
        <v>600</v>
      </c>
      <c r="G12100" s="3" t="n">
        <v>2400</v>
      </c>
    </row>
    <row r="12101">
      <c r="A12101" s="3" t="inlineStr">
        <is>
          <t>Opportunity Global Investment (PTY) LTD</t>
        </is>
      </c>
      <c r="B12101" s="4" t="n">
        <v>44926</v>
      </c>
      <c r="C12101" s="3" t="inlineStr">
        <is>
          <t>Expenses</t>
        </is>
      </c>
      <c r="D12101" s="3" t="inlineStr">
        <is>
          <t>4550/450</t>
        </is>
      </c>
      <c r="E12101" s="3" t="inlineStr">
        <is>
          <t>Subscriptions - Adobe</t>
        </is>
      </c>
      <c r="F12101" s="3" t="n">
        <v>544.36</v>
      </c>
      <c r="G12101" s="3" t="n">
        <v>5352.45</v>
      </c>
    </row>
    <row r="12102">
      <c r="A12102" s="3" t="inlineStr">
        <is>
          <t>Noble Shield (Pty) Ltd ta Go Letting</t>
        </is>
      </c>
      <c r="B12102" s="4" t="n">
        <v>44926</v>
      </c>
      <c r="C12102" s="3" t="inlineStr">
        <is>
          <t>Expenses</t>
        </is>
      </c>
      <c r="D12102" s="3" t="inlineStr">
        <is>
          <t>4550/600</t>
        </is>
      </c>
      <c r="E12102" s="3" t="inlineStr">
        <is>
          <t>Subscriptions - Webbox</t>
        </is>
      </c>
      <c r="F12102" s="3" t="n">
        <v>1312.15</v>
      </c>
      <c r="G12102" s="3" t="n">
        <v>5287.7</v>
      </c>
    </row>
    <row r="12103">
      <c r="A12103" s="3" t="inlineStr">
        <is>
          <t>Noble Shield (Pty) Ltd ta Go Letting</t>
        </is>
      </c>
      <c r="B12103" s="4" t="n">
        <v>44926</v>
      </c>
      <c r="C12103" s="3" t="inlineStr">
        <is>
          <t>Expenses</t>
        </is>
      </c>
      <c r="D12103" s="3" t="inlineStr">
        <is>
          <t>4550/650</t>
        </is>
      </c>
      <c r="E12103" s="3" t="inlineStr">
        <is>
          <t>Subscriptions - Xero</t>
        </is>
      </c>
      <c r="F12103" s="3" t="n">
        <v>600</v>
      </c>
      <c r="G12103" s="3" t="n">
        <v>2400</v>
      </c>
    </row>
    <row r="12104">
      <c r="A12104" s="3" t="inlineStr">
        <is>
          <t>Noble Shield (Pty) Ltd ta Go Letting</t>
        </is>
      </c>
      <c r="B12104" s="4" t="n">
        <v>44926</v>
      </c>
      <c r="C12104" s="3" t="inlineStr">
        <is>
          <t>Expenses</t>
        </is>
      </c>
      <c r="D12104" s="3" t="inlineStr">
        <is>
          <t>4550/700</t>
        </is>
      </c>
      <c r="E12104" s="3" t="inlineStr">
        <is>
          <t>Subscriptions - Domain renewals</t>
        </is>
      </c>
      <c r="F12104" s="3" t="n">
        <v>440.45</v>
      </c>
      <c r="G12104" s="3" t="n">
        <v>440.45</v>
      </c>
    </row>
    <row r="12105">
      <c r="A12105" s="3" t="inlineStr">
        <is>
          <t>Noble Shield (Pty) Ltd ta Go Letting</t>
        </is>
      </c>
      <c r="B12105" s="4" t="n">
        <v>44926</v>
      </c>
      <c r="C12105" s="3" t="inlineStr">
        <is>
          <t>Expenses</t>
        </is>
      </c>
      <c r="D12105" s="3" t="inlineStr">
        <is>
          <t>4550/800</t>
        </is>
      </c>
      <c r="E12105" s="3" t="inlineStr">
        <is>
          <t>Subscriptions - Adobe</t>
        </is>
      </c>
      <c r="F12105" s="3" t="n">
        <v>306.37</v>
      </c>
      <c r="G12105" s="3" t="n">
        <v>1245.24</v>
      </c>
    </row>
    <row r="12106">
      <c r="A12106" s="3" t="inlineStr">
        <is>
          <t>Opportunity Global Sales (PTY) LTD</t>
        </is>
      </c>
      <c r="B12106" s="4" t="n">
        <v>44926</v>
      </c>
      <c r="C12106" s="3" t="inlineStr">
        <is>
          <t>Expenses</t>
        </is>
      </c>
      <c r="D12106" s="3" t="inlineStr">
        <is>
          <t>4551/000</t>
        </is>
      </c>
      <c r="E12106" s="3" t="inlineStr">
        <is>
          <t>Subscriptions - Payprop</t>
        </is>
      </c>
      <c r="F12106" s="3" t="n">
        <v>1146.6</v>
      </c>
      <c r="G12106" s="3" t="n">
        <v>8413.110000000001</v>
      </c>
    </row>
    <row r="12107">
      <c r="A12107" s="3" t="inlineStr">
        <is>
          <t>Quinate Consulting (Pty) Ltd</t>
        </is>
      </c>
      <c r="B12107" s="4" t="n">
        <v>44926</v>
      </c>
      <c r="C12107" s="3" t="inlineStr">
        <is>
          <t>Expenses</t>
        </is>
      </c>
      <c r="D12107" s="3" t="inlineStr">
        <is>
          <t>4551/000</t>
        </is>
      </c>
      <c r="E12107" s="3" t="inlineStr">
        <is>
          <t>Subscriptions - Zoho</t>
        </is>
      </c>
      <c r="F12107" s="3" t="n">
        <v>1125</v>
      </c>
      <c r="G12107" s="3" t="n">
        <v>11250</v>
      </c>
    </row>
    <row r="12108">
      <c r="A12108" s="3" t="inlineStr">
        <is>
          <t>Endulini (Pty) Ltd</t>
        </is>
      </c>
      <c r="B12108" s="4" t="n">
        <v>44926</v>
      </c>
      <c r="C12108" s="3" t="inlineStr">
        <is>
          <t>Expenses</t>
        </is>
      </c>
      <c r="D12108" s="3" t="inlineStr">
        <is>
          <t>4552/000</t>
        </is>
      </c>
      <c r="E12108" s="3" t="inlineStr">
        <is>
          <t>Subscriptions - Xero</t>
        </is>
      </c>
      <c r="F12108" s="3" t="n">
        <v>0</v>
      </c>
      <c r="G12108" s="3" t="n">
        <v>4800</v>
      </c>
    </row>
    <row r="12109">
      <c r="A12109" s="3" t="inlineStr">
        <is>
          <t>Opportunity Global Sales (PTY) LTD</t>
        </is>
      </c>
      <c r="B12109" s="4" t="n">
        <v>44926</v>
      </c>
      <c r="C12109" s="3" t="inlineStr">
        <is>
          <t>Expenses</t>
        </is>
      </c>
      <c r="D12109" s="3" t="inlineStr">
        <is>
          <t>4552/000</t>
        </is>
      </c>
      <c r="E12109" s="3" t="inlineStr">
        <is>
          <t>Subscriptions - Xero</t>
        </is>
      </c>
      <c r="F12109" s="3" t="n">
        <v>600</v>
      </c>
      <c r="G12109" s="3" t="n">
        <v>6000</v>
      </c>
    </row>
    <row r="12110">
      <c r="A12110" s="3" t="inlineStr">
        <is>
          <t>Opportunity Management Holdings (PTY) LTD</t>
        </is>
      </c>
      <c r="B12110" s="4" t="n">
        <v>44926</v>
      </c>
      <c r="C12110" s="3" t="inlineStr">
        <is>
          <t>Expenses</t>
        </is>
      </c>
      <c r="D12110" s="3" t="inlineStr">
        <is>
          <t>4552/000</t>
        </is>
      </c>
      <c r="E12110" s="3" t="inlineStr">
        <is>
          <t>Subscriptions - Xero</t>
        </is>
      </c>
      <c r="F12110" s="3" t="n">
        <v>600</v>
      </c>
      <c r="G12110" s="3" t="n">
        <v>2400</v>
      </c>
    </row>
    <row r="12111">
      <c r="A12111" s="3" t="inlineStr">
        <is>
          <t>Opportunity Global Sales (PTY) LTD</t>
        </is>
      </c>
      <c r="B12111" s="4" t="n">
        <v>44926</v>
      </c>
      <c r="C12111" s="3" t="inlineStr">
        <is>
          <t>Expenses</t>
        </is>
      </c>
      <c r="D12111" s="3" t="inlineStr">
        <is>
          <t>4553/000</t>
        </is>
      </c>
      <c r="E12111" s="3" t="inlineStr">
        <is>
          <t>Subscriptions - CMA</t>
        </is>
      </c>
      <c r="F12111" s="3" t="n">
        <v>680</v>
      </c>
      <c r="G12111" s="3" t="n">
        <v>6800</v>
      </c>
    </row>
    <row r="12112">
      <c r="A12112" s="3" t="inlineStr">
        <is>
          <t>Quinate Consulting (Pty) Ltd</t>
        </is>
      </c>
      <c r="B12112" s="4" t="n">
        <v>44926</v>
      </c>
      <c r="C12112" s="3" t="inlineStr">
        <is>
          <t>Expenses</t>
        </is>
      </c>
      <c r="D12112" s="3" t="inlineStr">
        <is>
          <t>4554/000</t>
        </is>
      </c>
      <c r="E12112" s="3" t="inlineStr">
        <is>
          <t>Subscriptions - Xero</t>
        </is>
      </c>
      <c r="F12112" s="3" t="n">
        <v>600</v>
      </c>
      <c r="G12112" s="3" t="n">
        <v>6000</v>
      </c>
    </row>
    <row r="12113">
      <c r="A12113" s="3" t="inlineStr">
        <is>
          <t>Opportunity Global Sales (PTY) LTD</t>
        </is>
      </c>
      <c r="B12113" s="4" t="n">
        <v>44926</v>
      </c>
      <c r="C12113" s="3" t="inlineStr">
        <is>
          <t>Expenses</t>
        </is>
      </c>
      <c r="D12113" s="3" t="inlineStr">
        <is>
          <t>4554/000</t>
        </is>
      </c>
      <c r="E12113" s="3" t="inlineStr">
        <is>
          <t>Subscriptions - Zoho</t>
        </is>
      </c>
      <c r="F12113" s="3" t="n">
        <v>750</v>
      </c>
      <c r="G12113" s="3" t="n">
        <v>7005</v>
      </c>
    </row>
    <row r="12114">
      <c r="A12114" s="3" t="inlineStr">
        <is>
          <t>Opportunity Global Sales (PTY) LTD</t>
        </is>
      </c>
      <c r="B12114" s="4" t="n">
        <v>44926</v>
      </c>
      <c r="C12114" s="3" t="inlineStr">
        <is>
          <t>Expenses</t>
        </is>
      </c>
      <c r="D12114" s="3" t="inlineStr">
        <is>
          <t>4555/000</t>
        </is>
      </c>
      <c r="E12114" s="3" t="inlineStr">
        <is>
          <t>Subscriptions - EAAB</t>
        </is>
      </c>
      <c r="F12114" s="3" t="n">
        <v>0</v>
      </c>
      <c r="G12114" s="3" t="n">
        <v>15520</v>
      </c>
    </row>
    <row r="12115">
      <c r="A12115" s="3" t="inlineStr">
        <is>
          <t>Quinate Consulting (Pty) Ltd</t>
        </is>
      </c>
      <c r="B12115" s="4" t="n">
        <v>44926</v>
      </c>
      <c r="C12115" s="3" t="inlineStr">
        <is>
          <t>Expenses</t>
        </is>
      </c>
      <c r="D12115" s="3" t="inlineStr">
        <is>
          <t>4555/000</t>
        </is>
      </c>
      <c r="E12115" s="3" t="inlineStr">
        <is>
          <t>Subscriptions - OUMS</t>
        </is>
      </c>
      <c r="F12115" s="3" t="n">
        <v>6475.9</v>
      </c>
      <c r="G12115" s="3" t="n">
        <v>64759</v>
      </c>
    </row>
    <row r="12116">
      <c r="A12116" s="3" t="inlineStr">
        <is>
          <t>Opportunity Global Investment (PTY) LTD</t>
        </is>
      </c>
      <c r="B12116" s="4" t="n">
        <v>44926</v>
      </c>
      <c r="C12116" s="3" t="inlineStr">
        <is>
          <t>Expenses</t>
        </is>
      </c>
      <c r="D12116" s="3" t="inlineStr">
        <is>
          <t>4600/000</t>
        </is>
      </c>
      <c r="E12116" s="3" t="inlineStr">
        <is>
          <t>Telephone _AND_ Fax</t>
        </is>
      </c>
      <c r="F12116" s="3" t="n">
        <v>3355</v>
      </c>
      <c r="G12116" s="3" t="n">
        <v>33550</v>
      </c>
    </row>
    <row r="12117">
      <c r="A12117" s="3" t="inlineStr">
        <is>
          <t>Trademark Holdings (Pty) Ltd</t>
        </is>
      </c>
      <c r="B12117" s="4" t="n">
        <v>44926</v>
      </c>
      <c r="C12117" s="3" t="inlineStr">
        <is>
          <t>Expenses</t>
        </is>
      </c>
      <c r="D12117" s="3" t="inlineStr">
        <is>
          <t>4600/000</t>
        </is>
      </c>
      <c r="E12117" s="3" t="inlineStr">
        <is>
          <t>Telephone _AND_ Fax</t>
        </is>
      </c>
      <c r="F12117" s="3" t="n">
        <v>1249.22</v>
      </c>
      <c r="G12117" s="3" t="n">
        <v>5890.51</v>
      </c>
    </row>
    <row r="12118">
      <c r="A12118" s="3" t="inlineStr">
        <is>
          <t>Noble Shield (Pty) Ltd ta Go Letting</t>
        </is>
      </c>
      <c r="B12118" s="4" t="n">
        <v>44926</v>
      </c>
      <c r="C12118" s="3" t="inlineStr">
        <is>
          <t>Expenses</t>
        </is>
      </c>
      <c r="D12118" s="3" t="inlineStr">
        <is>
          <t>4610/000</t>
        </is>
      </c>
      <c r="E12118" s="3" t="inlineStr">
        <is>
          <t>Telephone - CT Office</t>
        </is>
      </c>
      <c r="F12118" s="3" t="n">
        <v>1613.74</v>
      </c>
      <c r="G12118" s="3" t="n">
        <v>4589.75</v>
      </c>
    </row>
    <row r="12119">
      <c r="A12119" s="3" t="inlineStr">
        <is>
          <t>Noble Shield (Pty) Ltd ta Go Letting</t>
        </is>
      </c>
      <c r="B12119" s="4" t="n">
        <v>44926</v>
      </c>
      <c r="C12119" s="3" t="inlineStr">
        <is>
          <t>Expenses</t>
        </is>
      </c>
      <c r="D12119" s="3" t="inlineStr">
        <is>
          <t>4650/000</t>
        </is>
      </c>
      <c r="E12119" s="3" t="inlineStr">
        <is>
          <t>Travel _AND_ Accommodation</t>
        </is>
      </c>
      <c r="F12119" s="3" t="n">
        <v>500</v>
      </c>
      <c r="G12119" s="3" t="n">
        <v>500</v>
      </c>
    </row>
    <row r="12120">
      <c r="A12120" s="3" t="inlineStr">
        <is>
          <t>Opportunity Global Investment (PTY) LTD</t>
        </is>
      </c>
      <c r="B12120" s="4" t="n">
        <v>44926</v>
      </c>
      <c r="C12120" s="3" t="inlineStr">
        <is>
          <t>Expenses</t>
        </is>
      </c>
      <c r="D12120" s="3" t="inlineStr">
        <is>
          <t>4650/000</t>
        </is>
      </c>
      <c r="E12120" s="3" t="inlineStr">
        <is>
          <t>Travel _AND_ Accommodation</t>
        </is>
      </c>
      <c r="F12120" s="3" t="n">
        <v>0</v>
      </c>
      <c r="G12120" s="3" t="n">
        <v>5699.16</v>
      </c>
    </row>
    <row r="12121">
      <c r="A12121" s="3" t="inlineStr">
        <is>
          <t>Opportunity Management Holdings (PTY) LTD</t>
        </is>
      </c>
      <c r="B12121" s="4" t="n">
        <v>44926</v>
      </c>
      <c r="C12121" s="3" t="inlineStr">
        <is>
          <t>Expenses</t>
        </is>
      </c>
      <c r="D12121" s="3" t="inlineStr">
        <is>
          <t>4650/000</t>
        </is>
      </c>
      <c r="E12121" s="3" t="inlineStr">
        <is>
          <t>Travel _AND_ Accommodation</t>
        </is>
      </c>
      <c r="F12121" s="3" t="n">
        <v>0</v>
      </c>
      <c r="G12121" s="3" t="n">
        <v>572.3200000000001</v>
      </c>
    </row>
    <row r="12122">
      <c r="A12122" s="3" t="inlineStr">
        <is>
          <t>Quinate Consulting (Pty) Ltd</t>
        </is>
      </c>
      <c r="B12122" s="4" t="n">
        <v>44926</v>
      </c>
      <c r="C12122" s="3" t="inlineStr">
        <is>
          <t>Expenses</t>
        </is>
      </c>
      <c r="D12122" s="3" t="inlineStr">
        <is>
          <t>4650/000</t>
        </is>
      </c>
      <c r="E12122" s="3" t="inlineStr">
        <is>
          <t>Travel _AND_ Accommodation</t>
        </is>
      </c>
      <c r="F12122" s="3" t="n">
        <v>0</v>
      </c>
      <c r="G12122" s="3" t="n">
        <v>5699.04</v>
      </c>
    </row>
    <row r="12123">
      <c r="A12123" s="3" t="inlineStr">
        <is>
          <t>Quinate Consulting (Pty) Ltd</t>
        </is>
      </c>
      <c r="B12123" s="4" t="n">
        <v>44926</v>
      </c>
      <c r="C12123" s="3" t="inlineStr">
        <is>
          <t>Expenses</t>
        </is>
      </c>
      <c r="D12123" s="3" t="inlineStr">
        <is>
          <t>4650/010</t>
        </is>
      </c>
      <c r="E12123" s="3" t="inlineStr">
        <is>
          <t>Travel - Local Flights</t>
        </is>
      </c>
      <c r="F12123" s="3" t="n">
        <v>0</v>
      </c>
      <c r="G12123" s="3" t="n">
        <v>6912.27</v>
      </c>
    </row>
    <row r="12124">
      <c r="A12124" s="3" t="inlineStr">
        <is>
          <t>Opportunity Global Investment (PTY) LTD</t>
        </is>
      </c>
      <c r="B12124" s="4" t="n">
        <v>44926</v>
      </c>
      <c r="C12124" s="3" t="inlineStr">
        <is>
          <t>Expenses</t>
        </is>
      </c>
      <c r="D12124" s="3" t="inlineStr">
        <is>
          <t>4650/020</t>
        </is>
      </c>
      <c r="E12124" s="3" t="inlineStr">
        <is>
          <t>Travel Accomodation - Car Hire</t>
        </is>
      </c>
      <c r="F12124" s="3" t="n">
        <v>0</v>
      </c>
      <c r="G12124" s="3" t="n">
        <v>457.39</v>
      </c>
    </row>
    <row r="12125">
      <c r="A12125" s="3" t="inlineStr">
        <is>
          <t>Quinate Consulting (Pty) Ltd</t>
        </is>
      </c>
      <c r="B12125" s="4" t="n">
        <v>44926</v>
      </c>
      <c r="C12125" s="3" t="inlineStr">
        <is>
          <t>Expenses</t>
        </is>
      </c>
      <c r="D12125" s="3" t="inlineStr">
        <is>
          <t>4650/030</t>
        </is>
      </c>
      <c r="E12125" s="3" t="inlineStr">
        <is>
          <t>Travel - Parking</t>
        </is>
      </c>
      <c r="F12125" s="3" t="n">
        <v>0</v>
      </c>
      <c r="G12125" s="3" t="n">
        <v>156.52</v>
      </c>
    </row>
    <row r="12126">
      <c r="A12126" s="3" t="inlineStr">
        <is>
          <t>Quinate Consulting (Pty) Ltd</t>
        </is>
      </c>
      <c r="B12126" s="4" t="n">
        <v>44926</v>
      </c>
      <c r="C12126" s="3" t="inlineStr">
        <is>
          <t>Expenses</t>
        </is>
      </c>
      <c r="D12126" s="3" t="inlineStr">
        <is>
          <t>4650/040</t>
        </is>
      </c>
      <c r="E12126" s="3" t="inlineStr">
        <is>
          <t>Travel - Local Car Hire</t>
        </is>
      </c>
      <c r="F12126" s="3" t="n">
        <v>0</v>
      </c>
      <c r="G12126" s="3" t="n">
        <v>1873</v>
      </c>
    </row>
    <row r="12127">
      <c r="A12127" s="3" t="inlineStr">
        <is>
          <t>Opportunity Global Investment (PTY) LTD</t>
        </is>
      </c>
      <c r="B12127" s="4" t="n">
        <v>44926</v>
      </c>
      <c r="C12127" s="3" t="inlineStr">
        <is>
          <t>Expenses</t>
        </is>
      </c>
      <c r="D12127" s="3" t="inlineStr">
        <is>
          <t>4650/080</t>
        </is>
      </c>
      <c r="E12127" s="3" t="inlineStr">
        <is>
          <t>Travel &amp; Accommodation - Staff Reimbursements</t>
        </is>
      </c>
      <c r="F12127" s="3" t="n">
        <v>0</v>
      </c>
      <c r="G12127" s="3" t="n">
        <v>453.72</v>
      </c>
    </row>
    <row r="12128">
      <c r="A12128" s="3" t="inlineStr">
        <is>
          <t>Opportunity Global Investment (PTY) LTD</t>
        </is>
      </c>
      <c r="B12128" s="4" t="n">
        <v>44926</v>
      </c>
      <c r="C12128" s="3" t="inlineStr">
        <is>
          <t>Expenses</t>
        </is>
      </c>
      <c r="D12128" s="3" t="inlineStr">
        <is>
          <t>4650/090</t>
        </is>
      </c>
      <c r="E12128" s="3" t="inlineStr">
        <is>
          <t>Travel &amp; Accom - Fuel</t>
        </is>
      </c>
      <c r="F12128" s="3" t="n">
        <v>2011.72</v>
      </c>
      <c r="G12128" s="3" t="n">
        <v>31996.91</v>
      </c>
    </row>
    <row r="12129">
      <c r="A12129" s="3" t="inlineStr">
        <is>
          <t>Quinate Consulting (Pty) Ltd</t>
        </is>
      </c>
      <c r="B12129" s="4" t="n">
        <v>44926</v>
      </c>
      <c r="C12129" s="3" t="inlineStr">
        <is>
          <t>Expenses</t>
        </is>
      </c>
      <c r="D12129" s="3" t="inlineStr">
        <is>
          <t>4650/600</t>
        </is>
      </c>
      <c r="E12129" s="3" t="inlineStr">
        <is>
          <t>Travel - Fuel</t>
        </is>
      </c>
      <c r="F12129" s="3" t="n">
        <v>0</v>
      </c>
      <c r="G12129" s="3" t="n">
        <v>983.1799999999999</v>
      </c>
    </row>
    <row r="12130">
      <c r="A12130" s="3" t="inlineStr">
        <is>
          <t>Noble Shield (Pty) Ltd ta Go Letting</t>
        </is>
      </c>
      <c r="B12130" s="4" t="n">
        <v>44926</v>
      </c>
      <c r="C12130" s="3" t="inlineStr">
        <is>
          <t>Expenses</t>
        </is>
      </c>
      <c r="D12130" s="3" t="inlineStr">
        <is>
          <t>4700/000</t>
        </is>
      </c>
      <c r="E12130" s="3" t="inlineStr">
        <is>
          <t>PAYE Contributions</t>
        </is>
      </c>
      <c r="F12130" s="3" t="n">
        <v>4761.72</v>
      </c>
      <c r="G12130" s="3" t="n">
        <v>18686.99</v>
      </c>
    </row>
    <row r="12131">
      <c r="A12131" s="3" t="inlineStr">
        <is>
          <t>Trademark Holdings (Pty) Ltd</t>
        </is>
      </c>
      <c r="B12131" s="4" t="n">
        <v>44926</v>
      </c>
      <c r="C12131" s="3" t="inlineStr">
        <is>
          <t>Expenses</t>
        </is>
      </c>
      <c r="D12131" s="3" t="inlineStr">
        <is>
          <t>4700/000</t>
        </is>
      </c>
      <c r="E12131" s="3" t="inlineStr">
        <is>
          <t>PAYE Contributions</t>
        </is>
      </c>
      <c r="F12131" s="3" t="n">
        <v>5617.61</v>
      </c>
      <c r="G12131" s="3" t="n">
        <v>20945.37</v>
      </c>
    </row>
    <row r="12132">
      <c r="A12132" s="3" t="inlineStr">
        <is>
          <t>Opportunity Global Investment (PTY) LTD</t>
        </is>
      </c>
      <c r="B12132" s="4" t="n">
        <v>44926</v>
      </c>
      <c r="C12132" s="3" t="inlineStr">
        <is>
          <t>Expenses</t>
        </is>
      </c>
      <c r="D12132" s="3" t="inlineStr">
        <is>
          <t>4700/000</t>
        </is>
      </c>
      <c r="E12132" s="3" t="inlineStr">
        <is>
          <t>UIF Contributions</t>
        </is>
      </c>
      <c r="F12132" s="3" t="n">
        <v>177.12</v>
      </c>
      <c r="G12132" s="3" t="n">
        <v>1771.2</v>
      </c>
    </row>
    <row r="12133">
      <c r="A12133" s="3" t="inlineStr">
        <is>
          <t>Opportunity Global Sales (PTY) LTD</t>
        </is>
      </c>
      <c r="B12133" s="4" t="n">
        <v>44926</v>
      </c>
      <c r="C12133" s="3" t="inlineStr">
        <is>
          <t>Expenses</t>
        </is>
      </c>
      <c r="D12133" s="3" t="inlineStr">
        <is>
          <t>4700/000</t>
        </is>
      </c>
      <c r="E12133" s="3" t="inlineStr">
        <is>
          <t>UIF Contributions</t>
        </is>
      </c>
      <c r="F12133" s="3" t="n">
        <v>177.12</v>
      </c>
      <c r="G12133" s="3" t="n">
        <v>1871.2</v>
      </c>
    </row>
    <row r="12134">
      <c r="A12134" s="3" t="inlineStr">
        <is>
          <t>Opportunity Global Sales (PTY) LTD</t>
        </is>
      </c>
      <c r="B12134" s="4" t="n">
        <v>44926</v>
      </c>
      <c r="C12134" s="3" t="inlineStr">
        <is>
          <t>Expenses</t>
        </is>
      </c>
      <c r="D12134" s="3" t="inlineStr">
        <is>
          <t>4701/000</t>
        </is>
      </c>
      <c r="E12134" s="3" t="inlineStr">
        <is>
          <t>UIF Employee Contribution</t>
        </is>
      </c>
      <c r="F12134" s="3" t="n">
        <v>177.12</v>
      </c>
      <c r="G12134" s="3" t="n">
        <v>1871.2</v>
      </c>
    </row>
    <row r="12135">
      <c r="A12135" s="3" t="inlineStr">
        <is>
          <t>Opportunity Global Investment (PTY) LTD</t>
        </is>
      </c>
      <c r="B12135" s="4" t="n">
        <v>44926</v>
      </c>
      <c r="C12135" s="3" t="inlineStr">
        <is>
          <t>Expenses</t>
        </is>
      </c>
      <c r="D12135" s="3" t="inlineStr">
        <is>
          <t>4701/000</t>
        </is>
      </c>
      <c r="E12135" s="3" t="inlineStr">
        <is>
          <t>UIF Employee Contributions</t>
        </is>
      </c>
      <c r="F12135" s="3" t="n">
        <v>177.12</v>
      </c>
      <c r="G12135" s="3" t="n">
        <v>1771.2</v>
      </c>
    </row>
    <row r="12136">
      <c r="A12136" s="3" t="inlineStr">
        <is>
          <t>Noble Shield (Pty) Ltd ta Go Letting</t>
        </is>
      </c>
      <c r="B12136" s="4" t="n">
        <v>44926</v>
      </c>
      <c r="C12136" s="3" t="inlineStr">
        <is>
          <t>Expenses</t>
        </is>
      </c>
      <c r="D12136" s="3" t="inlineStr">
        <is>
          <t>4710/000</t>
        </is>
      </c>
      <c r="E12136" s="3" t="inlineStr">
        <is>
          <t>UIF Company Contributions</t>
        </is>
      </c>
      <c r="F12136" s="3" t="n">
        <v>245.25</v>
      </c>
      <c r="G12136" s="3" t="n">
        <v>981</v>
      </c>
    </row>
    <row r="12137">
      <c r="A12137" s="3" t="inlineStr">
        <is>
          <t>Trademark Holdings (Pty) Ltd</t>
        </is>
      </c>
      <c r="B12137" s="4" t="n">
        <v>44926</v>
      </c>
      <c r="C12137" s="3" t="inlineStr">
        <is>
          <t>Expenses</t>
        </is>
      </c>
      <c r="D12137" s="3" t="inlineStr">
        <is>
          <t>4710/000</t>
        </is>
      </c>
      <c r="E12137" s="3" t="inlineStr">
        <is>
          <t>UIF Company Contributions</t>
        </is>
      </c>
      <c r="F12137" s="3" t="n">
        <v>95.25</v>
      </c>
      <c r="G12137" s="3" t="n">
        <v>381</v>
      </c>
    </row>
    <row r="12138">
      <c r="A12138" s="3" t="inlineStr">
        <is>
          <t>Noble Shield (Pty) Ltd ta Go Letting</t>
        </is>
      </c>
      <c r="B12138" s="4" t="n">
        <v>44926</v>
      </c>
      <c r="C12138" s="3" t="inlineStr">
        <is>
          <t>Expenses</t>
        </is>
      </c>
      <c r="D12138" s="3" t="inlineStr">
        <is>
          <t>4711/000</t>
        </is>
      </c>
      <c r="E12138" s="3" t="inlineStr">
        <is>
          <t>UIF Employee Contribution</t>
        </is>
      </c>
      <c r="F12138" s="3" t="n">
        <v>245.25</v>
      </c>
      <c r="G12138" s="3" t="n">
        <v>981</v>
      </c>
    </row>
    <row r="12139">
      <c r="A12139" s="3" t="inlineStr">
        <is>
          <t>Trademark Holdings (Pty) Ltd</t>
        </is>
      </c>
      <c r="B12139" s="4" t="n">
        <v>44926</v>
      </c>
      <c r="C12139" s="3" t="inlineStr">
        <is>
          <t>Expenses</t>
        </is>
      </c>
      <c r="D12139" s="3" t="inlineStr">
        <is>
          <t>4711/000</t>
        </is>
      </c>
      <c r="E12139" s="3" t="inlineStr">
        <is>
          <t>UIF Employee Contributions</t>
        </is>
      </c>
      <c r="F12139" s="3" t="n">
        <v>95.25</v>
      </c>
      <c r="G12139" s="3" t="n">
        <v>381</v>
      </c>
    </row>
    <row r="12140">
      <c r="A12140" s="3" t="inlineStr">
        <is>
          <t>Noble Shield (Pty) Ltd ta Go Letting</t>
        </is>
      </c>
      <c r="B12140" s="4" t="n">
        <v>44926</v>
      </c>
      <c r="C12140" s="3" t="inlineStr">
        <is>
          <t>Expenses</t>
        </is>
      </c>
      <c r="D12140" s="3" t="inlineStr">
        <is>
          <t>4720/000</t>
        </is>
      </c>
      <c r="E12140" s="3" t="inlineStr">
        <is>
          <t>SDL Contributions</t>
        </is>
      </c>
      <c r="F12140" s="3" t="n">
        <v>427.15</v>
      </c>
      <c r="G12140" s="3" t="n">
        <v>1694.76</v>
      </c>
    </row>
    <row r="12141">
      <c r="A12141" s="3" t="inlineStr">
        <is>
          <t>Trademark Holdings (Pty) Ltd</t>
        </is>
      </c>
      <c r="B12141" s="4" t="n">
        <v>44926</v>
      </c>
      <c r="C12141" s="3" t="inlineStr">
        <is>
          <t>Expenses</t>
        </is>
      </c>
      <c r="D12141" s="3" t="inlineStr">
        <is>
          <t>4720/000</t>
        </is>
      </c>
      <c r="E12141" s="3" t="inlineStr">
        <is>
          <t>SDL Contributions</t>
        </is>
      </c>
      <c r="F12141" s="3" t="n">
        <v>321.42</v>
      </c>
      <c r="G12141" s="3" t="n">
        <v>1236.51</v>
      </c>
    </row>
    <row r="12142">
      <c r="A12142" s="3" t="inlineStr">
        <is>
          <t>Opportunity Global Investment (PTY) LTD</t>
        </is>
      </c>
      <c r="B12142" s="4" t="n">
        <v>44926</v>
      </c>
      <c r="C12142" s="3" t="inlineStr">
        <is>
          <t>Expenses</t>
        </is>
      </c>
      <c r="D12142" s="3" t="inlineStr">
        <is>
          <t>4730/000</t>
        </is>
      </c>
      <c r="E12142" s="3" t="inlineStr">
        <is>
          <t>PAYE Contributions</t>
        </is>
      </c>
      <c r="F12142" s="3" t="n">
        <v>9136.690000000001</v>
      </c>
      <c r="G12142" s="3" t="n">
        <v>91366.97</v>
      </c>
    </row>
    <row r="12143">
      <c r="A12143" s="3" t="inlineStr">
        <is>
          <t>Opportunity Global Sales (PTY) LTD</t>
        </is>
      </c>
      <c r="B12143" s="4" t="n">
        <v>44926</v>
      </c>
      <c r="C12143" s="3" t="inlineStr">
        <is>
          <t>Expenses</t>
        </is>
      </c>
      <c r="D12143" s="3" t="inlineStr">
        <is>
          <t>4730/000</t>
        </is>
      </c>
      <c r="E12143" s="3" t="inlineStr">
        <is>
          <t>PAYE Contributions</t>
        </is>
      </c>
      <c r="F12143" s="3" t="n">
        <v>8367.35</v>
      </c>
      <c r="G12143" s="3" t="n">
        <v>211241.39</v>
      </c>
    </row>
    <row r="12144">
      <c r="A12144" s="3" t="inlineStr">
        <is>
          <t>Opportunity Management Holdings (PTY) LTD</t>
        </is>
      </c>
      <c r="B12144" s="4" t="n">
        <v>44926</v>
      </c>
      <c r="C12144" s="3" t="inlineStr">
        <is>
          <t>Expenses</t>
        </is>
      </c>
      <c r="D12144" s="3" t="inlineStr">
        <is>
          <t>4730/000</t>
        </is>
      </c>
      <c r="E12144" s="3" t="inlineStr">
        <is>
          <t>PAYE Contributions</t>
        </is>
      </c>
      <c r="F12144" s="3" t="n">
        <v>43284.82</v>
      </c>
      <c r="G12144" s="3" t="n">
        <v>181100.72</v>
      </c>
    </row>
    <row r="12145">
      <c r="A12145" s="3" t="inlineStr">
        <is>
          <t>Opportunity Global Investment (PTY) LTD</t>
        </is>
      </c>
      <c r="B12145" s="4" t="n">
        <v>44926</v>
      </c>
      <c r="C12145" s="3" t="inlineStr">
        <is>
          <t>Expenses</t>
        </is>
      </c>
      <c r="D12145" s="3" t="inlineStr">
        <is>
          <t>4740/000</t>
        </is>
      </c>
      <c r="E12145" s="3" t="inlineStr">
        <is>
          <t>SDL Contributions</t>
        </is>
      </c>
      <c r="F12145" s="3" t="n">
        <v>431.1</v>
      </c>
      <c r="G12145" s="3" t="n">
        <v>4311</v>
      </c>
    </row>
    <row r="12146">
      <c r="A12146" s="3" t="inlineStr">
        <is>
          <t>Opportunity Global Sales (PTY) LTD</t>
        </is>
      </c>
      <c r="B12146" s="4" t="n">
        <v>44926</v>
      </c>
      <c r="C12146" s="3" t="inlineStr">
        <is>
          <t>Expenses</t>
        </is>
      </c>
      <c r="D12146" s="3" t="inlineStr">
        <is>
          <t>4740/000</t>
        </is>
      </c>
      <c r="E12146" s="3" t="inlineStr">
        <is>
          <t>SDL Contributions</t>
        </is>
      </c>
      <c r="F12146" s="3" t="n">
        <v>2498.36</v>
      </c>
      <c r="G12146" s="3" t="n">
        <v>18728.15</v>
      </c>
    </row>
    <row r="12147">
      <c r="A12147" s="3" t="inlineStr">
        <is>
          <t>Opportunity Management Holdings (PTY) LTD</t>
        </is>
      </c>
      <c r="B12147" s="4" t="n">
        <v>44926</v>
      </c>
      <c r="C12147" s="3" t="inlineStr">
        <is>
          <t>Expenses</t>
        </is>
      </c>
      <c r="D12147" s="3" t="inlineStr">
        <is>
          <t>4740/000</t>
        </is>
      </c>
      <c r="E12147" s="3" t="inlineStr">
        <is>
          <t>UIF Company Contribution</t>
        </is>
      </c>
      <c r="F12147" s="3" t="n">
        <v>1462.36</v>
      </c>
      <c r="G12147" s="3" t="n">
        <v>6171.44</v>
      </c>
    </row>
    <row r="12148">
      <c r="A12148" s="3" t="inlineStr">
        <is>
          <t>Opportunity Management Holdings (PTY) LTD</t>
        </is>
      </c>
      <c r="B12148" s="4" t="n">
        <v>44926</v>
      </c>
      <c r="C12148" s="3" t="inlineStr">
        <is>
          <t>Expenses</t>
        </is>
      </c>
      <c r="D12148" s="3" t="inlineStr">
        <is>
          <t>4741/000</t>
        </is>
      </c>
      <c r="E12148" s="3" t="inlineStr">
        <is>
          <t>UIF Employee Contribution</t>
        </is>
      </c>
      <c r="F12148" s="3" t="n">
        <v>1462.36</v>
      </c>
      <c r="G12148" s="3" t="n">
        <v>6171.44</v>
      </c>
    </row>
    <row r="12149">
      <c r="A12149" s="3" t="inlineStr">
        <is>
          <t>Opportunity Management Holdings (PTY) LTD</t>
        </is>
      </c>
      <c r="B12149" s="4" t="n">
        <v>44926</v>
      </c>
      <c r="C12149" s="3" t="inlineStr">
        <is>
          <t>Expenses</t>
        </is>
      </c>
      <c r="D12149" s="3" t="inlineStr">
        <is>
          <t>4750/000</t>
        </is>
      </c>
      <c r="E12149" s="3" t="inlineStr">
        <is>
          <t>SDL Contribution</t>
        </is>
      </c>
      <c r="F12149" s="3" t="n">
        <v>2496.76</v>
      </c>
      <c r="G12149" s="3" t="n">
        <v>10397.07</v>
      </c>
    </row>
    <row r="12150">
      <c r="A12150" s="3" t="inlineStr">
        <is>
          <t>Noble Shield (Pty) Ltd ta Go Letting</t>
        </is>
      </c>
      <c r="B12150" s="4" t="n">
        <v>44926</v>
      </c>
      <c r="C12150" s="3" t="inlineStr">
        <is>
          <t>Equity</t>
        </is>
      </c>
      <c r="D12150" s="3" t="inlineStr">
        <is>
          <t>5100/000</t>
        </is>
      </c>
      <c r="E12150" s="3" t="inlineStr">
        <is>
          <t>Share Capital</t>
        </is>
      </c>
      <c r="F12150" s="3" t="n">
        <v>0</v>
      </c>
      <c r="G12150" s="3" t="n">
        <v>-1</v>
      </c>
    </row>
    <row r="12151">
      <c r="A12151" s="3" t="inlineStr">
        <is>
          <t>Opportunity Management Holdings (PTY) LTD</t>
        </is>
      </c>
      <c r="B12151" s="4" t="n">
        <v>44926</v>
      </c>
      <c r="C12151" s="3" t="inlineStr">
        <is>
          <t>Equity</t>
        </is>
      </c>
      <c r="D12151" s="3" t="inlineStr">
        <is>
          <t>5100/000</t>
        </is>
      </c>
      <c r="E12151" s="3" t="inlineStr">
        <is>
          <t>Share Capital / Members Contribution</t>
        </is>
      </c>
      <c r="F12151" s="3" t="n">
        <v>0</v>
      </c>
      <c r="G12151" s="3" t="n">
        <v>-120</v>
      </c>
    </row>
    <row r="12152">
      <c r="A12152" s="3" t="inlineStr">
        <is>
          <t>Quinate Consulting (Pty) Ltd</t>
        </is>
      </c>
      <c r="B12152" s="4" t="n">
        <v>44926</v>
      </c>
      <c r="C12152" s="3" t="inlineStr">
        <is>
          <t>Equity</t>
        </is>
      </c>
      <c r="D12152" s="3" t="inlineStr">
        <is>
          <t>5100/000</t>
        </is>
      </c>
      <c r="E12152" s="3" t="inlineStr">
        <is>
          <t>Share Capital / Members Contribution</t>
        </is>
      </c>
      <c r="F12152" s="3" t="n">
        <v>0</v>
      </c>
      <c r="G12152" s="3" t="n">
        <v>-120</v>
      </c>
    </row>
    <row r="12153">
      <c r="A12153" s="3" t="inlineStr">
        <is>
          <t>Trademark Holdings (Pty) Ltd</t>
        </is>
      </c>
      <c r="B12153" s="4" t="n">
        <v>44926</v>
      </c>
      <c r="C12153" s="3" t="inlineStr">
        <is>
          <t>Equity</t>
        </is>
      </c>
      <c r="D12153" s="3" t="inlineStr">
        <is>
          <t>5100/001</t>
        </is>
      </c>
      <c r="E12153" s="3" t="inlineStr">
        <is>
          <t>Share Capital - GFY Investments</t>
        </is>
      </c>
      <c r="F12153" s="3" t="n">
        <v>0</v>
      </c>
      <c r="G12153" s="3" t="n">
        <v>-60</v>
      </c>
    </row>
    <row r="12154">
      <c r="A12154" s="3" t="inlineStr">
        <is>
          <t>Trademark Holdings (Pty) Ltd</t>
        </is>
      </c>
      <c r="B12154" s="4" t="n">
        <v>44926</v>
      </c>
      <c r="C12154" s="3" t="inlineStr">
        <is>
          <t>Equity</t>
        </is>
      </c>
      <c r="D12154" s="3" t="inlineStr">
        <is>
          <t>5100/002</t>
        </is>
      </c>
      <c r="E12154" s="3" t="inlineStr">
        <is>
          <t>Share Capital - Zak Trust</t>
        </is>
      </c>
      <c r="F12154" s="3" t="n">
        <v>0</v>
      </c>
      <c r="G12154" s="3" t="n">
        <v>-60</v>
      </c>
    </row>
    <row r="12155">
      <c r="A12155" s="3" t="inlineStr">
        <is>
          <t>Opportunity Global Investment (PTY) LTD</t>
        </is>
      </c>
      <c r="B12155" s="4" t="n">
        <v>44926</v>
      </c>
      <c r="C12155" s="3" t="inlineStr">
        <is>
          <t>Equity</t>
        </is>
      </c>
      <c r="D12155" s="3" t="inlineStr">
        <is>
          <t>5101/000</t>
        </is>
      </c>
      <c r="E12155" s="3" t="inlineStr">
        <is>
          <t>Share Capital - Ordinary Type A</t>
        </is>
      </c>
      <c r="F12155" s="3" t="n">
        <v>0</v>
      </c>
      <c r="G12155" s="3" t="n">
        <v>-70</v>
      </c>
    </row>
    <row r="12156">
      <c r="A12156" s="3" t="inlineStr">
        <is>
          <t>Opportunity Global Investment (PTY) LTD</t>
        </is>
      </c>
      <c r="B12156" s="4" t="n">
        <v>44926</v>
      </c>
      <c r="C12156" s="3" t="inlineStr">
        <is>
          <t>Equity</t>
        </is>
      </c>
      <c r="D12156" s="3" t="inlineStr">
        <is>
          <t>5102/000</t>
        </is>
      </c>
      <c r="E12156" s="3" t="inlineStr">
        <is>
          <t>Share Capital - Ordinary Type B</t>
        </is>
      </c>
      <c r="F12156" s="3" t="n">
        <v>0</v>
      </c>
      <c r="G12156" s="3" t="n">
        <v>-30</v>
      </c>
    </row>
    <row r="12157">
      <c r="A12157" s="3" t="inlineStr">
        <is>
          <t>Endulini (Pty) Ltd</t>
        </is>
      </c>
      <c r="B12157" s="4" t="n">
        <v>44926</v>
      </c>
      <c r="C12157" s="3" t="inlineStr">
        <is>
          <t>Equity</t>
        </is>
      </c>
      <c r="D12157" s="3" t="inlineStr">
        <is>
          <t>5200/000</t>
        </is>
      </c>
      <c r="E12157" s="3" t="inlineStr">
        <is>
          <t>Retained Earnings / Loss</t>
        </is>
      </c>
      <c r="F12157" s="3" t="n">
        <v>0</v>
      </c>
      <c r="G12157" s="3" t="n">
        <v>-4937860.07</v>
      </c>
    </row>
    <row r="12158">
      <c r="A12158" s="3" t="inlineStr">
        <is>
          <t>Noble Shield (Pty) Ltd ta Go Letting</t>
        </is>
      </c>
      <c r="B12158" s="4" t="n">
        <v>44926</v>
      </c>
      <c r="C12158" s="3" t="inlineStr">
        <is>
          <t>Equity</t>
        </is>
      </c>
      <c r="D12158" s="3" t="inlineStr">
        <is>
          <t>5200/000</t>
        </is>
      </c>
      <c r="E12158" s="3" t="inlineStr">
        <is>
          <t>Retained Earnings / Loss</t>
        </is>
      </c>
      <c r="F12158" s="3" t="n">
        <v>0</v>
      </c>
      <c r="G12158" s="3" t="n">
        <v>-64792.67</v>
      </c>
    </row>
    <row r="12159">
      <c r="A12159" s="3" t="inlineStr">
        <is>
          <t>Opportunity Global Investment (PTY) LTD</t>
        </is>
      </c>
      <c r="B12159" s="4" t="n">
        <v>44926</v>
      </c>
      <c r="C12159" s="3" t="inlineStr">
        <is>
          <t>Equity</t>
        </is>
      </c>
      <c r="D12159" s="3" t="inlineStr">
        <is>
          <t>5200/000</t>
        </is>
      </c>
      <c r="E12159" s="3" t="inlineStr">
        <is>
          <t>Retained Earnings / Loss</t>
        </is>
      </c>
      <c r="F12159" s="3" t="n">
        <v>0</v>
      </c>
      <c r="G12159" s="3" t="n">
        <v>465853.58</v>
      </c>
    </row>
    <row r="12160">
      <c r="A12160" s="3" t="inlineStr">
        <is>
          <t>Opportunity Global Sales (PTY) LTD</t>
        </is>
      </c>
      <c r="B12160" s="4" t="n">
        <v>44926</v>
      </c>
      <c r="C12160" s="3" t="inlineStr">
        <is>
          <t>Equity</t>
        </is>
      </c>
      <c r="D12160" s="3" t="inlineStr">
        <is>
          <t>5200/000</t>
        </is>
      </c>
      <c r="E12160" s="3" t="inlineStr">
        <is>
          <t>Retained Earnings / Loss</t>
        </is>
      </c>
      <c r="F12160" s="3" t="n">
        <v>0</v>
      </c>
      <c r="G12160" s="3" t="n">
        <v>-565683.55</v>
      </c>
    </row>
    <row r="12161">
      <c r="A12161" s="3" t="inlineStr">
        <is>
          <t>Opportunity Management Holdings (PTY) LTD</t>
        </is>
      </c>
      <c r="B12161" s="4" t="n">
        <v>44926</v>
      </c>
      <c r="C12161" s="3" t="inlineStr">
        <is>
          <t>Equity</t>
        </is>
      </c>
      <c r="D12161" s="3" t="inlineStr">
        <is>
          <t>5200/000</t>
        </is>
      </c>
      <c r="E12161" s="3" t="inlineStr">
        <is>
          <t>Retained Earnings / Loss</t>
        </is>
      </c>
      <c r="F12161" s="3" t="n">
        <v>0</v>
      </c>
      <c r="G12161" s="3" t="n">
        <v>1230800.76</v>
      </c>
    </row>
    <row r="12162">
      <c r="A12162" s="3" t="inlineStr">
        <is>
          <t>Quinate Consulting (Pty) Ltd</t>
        </is>
      </c>
      <c r="B12162" s="4" t="n">
        <v>44926</v>
      </c>
      <c r="C12162" s="3" t="inlineStr">
        <is>
          <t>Equity</t>
        </is>
      </c>
      <c r="D12162" s="3" t="inlineStr">
        <is>
          <t>5200/000</t>
        </is>
      </c>
      <c r="E12162" s="3" t="inlineStr">
        <is>
          <t>Retained Earnings / Loss</t>
        </is>
      </c>
      <c r="F12162" s="3" t="n">
        <v>0</v>
      </c>
      <c r="G12162" s="3" t="n">
        <v>571333.3</v>
      </c>
    </row>
    <row r="12163">
      <c r="A12163" s="3" t="inlineStr">
        <is>
          <t>Trademark Holdings (Pty) Ltd</t>
        </is>
      </c>
      <c r="B12163" s="4" t="n">
        <v>44926</v>
      </c>
      <c r="C12163" s="3" t="inlineStr">
        <is>
          <t>Equity</t>
        </is>
      </c>
      <c r="D12163" s="3" t="inlineStr">
        <is>
          <t>5200/000</t>
        </is>
      </c>
      <c r="E12163" s="3" t="inlineStr">
        <is>
          <t>Retained Earnings / Loss</t>
        </is>
      </c>
      <c r="F12163" s="3" t="n">
        <v>0</v>
      </c>
      <c r="G12163" s="3" t="n">
        <v>-155356.41</v>
      </c>
    </row>
    <row r="12164">
      <c r="A12164" s="3" t="inlineStr">
        <is>
          <t>Quinate Consulting (Pty) Ltd</t>
        </is>
      </c>
      <c r="B12164" s="4" t="n">
        <v>44926</v>
      </c>
      <c r="C12164" s="3" t="inlineStr">
        <is>
          <t>Assets</t>
        </is>
      </c>
      <c r="D12164" s="3" t="inlineStr">
        <is>
          <t>5400/011</t>
        </is>
      </c>
      <c r="E12164" s="3" t="inlineStr">
        <is>
          <t>Members Loan - Nick Morgan</t>
        </is>
      </c>
      <c r="F12164" s="3" t="n">
        <v>0</v>
      </c>
      <c r="G12164" s="3" t="n">
        <v>-85743.69</v>
      </c>
    </row>
    <row r="12165">
      <c r="A12165" s="3" t="inlineStr">
        <is>
          <t>Opportunity Management Holdings (PTY) LTD</t>
        </is>
      </c>
      <c r="B12165" s="4" t="n">
        <v>44926</v>
      </c>
      <c r="C12165" s="3" t="inlineStr">
        <is>
          <t>Assets</t>
        </is>
      </c>
      <c r="D12165" s="3" t="inlineStr">
        <is>
          <t>5400/500</t>
        </is>
      </c>
      <c r="E12165" s="3" t="inlineStr">
        <is>
          <t>Shareholder - Zak Loan</t>
        </is>
      </c>
      <c r="F12165" s="3" t="n">
        <v>0</v>
      </c>
      <c r="G12165" s="3" t="n">
        <v>-171798.21</v>
      </c>
    </row>
    <row r="12166">
      <c r="A12166" s="3" t="inlineStr">
        <is>
          <t>Quinate Consulting (Pty) Ltd</t>
        </is>
      </c>
      <c r="B12166" s="4" t="n">
        <v>44926</v>
      </c>
      <c r="C12166" s="3" t="inlineStr">
        <is>
          <t>Liabilities</t>
        </is>
      </c>
      <c r="D12166" s="3" t="inlineStr">
        <is>
          <t>5500/010</t>
        </is>
      </c>
      <c r="E12166" s="3" t="inlineStr">
        <is>
          <t>Loan - Wynand Haywood</t>
        </is>
      </c>
      <c r="F12166" s="3" t="n">
        <v>0</v>
      </c>
      <c r="G12166" s="3" t="n">
        <v>1928.67</v>
      </c>
    </row>
    <row r="12167">
      <c r="A12167" s="3" t="inlineStr">
        <is>
          <t>Quinate Consulting (Pty) Ltd</t>
        </is>
      </c>
      <c r="B12167" s="4" t="n">
        <v>44926</v>
      </c>
      <c r="C12167" s="3" t="inlineStr">
        <is>
          <t>Liabilities</t>
        </is>
      </c>
      <c r="D12167" s="3" t="inlineStr">
        <is>
          <t>5500/030</t>
        </is>
      </c>
      <c r="E12167" s="3" t="inlineStr">
        <is>
          <t>Loan - Heron Projects</t>
        </is>
      </c>
      <c r="F12167" s="3" t="n">
        <v>4000</v>
      </c>
      <c r="G12167" s="3" t="n">
        <v>0</v>
      </c>
    </row>
    <row r="12168">
      <c r="A12168" s="3" t="inlineStr">
        <is>
          <t>Opportunity Global Investment (PTY) LTD</t>
        </is>
      </c>
      <c r="B12168" s="4" t="n">
        <v>44926</v>
      </c>
      <c r="C12168" s="3" t="inlineStr">
        <is>
          <t>Liabilities</t>
        </is>
      </c>
      <c r="D12168" s="3" t="inlineStr">
        <is>
          <t>5500/100</t>
        </is>
      </c>
      <c r="E12168" s="3" t="inlineStr">
        <is>
          <t>Loan - Cape Projects Construction</t>
        </is>
      </c>
      <c r="F12168" s="3" t="n">
        <v>271000</v>
      </c>
      <c r="G12168" s="3" t="n">
        <v>271000</v>
      </c>
    </row>
    <row r="12169">
      <c r="A12169" s="3" t="inlineStr">
        <is>
          <t>Noble Shield (Pty) Ltd ta Go Letting</t>
        </is>
      </c>
      <c r="B12169" s="4" t="n">
        <v>44926</v>
      </c>
      <c r="C12169" s="3" t="inlineStr">
        <is>
          <t>Liabilities</t>
        </is>
      </c>
      <c r="D12169" s="3" t="inlineStr">
        <is>
          <t>5500/100</t>
        </is>
      </c>
      <c r="E12169" s="3" t="inlineStr">
        <is>
          <t>Loan - Jupiter Trust</t>
        </is>
      </c>
      <c r="F12169" s="3" t="n">
        <v>0</v>
      </c>
      <c r="G12169" s="3" t="n">
        <v>-100228.75</v>
      </c>
    </row>
    <row r="12170">
      <c r="A12170" s="3" t="inlineStr">
        <is>
          <t>Endulini (Pty) Ltd</t>
        </is>
      </c>
      <c r="B12170" s="4" t="n">
        <v>44926</v>
      </c>
      <c r="C12170" s="3" t="inlineStr">
        <is>
          <t>Liabilities</t>
        </is>
      </c>
      <c r="D12170" s="3" t="inlineStr">
        <is>
          <t>5500/100</t>
        </is>
      </c>
      <c r="E12170" s="3" t="inlineStr">
        <is>
          <t>Loan - Quinate Consulting</t>
        </is>
      </c>
      <c r="F12170" s="3" t="n">
        <v>-71000</v>
      </c>
      <c r="G12170" s="3" t="n">
        <v>-9322749.1</v>
      </c>
    </row>
    <row r="12171">
      <c r="A12171" s="3" t="inlineStr">
        <is>
          <t>Opportunity Global Investment (PTY) LTD</t>
        </is>
      </c>
      <c r="B12171" s="4" t="n">
        <v>44926</v>
      </c>
      <c r="C12171" s="3" t="inlineStr">
        <is>
          <t>Liabilities</t>
        </is>
      </c>
      <c r="D12171" s="3" t="inlineStr">
        <is>
          <t>5500/112</t>
        </is>
      </c>
      <c r="E12171" s="3" t="inlineStr">
        <is>
          <t>Loan - GFY</t>
        </is>
      </c>
      <c r="F12171" s="3" t="n">
        <v>144500</v>
      </c>
      <c r="G12171" s="3" t="n">
        <v>-144500</v>
      </c>
    </row>
    <row r="12172">
      <c r="A12172" s="3" t="inlineStr">
        <is>
          <t>Endulini (Pty) Ltd</t>
        </is>
      </c>
      <c r="B12172" s="4" t="n">
        <v>44926</v>
      </c>
      <c r="C12172" s="3" t="inlineStr">
        <is>
          <t>Liabilities</t>
        </is>
      </c>
      <c r="D12172" s="3" t="inlineStr">
        <is>
          <t>5500/150</t>
        </is>
      </c>
      <c r="E12172" s="3" t="inlineStr">
        <is>
          <t>Loan - Cape Projects Construction</t>
        </is>
      </c>
      <c r="F12172" s="3" t="n">
        <v>-4692000</v>
      </c>
      <c r="G12172" s="3" t="n">
        <v>-6059000</v>
      </c>
    </row>
    <row r="12173">
      <c r="A12173" s="3" t="inlineStr">
        <is>
          <t>Quinate Consulting (Pty) Ltd</t>
        </is>
      </c>
      <c r="B12173" s="4" t="n">
        <v>44926</v>
      </c>
      <c r="C12173" s="3" t="inlineStr">
        <is>
          <t>Liabilities</t>
        </is>
      </c>
      <c r="D12173" s="3" t="inlineStr">
        <is>
          <t>5500/160</t>
        </is>
      </c>
      <c r="E12173" s="3" t="inlineStr">
        <is>
          <t>Loan - GFY Investment and Consulting</t>
        </is>
      </c>
      <c r="F12173" s="3" t="n">
        <v>0</v>
      </c>
      <c r="G12173" s="3" t="n">
        <v>-1750249.93</v>
      </c>
    </row>
    <row r="12174">
      <c r="A12174" s="3" t="inlineStr">
        <is>
          <t>Opportunity Management Holdings (PTY) LTD</t>
        </is>
      </c>
      <c r="B12174" s="4" t="n">
        <v>44926</v>
      </c>
      <c r="C12174" s="3" t="inlineStr">
        <is>
          <t>Liabilities</t>
        </is>
      </c>
      <c r="D12174" s="3" t="inlineStr">
        <is>
          <t>5500/200</t>
        </is>
      </c>
      <c r="E12174" s="3" t="inlineStr">
        <is>
          <t>Loan - Cape Projects</t>
        </is>
      </c>
      <c r="F12174" s="3" t="n">
        <v>120000</v>
      </c>
      <c r="G12174" s="3" t="n">
        <v>120000</v>
      </c>
    </row>
    <row r="12175">
      <c r="A12175" s="3" t="inlineStr">
        <is>
          <t>Trademark Holdings (Pty) Ltd</t>
        </is>
      </c>
      <c r="B12175" s="4" t="n">
        <v>44926</v>
      </c>
      <c r="C12175" s="3" t="inlineStr">
        <is>
          <t>Liabilities</t>
        </is>
      </c>
      <c r="D12175" s="3" t="inlineStr">
        <is>
          <t>5500/250</t>
        </is>
      </c>
      <c r="E12175" s="3" t="inlineStr">
        <is>
          <t>Loan - Noble Shield</t>
        </is>
      </c>
      <c r="F12175" s="3" t="n">
        <v>0</v>
      </c>
      <c r="G12175" s="3" t="n">
        <v>108165.59</v>
      </c>
    </row>
    <row r="12176">
      <c r="A12176" s="3" t="inlineStr">
        <is>
          <t>Quinate Consulting (Pty) Ltd</t>
        </is>
      </c>
      <c r="B12176" s="4" t="n">
        <v>44926</v>
      </c>
      <c r="C12176" s="3" t="inlineStr">
        <is>
          <t>Liabilities</t>
        </is>
      </c>
      <c r="D12176" s="3" t="inlineStr">
        <is>
          <t>5500/300</t>
        </is>
      </c>
      <c r="E12176" s="3" t="inlineStr">
        <is>
          <t>Loan - Gengis</t>
        </is>
      </c>
      <c r="F12176" s="3" t="n">
        <v>0</v>
      </c>
      <c r="G12176" s="3" t="n">
        <v>-276898.64</v>
      </c>
    </row>
    <row r="12177">
      <c r="A12177" s="3" t="inlineStr">
        <is>
          <t>Opportunity Management Holdings (PTY) LTD</t>
        </is>
      </c>
      <c r="B12177" s="4" t="n">
        <v>44926</v>
      </c>
      <c r="C12177" s="3" t="inlineStr">
        <is>
          <t>Liabilities</t>
        </is>
      </c>
      <c r="D12177" s="3" t="inlineStr">
        <is>
          <t>5500/300</t>
        </is>
      </c>
      <c r="E12177" s="3" t="inlineStr">
        <is>
          <t>Loan - Opportunity Prop Management</t>
        </is>
      </c>
      <c r="F12177" s="3" t="n">
        <v>0</v>
      </c>
      <c r="G12177" s="3" t="n">
        <v>-1220204.15</v>
      </c>
    </row>
    <row r="12178">
      <c r="A12178" s="3" t="inlineStr">
        <is>
          <t>Noble Shield (Pty) Ltd ta Go Letting</t>
        </is>
      </c>
      <c r="B12178" s="4" t="n">
        <v>44926</v>
      </c>
      <c r="C12178" s="3" t="inlineStr">
        <is>
          <t>Liabilities</t>
        </is>
      </c>
      <c r="D12178" s="3" t="inlineStr">
        <is>
          <t>5500/300</t>
        </is>
      </c>
      <c r="E12178" s="3" t="inlineStr">
        <is>
          <t>Loan - Trademark Holdings</t>
        </is>
      </c>
      <c r="F12178" s="3" t="n">
        <v>0</v>
      </c>
      <c r="G12178" s="3" t="n">
        <v>-108165.59</v>
      </c>
    </row>
    <row r="12179">
      <c r="A12179" s="3" t="inlineStr">
        <is>
          <t>Trademark Holdings (Pty) Ltd</t>
        </is>
      </c>
      <c r="B12179" s="4" t="n">
        <v>44926</v>
      </c>
      <c r="C12179" s="3" t="inlineStr">
        <is>
          <t>Liabilities</t>
        </is>
      </c>
      <c r="D12179" s="3" t="inlineStr">
        <is>
          <t>5500/375</t>
        </is>
      </c>
      <c r="E12179" s="3" t="inlineStr">
        <is>
          <t>Loan - Opportunity Management Holdings Pty Ltd</t>
        </is>
      </c>
      <c r="F12179" s="3" t="n">
        <v>70000</v>
      </c>
      <c r="G12179" s="3" t="n">
        <v>24000</v>
      </c>
    </row>
    <row r="12180">
      <c r="A12180" s="3" t="inlineStr">
        <is>
          <t>Trademark Holdings (Pty) Ltd</t>
        </is>
      </c>
      <c r="B12180" s="4" t="n">
        <v>44926</v>
      </c>
      <c r="C12180" s="3" t="inlineStr">
        <is>
          <t>Liabilities</t>
        </is>
      </c>
      <c r="D12180" s="3" t="inlineStr">
        <is>
          <t>5500/450</t>
        </is>
      </c>
      <c r="E12180" s="3" t="inlineStr">
        <is>
          <t>Loan - Cape Projects Construction</t>
        </is>
      </c>
      <c r="F12180" s="3" t="n">
        <v>-600</v>
      </c>
      <c r="G12180" s="3" t="n">
        <v>-600</v>
      </c>
    </row>
    <row r="12181">
      <c r="A12181" s="3" t="inlineStr">
        <is>
          <t>Trademark Holdings (Pty) Ltd</t>
        </is>
      </c>
      <c r="B12181" s="4" t="n">
        <v>44926</v>
      </c>
      <c r="C12181" s="3" t="inlineStr">
        <is>
          <t>Liabilities</t>
        </is>
      </c>
      <c r="D12181" s="3" t="inlineStr">
        <is>
          <t>5500/500</t>
        </is>
      </c>
      <c r="E12181" s="3" t="inlineStr">
        <is>
          <t>Go Letting Brand Name</t>
        </is>
      </c>
      <c r="F12181" s="3" t="n">
        <v>0</v>
      </c>
      <c r="G12181" s="3" t="n">
        <v>93420</v>
      </c>
    </row>
    <row r="12182">
      <c r="A12182" s="3" t="inlineStr">
        <is>
          <t>Noble Shield (Pty) Ltd ta Go Letting</t>
        </is>
      </c>
      <c r="B12182" s="4" t="n">
        <v>44926</v>
      </c>
      <c r="C12182" s="3" t="inlineStr">
        <is>
          <t>Liabilities</t>
        </is>
      </c>
      <c r="D12182" s="3" t="inlineStr">
        <is>
          <t>5500/500</t>
        </is>
      </c>
      <c r="E12182" s="3" t="inlineStr">
        <is>
          <t>Loan - Cape Projects Construction</t>
        </is>
      </c>
      <c r="F12182" s="3" t="n">
        <v>-600</v>
      </c>
      <c r="G12182" s="3" t="n">
        <v>-600</v>
      </c>
    </row>
    <row r="12183">
      <c r="A12183" s="3" t="inlineStr">
        <is>
          <t>Quinate Consulting (Pty) Ltd</t>
        </is>
      </c>
      <c r="B12183" s="4" t="n">
        <v>44926</v>
      </c>
      <c r="C12183" s="3" t="inlineStr">
        <is>
          <t>Liabilities</t>
        </is>
      </c>
      <c r="D12183" s="3" t="inlineStr">
        <is>
          <t>5500/500</t>
        </is>
      </c>
      <c r="E12183" s="3" t="inlineStr">
        <is>
          <t>Loan - Opportunity Development Struct.</t>
        </is>
      </c>
      <c r="F12183" s="3" t="n">
        <v>0</v>
      </c>
      <c r="G12183" s="3" t="n">
        <v>-2380000</v>
      </c>
    </row>
    <row r="12184">
      <c r="A12184" s="3" t="inlineStr">
        <is>
          <t>Opportunity Management Holdings (PTY) LTD</t>
        </is>
      </c>
      <c r="B12184" s="4" t="n">
        <v>44926</v>
      </c>
      <c r="C12184" s="3" t="inlineStr">
        <is>
          <t>Liabilities</t>
        </is>
      </c>
      <c r="D12184" s="3" t="inlineStr">
        <is>
          <t>5500/500</t>
        </is>
      </c>
      <c r="E12184" s="3" t="inlineStr">
        <is>
          <t>Loan - Opportunity Tradermark Holdings</t>
        </is>
      </c>
      <c r="F12184" s="3" t="n">
        <v>-70000</v>
      </c>
      <c r="G12184" s="3" t="n">
        <v>-24000</v>
      </c>
    </row>
    <row r="12185">
      <c r="A12185" s="3" t="inlineStr">
        <is>
          <t>Quinate Consulting (Pty) Ltd</t>
        </is>
      </c>
      <c r="B12185" s="4" t="n">
        <v>44926</v>
      </c>
      <c r="C12185" s="3" t="inlineStr">
        <is>
          <t>Liabilities</t>
        </is>
      </c>
      <c r="D12185" s="3" t="inlineStr">
        <is>
          <t>5500/520</t>
        </is>
      </c>
      <c r="E12185" s="3" t="inlineStr">
        <is>
          <t>Loan - Opportunity Management Holdings</t>
        </is>
      </c>
      <c r="F12185" s="3" t="n">
        <v>0</v>
      </c>
      <c r="G12185" s="3" t="n">
        <v>-3900</v>
      </c>
    </row>
    <row r="12186">
      <c r="A12186" s="3" t="inlineStr">
        <is>
          <t>Opportunity Management Holdings (PTY) LTD</t>
        </is>
      </c>
      <c r="B12186" s="4" t="n">
        <v>44926</v>
      </c>
      <c r="C12186" s="3" t="inlineStr">
        <is>
          <t>Liabilities</t>
        </is>
      </c>
      <c r="D12186" s="3" t="inlineStr">
        <is>
          <t>5500/550</t>
        </is>
      </c>
      <c r="E12186" s="3" t="inlineStr">
        <is>
          <t>Loan - Heron Projects</t>
        </is>
      </c>
      <c r="F12186" s="3" t="n">
        <v>23000</v>
      </c>
      <c r="G12186" s="3" t="n">
        <v>23000</v>
      </c>
    </row>
    <row r="12187">
      <c r="A12187" s="3" t="inlineStr">
        <is>
          <t>Opportunity Global Investment (PTY) LTD</t>
        </is>
      </c>
      <c r="B12187" s="4" t="n">
        <v>44926</v>
      </c>
      <c r="C12187" s="3" t="inlineStr">
        <is>
          <t>Liabilities</t>
        </is>
      </c>
      <c r="D12187" s="3" t="inlineStr">
        <is>
          <t>5500/650</t>
        </is>
      </c>
      <c r="E12187" s="3" t="inlineStr">
        <is>
          <t>Loan - Opportunit Global - Sales</t>
        </is>
      </c>
      <c r="F12187" s="3" t="n">
        <v>-428400</v>
      </c>
      <c r="G12187" s="3" t="n">
        <v>-2220093.12</v>
      </c>
    </row>
    <row r="12188">
      <c r="A12188" s="3" t="inlineStr">
        <is>
          <t>Opportunity Global Sales (PTY) LTD</t>
        </is>
      </c>
      <c r="B12188" s="4" t="n">
        <v>44926</v>
      </c>
      <c r="C12188" s="3" t="inlineStr">
        <is>
          <t>Liabilities</t>
        </is>
      </c>
      <c r="D12188" s="3" t="inlineStr">
        <is>
          <t>5500/650</t>
        </is>
      </c>
      <c r="E12188" s="3" t="inlineStr">
        <is>
          <t>Loan - Opportunity Investments</t>
        </is>
      </c>
      <c r="F12188" s="3" t="n">
        <v>428400</v>
      </c>
      <c r="G12188" s="3" t="n">
        <v>2220093.12</v>
      </c>
    </row>
    <row r="12189">
      <c r="A12189" s="3" t="inlineStr">
        <is>
          <t>Opportunity Management Holdings (PTY) LTD</t>
        </is>
      </c>
      <c r="B12189" s="4" t="n">
        <v>44926</v>
      </c>
      <c r="C12189" s="3" t="inlineStr">
        <is>
          <t>Liabilities</t>
        </is>
      </c>
      <c r="D12189" s="3" t="inlineStr">
        <is>
          <t>5500/700</t>
        </is>
      </c>
      <c r="E12189" s="3" t="inlineStr">
        <is>
          <t>Loan - Go Letting</t>
        </is>
      </c>
      <c r="F12189" s="3" t="n">
        <v>0</v>
      </c>
      <c r="G12189" s="3" t="n">
        <v>-120</v>
      </c>
    </row>
    <row r="12190">
      <c r="A12190" s="3" t="inlineStr">
        <is>
          <t>Opportunity Global Investment (PTY) LTD</t>
        </is>
      </c>
      <c r="B12190" s="4" t="n">
        <v>44926</v>
      </c>
      <c r="C12190" s="3" t="inlineStr">
        <is>
          <t>Liabilities</t>
        </is>
      </c>
      <c r="D12190" s="3" t="inlineStr">
        <is>
          <t>5500/750</t>
        </is>
      </c>
      <c r="E12190" s="3" t="inlineStr">
        <is>
          <t>Loan - Heron Projects</t>
        </is>
      </c>
      <c r="F12190" s="3" t="n">
        <v>60000</v>
      </c>
      <c r="G12190" s="3" t="n">
        <v>60000</v>
      </c>
    </row>
    <row r="12191">
      <c r="A12191" s="3" t="inlineStr">
        <is>
          <t>Opportunity Global Investment (PTY) LTD</t>
        </is>
      </c>
      <c r="B12191" s="4" t="n">
        <v>44926</v>
      </c>
      <c r="C12191" s="3" t="inlineStr">
        <is>
          <t>Liabilities</t>
        </is>
      </c>
      <c r="D12191" s="3" t="inlineStr">
        <is>
          <t>5500/850</t>
        </is>
      </c>
      <c r="E12191" s="3" t="inlineStr">
        <is>
          <t>Loan - Nick Morgan</t>
        </is>
      </c>
      <c r="F12191" s="3" t="n">
        <v>0</v>
      </c>
      <c r="G12191" s="3" t="n">
        <v>6200</v>
      </c>
    </row>
    <row r="12192">
      <c r="A12192" s="3" t="inlineStr">
        <is>
          <t>Opportunity Global Investment (PTY) LTD</t>
        </is>
      </c>
      <c r="B12192" s="4" t="n">
        <v>44926</v>
      </c>
      <c r="C12192" s="3" t="inlineStr">
        <is>
          <t>Liabilities</t>
        </is>
      </c>
      <c r="D12192" s="3" t="inlineStr">
        <is>
          <t>5500/950</t>
        </is>
      </c>
      <c r="E12192" s="3" t="inlineStr">
        <is>
          <t>Loan - Gengis</t>
        </is>
      </c>
      <c r="F12192" s="3" t="n">
        <v>57950</v>
      </c>
      <c r="G12192" s="3" t="n">
        <v>-62050</v>
      </c>
    </row>
    <row r="12193">
      <c r="A12193" s="3" t="inlineStr">
        <is>
          <t>Quinate Consulting (Pty) Ltd</t>
        </is>
      </c>
      <c r="B12193" s="4" t="n">
        <v>44926</v>
      </c>
      <c r="C12193" s="3" t="inlineStr">
        <is>
          <t>Liabilities</t>
        </is>
      </c>
      <c r="D12193" s="3" t="inlineStr">
        <is>
          <t>5501/001</t>
        </is>
      </c>
      <c r="E12193" s="3" t="inlineStr">
        <is>
          <t>Loan - Endulini CIP Costs</t>
        </is>
      </c>
      <c r="F12193" s="3" t="n">
        <v>71600</v>
      </c>
      <c r="G12193" s="3" t="n">
        <v>9207761.699999999</v>
      </c>
    </row>
    <row r="12194">
      <c r="A12194" s="3" t="inlineStr">
        <is>
          <t>Opportunity Management Holdings (PTY) LTD</t>
        </is>
      </c>
      <c r="B12194" s="4" t="n">
        <v>44926</v>
      </c>
      <c r="C12194" s="3" t="inlineStr">
        <is>
          <t>Liabilities</t>
        </is>
      </c>
      <c r="D12194" s="3" t="inlineStr">
        <is>
          <t>5510/100</t>
        </is>
      </c>
      <c r="E12194" s="3" t="inlineStr">
        <is>
          <t>Staff loan - Debbie Landsberg</t>
        </is>
      </c>
      <c r="F12194" s="3" t="n">
        <v>-2000</v>
      </c>
      <c r="G12194" s="3" t="n">
        <v>6900</v>
      </c>
    </row>
    <row r="12195">
      <c r="A12195" s="3" t="inlineStr">
        <is>
          <t>Noble Shield (Pty) Ltd ta Go Letting</t>
        </is>
      </c>
      <c r="B12195" s="4" t="n">
        <v>44926</v>
      </c>
      <c r="C12195" s="3" t="inlineStr">
        <is>
          <t>Assets</t>
        </is>
      </c>
      <c r="D12195" s="3" t="inlineStr">
        <is>
          <t>6250/010</t>
        </is>
      </c>
      <c r="E12195" s="3" t="inlineStr">
        <is>
          <t>Computer Equipment - @ Cost</t>
        </is>
      </c>
      <c r="F12195" s="3" t="n">
        <v>0</v>
      </c>
      <c r="G12195" s="3" t="n">
        <v>20397</v>
      </c>
    </row>
    <row r="12196">
      <c r="A12196" s="3" t="inlineStr">
        <is>
          <t>Opportunity Management Holdings (PTY) LTD</t>
        </is>
      </c>
      <c r="B12196" s="4" t="n">
        <v>44926</v>
      </c>
      <c r="C12196" s="3" t="inlineStr">
        <is>
          <t>Assets</t>
        </is>
      </c>
      <c r="D12196" s="3" t="inlineStr">
        <is>
          <t>6250/010</t>
        </is>
      </c>
      <c r="E12196" s="3" t="inlineStr">
        <is>
          <t>Computer Equipment - @ Cost</t>
        </is>
      </c>
      <c r="F12196" s="3" t="n">
        <v>0</v>
      </c>
      <c r="G12196" s="3" t="n">
        <v>38977.85</v>
      </c>
    </row>
    <row r="12197">
      <c r="A12197" s="3" t="inlineStr">
        <is>
          <t>Quinate Consulting (Pty) Ltd</t>
        </is>
      </c>
      <c r="B12197" s="4" t="n">
        <v>44926</v>
      </c>
      <c r="C12197" s="3" t="inlineStr">
        <is>
          <t>Assets</t>
        </is>
      </c>
      <c r="D12197" s="3" t="inlineStr">
        <is>
          <t>6250/010</t>
        </is>
      </c>
      <c r="E12197" s="3" t="inlineStr">
        <is>
          <t>Computer Equipment - @ Cost</t>
        </is>
      </c>
      <c r="F12197" s="3" t="n">
        <v>0</v>
      </c>
      <c r="G12197" s="3" t="n">
        <v>137059.7</v>
      </c>
    </row>
    <row r="12198">
      <c r="A12198" s="3" t="inlineStr">
        <is>
          <t>Noble Shield (Pty) Ltd ta Go Letting</t>
        </is>
      </c>
      <c r="B12198" s="4" t="n">
        <v>44926</v>
      </c>
      <c r="C12198" s="3" t="inlineStr">
        <is>
          <t>Assets</t>
        </is>
      </c>
      <c r="D12198" s="3" t="inlineStr">
        <is>
          <t>6250/020</t>
        </is>
      </c>
      <c r="E12198" s="3" t="inlineStr">
        <is>
          <t>Computer Equipment - Accum Depre</t>
        </is>
      </c>
      <c r="F12198" s="3" t="n">
        <v>0</v>
      </c>
      <c r="G12198" s="3" t="n">
        <v>-12040.89</v>
      </c>
    </row>
    <row r="12199">
      <c r="A12199" s="3" t="inlineStr">
        <is>
          <t>Opportunity Management Holdings (PTY) LTD</t>
        </is>
      </c>
      <c r="B12199" s="4" t="n">
        <v>44926</v>
      </c>
      <c r="C12199" s="3" t="inlineStr">
        <is>
          <t>Assets</t>
        </is>
      </c>
      <c r="D12199" s="3" t="inlineStr">
        <is>
          <t>6250/020</t>
        </is>
      </c>
      <c r="E12199" s="3" t="inlineStr">
        <is>
          <t>Computer Equipment - Accum Depre</t>
        </is>
      </c>
      <c r="F12199" s="3" t="n">
        <v>-668.51</v>
      </c>
      <c r="G12199" s="3" t="n">
        <v>-3905.5</v>
      </c>
    </row>
    <row r="12200">
      <c r="A12200" s="3" t="inlineStr">
        <is>
          <t>Quinate Consulting (Pty) Ltd</t>
        </is>
      </c>
      <c r="B12200" s="4" t="n">
        <v>44926</v>
      </c>
      <c r="C12200" s="3" t="inlineStr">
        <is>
          <t>Assets</t>
        </is>
      </c>
      <c r="D12200" s="3" t="inlineStr">
        <is>
          <t>6250/020</t>
        </is>
      </c>
      <c r="E12200" s="3" t="inlineStr">
        <is>
          <t>Computer Equipment - Accum Depre</t>
        </is>
      </c>
      <c r="F12200" s="3" t="n">
        <v>-3141.38</v>
      </c>
      <c r="G12200" s="3" t="n">
        <v>-93710.5</v>
      </c>
    </row>
    <row r="12201">
      <c r="A12201" s="3" t="inlineStr">
        <is>
          <t>Opportunity Management Holdings (PTY) LTD</t>
        </is>
      </c>
      <c r="B12201" s="4" t="n">
        <v>44926</v>
      </c>
      <c r="C12201" s="3" t="inlineStr">
        <is>
          <t>Assets</t>
        </is>
      </c>
      <c r="D12201" s="3" t="inlineStr">
        <is>
          <t>6250/030</t>
        </is>
      </c>
      <c r="E12201" s="3" t="inlineStr">
        <is>
          <t>Acc Depreciation - Computer Equipment</t>
        </is>
      </c>
      <c r="F12201" s="3" t="n">
        <v>0</v>
      </c>
      <c r="G12201" s="3" t="n">
        <v>-9441.25</v>
      </c>
    </row>
    <row r="12202">
      <c r="A12202" s="3" t="inlineStr">
        <is>
          <t>Quinate Consulting (Pty) Ltd</t>
        </is>
      </c>
      <c r="B12202" s="4" t="n">
        <v>44926</v>
      </c>
      <c r="C12202" s="3" t="inlineStr">
        <is>
          <t>Assets</t>
        </is>
      </c>
      <c r="D12202" s="3" t="inlineStr">
        <is>
          <t>6270/010</t>
        </is>
      </c>
      <c r="E12202" s="3" t="inlineStr">
        <is>
          <t>Site Containers - @ Cost</t>
        </is>
      </c>
      <c r="F12202" s="3" t="n">
        <v>0</v>
      </c>
      <c r="G12202" s="3" t="n">
        <v>19130.44</v>
      </c>
    </row>
    <row r="12203">
      <c r="A12203" s="3" t="inlineStr">
        <is>
          <t>Quinate Consulting (Pty) Ltd</t>
        </is>
      </c>
      <c r="B12203" s="4" t="n">
        <v>44926</v>
      </c>
      <c r="C12203" s="3" t="inlineStr">
        <is>
          <t>Assets</t>
        </is>
      </c>
      <c r="D12203" s="3" t="inlineStr">
        <is>
          <t>6270/020</t>
        </is>
      </c>
      <c r="E12203" s="3" t="inlineStr">
        <is>
          <t>Site Containers - Accum Depre</t>
        </is>
      </c>
      <c r="F12203" s="3" t="n">
        <v>-318.84</v>
      </c>
      <c r="G12203" s="3" t="n">
        <v>-7014.48</v>
      </c>
    </row>
    <row r="12204">
      <c r="A12204" s="3" t="inlineStr">
        <is>
          <t>Noble Shield (Pty) Ltd ta Go Letting</t>
        </is>
      </c>
      <c r="B12204" s="4" t="n">
        <v>44926</v>
      </c>
      <c r="C12204" s="3" t="inlineStr">
        <is>
          <t>Assets</t>
        </is>
      </c>
      <c r="D12204" s="3" t="inlineStr">
        <is>
          <t>6350/010</t>
        </is>
      </c>
      <c r="E12204" s="3" t="inlineStr">
        <is>
          <t>Furniture _AND_ Fittings - @ Cost</t>
        </is>
      </c>
      <c r="F12204" s="3" t="n">
        <v>0</v>
      </c>
      <c r="G12204" s="3" t="n">
        <v>2242</v>
      </c>
    </row>
    <row r="12205">
      <c r="A12205" s="3" t="inlineStr">
        <is>
          <t>Opportunity Global Sales (PTY) LTD</t>
        </is>
      </c>
      <c r="B12205" s="4" t="n">
        <v>44926</v>
      </c>
      <c r="C12205" s="3" t="inlineStr">
        <is>
          <t>Assets</t>
        </is>
      </c>
      <c r="D12205" s="3" t="inlineStr">
        <is>
          <t>6350/010</t>
        </is>
      </c>
      <c r="E12205" s="3" t="inlineStr">
        <is>
          <t>Furniture _AND_ Fittings - @ Cost</t>
        </is>
      </c>
      <c r="F12205" s="3" t="n">
        <v>0</v>
      </c>
      <c r="G12205" s="3" t="n">
        <v>29379.7</v>
      </c>
    </row>
    <row r="12206">
      <c r="A12206" s="3" t="inlineStr">
        <is>
          <t>Noble Shield (Pty) Ltd ta Go Letting</t>
        </is>
      </c>
      <c r="B12206" s="4" t="n">
        <v>44926</v>
      </c>
      <c r="C12206" s="3" t="inlineStr">
        <is>
          <t>Assets</t>
        </is>
      </c>
      <c r="D12206" s="3" t="inlineStr">
        <is>
          <t>6350/020</t>
        </is>
      </c>
      <c r="E12206" s="3" t="inlineStr">
        <is>
          <t>Furniture _AND_ Fittings - Accum Depre</t>
        </is>
      </c>
      <c r="F12206" s="3" t="n">
        <v>0</v>
      </c>
      <c r="G12206" s="3" t="n">
        <v>-2239</v>
      </c>
    </row>
    <row r="12207">
      <c r="A12207" s="3" t="inlineStr">
        <is>
          <t>Opportunity Global Sales (PTY) LTD</t>
        </is>
      </c>
      <c r="B12207" s="4" t="n">
        <v>44926</v>
      </c>
      <c r="C12207" s="3" t="inlineStr">
        <is>
          <t>Assets</t>
        </is>
      </c>
      <c r="D12207" s="3" t="inlineStr">
        <is>
          <t>6350/020</t>
        </is>
      </c>
      <c r="E12207" s="3" t="inlineStr">
        <is>
          <t>Furniture _AND_ Fittings - Accum Depre</t>
        </is>
      </c>
      <c r="F12207" s="3" t="n">
        <v>-408.05</v>
      </c>
      <c r="G12207" s="3" t="n">
        <v>-2448.31</v>
      </c>
    </row>
    <row r="12208">
      <c r="A12208" s="3" t="inlineStr">
        <is>
          <t>Opportunity Management Holdings (PTY) LTD</t>
        </is>
      </c>
      <c r="B12208" s="4" t="n">
        <v>44926</v>
      </c>
      <c r="C12208" s="3" t="inlineStr">
        <is>
          <t>Liabilities</t>
        </is>
      </c>
      <c r="D12208" s="3" t="inlineStr">
        <is>
          <t>6500/000</t>
        </is>
      </c>
      <c r="E12208" s="3" t="inlineStr">
        <is>
          <t>Deposits - Held</t>
        </is>
      </c>
      <c r="F12208" s="3" t="n">
        <v>0</v>
      </c>
      <c r="G12208" s="3" t="n">
        <v>-12028.1</v>
      </c>
    </row>
    <row r="12209">
      <c r="A12209" s="3" t="inlineStr">
        <is>
          <t>Opportunity Management Holdings (PTY) LTD</t>
        </is>
      </c>
      <c r="B12209" s="4" t="n">
        <v>44926</v>
      </c>
      <c r="C12209" s="3" t="inlineStr">
        <is>
          <t>Liabilities</t>
        </is>
      </c>
      <c r="D12209" s="3" t="inlineStr">
        <is>
          <t>6510/000</t>
        </is>
      </c>
      <c r="E12209" s="3" t="inlineStr">
        <is>
          <t>Deposits Paid - Anicol Properties</t>
        </is>
      </c>
      <c r="F12209" s="3" t="n">
        <v>0</v>
      </c>
      <c r="G12209" s="3" t="n">
        <v>13755</v>
      </c>
    </row>
    <row r="12210">
      <c r="A12210" s="3" t="inlineStr">
        <is>
          <t>Opportunity Management Holdings (PTY) LTD</t>
        </is>
      </c>
      <c r="B12210" s="4" t="n">
        <v>44926</v>
      </c>
      <c r="C12210" s="3" t="inlineStr">
        <is>
          <t>Liabilities</t>
        </is>
      </c>
      <c r="D12210" s="3" t="inlineStr">
        <is>
          <t>6515/000</t>
        </is>
      </c>
      <c r="E12210" s="3" t="inlineStr">
        <is>
          <t>Deposits Paid</t>
        </is>
      </c>
      <c r="F12210" s="3" t="n">
        <v>0</v>
      </c>
      <c r="G12210" s="3" t="n">
        <v>3852.5</v>
      </c>
    </row>
    <row r="12211">
      <c r="A12211" s="3" t="inlineStr">
        <is>
          <t>Quinate Consulting (Pty) Ltd</t>
        </is>
      </c>
      <c r="B12211" s="4" t="n">
        <v>44926</v>
      </c>
      <c r="C12211" s="3" t="inlineStr">
        <is>
          <t>Assets</t>
        </is>
      </c>
      <c r="D12211" s="3" t="inlineStr">
        <is>
          <t>6600/010</t>
        </is>
      </c>
      <c r="E12211" s="3" t="inlineStr">
        <is>
          <t>Other Fixed Assets - @ Cost</t>
        </is>
      </c>
      <c r="F12211" s="3" t="n">
        <v>0</v>
      </c>
      <c r="G12211" s="3" t="n">
        <v>14442.5</v>
      </c>
    </row>
    <row r="12212">
      <c r="A12212" s="3" t="inlineStr">
        <is>
          <t>Quinate Consulting (Pty) Ltd</t>
        </is>
      </c>
      <c r="B12212" s="4" t="n">
        <v>44926</v>
      </c>
      <c r="C12212" s="3" t="inlineStr">
        <is>
          <t>Assets</t>
        </is>
      </c>
      <c r="D12212" s="3" t="inlineStr">
        <is>
          <t>6600/020</t>
        </is>
      </c>
      <c r="E12212" s="3" t="inlineStr">
        <is>
          <t>Other Fixed Assets - Accum Depre</t>
        </is>
      </c>
      <c r="F12212" s="3" t="n">
        <v>0</v>
      </c>
      <c r="G12212" s="3" t="n">
        <v>-14441.5</v>
      </c>
    </row>
    <row r="12213">
      <c r="A12213" s="3" t="inlineStr">
        <is>
          <t>Noble Shield (Pty) Ltd ta Go Letting</t>
        </is>
      </c>
      <c r="B12213" s="4" t="n">
        <v>44926</v>
      </c>
      <c r="C12213" s="3" t="inlineStr">
        <is>
          <t>Assets</t>
        </is>
      </c>
      <c r="D12213" s="3" t="inlineStr">
        <is>
          <t>7000/100</t>
        </is>
      </c>
      <c r="E12213" s="3" t="inlineStr">
        <is>
          <t>Goodwill - Purchase of Go Letting</t>
        </is>
      </c>
      <c r="F12213" s="3" t="n">
        <v>0</v>
      </c>
      <c r="G12213" s="3" t="n">
        <v>106580</v>
      </c>
    </row>
    <row r="12214">
      <c r="A12214" s="3" t="inlineStr">
        <is>
          <t>Opportunity Management Holdings (PTY) LTD</t>
        </is>
      </c>
      <c r="B12214" s="4" t="n">
        <v>44926</v>
      </c>
      <c r="C12214" s="3" t="inlineStr">
        <is>
          <t>Assets</t>
        </is>
      </c>
      <c r="D12214" s="3" t="inlineStr">
        <is>
          <t>7200/000</t>
        </is>
      </c>
      <c r="E12214" s="3" t="inlineStr">
        <is>
          <t>Shares in Subsidiary Companies</t>
        </is>
      </c>
      <c r="F12214" s="3" t="n">
        <v>0</v>
      </c>
      <c r="G12214" s="3" t="n">
        <v>120</v>
      </c>
    </row>
    <row r="12215">
      <c r="A12215" s="3" t="inlineStr">
        <is>
          <t>Endulini (Pty) Ltd</t>
        </is>
      </c>
      <c r="B12215" s="4" t="n">
        <v>44926</v>
      </c>
      <c r="C12215" s="3" t="inlineStr">
        <is>
          <t>Assets</t>
        </is>
      </c>
      <c r="D12215" s="3" t="inlineStr">
        <is>
          <t>7610/100</t>
        </is>
      </c>
      <c r="E12215" s="3" t="inlineStr">
        <is>
          <t>Endulini Land</t>
        </is>
      </c>
      <c r="F12215" s="3" t="n">
        <v>0</v>
      </c>
      <c r="G12215" s="3" t="n">
        <v>10572851.37</v>
      </c>
    </row>
    <row r="12216">
      <c r="A12216" s="3" t="inlineStr">
        <is>
          <t>Endulini (Pty) Ltd</t>
        </is>
      </c>
      <c r="B12216" s="4" t="n">
        <v>44926</v>
      </c>
      <c r="C12216" s="3" t="inlineStr">
        <is>
          <t>Assets</t>
        </is>
      </c>
      <c r="D12216" s="3" t="inlineStr">
        <is>
          <t>7610/111</t>
        </is>
      </c>
      <c r="E12216" s="3" t="inlineStr">
        <is>
          <t>Endulini Closing Stock February 2021</t>
        </is>
      </c>
      <c r="F12216" s="3" t="n">
        <v>0</v>
      </c>
      <c r="G12216" s="3" t="n">
        <v>15044610.11</v>
      </c>
    </row>
    <row r="12217">
      <c r="A12217" s="3" t="inlineStr">
        <is>
          <t>Endulini (Pty) Ltd</t>
        </is>
      </c>
      <c r="B12217" s="4" t="n">
        <v>44926</v>
      </c>
      <c r="C12217" s="3" t="inlineStr">
        <is>
          <t>Assets</t>
        </is>
      </c>
      <c r="D12217" s="3" t="inlineStr">
        <is>
          <t>7610/180</t>
        </is>
      </c>
      <c r="E12217" s="3" t="inlineStr">
        <is>
          <t>Endulini CIP Architects</t>
        </is>
      </c>
      <c r="F12217" s="3" t="n">
        <v>0</v>
      </c>
      <c r="G12217" s="3" t="n">
        <v>1251503.01</v>
      </c>
    </row>
    <row r="12218">
      <c r="A12218" s="3" t="inlineStr">
        <is>
          <t>Endulini (Pty) Ltd</t>
        </is>
      </c>
      <c r="B12218" s="4" t="n">
        <v>44926</v>
      </c>
      <c r="C12218" s="3" t="inlineStr">
        <is>
          <t>Assets</t>
        </is>
      </c>
      <c r="D12218" s="3" t="inlineStr">
        <is>
          <t>7610/200</t>
        </is>
      </c>
      <c r="E12218" s="3" t="inlineStr">
        <is>
          <t>Endulini CIP CoCT Land Use App</t>
        </is>
      </c>
      <c r="F12218" s="3" t="n">
        <v>0</v>
      </c>
      <c r="G12218" s="3" t="n">
        <v>232891.06</v>
      </c>
    </row>
    <row r="12219">
      <c r="A12219" s="3" t="inlineStr">
        <is>
          <t>Endulini (Pty) Ltd</t>
        </is>
      </c>
      <c r="B12219" s="4" t="n">
        <v>44926</v>
      </c>
      <c r="C12219" s="3" t="inlineStr">
        <is>
          <t>Assets</t>
        </is>
      </c>
      <c r="D12219" s="3" t="inlineStr">
        <is>
          <t>7610/205</t>
        </is>
      </c>
      <c r="E12219" s="3" t="inlineStr">
        <is>
          <t>Endulini CIP Site Establishments</t>
        </is>
      </c>
      <c r="F12219" s="3" t="n">
        <v>0</v>
      </c>
      <c r="G12219" s="3" t="n">
        <v>32428975.01</v>
      </c>
    </row>
    <row r="12220">
      <c r="A12220" s="3" t="inlineStr">
        <is>
          <t>Endulini (Pty) Ltd</t>
        </is>
      </c>
      <c r="B12220" s="4" t="n">
        <v>44926</v>
      </c>
      <c r="C12220" s="3" t="inlineStr">
        <is>
          <t>Assets</t>
        </is>
      </c>
      <c r="D12220" s="3" t="inlineStr">
        <is>
          <t>7610/209</t>
        </is>
      </c>
      <c r="E12220" s="3" t="inlineStr">
        <is>
          <t>Endulini CIP Construction Management</t>
        </is>
      </c>
      <c r="F12220" s="3" t="n">
        <v>0</v>
      </c>
      <c r="G12220" s="3" t="n">
        <v>221875</v>
      </c>
    </row>
    <row r="12221">
      <c r="A12221" s="3" t="inlineStr">
        <is>
          <t>Endulini (Pty) Ltd</t>
        </is>
      </c>
      <c r="B12221" s="4" t="n">
        <v>44926</v>
      </c>
      <c r="C12221" s="3" t="inlineStr">
        <is>
          <t>Assets</t>
        </is>
      </c>
      <c r="D12221" s="3" t="inlineStr">
        <is>
          <t>7610/210</t>
        </is>
      </c>
      <c r="E12221" s="3" t="inlineStr">
        <is>
          <t>Endulini CIP Civil Works</t>
        </is>
      </c>
      <c r="F12221" s="3" t="n">
        <v>0</v>
      </c>
      <c r="G12221" s="3" t="n">
        <v>6295702.14</v>
      </c>
    </row>
    <row r="12222">
      <c r="A12222" s="3" t="inlineStr">
        <is>
          <t>Endulini (Pty) Ltd</t>
        </is>
      </c>
      <c r="B12222" s="4" t="n">
        <v>44926</v>
      </c>
      <c r="C12222" s="3" t="inlineStr">
        <is>
          <t>Assets</t>
        </is>
      </c>
      <c r="D12222" s="3" t="inlineStr">
        <is>
          <t>7610/215</t>
        </is>
      </c>
      <c r="E12222" s="3" t="inlineStr">
        <is>
          <t>Endulini CIP Civil Engineers</t>
        </is>
      </c>
      <c r="F12222" s="3" t="n">
        <v>0</v>
      </c>
      <c r="G12222" s="3" t="n">
        <v>183000</v>
      </c>
    </row>
    <row r="12223">
      <c r="A12223" s="3" t="inlineStr">
        <is>
          <t>Endulini (Pty) Ltd</t>
        </is>
      </c>
      <c r="B12223" s="4" t="n">
        <v>44926</v>
      </c>
      <c r="C12223" s="3" t="inlineStr">
        <is>
          <t>Assets</t>
        </is>
      </c>
      <c r="D12223" s="3" t="inlineStr">
        <is>
          <t>7610/220</t>
        </is>
      </c>
      <c r="E12223" s="3" t="inlineStr">
        <is>
          <t>Endulini CIP Structuring Project Fee Opp Invest</t>
        </is>
      </c>
      <c r="F12223" s="3" t="n">
        <v>0</v>
      </c>
      <c r="G12223" s="3" t="n">
        <v>483735.96</v>
      </c>
    </row>
    <row r="12224">
      <c r="A12224" s="3" t="inlineStr">
        <is>
          <t>Endulini (Pty) Ltd</t>
        </is>
      </c>
      <c r="B12224" s="4" t="n">
        <v>44926</v>
      </c>
      <c r="C12224" s="3" t="inlineStr">
        <is>
          <t>Assets</t>
        </is>
      </c>
      <c r="D12224" s="3" t="inlineStr">
        <is>
          <t>7610/225</t>
        </is>
      </c>
      <c r="E12224" s="3" t="inlineStr">
        <is>
          <t>Endulini CIP Structural engineering fee</t>
        </is>
      </c>
      <c r="F12224" s="3" t="n">
        <v>0</v>
      </c>
      <c r="G12224" s="3" t="n">
        <v>346268.03</v>
      </c>
    </row>
    <row r="12225">
      <c r="A12225" s="3" t="inlineStr">
        <is>
          <t>Endulini (Pty) Ltd</t>
        </is>
      </c>
      <c r="B12225" s="4" t="n">
        <v>44926</v>
      </c>
      <c r="C12225" s="3" t="inlineStr">
        <is>
          <t>Assets</t>
        </is>
      </c>
      <c r="D12225" s="3" t="inlineStr">
        <is>
          <t>7610/230</t>
        </is>
      </c>
      <c r="E12225" s="3" t="inlineStr">
        <is>
          <t>Endulini CIP Mechanical Engineering</t>
        </is>
      </c>
      <c r="F12225" s="3" t="n">
        <v>0</v>
      </c>
      <c r="G12225" s="3" t="n">
        <v>15570</v>
      </c>
    </row>
    <row r="12226">
      <c r="A12226" s="3" t="inlineStr">
        <is>
          <t>Endulini (Pty) Ltd</t>
        </is>
      </c>
      <c r="B12226" s="4" t="n">
        <v>44926</v>
      </c>
      <c r="C12226" s="3" t="inlineStr">
        <is>
          <t>Assets</t>
        </is>
      </c>
      <c r="D12226" s="3" t="inlineStr">
        <is>
          <t>7610/235</t>
        </is>
      </c>
      <c r="E12226" s="3" t="inlineStr">
        <is>
          <t>Endulini CIP Electrical Installation</t>
        </is>
      </c>
      <c r="F12226" s="3" t="n">
        <v>0</v>
      </c>
      <c r="G12226" s="3" t="n">
        <v>1034019.08</v>
      </c>
    </row>
    <row r="12227">
      <c r="A12227" s="3" t="inlineStr">
        <is>
          <t>Endulini (Pty) Ltd</t>
        </is>
      </c>
      <c r="B12227" s="4" t="n">
        <v>44926</v>
      </c>
      <c r="C12227" s="3" t="inlineStr">
        <is>
          <t>Assets</t>
        </is>
      </c>
      <c r="D12227" s="3" t="inlineStr">
        <is>
          <t>7610/250</t>
        </is>
      </c>
      <c r="E12227" s="3" t="inlineStr">
        <is>
          <t>Endulini CIP Boundary Wall</t>
        </is>
      </c>
      <c r="F12227" s="3" t="n">
        <v>0</v>
      </c>
      <c r="G12227" s="3" t="n">
        <v>88400.8</v>
      </c>
    </row>
    <row r="12228">
      <c r="A12228" s="3" t="inlineStr">
        <is>
          <t>Endulini (Pty) Ltd</t>
        </is>
      </c>
      <c r="B12228" s="4" t="n">
        <v>44926</v>
      </c>
      <c r="C12228" s="3" t="inlineStr">
        <is>
          <t>Assets</t>
        </is>
      </c>
      <c r="D12228" s="3" t="inlineStr">
        <is>
          <t>7610/290</t>
        </is>
      </c>
      <c r="E12228" s="3" t="inlineStr">
        <is>
          <t>Endulini CIP Development Management Fees</t>
        </is>
      </c>
      <c r="F12228" s="3" t="n">
        <v>0</v>
      </c>
      <c r="G12228" s="3" t="n">
        <v>237496.62</v>
      </c>
    </row>
    <row r="12229">
      <c r="A12229" s="3" t="inlineStr">
        <is>
          <t>Endulini (Pty) Ltd</t>
        </is>
      </c>
      <c r="B12229" s="4" t="n">
        <v>44926</v>
      </c>
      <c r="C12229" s="3" t="inlineStr">
        <is>
          <t>Assets</t>
        </is>
      </c>
      <c r="D12229" s="3" t="inlineStr">
        <is>
          <t>7610/310</t>
        </is>
      </c>
      <c r="E12229" s="3" t="inlineStr">
        <is>
          <t>Endulini CIP Enviromental consultants</t>
        </is>
      </c>
      <c r="F12229" s="3" t="n">
        <v>7730</v>
      </c>
      <c r="G12229" s="3" t="n">
        <v>115730</v>
      </c>
    </row>
    <row r="12230">
      <c r="A12230" s="3" t="inlineStr">
        <is>
          <t>Endulini (Pty) Ltd</t>
        </is>
      </c>
      <c r="B12230" s="4" t="n">
        <v>44926</v>
      </c>
      <c r="C12230" s="3" t="inlineStr">
        <is>
          <t>Assets</t>
        </is>
      </c>
      <c r="D12230" s="3" t="inlineStr">
        <is>
          <t>7610/320</t>
        </is>
      </c>
      <c r="E12230" s="3" t="inlineStr">
        <is>
          <t>Endulini CIP Geotechnical</t>
        </is>
      </c>
      <c r="F12230" s="3" t="n">
        <v>0</v>
      </c>
      <c r="G12230" s="3" t="n">
        <v>13575</v>
      </c>
    </row>
    <row r="12231">
      <c r="A12231" s="3" t="inlineStr">
        <is>
          <t>Endulini (Pty) Ltd</t>
        </is>
      </c>
      <c r="B12231" s="4" t="n">
        <v>44926</v>
      </c>
      <c r="C12231" s="3" t="inlineStr">
        <is>
          <t>Assets</t>
        </is>
      </c>
      <c r="D12231" s="3" t="inlineStr">
        <is>
          <t>7610/330</t>
        </is>
      </c>
      <c r="E12231" s="3" t="inlineStr">
        <is>
          <t>Endulini CIP Health and Safety</t>
        </is>
      </c>
      <c r="F12231" s="3" t="n">
        <v>0</v>
      </c>
      <c r="G12231" s="3" t="n">
        <v>40200</v>
      </c>
    </row>
    <row r="12232">
      <c r="A12232" s="3" t="inlineStr">
        <is>
          <t>Endulini (Pty) Ltd</t>
        </is>
      </c>
      <c r="B12232" s="4" t="n">
        <v>44926</v>
      </c>
      <c r="C12232" s="3" t="inlineStr">
        <is>
          <t>Assets</t>
        </is>
      </c>
      <c r="D12232" s="3" t="inlineStr">
        <is>
          <t>7610/390</t>
        </is>
      </c>
      <c r="E12232" s="3" t="inlineStr">
        <is>
          <t>Endulini CIP Land Surveyor</t>
        </is>
      </c>
      <c r="F12232" s="3" t="n">
        <v>0</v>
      </c>
      <c r="G12232" s="3" t="n">
        <v>186021.2</v>
      </c>
    </row>
    <row r="12233">
      <c r="A12233" s="3" t="inlineStr">
        <is>
          <t>Endulini (Pty) Ltd</t>
        </is>
      </c>
      <c r="B12233" s="4" t="n">
        <v>44926</v>
      </c>
      <c r="C12233" s="3" t="inlineStr">
        <is>
          <t>Assets</t>
        </is>
      </c>
      <c r="D12233" s="3" t="inlineStr">
        <is>
          <t>7610/392</t>
        </is>
      </c>
      <c r="E12233" s="3" t="inlineStr">
        <is>
          <t>Endulini CIP Landscaping</t>
        </is>
      </c>
      <c r="F12233" s="3" t="n">
        <v>0</v>
      </c>
      <c r="G12233" s="3" t="n">
        <v>6100</v>
      </c>
    </row>
    <row r="12234">
      <c r="A12234" s="3" t="inlineStr">
        <is>
          <t>Endulini (Pty) Ltd</t>
        </is>
      </c>
      <c r="B12234" s="4" t="n">
        <v>44926</v>
      </c>
      <c r="C12234" s="3" t="inlineStr">
        <is>
          <t>Assets</t>
        </is>
      </c>
      <c r="D12234" s="3" t="inlineStr">
        <is>
          <t>7610/395</t>
        </is>
      </c>
      <c r="E12234" s="3" t="inlineStr">
        <is>
          <t>Endulini CIP NHBRC</t>
        </is>
      </c>
      <c r="F12234" s="3" t="n">
        <v>0</v>
      </c>
      <c r="G12234" s="3" t="n">
        <v>928847.49</v>
      </c>
    </row>
    <row r="12235">
      <c r="A12235" s="3" t="inlineStr">
        <is>
          <t>Endulini (Pty) Ltd</t>
        </is>
      </c>
      <c r="B12235" s="4" t="n">
        <v>44926</v>
      </c>
      <c r="C12235" s="3" t="inlineStr">
        <is>
          <t>Assets</t>
        </is>
      </c>
      <c r="D12235" s="3" t="inlineStr">
        <is>
          <t>7610/400</t>
        </is>
      </c>
      <c r="E12235" s="3" t="inlineStr">
        <is>
          <t>Endulini CIP Quantity Surveyor</t>
        </is>
      </c>
      <c r="F12235" s="3" t="n">
        <v>0</v>
      </c>
      <c r="G12235" s="3" t="n">
        <v>82136.36</v>
      </c>
    </row>
    <row r="12236">
      <c r="A12236" s="3" t="inlineStr">
        <is>
          <t>Endulini (Pty) Ltd</t>
        </is>
      </c>
      <c r="B12236" s="4" t="n">
        <v>44926</v>
      </c>
      <c r="C12236" s="3" t="inlineStr">
        <is>
          <t>Assets</t>
        </is>
      </c>
      <c r="D12236" s="3" t="inlineStr">
        <is>
          <t>7610/600</t>
        </is>
      </c>
      <c r="E12236" s="3" t="inlineStr">
        <is>
          <t>Endulini CIP Town Planning</t>
        </is>
      </c>
      <c r="F12236" s="3" t="n">
        <v>0</v>
      </c>
      <c r="G12236" s="3" t="n">
        <v>21105</v>
      </c>
    </row>
    <row r="12237">
      <c r="A12237" s="3" t="inlineStr">
        <is>
          <t>Endulini (Pty) Ltd</t>
        </is>
      </c>
      <c r="B12237" s="4" t="n">
        <v>44926</v>
      </c>
      <c r="C12237" s="3" t="inlineStr">
        <is>
          <t>Assets</t>
        </is>
      </c>
      <c r="D12237" s="3" t="inlineStr">
        <is>
          <t>7610/620</t>
        </is>
      </c>
      <c r="E12237" s="3" t="inlineStr">
        <is>
          <t>Endulini CIP Traffic Impact</t>
        </is>
      </c>
      <c r="F12237" s="3" t="n">
        <v>0</v>
      </c>
      <c r="G12237" s="3" t="n">
        <v>24915</v>
      </c>
    </row>
    <row r="12238">
      <c r="A12238" s="3" t="inlineStr">
        <is>
          <t>Endulini (Pty) Ltd</t>
        </is>
      </c>
      <c r="B12238" s="4" t="n">
        <v>44926</v>
      </c>
      <c r="C12238" s="3" t="inlineStr">
        <is>
          <t>Assets</t>
        </is>
      </c>
      <c r="D12238" s="3" t="inlineStr">
        <is>
          <t>7610/630</t>
        </is>
      </c>
      <c r="E12238" s="3" t="inlineStr">
        <is>
          <t>Endulini CIP CoCT Development Contributi</t>
        </is>
      </c>
      <c r="F12238" s="3" t="n">
        <v>0</v>
      </c>
      <c r="G12238" s="3" t="n">
        <v>661860.3100000001</v>
      </c>
    </row>
    <row r="12239">
      <c r="A12239" s="3" t="inlineStr">
        <is>
          <t>Endulini (Pty) Ltd</t>
        </is>
      </c>
      <c r="B12239" s="4" t="n">
        <v>44926</v>
      </c>
      <c r="C12239" s="3" t="inlineStr">
        <is>
          <t>Assets</t>
        </is>
      </c>
      <c r="D12239" s="3" t="inlineStr">
        <is>
          <t>7610/640</t>
        </is>
      </c>
      <c r="E12239" s="3" t="inlineStr">
        <is>
          <t>Endulini CIP CoCT Building plan application</t>
        </is>
      </c>
      <c r="F12239" s="3" t="n">
        <v>0</v>
      </c>
      <c r="G12239" s="3" t="n">
        <v>111203.22</v>
      </c>
    </row>
    <row r="12240">
      <c r="A12240" s="3" t="inlineStr">
        <is>
          <t>Endulini (Pty) Ltd</t>
        </is>
      </c>
      <c r="B12240" s="4" t="n">
        <v>44926</v>
      </c>
      <c r="C12240" s="3" t="inlineStr">
        <is>
          <t>Assets</t>
        </is>
      </c>
      <c r="D12240" s="3" t="inlineStr">
        <is>
          <t>7610/650</t>
        </is>
      </c>
      <c r="E12240" s="3" t="inlineStr">
        <is>
          <t>Endulini CIP - P&amp;G recoveries - Endulini&amp;Heron Fields/View</t>
        </is>
      </c>
      <c r="F12240" s="3" t="n">
        <v>0</v>
      </c>
      <c r="G12240" s="3" t="n">
        <v>-3023829.42</v>
      </c>
    </row>
    <row r="12241">
      <c r="A12241" s="3" t="inlineStr">
        <is>
          <t>Endulini (Pty) Ltd</t>
        </is>
      </c>
      <c r="B12241" s="4" t="n">
        <v>44926</v>
      </c>
      <c r="C12241" s="3" t="inlineStr">
        <is>
          <t>Assets</t>
        </is>
      </c>
      <c r="D12241" s="3" t="inlineStr">
        <is>
          <t>7610/900</t>
        </is>
      </c>
      <c r="E12241" s="3" t="inlineStr">
        <is>
          <t>Endulini CIP Cost of Sales</t>
        </is>
      </c>
      <c r="F12241" s="3" t="n">
        <v>0</v>
      </c>
      <c r="G12241" s="3" t="n">
        <v>-28155981.9</v>
      </c>
    </row>
    <row r="12242">
      <c r="A12242" s="3" t="inlineStr">
        <is>
          <t>Quinate Consulting (Pty) Ltd</t>
        </is>
      </c>
      <c r="B12242" s="4" t="n">
        <v>44926</v>
      </c>
      <c r="C12242" s="3" t="inlineStr">
        <is>
          <t>Assets</t>
        </is>
      </c>
      <c r="D12242" s="3" t="inlineStr">
        <is>
          <t>7800/104</t>
        </is>
      </c>
      <c r="E12242" s="3" t="inlineStr">
        <is>
          <t>Stock - Closing Stock SW - 28 Feb 21</t>
        </is>
      </c>
      <c r="F12242" s="3" t="n">
        <v>0</v>
      </c>
      <c r="G12242" s="3" t="n">
        <v>2874478.88</v>
      </c>
    </row>
    <row r="12243">
      <c r="A12243" s="3" t="inlineStr">
        <is>
          <t>Quinate Consulting (Pty) Ltd</t>
        </is>
      </c>
      <c r="B12243" s="4" t="n">
        <v>44926</v>
      </c>
      <c r="C12243" s="3" t="inlineStr">
        <is>
          <t>Assets</t>
        </is>
      </c>
      <c r="D12243" s="3" t="inlineStr">
        <is>
          <t>7800/105</t>
        </is>
      </c>
      <c r="E12243" s="3" t="inlineStr">
        <is>
          <t>Stock - Closing Stock SH - 28 Feb 21</t>
        </is>
      </c>
      <c r="F12243" s="3" t="n">
        <v>0</v>
      </c>
      <c r="G12243" s="3" t="n">
        <v>2843477.6</v>
      </c>
    </row>
    <row r="12244">
      <c r="A12244" s="3" t="inlineStr">
        <is>
          <t>Endulini (Pty) Ltd</t>
        </is>
      </c>
      <c r="B12244" s="4" t="n">
        <v>44926</v>
      </c>
      <c r="C12244" s="3" t="inlineStr">
        <is>
          <t>Assets</t>
        </is>
      </c>
      <c r="D12244" s="3" t="inlineStr">
        <is>
          <t>8000/000</t>
        </is>
      </c>
      <c r="E12244" s="3" t="inlineStr">
        <is>
          <t>Customer Control Account</t>
        </is>
      </c>
      <c r="F12244" s="3" t="n">
        <v>0</v>
      </c>
      <c r="G12244" s="3" t="n">
        <v>3478538.07</v>
      </c>
    </row>
    <row r="12245">
      <c r="A12245" s="3" t="inlineStr">
        <is>
          <t>Noble Shield (Pty) Ltd ta Go Letting</t>
        </is>
      </c>
      <c r="B12245" s="4" t="n">
        <v>44926</v>
      </c>
      <c r="C12245" s="3" t="inlineStr">
        <is>
          <t>Assets</t>
        </is>
      </c>
      <c r="D12245" s="3" t="inlineStr">
        <is>
          <t>8000/000</t>
        </is>
      </c>
      <c r="E12245" s="3" t="inlineStr">
        <is>
          <t>Customer Control Account</t>
        </is>
      </c>
      <c r="F12245" s="3" t="n">
        <v>0</v>
      </c>
      <c r="G12245" s="3" t="n">
        <v>60289.32</v>
      </c>
    </row>
    <row r="12246">
      <c r="A12246" s="3" t="inlineStr">
        <is>
          <t>Opportunity Global Sales (PTY) LTD</t>
        </is>
      </c>
      <c r="B12246" s="4" t="n">
        <v>44926</v>
      </c>
      <c r="C12246" s="3" t="inlineStr">
        <is>
          <t>Assets</t>
        </is>
      </c>
      <c r="D12246" s="3" t="inlineStr">
        <is>
          <t>8000/000</t>
        </is>
      </c>
      <c r="E12246" s="3" t="inlineStr">
        <is>
          <t>Customer Control Account</t>
        </is>
      </c>
      <c r="F12246" s="3" t="n">
        <v>54809.57</v>
      </c>
      <c r="G12246" s="3" t="n">
        <v>165220.65</v>
      </c>
    </row>
    <row r="12247">
      <c r="A12247" s="3" t="inlineStr">
        <is>
          <t>Opportunity Management Holdings (PTY) LTD</t>
        </is>
      </c>
      <c r="B12247" s="4" t="n">
        <v>44926</v>
      </c>
      <c r="C12247" s="3" t="inlineStr">
        <is>
          <t>Assets</t>
        </is>
      </c>
      <c r="D12247" s="3" t="inlineStr">
        <is>
          <t>8000/000</t>
        </is>
      </c>
      <c r="E12247" s="3" t="inlineStr">
        <is>
          <t>Customer Control Account</t>
        </is>
      </c>
      <c r="F12247" s="3" t="n">
        <v>11500</v>
      </c>
      <c r="G12247" s="3" t="n">
        <v>11500</v>
      </c>
    </row>
    <row r="12248">
      <c r="A12248" s="3" t="inlineStr">
        <is>
          <t>Quinate Consulting (Pty) Ltd</t>
        </is>
      </c>
      <c r="B12248" s="4" t="n">
        <v>44926</v>
      </c>
      <c r="C12248" s="3" t="inlineStr">
        <is>
          <t>Assets</t>
        </is>
      </c>
      <c r="D12248" s="3" t="inlineStr">
        <is>
          <t>8000/000</t>
        </is>
      </c>
      <c r="E12248" s="3" t="inlineStr">
        <is>
          <t>Customer Control Account</t>
        </is>
      </c>
      <c r="F12248" s="3" t="n">
        <v>-4353.8</v>
      </c>
      <c r="G12248" s="3" t="n">
        <v>-11698.8</v>
      </c>
    </row>
    <row r="12249">
      <c r="A12249" s="3" t="inlineStr">
        <is>
          <t>Quinate Consulting (Pty) Ltd</t>
        </is>
      </c>
      <c r="B12249" s="4" t="n">
        <v>44926</v>
      </c>
      <c r="C12249" s="3" t="inlineStr">
        <is>
          <t>Assets</t>
        </is>
      </c>
      <c r="D12249" s="3" t="inlineStr">
        <is>
          <t>8001</t>
        </is>
      </c>
      <c r="E12249" s="3" t="inlineStr">
        <is>
          <t>Customer Control</t>
        </is>
      </c>
      <c r="F12249" s="3" t="n">
        <v>0</v>
      </c>
      <c r="G12249" s="3" t="n">
        <v>29487.49</v>
      </c>
    </row>
    <row r="12250">
      <c r="A12250" s="3" t="inlineStr">
        <is>
          <t>Opportunity Global Investment (PTY) LTD</t>
        </is>
      </c>
      <c r="B12250" s="4" t="n">
        <v>44926</v>
      </c>
      <c r="C12250" s="3" t="inlineStr">
        <is>
          <t>Assets</t>
        </is>
      </c>
      <c r="D12250" s="3" t="inlineStr">
        <is>
          <t>8200/010</t>
        </is>
      </c>
      <c r="E12250" s="3" t="inlineStr">
        <is>
          <t>Prepayments / Prepaid Expenses</t>
        </is>
      </c>
      <c r="F12250" s="3" t="n">
        <v>0</v>
      </c>
      <c r="G12250" s="3" t="n">
        <v>20180.89</v>
      </c>
    </row>
    <row r="12251">
      <c r="A12251" s="3" t="inlineStr">
        <is>
          <t>Quinate Consulting (Pty) Ltd</t>
        </is>
      </c>
      <c r="B12251" s="4" t="n">
        <v>44926</v>
      </c>
      <c r="C12251" s="3" t="inlineStr">
        <is>
          <t>Assets</t>
        </is>
      </c>
      <c r="D12251" s="3" t="inlineStr">
        <is>
          <t>8200/010</t>
        </is>
      </c>
      <c r="E12251" s="3" t="inlineStr">
        <is>
          <t>Prepayments / Prepaid Expenses</t>
        </is>
      </c>
      <c r="F12251" s="3" t="n">
        <v>0</v>
      </c>
      <c r="G12251" s="3" t="n">
        <v>109675</v>
      </c>
    </row>
    <row r="12252">
      <c r="A12252" s="3" t="inlineStr">
        <is>
          <t>Opportunity Global Sales (PTY) LTD</t>
        </is>
      </c>
      <c r="B12252" s="4" t="n">
        <v>44926</v>
      </c>
      <c r="C12252" s="3" t="inlineStr">
        <is>
          <t>Assets</t>
        </is>
      </c>
      <c r="D12252" s="3" t="inlineStr">
        <is>
          <t>8300/100</t>
        </is>
      </c>
      <c r="E12252" s="3" t="inlineStr">
        <is>
          <t>Staff Loan - Yvette Mostert</t>
        </is>
      </c>
      <c r="F12252" s="3" t="n">
        <v>-1500</v>
      </c>
      <c r="G12252" s="3" t="n">
        <v>3000</v>
      </c>
    </row>
    <row r="12253">
      <c r="A12253" s="3" t="inlineStr">
        <is>
          <t>Opportunity Global Investment (PTY) LTD</t>
        </is>
      </c>
      <c r="B12253" s="4" t="n">
        <v>44926</v>
      </c>
      <c r="C12253" s="3" t="inlineStr">
        <is>
          <t>Assets</t>
        </is>
      </c>
      <c r="D12253" s="3" t="inlineStr">
        <is>
          <t>8400/000</t>
        </is>
      </c>
      <c r="E12253" s="3" t="inlineStr">
        <is>
          <t>FNB 62093491696</t>
        </is>
      </c>
      <c r="F12253" s="3" t="n">
        <v>-29577.74</v>
      </c>
      <c r="G12253" s="3" t="n">
        <v>36536.13</v>
      </c>
    </row>
    <row r="12254">
      <c r="A12254" s="3" t="inlineStr">
        <is>
          <t>Opportunity Global Sales (PTY) LTD</t>
        </is>
      </c>
      <c r="B12254" s="4" t="n">
        <v>44926</v>
      </c>
      <c r="C12254" s="3" t="inlineStr">
        <is>
          <t>Assets</t>
        </is>
      </c>
      <c r="D12254" s="3" t="inlineStr">
        <is>
          <t>8400/000</t>
        </is>
      </c>
      <c r="E12254" s="3" t="inlineStr">
        <is>
          <t>FNB 62835620875</t>
        </is>
      </c>
      <c r="F12254" s="3" t="n">
        <v>-286826.82</v>
      </c>
      <c r="G12254" s="3" t="n">
        <v>16606.39</v>
      </c>
    </row>
    <row r="12255">
      <c r="A12255" s="3" t="inlineStr">
        <is>
          <t>Quinate Consulting (Pty) Ltd</t>
        </is>
      </c>
      <c r="B12255" s="4" t="n">
        <v>44926</v>
      </c>
      <c r="C12255" s="3" t="inlineStr">
        <is>
          <t>Assets</t>
        </is>
      </c>
      <c r="D12255" s="3" t="inlineStr">
        <is>
          <t>8400/000</t>
        </is>
      </c>
      <c r="E12255" s="3" t="inlineStr">
        <is>
          <t>RMB - 62736659189 - Call Acc</t>
        </is>
      </c>
      <c r="F12255" s="3" t="n">
        <v>697.46</v>
      </c>
      <c r="G12255" s="3" t="n">
        <v>154501.53</v>
      </c>
    </row>
    <row r="12256">
      <c r="A12256" s="3" t="inlineStr">
        <is>
          <t>Trademark Holdings (Pty) Ltd</t>
        </is>
      </c>
      <c r="B12256" s="4" t="n">
        <v>44926</v>
      </c>
      <c r="C12256" s="3" t="inlineStr">
        <is>
          <t>Assets</t>
        </is>
      </c>
      <c r="D12256" s="3" t="inlineStr">
        <is>
          <t>8400/000</t>
        </is>
      </c>
      <c r="E12256" s="3" t="inlineStr">
        <is>
          <t>RMB 623 693 03640</t>
        </is>
      </c>
      <c r="F12256" s="3" t="n">
        <v>-36425.34</v>
      </c>
      <c r="G12256" s="3" t="n">
        <v>46169.9</v>
      </c>
    </row>
    <row r="12257">
      <c r="A12257" s="3" t="inlineStr">
        <is>
          <t>Noble Shield (Pty) Ltd ta Go Letting</t>
        </is>
      </c>
      <c r="B12257" s="4" t="n">
        <v>44926</v>
      </c>
      <c r="C12257" s="3" t="inlineStr">
        <is>
          <t>Assets</t>
        </is>
      </c>
      <c r="D12257" s="3" t="inlineStr">
        <is>
          <t>8400/000</t>
        </is>
      </c>
      <c r="E12257" s="3" t="inlineStr">
        <is>
          <t>RMB 6250 573 3833</t>
        </is>
      </c>
      <c r="F12257" s="3" t="n">
        <v>23551.97</v>
      </c>
      <c r="G12257" s="3" t="n">
        <v>71176.78999999999</v>
      </c>
    </row>
    <row r="12258">
      <c r="A12258" s="3" t="inlineStr">
        <is>
          <t>Endulini (Pty) Ltd</t>
        </is>
      </c>
      <c r="B12258" s="4" t="n">
        <v>44926</v>
      </c>
      <c r="C12258" s="3" t="inlineStr">
        <is>
          <t>Assets</t>
        </is>
      </c>
      <c r="D12258" s="3" t="inlineStr">
        <is>
          <t>8400/000</t>
        </is>
      </c>
      <c r="E12258" s="3" t="inlineStr">
        <is>
          <t>RMB 62906944576</t>
        </is>
      </c>
      <c r="F12258" s="3" t="n">
        <v>-342424.79</v>
      </c>
      <c r="G12258" s="3" t="n">
        <v>22808.54</v>
      </c>
    </row>
    <row r="12259">
      <c r="A12259" s="3" t="inlineStr">
        <is>
          <t>Opportunity Management Holdings (PTY) LTD</t>
        </is>
      </c>
      <c r="B12259" s="4" t="n">
        <v>44926</v>
      </c>
      <c r="C12259" s="3" t="inlineStr">
        <is>
          <t>Assets</t>
        </is>
      </c>
      <c r="D12259" s="3" t="inlineStr">
        <is>
          <t>8400/000</t>
        </is>
      </c>
      <c r="E12259" s="3" t="inlineStr">
        <is>
          <t>RMB Cheq - 62312246920</t>
        </is>
      </c>
      <c r="F12259" s="3" t="n">
        <v>-48153.13</v>
      </c>
      <c r="G12259" s="3" t="n">
        <v>34704.73</v>
      </c>
    </row>
    <row r="12260">
      <c r="A12260" s="3" t="inlineStr">
        <is>
          <t>Opportunity Global Investment (PTY) LTD</t>
        </is>
      </c>
      <c r="B12260" s="4" t="n">
        <v>44926</v>
      </c>
      <c r="C12260" s="3" t="inlineStr">
        <is>
          <t>Assets</t>
        </is>
      </c>
      <c r="D12260" s="3" t="inlineStr">
        <is>
          <t>8405/000</t>
        </is>
      </c>
      <c r="E12260" s="3" t="inlineStr">
        <is>
          <t>FNB Trust 62762449265</t>
        </is>
      </c>
      <c r="F12260" s="3" t="n">
        <v>-73.06</v>
      </c>
      <c r="G12260" s="3" t="n">
        <v>820.24</v>
      </c>
    </row>
    <row r="12261">
      <c r="A12261" s="3" t="inlineStr">
        <is>
          <t>Endulini (Pty) Ltd</t>
        </is>
      </c>
      <c r="B12261" s="4" t="n">
        <v>44926</v>
      </c>
      <c r="C12261" s="3" t="inlineStr">
        <is>
          <t>Assets</t>
        </is>
      </c>
      <c r="D12261" s="3" t="inlineStr">
        <is>
          <t>8410/000</t>
        </is>
      </c>
      <c r="E12261" s="3" t="inlineStr">
        <is>
          <t>Momentum Investor Account : RU 502229883</t>
        </is>
      </c>
      <c r="F12261" s="3" t="n">
        <v>0</v>
      </c>
      <c r="G12261" s="3" t="n">
        <v>2614.24</v>
      </c>
    </row>
    <row r="12262">
      <c r="A12262" s="3" t="inlineStr">
        <is>
          <t>Opportunity Management Holdings (PTY) LTD</t>
        </is>
      </c>
      <c r="B12262" s="4" t="n">
        <v>44926</v>
      </c>
      <c r="C12262" s="3" t="inlineStr">
        <is>
          <t>Assets</t>
        </is>
      </c>
      <c r="D12262" s="3" t="inlineStr">
        <is>
          <t>8410/000</t>
        </is>
      </c>
      <c r="E12262" s="3" t="inlineStr">
        <is>
          <t>RMB Call Acc - 62312248851</t>
        </is>
      </c>
      <c r="F12262" s="3" t="n">
        <v>-149870.89</v>
      </c>
      <c r="G12262" s="3" t="n">
        <v>1316.68</v>
      </c>
    </row>
    <row r="12263">
      <c r="A12263" s="3" t="inlineStr">
        <is>
          <t>Noble Shield (Pty) Ltd ta Go Letting</t>
        </is>
      </c>
      <c r="B12263" s="4" t="n">
        <v>44926</v>
      </c>
      <c r="C12263" s="3" t="inlineStr">
        <is>
          <t>Assets</t>
        </is>
      </c>
      <c r="D12263" s="3" t="inlineStr">
        <is>
          <t>8410/000</t>
        </is>
      </c>
      <c r="E12263" s="3" t="inlineStr">
        <is>
          <t>RMB Trust Acc - 6250 615 1365</t>
        </is>
      </c>
      <c r="F12263" s="3" t="n">
        <v>-76.22</v>
      </c>
      <c r="G12263" s="3" t="n">
        <v>659.4400000000001</v>
      </c>
    </row>
    <row r="12264">
      <c r="A12264" s="3" t="inlineStr">
        <is>
          <t>Quinate Consulting (Pty) Ltd</t>
        </is>
      </c>
      <c r="B12264" s="4" t="n">
        <v>44926</v>
      </c>
      <c r="C12264" s="3" t="inlineStr">
        <is>
          <t>Assets</t>
        </is>
      </c>
      <c r="D12264" s="3" t="inlineStr">
        <is>
          <t>8415/000</t>
        </is>
      </c>
      <c r="E12264" s="3" t="inlineStr">
        <is>
          <t>STD Acc 071 958 959 - Facility Acc</t>
        </is>
      </c>
      <c r="F12264" s="3" t="n">
        <v>0</v>
      </c>
      <c r="G12264" s="3" t="n">
        <v>3636.21</v>
      </c>
    </row>
    <row r="12265">
      <c r="A12265" s="3" t="inlineStr">
        <is>
          <t>Trademark Holdings (Pty) Ltd</t>
        </is>
      </c>
      <c r="B12265" s="4" t="n">
        <v>44926</v>
      </c>
      <c r="C12265" s="3" t="inlineStr">
        <is>
          <t>Assets</t>
        </is>
      </c>
      <c r="D12265" s="3" t="inlineStr">
        <is>
          <t>8420/000</t>
        </is>
      </c>
      <c r="E12265" s="3" t="inlineStr">
        <is>
          <t>FNB Credit Card</t>
        </is>
      </c>
      <c r="F12265" s="3" t="n">
        <v>52</v>
      </c>
      <c r="G12265" s="3" t="n">
        <v>52</v>
      </c>
    </row>
    <row r="12266">
      <c r="A12266" s="3" t="inlineStr">
        <is>
          <t>Quinate Consulting (Pty) Ltd</t>
        </is>
      </c>
      <c r="B12266" s="4" t="n">
        <v>44926</v>
      </c>
      <c r="C12266" s="3" t="inlineStr">
        <is>
          <t>Assets</t>
        </is>
      </c>
      <c r="D12266" s="3" t="inlineStr">
        <is>
          <t>8430/000</t>
        </is>
      </c>
      <c r="E12266" s="3" t="inlineStr">
        <is>
          <t>Momentum Investment Acc - RU502230185</t>
        </is>
      </c>
      <c r="F12266" s="3" t="n">
        <v>0</v>
      </c>
      <c r="G12266" s="3" t="n">
        <v>523.64</v>
      </c>
    </row>
    <row r="12267">
      <c r="A12267" s="3" t="inlineStr">
        <is>
          <t>Opportunity Global Investment (PTY) LTD</t>
        </is>
      </c>
      <c r="B12267" s="4" t="n">
        <v>44926</v>
      </c>
      <c r="C12267" s="3" t="inlineStr">
        <is>
          <t>Assets</t>
        </is>
      </c>
      <c r="D12267" s="3" t="inlineStr">
        <is>
          <t>8440/000</t>
        </is>
      </c>
      <c r="E12267" s="3" t="inlineStr">
        <is>
          <t>FNB - Call 627602764438</t>
        </is>
      </c>
      <c r="F12267" s="3" t="n">
        <v>-7.9</v>
      </c>
      <c r="G12267" s="3" t="n">
        <v>957.27</v>
      </c>
    </row>
    <row r="12268">
      <c r="A12268" s="3" t="inlineStr">
        <is>
          <t>Opportunity Global Investment (PTY) LTD</t>
        </is>
      </c>
      <c r="B12268" s="4" t="n">
        <v>44926</v>
      </c>
      <c r="C12268" s="3" t="inlineStr">
        <is>
          <t>Assets</t>
        </is>
      </c>
      <c r="D12268" s="3" t="inlineStr">
        <is>
          <t>8445/000</t>
        </is>
      </c>
      <c r="E12268" s="3" t="inlineStr">
        <is>
          <t>Momentum RU502230096</t>
        </is>
      </c>
      <c r="F12268" s="3" t="n">
        <v>0</v>
      </c>
      <c r="G12268" s="3" t="n">
        <v>4593.77</v>
      </c>
    </row>
    <row r="12269">
      <c r="A12269" s="3" t="inlineStr">
        <is>
          <t>Quinate Consulting (Pty) Ltd</t>
        </is>
      </c>
      <c r="B12269" s="4" t="n">
        <v>44926</v>
      </c>
      <c r="C12269" s="3" t="inlineStr">
        <is>
          <t>Assets</t>
        </is>
      </c>
      <c r="D12269" s="3" t="inlineStr">
        <is>
          <t>8450/000</t>
        </is>
      </c>
      <c r="E12269" s="3" t="inlineStr">
        <is>
          <t>A RMB 62275810820</t>
        </is>
      </c>
      <c r="F12269" s="3" t="n">
        <v>59735.32</v>
      </c>
      <c r="G12269" s="3" t="n">
        <v>176546.49</v>
      </c>
    </row>
    <row r="12270">
      <c r="A12270" s="3" t="inlineStr">
        <is>
          <t>Opportunity Management Holdings (PTY) LTD</t>
        </is>
      </c>
      <c r="B12270" s="4" t="n">
        <v>44926</v>
      </c>
      <c r="C12270" s="3" t="inlineStr">
        <is>
          <t>Assets</t>
        </is>
      </c>
      <c r="D12270" s="3" t="inlineStr">
        <is>
          <t>8450/000</t>
        </is>
      </c>
      <c r="E12270" s="3" t="inlineStr">
        <is>
          <t>Petty Cash - CT Office</t>
        </is>
      </c>
      <c r="F12270" s="3" t="n">
        <v>0</v>
      </c>
      <c r="G12270" s="3" t="n">
        <v>348.9</v>
      </c>
    </row>
    <row r="12271">
      <c r="A12271" s="3" t="inlineStr">
        <is>
          <t>Quinate Consulting (Pty) Ltd</t>
        </is>
      </c>
      <c r="B12271" s="4" t="n">
        <v>44926</v>
      </c>
      <c r="C12271" s="3" t="inlineStr">
        <is>
          <t>Liabilities</t>
        </is>
      </c>
      <c r="D12271" s="3" t="inlineStr">
        <is>
          <t>8480/100</t>
        </is>
      </c>
      <c r="E12271" s="3" t="inlineStr">
        <is>
          <t>Bond - SH20 - STD Bank 532010558</t>
        </is>
      </c>
      <c r="F12271" s="3" t="n">
        <v>14826.53</v>
      </c>
      <c r="G12271" s="3" t="n">
        <v>-1336312.97</v>
      </c>
    </row>
    <row r="12272">
      <c r="A12272" s="3" t="inlineStr">
        <is>
          <t>Quinate Consulting (Pty) Ltd</t>
        </is>
      </c>
      <c r="B12272" s="4" t="n">
        <v>44926</v>
      </c>
      <c r="C12272" s="3" t="inlineStr">
        <is>
          <t>Liabilities</t>
        </is>
      </c>
      <c r="D12272" s="3" t="inlineStr">
        <is>
          <t>8480/200</t>
        </is>
      </c>
      <c r="E12272" s="3" t="inlineStr">
        <is>
          <t>Bond - SH23 - STD Bank 532010035</t>
        </is>
      </c>
      <c r="F12272" s="3" t="n">
        <v>14822.05</v>
      </c>
      <c r="G12272" s="3" t="n">
        <v>-1336155.31</v>
      </c>
    </row>
    <row r="12273">
      <c r="A12273" s="3" t="inlineStr">
        <is>
          <t>Quinate Consulting (Pty) Ltd</t>
        </is>
      </c>
      <c r="B12273" s="4" t="n">
        <v>44926</v>
      </c>
      <c r="C12273" s="3" t="inlineStr">
        <is>
          <t>Liabilities</t>
        </is>
      </c>
      <c r="D12273" s="3" t="inlineStr">
        <is>
          <t>8480/300</t>
        </is>
      </c>
      <c r="E12273" s="3" t="inlineStr">
        <is>
          <t>Bond - SH24 - STD Bank 532372662</t>
        </is>
      </c>
      <c r="F12273" s="3" t="n">
        <v>13588.01</v>
      </c>
      <c r="G12273" s="3" t="n">
        <v>-1430263.56</v>
      </c>
    </row>
    <row r="12274">
      <c r="A12274" s="3" t="inlineStr">
        <is>
          <t>Quinate Consulting (Pty) Ltd</t>
        </is>
      </c>
      <c r="B12274" s="4" t="n">
        <v>44926</v>
      </c>
      <c r="C12274" s="3" t="inlineStr">
        <is>
          <t>Liabilities</t>
        </is>
      </c>
      <c r="D12274" s="3" t="inlineStr">
        <is>
          <t>8480/400</t>
        </is>
      </c>
      <c r="E12274" s="3" t="inlineStr">
        <is>
          <t>Bond - SW01 - STD Bank 532920627</t>
        </is>
      </c>
      <c r="F12274" s="3" t="n">
        <v>11504.7</v>
      </c>
      <c r="G12274" s="3" t="n">
        <v>-1272819.97</v>
      </c>
    </row>
    <row r="12275">
      <c r="A12275" s="3" t="inlineStr">
        <is>
          <t>Quinate Consulting (Pty) Ltd</t>
        </is>
      </c>
      <c r="B12275" s="4" t="n">
        <v>44926</v>
      </c>
      <c r="C12275" s="3" t="inlineStr">
        <is>
          <t>Liabilities</t>
        </is>
      </c>
      <c r="D12275" s="3" t="inlineStr">
        <is>
          <t>8480/401</t>
        </is>
      </c>
      <c r="E12275" s="3" t="inlineStr">
        <is>
          <t>Bond - SW21 - STD Bank 532920597</t>
        </is>
      </c>
      <c r="F12275" s="3" t="n">
        <v>11509.17</v>
      </c>
      <c r="G12275" s="3" t="n">
        <v>-1273325.08</v>
      </c>
    </row>
    <row r="12276">
      <c r="A12276" s="3" t="inlineStr">
        <is>
          <t>Opportunity Global Investment (PTY) LTD</t>
        </is>
      </c>
      <c r="B12276" s="4" t="n">
        <v>44926</v>
      </c>
      <c r="C12276" s="3" t="inlineStr">
        <is>
          <t>Liabilities</t>
        </is>
      </c>
      <c r="D12276" s="3" t="inlineStr">
        <is>
          <t>860</t>
        </is>
      </c>
      <c r="E12276" s="3" t="inlineStr">
        <is>
          <t>Rounding</t>
        </is>
      </c>
      <c r="F12276" s="3" t="n">
        <v>0</v>
      </c>
      <c r="G12276" s="3" t="n">
        <v>-0.03</v>
      </c>
    </row>
    <row r="12277">
      <c r="A12277" s="3" t="inlineStr">
        <is>
          <t>Opportunity Global Sales (PTY) LTD</t>
        </is>
      </c>
      <c r="B12277" s="4" t="n">
        <v>44926</v>
      </c>
      <c r="C12277" s="3" t="inlineStr">
        <is>
          <t>Liabilities</t>
        </is>
      </c>
      <c r="D12277" s="3" t="inlineStr">
        <is>
          <t>860</t>
        </is>
      </c>
      <c r="E12277" s="3" t="inlineStr">
        <is>
          <t>Rounding</t>
        </is>
      </c>
      <c r="F12277" s="3" t="n">
        <v>0</v>
      </c>
      <c r="G12277" s="3" t="n">
        <v>-1</v>
      </c>
    </row>
    <row r="12278">
      <c r="A12278" s="3" t="inlineStr">
        <is>
          <t>Quinate Consulting (Pty) Ltd</t>
        </is>
      </c>
      <c r="B12278" s="4" t="n">
        <v>44926</v>
      </c>
      <c r="C12278" s="3" t="inlineStr">
        <is>
          <t>Liabilities</t>
        </is>
      </c>
      <c r="D12278" s="3" t="inlineStr">
        <is>
          <t>860</t>
        </is>
      </c>
      <c r="E12278" s="3" t="inlineStr">
        <is>
          <t>Rounding</t>
        </is>
      </c>
      <c r="F12278" s="3" t="n">
        <v>-0.04</v>
      </c>
      <c r="G12278" s="3" t="n">
        <v>0.05</v>
      </c>
    </row>
    <row r="12279">
      <c r="A12279" s="3" t="inlineStr">
        <is>
          <t>Trademark Holdings (Pty) Ltd</t>
        </is>
      </c>
      <c r="B12279" s="4" t="n">
        <v>44926</v>
      </c>
      <c r="C12279" s="3" t="inlineStr">
        <is>
          <t>Liabilities</t>
        </is>
      </c>
      <c r="D12279" s="3" t="inlineStr">
        <is>
          <t>860</t>
        </is>
      </c>
      <c r="E12279" s="3" t="inlineStr">
        <is>
          <t>Rounding</t>
        </is>
      </c>
      <c r="F12279" s="3" t="n">
        <v>0</v>
      </c>
      <c r="G12279" s="3" t="n">
        <v>0.2</v>
      </c>
    </row>
    <row r="12280">
      <c r="A12280" s="3" t="inlineStr">
        <is>
          <t>Endulini (Pty) Ltd</t>
        </is>
      </c>
      <c r="B12280" s="4" t="n">
        <v>44926</v>
      </c>
      <c r="C12280" s="3" t="inlineStr">
        <is>
          <t>Liabilities</t>
        </is>
      </c>
      <c r="D12280" s="3" t="inlineStr">
        <is>
          <t>9000/000</t>
        </is>
      </c>
      <c r="E12280" s="3" t="inlineStr">
        <is>
          <t>Supplier Control Account</t>
        </is>
      </c>
      <c r="F12280" s="3" t="n">
        <v>5006225.59</v>
      </c>
      <c r="G12280" s="3" t="n">
        <v>-19506265.48</v>
      </c>
    </row>
    <row r="12281">
      <c r="A12281" s="3" t="inlineStr">
        <is>
          <t>Noble Shield (Pty) Ltd ta Go Letting</t>
        </is>
      </c>
      <c r="B12281" s="4" t="n">
        <v>44926</v>
      </c>
      <c r="C12281" s="3" t="inlineStr">
        <is>
          <t>Liabilities</t>
        </is>
      </c>
      <c r="D12281" s="3" t="inlineStr">
        <is>
          <t>9000/000</t>
        </is>
      </c>
      <c r="E12281" s="3" t="inlineStr">
        <is>
          <t>Supplier Control Account</t>
        </is>
      </c>
      <c r="F12281" s="3" t="n">
        <v>-37464.56</v>
      </c>
      <c r="G12281" s="3" t="n">
        <v>-63264.4</v>
      </c>
    </row>
    <row r="12282">
      <c r="A12282" s="3" t="inlineStr">
        <is>
          <t>Opportunity Global Investment (PTY) LTD</t>
        </is>
      </c>
      <c r="B12282" s="4" t="n">
        <v>44926</v>
      </c>
      <c r="C12282" s="3" t="inlineStr">
        <is>
          <t>Liabilities</t>
        </is>
      </c>
      <c r="D12282" s="3" t="inlineStr">
        <is>
          <t>9000/000</t>
        </is>
      </c>
      <c r="E12282" s="3" t="inlineStr">
        <is>
          <t>Supplier Control Account</t>
        </is>
      </c>
      <c r="F12282" s="3" t="n">
        <v>-55449.6</v>
      </c>
      <c r="G12282" s="3" t="n">
        <v>-124185.7</v>
      </c>
    </row>
    <row r="12283">
      <c r="A12283" s="3" t="inlineStr">
        <is>
          <t>Opportunity Global Sales (PTY) LTD</t>
        </is>
      </c>
      <c r="B12283" s="4" t="n">
        <v>44926</v>
      </c>
      <c r="C12283" s="3" t="inlineStr">
        <is>
          <t>Liabilities</t>
        </is>
      </c>
      <c r="D12283" s="3" t="inlineStr">
        <is>
          <t>9000/000</t>
        </is>
      </c>
      <c r="E12283" s="3" t="inlineStr">
        <is>
          <t>Supplier Control Account</t>
        </is>
      </c>
      <c r="F12283" s="3" t="n">
        <v>4808.54</v>
      </c>
      <c r="G12283" s="3" t="n">
        <v>188.52</v>
      </c>
    </row>
    <row r="12284">
      <c r="A12284" s="3" t="inlineStr">
        <is>
          <t>Opportunity Management Holdings (PTY) LTD</t>
        </is>
      </c>
      <c r="B12284" s="4" t="n">
        <v>44926</v>
      </c>
      <c r="C12284" s="3" t="inlineStr">
        <is>
          <t>Liabilities</t>
        </is>
      </c>
      <c r="D12284" s="3" t="inlineStr">
        <is>
          <t>9000/000</t>
        </is>
      </c>
      <c r="E12284" s="3" t="inlineStr">
        <is>
          <t>Supplier Control Account</t>
        </is>
      </c>
      <c r="F12284" s="3" t="n">
        <v>-30594.47</v>
      </c>
      <c r="G12284" s="3" t="n">
        <v>-286913.69</v>
      </c>
    </row>
    <row r="12285">
      <c r="A12285" s="3" t="inlineStr">
        <is>
          <t>Quinate Consulting (Pty) Ltd</t>
        </is>
      </c>
      <c r="B12285" s="4" t="n">
        <v>44926</v>
      </c>
      <c r="C12285" s="3" t="inlineStr">
        <is>
          <t>Liabilities</t>
        </is>
      </c>
      <c r="D12285" s="3" t="inlineStr">
        <is>
          <t>9000/000</t>
        </is>
      </c>
      <c r="E12285" s="3" t="inlineStr">
        <is>
          <t>Supplier Control Account</t>
        </is>
      </c>
      <c r="F12285" s="3" t="n">
        <v>74610.36</v>
      </c>
      <c r="G12285" s="3" t="n">
        <v>552805.99</v>
      </c>
    </row>
    <row r="12286">
      <c r="A12286" s="3" t="inlineStr">
        <is>
          <t>Trademark Holdings (Pty) Ltd</t>
        </is>
      </c>
      <c r="B12286" s="4" t="n">
        <v>44926</v>
      </c>
      <c r="C12286" s="3" t="inlineStr">
        <is>
          <t>Liabilities</t>
        </is>
      </c>
      <c r="D12286" s="3" t="inlineStr">
        <is>
          <t>9000/000</t>
        </is>
      </c>
      <c r="E12286" s="3" t="inlineStr">
        <is>
          <t>Supplier Control Account</t>
        </is>
      </c>
      <c r="F12286" s="3" t="n">
        <v>-19887.5</v>
      </c>
      <c r="G12286" s="3" t="n">
        <v>-31290.56</v>
      </c>
    </row>
    <row r="12287">
      <c r="A12287" s="3" t="inlineStr">
        <is>
          <t>Quinate Consulting (Pty) Ltd</t>
        </is>
      </c>
      <c r="B12287" s="4" t="n">
        <v>44926</v>
      </c>
      <c r="C12287" s="3" t="inlineStr">
        <is>
          <t>Liabilities</t>
        </is>
      </c>
      <c r="D12287" s="3" t="inlineStr">
        <is>
          <t>9001</t>
        </is>
      </c>
      <c r="E12287" s="3" t="inlineStr">
        <is>
          <t>Supplier Control</t>
        </is>
      </c>
      <c r="F12287" s="3" t="n">
        <v>0</v>
      </c>
      <c r="G12287" s="3" t="n">
        <v>-347315.41</v>
      </c>
    </row>
    <row r="12288">
      <c r="A12288" s="3" t="inlineStr">
        <is>
          <t>Opportunity Management Holdings (PTY) LTD</t>
        </is>
      </c>
      <c r="B12288" s="4" t="n">
        <v>44926</v>
      </c>
      <c r="C12288" s="3" t="inlineStr">
        <is>
          <t>Liabilities</t>
        </is>
      </c>
      <c r="D12288" s="3" t="inlineStr">
        <is>
          <t>9100/000</t>
        </is>
      </c>
      <c r="E12288" s="3" t="inlineStr">
        <is>
          <t>PAYE/UIF/SDL Accrual - Prior Years ADJ</t>
        </is>
      </c>
      <c r="F12288" s="3" t="n">
        <v>0</v>
      </c>
      <c r="G12288" s="3" t="n">
        <v>-33739.36</v>
      </c>
    </row>
    <row r="12289">
      <c r="A12289" s="3" t="inlineStr">
        <is>
          <t>Opportunity Management Holdings (PTY) LTD</t>
        </is>
      </c>
      <c r="B12289" s="4" t="n">
        <v>44926</v>
      </c>
      <c r="C12289" s="3" t="inlineStr">
        <is>
          <t>Assets</t>
        </is>
      </c>
      <c r="D12289" s="3" t="inlineStr">
        <is>
          <t>9110/000</t>
        </is>
      </c>
      <c r="E12289" s="3" t="inlineStr">
        <is>
          <t>Deposit Received</t>
        </is>
      </c>
      <c r="F12289" s="3" t="n">
        <v>0</v>
      </c>
      <c r="G12289" s="3" t="n">
        <v>-3852.5</v>
      </c>
    </row>
    <row r="12290">
      <c r="A12290" s="3" t="inlineStr">
        <is>
          <t>Opportunity Global Investment (PTY) LTD</t>
        </is>
      </c>
      <c r="B12290" s="4" t="n">
        <v>44926</v>
      </c>
      <c r="C12290" s="3" t="inlineStr">
        <is>
          <t>Liabilities</t>
        </is>
      </c>
      <c r="D12290" s="3" t="inlineStr">
        <is>
          <t>9110/000</t>
        </is>
      </c>
      <c r="E12290" s="3" t="inlineStr">
        <is>
          <t>Taxation B/S</t>
        </is>
      </c>
      <c r="F12290" s="3" t="n">
        <v>-2172.28</v>
      </c>
      <c r="G12290" s="3" t="n">
        <v>-22.19</v>
      </c>
    </row>
    <row r="12291">
      <c r="A12291" s="3" t="inlineStr">
        <is>
          <t>Noble Shield (Pty) Ltd ta Go Letting</t>
        </is>
      </c>
      <c r="B12291" s="4" t="n">
        <v>44926</v>
      </c>
      <c r="C12291" s="3" t="inlineStr">
        <is>
          <t>Liabilities</t>
        </is>
      </c>
      <c r="D12291" s="3" t="inlineStr">
        <is>
          <t>9250/010</t>
        </is>
      </c>
      <c r="E12291" s="3" t="inlineStr">
        <is>
          <t>SALARY CONTROL</t>
        </is>
      </c>
      <c r="F12291" s="3" t="n">
        <v>-409.9</v>
      </c>
      <c r="G12291" s="3" t="n">
        <v>-16764.54</v>
      </c>
    </row>
    <row r="12292">
      <c r="A12292" s="3" t="inlineStr">
        <is>
          <t>Opportunity Global Sales (PTY) LTD</t>
        </is>
      </c>
      <c r="B12292" s="4" t="n">
        <v>44926</v>
      </c>
      <c r="C12292" s="3" t="inlineStr">
        <is>
          <t>Liabilities</t>
        </is>
      </c>
      <c r="D12292" s="3" t="inlineStr">
        <is>
          <t>9250/010</t>
        </is>
      </c>
      <c r="E12292" s="3" t="inlineStr">
        <is>
          <t>SALARY CONTROL</t>
        </is>
      </c>
      <c r="F12292" s="3" t="n">
        <v>21746.39</v>
      </c>
      <c r="G12292" s="3" t="n">
        <v>0</v>
      </c>
    </row>
    <row r="12293">
      <c r="A12293" s="3" t="inlineStr">
        <is>
          <t>Trademark Holdings (Pty) Ltd</t>
        </is>
      </c>
      <c r="B12293" s="4" t="n">
        <v>44926</v>
      </c>
      <c r="C12293" s="3" t="inlineStr">
        <is>
          <t>Liabilities</t>
        </is>
      </c>
      <c r="D12293" s="3" t="inlineStr">
        <is>
          <t>9250/010</t>
        </is>
      </c>
      <c r="E12293" s="3" t="inlineStr">
        <is>
          <t>SALARY CONTROL</t>
        </is>
      </c>
      <c r="F12293" s="3" t="n">
        <v>398.94</v>
      </c>
      <c r="G12293" s="3" t="n">
        <v>-19905.23</v>
      </c>
    </row>
    <row r="12294">
      <c r="A12294" s="3" t="inlineStr">
        <is>
          <t>Noble Shield (Pty) Ltd ta Go Letting</t>
        </is>
      </c>
      <c r="B12294" s="4" t="n">
        <v>44926</v>
      </c>
      <c r="C12294" s="3" t="inlineStr">
        <is>
          <t>Liabilities</t>
        </is>
      </c>
      <c r="D12294" s="3" t="inlineStr">
        <is>
          <t>9250/020</t>
        </is>
      </c>
      <c r="E12294" s="3" t="inlineStr">
        <is>
          <t>PAYE, UIF AND SDL CONTROL</t>
        </is>
      </c>
      <c r="F12294" s="3" t="n">
        <v>-149.54</v>
      </c>
      <c r="G12294" s="3" t="n">
        <v>-5679.37</v>
      </c>
    </row>
    <row r="12295">
      <c r="A12295" s="3" t="inlineStr">
        <is>
          <t>Opportunity Global Investment (PTY) LTD</t>
        </is>
      </c>
      <c r="B12295" s="4" t="n">
        <v>44926</v>
      </c>
      <c r="C12295" s="3" t="inlineStr">
        <is>
          <t>Liabilities</t>
        </is>
      </c>
      <c r="D12295" s="3" t="inlineStr">
        <is>
          <t>9250/020</t>
        </is>
      </c>
      <c r="E12295" s="3" t="inlineStr">
        <is>
          <t>PAYE, UIF AND SDL CONTROL</t>
        </is>
      </c>
      <c r="F12295" s="3" t="n">
        <v>58004.79</v>
      </c>
      <c r="G12295" s="3" t="n">
        <v>113034.42</v>
      </c>
    </row>
    <row r="12296">
      <c r="A12296" s="3" t="inlineStr">
        <is>
          <t>Opportunity Global Sales (PTY) LTD</t>
        </is>
      </c>
      <c r="B12296" s="4" t="n">
        <v>44926</v>
      </c>
      <c r="C12296" s="3" t="inlineStr">
        <is>
          <t>Liabilities</t>
        </is>
      </c>
      <c r="D12296" s="3" t="inlineStr">
        <is>
          <t>9250/020</t>
        </is>
      </c>
      <c r="E12296" s="3" t="inlineStr">
        <is>
          <t>PAYE, UIF AND SDL CONTROL</t>
        </is>
      </c>
      <c r="F12296" s="3" t="n">
        <v>-50729.92</v>
      </c>
      <c r="G12296" s="3" t="n">
        <v>-173686.37</v>
      </c>
    </row>
    <row r="12297">
      <c r="A12297" s="3" t="inlineStr">
        <is>
          <t>Opportunity Management Holdings (PTY) LTD</t>
        </is>
      </c>
      <c r="B12297" s="4" t="n">
        <v>44926</v>
      </c>
      <c r="C12297" s="3" t="inlineStr">
        <is>
          <t>Liabilities</t>
        </is>
      </c>
      <c r="D12297" s="3" t="inlineStr">
        <is>
          <t>9250/020</t>
        </is>
      </c>
      <c r="E12297" s="3" t="inlineStr">
        <is>
          <t>PAYE, UIF AND SDL CONTROL</t>
        </is>
      </c>
      <c r="F12297" s="3" t="n">
        <v>3225.87</v>
      </c>
      <c r="G12297" s="3" t="n">
        <v>-48706.3</v>
      </c>
    </row>
    <row r="12298">
      <c r="A12298" s="3" t="inlineStr">
        <is>
          <t>Trademark Holdings (Pty) Ltd</t>
        </is>
      </c>
      <c r="B12298" s="4" t="n">
        <v>44926</v>
      </c>
      <c r="C12298" s="3" t="inlineStr">
        <is>
          <t>Liabilities</t>
        </is>
      </c>
      <c r="D12298" s="3" t="inlineStr">
        <is>
          <t>9250/020</t>
        </is>
      </c>
      <c r="E12298" s="3" t="inlineStr">
        <is>
          <t>PAYE, UIF AND SDL CONTROL</t>
        </is>
      </c>
      <c r="F12298" s="3" t="n">
        <v>185.02</v>
      </c>
      <c r="G12298" s="3" t="n">
        <v>-6129.53</v>
      </c>
    </row>
    <row r="12299">
      <c r="A12299" s="3" t="inlineStr">
        <is>
          <t>Opportunity Global Investment (PTY) LTD</t>
        </is>
      </c>
      <c r="B12299" s="4" t="n">
        <v>44926</v>
      </c>
      <c r="C12299" s="3" t="inlineStr">
        <is>
          <t>Liabilities</t>
        </is>
      </c>
      <c r="D12299" s="3" t="inlineStr">
        <is>
          <t>9400/030</t>
        </is>
      </c>
      <c r="E12299" s="3" t="inlineStr">
        <is>
          <t>Accrued Expenses - PAYE_AND_UIF</t>
        </is>
      </c>
      <c r="F12299" s="3" t="n">
        <v>0</v>
      </c>
      <c r="G12299" s="3" t="n">
        <v>-2</v>
      </c>
    </row>
    <row r="12300">
      <c r="A12300" s="3" t="inlineStr">
        <is>
          <t>Trademark Holdings (Pty) Ltd</t>
        </is>
      </c>
      <c r="B12300" s="4" t="n">
        <v>44926</v>
      </c>
      <c r="C12300" s="3" t="inlineStr">
        <is>
          <t>Liabilities</t>
        </is>
      </c>
      <c r="D12300" s="3" t="inlineStr">
        <is>
          <t>9400/400</t>
        </is>
      </c>
      <c r="E12300" s="3" t="inlineStr">
        <is>
          <t>Deemed Dividend Tax</t>
        </is>
      </c>
      <c r="F12300" s="3" t="n">
        <v>0</v>
      </c>
      <c r="G12300" s="3" t="n">
        <v>-699.13</v>
      </c>
    </row>
    <row r="12301">
      <c r="A12301" s="3" t="inlineStr">
        <is>
          <t>Opportunity Global Investment (PTY) LTD</t>
        </is>
      </c>
      <c r="B12301" s="4" t="n">
        <v>44926</v>
      </c>
      <c r="C12301" s="3" t="inlineStr">
        <is>
          <t>Liabilities</t>
        </is>
      </c>
      <c r="D12301" s="3" t="inlineStr">
        <is>
          <t>9500/000</t>
        </is>
      </c>
      <c r="E12301" s="3" t="inlineStr">
        <is>
          <t>VAT Control Account</t>
        </is>
      </c>
      <c r="F12301" s="3" t="n">
        <v>-29282.52</v>
      </c>
      <c r="G12301" s="3" t="n">
        <v>333647.03</v>
      </c>
    </row>
    <row r="12302">
      <c r="A12302" s="3" t="inlineStr">
        <is>
          <t>Opportunity Global Sales (PTY) LTD</t>
        </is>
      </c>
      <c r="B12302" s="4" t="n">
        <v>44926</v>
      </c>
      <c r="C12302" s="3" t="inlineStr">
        <is>
          <t>Liabilities</t>
        </is>
      </c>
      <c r="D12302" s="3" t="inlineStr">
        <is>
          <t>9500/000</t>
        </is>
      </c>
      <c r="E12302" s="3" t="inlineStr">
        <is>
          <t>VAT Control Account</t>
        </is>
      </c>
      <c r="F12302" s="3" t="n">
        <v>-65660.2</v>
      </c>
      <c r="G12302" s="3" t="n">
        <v>-517584.02</v>
      </c>
    </row>
    <row r="12303">
      <c r="A12303" s="3" t="inlineStr">
        <is>
          <t>Opportunity Management Holdings (PTY) LTD</t>
        </is>
      </c>
      <c r="B12303" s="4" t="n">
        <v>44926</v>
      </c>
      <c r="C12303" s="3" t="inlineStr">
        <is>
          <t>Liabilities</t>
        </is>
      </c>
      <c r="D12303" s="3" t="inlineStr">
        <is>
          <t>9500/000</t>
        </is>
      </c>
      <c r="E12303" s="3" t="inlineStr">
        <is>
          <t>VAT Control Account</t>
        </is>
      </c>
      <c r="F12303" s="3" t="n">
        <v>52220.76</v>
      </c>
      <c r="G12303" s="3" t="n">
        <v>114057.29</v>
      </c>
    </row>
    <row r="12304">
      <c r="A12304" s="3" t="inlineStr">
        <is>
          <t>Endulini (Pty) Ltd</t>
        </is>
      </c>
      <c r="B12304" s="4" t="n">
        <v>44926</v>
      </c>
      <c r="C12304" s="3" t="inlineStr">
        <is>
          <t>Liabilities</t>
        </is>
      </c>
      <c r="D12304" s="3" t="inlineStr">
        <is>
          <t>9500/000</t>
        </is>
      </c>
      <c r="E12304" s="3" t="inlineStr">
        <is>
          <t>Vat / Tax Control Account</t>
        </is>
      </c>
      <c r="F12304" s="3" t="n">
        <v>11293.36</v>
      </c>
      <c r="G12304" s="3" t="n">
        <v>-2341989.91</v>
      </c>
    </row>
    <row r="12305">
      <c r="A12305" s="3" t="inlineStr">
        <is>
          <t>Quinate Consulting (Pty) Ltd</t>
        </is>
      </c>
      <c r="B12305" s="4" t="n">
        <v>44926</v>
      </c>
      <c r="C12305" s="3" t="inlineStr">
        <is>
          <t>Liabilities</t>
        </is>
      </c>
      <c r="D12305" s="3" t="inlineStr">
        <is>
          <t>9500/000</t>
        </is>
      </c>
      <c r="E12305" s="3" t="inlineStr">
        <is>
          <t>Vat Control Account</t>
        </is>
      </c>
      <c r="F12305" s="3" t="n">
        <v>11872.14</v>
      </c>
      <c r="G12305" s="3" t="n">
        <v>1585150.43</v>
      </c>
    </row>
    <row r="12306">
      <c r="A12306" s="3" t="inlineStr">
        <is>
          <t>Opportunity Management Holdings (PTY) LTD</t>
        </is>
      </c>
      <c r="B12306" s="4" t="n">
        <v>44926</v>
      </c>
      <c r="C12306" s="3" t="inlineStr">
        <is>
          <t>Liabilities</t>
        </is>
      </c>
      <c r="D12306" s="3" t="inlineStr">
        <is>
          <t>9501/000</t>
        </is>
      </c>
      <c r="E12306" s="3" t="inlineStr">
        <is>
          <t>Vat Adjustments - C2M</t>
        </is>
      </c>
      <c r="F12306" s="3" t="n">
        <v>0</v>
      </c>
      <c r="G12306" s="3" t="n">
        <v>47274.04</v>
      </c>
    </row>
    <row r="12307">
      <c r="A12307" s="3" t="inlineStr">
        <is>
          <t>Endulini (Pty) Ltd</t>
        </is>
      </c>
      <c r="B12307" s="4" t="n">
        <v>44926</v>
      </c>
      <c r="C12307" s="3" t="inlineStr">
        <is>
          <t>Liabilities</t>
        </is>
      </c>
      <c r="D12307" s="3" t="inlineStr">
        <is>
          <t>9899/A101</t>
        </is>
      </c>
      <c r="E12307" s="3" t="inlineStr">
        <is>
          <t>Sales - Unit Reg Control A101</t>
        </is>
      </c>
      <c r="F12307" s="3" t="n">
        <v>0</v>
      </c>
      <c r="G12307" s="3" t="n">
        <v>-1134.24</v>
      </c>
    </row>
    <row r="12308">
      <c r="A12308" s="3" t="inlineStr">
        <is>
          <t>Endulini (Pty) Ltd</t>
        </is>
      </c>
      <c r="B12308" s="4" t="n">
        <v>44926</v>
      </c>
      <c r="C12308" s="3" t="inlineStr">
        <is>
          <t>Liabilities</t>
        </is>
      </c>
      <c r="D12308" s="3" t="inlineStr">
        <is>
          <t>9899/A103</t>
        </is>
      </c>
      <c r="E12308" s="3" t="inlineStr">
        <is>
          <t>Sales - Unit Reg Control A103</t>
        </is>
      </c>
      <c r="F12308" s="3" t="n">
        <v>0</v>
      </c>
      <c r="G12308" s="3" t="n">
        <v>310213.16</v>
      </c>
    </row>
    <row r="12309">
      <c r="A12309" s="3" t="inlineStr">
        <is>
          <t>Endulini (Pty) Ltd</t>
        </is>
      </c>
      <c r="B12309" s="4" t="n">
        <v>44926</v>
      </c>
      <c r="C12309" s="3" t="inlineStr">
        <is>
          <t>Liabilities</t>
        </is>
      </c>
      <c r="D12309" s="3" t="inlineStr">
        <is>
          <t>9899/A208</t>
        </is>
      </c>
      <c r="E12309" s="3" t="inlineStr">
        <is>
          <t>Sales - Unit Reg Control A208</t>
        </is>
      </c>
      <c r="F12309" s="3" t="n">
        <v>0</v>
      </c>
      <c r="G12309" s="3" t="n">
        <v>134384.93</v>
      </c>
    </row>
    <row r="12310">
      <c r="A12310" s="3" t="inlineStr">
        <is>
          <t>Quinate Consulting (Pty) Ltd</t>
        </is>
      </c>
      <c r="B12310" s="4" t="n">
        <v>44926</v>
      </c>
      <c r="C12310" s="3" t="inlineStr">
        <is>
          <t>Liabilities</t>
        </is>
      </c>
      <c r="D12310" s="3" t="inlineStr">
        <is>
          <t>9960/000</t>
        </is>
      </c>
      <c r="E12310" s="3" t="inlineStr">
        <is>
          <t>Deposits - Southwark Rentals</t>
        </is>
      </c>
      <c r="F12310" s="3" t="n">
        <v>0</v>
      </c>
      <c r="G12310" s="3" t="n">
        <v>-11500</v>
      </c>
    </row>
    <row r="12311">
      <c r="A12311" s="3" t="inlineStr">
        <is>
          <t>Noble Shield (Pty) Ltd ta Go Letting</t>
        </is>
      </c>
      <c r="B12311" s="4" t="n">
        <v>44926</v>
      </c>
      <c r="C12311" s="3" t="inlineStr">
        <is>
          <t>Expenses</t>
        </is>
      </c>
      <c r="D12311" s="3" t="inlineStr">
        <is>
          <t>ACB Link</t>
        </is>
      </c>
      <c r="E12311" s="3" t="inlineStr">
        <is>
          <t>Subscriptions - TPN</t>
        </is>
      </c>
      <c r="F12311" s="3" t="n">
        <v>2756.07</v>
      </c>
      <c r="G12311" s="3" t="n">
        <v>9524.66</v>
      </c>
    </row>
    <row r="12312">
      <c r="A12312" s="3" t="inlineStr">
        <is>
          <t>Noble Shield (Pty) Ltd ta Go Letting</t>
        </is>
      </c>
      <c r="B12312" s="4" t="n">
        <v>44926</v>
      </c>
      <c r="C12312" s="3" t="inlineStr">
        <is>
          <t>Liabilities</t>
        </is>
      </c>
      <c r="D12312" s="3" t="inlineStr">
        <is>
          <t>B/S</t>
        </is>
      </c>
      <c r="E12312" s="3" t="inlineStr">
        <is>
          <t>Tax Payable</t>
        </is>
      </c>
      <c r="F12312" s="3" t="n">
        <v>46.76</v>
      </c>
      <c r="G12312" s="3" t="n">
        <v>-5166.4</v>
      </c>
    </row>
    <row r="12313">
      <c r="A12313" s="3" t="inlineStr">
        <is>
          <t>Trademark Holdings (Pty) Ltd</t>
        </is>
      </c>
      <c r="B12313" s="4" t="n">
        <v>44926</v>
      </c>
      <c r="C12313" s="3" t="inlineStr">
        <is>
          <t>Liabilities</t>
        </is>
      </c>
      <c r="D12313" s="3" t="inlineStr">
        <is>
          <t>B/S</t>
        </is>
      </c>
      <c r="E12313" s="3" t="inlineStr">
        <is>
          <t>Taxation Payable</t>
        </is>
      </c>
      <c r="F12313" s="3" t="n">
        <v>353.36</v>
      </c>
      <c r="G12313" s="3" t="n">
        <v>0</v>
      </c>
    </row>
    <row r="12314">
      <c r="A12314" s="3" t="inlineStr">
        <is>
          <t>Quinate Consulting (Pty) Ltd</t>
        </is>
      </c>
      <c r="B12314" s="4" t="n">
        <v>44926</v>
      </c>
      <c r="C12314" s="3" t="inlineStr">
        <is>
          <t>Liabilities</t>
        </is>
      </c>
      <c r="D12314" s="3" t="inlineStr">
        <is>
          <t xml:space="preserve">B/S </t>
        </is>
      </c>
      <c r="E12314" s="3" t="inlineStr">
        <is>
          <t>Taxation Payable</t>
        </is>
      </c>
      <c r="F12314" s="3" t="n">
        <v>0</v>
      </c>
      <c r="G12314" s="3" t="n">
        <v>-15486</v>
      </c>
    </row>
    <row r="12315">
      <c r="A12315" s="3" t="inlineStr">
        <is>
          <t>Quinate Consulting (Pty) Ltd</t>
        </is>
      </c>
      <c r="B12315" s="4" t="n">
        <v>44926</v>
      </c>
      <c r="C12315" s="3" t="inlineStr">
        <is>
          <t>Liabilities</t>
        </is>
      </c>
      <c r="D12315" s="3" t="inlineStr">
        <is>
          <t>FV</t>
        </is>
      </c>
      <c r="E12315" s="3" t="inlineStr">
        <is>
          <t>Loan - Cape Projects Constuction</t>
        </is>
      </c>
      <c r="F12315" s="3" t="n">
        <v>-275000</v>
      </c>
      <c r="G12315" s="3" t="n">
        <v>-6730000</v>
      </c>
    </row>
    <row r="12316">
      <c r="A12316" s="3" t="inlineStr">
        <is>
          <t>Quinate Consulting (Pty) Ltd</t>
        </is>
      </c>
      <c r="B12316" s="4" t="n">
        <v>44926</v>
      </c>
      <c r="C12316" s="3" t="inlineStr">
        <is>
          <t>Liabilities</t>
        </is>
      </c>
      <c r="D12316" s="3" t="inlineStr">
        <is>
          <t>Sharehold OppDev</t>
        </is>
      </c>
      <c r="E12316" s="3" t="inlineStr">
        <is>
          <t>Loan - Justine Morgan</t>
        </is>
      </c>
      <c r="F12316" s="3" t="n">
        <v>0</v>
      </c>
      <c r="G12316" s="3" t="n">
        <v>-563766.76</v>
      </c>
    </row>
    <row r="12317">
      <c r="A12317" s="3" t="inlineStr">
        <is>
          <t>Opportunity Global Investment (PTY) LTD</t>
        </is>
      </c>
      <c r="B12317" s="4" t="n">
        <v>44926</v>
      </c>
      <c r="C12317" s="3" t="inlineStr">
        <is>
          <t>Expenses</t>
        </is>
      </c>
      <c r="D12317" s="3" t="inlineStr">
        <is>
          <t>Swiftshutter</t>
        </is>
      </c>
      <c r="E12317" s="3" t="inlineStr">
        <is>
          <t>Advertising - Rousseau Lotter</t>
        </is>
      </c>
      <c r="F12317" s="3" t="n">
        <v>6600</v>
      </c>
      <c r="G12317" s="3" t="n">
        <v>22000</v>
      </c>
    </row>
    <row r="12318">
      <c r="A12318" s="3" t="inlineStr">
        <is>
          <t>Opportunity Global Sales (PTY) LTD</t>
        </is>
      </c>
      <c r="B12318" s="4" t="n">
        <v>44957</v>
      </c>
      <c r="C12318" s="3" t="inlineStr">
        <is>
          <t>Revenue</t>
        </is>
      </c>
      <c r="D12318" s="3" t="inlineStr">
        <is>
          <t>1000/009</t>
        </is>
      </c>
      <c r="E12318" s="3" t="inlineStr">
        <is>
          <t>Sales - Comm on Payprop</t>
        </is>
      </c>
      <c r="F12318" s="3" t="n">
        <v>-4496.32</v>
      </c>
      <c r="G12318" s="3" t="n">
        <v>-30643.19</v>
      </c>
    </row>
    <row r="12319">
      <c r="A12319" s="3" t="inlineStr">
        <is>
          <t>Quinate Consulting (Pty) Ltd</t>
        </is>
      </c>
      <c r="B12319" s="4" t="n">
        <v>44957</v>
      </c>
      <c r="C12319" s="3" t="inlineStr">
        <is>
          <t>Revenue</t>
        </is>
      </c>
      <c r="D12319" s="3" t="inlineStr">
        <is>
          <t>1000/011</t>
        </is>
      </c>
      <c r="E12319" s="3" t="inlineStr">
        <is>
          <t>Rent Received - Soho Unit 23</t>
        </is>
      </c>
      <c r="F12319" s="3" t="n">
        <v>-12500</v>
      </c>
      <c r="G12319" s="3" t="n">
        <v>-137500</v>
      </c>
    </row>
    <row r="12320">
      <c r="A12320" s="3" t="inlineStr">
        <is>
          <t>Quinate Consulting (Pty) Ltd</t>
        </is>
      </c>
      <c r="B12320" s="4" t="n">
        <v>44957</v>
      </c>
      <c r="C12320" s="3" t="inlineStr">
        <is>
          <t>Revenue</t>
        </is>
      </c>
      <c r="D12320" s="3" t="inlineStr">
        <is>
          <t>1000/012</t>
        </is>
      </c>
      <c r="E12320" s="3" t="inlineStr">
        <is>
          <t>Rent Received - Soho Unit 24</t>
        </is>
      </c>
      <c r="F12320" s="3" t="n">
        <v>-14445</v>
      </c>
      <c r="G12320" s="3" t="n">
        <v>-155115</v>
      </c>
    </row>
    <row r="12321">
      <c r="A12321" s="3" t="inlineStr">
        <is>
          <t>Quinate Consulting (Pty) Ltd</t>
        </is>
      </c>
      <c r="B12321" s="4" t="n">
        <v>44957</v>
      </c>
      <c r="C12321" s="3" t="inlineStr">
        <is>
          <t>Revenue</t>
        </is>
      </c>
      <c r="D12321" s="3" t="inlineStr">
        <is>
          <t>1000/013</t>
        </is>
      </c>
      <c r="E12321" s="3" t="inlineStr">
        <is>
          <t>Rent Recieved - Soho Unit 20</t>
        </is>
      </c>
      <c r="F12321" s="3" t="n">
        <v>-12500</v>
      </c>
      <c r="G12321" s="3" t="n">
        <v>-137500</v>
      </c>
    </row>
    <row r="12322">
      <c r="A12322" s="3" t="inlineStr">
        <is>
          <t>Quinate Consulting (Pty) Ltd</t>
        </is>
      </c>
      <c r="B12322" s="4" t="n">
        <v>44957</v>
      </c>
      <c r="C12322" s="3" t="inlineStr">
        <is>
          <t>Revenue</t>
        </is>
      </c>
      <c r="D12322" s="3" t="inlineStr">
        <is>
          <t>1000/015</t>
        </is>
      </c>
      <c r="E12322" s="3" t="inlineStr">
        <is>
          <t>Rent Received - Southwark Unit 1</t>
        </is>
      </c>
      <c r="F12322" s="3" t="n">
        <v>0</v>
      </c>
      <c r="G12322" s="3" t="n">
        <v>-20000</v>
      </c>
    </row>
    <row r="12323">
      <c r="A12323" s="3" t="inlineStr">
        <is>
          <t>Quinate Consulting (Pty) Ltd</t>
        </is>
      </c>
      <c r="B12323" s="4" t="n">
        <v>44957</v>
      </c>
      <c r="C12323" s="3" t="inlineStr">
        <is>
          <t>Revenue</t>
        </is>
      </c>
      <c r="D12323" s="3" t="inlineStr">
        <is>
          <t>1000/016</t>
        </is>
      </c>
      <c r="E12323" s="3" t="inlineStr">
        <is>
          <t>Rent Recieved - Southwark Unit 21</t>
        </is>
      </c>
      <c r="F12323" s="3" t="n">
        <v>-10000</v>
      </c>
      <c r="G12323" s="3" t="n">
        <v>-110000</v>
      </c>
    </row>
    <row r="12324">
      <c r="A12324" s="3" t="inlineStr">
        <is>
          <t>Opportunity Global Sales (PTY) LTD</t>
        </is>
      </c>
      <c r="B12324" s="4" t="n">
        <v>44957</v>
      </c>
      <c r="C12324" s="3" t="inlineStr">
        <is>
          <t>Revenue</t>
        </is>
      </c>
      <c r="D12324" s="3" t="inlineStr">
        <is>
          <t>1000/100</t>
        </is>
      </c>
      <c r="E12324" s="3" t="inlineStr">
        <is>
          <t>Sales - Comm on External Sales</t>
        </is>
      </c>
      <c r="F12324" s="3" t="n">
        <v>0</v>
      </c>
      <c r="G12324" s="3" t="n">
        <v>-96165.22</v>
      </c>
    </row>
    <row r="12325">
      <c r="A12325" s="3" t="inlineStr">
        <is>
          <t>Noble Shield (Pty) Ltd ta Go Letting</t>
        </is>
      </c>
      <c r="B12325" s="4" t="n">
        <v>44957</v>
      </c>
      <c r="C12325" s="3" t="inlineStr">
        <is>
          <t>Revenue</t>
        </is>
      </c>
      <c r="D12325" s="3" t="inlineStr">
        <is>
          <t>1000/100</t>
        </is>
      </c>
      <c r="E12325" s="3" t="inlineStr">
        <is>
          <t>Sales - Payprop 328 - Michelle</t>
        </is>
      </c>
      <c r="F12325" s="3" t="n">
        <v>-81834.03</v>
      </c>
      <c r="G12325" s="3" t="n">
        <v>-377264.5</v>
      </c>
    </row>
    <row r="12326">
      <c r="A12326" s="3" t="inlineStr">
        <is>
          <t>Opportunity Global Sales (PTY) LTD</t>
        </is>
      </c>
      <c r="B12326" s="4" t="n">
        <v>44957</v>
      </c>
      <c r="C12326" s="3" t="inlineStr">
        <is>
          <t>Revenue</t>
        </is>
      </c>
      <c r="D12326" s="3" t="inlineStr">
        <is>
          <t>1000/120</t>
        </is>
      </c>
      <c r="E12326" s="3" t="inlineStr">
        <is>
          <t>Sales - Admin Fees on Rental Units</t>
        </is>
      </c>
      <c r="F12326" s="3" t="n">
        <v>-1304.34</v>
      </c>
      <c r="G12326" s="3" t="n">
        <v>-25782.53</v>
      </c>
    </row>
    <row r="12327">
      <c r="A12327" s="3" t="inlineStr">
        <is>
          <t>Opportunity Global Sales (PTY) LTD</t>
        </is>
      </c>
      <c r="B12327" s="4" t="n">
        <v>44957</v>
      </c>
      <c r="C12327" s="3" t="inlineStr">
        <is>
          <t>Revenue</t>
        </is>
      </c>
      <c r="D12327" s="3" t="inlineStr">
        <is>
          <t>1000/150</t>
        </is>
      </c>
      <c r="E12327" s="3" t="inlineStr">
        <is>
          <t>Sales - Comm on External Rental</t>
        </is>
      </c>
      <c r="F12327" s="3" t="n">
        <v>-18260.87</v>
      </c>
      <c r="G12327" s="3" t="n">
        <v>-295234.75</v>
      </c>
    </row>
    <row r="12328">
      <c r="A12328" s="3" t="inlineStr">
        <is>
          <t>Opportunity Global Sales (PTY) LTD</t>
        </is>
      </c>
      <c r="B12328" s="4" t="n">
        <v>44957</v>
      </c>
      <c r="C12328" s="3" t="inlineStr">
        <is>
          <t>Revenue</t>
        </is>
      </c>
      <c r="D12328" s="3" t="inlineStr">
        <is>
          <t>1000/250</t>
        </is>
      </c>
      <c r="E12328" s="3" t="inlineStr">
        <is>
          <t>Sales - Comm on Endulini</t>
        </is>
      </c>
      <c r="F12328" s="3" t="n">
        <v>0</v>
      </c>
      <c r="G12328" s="3" t="n">
        <v>-2192781.31</v>
      </c>
    </row>
    <row r="12329">
      <c r="A12329" s="3" t="inlineStr">
        <is>
          <t>Opportunity Global Sales (PTY) LTD</t>
        </is>
      </c>
      <c r="B12329" s="4" t="n">
        <v>44957</v>
      </c>
      <c r="C12329" s="3" t="inlineStr">
        <is>
          <t>Revenue</t>
        </is>
      </c>
      <c r="D12329" s="3" t="inlineStr">
        <is>
          <t>1000/300</t>
        </is>
      </c>
      <c r="E12329" s="3" t="inlineStr">
        <is>
          <t>Sales - Comm on Heron Fields</t>
        </is>
      </c>
      <c r="F12329" s="3" t="n">
        <v>-546917.39</v>
      </c>
      <c r="G12329" s="3" t="n">
        <v>-1683839.11</v>
      </c>
    </row>
    <row r="12330">
      <c r="A12330" s="3" t="inlineStr">
        <is>
          <t>Trademark Holdings (Pty) Ltd</t>
        </is>
      </c>
      <c r="B12330" s="4" t="n">
        <v>44957</v>
      </c>
      <c r="C12330" s="3" t="inlineStr">
        <is>
          <t>Revenue</t>
        </is>
      </c>
      <c r="D12330" s="3" t="inlineStr">
        <is>
          <t>1000/300</t>
        </is>
      </c>
      <c r="E12330" s="3" t="inlineStr">
        <is>
          <t>Sales - Payprop - Lara</t>
        </is>
      </c>
      <c r="F12330" s="3" t="n">
        <v>-90355.45</v>
      </c>
      <c r="G12330" s="3" t="n">
        <v>-446202.34</v>
      </c>
    </row>
    <row r="12331">
      <c r="A12331" s="3" t="inlineStr">
        <is>
          <t>Opportunity Global Investment (PTY) LTD</t>
        </is>
      </c>
      <c r="B12331" s="4" t="n">
        <v>44957</v>
      </c>
      <c r="C12331" s="3" t="inlineStr">
        <is>
          <t>Revenue</t>
        </is>
      </c>
      <c r="D12331" s="3" t="inlineStr">
        <is>
          <t>1000/350</t>
        </is>
      </c>
      <c r="E12331" s="3" t="inlineStr">
        <is>
          <t>Sales - Investor Management - Heron Fields</t>
        </is>
      </c>
      <c r="F12331" s="3" t="n">
        <v>0</v>
      </c>
      <c r="G12331" s="3" t="n">
        <v>-1432654.46</v>
      </c>
    </row>
    <row r="12332">
      <c r="A12332" s="3" t="inlineStr">
        <is>
          <t>Noble Shield (Pty) Ltd ta Go Letting</t>
        </is>
      </c>
      <c r="B12332" s="4" t="n">
        <v>44957</v>
      </c>
      <c r="C12332" s="3" t="inlineStr">
        <is>
          <t>Revenue</t>
        </is>
      </c>
      <c r="D12332" s="3" t="inlineStr">
        <is>
          <t>1000/420</t>
        </is>
      </c>
      <c r="E12332" s="3" t="inlineStr">
        <is>
          <t>Sales - Commission Received - External</t>
        </is>
      </c>
      <c r="F12332" s="3" t="n">
        <v>0</v>
      </c>
      <c r="G12332" s="3" t="n">
        <v>-30000</v>
      </c>
    </row>
    <row r="12333">
      <c r="A12333" s="3" t="inlineStr">
        <is>
          <t>Trademark Holdings (Pty) Ltd</t>
        </is>
      </c>
      <c r="B12333" s="4" t="n">
        <v>44957</v>
      </c>
      <c r="C12333" s="3" t="inlineStr">
        <is>
          <t>Revenue</t>
        </is>
      </c>
      <c r="D12333" s="3" t="inlineStr">
        <is>
          <t>1000/500</t>
        </is>
      </c>
      <c r="E12333" s="3" t="inlineStr">
        <is>
          <t>Sales - Commission external sale</t>
        </is>
      </c>
      <c r="F12333" s="3" t="n">
        <v>0</v>
      </c>
      <c r="G12333" s="3" t="n">
        <v>-80000</v>
      </c>
    </row>
    <row r="12334">
      <c r="A12334" s="3" t="inlineStr">
        <is>
          <t>Opportunity Global Sales (PTY) LTD</t>
        </is>
      </c>
      <c r="B12334" s="4" t="n">
        <v>44957</v>
      </c>
      <c r="C12334" s="3" t="inlineStr">
        <is>
          <t>Revenue</t>
        </is>
      </c>
      <c r="D12334" s="3" t="inlineStr">
        <is>
          <t>1000/902</t>
        </is>
      </c>
      <c r="E12334" s="3" t="inlineStr">
        <is>
          <t>Sales - Credit check</t>
        </is>
      </c>
      <c r="F12334" s="3" t="n">
        <v>0</v>
      </c>
      <c r="G12334" s="3" t="n">
        <v>-60.87</v>
      </c>
    </row>
    <row r="12335">
      <c r="A12335" s="3" t="inlineStr">
        <is>
          <t>Opportunity Global Sales (PTY) LTD</t>
        </is>
      </c>
      <c r="B12335" s="4" t="n">
        <v>44957</v>
      </c>
      <c r="C12335" s="3" t="inlineStr">
        <is>
          <t>Revenue</t>
        </is>
      </c>
      <c r="D12335" s="3" t="inlineStr">
        <is>
          <t>1000/903</t>
        </is>
      </c>
      <c r="E12335" s="3" t="inlineStr">
        <is>
          <t>Sales - Lease preparation fees</t>
        </is>
      </c>
      <c r="F12335" s="3" t="n">
        <v>0</v>
      </c>
      <c r="G12335" s="3" t="n">
        <v>-434.78</v>
      </c>
    </row>
    <row r="12336">
      <c r="A12336" s="3" t="inlineStr">
        <is>
          <t>Quinate Consulting (Pty) Ltd</t>
        </is>
      </c>
      <c r="B12336" s="4" t="n">
        <v>44957</v>
      </c>
      <c r="C12336" s="3" t="inlineStr">
        <is>
          <t>Revenue</t>
        </is>
      </c>
      <c r="D12336" s="3" t="inlineStr">
        <is>
          <t>1002/200</t>
        </is>
      </c>
      <c r="E12336" s="3" t="inlineStr">
        <is>
          <t>Sales - Vodacom tower</t>
        </is>
      </c>
      <c r="F12336" s="3" t="n">
        <v>0</v>
      </c>
      <c r="G12336" s="3" t="n">
        <v>-29415.17</v>
      </c>
    </row>
    <row r="12337">
      <c r="A12337" s="3" t="inlineStr">
        <is>
          <t>Quinate Consulting (Pty) Ltd</t>
        </is>
      </c>
      <c r="B12337" s="4" t="n">
        <v>44957</v>
      </c>
      <c r="C12337" s="3" t="inlineStr">
        <is>
          <t>Revenue</t>
        </is>
      </c>
      <c r="D12337" s="3" t="inlineStr">
        <is>
          <t>1004/000</t>
        </is>
      </c>
      <c r="E12337" s="3" t="inlineStr">
        <is>
          <t>Interest received</t>
        </is>
      </c>
      <c r="F12337" s="3" t="n">
        <v>-713.87</v>
      </c>
      <c r="G12337" s="3" t="n">
        <v>-5498.99</v>
      </c>
    </row>
    <row r="12338">
      <c r="A12338" s="3" t="inlineStr">
        <is>
          <t>Quinate Consulting (Pty) Ltd</t>
        </is>
      </c>
      <c r="B12338" s="4" t="n">
        <v>44957</v>
      </c>
      <c r="C12338" s="3" t="inlineStr">
        <is>
          <t>Revenue</t>
        </is>
      </c>
      <c r="D12338" s="3" t="inlineStr">
        <is>
          <t>1006/100</t>
        </is>
      </c>
      <c r="E12338" s="3" t="inlineStr">
        <is>
          <t>Rental income - Payprop</t>
        </is>
      </c>
      <c r="F12338" s="3" t="n">
        <v>-31707</v>
      </c>
      <c r="G12338" s="3" t="n">
        <v>-98693</v>
      </c>
    </row>
    <row r="12339">
      <c r="A12339" s="3" t="inlineStr">
        <is>
          <t>Endulini (Pty) Ltd</t>
        </is>
      </c>
      <c r="B12339" s="4" t="n">
        <v>44957</v>
      </c>
      <c r="C12339" s="3" t="inlineStr">
        <is>
          <t>Revenue</t>
        </is>
      </c>
      <c r="D12339" s="3" t="inlineStr">
        <is>
          <t>1100/000</t>
        </is>
      </c>
      <c r="E12339" s="3" t="inlineStr">
        <is>
          <t>Sales - Endulini</t>
        </is>
      </c>
      <c r="F12339" s="3" t="n">
        <v>0</v>
      </c>
      <c r="G12339" s="3" t="n">
        <v>-47311331.64</v>
      </c>
    </row>
    <row r="12340">
      <c r="A12340" s="3" t="inlineStr">
        <is>
          <t>Opportunity Management Holdings (PTY) LTD</t>
        </is>
      </c>
      <c r="B12340" s="4" t="n">
        <v>44957</v>
      </c>
      <c r="C12340" s="3" t="inlineStr">
        <is>
          <t>Revenue</t>
        </is>
      </c>
      <c r="D12340" s="3" t="inlineStr">
        <is>
          <t>1100/001</t>
        </is>
      </c>
      <c r="E12340" s="3" t="inlineStr">
        <is>
          <t>Salary Recharges</t>
        </is>
      </c>
      <c r="F12340" s="3" t="n">
        <v>-339208.11</v>
      </c>
      <c r="G12340" s="3" t="n">
        <v>-1816916.22</v>
      </c>
    </row>
    <row r="12341">
      <c r="A12341" s="3" t="inlineStr">
        <is>
          <t>Endulini (Pty) Ltd</t>
        </is>
      </c>
      <c r="B12341" s="4" t="n">
        <v>44957</v>
      </c>
      <c r="C12341" s="3" t="inlineStr">
        <is>
          <t>Revenue</t>
        </is>
      </c>
      <c r="D12341" s="3" t="inlineStr">
        <is>
          <t>1100/100</t>
        </is>
      </c>
      <c r="E12341" s="3" t="inlineStr">
        <is>
          <t>Sales - Endulini - Exstras</t>
        </is>
      </c>
      <c r="F12341" s="3" t="n">
        <v>0</v>
      </c>
      <c r="G12341" s="3" t="n">
        <v>-8030</v>
      </c>
    </row>
    <row r="12342">
      <c r="A12342" s="3" t="inlineStr">
        <is>
          <t>Endulini (Pty) Ltd</t>
        </is>
      </c>
      <c r="B12342" s="4" t="n">
        <v>44957</v>
      </c>
      <c r="C12342" s="3" t="inlineStr">
        <is>
          <t>Revenue</t>
        </is>
      </c>
      <c r="D12342" s="3" t="inlineStr">
        <is>
          <t>1100/150</t>
        </is>
      </c>
      <c r="E12342" s="3" t="inlineStr">
        <is>
          <t>Sales - Endulini - Extras admin fee</t>
        </is>
      </c>
      <c r="F12342" s="3" t="n">
        <v>0</v>
      </c>
      <c r="G12342" s="3" t="n">
        <v>-2000</v>
      </c>
    </row>
    <row r="12343">
      <c r="A12343" s="3" t="inlineStr">
        <is>
          <t>Endulini (Pty) Ltd</t>
        </is>
      </c>
      <c r="B12343" s="4" t="n">
        <v>44957</v>
      </c>
      <c r="C12343" s="3" t="inlineStr">
        <is>
          <t>Revenue</t>
        </is>
      </c>
      <c r="D12343" s="3" t="inlineStr">
        <is>
          <t>1100/200</t>
        </is>
      </c>
      <c r="E12343" s="3" t="inlineStr">
        <is>
          <t>Sales - Endulini occupational rent</t>
        </is>
      </c>
      <c r="F12343" s="3" t="n">
        <v>0</v>
      </c>
      <c r="G12343" s="3" t="n">
        <v>-203396.02</v>
      </c>
    </row>
    <row r="12344">
      <c r="A12344" s="3" t="inlineStr">
        <is>
          <t>Endulini (Pty) Ltd</t>
        </is>
      </c>
      <c r="B12344" s="4" t="n">
        <v>44957</v>
      </c>
      <c r="C12344" s="3" t="inlineStr">
        <is>
          <t>Revenue</t>
        </is>
      </c>
      <c r="D12344" s="3" t="inlineStr">
        <is>
          <t>1500/001</t>
        </is>
      </c>
      <c r="E12344" s="3" t="inlineStr">
        <is>
          <t>Revaluation of Land</t>
        </is>
      </c>
      <c r="F12344" s="3" t="n">
        <v>0</v>
      </c>
      <c r="G12344" s="3" t="n">
        <v>6084085.78</v>
      </c>
    </row>
    <row r="12345">
      <c r="A12345" s="3" t="inlineStr">
        <is>
          <t>Endulini (Pty) Ltd</t>
        </is>
      </c>
      <c r="B12345" s="4" t="n">
        <v>44957</v>
      </c>
      <c r="C12345" s="3" t="inlineStr">
        <is>
          <t>Expenses</t>
        </is>
      </c>
      <c r="D12345" s="3" t="inlineStr">
        <is>
          <t>2000/001</t>
        </is>
      </c>
      <c r="E12345" s="3" t="inlineStr">
        <is>
          <t>COS - CIP Construction</t>
        </is>
      </c>
      <c r="F12345" s="3" t="n">
        <v>0</v>
      </c>
      <c r="G12345" s="3" t="n">
        <v>28155981.9</v>
      </c>
    </row>
    <row r="12346">
      <c r="A12346" s="3" t="inlineStr">
        <is>
          <t>Opportunity Global Sales (PTY) LTD</t>
        </is>
      </c>
      <c r="B12346" s="4" t="n">
        <v>44957</v>
      </c>
      <c r="C12346" s="3" t="inlineStr">
        <is>
          <t>Expenses</t>
        </is>
      </c>
      <c r="D12346" s="3" t="inlineStr">
        <is>
          <t>2000/010</t>
        </is>
      </c>
      <c r="E12346" s="3" t="inlineStr">
        <is>
          <t>COS - PAYE on Commission</t>
        </is>
      </c>
      <c r="F12346" s="3" t="n">
        <v>24356.52</v>
      </c>
      <c r="G12346" s="3" t="n">
        <v>201069.55</v>
      </c>
    </row>
    <row r="12347">
      <c r="A12347" s="3" t="inlineStr">
        <is>
          <t>Quinate Consulting (Pty) Ltd</t>
        </is>
      </c>
      <c r="B12347" s="4" t="n">
        <v>44957</v>
      </c>
      <c r="C12347" s="3" t="inlineStr">
        <is>
          <t>Expenses</t>
        </is>
      </c>
      <c r="D12347" s="3" t="inlineStr">
        <is>
          <t>2000/080</t>
        </is>
      </c>
      <c r="E12347" s="3" t="inlineStr">
        <is>
          <t>COS - Repairs &amp; Maintenance Endulini units</t>
        </is>
      </c>
      <c r="F12347" s="3" t="n">
        <v>17624.42</v>
      </c>
      <c r="G12347" s="3" t="n">
        <v>21359.23</v>
      </c>
    </row>
    <row r="12348">
      <c r="A12348" s="3" t="inlineStr">
        <is>
          <t>Endulini (Pty) Ltd</t>
        </is>
      </c>
      <c r="B12348" s="4" t="n">
        <v>44957</v>
      </c>
      <c r="C12348" s="3" t="inlineStr">
        <is>
          <t>Expenses</t>
        </is>
      </c>
      <c r="D12348" s="3" t="inlineStr">
        <is>
          <t>2000/100</t>
        </is>
      </c>
      <c r="E12348" s="3" t="inlineStr">
        <is>
          <t>COS - Commission Endulini</t>
        </is>
      </c>
      <c r="F12348" s="3" t="n">
        <v>0</v>
      </c>
      <c r="G12348" s="3" t="n">
        <v>2526781.31</v>
      </c>
    </row>
    <row r="12349">
      <c r="A12349" s="3" t="inlineStr">
        <is>
          <t>Noble Shield (Pty) Ltd ta Go Letting</t>
        </is>
      </c>
      <c r="B12349" s="4" t="n">
        <v>44957</v>
      </c>
      <c r="C12349" s="3" t="inlineStr">
        <is>
          <t>Expenses</t>
        </is>
      </c>
      <c r="D12349" s="3" t="inlineStr">
        <is>
          <t>2000/100</t>
        </is>
      </c>
      <c r="E12349" s="3" t="inlineStr">
        <is>
          <t>COS - Commission Paid</t>
        </is>
      </c>
      <c r="F12349" s="3" t="n">
        <v>14852.42</v>
      </c>
      <c r="G12349" s="3" t="n">
        <v>159477.11</v>
      </c>
    </row>
    <row r="12350">
      <c r="A12350" s="3" t="inlineStr">
        <is>
          <t>Opportunity Global Investment (PTY) LTD</t>
        </is>
      </c>
      <c r="B12350" s="4" t="n">
        <v>44957</v>
      </c>
      <c r="C12350" s="3" t="inlineStr">
        <is>
          <t>Expenses</t>
        </is>
      </c>
      <c r="D12350" s="3" t="inlineStr">
        <is>
          <t>2000/125</t>
        </is>
      </c>
      <c r="E12350" s="3" t="inlineStr">
        <is>
          <t>Referral commission - Endulini</t>
        </is>
      </c>
      <c r="F12350" s="3" t="n">
        <v>0</v>
      </c>
      <c r="G12350" s="3" t="n">
        <v>19000</v>
      </c>
    </row>
    <row r="12351">
      <c r="A12351" s="3" t="inlineStr">
        <is>
          <t>Opportunity Global Sales (PTY) LTD</t>
        </is>
      </c>
      <c r="B12351" s="4" t="n">
        <v>44957</v>
      </c>
      <c r="C12351" s="3" t="inlineStr">
        <is>
          <t>Expenses</t>
        </is>
      </c>
      <c r="D12351" s="3" t="inlineStr">
        <is>
          <t>2000/131</t>
        </is>
      </c>
      <c r="E12351" s="3" t="inlineStr">
        <is>
          <t>COS - Sales Comm Endulini - Anthony</t>
        </is>
      </c>
      <c r="F12351" s="3" t="n">
        <v>0</v>
      </c>
      <c r="G12351" s="3" t="n">
        <v>62272.01</v>
      </c>
    </row>
    <row r="12352">
      <c r="A12352" s="3" t="inlineStr">
        <is>
          <t>Opportunity Global Sales (PTY) LTD</t>
        </is>
      </c>
      <c r="B12352" s="4" t="n">
        <v>44957</v>
      </c>
      <c r="C12352" s="3" t="inlineStr">
        <is>
          <t>Expenses</t>
        </is>
      </c>
      <c r="D12352" s="3" t="inlineStr">
        <is>
          <t>2000/132</t>
        </is>
      </c>
      <c r="E12352" s="3" t="inlineStr">
        <is>
          <t>COS - Sales Comm Endulini - Minette</t>
        </is>
      </c>
      <c r="F12352" s="3" t="n">
        <v>0</v>
      </c>
      <c r="G12352" s="3" t="n">
        <v>393363.7</v>
      </c>
    </row>
    <row r="12353">
      <c r="A12353" s="3" t="inlineStr">
        <is>
          <t>Opportunity Global Sales (PTY) LTD</t>
        </is>
      </c>
      <c r="B12353" s="4" t="n">
        <v>44957</v>
      </c>
      <c r="C12353" s="3" t="inlineStr">
        <is>
          <t>Expenses</t>
        </is>
      </c>
      <c r="D12353" s="3" t="inlineStr">
        <is>
          <t>2000/133</t>
        </is>
      </c>
      <c r="E12353" s="3" t="inlineStr">
        <is>
          <t>COS - Sales Comm Endulini - External Agents</t>
        </is>
      </c>
      <c r="F12353" s="3" t="n">
        <v>0</v>
      </c>
      <c r="G12353" s="3" t="n">
        <v>9966</v>
      </c>
    </row>
    <row r="12354">
      <c r="A12354" s="3" t="inlineStr">
        <is>
          <t>Opportunity Global Sales (PTY) LTD</t>
        </is>
      </c>
      <c r="B12354" s="4" t="n">
        <v>44957</v>
      </c>
      <c r="C12354" s="3" t="inlineStr">
        <is>
          <t>Expenses</t>
        </is>
      </c>
      <c r="D12354" s="3" t="inlineStr">
        <is>
          <t>2000/135</t>
        </is>
      </c>
      <c r="E12354" s="3" t="inlineStr">
        <is>
          <t>COS - Sales Comm External - Minette</t>
        </is>
      </c>
      <c r="F12354" s="3" t="n">
        <v>0</v>
      </c>
      <c r="G12354" s="3" t="n">
        <v>85326.45</v>
      </c>
    </row>
    <row r="12355">
      <c r="A12355" s="3" t="inlineStr">
        <is>
          <t>Opportunity Global Investment (PTY) LTD</t>
        </is>
      </c>
      <c r="B12355" s="4" t="n">
        <v>44957</v>
      </c>
      <c r="C12355" s="3" t="inlineStr">
        <is>
          <t>Expenses</t>
        </is>
      </c>
      <c r="D12355" s="3" t="inlineStr">
        <is>
          <t>2000/135</t>
        </is>
      </c>
      <c r="E12355" s="3" t="inlineStr">
        <is>
          <t>Referral commission - Heron View</t>
        </is>
      </c>
      <c r="F12355" s="3" t="n">
        <v>0</v>
      </c>
      <c r="G12355" s="3" t="n">
        <v>144000</v>
      </c>
    </row>
    <row r="12356">
      <c r="A12356" s="3" t="inlineStr">
        <is>
          <t>Opportunity Global Sales (PTY) LTD</t>
        </is>
      </c>
      <c r="B12356" s="4" t="n">
        <v>44957</v>
      </c>
      <c r="C12356" s="3" t="inlineStr">
        <is>
          <t>Expenses</t>
        </is>
      </c>
      <c r="D12356" s="3" t="inlineStr">
        <is>
          <t>2000/137</t>
        </is>
      </c>
      <c r="E12356" s="3" t="inlineStr">
        <is>
          <t>COS - Rental Comm External - Minette</t>
        </is>
      </c>
      <c r="F12356" s="3" t="n">
        <v>0</v>
      </c>
      <c r="G12356" s="3" t="n">
        <v>92798.05</v>
      </c>
    </row>
    <row r="12357">
      <c r="A12357" s="3" t="inlineStr">
        <is>
          <t>Opportunity Global Sales (PTY) LTD</t>
        </is>
      </c>
      <c r="B12357" s="4" t="n">
        <v>44957</v>
      </c>
      <c r="C12357" s="3" t="inlineStr">
        <is>
          <t>Expenses</t>
        </is>
      </c>
      <c r="D12357" s="3" t="inlineStr">
        <is>
          <t>2000/139</t>
        </is>
      </c>
      <c r="E12357" s="3" t="inlineStr">
        <is>
          <t>COS - Sales Comm Heron Fields - Minette</t>
        </is>
      </c>
      <c r="F12357" s="3" t="n">
        <v>97426.09</v>
      </c>
      <c r="G12357" s="3" t="n">
        <v>460075.92</v>
      </c>
    </row>
    <row r="12358">
      <c r="A12358" s="3" t="inlineStr">
        <is>
          <t>Opportunity Global Investment (PTY) LTD</t>
        </is>
      </c>
      <c r="B12358" s="4" t="n">
        <v>44957</v>
      </c>
      <c r="C12358" s="3" t="inlineStr">
        <is>
          <t>Expenses</t>
        </is>
      </c>
      <c r="D12358" s="3" t="inlineStr">
        <is>
          <t>2000/140</t>
        </is>
      </c>
      <c r="E12358" s="3" t="inlineStr">
        <is>
          <t>Referral commission - F Geldenhuys</t>
        </is>
      </c>
      <c r="F12358" s="3" t="n">
        <v>0</v>
      </c>
      <c r="G12358" s="3" t="n">
        <v>100800</v>
      </c>
    </row>
    <row r="12359">
      <c r="A12359" s="3" t="inlineStr">
        <is>
          <t>Opportunity Global Sales (PTY) LTD</t>
        </is>
      </c>
      <c r="B12359" s="4" t="n">
        <v>44957</v>
      </c>
      <c r="C12359" s="3" t="inlineStr">
        <is>
          <t>Expenses</t>
        </is>
      </c>
      <c r="D12359" s="3" t="inlineStr">
        <is>
          <t>2000/142</t>
        </is>
      </c>
      <c r="E12359" s="3" t="inlineStr">
        <is>
          <t>COS - Sales Comm Heron Fields - Anthony</t>
        </is>
      </c>
      <c r="F12359" s="3" t="n">
        <v>0</v>
      </c>
      <c r="G12359" s="3" t="n">
        <v>26954.78</v>
      </c>
    </row>
    <row r="12360">
      <c r="A12360" s="3" t="inlineStr">
        <is>
          <t>Opportunity Global Sales (PTY) LTD</t>
        </is>
      </c>
      <c r="B12360" s="4" t="n">
        <v>44957</v>
      </c>
      <c r="C12360" s="3" t="inlineStr">
        <is>
          <t>Expenses</t>
        </is>
      </c>
      <c r="D12360" s="3" t="inlineStr">
        <is>
          <t>2000/143</t>
        </is>
      </c>
      <c r="E12360" s="3" t="inlineStr">
        <is>
          <t>COS - Sales Comm Endulini - Yvette</t>
        </is>
      </c>
      <c r="F12360" s="3" t="n">
        <v>0</v>
      </c>
      <c r="G12360" s="3" t="n">
        <v>22102.92</v>
      </c>
    </row>
    <row r="12361">
      <c r="A12361" s="3" t="inlineStr">
        <is>
          <t>Opportunity Global Investment (PTY) LTD</t>
        </is>
      </c>
      <c r="B12361" s="4" t="n">
        <v>44957</v>
      </c>
      <c r="C12361" s="3" t="inlineStr">
        <is>
          <t>Expenses</t>
        </is>
      </c>
      <c r="D12361" s="3" t="inlineStr">
        <is>
          <t>2000/145</t>
        </is>
      </c>
      <c r="E12361" s="3" t="inlineStr">
        <is>
          <t>Referral commission - W Thomason</t>
        </is>
      </c>
      <c r="F12361" s="3" t="n">
        <v>0</v>
      </c>
      <c r="G12361" s="3" t="n">
        <v>36000</v>
      </c>
    </row>
    <row r="12362">
      <c r="A12362" s="3" t="inlineStr">
        <is>
          <t>Opportunity Global Sales (PTY) LTD</t>
        </is>
      </c>
      <c r="B12362" s="4" t="n">
        <v>44957</v>
      </c>
      <c r="C12362" s="3" t="inlineStr">
        <is>
          <t>Expenses</t>
        </is>
      </c>
      <c r="D12362" s="3" t="inlineStr">
        <is>
          <t>2000/147</t>
        </is>
      </c>
      <c r="E12362" s="3" t="inlineStr">
        <is>
          <t>COS - Sales Comm Heron Fields - Yvette</t>
        </is>
      </c>
      <c r="F12362" s="3" t="n">
        <v>0</v>
      </c>
      <c r="G12362" s="3" t="n">
        <v>114706.18</v>
      </c>
    </row>
    <row r="12363">
      <c r="A12363" s="3" t="inlineStr">
        <is>
          <t>Endulini (Pty) Ltd</t>
        </is>
      </c>
      <c r="B12363" s="4" t="n">
        <v>44957</v>
      </c>
      <c r="C12363" s="3" t="inlineStr">
        <is>
          <t>Expenses</t>
        </is>
      </c>
      <c r="D12363" s="3" t="inlineStr">
        <is>
          <t>2000/150</t>
        </is>
      </c>
      <c r="E12363" s="3" t="inlineStr">
        <is>
          <t>COS - Levies special agreement</t>
        </is>
      </c>
      <c r="F12363" s="3" t="n">
        <v>8762.940000000001</v>
      </c>
      <c r="G12363" s="3" t="n">
        <v>36840.32</v>
      </c>
    </row>
    <row r="12364">
      <c r="A12364" s="3" t="inlineStr">
        <is>
          <t>Opportunity Global Sales (PTY) LTD</t>
        </is>
      </c>
      <c r="B12364" s="4" t="n">
        <v>44957</v>
      </c>
      <c r="C12364" s="3" t="inlineStr">
        <is>
          <t>Expenses</t>
        </is>
      </c>
      <c r="D12364" s="3" t="inlineStr">
        <is>
          <t>2000/162</t>
        </is>
      </c>
      <c r="E12364" s="3" t="inlineStr">
        <is>
          <t>COS - Sales Comm Heron View - Yvette</t>
        </is>
      </c>
      <c r="F12364" s="3" t="n">
        <v>0</v>
      </c>
      <c r="G12364" s="3" t="n">
        <v>12620.16</v>
      </c>
    </row>
    <row r="12365">
      <c r="A12365" s="3" t="inlineStr">
        <is>
          <t>Noble Shield (Pty) Ltd ta Go Letting</t>
        </is>
      </c>
      <c r="B12365" s="4" t="n">
        <v>44957</v>
      </c>
      <c r="C12365" s="3" t="inlineStr">
        <is>
          <t>Expenses</t>
        </is>
      </c>
      <c r="D12365" s="3" t="inlineStr">
        <is>
          <t>2000/200</t>
        </is>
      </c>
      <c r="E12365" s="3" t="inlineStr">
        <is>
          <t>COS - Commission on external sales</t>
        </is>
      </c>
      <c r="F12365" s="3" t="n">
        <v>0</v>
      </c>
      <c r="G12365" s="3" t="n">
        <v>18000</v>
      </c>
    </row>
    <row r="12366">
      <c r="A12366" s="3" t="inlineStr">
        <is>
          <t>Trademark Holdings (Pty) Ltd</t>
        </is>
      </c>
      <c r="B12366" s="4" t="n">
        <v>44957</v>
      </c>
      <c r="C12366" s="3" t="inlineStr">
        <is>
          <t>Expenses</t>
        </is>
      </c>
      <c r="D12366" s="3" t="inlineStr">
        <is>
          <t>2000/300</t>
        </is>
      </c>
      <c r="E12366" s="3" t="inlineStr">
        <is>
          <t>COS - Commission Paid</t>
        </is>
      </c>
      <c r="F12366" s="3" t="n">
        <v>16425.62</v>
      </c>
      <c r="G12366" s="3" t="n">
        <v>81033.05</v>
      </c>
    </row>
    <row r="12367">
      <c r="A12367" s="3" t="inlineStr">
        <is>
          <t>Opportunity Global Sales (PTY) LTD</t>
        </is>
      </c>
      <c r="B12367" s="4" t="n">
        <v>44957</v>
      </c>
      <c r="C12367" s="3" t="inlineStr">
        <is>
          <t>Expenses</t>
        </is>
      </c>
      <c r="D12367" s="3" t="inlineStr">
        <is>
          <t>2000/350</t>
        </is>
      </c>
      <c r="E12367" s="3" t="inlineStr">
        <is>
          <t>COS - Overrider Comm Endulini - Donovan</t>
        </is>
      </c>
      <c r="F12367" s="3" t="n">
        <v>0</v>
      </c>
      <c r="G12367" s="3" t="n">
        <v>81928.42</v>
      </c>
    </row>
    <row r="12368">
      <c r="A12368" s="3" t="inlineStr">
        <is>
          <t>Opportunity Global Sales (PTY) LTD</t>
        </is>
      </c>
      <c r="B12368" s="4" t="n">
        <v>44957</v>
      </c>
      <c r="C12368" s="3" t="inlineStr">
        <is>
          <t>Expenses</t>
        </is>
      </c>
      <c r="D12368" s="3" t="inlineStr">
        <is>
          <t>2000/351</t>
        </is>
      </c>
      <c r="E12368" s="3" t="inlineStr">
        <is>
          <t>COS - Overrider Comm External - Donovan</t>
        </is>
      </c>
      <c r="F12368" s="3" t="n">
        <v>0</v>
      </c>
      <c r="G12368" s="3" t="n">
        <v>7030.44</v>
      </c>
    </row>
    <row r="12369">
      <c r="A12369" s="3" t="inlineStr">
        <is>
          <t>Opportunity Global Sales (PTY) LTD</t>
        </is>
      </c>
      <c r="B12369" s="4" t="n">
        <v>44957</v>
      </c>
      <c r="C12369" s="3" t="inlineStr">
        <is>
          <t>Expenses</t>
        </is>
      </c>
      <c r="D12369" s="3" t="inlineStr">
        <is>
          <t>2000/352</t>
        </is>
      </c>
      <c r="E12369" s="3" t="inlineStr">
        <is>
          <t>COS - Overrider Comm Heron Fields - Donovan</t>
        </is>
      </c>
      <c r="F12369" s="3" t="n">
        <v>0</v>
      </c>
      <c r="G12369" s="3" t="n">
        <v>44709.92</v>
      </c>
    </row>
    <row r="12370">
      <c r="A12370" s="3" t="inlineStr">
        <is>
          <t>Opportunity Global Sales (PTY) LTD</t>
        </is>
      </c>
      <c r="B12370" s="4" t="n">
        <v>44957</v>
      </c>
      <c r="C12370" s="3" t="inlineStr">
        <is>
          <t>Expenses</t>
        </is>
      </c>
      <c r="D12370" s="3" t="inlineStr">
        <is>
          <t>2000/370</t>
        </is>
      </c>
      <c r="E12370" s="3" t="inlineStr">
        <is>
          <t>COS - Overrider Comm Endulini - Morne</t>
        </is>
      </c>
      <c r="F12370" s="3" t="n">
        <v>0</v>
      </c>
      <c r="G12370" s="3" t="n">
        <v>30323.61</v>
      </c>
    </row>
    <row r="12371">
      <c r="A12371" s="3" t="inlineStr">
        <is>
          <t>Opportunity Global Sales (PTY) LTD</t>
        </is>
      </c>
      <c r="B12371" s="4" t="n">
        <v>44957</v>
      </c>
      <c r="C12371" s="3" t="inlineStr">
        <is>
          <t>Expenses</t>
        </is>
      </c>
      <c r="D12371" s="3" t="inlineStr">
        <is>
          <t>2000/380</t>
        </is>
      </c>
      <c r="E12371" s="3" t="inlineStr">
        <is>
          <t>COS - Overrider Comm Heron Fields - Morne</t>
        </is>
      </c>
      <c r="F12371" s="3" t="n">
        <v>10852.08</v>
      </c>
      <c r="G12371" s="3" t="n">
        <v>35640.17</v>
      </c>
    </row>
    <row r="12372">
      <c r="A12372" s="3" t="inlineStr">
        <is>
          <t>Opportunity Global Sales (PTY) LTD</t>
        </is>
      </c>
      <c r="B12372" s="4" t="n">
        <v>44957</v>
      </c>
      <c r="C12372" s="3" t="inlineStr">
        <is>
          <t>Expenses</t>
        </is>
      </c>
      <c r="D12372" s="3" t="inlineStr">
        <is>
          <t>2000/383</t>
        </is>
      </c>
      <c r="E12372" s="3" t="inlineStr">
        <is>
          <t>COS - Overrider Comm Heron View - Morne</t>
        </is>
      </c>
      <c r="F12372" s="3" t="n">
        <v>1076.02</v>
      </c>
      <c r="G12372" s="3" t="n">
        <v>2249.87</v>
      </c>
    </row>
    <row r="12373">
      <c r="A12373" s="3" t="inlineStr">
        <is>
          <t>Trademark Holdings (Pty) Ltd</t>
        </is>
      </c>
      <c r="B12373" s="4" t="n">
        <v>44957</v>
      </c>
      <c r="C12373" s="3" t="inlineStr">
        <is>
          <t>Expenses</t>
        </is>
      </c>
      <c r="D12373" s="3" t="inlineStr">
        <is>
          <t>2000/400</t>
        </is>
      </c>
      <c r="E12373" s="3" t="inlineStr">
        <is>
          <t>COS - Commission on external sales</t>
        </is>
      </c>
      <c r="F12373" s="3" t="n">
        <v>0</v>
      </c>
      <c r="G12373" s="3" t="n">
        <v>48000</v>
      </c>
    </row>
    <row r="12374">
      <c r="A12374" s="3" t="inlineStr">
        <is>
          <t>Endulini (Pty) Ltd</t>
        </is>
      </c>
      <c r="B12374" s="4" t="n">
        <v>44957</v>
      </c>
      <c r="C12374" s="3" t="inlineStr">
        <is>
          <t>Expenses</t>
        </is>
      </c>
      <c r="D12374" s="3" t="inlineStr">
        <is>
          <t>2000/400</t>
        </is>
      </c>
      <c r="E12374" s="3" t="inlineStr">
        <is>
          <t>COS - Gifts</t>
        </is>
      </c>
      <c r="F12374" s="3" t="n">
        <v>0</v>
      </c>
      <c r="G12374" s="3" t="n">
        <v>4270</v>
      </c>
    </row>
    <row r="12375">
      <c r="A12375" s="3" t="inlineStr">
        <is>
          <t>Opportunity Global Sales (PTY) LTD</t>
        </is>
      </c>
      <c r="B12375" s="4" t="n">
        <v>44957</v>
      </c>
      <c r="C12375" s="3" t="inlineStr">
        <is>
          <t>Expenses</t>
        </is>
      </c>
      <c r="D12375" s="3" t="inlineStr">
        <is>
          <t>2000/500</t>
        </is>
      </c>
      <c r="E12375" s="3" t="inlineStr">
        <is>
          <t>COS - Electricity Costs Endulini</t>
        </is>
      </c>
      <c r="F12375" s="3" t="n">
        <v>0</v>
      </c>
      <c r="G12375" s="3" t="n">
        <v>536.96</v>
      </c>
    </row>
    <row r="12376">
      <c r="A12376" s="3" t="inlineStr">
        <is>
          <t>Endulini (Pty) Ltd</t>
        </is>
      </c>
      <c r="B12376" s="4" t="n">
        <v>44957</v>
      </c>
      <c r="C12376" s="3" t="inlineStr">
        <is>
          <t>Expenses</t>
        </is>
      </c>
      <c r="D12376" s="3" t="inlineStr">
        <is>
          <t>2000/500</t>
        </is>
      </c>
      <c r="E12376" s="3" t="inlineStr">
        <is>
          <t>COS - Legal Fees Opening of Sec Title Scheme</t>
        </is>
      </c>
      <c r="F12376" s="3" t="n">
        <v>0</v>
      </c>
      <c r="G12376" s="3" t="n">
        <v>56287.76</v>
      </c>
    </row>
    <row r="12377">
      <c r="A12377" s="3" t="inlineStr">
        <is>
          <t>Opportunity Global Sales (PTY) LTD</t>
        </is>
      </c>
      <c r="B12377" s="4" t="n">
        <v>44957</v>
      </c>
      <c r="C12377" s="3" t="inlineStr">
        <is>
          <t>Expenses</t>
        </is>
      </c>
      <c r="D12377" s="3" t="inlineStr">
        <is>
          <t>2000/550</t>
        </is>
      </c>
      <c r="E12377" s="3" t="inlineStr">
        <is>
          <t>COS - Electricity Costs Heron Fields</t>
        </is>
      </c>
      <c r="F12377" s="3" t="n">
        <v>0</v>
      </c>
      <c r="G12377" s="3" t="n">
        <v>478.26</v>
      </c>
    </row>
    <row r="12378">
      <c r="A12378" s="3" t="inlineStr">
        <is>
          <t>Endulini (Pty) Ltd</t>
        </is>
      </c>
      <c r="B12378" s="4" t="n">
        <v>44957</v>
      </c>
      <c r="C12378" s="3" t="inlineStr">
        <is>
          <t>Expenses</t>
        </is>
      </c>
      <c r="D12378" s="3" t="inlineStr">
        <is>
          <t>2000/600</t>
        </is>
      </c>
      <c r="E12378" s="3" t="inlineStr">
        <is>
          <t>COS - Legal fees</t>
        </is>
      </c>
      <c r="F12378" s="3" t="n">
        <v>0</v>
      </c>
      <c r="G12378" s="3" t="n">
        <v>1033439.58</v>
      </c>
    </row>
    <row r="12379">
      <c r="A12379" s="3" t="inlineStr">
        <is>
          <t>Endulini (Pty) Ltd</t>
        </is>
      </c>
      <c r="B12379" s="4" t="n">
        <v>44957</v>
      </c>
      <c r="C12379" s="3" t="inlineStr">
        <is>
          <t>Expenses</t>
        </is>
      </c>
      <c r="D12379" s="3" t="inlineStr">
        <is>
          <t>2000/700</t>
        </is>
      </c>
      <c r="E12379" s="3" t="inlineStr">
        <is>
          <t>COS - C2M Certificate for transfer</t>
        </is>
      </c>
      <c r="F12379" s="3" t="n">
        <v>0</v>
      </c>
      <c r="G12379" s="3" t="n">
        <v>5450</v>
      </c>
    </row>
    <row r="12380">
      <c r="A12380" s="3" t="inlineStr">
        <is>
          <t>Endulini (Pty) Ltd</t>
        </is>
      </c>
      <c r="B12380" s="4" t="n">
        <v>44957</v>
      </c>
      <c r="C12380" s="3" t="inlineStr">
        <is>
          <t>Expenses</t>
        </is>
      </c>
      <c r="D12380" s="3" t="inlineStr">
        <is>
          <t>2000/800</t>
        </is>
      </c>
      <c r="E12380" s="3" t="inlineStr">
        <is>
          <t>COS - Purchaser Variations</t>
        </is>
      </c>
      <c r="F12380" s="3" t="n">
        <v>0</v>
      </c>
      <c r="G12380" s="3" t="n">
        <v>8734.540000000001</v>
      </c>
    </row>
    <row r="12381">
      <c r="A12381" s="3" t="inlineStr">
        <is>
          <t>Endulini (Pty) Ltd</t>
        </is>
      </c>
      <c r="B12381" s="4" t="n">
        <v>44957</v>
      </c>
      <c r="C12381" s="3" t="inlineStr">
        <is>
          <t>Expenses</t>
        </is>
      </c>
      <c r="D12381" s="3" t="inlineStr">
        <is>
          <t>2000/900</t>
        </is>
      </c>
      <c r="E12381" s="3" t="inlineStr">
        <is>
          <t>COS - Legal fees Phase 2</t>
        </is>
      </c>
      <c r="F12381" s="3" t="n">
        <v>0</v>
      </c>
      <c r="G12381" s="3" t="n">
        <v>35638</v>
      </c>
    </row>
    <row r="12382">
      <c r="A12382" s="3" t="inlineStr">
        <is>
          <t>Quinate Consulting (Pty) Ltd</t>
        </is>
      </c>
      <c r="B12382" s="4" t="n">
        <v>44957</v>
      </c>
      <c r="C12382" s="3" t="inlineStr">
        <is>
          <t>Revenue</t>
        </is>
      </c>
      <c r="D12382" s="3" t="inlineStr">
        <is>
          <t>2400/200</t>
        </is>
      </c>
      <c r="E12382" s="3" t="inlineStr">
        <is>
          <t>Recovery Acc - Electricity SH</t>
        </is>
      </c>
      <c r="F12382" s="3" t="n">
        <v>-20634.54</v>
      </c>
      <c r="G12382" s="3" t="n">
        <v>-274307.34</v>
      </c>
    </row>
    <row r="12383">
      <c r="A12383" s="3" t="inlineStr">
        <is>
          <t>Quinate Consulting (Pty) Ltd</t>
        </is>
      </c>
      <c r="B12383" s="4" t="n">
        <v>44957</v>
      </c>
      <c r="C12383" s="3" t="inlineStr">
        <is>
          <t>Revenue</t>
        </is>
      </c>
      <c r="D12383" s="3" t="inlineStr">
        <is>
          <t>2400/300</t>
        </is>
      </c>
      <c r="E12383" s="3" t="inlineStr">
        <is>
          <t>Recovery Account - Electricity SW</t>
        </is>
      </c>
      <c r="F12383" s="3" t="n">
        <v>-14405.97</v>
      </c>
      <c r="G12383" s="3" t="n">
        <v>-204827.56</v>
      </c>
    </row>
    <row r="12384">
      <c r="A12384" s="3" t="inlineStr">
        <is>
          <t>Endulini (Pty) Ltd</t>
        </is>
      </c>
      <c r="B12384" s="4" t="n">
        <v>44957</v>
      </c>
      <c r="C12384" s="3" t="inlineStr">
        <is>
          <t>Revenue</t>
        </is>
      </c>
      <c r="D12384" s="3" t="inlineStr">
        <is>
          <t>2750/000</t>
        </is>
      </c>
      <c r="E12384" s="3" t="inlineStr">
        <is>
          <t>Interest Received</t>
        </is>
      </c>
      <c r="F12384" s="3" t="n">
        <v>0</v>
      </c>
      <c r="G12384" s="3" t="n">
        <v>-560.63</v>
      </c>
    </row>
    <row r="12385">
      <c r="A12385" s="3" t="inlineStr">
        <is>
          <t>Opportunity Management Holdings (PTY) LTD</t>
        </is>
      </c>
      <c r="B12385" s="4" t="n">
        <v>44957</v>
      </c>
      <c r="C12385" s="3" t="inlineStr">
        <is>
          <t>Revenue</t>
        </is>
      </c>
      <c r="D12385" s="3" t="inlineStr">
        <is>
          <t>2750/000</t>
        </is>
      </c>
      <c r="E12385" s="3" t="inlineStr">
        <is>
          <t>Interest Received</t>
        </is>
      </c>
      <c r="F12385" s="3" t="n">
        <v>-124.54</v>
      </c>
      <c r="G12385" s="3" t="n">
        <v>-376.23</v>
      </c>
    </row>
    <row r="12386">
      <c r="A12386" s="3" t="inlineStr">
        <is>
          <t>Opportunity Global Sales (PTY) LTD</t>
        </is>
      </c>
      <c r="B12386" s="4" t="n">
        <v>44957</v>
      </c>
      <c r="C12386" s="3" t="inlineStr">
        <is>
          <t>Revenue</t>
        </is>
      </c>
      <c r="D12386" s="3" t="inlineStr">
        <is>
          <t>2750/000</t>
        </is>
      </c>
      <c r="E12386" s="3" t="inlineStr">
        <is>
          <t>Interest Received - Bank</t>
        </is>
      </c>
      <c r="F12386" s="3" t="n">
        <v>0</v>
      </c>
      <c r="G12386" s="3" t="n">
        <v>-17.48</v>
      </c>
    </row>
    <row r="12387">
      <c r="A12387" s="3" t="inlineStr">
        <is>
          <t>Opportunity Global Investment (PTY) LTD</t>
        </is>
      </c>
      <c r="B12387" s="4" t="n">
        <v>44957</v>
      </c>
      <c r="C12387" s="3" t="inlineStr">
        <is>
          <t>Revenue</t>
        </is>
      </c>
      <c r="D12387" s="3" t="inlineStr">
        <is>
          <t>2753/000</t>
        </is>
      </c>
      <c r="E12387" s="3" t="inlineStr">
        <is>
          <t>Interest received - Momentum</t>
        </is>
      </c>
      <c r="F12387" s="3" t="n">
        <v>-82.34999999999999</v>
      </c>
      <c r="G12387" s="3" t="n">
        <v>-240.96</v>
      </c>
    </row>
    <row r="12388">
      <c r="A12388" s="3" t="inlineStr">
        <is>
          <t>Endulini (Pty) Ltd</t>
        </is>
      </c>
      <c r="B12388" s="4" t="n">
        <v>44957</v>
      </c>
      <c r="C12388" s="3" t="inlineStr">
        <is>
          <t>Revenue</t>
        </is>
      </c>
      <c r="D12388" s="3" t="inlineStr">
        <is>
          <t>2755/001</t>
        </is>
      </c>
      <c r="E12388" s="3" t="inlineStr">
        <is>
          <t>Interest Received - Momentum</t>
        </is>
      </c>
      <c r="F12388" s="3" t="n">
        <v>0</v>
      </c>
      <c r="G12388" s="3" t="n">
        <v>-26598.72</v>
      </c>
    </row>
    <row r="12389">
      <c r="A12389" s="3" t="inlineStr">
        <is>
          <t>Quinate Consulting (Pty) Ltd</t>
        </is>
      </c>
      <c r="B12389" s="4" t="n">
        <v>44957</v>
      </c>
      <c r="C12389" s="3" t="inlineStr">
        <is>
          <t>Revenue</t>
        </is>
      </c>
      <c r="D12389" s="3" t="inlineStr">
        <is>
          <t>2755/001</t>
        </is>
      </c>
      <c r="E12389" s="3" t="inlineStr">
        <is>
          <t>Interest Received - Momentum</t>
        </is>
      </c>
      <c r="F12389" s="3" t="n">
        <v>0</v>
      </c>
      <c r="G12389" s="3" t="n">
        <v>-18.11</v>
      </c>
    </row>
    <row r="12390">
      <c r="A12390" s="3" t="inlineStr">
        <is>
          <t>Opportunity Global Investment (PTY) LTD</t>
        </is>
      </c>
      <c r="B12390" s="4" t="n">
        <v>44957</v>
      </c>
      <c r="C12390" s="3" t="inlineStr">
        <is>
          <t>Expenses</t>
        </is>
      </c>
      <c r="D12390" s="3" t="inlineStr">
        <is>
          <t>3000/150</t>
        </is>
      </c>
      <c r="E12390" s="3" t="inlineStr">
        <is>
          <t>Accounting Fees - Audit</t>
        </is>
      </c>
      <c r="F12390" s="3" t="n">
        <v>0</v>
      </c>
      <c r="G12390" s="3" t="n">
        <v>7225</v>
      </c>
    </row>
    <row r="12391">
      <c r="A12391" s="3" t="inlineStr">
        <is>
          <t>Opportunity Global Investment (PTY) LTD</t>
        </is>
      </c>
      <c r="B12391" s="4" t="n">
        <v>44957</v>
      </c>
      <c r="C12391" s="3" t="inlineStr">
        <is>
          <t>Expenses</t>
        </is>
      </c>
      <c r="D12391" s="3" t="inlineStr">
        <is>
          <t>3000/200</t>
        </is>
      </c>
      <c r="E12391" s="3" t="inlineStr">
        <is>
          <t>Accounting Fees - General</t>
        </is>
      </c>
      <c r="F12391" s="3" t="n">
        <v>0</v>
      </c>
      <c r="G12391" s="3" t="n">
        <v>540</v>
      </c>
    </row>
    <row r="12392">
      <c r="A12392" s="3" t="inlineStr">
        <is>
          <t>Noble Shield (Pty) Ltd ta Go Letting</t>
        </is>
      </c>
      <c r="B12392" s="4" t="n">
        <v>44957</v>
      </c>
      <c r="C12392" s="3" t="inlineStr">
        <is>
          <t>Expenses</t>
        </is>
      </c>
      <c r="D12392" s="3" t="inlineStr">
        <is>
          <t>3000/300</t>
        </is>
      </c>
      <c r="E12392" s="3" t="inlineStr">
        <is>
          <t>Accounting Fees - Audit</t>
        </is>
      </c>
      <c r="F12392" s="3" t="n">
        <v>0</v>
      </c>
      <c r="G12392" s="3" t="n">
        <v>22367.5</v>
      </c>
    </row>
    <row r="12393">
      <c r="A12393" s="3" t="inlineStr">
        <is>
          <t>Trademark Holdings (Pty) Ltd</t>
        </is>
      </c>
      <c r="B12393" s="4" t="n">
        <v>44957</v>
      </c>
      <c r="C12393" s="3" t="inlineStr">
        <is>
          <t>Expenses</t>
        </is>
      </c>
      <c r="D12393" s="3" t="inlineStr">
        <is>
          <t>3000/300</t>
        </is>
      </c>
      <c r="E12393" s="3" t="inlineStr">
        <is>
          <t>Accounting Fees - Audit</t>
        </is>
      </c>
      <c r="F12393" s="3" t="n">
        <v>0</v>
      </c>
      <c r="G12393" s="3" t="n">
        <v>22367.5</v>
      </c>
    </row>
    <row r="12394">
      <c r="A12394" s="3" t="inlineStr">
        <is>
          <t>Quinate Consulting (Pty) Ltd</t>
        </is>
      </c>
      <c r="B12394" s="4" t="n">
        <v>44957</v>
      </c>
      <c r="C12394" s="3" t="inlineStr">
        <is>
          <t>Expenses</t>
        </is>
      </c>
      <c r="D12394" s="3" t="inlineStr">
        <is>
          <t>3001/000</t>
        </is>
      </c>
      <c r="E12394" s="3" t="inlineStr">
        <is>
          <t>Accounting fees - Other</t>
        </is>
      </c>
      <c r="F12394" s="3" t="n">
        <v>0</v>
      </c>
      <c r="G12394" s="3" t="n">
        <v>1850</v>
      </c>
    </row>
    <row r="12395">
      <c r="A12395" s="3" t="inlineStr">
        <is>
          <t>Opportunity Management Holdings (PTY) LTD</t>
        </is>
      </c>
      <c r="B12395" s="4" t="n">
        <v>44957</v>
      </c>
      <c r="C12395" s="3" t="inlineStr">
        <is>
          <t>Expenses</t>
        </is>
      </c>
      <c r="D12395" s="3" t="inlineStr">
        <is>
          <t>3004/000</t>
        </is>
      </c>
      <c r="E12395" s="3" t="inlineStr">
        <is>
          <t>Accounting fees - Janine Theart</t>
        </is>
      </c>
      <c r="F12395" s="3" t="n">
        <v>0</v>
      </c>
      <c r="G12395" s="3" t="n">
        <v>73432.16</v>
      </c>
    </row>
    <row r="12396">
      <c r="A12396" s="3" t="inlineStr">
        <is>
          <t>Quinate Consulting (Pty) Ltd</t>
        </is>
      </c>
      <c r="B12396" s="4" t="n">
        <v>44957</v>
      </c>
      <c r="C12396" s="3" t="inlineStr">
        <is>
          <t>Expenses</t>
        </is>
      </c>
      <c r="D12396" s="3" t="inlineStr">
        <is>
          <t>3005/000</t>
        </is>
      </c>
      <c r="E12396" s="3" t="inlineStr">
        <is>
          <t>Accounting fees - Audit</t>
        </is>
      </c>
      <c r="F12396" s="3" t="n">
        <v>0</v>
      </c>
      <c r="G12396" s="3" t="n">
        <v>19250</v>
      </c>
    </row>
    <row r="12397">
      <c r="A12397" s="3" t="inlineStr">
        <is>
          <t>Opportunity Management Holdings (PTY) LTD</t>
        </is>
      </c>
      <c r="B12397" s="4" t="n">
        <v>44957</v>
      </c>
      <c r="C12397" s="3" t="inlineStr">
        <is>
          <t>Expenses</t>
        </is>
      </c>
      <c r="D12397" s="3" t="inlineStr">
        <is>
          <t>3005/000</t>
        </is>
      </c>
      <c r="E12397" s="3" t="inlineStr">
        <is>
          <t>Accounting fees - Deric Dudley</t>
        </is>
      </c>
      <c r="F12397" s="3" t="n">
        <v>0</v>
      </c>
      <c r="G12397" s="3" t="n">
        <v>210000</v>
      </c>
    </row>
    <row r="12398">
      <c r="A12398" s="3" t="inlineStr">
        <is>
          <t>Opportunity Management Holdings (PTY) LTD</t>
        </is>
      </c>
      <c r="B12398" s="4" t="n">
        <v>44957</v>
      </c>
      <c r="C12398" s="3" t="inlineStr">
        <is>
          <t>Expenses</t>
        </is>
      </c>
      <c r="D12398" s="3" t="inlineStr">
        <is>
          <t>3006/000</t>
        </is>
      </c>
      <c r="E12398" s="3" t="inlineStr">
        <is>
          <t>Accounting fees - CIPC</t>
        </is>
      </c>
      <c r="F12398" s="3" t="n">
        <v>0</v>
      </c>
      <c r="G12398" s="3" t="n">
        <v>350</v>
      </c>
    </row>
    <row r="12399">
      <c r="A12399" s="3" t="inlineStr">
        <is>
          <t>Opportunity Management Holdings (PTY) LTD</t>
        </is>
      </c>
      <c r="B12399" s="4" t="n">
        <v>44957</v>
      </c>
      <c r="C12399" s="3" t="inlineStr">
        <is>
          <t>Expenses</t>
        </is>
      </c>
      <c r="D12399" s="3" t="inlineStr">
        <is>
          <t>3007/000</t>
        </is>
      </c>
      <c r="E12399" s="3" t="inlineStr">
        <is>
          <t>Accounting fees - Warwick</t>
        </is>
      </c>
      <c r="F12399" s="3" t="n">
        <v>0</v>
      </c>
      <c r="G12399" s="3" t="n">
        <v>54000</v>
      </c>
    </row>
    <row r="12400">
      <c r="A12400" s="3" t="inlineStr">
        <is>
          <t>Endulini (Pty) Ltd</t>
        </is>
      </c>
      <c r="B12400" s="4" t="n">
        <v>44957</v>
      </c>
      <c r="C12400" s="3" t="inlineStr">
        <is>
          <t>Expenses</t>
        </is>
      </c>
      <c r="D12400" s="3" t="inlineStr">
        <is>
          <t>3050/000</t>
        </is>
      </c>
      <c r="E12400" s="3" t="inlineStr">
        <is>
          <t>Advertising _AND_ Promotions</t>
        </is>
      </c>
      <c r="F12400" s="3" t="n">
        <v>0</v>
      </c>
      <c r="G12400" s="3" t="n">
        <v>23598</v>
      </c>
    </row>
    <row r="12401">
      <c r="A12401" s="3" t="inlineStr">
        <is>
          <t>Noble Shield (Pty) Ltd ta Go Letting</t>
        </is>
      </c>
      <c r="B12401" s="4" t="n">
        <v>44957</v>
      </c>
      <c r="C12401" s="3" t="inlineStr">
        <is>
          <t>Expenses</t>
        </is>
      </c>
      <c r="D12401" s="3" t="inlineStr">
        <is>
          <t>3050/000</t>
        </is>
      </c>
      <c r="E12401" s="3" t="inlineStr">
        <is>
          <t>Advertising _AND_ Promotions</t>
        </is>
      </c>
      <c r="F12401" s="3" t="n">
        <v>884</v>
      </c>
      <c r="G12401" s="3" t="n">
        <v>1543.99</v>
      </c>
    </row>
    <row r="12402">
      <c r="A12402" s="3" t="inlineStr">
        <is>
          <t>Opportunity Management Holdings (PTY) LTD</t>
        </is>
      </c>
      <c r="B12402" s="4" t="n">
        <v>44957</v>
      </c>
      <c r="C12402" s="3" t="inlineStr">
        <is>
          <t>Expenses</t>
        </is>
      </c>
      <c r="D12402" s="3" t="inlineStr">
        <is>
          <t>3050/000</t>
        </is>
      </c>
      <c r="E12402" s="3" t="inlineStr">
        <is>
          <t>Advertising _AND_ Promotions</t>
        </is>
      </c>
      <c r="F12402" s="3" t="n">
        <v>0</v>
      </c>
      <c r="G12402" s="3" t="n">
        <v>500</v>
      </c>
    </row>
    <row r="12403">
      <c r="A12403" s="3" t="inlineStr">
        <is>
          <t>Quinate Consulting (Pty) Ltd</t>
        </is>
      </c>
      <c r="B12403" s="4" t="n">
        <v>44957</v>
      </c>
      <c r="C12403" s="3" t="inlineStr">
        <is>
          <t>Expenses</t>
        </is>
      </c>
      <c r="D12403" s="3" t="inlineStr">
        <is>
          <t>3050/000</t>
        </is>
      </c>
      <c r="E12403" s="3" t="inlineStr">
        <is>
          <t>Advertising _AND_ Promotions</t>
        </is>
      </c>
      <c r="F12403" s="3" t="n">
        <v>0</v>
      </c>
      <c r="G12403" s="3" t="n">
        <v>1875.22</v>
      </c>
    </row>
    <row r="12404">
      <c r="A12404" s="3" t="inlineStr">
        <is>
          <t>Trademark Holdings (Pty) Ltd</t>
        </is>
      </c>
      <c r="B12404" s="4" t="n">
        <v>44957</v>
      </c>
      <c r="C12404" s="3" t="inlineStr">
        <is>
          <t>Expenses</t>
        </is>
      </c>
      <c r="D12404" s="3" t="inlineStr">
        <is>
          <t>3050/000</t>
        </is>
      </c>
      <c r="E12404" s="3" t="inlineStr">
        <is>
          <t>Advertising _AND_ Promotions</t>
        </is>
      </c>
      <c r="F12404" s="3" t="n">
        <v>0</v>
      </c>
      <c r="G12404" s="3" t="n">
        <v>6852.5</v>
      </c>
    </row>
    <row r="12405">
      <c r="A12405" s="3" t="inlineStr">
        <is>
          <t>Endulini (Pty) Ltd</t>
        </is>
      </c>
      <c r="B12405" s="4" t="n">
        <v>44957</v>
      </c>
      <c r="C12405" s="3" t="inlineStr">
        <is>
          <t>Expenses</t>
        </is>
      </c>
      <c r="D12405" s="3" t="inlineStr">
        <is>
          <t>3050/001</t>
        </is>
      </c>
      <c r="E12405" s="3" t="inlineStr">
        <is>
          <t>Advertising _AND_ Promotions - Media Agenda</t>
        </is>
      </c>
      <c r="F12405" s="3" t="n">
        <v>0</v>
      </c>
      <c r="G12405" s="3" t="n">
        <v>13800</v>
      </c>
    </row>
    <row r="12406">
      <c r="A12406" s="3" t="inlineStr">
        <is>
          <t>Noble Shield (Pty) Ltd ta Go Letting</t>
        </is>
      </c>
      <c r="B12406" s="4" t="n">
        <v>44957</v>
      </c>
      <c r="C12406" s="3" t="inlineStr">
        <is>
          <t>Expenses</t>
        </is>
      </c>
      <c r="D12406" s="3" t="inlineStr">
        <is>
          <t>3050/050</t>
        </is>
      </c>
      <c r="E12406" s="3" t="inlineStr">
        <is>
          <t>Advertising - Prop 24</t>
        </is>
      </c>
      <c r="F12406" s="3" t="n">
        <v>2737</v>
      </c>
      <c r="G12406" s="3" t="n">
        <v>14959.2</v>
      </c>
    </row>
    <row r="12407">
      <c r="A12407" s="3" t="inlineStr">
        <is>
          <t>Opportunity Global Sales (PTY) LTD</t>
        </is>
      </c>
      <c r="B12407" s="4" t="n">
        <v>44957</v>
      </c>
      <c r="C12407" s="3" t="inlineStr">
        <is>
          <t>Expenses</t>
        </is>
      </c>
      <c r="D12407" s="3" t="inlineStr">
        <is>
          <t>3050/100</t>
        </is>
      </c>
      <c r="E12407" s="3" t="inlineStr">
        <is>
          <t>Advertising - Facebook</t>
        </is>
      </c>
      <c r="F12407" s="3" t="n">
        <v>24900</v>
      </c>
      <c r="G12407" s="3" t="n">
        <v>134274.1</v>
      </c>
    </row>
    <row r="12408">
      <c r="A12408" s="3" t="inlineStr">
        <is>
          <t>Opportunity Global Sales (PTY) LTD</t>
        </is>
      </c>
      <c r="B12408" s="4" t="n">
        <v>44957</v>
      </c>
      <c r="C12408" s="3" t="inlineStr">
        <is>
          <t>Expenses</t>
        </is>
      </c>
      <c r="D12408" s="3" t="inlineStr">
        <is>
          <t>3050/140</t>
        </is>
      </c>
      <c r="E12408" s="3" t="inlineStr">
        <is>
          <t>Advertising - Media Agenda</t>
        </is>
      </c>
      <c r="F12408" s="3" t="n">
        <v>0</v>
      </c>
      <c r="G12408" s="3" t="n">
        <v>10000</v>
      </c>
    </row>
    <row r="12409">
      <c r="A12409" s="3" t="inlineStr">
        <is>
          <t>Opportunity Global Investment (PTY) LTD</t>
        </is>
      </c>
      <c r="B12409" s="4" t="n">
        <v>44957</v>
      </c>
      <c r="C12409" s="3" t="inlineStr">
        <is>
          <t>Expenses</t>
        </is>
      </c>
      <c r="D12409" s="3" t="inlineStr">
        <is>
          <t>3050/250</t>
        </is>
      </c>
      <c r="E12409" s="3" t="inlineStr">
        <is>
          <t>Advertising - General</t>
        </is>
      </c>
      <c r="F12409" s="3" t="n">
        <v>0</v>
      </c>
      <c r="G12409" s="3" t="n">
        <v>7091.83</v>
      </c>
    </row>
    <row r="12410">
      <c r="A12410" s="3" t="inlineStr">
        <is>
          <t>Opportunity Global Sales (PTY) LTD</t>
        </is>
      </c>
      <c r="B12410" s="4" t="n">
        <v>44957</v>
      </c>
      <c r="C12410" s="3" t="inlineStr">
        <is>
          <t>Expenses</t>
        </is>
      </c>
      <c r="D12410" s="3" t="inlineStr">
        <is>
          <t>3050/250</t>
        </is>
      </c>
      <c r="E12410" s="3" t="inlineStr">
        <is>
          <t>Advertising - General</t>
        </is>
      </c>
      <c r="F12410" s="3" t="n">
        <v>0</v>
      </c>
      <c r="G12410" s="3" t="n">
        <v>47293.58</v>
      </c>
    </row>
    <row r="12411">
      <c r="A12411" s="3" t="inlineStr">
        <is>
          <t>Opportunity Global Investment (PTY) LTD</t>
        </is>
      </c>
      <c r="B12411" s="4" t="n">
        <v>44957</v>
      </c>
      <c r="C12411" s="3" t="inlineStr">
        <is>
          <t>Expenses</t>
        </is>
      </c>
      <c r="D12411" s="3" t="inlineStr">
        <is>
          <t>3050/260</t>
        </is>
      </c>
      <c r="E12411" s="3" t="inlineStr">
        <is>
          <t>Advertising - Media Agenda</t>
        </is>
      </c>
      <c r="F12411" s="3" t="n">
        <v>0</v>
      </c>
      <c r="G12411" s="3" t="n">
        <v>3575</v>
      </c>
    </row>
    <row r="12412">
      <c r="A12412" s="3" t="inlineStr">
        <is>
          <t>Opportunity Global Investment (PTY) LTD</t>
        </is>
      </c>
      <c r="B12412" s="4" t="n">
        <v>44957</v>
      </c>
      <c r="C12412" s="3" t="inlineStr">
        <is>
          <t>Expenses</t>
        </is>
      </c>
      <c r="D12412" s="3" t="inlineStr">
        <is>
          <t>3050/270</t>
        </is>
      </c>
      <c r="E12412" s="3" t="inlineStr">
        <is>
          <t>Advertising - Radia and TV Interviews</t>
        </is>
      </c>
      <c r="F12412" s="3" t="n">
        <v>0</v>
      </c>
      <c r="G12412" s="3" t="n">
        <v>210072</v>
      </c>
    </row>
    <row r="12413">
      <c r="A12413" s="3" t="inlineStr">
        <is>
          <t>Opportunity Global Investment (PTY) LTD</t>
        </is>
      </c>
      <c r="B12413" s="4" t="n">
        <v>44957</v>
      </c>
      <c r="C12413" s="3" t="inlineStr">
        <is>
          <t>Expenses</t>
        </is>
      </c>
      <c r="D12413" s="3" t="inlineStr">
        <is>
          <t>3050/290</t>
        </is>
      </c>
      <c r="E12413" s="3" t="inlineStr">
        <is>
          <t>Advertising - Serene Living</t>
        </is>
      </c>
      <c r="F12413" s="3" t="n">
        <v>65086</v>
      </c>
      <c r="G12413" s="3" t="n">
        <v>715946</v>
      </c>
    </row>
    <row r="12414">
      <c r="A12414" s="3" t="inlineStr">
        <is>
          <t>Opportunity Global Investment (PTY) LTD</t>
        </is>
      </c>
      <c r="B12414" s="4" t="n">
        <v>44957</v>
      </c>
      <c r="C12414" s="3" t="inlineStr">
        <is>
          <t>Expenses</t>
        </is>
      </c>
      <c r="D12414" s="3" t="inlineStr">
        <is>
          <t>3050/295</t>
        </is>
      </c>
      <c r="E12414" s="3" t="inlineStr">
        <is>
          <t>Advertising - Reale Activation</t>
        </is>
      </c>
      <c r="F12414" s="3" t="n">
        <v>1685.05</v>
      </c>
      <c r="G12414" s="3" t="n">
        <v>75145.94</v>
      </c>
    </row>
    <row r="12415">
      <c r="A12415" s="3" t="inlineStr">
        <is>
          <t>Opportunity Global Investment (PTY) LTD</t>
        </is>
      </c>
      <c r="B12415" s="4" t="n">
        <v>44957</v>
      </c>
      <c r="C12415" s="3" t="inlineStr">
        <is>
          <t>Expenses</t>
        </is>
      </c>
      <c r="D12415" s="3" t="inlineStr">
        <is>
          <t>3050/300</t>
        </is>
      </c>
      <c r="E12415" s="3" t="inlineStr">
        <is>
          <t>Advertising - Design</t>
        </is>
      </c>
      <c r="F12415" s="3" t="n">
        <v>2700</v>
      </c>
      <c r="G12415" s="3" t="n">
        <v>51191</v>
      </c>
    </row>
    <row r="12416">
      <c r="A12416" s="3" t="inlineStr">
        <is>
          <t>Opportunity Global Sales (PTY) LTD</t>
        </is>
      </c>
      <c r="B12416" s="4" t="n">
        <v>44957</v>
      </c>
      <c r="C12416" s="3" t="inlineStr">
        <is>
          <t>Expenses</t>
        </is>
      </c>
      <c r="D12416" s="3" t="inlineStr">
        <is>
          <t>3050/350</t>
        </is>
      </c>
      <c r="E12416" s="3" t="inlineStr">
        <is>
          <t>Advertising - Private Property</t>
        </is>
      </c>
      <c r="F12416" s="3" t="n">
        <v>0</v>
      </c>
      <c r="G12416" s="3" t="n">
        <v>8750</v>
      </c>
    </row>
    <row r="12417">
      <c r="A12417" s="3" t="inlineStr">
        <is>
          <t>Opportunity Global Sales (PTY) LTD</t>
        </is>
      </c>
      <c r="B12417" s="4" t="n">
        <v>44957</v>
      </c>
      <c r="C12417" s="3" t="inlineStr">
        <is>
          <t>Expenses</t>
        </is>
      </c>
      <c r="D12417" s="3" t="inlineStr">
        <is>
          <t>3050/370</t>
        </is>
      </c>
      <c r="E12417" s="3" t="inlineStr">
        <is>
          <t>Advertising - HR</t>
        </is>
      </c>
      <c r="F12417" s="3" t="n">
        <v>0</v>
      </c>
      <c r="G12417" s="3" t="n">
        <v>2467.44</v>
      </c>
    </row>
    <row r="12418">
      <c r="A12418" s="3" t="inlineStr">
        <is>
          <t>Quinate Consulting (Pty) Ltd</t>
        </is>
      </c>
      <c r="B12418" s="4" t="n">
        <v>44957</v>
      </c>
      <c r="C12418" s="3" t="inlineStr">
        <is>
          <t>Expenses</t>
        </is>
      </c>
      <c r="D12418" s="3" t="inlineStr">
        <is>
          <t>3050/400</t>
        </is>
      </c>
      <c r="E12418" s="3" t="inlineStr">
        <is>
          <t>Advertising - Prop24</t>
        </is>
      </c>
      <c r="F12418" s="3" t="n">
        <v>14851</v>
      </c>
      <c r="G12418" s="3" t="n">
        <v>163731</v>
      </c>
    </row>
    <row r="12419">
      <c r="A12419" s="3" t="inlineStr">
        <is>
          <t>Quinate Consulting (Pty) Ltd</t>
        </is>
      </c>
      <c r="B12419" s="4" t="n">
        <v>44957</v>
      </c>
      <c r="C12419" s="3" t="inlineStr">
        <is>
          <t>Expenses</t>
        </is>
      </c>
      <c r="D12419" s="3" t="inlineStr">
        <is>
          <t>3050/450</t>
        </is>
      </c>
      <c r="E12419" s="3" t="inlineStr">
        <is>
          <t>Advertising - Facebook</t>
        </is>
      </c>
      <c r="F12419" s="3" t="n">
        <v>7451.54</v>
      </c>
      <c r="G12419" s="3" t="n">
        <v>101233.62</v>
      </c>
    </row>
    <row r="12420">
      <c r="A12420" s="3" t="inlineStr">
        <is>
          <t>Opportunity Global Investment (PTY) LTD</t>
        </is>
      </c>
      <c r="B12420" s="4" t="n">
        <v>44957</v>
      </c>
      <c r="C12420" s="3" t="inlineStr">
        <is>
          <t>Expenses</t>
        </is>
      </c>
      <c r="D12420" s="3" t="inlineStr">
        <is>
          <t>3051/000</t>
        </is>
      </c>
      <c r="E12420" s="3" t="inlineStr">
        <is>
          <t>Advertising - Facebook</t>
        </is>
      </c>
      <c r="F12420" s="3" t="n">
        <v>6223.81</v>
      </c>
      <c r="G12420" s="3" t="n">
        <v>195579.83</v>
      </c>
    </row>
    <row r="12421">
      <c r="A12421" s="3" t="inlineStr">
        <is>
          <t>Opportunity Global Investment (PTY) LTD</t>
        </is>
      </c>
      <c r="B12421" s="4" t="n">
        <v>44957</v>
      </c>
      <c r="C12421" s="3" t="inlineStr">
        <is>
          <t>Expenses</t>
        </is>
      </c>
      <c r="D12421" s="3" t="inlineStr">
        <is>
          <t>3053/000</t>
        </is>
      </c>
      <c r="E12421" s="3" t="inlineStr">
        <is>
          <t>Advertising - Google Ads</t>
        </is>
      </c>
      <c r="F12421" s="3" t="n">
        <v>0</v>
      </c>
      <c r="G12421" s="3" t="n">
        <v>6207.42</v>
      </c>
    </row>
    <row r="12422">
      <c r="A12422" s="3" t="inlineStr">
        <is>
          <t>Endulini (Pty) Ltd</t>
        </is>
      </c>
      <c r="B12422" s="4" t="n">
        <v>44957</v>
      </c>
      <c r="C12422" s="3" t="inlineStr">
        <is>
          <t>Expenses</t>
        </is>
      </c>
      <c r="D12422" s="3" t="inlineStr">
        <is>
          <t>3200/000</t>
        </is>
      </c>
      <c r="E12422" s="3" t="inlineStr">
        <is>
          <t>Bank Charges</t>
        </is>
      </c>
      <c r="F12422" s="3" t="n">
        <v>1111.89</v>
      </c>
      <c r="G12422" s="3" t="n">
        <v>6207.95</v>
      </c>
    </row>
    <row r="12423">
      <c r="A12423" s="3" t="inlineStr">
        <is>
          <t>Noble Shield (Pty) Ltd ta Go Letting</t>
        </is>
      </c>
      <c r="B12423" s="4" t="n">
        <v>44957</v>
      </c>
      <c r="C12423" s="3" t="inlineStr">
        <is>
          <t>Expenses</t>
        </is>
      </c>
      <c r="D12423" s="3" t="inlineStr">
        <is>
          <t>3200/000</t>
        </is>
      </c>
      <c r="E12423" s="3" t="inlineStr">
        <is>
          <t>Bank Charges</t>
        </is>
      </c>
      <c r="F12423" s="3" t="n">
        <v>525.6</v>
      </c>
      <c r="G12423" s="3" t="n">
        <v>3852.85</v>
      </c>
    </row>
    <row r="12424">
      <c r="A12424" s="3" t="inlineStr">
        <is>
          <t>Opportunity Global Investment (PTY) LTD</t>
        </is>
      </c>
      <c r="B12424" s="4" t="n">
        <v>44957</v>
      </c>
      <c r="C12424" s="3" t="inlineStr">
        <is>
          <t>Expenses</t>
        </is>
      </c>
      <c r="D12424" s="3" t="inlineStr">
        <is>
          <t>3200/000</t>
        </is>
      </c>
      <c r="E12424" s="3" t="inlineStr">
        <is>
          <t>Bank Charges</t>
        </is>
      </c>
      <c r="F12424" s="3" t="n">
        <v>358.51</v>
      </c>
      <c r="G12424" s="3" t="n">
        <v>15628.06</v>
      </c>
    </row>
    <row r="12425">
      <c r="A12425" s="3" t="inlineStr">
        <is>
          <t>Opportunity Global Sales (PTY) LTD</t>
        </is>
      </c>
      <c r="B12425" s="4" t="n">
        <v>44957</v>
      </c>
      <c r="C12425" s="3" t="inlineStr">
        <is>
          <t>Expenses</t>
        </is>
      </c>
      <c r="D12425" s="3" t="inlineStr">
        <is>
          <t>3200/000</t>
        </is>
      </c>
      <c r="E12425" s="3" t="inlineStr">
        <is>
          <t>Bank Charges</t>
        </is>
      </c>
      <c r="F12425" s="3" t="n">
        <v>455.09</v>
      </c>
      <c r="G12425" s="3" t="n">
        <v>9189.52</v>
      </c>
    </row>
    <row r="12426">
      <c r="A12426" s="3" t="inlineStr">
        <is>
          <t>Opportunity Management Holdings (PTY) LTD</t>
        </is>
      </c>
      <c r="B12426" s="4" t="n">
        <v>44957</v>
      </c>
      <c r="C12426" s="3" t="inlineStr">
        <is>
          <t>Expenses</t>
        </is>
      </c>
      <c r="D12426" s="3" t="inlineStr">
        <is>
          <t>3200/000</t>
        </is>
      </c>
      <c r="E12426" s="3" t="inlineStr">
        <is>
          <t>Bank Charges</t>
        </is>
      </c>
      <c r="F12426" s="3" t="n">
        <v>655.51</v>
      </c>
      <c r="G12426" s="3" t="n">
        <v>3812.64</v>
      </c>
    </row>
    <row r="12427">
      <c r="A12427" s="3" t="inlineStr">
        <is>
          <t>Quinate Consulting (Pty) Ltd</t>
        </is>
      </c>
      <c r="B12427" s="4" t="n">
        <v>44957</v>
      </c>
      <c r="C12427" s="3" t="inlineStr">
        <is>
          <t>Expenses</t>
        </is>
      </c>
      <c r="D12427" s="3" t="inlineStr">
        <is>
          <t>3200/000</t>
        </is>
      </c>
      <c r="E12427" s="3" t="inlineStr">
        <is>
          <t>Bank Charges</t>
        </is>
      </c>
      <c r="F12427" s="3" t="n">
        <v>652.26</v>
      </c>
      <c r="G12427" s="3" t="n">
        <v>15795.17</v>
      </c>
    </row>
    <row r="12428">
      <c r="A12428" s="3" t="inlineStr">
        <is>
          <t>Trademark Holdings (Pty) Ltd</t>
        </is>
      </c>
      <c r="B12428" s="4" t="n">
        <v>44957</v>
      </c>
      <c r="C12428" s="3" t="inlineStr">
        <is>
          <t>Expenses</t>
        </is>
      </c>
      <c r="D12428" s="3" t="inlineStr">
        <is>
          <t>3200/000</t>
        </is>
      </c>
      <c r="E12428" s="3" t="inlineStr">
        <is>
          <t>Bank Charges</t>
        </is>
      </c>
      <c r="F12428" s="3" t="n">
        <v>400.92</v>
      </c>
      <c r="G12428" s="3" t="n">
        <v>2160.36</v>
      </c>
    </row>
    <row r="12429">
      <c r="A12429" s="3" t="inlineStr">
        <is>
          <t>Quinate Consulting (Pty) Ltd</t>
        </is>
      </c>
      <c r="B12429" s="4" t="n">
        <v>44957</v>
      </c>
      <c r="C12429" s="3" t="inlineStr">
        <is>
          <t>Expenses</t>
        </is>
      </c>
      <c r="D12429" s="3" t="inlineStr">
        <is>
          <t>3220/000</t>
        </is>
      </c>
      <c r="E12429" s="3" t="inlineStr">
        <is>
          <t>Bank Charges - Bond Fees</t>
        </is>
      </c>
      <c r="F12429" s="3" t="n">
        <v>2308.73</v>
      </c>
      <c r="G12429" s="3" t="n">
        <v>12291.51</v>
      </c>
    </row>
    <row r="12430">
      <c r="A12430" s="3" t="inlineStr">
        <is>
          <t>Noble Shield (Pty) Ltd ta Go Letting</t>
        </is>
      </c>
      <c r="B12430" s="4" t="n">
        <v>44957</v>
      </c>
      <c r="C12430" s="3" t="inlineStr">
        <is>
          <t>Expenses</t>
        </is>
      </c>
      <c r="D12430" s="3" t="inlineStr">
        <is>
          <t>3230/000</t>
        </is>
      </c>
      <c r="E12430" s="3" t="inlineStr">
        <is>
          <t>Cell Phone - NM</t>
        </is>
      </c>
      <c r="F12430" s="3" t="n">
        <v>2130.55</v>
      </c>
      <c r="G12430" s="3" t="n">
        <v>11170.2</v>
      </c>
    </row>
    <row r="12431">
      <c r="A12431" s="3" t="inlineStr">
        <is>
          <t>Noble Shield (Pty) Ltd ta Go Letting</t>
        </is>
      </c>
      <c r="B12431" s="4" t="n">
        <v>44957</v>
      </c>
      <c r="C12431" s="3" t="inlineStr">
        <is>
          <t>Expenses</t>
        </is>
      </c>
      <c r="D12431" s="3" t="inlineStr">
        <is>
          <t>3233/000</t>
        </is>
      </c>
      <c r="E12431" s="3" t="inlineStr">
        <is>
          <t>Cell Data - Other</t>
        </is>
      </c>
      <c r="F12431" s="3" t="n">
        <v>199</v>
      </c>
      <c r="G12431" s="3" t="n">
        <v>995</v>
      </c>
    </row>
    <row r="12432">
      <c r="A12432" s="3" t="inlineStr">
        <is>
          <t>Noble Shield (Pty) Ltd ta Go Letting</t>
        </is>
      </c>
      <c r="B12432" s="4" t="n">
        <v>44957</v>
      </c>
      <c r="C12432" s="3" t="inlineStr">
        <is>
          <t>Expenses</t>
        </is>
      </c>
      <c r="D12432" s="3" t="inlineStr">
        <is>
          <t>3233/100</t>
        </is>
      </c>
      <c r="E12432" s="3" t="inlineStr">
        <is>
          <t>Cell Data - Sales office Wifi</t>
        </is>
      </c>
      <c r="F12432" s="3" t="n">
        <v>369</v>
      </c>
      <c r="G12432" s="3" t="n">
        <v>1845</v>
      </c>
    </row>
    <row r="12433">
      <c r="A12433" s="3" t="inlineStr">
        <is>
          <t>Noble Shield (Pty) Ltd ta Go Letting</t>
        </is>
      </c>
      <c r="B12433" s="4" t="n">
        <v>44957</v>
      </c>
      <c r="C12433" s="3" t="inlineStr">
        <is>
          <t>Expenses</t>
        </is>
      </c>
      <c r="D12433" s="3" t="inlineStr">
        <is>
          <t>3250/000</t>
        </is>
      </c>
      <c r="E12433" s="3" t="inlineStr">
        <is>
          <t>Cleaning</t>
        </is>
      </c>
      <c r="F12433" s="3" t="n">
        <v>0</v>
      </c>
      <c r="G12433" s="3" t="n">
        <v>289.4</v>
      </c>
    </row>
    <row r="12434">
      <c r="A12434" s="3" t="inlineStr">
        <is>
          <t>Opportunity Global Investment (PTY) LTD</t>
        </is>
      </c>
      <c r="B12434" s="4" t="n">
        <v>44957</v>
      </c>
      <c r="C12434" s="3" t="inlineStr">
        <is>
          <t>Expenses</t>
        </is>
      </c>
      <c r="D12434" s="3" t="inlineStr">
        <is>
          <t>3250/000</t>
        </is>
      </c>
      <c r="E12434" s="3" t="inlineStr">
        <is>
          <t>Cleaning</t>
        </is>
      </c>
      <c r="F12434" s="3" t="n">
        <v>2700</v>
      </c>
      <c r="G12434" s="3" t="n">
        <v>29700</v>
      </c>
    </row>
    <row r="12435">
      <c r="A12435" s="3" t="inlineStr">
        <is>
          <t>Opportunity Management Holdings (PTY) LTD</t>
        </is>
      </c>
      <c r="B12435" s="4" t="n">
        <v>44957</v>
      </c>
      <c r="C12435" s="3" t="inlineStr">
        <is>
          <t>Expenses</t>
        </is>
      </c>
      <c r="D12435" s="3" t="inlineStr">
        <is>
          <t>3250/000</t>
        </is>
      </c>
      <c r="E12435" s="3" t="inlineStr">
        <is>
          <t>Cleaning</t>
        </is>
      </c>
      <c r="F12435" s="3" t="n">
        <v>2000</v>
      </c>
      <c r="G12435" s="3" t="n">
        <v>10818.15</v>
      </c>
    </row>
    <row r="12436">
      <c r="A12436" s="3" t="inlineStr">
        <is>
          <t>Trademark Holdings (Pty) Ltd</t>
        </is>
      </c>
      <c r="B12436" s="4" t="n">
        <v>44957</v>
      </c>
      <c r="C12436" s="3" t="inlineStr">
        <is>
          <t>Expenses</t>
        </is>
      </c>
      <c r="D12436" s="3" t="inlineStr">
        <is>
          <t>3250/000</t>
        </is>
      </c>
      <c r="E12436" s="3" t="inlineStr">
        <is>
          <t>Cleaning</t>
        </is>
      </c>
      <c r="F12436" s="3" t="n">
        <v>1040</v>
      </c>
      <c r="G12436" s="3" t="n">
        <v>4680</v>
      </c>
    </row>
    <row r="12437">
      <c r="A12437" s="3" t="inlineStr">
        <is>
          <t>Noble Shield (Pty) Ltd ta Go Letting</t>
        </is>
      </c>
      <c r="B12437" s="4" t="n">
        <v>44957</v>
      </c>
      <c r="C12437" s="3" t="inlineStr">
        <is>
          <t>Expenses</t>
        </is>
      </c>
      <c r="D12437" s="3" t="inlineStr">
        <is>
          <t>3300/000</t>
        </is>
      </c>
      <c r="E12437" s="3" t="inlineStr">
        <is>
          <t>Computer Expenses</t>
        </is>
      </c>
      <c r="F12437" s="3" t="n">
        <v>350</v>
      </c>
      <c r="G12437" s="3" t="n">
        <v>350</v>
      </c>
    </row>
    <row r="12438">
      <c r="A12438" s="3" t="inlineStr">
        <is>
          <t>Opportunity Global Investment (PTY) LTD</t>
        </is>
      </c>
      <c r="B12438" s="4" t="n">
        <v>44957</v>
      </c>
      <c r="C12438" s="3" t="inlineStr">
        <is>
          <t>Expenses</t>
        </is>
      </c>
      <c r="D12438" s="3" t="inlineStr">
        <is>
          <t>3300/000</t>
        </is>
      </c>
      <c r="E12438" s="3" t="inlineStr">
        <is>
          <t>Computer Expenses</t>
        </is>
      </c>
      <c r="F12438" s="3" t="n">
        <v>1216.48</v>
      </c>
      <c r="G12438" s="3" t="n">
        <v>1216.47</v>
      </c>
    </row>
    <row r="12439">
      <c r="A12439" s="3" t="inlineStr">
        <is>
          <t>Opportunity Global Sales (PTY) LTD</t>
        </is>
      </c>
      <c r="B12439" s="4" t="n">
        <v>44957</v>
      </c>
      <c r="C12439" s="3" t="inlineStr">
        <is>
          <t>Expenses</t>
        </is>
      </c>
      <c r="D12439" s="3" t="inlineStr">
        <is>
          <t>3300/000</t>
        </is>
      </c>
      <c r="E12439" s="3" t="inlineStr">
        <is>
          <t>Computer Expenses</t>
        </is>
      </c>
      <c r="F12439" s="3" t="n">
        <v>0</v>
      </c>
      <c r="G12439" s="3" t="n">
        <v>2075</v>
      </c>
    </row>
    <row r="12440">
      <c r="A12440" s="3" t="inlineStr">
        <is>
          <t>Opportunity Management Holdings (PTY) LTD</t>
        </is>
      </c>
      <c r="B12440" s="4" t="n">
        <v>44957</v>
      </c>
      <c r="C12440" s="3" t="inlineStr">
        <is>
          <t>Expenses</t>
        </is>
      </c>
      <c r="D12440" s="3" t="inlineStr">
        <is>
          <t>3300/000</t>
        </is>
      </c>
      <c r="E12440" s="3" t="inlineStr">
        <is>
          <t>Computer Expenses</t>
        </is>
      </c>
      <c r="F12440" s="3" t="n">
        <v>1100</v>
      </c>
      <c r="G12440" s="3" t="n">
        <v>3418.91</v>
      </c>
    </row>
    <row r="12441">
      <c r="A12441" s="3" t="inlineStr">
        <is>
          <t>Quinate Consulting (Pty) Ltd</t>
        </is>
      </c>
      <c r="B12441" s="4" t="n">
        <v>44957</v>
      </c>
      <c r="C12441" s="3" t="inlineStr">
        <is>
          <t>Expenses</t>
        </is>
      </c>
      <c r="D12441" s="3" t="inlineStr">
        <is>
          <t>3300/000</t>
        </is>
      </c>
      <c r="E12441" s="3" t="inlineStr">
        <is>
          <t>Computer Expenses</t>
        </is>
      </c>
      <c r="F12441" s="3" t="n">
        <v>0</v>
      </c>
      <c r="G12441" s="3" t="n">
        <v>509.04</v>
      </c>
    </row>
    <row r="12442">
      <c r="A12442" s="3" t="inlineStr">
        <is>
          <t>Noble Shield (Pty) Ltd ta Go Letting</t>
        </is>
      </c>
      <c r="B12442" s="4" t="n">
        <v>44957</v>
      </c>
      <c r="C12442" s="3" t="inlineStr">
        <is>
          <t>Expenses</t>
        </is>
      </c>
      <c r="D12442" s="3" t="inlineStr">
        <is>
          <t>3300/120</t>
        </is>
      </c>
      <c r="E12442" s="3" t="inlineStr">
        <is>
          <t>Computer IT - Software Propworx</t>
        </is>
      </c>
      <c r="F12442" s="3" t="n">
        <v>2167.75</v>
      </c>
      <c r="G12442" s="3" t="n">
        <v>10758.25</v>
      </c>
    </row>
    <row r="12443">
      <c r="A12443" s="3" t="inlineStr">
        <is>
          <t>Trademark Holdings (Pty) Ltd</t>
        </is>
      </c>
      <c r="B12443" s="4" t="n">
        <v>44957</v>
      </c>
      <c r="C12443" s="3" t="inlineStr">
        <is>
          <t>Expenses</t>
        </is>
      </c>
      <c r="D12443" s="3" t="inlineStr">
        <is>
          <t>3300/130</t>
        </is>
      </c>
      <c r="E12443" s="3" t="inlineStr">
        <is>
          <t>Computer IT - Internet/Hosting Fees</t>
        </is>
      </c>
      <c r="F12443" s="3" t="n">
        <v>0</v>
      </c>
      <c r="G12443" s="3" t="n">
        <v>-3599.5</v>
      </c>
    </row>
    <row r="12444">
      <c r="A12444" s="3" t="inlineStr">
        <is>
          <t>Opportunity Management Holdings (PTY) LTD</t>
        </is>
      </c>
      <c r="B12444" s="4" t="n">
        <v>44957</v>
      </c>
      <c r="C12444" s="3" t="inlineStr">
        <is>
          <t>Expenses</t>
        </is>
      </c>
      <c r="D12444" s="3" t="inlineStr">
        <is>
          <t>3300/140</t>
        </is>
      </c>
      <c r="E12444" s="3" t="inlineStr">
        <is>
          <t>Computer IT</t>
        </is>
      </c>
      <c r="F12444" s="3" t="n">
        <v>0</v>
      </c>
      <c r="G12444" s="3" t="n">
        <v>22364.04</v>
      </c>
    </row>
    <row r="12445">
      <c r="A12445" s="3" t="inlineStr">
        <is>
          <t>Trademark Holdings (Pty) Ltd</t>
        </is>
      </c>
      <c r="B12445" s="4" t="n">
        <v>44957</v>
      </c>
      <c r="C12445" s="3" t="inlineStr">
        <is>
          <t>Expenses</t>
        </is>
      </c>
      <c r="D12445" s="3" t="inlineStr">
        <is>
          <t>3300/145</t>
        </is>
      </c>
      <c r="E12445" s="3" t="inlineStr">
        <is>
          <t>Computer IT - Cloud Solve</t>
        </is>
      </c>
      <c r="F12445" s="3" t="n">
        <v>0</v>
      </c>
      <c r="G12445" s="3" t="n">
        <v>6313.5</v>
      </c>
    </row>
    <row r="12446">
      <c r="A12446" s="3" t="inlineStr">
        <is>
          <t>Noble Shield (Pty) Ltd ta Go Letting</t>
        </is>
      </c>
      <c r="B12446" s="4" t="n">
        <v>44957</v>
      </c>
      <c r="C12446" s="3" t="inlineStr">
        <is>
          <t>Expenses</t>
        </is>
      </c>
      <c r="D12446" s="3" t="inlineStr">
        <is>
          <t>3300/170</t>
        </is>
      </c>
      <c r="E12446" s="3" t="inlineStr">
        <is>
          <t>Computer IT - VDB office Fibre</t>
        </is>
      </c>
      <c r="F12446" s="3" t="n">
        <v>790</v>
      </c>
      <c r="G12446" s="3" t="n">
        <v>3950</v>
      </c>
    </row>
    <row r="12447">
      <c r="A12447" s="3" t="inlineStr">
        <is>
          <t>Trademark Holdings (Pty) Ltd</t>
        </is>
      </c>
      <c r="B12447" s="4" t="n">
        <v>44957</v>
      </c>
      <c r="C12447" s="3" t="inlineStr">
        <is>
          <t>Expenses</t>
        </is>
      </c>
      <c r="D12447" s="3" t="inlineStr">
        <is>
          <t>3350/000</t>
        </is>
      </c>
      <c r="E12447" s="3" t="inlineStr">
        <is>
          <t>Consulting Fees</t>
        </is>
      </c>
      <c r="F12447" s="3" t="n">
        <v>29400</v>
      </c>
      <c r="G12447" s="3" t="n">
        <v>147000</v>
      </c>
    </row>
    <row r="12448">
      <c r="A12448" s="3" t="inlineStr">
        <is>
          <t>Opportunity Management Holdings (PTY) LTD</t>
        </is>
      </c>
      <c r="B12448" s="4" t="n">
        <v>44957</v>
      </c>
      <c r="C12448" s="3" t="inlineStr">
        <is>
          <t>Expenses</t>
        </is>
      </c>
      <c r="D12448" s="3" t="inlineStr">
        <is>
          <t>3350/100</t>
        </is>
      </c>
      <c r="E12448" s="3" t="inlineStr">
        <is>
          <t>Consulting Fee - Dirk Coetzee</t>
        </is>
      </c>
      <c r="F12448" s="3" t="n">
        <v>6000</v>
      </c>
      <c r="G12448" s="3" t="n">
        <v>40000</v>
      </c>
    </row>
    <row r="12449">
      <c r="A12449" s="3" t="inlineStr">
        <is>
          <t>Quinate Consulting (Pty) Ltd</t>
        </is>
      </c>
      <c r="B12449" s="4" t="n">
        <v>44957</v>
      </c>
      <c r="C12449" s="3" t="inlineStr">
        <is>
          <t>Expenses</t>
        </is>
      </c>
      <c r="D12449" s="3" t="inlineStr">
        <is>
          <t>3350/100</t>
        </is>
      </c>
      <c r="E12449" s="3" t="inlineStr">
        <is>
          <t>Consulting Fees</t>
        </is>
      </c>
      <c r="F12449" s="3" t="n">
        <v>0</v>
      </c>
      <c r="G12449" s="3" t="n">
        <v>-15000</v>
      </c>
    </row>
    <row r="12450">
      <c r="A12450" s="3" t="inlineStr">
        <is>
          <t>Endulini (Pty) Ltd</t>
        </is>
      </c>
      <c r="B12450" s="4" t="n">
        <v>44957</v>
      </c>
      <c r="C12450" s="3" t="inlineStr">
        <is>
          <t>Expenses</t>
        </is>
      </c>
      <c r="D12450" s="3" t="inlineStr">
        <is>
          <t>3350/100</t>
        </is>
      </c>
      <c r="E12450" s="3" t="inlineStr">
        <is>
          <t>Consulting Fees - Admin and Finance</t>
        </is>
      </c>
      <c r="F12450" s="3" t="n">
        <v>67419.22</v>
      </c>
      <c r="G12450" s="3" t="n">
        <v>886379.12</v>
      </c>
    </row>
    <row r="12451">
      <c r="A12451" s="3" t="inlineStr">
        <is>
          <t>Opportunity Global Investment (PTY) LTD</t>
        </is>
      </c>
      <c r="B12451" s="4" t="n">
        <v>44957</v>
      </c>
      <c r="C12451" s="3" t="inlineStr">
        <is>
          <t>Expenses</t>
        </is>
      </c>
      <c r="D12451" s="3" t="inlineStr">
        <is>
          <t>3350/100</t>
        </is>
      </c>
      <c r="E12451" s="3" t="inlineStr">
        <is>
          <t>Consulting Fees - Admin and Finance</t>
        </is>
      </c>
      <c r="F12451" s="3" t="n">
        <v>8650</v>
      </c>
      <c r="G12451" s="3" t="n">
        <v>89275</v>
      </c>
    </row>
    <row r="12452">
      <c r="A12452" s="3" t="inlineStr">
        <is>
          <t>Opportunity Global Sales (PTY) LTD</t>
        </is>
      </c>
      <c r="B12452" s="4" t="n">
        <v>44957</v>
      </c>
      <c r="C12452" s="3" t="inlineStr">
        <is>
          <t>Expenses</t>
        </is>
      </c>
      <c r="D12452" s="3" t="inlineStr">
        <is>
          <t>3350/100</t>
        </is>
      </c>
      <c r="E12452" s="3" t="inlineStr">
        <is>
          <t>Consulting Fees - Admin and Finance</t>
        </is>
      </c>
      <c r="F12452" s="3" t="n">
        <v>10050</v>
      </c>
      <c r="G12452" s="3" t="n">
        <v>104060</v>
      </c>
    </row>
    <row r="12453">
      <c r="A12453" s="3" t="inlineStr">
        <is>
          <t>Opportunity Management Holdings (PTY) LTD</t>
        </is>
      </c>
      <c r="B12453" s="4" t="n">
        <v>44957</v>
      </c>
      <c r="C12453" s="3" t="inlineStr">
        <is>
          <t>Expenses</t>
        </is>
      </c>
      <c r="D12453" s="3" t="inlineStr">
        <is>
          <t>3350/200</t>
        </is>
      </c>
      <c r="E12453" s="3" t="inlineStr">
        <is>
          <t>Consulting Fee - Staff recruitment</t>
        </is>
      </c>
      <c r="F12453" s="3" t="n">
        <v>1200</v>
      </c>
      <c r="G12453" s="3" t="n">
        <v>18240</v>
      </c>
    </row>
    <row r="12454">
      <c r="A12454" s="3" t="inlineStr">
        <is>
          <t>Opportunity Global Sales (PTY) LTD</t>
        </is>
      </c>
      <c r="B12454" s="4" t="n">
        <v>44957</v>
      </c>
      <c r="C12454" s="3" t="inlineStr">
        <is>
          <t>Expenses</t>
        </is>
      </c>
      <c r="D12454" s="3" t="inlineStr">
        <is>
          <t>3350/200</t>
        </is>
      </c>
      <c r="E12454" s="3" t="inlineStr">
        <is>
          <t>Consulting Fees - Agent Karien Muller</t>
        </is>
      </c>
      <c r="F12454" s="3" t="n">
        <v>10000</v>
      </c>
      <c r="G12454" s="3" t="n">
        <v>60000</v>
      </c>
    </row>
    <row r="12455">
      <c r="A12455" s="3" t="inlineStr">
        <is>
          <t>Opportunity Global Investment (PTY) LTD</t>
        </is>
      </c>
      <c r="B12455" s="4" t="n">
        <v>44957</v>
      </c>
      <c r="C12455" s="3" t="inlineStr">
        <is>
          <t>Expenses</t>
        </is>
      </c>
      <c r="D12455" s="3" t="inlineStr">
        <is>
          <t>3350/200</t>
        </is>
      </c>
      <c r="E12455" s="3" t="inlineStr">
        <is>
          <t>Consulting Fees - Rockfin</t>
        </is>
      </c>
      <c r="F12455" s="3" t="n">
        <v>10000</v>
      </c>
      <c r="G12455" s="3" t="n">
        <v>92700</v>
      </c>
    </row>
    <row r="12456">
      <c r="A12456" s="3" t="inlineStr">
        <is>
          <t>Quinate Consulting (Pty) Ltd</t>
        </is>
      </c>
      <c r="B12456" s="4" t="n">
        <v>44957</v>
      </c>
      <c r="C12456" s="3" t="inlineStr">
        <is>
          <t>Expenses</t>
        </is>
      </c>
      <c r="D12456" s="3" t="inlineStr">
        <is>
          <t>3350/300</t>
        </is>
      </c>
      <c r="E12456" s="3" t="inlineStr">
        <is>
          <t>Consulting Fees - Admin and Finance</t>
        </is>
      </c>
      <c r="F12456" s="3" t="n">
        <v>2000</v>
      </c>
      <c r="G12456" s="3" t="n">
        <v>23700</v>
      </c>
    </row>
    <row r="12457">
      <c r="A12457" s="3" t="inlineStr">
        <is>
          <t>Opportunity Global Investment (PTY) LTD</t>
        </is>
      </c>
      <c r="B12457" s="4" t="n">
        <v>44957</v>
      </c>
      <c r="C12457" s="3" t="inlineStr">
        <is>
          <t>Expenses</t>
        </is>
      </c>
      <c r="D12457" s="3" t="inlineStr">
        <is>
          <t>3351/000</t>
        </is>
      </c>
      <c r="E12457" s="3" t="inlineStr">
        <is>
          <t>Consulting Fees - HR Joblaw</t>
        </is>
      </c>
      <c r="F12457" s="3" t="n">
        <v>1455.3</v>
      </c>
      <c r="G12457" s="3" t="n">
        <v>15587.1</v>
      </c>
    </row>
    <row r="12458">
      <c r="A12458" s="3" t="inlineStr">
        <is>
          <t>Quinate Consulting (Pty) Ltd</t>
        </is>
      </c>
      <c r="B12458" s="4" t="n">
        <v>44957</v>
      </c>
      <c r="C12458" s="3" t="inlineStr">
        <is>
          <t>Expenses</t>
        </is>
      </c>
      <c r="D12458" s="3" t="inlineStr">
        <is>
          <t>3351/000</t>
        </is>
      </c>
      <c r="E12458" s="3" t="inlineStr">
        <is>
          <t>Consulting fees - Trustees</t>
        </is>
      </c>
      <c r="F12458" s="3" t="n">
        <v>4000</v>
      </c>
      <c r="G12458" s="3" t="n">
        <v>103000</v>
      </c>
    </row>
    <row r="12459">
      <c r="A12459" s="3" t="inlineStr">
        <is>
          <t>Opportunity Global Investment (PTY) LTD</t>
        </is>
      </c>
      <c r="B12459" s="4" t="n">
        <v>44957</v>
      </c>
      <c r="C12459" s="3" t="inlineStr">
        <is>
          <t>Expenses</t>
        </is>
      </c>
      <c r="D12459" s="3" t="inlineStr">
        <is>
          <t>3352/000</t>
        </is>
      </c>
      <c r="E12459" s="3" t="inlineStr">
        <is>
          <t>Consulting Fees - Kert Scalzini</t>
        </is>
      </c>
      <c r="F12459" s="3" t="n">
        <v>0</v>
      </c>
      <c r="G12459" s="3" t="n">
        <v>20000</v>
      </c>
    </row>
    <row r="12460">
      <c r="A12460" s="3" t="inlineStr">
        <is>
          <t>Opportunity Global Investment (PTY) LTD</t>
        </is>
      </c>
      <c r="B12460" s="4" t="n">
        <v>44957</v>
      </c>
      <c r="C12460" s="3" t="inlineStr">
        <is>
          <t>Expenses</t>
        </is>
      </c>
      <c r="D12460" s="3" t="inlineStr">
        <is>
          <t>3353/000</t>
        </is>
      </c>
      <c r="E12460" s="3" t="inlineStr">
        <is>
          <t>Consulting Fees - Yolanda Steyn</t>
        </is>
      </c>
      <c r="F12460" s="3" t="n">
        <v>0</v>
      </c>
      <c r="G12460" s="3" t="n">
        <v>2000</v>
      </c>
    </row>
    <row r="12461">
      <c r="A12461" s="3" t="inlineStr">
        <is>
          <t>Quinate Consulting (Pty) Ltd</t>
        </is>
      </c>
      <c r="B12461" s="4" t="n">
        <v>44957</v>
      </c>
      <c r="C12461" s="3" t="inlineStr">
        <is>
          <t>Expenses</t>
        </is>
      </c>
      <c r="D12461" s="3" t="inlineStr">
        <is>
          <t>3450/001</t>
        </is>
      </c>
      <c r="E12461" s="3" t="inlineStr">
        <is>
          <t>Depreciation - Computer Equipment</t>
        </is>
      </c>
      <c r="F12461" s="3" t="n">
        <v>2331.66</v>
      </c>
      <c r="G12461" s="3" t="n">
        <v>33745.47</v>
      </c>
    </row>
    <row r="12462">
      <c r="A12462" s="3" t="inlineStr">
        <is>
          <t>Opportunity Global Investment (PTY) LTD</t>
        </is>
      </c>
      <c r="B12462" s="4" t="n">
        <v>44957</v>
      </c>
      <c r="C12462" s="3" t="inlineStr">
        <is>
          <t>Expenses</t>
        </is>
      </c>
      <c r="D12462" s="3" t="inlineStr">
        <is>
          <t>3450/001</t>
        </is>
      </c>
      <c r="E12462" s="3" t="inlineStr">
        <is>
          <t>Depreciation - Computer equipment</t>
        </is>
      </c>
      <c r="F12462" s="3" t="n">
        <v>880.08</v>
      </c>
      <c r="G12462" s="3" t="n">
        <v>880.08</v>
      </c>
    </row>
    <row r="12463">
      <c r="A12463" s="3" t="inlineStr">
        <is>
          <t>Quinate Consulting (Pty) Ltd</t>
        </is>
      </c>
      <c r="B12463" s="4" t="n">
        <v>44957</v>
      </c>
      <c r="C12463" s="3" t="inlineStr">
        <is>
          <t>Expenses</t>
        </is>
      </c>
      <c r="D12463" s="3" t="inlineStr">
        <is>
          <t>3450/002</t>
        </is>
      </c>
      <c r="E12463" s="3" t="inlineStr">
        <is>
          <t>Depreciation - Site Containers</t>
        </is>
      </c>
      <c r="F12463" s="3" t="n">
        <v>318.84</v>
      </c>
      <c r="G12463" s="3" t="n">
        <v>3507.24</v>
      </c>
    </row>
    <row r="12464">
      <c r="A12464" s="3" t="inlineStr">
        <is>
          <t>Opportunity Global Sales (PTY) LTD</t>
        </is>
      </c>
      <c r="B12464" s="4" t="n">
        <v>44957</v>
      </c>
      <c r="C12464" s="3" t="inlineStr">
        <is>
          <t>Expenses</t>
        </is>
      </c>
      <c r="D12464" s="3" t="inlineStr">
        <is>
          <t>3450/030</t>
        </is>
      </c>
      <c r="E12464" s="3" t="inlineStr">
        <is>
          <t>Depreciation - Furniture and Fittings</t>
        </is>
      </c>
      <c r="F12464" s="3" t="n">
        <v>408.05</v>
      </c>
      <c r="G12464" s="3" t="n">
        <v>2856.36</v>
      </c>
    </row>
    <row r="12465">
      <c r="A12465" s="3" t="inlineStr">
        <is>
          <t>Opportunity Management Holdings (PTY) LTD</t>
        </is>
      </c>
      <c r="B12465" s="4" t="n">
        <v>44957</v>
      </c>
      <c r="C12465" s="3" t="inlineStr">
        <is>
          <t>Expenses</t>
        </is>
      </c>
      <c r="D12465" s="3" t="inlineStr">
        <is>
          <t>3451/000</t>
        </is>
      </c>
      <c r="E12465" s="3" t="inlineStr">
        <is>
          <t>Depreciation - Computer Equipment</t>
        </is>
      </c>
      <c r="F12465" s="3" t="n">
        <v>668.52</v>
      </c>
      <c r="G12465" s="3" t="n">
        <v>3342.57</v>
      </c>
    </row>
    <row r="12466">
      <c r="A12466" s="3" t="inlineStr">
        <is>
          <t>Quinate Consulting (Pty) Ltd</t>
        </is>
      </c>
      <c r="B12466" s="4" t="n">
        <v>44957</v>
      </c>
      <c r="C12466" s="3" t="inlineStr">
        <is>
          <t>Expenses</t>
        </is>
      </c>
      <c r="D12466" s="3" t="inlineStr">
        <is>
          <t>3600/000</t>
        </is>
      </c>
      <c r="E12466" s="3" t="inlineStr">
        <is>
          <t>Donations</t>
        </is>
      </c>
      <c r="F12466" s="3" t="n">
        <v>572.45</v>
      </c>
      <c r="G12466" s="3" t="n">
        <v>5922.45</v>
      </c>
    </row>
    <row r="12467">
      <c r="A12467" s="3" t="inlineStr">
        <is>
          <t>Endulini (Pty) Ltd</t>
        </is>
      </c>
      <c r="B12467" s="4" t="n">
        <v>44957</v>
      </c>
      <c r="C12467" s="3" t="inlineStr">
        <is>
          <t>Expenses</t>
        </is>
      </c>
      <c r="D12467" s="3" t="inlineStr">
        <is>
          <t>3630/000</t>
        </is>
      </c>
      <c r="E12467" s="3" t="inlineStr">
        <is>
          <t>Electricity</t>
        </is>
      </c>
      <c r="F12467" s="3" t="n">
        <v>0</v>
      </c>
      <c r="G12467" s="3" t="n">
        <v>6713.99</v>
      </c>
    </row>
    <row r="12468">
      <c r="A12468" s="3" t="inlineStr">
        <is>
          <t>Noble Shield (Pty) Ltd ta Go Letting</t>
        </is>
      </c>
      <c r="B12468" s="4" t="n">
        <v>44957</v>
      </c>
      <c r="C12468" s="3" t="inlineStr">
        <is>
          <t>Expenses</t>
        </is>
      </c>
      <c r="D12468" s="3" t="inlineStr">
        <is>
          <t>3650/000</t>
        </is>
      </c>
      <c r="E12468" s="3" t="inlineStr">
        <is>
          <t>Electricity _AND_ Water</t>
        </is>
      </c>
      <c r="F12468" s="3" t="n">
        <v>500</v>
      </c>
      <c r="G12468" s="3" t="n">
        <v>2000</v>
      </c>
    </row>
    <row r="12469">
      <c r="A12469" s="3" t="inlineStr">
        <is>
          <t>Opportunity Global Investment (PTY) LTD</t>
        </is>
      </c>
      <c r="B12469" s="4" t="n">
        <v>44957</v>
      </c>
      <c r="C12469" s="3" t="inlineStr">
        <is>
          <t>Expenses</t>
        </is>
      </c>
      <c r="D12469" s="3" t="inlineStr">
        <is>
          <t>3650/000</t>
        </is>
      </c>
      <c r="E12469" s="3" t="inlineStr">
        <is>
          <t>Electricity _AND_ Water</t>
        </is>
      </c>
      <c r="F12469" s="3" t="n">
        <v>2950</v>
      </c>
      <c r="G12469" s="3" t="n">
        <v>32450</v>
      </c>
    </row>
    <row r="12470">
      <c r="A12470" s="3" t="inlineStr">
        <is>
          <t>Endulini (Pty) Ltd</t>
        </is>
      </c>
      <c r="B12470" s="4" t="n">
        <v>44957</v>
      </c>
      <c r="C12470" s="3" t="inlineStr">
        <is>
          <t>Expenses</t>
        </is>
      </c>
      <c r="D12470" s="3" t="inlineStr">
        <is>
          <t>3650/000</t>
        </is>
      </c>
      <c r="E12470" s="3" t="inlineStr">
        <is>
          <t>Water</t>
        </is>
      </c>
      <c r="F12470" s="3" t="n">
        <v>0</v>
      </c>
      <c r="G12470" s="3" t="n">
        <v>4310.7</v>
      </c>
    </row>
    <row r="12471">
      <c r="A12471" s="3" t="inlineStr">
        <is>
          <t>Noble Shield (Pty) Ltd ta Go Letting</t>
        </is>
      </c>
      <c r="B12471" s="4" t="n">
        <v>44957</v>
      </c>
      <c r="C12471" s="3" t="inlineStr">
        <is>
          <t>Expenses</t>
        </is>
      </c>
      <c r="D12471" s="3" t="inlineStr">
        <is>
          <t>3651/000</t>
        </is>
      </c>
      <c r="E12471" s="3" t="inlineStr">
        <is>
          <t>Electricity _AND_ Water - Rentals</t>
        </is>
      </c>
      <c r="F12471" s="3" t="n">
        <v>-1000</v>
      </c>
      <c r="G12471" s="3" t="n">
        <v>0</v>
      </c>
    </row>
    <row r="12472">
      <c r="A12472" s="3" t="inlineStr">
        <is>
          <t>Quinate Consulting (Pty) Ltd</t>
        </is>
      </c>
      <c r="B12472" s="4" t="n">
        <v>44957</v>
      </c>
      <c r="C12472" s="3" t="inlineStr">
        <is>
          <t>Expenses</t>
        </is>
      </c>
      <c r="D12472" s="3" t="inlineStr">
        <is>
          <t>3651/000</t>
        </is>
      </c>
      <c r="E12472" s="3" t="inlineStr">
        <is>
          <t>Electricity _AND_ Water - Southwark</t>
        </is>
      </c>
      <c r="F12472" s="3" t="n">
        <v>3835.84</v>
      </c>
      <c r="G12472" s="3" t="n">
        <v>143578.47</v>
      </c>
    </row>
    <row r="12473">
      <c r="A12473" s="3" t="inlineStr">
        <is>
          <t>Quinate Consulting (Pty) Ltd</t>
        </is>
      </c>
      <c r="B12473" s="4" t="n">
        <v>44957</v>
      </c>
      <c r="C12473" s="3" t="inlineStr">
        <is>
          <t>Expenses</t>
        </is>
      </c>
      <c r="D12473" s="3" t="inlineStr">
        <is>
          <t>3652/000</t>
        </is>
      </c>
      <c r="E12473" s="3" t="inlineStr">
        <is>
          <t>Electricity _AND_ Water - Soho</t>
        </is>
      </c>
      <c r="F12473" s="3" t="n">
        <v>18954.71</v>
      </c>
      <c r="G12473" s="3" t="n">
        <v>267337.66</v>
      </c>
    </row>
    <row r="12474">
      <c r="A12474" s="3" t="inlineStr">
        <is>
          <t>Quinate Consulting (Pty) Ltd</t>
        </is>
      </c>
      <c r="B12474" s="4" t="n">
        <v>44957</v>
      </c>
      <c r="C12474" s="3" t="inlineStr">
        <is>
          <t>Expenses</t>
        </is>
      </c>
      <c r="D12474" s="3" t="inlineStr">
        <is>
          <t>3653/000</t>
        </is>
      </c>
      <c r="E12474" s="3" t="inlineStr">
        <is>
          <t>Electricity _AND_ Water - Endulini</t>
        </is>
      </c>
      <c r="F12474" s="3" t="n">
        <v>-1731.62</v>
      </c>
      <c r="G12474" s="3" t="n">
        <v>-1731.62</v>
      </c>
    </row>
    <row r="12475">
      <c r="A12475" s="3" t="inlineStr">
        <is>
          <t>Noble Shield (Pty) Ltd ta Go Letting</t>
        </is>
      </c>
      <c r="B12475" s="4" t="n">
        <v>44957</v>
      </c>
      <c r="C12475" s="3" t="inlineStr">
        <is>
          <t>Expenses</t>
        </is>
      </c>
      <c r="D12475" s="3" t="inlineStr">
        <is>
          <t>3700/000</t>
        </is>
      </c>
      <c r="E12475" s="3" t="inlineStr">
        <is>
          <t>Entertainment Expenses</t>
        </is>
      </c>
      <c r="F12475" s="3" t="n">
        <v>0</v>
      </c>
      <c r="G12475" s="3" t="n">
        <v>1900</v>
      </c>
    </row>
    <row r="12476">
      <c r="A12476" s="3" t="inlineStr">
        <is>
          <t>Opportunity Global Investment (PTY) LTD</t>
        </is>
      </c>
      <c r="B12476" s="4" t="n">
        <v>44957</v>
      </c>
      <c r="C12476" s="3" t="inlineStr">
        <is>
          <t>Expenses</t>
        </is>
      </c>
      <c r="D12476" s="3" t="inlineStr">
        <is>
          <t>3700/000</t>
        </is>
      </c>
      <c r="E12476" s="3" t="inlineStr">
        <is>
          <t>Entertainment Expenses</t>
        </is>
      </c>
      <c r="F12476" s="3" t="n">
        <v>401.5</v>
      </c>
      <c r="G12476" s="3" t="n">
        <v>9720.67</v>
      </c>
    </row>
    <row r="12477">
      <c r="A12477" s="3" t="inlineStr">
        <is>
          <t>Opportunity Global Sales (PTY) LTD</t>
        </is>
      </c>
      <c r="B12477" s="4" t="n">
        <v>44957</v>
      </c>
      <c r="C12477" s="3" t="inlineStr">
        <is>
          <t>Expenses</t>
        </is>
      </c>
      <c r="D12477" s="3" t="inlineStr">
        <is>
          <t>3700/000</t>
        </is>
      </c>
      <c r="E12477" s="3" t="inlineStr">
        <is>
          <t>Entertainment Expenses</t>
        </is>
      </c>
      <c r="F12477" s="3" t="n">
        <v>0</v>
      </c>
      <c r="G12477" s="3" t="n">
        <v>700</v>
      </c>
    </row>
    <row r="12478">
      <c r="A12478" s="3" t="inlineStr">
        <is>
          <t>Opportunity Management Holdings (PTY) LTD</t>
        </is>
      </c>
      <c r="B12478" s="4" t="n">
        <v>44957</v>
      </c>
      <c r="C12478" s="3" t="inlineStr">
        <is>
          <t>Expenses</t>
        </is>
      </c>
      <c r="D12478" s="3" t="inlineStr">
        <is>
          <t>3700/000</t>
        </is>
      </c>
      <c r="E12478" s="3" t="inlineStr">
        <is>
          <t>Entertainment Expenses</t>
        </is>
      </c>
      <c r="F12478" s="3" t="n">
        <v>167.5</v>
      </c>
      <c r="G12478" s="3" t="n">
        <v>1148.38</v>
      </c>
    </row>
    <row r="12479">
      <c r="A12479" s="3" t="inlineStr">
        <is>
          <t>Quinate Consulting (Pty) Ltd</t>
        </is>
      </c>
      <c r="B12479" s="4" t="n">
        <v>44957</v>
      </c>
      <c r="C12479" s="3" t="inlineStr">
        <is>
          <t>Expenses</t>
        </is>
      </c>
      <c r="D12479" s="3" t="inlineStr">
        <is>
          <t>3700/000</t>
        </is>
      </c>
      <c r="E12479" s="3" t="inlineStr">
        <is>
          <t>Entertainment Expenses</t>
        </is>
      </c>
      <c r="F12479" s="3" t="n">
        <v>0</v>
      </c>
      <c r="G12479" s="3" t="n">
        <v>9163.809999999999</v>
      </c>
    </row>
    <row r="12480">
      <c r="A12480" s="3" t="inlineStr">
        <is>
          <t>Opportunity Global Investment (PTY) LTD</t>
        </is>
      </c>
      <c r="B12480" s="4" t="n">
        <v>44957</v>
      </c>
      <c r="C12480" s="3" t="inlineStr">
        <is>
          <t>Expenses</t>
        </is>
      </c>
      <c r="D12480" s="3" t="inlineStr">
        <is>
          <t>3800/010</t>
        </is>
      </c>
      <c r="E12480" s="3" t="inlineStr">
        <is>
          <t>General Expences - Gifts</t>
        </is>
      </c>
      <c r="F12480" s="3" t="n">
        <v>0</v>
      </c>
      <c r="G12480" s="3" t="n">
        <v>600.99</v>
      </c>
    </row>
    <row r="12481">
      <c r="A12481" s="3" t="inlineStr">
        <is>
          <t>Opportunity Management Holdings (PTY) LTD</t>
        </is>
      </c>
      <c r="B12481" s="4" t="n">
        <v>44957</v>
      </c>
      <c r="C12481" s="3" t="inlineStr">
        <is>
          <t>Expenses</t>
        </is>
      </c>
      <c r="D12481" s="3" t="inlineStr">
        <is>
          <t>3850/000</t>
        </is>
      </c>
      <c r="E12481" s="3" t="inlineStr">
        <is>
          <t>Insurance - Momentum</t>
        </is>
      </c>
      <c r="F12481" s="3" t="n">
        <v>1696.06</v>
      </c>
      <c r="G12481" s="3" t="n">
        <v>7574.1</v>
      </c>
    </row>
    <row r="12482">
      <c r="A12482" s="3" t="inlineStr">
        <is>
          <t>Noble Shield (Pty) Ltd ta Go Letting</t>
        </is>
      </c>
      <c r="B12482" s="4" t="n">
        <v>44957</v>
      </c>
      <c r="C12482" s="3" t="inlineStr">
        <is>
          <t>Expenses</t>
        </is>
      </c>
      <c r="D12482" s="3" t="inlineStr">
        <is>
          <t>3850/100</t>
        </is>
      </c>
      <c r="E12482" s="3" t="inlineStr">
        <is>
          <t>Insurance - Santam</t>
        </is>
      </c>
      <c r="F12482" s="3" t="n">
        <v>3754.19</v>
      </c>
      <c r="G12482" s="3" t="n">
        <v>18770.95</v>
      </c>
    </row>
    <row r="12483">
      <c r="A12483" s="3" t="inlineStr">
        <is>
          <t>Noble Shield (Pty) Ltd ta Go Letting</t>
        </is>
      </c>
      <c r="B12483" s="4" t="n">
        <v>44957</v>
      </c>
      <c r="C12483" s="3" t="inlineStr">
        <is>
          <t>Expenses</t>
        </is>
      </c>
      <c r="D12483" s="3" t="inlineStr">
        <is>
          <t>3850/200</t>
        </is>
      </c>
      <c r="E12483" s="3" t="inlineStr">
        <is>
          <t>Insurance - A_AND_G</t>
        </is>
      </c>
      <c r="F12483" s="3" t="n">
        <v>0</v>
      </c>
      <c r="G12483" s="3" t="n">
        <v>8980</v>
      </c>
    </row>
    <row r="12484">
      <c r="A12484" s="3" t="inlineStr">
        <is>
          <t>Quinate Consulting (Pty) Ltd</t>
        </is>
      </c>
      <c r="B12484" s="4" t="n">
        <v>44957</v>
      </c>
      <c r="C12484" s="3" t="inlineStr">
        <is>
          <t>Expenses</t>
        </is>
      </c>
      <c r="D12484" s="3" t="inlineStr">
        <is>
          <t>3851/000</t>
        </is>
      </c>
      <c r="E12484" s="3" t="inlineStr">
        <is>
          <t>Insurance - Momentum</t>
        </is>
      </c>
      <c r="F12484" s="3" t="n">
        <v>7990.64</v>
      </c>
      <c r="G12484" s="3" t="n">
        <v>79744.07000000001</v>
      </c>
    </row>
    <row r="12485">
      <c r="A12485" s="3" t="inlineStr">
        <is>
          <t>Quinate Consulting (Pty) Ltd</t>
        </is>
      </c>
      <c r="B12485" s="4" t="n">
        <v>44957</v>
      </c>
      <c r="C12485" s="3" t="inlineStr">
        <is>
          <t>Expenses</t>
        </is>
      </c>
      <c r="D12485" s="3" t="inlineStr">
        <is>
          <t>3900/000</t>
        </is>
      </c>
      <c r="E12485" s="3" t="inlineStr">
        <is>
          <t>Interest Paid</t>
        </is>
      </c>
      <c r="F12485" s="3" t="n">
        <v>0</v>
      </c>
      <c r="G12485" s="3" t="n">
        <v>1164.87</v>
      </c>
    </row>
    <row r="12486">
      <c r="A12486" s="3" t="inlineStr">
        <is>
          <t>Quinate Consulting (Pty) Ltd</t>
        </is>
      </c>
      <c r="B12486" s="4" t="n">
        <v>44957</v>
      </c>
      <c r="C12486" s="3" t="inlineStr">
        <is>
          <t>Expenses</t>
        </is>
      </c>
      <c r="D12486" s="3" t="inlineStr">
        <is>
          <t>3900/050</t>
        </is>
      </c>
      <c r="E12486" s="3" t="inlineStr">
        <is>
          <t>Interest Paid - STD Bond Accounts</t>
        </is>
      </c>
      <c r="F12486" s="3" t="n">
        <v>178389.9</v>
      </c>
      <c r="G12486" s="3" t="n">
        <v>574006.55</v>
      </c>
    </row>
    <row r="12487">
      <c r="A12487" s="3" t="inlineStr">
        <is>
          <t>Endulini (Pty) Ltd</t>
        </is>
      </c>
      <c r="B12487" s="4" t="n">
        <v>44957</v>
      </c>
      <c r="C12487" s="3" t="inlineStr">
        <is>
          <t>Expenses</t>
        </is>
      </c>
      <c r="D12487" s="3" t="inlineStr">
        <is>
          <t>3900/111</t>
        </is>
      </c>
      <c r="E12487" s="3" t="inlineStr">
        <is>
          <t>Interest Paid - Investors @ 6.25%</t>
        </is>
      </c>
      <c r="F12487" s="3" t="n">
        <v>7619.86</v>
      </c>
      <c r="G12487" s="3" t="n">
        <v>516458.17</v>
      </c>
    </row>
    <row r="12488">
      <c r="A12488" s="3" t="inlineStr">
        <is>
          <t>Endulini (Pty) Ltd</t>
        </is>
      </c>
      <c r="B12488" s="4" t="n">
        <v>44957</v>
      </c>
      <c r="C12488" s="3" t="inlineStr">
        <is>
          <t>Expenses</t>
        </is>
      </c>
      <c r="D12488" s="3" t="inlineStr">
        <is>
          <t>3900/112</t>
        </is>
      </c>
      <c r="E12488" s="3" t="inlineStr">
        <is>
          <t>Interest Paid - Investors @ 6.5%</t>
        </is>
      </c>
      <c r="F12488" s="3" t="n">
        <v>0</v>
      </c>
      <c r="G12488" s="3" t="n">
        <v>42882.69</v>
      </c>
    </row>
    <row r="12489">
      <c r="A12489" s="3" t="inlineStr">
        <is>
          <t>Endulini (Pty) Ltd</t>
        </is>
      </c>
      <c r="B12489" s="4" t="n">
        <v>44957</v>
      </c>
      <c r="C12489" s="3" t="inlineStr">
        <is>
          <t>Expenses</t>
        </is>
      </c>
      <c r="D12489" s="3" t="inlineStr">
        <is>
          <t>3900/113</t>
        </is>
      </c>
      <c r="E12489" s="3" t="inlineStr">
        <is>
          <t>Interest Paid - Investors @ 6.75%</t>
        </is>
      </c>
      <c r="F12489" s="3" t="n">
        <v>0</v>
      </c>
      <c r="G12489" s="3" t="n">
        <v>73.97</v>
      </c>
    </row>
    <row r="12490">
      <c r="A12490" s="3" t="inlineStr">
        <is>
          <t>Endulini (Pty) Ltd</t>
        </is>
      </c>
      <c r="B12490" s="4" t="n">
        <v>44957</v>
      </c>
      <c r="C12490" s="3" t="inlineStr">
        <is>
          <t>Expenses</t>
        </is>
      </c>
      <c r="D12490" s="3" t="inlineStr">
        <is>
          <t>3900/120</t>
        </is>
      </c>
      <c r="E12490" s="3" t="inlineStr">
        <is>
          <t>Interest Paid - Investors @ 7%</t>
        </is>
      </c>
      <c r="F12490" s="3" t="n">
        <v>0</v>
      </c>
      <c r="G12490" s="3" t="n">
        <v>43401.3</v>
      </c>
    </row>
    <row r="12491">
      <c r="A12491" s="3" t="inlineStr">
        <is>
          <t>Endulini (Pty) Ltd</t>
        </is>
      </c>
      <c r="B12491" s="4" t="n">
        <v>44957</v>
      </c>
      <c r="C12491" s="3" t="inlineStr">
        <is>
          <t>Expenses</t>
        </is>
      </c>
      <c r="D12491" s="3" t="inlineStr">
        <is>
          <t>3900/121</t>
        </is>
      </c>
      <c r="E12491" s="3" t="inlineStr">
        <is>
          <t>Interest Paid - Investors @ 7.25%</t>
        </is>
      </c>
      <c r="F12491" s="3" t="n">
        <v>0</v>
      </c>
      <c r="G12491" s="3" t="n">
        <v>6952.05</v>
      </c>
    </row>
    <row r="12492">
      <c r="A12492" s="3" t="inlineStr">
        <is>
          <t>Endulini (Pty) Ltd</t>
        </is>
      </c>
      <c r="B12492" s="4" t="n">
        <v>44957</v>
      </c>
      <c r="C12492" s="3" t="inlineStr">
        <is>
          <t>Expenses</t>
        </is>
      </c>
      <c r="D12492" s="3" t="inlineStr">
        <is>
          <t>3900/122</t>
        </is>
      </c>
      <c r="E12492" s="3" t="inlineStr">
        <is>
          <t>Interest Paid - Investors @ 7.5%</t>
        </is>
      </c>
      <c r="F12492" s="3" t="n">
        <v>0</v>
      </c>
      <c r="G12492" s="3" t="n">
        <v>13561.64</v>
      </c>
    </row>
    <row r="12493">
      <c r="A12493" s="3" t="inlineStr">
        <is>
          <t>Endulini (Pty) Ltd</t>
        </is>
      </c>
      <c r="B12493" s="4" t="n">
        <v>44957</v>
      </c>
      <c r="C12493" s="3" t="inlineStr">
        <is>
          <t>Expenses</t>
        </is>
      </c>
      <c r="D12493" s="3" t="inlineStr">
        <is>
          <t>3900/123</t>
        </is>
      </c>
      <c r="E12493" s="3" t="inlineStr">
        <is>
          <t>Interest Paid - Investors @ 7.75%</t>
        </is>
      </c>
      <c r="F12493" s="3" t="n">
        <v>0</v>
      </c>
      <c r="G12493" s="3" t="n">
        <v>5945.21</v>
      </c>
    </row>
    <row r="12494">
      <c r="A12494" s="3" t="inlineStr">
        <is>
          <t>Endulini (Pty) Ltd</t>
        </is>
      </c>
      <c r="B12494" s="4" t="n">
        <v>44957</v>
      </c>
      <c r="C12494" s="3" t="inlineStr">
        <is>
          <t>Expenses</t>
        </is>
      </c>
      <c r="D12494" s="3" t="inlineStr">
        <is>
          <t>3900/130</t>
        </is>
      </c>
      <c r="E12494" s="3" t="inlineStr">
        <is>
          <t>Interest Paid - Investors @ 8%</t>
        </is>
      </c>
      <c r="F12494" s="3" t="n">
        <v>0</v>
      </c>
      <c r="G12494" s="3" t="n">
        <v>8309.6</v>
      </c>
    </row>
    <row r="12495">
      <c r="A12495" s="3" t="inlineStr">
        <is>
          <t>Endulini (Pty) Ltd</t>
        </is>
      </c>
      <c r="B12495" s="4" t="n">
        <v>44957</v>
      </c>
      <c r="C12495" s="3" t="inlineStr">
        <is>
          <t>Expenses</t>
        </is>
      </c>
      <c r="D12495" s="3" t="inlineStr">
        <is>
          <t>3900/131</t>
        </is>
      </c>
      <c r="E12495" s="3" t="inlineStr">
        <is>
          <t>Interest Paid - Investors @ 8.25%</t>
        </is>
      </c>
      <c r="F12495" s="3" t="n">
        <v>0</v>
      </c>
      <c r="G12495" s="3" t="n">
        <v>7797.94</v>
      </c>
    </row>
    <row r="12496">
      <c r="A12496" s="3" t="inlineStr">
        <is>
          <t>Endulini (Pty) Ltd</t>
        </is>
      </c>
      <c r="B12496" s="4" t="n">
        <v>44957</v>
      </c>
      <c r="C12496" s="3" t="inlineStr">
        <is>
          <t>Expenses</t>
        </is>
      </c>
      <c r="D12496" s="3" t="inlineStr">
        <is>
          <t>3900/140</t>
        </is>
      </c>
      <c r="E12496" s="3" t="inlineStr">
        <is>
          <t>Interest Paid - Investors @ 9%</t>
        </is>
      </c>
      <c r="F12496" s="3" t="n">
        <v>0</v>
      </c>
      <c r="G12496" s="3" t="n">
        <v>12562.51</v>
      </c>
    </row>
    <row r="12497">
      <c r="A12497" s="3" t="inlineStr">
        <is>
          <t>Endulini (Pty) Ltd</t>
        </is>
      </c>
      <c r="B12497" s="4" t="n">
        <v>44957</v>
      </c>
      <c r="C12497" s="3" t="inlineStr">
        <is>
          <t>Expenses</t>
        </is>
      </c>
      <c r="D12497" s="3" t="inlineStr">
        <is>
          <t>3900/143</t>
        </is>
      </c>
      <c r="E12497" s="3" t="inlineStr">
        <is>
          <t>Interest Paid - Investors @ 9.75%</t>
        </is>
      </c>
      <c r="F12497" s="3" t="n">
        <v>0</v>
      </c>
      <c r="G12497" s="3" t="n">
        <v>1469.19</v>
      </c>
    </row>
    <row r="12498">
      <c r="A12498" s="3" t="inlineStr">
        <is>
          <t>Quinate Consulting (Pty) Ltd</t>
        </is>
      </c>
      <c r="B12498" s="4" t="n">
        <v>44957</v>
      </c>
      <c r="C12498" s="3" t="inlineStr">
        <is>
          <t>Expenses</t>
        </is>
      </c>
      <c r="D12498" s="3" t="inlineStr">
        <is>
          <t>3900/150</t>
        </is>
      </c>
      <c r="E12498" s="3" t="inlineStr">
        <is>
          <t>Interest Paid - Suppliers</t>
        </is>
      </c>
      <c r="F12498" s="3" t="n">
        <v>125.84</v>
      </c>
      <c r="G12498" s="3" t="n">
        <v>1052.05</v>
      </c>
    </row>
    <row r="12499">
      <c r="A12499" s="3" t="inlineStr">
        <is>
          <t>Quinate Consulting (Pty) Ltd</t>
        </is>
      </c>
      <c r="B12499" s="4" t="n">
        <v>44957</v>
      </c>
      <c r="C12499" s="3" t="inlineStr">
        <is>
          <t>Expenses</t>
        </is>
      </c>
      <c r="D12499" s="3" t="inlineStr">
        <is>
          <t>3900/152</t>
        </is>
      </c>
      <c r="E12499" s="3" t="inlineStr">
        <is>
          <t>Interest Paid - Gengis</t>
        </is>
      </c>
      <c r="F12499" s="3" t="n">
        <v>4586.31</v>
      </c>
      <c r="G12499" s="3" t="n">
        <v>16668.51</v>
      </c>
    </row>
    <row r="12500">
      <c r="A12500" s="3" t="inlineStr">
        <is>
          <t>Endulini (Pty) Ltd</t>
        </is>
      </c>
      <c r="B12500" s="4" t="n">
        <v>44957</v>
      </c>
      <c r="C12500" s="3" t="inlineStr">
        <is>
          <t>Expenses</t>
        </is>
      </c>
      <c r="D12500" s="3" t="inlineStr">
        <is>
          <t>3900/190</t>
        </is>
      </c>
      <c r="E12500" s="3" t="inlineStr">
        <is>
          <t>Interest Paid - Investors @ 14%</t>
        </is>
      </c>
      <c r="F12500" s="3" t="n">
        <v>1913.37</v>
      </c>
      <c r="G12500" s="3" t="n">
        <v>102280.27</v>
      </c>
    </row>
    <row r="12501">
      <c r="A12501" s="3" t="inlineStr">
        <is>
          <t>Endulini (Pty) Ltd</t>
        </is>
      </c>
      <c r="B12501" s="4" t="n">
        <v>44957</v>
      </c>
      <c r="C12501" s="3" t="inlineStr">
        <is>
          <t>Expenses</t>
        </is>
      </c>
      <c r="D12501" s="3" t="inlineStr">
        <is>
          <t>3900/200</t>
        </is>
      </c>
      <c r="E12501" s="3" t="inlineStr">
        <is>
          <t>Interest Paid - Investors @ 15%</t>
        </is>
      </c>
      <c r="F12501" s="3" t="n">
        <v>0</v>
      </c>
      <c r="G12501" s="3" t="n">
        <v>510596.24</v>
      </c>
    </row>
    <row r="12502">
      <c r="A12502" s="3" t="inlineStr">
        <is>
          <t>Endulini (Pty) Ltd</t>
        </is>
      </c>
      <c r="B12502" s="4" t="n">
        <v>44957</v>
      </c>
      <c r="C12502" s="3" t="inlineStr">
        <is>
          <t>Expenses</t>
        </is>
      </c>
      <c r="D12502" s="3" t="inlineStr">
        <is>
          <t>3900/210</t>
        </is>
      </c>
      <c r="E12502" s="3" t="inlineStr">
        <is>
          <t>Interest Paid - Investors @ 16%</t>
        </is>
      </c>
      <c r="F12502" s="3" t="n">
        <v>0</v>
      </c>
      <c r="G12502" s="3" t="n">
        <v>98739.73</v>
      </c>
    </row>
    <row r="12503">
      <c r="A12503" s="3" t="inlineStr">
        <is>
          <t>Endulini (Pty) Ltd</t>
        </is>
      </c>
      <c r="B12503" s="4" t="n">
        <v>44957</v>
      </c>
      <c r="C12503" s="3" t="inlineStr">
        <is>
          <t>Expenses</t>
        </is>
      </c>
      <c r="D12503" s="3" t="inlineStr">
        <is>
          <t>3900/230</t>
        </is>
      </c>
      <c r="E12503" s="3" t="inlineStr">
        <is>
          <t>Interest Paid - Investors @ 18%</t>
        </is>
      </c>
      <c r="F12503" s="3" t="n">
        <v>220684.93</v>
      </c>
      <c r="G12503" s="3" t="n">
        <v>6283035.27</v>
      </c>
    </row>
    <row r="12504">
      <c r="A12504" s="3" t="inlineStr">
        <is>
          <t>Opportunity Global Investment (PTY) LTD</t>
        </is>
      </c>
      <c r="B12504" s="4" t="n">
        <v>44957</v>
      </c>
      <c r="C12504" s="3" t="inlineStr">
        <is>
          <t>Expenses</t>
        </is>
      </c>
      <c r="D12504" s="3" t="inlineStr">
        <is>
          <t>3901/000</t>
        </is>
      </c>
      <c r="E12504" s="3" t="inlineStr">
        <is>
          <t>Interest Paid - Department of Labour</t>
        </is>
      </c>
      <c r="F12504" s="3" t="n">
        <v>103.96</v>
      </c>
      <c r="G12504" s="3" t="n">
        <v>1592.36</v>
      </c>
    </row>
    <row r="12505">
      <c r="A12505" s="3" t="inlineStr">
        <is>
          <t>Opportunity Management Holdings (PTY) LTD</t>
        </is>
      </c>
      <c r="B12505" s="4" t="n">
        <v>44957</v>
      </c>
      <c r="C12505" s="3" t="inlineStr">
        <is>
          <t>Expenses</t>
        </is>
      </c>
      <c r="D12505" s="3" t="inlineStr">
        <is>
          <t>3960/000</t>
        </is>
      </c>
      <c r="E12505" s="3" t="inlineStr">
        <is>
          <t>Internet Fees</t>
        </is>
      </c>
      <c r="F12505" s="3" t="n">
        <v>652.45</v>
      </c>
      <c r="G12505" s="3" t="n">
        <v>2899.37</v>
      </c>
    </row>
    <row r="12506">
      <c r="A12506" s="3" t="inlineStr">
        <is>
          <t>Quinate Consulting (Pty) Ltd</t>
        </is>
      </c>
      <c r="B12506" s="4" t="n">
        <v>44957</v>
      </c>
      <c r="C12506" s="3" t="inlineStr">
        <is>
          <t>Expenses</t>
        </is>
      </c>
      <c r="D12506" s="3" t="inlineStr">
        <is>
          <t>4000/000</t>
        </is>
      </c>
      <c r="E12506" s="3" t="inlineStr">
        <is>
          <t>Legal Fees</t>
        </is>
      </c>
      <c r="F12506" s="3" t="n">
        <v>75850.3</v>
      </c>
      <c r="G12506" s="3" t="n">
        <v>137570.3</v>
      </c>
    </row>
    <row r="12507">
      <c r="A12507" s="3" t="inlineStr">
        <is>
          <t>Quinate Consulting (Pty) Ltd</t>
        </is>
      </c>
      <c r="B12507" s="4" t="n">
        <v>44957</v>
      </c>
      <c r="C12507" s="3" t="inlineStr">
        <is>
          <t>Expenses</t>
        </is>
      </c>
      <c r="D12507" s="3" t="inlineStr">
        <is>
          <t>4065/000</t>
        </is>
      </c>
      <c r="E12507" s="3" t="inlineStr">
        <is>
          <t>Levies - SoHo</t>
        </is>
      </c>
      <c r="F12507" s="3" t="n">
        <v>6466.98</v>
      </c>
      <c r="G12507" s="3" t="n">
        <v>70639.66</v>
      </c>
    </row>
    <row r="12508">
      <c r="A12508" s="3" t="inlineStr">
        <is>
          <t>Quinate Consulting (Pty) Ltd</t>
        </is>
      </c>
      <c r="B12508" s="4" t="n">
        <v>44957</v>
      </c>
      <c r="C12508" s="3" t="inlineStr">
        <is>
          <t>Expenses</t>
        </is>
      </c>
      <c r="D12508" s="3" t="inlineStr">
        <is>
          <t>4066/000</t>
        </is>
      </c>
      <c r="E12508" s="3" t="inlineStr">
        <is>
          <t>Levies - Southwark</t>
        </is>
      </c>
      <c r="F12508" s="3" t="n">
        <v>0</v>
      </c>
      <c r="G12508" s="3" t="n">
        <v>35308.58</v>
      </c>
    </row>
    <row r="12509">
      <c r="A12509" s="3" t="inlineStr">
        <is>
          <t>Quinate Consulting (Pty) Ltd</t>
        </is>
      </c>
      <c r="B12509" s="4" t="n">
        <v>44957</v>
      </c>
      <c r="C12509" s="3" t="inlineStr">
        <is>
          <t>Expenses</t>
        </is>
      </c>
      <c r="D12509" s="3" t="inlineStr">
        <is>
          <t>4067/000</t>
        </is>
      </c>
      <c r="E12509" s="3" t="inlineStr">
        <is>
          <t>Levies - C4 Property</t>
        </is>
      </c>
      <c r="F12509" s="3" t="n">
        <v>2827.14</v>
      </c>
      <c r="G12509" s="3" t="n">
        <v>5654.28</v>
      </c>
    </row>
    <row r="12510">
      <c r="A12510" s="3" t="inlineStr">
        <is>
          <t>Endulini (Pty) Ltd</t>
        </is>
      </c>
      <c r="B12510" s="4" t="n">
        <v>44957</v>
      </c>
      <c r="C12510" s="3" t="inlineStr">
        <is>
          <t>Expenses</t>
        </is>
      </c>
      <c r="D12510" s="3" t="inlineStr">
        <is>
          <t>4100/001</t>
        </is>
      </c>
      <c r="E12510" s="3" t="inlineStr">
        <is>
          <t>Momentum Admin Fee</t>
        </is>
      </c>
      <c r="F12510" s="3" t="n">
        <v>0</v>
      </c>
      <c r="G12510" s="3" t="n">
        <v>52359.06</v>
      </c>
    </row>
    <row r="12511">
      <c r="A12511" s="3" t="inlineStr">
        <is>
          <t>Quinate Consulting (Pty) Ltd</t>
        </is>
      </c>
      <c r="B12511" s="4" t="n">
        <v>44957</v>
      </c>
      <c r="C12511" s="3" t="inlineStr">
        <is>
          <t>Expenses</t>
        </is>
      </c>
      <c r="D12511" s="3" t="inlineStr">
        <is>
          <t>4100/001</t>
        </is>
      </c>
      <c r="E12511" s="3" t="inlineStr">
        <is>
          <t>Momentum Advise Fee</t>
        </is>
      </c>
      <c r="F12511" s="3" t="n">
        <v>0</v>
      </c>
      <c r="G12511" s="3" t="n">
        <v>1.71</v>
      </c>
    </row>
    <row r="12512">
      <c r="A12512" s="3" t="inlineStr">
        <is>
          <t>Opportunity Global Investment (PTY) LTD</t>
        </is>
      </c>
      <c r="B12512" s="4" t="n">
        <v>44957</v>
      </c>
      <c r="C12512" s="3" t="inlineStr">
        <is>
          <t>Expenses</t>
        </is>
      </c>
      <c r="D12512" s="3" t="inlineStr">
        <is>
          <t>4100/100</t>
        </is>
      </c>
      <c r="E12512" s="3" t="inlineStr">
        <is>
          <t>Members Salaries - Nick Morgan</t>
        </is>
      </c>
      <c r="F12512" s="3" t="n">
        <v>40937.18</v>
      </c>
      <c r="G12512" s="3" t="n">
        <v>450309.01</v>
      </c>
    </row>
    <row r="12513">
      <c r="A12513" s="3" t="inlineStr">
        <is>
          <t>Opportunity Global Investment (PTY) LTD</t>
        </is>
      </c>
      <c r="B12513" s="4" t="n">
        <v>44957</v>
      </c>
      <c r="C12513" s="3" t="inlineStr">
        <is>
          <t>Expenses</t>
        </is>
      </c>
      <c r="D12513" s="3" t="inlineStr">
        <is>
          <t>4200/000</t>
        </is>
      </c>
      <c r="E12513" s="3" t="inlineStr">
        <is>
          <t>Printing _AND_ Stationery</t>
        </is>
      </c>
      <c r="F12513" s="3" t="n">
        <v>2367</v>
      </c>
      <c r="G12513" s="3" t="n">
        <v>26037</v>
      </c>
    </row>
    <row r="12514">
      <c r="A12514" s="3" t="inlineStr">
        <is>
          <t>Opportunity Global Sales (PTY) LTD</t>
        </is>
      </c>
      <c r="B12514" s="4" t="n">
        <v>44957</v>
      </c>
      <c r="C12514" s="3" t="inlineStr">
        <is>
          <t>Expenses</t>
        </is>
      </c>
      <c r="D12514" s="3" t="inlineStr">
        <is>
          <t>4200/000</t>
        </is>
      </c>
      <c r="E12514" s="3" t="inlineStr">
        <is>
          <t>Printing _AND_ Stationery</t>
        </is>
      </c>
      <c r="F12514" s="3" t="n">
        <v>0</v>
      </c>
      <c r="G12514" s="3" t="n">
        <v>3101.96</v>
      </c>
    </row>
    <row r="12515">
      <c r="A12515" s="3" t="inlineStr">
        <is>
          <t>Opportunity Management Holdings (PTY) LTD</t>
        </is>
      </c>
      <c r="B12515" s="4" t="n">
        <v>44957</v>
      </c>
      <c r="C12515" s="3" t="inlineStr">
        <is>
          <t>Expenses</t>
        </is>
      </c>
      <c r="D12515" s="3" t="inlineStr">
        <is>
          <t>4200/000</t>
        </is>
      </c>
      <c r="E12515" s="3" t="inlineStr">
        <is>
          <t>Printing _AND_ Stationery</t>
        </is>
      </c>
      <c r="F12515" s="3" t="n">
        <v>1452.03</v>
      </c>
      <c r="G12515" s="3" t="n">
        <v>9865.83</v>
      </c>
    </row>
    <row r="12516">
      <c r="A12516" s="3" t="inlineStr">
        <is>
          <t>Quinate Consulting (Pty) Ltd</t>
        </is>
      </c>
      <c r="B12516" s="4" t="n">
        <v>44957</v>
      </c>
      <c r="C12516" s="3" t="inlineStr">
        <is>
          <t>Expenses</t>
        </is>
      </c>
      <c r="D12516" s="3" t="inlineStr">
        <is>
          <t>4200/000</t>
        </is>
      </c>
      <c r="E12516" s="3" t="inlineStr">
        <is>
          <t>Printing _AND_ Stationery</t>
        </is>
      </c>
      <c r="F12516" s="3" t="n">
        <v>0</v>
      </c>
      <c r="G12516" s="3" t="n">
        <v>1232.17</v>
      </c>
    </row>
    <row r="12517">
      <c r="A12517" s="3" t="inlineStr">
        <is>
          <t>Noble Shield (Pty) Ltd ta Go Letting</t>
        </is>
      </c>
      <c r="B12517" s="4" t="n">
        <v>44957</v>
      </c>
      <c r="C12517" s="3" t="inlineStr">
        <is>
          <t>Expenses</t>
        </is>
      </c>
      <c r="D12517" s="3" t="inlineStr">
        <is>
          <t>4200/100</t>
        </is>
      </c>
      <c r="E12517" s="3" t="inlineStr">
        <is>
          <t>Printing - Merchant West- Printer Rental</t>
        </is>
      </c>
      <c r="F12517" s="3" t="n">
        <v>1629.84</v>
      </c>
      <c r="G12517" s="3" t="n">
        <v>8135.41</v>
      </c>
    </row>
    <row r="12518">
      <c r="A12518" s="3" t="inlineStr">
        <is>
          <t>Noble Shield (Pty) Ltd ta Go Letting</t>
        </is>
      </c>
      <c r="B12518" s="4" t="n">
        <v>44957</v>
      </c>
      <c r="C12518" s="3" t="inlineStr">
        <is>
          <t>Expenses</t>
        </is>
      </c>
      <c r="D12518" s="3" t="inlineStr">
        <is>
          <t>4200/120</t>
        </is>
      </c>
      <c r="E12518" s="3" t="inlineStr">
        <is>
          <t>Printing - Ivy Line - Prints</t>
        </is>
      </c>
      <c r="F12518" s="3" t="n">
        <v>888.55</v>
      </c>
      <c r="G12518" s="3" t="n">
        <v>4233.84</v>
      </c>
    </row>
    <row r="12519">
      <c r="A12519" s="3" t="inlineStr">
        <is>
          <t>Noble Shield (Pty) Ltd ta Go Letting</t>
        </is>
      </c>
      <c r="B12519" s="4" t="n">
        <v>44957</v>
      </c>
      <c r="C12519" s="3" t="inlineStr">
        <is>
          <t>Expenses</t>
        </is>
      </c>
      <c r="D12519" s="3" t="inlineStr">
        <is>
          <t>4200/180</t>
        </is>
      </c>
      <c r="E12519" s="3" t="inlineStr">
        <is>
          <t>Printing - Ikon</t>
        </is>
      </c>
      <c r="F12519" s="3" t="n">
        <v>92</v>
      </c>
      <c r="G12519" s="3" t="n">
        <v>490.53</v>
      </c>
    </row>
    <row r="12520">
      <c r="A12520" s="3" t="inlineStr">
        <is>
          <t>Noble Shield (Pty) Ltd ta Go Letting</t>
        </is>
      </c>
      <c r="B12520" s="4" t="n">
        <v>44957</v>
      </c>
      <c r="C12520" s="3" t="inlineStr">
        <is>
          <t>Expenses</t>
        </is>
      </c>
      <c r="D12520" s="3" t="inlineStr">
        <is>
          <t>4200/190</t>
        </is>
      </c>
      <c r="E12520" s="3" t="inlineStr">
        <is>
          <t>Printing - Centrafin printer rental</t>
        </is>
      </c>
      <c r="F12520" s="3" t="n">
        <v>2872.94</v>
      </c>
      <c r="G12520" s="3" t="n">
        <v>13147.44</v>
      </c>
    </row>
    <row r="12521">
      <c r="A12521" s="3" t="inlineStr">
        <is>
          <t>Noble Shield (Pty) Ltd ta Go Letting</t>
        </is>
      </c>
      <c r="B12521" s="4" t="n">
        <v>44957</v>
      </c>
      <c r="C12521" s="3" t="inlineStr">
        <is>
          <t>Expenses</t>
        </is>
      </c>
      <c r="D12521" s="3" t="inlineStr">
        <is>
          <t>4200/200</t>
        </is>
      </c>
      <c r="E12521" s="3" t="inlineStr">
        <is>
          <t>Printing - General Stationery VDB Office</t>
        </is>
      </c>
      <c r="F12521" s="3" t="n">
        <v>766.6</v>
      </c>
      <c r="G12521" s="3" t="n">
        <v>4312.72</v>
      </c>
    </row>
    <row r="12522">
      <c r="A12522" s="3" t="inlineStr">
        <is>
          <t>Opportunity Global Investment (PTY) LTD</t>
        </is>
      </c>
      <c r="B12522" s="4" t="n">
        <v>44957</v>
      </c>
      <c r="C12522" s="3" t="inlineStr">
        <is>
          <t>Expenses</t>
        </is>
      </c>
      <c r="D12522" s="3" t="inlineStr">
        <is>
          <t>4220/000</t>
        </is>
      </c>
      <c r="E12522" s="3" t="inlineStr">
        <is>
          <t>Motor Vehicle Expenses - Petrol _AND_ Oil</t>
        </is>
      </c>
      <c r="F12522" s="3" t="n">
        <v>827.26</v>
      </c>
      <c r="G12522" s="3" t="n">
        <v>827.26</v>
      </c>
    </row>
    <row r="12523">
      <c r="A12523" s="3" t="inlineStr">
        <is>
          <t>Noble Shield (Pty) Ltd ta Go Letting</t>
        </is>
      </c>
      <c r="B12523" s="4" t="n">
        <v>44957</v>
      </c>
      <c r="C12523" s="3" t="inlineStr">
        <is>
          <t>Expenses</t>
        </is>
      </c>
      <c r="D12523" s="3" t="inlineStr">
        <is>
          <t>4290/000</t>
        </is>
      </c>
      <c r="E12523" s="3" t="inlineStr">
        <is>
          <t>Refreshments - CT Office</t>
        </is>
      </c>
      <c r="F12523" s="3" t="n">
        <v>557.87</v>
      </c>
      <c r="G12523" s="3" t="n">
        <v>4720.2</v>
      </c>
    </row>
    <row r="12524">
      <c r="A12524" s="3" t="inlineStr">
        <is>
          <t>Opportunity Global Investment (PTY) LTD</t>
        </is>
      </c>
      <c r="B12524" s="4" t="n">
        <v>44957</v>
      </c>
      <c r="C12524" s="3" t="inlineStr">
        <is>
          <t>Expenses</t>
        </is>
      </c>
      <c r="D12524" s="3" t="inlineStr">
        <is>
          <t>4290/000</t>
        </is>
      </c>
      <c r="E12524" s="3" t="inlineStr">
        <is>
          <t>Rent</t>
        </is>
      </c>
      <c r="F12524" s="3" t="n">
        <v>8770</v>
      </c>
      <c r="G12524" s="3" t="n">
        <v>96470</v>
      </c>
    </row>
    <row r="12525">
      <c r="A12525" s="3" t="inlineStr">
        <is>
          <t>Noble Shield (Pty) Ltd ta Go Letting</t>
        </is>
      </c>
      <c r="B12525" s="4" t="n">
        <v>44957</v>
      </c>
      <c r="C12525" s="3" t="inlineStr">
        <is>
          <t>Expenses</t>
        </is>
      </c>
      <c r="D12525" s="3" t="inlineStr">
        <is>
          <t>4291/000</t>
        </is>
      </c>
      <c r="E12525" s="3" t="inlineStr">
        <is>
          <t>Refreshments - VDB Office</t>
        </is>
      </c>
      <c r="F12525" s="3" t="n">
        <v>1034.83</v>
      </c>
      <c r="G12525" s="3" t="n">
        <v>2710.3</v>
      </c>
    </row>
    <row r="12526">
      <c r="A12526" s="3" t="inlineStr">
        <is>
          <t>Trademark Holdings (Pty) Ltd</t>
        </is>
      </c>
      <c r="B12526" s="4" t="n">
        <v>44957</v>
      </c>
      <c r="C12526" s="3" t="inlineStr">
        <is>
          <t>Expenses</t>
        </is>
      </c>
      <c r="D12526" s="3" t="inlineStr">
        <is>
          <t>4300/000</t>
        </is>
      </c>
      <c r="E12526" s="3" t="inlineStr">
        <is>
          <t>Rent Paid</t>
        </is>
      </c>
      <c r="F12526" s="3" t="n">
        <v>6527.31</v>
      </c>
      <c r="G12526" s="3" t="n">
        <v>32436.57</v>
      </c>
    </row>
    <row r="12527">
      <c r="A12527" s="3" t="inlineStr">
        <is>
          <t>Endulini (Pty) Ltd</t>
        </is>
      </c>
      <c r="B12527" s="4" t="n">
        <v>44957</v>
      </c>
      <c r="C12527" s="3" t="inlineStr">
        <is>
          <t>Expenses</t>
        </is>
      </c>
      <c r="D12527" s="3" t="inlineStr">
        <is>
          <t>4310/000</t>
        </is>
      </c>
      <c r="E12527" s="3" t="inlineStr">
        <is>
          <t>Rates</t>
        </is>
      </c>
      <c r="F12527" s="3" t="n">
        <v>0</v>
      </c>
      <c r="G12527" s="3" t="n">
        <v>27929.15</v>
      </c>
    </row>
    <row r="12528">
      <c r="A12528" s="3" t="inlineStr">
        <is>
          <t>Opportunity Global Investment (PTY) LTD</t>
        </is>
      </c>
      <c r="B12528" s="4" t="n">
        <v>44957</v>
      </c>
      <c r="C12528" s="3" t="inlineStr">
        <is>
          <t>Expenses</t>
        </is>
      </c>
      <c r="D12528" s="3" t="inlineStr">
        <is>
          <t>4310/000</t>
        </is>
      </c>
      <c r="E12528" s="3" t="inlineStr">
        <is>
          <t>Refreshments</t>
        </is>
      </c>
      <c r="F12528" s="3" t="n">
        <v>2521</v>
      </c>
      <c r="G12528" s="3" t="n">
        <v>27731</v>
      </c>
    </row>
    <row r="12529">
      <c r="A12529" s="3" t="inlineStr">
        <is>
          <t>Opportunity Management Holdings (PTY) LTD</t>
        </is>
      </c>
      <c r="B12529" s="4" t="n">
        <v>44957</v>
      </c>
      <c r="C12529" s="3" t="inlineStr">
        <is>
          <t>Expenses</t>
        </is>
      </c>
      <c r="D12529" s="3" t="inlineStr">
        <is>
          <t>4310/000</t>
        </is>
      </c>
      <c r="E12529" s="3" t="inlineStr">
        <is>
          <t>Refreshments</t>
        </is>
      </c>
      <c r="F12529" s="3" t="n">
        <v>0</v>
      </c>
      <c r="G12529" s="3" t="n">
        <v>6364.52</v>
      </c>
    </row>
    <row r="12530">
      <c r="A12530" s="3" t="inlineStr">
        <is>
          <t>Quinate Consulting (Pty) Ltd</t>
        </is>
      </c>
      <c r="B12530" s="4" t="n">
        <v>44957</v>
      </c>
      <c r="C12530" s="3" t="inlineStr">
        <is>
          <t>Expenses</t>
        </is>
      </c>
      <c r="D12530" s="3" t="inlineStr">
        <is>
          <t>4312/000</t>
        </is>
      </c>
      <c r="E12530" s="3" t="inlineStr">
        <is>
          <t>Rates - SoHo Units</t>
        </is>
      </c>
      <c r="F12530" s="3" t="n">
        <v>2680.64</v>
      </c>
      <c r="G12530" s="3" t="n">
        <v>26366.3</v>
      </c>
    </row>
    <row r="12531">
      <c r="A12531" s="3" t="inlineStr">
        <is>
          <t>Endulini (Pty) Ltd</t>
        </is>
      </c>
      <c r="B12531" s="4" t="n">
        <v>44957</v>
      </c>
      <c r="C12531" s="3" t="inlineStr">
        <is>
          <t>Expenses</t>
        </is>
      </c>
      <c r="D12531" s="3" t="inlineStr">
        <is>
          <t>4350/000</t>
        </is>
      </c>
      <c r="E12531" s="3" t="inlineStr">
        <is>
          <t>Repairs _AND_ Maintenance</t>
        </is>
      </c>
      <c r="F12531" s="3" t="n">
        <v>11214.5</v>
      </c>
      <c r="G12531" s="3" t="n">
        <v>14630.19</v>
      </c>
    </row>
    <row r="12532">
      <c r="A12532" s="3" t="inlineStr">
        <is>
          <t>Noble Shield (Pty) Ltd ta Go Letting</t>
        </is>
      </c>
      <c r="B12532" s="4" t="n">
        <v>44957</v>
      </c>
      <c r="C12532" s="3" t="inlineStr">
        <is>
          <t>Expenses</t>
        </is>
      </c>
      <c r="D12532" s="3" t="inlineStr">
        <is>
          <t>4350/000</t>
        </is>
      </c>
      <c r="E12532" s="3" t="inlineStr">
        <is>
          <t>Repairs _AND_ Maintenance</t>
        </is>
      </c>
      <c r="F12532" s="3" t="n">
        <v>0</v>
      </c>
      <c r="G12532" s="3" t="n">
        <v>710</v>
      </c>
    </row>
    <row r="12533">
      <c r="A12533" s="3" t="inlineStr">
        <is>
          <t>Opportunity Management Holdings (PTY) LTD</t>
        </is>
      </c>
      <c r="B12533" s="4" t="n">
        <v>44957</v>
      </c>
      <c r="C12533" s="3" t="inlineStr">
        <is>
          <t>Expenses</t>
        </is>
      </c>
      <c r="D12533" s="3" t="inlineStr">
        <is>
          <t>4350/000</t>
        </is>
      </c>
      <c r="E12533" s="3" t="inlineStr">
        <is>
          <t>Repairs _AND_ Maintenance</t>
        </is>
      </c>
      <c r="F12533" s="3" t="n">
        <v>0</v>
      </c>
      <c r="G12533" s="3" t="n">
        <v>456.53</v>
      </c>
    </row>
    <row r="12534">
      <c r="A12534" s="3" t="inlineStr">
        <is>
          <t>Quinate Consulting (Pty) Ltd</t>
        </is>
      </c>
      <c r="B12534" s="4" t="n">
        <v>44957</v>
      </c>
      <c r="C12534" s="3" t="inlineStr">
        <is>
          <t>Expenses</t>
        </is>
      </c>
      <c r="D12534" s="3" t="inlineStr">
        <is>
          <t>4350/000</t>
        </is>
      </c>
      <c r="E12534" s="3" t="inlineStr">
        <is>
          <t>Repairs and Maintenance - Southwark Units</t>
        </is>
      </c>
      <c r="F12534" s="3" t="n">
        <v>0</v>
      </c>
      <c r="G12534" s="3" t="n">
        <v>15420.12</v>
      </c>
    </row>
    <row r="12535">
      <c r="A12535" s="3" t="inlineStr">
        <is>
          <t>Opportunity Global Investment (PTY) LTD</t>
        </is>
      </c>
      <c r="B12535" s="4" t="n">
        <v>44957</v>
      </c>
      <c r="C12535" s="3" t="inlineStr">
        <is>
          <t>Expenses</t>
        </is>
      </c>
      <c r="D12535" s="3" t="inlineStr">
        <is>
          <t>4360/000</t>
        </is>
      </c>
      <c r="E12535" s="3" t="inlineStr">
        <is>
          <t>Secretarial - CIPC</t>
        </is>
      </c>
      <c r="F12535" s="3" t="n">
        <v>0</v>
      </c>
      <c r="G12535" s="3" t="n">
        <v>600</v>
      </c>
    </row>
    <row r="12536">
      <c r="A12536" s="3" t="inlineStr">
        <is>
          <t>Opportunity Global Investment (PTY) LTD</t>
        </is>
      </c>
      <c r="B12536" s="4" t="n">
        <v>44957</v>
      </c>
      <c r="C12536" s="3" t="inlineStr">
        <is>
          <t>Expenses</t>
        </is>
      </c>
      <c r="D12536" s="3" t="inlineStr">
        <is>
          <t>4390/000</t>
        </is>
      </c>
      <c r="E12536" s="3" t="inlineStr">
        <is>
          <t>Small Assets</t>
        </is>
      </c>
      <c r="F12536" s="3" t="n">
        <v>1890.43</v>
      </c>
      <c r="G12536" s="3" t="n">
        <v>1890.43</v>
      </c>
    </row>
    <row r="12537">
      <c r="A12537" s="3" t="inlineStr">
        <is>
          <t>Opportunity Global Sales (PTY) LTD</t>
        </is>
      </c>
      <c r="B12537" s="4" t="n">
        <v>44957</v>
      </c>
      <c r="C12537" s="3" t="inlineStr">
        <is>
          <t>Expenses</t>
        </is>
      </c>
      <c r="D12537" s="3" t="inlineStr">
        <is>
          <t>4390/000</t>
        </is>
      </c>
      <c r="E12537" s="3" t="inlineStr">
        <is>
          <t>Small Assets</t>
        </is>
      </c>
      <c r="F12537" s="3" t="n">
        <v>0</v>
      </c>
      <c r="G12537" s="3" t="n">
        <v>18486.87</v>
      </c>
    </row>
    <row r="12538">
      <c r="A12538" s="3" t="inlineStr">
        <is>
          <t>Opportunity Management Holdings (PTY) LTD</t>
        </is>
      </c>
      <c r="B12538" s="4" t="n">
        <v>44957</v>
      </c>
      <c r="C12538" s="3" t="inlineStr">
        <is>
          <t>Expenses</t>
        </is>
      </c>
      <c r="D12538" s="3" t="inlineStr">
        <is>
          <t>4390/000</t>
        </is>
      </c>
      <c r="E12538" s="3" t="inlineStr">
        <is>
          <t>Small Assets</t>
        </is>
      </c>
      <c r="F12538" s="3" t="n">
        <v>0</v>
      </c>
      <c r="G12538" s="3" t="n">
        <v>17288.69</v>
      </c>
    </row>
    <row r="12539">
      <c r="A12539" s="3" t="inlineStr">
        <is>
          <t>Noble Shield (Pty) Ltd ta Go Letting</t>
        </is>
      </c>
      <c r="B12539" s="4" t="n">
        <v>44957</v>
      </c>
      <c r="C12539" s="3" t="inlineStr">
        <is>
          <t>Expenses</t>
        </is>
      </c>
      <c r="D12539" s="3" t="inlineStr">
        <is>
          <t>4400/000</t>
        </is>
      </c>
      <c r="E12539" s="3" t="inlineStr">
        <is>
          <t>Salaries _AND_ Wages</t>
        </is>
      </c>
      <c r="F12539" s="3" t="n">
        <v>26848.19</v>
      </c>
      <c r="G12539" s="3" t="n">
        <v>134240.98</v>
      </c>
    </row>
    <row r="12540">
      <c r="A12540" s="3" t="inlineStr">
        <is>
          <t>Opportunity Global Sales (PTY) LTD</t>
        </is>
      </c>
      <c r="B12540" s="4" t="n">
        <v>44957</v>
      </c>
      <c r="C12540" s="3" t="inlineStr">
        <is>
          <t>Expenses</t>
        </is>
      </c>
      <c r="D12540" s="3" t="inlineStr">
        <is>
          <t>4400/000</t>
        </is>
      </c>
      <c r="E12540" s="3" t="inlineStr">
        <is>
          <t>Salaries _AND_ Wages</t>
        </is>
      </c>
      <c r="F12540" s="3" t="n">
        <v>41455.54</v>
      </c>
      <c r="G12540" s="3" t="n">
        <v>429721.59</v>
      </c>
    </row>
    <row r="12541">
      <c r="A12541" s="3" t="inlineStr">
        <is>
          <t>Opportunity Management Holdings (PTY) LTD</t>
        </is>
      </c>
      <c r="B12541" s="4" t="n">
        <v>44957</v>
      </c>
      <c r="C12541" s="3" t="inlineStr">
        <is>
          <t>Expenses</t>
        </is>
      </c>
      <c r="D12541" s="3" t="inlineStr">
        <is>
          <t>4400/000</t>
        </is>
      </c>
      <c r="E12541" s="3" t="inlineStr">
        <is>
          <t>Salaries _AND_ Wages</t>
        </is>
      </c>
      <c r="F12541" s="3" t="n">
        <v>270079.84</v>
      </c>
      <c r="G12541" s="3" t="n">
        <v>1186915.21</v>
      </c>
    </row>
    <row r="12542">
      <c r="A12542" s="3" t="inlineStr">
        <is>
          <t>Trademark Holdings (Pty) Ltd</t>
        </is>
      </c>
      <c r="B12542" s="4" t="n">
        <v>44957</v>
      </c>
      <c r="C12542" s="3" t="inlineStr">
        <is>
          <t>Expenses</t>
        </is>
      </c>
      <c r="D12542" s="3" t="inlineStr">
        <is>
          <t>4400/000</t>
        </is>
      </c>
      <c r="E12542" s="3" t="inlineStr">
        <is>
          <t>Salaries _AND_ Wages</t>
        </is>
      </c>
      <c r="F12542" s="3" t="n">
        <v>12429.45</v>
      </c>
      <c r="G12542" s="3" t="n">
        <v>62147.25</v>
      </c>
    </row>
    <row r="12543">
      <c r="A12543" s="3" t="inlineStr">
        <is>
          <t>Opportunity Global Investment (PTY) LTD</t>
        </is>
      </c>
      <c r="B12543" s="4" t="n">
        <v>44957</v>
      </c>
      <c r="C12543" s="3" t="inlineStr">
        <is>
          <t>Expenses</t>
        </is>
      </c>
      <c r="D12543" s="3" t="inlineStr">
        <is>
          <t>4403/000</t>
        </is>
      </c>
      <c r="E12543" s="3" t="inlineStr">
        <is>
          <t>Study fees - Nick</t>
        </is>
      </c>
      <c r="F12543" s="3" t="n">
        <v>17582.03</v>
      </c>
      <c r="G12543" s="3" t="n">
        <v>124769.07</v>
      </c>
    </row>
    <row r="12544">
      <c r="A12544" s="3" t="inlineStr">
        <is>
          <t>Trademark Holdings (Pty) Ltd</t>
        </is>
      </c>
      <c r="B12544" s="4" t="n">
        <v>44957</v>
      </c>
      <c r="C12544" s="3" t="inlineStr">
        <is>
          <t>Expenses</t>
        </is>
      </c>
      <c r="D12544" s="3" t="inlineStr">
        <is>
          <t>4410/000</t>
        </is>
      </c>
      <c r="E12544" s="3" t="inlineStr">
        <is>
          <t>Salaries _AND_ Wages - WCA</t>
        </is>
      </c>
      <c r="F12544" s="3" t="n">
        <v>0</v>
      </c>
      <c r="G12544" s="3" t="n">
        <v>1397.74</v>
      </c>
    </row>
    <row r="12545">
      <c r="A12545" s="3" t="inlineStr">
        <is>
          <t>Quinate Consulting (Pty) Ltd</t>
        </is>
      </c>
      <c r="B12545" s="4" t="n">
        <v>44957</v>
      </c>
      <c r="C12545" s="3" t="inlineStr">
        <is>
          <t>Expenses</t>
        </is>
      </c>
      <c r="D12545" s="3" t="inlineStr">
        <is>
          <t>4430/000</t>
        </is>
      </c>
      <c r="E12545" s="3" t="inlineStr">
        <is>
          <t>Small Assets</t>
        </is>
      </c>
      <c r="F12545" s="3" t="n">
        <v>0</v>
      </c>
      <c r="G12545" s="3" t="n">
        <v>38.66</v>
      </c>
    </row>
    <row r="12546">
      <c r="A12546" s="3" t="inlineStr">
        <is>
          <t>Opportunity Global Investment (PTY) LTD</t>
        </is>
      </c>
      <c r="B12546" s="4" t="n">
        <v>44957</v>
      </c>
      <c r="C12546" s="3" t="inlineStr">
        <is>
          <t>Expenses</t>
        </is>
      </c>
      <c r="D12546" s="3" t="inlineStr">
        <is>
          <t>4500/000</t>
        </is>
      </c>
      <c r="E12546" s="3" t="inlineStr">
        <is>
          <t>Staff Welfare</t>
        </is>
      </c>
      <c r="F12546" s="3" t="n">
        <v>0</v>
      </c>
      <c r="G12546" s="3" t="n">
        <v>3951.25</v>
      </c>
    </row>
    <row r="12547">
      <c r="A12547" s="3" t="inlineStr">
        <is>
          <t>Opportunity Global Sales (PTY) LTD</t>
        </is>
      </c>
      <c r="B12547" s="4" t="n">
        <v>44957</v>
      </c>
      <c r="C12547" s="3" t="inlineStr">
        <is>
          <t>Expenses</t>
        </is>
      </c>
      <c r="D12547" s="3" t="inlineStr">
        <is>
          <t>4500/000</t>
        </is>
      </c>
      <c r="E12547" s="3" t="inlineStr">
        <is>
          <t>Staff Welfare</t>
        </is>
      </c>
      <c r="F12547" s="3" t="n">
        <v>0</v>
      </c>
      <c r="G12547" s="3" t="n">
        <v>2499</v>
      </c>
    </row>
    <row r="12548">
      <c r="A12548" s="3" t="inlineStr">
        <is>
          <t>Opportunity Management Holdings (PTY) LTD</t>
        </is>
      </c>
      <c r="B12548" s="4" t="n">
        <v>44957</v>
      </c>
      <c r="C12548" s="3" t="inlineStr">
        <is>
          <t>Expenses</t>
        </is>
      </c>
      <c r="D12548" s="3" t="inlineStr">
        <is>
          <t>4500/000</t>
        </is>
      </c>
      <c r="E12548" s="3" t="inlineStr">
        <is>
          <t>Staff Welfare</t>
        </is>
      </c>
      <c r="F12548" s="3" t="n">
        <v>887.16</v>
      </c>
      <c r="G12548" s="3" t="n">
        <v>43097.08</v>
      </c>
    </row>
    <row r="12549">
      <c r="A12549" s="3" t="inlineStr">
        <is>
          <t>Quinate Consulting (Pty) Ltd</t>
        </is>
      </c>
      <c r="B12549" s="4" t="n">
        <v>44957</v>
      </c>
      <c r="C12549" s="3" t="inlineStr">
        <is>
          <t>Expenses</t>
        </is>
      </c>
      <c r="D12549" s="3" t="inlineStr">
        <is>
          <t>4500/000</t>
        </is>
      </c>
      <c r="E12549" s="3" t="inlineStr">
        <is>
          <t>Staff Welfare</t>
        </is>
      </c>
      <c r="F12549" s="3" t="n">
        <v>0</v>
      </c>
      <c r="G12549" s="3" t="n">
        <v>635</v>
      </c>
    </row>
    <row r="12550">
      <c r="A12550" s="3" t="inlineStr">
        <is>
          <t>Noble Shield (Pty) Ltd ta Go Letting</t>
        </is>
      </c>
      <c r="B12550" s="4" t="n">
        <v>44957</v>
      </c>
      <c r="C12550" s="3" t="inlineStr">
        <is>
          <t>Expenses</t>
        </is>
      </c>
      <c r="D12550" s="3" t="inlineStr">
        <is>
          <t>4520/000</t>
        </is>
      </c>
      <c r="E12550" s="3" t="inlineStr">
        <is>
          <t>Security</t>
        </is>
      </c>
      <c r="F12550" s="3" t="n">
        <v>815</v>
      </c>
      <c r="G12550" s="3" t="n">
        <v>4211.44</v>
      </c>
    </row>
    <row r="12551">
      <c r="A12551" s="3" t="inlineStr">
        <is>
          <t>Opportunity Global Investment (PTY) LTD</t>
        </is>
      </c>
      <c r="B12551" s="4" t="n">
        <v>44957</v>
      </c>
      <c r="C12551" s="3" t="inlineStr">
        <is>
          <t>Expenses</t>
        </is>
      </c>
      <c r="D12551" s="3" t="inlineStr">
        <is>
          <t>4550/000</t>
        </is>
      </c>
      <c r="E12551" s="3" t="inlineStr">
        <is>
          <t>Subscriptions</t>
        </is>
      </c>
      <c r="F12551" s="3" t="n">
        <v>0</v>
      </c>
      <c r="G12551" s="3" t="n">
        <v>510.33</v>
      </c>
    </row>
    <row r="12552">
      <c r="A12552" s="3" t="inlineStr">
        <is>
          <t>Opportunity Global Sales (PTY) LTD</t>
        </is>
      </c>
      <c r="B12552" s="4" t="n">
        <v>44957</v>
      </c>
      <c r="C12552" s="3" t="inlineStr">
        <is>
          <t>Expenses</t>
        </is>
      </c>
      <c r="D12552" s="3" t="inlineStr">
        <is>
          <t>4550/000</t>
        </is>
      </c>
      <c r="E12552" s="3" t="inlineStr">
        <is>
          <t>Subscriptions - General</t>
        </is>
      </c>
      <c r="F12552" s="3" t="n">
        <v>0</v>
      </c>
      <c r="G12552" s="3" t="n">
        <v>2795.74</v>
      </c>
    </row>
    <row r="12553">
      <c r="A12553" s="3" t="inlineStr">
        <is>
          <t>Quinate Consulting (Pty) Ltd</t>
        </is>
      </c>
      <c r="B12553" s="4" t="n">
        <v>44957</v>
      </c>
      <c r="C12553" s="3" t="inlineStr">
        <is>
          <t>Expenses</t>
        </is>
      </c>
      <c r="D12553" s="3" t="inlineStr">
        <is>
          <t>4550/000</t>
        </is>
      </c>
      <c r="E12553" s="3" t="inlineStr">
        <is>
          <t>Subscriptions / Licenses</t>
        </is>
      </c>
      <c r="F12553" s="3" t="n">
        <v>9599.34</v>
      </c>
      <c r="G12553" s="3" t="n">
        <v>102184.58</v>
      </c>
    </row>
    <row r="12554">
      <c r="A12554" s="3" t="inlineStr">
        <is>
          <t>Opportunity Management Holdings (PTY) LTD</t>
        </is>
      </c>
      <c r="B12554" s="4" t="n">
        <v>44957</v>
      </c>
      <c r="C12554" s="3" t="inlineStr">
        <is>
          <t>Expenses</t>
        </is>
      </c>
      <c r="D12554" s="3" t="inlineStr">
        <is>
          <t>4550/000</t>
        </is>
      </c>
      <c r="E12554" s="3" t="inlineStr">
        <is>
          <t>Subscriptions _AND_ Lisences</t>
        </is>
      </c>
      <c r="F12554" s="3" t="n">
        <v>3408</v>
      </c>
      <c r="G12554" s="3" t="n">
        <v>13447.01</v>
      </c>
    </row>
    <row r="12555">
      <c r="A12555" s="3" t="inlineStr">
        <is>
          <t>Opportunity Global Investment (PTY) LTD</t>
        </is>
      </c>
      <c r="B12555" s="4" t="n">
        <v>44957</v>
      </c>
      <c r="C12555" s="3" t="inlineStr">
        <is>
          <t>Expenses</t>
        </is>
      </c>
      <c r="D12555" s="3" t="inlineStr">
        <is>
          <t>4550/050</t>
        </is>
      </c>
      <c r="E12555" s="3" t="inlineStr">
        <is>
          <t>Subscriptions - EAAB</t>
        </is>
      </c>
      <c r="F12555" s="3" t="n">
        <v>0</v>
      </c>
      <c r="G12555" s="3" t="n">
        <v>2340</v>
      </c>
    </row>
    <row r="12556">
      <c r="A12556" s="3" t="inlineStr">
        <is>
          <t>Noble Shield (Pty) Ltd ta Go Letting</t>
        </is>
      </c>
      <c r="B12556" s="4" t="n">
        <v>44957</v>
      </c>
      <c r="C12556" s="3" t="inlineStr">
        <is>
          <t>Expenses</t>
        </is>
      </c>
      <c r="D12556" s="3" t="inlineStr">
        <is>
          <t>4550/100</t>
        </is>
      </c>
      <c r="E12556" s="3" t="inlineStr">
        <is>
          <t>Subscriptions - EAAB</t>
        </is>
      </c>
      <c r="F12556" s="3" t="n">
        <v>0</v>
      </c>
      <c r="G12556" s="3" t="n">
        <v>2340</v>
      </c>
    </row>
    <row r="12557">
      <c r="A12557" s="3" t="inlineStr">
        <is>
          <t>Trademark Holdings (Pty) Ltd</t>
        </is>
      </c>
      <c r="B12557" s="4" t="n">
        <v>44957</v>
      </c>
      <c r="C12557" s="3" t="inlineStr">
        <is>
          <t>Expenses</t>
        </is>
      </c>
      <c r="D12557" s="3" t="inlineStr">
        <is>
          <t>4550/100</t>
        </is>
      </c>
      <c r="E12557" s="3" t="inlineStr">
        <is>
          <t>Subscriptions - EAAB</t>
        </is>
      </c>
      <c r="F12557" s="3" t="n">
        <v>0</v>
      </c>
      <c r="G12557" s="3" t="n">
        <v>2340</v>
      </c>
    </row>
    <row r="12558">
      <c r="A12558" s="3" t="inlineStr">
        <is>
          <t>Opportunity Global Investment (PTY) LTD</t>
        </is>
      </c>
      <c r="B12558" s="4" t="n">
        <v>44957</v>
      </c>
      <c r="C12558" s="3" t="inlineStr">
        <is>
          <t>Expenses</t>
        </is>
      </c>
      <c r="D12558" s="3" t="inlineStr">
        <is>
          <t>4550/150</t>
        </is>
      </c>
      <c r="E12558" s="3" t="inlineStr">
        <is>
          <t>Subscriptions - Webbox</t>
        </is>
      </c>
      <c r="F12558" s="3" t="n">
        <v>1259</v>
      </c>
      <c r="G12558" s="3" t="n">
        <v>13755</v>
      </c>
    </row>
    <row r="12559">
      <c r="A12559" s="3" t="inlineStr">
        <is>
          <t>Opportunity Global Investment (PTY) LTD</t>
        </is>
      </c>
      <c r="B12559" s="4" t="n">
        <v>44957</v>
      </c>
      <c r="C12559" s="3" t="inlineStr">
        <is>
          <t>Expenses</t>
        </is>
      </c>
      <c r="D12559" s="3" t="inlineStr">
        <is>
          <t>4550/200</t>
        </is>
      </c>
      <c r="E12559" s="3" t="inlineStr">
        <is>
          <t>Subscriptions - Zoom</t>
        </is>
      </c>
      <c r="F12559" s="3" t="n">
        <v>0</v>
      </c>
      <c r="G12559" s="3" t="n">
        <v>2309.08</v>
      </c>
    </row>
    <row r="12560">
      <c r="A12560" s="3" t="inlineStr">
        <is>
          <t>Opportunity Global Investment (PTY) LTD</t>
        </is>
      </c>
      <c r="B12560" s="4" t="n">
        <v>44957</v>
      </c>
      <c r="C12560" s="3" t="inlineStr">
        <is>
          <t>Expenses</t>
        </is>
      </c>
      <c r="D12560" s="3" t="inlineStr">
        <is>
          <t>4550/250</t>
        </is>
      </c>
      <c r="E12560" s="3" t="inlineStr">
        <is>
          <t>Subscriptions - LinkedIn</t>
        </is>
      </c>
      <c r="F12560" s="3" t="n">
        <v>1000.49</v>
      </c>
      <c r="G12560" s="3" t="n">
        <v>12005.88</v>
      </c>
    </row>
    <row r="12561">
      <c r="A12561" s="3" t="inlineStr">
        <is>
          <t>Opportunity Global Investment (PTY) LTD</t>
        </is>
      </c>
      <c r="B12561" s="4" t="n">
        <v>44957</v>
      </c>
      <c r="C12561" s="3" t="inlineStr">
        <is>
          <t>Expenses</t>
        </is>
      </c>
      <c r="D12561" s="3" t="inlineStr">
        <is>
          <t>4550/350</t>
        </is>
      </c>
      <c r="E12561" s="3" t="inlineStr">
        <is>
          <t>Subscriptions - Xero</t>
        </is>
      </c>
      <c r="F12561" s="3" t="n">
        <v>600</v>
      </c>
      <c r="G12561" s="3" t="n">
        <v>6600</v>
      </c>
    </row>
    <row r="12562">
      <c r="A12562" s="3" t="inlineStr">
        <is>
          <t>Opportunity Global Investment (PTY) LTD</t>
        </is>
      </c>
      <c r="B12562" s="4" t="n">
        <v>44957</v>
      </c>
      <c r="C12562" s="3" t="inlineStr">
        <is>
          <t>Expenses</t>
        </is>
      </c>
      <c r="D12562" s="3" t="inlineStr">
        <is>
          <t>4550/400</t>
        </is>
      </c>
      <c r="E12562" s="3" t="inlineStr">
        <is>
          <t>Subscriptions - Moneyweb</t>
        </is>
      </c>
      <c r="F12562" s="3" t="n">
        <v>54.78</v>
      </c>
      <c r="G12562" s="3" t="n">
        <v>602.58</v>
      </c>
    </row>
    <row r="12563">
      <c r="A12563" s="3" t="inlineStr">
        <is>
          <t>Trademark Holdings (Pty) Ltd</t>
        </is>
      </c>
      <c r="B12563" s="4" t="n">
        <v>44957</v>
      </c>
      <c r="C12563" s="3" t="inlineStr">
        <is>
          <t>Expenses</t>
        </is>
      </c>
      <c r="D12563" s="3" t="inlineStr">
        <is>
          <t>4550/400</t>
        </is>
      </c>
      <c r="E12563" s="3" t="inlineStr">
        <is>
          <t>Subscriptions - Xero</t>
        </is>
      </c>
      <c r="F12563" s="3" t="n">
        <v>600</v>
      </c>
      <c r="G12563" s="3" t="n">
        <v>3000</v>
      </c>
    </row>
    <row r="12564">
      <c r="A12564" s="3" t="inlineStr">
        <is>
          <t>Opportunity Global Investment (PTY) LTD</t>
        </is>
      </c>
      <c r="B12564" s="4" t="n">
        <v>44957</v>
      </c>
      <c r="C12564" s="3" t="inlineStr">
        <is>
          <t>Expenses</t>
        </is>
      </c>
      <c r="D12564" s="3" t="inlineStr">
        <is>
          <t>4550/450</t>
        </is>
      </c>
      <c r="E12564" s="3" t="inlineStr">
        <is>
          <t>Subscriptions - Adobe</t>
        </is>
      </c>
      <c r="F12564" s="3" t="n">
        <v>544.0599999999999</v>
      </c>
      <c r="G12564" s="3" t="n">
        <v>5896.51</v>
      </c>
    </row>
    <row r="12565">
      <c r="A12565" s="3" t="inlineStr">
        <is>
          <t>Opportunity Global Investment (PTY) LTD</t>
        </is>
      </c>
      <c r="B12565" s="4" t="n">
        <v>44957</v>
      </c>
      <c r="C12565" s="3" t="inlineStr">
        <is>
          <t>Expenses</t>
        </is>
      </c>
      <c r="D12565" s="3" t="inlineStr">
        <is>
          <t>4550/500</t>
        </is>
      </c>
      <c r="E12565" s="3" t="inlineStr">
        <is>
          <t>Subscriptions - Pandadoc</t>
        </is>
      </c>
      <c r="F12565" s="3" t="n">
        <v>516.16</v>
      </c>
      <c r="G12565" s="3" t="n">
        <v>516.16</v>
      </c>
    </row>
    <row r="12566">
      <c r="A12566" s="3" t="inlineStr">
        <is>
          <t>Noble Shield (Pty) Ltd ta Go Letting</t>
        </is>
      </c>
      <c r="B12566" s="4" t="n">
        <v>44957</v>
      </c>
      <c r="C12566" s="3" t="inlineStr">
        <is>
          <t>Expenses</t>
        </is>
      </c>
      <c r="D12566" s="3" t="inlineStr">
        <is>
          <t>4550/600</t>
        </is>
      </c>
      <c r="E12566" s="3" t="inlineStr">
        <is>
          <t>Subscriptions - Webbox</t>
        </is>
      </c>
      <c r="F12566" s="3" t="n">
        <v>1331.7</v>
      </c>
      <c r="G12566" s="3" t="n">
        <v>6619.4</v>
      </c>
    </row>
    <row r="12567">
      <c r="A12567" s="3" t="inlineStr">
        <is>
          <t>Noble Shield (Pty) Ltd ta Go Letting</t>
        </is>
      </c>
      <c r="B12567" s="4" t="n">
        <v>44957</v>
      </c>
      <c r="C12567" s="3" t="inlineStr">
        <is>
          <t>Expenses</t>
        </is>
      </c>
      <c r="D12567" s="3" t="inlineStr">
        <is>
          <t>4550/650</t>
        </is>
      </c>
      <c r="E12567" s="3" t="inlineStr">
        <is>
          <t>Subscriptions - Xero</t>
        </is>
      </c>
      <c r="F12567" s="3" t="n">
        <v>600</v>
      </c>
      <c r="G12567" s="3" t="n">
        <v>3000</v>
      </c>
    </row>
    <row r="12568">
      <c r="A12568" s="3" t="inlineStr">
        <is>
          <t>Noble Shield (Pty) Ltd ta Go Letting</t>
        </is>
      </c>
      <c r="B12568" s="4" t="n">
        <v>44957</v>
      </c>
      <c r="C12568" s="3" t="inlineStr">
        <is>
          <t>Expenses</t>
        </is>
      </c>
      <c r="D12568" s="3" t="inlineStr">
        <is>
          <t>4550/700</t>
        </is>
      </c>
      <c r="E12568" s="3" t="inlineStr">
        <is>
          <t>Subscriptions - Domain renewals</t>
        </is>
      </c>
      <c r="F12568" s="3" t="n">
        <v>0</v>
      </c>
      <c r="G12568" s="3" t="n">
        <v>440.45</v>
      </c>
    </row>
    <row r="12569">
      <c r="A12569" s="3" t="inlineStr">
        <is>
          <t>Noble Shield (Pty) Ltd ta Go Letting</t>
        </is>
      </c>
      <c r="B12569" s="4" t="n">
        <v>44957</v>
      </c>
      <c r="C12569" s="3" t="inlineStr">
        <is>
          <t>Expenses</t>
        </is>
      </c>
      <c r="D12569" s="3" t="inlineStr">
        <is>
          <t>4550/800</t>
        </is>
      </c>
      <c r="E12569" s="3" t="inlineStr">
        <is>
          <t>Subscriptions - Adobe</t>
        </is>
      </c>
      <c r="F12569" s="3" t="n">
        <v>306.84</v>
      </c>
      <c r="G12569" s="3" t="n">
        <v>1552.08</v>
      </c>
    </row>
    <row r="12570">
      <c r="A12570" s="3" t="inlineStr">
        <is>
          <t>Opportunity Global Sales (PTY) LTD</t>
        </is>
      </c>
      <c r="B12570" s="4" t="n">
        <v>44957</v>
      </c>
      <c r="C12570" s="3" t="inlineStr">
        <is>
          <t>Expenses</t>
        </is>
      </c>
      <c r="D12570" s="3" t="inlineStr">
        <is>
          <t>4551/000</t>
        </is>
      </c>
      <c r="E12570" s="3" t="inlineStr">
        <is>
          <t>Subscriptions - Payprop</t>
        </is>
      </c>
      <c r="F12570" s="3" t="n">
        <v>1207.92</v>
      </c>
      <c r="G12570" s="3" t="n">
        <v>9621.030000000001</v>
      </c>
    </row>
    <row r="12571">
      <c r="A12571" s="3" t="inlineStr">
        <is>
          <t>Quinate Consulting (Pty) Ltd</t>
        </is>
      </c>
      <c r="B12571" s="4" t="n">
        <v>44957</v>
      </c>
      <c r="C12571" s="3" t="inlineStr">
        <is>
          <t>Expenses</t>
        </is>
      </c>
      <c r="D12571" s="3" t="inlineStr">
        <is>
          <t>4551/000</t>
        </is>
      </c>
      <c r="E12571" s="3" t="inlineStr">
        <is>
          <t>Subscriptions - Zoho</t>
        </is>
      </c>
      <c r="F12571" s="3" t="n">
        <v>1125</v>
      </c>
      <c r="G12571" s="3" t="n">
        <v>12375</v>
      </c>
    </row>
    <row r="12572">
      <c r="A12572" s="3" t="inlineStr">
        <is>
          <t>Endulini (Pty) Ltd</t>
        </is>
      </c>
      <c r="B12572" s="4" t="n">
        <v>44957</v>
      </c>
      <c r="C12572" s="3" t="inlineStr">
        <is>
          <t>Expenses</t>
        </is>
      </c>
      <c r="D12572" s="3" t="inlineStr">
        <is>
          <t>4552/000</t>
        </is>
      </c>
      <c r="E12572" s="3" t="inlineStr">
        <is>
          <t>Subscriptions - Xero</t>
        </is>
      </c>
      <c r="F12572" s="3" t="n">
        <v>0</v>
      </c>
      <c r="G12572" s="3" t="n">
        <v>4800</v>
      </c>
    </row>
    <row r="12573">
      <c r="A12573" s="3" t="inlineStr">
        <is>
          <t>Opportunity Global Sales (PTY) LTD</t>
        </is>
      </c>
      <c r="B12573" s="4" t="n">
        <v>44957</v>
      </c>
      <c r="C12573" s="3" t="inlineStr">
        <is>
          <t>Expenses</t>
        </is>
      </c>
      <c r="D12573" s="3" t="inlineStr">
        <is>
          <t>4552/000</t>
        </is>
      </c>
      <c r="E12573" s="3" t="inlineStr">
        <is>
          <t>Subscriptions - Xero</t>
        </is>
      </c>
      <c r="F12573" s="3" t="n">
        <v>600</v>
      </c>
      <c r="G12573" s="3" t="n">
        <v>6600</v>
      </c>
    </row>
    <row r="12574">
      <c r="A12574" s="3" t="inlineStr">
        <is>
          <t>Opportunity Management Holdings (PTY) LTD</t>
        </is>
      </c>
      <c r="B12574" s="4" t="n">
        <v>44957</v>
      </c>
      <c r="C12574" s="3" t="inlineStr">
        <is>
          <t>Expenses</t>
        </is>
      </c>
      <c r="D12574" s="3" t="inlineStr">
        <is>
          <t>4552/000</t>
        </is>
      </c>
      <c r="E12574" s="3" t="inlineStr">
        <is>
          <t>Subscriptions - Xero</t>
        </is>
      </c>
      <c r="F12574" s="3" t="n">
        <v>600</v>
      </c>
      <c r="G12574" s="3" t="n">
        <v>3000</v>
      </c>
    </row>
    <row r="12575">
      <c r="A12575" s="3" t="inlineStr">
        <is>
          <t>Opportunity Global Sales (PTY) LTD</t>
        </is>
      </c>
      <c r="B12575" s="4" t="n">
        <v>44957</v>
      </c>
      <c r="C12575" s="3" t="inlineStr">
        <is>
          <t>Expenses</t>
        </is>
      </c>
      <c r="D12575" s="3" t="inlineStr">
        <is>
          <t>4553/000</t>
        </is>
      </c>
      <c r="E12575" s="3" t="inlineStr">
        <is>
          <t>Subscriptions - CMA</t>
        </is>
      </c>
      <c r="F12575" s="3" t="n">
        <v>680</v>
      </c>
      <c r="G12575" s="3" t="n">
        <v>7480</v>
      </c>
    </row>
    <row r="12576">
      <c r="A12576" s="3" t="inlineStr">
        <is>
          <t>Quinate Consulting (Pty) Ltd</t>
        </is>
      </c>
      <c r="B12576" s="4" t="n">
        <v>44957</v>
      </c>
      <c r="C12576" s="3" t="inlineStr">
        <is>
          <t>Expenses</t>
        </is>
      </c>
      <c r="D12576" s="3" t="inlineStr">
        <is>
          <t>4554/000</t>
        </is>
      </c>
      <c r="E12576" s="3" t="inlineStr">
        <is>
          <t>Subscriptions - Xero</t>
        </is>
      </c>
      <c r="F12576" s="3" t="n">
        <v>600</v>
      </c>
      <c r="G12576" s="3" t="n">
        <v>6600</v>
      </c>
    </row>
    <row r="12577">
      <c r="A12577" s="3" t="inlineStr">
        <is>
          <t>Opportunity Global Sales (PTY) LTD</t>
        </is>
      </c>
      <c r="B12577" s="4" t="n">
        <v>44957</v>
      </c>
      <c r="C12577" s="3" t="inlineStr">
        <is>
          <t>Expenses</t>
        </is>
      </c>
      <c r="D12577" s="3" t="inlineStr">
        <is>
          <t>4554/000</t>
        </is>
      </c>
      <c r="E12577" s="3" t="inlineStr">
        <is>
          <t>Subscriptions - Zoho</t>
        </is>
      </c>
      <c r="F12577" s="3" t="n">
        <v>750</v>
      </c>
      <c r="G12577" s="3" t="n">
        <v>7755</v>
      </c>
    </row>
    <row r="12578">
      <c r="A12578" s="3" t="inlineStr">
        <is>
          <t>Opportunity Global Sales (PTY) LTD</t>
        </is>
      </c>
      <c r="B12578" s="4" t="n">
        <v>44957</v>
      </c>
      <c r="C12578" s="3" t="inlineStr">
        <is>
          <t>Expenses</t>
        </is>
      </c>
      <c r="D12578" s="3" t="inlineStr">
        <is>
          <t>4555/000</t>
        </is>
      </c>
      <c r="E12578" s="3" t="inlineStr">
        <is>
          <t>Subscriptions - EAAB</t>
        </is>
      </c>
      <c r="F12578" s="3" t="n">
        <v>0</v>
      </c>
      <c r="G12578" s="3" t="n">
        <v>15520</v>
      </c>
    </row>
    <row r="12579">
      <c r="A12579" s="3" t="inlineStr">
        <is>
          <t>Quinate Consulting (Pty) Ltd</t>
        </is>
      </c>
      <c r="B12579" s="4" t="n">
        <v>44957</v>
      </c>
      <c r="C12579" s="3" t="inlineStr">
        <is>
          <t>Expenses</t>
        </is>
      </c>
      <c r="D12579" s="3" t="inlineStr">
        <is>
          <t>4555/000</t>
        </is>
      </c>
      <c r="E12579" s="3" t="inlineStr">
        <is>
          <t>Subscriptions - OUMS</t>
        </is>
      </c>
      <c r="F12579" s="3" t="n">
        <v>6475.9</v>
      </c>
      <c r="G12579" s="3" t="n">
        <v>71234.89999999999</v>
      </c>
    </row>
    <row r="12580">
      <c r="A12580" s="3" t="inlineStr">
        <is>
          <t>Opportunity Global Investment (PTY) LTD</t>
        </is>
      </c>
      <c r="B12580" s="4" t="n">
        <v>44957</v>
      </c>
      <c r="C12580" s="3" t="inlineStr">
        <is>
          <t>Expenses</t>
        </is>
      </c>
      <c r="D12580" s="3" t="inlineStr">
        <is>
          <t>4600/000</t>
        </is>
      </c>
      <c r="E12580" s="3" t="inlineStr">
        <is>
          <t>Telephone _AND_ Fax</t>
        </is>
      </c>
      <c r="F12580" s="3" t="n">
        <v>3355</v>
      </c>
      <c r="G12580" s="3" t="n">
        <v>36905</v>
      </c>
    </row>
    <row r="12581">
      <c r="A12581" s="3" t="inlineStr">
        <is>
          <t>Trademark Holdings (Pty) Ltd</t>
        </is>
      </c>
      <c r="B12581" s="4" t="n">
        <v>44957</v>
      </c>
      <c r="C12581" s="3" t="inlineStr">
        <is>
          <t>Expenses</t>
        </is>
      </c>
      <c r="D12581" s="3" t="inlineStr">
        <is>
          <t>4600/000</t>
        </is>
      </c>
      <c r="E12581" s="3" t="inlineStr">
        <is>
          <t>Telephone _AND_ Fax</t>
        </is>
      </c>
      <c r="F12581" s="3" t="n">
        <v>1131.48</v>
      </c>
      <c r="G12581" s="3" t="n">
        <v>7021.99</v>
      </c>
    </row>
    <row r="12582">
      <c r="A12582" s="3" t="inlineStr">
        <is>
          <t>Noble Shield (Pty) Ltd ta Go Letting</t>
        </is>
      </c>
      <c r="B12582" s="4" t="n">
        <v>44957</v>
      </c>
      <c r="C12582" s="3" t="inlineStr">
        <is>
          <t>Expenses</t>
        </is>
      </c>
      <c r="D12582" s="3" t="inlineStr">
        <is>
          <t>4610/000</t>
        </is>
      </c>
      <c r="E12582" s="3" t="inlineStr">
        <is>
          <t>Telephone - CT Office</t>
        </is>
      </c>
      <c r="F12582" s="3" t="n">
        <v>857.87</v>
      </c>
      <c r="G12582" s="3" t="n">
        <v>5447.62</v>
      </c>
    </row>
    <row r="12583">
      <c r="A12583" s="3" t="inlineStr">
        <is>
          <t>Noble Shield (Pty) Ltd ta Go Letting</t>
        </is>
      </c>
      <c r="B12583" s="4" t="n">
        <v>44957</v>
      </c>
      <c r="C12583" s="3" t="inlineStr">
        <is>
          <t>Expenses</t>
        </is>
      </c>
      <c r="D12583" s="3" t="inlineStr">
        <is>
          <t>4650/000</t>
        </is>
      </c>
      <c r="E12583" s="3" t="inlineStr">
        <is>
          <t>Travel _AND_ Accommodation</t>
        </is>
      </c>
      <c r="F12583" s="3" t="n">
        <v>0</v>
      </c>
      <c r="G12583" s="3" t="n">
        <v>500</v>
      </c>
    </row>
    <row r="12584">
      <c r="A12584" s="3" t="inlineStr">
        <is>
          <t>Opportunity Global Investment (PTY) LTD</t>
        </is>
      </c>
      <c r="B12584" s="4" t="n">
        <v>44957</v>
      </c>
      <c r="C12584" s="3" t="inlineStr">
        <is>
          <t>Expenses</t>
        </is>
      </c>
      <c r="D12584" s="3" t="inlineStr">
        <is>
          <t>4650/000</t>
        </is>
      </c>
      <c r="E12584" s="3" t="inlineStr">
        <is>
          <t>Travel _AND_ Accommodation</t>
        </is>
      </c>
      <c r="F12584" s="3" t="n">
        <v>0</v>
      </c>
      <c r="G12584" s="3" t="n">
        <v>5699.16</v>
      </c>
    </row>
    <row r="12585">
      <c r="A12585" s="3" t="inlineStr">
        <is>
          <t>Opportunity Management Holdings (PTY) LTD</t>
        </is>
      </c>
      <c r="B12585" s="4" t="n">
        <v>44957</v>
      </c>
      <c r="C12585" s="3" t="inlineStr">
        <is>
          <t>Expenses</t>
        </is>
      </c>
      <c r="D12585" s="3" t="inlineStr">
        <is>
          <t>4650/000</t>
        </is>
      </c>
      <c r="E12585" s="3" t="inlineStr">
        <is>
          <t>Travel _AND_ Accommodation</t>
        </is>
      </c>
      <c r="F12585" s="3" t="n">
        <v>0</v>
      </c>
      <c r="G12585" s="3" t="n">
        <v>572.3200000000001</v>
      </c>
    </row>
    <row r="12586">
      <c r="A12586" s="3" t="inlineStr">
        <is>
          <t>Quinate Consulting (Pty) Ltd</t>
        </is>
      </c>
      <c r="B12586" s="4" t="n">
        <v>44957</v>
      </c>
      <c r="C12586" s="3" t="inlineStr">
        <is>
          <t>Expenses</t>
        </is>
      </c>
      <c r="D12586" s="3" t="inlineStr">
        <is>
          <t>4650/000</t>
        </is>
      </c>
      <c r="E12586" s="3" t="inlineStr">
        <is>
          <t>Travel _AND_ Accommodation</t>
        </is>
      </c>
      <c r="F12586" s="3" t="n">
        <v>0</v>
      </c>
      <c r="G12586" s="3" t="n">
        <v>5699.04</v>
      </c>
    </row>
    <row r="12587">
      <c r="A12587" s="3" t="inlineStr">
        <is>
          <t>Quinate Consulting (Pty) Ltd</t>
        </is>
      </c>
      <c r="B12587" s="4" t="n">
        <v>44957</v>
      </c>
      <c r="C12587" s="3" t="inlineStr">
        <is>
          <t>Expenses</t>
        </is>
      </c>
      <c r="D12587" s="3" t="inlineStr">
        <is>
          <t>4650/010</t>
        </is>
      </c>
      <c r="E12587" s="3" t="inlineStr">
        <is>
          <t>Travel - Local Flights</t>
        </is>
      </c>
      <c r="F12587" s="3" t="n">
        <v>0</v>
      </c>
      <c r="G12587" s="3" t="n">
        <v>6912.27</v>
      </c>
    </row>
    <row r="12588">
      <c r="A12588" s="3" t="inlineStr">
        <is>
          <t>Opportunity Global Investment (PTY) LTD</t>
        </is>
      </c>
      <c r="B12588" s="4" t="n">
        <v>44957</v>
      </c>
      <c r="C12588" s="3" t="inlineStr">
        <is>
          <t>Expenses</t>
        </is>
      </c>
      <c r="D12588" s="3" t="inlineStr">
        <is>
          <t>4650/020</t>
        </is>
      </c>
      <c r="E12588" s="3" t="inlineStr">
        <is>
          <t>Travel Accomodation - Car Hire</t>
        </is>
      </c>
      <c r="F12588" s="3" t="n">
        <v>0</v>
      </c>
      <c r="G12588" s="3" t="n">
        <v>457.39</v>
      </c>
    </row>
    <row r="12589">
      <c r="A12589" s="3" t="inlineStr">
        <is>
          <t>Quinate Consulting (Pty) Ltd</t>
        </is>
      </c>
      <c r="B12589" s="4" t="n">
        <v>44957</v>
      </c>
      <c r="C12589" s="3" t="inlineStr">
        <is>
          <t>Expenses</t>
        </is>
      </c>
      <c r="D12589" s="3" t="inlineStr">
        <is>
          <t>4650/030</t>
        </is>
      </c>
      <c r="E12589" s="3" t="inlineStr">
        <is>
          <t>Travel - Parking</t>
        </is>
      </c>
      <c r="F12589" s="3" t="n">
        <v>0</v>
      </c>
      <c r="G12589" s="3" t="n">
        <v>156.52</v>
      </c>
    </row>
    <row r="12590">
      <c r="A12590" s="3" t="inlineStr">
        <is>
          <t>Quinate Consulting (Pty) Ltd</t>
        </is>
      </c>
      <c r="B12590" s="4" t="n">
        <v>44957</v>
      </c>
      <c r="C12590" s="3" t="inlineStr">
        <is>
          <t>Expenses</t>
        </is>
      </c>
      <c r="D12590" s="3" t="inlineStr">
        <is>
          <t>4650/040</t>
        </is>
      </c>
      <c r="E12590" s="3" t="inlineStr">
        <is>
          <t>Travel - Local Car Hire</t>
        </is>
      </c>
      <c r="F12590" s="3" t="n">
        <v>0</v>
      </c>
      <c r="G12590" s="3" t="n">
        <v>1873</v>
      </c>
    </row>
    <row r="12591">
      <c r="A12591" s="3" t="inlineStr">
        <is>
          <t>Opportunity Global Investment (PTY) LTD</t>
        </is>
      </c>
      <c r="B12591" s="4" t="n">
        <v>44957</v>
      </c>
      <c r="C12591" s="3" t="inlineStr">
        <is>
          <t>Expenses</t>
        </is>
      </c>
      <c r="D12591" s="3" t="inlineStr">
        <is>
          <t>4650/080</t>
        </is>
      </c>
      <c r="E12591" s="3" t="inlineStr">
        <is>
          <t>Travel &amp; Accommodation - Staff Reimbursements</t>
        </is>
      </c>
      <c r="F12591" s="3" t="n">
        <v>0</v>
      </c>
      <c r="G12591" s="3" t="n">
        <v>453.72</v>
      </c>
    </row>
    <row r="12592">
      <c r="A12592" s="3" t="inlineStr">
        <is>
          <t>Opportunity Global Investment (PTY) LTD</t>
        </is>
      </c>
      <c r="B12592" s="4" t="n">
        <v>44957</v>
      </c>
      <c r="C12592" s="3" t="inlineStr">
        <is>
          <t>Expenses</t>
        </is>
      </c>
      <c r="D12592" s="3" t="inlineStr">
        <is>
          <t>4650/090</t>
        </is>
      </c>
      <c r="E12592" s="3" t="inlineStr">
        <is>
          <t>Travel &amp; Accom - Fuel</t>
        </is>
      </c>
      <c r="F12592" s="3" t="n">
        <v>1724.4</v>
      </c>
      <c r="G12592" s="3" t="n">
        <v>33721.31</v>
      </c>
    </row>
    <row r="12593">
      <c r="A12593" s="3" t="inlineStr">
        <is>
          <t>Quinate Consulting (Pty) Ltd</t>
        </is>
      </c>
      <c r="B12593" s="4" t="n">
        <v>44957</v>
      </c>
      <c r="C12593" s="3" t="inlineStr">
        <is>
          <t>Expenses</t>
        </is>
      </c>
      <c r="D12593" s="3" t="inlineStr">
        <is>
          <t>4650/600</t>
        </is>
      </c>
      <c r="E12593" s="3" t="inlineStr">
        <is>
          <t>Travel - Fuel</t>
        </is>
      </c>
      <c r="F12593" s="3" t="n">
        <v>0</v>
      </c>
      <c r="G12593" s="3" t="n">
        <v>983.1799999999999</v>
      </c>
    </row>
    <row r="12594">
      <c r="A12594" s="3" t="inlineStr">
        <is>
          <t>Noble Shield (Pty) Ltd ta Go Letting</t>
        </is>
      </c>
      <c r="B12594" s="4" t="n">
        <v>44957</v>
      </c>
      <c r="C12594" s="3" t="inlineStr">
        <is>
          <t>Expenses</t>
        </is>
      </c>
      <c r="D12594" s="3" t="inlineStr">
        <is>
          <t>4700/000</t>
        </is>
      </c>
      <c r="E12594" s="3" t="inlineStr">
        <is>
          <t>PAYE Contributions</t>
        </is>
      </c>
      <c r="F12594" s="3" t="n">
        <v>5110.5</v>
      </c>
      <c r="G12594" s="3" t="n">
        <v>23797.49</v>
      </c>
    </row>
    <row r="12595">
      <c r="A12595" s="3" t="inlineStr">
        <is>
          <t>Trademark Holdings (Pty) Ltd</t>
        </is>
      </c>
      <c r="B12595" s="4" t="n">
        <v>44957</v>
      </c>
      <c r="C12595" s="3" t="inlineStr">
        <is>
          <t>Expenses</t>
        </is>
      </c>
      <c r="D12595" s="3" t="inlineStr">
        <is>
          <t>4700/000</t>
        </is>
      </c>
      <c r="E12595" s="3" t="inlineStr">
        <is>
          <t>PAYE Contributions</t>
        </is>
      </c>
      <c r="F12595" s="3" t="n">
        <v>5359.33</v>
      </c>
      <c r="G12595" s="3" t="n">
        <v>26304.7</v>
      </c>
    </row>
    <row r="12596">
      <c r="A12596" s="3" t="inlineStr">
        <is>
          <t>Opportunity Global Investment (PTY) LTD</t>
        </is>
      </c>
      <c r="B12596" s="4" t="n">
        <v>44957</v>
      </c>
      <c r="C12596" s="3" t="inlineStr">
        <is>
          <t>Expenses</t>
        </is>
      </c>
      <c r="D12596" s="3" t="inlineStr">
        <is>
          <t>4700/000</t>
        </is>
      </c>
      <c r="E12596" s="3" t="inlineStr">
        <is>
          <t>UIF Contributions</t>
        </is>
      </c>
      <c r="F12596" s="3" t="n">
        <v>177.12</v>
      </c>
      <c r="G12596" s="3" t="n">
        <v>1948.32</v>
      </c>
    </row>
    <row r="12597">
      <c r="A12597" s="3" t="inlineStr">
        <is>
          <t>Opportunity Global Sales (PTY) LTD</t>
        </is>
      </c>
      <c r="B12597" s="4" t="n">
        <v>44957</v>
      </c>
      <c r="C12597" s="3" t="inlineStr">
        <is>
          <t>Expenses</t>
        </is>
      </c>
      <c r="D12597" s="3" t="inlineStr">
        <is>
          <t>4700/000</t>
        </is>
      </c>
      <c r="E12597" s="3" t="inlineStr">
        <is>
          <t>UIF Contributions</t>
        </is>
      </c>
      <c r="F12597" s="3" t="n">
        <v>177.12</v>
      </c>
      <c r="G12597" s="3" t="n">
        <v>2048.32</v>
      </c>
    </row>
    <row r="12598">
      <c r="A12598" s="3" t="inlineStr">
        <is>
          <t>Opportunity Global Sales (PTY) LTD</t>
        </is>
      </c>
      <c r="B12598" s="4" t="n">
        <v>44957</v>
      </c>
      <c r="C12598" s="3" t="inlineStr">
        <is>
          <t>Expenses</t>
        </is>
      </c>
      <c r="D12598" s="3" t="inlineStr">
        <is>
          <t>4701/000</t>
        </is>
      </c>
      <c r="E12598" s="3" t="inlineStr">
        <is>
          <t>UIF Employee Contribution</t>
        </is>
      </c>
      <c r="F12598" s="3" t="n">
        <v>177.12</v>
      </c>
      <c r="G12598" s="3" t="n">
        <v>2048.32</v>
      </c>
    </row>
    <row r="12599">
      <c r="A12599" s="3" t="inlineStr">
        <is>
          <t>Opportunity Global Investment (PTY) LTD</t>
        </is>
      </c>
      <c r="B12599" s="4" t="n">
        <v>44957</v>
      </c>
      <c r="C12599" s="3" t="inlineStr">
        <is>
          <t>Expenses</t>
        </is>
      </c>
      <c r="D12599" s="3" t="inlineStr">
        <is>
          <t>4701/000</t>
        </is>
      </c>
      <c r="E12599" s="3" t="inlineStr">
        <is>
          <t>UIF Employee Contributions</t>
        </is>
      </c>
      <c r="F12599" s="3" t="n">
        <v>177.12</v>
      </c>
      <c r="G12599" s="3" t="n">
        <v>1948.32</v>
      </c>
    </row>
    <row r="12600">
      <c r="A12600" s="3" t="inlineStr">
        <is>
          <t>Noble Shield (Pty) Ltd ta Go Letting</t>
        </is>
      </c>
      <c r="B12600" s="4" t="n">
        <v>44957</v>
      </c>
      <c r="C12600" s="3" t="inlineStr">
        <is>
          <t>Expenses</t>
        </is>
      </c>
      <c r="D12600" s="3" t="inlineStr">
        <is>
          <t>4710/000</t>
        </is>
      </c>
      <c r="E12600" s="3" t="inlineStr">
        <is>
          <t>UIF Company Contributions</t>
        </is>
      </c>
      <c r="F12600" s="3" t="n">
        <v>245.25</v>
      </c>
      <c r="G12600" s="3" t="n">
        <v>1226.25</v>
      </c>
    </row>
    <row r="12601">
      <c r="A12601" s="3" t="inlineStr">
        <is>
          <t>Trademark Holdings (Pty) Ltd</t>
        </is>
      </c>
      <c r="B12601" s="4" t="n">
        <v>44957</v>
      </c>
      <c r="C12601" s="3" t="inlineStr">
        <is>
          <t>Expenses</t>
        </is>
      </c>
      <c r="D12601" s="3" t="inlineStr">
        <is>
          <t>4710/000</t>
        </is>
      </c>
      <c r="E12601" s="3" t="inlineStr">
        <is>
          <t>UIF Company Contributions</t>
        </is>
      </c>
      <c r="F12601" s="3" t="n">
        <v>95.25</v>
      </c>
      <c r="G12601" s="3" t="n">
        <v>476.25</v>
      </c>
    </row>
    <row r="12602">
      <c r="A12602" s="3" t="inlineStr">
        <is>
          <t>Noble Shield (Pty) Ltd ta Go Letting</t>
        </is>
      </c>
      <c r="B12602" s="4" t="n">
        <v>44957</v>
      </c>
      <c r="C12602" s="3" t="inlineStr">
        <is>
          <t>Expenses</t>
        </is>
      </c>
      <c r="D12602" s="3" t="inlineStr">
        <is>
          <t>4711/000</t>
        </is>
      </c>
      <c r="E12602" s="3" t="inlineStr">
        <is>
          <t>UIF Employee Contribution</t>
        </is>
      </c>
      <c r="F12602" s="3" t="n">
        <v>245.25</v>
      </c>
      <c r="G12602" s="3" t="n">
        <v>1226.25</v>
      </c>
    </row>
    <row r="12603">
      <c r="A12603" s="3" t="inlineStr">
        <is>
          <t>Trademark Holdings (Pty) Ltd</t>
        </is>
      </c>
      <c r="B12603" s="4" t="n">
        <v>44957</v>
      </c>
      <c r="C12603" s="3" t="inlineStr">
        <is>
          <t>Expenses</t>
        </is>
      </c>
      <c r="D12603" s="3" t="inlineStr">
        <is>
          <t>4711/000</t>
        </is>
      </c>
      <c r="E12603" s="3" t="inlineStr">
        <is>
          <t>UIF Employee Contributions</t>
        </is>
      </c>
      <c r="F12603" s="3" t="n">
        <v>95.25</v>
      </c>
      <c r="G12603" s="3" t="n">
        <v>476.25</v>
      </c>
    </row>
    <row r="12604">
      <c r="A12604" s="3" t="inlineStr">
        <is>
          <t>Noble Shield (Pty) Ltd ta Go Letting</t>
        </is>
      </c>
      <c r="B12604" s="4" t="n">
        <v>44957</v>
      </c>
      <c r="C12604" s="3" t="inlineStr">
        <is>
          <t>Expenses</t>
        </is>
      </c>
      <c r="D12604" s="3" t="inlineStr">
        <is>
          <t>4720/000</t>
        </is>
      </c>
      <c r="E12604" s="3" t="inlineStr">
        <is>
          <t>SDL Contributions</t>
        </is>
      </c>
      <c r="F12604" s="3" t="n">
        <v>440.56</v>
      </c>
      <c r="G12604" s="3" t="n">
        <v>2135.32</v>
      </c>
    </row>
    <row r="12605">
      <c r="A12605" s="3" t="inlineStr">
        <is>
          <t>Trademark Holdings (Pty) Ltd</t>
        </is>
      </c>
      <c r="B12605" s="4" t="n">
        <v>44957</v>
      </c>
      <c r="C12605" s="3" t="inlineStr">
        <is>
          <t>Expenses</t>
        </is>
      </c>
      <c r="D12605" s="3" t="inlineStr">
        <is>
          <t>4720/000</t>
        </is>
      </c>
      <c r="E12605" s="3" t="inlineStr">
        <is>
          <t>SDL Contributions</t>
        </is>
      </c>
      <c r="F12605" s="3" t="n">
        <v>313.1</v>
      </c>
      <c r="G12605" s="3" t="n">
        <v>1549.61</v>
      </c>
    </row>
    <row r="12606">
      <c r="A12606" s="3" t="inlineStr">
        <is>
          <t>Opportunity Global Investment (PTY) LTD</t>
        </is>
      </c>
      <c r="B12606" s="4" t="n">
        <v>44957</v>
      </c>
      <c r="C12606" s="3" t="inlineStr">
        <is>
          <t>Expenses</t>
        </is>
      </c>
      <c r="D12606" s="3" t="inlineStr">
        <is>
          <t>4730/000</t>
        </is>
      </c>
      <c r="E12606" s="3" t="inlineStr">
        <is>
          <t>PAYE Contributions</t>
        </is>
      </c>
      <c r="F12606" s="3" t="n">
        <v>9136.700000000001</v>
      </c>
      <c r="G12606" s="3" t="n">
        <v>100503.67</v>
      </c>
    </row>
    <row r="12607">
      <c r="A12607" s="3" t="inlineStr">
        <is>
          <t>Opportunity Global Sales (PTY) LTD</t>
        </is>
      </c>
      <c r="B12607" s="4" t="n">
        <v>44957</v>
      </c>
      <c r="C12607" s="3" t="inlineStr">
        <is>
          <t>Expenses</t>
        </is>
      </c>
      <c r="D12607" s="3" t="inlineStr">
        <is>
          <t>4730/000</t>
        </is>
      </c>
      <c r="E12607" s="3" t="inlineStr">
        <is>
          <t>PAYE Contributions</t>
        </is>
      </c>
      <c r="F12607" s="3" t="n">
        <v>8367.34</v>
      </c>
      <c r="G12607" s="3" t="n">
        <v>219608.73</v>
      </c>
    </row>
    <row r="12608">
      <c r="A12608" s="3" t="inlineStr">
        <is>
          <t>Opportunity Management Holdings (PTY) LTD</t>
        </is>
      </c>
      <c r="B12608" s="4" t="n">
        <v>44957</v>
      </c>
      <c r="C12608" s="3" t="inlineStr">
        <is>
          <t>Expenses</t>
        </is>
      </c>
      <c r="D12608" s="3" t="inlineStr">
        <is>
          <t>4730/000</t>
        </is>
      </c>
      <c r="E12608" s="3" t="inlineStr">
        <is>
          <t>PAYE Contributions</t>
        </is>
      </c>
      <c r="F12608" s="3" t="n">
        <v>49323.13</v>
      </c>
      <c r="G12608" s="3" t="n">
        <v>230423.85</v>
      </c>
    </row>
    <row r="12609">
      <c r="A12609" s="3" t="inlineStr">
        <is>
          <t>Opportunity Global Investment (PTY) LTD</t>
        </is>
      </c>
      <c r="B12609" s="4" t="n">
        <v>44957</v>
      </c>
      <c r="C12609" s="3" t="inlineStr">
        <is>
          <t>Expenses</t>
        </is>
      </c>
      <c r="D12609" s="3" t="inlineStr">
        <is>
          <t>4740/000</t>
        </is>
      </c>
      <c r="E12609" s="3" t="inlineStr">
        <is>
          <t>SDL Contributions</t>
        </is>
      </c>
      <c r="F12609" s="3" t="n">
        <v>431.1</v>
      </c>
      <c r="G12609" s="3" t="n">
        <v>4742.1</v>
      </c>
    </row>
    <row r="12610">
      <c r="A12610" s="3" t="inlineStr">
        <is>
          <t>Opportunity Global Sales (PTY) LTD</t>
        </is>
      </c>
      <c r="B12610" s="4" t="n">
        <v>44957</v>
      </c>
      <c r="C12610" s="3" t="inlineStr">
        <is>
          <t>Expenses</t>
        </is>
      </c>
      <c r="D12610" s="3" t="inlineStr">
        <is>
          <t>4740/000</t>
        </is>
      </c>
      <c r="E12610" s="3" t="inlineStr">
        <is>
          <t>SDL Contributions</t>
        </is>
      </c>
      <c r="F12610" s="3" t="n">
        <v>1711.83</v>
      </c>
      <c r="G12610" s="3" t="n">
        <v>20439.98</v>
      </c>
    </row>
    <row r="12611">
      <c r="A12611" s="3" t="inlineStr">
        <is>
          <t>Opportunity Management Holdings (PTY) LTD</t>
        </is>
      </c>
      <c r="B12611" s="4" t="n">
        <v>44957</v>
      </c>
      <c r="C12611" s="3" t="inlineStr">
        <is>
          <t>Expenses</t>
        </is>
      </c>
      <c r="D12611" s="3" t="inlineStr">
        <is>
          <t>4740/000</t>
        </is>
      </c>
      <c r="E12611" s="3" t="inlineStr">
        <is>
          <t>UIF Company Contribution</t>
        </is>
      </c>
      <c r="F12611" s="3" t="n">
        <v>1717.93</v>
      </c>
      <c r="G12611" s="3" t="n">
        <v>7889.37</v>
      </c>
    </row>
    <row r="12612">
      <c r="A12612" s="3" t="inlineStr">
        <is>
          <t>Opportunity Management Holdings (PTY) LTD</t>
        </is>
      </c>
      <c r="B12612" s="4" t="n">
        <v>44957</v>
      </c>
      <c r="C12612" s="3" t="inlineStr">
        <is>
          <t>Expenses</t>
        </is>
      </c>
      <c r="D12612" s="3" t="inlineStr">
        <is>
          <t>4741/000</t>
        </is>
      </c>
      <c r="E12612" s="3" t="inlineStr">
        <is>
          <t>UIF Employee Contribution</t>
        </is>
      </c>
      <c r="F12612" s="3" t="n">
        <v>1717.93</v>
      </c>
      <c r="G12612" s="3" t="n">
        <v>7889.37</v>
      </c>
    </row>
    <row r="12613">
      <c r="A12613" s="3" t="inlineStr">
        <is>
          <t>Opportunity Management Holdings (PTY) LTD</t>
        </is>
      </c>
      <c r="B12613" s="4" t="n">
        <v>44957</v>
      </c>
      <c r="C12613" s="3" t="inlineStr">
        <is>
          <t>Expenses</t>
        </is>
      </c>
      <c r="D12613" s="3" t="inlineStr">
        <is>
          <t>4750/000</t>
        </is>
      </c>
      <c r="E12613" s="3" t="inlineStr">
        <is>
          <t>SDL Contribution</t>
        </is>
      </c>
      <c r="F12613" s="3" t="n">
        <v>2875.21</v>
      </c>
      <c r="G12613" s="3" t="n">
        <v>13272.28</v>
      </c>
    </row>
    <row r="12614">
      <c r="A12614" s="3" t="inlineStr">
        <is>
          <t>Noble Shield (Pty) Ltd ta Go Letting</t>
        </is>
      </c>
      <c r="B12614" s="4" t="n">
        <v>44957</v>
      </c>
      <c r="C12614" s="3" t="inlineStr">
        <is>
          <t>Equity</t>
        </is>
      </c>
      <c r="D12614" s="3" t="inlineStr">
        <is>
          <t>5100/000</t>
        </is>
      </c>
      <c r="E12614" s="3" t="inlineStr">
        <is>
          <t>Share Capital</t>
        </is>
      </c>
      <c r="F12614" s="3" t="n">
        <v>0</v>
      </c>
      <c r="G12614" s="3" t="n">
        <v>-1</v>
      </c>
    </row>
    <row r="12615">
      <c r="A12615" s="3" t="inlineStr">
        <is>
          <t>Opportunity Management Holdings (PTY) LTD</t>
        </is>
      </c>
      <c r="B12615" s="4" t="n">
        <v>44957</v>
      </c>
      <c r="C12615" s="3" t="inlineStr">
        <is>
          <t>Equity</t>
        </is>
      </c>
      <c r="D12615" s="3" t="inlineStr">
        <is>
          <t>5100/000</t>
        </is>
      </c>
      <c r="E12615" s="3" t="inlineStr">
        <is>
          <t>Share Capital / Members Contribution</t>
        </is>
      </c>
      <c r="F12615" s="3" t="n">
        <v>0</v>
      </c>
      <c r="G12615" s="3" t="n">
        <v>-120</v>
      </c>
    </row>
    <row r="12616">
      <c r="A12616" s="3" t="inlineStr">
        <is>
          <t>Quinate Consulting (Pty) Ltd</t>
        </is>
      </c>
      <c r="B12616" s="4" t="n">
        <v>44957</v>
      </c>
      <c r="C12616" s="3" t="inlineStr">
        <is>
          <t>Equity</t>
        </is>
      </c>
      <c r="D12616" s="3" t="inlineStr">
        <is>
          <t>5100/000</t>
        </is>
      </c>
      <c r="E12616" s="3" t="inlineStr">
        <is>
          <t>Share Capital / Members Contribution</t>
        </is>
      </c>
      <c r="F12616" s="3" t="n">
        <v>0</v>
      </c>
      <c r="G12616" s="3" t="n">
        <v>-120</v>
      </c>
    </row>
    <row r="12617">
      <c r="A12617" s="3" t="inlineStr">
        <is>
          <t>Trademark Holdings (Pty) Ltd</t>
        </is>
      </c>
      <c r="B12617" s="4" t="n">
        <v>44957</v>
      </c>
      <c r="C12617" s="3" t="inlineStr">
        <is>
          <t>Equity</t>
        </is>
      </c>
      <c r="D12617" s="3" t="inlineStr">
        <is>
          <t>5100/001</t>
        </is>
      </c>
      <c r="E12617" s="3" t="inlineStr">
        <is>
          <t>Share Capital - GFY Investments</t>
        </is>
      </c>
      <c r="F12617" s="3" t="n">
        <v>0</v>
      </c>
      <c r="G12617" s="3" t="n">
        <v>-60</v>
      </c>
    </row>
    <row r="12618">
      <c r="A12618" s="3" t="inlineStr">
        <is>
          <t>Trademark Holdings (Pty) Ltd</t>
        </is>
      </c>
      <c r="B12618" s="4" t="n">
        <v>44957</v>
      </c>
      <c r="C12618" s="3" t="inlineStr">
        <is>
          <t>Equity</t>
        </is>
      </c>
      <c r="D12618" s="3" t="inlineStr">
        <is>
          <t>5100/002</t>
        </is>
      </c>
      <c r="E12618" s="3" t="inlineStr">
        <is>
          <t>Share Capital - Zak Trust</t>
        </is>
      </c>
      <c r="F12618" s="3" t="n">
        <v>0</v>
      </c>
      <c r="G12618" s="3" t="n">
        <v>-60</v>
      </c>
    </row>
    <row r="12619">
      <c r="A12619" s="3" t="inlineStr">
        <is>
          <t>Opportunity Global Investment (PTY) LTD</t>
        </is>
      </c>
      <c r="B12619" s="4" t="n">
        <v>44957</v>
      </c>
      <c r="C12619" s="3" t="inlineStr">
        <is>
          <t>Equity</t>
        </is>
      </c>
      <c r="D12619" s="3" t="inlineStr">
        <is>
          <t>5101/000</t>
        </is>
      </c>
      <c r="E12619" s="3" t="inlineStr">
        <is>
          <t>Share Capital - Ordinary Type A</t>
        </is>
      </c>
      <c r="F12619" s="3" t="n">
        <v>0</v>
      </c>
      <c r="G12619" s="3" t="n">
        <v>-70</v>
      </c>
    </row>
    <row r="12620">
      <c r="A12620" s="3" t="inlineStr">
        <is>
          <t>Opportunity Global Investment (PTY) LTD</t>
        </is>
      </c>
      <c r="B12620" s="4" t="n">
        <v>44957</v>
      </c>
      <c r="C12620" s="3" t="inlineStr">
        <is>
          <t>Equity</t>
        </is>
      </c>
      <c r="D12620" s="3" t="inlineStr">
        <is>
          <t>5102/000</t>
        </is>
      </c>
      <c r="E12620" s="3" t="inlineStr">
        <is>
          <t>Share Capital - Ordinary Type B</t>
        </is>
      </c>
      <c r="F12620" s="3" t="n">
        <v>0</v>
      </c>
      <c r="G12620" s="3" t="n">
        <v>-30</v>
      </c>
    </row>
    <row r="12621">
      <c r="A12621" s="3" t="inlineStr">
        <is>
          <t>Endulini (Pty) Ltd</t>
        </is>
      </c>
      <c r="B12621" s="4" t="n">
        <v>44957</v>
      </c>
      <c r="C12621" s="3" t="inlineStr">
        <is>
          <t>Equity</t>
        </is>
      </c>
      <c r="D12621" s="3" t="inlineStr">
        <is>
          <t>5200/000</t>
        </is>
      </c>
      <c r="E12621" s="3" t="inlineStr">
        <is>
          <t>Retained Earnings / Loss</t>
        </is>
      </c>
      <c r="F12621" s="3" t="n">
        <v>0</v>
      </c>
      <c r="G12621" s="3" t="n">
        <v>-4937860.07</v>
      </c>
    </row>
    <row r="12622">
      <c r="A12622" s="3" t="inlineStr">
        <is>
          <t>Noble Shield (Pty) Ltd ta Go Letting</t>
        </is>
      </c>
      <c r="B12622" s="4" t="n">
        <v>44957</v>
      </c>
      <c r="C12622" s="3" t="inlineStr">
        <is>
          <t>Equity</t>
        </is>
      </c>
      <c r="D12622" s="3" t="inlineStr">
        <is>
          <t>5200/000</t>
        </is>
      </c>
      <c r="E12622" s="3" t="inlineStr">
        <is>
          <t>Retained Earnings / Loss</t>
        </is>
      </c>
      <c r="F12622" s="3" t="n">
        <v>0</v>
      </c>
      <c r="G12622" s="3" t="n">
        <v>-64792.67</v>
      </c>
    </row>
    <row r="12623">
      <c r="A12623" s="3" t="inlineStr">
        <is>
          <t>Opportunity Global Investment (PTY) LTD</t>
        </is>
      </c>
      <c r="B12623" s="4" t="n">
        <v>44957</v>
      </c>
      <c r="C12623" s="3" t="inlineStr">
        <is>
          <t>Equity</t>
        </is>
      </c>
      <c r="D12623" s="3" t="inlineStr">
        <is>
          <t>5200/000</t>
        </is>
      </c>
      <c r="E12623" s="3" t="inlineStr">
        <is>
          <t>Retained Earnings / Loss</t>
        </is>
      </c>
      <c r="F12623" s="3" t="n">
        <v>0</v>
      </c>
      <c r="G12623" s="3" t="n">
        <v>465853.58</v>
      </c>
    </row>
    <row r="12624">
      <c r="A12624" s="3" t="inlineStr">
        <is>
          <t>Opportunity Global Sales (PTY) LTD</t>
        </is>
      </c>
      <c r="B12624" s="4" t="n">
        <v>44957</v>
      </c>
      <c r="C12624" s="3" t="inlineStr">
        <is>
          <t>Equity</t>
        </is>
      </c>
      <c r="D12624" s="3" t="inlineStr">
        <is>
          <t>5200/000</t>
        </is>
      </c>
      <c r="E12624" s="3" t="inlineStr">
        <is>
          <t>Retained Earnings / Loss</t>
        </is>
      </c>
      <c r="F12624" s="3" t="n">
        <v>0</v>
      </c>
      <c r="G12624" s="3" t="n">
        <v>-565683.55</v>
      </c>
    </row>
    <row r="12625">
      <c r="A12625" s="3" t="inlineStr">
        <is>
          <t>Opportunity Management Holdings (PTY) LTD</t>
        </is>
      </c>
      <c r="B12625" s="4" t="n">
        <v>44957</v>
      </c>
      <c r="C12625" s="3" t="inlineStr">
        <is>
          <t>Equity</t>
        </is>
      </c>
      <c r="D12625" s="3" t="inlineStr">
        <is>
          <t>5200/000</t>
        </is>
      </c>
      <c r="E12625" s="3" t="inlineStr">
        <is>
          <t>Retained Earnings / Loss</t>
        </is>
      </c>
      <c r="F12625" s="3" t="n">
        <v>0</v>
      </c>
      <c r="G12625" s="3" t="n">
        <v>1230800.76</v>
      </c>
    </row>
    <row r="12626">
      <c r="A12626" s="3" t="inlineStr">
        <is>
          <t>Quinate Consulting (Pty) Ltd</t>
        </is>
      </c>
      <c r="B12626" s="4" t="n">
        <v>44957</v>
      </c>
      <c r="C12626" s="3" t="inlineStr">
        <is>
          <t>Equity</t>
        </is>
      </c>
      <c r="D12626" s="3" t="inlineStr">
        <is>
          <t>5200/000</t>
        </is>
      </c>
      <c r="E12626" s="3" t="inlineStr">
        <is>
          <t>Retained Earnings / Loss</t>
        </is>
      </c>
      <c r="F12626" s="3" t="n">
        <v>0</v>
      </c>
      <c r="G12626" s="3" t="n">
        <v>571333.3</v>
      </c>
    </row>
    <row r="12627">
      <c r="A12627" s="3" t="inlineStr">
        <is>
          <t>Trademark Holdings (Pty) Ltd</t>
        </is>
      </c>
      <c r="B12627" s="4" t="n">
        <v>44957</v>
      </c>
      <c r="C12627" s="3" t="inlineStr">
        <is>
          <t>Equity</t>
        </is>
      </c>
      <c r="D12627" s="3" t="inlineStr">
        <is>
          <t>5200/000</t>
        </is>
      </c>
      <c r="E12627" s="3" t="inlineStr">
        <is>
          <t>Retained Earnings / Loss</t>
        </is>
      </c>
      <c r="F12627" s="3" t="n">
        <v>0</v>
      </c>
      <c r="G12627" s="3" t="n">
        <v>-155356.41</v>
      </c>
    </row>
    <row r="12628">
      <c r="A12628" s="3" t="inlineStr">
        <is>
          <t>Quinate Consulting (Pty) Ltd</t>
        </is>
      </c>
      <c r="B12628" s="4" t="n">
        <v>44957</v>
      </c>
      <c r="C12628" s="3" t="inlineStr">
        <is>
          <t>Assets</t>
        </is>
      </c>
      <c r="D12628" s="3" t="inlineStr">
        <is>
          <t>5400/011</t>
        </is>
      </c>
      <c r="E12628" s="3" t="inlineStr">
        <is>
          <t>Members Loan - Nick Morgan</t>
        </is>
      </c>
      <c r="F12628" s="3" t="n">
        <v>0</v>
      </c>
      <c r="G12628" s="3" t="n">
        <v>-85743.69</v>
      </c>
    </row>
    <row r="12629">
      <c r="A12629" s="3" t="inlineStr">
        <is>
          <t>Opportunity Management Holdings (PTY) LTD</t>
        </is>
      </c>
      <c r="B12629" s="4" t="n">
        <v>44957</v>
      </c>
      <c r="C12629" s="3" t="inlineStr">
        <is>
          <t>Assets</t>
        </is>
      </c>
      <c r="D12629" s="3" t="inlineStr">
        <is>
          <t>5400/500</t>
        </is>
      </c>
      <c r="E12629" s="3" t="inlineStr">
        <is>
          <t>Shareholder - Zak Loan</t>
        </is>
      </c>
      <c r="F12629" s="3" t="n">
        <v>0</v>
      </c>
      <c r="G12629" s="3" t="n">
        <v>-171798.21</v>
      </c>
    </row>
    <row r="12630">
      <c r="A12630" s="3" t="inlineStr">
        <is>
          <t>Quinate Consulting (Pty) Ltd</t>
        </is>
      </c>
      <c r="B12630" s="4" t="n">
        <v>44957</v>
      </c>
      <c r="C12630" s="3" t="inlineStr">
        <is>
          <t>Liabilities</t>
        </is>
      </c>
      <c r="D12630" s="3" t="inlineStr">
        <is>
          <t>5500/010</t>
        </is>
      </c>
      <c r="E12630" s="3" t="inlineStr">
        <is>
          <t>Loan - Wynand Haywood</t>
        </is>
      </c>
      <c r="F12630" s="3" t="n">
        <v>0</v>
      </c>
      <c r="G12630" s="3" t="n">
        <v>1928.67</v>
      </c>
    </row>
    <row r="12631">
      <c r="A12631" s="3" t="inlineStr">
        <is>
          <t>Quinate Consulting (Pty) Ltd</t>
        </is>
      </c>
      <c r="B12631" s="4" t="n">
        <v>44957</v>
      </c>
      <c r="C12631" s="3" t="inlineStr">
        <is>
          <t>Liabilities</t>
        </is>
      </c>
      <c r="D12631" s="3" t="inlineStr">
        <is>
          <t>5500/030</t>
        </is>
      </c>
      <c r="E12631" s="3" t="inlineStr">
        <is>
          <t>Loan - Heron Projects</t>
        </is>
      </c>
      <c r="F12631" s="3" t="n">
        <v>4000</v>
      </c>
      <c r="G12631" s="3" t="n">
        <v>4000</v>
      </c>
    </row>
    <row r="12632">
      <c r="A12632" s="3" t="inlineStr">
        <is>
          <t>Opportunity Global Investment (PTY) LTD</t>
        </is>
      </c>
      <c r="B12632" s="4" t="n">
        <v>44957</v>
      </c>
      <c r="C12632" s="3" t="inlineStr">
        <is>
          <t>Liabilities</t>
        </is>
      </c>
      <c r="D12632" s="3" t="inlineStr">
        <is>
          <t>5500/100</t>
        </is>
      </c>
      <c r="E12632" s="3" t="inlineStr">
        <is>
          <t>Loan - Cape Projects Construction</t>
        </is>
      </c>
      <c r="F12632" s="3" t="n">
        <v>0</v>
      </c>
      <c r="G12632" s="3" t="n">
        <v>271000</v>
      </c>
    </row>
    <row r="12633">
      <c r="A12633" s="3" t="inlineStr">
        <is>
          <t>Noble Shield (Pty) Ltd ta Go Letting</t>
        </is>
      </c>
      <c r="B12633" s="4" t="n">
        <v>44957</v>
      </c>
      <c r="C12633" s="3" t="inlineStr">
        <is>
          <t>Liabilities</t>
        </is>
      </c>
      <c r="D12633" s="3" t="inlineStr">
        <is>
          <t>5500/100</t>
        </is>
      </c>
      <c r="E12633" s="3" t="inlineStr">
        <is>
          <t>Loan - Jupiter Trust</t>
        </is>
      </c>
      <c r="F12633" s="3" t="n">
        <v>0</v>
      </c>
      <c r="G12633" s="3" t="n">
        <v>-100228.75</v>
      </c>
    </row>
    <row r="12634">
      <c r="A12634" s="3" t="inlineStr">
        <is>
          <t>Endulini (Pty) Ltd</t>
        </is>
      </c>
      <c r="B12634" s="4" t="n">
        <v>44957</v>
      </c>
      <c r="C12634" s="3" t="inlineStr">
        <is>
          <t>Liabilities</t>
        </is>
      </c>
      <c r="D12634" s="3" t="inlineStr">
        <is>
          <t>5500/100</t>
        </is>
      </c>
      <c r="E12634" s="3" t="inlineStr">
        <is>
          <t>Loan - Quinate Consulting</t>
        </is>
      </c>
      <c r="F12634" s="3" t="n">
        <v>-85000</v>
      </c>
      <c r="G12634" s="3" t="n">
        <v>-9407749.1</v>
      </c>
    </row>
    <row r="12635">
      <c r="A12635" s="3" t="inlineStr">
        <is>
          <t>Opportunity Global Investment (PTY) LTD</t>
        </is>
      </c>
      <c r="B12635" s="4" t="n">
        <v>44957</v>
      </c>
      <c r="C12635" s="3" t="inlineStr">
        <is>
          <t>Liabilities</t>
        </is>
      </c>
      <c r="D12635" s="3" t="inlineStr">
        <is>
          <t>5500/112</t>
        </is>
      </c>
      <c r="E12635" s="3" t="inlineStr">
        <is>
          <t>Loan - GFY</t>
        </is>
      </c>
      <c r="F12635" s="3" t="n">
        <v>0</v>
      </c>
      <c r="G12635" s="3" t="n">
        <v>-144500</v>
      </c>
    </row>
    <row r="12636">
      <c r="A12636" s="3" t="inlineStr">
        <is>
          <t>Endulini (Pty) Ltd</t>
        </is>
      </c>
      <c r="B12636" s="4" t="n">
        <v>44957</v>
      </c>
      <c r="C12636" s="3" t="inlineStr">
        <is>
          <t>Liabilities</t>
        </is>
      </c>
      <c r="D12636" s="3" t="inlineStr">
        <is>
          <t>5500/150</t>
        </is>
      </c>
      <c r="E12636" s="3" t="inlineStr">
        <is>
          <t>Loan - Cape Projects Construction</t>
        </is>
      </c>
      <c r="F12636" s="3" t="n">
        <v>0</v>
      </c>
      <c r="G12636" s="3" t="n">
        <v>-6059000</v>
      </c>
    </row>
    <row r="12637">
      <c r="A12637" s="3" t="inlineStr">
        <is>
          <t>Quinate Consulting (Pty) Ltd</t>
        </is>
      </c>
      <c r="B12637" s="4" t="n">
        <v>44957</v>
      </c>
      <c r="C12637" s="3" t="inlineStr">
        <is>
          <t>Liabilities</t>
        </is>
      </c>
      <c r="D12637" s="3" t="inlineStr">
        <is>
          <t>5500/160</t>
        </is>
      </c>
      <c r="E12637" s="3" t="inlineStr">
        <is>
          <t>Loan - GFY Investment and Consulting</t>
        </is>
      </c>
      <c r="F12637" s="3" t="n">
        <v>0</v>
      </c>
      <c r="G12637" s="3" t="n">
        <v>-1750249.93</v>
      </c>
    </row>
    <row r="12638">
      <c r="A12638" s="3" t="inlineStr">
        <is>
          <t>Opportunity Management Holdings (PTY) LTD</t>
        </is>
      </c>
      <c r="B12638" s="4" t="n">
        <v>44957</v>
      </c>
      <c r="C12638" s="3" t="inlineStr">
        <is>
          <t>Liabilities</t>
        </is>
      </c>
      <c r="D12638" s="3" t="inlineStr">
        <is>
          <t>5500/200</t>
        </is>
      </c>
      <c r="E12638" s="3" t="inlineStr">
        <is>
          <t>Loan - Cape Projects</t>
        </is>
      </c>
      <c r="F12638" s="3" t="n">
        <v>0</v>
      </c>
      <c r="G12638" s="3" t="n">
        <v>120000</v>
      </c>
    </row>
    <row r="12639">
      <c r="A12639" s="3" t="inlineStr">
        <is>
          <t>Trademark Holdings (Pty) Ltd</t>
        </is>
      </c>
      <c r="B12639" s="4" t="n">
        <v>44957</v>
      </c>
      <c r="C12639" s="3" t="inlineStr">
        <is>
          <t>Liabilities</t>
        </is>
      </c>
      <c r="D12639" s="3" t="inlineStr">
        <is>
          <t>5500/250</t>
        </is>
      </c>
      <c r="E12639" s="3" t="inlineStr">
        <is>
          <t>Loan - Noble Shield</t>
        </is>
      </c>
      <c r="F12639" s="3" t="n">
        <v>0</v>
      </c>
      <c r="G12639" s="3" t="n">
        <v>108165.59</v>
      </c>
    </row>
    <row r="12640">
      <c r="A12640" s="3" t="inlineStr">
        <is>
          <t>Quinate Consulting (Pty) Ltd</t>
        </is>
      </c>
      <c r="B12640" s="4" t="n">
        <v>44957</v>
      </c>
      <c r="C12640" s="3" t="inlineStr">
        <is>
          <t>Liabilities</t>
        </is>
      </c>
      <c r="D12640" s="3" t="inlineStr">
        <is>
          <t>5500/300</t>
        </is>
      </c>
      <c r="E12640" s="3" t="inlineStr">
        <is>
          <t>Loan - Gengis</t>
        </is>
      </c>
      <c r="F12640" s="3" t="n">
        <v>-4586.31</v>
      </c>
      <c r="G12640" s="3" t="n">
        <v>-281484.95</v>
      </c>
    </row>
    <row r="12641">
      <c r="A12641" s="3" t="inlineStr">
        <is>
          <t>Opportunity Management Holdings (PTY) LTD</t>
        </is>
      </c>
      <c r="B12641" s="4" t="n">
        <v>44957</v>
      </c>
      <c r="C12641" s="3" t="inlineStr">
        <is>
          <t>Liabilities</t>
        </is>
      </c>
      <c r="D12641" s="3" t="inlineStr">
        <is>
          <t>5500/300</t>
        </is>
      </c>
      <c r="E12641" s="3" t="inlineStr">
        <is>
          <t>Loan - Opportunity Prop Management</t>
        </is>
      </c>
      <c r="F12641" s="3" t="n">
        <v>0</v>
      </c>
      <c r="G12641" s="3" t="n">
        <v>-1220204.15</v>
      </c>
    </row>
    <row r="12642">
      <c r="A12642" s="3" t="inlineStr">
        <is>
          <t>Noble Shield (Pty) Ltd ta Go Letting</t>
        </is>
      </c>
      <c r="B12642" s="4" t="n">
        <v>44957</v>
      </c>
      <c r="C12642" s="3" t="inlineStr">
        <is>
          <t>Liabilities</t>
        </is>
      </c>
      <c r="D12642" s="3" t="inlineStr">
        <is>
          <t>5500/300</t>
        </is>
      </c>
      <c r="E12642" s="3" t="inlineStr">
        <is>
          <t>Loan - Trademark Holdings</t>
        </is>
      </c>
      <c r="F12642" s="3" t="n">
        <v>0</v>
      </c>
      <c r="G12642" s="3" t="n">
        <v>-108165.59</v>
      </c>
    </row>
    <row r="12643">
      <c r="A12643" s="3" t="inlineStr">
        <is>
          <t>Trademark Holdings (Pty) Ltd</t>
        </is>
      </c>
      <c r="B12643" s="4" t="n">
        <v>44957</v>
      </c>
      <c r="C12643" s="3" t="inlineStr">
        <is>
          <t>Liabilities</t>
        </is>
      </c>
      <c r="D12643" s="3" t="inlineStr">
        <is>
          <t>5500/375</t>
        </is>
      </c>
      <c r="E12643" s="3" t="inlineStr">
        <is>
          <t>Loan - Opportunity Management Holdings Pty Ltd</t>
        </is>
      </c>
      <c r="F12643" s="3" t="n">
        <v>-5000</v>
      </c>
      <c r="G12643" s="3" t="n">
        <v>19000</v>
      </c>
    </row>
    <row r="12644">
      <c r="A12644" s="3" t="inlineStr">
        <is>
          <t>Trademark Holdings (Pty) Ltd</t>
        </is>
      </c>
      <c r="B12644" s="4" t="n">
        <v>44957</v>
      </c>
      <c r="C12644" s="3" t="inlineStr">
        <is>
          <t>Liabilities</t>
        </is>
      </c>
      <c r="D12644" s="3" t="inlineStr">
        <is>
          <t>5500/450</t>
        </is>
      </c>
      <c r="E12644" s="3" t="inlineStr">
        <is>
          <t>Loan - Cape Projects Construction</t>
        </is>
      </c>
      <c r="F12644" s="3" t="n">
        <v>-600</v>
      </c>
      <c r="G12644" s="3" t="n">
        <v>-1200</v>
      </c>
    </row>
    <row r="12645">
      <c r="A12645" s="3" t="inlineStr">
        <is>
          <t>Trademark Holdings (Pty) Ltd</t>
        </is>
      </c>
      <c r="B12645" s="4" t="n">
        <v>44957</v>
      </c>
      <c r="C12645" s="3" t="inlineStr">
        <is>
          <t>Liabilities</t>
        </is>
      </c>
      <c r="D12645" s="3" t="inlineStr">
        <is>
          <t>5500/500</t>
        </is>
      </c>
      <c r="E12645" s="3" t="inlineStr">
        <is>
          <t>Go Letting Brand Name</t>
        </is>
      </c>
      <c r="F12645" s="3" t="n">
        <v>0</v>
      </c>
      <c r="G12645" s="3" t="n">
        <v>93420</v>
      </c>
    </row>
    <row r="12646">
      <c r="A12646" s="3" t="inlineStr">
        <is>
          <t>Noble Shield (Pty) Ltd ta Go Letting</t>
        </is>
      </c>
      <c r="B12646" s="4" t="n">
        <v>44957</v>
      </c>
      <c r="C12646" s="3" t="inlineStr">
        <is>
          <t>Liabilities</t>
        </is>
      </c>
      <c r="D12646" s="3" t="inlineStr">
        <is>
          <t>5500/500</t>
        </is>
      </c>
      <c r="E12646" s="3" t="inlineStr">
        <is>
          <t>Loan - Cape Projects Construction</t>
        </is>
      </c>
      <c r="F12646" s="3" t="n">
        <v>-600</v>
      </c>
      <c r="G12646" s="3" t="n">
        <v>-1200</v>
      </c>
    </row>
    <row r="12647">
      <c r="A12647" s="3" t="inlineStr">
        <is>
          <t>Quinate Consulting (Pty) Ltd</t>
        </is>
      </c>
      <c r="B12647" s="4" t="n">
        <v>44957</v>
      </c>
      <c r="C12647" s="3" t="inlineStr">
        <is>
          <t>Liabilities</t>
        </is>
      </c>
      <c r="D12647" s="3" t="inlineStr">
        <is>
          <t>5500/500</t>
        </is>
      </c>
      <c r="E12647" s="3" t="inlineStr">
        <is>
          <t>Loan - Opportunity Development Struct.</t>
        </is>
      </c>
      <c r="F12647" s="3" t="n">
        <v>0</v>
      </c>
      <c r="G12647" s="3" t="n">
        <v>-2380000</v>
      </c>
    </row>
    <row r="12648">
      <c r="A12648" s="3" t="inlineStr">
        <is>
          <t>Opportunity Management Holdings (PTY) LTD</t>
        </is>
      </c>
      <c r="B12648" s="4" t="n">
        <v>44957</v>
      </c>
      <c r="C12648" s="3" t="inlineStr">
        <is>
          <t>Liabilities</t>
        </is>
      </c>
      <c r="D12648" s="3" t="inlineStr">
        <is>
          <t>5500/500</t>
        </is>
      </c>
      <c r="E12648" s="3" t="inlineStr">
        <is>
          <t>Loan - Opportunity Tradermark Holdings</t>
        </is>
      </c>
      <c r="F12648" s="3" t="n">
        <v>5000</v>
      </c>
      <c r="G12648" s="3" t="n">
        <v>-19000</v>
      </c>
    </row>
    <row r="12649">
      <c r="A12649" s="3" t="inlineStr">
        <is>
          <t>Quinate Consulting (Pty) Ltd</t>
        </is>
      </c>
      <c r="B12649" s="4" t="n">
        <v>44957</v>
      </c>
      <c r="C12649" s="3" t="inlineStr">
        <is>
          <t>Liabilities</t>
        </is>
      </c>
      <c r="D12649" s="3" t="inlineStr">
        <is>
          <t>5500/520</t>
        </is>
      </c>
      <c r="E12649" s="3" t="inlineStr">
        <is>
          <t>Loan - Opportunity Management Holdings</t>
        </is>
      </c>
      <c r="F12649" s="3" t="n">
        <v>0</v>
      </c>
      <c r="G12649" s="3" t="n">
        <v>-3900</v>
      </c>
    </row>
    <row r="12650">
      <c r="A12650" s="3" t="inlineStr">
        <is>
          <t>Opportunity Management Holdings (PTY) LTD</t>
        </is>
      </c>
      <c r="B12650" s="4" t="n">
        <v>44957</v>
      </c>
      <c r="C12650" s="3" t="inlineStr">
        <is>
          <t>Liabilities</t>
        </is>
      </c>
      <c r="D12650" s="3" t="inlineStr">
        <is>
          <t>5500/550</t>
        </is>
      </c>
      <c r="E12650" s="3" t="inlineStr">
        <is>
          <t>Loan - Heron Projects</t>
        </is>
      </c>
      <c r="F12650" s="3" t="n">
        <v>-48000</v>
      </c>
      <c r="G12650" s="3" t="n">
        <v>-25000</v>
      </c>
    </row>
    <row r="12651">
      <c r="A12651" s="3" t="inlineStr">
        <is>
          <t>Opportunity Global Investment (PTY) LTD</t>
        </is>
      </c>
      <c r="B12651" s="4" t="n">
        <v>44957</v>
      </c>
      <c r="C12651" s="3" t="inlineStr">
        <is>
          <t>Liabilities</t>
        </is>
      </c>
      <c r="D12651" s="3" t="inlineStr">
        <is>
          <t>5500/650</t>
        </is>
      </c>
      <c r="E12651" s="3" t="inlineStr">
        <is>
          <t>Loan - Opportunit Global - Sales</t>
        </is>
      </c>
      <c r="F12651" s="3" t="n">
        <v>49076.3</v>
      </c>
      <c r="G12651" s="3" t="n">
        <v>-2171016.82</v>
      </c>
    </row>
    <row r="12652">
      <c r="A12652" s="3" t="inlineStr">
        <is>
          <t>Opportunity Global Sales (PTY) LTD</t>
        </is>
      </c>
      <c r="B12652" s="4" t="n">
        <v>44957</v>
      </c>
      <c r="C12652" s="3" t="inlineStr">
        <is>
          <t>Liabilities</t>
        </is>
      </c>
      <c r="D12652" s="3" t="inlineStr">
        <is>
          <t>5500/650</t>
        </is>
      </c>
      <c r="E12652" s="3" t="inlineStr">
        <is>
          <t>Loan - Opportunity Investments</t>
        </is>
      </c>
      <c r="F12652" s="3" t="n">
        <v>-49076.3</v>
      </c>
      <c r="G12652" s="3" t="n">
        <v>2171016.82</v>
      </c>
    </row>
    <row r="12653">
      <c r="A12653" s="3" t="inlineStr">
        <is>
          <t>Opportunity Management Holdings (PTY) LTD</t>
        </is>
      </c>
      <c r="B12653" s="4" t="n">
        <v>44957</v>
      </c>
      <c r="C12653" s="3" t="inlineStr">
        <is>
          <t>Liabilities</t>
        </is>
      </c>
      <c r="D12653" s="3" t="inlineStr">
        <is>
          <t>5500/700</t>
        </is>
      </c>
      <c r="E12653" s="3" t="inlineStr">
        <is>
          <t>Loan - Go Letting</t>
        </is>
      </c>
      <c r="F12653" s="3" t="n">
        <v>0</v>
      </c>
      <c r="G12653" s="3" t="n">
        <v>-120</v>
      </c>
    </row>
    <row r="12654">
      <c r="A12654" s="3" t="inlineStr">
        <is>
          <t>Opportunity Global Investment (PTY) LTD</t>
        </is>
      </c>
      <c r="B12654" s="4" t="n">
        <v>44957</v>
      </c>
      <c r="C12654" s="3" t="inlineStr">
        <is>
          <t>Liabilities</t>
        </is>
      </c>
      <c r="D12654" s="3" t="inlineStr">
        <is>
          <t>5500/750</t>
        </is>
      </c>
      <c r="E12654" s="3" t="inlineStr">
        <is>
          <t>Loan - Heron Projects</t>
        </is>
      </c>
      <c r="F12654" s="3" t="n">
        <v>-437000</v>
      </c>
      <c r="G12654" s="3" t="n">
        <v>-377000</v>
      </c>
    </row>
    <row r="12655">
      <c r="A12655" s="3" t="inlineStr">
        <is>
          <t>Opportunity Global Investment (PTY) LTD</t>
        </is>
      </c>
      <c r="B12655" s="4" t="n">
        <v>44957</v>
      </c>
      <c r="C12655" s="3" t="inlineStr">
        <is>
          <t>Liabilities</t>
        </is>
      </c>
      <c r="D12655" s="3" t="inlineStr">
        <is>
          <t>5500/850</t>
        </is>
      </c>
      <c r="E12655" s="3" t="inlineStr">
        <is>
          <t>Loan - Nick Morgan</t>
        </is>
      </c>
      <c r="F12655" s="3" t="n">
        <v>0</v>
      </c>
      <c r="G12655" s="3" t="n">
        <v>6200</v>
      </c>
    </row>
    <row r="12656">
      <c r="A12656" s="3" t="inlineStr">
        <is>
          <t>Opportunity Global Investment (PTY) LTD</t>
        </is>
      </c>
      <c r="B12656" s="4" t="n">
        <v>44957</v>
      </c>
      <c r="C12656" s="3" t="inlineStr">
        <is>
          <t>Liabilities</t>
        </is>
      </c>
      <c r="D12656" s="3" t="inlineStr">
        <is>
          <t>5500/950</t>
        </is>
      </c>
      <c r="E12656" s="3" t="inlineStr">
        <is>
          <t>Loan - Gengis</t>
        </is>
      </c>
      <c r="F12656" s="3" t="n">
        <v>0</v>
      </c>
      <c r="G12656" s="3" t="n">
        <v>-62050</v>
      </c>
    </row>
    <row r="12657">
      <c r="A12657" s="3" t="inlineStr">
        <is>
          <t>Quinate Consulting (Pty) Ltd</t>
        </is>
      </c>
      <c r="B12657" s="4" t="n">
        <v>44957</v>
      </c>
      <c r="C12657" s="3" t="inlineStr">
        <is>
          <t>Liabilities</t>
        </is>
      </c>
      <c r="D12657" s="3" t="inlineStr">
        <is>
          <t>5501/001</t>
        </is>
      </c>
      <c r="E12657" s="3" t="inlineStr">
        <is>
          <t>Loan - Endulini CIP Costs</t>
        </is>
      </c>
      <c r="F12657" s="3" t="n">
        <v>85600</v>
      </c>
      <c r="G12657" s="3" t="n">
        <v>9293361.699999999</v>
      </c>
    </row>
    <row r="12658">
      <c r="A12658" s="3" t="inlineStr">
        <is>
          <t>Opportunity Management Holdings (PTY) LTD</t>
        </is>
      </c>
      <c r="B12658" s="4" t="n">
        <v>44957</v>
      </c>
      <c r="C12658" s="3" t="inlineStr">
        <is>
          <t>Liabilities</t>
        </is>
      </c>
      <c r="D12658" s="3" t="inlineStr">
        <is>
          <t>5510/100</t>
        </is>
      </c>
      <c r="E12658" s="3" t="inlineStr">
        <is>
          <t>Staff loan - Debbie Landsberg</t>
        </is>
      </c>
      <c r="F12658" s="3" t="n">
        <v>-2000</v>
      </c>
      <c r="G12658" s="3" t="n">
        <v>4900</v>
      </c>
    </row>
    <row r="12659">
      <c r="A12659" s="3" t="inlineStr">
        <is>
          <t>Noble Shield (Pty) Ltd ta Go Letting</t>
        </is>
      </c>
      <c r="B12659" s="4" t="n">
        <v>44957</v>
      </c>
      <c r="C12659" s="3" t="inlineStr">
        <is>
          <t>Assets</t>
        </is>
      </c>
      <c r="D12659" s="3" t="inlineStr">
        <is>
          <t>6250/010</t>
        </is>
      </c>
      <c r="E12659" s="3" t="inlineStr">
        <is>
          <t>Computer Equipment - @ Cost</t>
        </is>
      </c>
      <c r="F12659" s="3" t="n">
        <v>0</v>
      </c>
      <c r="G12659" s="3" t="n">
        <v>20397</v>
      </c>
    </row>
    <row r="12660">
      <c r="A12660" s="3" t="inlineStr">
        <is>
          <t>Opportunity Global Investment (PTY) LTD</t>
        </is>
      </c>
      <c r="B12660" s="4" t="n">
        <v>44957</v>
      </c>
      <c r="C12660" s="3" t="inlineStr">
        <is>
          <t>Assets</t>
        </is>
      </c>
      <c r="D12660" s="3" t="inlineStr">
        <is>
          <t>6250/010</t>
        </is>
      </c>
      <c r="E12660" s="3" t="inlineStr">
        <is>
          <t>Computer Equipment - @ Cost</t>
        </is>
      </c>
      <c r="F12660" s="3" t="n">
        <v>31683.04</v>
      </c>
      <c r="G12660" s="3" t="n">
        <v>31683.04</v>
      </c>
    </row>
    <row r="12661">
      <c r="A12661" s="3" t="inlineStr">
        <is>
          <t>Opportunity Management Holdings (PTY) LTD</t>
        </is>
      </c>
      <c r="B12661" s="4" t="n">
        <v>44957</v>
      </c>
      <c r="C12661" s="3" t="inlineStr">
        <is>
          <t>Assets</t>
        </is>
      </c>
      <c r="D12661" s="3" t="inlineStr">
        <is>
          <t>6250/010</t>
        </is>
      </c>
      <c r="E12661" s="3" t="inlineStr">
        <is>
          <t>Computer Equipment - @ Cost</t>
        </is>
      </c>
      <c r="F12661" s="3" t="n">
        <v>0</v>
      </c>
      <c r="G12661" s="3" t="n">
        <v>38977.85</v>
      </c>
    </row>
    <row r="12662">
      <c r="A12662" s="3" t="inlineStr">
        <is>
          <t>Quinate Consulting (Pty) Ltd</t>
        </is>
      </c>
      <c r="B12662" s="4" t="n">
        <v>44957</v>
      </c>
      <c r="C12662" s="3" t="inlineStr">
        <is>
          <t>Assets</t>
        </is>
      </c>
      <c r="D12662" s="3" t="inlineStr">
        <is>
          <t>6250/010</t>
        </is>
      </c>
      <c r="E12662" s="3" t="inlineStr">
        <is>
          <t>Computer Equipment - @ Cost</t>
        </is>
      </c>
      <c r="F12662" s="3" t="n">
        <v>0</v>
      </c>
      <c r="G12662" s="3" t="n">
        <v>137059.7</v>
      </c>
    </row>
    <row r="12663">
      <c r="A12663" s="3" t="inlineStr">
        <is>
          <t>Noble Shield (Pty) Ltd ta Go Letting</t>
        </is>
      </c>
      <c r="B12663" s="4" t="n">
        <v>44957</v>
      </c>
      <c r="C12663" s="3" t="inlineStr">
        <is>
          <t>Assets</t>
        </is>
      </c>
      <c r="D12663" s="3" t="inlineStr">
        <is>
          <t>6250/020</t>
        </is>
      </c>
      <c r="E12663" s="3" t="inlineStr">
        <is>
          <t>Computer Equipment - Accum Depre</t>
        </is>
      </c>
      <c r="F12663" s="3" t="n">
        <v>0</v>
      </c>
      <c r="G12663" s="3" t="n">
        <v>-12040.89</v>
      </c>
    </row>
    <row r="12664">
      <c r="A12664" s="3" t="inlineStr">
        <is>
          <t>Opportunity Global Investment (PTY) LTD</t>
        </is>
      </c>
      <c r="B12664" s="4" t="n">
        <v>44957</v>
      </c>
      <c r="C12664" s="3" t="inlineStr">
        <is>
          <t>Assets</t>
        </is>
      </c>
      <c r="D12664" s="3" t="inlineStr">
        <is>
          <t>6250/020</t>
        </is>
      </c>
      <c r="E12664" s="3" t="inlineStr">
        <is>
          <t>Computer Equipment - Accum Depre</t>
        </is>
      </c>
      <c r="F12664" s="3" t="n">
        <v>-880.08</v>
      </c>
      <c r="G12664" s="3" t="n">
        <v>-880.08</v>
      </c>
    </row>
    <row r="12665">
      <c r="A12665" s="3" t="inlineStr">
        <is>
          <t>Opportunity Management Holdings (PTY) LTD</t>
        </is>
      </c>
      <c r="B12665" s="4" t="n">
        <v>44957</v>
      </c>
      <c r="C12665" s="3" t="inlineStr">
        <is>
          <t>Assets</t>
        </is>
      </c>
      <c r="D12665" s="3" t="inlineStr">
        <is>
          <t>6250/020</t>
        </is>
      </c>
      <c r="E12665" s="3" t="inlineStr">
        <is>
          <t>Computer Equipment - Accum Depre</t>
        </is>
      </c>
      <c r="F12665" s="3" t="n">
        <v>-668.52</v>
      </c>
      <c r="G12665" s="3" t="n">
        <v>-4574.02</v>
      </c>
    </row>
    <row r="12666">
      <c r="A12666" s="3" t="inlineStr">
        <is>
          <t>Quinate Consulting (Pty) Ltd</t>
        </is>
      </c>
      <c r="B12666" s="4" t="n">
        <v>44957</v>
      </c>
      <c r="C12666" s="3" t="inlineStr">
        <is>
          <t>Assets</t>
        </is>
      </c>
      <c r="D12666" s="3" t="inlineStr">
        <is>
          <t>6250/020</t>
        </is>
      </c>
      <c r="E12666" s="3" t="inlineStr">
        <is>
          <t>Computer Equipment - Accum Depre</t>
        </is>
      </c>
      <c r="F12666" s="3" t="n">
        <v>-2331.66</v>
      </c>
      <c r="G12666" s="3" t="n">
        <v>-96042.16</v>
      </c>
    </row>
    <row r="12667">
      <c r="A12667" s="3" t="inlineStr">
        <is>
          <t>Opportunity Management Holdings (PTY) LTD</t>
        </is>
      </c>
      <c r="B12667" s="4" t="n">
        <v>44957</v>
      </c>
      <c r="C12667" s="3" t="inlineStr">
        <is>
          <t>Assets</t>
        </is>
      </c>
      <c r="D12667" s="3" t="inlineStr">
        <is>
          <t>6250/030</t>
        </is>
      </c>
      <c r="E12667" s="3" t="inlineStr">
        <is>
          <t>Acc Depreciation - Computer Equipment</t>
        </is>
      </c>
      <c r="F12667" s="3" t="n">
        <v>0</v>
      </c>
      <c r="G12667" s="3" t="n">
        <v>-9441.25</v>
      </c>
    </row>
    <row r="12668">
      <c r="A12668" s="3" t="inlineStr">
        <is>
          <t>Quinate Consulting (Pty) Ltd</t>
        </is>
      </c>
      <c r="B12668" s="4" t="n">
        <v>44957</v>
      </c>
      <c r="C12668" s="3" t="inlineStr">
        <is>
          <t>Assets</t>
        </is>
      </c>
      <c r="D12668" s="3" t="inlineStr">
        <is>
          <t>6270/010</t>
        </is>
      </c>
      <c r="E12668" s="3" t="inlineStr">
        <is>
          <t>Site Containers - @ Cost</t>
        </is>
      </c>
      <c r="F12668" s="3" t="n">
        <v>0</v>
      </c>
      <c r="G12668" s="3" t="n">
        <v>19130.44</v>
      </c>
    </row>
    <row r="12669">
      <c r="A12669" s="3" t="inlineStr">
        <is>
          <t>Quinate Consulting (Pty) Ltd</t>
        </is>
      </c>
      <c r="B12669" s="4" t="n">
        <v>44957</v>
      </c>
      <c r="C12669" s="3" t="inlineStr">
        <is>
          <t>Assets</t>
        </is>
      </c>
      <c r="D12669" s="3" t="inlineStr">
        <is>
          <t>6270/020</t>
        </is>
      </c>
      <c r="E12669" s="3" t="inlineStr">
        <is>
          <t>Site Containers - Accum Depre</t>
        </is>
      </c>
      <c r="F12669" s="3" t="n">
        <v>-318.84</v>
      </c>
      <c r="G12669" s="3" t="n">
        <v>-7333.32</v>
      </c>
    </row>
    <row r="12670">
      <c r="A12670" s="3" t="inlineStr">
        <is>
          <t>Noble Shield (Pty) Ltd ta Go Letting</t>
        </is>
      </c>
      <c r="B12670" s="4" t="n">
        <v>44957</v>
      </c>
      <c r="C12670" s="3" t="inlineStr">
        <is>
          <t>Assets</t>
        </is>
      </c>
      <c r="D12670" s="3" t="inlineStr">
        <is>
          <t>6350/010</t>
        </is>
      </c>
      <c r="E12670" s="3" t="inlineStr">
        <is>
          <t>Furniture _AND_ Fittings - @ Cost</t>
        </is>
      </c>
      <c r="F12670" s="3" t="n">
        <v>0</v>
      </c>
      <c r="G12670" s="3" t="n">
        <v>2242</v>
      </c>
    </row>
    <row r="12671">
      <c r="A12671" s="3" t="inlineStr">
        <is>
          <t>Opportunity Global Sales (PTY) LTD</t>
        </is>
      </c>
      <c r="B12671" s="4" t="n">
        <v>44957</v>
      </c>
      <c r="C12671" s="3" t="inlineStr">
        <is>
          <t>Assets</t>
        </is>
      </c>
      <c r="D12671" s="3" t="inlineStr">
        <is>
          <t>6350/010</t>
        </is>
      </c>
      <c r="E12671" s="3" t="inlineStr">
        <is>
          <t>Furniture _AND_ Fittings - @ Cost</t>
        </is>
      </c>
      <c r="F12671" s="3" t="n">
        <v>0</v>
      </c>
      <c r="G12671" s="3" t="n">
        <v>29379.7</v>
      </c>
    </row>
    <row r="12672">
      <c r="A12672" s="3" t="inlineStr">
        <is>
          <t>Noble Shield (Pty) Ltd ta Go Letting</t>
        </is>
      </c>
      <c r="B12672" s="4" t="n">
        <v>44957</v>
      </c>
      <c r="C12672" s="3" t="inlineStr">
        <is>
          <t>Assets</t>
        </is>
      </c>
      <c r="D12672" s="3" t="inlineStr">
        <is>
          <t>6350/020</t>
        </is>
      </c>
      <c r="E12672" s="3" t="inlineStr">
        <is>
          <t>Furniture _AND_ Fittings - Accum Depre</t>
        </is>
      </c>
      <c r="F12672" s="3" t="n">
        <v>0</v>
      </c>
      <c r="G12672" s="3" t="n">
        <v>-2239</v>
      </c>
    </row>
    <row r="12673">
      <c r="A12673" s="3" t="inlineStr">
        <is>
          <t>Opportunity Global Sales (PTY) LTD</t>
        </is>
      </c>
      <c r="B12673" s="4" t="n">
        <v>44957</v>
      </c>
      <c r="C12673" s="3" t="inlineStr">
        <is>
          <t>Assets</t>
        </is>
      </c>
      <c r="D12673" s="3" t="inlineStr">
        <is>
          <t>6350/020</t>
        </is>
      </c>
      <c r="E12673" s="3" t="inlineStr">
        <is>
          <t>Furniture _AND_ Fittings - Accum Depre</t>
        </is>
      </c>
      <c r="F12673" s="3" t="n">
        <v>-408.05</v>
      </c>
      <c r="G12673" s="3" t="n">
        <v>-2856.36</v>
      </c>
    </row>
    <row r="12674">
      <c r="A12674" s="3" t="inlineStr">
        <is>
          <t>Opportunity Management Holdings (PTY) LTD</t>
        </is>
      </c>
      <c r="B12674" s="4" t="n">
        <v>44957</v>
      </c>
      <c r="C12674" s="3" t="inlineStr">
        <is>
          <t>Liabilities</t>
        </is>
      </c>
      <c r="D12674" s="3" t="inlineStr">
        <is>
          <t>6500/000</t>
        </is>
      </c>
      <c r="E12674" s="3" t="inlineStr">
        <is>
          <t>Deposits - Held</t>
        </is>
      </c>
      <c r="F12674" s="3" t="n">
        <v>0</v>
      </c>
      <c r="G12674" s="3" t="n">
        <v>-12028.1</v>
      </c>
    </row>
    <row r="12675">
      <c r="A12675" s="3" t="inlineStr">
        <is>
          <t>Opportunity Management Holdings (PTY) LTD</t>
        </is>
      </c>
      <c r="B12675" s="4" t="n">
        <v>44957</v>
      </c>
      <c r="C12675" s="3" t="inlineStr">
        <is>
          <t>Liabilities</t>
        </is>
      </c>
      <c r="D12675" s="3" t="inlineStr">
        <is>
          <t>6510/000</t>
        </is>
      </c>
      <c r="E12675" s="3" t="inlineStr">
        <is>
          <t>Deposits Paid - Anicol Properties</t>
        </is>
      </c>
      <c r="F12675" s="3" t="n">
        <v>0</v>
      </c>
      <c r="G12675" s="3" t="n">
        <v>13755</v>
      </c>
    </row>
    <row r="12676">
      <c r="A12676" s="3" t="inlineStr">
        <is>
          <t>Opportunity Management Holdings (PTY) LTD</t>
        </is>
      </c>
      <c r="B12676" s="4" t="n">
        <v>44957</v>
      </c>
      <c r="C12676" s="3" t="inlineStr">
        <is>
          <t>Liabilities</t>
        </is>
      </c>
      <c r="D12676" s="3" t="inlineStr">
        <is>
          <t>6515/000</t>
        </is>
      </c>
      <c r="E12676" s="3" t="inlineStr">
        <is>
          <t>Deposits Paid</t>
        </is>
      </c>
      <c r="F12676" s="3" t="n">
        <v>0</v>
      </c>
      <c r="G12676" s="3" t="n">
        <v>3852.5</v>
      </c>
    </row>
    <row r="12677">
      <c r="A12677" s="3" t="inlineStr">
        <is>
          <t>Quinate Consulting (Pty) Ltd</t>
        </is>
      </c>
      <c r="B12677" s="4" t="n">
        <v>44957</v>
      </c>
      <c r="C12677" s="3" t="inlineStr">
        <is>
          <t>Assets</t>
        </is>
      </c>
      <c r="D12677" s="3" t="inlineStr">
        <is>
          <t>6600/010</t>
        </is>
      </c>
      <c r="E12677" s="3" t="inlineStr">
        <is>
          <t>Other Fixed Assets - @ Cost</t>
        </is>
      </c>
      <c r="F12677" s="3" t="n">
        <v>0</v>
      </c>
      <c r="G12677" s="3" t="n">
        <v>14442.5</v>
      </c>
    </row>
    <row r="12678">
      <c r="A12678" s="3" t="inlineStr">
        <is>
          <t>Quinate Consulting (Pty) Ltd</t>
        </is>
      </c>
      <c r="B12678" s="4" t="n">
        <v>44957</v>
      </c>
      <c r="C12678" s="3" t="inlineStr">
        <is>
          <t>Assets</t>
        </is>
      </c>
      <c r="D12678" s="3" t="inlineStr">
        <is>
          <t>6600/020</t>
        </is>
      </c>
      <c r="E12678" s="3" t="inlineStr">
        <is>
          <t>Other Fixed Assets - Accum Depre</t>
        </is>
      </c>
      <c r="F12678" s="3" t="n">
        <v>0</v>
      </c>
      <c r="G12678" s="3" t="n">
        <v>-14441.5</v>
      </c>
    </row>
    <row r="12679">
      <c r="A12679" s="3" t="inlineStr">
        <is>
          <t>Noble Shield (Pty) Ltd ta Go Letting</t>
        </is>
      </c>
      <c r="B12679" s="4" t="n">
        <v>44957</v>
      </c>
      <c r="C12679" s="3" t="inlineStr">
        <is>
          <t>Assets</t>
        </is>
      </c>
      <c r="D12679" s="3" t="inlineStr">
        <is>
          <t>7000/100</t>
        </is>
      </c>
      <c r="E12679" s="3" t="inlineStr">
        <is>
          <t>Goodwill - Purchase of Go Letting</t>
        </is>
      </c>
      <c r="F12679" s="3" t="n">
        <v>0</v>
      </c>
      <c r="G12679" s="3" t="n">
        <v>106580</v>
      </c>
    </row>
    <row r="12680">
      <c r="A12680" s="3" t="inlineStr">
        <is>
          <t>Opportunity Management Holdings (PTY) LTD</t>
        </is>
      </c>
      <c r="B12680" s="4" t="n">
        <v>44957</v>
      </c>
      <c r="C12680" s="3" t="inlineStr">
        <is>
          <t>Assets</t>
        </is>
      </c>
      <c r="D12680" s="3" t="inlineStr">
        <is>
          <t>7200/000</t>
        </is>
      </c>
      <c r="E12680" s="3" t="inlineStr">
        <is>
          <t>Shares in Subsidiary Companies</t>
        </is>
      </c>
      <c r="F12680" s="3" t="n">
        <v>0</v>
      </c>
      <c r="G12680" s="3" t="n">
        <v>120</v>
      </c>
    </row>
    <row r="12681">
      <c r="A12681" s="3" t="inlineStr">
        <is>
          <t>Endulini (Pty) Ltd</t>
        </is>
      </c>
      <c r="B12681" s="4" t="n">
        <v>44957</v>
      </c>
      <c r="C12681" s="3" t="inlineStr">
        <is>
          <t>Assets</t>
        </is>
      </c>
      <c r="D12681" s="3" t="inlineStr">
        <is>
          <t>7610/100</t>
        </is>
      </c>
      <c r="E12681" s="3" t="inlineStr">
        <is>
          <t>Endulini Land</t>
        </is>
      </c>
      <c r="F12681" s="3" t="n">
        <v>0</v>
      </c>
      <c r="G12681" s="3" t="n">
        <v>10572851.37</v>
      </c>
    </row>
    <row r="12682">
      <c r="A12682" s="3" t="inlineStr">
        <is>
          <t>Endulini (Pty) Ltd</t>
        </is>
      </c>
      <c r="B12682" s="4" t="n">
        <v>44957</v>
      </c>
      <c r="C12682" s="3" t="inlineStr">
        <is>
          <t>Assets</t>
        </is>
      </c>
      <c r="D12682" s="3" t="inlineStr">
        <is>
          <t>7610/111</t>
        </is>
      </c>
      <c r="E12682" s="3" t="inlineStr">
        <is>
          <t>Endulini Closing Stock February 2021</t>
        </is>
      </c>
      <c r="F12682" s="3" t="n">
        <v>0</v>
      </c>
      <c r="G12682" s="3" t="n">
        <v>15044610.11</v>
      </c>
    </row>
    <row r="12683">
      <c r="A12683" s="3" t="inlineStr">
        <is>
          <t>Endulini (Pty) Ltd</t>
        </is>
      </c>
      <c r="B12683" s="4" t="n">
        <v>44957</v>
      </c>
      <c r="C12683" s="3" t="inlineStr">
        <is>
          <t>Assets</t>
        </is>
      </c>
      <c r="D12683" s="3" t="inlineStr">
        <is>
          <t>7610/180</t>
        </is>
      </c>
      <c r="E12683" s="3" t="inlineStr">
        <is>
          <t>Endulini CIP Architects</t>
        </is>
      </c>
      <c r="F12683" s="3" t="n">
        <v>0</v>
      </c>
      <c r="G12683" s="3" t="n">
        <v>1251503.01</v>
      </c>
    </row>
    <row r="12684">
      <c r="A12684" s="3" t="inlineStr">
        <is>
          <t>Endulini (Pty) Ltd</t>
        </is>
      </c>
      <c r="B12684" s="4" t="n">
        <v>44957</v>
      </c>
      <c r="C12684" s="3" t="inlineStr">
        <is>
          <t>Assets</t>
        </is>
      </c>
      <c r="D12684" s="3" t="inlineStr">
        <is>
          <t>7610/200</t>
        </is>
      </c>
      <c r="E12684" s="3" t="inlineStr">
        <is>
          <t>Endulini CIP CoCT Land Use App</t>
        </is>
      </c>
      <c r="F12684" s="3" t="n">
        <v>0</v>
      </c>
      <c r="G12684" s="3" t="n">
        <v>232891.06</v>
      </c>
    </row>
    <row r="12685">
      <c r="A12685" s="3" t="inlineStr">
        <is>
          <t>Endulini (Pty) Ltd</t>
        </is>
      </c>
      <c r="B12685" s="4" t="n">
        <v>44957</v>
      </c>
      <c r="C12685" s="3" t="inlineStr">
        <is>
          <t>Assets</t>
        </is>
      </c>
      <c r="D12685" s="3" t="inlineStr">
        <is>
          <t>7610/205</t>
        </is>
      </c>
      <c r="E12685" s="3" t="inlineStr">
        <is>
          <t>Endulini CIP Site Establishments</t>
        </is>
      </c>
      <c r="F12685" s="3" t="n">
        <v>0</v>
      </c>
      <c r="G12685" s="3" t="n">
        <v>32428975.01</v>
      </c>
    </row>
    <row r="12686">
      <c r="A12686" s="3" t="inlineStr">
        <is>
          <t>Endulini (Pty) Ltd</t>
        </is>
      </c>
      <c r="B12686" s="4" t="n">
        <v>44957</v>
      </c>
      <c r="C12686" s="3" t="inlineStr">
        <is>
          <t>Assets</t>
        </is>
      </c>
      <c r="D12686" s="3" t="inlineStr">
        <is>
          <t>7610/209</t>
        </is>
      </c>
      <c r="E12686" s="3" t="inlineStr">
        <is>
          <t>Endulini CIP Construction Management</t>
        </is>
      </c>
      <c r="F12686" s="3" t="n">
        <v>0</v>
      </c>
      <c r="G12686" s="3" t="n">
        <v>221875</v>
      </c>
    </row>
    <row r="12687">
      <c r="A12687" s="3" t="inlineStr">
        <is>
          <t>Endulini (Pty) Ltd</t>
        </is>
      </c>
      <c r="B12687" s="4" t="n">
        <v>44957</v>
      </c>
      <c r="C12687" s="3" t="inlineStr">
        <is>
          <t>Assets</t>
        </is>
      </c>
      <c r="D12687" s="3" t="inlineStr">
        <is>
          <t>7610/210</t>
        </is>
      </c>
      <c r="E12687" s="3" t="inlineStr">
        <is>
          <t>Endulini CIP Civil Works</t>
        </is>
      </c>
      <c r="F12687" s="3" t="n">
        <v>0</v>
      </c>
      <c r="G12687" s="3" t="n">
        <v>6295702.14</v>
      </c>
    </row>
    <row r="12688">
      <c r="A12688" s="3" t="inlineStr">
        <is>
          <t>Endulini (Pty) Ltd</t>
        </is>
      </c>
      <c r="B12688" s="4" t="n">
        <v>44957</v>
      </c>
      <c r="C12688" s="3" t="inlineStr">
        <is>
          <t>Assets</t>
        </is>
      </c>
      <c r="D12688" s="3" t="inlineStr">
        <is>
          <t>7610/215</t>
        </is>
      </c>
      <c r="E12688" s="3" t="inlineStr">
        <is>
          <t>Endulini CIP Civil Engineers</t>
        </is>
      </c>
      <c r="F12688" s="3" t="n">
        <v>0</v>
      </c>
      <c r="G12688" s="3" t="n">
        <v>183000</v>
      </c>
    </row>
    <row r="12689">
      <c r="A12689" s="3" t="inlineStr">
        <is>
          <t>Endulini (Pty) Ltd</t>
        </is>
      </c>
      <c r="B12689" s="4" t="n">
        <v>44957</v>
      </c>
      <c r="C12689" s="3" t="inlineStr">
        <is>
          <t>Assets</t>
        </is>
      </c>
      <c r="D12689" s="3" t="inlineStr">
        <is>
          <t>7610/220</t>
        </is>
      </c>
      <c r="E12689" s="3" t="inlineStr">
        <is>
          <t>Endulini CIP Structuring Project Fee Opp Invest</t>
        </is>
      </c>
      <c r="F12689" s="3" t="n">
        <v>0</v>
      </c>
      <c r="G12689" s="3" t="n">
        <v>483735.96</v>
      </c>
    </row>
    <row r="12690">
      <c r="A12690" s="3" t="inlineStr">
        <is>
          <t>Endulini (Pty) Ltd</t>
        </is>
      </c>
      <c r="B12690" s="4" t="n">
        <v>44957</v>
      </c>
      <c r="C12690" s="3" t="inlineStr">
        <is>
          <t>Assets</t>
        </is>
      </c>
      <c r="D12690" s="3" t="inlineStr">
        <is>
          <t>7610/225</t>
        </is>
      </c>
      <c r="E12690" s="3" t="inlineStr">
        <is>
          <t>Endulini CIP Structural engineering fee</t>
        </is>
      </c>
      <c r="F12690" s="3" t="n">
        <v>0</v>
      </c>
      <c r="G12690" s="3" t="n">
        <v>346268.03</v>
      </c>
    </row>
    <row r="12691">
      <c r="A12691" s="3" t="inlineStr">
        <is>
          <t>Endulini (Pty) Ltd</t>
        </is>
      </c>
      <c r="B12691" s="4" t="n">
        <v>44957</v>
      </c>
      <c r="C12691" s="3" t="inlineStr">
        <is>
          <t>Assets</t>
        </is>
      </c>
      <c r="D12691" s="3" t="inlineStr">
        <is>
          <t>7610/230</t>
        </is>
      </c>
      <c r="E12691" s="3" t="inlineStr">
        <is>
          <t>Endulini CIP Mechanical Engineering</t>
        </is>
      </c>
      <c r="F12691" s="3" t="n">
        <v>0</v>
      </c>
      <c r="G12691" s="3" t="n">
        <v>15570</v>
      </c>
    </row>
    <row r="12692">
      <c r="A12692" s="3" t="inlineStr">
        <is>
          <t>Endulini (Pty) Ltd</t>
        </is>
      </c>
      <c r="B12692" s="4" t="n">
        <v>44957</v>
      </c>
      <c r="C12692" s="3" t="inlineStr">
        <is>
          <t>Assets</t>
        </is>
      </c>
      <c r="D12692" s="3" t="inlineStr">
        <is>
          <t>7610/235</t>
        </is>
      </c>
      <c r="E12692" s="3" t="inlineStr">
        <is>
          <t>Endulini CIP Electrical Installation</t>
        </is>
      </c>
      <c r="F12692" s="3" t="n">
        <v>0</v>
      </c>
      <c r="G12692" s="3" t="n">
        <v>1034019.08</v>
      </c>
    </row>
    <row r="12693">
      <c r="A12693" s="3" t="inlineStr">
        <is>
          <t>Endulini (Pty) Ltd</t>
        </is>
      </c>
      <c r="B12693" s="4" t="n">
        <v>44957</v>
      </c>
      <c r="C12693" s="3" t="inlineStr">
        <is>
          <t>Assets</t>
        </is>
      </c>
      <c r="D12693" s="3" t="inlineStr">
        <is>
          <t>7610/250</t>
        </is>
      </c>
      <c r="E12693" s="3" t="inlineStr">
        <is>
          <t>Endulini CIP Boundary Wall</t>
        </is>
      </c>
      <c r="F12693" s="3" t="n">
        <v>0</v>
      </c>
      <c r="G12693" s="3" t="n">
        <v>88400.8</v>
      </c>
    </row>
    <row r="12694">
      <c r="A12694" s="3" t="inlineStr">
        <is>
          <t>Endulini (Pty) Ltd</t>
        </is>
      </c>
      <c r="B12694" s="4" t="n">
        <v>44957</v>
      </c>
      <c r="C12694" s="3" t="inlineStr">
        <is>
          <t>Assets</t>
        </is>
      </c>
      <c r="D12694" s="3" t="inlineStr">
        <is>
          <t>7610/290</t>
        </is>
      </c>
      <c r="E12694" s="3" t="inlineStr">
        <is>
          <t>Endulini CIP Development Management Fees</t>
        </is>
      </c>
      <c r="F12694" s="3" t="n">
        <v>0</v>
      </c>
      <c r="G12694" s="3" t="n">
        <v>237496.62</v>
      </c>
    </row>
    <row r="12695">
      <c r="A12695" s="3" t="inlineStr">
        <is>
          <t>Endulini (Pty) Ltd</t>
        </is>
      </c>
      <c r="B12695" s="4" t="n">
        <v>44957</v>
      </c>
      <c r="C12695" s="3" t="inlineStr">
        <is>
          <t>Assets</t>
        </is>
      </c>
      <c r="D12695" s="3" t="inlineStr">
        <is>
          <t>7610/310</t>
        </is>
      </c>
      <c r="E12695" s="3" t="inlineStr">
        <is>
          <t>Endulini CIP Enviromental consultants</t>
        </is>
      </c>
      <c r="F12695" s="3" t="n">
        <v>0</v>
      </c>
      <c r="G12695" s="3" t="n">
        <v>115730</v>
      </c>
    </row>
    <row r="12696">
      <c r="A12696" s="3" t="inlineStr">
        <is>
          <t>Endulini (Pty) Ltd</t>
        </is>
      </c>
      <c r="B12696" s="4" t="n">
        <v>44957</v>
      </c>
      <c r="C12696" s="3" t="inlineStr">
        <is>
          <t>Assets</t>
        </is>
      </c>
      <c r="D12696" s="3" t="inlineStr">
        <is>
          <t>7610/320</t>
        </is>
      </c>
      <c r="E12696" s="3" t="inlineStr">
        <is>
          <t>Endulini CIP Geotechnical</t>
        </is>
      </c>
      <c r="F12696" s="3" t="n">
        <v>0</v>
      </c>
      <c r="G12696" s="3" t="n">
        <v>13575</v>
      </c>
    </row>
    <row r="12697">
      <c r="A12697" s="3" t="inlineStr">
        <is>
          <t>Endulini (Pty) Ltd</t>
        </is>
      </c>
      <c r="B12697" s="4" t="n">
        <v>44957</v>
      </c>
      <c r="C12697" s="3" t="inlineStr">
        <is>
          <t>Assets</t>
        </is>
      </c>
      <c r="D12697" s="3" t="inlineStr">
        <is>
          <t>7610/330</t>
        </is>
      </c>
      <c r="E12697" s="3" t="inlineStr">
        <is>
          <t>Endulini CIP Health and Safety</t>
        </is>
      </c>
      <c r="F12697" s="3" t="n">
        <v>0</v>
      </c>
      <c r="G12697" s="3" t="n">
        <v>40200</v>
      </c>
    </row>
    <row r="12698">
      <c r="A12698" s="3" t="inlineStr">
        <is>
          <t>Endulini (Pty) Ltd</t>
        </is>
      </c>
      <c r="B12698" s="4" t="n">
        <v>44957</v>
      </c>
      <c r="C12698" s="3" t="inlineStr">
        <is>
          <t>Assets</t>
        </is>
      </c>
      <c r="D12698" s="3" t="inlineStr">
        <is>
          <t>7610/390</t>
        </is>
      </c>
      <c r="E12698" s="3" t="inlineStr">
        <is>
          <t>Endulini CIP Land Surveyor</t>
        </is>
      </c>
      <c r="F12698" s="3" t="n">
        <v>0</v>
      </c>
      <c r="G12698" s="3" t="n">
        <v>186021.2</v>
      </c>
    </row>
    <row r="12699">
      <c r="A12699" s="3" t="inlineStr">
        <is>
          <t>Endulini (Pty) Ltd</t>
        </is>
      </c>
      <c r="B12699" s="4" t="n">
        <v>44957</v>
      </c>
      <c r="C12699" s="3" t="inlineStr">
        <is>
          <t>Assets</t>
        </is>
      </c>
      <c r="D12699" s="3" t="inlineStr">
        <is>
          <t>7610/392</t>
        </is>
      </c>
      <c r="E12699" s="3" t="inlineStr">
        <is>
          <t>Endulini CIP Landscaping</t>
        </is>
      </c>
      <c r="F12699" s="3" t="n">
        <v>0</v>
      </c>
      <c r="G12699" s="3" t="n">
        <v>6100</v>
      </c>
    </row>
    <row r="12700">
      <c r="A12700" s="3" t="inlineStr">
        <is>
          <t>Endulini (Pty) Ltd</t>
        </is>
      </c>
      <c r="B12700" s="4" t="n">
        <v>44957</v>
      </c>
      <c r="C12700" s="3" t="inlineStr">
        <is>
          <t>Assets</t>
        </is>
      </c>
      <c r="D12700" s="3" t="inlineStr">
        <is>
          <t>7610/395</t>
        </is>
      </c>
      <c r="E12700" s="3" t="inlineStr">
        <is>
          <t>Endulini CIP NHBRC</t>
        </is>
      </c>
      <c r="F12700" s="3" t="n">
        <v>0</v>
      </c>
      <c r="G12700" s="3" t="n">
        <v>928847.49</v>
      </c>
    </row>
    <row r="12701">
      <c r="A12701" s="3" t="inlineStr">
        <is>
          <t>Endulini (Pty) Ltd</t>
        </is>
      </c>
      <c r="B12701" s="4" t="n">
        <v>44957</v>
      </c>
      <c r="C12701" s="3" t="inlineStr">
        <is>
          <t>Assets</t>
        </is>
      </c>
      <c r="D12701" s="3" t="inlineStr">
        <is>
          <t>7610/400</t>
        </is>
      </c>
      <c r="E12701" s="3" t="inlineStr">
        <is>
          <t>Endulini CIP Quantity Surveyor</t>
        </is>
      </c>
      <c r="F12701" s="3" t="n">
        <v>0</v>
      </c>
      <c r="G12701" s="3" t="n">
        <v>82136.36</v>
      </c>
    </row>
    <row r="12702">
      <c r="A12702" s="3" t="inlineStr">
        <is>
          <t>Endulini (Pty) Ltd</t>
        </is>
      </c>
      <c r="B12702" s="4" t="n">
        <v>44957</v>
      </c>
      <c r="C12702" s="3" t="inlineStr">
        <is>
          <t>Assets</t>
        </is>
      </c>
      <c r="D12702" s="3" t="inlineStr">
        <is>
          <t>7610/600</t>
        </is>
      </c>
      <c r="E12702" s="3" t="inlineStr">
        <is>
          <t>Endulini CIP Town Planning</t>
        </is>
      </c>
      <c r="F12702" s="3" t="n">
        <v>0</v>
      </c>
      <c r="G12702" s="3" t="n">
        <v>21105</v>
      </c>
    </row>
    <row r="12703">
      <c r="A12703" s="3" t="inlineStr">
        <is>
          <t>Endulini (Pty) Ltd</t>
        </is>
      </c>
      <c r="B12703" s="4" t="n">
        <v>44957</v>
      </c>
      <c r="C12703" s="3" t="inlineStr">
        <is>
          <t>Assets</t>
        </is>
      </c>
      <c r="D12703" s="3" t="inlineStr">
        <is>
          <t>7610/620</t>
        </is>
      </c>
      <c r="E12703" s="3" t="inlineStr">
        <is>
          <t>Endulini CIP Traffic Impact</t>
        </is>
      </c>
      <c r="F12703" s="3" t="n">
        <v>0</v>
      </c>
      <c r="G12703" s="3" t="n">
        <v>24915</v>
      </c>
    </row>
    <row r="12704">
      <c r="A12704" s="3" t="inlineStr">
        <is>
          <t>Endulini (Pty) Ltd</t>
        </is>
      </c>
      <c r="B12704" s="4" t="n">
        <v>44957</v>
      </c>
      <c r="C12704" s="3" t="inlineStr">
        <is>
          <t>Assets</t>
        </is>
      </c>
      <c r="D12704" s="3" t="inlineStr">
        <is>
          <t>7610/630</t>
        </is>
      </c>
      <c r="E12704" s="3" t="inlineStr">
        <is>
          <t>Endulini CIP CoCT Development Contributi</t>
        </is>
      </c>
      <c r="F12704" s="3" t="n">
        <v>0</v>
      </c>
      <c r="G12704" s="3" t="n">
        <v>661860.3100000001</v>
      </c>
    </row>
    <row r="12705">
      <c r="A12705" s="3" t="inlineStr">
        <is>
          <t>Endulini (Pty) Ltd</t>
        </is>
      </c>
      <c r="B12705" s="4" t="n">
        <v>44957</v>
      </c>
      <c r="C12705" s="3" t="inlineStr">
        <is>
          <t>Assets</t>
        </is>
      </c>
      <c r="D12705" s="3" t="inlineStr">
        <is>
          <t>7610/640</t>
        </is>
      </c>
      <c r="E12705" s="3" t="inlineStr">
        <is>
          <t>Endulini CIP CoCT Building plan application</t>
        </is>
      </c>
      <c r="F12705" s="3" t="n">
        <v>0</v>
      </c>
      <c r="G12705" s="3" t="n">
        <v>111203.22</v>
      </c>
    </row>
    <row r="12706">
      <c r="A12706" s="3" t="inlineStr">
        <is>
          <t>Endulini (Pty) Ltd</t>
        </is>
      </c>
      <c r="B12706" s="4" t="n">
        <v>44957</v>
      </c>
      <c r="C12706" s="3" t="inlineStr">
        <is>
          <t>Assets</t>
        </is>
      </c>
      <c r="D12706" s="3" t="inlineStr">
        <is>
          <t>7610/650</t>
        </is>
      </c>
      <c r="E12706" s="3" t="inlineStr">
        <is>
          <t>Endulini CIP - P&amp;G recoveries - Endulini&amp;Heron Fields/View</t>
        </is>
      </c>
      <c r="F12706" s="3" t="n">
        <v>0</v>
      </c>
      <c r="G12706" s="3" t="n">
        <v>-3023829.42</v>
      </c>
    </row>
    <row r="12707">
      <c r="A12707" s="3" t="inlineStr">
        <is>
          <t>Endulini (Pty) Ltd</t>
        </is>
      </c>
      <c r="B12707" s="4" t="n">
        <v>44957</v>
      </c>
      <c r="C12707" s="3" t="inlineStr">
        <is>
          <t>Assets</t>
        </is>
      </c>
      <c r="D12707" s="3" t="inlineStr">
        <is>
          <t>7610/900</t>
        </is>
      </c>
      <c r="E12707" s="3" t="inlineStr">
        <is>
          <t>Endulini CIP Cost of Sales</t>
        </is>
      </c>
      <c r="F12707" s="3" t="n">
        <v>0</v>
      </c>
      <c r="G12707" s="3" t="n">
        <v>-28155981.9</v>
      </c>
    </row>
    <row r="12708">
      <c r="A12708" s="3" t="inlineStr">
        <is>
          <t>Quinate Consulting (Pty) Ltd</t>
        </is>
      </c>
      <c r="B12708" s="4" t="n">
        <v>44957</v>
      </c>
      <c r="C12708" s="3" t="inlineStr">
        <is>
          <t>Assets</t>
        </is>
      </c>
      <c r="D12708" s="3" t="inlineStr">
        <is>
          <t>7800/104</t>
        </is>
      </c>
      <c r="E12708" s="3" t="inlineStr">
        <is>
          <t>Stock - Closing Stock SW - 28 Feb 21</t>
        </is>
      </c>
      <c r="F12708" s="3" t="n">
        <v>0</v>
      </c>
      <c r="G12708" s="3" t="n">
        <v>2874478.88</v>
      </c>
    </row>
    <row r="12709">
      <c r="A12709" s="3" t="inlineStr">
        <is>
          <t>Quinate Consulting (Pty) Ltd</t>
        </is>
      </c>
      <c r="B12709" s="4" t="n">
        <v>44957</v>
      </c>
      <c r="C12709" s="3" t="inlineStr">
        <is>
          <t>Assets</t>
        </is>
      </c>
      <c r="D12709" s="3" t="inlineStr">
        <is>
          <t>7800/105</t>
        </is>
      </c>
      <c r="E12709" s="3" t="inlineStr">
        <is>
          <t>Stock - Closing Stock SH - 28 Feb 21</t>
        </is>
      </c>
      <c r="F12709" s="3" t="n">
        <v>0</v>
      </c>
      <c r="G12709" s="3" t="n">
        <v>2843477.6</v>
      </c>
    </row>
    <row r="12710">
      <c r="A12710" s="3" t="inlineStr">
        <is>
          <t>Endulini (Pty) Ltd</t>
        </is>
      </c>
      <c r="B12710" s="4" t="n">
        <v>44957</v>
      </c>
      <c r="C12710" s="3" t="inlineStr">
        <is>
          <t>Assets</t>
        </is>
      </c>
      <c r="D12710" s="3" t="inlineStr">
        <is>
          <t>8000/000</t>
        </is>
      </c>
      <c r="E12710" s="3" t="inlineStr">
        <is>
          <t>Customer Control Account</t>
        </is>
      </c>
      <c r="F12710" s="3" t="n">
        <v>0</v>
      </c>
      <c r="G12710" s="3" t="n">
        <v>3478538.07</v>
      </c>
    </row>
    <row r="12711">
      <c r="A12711" s="3" t="inlineStr">
        <is>
          <t>Noble Shield (Pty) Ltd ta Go Letting</t>
        </is>
      </c>
      <c r="B12711" s="4" t="n">
        <v>44957</v>
      </c>
      <c r="C12711" s="3" t="inlineStr">
        <is>
          <t>Assets</t>
        </is>
      </c>
      <c r="D12711" s="3" t="inlineStr">
        <is>
          <t>8000/000</t>
        </is>
      </c>
      <c r="E12711" s="3" t="inlineStr">
        <is>
          <t>Customer Control Account</t>
        </is>
      </c>
      <c r="F12711" s="3" t="n">
        <v>0</v>
      </c>
      <c r="G12711" s="3" t="n">
        <v>60289.32</v>
      </c>
    </row>
    <row r="12712">
      <c r="A12712" s="3" t="inlineStr">
        <is>
          <t>Opportunity Global Sales (PTY) LTD</t>
        </is>
      </c>
      <c r="B12712" s="4" t="n">
        <v>44957</v>
      </c>
      <c r="C12712" s="3" t="inlineStr">
        <is>
          <t>Assets</t>
        </is>
      </c>
      <c r="D12712" s="3" t="inlineStr">
        <is>
          <t>8000/000</t>
        </is>
      </c>
      <c r="E12712" s="3" t="inlineStr">
        <is>
          <t>Customer Control Account</t>
        </is>
      </c>
      <c r="F12712" s="3" t="n">
        <v>137747.91</v>
      </c>
      <c r="G12712" s="3" t="n">
        <v>302968.56</v>
      </c>
    </row>
    <row r="12713">
      <c r="A12713" s="3" t="inlineStr">
        <is>
          <t>Opportunity Management Holdings (PTY) LTD</t>
        </is>
      </c>
      <c r="B12713" s="4" t="n">
        <v>44957</v>
      </c>
      <c r="C12713" s="3" t="inlineStr">
        <is>
          <t>Assets</t>
        </is>
      </c>
      <c r="D12713" s="3" t="inlineStr">
        <is>
          <t>8000/000</t>
        </is>
      </c>
      <c r="E12713" s="3" t="inlineStr">
        <is>
          <t>Customer Control Account</t>
        </is>
      </c>
      <c r="F12713" s="3" t="n">
        <v>0</v>
      </c>
      <c r="G12713" s="3" t="n">
        <v>11500</v>
      </c>
    </row>
    <row r="12714">
      <c r="A12714" s="3" t="inlineStr">
        <is>
          <t>Quinate Consulting (Pty) Ltd</t>
        </is>
      </c>
      <c r="B12714" s="4" t="n">
        <v>44957</v>
      </c>
      <c r="C12714" s="3" t="inlineStr">
        <is>
          <t>Assets</t>
        </is>
      </c>
      <c r="D12714" s="3" t="inlineStr">
        <is>
          <t>8000/000</t>
        </is>
      </c>
      <c r="E12714" s="3" t="inlineStr">
        <is>
          <t>Customer Control Account</t>
        </is>
      </c>
      <c r="F12714" s="3" t="n">
        <v>36088.04</v>
      </c>
      <c r="G12714" s="3" t="n">
        <v>24389.24</v>
      </c>
    </row>
    <row r="12715">
      <c r="A12715" s="3" t="inlineStr">
        <is>
          <t>Quinate Consulting (Pty) Ltd</t>
        </is>
      </c>
      <c r="B12715" s="4" t="n">
        <v>44957</v>
      </c>
      <c r="C12715" s="3" t="inlineStr">
        <is>
          <t>Assets</t>
        </is>
      </c>
      <c r="D12715" s="3" t="inlineStr">
        <is>
          <t>8001</t>
        </is>
      </c>
      <c r="E12715" s="3" t="inlineStr">
        <is>
          <t>Customer Control</t>
        </is>
      </c>
      <c r="F12715" s="3" t="n">
        <v>0</v>
      </c>
      <c r="G12715" s="3" t="n">
        <v>29487.49</v>
      </c>
    </row>
    <row r="12716">
      <c r="A12716" s="3" t="inlineStr">
        <is>
          <t>Opportunity Global Investment (PTY) LTD</t>
        </is>
      </c>
      <c r="B12716" s="4" t="n">
        <v>44957</v>
      </c>
      <c r="C12716" s="3" t="inlineStr">
        <is>
          <t>Assets</t>
        </is>
      </c>
      <c r="D12716" s="3" t="inlineStr">
        <is>
          <t>8200/010</t>
        </is>
      </c>
      <c r="E12716" s="3" t="inlineStr">
        <is>
          <t>Prepayments / Prepaid Expenses</t>
        </is>
      </c>
      <c r="F12716" s="3" t="n">
        <v>-20180.89</v>
      </c>
      <c r="G12716" s="3" t="n">
        <v>0</v>
      </c>
    </row>
    <row r="12717">
      <c r="A12717" s="3" t="inlineStr">
        <is>
          <t>Quinate Consulting (Pty) Ltd</t>
        </is>
      </c>
      <c r="B12717" s="4" t="n">
        <v>44957</v>
      </c>
      <c r="C12717" s="3" t="inlineStr">
        <is>
          <t>Assets</t>
        </is>
      </c>
      <c r="D12717" s="3" t="inlineStr">
        <is>
          <t>8200/010</t>
        </is>
      </c>
      <c r="E12717" s="3" t="inlineStr">
        <is>
          <t>Prepayments / Prepaid Expenses</t>
        </is>
      </c>
      <c r="F12717" s="3" t="n">
        <v>0</v>
      </c>
      <c r="G12717" s="3" t="n">
        <v>109675</v>
      </c>
    </row>
    <row r="12718">
      <c r="A12718" s="3" t="inlineStr">
        <is>
          <t>Opportunity Global Sales (PTY) LTD</t>
        </is>
      </c>
      <c r="B12718" s="4" t="n">
        <v>44957</v>
      </c>
      <c r="C12718" s="3" t="inlineStr">
        <is>
          <t>Assets</t>
        </is>
      </c>
      <c r="D12718" s="3" t="inlineStr">
        <is>
          <t>8300/100</t>
        </is>
      </c>
      <c r="E12718" s="3" t="inlineStr">
        <is>
          <t>Staff Loan - Yvette Mostert</t>
        </is>
      </c>
      <c r="F12718" s="3" t="n">
        <v>-1500</v>
      </c>
      <c r="G12718" s="3" t="n">
        <v>1500</v>
      </c>
    </row>
    <row r="12719">
      <c r="A12719" s="3" t="inlineStr">
        <is>
          <t>Opportunity Global Investment (PTY) LTD</t>
        </is>
      </c>
      <c r="B12719" s="4" t="n">
        <v>44957</v>
      </c>
      <c r="C12719" s="3" t="inlineStr">
        <is>
          <t>Assets</t>
        </is>
      </c>
      <c r="D12719" s="3" t="inlineStr">
        <is>
          <t>8400/000</t>
        </is>
      </c>
      <c r="E12719" s="3" t="inlineStr">
        <is>
          <t>FNB 62093491696</t>
        </is>
      </c>
      <c r="F12719" s="3" t="n">
        <v>52593.01</v>
      </c>
      <c r="G12719" s="3" t="n">
        <v>89129.14</v>
      </c>
    </row>
    <row r="12720">
      <c r="A12720" s="3" t="inlineStr">
        <is>
          <t>Opportunity Global Sales (PTY) LTD</t>
        </is>
      </c>
      <c r="B12720" s="4" t="n">
        <v>44957</v>
      </c>
      <c r="C12720" s="3" t="inlineStr">
        <is>
          <t>Assets</t>
        </is>
      </c>
      <c r="D12720" s="3" t="inlineStr">
        <is>
          <t>8400/000</t>
        </is>
      </c>
      <c r="E12720" s="3" t="inlineStr">
        <is>
          <t>FNB 62835620875</t>
        </is>
      </c>
      <c r="F12720" s="3" t="n">
        <v>175681.76</v>
      </c>
      <c r="G12720" s="3" t="n">
        <v>192288.15</v>
      </c>
    </row>
    <row r="12721">
      <c r="A12721" s="3" t="inlineStr">
        <is>
          <t>Quinate Consulting (Pty) Ltd</t>
        </is>
      </c>
      <c r="B12721" s="4" t="n">
        <v>44957</v>
      </c>
      <c r="C12721" s="3" t="inlineStr">
        <is>
          <t>Assets</t>
        </is>
      </c>
      <c r="D12721" s="3" t="inlineStr">
        <is>
          <t>8400/000</t>
        </is>
      </c>
      <c r="E12721" s="3" t="inlineStr">
        <is>
          <t>RMB - 62736659189 - Call Acc</t>
        </is>
      </c>
      <c r="F12721" s="3" t="n">
        <v>709.13</v>
      </c>
      <c r="G12721" s="3" t="n">
        <v>155210.66</v>
      </c>
    </row>
    <row r="12722">
      <c r="A12722" s="3" t="inlineStr">
        <is>
          <t>Trademark Holdings (Pty) Ltd</t>
        </is>
      </c>
      <c r="B12722" s="4" t="n">
        <v>44957</v>
      </c>
      <c r="C12722" s="3" t="inlineStr">
        <is>
          <t>Assets</t>
        </is>
      </c>
      <c r="D12722" s="3" t="inlineStr">
        <is>
          <t>8400/000</t>
        </is>
      </c>
      <c r="E12722" s="3" t="inlineStr">
        <is>
          <t>RMB 623 693 03640</t>
        </is>
      </c>
      <c r="F12722" s="3" t="n">
        <v>27508.28</v>
      </c>
      <c r="G12722" s="3" t="n">
        <v>73678.17999999999</v>
      </c>
    </row>
    <row r="12723">
      <c r="A12723" s="3" t="inlineStr">
        <is>
          <t>Noble Shield (Pty) Ltd ta Go Letting</t>
        </is>
      </c>
      <c r="B12723" s="4" t="n">
        <v>44957</v>
      </c>
      <c r="C12723" s="3" t="inlineStr">
        <is>
          <t>Assets</t>
        </is>
      </c>
      <c r="D12723" s="3" t="inlineStr">
        <is>
          <t>8400/000</t>
        </is>
      </c>
      <c r="E12723" s="3" t="inlineStr">
        <is>
          <t>RMB 6250 573 3833</t>
        </is>
      </c>
      <c r="F12723" s="3" t="n">
        <v>-8732.120000000001</v>
      </c>
      <c r="G12723" s="3" t="n">
        <v>62444.67</v>
      </c>
    </row>
    <row r="12724">
      <c r="A12724" s="3" t="inlineStr">
        <is>
          <t>Endulini (Pty) Ltd</t>
        </is>
      </c>
      <c r="B12724" s="4" t="n">
        <v>44957</v>
      </c>
      <c r="C12724" s="3" t="inlineStr">
        <is>
          <t>Assets</t>
        </is>
      </c>
      <c r="D12724" s="3" t="inlineStr">
        <is>
          <t>8400/000</t>
        </is>
      </c>
      <c r="E12724" s="3" t="inlineStr">
        <is>
          <t>RMB 62906944576</t>
        </is>
      </c>
      <c r="F12724" s="3" t="n">
        <v>-15596.96</v>
      </c>
      <c r="G12724" s="3" t="n">
        <v>7211.58</v>
      </c>
    </row>
    <row r="12725">
      <c r="A12725" s="3" t="inlineStr">
        <is>
          <t>Opportunity Management Holdings (PTY) LTD</t>
        </is>
      </c>
      <c r="B12725" s="4" t="n">
        <v>44957</v>
      </c>
      <c r="C12725" s="3" t="inlineStr">
        <is>
          <t>Assets</t>
        </is>
      </c>
      <c r="D12725" s="3" t="inlineStr">
        <is>
          <t>8400/000</t>
        </is>
      </c>
      <c r="E12725" s="3" t="inlineStr">
        <is>
          <t>RMB Cheq - 62312246920</t>
        </is>
      </c>
      <c r="F12725" s="3" t="n">
        <v>84388.02</v>
      </c>
      <c r="G12725" s="3" t="n">
        <v>119092.75</v>
      </c>
    </row>
    <row r="12726">
      <c r="A12726" s="3" t="inlineStr">
        <is>
          <t>Opportunity Global Investment (PTY) LTD</t>
        </is>
      </c>
      <c r="B12726" s="4" t="n">
        <v>44957</v>
      </c>
      <c r="C12726" s="3" t="inlineStr">
        <is>
          <t>Assets</t>
        </is>
      </c>
      <c r="D12726" s="3" t="inlineStr">
        <is>
          <t>8405/000</t>
        </is>
      </c>
      <c r="E12726" s="3" t="inlineStr">
        <is>
          <t>FNB Trust 62762449265</t>
        </is>
      </c>
      <c r="F12726" s="3" t="n">
        <v>-63.58</v>
      </c>
      <c r="G12726" s="3" t="n">
        <v>756.66</v>
      </c>
    </row>
    <row r="12727">
      <c r="A12727" s="3" t="inlineStr">
        <is>
          <t>Endulini (Pty) Ltd</t>
        </is>
      </c>
      <c r="B12727" s="4" t="n">
        <v>44957</v>
      </c>
      <c r="C12727" s="3" t="inlineStr">
        <is>
          <t>Assets</t>
        </is>
      </c>
      <c r="D12727" s="3" t="inlineStr">
        <is>
          <t>8410/000</t>
        </is>
      </c>
      <c r="E12727" s="3" t="inlineStr">
        <is>
          <t>Momentum Investor Account : RU 502229883</t>
        </is>
      </c>
      <c r="F12727" s="3" t="n">
        <v>0</v>
      </c>
      <c r="G12727" s="3" t="n">
        <v>2614.24</v>
      </c>
    </row>
    <row r="12728">
      <c r="A12728" s="3" t="inlineStr">
        <is>
          <t>Opportunity Management Holdings (PTY) LTD</t>
        </is>
      </c>
      <c r="B12728" s="4" t="n">
        <v>44957</v>
      </c>
      <c r="C12728" s="3" t="inlineStr">
        <is>
          <t>Assets</t>
        </is>
      </c>
      <c r="D12728" s="3" t="inlineStr">
        <is>
          <t>8410/000</t>
        </is>
      </c>
      <c r="E12728" s="3" t="inlineStr">
        <is>
          <t>RMB Call Acc - 62312248851</t>
        </is>
      </c>
      <c r="F12728" s="3" t="n">
        <v>119.8</v>
      </c>
      <c r="G12728" s="3" t="n">
        <v>1436.48</v>
      </c>
    </row>
    <row r="12729">
      <c r="A12729" s="3" t="inlineStr">
        <is>
          <t>Noble Shield (Pty) Ltd ta Go Letting</t>
        </is>
      </c>
      <c r="B12729" s="4" t="n">
        <v>44957</v>
      </c>
      <c r="C12729" s="3" t="inlineStr">
        <is>
          <t>Assets</t>
        </is>
      </c>
      <c r="D12729" s="3" t="inlineStr">
        <is>
          <t>8410/000</t>
        </is>
      </c>
      <c r="E12729" s="3" t="inlineStr">
        <is>
          <t>RMB Trust Acc - 6250 615 1365</t>
        </is>
      </c>
      <c r="F12729" s="3" t="n">
        <v>-69.90000000000001</v>
      </c>
      <c r="G12729" s="3" t="n">
        <v>589.54</v>
      </c>
    </row>
    <row r="12730">
      <c r="A12730" s="3" t="inlineStr">
        <is>
          <t>Quinate Consulting (Pty) Ltd</t>
        </is>
      </c>
      <c r="B12730" s="4" t="n">
        <v>44957</v>
      </c>
      <c r="C12730" s="3" t="inlineStr">
        <is>
          <t>Assets</t>
        </is>
      </c>
      <c r="D12730" s="3" t="inlineStr">
        <is>
          <t>8415/000</t>
        </is>
      </c>
      <c r="E12730" s="3" t="inlineStr">
        <is>
          <t>STD Acc 071 958 959 - Facility Acc</t>
        </is>
      </c>
      <c r="F12730" s="3" t="n">
        <v>-255</v>
      </c>
      <c r="G12730" s="3" t="n">
        <v>3381.21</v>
      </c>
    </row>
    <row r="12731">
      <c r="A12731" s="3" t="inlineStr">
        <is>
          <t>Trademark Holdings (Pty) Ltd</t>
        </is>
      </c>
      <c r="B12731" s="4" t="n">
        <v>44957</v>
      </c>
      <c r="C12731" s="3" t="inlineStr">
        <is>
          <t>Assets</t>
        </is>
      </c>
      <c r="D12731" s="3" t="inlineStr">
        <is>
          <t>8420/000</t>
        </is>
      </c>
      <c r="E12731" s="3" t="inlineStr">
        <is>
          <t>FNB Credit Card</t>
        </is>
      </c>
      <c r="F12731" s="3" t="n">
        <v>0</v>
      </c>
      <c r="G12731" s="3" t="n">
        <v>52</v>
      </c>
    </row>
    <row r="12732">
      <c r="A12732" s="3" t="inlineStr">
        <is>
          <t>Quinate Consulting (Pty) Ltd</t>
        </is>
      </c>
      <c r="B12732" s="4" t="n">
        <v>44957</v>
      </c>
      <c r="C12732" s="3" t="inlineStr">
        <is>
          <t>Assets</t>
        </is>
      </c>
      <c r="D12732" s="3" t="inlineStr">
        <is>
          <t>8430/000</t>
        </is>
      </c>
      <c r="E12732" s="3" t="inlineStr">
        <is>
          <t>Momentum Investment Acc - RU502230185</t>
        </is>
      </c>
      <c r="F12732" s="3" t="n">
        <v>0</v>
      </c>
      <c r="G12732" s="3" t="n">
        <v>523.64</v>
      </c>
    </row>
    <row r="12733">
      <c r="A12733" s="3" t="inlineStr">
        <is>
          <t>Opportunity Global Investment (PTY) LTD</t>
        </is>
      </c>
      <c r="B12733" s="4" t="n">
        <v>44957</v>
      </c>
      <c r="C12733" s="3" t="inlineStr">
        <is>
          <t>Assets</t>
        </is>
      </c>
      <c r="D12733" s="3" t="inlineStr">
        <is>
          <t>8440/000</t>
        </is>
      </c>
      <c r="E12733" s="3" t="inlineStr">
        <is>
          <t>FNB - Call 627602764438</t>
        </is>
      </c>
      <c r="F12733" s="3" t="n">
        <v>-4.74</v>
      </c>
      <c r="G12733" s="3" t="n">
        <v>952.53</v>
      </c>
    </row>
    <row r="12734">
      <c r="A12734" s="3" t="inlineStr">
        <is>
          <t>Opportunity Global Investment (PTY) LTD</t>
        </is>
      </c>
      <c r="B12734" s="4" t="n">
        <v>44957</v>
      </c>
      <c r="C12734" s="3" t="inlineStr">
        <is>
          <t>Assets</t>
        </is>
      </c>
      <c r="D12734" s="3" t="inlineStr">
        <is>
          <t>8445/000</t>
        </is>
      </c>
      <c r="E12734" s="3" t="inlineStr">
        <is>
          <t>Momentum RU502230096</t>
        </is>
      </c>
      <c r="F12734" s="3" t="n">
        <v>82.34999999999999</v>
      </c>
      <c r="G12734" s="3" t="n">
        <v>4676.12</v>
      </c>
    </row>
    <row r="12735">
      <c r="A12735" s="3" t="inlineStr">
        <is>
          <t>Quinate Consulting (Pty) Ltd</t>
        </is>
      </c>
      <c r="B12735" s="4" t="n">
        <v>44957</v>
      </c>
      <c r="C12735" s="3" t="inlineStr">
        <is>
          <t>Assets</t>
        </is>
      </c>
      <c r="D12735" s="3" t="inlineStr">
        <is>
          <t>8450/000</t>
        </is>
      </c>
      <c r="E12735" s="3" t="inlineStr">
        <is>
          <t>A RMB 62275810820</t>
        </is>
      </c>
      <c r="F12735" s="3" t="n">
        <v>-143578.94</v>
      </c>
      <c r="G12735" s="3" t="n">
        <v>32967.55</v>
      </c>
    </row>
    <row r="12736">
      <c r="A12736" s="3" t="inlineStr">
        <is>
          <t>Opportunity Management Holdings (PTY) LTD</t>
        </is>
      </c>
      <c r="B12736" s="4" t="n">
        <v>44957</v>
      </c>
      <c r="C12736" s="3" t="inlineStr">
        <is>
          <t>Assets</t>
        </is>
      </c>
      <c r="D12736" s="3" t="inlineStr">
        <is>
          <t>8450/000</t>
        </is>
      </c>
      <c r="E12736" s="3" t="inlineStr">
        <is>
          <t>Petty Cash - CT Office</t>
        </is>
      </c>
      <c r="F12736" s="3" t="n">
        <v>-270</v>
      </c>
      <c r="G12736" s="3" t="n">
        <v>78.90000000000001</v>
      </c>
    </row>
    <row r="12737">
      <c r="A12737" s="3" t="inlineStr">
        <is>
          <t>Quinate Consulting (Pty) Ltd</t>
        </is>
      </c>
      <c r="B12737" s="4" t="n">
        <v>44957</v>
      </c>
      <c r="C12737" s="3" t="inlineStr">
        <is>
          <t>Liabilities</t>
        </is>
      </c>
      <c r="D12737" s="3" t="inlineStr">
        <is>
          <t>8480/100</t>
        </is>
      </c>
      <c r="E12737" s="3" t="inlineStr">
        <is>
          <t>Bond - SH20 - STD Bank 532010558</t>
        </is>
      </c>
      <c r="F12737" s="3" t="n">
        <v>-21619.04</v>
      </c>
      <c r="G12737" s="3" t="n">
        <v>-1357932.01</v>
      </c>
    </row>
    <row r="12738">
      <c r="A12738" s="3" t="inlineStr">
        <is>
          <t>Quinate Consulting (Pty) Ltd</t>
        </is>
      </c>
      <c r="B12738" s="4" t="n">
        <v>44957</v>
      </c>
      <c r="C12738" s="3" t="inlineStr">
        <is>
          <t>Liabilities</t>
        </is>
      </c>
      <c r="D12738" s="3" t="inlineStr">
        <is>
          <t>8480/200</t>
        </is>
      </c>
      <c r="E12738" s="3" t="inlineStr">
        <is>
          <t>Bond - SH23 - STD Bank 532010035</t>
        </is>
      </c>
      <c r="F12738" s="3" t="n">
        <v>-21619.41</v>
      </c>
      <c r="G12738" s="3" t="n">
        <v>-1357774.72</v>
      </c>
    </row>
    <row r="12739">
      <c r="A12739" s="3" t="inlineStr">
        <is>
          <t>Quinate Consulting (Pty) Ltd</t>
        </is>
      </c>
      <c r="B12739" s="4" t="n">
        <v>44957</v>
      </c>
      <c r="C12739" s="3" t="inlineStr">
        <is>
          <t>Liabilities</t>
        </is>
      </c>
      <c r="D12739" s="3" t="inlineStr">
        <is>
          <t>8480/300</t>
        </is>
      </c>
      <c r="E12739" s="3" t="inlineStr">
        <is>
          <t>Bond - SH24 - STD Bank 532372662</t>
        </is>
      </c>
      <c r="F12739" s="3" t="n">
        <v>-24324.49</v>
      </c>
      <c r="G12739" s="3" t="n">
        <v>-1454588.05</v>
      </c>
    </row>
    <row r="12740">
      <c r="A12740" s="3" t="inlineStr">
        <is>
          <t>Quinate Consulting (Pty) Ltd</t>
        </is>
      </c>
      <c r="B12740" s="4" t="n">
        <v>44957</v>
      </c>
      <c r="C12740" s="3" t="inlineStr">
        <is>
          <t>Liabilities</t>
        </is>
      </c>
      <c r="D12740" s="3" t="inlineStr">
        <is>
          <t>8480/400</t>
        </is>
      </c>
      <c r="E12740" s="3" t="inlineStr">
        <is>
          <t>Bond - SW01 - STD Bank 532920627</t>
        </is>
      </c>
      <c r="F12740" s="3" t="n">
        <v>-21681.36</v>
      </c>
      <c r="G12740" s="3" t="n">
        <v>-1294501.33</v>
      </c>
    </row>
    <row r="12741">
      <c r="A12741" s="3" t="inlineStr">
        <is>
          <t>Quinate Consulting (Pty) Ltd</t>
        </is>
      </c>
      <c r="B12741" s="4" t="n">
        <v>44957</v>
      </c>
      <c r="C12741" s="3" t="inlineStr">
        <is>
          <t>Liabilities</t>
        </is>
      </c>
      <c r="D12741" s="3" t="inlineStr">
        <is>
          <t>8480/401</t>
        </is>
      </c>
      <c r="E12741" s="3" t="inlineStr">
        <is>
          <t>Bond - SW21 - STD Bank 532920597</t>
        </is>
      </c>
      <c r="F12741" s="3" t="n">
        <v>-21690.18</v>
      </c>
      <c r="G12741" s="3" t="n">
        <v>-1295015.26</v>
      </c>
    </row>
    <row r="12742">
      <c r="A12742" s="3" t="inlineStr">
        <is>
          <t>Opportunity Global Investment (PTY) LTD</t>
        </is>
      </c>
      <c r="B12742" s="4" t="n">
        <v>44957</v>
      </c>
      <c r="C12742" s="3" t="inlineStr">
        <is>
          <t>Liabilities</t>
        </is>
      </c>
      <c r="D12742" s="3" t="inlineStr">
        <is>
          <t>860</t>
        </is>
      </c>
      <c r="E12742" s="3" t="inlineStr">
        <is>
          <t>Rounding</t>
        </is>
      </c>
      <c r="F12742" s="3" t="n">
        <v>-0.01</v>
      </c>
      <c r="G12742" s="3" t="n">
        <v>-0.04</v>
      </c>
    </row>
    <row r="12743">
      <c r="A12743" s="3" t="inlineStr">
        <is>
          <t>Opportunity Global Sales (PTY) LTD</t>
        </is>
      </c>
      <c r="B12743" s="4" t="n">
        <v>44957</v>
      </c>
      <c r="C12743" s="3" t="inlineStr">
        <is>
          <t>Liabilities</t>
        </is>
      </c>
      <c r="D12743" s="3" t="inlineStr">
        <is>
          <t>860</t>
        </is>
      </c>
      <c r="E12743" s="3" t="inlineStr">
        <is>
          <t>Rounding</t>
        </is>
      </c>
      <c r="F12743" s="3" t="n">
        <v>0</v>
      </c>
      <c r="G12743" s="3" t="n">
        <v>-1</v>
      </c>
    </row>
    <row r="12744">
      <c r="A12744" s="3" t="inlineStr">
        <is>
          <t>Quinate Consulting (Pty) Ltd</t>
        </is>
      </c>
      <c r="B12744" s="4" t="n">
        <v>44957</v>
      </c>
      <c r="C12744" s="3" t="inlineStr">
        <is>
          <t>Liabilities</t>
        </is>
      </c>
      <c r="D12744" s="3" t="inlineStr">
        <is>
          <t>860</t>
        </is>
      </c>
      <c r="E12744" s="3" t="inlineStr">
        <is>
          <t>Rounding</t>
        </is>
      </c>
      <c r="F12744" s="3" t="n">
        <v>-3.11</v>
      </c>
      <c r="G12744" s="3" t="n">
        <v>-3.06</v>
      </c>
    </row>
    <row r="12745">
      <c r="A12745" s="3" t="inlineStr">
        <is>
          <t>Trademark Holdings (Pty) Ltd</t>
        </is>
      </c>
      <c r="B12745" s="4" t="n">
        <v>44957</v>
      </c>
      <c r="C12745" s="3" t="inlineStr">
        <is>
          <t>Liabilities</t>
        </is>
      </c>
      <c r="D12745" s="3" t="inlineStr">
        <is>
          <t>860</t>
        </is>
      </c>
      <c r="E12745" s="3" t="inlineStr">
        <is>
          <t>Rounding</t>
        </is>
      </c>
      <c r="F12745" s="3" t="n">
        <v>0</v>
      </c>
      <c r="G12745" s="3" t="n">
        <v>0.2</v>
      </c>
    </row>
    <row r="12746">
      <c r="A12746" s="3" t="inlineStr">
        <is>
          <t>Endulini (Pty) Ltd</t>
        </is>
      </c>
      <c r="B12746" s="4" t="n">
        <v>44957</v>
      </c>
      <c r="C12746" s="3" t="inlineStr">
        <is>
          <t>Liabilities</t>
        </is>
      </c>
      <c r="D12746" s="3" t="inlineStr">
        <is>
          <t>9000/000</t>
        </is>
      </c>
      <c r="E12746" s="3" t="inlineStr">
        <is>
          <t>Supplier Control Account</t>
        </is>
      </c>
      <c r="F12746" s="3" t="n">
        <v>126.56</v>
      </c>
      <c r="G12746" s="3" t="n">
        <v>-19506138.92</v>
      </c>
    </row>
    <row r="12747">
      <c r="A12747" s="3" t="inlineStr">
        <is>
          <t>Noble Shield (Pty) Ltd ta Go Letting</t>
        </is>
      </c>
      <c r="B12747" s="4" t="n">
        <v>44957</v>
      </c>
      <c r="C12747" s="3" t="inlineStr">
        <is>
          <t>Liabilities</t>
        </is>
      </c>
      <c r="D12747" s="3" t="inlineStr">
        <is>
          <t>9000/000</t>
        </is>
      </c>
      <c r="E12747" s="3" t="inlineStr">
        <is>
          <t>Supplier Control Account</t>
        </is>
      </c>
      <c r="F12747" s="3" t="n">
        <v>17703.8</v>
      </c>
      <c r="G12747" s="3" t="n">
        <v>-45560.6</v>
      </c>
    </row>
    <row r="12748">
      <c r="A12748" s="3" t="inlineStr">
        <is>
          <t>Opportunity Global Investment (PTY) LTD</t>
        </is>
      </c>
      <c r="B12748" s="4" t="n">
        <v>44957</v>
      </c>
      <c r="C12748" s="3" t="inlineStr">
        <is>
          <t>Liabilities</t>
        </is>
      </c>
      <c r="D12748" s="3" t="inlineStr">
        <is>
          <t>9000/000</t>
        </is>
      </c>
      <c r="E12748" s="3" t="inlineStr">
        <is>
          <t>Supplier Control Account</t>
        </is>
      </c>
      <c r="F12748" s="3" t="n">
        <v>86311.03</v>
      </c>
      <c r="G12748" s="3" t="n">
        <v>-37874.67</v>
      </c>
    </row>
    <row r="12749">
      <c r="A12749" s="3" t="inlineStr">
        <is>
          <t>Opportunity Global Sales (PTY) LTD</t>
        </is>
      </c>
      <c r="B12749" s="4" t="n">
        <v>44957</v>
      </c>
      <c r="C12749" s="3" t="inlineStr">
        <is>
          <t>Liabilities</t>
        </is>
      </c>
      <c r="D12749" s="3" t="inlineStr">
        <is>
          <t>9000/000</t>
        </is>
      </c>
      <c r="E12749" s="3" t="inlineStr">
        <is>
          <t>Supplier Control Account</t>
        </is>
      </c>
      <c r="F12749" s="3" t="n">
        <v>-18828.1</v>
      </c>
      <c r="G12749" s="3" t="n">
        <v>-18639.58</v>
      </c>
    </row>
    <row r="12750">
      <c r="A12750" s="3" t="inlineStr">
        <is>
          <t>Opportunity Management Holdings (PTY) LTD</t>
        </is>
      </c>
      <c r="B12750" s="4" t="n">
        <v>44957</v>
      </c>
      <c r="C12750" s="3" t="inlineStr">
        <is>
          <t>Liabilities</t>
        </is>
      </c>
      <c r="D12750" s="3" t="inlineStr">
        <is>
          <t>9000/000</t>
        </is>
      </c>
      <c r="E12750" s="3" t="inlineStr">
        <is>
          <t>Supplier Control Account</t>
        </is>
      </c>
      <c r="F12750" s="3" t="n">
        <v>6647.98</v>
      </c>
      <c r="G12750" s="3" t="n">
        <v>-280265.71</v>
      </c>
    </row>
    <row r="12751">
      <c r="A12751" s="3" t="inlineStr">
        <is>
          <t>Quinate Consulting (Pty) Ltd</t>
        </is>
      </c>
      <c r="B12751" s="4" t="n">
        <v>44957</v>
      </c>
      <c r="C12751" s="3" t="inlineStr">
        <is>
          <t>Liabilities</t>
        </is>
      </c>
      <c r="D12751" s="3" t="inlineStr">
        <is>
          <t>9000/000</t>
        </is>
      </c>
      <c r="E12751" s="3" t="inlineStr">
        <is>
          <t>Supplier Control Account</t>
        </is>
      </c>
      <c r="F12751" s="3" t="n">
        <v>-142810.71</v>
      </c>
      <c r="G12751" s="3" t="n">
        <v>409995.28</v>
      </c>
    </row>
    <row r="12752">
      <c r="A12752" s="3" t="inlineStr">
        <is>
          <t>Trademark Holdings (Pty) Ltd</t>
        </is>
      </c>
      <c r="B12752" s="4" t="n">
        <v>44957</v>
      </c>
      <c r="C12752" s="3" t="inlineStr">
        <is>
          <t>Liabilities</t>
        </is>
      </c>
      <c r="D12752" s="3" t="inlineStr">
        <is>
          <t>9000/000</t>
        </is>
      </c>
      <c r="E12752" s="3" t="inlineStr">
        <is>
          <t>Supplier Control Account</t>
        </is>
      </c>
      <c r="F12752" s="3" t="n">
        <v>-6212</v>
      </c>
      <c r="G12752" s="3" t="n">
        <v>-37502.56</v>
      </c>
    </row>
    <row r="12753">
      <c r="A12753" s="3" t="inlineStr">
        <is>
          <t>Quinate Consulting (Pty) Ltd</t>
        </is>
      </c>
      <c r="B12753" s="4" t="n">
        <v>44957</v>
      </c>
      <c r="C12753" s="3" t="inlineStr">
        <is>
          <t>Liabilities</t>
        </is>
      </c>
      <c r="D12753" s="3" t="inlineStr">
        <is>
          <t>9001</t>
        </is>
      </c>
      <c r="E12753" s="3" t="inlineStr">
        <is>
          <t>Supplier Control</t>
        </is>
      </c>
      <c r="F12753" s="3" t="n">
        <v>0</v>
      </c>
      <c r="G12753" s="3" t="n">
        <v>-347315.41</v>
      </c>
    </row>
    <row r="12754">
      <c r="A12754" s="3" t="inlineStr">
        <is>
          <t>Opportunity Management Holdings (PTY) LTD</t>
        </is>
      </c>
      <c r="B12754" s="4" t="n">
        <v>44957</v>
      </c>
      <c r="C12754" s="3" t="inlineStr">
        <is>
          <t>Liabilities</t>
        </is>
      </c>
      <c r="D12754" s="3" t="inlineStr">
        <is>
          <t>9100/000</t>
        </is>
      </c>
      <c r="E12754" s="3" t="inlineStr">
        <is>
          <t>PAYE/UIF/SDL Accrual - Prior Years ADJ</t>
        </is>
      </c>
      <c r="F12754" s="3" t="n">
        <v>0</v>
      </c>
      <c r="G12754" s="3" t="n">
        <v>-33739.36</v>
      </c>
    </row>
    <row r="12755">
      <c r="A12755" s="3" t="inlineStr">
        <is>
          <t>Opportunity Management Holdings (PTY) LTD</t>
        </is>
      </c>
      <c r="B12755" s="4" t="n">
        <v>44957</v>
      </c>
      <c r="C12755" s="3" t="inlineStr">
        <is>
          <t>Assets</t>
        </is>
      </c>
      <c r="D12755" s="3" t="inlineStr">
        <is>
          <t>9110/000</t>
        </is>
      </c>
      <c r="E12755" s="3" t="inlineStr">
        <is>
          <t>Deposit Received</t>
        </is>
      </c>
      <c r="F12755" s="3" t="n">
        <v>0</v>
      </c>
      <c r="G12755" s="3" t="n">
        <v>-3852.5</v>
      </c>
    </row>
    <row r="12756">
      <c r="A12756" s="3" t="inlineStr">
        <is>
          <t>Opportunity Global Investment (PTY) LTD</t>
        </is>
      </c>
      <c r="B12756" s="4" t="n">
        <v>44957</v>
      </c>
      <c r="C12756" s="3" t="inlineStr">
        <is>
          <t>Liabilities</t>
        </is>
      </c>
      <c r="D12756" s="3" t="inlineStr">
        <is>
          <t>9110/000</t>
        </is>
      </c>
      <c r="E12756" s="3" t="inlineStr">
        <is>
          <t>Taxation B/S</t>
        </is>
      </c>
      <c r="F12756" s="3" t="n">
        <v>0</v>
      </c>
      <c r="G12756" s="3" t="n">
        <v>-22.19</v>
      </c>
    </row>
    <row r="12757">
      <c r="A12757" s="3" t="inlineStr">
        <is>
          <t>Noble Shield (Pty) Ltd ta Go Letting</t>
        </is>
      </c>
      <c r="B12757" s="4" t="n">
        <v>44957</v>
      </c>
      <c r="C12757" s="3" t="inlineStr">
        <is>
          <t>Liabilities</t>
        </is>
      </c>
      <c r="D12757" s="3" t="inlineStr">
        <is>
          <t>9250/010</t>
        </is>
      </c>
      <c r="E12757" s="3" t="inlineStr">
        <is>
          <t>SALARY CONTROL</t>
        </is>
      </c>
      <c r="F12757" s="3" t="n">
        <v>-992.63</v>
      </c>
      <c r="G12757" s="3" t="n">
        <v>-17757.17</v>
      </c>
    </row>
    <row r="12758">
      <c r="A12758" s="3" t="inlineStr">
        <is>
          <t>Trademark Holdings (Pty) Ltd</t>
        </is>
      </c>
      <c r="B12758" s="4" t="n">
        <v>44957</v>
      </c>
      <c r="C12758" s="3" t="inlineStr">
        <is>
          <t>Liabilities</t>
        </is>
      </c>
      <c r="D12758" s="3" t="inlineStr">
        <is>
          <t>9250/010</t>
        </is>
      </c>
      <c r="E12758" s="3" t="inlineStr">
        <is>
          <t>SALARY CONTROL</t>
        </is>
      </c>
      <c r="F12758" s="3" t="n">
        <v>574.86</v>
      </c>
      <c r="G12758" s="3" t="n">
        <v>-19330.37</v>
      </c>
    </row>
    <row r="12759">
      <c r="A12759" s="3" t="inlineStr">
        <is>
          <t>Noble Shield (Pty) Ltd ta Go Letting</t>
        </is>
      </c>
      <c r="B12759" s="4" t="n">
        <v>44957</v>
      </c>
      <c r="C12759" s="3" t="inlineStr">
        <is>
          <t>Liabilities</t>
        </is>
      </c>
      <c r="D12759" s="3" t="inlineStr">
        <is>
          <t>9250/020</t>
        </is>
      </c>
      <c r="E12759" s="3" t="inlineStr">
        <is>
          <t>PAYE, UIF AND SDL CONTROL</t>
        </is>
      </c>
      <c r="F12759" s="3" t="n">
        <v>-362.19</v>
      </c>
      <c r="G12759" s="3" t="n">
        <v>-6041.56</v>
      </c>
    </row>
    <row r="12760">
      <c r="A12760" s="3" t="inlineStr">
        <is>
          <t>Opportunity Global Investment (PTY) LTD</t>
        </is>
      </c>
      <c r="B12760" s="4" t="n">
        <v>44957</v>
      </c>
      <c r="C12760" s="3" t="inlineStr">
        <is>
          <t>Liabilities</t>
        </is>
      </c>
      <c r="D12760" s="3" t="inlineStr">
        <is>
          <t>9250/020</t>
        </is>
      </c>
      <c r="E12760" s="3" t="inlineStr">
        <is>
          <t>PAYE, UIF AND SDL CONTROL</t>
        </is>
      </c>
      <c r="F12760" s="3" t="n">
        <v>-157746.39</v>
      </c>
      <c r="G12760" s="3" t="n">
        <v>-44711.97</v>
      </c>
    </row>
    <row r="12761">
      <c r="A12761" s="3" t="inlineStr">
        <is>
          <t>Opportunity Global Sales (PTY) LTD</t>
        </is>
      </c>
      <c r="B12761" s="4" t="n">
        <v>44957</v>
      </c>
      <c r="C12761" s="3" t="inlineStr">
        <is>
          <t>Liabilities</t>
        </is>
      </c>
      <c r="D12761" s="3" t="inlineStr">
        <is>
          <t>9250/020</t>
        </is>
      </c>
      <c r="E12761" s="3" t="inlineStr">
        <is>
          <t>PAYE, UIF AND SDL CONTROL</t>
        </is>
      </c>
      <c r="F12761" s="3" t="n">
        <v>173686.37</v>
      </c>
      <c r="G12761" s="3" t="n">
        <v>0</v>
      </c>
    </row>
    <row r="12762">
      <c r="A12762" s="3" t="inlineStr">
        <is>
          <t>Opportunity Management Holdings (PTY) LTD</t>
        </is>
      </c>
      <c r="B12762" s="4" t="n">
        <v>44957</v>
      </c>
      <c r="C12762" s="3" t="inlineStr">
        <is>
          <t>Liabilities</t>
        </is>
      </c>
      <c r="D12762" s="3" t="inlineStr">
        <is>
          <t>9250/020</t>
        </is>
      </c>
      <c r="E12762" s="3" t="inlineStr">
        <is>
          <t>PAYE, UIF AND SDL CONTROL</t>
        </is>
      </c>
      <c r="F12762" s="3" t="n">
        <v>-6927.9</v>
      </c>
      <c r="G12762" s="3" t="n">
        <v>-55634.2</v>
      </c>
    </row>
    <row r="12763">
      <c r="A12763" s="3" t="inlineStr">
        <is>
          <t>Trademark Holdings (Pty) Ltd</t>
        </is>
      </c>
      <c r="B12763" s="4" t="n">
        <v>44957</v>
      </c>
      <c r="C12763" s="3" t="inlineStr">
        <is>
          <t>Liabilities</t>
        </is>
      </c>
      <c r="D12763" s="3" t="inlineStr">
        <is>
          <t>9250/020</t>
        </is>
      </c>
      <c r="E12763" s="3" t="inlineStr">
        <is>
          <t>PAYE, UIF AND SDL CONTROL</t>
        </is>
      </c>
      <c r="F12763" s="3" t="n">
        <v>266.6</v>
      </c>
      <c r="G12763" s="3" t="n">
        <v>-5862.93</v>
      </c>
    </row>
    <row r="12764">
      <c r="A12764" s="3" t="inlineStr">
        <is>
          <t>Opportunity Global Investment (PTY) LTD</t>
        </is>
      </c>
      <c r="B12764" s="4" t="n">
        <v>44957</v>
      </c>
      <c r="C12764" s="3" t="inlineStr">
        <is>
          <t>Liabilities</t>
        </is>
      </c>
      <c r="D12764" s="3" t="inlineStr">
        <is>
          <t>9400/030</t>
        </is>
      </c>
      <c r="E12764" s="3" t="inlineStr">
        <is>
          <t>Accrued Expenses - PAYE_AND_UIF</t>
        </is>
      </c>
      <c r="F12764" s="3" t="n">
        <v>0</v>
      </c>
      <c r="G12764" s="3" t="n">
        <v>-2</v>
      </c>
    </row>
    <row r="12765">
      <c r="A12765" s="3" t="inlineStr">
        <is>
          <t>Trademark Holdings (Pty) Ltd</t>
        </is>
      </c>
      <c r="B12765" s="4" t="n">
        <v>44957</v>
      </c>
      <c r="C12765" s="3" t="inlineStr">
        <is>
          <t>Liabilities</t>
        </is>
      </c>
      <c r="D12765" s="3" t="inlineStr">
        <is>
          <t>9400/400</t>
        </is>
      </c>
      <c r="E12765" s="3" t="inlineStr">
        <is>
          <t>Deemed Dividend Tax</t>
        </is>
      </c>
      <c r="F12765" s="3" t="n">
        <v>0</v>
      </c>
      <c r="G12765" s="3" t="n">
        <v>-699.13</v>
      </c>
    </row>
    <row r="12766">
      <c r="A12766" s="3" t="inlineStr">
        <is>
          <t>Opportunity Global Investment (PTY) LTD</t>
        </is>
      </c>
      <c r="B12766" s="4" t="n">
        <v>44957</v>
      </c>
      <c r="C12766" s="3" t="inlineStr">
        <is>
          <t>Liabilities</t>
        </is>
      </c>
      <c r="D12766" s="3" t="inlineStr">
        <is>
          <t>9500/000</t>
        </is>
      </c>
      <c r="E12766" s="3" t="inlineStr">
        <is>
          <t>VAT Control Account</t>
        </is>
      </c>
      <c r="F12766" s="3" t="n">
        <v>197930.79</v>
      </c>
      <c r="G12766" s="3" t="n">
        <v>531577.8199999999</v>
      </c>
    </row>
    <row r="12767">
      <c r="A12767" s="3" t="inlineStr">
        <is>
          <t>Opportunity Global Sales (PTY) LTD</t>
        </is>
      </c>
      <c r="B12767" s="4" t="n">
        <v>44957</v>
      </c>
      <c r="C12767" s="3" t="inlineStr">
        <is>
          <t>Liabilities</t>
        </is>
      </c>
      <c r="D12767" s="3" t="inlineStr">
        <is>
          <t>9500/000</t>
        </is>
      </c>
      <c r="E12767" s="3" t="inlineStr">
        <is>
          <t>VAT Control Account</t>
        </is>
      </c>
      <c r="F12767" s="3" t="n">
        <v>-80975.39</v>
      </c>
      <c r="G12767" s="3" t="n">
        <v>-598559.41</v>
      </c>
    </row>
    <row r="12768">
      <c r="A12768" s="3" t="inlineStr">
        <is>
          <t>Opportunity Management Holdings (PTY) LTD</t>
        </is>
      </c>
      <c r="B12768" s="4" t="n">
        <v>44957</v>
      </c>
      <c r="C12768" s="3" t="inlineStr">
        <is>
          <t>Liabilities</t>
        </is>
      </c>
      <c r="D12768" s="3" t="inlineStr">
        <is>
          <t>9500/000</t>
        </is>
      </c>
      <c r="E12768" s="3" t="inlineStr">
        <is>
          <t>VAT Control Account</t>
        </is>
      </c>
      <c r="F12768" s="3" t="n">
        <v>-45158</v>
      </c>
      <c r="G12768" s="3" t="n">
        <v>68899.28999999999</v>
      </c>
    </row>
    <row r="12769">
      <c r="A12769" s="3" t="inlineStr">
        <is>
          <t>Endulini (Pty) Ltd</t>
        </is>
      </c>
      <c r="B12769" s="4" t="n">
        <v>44957</v>
      </c>
      <c r="C12769" s="3" t="inlineStr">
        <is>
          <t>Liabilities</t>
        </is>
      </c>
      <c r="D12769" s="3" t="inlineStr">
        <is>
          <t>9500/000</t>
        </is>
      </c>
      <c r="E12769" s="3" t="inlineStr">
        <is>
          <t>Vat / Tax Control Account</t>
        </is>
      </c>
      <c r="F12769" s="3" t="n">
        <v>11961.85</v>
      </c>
      <c r="G12769" s="3" t="n">
        <v>-2330028.06</v>
      </c>
    </row>
    <row r="12770">
      <c r="A12770" s="3" t="inlineStr">
        <is>
          <t>Quinate Consulting (Pty) Ltd</t>
        </is>
      </c>
      <c r="B12770" s="4" t="n">
        <v>44957</v>
      </c>
      <c r="C12770" s="3" t="inlineStr">
        <is>
          <t>Liabilities</t>
        </is>
      </c>
      <c r="D12770" s="3" t="inlineStr">
        <is>
          <t>9500/000</t>
        </is>
      </c>
      <c r="E12770" s="3" t="inlineStr">
        <is>
          <t>Vat Control Account</t>
        </is>
      </c>
      <c r="F12770" s="3" t="n">
        <v>395440.44</v>
      </c>
      <c r="G12770" s="3" t="n">
        <v>1980590.87</v>
      </c>
    </row>
    <row r="12771">
      <c r="A12771" s="3" t="inlineStr">
        <is>
          <t>Opportunity Management Holdings (PTY) LTD</t>
        </is>
      </c>
      <c r="B12771" s="4" t="n">
        <v>44957</v>
      </c>
      <c r="C12771" s="3" t="inlineStr">
        <is>
          <t>Liabilities</t>
        </is>
      </c>
      <c r="D12771" s="3" t="inlineStr">
        <is>
          <t>9501/000</t>
        </is>
      </c>
      <c r="E12771" s="3" t="inlineStr">
        <is>
          <t>Vat Adjustments - C2M</t>
        </is>
      </c>
      <c r="F12771" s="3" t="n">
        <v>0</v>
      </c>
      <c r="G12771" s="3" t="n">
        <v>47274.04</v>
      </c>
    </row>
    <row r="12772">
      <c r="A12772" s="3" t="inlineStr">
        <is>
          <t>Endulini (Pty) Ltd</t>
        </is>
      </c>
      <c r="B12772" s="4" t="n">
        <v>44957</v>
      </c>
      <c r="C12772" s="3" t="inlineStr">
        <is>
          <t>Liabilities</t>
        </is>
      </c>
      <c r="D12772" s="3" t="inlineStr">
        <is>
          <t>9899/A101</t>
        </is>
      </c>
      <c r="E12772" s="3" t="inlineStr">
        <is>
          <t>Sales - Unit Reg Control A101</t>
        </is>
      </c>
      <c r="F12772" s="3" t="n">
        <v>0</v>
      </c>
      <c r="G12772" s="3" t="n">
        <v>-1134.24</v>
      </c>
    </row>
    <row r="12773">
      <c r="A12773" s="3" t="inlineStr">
        <is>
          <t>Endulini (Pty) Ltd</t>
        </is>
      </c>
      <c r="B12773" s="4" t="n">
        <v>44957</v>
      </c>
      <c r="C12773" s="3" t="inlineStr">
        <is>
          <t>Liabilities</t>
        </is>
      </c>
      <c r="D12773" s="3" t="inlineStr">
        <is>
          <t>9899/A103</t>
        </is>
      </c>
      <c r="E12773" s="3" t="inlineStr">
        <is>
          <t>Sales - Unit Reg Control A103</t>
        </is>
      </c>
      <c r="F12773" s="3" t="n">
        <v>-230218.16</v>
      </c>
      <c r="G12773" s="3" t="n">
        <v>79995</v>
      </c>
    </row>
    <row r="12774">
      <c r="A12774" s="3" t="inlineStr">
        <is>
          <t>Endulini (Pty) Ltd</t>
        </is>
      </c>
      <c r="B12774" s="4" t="n">
        <v>44957</v>
      </c>
      <c r="C12774" s="3" t="inlineStr">
        <is>
          <t>Liabilities</t>
        </is>
      </c>
      <c r="D12774" s="3" t="inlineStr">
        <is>
          <t>9899/A208</t>
        </is>
      </c>
      <c r="E12774" s="3" t="inlineStr">
        <is>
          <t>Sales - Unit Reg Control A208</t>
        </is>
      </c>
      <c r="F12774" s="3" t="n">
        <v>0</v>
      </c>
      <c r="G12774" s="3" t="n">
        <v>134384.93</v>
      </c>
    </row>
    <row r="12775">
      <c r="A12775" s="3" t="inlineStr">
        <is>
          <t>Quinate Consulting (Pty) Ltd</t>
        </is>
      </c>
      <c r="B12775" s="4" t="n">
        <v>44957</v>
      </c>
      <c r="C12775" s="3" t="inlineStr">
        <is>
          <t>Liabilities</t>
        </is>
      </c>
      <c r="D12775" s="3" t="inlineStr">
        <is>
          <t>9960/000</t>
        </is>
      </c>
      <c r="E12775" s="3" t="inlineStr">
        <is>
          <t>Deposits - Southwark Rentals</t>
        </is>
      </c>
      <c r="F12775" s="3" t="n">
        <v>0</v>
      </c>
      <c r="G12775" s="3" t="n">
        <v>-11500</v>
      </c>
    </row>
    <row r="12776">
      <c r="A12776" s="3" t="inlineStr">
        <is>
          <t>Noble Shield (Pty) Ltd ta Go Letting</t>
        </is>
      </c>
      <c r="B12776" s="4" t="n">
        <v>44957</v>
      </c>
      <c r="C12776" s="3" t="inlineStr">
        <is>
          <t>Expenses</t>
        </is>
      </c>
      <c r="D12776" s="3" t="inlineStr">
        <is>
          <t>ACB Link</t>
        </is>
      </c>
      <c r="E12776" s="3" t="inlineStr">
        <is>
          <t>Subscriptions - TPN</t>
        </is>
      </c>
      <c r="F12776" s="3" t="n">
        <v>1983.77</v>
      </c>
      <c r="G12776" s="3" t="n">
        <v>11508.43</v>
      </c>
    </row>
    <row r="12777">
      <c r="A12777" s="3" t="inlineStr">
        <is>
          <t>Noble Shield (Pty) Ltd ta Go Letting</t>
        </is>
      </c>
      <c r="B12777" s="4" t="n">
        <v>44957</v>
      </c>
      <c r="C12777" s="3" t="inlineStr">
        <is>
          <t>Liabilities</t>
        </is>
      </c>
      <c r="D12777" s="3" t="inlineStr">
        <is>
          <t>B/S</t>
        </is>
      </c>
      <c r="E12777" s="3" t="inlineStr">
        <is>
          <t>Tax Payable</t>
        </is>
      </c>
      <c r="F12777" s="3" t="n">
        <v>0</v>
      </c>
      <c r="G12777" s="3" t="n">
        <v>-5166.4</v>
      </c>
    </row>
    <row r="12778">
      <c r="A12778" s="3" t="inlineStr">
        <is>
          <t>Quinate Consulting (Pty) Ltd</t>
        </is>
      </c>
      <c r="B12778" s="4" t="n">
        <v>44957</v>
      </c>
      <c r="C12778" s="3" t="inlineStr">
        <is>
          <t>Liabilities</t>
        </is>
      </c>
      <c r="D12778" s="3" t="inlineStr">
        <is>
          <t xml:space="preserve">B/S </t>
        </is>
      </c>
      <c r="E12778" s="3" t="inlineStr">
        <is>
          <t>Taxation Payable</t>
        </is>
      </c>
      <c r="F12778" s="3" t="n">
        <v>0</v>
      </c>
      <c r="G12778" s="3" t="n">
        <v>-15486</v>
      </c>
    </row>
    <row r="12779">
      <c r="A12779" s="3" t="inlineStr">
        <is>
          <t>Quinate Consulting (Pty) Ltd</t>
        </is>
      </c>
      <c r="B12779" s="4" t="n">
        <v>44957</v>
      </c>
      <c r="C12779" s="3" t="inlineStr">
        <is>
          <t>Liabilities</t>
        </is>
      </c>
      <c r="D12779" s="3" t="inlineStr">
        <is>
          <t>FV</t>
        </is>
      </c>
      <c r="E12779" s="3" t="inlineStr">
        <is>
          <t>Loan - Cape Projects Constuction</t>
        </is>
      </c>
      <c r="F12779" s="3" t="n">
        <v>-370000</v>
      </c>
      <c r="G12779" s="3" t="n">
        <v>-7100000</v>
      </c>
    </row>
    <row r="12780">
      <c r="A12780" s="3" t="inlineStr">
        <is>
          <t>Quinate Consulting (Pty) Ltd</t>
        </is>
      </c>
      <c r="B12780" s="4" t="n">
        <v>44957</v>
      </c>
      <c r="C12780" s="3" t="inlineStr">
        <is>
          <t>Liabilities</t>
        </is>
      </c>
      <c r="D12780" s="3" t="inlineStr">
        <is>
          <t>Sharehold OppDev</t>
        </is>
      </c>
      <c r="E12780" s="3" t="inlineStr">
        <is>
          <t>Loan - Justine Morgan</t>
        </is>
      </c>
      <c r="F12780" s="3" t="n">
        <v>0</v>
      </c>
      <c r="G12780" s="3" t="n">
        <v>-563766.76</v>
      </c>
    </row>
    <row r="12781">
      <c r="A12781" s="3" t="inlineStr">
        <is>
          <t>Opportunity Global Investment (PTY) LTD</t>
        </is>
      </c>
      <c r="B12781" s="4" t="n">
        <v>44957</v>
      </c>
      <c r="C12781" s="3" t="inlineStr">
        <is>
          <t>Expenses</t>
        </is>
      </c>
      <c r="D12781" s="3" t="inlineStr">
        <is>
          <t>Swiftshutter</t>
        </is>
      </c>
      <c r="E12781" s="3" t="inlineStr">
        <is>
          <t>Advertising - Rousseau Lotter</t>
        </is>
      </c>
      <c r="F12781" s="3" t="n">
        <v>0</v>
      </c>
      <c r="G12781" s="3" t="n">
        <v>22000</v>
      </c>
    </row>
    <row r="12782">
      <c r="A12782" s="3" t="inlineStr">
        <is>
          <t>Opportunity Global Sales (PTY) LTD</t>
        </is>
      </c>
      <c r="B12782" s="4" t="n">
        <v>44985</v>
      </c>
      <c r="C12782" s="3" t="inlineStr">
        <is>
          <t>Revenue</t>
        </is>
      </c>
      <c r="D12782" s="3" t="inlineStr">
        <is>
          <t>1000/009</t>
        </is>
      </c>
      <c r="E12782" s="3" t="inlineStr">
        <is>
          <t>Sales - Comm on Payprop</t>
        </is>
      </c>
      <c r="F12782" s="3" t="n">
        <v>-20064.63</v>
      </c>
      <c r="G12782" s="3" t="n">
        <v>-50707.82</v>
      </c>
    </row>
    <row r="12783">
      <c r="A12783" s="3" t="inlineStr">
        <is>
          <t>Quinate Consulting (Pty) Ltd</t>
        </is>
      </c>
      <c r="B12783" s="4" t="n">
        <v>44985</v>
      </c>
      <c r="C12783" s="3" t="inlineStr">
        <is>
          <t>Revenue</t>
        </is>
      </c>
      <c r="D12783" s="3" t="inlineStr">
        <is>
          <t>1000/011</t>
        </is>
      </c>
      <c r="E12783" s="3" t="inlineStr">
        <is>
          <t>Rent Received - Soho Unit 23</t>
        </is>
      </c>
      <c r="F12783" s="3" t="n">
        <v>-12500</v>
      </c>
      <c r="G12783" s="3" t="n">
        <v>-150000</v>
      </c>
    </row>
    <row r="12784">
      <c r="A12784" s="3" t="inlineStr">
        <is>
          <t>Quinate Consulting (Pty) Ltd</t>
        </is>
      </c>
      <c r="B12784" s="4" t="n">
        <v>44985</v>
      </c>
      <c r="C12784" s="3" t="inlineStr">
        <is>
          <t>Revenue</t>
        </is>
      </c>
      <c r="D12784" s="3" t="inlineStr">
        <is>
          <t>1000/012</t>
        </is>
      </c>
      <c r="E12784" s="3" t="inlineStr">
        <is>
          <t>Rent Received - Soho Unit 24</t>
        </is>
      </c>
      <c r="F12784" s="3" t="n">
        <v>-14445</v>
      </c>
      <c r="G12784" s="3" t="n">
        <v>-169560</v>
      </c>
    </row>
    <row r="12785">
      <c r="A12785" s="3" t="inlineStr">
        <is>
          <t>Quinate Consulting (Pty) Ltd</t>
        </is>
      </c>
      <c r="B12785" s="4" t="n">
        <v>44985</v>
      </c>
      <c r="C12785" s="3" t="inlineStr">
        <is>
          <t>Revenue</t>
        </is>
      </c>
      <c r="D12785" s="3" t="inlineStr">
        <is>
          <t>1000/013</t>
        </is>
      </c>
      <c r="E12785" s="3" t="inlineStr">
        <is>
          <t>Rent Recieved - Soho Unit 20</t>
        </is>
      </c>
      <c r="F12785" s="3" t="n">
        <v>-12500</v>
      </c>
      <c r="G12785" s="3" t="n">
        <v>-150000</v>
      </c>
    </row>
    <row r="12786">
      <c r="A12786" s="3" t="inlineStr">
        <is>
          <t>Quinate Consulting (Pty) Ltd</t>
        </is>
      </c>
      <c r="B12786" s="4" t="n">
        <v>44985</v>
      </c>
      <c r="C12786" s="3" t="inlineStr">
        <is>
          <t>Revenue</t>
        </is>
      </c>
      <c r="D12786" s="3" t="inlineStr">
        <is>
          <t>1000/015</t>
        </is>
      </c>
      <c r="E12786" s="3" t="inlineStr">
        <is>
          <t>Rent Received - Southwark Unit 1</t>
        </is>
      </c>
      <c r="F12786" s="3" t="n">
        <v>0</v>
      </c>
      <c r="G12786" s="3" t="n">
        <v>-20000</v>
      </c>
    </row>
    <row r="12787">
      <c r="A12787" s="3" t="inlineStr">
        <is>
          <t>Quinate Consulting (Pty) Ltd</t>
        </is>
      </c>
      <c r="B12787" s="4" t="n">
        <v>44985</v>
      </c>
      <c r="C12787" s="3" t="inlineStr">
        <is>
          <t>Revenue</t>
        </is>
      </c>
      <c r="D12787" s="3" t="inlineStr">
        <is>
          <t>1000/016</t>
        </is>
      </c>
      <c r="E12787" s="3" t="inlineStr">
        <is>
          <t>Rent Recieved - Southwark Unit 21</t>
        </is>
      </c>
      <c r="F12787" s="3" t="n">
        <v>-10000</v>
      </c>
      <c r="G12787" s="3" t="n">
        <v>-120000</v>
      </c>
    </row>
    <row r="12788">
      <c r="A12788" s="3" t="inlineStr">
        <is>
          <t>Opportunity Global Sales (PTY) LTD</t>
        </is>
      </c>
      <c r="B12788" s="4" t="n">
        <v>44985</v>
      </c>
      <c r="C12788" s="3" t="inlineStr">
        <is>
          <t>Revenue</t>
        </is>
      </c>
      <c r="D12788" s="3" t="inlineStr">
        <is>
          <t>1000/100</t>
        </is>
      </c>
      <c r="E12788" s="3" t="inlineStr">
        <is>
          <t>Sales - Comm on External Sales</t>
        </is>
      </c>
      <c r="F12788" s="3" t="n">
        <v>0</v>
      </c>
      <c r="G12788" s="3" t="n">
        <v>-96165.22</v>
      </c>
    </row>
    <row r="12789">
      <c r="A12789" s="3" t="inlineStr">
        <is>
          <t>Noble Shield (Pty) Ltd ta Go Letting</t>
        </is>
      </c>
      <c r="B12789" s="4" t="n">
        <v>44985</v>
      </c>
      <c r="C12789" s="3" t="inlineStr">
        <is>
          <t>Revenue</t>
        </is>
      </c>
      <c r="D12789" s="3" t="inlineStr">
        <is>
          <t>1000/100</t>
        </is>
      </c>
      <c r="E12789" s="3" t="inlineStr">
        <is>
          <t>Sales - Payprop 328 - Michelle</t>
        </is>
      </c>
      <c r="F12789" s="3" t="n">
        <v>-80321</v>
      </c>
      <c r="G12789" s="3" t="n">
        <v>-457585.5</v>
      </c>
    </row>
    <row r="12790">
      <c r="A12790" s="3" t="inlineStr">
        <is>
          <t>Opportunity Global Sales (PTY) LTD</t>
        </is>
      </c>
      <c r="B12790" s="4" t="n">
        <v>44985</v>
      </c>
      <c r="C12790" s="3" t="inlineStr">
        <is>
          <t>Revenue</t>
        </is>
      </c>
      <c r="D12790" s="3" t="inlineStr">
        <is>
          <t>1000/120</t>
        </is>
      </c>
      <c r="E12790" s="3" t="inlineStr">
        <is>
          <t>Sales - Admin Fees on Rental Units</t>
        </is>
      </c>
      <c r="F12790" s="3" t="n">
        <v>-1739.12</v>
      </c>
      <c r="G12790" s="3" t="n">
        <v>-27521.65</v>
      </c>
    </row>
    <row r="12791">
      <c r="A12791" s="3" t="inlineStr">
        <is>
          <t>Opportunity Global Sales (PTY) LTD</t>
        </is>
      </c>
      <c r="B12791" s="4" t="n">
        <v>44985</v>
      </c>
      <c r="C12791" s="3" t="inlineStr">
        <is>
          <t>Revenue</t>
        </is>
      </c>
      <c r="D12791" s="3" t="inlineStr">
        <is>
          <t>1000/150</t>
        </is>
      </c>
      <c r="E12791" s="3" t="inlineStr">
        <is>
          <t>Sales - Comm on External Rental</t>
        </is>
      </c>
      <c r="F12791" s="3" t="n">
        <v>-20434.78</v>
      </c>
      <c r="G12791" s="3" t="n">
        <v>-315669.53</v>
      </c>
    </row>
    <row r="12792">
      <c r="A12792" s="3" t="inlineStr">
        <is>
          <t>Opportunity Global Sales (PTY) LTD</t>
        </is>
      </c>
      <c r="B12792" s="4" t="n">
        <v>44985</v>
      </c>
      <c r="C12792" s="3" t="inlineStr">
        <is>
          <t>Revenue</t>
        </is>
      </c>
      <c r="D12792" s="3" t="inlineStr">
        <is>
          <t>1000/250</t>
        </is>
      </c>
      <c r="E12792" s="3" t="inlineStr">
        <is>
          <t>Sales - Comm on Endulini</t>
        </is>
      </c>
      <c r="F12792" s="3" t="n">
        <v>-204769.57</v>
      </c>
      <c r="G12792" s="3" t="n">
        <v>-2397550.88</v>
      </c>
    </row>
    <row r="12793">
      <c r="A12793" s="3" t="inlineStr">
        <is>
          <t>Opportunity Global Sales (PTY) LTD</t>
        </is>
      </c>
      <c r="B12793" s="4" t="n">
        <v>44985</v>
      </c>
      <c r="C12793" s="3" t="inlineStr">
        <is>
          <t>Revenue</t>
        </is>
      </c>
      <c r="D12793" s="3" t="inlineStr">
        <is>
          <t>1000/300</t>
        </is>
      </c>
      <c r="E12793" s="3" t="inlineStr">
        <is>
          <t>Sales - Comm on Heron Fields</t>
        </is>
      </c>
      <c r="F12793" s="3" t="n">
        <v>-207813.04</v>
      </c>
      <c r="G12793" s="3" t="n">
        <v>-1891652.15</v>
      </c>
    </row>
    <row r="12794">
      <c r="A12794" s="3" t="inlineStr">
        <is>
          <t>Trademark Holdings (Pty) Ltd</t>
        </is>
      </c>
      <c r="B12794" s="4" t="n">
        <v>44985</v>
      </c>
      <c r="C12794" s="3" t="inlineStr">
        <is>
          <t>Revenue</t>
        </is>
      </c>
      <c r="D12794" s="3" t="inlineStr">
        <is>
          <t>1000/300</t>
        </is>
      </c>
      <c r="E12794" s="3" t="inlineStr">
        <is>
          <t>Sales - Payprop - Lara</t>
        </is>
      </c>
      <c r="F12794" s="3" t="n">
        <v>-79042.89999999999</v>
      </c>
      <c r="G12794" s="3" t="n">
        <v>-525245.24</v>
      </c>
    </row>
    <row r="12795">
      <c r="A12795" s="3" t="inlineStr">
        <is>
          <t>Opportunity Global Investment (PTY) LTD</t>
        </is>
      </c>
      <c r="B12795" s="4" t="n">
        <v>44985</v>
      </c>
      <c r="C12795" s="3" t="inlineStr">
        <is>
          <t>Revenue</t>
        </is>
      </c>
      <c r="D12795" s="3" t="inlineStr">
        <is>
          <t>1000/350</t>
        </is>
      </c>
      <c r="E12795" s="3" t="inlineStr">
        <is>
          <t>Sales - Investor Management - Heron Fields</t>
        </is>
      </c>
      <c r="F12795" s="3" t="n">
        <v>-173913.04</v>
      </c>
      <c r="G12795" s="3" t="n">
        <v>-1606567.5</v>
      </c>
    </row>
    <row r="12796">
      <c r="A12796" s="3" t="inlineStr">
        <is>
          <t>Noble Shield (Pty) Ltd ta Go Letting</t>
        </is>
      </c>
      <c r="B12796" s="4" t="n">
        <v>44985</v>
      </c>
      <c r="C12796" s="3" t="inlineStr">
        <is>
          <t>Revenue</t>
        </is>
      </c>
      <c r="D12796" s="3" t="inlineStr">
        <is>
          <t>1000/420</t>
        </is>
      </c>
      <c r="E12796" s="3" t="inlineStr">
        <is>
          <t>Sales - Commission Received - External</t>
        </is>
      </c>
      <c r="F12796" s="3" t="n">
        <v>0</v>
      </c>
      <c r="G12796" s="3" t="n">
        <v>-30000</v>
      </c>
    </row>
    <row r="12797">
      <c r="A12797" s="3" t="inlineStr">
        <is>
          <t>Trademark Holdings (Pty) Ltd</t>
        </is>
      </c>
      <c r="B12797" s="4" t="n">
        <v>44985</v>
      </c>
      <c r="C12797" s="3" t="inlineStr">
        <is>
          <t>Revenue</t>
        </is>
      </c>
      <c r="D12797" s="3" t="inlineStr">
        <is>
          <t>1000/500</t>
        </is>
      </c>
      <c r="E12797" s="3" t="inlineStr">
        <is>
          <t>Sales - Commission external sale</t>
        </is>
      </c>
      <c r="F12797" s="3" t="n">
        <v>0</v>
      </c>
      <c r="G12797" s="3" t="n">
        <v>-80000</v>
      </c>
    </row>
    <row r="12798">
      <c r="A12798" s="3" t="inlineStr">
        <is>
          <t>Opportunity Global Sales (PTY) LTD</t>
        </is>
      </c>
      <c r="B12798" s="4" t="n">
        <v>44985</v>
      </c>
      <c r="C12798" s="3" t="inlineStr">
        <is>
          <t>Revenue</t>
        </is>
      </c>
      <c r="D12798" s="3" t="inlineStr">
        <is>
          <t>1000/902</t>
        </is>
      </c>
      <c r="E12798" s="3" t="inlineStr">
        <is>
          <t>Sales - Credit check</t>
        </is>
      </c>
      <c r="F12798" s="3" t="n">
        <v>0</v>
      </c>
      <c r="G12798" s="3" t="n">
        <v>-60.87</v>
      </c>
    </row>
    <row r="12799">
      <c r="A12799" s="3" t="inlineStr">
        <is>
          <t>Opportunity Global Sales (PTY) LTD</t>
        </is>
      </c>
      <c r="B12799" s="4" t="n">
        <v>44985</v>
      </c>
      <c r="C12799" s="3" t="inlineStr">
        <is>
          <t>Revenue</t>
        </is>
      </c>
      <c r="D12799" s="3" t="inlineStr">
        <is>
          <t>1000/903</t>
        </is>
      </c>
      <c r="E12799" s="3" t="inlineStr">
        <is>
          <t>Sales - Lease preparation fees</t>
        </is>
      </c>
      <c r="F12799" s="3" t="n">
        <v>0</v>
      </c>
      <c r="G12799" s="3" t="n">
        <v>-434.78</v>
      </c>
    </row>
    <row r="12800">
      <c r="A12800" s="3" t="inlineStr">
        <is>
          <t>Quinate Consulting (Pty) Ltd</t>
        </is>
      </c>
      <c r="B12800" s="4" t="n">
        <v>44985</v>
      </c>
      <c r="C12800" s="3" t="inlineStr">
        <is>
          <t>Revenue</t>
        </is>
      </c>
      <c r="D12800" s="3" t="inlineStr">
        <is>
          <t>1002/200</t>
        </is>
      </c>
      <c r="E12800" s="3" t="inlineStr">
        <is>
          <t>Sales - Vodacom tower</t>
        </is>
      </c>
      <c r="F12800" s="3" t="n">
        <v>0</v>
      </c>
      <c r="G12800" s="3" t="n">
        <v>-29415.17</v>
      </c>
    </row>
    <row r="12801">
      <c r="A12801" s="3" t="inlineStr">
        <is>
          <t>Quinate Consulting (Pty) Ltd</t>
        </is>
      </c>
      <c r="B12801" s="4" t="n">
        <v>44985</v>
      </c>
      <c r="C12801" s="3" t="inlineStr">
        <is>
          <t>Revenue</t>
        </is>
      </c>
      <c r="D12801" s="3" t="inlineStr">
        <is>
          <t>1004/000</t>
        </is>
      </c>
      <c r="E12801" s="3" t="inlineStr">
        <is>
          <t>Interest received</t>
        </is>
      </c>
      <c r="F12801" s="3" t="n">
        <v>-672.6799999999999</v>
      </c>
      <c r="G12801" s="3" t="n">
        <v>-6171.67</v>
      </c>
    </row>
    <row r="12802">
      <c r="A12802" s="3" t="inlineStr">
        <is>
          <t>Quinate Consulting (Pty) Ltd</t>
        </is>
      </c>
      <c r="B12802" s="4" t="n">
        <v>44985</v>
      </c>
      <c r="C12802" s="3" t="inlineStr">
        <is>
          <t>Revenue</t>
        </is>
      </c>
      <c r="D12802" s="3" t="inlineStr">
        <is>
          <t>1006/100</t>
        </is>
      </c>
      <c r="E12802" s="3" t="inlineStr">
        <is>
          <t>Rental income - Payprop</t>
        </is>
      </c>
      <c r="F12802" s="3" t="n">
        <v>-54555</v>
      </c>
      <c r="G12802" s="3" t="n">
        <v>-153248</v>
      </c>
    </row>
    <row r="12803">
      <c r="A12803" s="3" t="inlineStr">
        <is>
          <t>Endulini (Pty) Ltd</t>
        </is>
      </c>
      <c r="B12803" s="4" t="n">
        <v>44985</v>
      </c>
      <c r="C12803" s="3" t="inlineStr">
        <is>
          <t>Revenue</t>
        </is>
      </c>
      <c r="D12803" s="3" t="inlineStr">
        <is>
          <t>1100/000</t>
        </is>
      </c>
      <c r="E12803" s="3" t="inlineStr">
        <is>
          <t>Sales - Endulini</t>
        </is>
      </c>
      <c r="F12803" s="3" t="n">
        <v>-1356434.78</v>
      </c>
      <c r="G12803" s="3" t="n">
        <v>-48667766.42</v>
      </c>
    </row>
    <row r="12804">
      <c r="A12804" s="3" t="inlineStr">
        <is>
          <t>Opportunity Management Holdings (PTY) LTD</t>
        </is>
      </c>
      <c r="B12804" s="4" t="n">
        <v>44985</v>
      </c>
      <c r="C12804" s="3" t="inlineStr">
        <is>
          <t>Revenue</t>
        </is>
      </c>
      <c r="D12804" s="3" t="inlineStr">
        <is>
          <t>1100/001</t>
        </is>
      </c>
      <c r="E12804" s="3" t="inlineStr">
        <is>
          <t>Salary Recharges</t>
        </is>
      </c>
      <c r="F12804" s="3" t="n">
        <v>-346230</v>
      </c>
      <c r="G12804" s="3" t="n">
        <v>-2163146.22</v>
      </c>
    </row>
    <row r="12805">
      <c r="A12805" s="3" t="inlineStr">
        <is>
          <t>Endulini (Pty) Ltd</t>
        </is>
      </c>
      <c r="B12805" s="4" t="n">
        <v>44985</v>
      </c>
      <c r="C12805" s="3" t="inlineStr">
        <is>
          <t>Revenue</t>
        </is>
      </c>
      <c r="D12805" s="3" t="inlineStr">
        <is>
          <t>1100/100</t>
        </is>
      </c>
      <c r="E12805" s="3" t="inlineStr">
        <is>
          <t>Sales - Endulini - Exstras</t>
        </is>
      </c>
      <c r="F12805" s="3" t="n">
        <v>0</v>
      </c>
      <c r="G12805" s="3" t="n">
        <v>-8030</v>
      </c>
    </row>
    <row r="12806">
      <c r="A12806" s="3" t="inlineStr">
        <is>
          <t>Endulini (Pty) Ltd</t>
        </is>
      </c>
      <c r="B12806" s="4" t="n">
        <v>44985</v>
      </c>
      <c r="C12806" s="3" t="inlineStr">
        <is>
          <t>Revenue</t>
        </is>
      </c>
      <c r="D12806" s="3" t="inlineStr">
        <is>
          <t>1100/150</t>
        </is>
      </c>
      <c r="E12806" s="3" t="inlineStr">
        <is>
          <t>Sales - Endulini - Extras admin fee</t>
        </is>
      </c>
      <c r="F12806" s="3" t="n">
        <v>0</v>
      </c>
      <c r="G12806" s="3" t="n">
        <v>-2000</v>
      </c>
    </row>
    <row r="12807">
      <c r="A12807" s="3" t="inlineStr">
        <is>
          <t>Endulini (Pty) Ltd</t>
        </is>
      </c>
      <c r="B12807" s="4" t="n">
        <v>44985</v>
      </c>
      <c r="C12807" s="3" t="inlineStr">
        <is>
          <t>Revenue</t>
        </is>
      </c>
      <c r="D12807" s="3" t="inlineStr">
        <is>
          <t>1100/200</t>
        </is>
      </c>
      <c r="E12807" s="3" t="inlineStr">
        <is>
          <t>Sales - Endulini occupational rent</t>
        </is>
      </c>
      <c r="F12807" s="3" t="n">
        <v>-392.24</v>
      </c>
      <c r="G12807" s="3" t="n">
        <v>-203788.26</v>
      </c>
    </row>
    <row r="12808">
      <c r="A12808" s="3" t="inlineStr">
        <is>
          <t>Endulini (Pty) Ltd</t>
        </is>
      </c>
      <c r="B12808" s="4" t="n">
        <v>44985</v>
      </c>
      <c r="C12808" s="3" t="inlineStr">
        <is>
          <t>Revenue</t>
        </is>
      </c>
      <c r="D12808" s="3" t="inlineStr">
        <is>
          <t>1500/001</t>
        </is>
      </c>
      <c r="E12808" s="3" t="inlineStr">
        <is>
          <t>Revaluation of Land</t>
        </is>
      </c>
      <c r="F12808" s="3" t="n">
        <v>0</v>
      </c>
      <c r="G12808" s="3" t="n">
        <v>6084085.78</v>
      </c>
    </row>
    <row r="12809">
      <c r="A12809" s="3" t="inlineStr">
        <is>
          <t>Endulini (Pty) Ltd</t>
        </is>
      </c>
      <c r="B12809" s="4" t="n">
        <v>44985</v>
      </c>
      <c r="C12809" s="3" t="inlineStr">
        <is>
          <t>Expenses</t>
        </is>
      </c>
      <c r="D12809" s="3" t="inlineStr">
        <is>
          <t>2000/001</t>
        </is>
      </c>
      <c r="E12809" s="3" t="inlineStr">
        <is>
          <t>COS - CIP Construction</t>
        </is>
      </c>
      <c r="F12809" s="3" t="n">
        <v>681000</v>
      </c>
      <c r="G12809" s="3" t="n">
        <v>28836981.9</v>
      </c>
    </row>
    <row r="12810">
      <c r="A12810" s="3" t="inlineStr">
        <is>
          <t>Opportunity Global Sales (PTY) LTD</t>
        </is>
      </c>
      <c r="B12810" s="4" t="n">
        <v>44985</v>
      </c>
      <c r="C12810" s="3" t="inlineStr">
        <is>
          <t>Expenses</t>
        </is>
      </c>
      <c r="D12810" s="3" t="inlineStr">
        <is>
          <t>2000/010</t>
        </is>
      </c>
      <c r="E12810" s="3" t="inlineStr">
        <is>
          <t>COS - PAYE on Commission</t>
        </is>
      </c>
      <c r="F12810" s="3" t="n">
        <v>26172.22</v>
      </c>
      <c r="G12810" s="3" t="n">
        <v>227241.77</v>
      </c>
    </row>
    <row r="12811">
      <c r="A12811" s="3" t="inlineStr">
        <is>
          <t>Quinate Consulting (Pty) Ltd</t>
        </is>
      </c>
      <c r="B12811" s="4" t="n">
        <v>44985</v>
      </c>
      <c r="C12811" s="3" t="inlineStr">
        <is>
          <t>Expenses</t>
        </is>
      </c>
      <c r="D12811" s="3" t="inlineStr">
        <is>
          <t>2000/080</t>
        </is>
      </c>
      <c r="E12811" s="3" t="inlineStr">
        <is>
          <t>COS - Repairs &amp; Maintenance Endulini units</t>
        </is>
      </c>
      <c r="F12811" s="3" t="n">
        <v>2540.21</v>
      </c>
      <c r="G12811" s="3" t="n">
        <v>23899.44</v>
      </c>
    </row>
    <row r="12812">
      <c r="A12812" s="3" t="inlineStr">
        <is>
          <t>Endulini (Pty) Ltd</t>
        </is>
      </c>
      <c r="B12812" s="4" t="n">
        <v>44985</v>
      </c>
      <c r="C12812" s="3" t="inlineStr">
        <is>
          <t>Expenses</t>
        </is>
      </c>
      <c r="D12812" s="3" t="inlineStr">
        <is>
          <t>2000/100</t>
        </is>
      </c>
      <c r="E12812" s="3" t="inlineStr">
        <is>
          <t>COS - Commission Endulini</t>
        </is>
      </c>
      <c r="F12812" s="3" t="n">
        <v>137382.61</v>
      </c>
      <c r="G12812" s="3" t="n">
        <v>2664163.92</v>
      </c>
    </row>
    <row r="12813">
      <c r="A12813" s="3" t="inlineStr">
        <is>
          <t>Noble Shield (Pty) Ltd ta Go Letting</t>
        </is>
      </c>
      <c r="B12813" s="4" t="n">
        <v>44985</v>
      </c>
      <c r="C12813" s="3" t="inlineStr">
        <is>
          <t>Expenses</t>
        </is>
      </c>
      <c r="D12813" s="3" t="inlineStr">
        <is>
          <t>2000/100</t>
        </is>
      </c>
      <c r="E12813" s="3" t="inlineStr">
        <is>
          <t>COS - Commission Paid</t>
        </is>
      </c>
      <c r="F12813" s="3" t="n">
        <v>14664.66</v>
      </c>
      <c r="G12813" s="3" t="n">
        <v>174141.77</v>
      </c>
    </row>
    <row r="12814">
      <c r="A12814" s="3" t="inlineStr">
        <is>
          <t>Opportunity Global Investment (PTY) LTD</t>
        </is>
      </c>
      <c r="B12814" s="4" t="n">
        <v>44985</v>
      </c>
      <c r="C12814" s="3" t="inlineStr">
        <is>
          <t>Expenses</t>
        </is>
      </c>
      <c r="D12814" s="3" t="inlineStr">
        <is>
          <t>2000/125</t>
        </is>
      </c>
      <c r="E12814" s="3" t="inlineStr">
        <is>
          <t>Referral commission - Endulini</t>
        </is>
      </c>
      <c r="F12814" s="3" t="n">
        <v>0</v>
      </c>
      <c r="G12814" s="3" t="n">
        <v>19000</v>
      </c>
    </row>
    <row r="12815">
      <c r="A12815" s="3" t="inlineStr">
        <is>
          <t>Opportunity Global Sales (PTY) LTD</t>
        </is>
      </c>
      <c r="B12815" s="4" t="n">
        <v>44985</v>
      </c>
      <c r="C12815" s="3" t="inlineStr">
        <is>
          <t>Expenses</t>
        </is>
      </c>
      <c r="D12815" s="3" t="inlineStr">
        <is>
          <t>2000/131</t>
        </is>
      </c>
      <c r="E12815" s="3" t="inlineStr">
        <is>
          <t>COS - Sales Comm Endulini - Anthony</t>
        </is>
      </c>
      <c r="F12815" s="3" t="n">
        <v>0</v>
      </c>
      <c r="G12815" s="3" t="n">
        <v>62272.01</v>
      </c>
    </row>
    <row r="12816">
      <c r="A12816" s="3" t="inlineStr">
        <is>
          <t>Opportunity Global Sales (PTY) LTD</t>
        </is>
      </c>
      <c r="B12816" s="4" t="n">
        <v>44985</v>
      </c>
      <c r="C12816" s="3" t="inlineStr">
        <is>
          <t>Expenses</t>
        </is>
      </c>
      <c r="D12816" s="3" t="inlineStr">
        <is>
          <t>2000/132</t>
        </is>
      </c>
      <c r="E12816" s="3" t="inlineStr">
        <is>
          <t>COS - Sales Comm Endulini - Minette</t>
        </is>
      </c>
      <c r="F12816" s="3" t="n">
        <v>0</v>
      </c>
      <c r="G12816" s="3" t="n">
        <v>393363.7</v>
      </c>
    </row>
    <row r="12817">
      <c r="A12817" s="3" t="inlineStr">
        <is>
          <t>Opportunity Global Sales (PTY) LTD</t>
        </is>
      </c>
      <c r="B12817" s="4" t="n">
        <v>44985</v>
      </c>
      <c r="C12817" s="3" t="inlineStr">
        <is>
          <t>Expenses</t>
        </is>
      </c>
      <c r="D12817" s="3" t="inlineStr">
        <is>
          <t>2000/133</t>
        </is>
      </c>
      <c r="E12817" s="3" t="inlineStr">
        <is>
          <t>COS - Sales Comm Endulini - External Agents</t>
        </is>
      </c>
      <c r="F12817" s="3" t="n">
        <v>0</v>
      </c>
      <c r="G12817" s="3" t="n">
        <v>9966</v>
      </c>
    </row>
    <row r="12818">
      <c r="A12818" s="3" t="inlineStr">
        <is>
          <t>Opportunity Global Sales (PTY) LTD</t>
        </is>
      </c>
      <c r="B12818" s="4" t="n">
        <v>44985</v>
      </c>
      <c r="C12818" s="3" t="inlineStr">
        <is>
          <t>Expenses</t>
        </is>
      </c>
      <c r="D12818" s="3" t="inlineStr">
        <is>
          <t>2000/135</t>
        </is>
      </c>
      <c r="E12818" s="3" t="inlineStr">
        <is>
          <t>COS - Sales Comm External - Minette</t>
        </is>
      </c>
      <c r="F12818" s="3" t="n">
        <v>0</v>
      </c>
      <c r="G12818" s="3" t="n">
        <v>85326.45</v>
      </c>
    </row>
    <row r="12819">
      <c r="A12819" s="3" t="inlineStr">
        <is>
          <t>Opportunity Global Investment (PTY) LTD</t>
        </is>
      </c>
      <c r="B12819" s="4" t="n">
        <v>44985</v>
      </c>
      <c r="C12819" s="3" t="inlineStr">
        <is>
          <t>Expenses</t>
        </is>
      </c>
      <c r="D12819" s="3" t="inlineStr">
        <is>
          <t>2000/135</t>
        </is>
      </c>
      <c r="E12819" s="3" t="inlineStr">
        <is>
          <t>Referral commission - Heron View</t>
        </is>
      </c>
      <c r="F12819" s="3" t="n">
        <v>0</v>
      </c>
      <c r="G12819" s="3" t="n">
        <v>144000</v>
      </c>
    </row>
    <row r="12820">
      <c r="A12820" s="3" t="inlineStr">
        <is>
          <t>Opportunity Global Sales (PTY) LTD</t>
        </is>
      </c>
      <c r="B12820" s="4" t="n">
        <v>44985</v>
      </c>
      <c r="C12820" s="3" t="inlineStr">
        <is>
          <t>Expenses</t>
        </is>
      </c>
      <c r="D12820" s="3" t="inlineStr">
        <is>
          <t>2000/137</t>
        </is>
      </c>
      <c r="E12820" s="3" t="inlineStr">
        <is>
          <t>COS - Rental Comm External - Minette</t>
        </is>
      </c>
      <c r="F12820" s="3" t="n">
        <v>0</v>
      </c>
      <c r="G12820" s="3" t="n">
        <v>92798.05</v>
      </c>
    </row>
    <row r="12821">
      <c r="A12821" s="3" t="inlineStr">
        <is>
          <t>Opportunity Global Sales (PTY) LTD</t>
        </is>
      </c>
      <c r="B12821" s="4" t="n">
        <v>44985</v>
      </c>
      <c r="C12821" s="3" t="inlineStr">
        <is>
          <t>Expenses</t>
        </is>
      </c>
      <c r="D12821" s="3" t="inlineStr">
        <is>
          <t>2000/139</t>
        </is>
      </c>
      <c r="E12821" s="3" t="inlineStr">
        <is>
          <t>COS - Sales Comm Heron Fields - Minette</t>
        </is>
      </c>
      <c r="F12821" s="3" t="n">
        <v>43892.17</v>
      </c>
      <c r="G12821" s="3" t="n">
        <v>503968.09</v>
      </c>
    </row>
    <row r="12822">
      <c r="A12822" s="3" t="inlineStr">
        <is>
          <t>Opportunity Global Investment (PTY) LTD</t>
        </is>
      </c>
      <c r="B12822" s="4" t="n">
        <v>44985</v>
      </c>
      <c r="C12822" s="3" t="inlineStr">
        <is>
          <t>Expenses</t>
        </is>
      </c>
      <c r="D12822" s="3" t="inlineStr">
        <is>
          <t>2000/140</t>
        </is>
      </c>
      <c r="E12822" s="3" t="inlineStr">
        <is>
          <t>Referral commission - F Geldenhuys</t>
        </is>
      </c>
      <c r="F12822" s="3" t="n">
        <v>7200</v>
      </c>
      <c r="G12822" s="3" t="n">
        <v>108000</v>
      </c>
    </row>
    <row r="12823">
      <c r="A12823" s="3" t="inlineStr">
        <is>
          <t>Opportunity Global Sales (PTY) LTD</t>
        </is>
      </c>
      <c r="B12823" s="4" t="n">
        <v>44985</v>
      </c>
      <c r="C12823" s="3" t="inlineStr">
        <is>
          <t>Expenses</t>
        </is>
      </c>
      <c r="D12823" s="3" t="inlineStr">
        <is>
          <t>2000/142</t>
        </is>
      </c>
      <c r="E12823" s="3" t="inlineStr">
        <is>
          <t>COS - Sales Comm Heron Fields - Anthony</t>
        </is>
      </c>
      <c r="F12823" s="3" t="n">
        <v>0</v>
      </c>
      <c r="G12823" s="3" t="n">
        <v>26954.78</v>
      </c>
    </row>
    <row r="12824">
      <c r="A12824" s="3" t="inlineStr">
        <is>
          <t>Opportunity Global Sales (PTY) LTD</t>
        </is>
      </c>
      <c r="B12824" s="4" t="n">
        <v>44985</v>
      </c>
      <c r="C12824" s="3" t="inlineStr">
        <is>
          <t>Expenses</t>
        </is>
      </c>
      <c r="D12824" s="3" t="inlineStr">
        <is>
          <t>2000/143</t>
        </is>
      </c>
      <c r="E12824" s="3" t="inlineStr">
        <is>
          <t>COS - Sales Comm Endulini - Yvette</t>
        </is>
      </c>
      <c r="F12824" s="3" t="n">
        <v>22245.53</v>
      </c>
      <c r="G12824" s="3" t="n">
        <v>44348.45</v>
      </c>
    </row>
    <row r="12825">
      <c r="A12825" s="3" t="inlineStr">
        <is>
          <t>Opportunity Global Investment (PTY) LTD</t>
        </is>
      </c>
      <c r="B12825" s="4" t="n">
        <v>44985</v>
      </c>
      <c r="C12825" s="3" t="inlineStr">
        <is>
          <t>Expenses</t>
        </is>
      </c>
      <c r="D12825" s="3" t="inlineStr">
        <is>
          <t>2000/145</t>
        </is>
      </c>
      <c r="E12825" s="3" t="inlineStr">
        <is>
          <t>Referral commission - W Thomason</t>
        </is>
      </c>
      <c r="F12825" s="3" t="n">
        <v>4800</v>
      </c>
      <c r="G12825" s="3" t="n">
        <v>40800</v>
      </c>
    </row>
    <row r="12826">
      <c r="A12826" s="3" t="inlineStr">
        <is>
          <t>Opportunity Global Sales (PTY) LTD</t>
        </is>
      </c>
      <c r="B12826" s="4" t="n">
        <v>44985</v>
      </c>
      <c r="C12826" s="3" t="inlineStr">
        <is>
          <t>Expenses</t>
        </is>
      </c>
      <c r="D12826" s="3" t="inlineStr">
        <is>
          <t>2000/147</t>
        </is>
      </c>
      <c r="E12826" s="3" t="inlineStr">
        <is>
          <t>COS - Sales Comm Heron Fields - Yvette</t>
        </is>
      </c>
      <c r="F12826" s="3" t="n">
        <v>31535.78</v>
      </c>
      <c r="G12826" s="3" t="n">
        <v>146241.96</v>
      </c>
    </row>
    <row r="12827">
      <c r="A12827" s="3" t="inlineStr">
        <is>
          <t>Endulini (Pty) Ltd</t>
        </is>
      </c>
      <c r="B12827" s="4" t="n">
        <v>44985</v>
      </c>
      <c r="C12827" s="3" t="inlineStr">
        <is>
          <t>Expenses</t>
        </is>
      </c>
      <c r="D12827" s="3" t="inlineStr">
        <is>
          <t>2000/150</t>
        </is>
      </c>
      <c r="E12827" s="3" t="inlineStr">
        <is>
          <t>COS - Levies special agreement</t>
        </is>
      </c>
      <c r="F12827" s="3" t="n">
        <v>8762.940000000001</v>
      </c>
      <c r="G12827" s="3" t="n">
        <v>45603.26</v>
      </c>
    </row>
    <row r="12828">
      <c r="A12828" s="3" t="inlineStr">
        <is>
          <t>Opportunity Global Sales (PTY) LTD</t>
        </is>
      </c>
      <c r="B12828" s="4" t="n">
        <v>44985</v>
      </c>
      <c r="C12828" s="3" t="inlineStr">
        <is>
          <t>Expenses</t>
        </is>
      </c>
      <c r="D12828" s="3" t="inlineStr">
        <is>
          <t>2000/162</t>
        </is>
      </c>
      <c r="E12828" s="3" t="inlineStr">
        <is>
          <t>COS - Sales Comm Heron View - Yvette</t>
        </is>
      </c>
      <c r="F12828" s="3" t="n">
        <v>11764.5</v>
      </c>
      <c r="G12828" s="3" t="n">
        <v>24384.66</v>
      </c>
    </row>
    <row r="12829">
      <c r="A12829" s="3" t="inlineStr">
        <is>
          <t>Noble Shield (Pty) Ltd ta Go Letting</t>
        </is>
      </c>
      <c r="B12829" s="4" t="n">
        <v>44985</v>
      </c>
      <c r="C12829" s="3" t="inlineStr">
        <is>
          <t>Expenses</t>
        </is>
      </c>
      <c r="D12829" s="3" t="inlineStr">
        <is>
          <t>2000/200</t>
        </is>
      </c>
      <c r="E12829" s="3" t="inlineStr">
        <is>
          <t>COS - Commission on external sales</t>
        </is>
      </c>
      <c r="F12829" s="3" t="n">
        <v>0</v>
      </c>
      <c r="G12829" s="3" t="n">
        <v>18000</v>
      </c>
    </row>
    <row r="12830">
      <c r="A12830" s="3" t="inlineStr">
        <is>
          <t>Trademark Holdings (Pty) Ltd</t>
        </is>
      </c>
      <c r="B12830" s="4" t="n">
        <v>44985</v>
      </c>
      <c r="C12830" s="3" t="inlineStr">
        <is>
          <t>Expenses</t>
        </is>
      </c>
      <c r="D12830" s="3" t="inlineStr">
        <is>
          <t>2000/300</t>
        </is>
      </c>
      <c r="E12830" s="3" t="inlineStr">
        <is>
          <t>COS - Commission Paid</t>
        </is>
      </c>
      <c r="F12830" s="3" t="n">
        <v>14543.87</v>
      </c>
      <c r="G12830" s="3" t="n">
        <v>95576.92</v>
      </c>
    </row>
    <row r="12831">
      <c r="A12831" s="3" t="inlineStr">
        <is>
          <t>Opportunity Global Sales (PTY) LTD</t>
        </is>
      </c>
      <c r="B12831" s="4" t="n">
        <v>44985</v>
      </c>
      <c r="C12831" s="3" t="inlineStr">
        <is>
          <t>Expenses</t>
        </is>
      </c>
      <c r="D12831" s="3" t="inlineStr">
        <is>
          <t>2000/350</t>
        </is>
      </c>
      <c r="E12831" s="3" t="inlineStr">
        <is>
          <t>COS - Overrider Comm Endulini - Donovan</t>
        </is>
      </c>
      <c r="F12831" s="3" t="n">
        <v>0</v>
      </c>
      <c r="G12831" s="3" t="n">
        <v>81928.42</v>
      </c>
    </row>
    <row r="12832">
      <c r="A12832" s="3" t="inlineStr">
        <is>
          <t>Opportunity Global Sales (PTY) LTD</t>
        </is>
      </c>
      <c r="B12832" s="4" t="n">
        <v>44985</v>
      </c>
      <c r="C12832" s="3" t="inlineStr">
        <is>
          <t>Expenses</t>
        </is>
      </c>
      <c r="D12832" s="3" t="inlineStr">
        <is>
          <t>2000/351</t>
        </is>
      </c>
      <c r="E12832" s="3" t="inlineStr">
        <is>
          <t>COS - Overrider Comm External - Donovan</t>
        </is>
      </c>
      <c r="F12832" s="3" t="n">
        <v>0</v>
      </c>
      <c r="G12832" s="3" t="n">
        <v>7030.44</v>
      </c>
    </row>
    <row r="12833">
      <c r="A12833" s="3" t="inlineStr">
        <is>
          <t>Opportunity Global Sales (PTY) LTD</t>
        </is>
      </c>
      <c r="B12833" s="4" t="n">
        <v>44985</v>
      </c>
      <c r="C12833" s="3" t="inlineStr">
        <is>
          <t>Expenses</t>
        </is>
      </c>
      <c r="D12833" s="3" t="inlineStr">
        <is>
          <t>2000/352</t>
        </is>
      </c>
      <c r="E12833" s="3" t="inlineStr">
        <is>
          <t>COS - Overrider Comm Heron Fields - Donovan</t>
        </is>
      </c>
      <c r="F12833" s="3" t="n">
        <v>0</v>
      </c>
      <c r="G12833" s="3" t="n">
        <v>44709.92</v>
      </c>
    </row>
    <row r="12834">
      <c r="A12834" s="3" t="inlineStr">
        <is>
          <t>Opportunity Global Sales (PTY) LTD</t>
        </is>
      </c>
      <c r="B12834" s="4" t="n">
        <v>44985</v>
      </c>
      <c r="C12834" s="3" t="inlineStr">
        <is>
          <t>Expenses</t>
        </is>
      </c>
      <c r="D12834" s="3" t="inlineStr">
        <is>
          <t>2000/370</t>
        </is>
      </c>
      <c r="E12834" s="3" t="inlineStr">
        <is>
          <t>COS - Overrider Comm Endulini - Morne</t>
        </is>
      </c>
      <c r="F12834" s="3" t="n">
        <v>0</v>
      </c>
      <c r="G12834" s="3" t="n">
        <v>30323.61</v>
      </c>
    </row>
    <row r="12835">
      <c r="A12835" s="3" t="inlineStr">
        <is>
          <t>Opportunity Global Sales (PTY) LTD</t>
        </is>
      </c>
      <c r="B12835" s="4" t="n">
        <v>44985</v>
      </c>
      <c r="C12835" s="3" t="inlineStr">
        <is>
          <t>Expenses</t>
        </is>
      </c>
      <c r="D12835" s="3" t="inlineStr">
        <is>
          <t>2000/380</t>
        </is>
      </c>
      <c r="E12835" s="3" t="inlineStr">
        <is>
          <t>COS - Overrider Comm Heron Fields - Morne</t>
        </is>
      </c>
      <c r="F12835" s="3" t="n">
        <v>0</v>
      </c>
      <c r="G12835" s="3" t="n">
        <v>35640.17</v>
      </c>
    </row>
    <row r="12836">
      <c r="A12836" s="3" t="inlineStr">
        <is>
          <t>Opportunity Global Sales (PTY) LTD</t>
        </is>
      </c>
      <c r="B12836" s="4" t="n">
        <v>44985</v>
      </c>
      <c r="C12836" s="3" t="inlineStr">
        <is>
          <t>Expenses</t>
        </is>
      </c>
      <c r="D12836" s="3" t="inlineStr">
        <is>
          <t>2000/383</t>
        </is>
      </c>
      <c r="E12836" s="3" t="inlineStr">
        <is>
          <t>COS - Overrider Comm Heron View - Morne</t>
        </is>
      </c>
      <c r="F12836" s="3" t="n">
        <v>0</v>
      </c>
      <c r="G12836" s="3" t="n">
        <v>2249.87</v>
      </c>
    </row>
    <row r="12837">
      <c r="A12837" s="3" t="inlineStr">
        <is>
          <t>Trademark Holdings (Pty) Ltd</t>
        </is>
      </c>
      <c r="B12837" s="4" t="n">
        <v>44985</v>
      </c>
      <c r="C12837" s="3" t="inlineStr">
        <is>
          <t>Expenses</t>
        </is>
      </c>
      <c r="D12837" s="3" t="inlineStr">
        <is>
          <t>2000/400</t>
        </is>
      </c>
      <c r="E12837" s="3" t="inlineStr">
        <is>
          <t>COS - Commission on external sales</t>
        </is>
      </c>
      <c r="F12837" s="3" t="n">
        <v>0</v>
      </c>
      <c r="G12837" s="3" t="n">
        <v>48000</v>
      </c>
    </row>
    <row r="12838">
      <c r="A12838" s="3" t="inlineStr">
        <is>
          <t>Endulini (Pty) Ltd</t>
        </is>
      </c>
      <c r="B12838" s="4" t="n">
        <v>44985</v>
      </c>
      <c r="C12838" s="3" t="inlineStr">
        <is>
          <t>Expenses</t>
        </is>
      </c>
      <c r="D12838" s="3" t="inlineStr">
        <is>
          <t>2000/400</t>
        </is>
      </c>
      <c r="E12838" s="3" t="inlineStr">
        <is>
          <t>COS - Gifts</t>
        </is>
      </c>
      <c r="F12838" s="3" t="n">
        <v>0</v>
      </c>
      <c r="G12838" s="3" t="n">
        <v>4270</v>
      </c>
    </row>
    <row r="12839">
      <c r="A12839" s="3" t="inlineStr">
        <is>
          <t>Opportunity Global Sales (PTY) LTD</t>
        </is>
      </c>
      <c r="B12839" s="4" t="n">
        <v>44985</v>
      </c>
      <c r="C12839" s="3" t="inlineStr">
        <is>
          <t>Expenses</t>
        </is>
      </c>
      <c r="D12839" s="3" t="inlineStr">
        <is>
          <t>2000/500</t>
        </is>
      </c>
      <c r="E12839" s="3" t="inlineStr">
        <is>
          <t>COS - Electricity Costs Endulini</t>
        </is>
      </c>
      <c r="F12839" s="3" t="n">
        <v>0</v>
      </c>
      <c r="G12839" s="3" t="n">
        <v>536.96</v>
      </c>
    </row>
    <row r="12840">
      <c r="A12840" s="3" t="inlineStr">
        <is>
          <t>Endulini (Pty) Ltd</t>
        </is>
      </c>
      <c r="B12840" s="4" t="n">
        <v>44985</v>
      </c>
      <c r="C12840" s="3" t="inlineStr">
        <is>
          <t>Expenses</t>
        </is>
      </c>
      <c r="D12840" s="3" t="inlineStr">
        <is>
          <t>2000/500</t>
        </is>
      </c>
      <c r="E12840" s="3" t="inlineStr">
        <is>
          <t>COS - Legal Fees Opening of Sec Title Scheme</t>
        </is>
      </c>
      <c r="F12840" s="3" t="n">
        <v>0</v>
      </c>
      <c r="G12840" s="3" t="n">
        <v>56287.76</v>
      </c>
    </row>
    <row r="12841">
      <c r="A12841" s="3" t="inlineStr">
        <is>
          <t>Opportunity Global Sales (PTY) LTD</t>
        </is>
      </c>
      <c r="B12841" s="4" t="n">
        <v>44985</v>
      </c>
      <c r="C12841" s="3" t="inlineStr">
        <is>
          <t>Expenses</t>
        </is>
      </c>
      <c r="D12841" s="3" t="inlineStr">
        <is>
          <t>2000/550</t>
        </is>
      </c>
      <c r="E12841" s="3" t="inlineStr">
        <is>
          <t>COS - Electricity Costs Heron Fields</t>
        </is>
      </c>
      <c r="F12841" s="3" t="n">
        <v>100</v>
      </c>
      <c r="G12841" s="3" t="n">
        <v>578.26</v>
      </c>
    </row>
    <row r="12842">
      <c r="A12842" s="3" t="inlineStr">
        <is>
          <t>Opportunity Global Sales (PTY) LTD</t>
        </is>
      </c>
      <c r="B12842" s="4" t="n">
        <v>44985</v>
      </c>
      <c r="C12842" s="3" t="inlineStr">
        <is>
          <t>Expenses</t>
        </is>
      </c>
      <c r="D12842" s="3" t="inlineStr">
        <is>
          <t>2000/600</t>
        </is>
      </c>
      <c r="E12842" s="3" t="inlineStr">
        <is>
          <t>COS - Heron Fields Show House</t>
        </is>
      </c>
      <c r="F12842" s="3" t="n">
        <v>574.9400000000001</v>
      </c>
      <c r="G12842" s="3" t="n">
        <v>574.9400000000001</v>
      </c>
    </row>
    <row r="12843">
      <c r="A12843" s="3" t="inlineStr">
        <is>
          <t>Endulini (Pty) Ltd</t>
        </is>
      </c>
      <c r="B12843" s="4" t="n">
        <v>44985</v>
      </c>
      <c r="C12843" s="3" t="inlineStr">
        <is>
          <t>Expenses</t>
        </is>
      </c>
      <c r="D12843" s="3" t="inlineStr">
        <is>
          <t>2000/600</t>
        </is>
      </c>
      <c r="E12843" s="3" t="inlineStr">
        <is>
          <t>COS - Legal fees</t>
        </is>
      </c>
      <c r="F12843" s="3" t="n">
        <v>34859.85</v>
      </c>
      <c r="G12843" s="3" t="n">
        <v>1068299.43</v>
      </c>
    </row>
    <row r="12844">
      <c r="A12844" s="3" t="inlineStr">
        <is>
          <t>Endulini (Pty) Ltd</t>
        </is>
      </c>
      <c r="B12844" s="4" t="n">
        <v>44985</v>
      </c>
      <c r="C12844" s="3" t="inlineStr">
        <is>
          <t>Expenses</t>
        </is>
      </c>
      <c r="D12844" s="3" t="inlineStr">
        <is>
          <t>2000/700</t>
        </is>
      </c>
      <c r="E12844" s="3" t="inlineStr">
        <is>
          <t>COS - C2M Certificate for transfer</t>
        </is>
      </c>
      <c r="F12844" s="3" t="n">
        <v>0</v>
      </c>
      <c r="G12844" s="3" t="n">
        <v>5450</v>
      </c>
    </row>
    <row r="12845">
      <c r="A12845" s="3" t="inlineStr">
        <is>
          <t>Opportunity Global Sales (PTY) LTD</t>
        </is>
      </c>
      <c r="B12845" s="4" t="n">
        <v>44985</v>
      </c>
      <c r="C12845" s="3" t="inlineStr">
        <is>
          <t>Expenses</t>
        </is>
      </c>
      <c r="D12845" s="3" t="inlineStr">
        <is>
          <t>2000/800</t>
        </is>
      </c>
      <c r="E12845" s="3" t="inlineStr">
        <is>
          <t>COS - Gifts</t>
        </is>
      </c>
      <c r="F12845" s="3" t="n">
        <v>1591</v>
      </c>
      <c r="G12845" s="3" t="n">
        <v>1591</v>
      </c>
    </row>
    <row r="12846">
      <c r="A12846" s="3" t="inlineStr">
        <is>
          <t>Endulini (Pty) Ltd</t>
        </is>
      </c>
      <c r="B12846" s="4" t="n">
        <v>44985</v>
      </c>
      <c r="C12846" s="3" t="inlineStr">
        <is>
          <t>Expenses</t>
        </is>
      </c>
      <c r="D12846" s="3" t="inlineStr">
        <is>
          <t>2000/800</t>
        </is>
      </c>
      <c r="E12846" s="3" t="inlineStr">
        <is>
          <t>COS - Purchaser Variations</t>
        </is>
      </c>
      <c r="F12846" s="3" t="n">
        <v>0</v>
      </c>
      <c r="G12846" s="3" t="n">
        <v>8734.540000000001</v>
      </c>
    </row>
    <row r="12847">
      <c r="A12847" s="3" t="inlineStr">
        <is>
          <t>Endulini (Pty) Ltd</t>
        </is>
      </c>
      <c r="B12847" s="4" t="n">
        <v>44985</v>
      </c>
      <c r="C12847" s="3" t="inlineStr">
        <is>
          <t>Expenses</t>
        </is>
      </c>
      <c r="D12847" s="3" t="inlineStr">
        <is>
          <t>2000/900</t>
        </is>
      </c>
      <c r="E12847" s="3" t="inlineStr">
        <is>
          <t>COS - Legal fees Phase 2</t>
        </is>
      </c>
      <c r="F12847" s="3" t="n">
        <v>0</v>
      </c>
      <c r="G12847" s="3" t="n">
        <v>35638</v>
      </c>
    </row>
    <row r="12848">
      <c r="A12848" s="3" t="inlineStr">
        <is>
          <t>Quinate Consulting (Pty) Ltd</t>
        </is>
      </c>
      <c r="B12848" s="4" t="n">
        <v>44985</v>
      </c>
      <c r="C12848" s="3" t="inlineStr">
        <is>
          <t>Revenue</t>
        </is>
      </c>
      <c r="D12848" s="3" t="inlineStr">
        <is>
          <t>2400/200</t>
        </is>
      </c>
      <c r="E12848" s="3" t="inlineStr">
        <is>
          <t>Recovery Acc - Electricity SH</t>
        </is>
      </c>
      <c r="F12848" s="3" t="n">
        <v>-20544.74</v>
      </c>
      <c r="G12848" s="3" t="n">
        <v>-294852.08</v>
      </c>
    </row>
    <row r="12849">
      <c r="A12849" s="3" t="inlineStr">
        <is>
          <t>Quinate Consulting (Pty) Ltd</t>
        </is>
      </c>
      <c r="B12849" s="4" t="n">
        <v>44985</v>
      </c>
      <c r="C12849" s="3" t="inlineStr">
        <is>
          <t>Revenue</t>
        </is>
      </c>
      <c r="D12849" s="3" t="inlineStr">
        <is>
          <t>2400/300</t>
        </is>
      </c>
      <c r="E12849" s="3" t="inlineStr">
        <is>
          <t>Recovery Account - Electricity SW</t>
        </is>
      </c>
      <c r="F12849" s="3" t="n">
        <v>-16308.83</v>
      </c>
      <c r="G12849" s="3" t="n">
        <v>-221136.39</v>
      </c>
    </row>
    <row r="12850">
      <c r="A12850" s="3" t="inlineStr">
        <is>
          <t>Endulini (Pty) Ltd</t>
        </is>
      </c>
      <c r="B12850" s="4" t="n">
        <v>44985</v>
      </c>
      <c r="C12850" s="3" t="inlineStr">
        <is>
          <t>Revenue</t>
        </is>
      </c>
      <c r="D12850" s="3" t="inlineStr">
        <is>
          <t>2750/000</t>
        </is>
      </c>
      <c r="E12850" s="3" t="inlineStr">
        <is>
          <t>Interest Received</t>
        </is>
      </c>
      <c r="F12850" s="3" t="n">
        <v>0</v>
      </c>
      <c r="G12850" s="3" t="n">
        <v>-560.63</v>
      </c>
    </row>
    <row r="12851">
      <c r="A12851" s="3" t="inlineStr">
        <is>
          <t>Opportunity Management Holdings (PTY) LTD</t>
        </is>
      </c>
      <c r="B12851" s="4" t="n">
        <v>44985</v>
      </c>
      <c r="C12851" s="3" t="inlineStr">
        <is>
          <t>Revenue</t>
        </is>
      </c>
      <c r="D12851" s="3" t="inlineStr">
        <is>
          <t>2750/000</t>
        </is>
      </c>
      <c r="E12851" s="3" t="inlineStr">
        <is>
          <t>Interest Received</t>
        </is>
      </c>
      <c r="F12851" s="3" t="n">
        <v>-4.66</v>
      </c>
      <c r="G12851" s="3" t="n">
        <v>-380.89</v>
      </c>
    </row>
    <row r="12852">
      <c r="A12852" s="3" t="inlineStr">
        <is>
          <t>Opportunity Global Investment (PTY) LTD</t>
        </is>
      </c>
      <c r="B12852" s="4" t="n">
        <v>44985</v>
      </c>
      <c r="C12852" s="3" t="inlineStr">
        <is>
          <t>Revenue</t>
        </is>
      </c>
      <c r="D12852" s="3" t="inlineStr">
        <is>
          <t>2750/000</t>
        </is>
      </c>
      <c r="E12852" s="3" t="inlineStr">
        <is>
          <t>Interest Received - Bank</t>
        </is>
      </c>
      <c r="F12852" s="3" t="n">
        <v>-0.08</v>
      </c>
      <c r="G12852" s="3" t="n">
        <v>-0.08</v>
      </c>
    </row>
    <row r="12853">
      <c r="A12853" s="3" t="inlineStr">
        <is>
          <t>Opportunity Global Sales (PTY) LTD</t>
        </is>
      </c>
      <c r="B12853" s="4" t="n">
        <v>44985</v>
      </c>
      <c r="C12853" s="3" t="inlineStr">
        <is>
          <t>Revenue</t>
        </is>
      </c>
      <c r="D12853" s="3" t="inlineStr">
        <is>
          <t>2750/000</t>
        </is>
      </c>
      <c r="E12853" s="3" t="inlineStr">
        <is>
          <t>Interest Received - Bank</t>
        </is>
      </c>
      <c r="F12853" s="3" t="n">
        <v>0</v>
      </c>
      <c r="G12853" s="3" t="n">
        <v>-17.48</v>
      </c>
    </row>
    <row r="12854">
      <c r="A12854" s="3" t="inlineStr">
        <is>
          <t>Opportunity Global Investment (PTY) LTD</t>
        </is>
      </c>
      <c r="B12854" s="4" t="n">
        <v>44985</v>
      </c>
      <c r="C12854" s="3" t="inlineStr">
        <is>
          <t>Revenue</t>
        </is>
      </c>
      <c r="D12854" s="3" t="inlineStr">
        <is>
          <t>2753/000</t>
        </is>
      </c>
      <c r="E12854" s="3" t="inlineStr">
        <is>
          <t>Interest received - Momentum</t>
        </is>
      </c>
      <c r="F12854" s="3" t="n">
        <v>0</v>
      </c>
      <c r="G12854" s="3" t="n">
        <v>-240.96</v>
      </c>
    </row>
    <row r="12855">
      <c r="A12855" s="3" t="inlineStr">
        <is>
          <t>Endulini (Pty) Ltd</t>
        </is>
      </c>
      <c r="B12855" s="4" t="n">
        <v>44985</v>
      </c>
      <c r="C12855" s="3" t="inlineStr">
        <is>
          <t>Revenue</t>
        </is>
      </c>
      <c r="D12855" s="3" t="inlineStr">
        <is>
          <t>2755/001</t>
        </is>
      </c>
      <c r="E12855" s="3" t="inlineStr">
        <is>
          <t>Interest Received - Momentum</t>
        </is>
      </c>
      <c r="F12855" s="3" t="n">
        <v>-62.58</v>
      </c>
      <c r="G12855" s="3" t="n">
        <v>-26661.3</v>
      </c>
    </row>
    <row r="12856">
      <c r="A12856" s="3" t="inlineStr">
        <is>
          <t>Quinate Consulting (Pty) Ltd</t>
        </is>
      </c>
      <c r="B12856" s="4" t="n">
        <v>44985</v>
      </c>
      <c r="C12856" s="3" t="inlineStr">
        <is>
          <t>Revenue</t>
        </is>
      </c>
      <c r="D12856" s="3" t="inlineStr">
        <is>
          <t>2755/001</t>
        </is>
      </c>
      <c r="E12856" s="3" t="inlineStr">
        <is>
          <t>Interest Received - Momentum</t>
        </is>
      </c>
      <c r="F12856" s="3" t="n">
        <v>-12.54</v>
      </c>
      <c r="G12856" s="3" t="n">
        <v>-30.65</v>
      </c>
    </row>
    <row r="12857">
      <c r="A12857" s="3" t="inlineStr">
        <is>
          <t>Opportunity Global Investment (PTY) LTD</t>
        </is>
      </c>
      <c r="B12857" s="4" t="n">
        <v>44985</v>
      </c>
      <c r="C12857" s="3" t="inlineStr">
        <is>
          <t>Expenses</t>
        </is>
      </c>
      <c r="D12857" s="3" t="inlineStr">
        <is>
          <t>3000/150</t>
        </is>
      </c>
      <c r="E12857" s="3" t="inlineStr">
        <is>
          <t>Accounting Fees - Audit</t>
        </is>
      </c>
      <c r="F12857" s="3" t="n">
        <v>0</v>
      </c>
      <c r="G12857" s="3" t="n">
        <v>7225</v>
      </c>
    </row>
    <row r="12858">
      <c r="A12858" s="3" t="inlineStr">
        <is>
          <t>Opportunity Global Investment (PTY) LTD</t>
        </is>
      </c>
      <c r="B12858" s="4" t="n">
        <v>44985</v>
      </c>
      <c r="C12858" s="3" t="inlineStr">
        <is>
          <t>Expenses</t>
        </is>
      </c>
      <c r="D12858" s="3" t="inlineStr">
        <is>
          <t>3000/200</t>
        </is>
      </c>
      <c r="E12858" s="3" t="inlineStr">
        <is>
          <t>Accounting Fees - General</t>
        </is>
      </c>
      <c r="F12858" s="3" t="n">
        <v>0</v>
      </c>
      <c r="G12858" s="3" t="n">
        <v>540</v>
      </c>
    </row>
    <row r="12859">
      <c r="A12859" s="3" t="inlineStr">
        <is>
          <t>Noble Shield (Pty) Ltd ta Go Letting</t>
        </is>
      </c>
      <c r="B12859" s="4" t="n">
        <v>44985</v>
      </c>
      <c r="C12859" s="3" t="inlineStr">
        <is>
          <t>Expenses</t>
        </is>
      </c>
      <c r="D12859" s="3" t="inlineStr">
        <is>
          <t>3000/300</t>
        </is>
      </c>
      <c r="E12859" s="3" t="inlineStr">
        <is>
          <t>Accounting Fees - Audit</t>
        </is>
      </c>
      <c r="F12859" s="3" t="n">
        <v>0</v>
      </c>
      <c r="G12859" s="3" t="n">
        <v>22367.5</v>
      </c>
    </row>
    <row r="12860">
      <c r="A12860" s="3" t="inlineStr">
        <is>
          <t>Trademark Holdings (Pty) Ltd</t>
        </is>
      </c>
      <c r="B12860" s="4" t="n">
        <v>44985</v>
      </c>
      <c r="C12860" s="3" t="inlineStr">
        <is>
          <t>Expenses</t>
        </is>
      </c>
      <c r="D12860" s="3" t="inlineStr">
        <is>
          <t>3000/300</t>
        </is>
      </c>
      <c r="E12860" s="3" t="inlineStr">
        <is>
          <t>Accounting Fees - Audit</t>
        </is>
      </c>
      <c r="F12860" s="3" t="n">
        <v>0</v>
      </c>
      <c r="G12860" s="3" t="n">
        <v>22367.5</v>
      </c>
    </row>
    <row r="12861">
      <c r="A12861" s="3" t="inlineStr">
        <is>
          <t>Quinate Consulting (Pty) Ltd</t>
        </is>
      </c>
      <c r="B12861" s="4" t="n">
        <v>44985</v>
      </c>
      <c r="C12861" s="3" t="inlineStr">
        <is>
          <t>Expenses</t>
        </is>
      </c>
      <c r="D12861" s="3" t="inlineStr">
        <is>
          <t>3001/000</t>
        </is>
      </c>
      <c r="E12861" s="3" t="inlineStr">
        <is>
          <t>Accounting fees - Other</t>
        </is>
      </c>
      <c r="F12861" s="3" t="n">
        <v>0</v>
      </c>
      <c r="G12861" s="3" t="n">
        <v>1850</v>
      </c>
    </row>
    <row r="12862">
      <c r="A12862" s="3" t="inlineStr">
        <is>
          <t>Opportunity Management Holdings (PTY) LTD</t>
        </is>
      </c>
      <c r="B12862" s="4" t="n">
        <v>44985</v>
      </c>
      <c r="C12862" s="3" t="inlineStr">
        <is>
          <t>Expenses</t>
        </is>
      </c>
      <c r="D12862" s="3" t="inlineStr">
        <is>
          <t>3004/000</t>
        </is>
      </c>
      <c r="E12862" s="3" t="inlineStr">
        <is>
          <t>Accounting fees - Janine Theart</t>
        </is>
      </c>
      <c r="F12862" s="3" t="n">
        <v>0</v>
      </c>
      <c r="G12862" s="3" t="n">
        <v>73432.16</v>
      </c>
    </row>
    <row r="12863">
      <c r="A12863" s="3" t="inlineStr">
        <is>
          <t>Quinate Consulting (Pty) Ltd</t>
        </is>
      </c>
      <c r="B12863" s="4" t="n">
        <v>44985</v>
      </c>
      <c r="C12863" s="3" t="inlineStr">
        <is>
          <t>Expenses</t>
        </is>
      </c>
      <c r="D12863" s="3" t="inlineStr">
        <is>
          <t>3005/000</t>
        </is>
      </c>
      <c r="E12863" s="3" t="inlineStr">
        <is>
          <t>Accounting fees - Audit</t>
        </is>
      </c>
      <c r="F12863" s="3" t="n">
        <v>0</v>
      </c>
      <c r="G12863" s="3" t="n">
        <v>19250</v>
      </c>
    </row>
    <row r="12864">
      <c r="A12864" s="3" t="inlineStr">
        <is>
          <t>Opportunity Management Holdings (PTY) LTD</t>
        </is>
      </c>
      <c r="B12864" s="4" t="n">
        <v>44985</v>
      </c>
      <c r="C12864" s="3" t="inlineStr">
        <is>
          <t>Expenses</t>
        </is>
      </c>
      <c r="D12864" s="3" t="inlineStr">
        <is>
          <t>3005/000</t>
        </is>
      </c>
      <c r="E12864" s="3" t="inlineStr">
        <is>
          <t>Accounting fees - Deric Dudley</t>
        </is>
      </c>
      <c r="F12864" s="3" t="n">
        <v>0</v>
      </c>
      <c r="G12864" s="3" t="n">
        <v>210000</v>
      </c>
    </row>
    <row r="12865">
      <c r="A12865" s="3" t="inlineStr">
        <is>
          <t>Opportunity Management Holdings (PTY) LTD</t>
        </is>
      </c>
      <c r="B12865" s="4" t="n">
        <v>44985</v>
      </c>
      <c r="C12865" s="3" t="inlineStr">
        <is>
          <t>Expenses</t>
        </is>
      </c>
      <c r="D12865" s="3" t="inlineStr">
        <is>
          <t>3006/000</t>
        </is>
      </c>
      <c r="E12865" s="3" t="inlineStr">
        <is>
          <t>Accounting fees - CIPC</t>
        </is>
      </c>
      <c r="F12865" s="3" t="n">
        <v>0</v>
      </c>
      <c r="G12865" s="3" t="n">
        <v>350</v>
      </c>
    </row>
    <row r="12866">
      <c r="A12866" s="3" t="inlineStr">
        <is>
          <t>Opportunity Management Holdings (PTY) LTD</t>
        </is>
      </c>
      <c r="B12866" s="4" t="n">
        <v>44985</v>
      </c>
      <c r="C12866" s="3" t="inlineStr">
        <is>
          <t>Expenses</t>
        </is>
      </c>
      <c r="D12866" s="3" t="inlineStr">
        <is>
          <t>3007/000</t>
        </is>
      </c>
      <c r="E12866" s="3" t="inlineStr">
        <is>
          <t>Accounting fees - Warwick</t>
        </is>
      </c>
      <c r="F12866" s="3" t="n">
        <v>0</v>
      </c>
      <c r="G12866" s="3" t="n">
        <v>54000</v>
      </c>
    </row>
    <row r="12867">
      <c r="A12867" s="3" t="inlineStr">
        <is>
          <t>Endulini (Pty) Ltd</t>
        </is>
      </c>
      <c r="B12867" s="4" t="n">
        <v>44985</v>
      </c>
      <c r="C12867" s="3" t="inlineStr">
        <is>
          <t>Expenses</t>
        </is>
      </c>
      <c r="D12867" s="3" t="inlineStr">
        <is>
          <t>3050/000</t>
        </is>
      </c>
      <c r="E12867" s="3" t="inlineStr">
        <is>
          <t>Advertising _AND_ Promotions</t>
        </is>
      </c>
      <c r="F12867" s="3" t="n">
        <v>2102.5</v>
      </c>
      <c r="G12867" s="3" t="n">
        <v>25700.5</v>
      </c>
    </row>
    <row r="12868">
      <c r="A12868" s="3" t="inlineStr">
        <is>
          <t>Noble Shield (Pty) Ltd ta Go Letting</t>
        </is>
      </c>
      <c r="B12868" s="4" t="n">
        <v>44985</v>
      </c>
      <c r="C12868" s="3" t="inlineStr">
        <is>
          <t>Expenses</t>
        </is>
      </c>
      <c r="D12868" s="3" t="inlineStr">
        <is>
          <t>3050/000</t>
        </is>
      </c>
      <c r="E12868" s="3" t="inlineStr">
        <is>
          <t>Advertising _AND_ Promotions</t>
        </is>
      </c>
      <c r="F12868" s="3" t="n">
        <v>0</v>
      </c>
      <c r="G12868" s="3" t="n">
        <v>1543.99</v>
      </c>
    </row>
    <row r="12869">
      <c r="A12869" s="3" t="inlineStr">
        <is>
          <t>Opportunity Management Holdings (PTY) LTD</t>
        </is>
      </c>
      <c r="B12869" s="4" t="n">
        <v>44985</v>
      </c>
      <c r="C12869" s="3" t="inlineStr">
        <is>
          <t>Expenses</t>
        </is>
      </c>
      <c r="D12869" s="3" t="inlineStr">
        <is>
          <t>3050/000</t>
        </is>
      </c>
      <c r="E12869" s="3" t="inlineStr">
        <is>
          <t>Advertising _AND_ Promotions</t>
        </is>
      </c>
      <c r="F12869" s="3" t="n">
        <v>0</v>
      </c>
      <c r="G12869" s="3" t="n">
        <v>500</v>
      </c>
    </row>
    <row r="12870">
      <c r="A12870" s="3" t="inlineStr">
        <is>
          <t>Quinate Consulting (Pty) Ltd</t>
        </is>
      </c>
      <c r="B12870" s="4" t="n">
        <v>44985</v>
      </c>
      <c r="C12870" s="3" t="inlineStr">
        <is>
          <t>Expenses</t>
        </is>
      </c>
      <c r="D12870" s="3" t="inlineStr">
        <is>
          <t>3050/000</t>
        </is>
      </c>
      <c r="E12870" s="3" t="inlineStr">
        <is>
          <t>Advertising _AND_ Promotions</t>
        </is>
      </c>
      <c r="F12870" s="3" t="n">
        <v>0</v>
      </c>
      <c r="G12870" s="3" t="n">
        <v>1875.22</v>
      </c>
    </row>
    <row r="12871">
      <c r="A12871" s="3" t="inlineStr">
        <is>
          <t>Trademark Holdings (Pty) Ltd</t>
        </is>
      </c>
      <c r="B12871" s="4" t="n">
        <v>44985</v>
      </c>
      <c r="C12871" s="3" t="inlineStr">
        <is>
          <t>Expenses</t>
        </is>
      </c>
      <c r="D12871" s="3" t="inlineStr">
        <is>
          <t>3050/000</t>
        </is>
      </c>
      <c r="E12871" s="3" t="inlineStr">
        <is>
          <t>Advertising _AND_ Promotions</t>
        </is>
      </c>
      <c r="F12871" s="3" t="n">
        <v>0</v>
      </c>
      <c r="G12871" s="3" t="n">
        <v>6852.5</v>
      </c>
    </row>
    <row r="12872">
      <c r="A12872" s="3" t="inlineStr">
        <is>
          <t>Endulini (Pty) Ltd</t>
        </is>
      </c>
      <c r="B12872" s="4" t="n">
        <v>44985</v>
      </c>
      <c r="C12872" s="3" t="inlineStr">
        <is>
          <t>Expenses</t>
        </is>
      </c>
      <c r="D12872" s="3" t="inlineStr">
        <is>
          <t>3050/001</t>
        </is>
      </c>
      <c r="E12872" s="3" t="inlineStr">
        <is>
          <t>Advertising _AND_ Promotions - Media Agenda</t>
        </is>
      </c>
      <c r="F12872" s="3" t="n">
        <v>0</v>
      </c>
      <c r="G12872" s="3" t="n">
        <v>13800</v>
      </c>
    </row>
    <row r="12873">
      <c r="A12873" s="3" t="inlineStr">
        <is>
          <t>Noble Shield (Pty) Ltd ta Go Letting</t>
        </is>
      </c>
      <c r="B12873" s="4" t="n">
        <v>44985</v>
      </c>
      <c r="C12873" s="3" t="inlineStr">
        <is>
          <t>Expenses</t>
        </is>
      </c>
      <c r="D12873" s="3" t="inlineStr">
        <is>
          <t>3050/050</t>
        </is>
      </c>
      <c r="E12873" s="3" t="inlineStr">
        <is>
          <t>Advertising - Prop 24</t>
        </is>
      </c>
      <c r="F12873" s="3" t="n">
        <v>2737</v>
      </c>
      <c r="G12873" s="3" t="n">
        <v>17696.2</v>
      </c>
    </row>
    <row r="12874">
      <c r="A12874" s="3" t="inlineStr">
        <is>
          <t>Opportunity Global Sales (PTY) LTD</t>
        </is>
      </c>
      <c r="B12874" s="4" t="n">
        <v>44985</v>
      </c>
      <c r="C12874" s="3" t="inlineStr">
        <is>
          <t>Expenses</t>
        </is>
      </c>
      <c r="D12874" s="3" t="inlineStr">
        <is>
          <t>3050/100</t>
        </is>
      </c>
      <c r="E12874" s="3" t="inlineStr">
        <is>
          <t>Advertising - Facebook</t>
        </is>
      </c>
      <c r="F12874" s="3" t="n">
        <v>20999.97</v>
      </c>
      <c r="G12874" s="3" t="n">
        <v>155274.07</v>
      </c>
    </row>
    <row r="12875">
      <c r="A12875" s="3" t="inlineStr">
        <is>
          <t>Opportunity Global Sales (PTY) LTD</t>
        </is>
      </c>
      <c r="B12875" s="4" t="n">
        <v>44985</v>
      </c>
      <c r="C12875" s="3" t="inlineStr">
        <is>
          <t>Expenses</t>
        </is>
      </c>
      <c r="D12875" s="3" t="inlineStr">
        <is>
          <t>3050/140</t>
        </is>
      </c>
      <c r="E12875" s="3" t="inlineStr">
        <is>
          <t>Advertising - Media Agenda</t>
        </is>
      </c>
      <c r="F12875" s="3" t="n">
        <v>575</v>
      </c>
      <c r="G12875" s="3" t="n">
        <v>10575</v>
      </c>
    </row>
    <row r="12876">
      <c r="A12876" s="3" t="inlineStr">
        <is>
          <t>Opportunity Global Investment (PTY) LTD</t>
        </is>
      </c>
      <c r="B12876" s="4" t="n">
        <v>44985</v>
      </c>
      <c r="C12876" s="3" t="inlineStr">
        <is>
          <t>Expenses</t>
        </is>
      </c>
      <c r="D12876" s="3" t="inlineStr">
        <is>
          <t>3050/250</t>
        </is>
      </c>
      <c r="E12876" s="3" t="inlineStr">
        <is>
          <t>Advertising - General</t>
        </is>
      </c>
      <c r="F12876" s="3" t="n">
        <v>3872.4</v>
      </c>
      <c r="G12876" s="3" t="n">
        <v>10964.23</v>
      </c>
    </row>
    <row r="12877">
      <c r="A12877" s="3" t="inlineStr">
        <is>
          <t>Opportunity Global Sales (PTY) LTD</t>
        </is>
      </c>
      <c r="B12877" s="4" t="n">
        <v>44985</v>
      </c>
      <c r="C12877" s="3" t="inlineStr">
        <is>
          <t>Expenses</t>
        </is>
      </c>
      <c r="D12877" s="3" t="inlineStr">
        <is>
          <t>3050/250</t>
        </is>
      </c>
      <c r="E12877" s="3" t="inlineStr">
        <is>
          <t>Advertising - General</t>
        </is>
      </c>
      <c r="F12877" s="3" t="n">
        <v>2665</v>
      </c>
      <c r="G12877" s="3" t="n">
        <v>49958.58</v>
      </c>
    </row>
    <row r="12878">
      <c r="A12878" s="3" t="inlineStr">
        <is>
          <t>Opportunity Global Investment (PTY) LTD</t>
        </is>
      </c>
      <c r="B12878" s="4" t="n">
        <v>44985</v>
      </c>
      <c r="C12878" s="3" t="inlineStr">
        <is>
          <t>Expenses</t>
        </is>
      </c>
      <c r="D12878" s="3" t="inlineStr">
        <is>
          <t>3050/260</t>
        </is>
      </c>
      <c r="E12878" s="3" t="inlineStr">
        <is>
          <t>Advertising - Media Agenda</t>
        </is>
      </c>
      <c r="F12878" s="3" t="n">
        <v>0</v>
      </c>
      <c r="G12878" s="3" t="n">
        <v>3575</v>
      </c>
    </row>
    <row r="12879">
      <c r="A12879" s="3" t="inlineStr">
        <is>
          <t>Opportunity Global Investment (PTY) LTD</t>
        </is>
      </c>
      <c r="B12879" s="4" t="n">
        <v>44985</v>
      </c>
      <c r="C12879" s="3" t="inlineStr">
        <is>
          <t>Expenses</t>
        </is>
      </c>
      <c r="D12879" s="3" t="inlineStr">
        <is>
          <t>3050/270</t>
        </is>
      </c>
      <c r="E12879" s="3" t="inlineStr">
        <is>
          <t>Advertising - Radia and TV Interviews</t>
        </is>
      </c>
      <c r="F12879" s="3" t="n">
        <v>50000</v>
      </c>
      <c r="G12879" s="3" t="n">
        <v>260072</v>
      </c>
    </row>
    <row r="12880">
      <c r="A12880" s="3" t="inlineStr">
        <is>
          <t>Opportunity Global Investment (PTY) LTD</t>
        </is>
      </c>
      <c r="B12880" s="4" t="n">
        <v>44985</v>
      </c>
      <c r="C12880" s="3" t="inlineStr">
        <is>
          <t>Expenses</t>
        </is>
      </c>
      <c r="D12880" s="3" t="inlineStr">
        <is>
          <t>3050/290</t>
        </is>
      </c>
      <c r="E12880" s="3" t="inlineStr">
        <is>
          <t>Advertising - Serene Living</t>
        </is>
      </c>
      <c r="F12880" s="3" t="n">
        <v>65086</v>
      </c>
      <c r="G12880" s="3" t="n">
        <v>781032</v>
      </c>
    </row>
    <row r="12881">
      <c r="A12881" s="3" t="inlineStr">
        <is>
          <t>Opportunity Global Investment (PTY) LTD</t>
        </is>
      </c>
      <c r="B12881" s="4" t="n">
        <v>44985</v>
      </c>
      <c r="C12881" s="3" t="inlineStr">
        <is>
          <t>Expenses</t>
        </is>
      </c>
      <c r="D12881" s="3" t="inlineStr">
        <is>
          <t>3050/295</t>
        </is>
      </c>
      <c r="E12881" s="3" t="inlineStr">
        <is>
          <t>Advertising - Reale Activation</t>
        </is>
      </c>
      <c r="F12881" s="3" t="n">
        <v>1807.17</v>
      </c>
      <c r="G12881" s="3" t="n">
        <v>76953.11</v>
      </c>
    </row>
    <row r="12882">
      <c r="A12882" s="3" t="inlineStr">
        <is>
          <t>Opportunity Global Investment (PTY) LTD</t>
        </is>
      </c>
      <c r="B12882" s="4" t="n">
        <v>44985</v>
      </c>
      <c r="C12882" s="3" t="inlineStr">
        <is>
          <t>Expenses</t>
        </is>
      </c>
      <c r="D12882" s="3" t="inlineStr">
        <is>
          <t>3050/300</t>
        </is>
      </c>
      <c r="E12882" s="3" t="inlineStr">
        <is>
          <t>Advertising - Design</t>
        </is>
      </c>
      <c r="F12882" s="3" t="n">
        <v>0</v>
      </c>
      <c r="G12882" s="3" t="n">
        <v>51191</v>
      </c>
    </row>
    <row r="12883">
      <c r="A12883" s="3" t="inlineStr">
        <is>
          <t>Opportunity Global Sales (PTY) LTD</t>
        </is>
      </c>
      <c r="B12883" s="4" t="n">
        <v>44985</v>
      </c>
      <c r="C12883" s="3" t="inlineStr">
        <is>
          <t>Expenses</t>
        </is>
      </c>
      <c r="D12883" s="3" t="inlineStr">
        <is>
          <t>3050/350</t>
        </is>
      </c>
      <c r="E12883" s="3" t="inlineStr">
        <is>
          <t>Advertising - Private Property</t>
        </is>
      </c>
      <c r="F12883" s="3" t="n">
        <v>0</v>
      </c>
      <c r="G12883" s="3" t="n">
        <v>8750</v>
      </c>
    </row>
    <row r="12884">
      <c r="A12884" s="3" t="inlineStr">
        <is>
          <t>Opportunity Global Sales (PTY) LTD</t>
        </is>
      </c>
      <c r="B12884" s="4" t="n">
        <v>44985</v>
      </c>
      <c r="C12884" s="3" t="inlineStr">
        <is>
          <t>Expenses</t>
        </is>
      </c>
      <c r="D12884" s="3" t="inlineStr">
        <is>
          <t>3050/370</t>
        </is>
      </c>
      <c r="E12884" s="3" t="inlineStr">
        <is>
          <t>Advertising - HR</t>
        </is>
      </c>
      <c r="F12884" s="3" t="n">
        <v>0</v>
      </c>
      <c r="G12884" s="3" t="n">
        <v>2467.44</v>
      </c>
    </row>
    <row r="12885">
      <c r="A12885" s="3" t="inlineStr">
        <is>
          <t>Quinate Consulting (Pty) Ltd</t>
        </is>
      </c>
      <c r="B12885" s="4" t="n">
        <v>44985</v>
      </c>
      <c r="C12885" s="3" t="inlineStr">
        <is>
          <t>Expenses</t>
        </is>
      </c>
      <c r="D12885" s="3" t="inlineStr">
        <is>
          <t>3050/400</t>
        </is>
      </c>
      <c r="E12885" s="3" t="inlineStr">
        <is>
          <t>Advertising - Prop24</t>
        </is>
      </c>
      <c r="F12885" s="3" t="n">
        <v>15851.98</v>
      </c>
      <c r="G12885" s="3" t="n">
        <v>179582.98</v>
      </c>
    </row>
    <row r="12886">
      <c r="A12886" s="3" t="inlineStr">
        <is>
          <t>Quinate Consulting (Pty) Ltd</t>
        </is>
      </c>
      <c r="B12886" s="4" t="n">
        <v>44985</v>
      </c>
      <c r="C12886" s="3" t="inlineStr">
        <is>
          <t>Expenses</t>
        </is>
      </c>
      <c r="D12886" s="3" t="inlineStr">
        <is>
          <t>3050/450</t>
        </is>
      </c>
      <c r="E12886" s="3" t="inlineStr">
        <is>
          <t>Advertising - Facebook</t>
        </is>
      </c>
      <c r="F12886" s="3" t="n">
        <v>9097.639999999999</v>
      </c>
      <c r="G12886" s="3" t="n">
        <v>110331.26</v>
      </c>
    </row>
    <row r="12887">
      <c r="A12887" s="3" t="inlineStr">
        <is>
          <t>Opportunity Global Investment (PTY) LTD</t>
        </is>
      </c>
      <c r="B12887" s="4" t="n">
        <v>44985</v>
      </c>
      <c r="C12887" s="3" t="inlineStr">
        <is>
          <t>Expenses</t>
        </is>
      </c>
      <c r="D12887" s="3" t="inlineStr">
        <is>
          <t>3051/000</t>
        </is>
      </c>
      <c r="E12887" s="3" t="inlineStr">
        <is>
          <t>Advertising - Facebook</t>
        </is>
      </c>
      <c r="F12887" s="3" t="n">
        <v>11551.92</v>
      </c>
      <c r="G12887" s="3" t="n">
        <v>207131.75</v>
      </c>
    </row>
    <row r="12888">
      <c r="A12888" s="3" t="inlineStr">
        <is>
          <t>Opportunity Global Investment (PTY) LTD</t>
        </is>
      </c>
      <c r="B12888" s="4" t="n">
        <v>44985</v>
      </c>
      <c r="C12888" s="3" t="inlineStr">
        <is>
          <t>Expenses</t>
        </is>
      </c>
      <c r="D12888" s="3" t="inlineStr">
        <is>
          <t>3053/000</t>
        </is>
      </c>
      <c r="E12888" s="3" t="inlineStr">
        <is>
          <t>Advertising - Google Ads</t>
        </is>
      </c>
      <c r="F12888" s="3" t="n">
        <v>0</v>
      </c>
      <c r="G12888" s="3" t="n">
        <v>6207.42</v>
      </c>
    </row>
    <row r="12889">
      <c r="A12889" s="3" t="inlineStr">
        <is>
          <t>Endulini (Pty) Ltd</t>
        </is>
      </c>
      <c r="B12889" s="4" t="n">
        <v>44985</v>
      </c>
      <c r="C12889" s="3" t="inlineStr">
        <is>
          <t>Expenses</t>
        </is>
      </c>
      <c r="D12889" s="3" t="inlineStr">
        <is>
          <t>3200/000</t>
        </is>
      </c>
      <c r="E12889" s="3" t="inlineStr">
        <is>
          <t>Bank Charges</t>
        </is>
      </c>
      <c r="F12889" s="3" t="n">
        <v>105.82</v>
      </c>
      <c r="G12889" s="3" t="n">
        <v>6313.77</v>
      </c>
    </row>
    <row r="12890">
      <c r="A12890" s="3" t="inlineStr">
        <is>
          <t>Noble Shield (Pty) Ltd ta Go Letting</t>
        </is>
      </c>
      <c r="B12890" s="4" t="n">
        <v>44985</v>
      </c>
      <c r="C12890" s="3" t="inlineStr">
        <is>
          <t>Expenses</t>
        </is>
      </c>
      <c r="D12890" s="3" t="inlineStr">
        <is>
          <t>3200/000</t>
        </is>
      </c>
      <c r="E12890" s="3" t="inlineStr">
        <is>
          <t>Bank Charges</t>
        </is>
      </c>
      <c r="F12890" s="3" t="n">
        <v>508.9</v>
      </c>
      <c r="G12890" s="3" t="n">
        <v>4361.75</v>
      </c>
    </row>
    <row r="12891">
      <c r="A12891" s="3" t="inlineStr">
        <is>
          <t>Opportunity Global Investment (PTY) LTD</t>
        </is>
      </c>
      <c r="B12891" s="4" t="n">
        <v>44985</v>
      </c>
      <c r="C12891" s="3" t="inlineStr">
        <is>
          <t>Expenses</t>
        </is>
      </c>
      <c r="D12891" s="3" t="inlineStr">
        <is>
          <t>3200/000</t>
        </is>
      </c>
      <c r="E12891" s="3" t="inlineStr">
        <is>
          <t>Bank Charges</t>
        </is>
      </c>
      <c r="F12891" s="3" t="n">
        <v>464.61</v>
      </c>
      <c r="G12891" s="3" t="n">
        <v>16092.67</v>
      </c>
    </row>
    <row r="12892">
      <c r="A12892" s="3" t="inlineStr">
        <is>
          <t>Opportunity Global Sales (PTY) LTD</t>
        </is>
      </c>
      <c r="B12892" s="4" t="n">
        <v>44985</v>
      </c>
      <c r="C12892" s="3" t="inlineStr">
        <is>
          <t>Expenses</t>
        </is>
      </c>
      <c r="D12892" s="3" t="inlineStr">
        <is>
          <t>3200/000</t>
        </is>
      </c>
      <c r="E12892" s="3" t="inlineStr">
        <is>
          <t>Bank Charges</t>
        </is>
      </c>
      <c r="F12892" s="3" t="n">
        <v>295.17</v>
      </c>
      <c r="G12892" s="3" t="n">
        <v>9484.690000000001</v>
      </c>
    </row>
    <row r="12893">
      <c r="A12893" s="3" t="inlineStr">
        <is>
          <t>Opportunity Management Holdings (PTY) LTD</t>
        </is>
      </c>
      <c r="B12893" s="4" t="n">
        <v>44985</v>
      </c>
      <c r="C12893" s="3" t="inlineStr">
        <is>
          <t>Expenses</t>
        </is>
      </c>
      <c r="D12893" s="3" t="inlineStr">
        <is>
          <t>3200/000</t>
        </is>
      </c>
      <c r="E12893" s="3" t="inlineStr">
        <is>
          <t>Bank Charges</t>
        </is>
      </c>
      <c r="F12893" s="3" t="n">
        <v>655.52</v>
      </c>
      <c r="G12893" s="3" t="n">
        <v>4468.16</v>
      </c>
    </row>
    <row r="12894">
      <c r="A12894" s="3" t="inlineStr">
        <is>
          <t>Quinate Consulting (Pty) Ltd</t>
        </is>
      </c>
      <c r="B12894" s="4" t="n">
        <v>44985</v>
      </c>
      <c r="C12894" s="3" t="inlineStr">
        <is>
          <t>Expenses</t>
        </is>
      </c>
      <c r="D12894" s="3" t="inlineStr">
        <is>
          <t>3200/000</t>
        </is>
      </c>
      <c r="E12894" s="3" t="inlineStr">
        <is>
          <t>Bank Charges</t>
        </is>
      </c>
      <c r="F12894" s="3" t="n">
        <v>520.09</v>
      </c>
      <c r="G12894" s="3" t="n">
        <v>16315.26</v>
      </c>
    </row>
    <row r="12895">
      <c r="A12895" s="3" t="inlineStr">
        <is>
          <t>Trademark Holdings (Pty) Ltd</t>
        </is>
      </c>
      <c r="B12895" s="4" t="n">
        <v>44985</v>
      </c>
      <c r="C12895" s="3" t="inlineStr">
        <is>
          <t>Expenses</t>
        </is>
      </c>
      <c r="D12895" s="3" t="inlineStr">
        <is>
          <t>3200/000</t>
        </is>
      </c>
      <c r="E12895" s="3" t="inlineStr">
        <is>
          <t>Bank Charges</t>
        </is>
      </c>
      <c r="F12895" s="3" t="n">
        <v>354.26</v>
      </c>
      <c r="G12895" s="3" t="n">
        <v>2514.62</v>
      </c>
    </row>
    <row r="12896">
      <c r="A12896" s="3" t="inlineStr">
        <is>
          <t>Quinate Consulting (Pty) Ltd</t>
        </is>
      </c>
      <c r="B12896" s="4" t="n">
        <v>44985</v>
      </c>
      <c r="C12896" s="3" t="inlineStr">
        <is>
          <t>Expenses</t>
        </is>
      </c>
      <c r="D12896" s="3" t="inlineStr">
        <is>
          <t>3220/000</t>
        </is>
      </c>
      <c r="E12896" s="3" t="inlineStr">
        <is>
          <t>Bank Charges - Bond Fees</t>
        </is>
      </c>
      <c r="F12896" s="3" t="n">
        <v>1117.41</v>
      </c>
      <c r="G12896" s="3" t="n">
        <v>13408.92</v>
      </c>
    </row>
    <row r="12897">
      <c r="A12897" s="3" t="inlineStr">
        <is>
          <t>Noble Shield (Pty) Ltd ta Go Letting</t>
        </is>
      </c>
      <c r="B12897" s="4" t="n">
        <v>44985</v>
      </c>
      <c r="C12897" s="3" t="inlineStr">
        <is>
          <t>Expenses</t>
        </is>
      </c>
      <c r="D12897" s="3" t="inlineStr">
        <is>
          <t>3230/000</t>
        </is>
      </c>
      <c r="E12897" s="3" t="inlineStr">
        <is>
          <t>Cell Phone - NM</t>
        </is>
      </c>
      <c r="F12897" s="3" t="n">
        <v>2366.64</v>
      </c>
      <c r="G12897" s="3" t="n">
        <v>13536.84</v>
      </c>
    </row>
    <row r="12898">
      <c r="A12898" s="3" t="inlineStr">
        <is>
          <t>Noble Shield (Pty) Ltd ta Go Letting</t>
        </is>
      </c>
      <c r="B12898" s="4" t="n">
        <v>44985</v>
      </c>
      <c r="C12898" s="3" t="inlineStr">
        <is>
          <t>Expenses</t>
        </is>
      </c>
      <c r="D12898" s="3" t="inlineStr">
        <is>
          <t>3233/000</t>
        </is>
      </c>
      <c r="E12898" s="3" t="inlineStr">
        <is>
          <t>Cell Data - Other</t>
        </is>
      </c>
      <c r="F12898" s="3" t="n">
        <v>199</v>
      </c>
      <c r="G12898" s="3" t="n">
        <v>1194</v>
      </c>
    </row>
    <row r="12899">
      <c r="A12899" s="3" t="inlineStr">
        <is>
          <t>Noble Shield (Pty) Ltd ta Go Letting</t>
        </is>
      </c>
      <c r="B12899" s="4" t="n">
        <v>44985</v>
      </c>
      <c r="C12899" s="3" t="inlineStr">
        <is>
          <t>Expenses</t>
        </is>
      </c>
      <c r="D12899" s="3" t="inlineStr">
        <is>
          <t>3233/100</t>
        </is>
      </c>
      <c r="E12899" s="3" t="inlineStr">
        <is>
          <t>Cell Data - Sales office Wifi</t>
        </is>
      </c>
      <c r="F12899" s="3" t="n">
        <v>369</v>
      </c>
      <c r="G12899" s="3" t="n">
        <v>2214</v>
      </c>
    </row>
    <row r="12900">
      <c r="A12900" s="3" t="inlineStr">
        <is>
          <t>Noble Shield (Pty) Ltd ta Go Letting</t>
        </is>
      </c>
      <c r="B12900" s="4" t="n">
        <v>44985</v>
      </c>
      <c r="C12900" s="3" t="inlineStr">
        <is>
          <t>Expenses</t>
        </is>
      </c>
      <c r="D12900" s="3" t="inlineStr">
        <is>
          <t>3250/000</t>
        </is>
      </c>
      <c r="E12900" s="3" t="inlineStr">
        <is>
          <t>Cleaning</t>
        </is>
      </c>
      <c r="F12900" s="3" t="n">
        <v>0</v>
      </c>
      <c r="G12900" s="3" t="n">
        <v>289.4</v>
      </c>
    </row>
    <row r="12901">
      <c r="A12901" s="3" t="inlineStr">
        <is>
          <t>Opportunity Global Investment (PTY) LTD</t>
        </is>
      </c>
      <c r="B12901" s="4" t="n">
        <v>44985</v>
      </c>
      <c r="C12901" s="3" t="inlineStr">
        <is>
          <t>Expenses</t>
        </is>
      </c>
      <c r="D12901" s="3" t="inlineStr">
        <is>
          <t>3250/000</t>
        </is>
      </c>
      <c r="E12901" s="3" t="inlineStr">
        <is>
          <t>Cleaning</t>
        </is>
      </c>
      <c r="F12901" s="3" t="n">
        <v>2700</v>
      </c>
      <c r="G12901" s="3" t="n">
        <v>32400</v>
      </c>
    </row>
    <row r="12902">
      <c r="A12902" s="3" t="inlineStr">
        <is>
          <t>Opportunity Management Holdings (PTY) LTD</t>
        </is>
      </c>
      <c r="B12902" s="4" t="n">
        <v>44985</v>
      </c>
      <c r="C12902" s="3" t="inlineStr">
        <is>
          <t>Expenses</t>
        </is>
      </c>
      <c r="D12902" s="3" t="inlineStr">
        <is>
          <t>3250/000</t>
        </is>
      </c>
      <c r="E12902" s="3" t="inlineStr">
        <is>
          <t>Cleaning</t>
        </is>
      </c>
      <c r="F12902" s="3" t="n">
        <v>2000</v>
      </c>
      <c r="G12902" s="3" t="n">
        <v>12818.15</v>
      </c>
    </row>
    <row r="12903">
      <c r="A12903" s="3" t="inlineStr">
        <is>
          <t>Trademark Holdings (Pty) Ltd</t>
        </is>
      </c>
      <c r="B12903" s="4" t="n">
        <v>44985</v>
      </c>
      <c r="C12903" s="3" t="inlineStr">
        <is>
          <t>Expenses</t>
        </is>
      </c>
      <c r="D12903" s="3" t="inlineStr">
        <is>
          <t>3250/000</t>
        </is>
      </c>
      <c r="E12903" s="3" t="inlineStr">
        <is>
          <t>Cleaning</t>
        </is>
      </c>
      <c r="F12903" s="3" t="n">
        <v>1040</v>
      </c>
      <c r="G12903" s="3" t="n">
        <v>5720</v>
      </c>
    </row>
    <row r="12904">
      <c r="A12904" s="3" t="inlineStr">
        <is>
          <t>Noble Shield (Pty) Ltd ta Go Letting</t>
        </is>
      </c>
      <c r="B12904" s="4" t="n">
        <v>44985</v>
      </c>
      <c r="C12904" s="3" t="inlineStr">
        <is>
          <t>Expenses</t>
        </is>
      </c>
      <c r="D12904" s="3" t="inlineStr">
        <is>
          <t>3300/000</t>
        </is>
      </c>
      <c r="E12904" s="3" t="inlineStr">
        <is>
          <t>Computer Expenses</t>
        </is>
      </c>
      <c r="F12904" s="3" t="n">
        <v>950</v>
      </c>
      <c r="G12904" s="3" t="n">
        <v>1300</v>
      </c>
    </row>
    <row r="12905">
      <c r="A12905" s="3" t="inlineStr">
        <is>
          <t>Opportunity Global Investment (PTY) LTD</t>
        </is>
      </c>
      <c r="B12905" s="4" t="n">
        <v>44985</v>
      </c>
      <c r="C12905" s="3" t="inlineStr">
        <is>
          <t>Expenses</t>
        </is>
      </c>
      <c r="D12905" s="3" t="inlineStr">
        <is>
          <t>3300/000</t>
        </is>
      </c>
      <c r="E12905" s="3" t="inlineStr">
        <is>
          <t>Computer Expenses</t>
        </is>
      </c>
      <c r="F12905" s="3" t="n">
        <v>0</v>
      </c>
      <c r="G12905" s="3" t="n">
        <v>1216.47</v>
      </c>
    </row>
    <row r="12906">
      <c r="A12906" s="3" t="inlineStr">
        <is>
          <t>Opportunity Global Sales (PTY) LTD</t>
        </is>
      </c>
      <c r="B12906" s="4" t="n">
        <v>44985</v>
      </c>
      <c r="C12906" s="3" t="inlineStr">
        <is>
          <t>Expenses</t>
        </is>
      </c>
      <c r="D12906" s="3" t="inlineStr">
        <is>
          <t>3300/000</t>
        </is>
      </c>
      <c r="E12906" s="3" t="inlineStr">
        <is>
          <t>Computer Expenses</t>
        </is>
      </c>
      <c r="F12906" s="3" t="n">
        <v>0</v>
      </c>
      <c r="G12906" s="3" t="n">
        <v>2075</v>
      </c>
    </row>
    <row r="12907">
      <c r="A12907" s="3" t="inlineStr">
        <is>
          <t>Opportunity Management Holdings (PTY) LTD</t>
        </is>
      </c>
      <c r="B12907" s="4" t="n">
        <v>44985</v>
      </c>
      <c r="C12907" s="3" t="inlineStr">
        <is>
          <t>Expenses</t>
        </is>
      </c>
      <c r="D12907" s="3" t="inlineStr">
        <is>
          <t>3300/000</t>
        </is>
      </c>
      <c r="E12907" s="3" t="inlineStr">
        <is>
          <t>Computer Expenses</t>
        </is>
      </c>
      <c r="F12907" s="3" t="n">
        <v>304.35</v>
      </c>
      <c r="G12907" s="3" t="n">
        <v>3723.26</v>
      </c>
    </row>
    <row r="12908">
      <c r="A12908" s="3" t="inlineStr">
        <is>
          <t>Quinate Consulting (Pty) Ltd</t>
        </is>
      </c>
      <c r="B12908" s="4" t="n">
        <v>44985</v>
      </c>
      <c r="C12908" s="3" t="inlineStr">
        <is>
          <t>Expenses</t>
        </is>
      </c>
      <c r="D12908" s="3" t="inlineStr">
        <is>
          <t>3300/000</t>
        </is>
      </c>
      <c r="E12908" s="3" t="inlineStr">
        <is>
          <t>Computer Expenses</t>
        </is>
      </c>
      <c r="F12908" s="3" t="n">
        <v>0</v>
      </c>
      <c r="G12908" s="3" t="n">
        <v>509.04</v>
      </c>
    </row>
    <row r="12909">
      <c r="A12909" s="3" t="inlineStr">
        <is>
          <t>Noble Shield (Pty) Ltd ta Go Letting</t>
        </is>
      </c>
      <c r="B12909" s="4" t="n">
        <v>44985</v>
      </c>
      <c r="C12909" s="3" t="inlineStr">
        <is>
          <t>Expenses</t>
        </is>
      </c>
      <c r="D12909" s="3" t="inlineStr">
        <is>
          <t>3300/120</t>
        </is>
      </c>
      <c r="E12909" s="3" t="inlineStr">
        <is>
          <t>Computer IT - Software Propworx</t>
        </is>
      </c>
      <c r="F12909" s="3" t="n">
        <v>2167.75</v>
      </c>
      <c r="G12909" s="3" t="n">
        <v>12926</v>
      </c>
    </row>
    <row r="12910">
      <c r="A12910" s="3" t="inlineStr">
        <is>
          <t>Trademark Holdings (Pty) Ltd</t>
        </is>
      </c>
      <c r="B12910" s="4" t="n">
        <v>44985</v>
      </c>
      <c r="C12910" s="3" t="inlineStr">
        <is>
          <t>Expenses</t>
        </is>
      </c>
      <c r="D12910" s="3" t="inlineStr">
        <is>
          <t>3300/130</t>
        </is>
      </c>
      <c r="E12910" s="3" t="inlineStr">
        <is>
          <t>Computer IT - Internet/Hosting Fees</t>
        </is>
      </c>
      <c r="F12910" s="3" t="n">
        <v>0</v>
      </c>
      <c r="G12910" s="3" t="n">
        <v>-3599.5</v>
      </c>
    </row>
    <row r="12911">
      <c r="A12911" s="3" t="inlineStr">
        <is>
          <t>Opportunity Management Holdings (PTY) LTD</t>
        </is>
      </c>
      <c r="B12911" s="4" t="n">
        <v>44985</v>
      </c>
      <c r="C12911" s="3" t="inlineStr">
        <is>
          <t>Expenses</t>
        </is>
      </c>
      <c r="D12911" s="3" t="inlineStr">
        <is>
          <t>3300/140</t>
        </is>
      </c>
      <c r="E12911" s="3" t="inlineStr">
        <is>
          <t>Computer IT</t>
        </is>
      </c>
      <c r="F12911" s="3" t="n">
        <v>0</v>
      </c>
      <c r="G12911" s="3" t="n">
        <v>22364.04</v>
      </c>
    </row>
    <row r="12912">
      <c r="A12912" s="3" t="inlineStr">
        <is>
          <t>Trademark Holdings (Pty) Ltd</t>
        </is>
      </c>
      <c r="B12912" s="4" t="n">
        <v>44985</v>
      </c>
      <c r="C12912" s="3" t="inlineStr">
        <is>
          <t>Expenses</t>
        </is>
      </c>
      <c r="D12912" s="3" t="inlineStr">
        <is>
          <t>3300/145</t>
        </is>
      </c>
      <c r="E12912" s="3" t="inlineStr">
        <is>
          <t>Computer IT - Cloud Solve</t>
        </is>
      </c>
      <c r="F12912" s="3" t="n">
        <v>0</v>
      </c>
      <c r="G12912" s="3" t="n">
        <v>6313.5</v>
      </c>
    </row>
    <row r="12913">
      <c r="A12913" s="3" t="inlineStr">
        <is>
          <t>Noble Shield (Pty) Ltd ta Go Letting</t>
        </is>
      </c>
      <c r="B12913" s="4" t="n">
        <v>44985</v>
      </c>
      <c r="C12913" s="3" t="inlineStr">
        <is>
          <t>Expenses</t>
        </is>
      </c>
      <c r="D12913" s="3" t="inlineStr">
        <is>
          <t>3300/170</t>
        </is>
      </c>
      <c r="E12913" s="3" t="inlineStr">
        <is>
          <t>Computer IT - VDB office Fibre</t>
        </is>
      </c>
      <c r="F12913" s="3" t="n">
        <v>790</v>
      </c>
      <c r="G12913" s="3" t="n">
        <v>4740</v>
      </c>
    </row>
    <row r="12914">
      <c r="A12914" s="3" t="inlineStr">
        <is>
          <t>Trademark Holdings (Pty) Ltd</t>
        </is>
      </c>
      <c r="B12914" s="4" t="n">
        <v>44985</v>
      </c>
      <c r="C12914" s="3" t="inlineStr">
        <is>
          <t>Expenses</t>
        </is>
      </c>
      <c r="D12914" s="3" t="inlineStr">
        <is>
          <t>3350/000</t>
        </is>
      </c>
      <c r="E12914" s="3" t="inlineStr">
        <is>
          <t>Consulting Fees</t>
        </is>
      </c>
      <c r="F12914" s="3" t="n">
        <v>21000</v>
      </c>
      <c r="G12914" s="3" t="n">
        <v>168000</v>
      </c>
    </row>
    <row r="12915">
      <c r="A12915" s="3" t="inlineStr">
        <is>
          <t>Opportunity Management Holdings (PTY) LTD</t>
        </is>
      </c>
      <c r="B12915" s="4" t="n">
        <v>44985</v>
      </c>
      <c r="C12915" s="3" t="inlineStr">
        <is>
          <t>Expenses</t>
        </is>
      </c>
      <c r="D12915" s="3" t="inlineStr">
        <is>
          <t>3350/100</t>
        </is>
      </c>
      <c r="E12915" s="3" t="inlineStr">
        <is>
          <t>Consulting Fee - Dirk Coetzee</t>
        </is>
      </c>
      <c r="F12915" s="3" t="n">
        <v>6000</v>
      </c>
      <c r="G12915" s="3" t="n">
        <v>46000</v>
      </c>
    </row>
    <row r="12916">
      <c r="A12916" s="3" t="inlineStr">
        <is>
          <t>Quinate Consulting (Pty) Ltd</t>
        </is>
      </c>
      <c r="B12916" s="4" t="n">
        <v>44985</v>
      </c>
      <c r="C12916" s="3" t="inlineStr">
        <is>
          <t>Expenses</t>
        </is>
      </c>
      <c r="D12916" s="3" t="inlineStr">
        <is>
          <t>3350/100</t>
        </is>
      </c>
      <c r="E12916" s="3" t="inlineStr">
        <is>
          <t>Consulting Fees</t>
        </is>
      </c>
      <c r="F12916" s="3" t="n">
        <v>15000</v>
      </c>
      <c r="G12916" s="3" t="n">
        <v>0</v>
      </c>
    </row>
    <row r="12917">
      <c r="A12917" s="3" t="inlineStr">
        <is>
          <t>Endulini (Pty) Ltd</t>
        </is>
      </c>
      <c r="B12917" s="4" t="n">
        <v>44985</v>
      </c>
      <c r="C12917" s="3" t="inlineStr">
        <is>
          <t>Expenses</t>
        </is>
      </c>
      <c r="D12917" s="3" t="inlineStr">
        <is>
          <t>3350/100</t>
        </is>
      </c>
      <c r="E12917" s="3" t="inlineStr">
        <is>
          <t>Consulting Fees - Admin and Finance</t>
        </is>
      </c>
      <c r="F12917" s="3" t="n">
        <v>56350</v>
      </c>
      <c r="G12917" s="3" t="n">
        <v>942729.12</v>
      </c>
    </row>
    <row r="12918">
      <c r="A12918" s="3" t="inlineStr">
        <is>
          <t>Opportunity Global Investment (PTY) LTD</t>
        </is>
      </c>
      <c r="B12918" s="4" t="n">
        <v>44985</v>
      </c>
      <c r="C12918" s="3" t="inlineStr">
        <is>
          <t>Expenses</t>
        </is>
      </c>
      <c r="D12918" s="3" t="inlineStr">
        <is>
          <t>3350/100</t>
        </is>
      </c>
      <c r="E12918" s="3" t="inlineStr">
        <is>
          <t>Consulting Fees - Admin and Finance</t>
        </is>
      </c>
      <c r="F12918" s="3" t="n">
        <v>12957.5</v>
      </c>
      <c r="G12918" s="3" t="n">
        <v>102232.5</v>
      </c>
    </row>
    <row r="12919">
      <c r="A12919" s="3" t="inlineStr">
        <is>
          <t>Opportunity Global Sales (PTY) LTD</t>
        </is>
      </c>
      <c r="B12919" s="4" t="n">
        <v>44985</v>
      </c>
      <c r="C12919" s="3" t="inlineStr">
        <is>
          <t>Expenses</t>
        </is>
      </c>
      <c r="D12919" s="3" t="inlineStr">
        <is>
          <t>3350/100</t>
        </is>
      </c>
      <c r="E12919" s="3" t="inlineStr">
        <is>
          <t>Consulting Fees - Admin and Finance</t>
        </is>
      </c>
      <c r="F12919" s="3" t="n">
        <v>14757.5</v>
      </c>
      <c r="G12919" s="3" t="n">
        <v>118817.5</v>
      </c>
    </row>
    <row r="12920">
      <c r="A12920" s="3" t="inlineStr">
        <is>
          <t>Opportunity Management Holdings (PTY) LTD</t>
        </is>
      </c>
      <c r="B12920" s="4" t="n">
        <v>44985</v>
      </c>
      <c r="C12920" s="3" t="inlineStr">
        <is>
          <t>Expenses</t>
        </is>
      </c>
      <c r="D12920" s="3" t="inlineStr">
        <is>
          <t>3350/200</t>
        </is>
      </c>
      <c r="E12920" s="3" t="inlineStr">
        <is>
          <t>Consulting Fee - Staff recruitment</t>
        </is>
      </c>
      <c r="F12920" s="3" t="n">
        <v>0</v>
      </c>
      <c r="G12920" s="3" t="n">
        <v>18240</v>
      </c>
    </row>
    <row r="12921">
      <c r="A12921" s="3" t="inlineStr">
        <is>
          <t>Opportunity Global Sales (PTY) LTD</t>
        </is>
      </c>
      <c r="B12921" s="4" t="n">
        <v>44985</v>
      </c>
      <c r="C12921" s="3" t="inlineStr">
        <is>
          <t>Expenses</t>
        </is>
      </c>
      <c r="D12921" s="3" t="inlineStr">
        <is>
          <t>3350/200</t>
        </is>
      </c>
      <c r="E12921" s="3" t="inlineStr">
        <is>
          <t>Consulting Fees - Agent Karien Muller</t>
        </is>
      </c>
      <c r="F12921" s="3" t="n">
        <v>10000</v>
      </c>
      <c r="G12921" s="3" t="n">
        <v>70000</v>
      </c>
    </row>
    <row r="12922">
      <c r="A12922" s="3" t="inlineStr">
        <is>
          <t>Opportunity Global Investment (PTY) LTD</t>
        </is>
      </c>
      <c r="B12922" s="4" t="n">
        <v>44985</v>
      </c>
      <c r="C12922" s="3" t="inlineStr">
        <is>
          <t>Expenses</t>
        </is>
      </c>
      <c r="D12922" s="3" t="inlineStr">
        <is>
          <t>3350/200</t>
        </is>
      </c>
      <c r="E12922" s="3" t="inlineStr">
        <is>
          <t>Consulting Fees - Rockfin</t>
        </is>
      </c>
      <c r="F12922" s="3" t="n">
        <v>10000</v>
      </c>
      <c r="G12922" s="3" t="n">
        <v>102700</v>
      </c>
    </row>
    <row r="12923">
      <c r="A12923" s="3" t="inlineStr">
        <is>
          <t>Quinate Consulting (Pty) Ltd</t>
        </is>
      </c>
      <c r="B12923" s="4" t="n">
        <v>44985</v>
      </c>
      <c r="C12923" s="3" t="inlineStr">
        <is>
          <t>Expenses</t>
        </is>
      </c>
      <c r="D12923" s="3" t="inlineStr">
        <is>
          <t>3350/300</t>
        </is>
      </c>
      <c r="E12923" s="3" t="inlineStr">
        <is>
          <t>Consulting Fees - Admin and Finance</t>
        </is>
      </c>
      <c r="F12923" s="3" t="n">
        <v>2000</v>
      </c>
      <c r="G12923" s="3" t="n">
        <v>25700</v>
      </c>
    </row>
    <row r="12924">
      <c r="A12924" s="3" t="inlineStr">
        <is>
          <t>Opportunity Global Investment (PTY) LTD</t>
        </is>
      </c>
      <c r="B12924" s="4" t="n">
        <v>44985</v>
      </c>
      <c r="C12924" s="3" t="inlineStr">
        <is>
          <t>Expenses</t>
        </is>
      </c>
      <c r="D12924" s="3" t="inlineStr">
        <is>
          <t>3351/000</t>
        </is>
      </c>
      <c r="E12924" s="3" t="inlineStr">
        <is>
          <t>Consulting Fees - HR Joblaw</t>
        </is>
      </c>
      <c r="F12924" s="3" t="n">
        <v>2135.3</v>
      </c>
      <c r="G12924" s="3" t="n">
        <v>17722.4</v>
      </c>
    </row>
    <row r="12925">
      <c r="A12925" s="3" t="inlineStr">
        <is>
          <t>Quinate Consulting (Pty) Ltd</t>
        </is>
      </c>
      <c r="B12925" s="4" t="n">
        <v>44985</v>
      </c>
      <c r="C12925" s="3" t="inlineStr">
        <is>
          <t>Expenses</t>
        </is>
      </c>
      <c r="D12925" s="3" t="inlineStr">
        <is>
          <t>3351/000</t>
        </is>
      </c>
      <c r="E12925" s="3" t="inlineStr">
        <is>
          <t>Consulting fees - Trustees</t>
        </is>
      </c>
      <c r="F12925" s="3" t="n">
        <v>8600</v>
      </c>
      <c r="G12925" s="3" t="n">
        <v>111600</v>
      </c>
    </row>
    <row r="12926">
      <c r="A12926" s="3" t="inlineStr">
        <is>
          <t>Opportunity Global Investment (PTY) LTD</t>
        </is>
      </c>
      <c r="B12926" s="4" t="n">
        <v>44985</v>
      </c>
      <c r="C12926" s="3" t="inlineStr">
        <is>
          <t>Expenses</t>
        </is>
      </c>
      <c r="D12926" s="3" t="inlineStr">
        <is>
          <t>3352/000</t>
        </is>
      </c>
      <c r="E12926" s="3" t="inlineStr">
        <is>
          <t>Consulting Fees - Kert Scalzini</t>
        </is>
      </c>
      <c r="F12926" s="3" t="n">
        <v>0</v>
      </c>
      <c r="G12926" s="3" t="n">
        <v>20000</v>
      </c>
    </row>
    <row r="12927">
      <c r="A12927" s="3" t="inlineStr">
        <is>
          <t>Opportunity Global Investment (PTY) LTD</t>
        </is>
      </c>
      <c r="B12927" s="4" t="n">
        <v>44985</v>
      </c>
      <c r="C12927" s="3" t="inlineStr">
        <is>
          <t>Expenses</t>
        </is>
      </c>
      <c r="D12927" s="3" t="inlineStr">
        <is>
          <t>3353/000</t>
        </is>
      </c>
      <c r="E12927" s="3" t="inlineStr">
        <is>
          <t>Consulting Fees - Yolanda Steyn</t>
        </is>
      </c>
      <c r="F12927" s="3" t="n">
        <v>0</v>
      </c>
      <c r="G12927" s="3" t="n">
        <v>2000</v>
      </c>
    </row>
    <row r="12928">
      <c r="A12928" s="3" t="inlineStr">
        <is>
          <t>Quinate Consulting (Pty) Ltd</t>
        </is>
      </c>
      <c r="B12928" s="4" t="n">
        <v>44985</v>
      </c>
      <c r="C12928" s="3" t="inlineStr">
        <is>
          <t>Expenses</t>
        </is>
      </c>
      <c r="D12928" s="3" t="inlineStr">
        <is>
          <t>3450/001</t>
        </is>
      </c>
      <c r="E12928" s="3" t="inlineStr">
        <is>
          <t>Depreciation - Computer Equipment</t>
        </is>
      </c>
      <c r="F12928" s="3" t="n">
        <v>2331.66</v>
      </c>
      <c r="G12928" s="3" t="n">
        <v>36077.13</v>
      </c>
    </row>
    <row r="12929">
      <c r="A12929" s="3" t="inlineStr">
        <is>
          <t>Opportunity Global Investment (PTY) LTD</t>
        </is>
      </c>
      <c r="B12929" s="4" t="n">
        <v>44985</v>
      </c>
      <c r="C12929" s="3" t="inlineStr">
        <is>
          <t>Expenses</t>
        </is>
      </c>
      <c r="D12929" s="3" t="inlineStr">
        <is>
          <t>3450/001</t>
        </is>
      </c>
      <c r="E12929" s="3" t="inlineStr">
        <is>
          <t>Depreciation - Computer equipment</t>
        </is>
      </c>
      <c r="F12929" s="3" t="n">
        <v>880.08</v>
      </c>
      <c r="G12929" s="3" t="n">
        <v>1760.16</v>
      </c>
    </row>
    <row r="12930">
      <c r="A12930" s="3" t="inlineStr">
        <is>
          <t>Quinate Consulting (Pty) Ltd</t>
        </is>
      </c>
      <c r="B12930" s="4" t="n">
        <v>44985</v>
      </c>
      <c r="C12930" s="3" t="inlineStr">
        <is>
          <t>Expenses</t>
        </is>
      </c>
      <c r="D12930" s="3" t="inlineStr">
        <is>
          <t>3450/002</t>
        </is>
      </c>
      <c r="E12930" s="3" t="inlineStr">
        <is>
          <t>Depreciation - Site Containers</t>
        </is>
      </c>
      <c r="F12930" s="3" t="n">
        <v>318.86</v>
      </c>
      <c r="G12930" s="3" t="n">
        <v>3826.1</v>
      </c>
    </row>
    <row r="12931">
      <c r="A12931" s="3" t="inlineStr">
        <is>
          <t>Opportunity Global Sales (PTY) LTD</t>
        </is>
      </c>
      <c r="B12931" s="4" t="n">
        <v>44985</v>
      </c>
      <c r="C12931" s="3" t="inlineStr">
        <is>
          <t>Expenses</t>
        </is>
      </c>
      <c r="D12931" s="3" t="inlineStr">
        <is>
          <t>3450/030</t>
        </is>
      </c>
      <c r="E12931" s="3" t="inlineStr">
        <is>
          <t>Depreciation - Furniture and Fittings</t>
        </is>
      </c>
      <c r="F12931" s="3" t="n">
        <v>408.05</v>
      </c>
      <c r="G12931" s="3" t="n">
        <v>3264.41</v>
      </c>
    </row>
    <row r="12932">
      <c r="A12932" s="3" t="inlineStr">
        <is>
          <t>Opportunity Management Holdings (PTY) LTD</t>
        </is>
      </c>
      <c r="B12932" s="4" t="n">
        <v>44985</v>
      </c>
      <c r="C12932" s="3" t="inlineStr">
        <is>
          <t>Expenses</t>
        </is>
      </c>
      <c r="D12932" s="3" t="inlineStr">
        <is>
          <t>3451/000</t>
        </is>
      </c>
      <c r="E12932" s="3" t="inlineStr">
        <is>
          <t>Depreciation - Computer Equipment</t>
        </is>
      </c>
      <c r="F12932" s="3" t="n">
        <v>1035.18</v>
      </c>
      <c r="G12932" s="3" t="n">
        <v>4377.75</v>
      </c>
    </row>
    <row r="12933">
      <c r="A12933" s="3" t="inlineStr">
        <is>
          <t>Quinate Consulting (Pty) Ltd</t>
        </is>
      </c>
      <c r="B12933" s="4" t="n">
        <v>44985</v>
      </c>
      <c r="C12933" s="3" t="inlineStr">
        <is>
          <t>Expenses</t>
        </is>
      </c>
      <c r="D12933" s="3" t="inlineStr">
        <is>
          <t>3600/000</t>
        </is>
      </c>
      <c r="E12933" s="3" t="inlineStr">
        <is>
          <t>Donations</t>
        </is>
      </c>
      <c r="F12933" s="3" t="n">
        <v>572.45</v>
      </c>
      <c r="G12933" s="3" t="n">
        <v>6494.9</v>
      </c>
    </row>
    <row r="12934">
      <c r="A12934" s="3" t="inlineStr">
        <is>
          <t>Endulini (Pty) Ltd</t>
        </is>
      </c>
      <c r="B12934" s="4" t="n">
        <v>44985</v>
      </c>
      <c r="C12934" s="3" t="inlineStr">
        <is>
          <t>Expenses</t>
        </is>
      </c>
      <c r="D12934" s="3" t="inlineStr">
        <is>
          <t>3630/000</t>
        </is>
      </c>
      <c r="E12934" s="3" t="inlineStr">
        <is>
          <t>Electricity</t>
        </is>
      </c>
      <c r="F12934" s="3" t="n">
        <v>0</v>
      </c>
      <c r="G12934" s="3" t="n">
        <v>6713.99</v>
      </c>
    </row>
    <row r="12935">
      <c r="A12935" s="3" t="inlineStr">
        <is>
          <t>Noble Shield (Pty) Ltd ta Go Letting</t>
        </is>
      </c>
      <c r="B12935" s="4" t="n">
        <v>44985</v>
      </c>
      <c r="C12935" s="3" t="inlineStr">
        <is>
          <t>Expenses</t>
        </is>
      </c>
      <c r="D12935" s="3" t="inlineStr">
        <is>
          <t>3650/000</t>
        </is>
      </c>
      <c r="E12935" s="3" t="inlineStr">
        <is>
          <t>Electricity _AND_ Water</t>
        </is>
      </c>
      <c r="F12935" s="3" t="n">
        <v>1400</v>
      </c>
      <c r="G12935" s="3" t="n">
        <v>3400</v>
      </c>
    </row>
    <row r="12936">
      <c r="A12936" s="3" t="inlineStr">
        <is>
          <t>Opportunity Global Investment (PTY) LTD</t>
        </is>
      </c>
      <c r="B12936" s="4" t="n">
        <v>44985</v>
      </c>
      <c r="C12936" s="3" t="inlineStr">
        <is>
          <t>Expenses</t>
        </is>
      </c>
      <c r="D12936" s="3" t="inlineStr">
        <is>
          <t>3650/000</t>
        </is>
      </c>
      <c r="E12936" s="3" t="inlineStr">
        <is>
          <t>Electricity _AND_ Water</t>
        </is>
      </c>
      <c r="F12936" s="3" t="n">
        <v>2950</v>
      </c>
      <c r="G12936" s="3" t="n">
        <v>35400</v>
      </c>
    </row>
    <row r="12937">
      <c r="A12937" s="3" t="inlineStr">
        <is>
          <t>Endulini (Pty) Ltd</t>
        </is>
      </c>
      <c r="B12937" s="4" t="n">
        <v>44985</v>
      </c>
      <c r="C12937" s="3" t="inlineStr">
        <is>
          <t>Expenses</t>
        </is>
      </c>
      <c r="D12937" s="3" t="inlineStr">
        <is>
          <t>3650/000</t>
        </is>
      </c>
      <c r="E12937" s="3" t="inlineStr">
        <is>
          <t>Water</t>
        </is>
      </c>
      <c r="F12937" s="3" t="n">
        <v>0</v>
      </c>
      <c r="G12937" s="3" t="n">
        <v>4310.7</v>
      </c>
    </row>
    <row r="12938">
      <c r="A12938" s="3" t="inlineStr">
        <is>
          <t>Quinate Consulting (Pty) Ltd</t>
        </is>
      </c>
      <c r="B12938" s="4" t="n">
        <v>44985</v>
      </c>
      <c r="C12938" s="3" t="inlineStr">
        <is>
          <t>Expenses</t>
        </is>
      </c>
      <c r="D12938" s="3" t="inlineStr">
        <is>
          <t>3651/000</t>
        </is>
      </c>
      <c r="E12938" s="3" t="inlineStr">
        <is>
          <t>Electricity _AND_ Water - Southwark</t>
        </is>
      </c>
      <c r="F12938" s="3" t="n">
        <v>3476.23</v>
      </c>
      <c r="G12938" s="3" t="n">
        <v>147054.7</v>
      </c>
    </row>
    <row r="12939">
      <c r="A12939" s="3" t="inlineStr">
        <is>
          <t>Quinate Consulting (Pty) Ltd</t>
        </is>
      </c>
      <c r="B12939" s="4" t="n">
        <v>44985</v>
      </c>
      <c r="C12939" s="3" t="inlineStr">
        <is>
          <t>Expenses</t>
        </is>
      </c>
      <c r="D12939" s="3" t="inlineStr">
        <is>
          <t>3652/000</t>
        </is>
      </c>
      <c r="E12939" s="3" t="inlineStr">
        <is>
          <t>Electricity _AND_ Water - Soho</t>
        </is>
      </c>
      <c r="F12939" s="3" t="n">
        <v>19148.71</v>
      </c>
      <c r="G12939" s="3" t="n">
        <v>286486.37</v>
      </c>
    </row>
    <row r="12940">
      <c r="A12940" s="3" t="inlineStr">
        <is>
          <t>Quinate Consulting (Pty) Ltd</t>
        </is>
      </c>
      <c r="B12940" s="4" t="n">
        <v>44985</v>
      </c>
      <c r="C12940" s="3" t="inlineStr">
        <is>
          <t>Expenses</t>
        </is>
      </c>
      <c r="D12940" s="3" t="inlineStr">
        <is>
          <t>3653/000</t>
        </is>
      </c>
      <c r="E12940" s="3" t="inlineStr">
        <is>
          <t>Electricity _AND_ Water - Endulini</t>
        </is>
      </c>
      <c r="F12940" s="3" t="n">
        <v>1731.62</v>
      </c>
      <c r="G12940" s="3" t="n">
        <v>0</v>
      </c>
    </row>
    <row r="12941">
      <c r="A12941" s="3" t="inlineStr">
        <is>
          <t>Noble Shield (Pty) Ltd ta Go Letting</t>
        </is>
      </c>
      <c r="B12941" s="4" t="n">
        <v>44985</v>
      </c>
      <c r="C12941" s="3" t="inlineStr">
        <is>
          <t>Expenses</t>
        </is>
      </c>
      <c r="D12941" s="3" t="inlineStr">
        <is>
          <t>3700/000</t>
        </is>
      </c>
      <c r="E12941" s="3" t="inlineStr">
        <is>
          <t>Entertainment Expenses</t>
        </is>
      </c>
      <c r="F12941" s="3" t="n">
        <v>0</v>
      </c>
      <c r="G12941" s="3" t="n">
        <v>1900</v>
      </c>
    </row>
    <row r="12942">
      <c r="A12942" s="3" t="inlineStr">
        <is>
          <t>Opportunity Global Investment (PTY) LTD</t>
        </is>
      </c>
      <c r="B12942" s="4" t="n">
        <v>44985</v>
      </c>
      <c r="C12942" s="3" t="inlineStr">
        <is>
          <t>Expenses</t>
        </is>
      </c>
      <c r="D12942" s="3" t="inlineStr">
        <is>
          <t>3700/000</t>
        </is>
      </c>
      <c r="E12942" s="3" t="inlineStr">
        <is>
          <t>Entertainment Expenses</t>
        </is>
      </c>
      <c r="F12942" s="3" t="n">
        <v>0</v>
      </c>
      <c r="G12942" s="3" t="n">
        <v>9720.67</v>
      </c>
    </row>
    <row r="12943">
      <c r="A12943" s="3" t="inlineStr">
        <is>
          <t>Opportunity Global Sales (PTY) LTD</t>
        </is>
      </c>
      <c r="B12943" s="4" t="n">
        <v>44985</v>
      </c>
      <c r="C12943" s="3" t="inlineStr">
        <is>
          <t>Expenses</t>
        </is>
      </c>
      <c r="D12943" s="3" t="inlineStr">
        <is>
          <t>3700/000</t>
        </is>
      </c>
      <c r="E12943" s="3" t="inlineStr">
        <is>
          <t>Entertainment Expenses</t>
        </is>
      </c>
      <c r="F12943" s="3" t="n">
        <v>0</v>
      </c>
      <c r="G12943" s="3" t="n">
        <v>700</v>
      </c>
    </row>
    <row r="12944">
      <c r="A12944" s="3" t="inlineStr">
        <is>
          <t>Opportunity Management Holdings (PTY) LTD</t>
        </is>
      </c>
      <c r="B12944" s="4" t="n">
        <v>44985</v>
      </c>
      <c r="C12944" s="3" t="inlineStr">
        <is>
          <t>Expenses</t>
        </is>
      </c>
      <c r="D12944" s="3" t="inlineStr">
        <is>
          <t>3700/000</t>
        </is>
      </c>
      <c r="E12944" s="3" t="inlineStr">
        <is>
          <t>Entertainment Expenses</t>
        </is>
      </c>
      <c r="F12944" s="3" t="n">
        <v>0</v>
      </c>
      <c r="G12944" s="3" t="n">
        <v>1148.38</v>
      </c>
    </row>
    <row r="12945">
      <c r="A12945" s="3" t="inlineStr">
        <is>
          <t>Quinate Consulting (Pty) Ltd</t>
        </is>
      </c>
      <c r="B12945" s="4" t="n">
        <v>44985</v>
      </c>
      <c r="C12945" s="3" t="inlineStr">
        <is>
          <t>Expenses</t>
        </is>
      </c>
      <c r="D12945" s="3" t="inlineStr">
        <is>
          <t>3700/000</t>
        </is>
      </c>
      <c r="E12945" s="3" t="inlineStr">
        <is>
          <t>Entertainment Expenses</t>
        </is>
      </c>
      <c r="F12945" s="3" t="n">
        <v>1089.83</v>
      </c>
      <c r="G12945" s="3" t="n">
        <v>10253.64</v>
      </c>
    </row>
    <row r="12946">
      <c r="A12946" s="3" t="inlineStr">
        <is>
          <t>Opportunity Global Investment (PTY) LTD</t>
        </is>
      </c>
      <c r="B12946" s="4" t="n">
        <v>44985</v>
      </c>
      <c r="C12946" s="3" t="inlineStr">
        <is>
          <t>Expenses</t>
        </is>
      </c>
      <c r="D12946" s="3" t="inlineStr">
        <is>
          <t>3800/010</t>
        </is>
      </c>
      <c r="E12946" s="3" t="inlineStr">
        <is>
          <t>General Expences - Gifts</t>
        </is>
      </c>
      <c r="F12946" s="3" t="n">
        <v>0</v>
      </c>
      <c r="G12946" s="3" t="n">
        <v>600.99</v>
      </c>
    </row>
    <row r="12947">
      <c r="A12947" s="3" t="inlineStr">
        <is>
          <t>Opportunity Management Holdings (PTY) LTD</t>
        </is>
      </c>
      <c r="B12947" s="4" t="n">
        <v>44985</v>
      </c>
      <c r="C12947" s="3" t="inlineStr">
        <is>
          <t>Expenses</t>
        </is>
      </c>
      <c r="D12947" s="3" t="inlineStr">
        <is>
          <t>3850/000</t>
        </is>
      </c>
      <c r="E12947" s="3" t="inlineStr">
        <is>
          <t>Insurance - Momentum</t>
        </is>
      </c>
      <c r="F12947" s="3" t="n">
        <v>1696.06</v>
      </c>
      <c r="G12947" s="3" t="n">
        <v>9270.16</v>
      </c>
    </row>
    <row r="12948">
      <c r="A12948" s="3" t="inlineStr">
        <is>
          <t>Noble Shield (Pty) Ltd ta Go Letting</t>
        </is>
      </c>
      <c r="B12948" s="4" t="n">
        <v>44985</v>
      </c>
      <c r="C12948" s="3" t="inlineStr">
        <is>
          <t>Expenses</t>
        </is>
      </c>
      <c r="D12948" s="3" t="inlineStr">
        <is>
          <t>3850/100</t>
        </is>
      </c>
      <c r="E12948" s="3" t="inlineStr">
        <is>
          <t>Insurance - Santam</t>
        </is>
      </c>
      <c r="F12948" s="3" t="n">
        <v>3950.52</v>
      </c>
      <c r="G12948" s="3" t="n">
        <v>22721.47</v>
      </c>
    </row>
    <row r="12949">
      <c r="A12949" s="3" t="inlineStr">
        <is>
          <t>Noble Shield (Pty) Ltd ta Go Letting</t>
        </is>
      </c>
      <c r="B12949" s="4" t="n">
        <v>44985</v>
      </c>
      <c r="C12949" s="3" t="inlineStr">
        <is>
          <t>Expenses</t>
        </is>
      </c>
      <c r="D12949" s="3" t="inlineStr">
        <is>
          <t>3850/200</t>
        </is>
      </c>
      <c r="E12949" s="3" t="inlineStr">
        <is>
          <t>Insurance - A_AND_G</t>
        </is>
      </c>
      <c r="F12949" s="3" t="n">
        <v>1796</v>
      </c>
      <c r="G12949" s="3" t="n">
        <v>10776</v>
      </c>
    </row>
    <row r="12950">
      <c r="A12950" s="3" t="inlineStr">
        <is>
          <t>Quinate Consulting (Pty) Ltd</t>
        </is>
      </c>
      <c r="B12950" s="4" t="n">
        <v>44985</v>
      </c>
      <c r="C12950" s="3" t="inlineStr">
        <is>
          <t>Expenses</t>
        </is>
      </c>
      <c r="D12950" s="3" t="inlineStr">
        <is>
          <t>3851/000</t>
        </is>
      </c>
      <c r="E12950" s="3" t="inlineStr">
        <is>
          <t>Insurance - Momentum</t>
        </is>
      </c>
      <c r="F12950" s="3" t="n">
        <v>7990.64</v>
      </c>
      <c r="G12950" s="3" t="n">
        <v>87734.71000000001</v>
      </c>
    </row>
    <row r="12951">
      <c r="A12951" s="3" t="inlineStr">
        <is>
          <t>Quinate Consulting (Pty) Ltd</t>
        </is>
      </c>
      <c r="B12951" s="4" t="n">
        <v>44985</v>
      </c>
      <c r="C12951" s="3" t="inlineStr">
        <is>
          <t>Expenses</t>
        </is>
      </c>
      <c r="D12951" s="3" t="inlineStr">
        <is>
          <t>3900/000</t>
        </is>
      </c>
      <c r="E12951" s="3" t="inlineStr">
        <is>
          <t>Interest Paid</t>
        </is>
      </c>
      <c r="F12951" s="3" t="n">
        <v>168.63</v>
      </c>
      <c r="G12951" s="3" t="n">
        <v>1333.5</v>
      </c>
    </row>
    <row r="12952">
      <c r="A12952" s="3" t="inlineStr">
        <is>
          <t>Quinate Consulting (Pty) Ltd</t>
        </is>
      </c>
      <c r="B12952" s="4" t="n">
        <v>44985</v>
      </c>
      <c r="C12952" s="3" t="inlineStr">
        <is>
          <t>Expenses</t>
        </is>
      </c>
      <c r="D12952" s="3" t="inlineStr">
        <is>
          <t>3900/050</t>
        </is>
      </c>
      <c r="E12952" s="3" t="inlineStr">
        <is>
          <t>Interest Paid - STD Bond Accounts</t>
        </is>
      </c>
      <c r="F12952" s="3" t="n">
        <v>56421.48</v>
      </c>
      <c r="G12952" s="3" t="n">
        <v>630428.03</v>
      </c>
    </row>
    <row r="12953">
      <c r="A12953" s="3" t="inlineStr">
        <is>
          <t>Endulini (Pty) Ltd</t>
        </is>
      </c>
      <c r="B12953" s="4" t="n">
        <v>44985</v>
      </c>
      <c r="C12953" s="3" t="inlineStr">
        <is>
          <t>Expenses</t>
        </is>
      </c>
      <c r="D12953" s="3" t="inlineStr">
        <is>
          <t>3900/111</t>
        </is>
      </c>
      <c r="E12953" s="3" t="inlineStr">
        <is>
          <t>Interest Paid - Investors @ 6.25%</t>
        </is>
      </c>
      <c r="F12953" s="3" t="n">
        <v>8869.860000000001</v>
      </c>
      <c r="G12953" s="3" t="n">
        <v>525328.03</v>
      </c>
    </row>
    <row r="12954">
      <c r="A12954" s="3" t="inlineStr">
        <is>
          <t>Endulini (Pty) Ltd</t>
        </is>
      </c>
      <c r="B12954" s="4" t="n">
        <v>44985</v>
      </c>
      <c r="C12954" s="3" t="inlineStr">
        <is>
          <t>Expenses</t>
        </is>
      </c>
      <c r="D12954" s="3" t="inlineStr">
        <is>
          <t>3900/112</t>
        </is>
      </c>
      <c r="E12954" s="3" t="inlineStr">
        <is>
          <t>Interest Paid - Investors @ 6.5%</t>
        </is>
      </c>
      <c r="F12954" s="3" t="n">
        <v>1086.29</v>
      </c>
      <c r="G12954" s="3" t="n">
        <v>43968.98</v>
      </c>
    </row>
    <row r="12955">
      <c r="A12955" s="3" t="inlineStr">
        <is>
          <t>Endulini (Pty) Ltd</t>
        </is>
      </c>
      <c r="B12955" s="4" t="n">
        <v>44985</v>
      </c>
      <c r="C12955" s="3" t="inlineStr">
        <is>
          <t>Expenses</t>
        </is>
      </c>
      <c r="D12955" s="3" t="inlineStr">
        <is>
          <t>3900/113</t>
        </is>
      </c>
      <c r="E12955" s="3" t="inlineStr">
        <is>
          <t>Interest Paid - Investors @ 6.75%</t>
        </is>
      </c>
      <c r="F12955" s="3" t="n">
        <v>0</v>
      </c>
      <c r="G12955" s="3" t="n">
        <v>73.97</v>
      </c>
    </row>
    <row r="12956">
      <c r="A12956" s="3" t="inlineStr">
        <is>
          <t>Endulini (Pty) Ltd</t>
        </is>
      </c>
      <c r="B12956" s="4" t="n">
        <v>44985</v>
      </c>
      <c r="C12956" s="3" t="inlineStr">
        <is>
          <t>Expenses</t>
        </is>
      </c>
      <c r="D12956" s="3" t="inlineStr">
        <is>
          <t>3900/120</t>
        </is>
      </c>
      <c r="E12956" s="3" t="inlineStr">
        <is>
          <t>Interest Paid - Investors @ 7%</t>
        </is>
      </c>
      <c r="F12956" s="3" t="n">
        <v>0</v>
      </c>
      <c r="G12956" s="3" t="n">
        <v>43401.3</v>
      </c>
    </row>
    <row r="12957">
      <c r="A12957" s="3" t="inlineStr">
        <is>
          <t>Endulini (Pty) Ltd</t>
        </is>
      </c>
      <c r="B12957" s="4" t="n">
        <v>44985</v>
      </c>
      <c r="C12957" s="3" t="inlineStr">
        <is>
          <t>Expenses</t>
        </is>
      </c>
      <c r="D12957" s="3" t="inlineStr">
        <is>
          <t>3900/121</t>
        </is>
      </c>
      <c r="E12957" s="3" t="inlineStr">
        <is>
          <t>Interest Paid - Investors @ 7.25%</t>
        </is>
      </c>
      <c r="F12957" s="3" t="n">
        <v>0</v>
      </c>
      <c r="G12957" s="3" t="n">
        <v>6952.05</v>
      </c>
    </row>
    <row r="12958">
      <c r="A12958" s="3" t="inlineStr">
        <is>
          <t>Endulini (Pty) Ltd</t>
        </is>
      </c>
      <c r="B12958" s="4" t="n">
        <v>44985</v>
      </c>
      <c r="C12958" s="3" t="inlineStr">
        <is>
          <t>Expenses</t>
        </is>
      </c>
      <c r="D12958" s="3" t="inlineStr">
        <is>
          <t>3900/122</t>
        </is>
      </c>
      <c r="E12958" s="3" t="inlineStr">
        <is>
          <t>Interest Paid - Investors @ 7.5%</t>
        </is>
      </c>
      <c r="F12958" s="3" t="n">
        <v>0</v>
      </c>
      <c r="G12958" s="3" t="n">
        <v>13561.64</v>
      </c>
    </row>
    <row r="12959">
      <c r="A12959" s="3" t="inlineStr">
        <is>
          <t>Endulini (Pty) Ltd</t>
        </is>
      </c>
      <c r="B12959" s="4" t="n">
        <v>44985</v>
      </c>
      <c r="C12959" s="3" t="inlineStr">
        <is>
          <t>Expenses</t>
        </is>
      </c>
      <c r="D12959" s="3" t="inlineStr">
        <is>
          <t>3900/123</t>
        </is>
      </c>
      <c r="E12959" s="3" t="inlineStr">
        <is>
          <t>Interest Paid - Investors @ 7.75%</t>
        </is>
      </c>
      <c r="F12959" s="3" t="n">
        <v>0</v>
      </c>
      <c r="G12959" s="3" t="n">
        <v>5945.21</v>
      </c>
    </row>
    <row r="12960">
      <c r="A12960" s="3" t="inlineStr">
        <is>
          <t>Endulini (Pty) Ltd</t>
        </is>
      </c>
      <c r="B12960" s="4" t="n">
        <v>44985</v>
      </c>
      <c r="C12960" s="3" t="inlineStr">
        <is>
          <t>Expenses</t>
        </is>
      </c>
      <c r="D12960" s="3" t="inlineStr">
        <is>
          <t>3900/130</t>
        </is>
      </c>
      <c r="E12960" s="3" t="inlineStr">
        <is>
          <t>Interest Paid - Investors @ 8%</t>
        </is>
      </c>
      <c r="F12960" s="3" t="n">
        <v>0</v>
      </c>
      <c r="G12960" s="3" t="n">
        <v>8309.6</v>
      </c>
    </row>
    <row r="12961">
      <c r="A12961" s="3" t="inlineStr">
        <is>
          <t>Endulini (Pty) Ltd</t>
        </is>
      </c>
      <c r="B12961" s="4" t="n">
        <v>44985</v>
      </c>
      <c r="C12961" s="3" t="inlineStr">
        <is>
          <t>Expenses</t>
        </is>
      </c>
      <c r="D12961" s="3" t="inlineStr">
        <is>
          <t>3900/131</t>
        </is>
      </c>
      <c r="E12961" s="3" t="inlineStr">
        <is>
          <t>Interest Paid - Investors @ 8.25%</t>
        </is>
      </c>
      <c r="F12961" s="3" t="n">
        <v>0</v>
      </c>
      <c r="G12961" s="3" t="n">
        <v>7797.94</v>
      </c>
    </row>
    <row r="12962">
      <c r="A12962" s="3" t="inlineStr">
        <is>
          <t>Endulini (Pty) Ltd</t>
        </is>
      </c>
      <c r="B12962" s="4" t="n">
        <v>44985</v>
      </c>
      <c r="C12962" s="3" t="inlineStr">
        <is>
          <t>Expenses</t>
        </is>
      </c>
      <c r="D12962" s="3" t="inlineStr">
        <is>
          <t>3900/140</t>
        </is>
      </c>
      <c r="E12962" s="3" t="inlineStr">
        <is>
          <t>Interest Paid - Investors @ 9%</t>
        </is>
      </c>
      <c r="F12962" s="3" t="n">
        <v>0</v>
      </c>
      <c r="G12962" s="3" t="n">
        <v>12562.51</v>
      </c>
    </row>
    <row r="12963">
      <c r="A12963" s="3" t="inlineStr">
        <is>
          <t>Endulini (Pty) Ltd</t>
        </is>
      </c>
      <c r="B12963" s="4" t="n">
        <v>44985</v>
      </c>
      <c r="C12963" s="3" t="inlineStr">
        <is>
          <t>Expenses</t>
        </is>
      </c>
      <c r="D12963" s="3" t="inlineStr">
        <is>
          <t>3900/143</t>
        </is>
      </c>
      <c r="E12963" s="3" t="inlineStr">
        <is>
          <t>Interest Paid - Investors @ 9.75%</t>
        </is>
      </c>
      <c r="F12963" s="3" t="n">
        <v>0</v>
      </c>
      <c r="G12963" s="3" t="n">
        <v>1469.19</v>
      </c>
    </row>
    <row r="12964">
      <c r="A12964" s="3" t="inlineStr">
        <is>
          <t>Quinate Consulting (Pty) Ltd</t>
        </is>
      </c>
      <c r="B12964" s="4" t="n">
        <v>44985</v>
      </c>
      <c r="C12964" s="3" t="inlineStr">
        <is>
          <t>Expenses</t>
        </is>
      </c>
      <c r="D12964" s="3" t="inlineStr">
        <is>
          <t>3900/150</t>
        </is>
      </c>
      <c r="E12964" s="3" t="inlineStr">
        <is>
          <t>Interest Paid - Suppliers</t>
        </is>
      </c>
      <c r="F12964" s="3" t="n">
        <v>41.4</v>
      </c>
      <c r="G12964" s="3" t="n">
        <v>1093.45</v>
      </c>
    </row>
    <row r="12965">
      <c r="A12965" s="3" t="inlineStr">
        <is>
          <t>Quinate Consulting (Pty) Ltd</t>
        </is>
      </c>
      <c r="B12965" s="4" t="n">
        <v>44985</v>
      </c>
      <c r="C12965" s="3" t="inlineStr">
        <is>
          <t>Expenses</t>
        </is>
      </c>
      <c r="D12965" s="3" t="inlineStr">
        <is>
          <t>3900/152</t>
        </is>
      </c>
      <c r="E12965" s="3" t="inlineStr">
        <is>
          <t>Interest Paid - Gengis</t>
        </is>
      </c>
      <c r="F12965" s="3" t="n">
        <v>23898.06</v>
      </c>
      <c r="G12965" s="3" t="n">
        <v>40566.57</v>
      </c>
    </row>
    <row r="12966">
      <c r="A12966" s="3" t="inlineStr">
        <is>
          <t>Endulini (Pty) Ltd</t>
        </is>
      </c>
      <c r="B12966" s="4" t="n">
        <v>44985</v>
      </c>
      <c r="C12966" s="3" t="inlineStr">
        <is>
          <t>Expenses</t>
        </is>
      </c>
      <c r="D12966" s="3" t="inlineStr">
        <is>
          <t>3900/190</t>
        </is>
      </c>
      <c r="E12966" s="3" t="inlineStr">
        <is>
          <t>Interest Paid - Investors @ 14%</t>
        </is>
      </c>
      <c r="F12966" s="3" t="n">
        <v>25315.07</v>
      </c>
      <c r="G12966" s="3" t="n">
        <v>127595.34</v>
      </c>
    </row>
    <row r="12967">
      <c r="A12967" s="3" t="inlineStr">
        <is>
          <t>Endulini (Pty) Ltd</t>
        </is>
      </c>
      <c r="B12967" s="4" t="n">
        <v>44985</v>
      </c>
      <c r="C12967" s="3" t="inlineStr">
        <is>
          <t>Expenses</t>
        </is>
      </c>
      <c r="D12967" s="3" t="inlineStr">
        <is>
          <t>3900/200</t>
        </is>
      </c>
      <c r="E12967" s="3" t="inlineStr">
        <is>
          <t>Interest Paid - Investors @ 15%</t>
        </is>
      </c>
      <c r="F12967" s="3" t="n">
        <v>0</v>
      </c>
      <c r="G12967" s="3" t="n">
        <v>510596.24</v>
      </c>
    </row>
    <row r="12968">
      <c r="A12968" s="3" t="inlineStr">
        <is>
          <t>Endulini (Pty) Ltd</t>
        </is>
      </c>
      <c r="B12968" s="4" t="n">
        <v>44985</v>
      </c>
      <c r="C12968" s="3" t="inlineStr">
        <is>
          <t>Expenses</t>
        </is>
      </c>
      <c r="D12968" s="3" t="inlineStr">
        <is>
          <t>3900/210</t>
        </is>
      </c>
      <c r="E12968" s="3" t="inlineStr">
        <is>
          <t>Interest Paid - Investors @ 16%</t>
        </is>
      </c>
      <c r="F12968" s="3" t="n">
        <v>106476.72</v>
      </c>
      <c r="G12968" s="3" t="n">
        <v>205216.45</v>
      </c>
    </row>
    <row r="12969">
      <c r="A12969" s="3" t="inlineStr">
        <is>
          <t>Endulini (Pty) Ltd</t>
        </is>
      </c>
      <c r="B12969" s="4" t="n">
        <v>44985</v>
      </c>
      <c r="C12969" s="3" t="inlineStr">
        <is>
          <t>Expenses</t>
        </is>
      </c>
      <c r="D12969" s="3" t="inlineStr">
        <is>
          <t>3900/230</t>
        </is>
      </c>
      <c r="E12969" s="3" t="inlineStr">
        <is>
          <t>Interest Paid - Investors @ 18%</t>
        </is>
      </c>
      <c r="F12969" s="3" t="n">
        <v>270739.73</v>
      </c>
      <c r="G12969" s="3" t="n">
        <v>6553775</v>
      </c>
    </row>
    <row r="12970">
      <c r="A12970" s="3" t="inlineStr">
        <is>
          <t>Opportunity Global Investment (PTY) LTD</t>
        </is>
      </c>
      <c r="B12970" s="4" t="n">
        <v>44985</v>
      </c>
      <c r="C12970" s="3" t="inlineStr">
        <is>
          <t>Expenses</t>
        </is>
      </c>
      <c r="D12970" s="3" t="inlineStr">
        <is>
          <t>3901/000</t>
        </is>
      </c>
      <c r="E12970" s="3" t="inlineStr">
        <is>
          <t>Interest Paid - Department of Labour</t>
        </is>
      </c>
      <c r="F12970" s="3" t="n">
        <v>0</v>
      </c>
      <c r="G12970" s="3" t="n">
        <v>1592.36</v>
      </c>
    </row>
    <row r="12971">
      <c r="A12971" s="3" t="inlineStr">
        <is>
          <t>Opportunity Management Holdings (PTY) LTD</t>
        </is>
      </c>
      <c r="B12971" s="4" t="n">
        <v>44985</v>
      </c>
      <c r="C12971" s="3" t="inlineStr">
        <is>
          <t>Expenses</t>
        </is>
      </c>
      <c r="D12971" s="3" t="inlineStr">
        <is>
          <t>3960/000</t>
        </is>
      </c>
      <c r="E12971" s="3" t="inlineStr">
        <is>
          <t>Internet Fees</t>
        </is>
      </c>
      <c r="F12971" s="3" t="n">
        <v>589.23</v>
      </c>
      <c r="G12971" s="3" t="n">
        <v>3488.6</v>
      </c>
    </row>
    <row r="12972">
      <c r="A12972" s="3" t="inlineStr">
        <is>
          <t>Quinate Consulting (Pty) Ltd</t>
        </is>
      </c>
      <c r="B12972" s="4" t="n">
        <v>44985</v>
      </c>
      <c r="C12972" s="3" t="inlineStr">
        <is>
          <t>Expenses</t>
        </is>
      </c>
      <c r="D12972" s="3" t="inlineStr">
        <is>
          <t>4000/000</t>
        </is>
      </c>
      <c r="E12972" s="3" t="inlineStr">
        <is>
          <t>Legal Fees</t>
        </is>
      </c>
      <c r="F12972" s="3" t="n">
        <v>0</v>
      </c>
      <c r="G12972" s="3" t="n">
        <v>137570.3</v>
      </c>
    </row>
    <row r="12973">
      <c r="A12973" s="3" t="inlineStr">
        <is>
          <t>Quinate Consulting (Pty) Ltd</t>
        </is>
      </c>
      <c r="B12973" s="4" t="n">
        <v>44985</v>
      </c>
      <c r="C12973" s="3" t="inlineStr">
        <is>
          <t>Expenses</t>
        </is>
      </c>
      <c r="D12973" s="3" t="inlineStr">
        <is>
          <t>4065/000</t>
        </is>
      </c>
      <c r="E12973" s="3" t="inlineStr">
        <is>
          <t>Levies - SoHo</t>
        </is>
      </c>
      <c r="F12973" s="3" t="n">
        <v>6539.43</v>
      </c>
      <c r="G12973" s="3" t="n">
        <v>77179.09</v>
      </c>
    </row>
    <row r="12974">
      <c r="A12974" s="3" t="inlineStr">
        <is>
          <t>Quinate Consulting (Pty) Ltd</t>
        </is>
      </c>
      <c r="B12974" s="4" t="n">
        <v>44985</v>
      </c>
      <c r="C12974" s="3" t="inlineStr">
        <is>
          <t>Expenses</t>
        </is>
      </c>
      <c r="D12974" s="3" t="inlineStr">
        <is>
          <t>4066/000</t>
        </is>
      </c>
      <c r="E12974" s="3" t="inlineStr">
        <is>
          <t>Levies - Southwark</t>
        </is>
      </c>
      <c r="F12974" s="3" t="n">
        <v>3422.18</v>
      </c>
      <c r="G12974" s="3" t="n">
        <v>38730.76</v>
      </c>
    </row>
    <row r="12975">
      <c r="A12975" s="3" t="inlineStr">
        <is>
          <t>Quinate Consulting (Pty) Ltd</t>
        </is>
      </c>
      <c r="B12975" s="4" t="n">
        <v>44985</v>
      </c>
      <c r="C12975" s="3" t="inlineStr">
        <is>
          <t>Expenses</t>
        </is>
      </c>
      <c r="D12975" s="3" t="inlineStr">
        <is>
          <t>4067/000</t>
        </is>
      </c>
      <c r="E12975" s="3" t="inlineStr">
        <is>
          <t>Levies - C4 Property</t>
        </is>
      </c>
      <c r="F12975" s="3" t="n">
        <v>2827.14</v>
      </c>
      <c r="G12975" s="3" t="n">
        <v>8481.42</v>
      </c>
    </row>
    <row r="12976">
      <c r="A12976" s="3" t="inlineStr">
        <is>
          <t>Endulini (Pty) Ltd</t>
        </is>
      </c>
      <c r="B12976" s="4" t="n">
        <v>44985</v>
      </c>
      <c r="C12976" s="3" t="inlineStr">
        <is>
          <t>Expenses</t>
        </is>
      </c>
      <c r="D12976" s="3" t="inlineStr">
        <is>
          <t>4100/001</t>
        </is>
      </c>
      <c r="E12976" s="3" t="inlineStr">
        <is>
          <t>Momentum Admin Fee</t>
        </is>
      </c>
      <c r="F12976" s="3" t="n">
        <v>-148319.89</v>
      </c>
      <c r="G12976" s="3" t="n">
        <v>-95960.83</v>
      </c>
    </row>
    <row r="12977">
      <c r="A12977" s="3" t="inlineStr">
        <is>
          <t>Quinate Consulting (Pty) Ltd</t>
        </is>
      </c>
      <c r="B12977" s="4" t="n">
        <v>44985</v>
      </c>
      <c r="C12977" s="3" t="inlineStr">
        <is>
          <t>Expenses</t>
        </is>
      </c>
      <c r="D12977" s="3" t="inlineStr">
        <is>
          <t>4100/001</t>
        </is>
      </c>
      <c r="E12977" s="3" t="inlineStr">
        <is>
          <t>Momentum Advise Fee</t>
        </is>
      </c>
      <c r="F12977" s="3" t="n">
        <v>0.9</v>
      </c>
      <c r="G12977" s="3" t="n">
        <v>2.61</v>
      </c>
    </row>
    <row r="12978">
      <c r="A12978" s="3" t="inlineStr">
        <is>
          <t>Opportunity Global Investment (PTY) LTD</t>
        </is>
      </c>
      <c r="B12978" s="4" t="n">
        <v>44985</v>
      </c>
      <c r="C12978" s="3" t="inlineStr">
        <is>
          <t>Expenses</t>
        </is>
      </c>
      <c r="D12978" s="3" t="inlineStr">
        <is>
          <t>4100/100</t>
        </is>
      </c>
      <c r="E12978" s="3" t="inlineStr">
        <is>
          <t>Members Salaries - Nick Morgan</t>
        </is>
      </c>
      <c r="F12978" s="3" t="n">
        <v>40937.35</v>
      </c>
      <c r="G12978" s="3" t="n">
        <v>491246.36</v>
      </c>
    </row>
    <row r="12979">
      <c r="A12979" s="3" t="inlineStr">
        <is>
          <t>Opportunity Global Investment (PTY) LTD</t>
        </is>
      </c>
      <c r="B12979" s="4" t="n">
        <v>44985</v>
      </c>
      <c r="C12979" s="3" t="inlineStr">
        <is>
          <t>Expenses</t>
        </is>
      </c>
      <c r="D12979" s="3" t="inlineStr">
        <is>
          <t>4200/000</t>
        </is>
      </c>
      <c r="E12979" s="3" t="inlineStr">
        <is>
          <t>Printing _AND_ Stationery</t>
        </is>
      </c>
      <c r="F12979" s="3" t="n">
        <v>3687</v>
      </c>
      <c r="G12979" s="3" t="n">
        <v>29724</v>
      </c>
    </row>
    <row r="12980">
      <c r="A12980" s="3" t="inlineStr">
        <is>
          <t>Opportunity Global Sales (PTY) LTD</t>
        </is>
      </c>
      <c r="B12980" s="4" t="n">
        <v>44985</v>
      </c>
      <c r="C12980" s="3" t="inlineStr">
        <is>
          <t>Expenses</t>
        </is>
      </c>
      <c r="D12980" s="3" t="inlineStr">
        <is>
          <t>4200/000</t>
        </is>
      </c>
      <c r="E12980" s="3" t="inlineStr">
        <is>
          <t>Printing _AND_ Stationery</t>
        </is>
      </c>
      <c r="F12980" s="3" t="n">
        <v>0</v>
      </c>
      <c r="G12980" s="3" t="n">
        <v>3101.96</v>
      </c>
    </row>
    <row r="12981">
      <c r="A12981" s="3" t="inlineStr">
        <is>
          <t>Opportunity Management Holdings (PTY) LTD</t>
        </is>
      </c>
      <c r="B12981" s="4" t="n">
        <v>44985</v>
      </c>
      <c r="C12981" s="3" t="inlineStr">
        <is>
          <t>Expenses</t>
        </is>
      </c>
      <c r="D12981" s="3" t="inlineStr">
        <is>
          <t>4200/000</t>
        </is>
      </c>
      <c r="E12981" s="3" t="inlineStr">
        <is>
          <t>Printing _AND_ Stationery</t>
        </is>
      </c>
      <c r="F12981" s="3" t="n">
        <v>3847.22</v>
      </c>
      <c r="G12981" s="3" t="n">
        <v>13713.05</v>
      </c>
    </row>
    <row r="12982">
      <c r="A12982" s="3" t="inlineStr">
        <is>
          <t>Quinate Consulting (Pty) Ltd</t>
        </is>
      </c>
      <c r="B12982" s="4" t="n">
        <v>44985</v>
      </c>
      <c r="C12982" s="3" t="inlineStr">
        <is>
          <t>Expenses</t>
        </is>
      </c>
      <c r="D12982" s="3" t="inlineStr">
        <is>
          <t>4200/000</t>
        </is>
      </c>
      <c r="E12982" s="3" t="inlineStr">
        <is>
          <t>Printing _AND_ Stationery</t>
        </is>
      </c>
      <c r="F12982" s="3" t="n">
        <v>0</v>
      </c>
      <c r="G12982" s="3" t="n">
        <v>1232.17</v>
      </c>
    </row>
    <row r="12983">
      <c r="A12983" s="3" t="inlineStr">
        <is>
          <t>Noble Shield (Pty) Ltd ta Go Letting</t>
        </is>
      </c>
      <c r="B12983" s="4" t="n">
        <v>44985</v>
      </c>
      <c r="C12983" s="3" t="inlineStr">
        <is>
          <t>Expenses</t>
        </is>
      </c>
      <c r="D12983" s="3" t="inlineStr">
        <is>
          <t>4200/100</t>
        </is>
      </c>
      <c r="E12983" s="3" t="inlineStr">
        <is>
          <t>Printing - Merchant West- Printer Rental</t>
        </is>
      </c>
      <c r="F12983" s="3" t="n">
        <v>1629.84</v>
      </c>
      <c r="G12983" s="3" t="n">
        <v>9765.25</v>
      </c>
    </row>
    <row r="12984">
      <c r="A12984" s="3" t="inlineStr">
        <is>
          <t>Noble Shield (Pty) Ltd ta Go Letting</t>
        </is>
      </c>
      <c r="B12984" s="4" t="n">
        <v>44985</v>
      </c>
      <c r="C12984" s="3" t="inlineStr">
        <is>
          <t>Expenses</t>
        </is>
      </c>
      <c r="D12984" s="3" t="inlineStr">
        <is>
          <t>4200/120</t>
        </is>
      </c>
      <c r="E12984" s="3" t="inlineStr">
        <is>
          <t>Printing - Ivy Line - Prints</t>
        </is>
      </c>
      <c r="F12984" s="3" t="n">
        <v>1215.07</v>
      </c>
      <c r="G12984" s="3" t="n">
        <v>5448.91</v>
      </c>
    </row>
    <row r="12985">
      <c r="A12985" s="3" t="inlineStr">
        <is>
          <t>Noble Shield (Pty) Ltd ta Go Letting</t>
        </is>
      </c>
      <c r="B12985" s="4" t="n">
        <v>44985</v>
      </c>
      <c r="C12985" s="3" t="inlineStr">
        <is>
          <t>Expenses</t>
        </is>
      </c>
      <c r="D12985" s="3" t="inlineStr">
        <is>
          <t>4200/180</t>
        </is>
      </c>
      <c r="E12985" s="3" t="inlineStr">
        <is>
          <t>Printing - Ikon</t>
        </is>
      </c>
      <c r="F12985" s="3" t="n">
        <v>108.49</v>
      </c>
      <c r="G12985" s="3" t="n">
        <v>599.02</v>
      </c>
    </row>
    <row r="12986">
      <c r="A12986" s="3" t="inlineStr">
        <is>
          <t>Noble Shield (Pty) Ltd ta Go Letting</t>
        </is>
      </c>
      <c r="B12986" s="4" t="n">
        <v>44985</v>
      </c>
      <c r="C12986" s="3" t="inlineStr">
        <is>
          <t>Expenses</t>
        </is>
      </c>
      <c r="D12986" s="3" t="inlineStr">
        <is>
          <t>4200/190</t>
        </is>
      </c>
      <c r="E12986" s="3" t="inlineStr">
        <is>
          <t>Printing - Centrafin printer rental</t>
        </is>
      </c>
      <c r="F12986" s="3" t="n">
        <v>2872.94</v>
      </c>
      <c r="G12986" s="3" t="n">
        <v>16020.38</v>
      </c>
    </row>
    <row r="12987">
      <c r="A12987" s="3" t="inlineStr">
        <is>
          <t>Noble Shield (Pty) Ltd ta Go Letting</t>
        </is>
      </c>
      <c r="B12987" s="4" t="n">
        <v>44985</v>
      </c>
      <c r="C12987" s="3" t="inlineStr">
        <is>
          <t>Expenses</t>
        </is>
      </c>
      <c r="D12987" s="3" t="inlineStr">
        <is>
          <t>4200/200</t>
        </is>
      </c>
      <c r="E12987" s="3" t="inlineStr">
        <is>
          <t>Printing - General Stationery VDB Office</t>
        </is>
      </c>
      <c r="F12987" s="3" t="n">
        <v>1348.5</v>
      </c>
      <c r="G12987" s="3" t="n">
        <v>5661.22</v>
      </c>
    </row>
    <row r="12988">
      <c r="A12988" s="3" t="inlineStr">
        <is>
          <t>Opportunity Global Investment (PTY) LTD</t>
        </is>
      </c>
      <c r="B12988" s="4" t="n">
        <v>44985</v>
      </c>
      <c r="C12988" s="3" t="inlineStr">
        <is>
          <t>Expenses</t>
        </is>
      </c>
      <c r="D12988" s="3" t="inlineStr">
        <is>
          <t>4220/000</t>
        </is>
      </c>
      <c r="E12988" s="3" t="inlineStr">
        <is>
          <t>Motor Vehicle Expenses - Petrol _AND_ Oil</t>
        </is>
      </c>
      <c r="F12988" s="3" t="n">
        <v>2469.86</v>
      </c>
      <c r="G12988" s="3" t="n">
        <v>3297.12</v>
      </c>
    </row>
    <row r="12989">
      <c r="A12989" s="3" t="inlineStr">
        <is>
          <t>Noble Shield (Pty) Ltd ta Go Letting</t>
        </is>
      </c>
      <c r="B12989" s="4" t="n">
        <v>44985</v>
      </c>
      <c r="C12989" s="3" t="inlineStr">
        <is>
          <t>Expenses</t>
        </is>
      </c>
      <c r="D12989" s="3" t="inlineStr">
        <is>
          <t>4290/000</t>
        </is>
      </c>
      <c r="E12989" s="3" t="inlineStr">
        <is>
          <t>Refreshments - CT Office</t>
        </is>
      </c>
      <c r="F12989" s="3" t="n">
        <v>1061.57</v>
      </c>
      <c r="G12989" s="3" t="n">
        <v>5781.77</v>
      </c>
    </row>
    <row r="12990">
      <c r="A12990" s="3" t="inlineStr">
        <is>
          <t>Opportunity Global Investment (PTY) LTD</t>
        </is>
      </c>
      <c r="B12990" s="4" t="n">
        <v>44985</v>
      </c>
      <c r="C12990" s="3" t="inlineStr">
        <is>
          <t>Expenses</t>
        </is>
      </c>
      <c r="D12990" s="3" t="inlineStr">
        <is>
          <t>4290/000</t>
        </is>
      </c>
      <c r="E12990" s="3" t="inlineStr">
        <is>
          <t>Rent</t>
        </is>
      </c>
      <c r="F12990" s="3" t="n">
        <v>8770</v>
      </c>
      <c r="G12990" s="3" t="n">
        <v>105240</v>
      </c>
    </row>
    <row r="12991">
      <c r="A12991" s="3" t="inlineStr">
        <is>
          <t>Noble Shield (Pty) Ltd ta Go Letting</t>
        </is>
      </c>
      <c r="B12991" s="4" t="n">
        <v>44985</v>
      </c>
      <c r="C12991" s="3" t="inlineStr">
        <is>
          <t>Expenses</t>
        </is>
      </c>
      <c r="D12991" s="3" t="inlineStr">
        <is>
          <t>4291/000</t>
        </is>
      </c>
      <c r="E12991" s="3" t="inlineStr">
        <is>
          <t>Refreshments - VDB Office</t>
        </is>
      </c>
      <c r="F12991" s="3" t="n">
        <v>419.95</v>
      </c>
      <c r="G12991" s="3" t="n">
        <v>3130.25</v>
      </c>
    </row>
    <row r="12992">
      <c r="A12992" s="3" t="inlineStr">
        <is>
          <t>Trademark Holdings (Pty) Ltd</t>
        </is>
      </c>
      <c r="B12992" s="4" t="n">
        <v>44985</v>
      </c>
      <c r="C12992" s="3" t="inlineStr">
        <is>
          <t>Expenses</t>
        </is>
      </c>
      <c r="D12992" s="3" t="inlineStr">
        <is>
          <t>4300/000</t>
        </is>
      </c>
      <c r="E12992" s="3" t="inlineStr">
        <is>
          <t>Rent Paid</t>
        </is>
      </c>
      <c r="F12992" s="3" t="n">
        <v>6532</v>
      </c>
      <c r="G12992" s="3" t="n">
        <v>38968.57</v>
      </c>
    </row>
    <row r="12993">
      <c r="A12993" s="3" t="inlineStr">
        <is>
          <t>Endulini (Pty) Ltd</t>
        </is>
      </c>
      <c r="B12993" s="4" t="n">
        <v>44985</v>
      </c>
      <c r="C12993" s="3" t="inlineStr">
        <is>
          <t>Expenses</t>
        </is>
      </c>
      <c r="D12993" s="3" t="inlineStr">
        <is>
          <t>4310/000</t>
        </is>
      </c>
      <c r="E12993" s="3" t="inlineStr">
        <is>
          <t>Rates</t>
        </is>
      </c>
      <c r="F12993" s="3" t="n">
        <v>0</v>
      </c>
      <c r="G12993" s="3" t="n">
        <v>27929.15</v>
      </c>
    </row>
    <row r="12994">
      <c r="A12994" s="3" t="inlineStr">
        <is>
          <t>Opportunity Global Investment (PTY) LTD</t>
        </is>
      </c>
      <c r="B12994" s="4" t="n">
        <v>44985</v>
      </c>
      <c r="C12994" s="3" t="inlineStr">
        <is>
          <t>Expenses</t>
        </is>
      </c>
      <c r="D12994" s="3" t="inlineStr">
        <is>
          <t>4310/000</t>
        </is>
      </c>
      <c r="E12994" s="3" t="inlineStr">
        <is>
          <t>Refreshments</t>
        </is>
      </c>
      <c r="F12994" s="3" t="n">
        <v>2521</v>
      </c>
      <c r="G12994" s="3" t="n">
        <v>30252</v>
      </c>
    </row>
    <row r="12995">
      <c r="A12995" s="3" t="inlineStr">
        <is>
          <t>Opportunity Management Holdings (PTY) LTD</t>
        </is>
      </c>
      <c r="B12995" s="4" t="n">
        <v>44985</v>
      </c>
      <c r="C12995" s="3" t="inlineStr">
        <is>
          <t>Expenses</t>
        </is>
      </c>
      <c r="D12995" s="3" t="inlineStr">
        <is>
          <t>4310/000</t>
        </is>
      </c>
      <c r="E12995" s="3" t="inlineStr">
        <is>
          <t>Refreshments</t>
        </is>
      </c>
      <c r="F12995" s="3" t="n">
        <v>33.83</v>
      </c>
      <c r="G12995" s="3" t="n">
        <v>6398.35</v>
      </c>
    </row>
    <row r="12996">
      <c r="A12996" s="3" t="inlineStr">
        <is>
          <t>Quinate Consulting (Pty) Ltd</t>
        </is>
      </c>
      <c r="B12996" s="4" t="n">
        <v>44985</v>
      </c>
      <c r="C12996" s="3" t="inlineStr">
        <is>
          <t>Expenses</t>
        </is>
      </c>
      <c r="D12996" s="3" t="inlineStr">
        <is>
          <t>4312/000</t>
        </is>
      </c>
      <c r="E12996" s="3" t="inlineStr">
        <is>
          <t>Rates - SoHo Units</t>
        </is>
      </c>
      <c r="F12996" s="3" t="n">
        <v>2459.56</v>
      </c>
      <c r="G12996" s="3" t="n">
        <v>28825.86</v>
      </c>
    </row>
    <row r="12997">
      <c r="A12997" s="3" t="inlineStr">
        <is>
          <t>Endulini (Pty) Ltd</t>
        </is>
      </c>
      <c r="B12997" s="4" t="n">
        <v>44985</v>
      </c>
      <c r="C12997" s="3" t="inlineStr">
        <is>
          <t>Expenses</t>
        </is>
      </c>
      <c r="D12997" s="3" t="inlineStr">
        <is>
          <t>4350/000</t>
        </is>
      </c>
      <c r="E12997" s="3" t="inlineStr">
        <is>
          <t>Repairs _AND_ Maintenance</t>
        </is>
      </c>
      <c r="F12997" s="3" t="n">
        <v>0</v>
      </c>
      <c r="G12997" s="3" t="n">
        <v>14630.19</v>
      </c>
    </row>
    <row r="12998">
      <c r="A12998" s="3" t="inlineStr">
        <is>
          <t>Noble Shield (Pty) Ltd ta Go Letting</t>
        </is>
      </c>
      <c r="B12998" s="4" t="n">
        <v>44985</v>
      </c>
      <c r="C12998" s="3" t="inlineStr">
        <is>
          <t>Expenses</t>
        </is>
      </c>
      <c r="D12998" s="3" t="inlineStr">
        <is>
          <t>4350/000</t>
        </is>
      </c>
      <c r="E12998" s="3" t="inlineStr">
        <is>
          <t>Repairs _AND_ Maintenance</t>
        </is>
      </c>
      <c r="F12998" s="3" t="n">
        <v>0</v>
      </c>
      <c r="G12998" s="3" t="n">
        <v>710</v>
      </c>
    </row>
    <row r="12999">
      <c r="A12999" s="3" t="inlineStr">
        <is>
          <t>Opportunity Management Holdings (PTY) LTD</t>
        </is>
      </c>
      <c r="B12999" s="4" t="n">
        <v>44985</v>
      </c>
      <c r="C12999" s="3" t="inlineStr">
        <is>
          <t>Expenses</t>
        </is>
      </c>
      <c r="D12999" s="3" t="inlineStr">
        <is>
          <t>4350/000</t>
        </is>
      </c>
      <c r="E12999" s="3" t="inlineStr">
        <is>
          <t>Repairs _AND_ Maintenance</t>
        </is>
      </c>
      <c r="F12999" s="3" t="n">
        <v>386.84</v>
      </c>
      <c r="G12999" s="3" t="n">
        <v>843.37</v>
      </c>
    </row>
    <row r="13000">
      <c r="A13000" s="3" t="inlineStr">
        <is>
          <t>Quinate Consulting (Pty) Ltd</t>
        </is>
      </c>
      <c r="B13000" s="4" t="n">
        <v>44985</v>
      </c>
      <c r="C13000" s="3" t="inlineStr">
        <is>
          <t>Expenses</t>
        </is>
      </c>
      <c r="D13000" s="3" t="inlineStr">
        <is>
          <t>4350/000</t>
        </is>
      </c>
      <c r="E13000" s="3" t="inlineStr">
        <is>
          <t>Repairs and Maintenance - Southwark Units</t>
        </is>
      </c>
      <c r="F13000" s="3" t="n">
        <v>0</v>
      </c>
      <c r="G13000" s="3" t="n">
        <v>15420.12</v>
      </c>
    </row>
    <row r="13001">
      <c r="A13001" s="3" t="inlineStr">
        <is>
          <t>Opportunity Global Investment (PTY) LTD</t>
        </is>
      </c>
      <c r="B13001" s="4" t="n">
        <v>44985</v>
      </c>
      <c r="C13001" s="3" t="inlineStr">
        <is>
          <t>Expenses</t>
        </is>
      </c>
      <c r="D13001" s="3" t="inlineStr">
        <is>
          <t>4360/000</t>
        </is>
      </c>
      <c r="E13001" s="3" t="inlineStr">
        <is>
          <t>Secretarial - CIPC</t>
        </is>
      </c>
      <c r="F13001" s="3" t="n">
        <v>0</v>
      </c>
      <c r="G13001" s="3" t="n">
        <v>600</v>
      </c>
    </row>
    <row r="13002">
      <c r="A13002" s="3" t="inlineStr">
        <is>
          <t>Opportunity Global Investment (PTY) LTD</t>
        </is>
      </c>
      <c r="B13002" s="4" t="n">
        <v>44985</v>
      </c>
      <c r="C13002" s="3" t="inlineStr">
        <is>
          <t>Expenses</t>
        </is>
      </c>
      <c r="D13002" s="3" t="inlineStr">
        <is>
          <t>4390/000</t>
        </is>
      </c>
      <c r="E13002" s="3" t="inlineStr">
        <is>
          <t>Small Assets</t>
        </is>
      </c>
      <c r="F13002" s="3" t="n">
        <v>5490.43</v>
      </c>
      <c r="G13002" s="3" t="n">
        <v>7380.86</v>
      </c>
    </row>
    <row r="13003">
      <c r="A13003" s="3" t="inlineStr">
        <is>
          <t>Opportunity Global Sales (PTY) LTD</t>
        </is>
      </c>
      <c r="B13003" s="4" t="n">
        <v>44985</v>
      </c>
      <c r="C13003" s="3" t="inlineStr">
        <is>
          <t>Expenses</t>
        </is>
      </c>
      <c r="D13003" s="3" t="inlineStr">
        <is>
          <t>4390/000</t>
        </is>
      </c>
      <c r="E13003" s="3" t="inlineStr">
        <is>
          <t>Small Assets</t>
        </is>
      </c>
      <c r="F13003" s="3" t="n">
        <v>0</v>
      </c>
      <c r="G13003" s="3" t="n">
        <v>18486.87</v>
      </c>
    </row>
    <row r="13004">
      <c r="A13004" s="3" t="inlineStr">
        <is>
          <t>Opportunity Management Holdings (PTY) LTD</t>
        </is>
      </c>
      <c r="B13004" s="4" t="n">
        <v>44985</v>
      </c>
      <c r="C13004" s="3" t="inlineStr">
        <is>
          <t>Expenses</t>
        </is>
      </c>
      <c r="D13004" s="3" t="inlineStr">
        <is>
          <t>4390/000</t>
        </is>
      </c>
      <c r="E13004" s="3" t="inlineStr">
        <is>
          <t>Small Assets</t>
        </is>
      </c>
      <c r="F13004" s="3" t="n">
        <v>1000</v>
      </c>
      <c r="G13004" s="3" t="n">
        <v>18288.69</v>
      </c>
    </row>
    <row r="13005">
      <c r="A13005" s="3" t="inlineStr">
        <is>
          <t>Noble Shield (Pty) Ltd ta Go Letting</t>
        </is>
      </c>
      <c r="B13005" s="4" t="n">
        <v>44985</v>
      </c>
      <c r="C13005" s="3" t="inlineStr">
        <is>
          <t>Expenses</t>
        </is>
      </c>
      <c r="D13005" s="3" t="inlineStr">
        <is>
          <t>4400/000</t>
        </is>
      </c>
      <c r="E13005" s="3" t="inlineStr">
        <is>
          <t>Salaries _AND_ Wages</t>
        </is>
      </c>
      <c r="F13005" s="3" t="n">
        <v>26848.24</v>
      </c>
      <c r="G13005" s="3" t="n">
        <v>161089.22</v>
      </c>
    </row>
    <row r="13006">
      <c r="A13006" s="3" t="inlineStr">
        <is>
          <t>Opportunity Global Sales (PTY) LTD</t>
        </is>
      </c>
      <c r="B13006" s="4" t="n">
        <v>44985</v>
      </c>
      <c r="C13006" s="3" t="inlineStr">
        <is>
          <t>Expenses</t>
        </is>
      </c>
      <c r="D13006" s="3" t="inlineStr">
        <is>
          <t>4400/000</t>
        </is>
      </c>
      <c r="E13006" s="3" t="inlineStr">
        <is>
          <t>Salaries _AND_ Wages</t>
        </is>
      </c>
      <c r="F13006" s="3" t="n">
        <v>43762.99</v>
      </c>
      <c r="G13006" s="3" t="n">
        <v>473484.58</v>
      </c>
    </row>
    <row r="13007">
      <c r="A13007" s="3" t="inlineStr">
        <is>
          <t>Opportunity Management Holdings (PTY) LTD</t>
        </is>
      </c>
      <c r="B13007" s="4" t="n">
        <v>44985</v>
      </c>
      <c r="C13007" s="3" t="inlineStr">
        <is>
          <t>Expenses</t>
        </is>
      </c>
      <c r="D13007" s="3" t="inlineStr">
        <is>
          <t>4400/000</t>
        </is>
      </c>
      <c r="E13007" s="3" t="inlineStr">
        <is>
          <t>Salaries _AND_ Wages</t>
        </is>
      </c>
      <c r="F13007" s="3" t="n">
        <v>285538.44</v>
      </c>
      <c r="G13007" s="3" t="n">
        <v>1472453.65</v>
      </c>
    </row>
    <row r="13008">
      <c r="A13008" s="3" t="inlineStr">
        <is>
          <t>Trademark Holdings (Pty) Ltd</t>
        </is>
      </c>
      <c r="B13008" s="4" t="n">
        <v>44985</v>
      </c>
      <c r="C13008" s="3" t="inlineStr">
        <is>
          <t>Expenses</t>
        </is>
      </c>
      <c r="D13008" s="3" t="inlineStr">
        <is>
          <t>4400/000</t>
        </is>
      </c>
      <c r="E13008" s="3" t="inlineStr">
        <is>
          <t>Salaries _AND_ Wages</t>
        </is>
      </c>
      <c r="F13008" s="3" t="n">
        <v>12429.45</v>
      </c>
      <c r="G13008" s="3" t="n">
        <v>74576.7</v>
      </c>
    </row>
    <row r="13009">
      <c r="A13009" s="3" t="inlineStr">
        <is>
          <t>Opportunity Global Investment (PTY) LTD</t>
        </is>
      </c>
      <c r="B13009" s="4" t="n">
        <v>44985</v>
      </c>
      <c r="C13009" s="3" t="inlineStr">
        <is>
          <t>Expenses</t>
        </is>
      </c>
      <c r="D13009" s="3" t="inlineStr">
        <is>
          <t>4403/000</t>
        </is>
      </c>
      <c r="E13009" s="3" t="inlineStr">
        <is>
          <t>Study fees - Nick</t>
        </is>
      </c>
      <c r="F13009" s="3" t="n">
        <v>0</v>
      </c>
      <c r="G13009" s="3" t="n">
        <v>124769.07</v>
      </c>
    </row>
    <row r="13010">
      <c r="A13010" s="3" t="inlineStr">
        <is>
          <t>Trademark Holdings (Pty) Ltd</t>
        </is>
      </c>
      <c r="B13010" s="4" t="n">
        <v>44985</v>
      </c>
      <c r="C13010" s="3" t="inlineStr">
        <is>
          <t>Expenses</t>
        </is>
      </c>
      <c r="D13010" s="3" t="inlineStr">
        <is>
          <t>4410/000</t>
        </is>
      </c>
      <c r="E13010" s="3" t="inlineStr">
        <is>
          <t>Salaries _AND_ Wages - WCA</t>
        </is>
      </c>
      <c r="F13010" s="3" t="n">
        <v>0</v>
      </c>
      <c r="G13010" s="3" t="n">
        <v>1397.74</v>
      </c>
    </row>
    <row r="13011">
      <c r="A13011" s="3" t="inlineStr">
        <is>
          <t>Quinate Consulting (Pty) Ltd</t>
        </is>
      </c>
      <c r="B13011" s="4" t="n">
        <v>44985</v>
      </c>
      <c r="C13011" s="3" t="inlineStr">
        <is>
          <t>Expenses</t>
        </is>
      </c>
      <c r="D13011" s="3" t="inlineStr">
        <is>
          <t>4430/000</t>
        </is>
      </c>
      <c r="E13011" s="3" t="inlineStr">
        <is>
          <t>Small Assets</t>
        </is>
      </c>
      <c r="F13011" s="3" t="n">
        <v>0</v>
      </c>
      <c r="G13011" s="3" t="n">
        <v>38.66</v>
      </c>
    </row>
    <row r="13012">
      <c r="A13012" s="3" t="inlineStr">
        <is>
          <t>Opportunity Management Holdings (PTY) LTD</t>
        </is>
      </c>
      <c r="B13012" s="4" t="n">
        <v>44985</v>
      </c>
      <c r="C13012" s="3" t="inlineStr">
        <is>
          <t>Expenses</t>
        </is>
      </c>
      <c r="D13012" s="3" t="inlineStr">
        <is>
          <t>4450/000</t>
        </is>
      </c>
      <c r="E13012" s="3" t="inlineStr">
        <is>
          <t>Staff Training</t>
        </is>
      </c>
      <c r="F13012" s="3" t="n">
        <v>2001.78</v>
      </c>
      <c r="G13012" s="3" t="n">
        <v>2001.78</v>
      </c>
    </row>
    <row r="13013">
      <c r="A13013" s="3" t="inlineStr">
        <is>
          <t>Noble Shield (Pty) Ltd ta Go Letting</t>
        </is>
      </c>
      <c r="B13013" s="4" t="n">
        <v>44985</v>
      </c>
      <c r="C13013" s="3" t="inlineStr">
        <is>
          <t>Expenses</t>
        </is>
      </c>
      <c r="D13013" s="3" t="inlineStr">
        <is>
          <t>4500/000</t>
        </is>
      </c>
      <c r="E13013" s="3" t="inlineStr">
        <is>
          <t>Staff Welfare</t>
        </is>
      </c>
      <c r="F13013" s="3" t="n">
        <v>4500</v>
      </c>
      <c r="G13013" s="3" t="n">
        <v>4500</v>
      </c>
    </row>
    <row r="13014">
      <c r="A13014" s="3" t="inlineStr">
        <is>
          <t>Opportunity Global Investment (PTY) LTD</t>
        </is>
      </c>
      <c r="B13014" s="4" t="n">
        <v>44985</v>
      </c>
      <c r="C13014" s="3" t="inlineStr">
        <is>
          <t>Expenses</t>
        </is>
      </c>
      <c r="D13014" s="3" t="inlineStr">
        <is>
          <t>4500/000</t>
        </is>
      </c>
      <c r="E13014" s="3" t="inlineStr">
        <is>
          <t>Staff Welfare</t>
        </is>
      </c>
      <c r="F13014" s="3" t="n">
        <v>0</v>
      </c>
      <c r="G13014" s="3" t="n">
        <v>3951.25</v>
      </c>
    </row>
    <row r="13015">
      <c r="A13015" s="3" t="inlineStr">
        <is>
          <t>Opportunity Global Sales (PTY) LTD</t>
        </is>
      </c>
      <c r="B13015" s="4" t="n">
        <v>44985</v>
      </c>
      <c r="C13015" s="3" t="inlineStr">
        <is>
          <t>Expenses</t>
        </is>
      </c>
      <c r="D13015" s="3" t="inlineStr">
        <is>
          <t>4500/000</t>
        </is>
      </c>
      <c r="E13015" s="3" t="inlineStr">
        <is>
          <t>Staff Welfare</t>
        </is>
      </c>
      <c r="F13015" s="3" t="n">
        <v>0</v>
      </c>
      <c r="G13015" s="3" t="n">
        <v>2499</v>
      </c>
    </row>
    <row r="13016">
      <c r="A13016" s="3" t="inlineStr">
        <is>
          <t>Opportunity Management Holdings (PTY) LTD</t>
        </is>
      </c>
      <c r="B13016" s="4" t="n">
        <v>44985</v>
      </c>
      <c r="C13016" s="3" t="inlineStr">
        <is>
          <t>Expenses</t>
        </is>
      </c>
      <c r="D13016" s="3" t="inlineStr">
        <is>
          <t>4500/000</t>
        </is>
      </c>
      <c r="E13016" s="3" t="inlineStr">
        <is>
          <t>Staff Welfare</t>
        </is>
      </c>
      <c r="F13016" s="3" t="n">
        <v>5875.86</v>
      </c>
      <c r="G13016" s="3" t="n">
        <v>48972.94</v>
      </c>
    </row>
    <row r="13017">
      <c r="A13017" s="3" t="inlineStr">
        <is>
          <t>Quinate Consulting (Pty) Ltd</t>
        </is>
      </c>
      <c r="B13017" s="4" t="n">
        <v>44985</v>
      </c>
      <c r="C13017" s="3" t="inlineStr">
        <is>
          <t>Expenses</t>
        </is>
      </c>
      <c r="D13017" s="3" t="inlineStr">
        <is>
          <t>4500/000</t>
        </is>
      </c>
      <c r="E13017" s="3" t="inlineStr">
        <is>
          <t>Staff Welfare</t>
        </is>
      </c>
      <c r="F13017" s="3" t="n">
        <v>0</v>
      </c>
      <c r="G13017" s="3" t="n">
        <v>635</v>
      </c>
    </row>
    <row r="13018">
      <c r="A13018" s="3" t="inlineStr">
        <is>
          <t>Trademark Holdings (Pty) Ltd</t>
        </is>
      </c>
      <c r="B13018" s="4" t="n">
        <v>44985</v>
      </c>
      <c r="C13018" s="3" t="inlineStr">
        <is>
          <t>Expenses</t>
        </is>
      </c>
      <c r="D13018" s="3" t="inlineStr">
        <is>
          <t>4500/000</t>
        </is>
      </c>
      <c r="E13018" s="3" t="inlineStr">
        <is>
          <t>Staff Welfare _AND_ Refreshments</t>
        </is>
      </c>
      <c r="F13018" s="3" t="n">
        <v>4500</v>
      </c>
      <c r="G13018" s="3" t="n">
        <v>4500</v>
      </c>
    </row>
    <row r="13019">
      <c r="A13019" s="3" t="inlineStr">
        <is>
          <t>Noble Shield (Pty) Ltd ta Go Letting</t>
        </is>
      </c>
      <c r="B13019" s="4" t="n">
        <v>44985</v>
      </c>
      <c r="C13019" s="3" t="inlineStr">
        <is>
          <t>Expenses</t>
        </is>
      </c>
      <c r="D13019" s="3" t="inlineStr">
        <is>
          <t>4520/000</t>
        </is>
      </c>
      <c r="E13019" s="3" t="inlineStr">
        <is>
          <t>Security</t>
        </is>
      </c>
      <c r="F13019" s="3" t="n">
        <v>815</v>
      </c>
      <c r="G13019" s="3" t="n">
        <v>5026.44</v>
      </c>
    </row>
    <row r="13020">
      <c r="A13020" s="3" t="inlineStr">
        <is>
          <t>Opportunity Global Investment (PTY) LTD</t>
        </is>
      </c>
      <c r="B13020" s="4" t="n">
        <v>44985</v>
      </c>
      <c r="C13020" s="3" t="inlineStr">
        <is>
          <t>Expenses</t>
        </is>
      </c>
      <c r="D13020" s="3" t="inlineStr">
        <is>
          <t>4550/000</t>
        </is>
      </c>
      <c r="E13020" s="3" t="inlineStr">
        <is>
          <t>Subscriptions</t>
        </is>
      </c>
      <c r="F13020" s="3" t="n">
        <v>0</v>
      </c>
      <c r="G13020" s="3" t="n">
        <v>510.33</v>
      </c>
    </row>
    <row r="13021">
      <c r="A13021" s="3" t="inlineStr">
        <is>
          <t>Opportunity Global Sales (PTY) LTD</t>
        </is>
      </c>
      <c r="B13021" s="4" t="n">
        <v>44985</v>
      </c>
      <c r="C13021" s="3" t="inlineStr">
        <is>
          <t>Expenses</t>
        </is>
      </c>
      <c r="D13021" s="3" t="inlineStr">
        <is>
          <t>4550/000</t>
        </is>
      </c>
      <c r="E13021" s="3" t="inlineStr">
        <is>
          <t>Subscriptions - General</t>
        </is>
      </c>
      <c r="F13021" s="3" t="n">
        <v>0</v>
      </c>
      <c r="G13021" s="3" t="n">
        <v>2795.74</v>
      </c>
    </row>
    <row r="13022">
      <c r="A13022" s="3" t="inlineStr">
        <is>
          <t>Quinate Consulting (Pty) Ltd</t>
        </is>
      </c>
      <c r="B13022" s="4" t="n">
        <v>44985</v>
      </c>
      <c r="C13022" s="3" t="inlineStr">
        <is>
          <t>Expenses</t>
        </is>
      </c>
      <c r="D13022" s="3" t="inlineStr">
        <is>
          <t>4550/000</t>
        </is>
      </c>
      <c r="E13022" s="3" t="inlineStr">
        <is>
          <t>Subscriptions / Licenses</t>
        </is>
      </c>
      <c r="F13022" s="3" t="n">
        <v>11043.29</v>
      </c>
      <c r="G13022" s="3" t="n">
        <v>113227.87</v>
      </c>
    </row>
    <row r="13023">
      <c r="A13023" s="3" t="inlineStr">
        <is>
          <t>Opportunity Management Holdings (PTY) LTD</t>
        </is>
      </c>
      <c r="B13023" s="4" t="n">
        <v>44985</v>
      </c>
      <c r="C13023" s="3" t="inlineStr">
        <is>
          <t>Expenses</t>
        </is>
      </c>
      <c r="D13023" s="3" t="inlineStr">
        <is>
          <t>4550/000</t>
        </is>
      </c>
      <c r="E13023" s="3" t="inlineStr">
        <is>
          <t>Subscriptions _AND_ Lisences</t>
        </is>
      </c>
      <c r="F13023" s="3" t="n">
        <v>18572.37</v>
      </c>
      <c r="G13023" s="3" t="n">
        <v>32019.38</v>
      </c>
    </row>
    <row r="13024">
      <c r="A13024" s="3" t="inlineStr">
        <is>
          <t>Opportunity Global Investment (PTY) LTD</t>
        </is>
      </c>
      <c r="B13024" s="4" t="n">
        <v>44985</v>
      </c>
      <c r="C13024" s="3" t="inlineStr">
        <is>
          <t>Expenses</t>
        </is>
      </c>
      <c r="D13024" s="3" t="inlineStr">
        <is>
          <t>4550/050</t>
        </is>
      </c>
      <c r="E13024" s="3" t="inlineStr">
        <is>
          <t>Subscriptions - EAAB</t>
        </is>
      </c>
      <c r="F13024" s="3" t="n">
        <v>0</v>
      </c>
      <c r="G13024" s="3" t="n">
        <v>2340</v>
      </c>
    </row>
    <row r="13025">
      <c r="A13025" s="3" t="inlineStr">
        <is>
          <t>Noble Shield (Pty) Ltd ta Go Letting</t>
        </is>
      </c>
      <c r="B13025" s="4" t="n">
        <v>44985</v>
      </c>
      <c r="C13025" s="3" t="inlineStr">
        <is>
          <t>Expenses</t>
        </is>
      </c>
      <c r="D13025" s="3" t="inlineStr">
        <is>
          <t>4550/100</t>
        </is>
      </c>
      <c r="E13025" s="3" t="inlineStr">
        <is>
          <t>Subscriptions - EAAB</t>
        </is>
      </c>
      <c r="F13025" s="3" t="n">
        <v>0</v>
      </c>
      <c r="G13025" s="3" t="n">
        <v>2340</v>
      </c>
    </row>
    <row r="13026">
      <c r="A13026" s="3" t="inlineStr">
        <is>
          <t>Trademark Holdings (Pty) Ltd</t>
        </is>
      </c>
      <c r="B13026" s="4" t="n">
        <v>44985</v>
      </c>
      <c r="C13026" s="3" t="inlineStr">
        <is>
          <t>Expenses</t>
        </is>
      </c>
      <c r="D13026" s="3" t="inlineStr">
        <is>
          <t>4550/100</t>
        </is>
      </c>
      <c r="E13026" s="3" t="inlineStr">
        <is>
          <t>Subscriptions - EAAB</t>
        </is>
      </c>
      <c r="F13026" s="3" t="n">
        <v>0</v>
      </c>
      <c r="G13026" s="3" t="n">
        <v>2340</v>
      </c>
    </row>
    <row r="13027">
      <c r="A13027" s="3" t="inlineStr">
        <is>
          <t>Opportunity Global Investment (PTY) LTD</t>
        </is>
      </c>
      <c r="B13027" s="4" t="n">
        <v>44985</v>
      </c>
      <c r="C13027" s="3" t="inlineStr">
        <is>
          <t>Expenses</t>
        </is>
      </c>
      <c r="D13027" s="3" t="inlineStr">
        <is>
          <t>4550/150</t>
        </is>
      </c>
      <c r="E13027" s="3" t="inlineStr">
        <is>
          <t>Subscriptions - Webbox</t>
        </is>
      </c>
      <c r="F13027" s="3" t="n">
        <v>1259</v>
      </c>
      <c r="G13027" s="3" t="n">
        <v>15014</v>
      </c>
    </row>
    <row r="13028">
      <c r="A13028" s="3" t="inlineStr">
        <is>
          <t>Opportunity Global Investment (PTY) LTD</t>
        </is>
      </c>
      <c r="B13028" s="4" t="n">
        <v>44985</v>
      </c>
      <c r="C13028" s="3" t="inlineStr">
        <is>
          <t>Expenses</t>
        </is>
      </c>
      <c r="D13028" s="3" t="inlineStr">
        <is>
          <t>4550/200</t>
        </is>
      </c>
      <c r="E13028" s="3" t="inlineStr">
        <is>
          <t>Subscriptions - Zoom</t>
        </is>
      </c>
      <c r="F13028" s="3" t="n">
        <v>0</v>
      </c>
      <c r="G13028" s="3" t="n">
        <v>2309.08</v>
      </c>
    </row>
    <row r="13029">
      <c r="A13029" s="3" t="inlineStr">
        <is>
          <t>Opportunity Global Investment (PTY) LTD</t>
        </is>
      </c>
      <c r="B13029" s="4" t="n">
        <v>44985</v>
      </c>
      <c r="C13029" s="3" t="inlineStr">
        <is>
          <t>Expenses</t>
        </is>
      </c>
      <c r="D13029" s="3" t="inlineStr">
        <is>
          <t>4550/250</t>
        </is>
      </c>
      <c r="E13029" s="3" t="inlineStr">
        <is>
          <t>Subscriptions - LinkedIn</t>
        </is>
      </c>
      <c r="F13029" s="3" t="n">
        <v>0</v>
      </c>
      <c r="G13029" s="3" t="n">
        <v>12005.88</v>
      </c>
    </row>
    <row r="13030">
      <c r="A13030" s="3" t="inlineStr">
        <is>
          <t>Opportunity Global Investment (PTY) LTD</t>
        </is>
      </c>
      <c r="B13030" s="4" t="n">
        <v>44985</v>
      </c>
      <c r="C13030" s="3" t="inlineStr">
        <is>
          <t>Expenses</t>
        </is>
      </c>
      <c r="D13030" s="3" t="inlineStr">
        <is>
          <t>4550/350</t>
        </is>
      </c>
      <c r="E13030" s="3" t="inlineStr">
        <is>
          <t>Subscriptions - Xero</t>
        </is>
      </c>
      <c r="F13030" s="3" t="n">
        <v>600</v>
      </c>
      <c r="G13030" s="3" t="n">
        <v>7200</v>
      </c>
    </row>
    <row r="13031">
      <c r="A13031" s="3" t="inlineStr">
        <is>
          <t>Opportunity Global Investment (PTY) LTD</t>
        </is>
      </c>
      <c r="B13031" s="4" t="n">
        <v>44985</v>
      </c>
      <c r="C13031" s="3" t="inlineStr">
        <is>
          <t>Expenses</t>
        </is>
      </c>
      <c r="D13031" s="3" t="inlineStr">
        <is>
          <t>4550/400</t>
        </is>
      </c>
      <c r="E13031" s="3" t="inlineStr">
        <is>
          <t>Subscriptions - Moneyweb</t>
        </is>
      </c>
      <c r="F13031" s="3" t="n">
        <v>54.78</v>
      </c>
      <c r="G13031" s="3" t="n">
        <v>657.36</v>
      </c>
    </row>
    <row r="13032">
      <c r="A13032" s="3" t="inlineStr">
        <is>
          <t>Trademark Holdings (Pty) Ltd</t>
        </is>
      </c>
      <c r="B13032" s="4" t="n">
        <v>44985</v>
      </c>
      <c r="C13032" s="3" t="inlineStr">
        <is>
          <t>Expenses</t>
        </is>
      </c>
      <c r="D13032" s="3" t="inlineStr">
        <is>
          <t>4550/400</t>
        </is>
      </c>
      <c r="E13032" s="3" t="inlineStr">
        <is>
          <t>Subscriptions - Xero</t>
        </is>
      </c>
      <c r="F13032" s="3" t="n">
        <v>600</v>
      </c>
      <c r="G13032" s="3" t="n">
        <v>3600</v>
      </c>
    </row>
    <row r="13033">
      <c r="A13033" s="3" t="inlineStr">
        <is>
          <t>Opportunity Global Investment (PTY) LTD</t>
        </is>
      </c>
      <c r="B13033" s="4" t="n">
        <v>44985</v>
      </c>
      <c r="C13033" s="3" t="inlineStr">
        <is>
          <t>Expenses</t>
        </is>
      </c>
      <c r="D13033" s="3" t="inlineStr">
        <is>
          <t>4550/450</t>
        </is>
      </c>
      <c r="E13033" s="3" t="inlineStr">
        <is>
          <t>Subscriptions - Adobe</t>
        </is>
      </c>
      <c r="F13033" s="3" t="n">
        <v>581.54</v>
      </c>
      <c r="G13033" s="3" t="n">
        <v>6478.05</v>
      </c>
    </row>
    <row r="13034">
      <c r="A13034" s="3" t="inlineStr">
        <is>
          <t>Opportunity Global Investment (PTY) LTD</t>
        </is>
      </c>
      <c r="B13034" s="4" t="n">
        <v>44985</v>
      </c>
      <c r="C13034" s="3" t="inlineStr">
        <is>
          <t>Expenses</t>
        </is>
      </c>
      <c r="D13034" s="3" t="inlineStr">
        <is>
          <t>4550/500</t>
        </is>
      </c>
      <c r="E13034" s="3" t="inlineStr">
        <is>
          <t>Subscriptions - Pandadoc</t>
        </is>
      </c>
      <c r="F13034" s="3" t="n">
        <v>527.58</v>
      </c>
      <c r="G13034" s="3" t="n">
        <v>1043.74</v>
      </c>
    </row>
    <row r="13035">
      <c r="A13035" s="3" t="inlineStr">
        <is>
          <t>Noble Shield (Pty) Ltd ta Go Letting</t>
        </is>
      </c>
      <c r="B13035" s="4" t="n">
        <v>44985</v>
      </c>
      <c r="C13035" s="3" t="inlineStr">
        <is>
          <t>Expenses</t>
        </is>
      </c>
      <c r="D13035" s="3" t="inlineStr">
        <is>
          <t>4550/600</t>
        </is>
      </c>
      <c r="E13035" s="3" t="inlineStr">
        <is>
          <t>Subscriptions - Webbox</t>
        </is>
      </c>
      <c r="F13035" s="3" t="n">
        <v>1331.7</v>
      </c>
      <c r="G13035" s="3" t="n">
        <v>7951.1</v>
      </c>
    </row>
    <row r="13036">
      <c r="A13036" s="3" t="inlineStr">
        <is>
          <t>Noble Shield (Pty) Ltd ta Go Letting</t>
        </is>
      </c>
      <c r="B13036" s="4" t="n">
        <v>44985</v>
      </c>
      <c r="C13036" s="3" t="inlineStr">
        <is>
          <t>Expenses</t>
        </is>
      </c>
      <c r="D13036" s="3" t="inlineStr">
        <is>
          <t>4550/650</t>
        </is>
      </c>
      <c r="E13036" s="3" t="inlineStr">
        <is>
          <t>Subscriptions - Xero</t>
        </is>
      </c>
      <c r="F13036" s="3" t="n">
        <v>600</v>
      </c>
      <c r="G13036" s="3" t="n">
        <v>3600</v>
      </c>
    </row>
    <row r="13037">
      <c r="A13037" s="3" t="inlineStr">
        <is>
          <t>Noble Shield (Pty) Ltd ta Go Letting</t>
        </is>
      </c>
      <c r="B13037" s="4" t="n">
        <v>44985</v>
      </c>
      <c r="C13037" s="3" t="inlineStr">
        <is>
          <t>Expenses</t>
        </is>
      </c>
      <c r="D13037" s="3" t="inlineStr">
        <is>
          <t>4550/700</t>
        </is>
      </c>
      <c r="E13037" s="3" t="inlineStr">
        <is>
          <t>Subscriptions - Domain renewals</t>
        </is>
      </c>
      <c r="F13037" s="3" t="n">
        <v>0</v>
      </c>
      <c r="G13037" s="3" t="n">
        <v>440.45</v>
      </c>
    </row>
    <row r="13038">
      <c r="A13038" s="3" t="inlineStr">
        <is>
          <t>Noble Shield (Pty) Ltd ta Go Letting</t>
        </is>
      </c>
      <c r="B13038" s="4" t="n">
        <v>44985</v>
      </c>
      <c r="C13038" s="3" t="inlineStr">
        <is>
          <t>Expenses</t>
        </is>
      </c>
      <c r="D13038" s="3" t="inlineStr">
        <is>
          <t>4550/800</t>
        </is>
      </c>
      <c r="E13038" s="3" t="inlineStr">
        <is>
          <t>Subscriptions - Adobe</t>
        </is>
      </c>
      <c r="F13038" s="3" t="n">
        <v>311.2</v>
      </c>
      <c r="G13038" s="3" t="n">
        <v>1863.28</v>
      </c>
    </row>
    <row r="13039">
      <c r="A13039" s="3" t="inlineStr">
        <is>
          <t>Opportunity Global Sales (PTY) LTD</t>
        </is>
      </c>
      <c r="B13039" s="4" t="n">
        <v>44985</v>
      </c>
      <c r="C13039" s="3" t="inlineStr">
        <is>
          <t>Expenses</t>
        </is>
      </c>
      <c r="D13039" s="3" t="inlineStr">
        <is>
          <t>4551/000</t>
        </is>
      </c>
      <c r="E13039" s="3" t="inlineStr">
        <is>
          <t>Subscriptions - Payprop</t>
        </is>
      </c>
      <c r="F13039" s="3" t="n">
        <v>886.95</v>
      </c>
      <c r="G13039" s="3" t="n">
        <v>10507.98</v>
      </c>
    </row>
    <row r="13040">
      <c r="A13040" s="3" t="inlineStr">
        <is>
          <t>Quinate Consulting (Pty) Ltd</t>
        </is>
      </c>
      <c r="B13040" s="4" t="n">
        <v>44985</v>
      </c>
      <c r="C13040" s="3" t="inlineStr">
        <is>
          <t>Expenses</t>
        </is>
      </c>
      <c r="D13040" s="3" t="inlineStr">
        <is>
          <t>4551/000</t>
        </is>
      </c>
      <c r="E13040" s="3" t="inlineStr">
        <is>
          <t>Subscriptions - Zoho</t>
        </is>
      </c>
      <c r="F13040" s="3" t="n">
        <v>1125</v>
      </c>
      <c r="G13040" s="3" t="n">
        <v>13500</v>
      </c>
    </row>
    <row r="13041">
      <c r="A13041" s="3" t="inlineStr">
        <is>
          <t>Endulini (Pty) Ltd</t>
        </is>
      </c>
      <c r="B13041" s="4" t="n">
        <v>44985</v>
      </c>
      <c r="C13041" s="3" t="inlineStr">
        <is>
          <t>Expenses</t>
        </is>
      </c>
      <c r="D13041" s="3" t="inlineStr">
        <is>
          <t>4552/000</t>
        </is>
      </c>
      <c r="E13041" s="3" t="inlineStr">
        <is>
          <t>Subscriptions - Xero</t>
        </is>
      </c>
      <c r="F13041" s="3" t="n">
        <v>2400</v>
      </c>
      <c r="G13041" s="3" t="n">
        <v>7200</v>
      </c>
    </row>
    <row r="13042">
      <c r="A13042" s="3" t="inlineStr">
        <is>
          <t>Opportunity Global Sales (PTY) LTD</t>
        </is>
      </c>
      <c r="B13042" s="4" t="n">
        <v>44985</v>
      </c>
      <c r="C13042" s="3" t="inlineStr">
        <is>
          <t>Expenses</t>
        </is>
      </c>
      <c r="D13042" s="3" t="inlineStr">
        <is>
          <t>4552/000</t>
        </is>
      </c>
      <c r="E13042" s="3" t="inlineStr">
        <is>
          <t>Subscriptions - Xero</t>
        </is>
      </c>
      <c r="F13042" s="3" t="n">
        <v>600</v>
      </c>
      <c r="G13042" s="3" t="n">
        <v>7200</v>
      </c>
    </row>
    <row r="13043">
      <c r="A13043" s="3" t="inlineStr">
        <is>
          <t>Opportunity Management Holdings (PTY) LTD</t>
        </is>
      </c>
      <c r="B13043" s="4" t="n">
        <v>44985</v>
      </c>
      <c r="C13043" s="3" t="inlineStr">
        <is>
          <t>Expenses</t>
        </is>
      </c>
      <c r="D13043" s="3" t="inlineStr">
        <is>
          <t>4552/000</t>
        </is>
      </c>
      <c r="E13043" s="3" t="inlineStr">
        <is>
          <t>Subscriptions - Xero</t>
        </is>
      </c>
      <c r="F13043" s="3" t="n">
        <v>600</v>
      </c>
      <c r="G13043" s="3" t="n">
        <v>3600</v>
      </c>
    </row>
    <row r="13044">
      <c r="A13044" s="3" t="inlineStr">
        <is>
          <t>Opportunity Global Sales (PTY) LTD</t>
        </is>
      </c>
      <c r="B13044" s="4" t="n">
        <v>44985</v>
      </c>
      <c r="C13044" s="3" t="inlineStr">
        <is>
          <t>Expenses</t>
        </is>
      </c>
      <c r="D13044" s="3" t="inlineStr">
        <is>
          <t>4553/000</t>
        </is>
      </c>
      <c r="E13044" s="3" t="inlineStr">
        <is>
          <t>Subscriptions - CMA</t>
        </is>
      </c>
      <c r="F13044" s="3" t="n">
        <v>680</v>
      </c>
      <c r="G13044" s="3" t="n">
        <v>8160</v>
      </c>
    </row>
    <row r="13045">
      <c r="A13045" s="3" t="inlineStr">
        <is>
          <t>Quinate Consulting (Pty) Ltd</t>
        </is>
      </c>
      <c r="B13045" s="4" t="n">
        <v>44985</v>
      </c>
      <c r="C13045" s="3" t="inlineStr">
        <is>
          <t>Expenses</t>
        </is>
      </c>
      <c r="D13045" s="3" t="inlineStr">
        <is>
          <t>4554/000</t>
        </is>
      </c>
      <c r="E13045" s="3" t="inlineStr">
        <is>
          <t>Subscriptions - Xero</t>
        </is>
      </c>
      <c r="F13045" s="3" t="n">
        <v>600</v>
      </c>
      <c r="G13045" s="3" t="n">
        <v>7200</v>
      </c>
    </row>
    <row r="13046">
      <c r="A13046" s="3" t="inlineStr">
        <is>
          <t>Opportunity Global Sales (PTY) LTD</t>
        </is>
      </c>
      <c r="B13046" s="4" t="n">
        <v>44985</v>
      </c>
      <c r="C13046" s="3" t="inlineStr">
        <is>
          <t>Expenses</t>
        </is>
      </c>
      <c r="D13046" s="3" t="inlineStr">
        <is>
          <t>4554/000</t>
        </is>
      </c>
      <c r="E13046" s="3" t="inlineStr">
        <is>
          <t>Subscriptions - Zoho</t>
        </is>
      </c>
      <c r="F13046" s="3" t="n">
        <v>750</v>
      </c>
      <c r="G13046" s="3" t="n">
        <v>8505</v>
      </c>
    </row>
    <row r="13047">
      <c r="A13047" s="3" t="inlineStr">
        <is>
          <t>Opportunity Global Sales (PTY) LTD</t>
        </is>
      </c>
      <c r="B13047" s="4" t="n">
        <v>44985</v>
      </c>
      <c r="C13047" s="3" t="inlineStr">
        <is>
          <t>Expenses</t>
        </is>
      </c>
      <c r="D13047" s="3" t="inlineStr">
        <is>
          <t>4555/000</t>
        </is>
      </c>
      <c r="E13047" s="3" t="inlineStr">
        <is>
          <t>Subscriptions - EAAB</t>
        </is>
      </c>
      <c r="F13047" s="3" t="n">
        <v>0</v>
      </c>
      <c r="G13047" s="3" t="n">
        <v>15520</v>
      </c>
    </row>
    <row r="13048">
      <c r="A13048" s="3" t="inlineStr">
        <is>
          <t>Quinate Consulting (Pty) Ltd</t>
        </is>
      </c>
      <c r="B13048" s="4" t="n">
        <v>44985</v>
      </c>
      <c r="C13048" s="3" t="inlineStr">
        <is>
          <t>Expenses</t>
        </is>
      </c>
      <c r="D13048" s="3" t="inlineStr">
        <is>
          <t>4555/000</t>
        </is>
      </c>
      <c r="E13048" s="3" t="inlineStr">
        <is>
          <t>Subscriptions - OUMS</t>
        </is>
      </c>
      <c r="F13048" s="3" t="n">
        <v>7636.17</v>
      </c>
      <c r="G13048" s="3" t="n">
        <v>78871.07000000001</v>
      </c>
    </row>
    <row r="13049">
      <c r="A13049" s="3" t="inlineStr">
        <is>
          <t>Opportunity Global Investment (PTY) LTD</t>
        </is>
      </c>
      <c r="B13049" s="4" t="n">
        <v>44985</v>
      </c>
      <c r="C13049" s="3" t="inlineStr">
        <is>
          <t>Expenses</t>
        </is>
      </c>
      <c r="D13049" s="3" t="inlineStr">
        <is>
          <t>4600/000</t>
        </is>
      </c>
      <c r="E13049" s="3" t="inlineStr">
        <is>
          <t>Telephone _AND_ Fax</t>
        </is>
      </c>
      <c r="F13049" s="3" t="n">
        <v>3355</v>
      </c>
      <c r="G13049" s="3" t="n">
        <v>40260</v>
      </c>
    </row>
    <row r="13050">
      <c r="A13050" s="3" t="inlineStr">
        <is>
          <t>Trademark Holdings (Pty) Ltd</t>
        </is>
      </c>
      <c r="B13050" s="4" t="n">
        <v>44985</v>
      </c>
      <c r="C13050" s="3" t="inlineStr">
        <is>
          <t>Expenses</t>
        </is>
      </c>
      <c r="D13050" s="3" t="inlineStr">
        <is>
          <t>4600/000</t>
        </is>
      </c>
      <c r="E13050" s="3" t="inlineStr">
        <is>
          <t>Telephone _AND_ Fax</t>
        </is>
      </c>
      <c r="F13050" s="3" t="n">
        <v>1232.94</v>
      </c>
      <c r="G13050" s="3" t="n">
        <v>8254.93</v>
      </c>
    </row>
    <row r="13051">
      <c r="A13051" s="3" t="inlineStr">
        <is>
          <t>Noble Shield (Pty) Ltd ta Go Letting</t>
        </is>
      </c>
      <c r="B13051" s="4" t="n">
        <v>44985</v>
      </c>
      <c r="C13051" s="3" t="inlineStr">
        <is>
          <t>Expenses</t>
        </is>
      </c>
      <c r="D13051" s="3" t="inlineStr">
        <is>
          <t>4610/000</t>
        </is>
      </c>
      <c r="E13051" s="3" t="inlineStr">
        <is>
          <t>Telephone - CT Office</t>
        </is>
      </c>
      <c r="F13051" s="3" t="n">
        <v>792.96</v>
      </c>
      <c r="G13051" s="3" t="n">
        <v>6240.58</v>
      </c>
    </row>
    <row r="13052">
      <c r="A13052" s="3" t="inlineStr">
        <is>
          <t>Noble Shield (Pty) Ltd ta Go Letting</t>
        </is>
      </c>
      <c r="B13052" s="4" t="n">
        <v>44985</v>
      </c>
      <c r="C13052" s="3" t="inlineStr">
        <is>
          <t>Expenses</t>
        </is>
      </c>
      <c r="D13052" s="3" t="inlineStr">
        <is>
          <t>4650/000</t>
        </is>
      </c>
      <c r="E13052" s="3" t="inlineStr">
        <is>
          <t>Travel _AND_ Accommodation</t>
        </is>
      </c>
      <c r="F13052" s="3" t="n">
        <v>0</v>
      </c>
      <c r="G13052" s="3" t="n">
        <v>500</v>
      </c>
    </row>
    <row r="13053">
      <c r="A13053" s="3" t="inlineStr">
        <is>
          <t>Opportunity Global Investment (PTY) LTD</t>
        </is>
      </c>
      <c r="B13053" s="4" t="n">
        <v>44985</v>
      </c>
      <c r="C13053" s="3" t="inlineStr">
        <is>
          <t>Expenses</t>
        </is>
      </c>
      <c r="D13053" s="3" t="inlineStr">
        <is>
          <t>4650/000</t>
        </is>
      </c>
      <c r="E13053" s="3" t="inlineStr">
        <is>
          <t>Travel _AND_ Accommodation</t>
        </is>
      </c>
      <c r="F13053" s="3" t="n">
        <v>0</v>
      </c>
      <c r="G13053" s="3" t="n">
        <v>5699.16</v>
      </c>
    </row>
    <row r="13054">
      <c r="A13054" s="3" t="inlineStr">
        <is>
          <t>Opportunity Management Holdings (PTY) LTD</t>
        </is>
      </c>
      <c r="B13054" s="4" t="n">
        <v>44985</v>
      </c>
      <c r="C13054" s="3" t="inlineStr">
        <is>
          <t>Expenses</t>
        </is>
      </c>
      <c r="D13054" s="3" t="inlineStr">
        <is>
          <t>4650/000</t>
        </is>
      </c>
      <c r="E13054" s="3" t="inlineStr">
        <is>
          <t>Travel _AND_ Accommodation</t>
        </is>
      </c>
      <c r="F13054" s="3" t="n">
        <v>0</v>
      </c>
      <c r="G13054" s="3" t="n">
        <v>572.3200000000001</v>
      </c>
    </row>
    <row r="13055">
      <c r="A13055" s="3" t="inlineStr">
        <is>
          <t>Quinate Consulting (Pty) Ltd</t>
        </is>
      </c>
      <c r="B13055" s="4" t="n">
        <v>44985</v>
      </c>
      <c r="C13055" s="3" t="inlineStr">
        <is>
          <t>Expenses</t>
        </is>
      </c>
      <c r="D13055" s="3" t="inlineStr">
        <is>
          <t>4650/000</t>
        </is>
      </c>
      <c r="E13055" s="3" t="inlineStr">
        <is>
          <t>Travel _AND_ Accommodation</t>
        </is>
      </c>
      <c r="F13055" s="3" t="n">
        <v>0</v>
      </c>
      <c r="G13055" s="3" t="n">
        <v>5699.04</v>
      </c>
    </row>
    <row r="13056">
      <c r="A13056" s="3" t="inlineStr">
        <is>
          <t>Quinate Consulting (Pty) Ltd</t>
        </is>
      </c>
      <c r="B13056" s="4" t="n">
        <v>44985</v>
      </c>
      <c r="C13056" s="3" t="inlineStr">
        <is>
          <t>Expenses</t>
        </is>
      </c>
      <c r="D13056" s="3" t="inlineStr">
        <is>
          <t>4650/010</t>
        </is>
      </c>
      <c r="E13056" s="3" t="inlineStr">
        <is>
          <t>Travel - Local Flights</t>
        </is>
      </c>
      <c r="F13056" s="3" t="n">
        <v>0</v>
      </c>
      <c r="G13056" s="3" t="n">
        <v>6912.27</v>
      </c>
    </row>
    <row r="13057">
      <c r="A13057" s="3" t="inlineStr">
        <is>
          <t>Opportunity Global Investment (PTY) LTD</t>
        </is>
      </c>
      <c r="B13057" s="4" t="n">
        <v>44985</v>
      </c>
      <c r="C13057" s="3" t="inlineStr">
        <is>
          <t>Expenses</t>
        </is>
      </c>
      <c r="D13057" s="3" t="inlineStr">
        <is>
          <t>4650/020</t>
        </is>
      </c>
      <c r="E13057" s="3" t="inlineStr">
        <is>
          <t>Travel Accomodation - Car Hire</t>
        </is>
      </c>
      <c r="F13057" s="3" t="n">
        <v>0</v>
      </c>
      <c r="G13057" s="3" t="n">
        <v>457.39</v>
      </c>
    </row>
    <row r="13058">
      <c r="A13058" s="3" t="inlineStr">
        <is>
          <t>Quinate Consulting (Pty) Ltd</t>
        </is>
      </c>
      <c r="B13058" s="4" t="n">
        <v>44985</v>
      </c>
      <c r="C13058" s="3" t="inlineStr">
        <is>
          <t>Expenses</t>
        </is>
      </c>
      <c r="D13058" s="3" t="inlineStr">
        <is>
          <t>4650/030</t>
        </is>
      </c>
      <c r="E13058" s="3" t="inlineStr">
        <is>
          <t>Travel - Parking</t>
        </is>
      </c>
      <c r="F13058" s="3" t="n">
        <v>34.78</v>
      </c>
      <c r="G13058" s="3" t="n">
        <v>191.3</v>
      </c>
    </row>
    <row r="13059">
      <c r="A13059" s="3" t="inlineStr">
        <is>
          <t>Quinate Consulting (Pty) Ltd</t>
        </is>
      </c>
      <c r="B13059" s="4" t="n">
        <v>44985</v>
      </c>
      <c r="C13059" s="3" t="inlineStr">
        <is>
          <t>Expenses</t>
        </is>
      </c>
      <c r="D13059" s="3" t="inlineStr">
        <is>
          <t>4650/040</t>
        </is>
      </c>
      <c r="E13059" s="3" t="inlineStr">
        <is>
          <t>Travel - Local Car Hire</t>
        </is>
      </c>
      <c r="F13059" s="3" t="n">
        <v>0</v>
      </c>
      <c r="G13059" s="3" t="n">
        <v>1873</v>
      </c>
    </row>
    <row r="13060">
      <c r="A13060" s="3" t="inlineStr">
        <is>
          <t>Noble Shield (Pty) Ltd ta Go Letting</t>
        </is>
      </c>
      <c r="B13060" s="4" t="n">
        <v>44985</v>
      </c>
      <c r="C13060" s="3" t="inlineStr">
        <is>
          <t>Expenses</t>
        </is>
      </c>
      <c r="D13060" s="3" t="inlineStr">
        <is>
          <t>4650/050</t>
        </is>
      </c>
      <c r="E13060" s="3" t="inlineStr">
        <is>
          <t>Travel - Parking</t>
        </is>
      </c>
      <c r="F13060" s="3" t="n">
        <v>16</v>
      </c>
      <c r="G13060" s="3" t="n">
        <v>16</v>
      </c>
    </row>
    <row r="13061">
      <c r="A13061" s="3" t="inlineStr">
        <is>
          <t>Opportunity Global Investment (PTY) LTD</t>
        </is>
      </c>
      <c r="B13061" s="4" t="n">
        <v>44985</v>
      </c>
      <c r="C13061" s="3" t="inlineStr">
        <is>
          <t>Expenses</t>
        </is>
      </c>
      <c r="D13061" s="3" t="inlineStr">
        <is>
          <t>4650/080</t>
        </is>
      </c>
      <c r="E13061" s="3" t="inlineStr">
        <is>
          <t>Travel &amp; Accommodation - Staff Reimbursements</t>
        </is>
      </c>
      <c r="F13061" s="3" t="n">
        <v>0</v>
      </c>
      <c r="G13061" s="3" t="n">
        <v>453.72</v>
      </c>
    </row>
    <row r="13062">
      <c r="A13062" s="3" t="inlineStr">
        <is>
          <t>Opportunity Global Investment (PTY) LTD</t>
        </is>
      </c>
      <c r="B13062" s="4" t="n">
        <v>44985</v>
      </c>
      <c r="C13062" s="3" t="inlineStr">
        <is>
          <t>Expenses</t>
        </is>
      </c>
      <c r="D13062" s="3" t="inlineStr">
        <is>
          <t>4650/090</t>
        </is>
      </c>
      <c r="E13062" s="3" t="inlineStr">
        <is>
          <t>Travel &amp; Accom - Fuel</t>
        </is>
      </c>
      <c r="F13062" s="3" t="n">
        <v>0</v>
      </c>
      <c r="G13062" s="3" t="n">
        <v>33721.31</v>
      </c>
    </row>
    <row r="13063">
      <c r="A13063" s="3" t="inlineStr">
        <is>
          <t>Quinate Consulting (Pty) Ltd</t>
        </is>
      </c>
      <c r="B13063" s="4" t="n">
        <v>44985</v>
      </c>
      <c r="C13063" s="3" t="inlineStr">
        <is>
          <t>Expenses</t>
        </is>
      </c>
      <c r="D13063" s="3" t="inlineStr">
        <is>
          <t>4650/600</t>
        </is>
      </c>
      <c r="E13063" s="3" t="inlineStr">
        <is>
          <t>Travel - Fuel</t>
        </is>
      </c>
      <c r="F13063" s="3" t="n">
        <v>0</v>
      </c>
      <c r="G13063" s="3" t="n">
        <v>983.1799999999999</v>
      </c>
    </row>
    <row r="13064">
      <c r="A13064" s="3" t="inlineStr">
        <is>
          <t>Noble Shield (Pty) Ltd ta Go Letting</t>
        </is>
      </c>
      <c r="B13064" s="4" t="n">
        <v>44985</v>
      </c>
      <c r="C13064" s="3" t="inlineStr">
        <is>
          <t>Expenses</t>
        </is>
      </c>
      <c r="D13064" s="3" t="inlineStr">
        <is>
          <t>4700/000</t>
        </is>
      </c>
      <c r="E13064" s="3" t="inlineStr">
        <is>
          <t>PAYE Contributions</t>
        </is>
      </c>
      <c r="F13064" s="3" t="n">
        <v>5044.39</v>
      </c>
      <c r="G13064" s="3" t="n">
        <v>28841.88</v>
      </c>
    </row>
    <row r="13065">
      <c r="A13065" s="3" t="inlineStr">
        <is>
          <t>Trademark Holdings (Pty) Ltd</t>
        </is>
      </c>
      <c r="B13065" s="4" t="n">
        <v>44985</v>
      </c>
      <c r="C13065" s="3" t="inlineStr">
        <is>
          <t>Expenses</t>
        </is>
      </c>
      <c r="D13065" s="3" t="inlineStr">
        <is>
          <t>4700/000</t>
        </is>
      </c>
      <c r="E13065" s="3" t="inlineStr">
        <is>
          <t>PAYE Contributions</t>
        </is>
      </c>
      <c r="F13065" s="3" t="n">
        <v>4513.74</v>
      </c>
      <c r="G13065" s="3" t="n">
        <v>30818.44</v>
      </c>
    </row>
    <row r="13066">
      <c r="A13066" s="3" t="inlineStr">
        <is>
          <t>Opportunity Global Investment (PTY) LTD</t>
        </is>
      </c>
      <c r="B13066" s="4" t="n">
        <v>44985</v>
      </c>
      <c r="C13066" s="3" t="inlineStr">
        <is>
          <t>Expenses</t>
        </is>
      </c>
      <c r="D13066" s="3" t="inlineStr">
        <is>
          <t>4700/000</t>
        </is>
      </c>
      <c r="E13066" s="3" t="inlineStr">
        <is>
          <t>UIF Contributions</t>
        </is>
      </c>
      <c r="F13066" s="3" t="n">
        <v>177.12</v>
      </c>
      <c r="G13066" s="3" t="n">
        <v>2125.44</v>
      </c>
    </row>
    <row r="13067">
      <c r="A13067" s="3" t="inlineStr">
        <is>
          <t>Opportunity Global Sales (PTY) LTD</t>
        </is>
      </c>
      <c r="B13067" s="4" t="n">
        <v>44985</v>
      </c>
      <c r="C13067" s="3" t="inlineStr">
        <is>
          <t>Expenses</t>
        </is>
      </c>
      <c r="D13067" s="3" t="inlineStr">
        <is>
          <t>4700/000</t>
        </is>
      </c>
      <c r="E13067" s="3" t="inlineStr">
        <is>
          <t>UIF Contributions</t>
        </is>
      </c>
      <c r="F13067" s="3" t="n">
        <v>177.12</v>
      </c>
      <c r="G13067" s="3" t="n">
        <v>2225.44</v>
      </c>
    </row>
    <row r="13068">
      <c r="A13068" s="3" t="inlineStr">
        <is>
          <t>Opportunity Global Sales (PTY) LTD</t>
        </is>
      </c>
      <c r="B13068" s="4" t="n">
        <v>44985</v>
      </c>
      <c r="C13068" s="3" t="inlineStr">
        <is>
          <t>Expenses</t>
        </is>
      </c>
      <c r="D13068" s="3" t="inlineStr">
        <is>
          <t>4701/000</t>
        </is>
      </c>
      <c r="E13068" s="3" t="inlineStr">
        <is>
          <t>UIF Employee Contribution</t>
        </is>
      </c>
      <c r="F13068" s="3" t="n">
        <v>177.12</v>
      </c>
      <c r="G13068" s="3" t="n">
        <v>2225.44</v>
      </c>
    </row>
    <row r="13069">
      <c r="A13069" s="3" t="inlineStr">
        <is>
          <t>Opportunity Global Investment (PTY) LTD</t>
        </is>
      </c>
      <c r="B13069" s="4" t="n">
        <v>44985</v>
      </c>
      <c r="C13069" s="3" t="inlineStr">
        <is>
          <t>Expenses</t>
        </is>
      </c>
      <c r="D13069" s="3" t="inlineStr">
        <is>
          <t>4701/000</t>
        </is>
      </c>
      <c r="E13069" s="3" t="inlineStr">
        <is>
          <t>UIF Employee Contributions</t>
        </is>
      </c>
      <c r="F13069" s="3" t="n">
        <v>177.12</v>
      </c>
      <c r="G13069" s="3" t="n">
        <v>2125.44</v>
      </c>
    </row>
    <row r="13070">
      <c r="A13070" s="3" t="inlineStr">
        <is>
          <t>Noble Shield (Pty) Ltd ta Go Letting</t>
        </is>
      </c>
      <c r="B13070" s="4" t="n">
        <v>44985</v>
      </c>
      <c r="C13070" s="3" t="inlineStr">
        <is>
          <t>Expenses</t>
        </is>
      </c>
      <c r="D13070" s="3" t="inlineStr">
        <is>
          <t>4710/000</t>
        </is>
      </c>
      <c r="E13070" s="3" t="inlineStr">
        <is>
          <t>UIF Company Contributions</t>
        </is>
      </c>
      <c r="F13070" s="3" t="n">
        <v>245.25</v>
      </c>
      <c r="G13070" s="3" t="n">
        <v>1471.5</v>
      </c>
    </row>
    <row r="13071">
      <c r="A13071" s="3" t="inlineStr">
        <is>
          <t>Trademark Holdings (Pty) Ltd</t>
        </is>
      </c>
      <c r="B13071" s="4" t="n">
        <v>44985</v>
      </c>
      <c r="C13071" s="3" t="inlineStr">
        <is>
          <t>Expenses</t>
        </is>
      </c>
      <c r="D13071" s="3" t="inlineStr">
        <is>
          <t>4710/000</t>
        </is>
      </c>
      <c r="E13071" s="3" t="inlineStr">
        <is>
          <t>UIF Company Contributions</t>
        </is>
      </c>
      <c r="F13071" s="3" t="n">
        <v>95.25</v>
      </c>
      <c r="G13071" s="3" t="n">
        <v>571.5</v>
      </c>
    </row>
    <row r="13072">
      <c r="A13072" s="3" t="inlineStr">
        <is>
          <t>Noble Shield (Pty) Ltd ta Go Letting</t>
        </is>
      </c>
      <c r="B13072" s="4" t="n">
        <v>44985</v>
      </c>
      <c r="C13072" s="3" t="inlineStr">
        <is>
          <t>Expenses</t>
        </is>
      </c>
      <c r="D13072" s="3" t="inlineStr">
        <is>
          <t>4711/000</t>
        </is>
      </c>
      <c r="E13072" s="3" t="inlineStr">
        <is>
          <t>UIF Employee Contribution</t>
        </is>
      </c>
      <c r="F13072" s="3" t="n">
        <v>245.25</v>
      </c>
      <c r="G13072" s="3" t="n">
        <v>1471.5</v>
      </c>
    </row>
    <row r="13073">
      <c r="A13073" s="3" t="inlineStr">
        <is>
          <t>Trademark Holdings (Pty) Ltd</t>
        </is>
      </c>
      <c r="B13073" s="4" t="n">
        <v>44985</v>
      </c>
      <c r="C13073" s="3" t="inlineStr">
        <is>
          <t>Expenses</t>
        </is>
      </c>
      <c r="D13073" s="3" t="inlineStr">
        <is>
          <t>4711/000</t>
        </is>
      </c>
      <c r="E13073" s="3" t="inlineStr">
        <is>
          <t>UIF Employee Contributions</t>
        </is>
      </c>
      <c r="F13073" s="3" t="n">
        <v>95.25</v>
      </c>
      <c r="G13073" s="3" t="n">
        <v>571.5</v>
      </c>
    </row>
    <row r="13074">
      <c r="A13074" s="3" t="inlineStr">
        <is>
          <t>Noble Shield (Pty) Ltd ta Go Letting</t>
        </is>
      </c>
      <c r="B13074" s="4" t="n">
        <v>44985</v>
      </c>
      <c r="C13074" s="3" t="inlineStr">
        <is>
          <t>Expenses</t>
        </is>
      </c>
      <c r="D13074" s="3" t="inlineStr">
        <is>
          <t>4720/000</t>
        </is>
      </c>
      <c r="E13074" s="3" t="inlineStr">
        <is>
          <t>SDL Contributions</t>
        </is>
      </c>
      <c r="F13074" s="3" t="n">
        <v>438.03</v>
      </c>
      <c r="G13074" s="3" t="n">
        <v>2573.35</v>
      </c>
    </row>
    <row r="13075">
      <c r="A13075" s="3" t="inlineStr">
        <is>
          <t>Trademark Holdings (Pty) Ltd</t>
        </is>
      </c>
      <c r="B13075" s="4" t="n">
        <v>44985</v>
      </c>
      <c r="C13075" s="3" t="inlineStr">
        <is>
          <t>Expenses</t>
        </is>
      </c>
      <c r="D13075" s="3" t="inlineStr">
        <is>
          <t>4720/000</t>
        </is>
      </c>
      <c r="E13075" s="3" t="inlineStr">
        <is>
          <t>SDL Contributions</t>
        </is>
      </c>
      <c r="F13075" s="3" t="n">
        <v>285.82</v>
      </c>
      <c r="G13075" s="3" t="n">
        <v>1835.43</v>
      </c>
    </row>
    <row r="13076">
      <c r="A13076" s="3" t="inlineStr">
        <is>
          <t>Opportunity Global Investment (PTY) LTD</t>
        </is>
      </c>
      <c r="B13076" s="4" t="n">
        <v>44985</v>
      </c>
      <c r="C13076" s="3" t="inlineStr">
        <is>
          <t>Expenses</t>
        </is>
      </c>
      <c r="D13076" s="3" t="inlineStr">
        <is>
          <t>4730/000</t>
        </is>
      </c>
      <c r="E13076" s="3" t="inlineStr">
        <is>
          <t>PAYE Contributions</t>
        </is>
      </c>
      <c r="F13076" s="3" t="n">
        <v>9136.530000000001</v>
      </c>
      <c r="G13076" s="3" t="n">
        <v>109640.2</v>
      </c>
    </row>
    <row r="13077">
      <c r="A13077" s="3" t="inlineStr">
        <is>
          <t>Opportunity Global Sales (PTY) LTD</t>
        </is>
      </c>
      <c r="B13077" s="4" t="n">
        <v>44985</v>
      </c>
      <c r="C13077" s="3" t="inlineStr">
        <is>
          <t>Expenses</t>
        </is>
      </c>
      <c r="D13077" s="3" t="inlineStr">
        <is>
          <t>4730/000</t>
        </is>
      </c>
      <c r="E13077" s="3" t="inlineStr">
        <is>
          <t>PAYE Contributions</t>
        </is>
      </c>
      <c r="F13077" s="3" t="n">
        <v>8367.23</v>
      </c>
      <c r="G13077" s="3" t="n">
        <v>227975.96</v>
      </c>
    </row>
    <row r="13078">
      <c r="A13078" s="3" t="inlineStr">
        <is>
          <t>Opportunity Management Holdings (PTY) LTD</t>
        </is>
      </c>
      <c r="B13078" s="4" t="n">
        <v>44985</v>
      </c>
      <c r="C13078" s="3" t="inlineStr">
        <is>
          <t>Expenses</t>
        </is>
      </c>
      <c r="D13078" s="3" t="inlineStr">
        <is>
          <t>4730/000</t>
        </is>
      </c>
      <c r="E13078" s="3" t="inlineStr">
        <is>
          <t>PAYE Contributions</t>
        </is>
      </c>
      <c r="F13078" s="3" t="n">
        <v>53772.54</v>
      </c>
      <c r="G13078" s="3" t="n">
        <v>284196.39</v>
      </c>
    </row>
    <row r="13079">
      <c r="A13079" s="3" t="inlineStr">
        <is>
          <t>Opportunity Global Investment (PTY) LTD</t>
        </is>
      </c>
      <c r="B13079" s="4" t="n">
        <v>44985</v>
      </c>
      <c r="C13079" s="3" t="inlineStr">
        <is>
          <t>Expenses</t>
        </is>
      </c>
      <c r="D13079" s="3" t="inlineStr">
        <is>
          <t>4740/000</t>
        </is>
      </c>
      <c r="E13079" s="3" t="inlineStr">
        <is>
          <t>SDL Contributions</t>
        </is>
      </c>
      <c r="F13079" s="3" t="n">
        <v>431.1</v>
      </c>
      <c r="G13079" s="3" t="n">
        <v>5173.2</v>
      </c>
    </row>
    <row r="13080">
      <c r="A13080" s="3" t="inlineStr">
        <is>
          <t>Opportunity Global Sales (PTY) LTD</t>
        </is>
      </c>
      <c r="B13080" s="4" t="n">
        <v>44985</v>
      </c>
      <c r="C13080" s="3" t="inlineStr">
        <is>
          <t>Expenses</t>
        </is>
      </c>
      <c r="D13080" s="3" t="inlineStr">
        <is>
          <t>4740/000</t>
        </is>
      </c>
      <c r="E13080" s="3" t="inlineStr">
        <is>
          <t>SDL Contributions</t>
        </is>
      </c>
      <c r="F13080" s="3" t="n">
        <v>1841.99</v>
      </c>
      <c r="G13080" s="3" t="n">
        <v>22281.97</v>
      </c>
    </row>
    <row r="13081">
      <c r="A13081" s="3" t="inlineStr">
        <is>
          <t>Opportunity Management Holdings (PTY) LTD</t>
        </is>
      </c>
      <c r="B13081" s="4" t="n">
        <v>44985</v>
      </c>
      <c r="C13081" s="3" t="inlineStr">
        <is>
          <t>Expenses</t>
        </is>
      </c>
      <c r="D13081" s="3" t="inlineStr">
        <is>
          <t>4740/000</t>
        </is>
      </c>
      <c r="E13081" s="3" t="inlineStr">
        <is>
          <t>UIF Company Contribution</t>
        </is>
      </c>
      <c r="F13081" s="3" t="n">
        <v>1919.02</v>
      </c>
      <c r="G13081" s="3" t="n">
        <v>9808.389999999999</v>
      </c>
    </row>
    <row r="13082">
      <c r="A13082" s="3" t="inlineStr">
        <is>
          <t>Opportunity Management Holdings (PTY) LTD</t>
        </is>
      </c>
      <c r="B13082" s="4" t="n">
        <v>44985</v>
      </c>
      <c r="C13082" s="3" t="inlineStr">
        <is>
          <t>Expenses</t>
        </is>
      </c>
      <c r="D13082" s="3" t="inlineStr">
        <is>
          <t>4741/000</t>
        </is>
      </c>
      <c r="E13082" s="3" t="inlineStr">
        <is>
          <t>UIF Employee Contribution</t>
        </is>
      </c>
      <c r="F13082" s="3" t="n">
        <v>1919.02</v>
      </c>
      <c r="G13082" s="3" t="n">
        <v>9808.389999999999</v>
      </c>
    </row>
    <row r="13083">
      <c r="A13083" s="3" t="inlineStr">
        <is>
          <t>Opportunity Management Holdings (PTY) LTD</t>
        </is>
      </c>
      <c r="B13083" s="4" t="n">
        <v>44985</v>
      </c>
      <c r="C13083" s="3" t="inlineStr">
        <is>
          <t>Expenses</t>
        </is>
      </c>
      <c r="D13083" s="3" t="inlineStr">
        <is>
          <t>4750/000</t>
        </is>
      </c>
      <c r="E13083" s="3" t="inlineStr">
        <is>
          <t>SDL Contribution</t>
        </is>
      </c>
      <c r="F13083" s="3" t="n">
        <v>3076.3</v>
      </c>
      <c r="G13083" s="3" t="n">
        <v>16348.58</v>
      </c>
    </row>
    <row r="13084">
      <c r="A13084" s="3" t="inlineStr">
        <is>
          <t>Opportunity Global Investment (PTY) LTD</t>
        </is>
      </c>
      <c r="B13084" s="4" t="n">
        <v>44985</v>
      </c>
      <c r="C13084" s="3" t="inlineStr">
        <is>
          <t>Expenses</t>
        </is>
      </c>
      <c r="D13084" s="3" t="inlineStr">
        <is>
          <t>4800/000</t>
        </is>
      </c>
      <c r="E13084" s="3" t="inlineStr">
        <is>
          <t>Ordinary Dividend</t>
        </is>
      </c>
      <c r="F13084" s="3" t="n">
        <v>150000</v>
      </c>
      <c r="G13084" s="3" t="n">
        <v>150000</v>
      </c>
    </row>
    <row r="13085">
      <c r="A13085" s="3" t="inlineStr">
        <is>
          <t>Noble Shield (Pty) Ltd ta Go Letting</t>
        </is>
      </c>
      <c r="B13085" s="4" t="n">
        <v>44985</v>
      </c>
      <c r="C13085" s="3" t="inlineStr">
        <is>
          <t>Equity</t>
        </is>
      </c>
      <c r="D13085" s="3" t="inlineStr">
        <is>
          <t>5100/000</t>
        </is>
      </c>
      <c r="E13085" s="3" t="inlineStr">
        <is>
          <t>Share Capital</t>
        </is>
      </c>
      <c r="F13085" s="3" t="n">
        <v>0</v>
      </c>
      <c r="G13085" s="3" t="n">
        <v>-1</v>
      </c>
    </row>
    <row r="13086">
      <c r="A13086" s="3" t="inlineStr">
        <is>
          <t>Opportunity Management Holdings (PTY) LTD</t>
        </is>
      </c>
      <c r="B13086" s="4" t="n">
        <v>44985</v>
      </c>
      <c r="C13086" s="3" t="inlineStr">
        <is>
          <t>Equity</t>
        </is>
      </c>
      <c r="D13086" s="3" t="inlineStr">
        <is>
          <t>5100/000</t>
        </is>
      </c>
      <c r="E13086" s="3" t="inlineStr">
        <is>
          <t>Share Capital / Members Contribution</t>
        </is>
      </c>
      <c r="F13086" s="3" t="n">
        <v>0</v>
      </c>
      <c r="G13086" s="3" t="n">
        <v>-120</v>
      </c>
    </row>
    <row r="13087">
      <c r="A13087" s="3" t="inlineStr">
        <is>
          <t>Quinate Consulting (Pty) Ltd</t>
        </is>
      </c>
      <c r="B13087" s="4" t="n">
        <v>44985</v>
      </c>
      <c r="C13087" s="3" t="inlineStr">
        <is>
          <t>Equity</t>
        </is>
      </c>
      <c r="D13087" s="3" t="inlineStr">
        <is>
          <t>5100/000</t>
        </is>
      </c>
      <c r="E13087" s="3" t="inlineStr">
        <is>
          <t>Share Capital / Members Contribution</t>
        </is>
      </c>
      <c r="F13087" s="3" t="n">
        <v>0</v>
      </c>
      <c r="G13087" s="3" t="n">
        <v>-120</v>
      </c>
    </row>
    <row r="13088">
      <c r="A13088" s="3" t="inlineStr">
        <is>
          <t>Trademark Holdings (Pty) Ltd</t>
        </is>
      </c>
      <c r="B13088" s="4" t="n">
        <v>44985</v>
      </c>
      <c r="C13088" s="3" t="inlineStr">
        <is>
          <t>Equity</t>
        </is>
      </c>
      <c r="D13088" s="3" t="inlineStr">
        <is>
          <t>5100/001</t>
        </is>
      </c>
      <c r="E13088" s="3" t="inlineStr">
        <is>
          <t>Share Capital - GFY Investments</t>
        </is>
      </c>
      <c r="F13088" s="3" t="n">
        <v>0</v>
      </c>
      <c r="G13088" s="3" t="n">
        <v>-60</v>
      </c>
    </row>
    <row r="13089">
      <c r="A13089" s="3" t="inlineStr">
        <is>
          <t>Trademark Holdings (Pty) Ltd</t>
        </is>
      </c>
      <c r="B13089" s="4" t="n">
        <v>44985</v>
      </c>
      <c r="C13089" s="3" t="inlineStr">
        <is>
          <t>Equity</t>
        </is>
      </c>
      <c r="D13089" s="3" t="inlineStr">
        <is>
          <t>5100/002</t>
        </is>
      </c>
      <c r="E13089" s="3" t="inlineStr">
        <is>
          <t>Share Capital - Zak Trust</t>
        </is>
      </c>
      <c r="F13089" s="3" t="n">
        <v>0</v>
      </c>
      <c r="G13089" s="3" t="n">
        <v>-60</v>
      </c>
    </row>
    <row r="13090">
      <c r="A13090" s="3" t="inlineStr">
        <is>
          <t>Opportunity Global Investment (PTY) LTD</t>
        </is>
      </c>
      <c r="B13090" s="4" t="n">
        <v>44985</v>
      </c>
      <c r="C13090" s="3" t="inlineStr">
        <is>
          <t>Equity</t>
        </is>
      </c>
      <c r="D13090" s="3" t="inlineStr">
        <is>
          <t>5101/000</t>
        </is>
      </c>
      <c r="E13090" s="3" t="inlineStr">
        <is>
          <t>Share Capital - Ordinary Type A</t>
        </is>
      </c>
      <c r="F13090" s="3" t="n">
        <v>0</v>
      </c>
      <c r="G13090" s="3" t="n">
        <v>-70</v>
      </c>
    </row>
    <row r="13091">
      <c r="A13091" s="3" t="inlineStr">
        <is>
          <t>Opportunity Global Investment (PTY) LTD</t>
        </is>
      </c>
      <c r="B13091" s="4" t="n">
        <v>44985</v>
      </c>
      <c r="C13091" s="3" t="inlineStr">
        <is>
          <t>Equity</t>
        </is>
      </c>
      <c r="D13091" s="3" t="inlineStr">
        <is>
          <t>5102/000</t>
        </is>
      </c>
      <c r="E13091" s="3" t="inlineStr">
        <is>
          <t>Share Capital - Ordinary Type B</t>
        </is>
      </c>
      <c r="F13091" s="3" t="n">
        <v>0</v>
      </c>
      <c r="G13091" s="3" t="n">
        <v>-30</v>
      </c>
    </row>
    <row r="13092">
      <c r="A13092" s="3" t="inlineStr">
        <is>
          <t>Endulini (Pty) Ltd</t>
        </is>
      </c>
      <c r="B13092" s="4" t="n">
        <v>44985</v>
      </c>
      <c r="C13092" s="3" t="inlineStr">
        <is>
          <t>Equity</t>
        </is>
      </c>
      <c r="D13092" s="3" t="inlineStr">
        <is>
          <t>5200/000</t>
        </is>
      </c>
      <c r="E13092" s="3" t="inlineStr">
        <is>
          <t>Retained Earnings / Loss</t>
        </is>
      </c>
      <c r="F13092" s="3" t="n">
        <v>0</v>
      </c>
      <c r="G13092" s="3" t="n">
        <v>-4937860.07</v>
      </c>
    </row>
    <row r="13093">
      <c r="A13093" s="3" t="inlineStr">
        <is>
          <t>Noble Shield (Pty) Ltd ta Go Letting</t>
        </is>
      </c>
      <c r="B13093" s="4" t="n">
        <v>44985</v>
      </c>
      <c r="C13093" s="3" t="inlineStr">
        <is>
          <t>Equity</t>
        </is>
      </c>
      <c r="D13093" s="3" t="inlineStr">
        <is>
          <t>5200/000</t>
        </is>
      </c>
      <c r="E13093" s="3" t="inlineStr">
        <is>
          <t>Retained Earnings / Loss</t>
        </is>
      </c>
      <c r="F13093" s="3" t="n">
        <v>0</v>
      </c>
      <c r="G13093" s="3" t="n">
        <v>-64792.67</v>
      </c>
    </row>
    <row r="13094">
      <c r="A13094" s="3" t="inlineStr">
        <is>
          <t>Opportunity Global Investment (PTY) LTD</t>
        </is>
      </c>
      <c r="B13094" s="4" t="n">
        <v>44985</v>
      </c>
      <c r="C13094" s="3" t="inlineStr">
        <is>
          <t>Equity</t>
        </is>
      </c>
      <c r="D13094" s="3" t="inlineStr">
        <is>
          <t>5200/000</t>
        </is>
      </c>
      <c r="E13094" s="3" t="inlineStr">
        <is>
          <t>Retained Earnings / Loss</t>
        </is>
      </c>
      <c r="F13094" s="3" t="n">
        <v>0</v>
      </c>
      <c r="G13094" s="3" t="n">
        <v>465853.58</v>
      </c>
    </row>
    <row r="13095">
      <c r="A13095" s="3" t="inlineStr">
        <is>
          <t>Opportunity Global Sales (PTY) LTD</t>
        </is>
      </c>
      <c r="B13095" s="4" t="n">
        <v>44985</v>
      </c>
      <c r="C13095" s="3" t="inlineStr">
        <is>
          <t>Equity</t>
        </is>
      </c>
      <c r="D13095" s="3" t="inlineStr">
        <is>
          <t>5200/000</t>
        </is>
      </c>
      <c r="E13095" s="3" t="inlineStr">
        <is>
          <t>Retained Earnings / Loss</t>
        </is>
      </c>
      <c r="F13095" s="3" t="n">
        <v>0</v>
      </c>
      <c r="G13095" s="3" t="n">
        <v>-565683.55</v>
      </c>
    </row>
    <row r="13096">
      <c r="A13096" s="3" t="inlineStr">
        <is>
          <t>Opportunity Management Holdings (PTY) LTD</t>
        </is>
      </c>
      <c r="B13096" s="4" t="n">
        <v>44985</v>
      </c>
      <c r="C13096" s="3" t="inlineStr">
        <is>
          <t>Equity</t>
        </is>
      </c>
      <c r="D13096" s="3" t="inlineStr">
        <is>
          <t>5200/000</t>
        </is>
      </c>
      <c r="E13096" s="3" t="inlineStr">
        <is>
          <t>Retained Earnings / Loss</t>
        </is>
      </c>
      <c r="F13096" s="3" t="n">
        <v>0</v>
      </c>
      <c r="G13096" s="3" t="n">
        <v>1230800.76</v>
      </c>
    </row>
    <row r="13097">
      <c r="A13097" s="3" t="inlineStr">
        <is>
          <t>Quinate Consulting (Pty) Ltd</t>
        </is>
      </c>
      <c r="B13097" s="4" t="n">
        <v>44985</v>
      </c>
      <c r="C13097" s="3" t="inlineStr">
        <is>
          <t>Equity</t>
        </is>
      </c>
      <c r="D13097" s="3" t="inlineStr">
        <is>
          <t>5200/000</t>
        </is>
      </c>
      <c r="E13097" s="3" t="inlineStr">
        <is>
          <t>Retained Earnings / Loss</t>
        </is>
      </c>
      <c r="F13097" s="3" t="n">
        <v>0</v>
      </c>
      <c r="G13097" s="3" t="n">
        <v>571333.3</v>
      </c>
    </row>
    <row r="13098">
      <c r="A13098" s="3" t="inlineStr">
        <is>
          <t>Trademark Holdings (Pty) Ltd</t>
        </is>
      </c>
      <c r="B13098" s="4" t="n">
        <v>44985</v>
      </c>
      <c r="C13098" s="3" t="inlineStr">
        <is>
          <t>Equity</t>
        </is>
      </c>
      <c r="D13098" s="3" t="inlineStr">
        <is>
          <t>5200/000</t>
        </is>
      </c>
      <c r="E13098" s="3" t="inlineStr">
        <is>
          <t>Retained Earnings / Loss</t>
        </is>
      </c>
      <c r="F13098" s="3" t="n">
        <v>0</v>
      </c>
      <c r="G13098" s="3" t="n">
        <v>-155356.41</v>
      </c>
    </row>
    <row r="13099">
      <c r="A13099" s="3" t="inlineStr">
        <is>
          <t>Quinate Consulting (Pty) Ltd</t>
        </is>
      </c>
      <c r="B13099" s="4" t="n">
        <v>44985</v>
      </c>
      <c r="C13099" s="3" t="inlineStr">
        <is>
          <t>Assets</t>
        </is>
      </c>
      <c r="D13099" s="3" t="inlineStr">
        <is>
          <t>5400/011</t>
        </is>
      </c>
      <c r="E13099" s="3" t="inlineStr">
        <is>
          <t>Members Loan - Nick Morgan</t>
        </is>
      </c>
      <c r="F13099" s="3" t="n">
        <v>0</v>
      </c>
      <c r="G13099" s="3" t="n">
        <v>-85743.69</v>
      </c>
    </row>
    <row r="13100">
      <c r="A13100" s="3" t="inlineStr">
        <is>
          <t>Opportunity Management Holdings (PTY) LTD</t>
        </is>
      </c>
      <c r="B13100" s="4" t="n">
        <v>44985</v>
      </c>
      <c r="C13100" s="3" t="inlineStr">
        <is>
          <t>Assets</t>
        </is>
      </c>
      <c r="D13100" s="3" t="inlineStr">
        <is>
          <t>5400/500</t>
        </is>
      </c>
      <c r="E13100" s="3" t="inlineStr">
        <is>
          <t>Shareholder - Zak Loan</t>
        </is>
      </c>
      <c r="F13100" s="3" t="n">
        <v>0</v>
      </c>
      <c r="G13100" s="3" t="n">
        <v>-171798.21</v>
      </c>
    </row>
    <row r="13101">
      <c r="A13101" s="3" t="inlineStr">
        <is>
          <t>Quinate Consulting (Pty) Ltd</t>
        </is>
      </c>
      <c r="B13101" s="4" t="n">
        <v>44985</v>
      </c>
      <c r="C13101" s="3" t="inlineStr">
        <is>
          <t>Liabilities</t>
        </is>
      </c>
      <c r="D13101" s="3" t="inlineStr">
        <is>
          <t>5500/010</t>
        </is>
      </c>
      <c r="E13101" s="3" t="inlineStr">
        <is>
          <t>Loan - Wynand Haywood</t>
        </is>
      </c>
      <c r="F13101" s="3" t="n">
        <v>0</v>
      </c>
      <c r="G13101" s="3" t="n">
        <v>1928.67</v>
      </c>
    </row>
    <row r="13102">
      <c r="A13102" s="3" t="inlineStr">
        <is>
          <t>Quinate Consulting (Pty) Ltd</t>
        </is>
      </c>
      <c r="B13102" s="4" t="n">
        <v>44985</v>
      </c>
      <c r="C13102" s="3" t="inlineStr">
        <is>
          <t>Liabilities</t>
        </is>
      </c>
      <c r="D13102" s="3" t="inlineStr">
        <is>
          <t>5500/030</t>
        </is>
      </c>
      <c r="E13102" s="3" t="inlineStr">
        <is>
          <t>Loan - Heron Projects</t>
        </is>
      </c>
      <c r="F13102" s="3" t="n">
        <v>-4000</v>
      </c>
      <c r="G13102" s="3" t="n">
        <v>0</v>
      </c>
    </row>
    <row r="13103">
      <c r="A13103" s="3" t="inlineStr">
        <is>
          <t>Opportunity Global Investment (PTY) LTD</t>
        </is>
      </c>
      <c r="B13103" s="4" t="n">
        <v>44985</v>
      </c>
      <c r="C13103" s="3" t="inlineStr">
        <is>
          <t>Liabilities</t>
        </is>
      </c>
      <c r="D13103" s="3" t="inlineStr">
        <is>
          <t>5500/100</t>
        </is>
      </c>
      <c r="E13103" s="3" t="inlineStr">
        <is>
          <t>Loan - Cape Projects Construction</t>
        </is>
      </c>
      <c r="F13103" s="3" t="n">
        <v>90000</v>
      </c>
      <c r="G13103" s="3" t="n">
        <v>361000</v>
      </c>
    </row>
    <row r="13104">
      <c r="A13104" s="3" t="inlineStr">
        <is>
          <t>Noble Shield (Pty) Ltd ta Go Letting</t>
        </is>
      </c>
      <c r="B13104" s="4" t="n">
        <v>44985</v>
      </c>
      <c r="C13104" s="3" t="inlineStr">
        <is>
          <t>Liabilities</t>
        </is>
      </c>
      <c r="D13104" s="3" t="inlineStr">
        <is>
          <t>5500/100</t>
        </is>
      </c>
      <c r="E13104" s="3" t="inlineStr">
        <is>
          <t>Loan - Jupiter Trust</t>
        </is>
      </c>
      <c r="F13104" s="3" t="n">
        <v>0</v>
      </c>
      <c r="G13104" s="3" t="n">
        <v>-100228.75</v>
      </c>
    </row>
    <row r="13105">
      <c r="A13105" s="3" t="inlineStr">
        <is>
          <t>Endulini (Pty) Ltd</t>
        </is>
      </c>
      <c r="B13105" s="4" t="n">
        <v>44985</v>
      </c>
      <c r="C13105" s="3" t="inlineStr">
        <is>
          <t>Liabilities</t>
        </is>
      </c>
      <c r="D13105" s="3" t="inlineStr">
        <is>
          <t>5500/100</t>
        </is>
      </c>
      <c r="E13105" s="3" t="inlineStr">
        <is>
          <t>Loan - Quinate Consulting</t>
        </is>
      </c>
      <c r="F13105" s="3" t="n">
        <v>-17400</v>
      </c>
      <c r="G13105" s="3" t="n">
        <v>-9425149.1</v>
      </c>
    </row>
    <row r="13106">
      <c r="A13106" s="3" t="inlineStr">
        <is>
          <t>Opportunity Global Investment (PTY) LTD</t>
        </is>
      </c>
      <c r="B13106" s="4" t="n">
        <v>44985</v>
      </c>
      <c r="C13106" s="3" t="inlineStr">
        <is>
          <t>Liabilities</t>
        </is>
      </c>
      <c r="D13106" s="3" t="inlineStr">
        <is>
          <t>5500/112</t>
        </is>
      </c>
      <c r="E13106" s="3" t="inlineStr">
        <is>
          <t>Loan - GFY</t>
        </is>
      </c>
      <c r="F13106" s="3" t="n">
        <v>-105000</v>
      </c>
      <c r="G13106" s="3" t="n">
        <v>-249500</v>
      </c>
    </row>
    <row r="13107">
      <c r="A13107" s="3" t="inlineStr">
        <is>
          <t>Endulini (Pty) Ltd</t>
        </is>
      </c>
      <c r="B13107" s="4" t="n">
        <v>44985</v>
      </c>
      <c r="C13107" s="3" t="inlineStr">
        <is>
          <t>Liabilities</t>
        </is>
      </c>
      <c r="D13107" s="3" t="inlineStr">
        <is>
          <t>5500/150</t>
        </is>
      </c>
      <c r="E13107" s="3" t="inlineStr">
        <is>
          <t>Loan - Cape Projects Construction</t>
        </is>
      </c>
      <c r="F13107" s="3" t="n">
        <v>140000</v>
      </c>
      <c r="G13107" s="3" t="n">
        <v>-5919000</v>
      </c>
    </row>
    <row r="13108">
      <c r="A13108" s="3" t="inlineStr">
        <is>
          <t>Quinate Consulting (Pty) Ltd</t>
        </is>
      </c>
      <c r="B13108" s="4" t="n">
        <v>44985</v>
      </c>
      <c r="C13108" s="3" t="inlineStr">
        <is>
          <t>Liabilities</t>
        </is>
      </c>
      <c r="D13108" s="3" t="inlineStr">
        <is>
          <t>5500/160</t>
        </is>
      </c>
      <c r="E13108" s="3" t="inlineStr">
        <is>
          <t>Loan - GFY Investment and Consulting</t>
        </is>
      </c>
      <c r="F13108" s="3" t="n">
        <v>0</v>
      </c>
      <c r="G13108" s="3" t="n">
        <v>-1750249.93</v>
      </c>
    </row>
    <row r="13109">
      <c r="A13109" s="3" t="inlineStr">
        <is>
          <t>Opportunity Management Holdings (PTY) LTD</t>
        </is>
      </c>
      <c r="B13109" s="4" t="n">
        <v>44985</v>
      </c>
      <c r="C13109" s="3" t="inlineStr">
        <is>
          <t>Liabilities</t>
        </is>
      </c>
      <c r="D13109" s="3" t="inlineStr">
        <is>
          <t>5500/200</t>
        </is>
      </c>
      <c r="E13109" s="3" t="inlineStr">
        <is>
          <t>Loan - Cape Projects</t>
        </is>
      </c>
      <c r="F13109" s="3" t="n">
        <v>0</v>
      </c>
      <c r="G13109" s="3" t="n">
        <v>120000</v>
      </c>
    </row>
    <row r="13110">
      <c r="A13110" s="3" t="inlineStr">
        <is>
          <t>Trademark Holdings (Pty) Ltd</t>
        </is>
      </c>
      <c r="B13110" s="4" t="n">
        <v>44985</v>
      </c>
      <c r="C13110" s="3" t="inlineStr">
        <is>
          <t>Liabilities</t>
        </is>
      </c>
      <c r="D13110" s="3" t="inlineStr">
        <is>
          <t>5500/250</t>
        </is>
      </c>
      <c r="E13110" s="3" t="inlineStr">
        <is>
          <t>Loan - Noble Shield</t>
        </is>
      </c>
      <c r="F13110" s="3" t="n">
        <v>25000</v>
      </c>
      <c r="G13110" s="3" t="n">
        <v>133165.59</v>
      </c>
    </row>
    <row r="13111">
      <c r="A13111" s="3" t="inlineStr">
        <is>
          <t>Quinate Consulting (Pty) Ltd</t>
        </is>
      </c>
      <c r="B13111" s="4" t="n">
        <v>44985</v>
      </c>
      <c r="C13111" s="3" t="inlineStr">
        <is>
          <t>Liabilities</t>
        </is>
      </c>
      <c r="D13111" s="3" t="inlineStr">
        <is>
          <t>5500/300</t>
        </is>
      </c>
      <c r="E13111" s="3" t="inlineStr">
        <is>
          <t>Loan - Gengis</t>
        </is>
      </c>
      <c r="F13111" s="3" t="n">
        <v>-23898.06</v>
      </c>
      <c r="G13111" s="3" t="n">
        <v>-305383.01</v>
      </c>
    </row>
    <row r="13112">
      <c r="A13112" s="3" t="inlineStr">
        <is>
          <t>Opportunity Management Holdings (PTY) LTD</t>
        </is>
      </c>
      <c r="B13112" s="4" t="n">
        <v>44985</v>
      </c>
      <c r="C13112" s="3" t="inlineStr">
        <is>
          <t>Liabilities</t>
        </is>
      </c>
      <c r="D13112" s="3" t="inlineStr">
        <is>
          <t>5500/300</t>
        </is>
      </c>
      <c r="E13112" s="3" t="inlineStr">
        <is>
          <t>Loan - Opportunity Prop Management</t>
        </is>
      </c>
      <c r="F13112" s="3" t="n">
        <v>0</v>
      </c>
      <c r="G13112" s="3" t="n">
        <v>-1220204.15</v>
      </c>
    </row>
    <row r="13113">
      <c r="A13113" s="3" t="inlineStr">
        <is>
          <t>Noble Shield (Pty) Ltd ta Go Letting</t>
        </is>
      </c>
      <c r="B13113" s="4" t="n">
        <v>44985</v>
      </c>
      <c r="C13113" s="3" t="inlineStr">
        <is>
          <t>Liabilities</t>
        </is>
      </c>
      <c r="D13113" s="3" t="inlineStr">
        <is>
          <t>5500/300</t>
        </is>
      </c>
      <c r="E13113" s="3" t="inlineStr">
        <is>
          <t>Loan - Trademark Holdings</t>
        </is>
      </c>
      <c r="F13113" s="3" t="n">
        <v>-25000</v>
      </c>
      <c r="G13113" s="3" t="n">
        <v>-133165.59</v>
      </c>
    </row>
    <row r="13114">
      <c r="A13114" s="3" t="inlineStr">
        <is>
          <t>Trademark Holdings (Pty) Ltd</t>
        </is>
      </c>
      <c r="B13114" s="4" t="n">
        <v>44985</v>
      </c>
      <c r="C13114" s="3" t="inlineStr">
        <is>
          <t>Liabilities</t>
        </is>
      </c>
      <c r="D13114" s="3" t="inlineStr">
        <is>
          <t>5500/375</t>
        </is>
      </c>
      <c r="E13114" s="3" t="inlineStr">
        <is>
          <t>Loan - Opportunity Management Holdings Pty Ltd</t>
        </is>
      </c>
      <c r="F13114" s="3" t="n">
        <v>0</v>
      </c>
      <c r="G13114" s="3" t="n">
        <v>19000</v>
      </c>
    </row>
    <row r="13115">
      <c r="A13115" s="3" t="inlineStr">
        <is>
          <t>Trademark Holdings (Pty) Ltd</t>
        </is>
      </c>
      <c r="B13115" s="4" t="n">
        <v>44985</v>
      </c>
      <c r="C13115" s="3" t="inlineStr">
        <is>
          <t>Liabilities</t>
        </is>
      </c>
      <c r="D13115" s="3" t="inlineStr">
        <is>
          <t>5500/450</t>
        </is>
      </c>
      <c r="E13115" s="3" t="inlineStr">
        <is>
          <t>Loan - Cape Projects Construction</t>
        </is>
      </c>
      <c r="F13115" s="3" t="n">
        <v>1200</v>
      </c>
      <c r="G13115" s="3" t="n">
        <v>0</v>
      </c>
    </row>
    <row r="13116">
      <c r="A13116" s="3" t="inlineStr">
        <is>
          <t>Trademark Holdings (Pty) Ltd</t>
        </is>
      </c>
      <c r="B13116" s="4" t="n">
        <v>44985</v>
      </c>
      <c r="C13116" s="3" t="inlineStr">
        <is>
          <t>Liabilities</t>
        </is>
      </c>
      <c r="D13116" s="3" t="inlineStr">
        <is>
          <t>5500/500</t>
        </is>
      </c>
      <c r="E13116" s="3" t="inlineStr">
        <is>
          <t>Go Letting Brand Name</t>
        </is>
      </c>
      <c r="F13116" s="3" t="n">
        <v>0</v>
      </c>
      <c r="G13116" s="3" t="n">
        <v>93420</v>
      </c>
    </row>
    <row r="13117">
      <c r="A13117" s="3" t="inlineStr">
        <is>
          <t>Noble Shield (Pty) Ltd ta Go Letting</t>
        </is>
      </c>
      <c r="B13117" s="4" t="n">
        <v>44985</v>
      </c>
      <c r="C13117" s="3" t="inlineStr">
        <is>
          <t>Liabilities</t>
        </is>
      </c>
      <c r="D13117" s="3" t="inlineStr">
        <is>
          <t>5500/500</t>
        </is>
      </c>
      <c r="E13117" s="3" t="inlineStr">
        <is>
          <t>Loan - Cape Projects Construction</t>
        </is>
      </c>
      <c r="F13117" s="3" t="n">
        <v>1200</v>
      </c>
      <c r="G13117" s="3" t="n">
        <v>0</v>
      </c>
    </row>
    <row r="13118">
      <c r="A13118" s="3" t="inlineStr">
        <is>
          <t>Quinate Consulting (Pty) Ltd</t>
        </is>
      </c>
      <c r="B13118" s="4" t="n">
        <v>44985</v>
      </c>
      <c r="C13118" s="3" t="inlineStr">
        <is>
          <t>Liabilities</t>
        </is>
      </c>
      <c r="D13118" s="3" t="inlineStr">
        <is>
          <t>5500/500</t>
        </is>
      </c>
      <c r="E13118" s="3" t="inlineStr">
        <is>
          <t>Loan - Opportunity Development Struct.</t>
        </is>
      </c>
      <c r="F13118" s="3" t="n">
        <v>0</v>
      </c>
      <c r="G13118" s="3" t="n">
        <v>-2380000</v>
      </c>
    </row>
    <row r="13119">
      <c r="A13119" s="3" t="inlineStr">
        <is>
          <t>Opportunity Management Holdings (PTY) LTD</t>
        </is>
      </c>
      <c r="B13119" s="4" t="n">
        <v>44985</v>
      </c>
      <c r="C13119" s="3" t="inlineStr">
        <is>
          <t>Liabilities</t>
        </is>
      </c>
      <c r="D13119" s="3" t="inlineStr">
        <is>
          <t>5500/500</t>
        </is>
      </c>
      <c r="E13119" s="3" t="inlineStr">
        <is>
          <t>Loan - Opportunity Tradermark Holdings</t>
        </is>
      </c>
      <c r="F13119" s="3" t="n">
        <v>0</v>
      </c>
      <c r="G13119" s="3" t="n">
        <v>-19000</v>
      </c>
    </row>
    <row r="13120">
      <c r="A13120" s="3" t="inlineStr">
        <is>
          <t>Quinate Consulting (Pty) Ltd</t>
        </is>
      </c>
      <c r="B13120" s="4" t="n">
        <v>44985</v>
      </c>
      <c r="C13120" s="3" t="inlineStr">
        <is>
          <t>Liabilities</t>
        </is>
      </c>
      <c r="D13120" s="3" t="inlineStr">
        <is>
          <t>5500/520</t>
        </is>
      </c>
      <c r="E13120" s="3" t="inlineStr">
        <is>
          <t>Loan - Opportunity Management Holdings</t>
        </is>
      </c>
      <c r="F13120" s="3" t="n">
        <v>0</v>
      </c>
      <c r="G13120" s="3" t="n">
        <v>-3900</v>
      </c>
    </row>
    <row r="13121">
      <c r="A13121" s="3" t="inlineStr">
        <is>
          <t>Opportunity Management Holdings (PTY) LTD</t>
        </is>
      </c>
      <c r="B13121" s="4" t="n">
        <v>44985</v>
      </c>
      <c r="C13121" s="3" t="inlineStr">
        <is>
          <t>Liabilities</t>
        </is>
      </c>
      <c r="D13121" s="3" t="inlineStr">
        <is>
          <t>5500/550</t>
        </is>
      </c>
      <c r="E13121" s="3" t="inlineStr">
        <is>
          <t>Loan - Heron Projects</t>
        </is>
      </c>
      <c r="F13121" s="3" t="n">
        <v>2000</v>
      </c>
      <c r="G13121" s="3" t="n">
        <v>-23000</v>
      </c>
    </row>
    <row r="13122">
      <c r="A13122" s="3" t="inlineStr">
        <is>
          <t>Noble Shield (Pty) Ltd ta Go Letting</t>
        </is>
      </c>
      <c r="B13122" s="4" t="n">
        <v>44985</v>
      </c>
      <c r="C13122" s="3" t="inlineStr">
        <is>
          <t>Liabilities</t>
        </is>
      </c>
      <c r="D13122" s="3" t="inlineStr">
        <is>
          <t>5500/600</t>
        </is>
      </c>
      <c r="E13122" s="3" t="inlineStr">
        <is>
          <t>Loan - Heron Projects</t>
        </is>
      </c>
      <c r="F13122" s="3" t="n">
        <v>20898.22</v>
      </c>
      <c r="G13122" s="3" t="n">
        <v>20898.22</v>
      </c>
    </row>
    <row r="13123">
      <c r="A13123" s="3" t="inlineStr">
        <is>
          <t>Opportunity Global Investment (PTY) LTD</t>
        </is>
      </c>
      <c r="B13123" s="4" t="n">
        <v>44985</v>
      </c>
      <c r="C13123" s="3" t="inlineStr">
        <is>
          <t>Liabilities</t>
        </is>
      </c>
      <c r="D13123" s="3" t="inlineStr">
        <is>
          <t>5500/650</t>
        </is>
      </c>
      <c r="E13123" s="3" t="inlineStr">
        <is>
          <t>Loan - Opportunit Global - Sales</t>
        </is>
      </c>
      <c r="F13123" s="3" t="n">
        <v>-177664.32</v>
      </c>
      <c r="G13123" s="3" t="n">
        <v>-2348681.14</v>
      </c>
    </row>
    <row r="13124">
      <c r="A13124" s="3" t="inlineStr">
        <is>
          <t>Opportunity Global Sales (PTY) LTD</t>
        </is>
      </c>
      <c r="B13124" s="4" t="n">
        <v>44985</v>
      </c>
      <c r="C13124" s="3" t="inlineStr">
        <is>
          <t>Liabilities</t>
        </is>
      </c>
      <c r="D13124" s="3" t="inlineStr">
        <is>
          <t>5500/650</t>
        </is>
      </c>
      <c r="E13124" s="3" t="inlineStr">
        <is>
          <t>Loan - Opportunity Investments</t>
        </is>
      </c>
      <c r="F13124" s="3" t="n">
        <v>177664.32</v>
      </c>
      <c r="G13124" s="3" t="n">
        <v>2348681.14</v>
      </c>
    </row>
    <row r="13125">
      <c r="A13125" s="3" t="inlineStr">
        <is>
          <t>Opportunity Management Holdings (PTY) LTD</t>
        </is>
      </c>
      <c r="B13125" s="4" t="n">
        <v>44985</v>
      </c>
      <c r="C13125" s="3" t="inlineStr">
        <is>
          <t>Liabilities</t>
        </is>
      </c>
      <c r="D13125" s="3" t="inlineStr">
        <is>
          <t>5500/700</t>
        </is>
      </c>
      <c r="E13125" s="3" t="inlineStr">
        <is>
          <t>Loan - Go Letting</t>
        </is>
      </c>
      <c r="F13125" s="3" t="n">
        <v>0</v>
      </c>
      <c r="G13125" s="3" t="n">
        <v>-120</v>
      </c>
    </row>
    <row r="13126">
      <c r="A13126" s="3" t="inlineStr">
        <is>
          <t>Opportunity Global Investment (PTY) LTD</t>
        </is>
      </c>
      <c r="B13126" s="4" t="n">
        <v>44985</v>
      </c>
      <c r="C13126" s="3" t="inlineStr">
        <is>
          <t>Liabilities</t>
        </is>
      </c>
      <c r="D13126" s="3" t="inlineStr">
        <is>
          <t>5500/750</t>
        </is>
      </c>
      <c r="E13126" s="3" t="inlineStr">
        <is>
          <t>Loan - Heron Projects</t>
        </is>
      </c>
      <c r="F13126" s="3" t="n">
        <v>-171000</v>
      </c>
      <c r="G13126" s="3" t="n">
        <v>-548000</v>
      </c>
    </row>
    <row r="13127">
      <c r="A13127" s="3" t="inlineStr">
        <is>
          <t>Opportunity Global Investment (PTY) LTD</t>
        </is>
      </c>
      <c r="B13127" s="4" t="n">
        <v>44985</v>
      </c>
      <c r="C13127" s="3" t="inlineStr">
        <is>
          <t>Liabilities</t>
        </is>
      </c>
      <c r="D13127" s="3" t="inlineStr">
        <is>
          <t>5500/850</t>
        </is>
      </c>
      <c r="E13127" s="3" t="inlineStr">
        <is>
          <t>Loan - Nick Morgan</t>
        </is>
      </c>
      <c r="F13127" s="3" t="n">
        <v>0</v>
      </c>
      <c r="G13127" s="3" t="n">
        <v>6200</v>
      </c>
    </row>
    <row r="13128">
      <c r="A13128" s="3" t="inlineStr">
        <is>
          <t>Opportunity Global Investment (PTY) LTD</t>
        </is>
      </c>
      <c r="B13128" s="4" t="n">
        <v>44985</v>
      </c>
      <c r="C13128" s="3" t="inlineStr">
        <is>
          <t>Liabilities</t>
        </is>
      </c>
      <c r="D13128" s="3" t="inlineStr">
        <is>
          <t>5500/950</t>
        </is>
      </c>
      <c r="E13128" s="3" t="inlineStr">
        <is>
          <t>Loan - Gengis</t>
        </is>
      </c>
      <c r="F13128" s="3" t="n">
        <v>-45000</v>
      </c>
      <c r="G13128" s="3" t="n">
        <v>-107050</v>
      </c>
    </row>
    <row r="13129">
      <c r="A13129" s="3" t="inlineStr">
        <is>
          <t>Quinate Consulting (Pty) Ltd</t>
        </is>
      </c>
      <c r="B13129" s="4" t="n">
        <v>44985</v>
      </c>
      <c r="C13129" s="3" t="inlineStr">
        <is>
          <t>Liabilities</t>
        </is>
      </c>
      <c r="D13129" s="3" t="inlineStr">
        <is>
          <t>5501/001</t>
        </is>
      </c>
      <c r="E13129" s="3" t="inlineStr">
        <is>
          <t>Loan - Endulini CIP Costs</t>
        </is>
      </c>
      <c r="F13129" s="3" t="n">
        <v>131787.4</v>
      </c>
      <c r="G13129" s="3" t="n">
        <v>9425149.1</v>
      </c>
    </row>
    <row r="13130">
      <c r="A13130" s="3" t="inlineStr">
        <is>
          <t>Opportunity Management Holdings (PTY) LTD</t>
        </is>
      </c>
      <c r="B13130" s="4" t="n">
        <v>44985</v>
      </c>
      <c r="C13130" s="3" t="inlineStr">
        <is>
          <t>Liabilities</t>
        </is>
      </c>
      <c r="D13130" s="3" t="inlineStr">
        <is>
          <t>5510/100</t>
        </is>
      </c>
      <c r="E13130" s="3" t="inlineStr">
        <is>
          <t>Staff loan - Debbie Landsberg</t>
        </is>
      </c>
      <c r="F13130" s="3" t="n">
        <v>200</v>
      </c>
      <c r="G13130" s="3" t="n">
        <v>5100</v>
      </c>
    </row>
    <row r="13131">
      <c r="A13131" s="3" t="inlineStr">
        <is>
          <t>Noble Shield (Pty) Ltd ta Go Letting</t>
        </is>
      </c>
      <c r="B13131" s="4" t="n">
        <v>44985</v>
      </c>
      <c r="C13131" s="3" t="inlineStr">
        <is>
          <t>Assets</t>
        </is>
      </c>
      <c r="D13131" s="3" t="inlineStr">
        <is>
          <t>6250/010</t>
        </is>
      </c>
      <c r="E13131" s="3" t="inlineStr">
        <is>
          <t>Computer Equipment - @ Cost</t>
        </is>
      </c>
      <c r="F13131" s="3" t="n">
        <v>0</v>
      </c>
      <c r="G13131" s="3" t="n">
        <v>20397</v>
      </c>
    </row>
    <row r="13132">
      <c r="A13132" s="3" t="inlineStr">
        <is>
          <t>Opportunity Global Investment (PTY) LTD</t>
        </is>
      </c>
      <c r="B13132" s="4" t="n">
        <v>44985</v>
      </c>
      <c r="C13132" s="3" t="inlineStr">
        <is>
          <t>Assets</t>
        </is>
      </c>
      <c r="D13132" s="3" t="inlineStr">
        <is>
          <t>6250/010</t>
        </is>
      </c>
      <c r="E13132" s="3" t="inlineStr">
        <is>
          <t>Computer Equipment - @ Cost</t>
        </is>
      </c>
      <c r="F13132" s="3" t="n">
        <v>0</v>
      </c>
      <c r="G13132" s="3" t="n">
        <v>31683.04</v>
      </c>
    </row>
    <row r="13133">
      <c r="A13133" s="3" t="inlineStr">
        <is>
          <t>Opportunity Management Holdings (PTY) LTD</t>
        </is>
      </c>
      <c r="B13133" s="4" t="n">
        <v>44985</v>
      </c>
      <c r="C13133" s="3" t="inlineStr">
        <is>
          <t>Assets</t>
        </is>
      </c>
      <c r="D13133" s="3" t="inlineStr">
        <is>
          <t>6250/010</t>
        </is>
      </c>
      <c r="E13133" s="3" t="inlineStr">
        <is>
          <t>Computer Equipment - @ Cost</t>
        </is>
      </c>
      <c r="F13133" s="3" t="n">
        <v>13200</v>
      </c>
      <c r="G13133" s="3" t="n">
        <v>52177.85</v>
      </c>
    </row>
    <row r="13134">
      <c r="A13134" s="3" t="inlineStr">
        <is>
          <t>Quinate Consulting (Pty) Ltd</t>
        </is>
      </c>
      <c r="B13134" s="4" t="n">
        <v>44985</v>
      </c>
      <c r="C13134" s="3" t="inlineStr">
        <is>
          <t>Assets</t>
        </is>
      </c>
      <c r="D13134" s="3" t="inlineStr">
        <is>
          <t>6250/010</t>
        </is>
      </c>
      <c r="E13134" s="3" t="inlineStr">
        <is>
          <t>Computer Equipment - @ Cost</t>
        </is>
      </c>
      <c r="F13134" s="3" t="n">
        <v>0</v>
      </c>
      <c r="G13134" s="3" t="n">
        <v>137059.7</v>
      </c>
    </row>
    <row r="13135">
      <c r="A13135" s="3" t="inlineStr">
        <is>
          <t>Noble Shield (Pty) Ltd ta Go Letting</t>
        </is>
      </c>
      <c r="B13135" s="4" t="n">
        <v>44985</v>
      </c>
      <c r="C13135" s="3" t="inlineStr">
        <is>
          <t>Assets</t>
        </is>
      </c>
      <c r="D13135" s="3" t="inlineStr">
        <is>
          <t>6250/020</t>
        </is>
      </c>
      <c r="E13135" s="3" t="inlineStr">
        <is>
          <t>Computer Equipment - Accum Depre</t>
        </is>
      </c>
      <c r="F13135" s="3" t="n">
        <v>0</v>
      </c>
      <c r="G13135" s="3" t="n">
        <v>-12040.89</v>
      </c>
    </row>
    <row r="13136">
      <c r="A13136" s="3" t="inlineStr">
        <is>
          <t>Opportunity Global Investment (PTY) LTD</t>
        </is>
      </c>
      <c r="B13136" s="4" t="n">
        <v>44985</v>
      </c>
      <c r="C13136" s="3" t="inlineStr">
        <is>
          <t>Assets</t>
        </is>
      </c>
      <c r="D13136" s="3" t="inlineStr">
        <is>
          <t>6250/020</t>
        </is>
      </c>
      <c r="E13136" s="3" t="inlineStr">
        <is>
          <t>Computer Equipment - Accum Depre</t>
        </is>
      </c>
      <c r="F13136" s="3" t="n">
        <v>-880.08</v>
      </c>
      <c r="G13136" s="3" t="n">
        <v>-1760.16</v>
      </c>
    </row>
    <row r="13137">
      <c r="A13137" s="3" t="inlineStr">
        <is>
          <t>Opportunity Management Holdings (PTY) LTD</t>
        </is>
      </c>
      <c r="B13137" s="4" t="n">
        <v>44985</v>
      </c>
      <c r="C13137" s="3" t="inlineStr">
        <is>
          <t>Assets</t>
        </is>
      </c>
      <c r="D13137" s="3" t="inlineStr">
        <is>
          <t>6250/020</t>
        </is>
      </c>
      <c r="E13137" s="3" t="inlineStr">
        <is>
          <t>Computer Equipment - Accum Depre</t>
        </is>
      </c>
      <c r="F13137" s="3" t="n">
        <v>-1035.18</v>
      </c>
      <c r="G13137" s="3" t="n">
        <v>-5609.2</v>
      </c>
    </row>
    <row r="13138">
      <c r="A13138" s="3" t="inlineStr">
        <is>
          <t>Quinate Consulting (Pty) Ltd</t>
        </is>
      </c>
      <c r="B13138" s="4" t="n">
        <v>44985</v>
      </c>
      <c r="C13138" s="3" t="inlineStr">
        <is>
          <t>Assets</t>
        </is>
      </c>
      <c r="D13138" s="3" t="inlineStr">
        <is>
          <t>6250/020</t>
        </is>
      </c>
      <c r="E13138" s="3" t="inlineStr">
        <is>
          <t>Computer Equipment - Accum Depre</t>
        </is>
      </c>
      <c r="F13138" s="3" t="n">
        <v>-2331.66</v>
      </c>
      <c r="G13138" s="3" t="n">
        <v>-98373.82000000001</v>
      </c>
    </row>
    <row r="13139">
      <c r="A13139" s="3" t="inlineStr">
        <is>
          <t>Opportunity Management Holdings (PTY) LTD</t>
        </is>
      </c>
      <c r="B13139" s="4" t="n">
        <v>44985</v>
      </c>
      <c r="C13139" s="3" t="inlineStr">
        <is>
          <t>Assets</t>
        </is>
      </c>
      <c r="D13139" s="3" t="inlineStr">
        <is>
          <t>6250/030</t>
        </is>
      </c>
      <c r="E13139" s="3" t="inlineStr">
        <is>
          <t>Acc Depreciation - Computer Equipment</t>
        </is>
      </c>
      <c r="F13139" s="3" t="n">
        <v>0</v>
      </c>
      <c r="G13139" s="3" t="n">
        <v>-9441.25</v>
      </c>
    </row>
    <row r="13140">
      <c r="A13140" s="3" t="inlineStr">
        <is>
          <t>Quinate Consulting (Pty) Ltd</t>
        </is>
      </c>
      <c r="B13140" s="4" t="n">
        <v>44985</v>
      </c>
      <c r="C13140" s="3" t="inlineStr">
        <is>
          <t>Assets</t>
        </is>
      </c>
      <c r="D13140" s="3" t="inlineStr">
        <is>
          <t>6270/010</t>
        </is>
      </c>
      <c r="E13140" s="3" t="inlineStr">
        <is>
          <t>Site Containers - @ Cost</t>
        </is>
      </c>
      <c r="F13140" s="3" t="n">
        <v>0</v>
      </c>
      <c r="G13140" s="3" t="n">
        <v>19130.44</v>
      </c>
    </row>
    <row r="13141">
      <c r="A13141" s="3" t="inlineStr">
        <is>
          <t>Quinate Consulting (Pty) Ltd</t>
        </is>
      </c>
      <c r="B13141" s="4" t="n">
        <v>44985</v>
      </c>
      <c r="C13141" s="3" t="inlineStr">
        <is>
          <t>Assets</t>
        </is>
      </c>
      <c r="D13141" s="3" t="inlineStr">
        <is>
          <t>6270/020</t>
        </is>
      </c>
      <c r="E13141" s="3" t="inlineStr">
        <is>
          <t>Site Containers - Accum Depre</t>
        </is>
      </c>
      <c r="F13141" s="3" t="n">
        <v>-318.86</v>
      </c>
      <c r="G13141" s="3" t="n">
        <v>-7652.18</v>
      </c>
    </row>
    <row r="13142">
      <c r="A13142" s="3" t="inlineStr">
        <is>
          <t>Noble Shield (Pty) Ltd ta Go Letting</t>
        </is>
      </c>
      <c r="B13142" s="4" t="n">
        <v>44985</v>
      </c>
      <c r="C13142" s="3" t="inlineStr">
        <is>
          <t>Assets</t>
        </is>
      </c>
      <c r="D13142" s="3" t="inlineStr">
        <is>
          <t>6350/010</t>
        </is>
      </c>
      <c r="E13142" s="3" t="inlineStr">
        <is>
          <t>Furniture _AND_ Fittings - @ Cost</t>
        </is>
      </c>
      <c r="F13142" s="3" t="n">
        <v>0</v>
      </c>
      <c r="G13142" s="3" t="n">
        <v>2242</v>
      </c>
    </row>
    <row r="13143">
      <c r="A13143" s="3" t="inlineStr">
        <is>
          <t>Opportunity Global Sales (PTY) LTD</t>
        </is>
      </c>
      <c r="B13143" s="4" t="n">
        <v>44985</v>
      </c>
      <c r="C13143" s="3" t="inlineStr">
        <is>
          <t>Assets</t>
        </is>
      </c>
      <c r="D13143" s="3" t="inlineStr">
        <is>
          <t>6350/010</t>
        </is>
      </c>
      <c r="E13143" s="3" t="inlineStr">
        <is>
          <t>Furniture _AND_ Fittings - @ Cost</t>
        </is>
      </c>
      <c r="F13143" s="3" t="n">
        <v>0</v>
      </c>
      <c r="G13143" s="3" t="n">
        <v>29379.7</v>
      </c>
    </row>
    <row r="13144">
      <c r="A13144" s="3" t="inlineStr">
        <is>
          <t>Noble Shield (Pty) Ltd ta Go Letting</t>
        </is>
      </c>
      <c r="B13144" s="4" t="n">
        <v>44985</v>
      </c>
      <c r="C13144" s="3" t="inlineStr">
        <is>
          <t>Assets</t>
        </is>
      </c>
      <c r="D13144" s="3" t="inlineStr">
        <is>
          <t>6350/020</t>
        </is>
      </c>
      <c r="E13144" s="3" t="inlineStr">
        <is>
          <t>Furniture _AND_ Fittings - Accum Depre</t>
        </is>
      </c>
      <c r="F13144" s="3" t="n">
        <v>0</v>
      </c>
      <c r="G13144" s="3" t="n">
        <v>-2239</v>
      </c>
    </row>
    <row r="13145">
      <c r="A13145" s="3" t="inlineStr">
        <is>
          <t>Opportunity Global Sales (PTY) LTD</t>
        </is>
      </c>
      <c r="B13145" s="4" t="n">
        <v>44985</v>
      </c>
      <c r="C13145" s="3" t="inlineStr">
        <is>
          <t>Assets</t>
        </is>
      </c>
      <c r="D13145" s="3" t="inlineStr">
        <is>
          <t>6350/020</t>
        </is>
      </c>
      <c r="E13145" s="3" t="inlineStr">
        <is>
          <t>Furniture _AND_ Fittings - Accum Depre</t>
        </is>
      </c>
      <c r="F13145" s="3" t="n">
        <v>-408.05</v>
      </c>
      <c r="G13145" s="3" t="n">
        <v>-3264.41</v>
      </c>
    </row>
    <row r="13146">
      <c r="A13146" s="3" t="inlineStr">
        <is>
          <t>Opportunity Management Holdings (PTY) LTD</t>
        </is>
      </c>
      <c r="B13146" s="4" t="n">
        <v>44985</v>
      </c>
      <c r="C13146" s="3" t="inlineStr">
        <is>
          <t>Liabilities</t>
        </is>
      </c>
      <c r="D13146" s="3" t="inlineStr">
        <is>
          <t>6500/000</t>
        </is>
      </c>
      <c r="E13146" s="3" t="inlineStr">
        <is>
          <t>Deposits - Held</t>
        </is>
      </c>
      <c r="F13146" s="3" t="n">
        <v>0</v>
      </c>
      <c r="G13146" s="3" t="n">
        <v>-12028.1</v>
      </c>
    </row>
    <row r="13147">
      <c r="A13147" s="3" t="inlineStr">
        <is>
          <t>Opportunity Management Holdings (PTY) LTD</t>
        </is>
      </c>
      <c r="B13147" s="4" t="n">
        <v>44985</v>
      </c>
      <c r="C13147" s="3" t="inlineStr">
        <is>
          <t>Liabilities</t>
        </is>
      </c>
      <c r="D13147" s="3" t="inlineStr">
        <is>
          <t>6510/000</t>
        </is>
      </c>
      <c r="E13147" s="3" t="inlineStr">
        <is>
          <t>Deposits Paid - Anicol Properties</t>
        </is>
      </c>
      <c r="F13147" s="3" t="n">
        <v>0</v>
      </c>
      <c r="G13147" s="3" t="n">
        <v>13755</v>
      </c>
    </row>
    <row r="13148">
      <c r="A13148" s="3" t="inlineStr">
        <is>
          <t>Opportunity Management Holdings (PTY) LTD</t>
        </is>
      </c>
      <c r="B13148" s="4" t="n">
        <v>44985</v>
      </c>
      <c r="C13148" s="3" t="inlineStr">
        <is>
          <t>Liabilities</t>
        </is>
      </c>
      <c r="D13148" s="3" t="inlineStr">
        <is>
          <t>6515/000</t>
        </is>
      </c>
      <c r="E13148" s="3" t="inlineStr">
        <is>
          <t>Deposits Paid</t>
        </is>
      </c>
      <c r="F13148" s="3" t="n">
        <v>0</v>
      </c>
      <c r="G13148" s="3" t="n">
        <v>3852.5</v>
      </c>
    </row>
    <row r="13149">
      <c r="A13149" s="3" t="inlineStr">
        <is>
          <t>Quinate Consulting (Pty) Ltd</t>
        </is>
      </c>
      <c r="B13149" s="4" t="n">
        <v>44985</v>
      </c>
      <c r="C13149" s="3" t="inlineStr">
        <is>
          <t>Assets</t>
        </is>
      </c>
      <c r="D13149" s="3" t="inlineStr">
        <is>
          <t>6600/010</t>
        </is>
      </c>
      <c r="E13149" s="3" t="inlineStr">
        <is>
          <t>Other Fixed Assets - @ Cost</t>
        </is>
      </c>
      <c r="F13149" s="3" t="n">
        <v>0</v>
      </c>
      <c r="G13149" s="3" t="n">
        <v>14442.5</v>
      </c>
    </row>
    <row r="13150">
      <c r="A13150" s="3" t="inlineStr">
        <is>
          <t>Quinate Consulting (Pty) Ltd</t>
        </is>
      </c>
      <c r="B13150" s="4" t="n">
        <v>44985</v>
      </c>
      <c r="C13150" s="3" t="inlineStr">
        <is>
          <t>Assets</t>
        </is>
      </c>
      <c r="D13150" s="3" t="inlineStr">
        <is>
          <t>6600/020</t>
        </is>
      </c>
      <c r="E13150" s="3" t="inlineStr">
        <is>
          <t>Other Fixed Assets - Accum Depre</t>
        </is>
      </c>
      <c r="F13150" s="3" t="n">
        <v>0</v>
      </c>
      <c r="G13150" s="3" t="n">
        <v>-14441.5</v>
      </c>
    </row>
    <row r="13151">
      <c r="A13151" s="3" t="inlineStr">
        <is>
          <t>Noble Shield (Pty) Ltd ta Go Letting</t>
        </is>
      </c>
      <c r="B13151" s="4" t="n">
        <v>44985</v>
      </c>
      <c r="C13151" s="3" t="inlineStr">
        <is>
          <t>Assets</t>
        </is>
      </c>
      <c r="D13151" s="3" t="inlineStr">
        <is>
          <t>7000/100</t>
        </is>
      </c>
      <c r="E13151" s="3" t="inlineStr">
        <is>
          <t>Goodwill - Purchase of Go Letting</t>
        </is>
      </c>
      <c r="F13151" s="3" t="n">
        <v>0</v>
      </c>
      <c r="G13151" s="3" t="n">
        <v>106580</v>
      </c>
    </row>
    <row r="13152">
      <c r="A13152" s="3" t="inlineStr">
        <is>
          <t>Opportunity Management Holdings (PTY) LTD</t>
        </is>
      </c>
      <c r="B13152" s="4" t="n">
        <v>44985</v>
      </c>
      <c r="C13152" s="3" t="inlineStr">
        <is>
          <t>Assets</t>
        </is>
      </c>
      <c r="D13152" s="3" t="inlineStr">
        <is>
          <t>7200/000</t>
        </is>
      </c>
      <c r="E13152" s="3" t="inlineStr">
        <is>
          <t>Shares in Subsidiary Companies</t>
        </is>
      </c>
      <c r="F13152" s="3" t="n">
        <v>0</v>
      </c>
      <c r="G13152" s="3" t="n">
        <v>120</v>
      </c>
    </row>
    <row r="13153">
      <c r="A13153" s="3" t="inlineStr">
        <is>
          <t>Endulini (Pty) Ltd</t>
        </is>
      </c>
      <c r="B13153" s="4" t="n">
        <v>44985</v>
      </c>
      <c r="C13153" s="3" t="inlineStr">
        <is>
          <t>Assets</t>
        </is>
      </c>
      <c r="D13153" s="3" t="inlineStr">
        <is>
          <t>7610/100</t>
        </is>
      </c>
      <c r="E13153" s="3" t="inlineStr">
        <is>
          <t>Endulini Land</t>
        </is>
      </c>
      <c r="F13153" s="3" t="n">
        <v>0</v>
      </c>
      <c r="G13153" s="3" t="n">
        <v>10572851.37</v>
      </c>
    </row>
    <row r="13154">
      <c r="A13154" s="3" t="inlineStr">
        <is>
          <t>Endulini (Pty) Ltd</t>
        </is>
      </c>
      <c r="B13154" s="4" t="n">
        <v>44985</v>
      </c>
      <c r="C13154" s="3" t="inlineStr">
        <is>
          <t>Assets</t>
        </is>
      </c>
      <c r="D13154" s="3" t="inlineStr">
        <is>
          <t>7610/111</t>
        </is>
      </c>
      <c r="E13154" s="3" t="inlineStr">
        <is>
          <t>Endulini Closing Stock February 2021</t>
        </is>
      </c>
      <c r="F13154" s="3" t="n">
        <v>-676000</v>
      </c>
      <c r="G13154" s="3" t="n">
        <v>14368610.11</v>
      </c>
    </row>
    <row r="13155">
      <c r="A13155" s="3" t="inlineStr">
        <is>
          <t>Endulini (Pty) Ltd</t>
        </is>
      </c>
      <c r="B13155" s="4" t="n">
        <v>44985</v>
      </c>
      <c r="C13155" s="3" t="inlineStr">
        <is>
          <t>Assets</t>
        </is>
      </c>
      <c r="D13155" s="3" t="inlineStr">
        <is>
          <t>7610/180</t>
        </is>
      </c>
      <c r="E13155" s="3" t="inlineStr">
        <is>
          <t>Endulini CIP Architects</t>
        </is>
      </c>
      <c r="F13155" s="3" t="n">
        <v>0</v>
      </c>
      <c r="G13155" s="3" t="n">
        <v>1251503.01</v>
      </c>
    </row>
    <row r="13156">
      <c r="A13156" s="3" t="inlineStr">
        <is>
          <t>Endulini (Pty) Ltd</t>
        </is>
      </c>
      <c r="B13156" s="4" t="n">
        <v>44985</v>
      </c>
      <c r="C13156" s="3" t="inlineStr">
        <is>
          <t>Assets</t>
        </is>
      </c>
      <c r="D13156" s="3" t="inlineStr">
        <is>
          <t>7610/200</t>
        </is>
      </c>
      <c r="E13156" s="3" t="inlineStr">
        <is>
          <t>Endulini CIP CoCT Land Use App</t>
        </is>
      </c>
      <c r="F13156" s="3" t="n">
        <v>0</v>
      </c>
      <c r="G13156" s="3" t="n">
        <v>232891.06</v>
      </c>
    </row>
    <row r="13157">
      <c r="A13157" s="3" t="inlineStr">
        <is>
          <t>Endulini (Pty) Ltd</t>
        </is>
      </c>
      <c r="B13157" s="4" t="n">
        <v>44985</v>
      </c>
      <c r="C13157" s="3" t="inlineStr">
        <is>
          <t>Assets</t>
        </is>
      </c>
      <c r="D13157" s="3" t="inlineStr">
        <is>
          <t>7610/205</t>
        </is>
      </c>
      <c r="E13157" s="3" t="inlineStr">
        <is>
          <t>Endulini CIP Site Establishments</t>
        </is>
      </c>
      <c r="F13157" s="3" t="n">
        <v>0</v>
      </c>
      <c r="G13157" s="3" t="n">
        <v>32428975.01</v>
      </c>
    </row>
    <row r="13158">
      <c r="A13158" s="3" t="inlineStr">
        <is>
          <t>Endulini (Pty) Ltd</t>
        </is>
      </c>
      <c r="B13158" s="4" t="n">
        <v>44985</v>
      </c>
      <c r="C13158" s="3" t="inlineStr">
        <is>
          <t>Assets</t>
        </is>
      </c>
      <c r="D13158" s="3" t="inlineStr">
        <is>
          <t>7610/209</t>
        </is>
      </c>
      <c r="E13158" s="3" t="inlineStr">
        <is>
          <t>Endulini CIP Construction Management</t>
        </is>
      </c>
      <c r="F13158" s="3" t="n">
        <v>0</v>
      </c>
      <c r="G13158" s="3" t="n">
        <v>221875</v>
      </c>
    </row>
    <row r="13159">
      <c r="A13159" s="3" t="inlineStr">
        <is>
          <t>Endulini (Pty) Ltd</t>
        </is>
      </c>
      <c r="B13159" s="4" t="n">
        <v>44985</v>
      </c>
      <c r="C13159" s="3" t="inlineStr">
        <is>
          <t>Assets</t>
        </is>
      </c>
      <c r="D13159" s="3" t="inlineStr">
        <is>
          <t>7610/210</t>
        </is>
      </c>
      <c r="E13159" s="3" t="inlineStr">
        <is>
          <t>Endulini CIP Civil Works</t>
        </is>
      </c>
      <c r="F13159" s="3" t="n">
        <v>0</v>
      </c>
      <c r="G13159" s="3" t="n">
        <v>6295702.14</v>
      </c>
    </row>
    <row r="13160">
      <c r="A13160" s="3" t="inlineStr">
        <is>
          <t>Endulini (Pty) Ltd</t>
        </is>
      </c>
      <c r="B13160" s="4" t="n">
        <v>44985</v>
      </c>
      <c r="C13160" s="3" t="inlineStr">
        <is>
          <t>Assets</t>
        </is>
      </c>
      <c r="D13160" s="3" t="inlineStr">
        <is>
          <t>7610/215</t>
        </is>
      </c>
      <c r="E13160" s="3" t="inlineStr">
        <is>
          <t>Endulini CIP Civil Engineers</t>
        </is>
      </c>
      <c r="F13160" s="3" t="n">
        <v>0</v>
      </c>
      <c r="G13160" s="3" t="n">
        <v>183000</v>
      </c>
    </row>
    <row r="13161">
      <c r="A13161" s="3" t="inlineStr">
        <is>
          <t>Endulini (Pty) Ltd</t>
        </is>
      </c>
      <c r="B13161" s="4" t="n">
        <v>44985</v>
      </c>
      <c r="C13161" s="3" t="inlineStr">
        <is>
          <t>Assets</t>
        </is>
      </c>
      <c r="D13161" s="3" t="inlineStr">
        <is>
          <t>7610/220</t>
        </is>
      </c>
      <c r="E13161" s="3" t="inlineStr">
        <is>
          <t>Endulini CIP Structuring Project Fee Opp Invest</t>
        </is>
      </c>
      <c r="F13161" s="3" t="n">
        <v>0</v>
      </c>
      <c r="G13161" s="3" t="n">
        <v>483735.96</v>
      </c>
    </row>
    <row r="13162">
      <c r="A13162" s="3" t="inlineStr">
        <is>
          <t>Endulini (Pty) Ltd</t>
        </is>
      </c>
      <c r="B13162" s="4" t="n">
        <v>44985</v>
      </c>
      <c r="C13162" s="3" t="inlineStr">
        <is>
          <t>Assets</t>
        </is>
      </c>
      <c r="D13162" s="3" t="inlineStr">
        <is>
          <t>7610/225</t>
        </is>
      </c>
      <c r="E13162" s="3" t="inlineStr">
        <is>
          <t>Endulini CIP Structural engineering fee</t>
        </is>
      </c>
      <c r="F13162" s="3" t="n">
        <v>0</v>
      </c>
      <c r="G13162" s="3" t="n">
        <v>346268.03</v>
      </c>
    </row>
    <row r="13163">
      <c r="A13163" s="3" t="inlineStr">
        <is>
          <t>Endulini (Pty) Ltd</t>
        </is>
      </c>
      <c r="B13163" s="4" t="n">
        <v>44985</v>
      </c>
      <c r="C13163" s="3" t="inlineStr">
        <is>
          <t>Assets</t>
        </is>
      </c>
      <c r="D13163" s="3" t="inlineStr">
        <is>
          <t>7610/230</t>
        </is>
      </c>
      <c r="E13163" s="3" t="inlineStr">
        <is>
          <t>Endulini CIP Mechanical Engineering</t>
        </is>
      </c>
      <c r="F13163" s="3" t="n">
        <v>0</v>
      </c>
      <c r="G13163" s="3" t="n">
        <v>15570</v>
      </c>
    </row>
    <row r="13164">
      <c r="A13164" s="3" t="inlineStr">
        <is>
          <t>Endulini (Pty) Ltd</t>
        </is>
      </c>
      <c r="B13164" s="4" t="n">
        <v>44985</v>
      </c>
      <c r="C13164" s="3" t="inlineStr">
        <is>
          <t>Assets</t>
        </is>
      </c>
      <c r="D13164" s="3" t="inlineStr">
        <is>
          <t>7610/235</t>
        </is>
      </c>
      <c r="E13164" s="3" t="inlineStr">
        <is>
          <t>Endulini CIP Electrical Installation</t>
        </is>
      </c>
      <c r="F13164" s="3" t="n">
        <v>0</v>
      </c>
      <c r="G13164" s="3" t="n">
        <v>1034019.08</v>
      </c>
    </row>
    <row r="13165">
      <c r="A13165" s="3" t="inlineStr">
        <is>
          <t>Endulini (Pty) Ltd</t>
        </is>
      </c>
      <c r="B13165" s="4" t="n">
        <v>44985</v>
      </c>
      <c r="C13165" s="3" t="inlineStr">
        <is>
          <t>Assets</t>
        </is>
      </c>
      <c r="D13165" s="3" t="inlineStr">
        <is>
          <t>7610/250</t>
        </is>
      </c>
      <c r="E13165" s="3" t="inlineStr">
        <is>
          <t>Endulini CIP Boundary Wall</t>
        </is>
      </c>
      <c r="F13165" s="3" t="n">
        <v>0</v>
      </c>
      <c r="G13165" s="3" t="n">
        <v>88400.8</v>
      </c>
    </row>
    <row r="13166">
      <c r="A13166" s="3" t="inlineStr">
        <is>
          <t>Endulini (Pty) Ltd</t>
        </is>
      </c>
      <c r="B13166" s="4" t="n">
        <v>44985</v>
      </c>
      <c r="C13166" s="3" t="inlineStr">
        <is>
          <t>Assets</t>
        </is>
      </c>
      <c r="D13166" s="3" t="inlineStr">
        <is>
          <t>7610/290</t>
        </is>
      </c>
      <c r="E13166" s="3" t="inlineStr">
        <is>
          <t>Endulini CIP Development Management Fees</t>
        </is>
      </c>
      <c r="F13166" s="3" t="n">
        <v>0</v>
      </c>
      <c r="G13166" s="3" t="n">
        <v>237496.62</v>
      </c>
    </row>
    <row r="13167">
      <c r="A13167" s="3" t="inlineStr">
        <is>
          <t>Endulini (Pty) Ltd</t>
        </is>
      </c>
      <c r="B13167" s="4" t="n">
        <v>44985</v>
      </c>
      <c r="C13167" s="3" t="inlineStr">
        <is>
          <t>Assets</t>
        </is>
      </c>
      <c r="D13167" s="3" t="inlineStr">
        <is>
          <t>7610/310</t>
        </is>
      </c>
      <c r="E13167" s="3" t="inlineStr">
        <is>
          <t>Endulini CIP Enviromental consultants</t>
        </is>
      </c>
      <c r="F13167" s="3" t="n">
        <v>0</v>
      </c>
      <c r="G13167" s="3" t="n">
        <v>115730</v>
      </c>
    </row>
    <row r="13168">
      <c r="A13168" s="3" t="inlineStr">
        <is>
          <t>Endulini (Pty) Ltd</t>
        </is>
      </c>
      <c r="B13168" s="4" t="n">
        <v>44985</v>
      </c>
      <c r="C13168" s="3" t="inlineStr">
        <is>
          <t>Assets</t>
        </is>
      </c>
      <c r="D13168" s="3" t="inlineStr">
        <is>
          <t>7610/320</t>
        </is>
      </c>
      <c r="E13168" s="3" t="inlineStr">
        <is>
          <t>Endulini CIP Geotechnical</t>
        </is>
      </c>
      <c r="F13168" s="3" t="n">
        <v>0</v>
      </c>
      <c r="G13168" s="3" t="n">
        <v>13575</v>
      </c>
    </row>
    <row r="13169">
      <c r="A13169" s="3" t="inlineStr">
        <is>
          <t>Endulini (Pty) Ltd</t>
        </is>
      </c>
      <c r="B13169" s="4" t="n">
        <v>44985</v>
      </c>
      <c r="C13169" s="3" t="inlineStr">
        <is>
          <t>Assets</t>
        </is>
      </c>
      <c r="D13169" s="3" t="inlineStr">
        <is>
          <t>7610/330</t>
        </is>
      </c>
      <c r="E13169" s="3" t="inlineStr">
        <is>
          <t>Endulini CIP Health and Safety</t>
        </is>
      </c>
      <c r="F13169" s="3" t="n">
        <v>0</v>
      </c>
      <c r="G13169" s="3" t="n">
        <v>40200</v>
      </c>
    </row>
    <row r="13170">
      <c r="A13170" s="3" t="inlineStr">
        <is>
          <t>Endulini (Pty) Ltd</t>
        </is>
      </c>
      <c r="B13170" s="4" t="n">
        <v>44985</v>
      </c>
      <c r="C13170" s="3" t="inlineStr">
        <is>
          <t>Assets</t>
        </is>
      </c>
      <c r="D13170" s="3" t="inlineStr">
        <is>
          <t>7610/390</t>
        </is>
      </c>
      <c r="E13170" s="3" t="inlineStr">
        <is>
          <t>Endulini CIP Land Surveyor</t>
        </is>
      </c>
      <c r="F13170" s="3" t="n">
        <v>0</v>
      </c>
      <c r="G13170" s="3" t="n">
        <v>186021.2</v>
      </c>
    </row>
    <row r="13171">
      <c r="A13171" s="3" t="inlineStr">
        <is>
          <t>Endulini (Pty) Ltd</t>
        </is>
      </c>
      <c r="B13171" s="4" t="n">
        <v>44985</v>
      </c>
      <c r="C13171" s="3" t="inlineStr">
        <is>
          <t>Assets</t>
        </is>
      </c>
      <c r="D13171" s="3" t="inlineStr">
        <is>
          <t>7610/392</t>
        </is>
      </c>
      <c r="E13171" s="3" t="inlineStr">
        <is>
          <t>Endulini CIP Landscaping</t>
        </is>
      </c>
      <c r="F13171" s="3" t="n">
        <v>0</v>
      </c>
      <c r="G13171" s="3" t="n">
        <v>6100</v>
      </c>
    </row>
    <row r="13172">
      <c r="A13172" s="3" t="inlineStr">
        <is>
          <t>Endulini (Pty) Ltd</t>
        </is>
      </c>
      <c r="B13172" s="4" t="n">
        <v>44985</v>
      </c>
      <c r="C13172" s="3" t="inlineStr">
        <is>
          <t>Assets</t>
        </is>
      </c>
      <c r="D13172" s="3" t="inlineStr">
        <is>
          <t>7610/395</t>
        </is>
      </c>
      <c r="E13172" s="3" t="inlineStr">
        <is>
          <t>Endulini CIP NHBRC</t>
        </is>
      </c>
      <c r="F13172" s="3" t="n">
        <v>0</v>
      </c>
      <c r="G13172" s="3" t="n">
        <v>928847.49</v>
      </c>
    </row>
    <row r="13173">
      <c r="A13173" s="3" t="inlineStr">
        <is>
          <t>Endulini (Pty) Ltd</t>
        </is>
      </c>
      <c r="B13173" s="4" t="n">
        <v>44985</v>
      </c>
      <c r="C13173" s="3" t="inlineStr">
        <is>
          <t>Assets</t>
        </is>
      </c>
      <c r="D13173" s="3" t="inlineStr">
        <is>
          <t>7610/400</t>
        </is>
      </c>
      <c r="E13173" s="3" t="inlineStr">
        <is>
          <t>Endulini CIP Quantity Surveyor</t>
        </is>
      </c>
      <c r="F13173" s="3" t="n">
        <v>0</v>
      </c>
      <c r="G13173" s="3" t="n">
        <v>82136.36</v>
      </c>
    </row>
    <row r="13174">
      <c r="A13174" s="3" t="inlineStr">
        <is>
          <t>Endulini (Pty) Ltd</t>
        </is>
      </c>
      <c r="B13174" s="4" t="n">
        <v>44985</v>
      </c>
      <c r="C13174" s="3" t="inlineStr">
        <is>
          <t>Assets</t>
        </is>
      </c>
      <c r="D13174" s="3" t="inlineStr">
        <is>
          <t>7610/600</t>
        </is>
      </c>
      <c r="E13174" s="3" t="inlineStr">
        <is>
          <t>Endulini CIP Town Planning</t>
        </is>
      </c>
      <c r="F13174" s="3" t="n">
        <v>0</v>
      </c>
      <c r="G13174" s="3" t="n">
        <v>21105</v>
      </c>
    </row>
    <row r="13175">
      <c r="A13175" s="3" t="inlineStr">
        <is>
          <t>Endulini (Pty) Ltd</t>
        </is>
      </c>
      <c r="B13175" s="4" t="n">
        <v>44985</v>
      </c>
      <c r="C13175" s="3" t="inlineStr">
        <is>
          <t>Assets</t>
        </is>
      </c>
      <c r="D13175" s="3" t="inlineStr">
        <is>
          <t>7610/620</t>
        </is>
      </c>
      <c r="E13175" s="3" t="inlineStr">
        <is>
          <t>Endulini CIP Traffic Impact</t>
        </is>
      </c>
      <c r="F13175" s="3" t="n">
        <v>0</v>
      </c>
      <c r="G13175" s="3" t="n">
        <v>24915</v>
      </c>
    </row>
    <row r="13176">
      <c r="A13176" s="3" t="inlineStr">
        <is>
          <t>Endulini (Pty) Ltd</t>
        </is>
      </c>
      <c r="B13176" s="4" t="n">
        <v>44985</v>
      </c>
      <c r="C13176" s="3" t="inlineStr">
        <is>
          <t>Assets</t>
        </is>
      </c>
      <c r="D13176" s="3" t="inlineStr">
        <is>
          <t>7610/630</t>
        </is>
      </c>
      <c r="E13176" s="3" t="inlineStr">
        <is>
          <t>Endulini CIP CoCT Development Contributi</t>
        </is>
      </c>
      <c r="F13176" s="3" t="n">
        <v>0</v>
      </c>
      <c r="G13176" s="3" t="n">
        <v>661860.3100000001</v>
      </c>
    </row>
    <row r="13177">
      <c r="A13177" s="3" t="inlineStr">
        <is>
          <t>Endulini (Pty) Ltd</t>
        </is>
      </c>
      <c r="B13177" s="4" t="n">
        <v>44985</v>
      </c>
      <c r="C13177" s="3" t="inlineStr">
        <is>
          <t>Assets</t>
        </is>
      </c>
      <c r="D13177" s="3" t="inlineStr">
        <is>
          <t>7610/640</t>
        </is>
      </c>
      <c r="E13177" s="3" t="inlineStr">
        <is>
          <t>Endulini CIP CoCT Building plan application</t>
        </is>
      </c>
      <c r="F13177" s="3" t="n">
        <v>0</v>
      </c>
      <c r="G13177" s="3" t="n">
        <v>111203.22</v>
      </c>
    </row>
    <row r="13178">
      <c r="A13178" s="3" t="inlineStr">
        <is>
          <t>Endulini (Pty) Ltd</t>
        </is>
      </c>
      <c r="B13178" s="4" t="n">
        <v>44985</v>
      </c>
      <c r="C13178" s="3" t="inlineStr">
        <is>
          <t>Assets</t>
        </is>
      </c>
      <c r="D13178" s="3" t="inlineStr">
        <is>
          <t>7610/650</t>
        </is>
      </c>
      <c r="E13178" s="3" t="inlineStr">
        <is>
          <t>Endulini CIP - P&amp;G recoveries - Endulini&amp;Heron Fields/View</t>
        </is>
      </c>
      <c r="F13178" s="3" t="n">
        <v>3023829.42</v>
      </c>
      <c r="G13178" s="3" t="n">
        <v>0</v>
      </c>
    </row>
    <row r="13179">
      <c r="A13179" s="3" t="inlineStr">
        <is>
          <t>Endulini (Pty) Ltd</t>
        </is>
      </c>
      <c r="B13179" s="4" t="n">
        <v>44985</v>
      </c>
      <c r="C13179" s="3" t="inlineStr">
        <is>
          <t>Assets</t>
        </is>
      </c>
      <c r="D13179" s="3" t="inlineStr">
        <is>
          <t>7610/900</t>
        </is>
      </c>
      <c r="E13179" s="3" t="inlineStr">
        <is>
          <t>Endulini CIP Cost of Sales</t>
        </is>
      </c>
      <c r="F13179" s="3" t="n">
        <v>-55000</v>
      </c>
      <c r="G13179" s="3" t="n">
        <v>-28210981.9</v>
      </c>
    </row>
    <row r="13180">
      <c r="A13180" s="3" t="inlineStr">
        <is>
          <t>Quinate Consulting (Pty) Ltd</t>
        </is>
      </c>
      <c r="B13180" s="4" t="n">
        <v>44985</v>
      </c>
      <c r="C13180" s="3" t="inlineStr">
        <is>
          <t>Assets</t>
        </is>
      </c>
      <c r="D13180" s="3" t="inlineStr">
        <is>
          <t>7800/104</t>
        </is>
      </c>
      <c r="E13180" s="3" t="inlineStr">
        <is>
          <t>Stock - Closing Stock SW - 28 Feb 21</t>
        </is>
      </c>
      <c r="F13180" s="3" t="n">
        <v>0</v>
      </c>
      <c r="G13180" s="3" t="n">
        <v>2874478.88</v>
      </c>
    </row>
    <row r="13181">
      <c r="A13181" s="3" t="inlineStr">
        <is>
          <t>Quinate Consulting (Pty) Ltd</t>
        </is>
      </c>
      <c r="B13181" s="4" t="n">
        <v>44985</v>
      </c>
      <c r="C13181" s="3" t="inlineStr">
        <is>
          <t>Assets</t>
        </is>
      </c>
      <c r="D13181" s="3" t="inlineStr">
        <is>
          <t>7800/105</t>
        </is>
      </c>
      <c r="E13181" s="3" t="inlineStr">
        <is>
          <t>Stock - Closing Stock SH - 28 Feb 21</t>
        </is>
      </c>
      <c r="F13181" s="3" t="n">
        <v>0</v>
      </c>
      <c r="G13181" s="3" t="n">
        <v>2843477.6</v>
      </c>
    </row>
    <row r="13182">
      <c r="A13182" s="3" t="inlineStr">
        <is>
          <t>Endulini (Pty) Ltd</t>
        </is>
      </c>
      <c r="B13182" s="4" t="n">
        <v>44985</v>
      </c>
      <c r="C13182" s="3" t="inlineStr">
        <is>
          <t>Assets</t>
        </is>
      </c>
      <c r="D13182" s="3" t="inlineStr">
        <is>
          <t>8000/000</t>
        </is>
      </c>
      <c r="E13182" s="3" t="inlineStr">
        <is>
          <t>Customer Control Account</t>
        </is>
      </c>
      <c r="F13182" s="3" t="n">
        <v>-3307965.11</v>
      </c>
      <c r="G13182" s="3" t="n">
        <v>170572.96</v>
      </c>
    </row>
    <row r="13183">
      <c r="A13183" s="3" t="inlineStr">
        <is>
          <t>Noble Shield (Pty) Ltd ta Go Letting</t>
        </is>
      </c>
      <c r="B13183" s="4" t="n">
        <v>44985</v>
      </c>
      <c r="C13183" s="3" t="inlineStr">
        <is>
          <t>Assets</t>
        </is>
      </c>
      <c r="D13183" s="3" t="inlineStr">
        <is>
          <t>8000/000</t>
        </is>
      </c>
      <c r="E13183" s="3" t="inlineStr">
        <is>
          <t>Customer Control Account</t>
        </is>
      </c>
      <c r="F13183" s="3" t="n">
        <v>0</v>
      </c>
      <c r="G13183" s="3" t="n">
        <v>60289.32</v>
      </c>
    </row>
    <row r="13184">
      <c r="A13184" s="3" t="inlineStr">
        <is>
          <t>Opportunity Global Investment (PTY) LTD</t>
        </is>
      </c>
      <c r="B13184" s="4" t="n">
        <v>44985</v>
      </c>
      <c r="C13184" s="3" t="inlineStr">
        <is>
          <t>Assets</t>
        </is>
      </c>
      <c r="D13184" s="3" t="inlineStr">
        <is>
          <t>8000/000</t>
        </is>
      </c>
      <c r="E13184" s="3" t="inlineStr">
        <is>
          <t>Customer Control Account</t>
        </is>
      </c>
      <c r="F13184" s="3" t="n">
        <v>200000</v>
      </c>
      <c r="G13184" s="3" t="n">
        <v>200000</v>
      </c>
    </row>
    <row r="13185">
      <c r="A13185" s="3" t="inlineStr">
        <is>
          <t>Opportunity Global Sales (PTY) LTD</t>
        </is>
      </c>
      <c r="B13185" s="4" t="n">
        <v>44985</v>
      </c>
      <c r="C13185" s="3" t="inlineStr">
        <is>
          <t>Assets</t>
        </is>
      </c>
      <c r="D13185" s="3" t="inlineStr">
        <is>
          <t>8000/000</t>
        </is>
      </c>
      <c r="E13185" s="3" t="inlineStr">
        <is>
          <t>Customer Control Account</t>
        </is>
      </c>
      <c r="F13185" s="3" t="n">
        <v>182879.56</v>
      </c>
      <c r="G13185" s="3" t="n">
        <v>485848.12</v>
      </c>
    </row>
    <row r="13186">
      <c r="A13186" s="3" t="inlineStr">
        <is>
          <t>Opportunity Management Holdings (PTY) LTD</t>
        </is>
      </c>
      <c r="B13186" s="4" t="n">
        <v>44985</v>
      </c>
      <c r="C13186" s="3" t="inlineStr">
        <is>
          <t>Assets</t>
        </is>
      </c>
      <c r="D13186" s="3" t="inlineStr">
        <is>
          <t>8000/000</t>
        </is>
      </c>
      <c r="E13186" s="3" t="inlineStr">
        <is>
          <t>Customer Control Account</t>
        </is>
      </c>
      <c r="F13186" s="3" t="n">
        <v>4347</v>
      </c>
      <c r="G13186" s="3" t="n">
        <v>15847</v>
      </c>
    </row>
    <row r="13187">
      <c r="A13187" s="3" t="inlineStr">
        <is>
          <t>Quinate Consulting (Pty) Ltd</t>
        </is>
      </c>
      <c r="B13187" s="4" t="n">
        <v>44985</v>
      </c>
      <c r="C13187" s="3" t="inlineStr">
        <is>
          <t>Assets</t>
        </is>
      </c>
      <c r="D13187" s="3" t="inlineStr">
        <is>
          <t>8000/000</t>
        </is>
      </c>
      <c r="E13187" s="3" t="inlineStr">
        <is>
          <t>Customer Control Account</t>
        </is>
      </c>
      <c r="F13187" s="3" t="n">
        <v>-39807.53</v>
      </c>
      <c r="G13187" s="3" t="n">
        <v>-15418.29</v>
      </c>
    </row>
    <row r="13188">
      <c r="A13188" s="3" t="inlineStr">
        <is>
          <t>Quinate Consulting (Pty) Ltd</t>
        </is>
      </c>
      <c r="B13188" s="4" t="n">
        <v>44985</v>
      </c>
      <c r="C13188" s="3" t="inlineStr">
        <is>
          <t>Assets</t>
        </is>
      </c>
      <c r="D13188" s="3" t="inlineStr">
        <is>
          <t>8001</t>
        </is>
      </c>
      <c r="E13188" s="3" t="inlineStr">
        <is>
          <t>Customer Control</t>
        </is>
      </c>
      <c r="F13188" s="3" t="n">
        <v>0</v>
      </c>
      <c r="G13188" s="3" t="n">
        <v>29487.49</v>
      </c>
    </row>
    <row r="13189">
      <c r="A13189" s="3" t="inlineStr">
        <is>
          <t>Quinate Consulting (Pty) Ltd</t>
        </is>
      </c>
      <c r="B13189" s="4" t="n">
        <v>44985</v>
      </c>
      <c r="C13189" s="3" t="inlineStr">
        <is>
          <t>Assets</t>
        </is>
      </c>
      <c r="D13189" s="3" t="inlineStr">
        <is>
          <t>8200/010</t>
        </is>
      </c>
      <c r="E13189" s="3" t="inlineStr">
        <is>
          <t>Prepayments / Prepaid Expenses</t>
        </is>
      </c>
      <c r="F13189" s="3" t="n">
        <v>0</v>
      </c>
      <c r="G13189" s="3" t="n">
        <v>109675</v>
      </c>
    </row>
    <row r="13190">
      <c r="A13190" s="3" t="inlineStr">
        <is>
          <t>Opportunity Global Sales (PTY) LTD</t>
        </is>
      </c>
      <c r="B13190" s="4" t="n">
        <v>44985</v>
      </c>
      <c r="C13190" s="3" t="inlineStr">
        <is>
          <t>Assets</t>
        </is>
      </c>
      <c r="D13190" s="3" t="inlineStr">
        <is>
          <t>8300/100</t>
        </is>
      </c>
      <c r="E13190" s="3" t="inlineStr">
        <is>
          <t>Staff Loan - Yvette Mostert</t>
        </is>
      </c>
      <c r="F13190" s="3" t="n">
        <v>-1500</v>
      </c>
      <c r="G13190" s="3" t="n">
        <v>0</v>
      </c>
    </row>
    <row r="13191">
      <c r="A13191" s="3" t="inlineStr">
        <is>
          <t>Opportunity Global Investment (PTY) LTD</t>
        </is>
      </c>
      <c r="B13191" s="4" t="n">
        <v>44985</v>
      </c>
      <c r="C13191" s="3" t="inlineStr">
        <is>
          <t>Assets</t>
        </is>
      </c>
      <c r="D13191" s="3" t="inlineStr">
        <is>
          <t>8400/000</t>
        </is>
      </c>
      <c r="E13191" s="3" t="inlineStr">
        <is>
          <t>FNB 62093491696</t>
        </is>
      </c>
      <c r="F13191" s="3" t="n">
        <v>-41659.28</v>
      </c>
      <c r="G13191" s="3" t="n">
        <v>47469.86</v>
      </c>
    </row>
    <row r="13192">
      <c r="A13192" s="3" t="inlineStr">
        <is>
          <t>Opportunity Global Sales (PTY) LTD</t>
        </is>
      </c>
      <c r="B13192" s="4" t="n">
        <v>44985</v>
      </c>
      <c r="C13192" s="3" t="inlineStr">
        <is>
          <t>Assets</t>
        </is>
      </c>
      <c r="D13192" s="3" t="inlineStr">
        <is>
          <t>8400/000</t>
        </is>
      </c>
      <c r="E13192" s="3" t="inlineStr">
        <is>
          <t>FNB 62835620875</t>
        </is>
      </c>
      <c r="F13192" s="3" t="n">
        <v>-100773.5</v>
      </c>
      <c r="G13192" s="3" t="n">
        <v>91514.64999999999</v>
      </c>
    </row>
    <row r="13193">
      <c r="A13193" s="3" t="inlineStr">
        <is>
          <t>Quinate Consulting (Pty) Ltd</t>
        </is>
      </c>
      <c r="B13193" s="4" t="n">
        <v>44985</v>
      </c>
      <c r="C13193" s="3" t="inlineStr">
        <is>
          <t>Assets</t>
        </is>
      </c>
      <c r="D13193" s="3" t="inlineStr">
        <is>
          <t>8400/000</t>
        </is>
      </c>
      <c r="E13193" s="3" t="inlineStr">
        <is>
          <t>RMB - 62736659189 - Call Acc</t>
        </is>
      </c>
      <c r="F13193" s="3" t="n">
        <v>663.2</v>
      </c>
      <c r="G13193" s="3" t="n">
        <v>155873.86</v>
      </c>
    </row>
    <row r="13194">
      <c r="A13194" s="3" t="inlineStr">
        <is>
          <t>Trademark Holdings (Pty) Ltd</t>
        </is>
      </c>
      <c r="B13194" s="4" t="n">
        <v>44985</v>
      </c>
      <c r="C13194" s="3" t="inlineStr">
        <is>
          <t>Assets</t>
        </is>
      </c>
      <c r="D13194" s="3" t="inlineStr">
        <is>
          <t>8400/000</t>
        </is>
      </c>
      <c r="E13194" s="3" t="inlineStr">
        <is>
          <t>RMB 623 693 03640</t>
        </is>
      </c>
      <c r="F13194" s="3" t="n">
        <v>-46229.11</v>
      </c>
      <c r="G13194" s="3" t="n">
        <v>27449.07</v>
      </c>
    </row>
    <row r="13195">
      <c r="A13195" s="3" t="inlineStr">
        <is>
          <t>Noble Shield (Pty) Ltd ta Go Letting</t>
        </is>
      </c>
      <c r="B13195" s="4" t="n">
        <v>44985</v>
      </c>
      <c r="C13195" s="3" t="inlineStr">
        <is>
          <t>Assets</t>
        </is>
      </c>
      <c r="D13195" s="3" t="inlineStr">
        <is>
          <t>8400/000</t>
        </is>
      </c>
      <c r="E13195" s="3" t="inlineStr">
        <is>
          <t>RMB 6250 573 3833</t>
        </is>
      </c>
      <c r="F13195" s="3" t="n">
        <v>-22795.95</v>
      </c>
      <c r="G13195" s="3" t="n">
        <v>39648.72</v>
      </c>
    </row>
    <row r="13196">
      <c r="A13196" s="3" t="inlineStr">
        <is>
          <t>Endulini (Pty) Ltd</t>
        </is>
      </c>
      <c r="B13196" s="4" t="n">
        <v>44985</v>
      </c>
      <c r="C13196" s="3" t="inlineStr">
        <is>
          <t>Assets</t>
        </is>
      </c>
      <c r="D13196" s="3" t="inlineStr">
        <is>
          <t>8400/000</t>
        </is>
      </c>
      <c r="E13196" s="3" t="inlineStr">
        <is>
          <t>RMB 62906944576</t>
        </is>
      </c>
      <c r="F13196" s="3" t="n">
        <v>22377.13</v>
      </c>
      <c r="G13196" s="3" t="n">
        <v>29588.71</v>
      </c>
    </row>
    <row r="13197">
      <c r="A13197" s="3" t="inlineStr">
        <is>
          <t>Opportunity Management Holdings (PTY) LTD</t>
        </is>
      </c>
      <c r="B13197" s="4" t="n">
        <v>44985</v>
      </c>
      <c r="C13197" s="3" t="inlineStr">
        <is>
          <t>Assets</t>
        </is>
      </c>
      <c r="D13197" s="3" t="inlineStr">
        <is>
          <t>8400/000</t>
        </is>
      </c>
      <c r="E13197" s="3" t="inlineStr">
        <is>
          <t>RMB Cheq - 62312246920</t>
        </is>
      </c>
      <c r="F13197" s="3" t="n">
        <v>-109777.32</v>
      </c>
      <c r="G13197" s="3" t="n">
        <v>9315.43</v>
      </c>
    </row>
    <row r="13198">
      <c r="A13198" s="3" t="inlineStr">
        <is>
          <t>Opportunity Global Investment (PTY) LTD</t>
        </is>
      </c>
      <c r="B13198" s="4" t="n">
        <v>44985</v>
      </c>
      <c r="C13198" s="3" t="inlineStr">
        <is>
          <t>Assets</t>
        </is>
      </c>
      <c r="D13198" s="3" t="inlineStr">
        <is>
          <t>8405/000</t>
        </is>
      </c>
      <c r="E13198" s="3" t="inlineStr">
        <is>
          <t>FNB Trust 62762449265</t>
        </is>
      </c>
      <c r="F13198" s="3" t="n">
        <v>-71.40000000000001</v>
      </c>
      <c r="G13198" s="3" t="n">
        <v>685.26</v>
      </c>
    </row>
    <row r="13199">
      <c r="A13199" s="3" t="inlineStr">
        <is>
          <t>Endulini (Pty) Ltd</t>
        </is>
      </c>
      <c r="B13199" s="4" t="n">
        <v>44985</v>
      </c>
      <c r="C13199" s="3" t="inlineStr">
        <is>
          <t>Assets</t>
        </is>
      </c>
      <c r="D13199" s="3" t="inlineStr">
        <is>
          <t>8410/000</t>
        </is>
      </c>
      <c r="E13199" s="3" t="inlineStr">
        <is>
          <t>Momentum Investor Account : RU 502229883</t>
        </is>
      </c>
      <c r="F13199" s="3" t="n">
        <v>57.49</v>
      </c>
      <c r="G13199" s="3" t="n">
        <v>2671.73</v>
      </c>
    </row>
    <row r="13200">
      <c r="A13200" s="3" t="inlineStr">
        <is>
          <t>Opportunity Management Holdings (PTY) LTD</t>
        </is>
      </c>
      <c r="B13200" s="4" t="n">
        <v>44985</v>
      </c>
      <c r="C13200" s="3" t="inlineStr">
        <is>
          <t>Assets</t>
        </is>
      </c>
      <c r="D13200" s="3" t="inlineStr">
        <is>
          <t>8410/000</t>
        </is>
      </c>
      <c r="E13200" s="3" t="inlineStr">
        <is>
          <t>RMB Call Acc - 62312248851</t>
        </is>
      </c>
      <c r="F13200" s="3" t="n">
        <v>-1.66</v>
      </c>
      <c r="G13200" s="3" t="n">
        <v>1434.82</v>
      </c>
    </row>
    <row r="13201">
      <c r="A13201" s="3" t="inlineStr">
        <is>
          <t>Noble Shield (Pty) Ltd ta Go Letting</t>
        </is>
      </c>
      <c r="B13201" s="4" t="n">
        <v>44985</v>
      </c>
      <c r="C13201" s="3" t="inlineStr">
        <is>
          <t>Assets</t>
        </is>
      </c>
      <c r="D13201" s="3" t="inlineStr">
        <is>
          <t>8410/000</t>
        </is>
      </c>
      <c r="E13201" s="3" t="inlineStr">
        <is>
          <t>RMB Trust Acc - 6250 615 1365</t>
        </is>
      </c>
      <c r="F13201" s="3" t="n">
        <v>-15.8</v>
      </c>
      <c r="G13201" s="3" t="n">
        <v>573.74</v>
      </c>
    </row>
    <row r="13202">
      <c r="A13202" s="3" t="inlineStr">
        <is>
          <t>Quinate Consulting (Pty) Ltd</t>
        </is>
      </c>
      <c r="B13202" s="4" t="n">
        <v>44985</v>
      </c>
      <c r="C13202" s="3" t="inlineStr">
        <is>
          <t>Assets</t>
        </is>
      </c>
      <c r="D13202" s="3" t="inlineStr">
        <is>
          <t>8415/000</t>
        </is>
      </c>
      <c r="E13202" s="3" t="inlineStr">
        <is>
          <t>STD Acc 071 958 959 - Facility Acc</t>
        </is>
      </c>
      <c r="F13202" s="3" t="n">
        <v>-85</v>
      </c>
      <c r="G13202" s="3" t="n">
        <v>3296.21</v>
      </c>
    </row>
    <row r="13203">
      <c r="A13203" s="3" t="inlineStr">
        <is>
          <t>Trademark Holdings (Pty) Ltd</t>
        </is>
      </c>
      <c r="B13203" s="4" t="n">
        <v>44985</v>
      </c>
      <c r="C13203" s="3" t="inlineStr">
        <is>
          <t>Assets</t>
        </is>
      </c>
      <c r="D13203" s="3" t="inlineStr">
        <is>
          <t>8420/000</t>
        </is>
      </c>
      <c r="E13203" s="3" t="inlineStr">
        <is>
          <t>FNB Credit Card</t>
        </is>
      </c>
      <c r="F13203" s="3" t="n">
        <v>0</v>
      </c>
      <c r="G13203" s="3" t="n">
        <v>52</v>
      </c>
    </row>
    <row r="13204">
      <c r="A13204" s="3" t="inlineStr">
        <is>
          <t>Quinate Consulting (Pty) Ltd</t>
        </is>
      </c>
      <c r="B13204" s="4" t="n">
        <v>44985</v>
      </c>
      <c r="C13204" s="3" t="inlineStr">
        <is>
          <t>Assets</t>
        </is>
      </c>
      <c r="D13204" s="3" t="inlineStr">
        <is>
          <t>8430/000</t>
        </is>
      </c>
      <c r="E13204" s="3" t="inlineStr">
        <is>
          <t>Momentum Investment Acc - RU502230185</t>
        </is>
      </c>
      <c r="F13204" s="3" t="n">
        <v>11.51</v>
      </c>
      <c r="G13204" s="3" t="n">
        <v>535.15</v>
      </c>
    </row>
    <row r="13205">
      <c r="A13205" s="3" t="inlineStr">
        <is>
          <t>Opportunity Global Investment (PTY) LTD</t>
        </is>
      </c>
      <c r="B13205" s="4" t="n">
        <v>44985</v>
      </c>
      <c r="C13205" s="3" t="inlineStr">
        <is>
          <t>Assets</t>
        </is>
      </c>
      <c r="D13205" s="3" t="inlineStr">
        <is>
          <t>8440/000</t>
        </is>
      </c>
      <c r="E13205" s="3" t="inlineStr">
        <is>
          <t>FNB - Call 627602764438</t>
        </is>
      </c>
      <c r="F13205" s="3" t="n">
        <v>-9.48</v>
      </c>
      <c r="G13205" s="3" t="n">
        <v>943.05</v>
      </c>
    </row>
    <row r="13206">
      <c r="A13206" s="3" t="inlineStr">
        <is>
          <t>Opportunity Global Investment (PTY) LTD</t>
        </is>
      </c>
      <c r="B13206" s="4" t="n">
        <v>44985</v>
      </c>
      <c r="C13206" s="3" t="inlineStr">
        <is>
          <t>Assets</t>
        </is>
      </c>
      <c r="D13206" s="3" t="inlineStr">
        <is>
          <t>8445/000</t>
        </is>
      </c>
      <c r="E13206" s="3" t="inlineStr">
        <is>
          <t>Momentum RU502230096</t>
        </is>
      </c>
      <c r="F13206" s="3" t="n">
        <v>0</v>
      </c>
      <c r="G13206" s="3" t="n">
        <v>4676.12</v>
      </c>
    </row>
    <row r="13207">
      <c r="A13207" s="3" t="inlineStr">
        <is>
          <t>Quinate Consulting (Pty) Ltd</t>
        </is>
      </c>
      <c r="B13207" s="4" t="n">
        <v>44985</v>
      </c>
      <c r="C13207" s="3" t="inlineStr">
        <is>
          <t>Assets</t>
        </is>
      </c>
      <c r="D13207" s="3" t="inlineStr">
        <is>
          <t>8450/000</t>
        </is>
      </c>
      <c r="E13207" s="3" t="inlineStr">
        <is>
          <t>A RMB 62275810820</t>
        </is>
      </c>
      <c r="F13207" s="3" t="n">
        <v>84244.8</v>
      </c>
      <c r="G13207" s="3" t="n">
        <v>117212.35</v>
      </c>
    </row>
    <row r="13208">
      <c r="A13208" s="3" t="inlineStr">
        <is>
          <t>Opportunity Management Holdings (PTY) LTD</t>
        </is>
      </c>
      <c r="B13208" s="4" t="n">
        <v>44985</v>
      </c>
      <c r="C13208" s="3" t="inlineStr">
        <is>
          <t>Assets</t>
        </is>
      </c>
      <c r="D13208" s="3" t="inlineStr">
        <is>
          <t>8450/000</t>
        </is>
      </c>
      <c r="E13208" s="3" t="inlineStr">
        <is>
          <t>Petty Cash - CT Office</t>
        </is>
      </c>
      <c r="F13208" s="3" t="n">
        <v>258.3</v>
      </c>
      <c r="G13208" s="3" t="n">
        <v>337.2</v>
      </c>
    </row>
    <row r="13209">
      <c r="A13209" s="3" t="inlineStr">
        <is>
          <t>Quinate Consulting (Pty) Ltd</t>
        </is>
      </c>
      <c r="B13209" s="4" t="n">
        <v>44985</v>
      </c>
      <c r="C13209" s="3" t="inlineStr">
        <is>
          <t>Liabilities</t>
        </is>
      </c>
      <c r="D13209" s="3" t="inlineStr">
        <is>
          <t>8480/100</t>
        </is>
      </c>
      <c r="E13209" s="3" t="inlineStr">
        <is>
          <t>Bond - SH20 - STD Bank 532010558</t>
        </is>
      </c>
      <c r="F13209" s="3" t="n">
        <v>3702.88</v>
      </c>
      <c r="G13209" s="3" t="n">
        <v>-1354229.13</v>
      </c>
    </row>
    <row r="13210">
      <c r="A13210" s="3" t="inlineStr">
        <is>
          <t>Quinate Consulting (Pty) Ltd</t>
        </is>
      </c>
      <c r="B13210" s="4" t="n">
        <v>44985</v>
      </c>
      <c r="C13210" s="3" t="inlineStr">
        <is>
          <t>Liabilities</t>
        </is>
      </c>
      <c r="D13210" s="3" t="inlineStr">
        <is>
          <t>8480/200</t>
        </is>
      </c>
      <c r="E13210" s="3" t="inlineStr">
        <is>
          <t>Bond - SH23 - STD Bank 532010035</t>
        </is>
      </c>
      <c r="F13210" s="3" t="n">
        <v>3699.51</v>
      </c>
      <c r="G13210" s="3" t="n">
        <v>-1354075.21</v>
      </c>
    </row>
    <row r="13211">
      <c r="A13211" s="3" t="inlineStr">
        <is>
          <t>Quinate Consulting (Pty) Ltd</t>
        </is>
      </c>
      <c r="B13211" s="4" t="n">
        <v>44985</v>
      </c>
      <c r="C13211" s="3" t="inlineStr">
        <is>
          <t>Liabilities</t>
        </is>
      </c>
      <c r="D13211" s="3" t="inlineStr">
        <is>
          <t>8480/300</t>
        </is>
      </c>
      <c r="E13211" s="3" t="inlineStr">
        <is>
          <t>Bond - SH24 - STD Bank 532372662</t>
        </is>
      </c>
      <c r="F13211" s="3" t="n">
        <v>2060.04</v>
      </c>
      <c r="G13211" s="3" t="n">
        <v>-1452528.01</v>
      </c>
    </row>
    <row r="13212">
      <c r="A13212" s="3" t="inlineStr">
        <is>
          <t>Quinate Consulting (Pty) Ltd</t>
        </is>
      </c>
      <c r="B13212" s="4" t="n">
        <v>44985</v>
      </c>
      <c r="C13212" s="3" t="inlineStr">
        <is>
          <t>Liabilities</t>
        </is>
      </c>
      <c r="D13212" s="3" t="inlineStr">
        <is>
          <t>8480/400</t>
        </is>
      </c>
      <c r="E13212" s="3" t="inlineStr">
        <is>
          <t>Bond - SW01 - STD Bank 532920627</t>
        </is>
      </c>
      <c r="F13212" s="3" t="n">
        <v>1385.33</v>
      </c>
      <c r="G13212" s="3" t="n">
        <v>-1293116</v>
      </c>
    </row>
    <row r="13213">
      <c r="A13213" s="3" t="inlineStr">
        <is>
          <t>Quinate Consulting (Pty) Ltd</t>
        </is>
      </c>
      <c r="B13213" s="4" t="n">
        <v>44985</v>
      </c>
      <c r="C13213" s="3" t="inlineStr">
        <is>
          <t>Liabilities</t>
        </is>
      </c>
      <c r="D13213" s="3" t="inlineStr">
        <is>
          <t>8480/401</t>
        </is>
      </c>
      <c r="E13213" s="3" t="inlineStr">
        <is>
          <t>Bond - SW21 - STD Bank 532920597</t>
        </is>
      </c>
      <c r="F13213" s="3" t="n">
        <v>1386.18</v>
      </c>
      <c r="G13213" s="3" t="n">
        <v>-1293629.08</v>
      </c>
    </row>
    <row r="13214">
      <c r="A13214" s="3" t="inlineStr">
        <is>
          <t>Opportunity Global Investment (PTY) LTD</t>
        </is>
      </c>
      <c r="B13214" s="4" t="n">
        <v>44985</v>
      </c>
      <c r="C13214" s="3" t="inlineStr">
        <is>
          <t>Liabilities</t>
        </is>
      </c>
      <c r="D13214" s="3" t="inlineStr">
        <is>
          <t>860</t>
        </is>
      </c>
      <c r="E13214" s="3" t="inlineStr">
        <is>
          <t>Rounding</t>
        </is>
      </c>
      <c r="F13214" s="3" t="n">
        <v>0</v>
      </c>
      <c r="G13214" s="3" t="n">
        <v>-0.04</v>
      </c>
    </row>
    <row r="13215">
      <c r="A13215" s="3" t="inlineStr">
        <is>
          <t>Opportunity Global Sales (PTY) LTD</t>
        </is>
      </c>
      <c r="B13215" s="4" t="n">
        <v>44985</v>
      </c>
      <c r="C13215" s="3" t="inlineStr">
        <is>
          <t>Liabilities</t>
        </is>
      </c>
      <c r="D13215" s="3" t="inlineStr">
        <is>
          <t>860</t>
        </is>
      </c>
      <c r="E13215" s="3" t="inlineStr">
        <is>
          <t>Rounding</t>
        </is>
      </c>
      <c r="F13215" s="3" t="n">
        <v>0</v>
      </c>
      <c r="G13215" s="3" t="n">
        <v>-1</v>
      </c>
    </row>
    <row r="13216">
      <c r="A13216" s="3" t="inlineStr">
        <is>
          <t>Quinate Consulting (Pty) Ltd</t>
        </is>
      </c>
      <c r="B13216" s="4" t="n">
        <v>44985</v>
      </c>
      <c r="C13216" s="3" t="inlineStr">
        <is>
          <t>Liabilities</t>
        </is>
      </c>
      <c r="D13216" s="3" t="inlineStr">
        <is>
          <t>860</t>
        </is>
      </c>
      <c r="E13216" s="3" t="inlineStr">
        <is>
          <t>Rounding</t>
        </is>
      </c>
      <c r="F13216" s="3" t="n">
        <v>0.53</v>
      </c>
      <c r="G13216" s="3" t="n">
        <v>-2.53</v>
      </c>
    </row>
    <row r="13217">
      <c r="A13217" s="3" t="inlineStr">
        <is>
          <t>Trademark Holdings (Pty) Ltd</t>
        </is>
      </c>
      <c r="B13217" s="4" t="n">
        <v>44985</v>
      </c>
      <c r="C13217" s="3" t="inlineStr">
        <is>
          <t>Liabilities</t>
        </is>
      </c>
      <c r="D13217" s="3" t="inlineStr">
        <is>
          <t>860</t>
        </is>
      </c>
      <c r="E13217" s="3" t="inlineStr">
        <is>
          <t>Rounding</t>
        </is>
      </c>
      <c r="F13217" s="3" t="n">
        <v>0</v>
      </c>
      <c r="G13217" s="3" t="n">
        <v>0.2</v>
      </c>
    </row>
    <row r="13218">
      <c r="A13218" s="3" t="inlineStr">
        <is>
          <t>Endulini (Pty) Ltd</t>
        </is>
      </c>
      <c r="B13218" s="4" t="n">
        <v>44985</v>
      </c>
      <c r="C13218" s="3" t="inlineStr">
        <is>
          <t>Liabilities</t>
        </is>
      </c>
      <c r="D13218" s="3" t="inlineStr">
        <is>
          <t>9000/000</t>
        </is>
      </c>
      <c r="E13218" s="3" t="inlineStr">
        <is>
          <t>Supplier Control Account</t>
        </is>
      </c>
      <c r="F13218" s="3" t="n">
        <v>991237.0600000001</v>
      </c>
      <c r="G13218" s="3" t="n">
        <v>-18514901.86</v>
      </c>
    </row>
    <row r="13219">
      <c r="A13219" s="3" t="inlineStr">
        <is>
          <t>Noble Shield (Pty) Ltd ta Go Letting</t>
        </is>
      </c>
      <c r="B13219" s="4" t="n">
        <v>44985</v>
      </c>
      <c r="C13219" s="3" t="inlineStr">
        <is>
          <t>Liabilities</t>
        </is>
      </c>
      <c r="D13219" s="3" t="inlineStr">
        <is>
          <t>9000/000</t>
        </is>
      </c>
      <c r="E13219" s="3" t="inlineStr">
        <is>
          <t>Supplier Control Account</t>
        </is>
      </c>
      <c r="F13219" s="3" t="n">
        <v>21048.73</v>
      </c>
      <c r="G13219" s="3" t="n">
        <v>-24511.87</v>
      </c>
    </row>
    <row r="13220">
      <c r="A13220" s="3" t="inlineStr">
        <is>
          <t>Opportunity Global Investment (PTY) LTD</t>
        </is>
      </c>
      <c r="B13220" s="4" t="n">
        <v>44985</v>
      </c>
      <c r="C13220" s="3" t="inlineStr">
        <is>
          <t>Liabilities</t>
        </is>
      </c>
      <c r="D13220" s="3" t="inlineStr">
        <is>
          <t>9000/000</t>
        </is>
      </c>
      <c r="E13220" s="3" t="inlineStr">
        <is>
          <t>Supplier Control Account</t>
        </is>
      </c>
      <c r="F13220" s="3" t="n">
        <v>-24311.04</v>
      </c>
      <c r="G13220" s="3" t="n">
        <v>-62185.71</v>
      </c>
    </row>
    <row r="13221">
      <c r="A13221" s="3" t="inlineStr">
        <is>
          <t>Opportunity Global Sales (PTY) LTD</t>
        </is>
      </c>
      <c r="B13221" s="4" t="n">
        <v>44985</v>
      </c>
      <c r="C13221" s="3" t="inlineStr">
        <is>
          <t>Liabilities</t>
        </is>
      </c>
      <c r="D13221" s="3" t="inlineStr">
        <is>
          <t>9000/000</t>
        </is>
      </c>
      <c r="E13221" s="3" t="inlineStr">
        <is>
          <t>Supplier Control Account</t>
        </is>
      </c>
      <c r="F13221" s="3" t="n">
        <v>13881.67</v>
      </c>
      <c r="G13221" s="3" t="n">
        <v>-4757.91</v>
      </c>
    </row>
    <row r="13222">
      <c r="A13222" s="3" t="inlineStr">
        <is>
          <t>Opportunity Management Holdings (PTY) LTD</t>
        </is>
      </c>
      <c r="B13222" s="4" t="n">
        <v>44985</v>
      </c>
      <c r="C13222" s="3" t="inlineStr">
        <is>
          <t>Liabilities</t>
        </is>
      </c>
      <c r="D13222" s="3" t="inlineStr">
        <is>
          <t>9000/000</t>
        </is>
      </c>
      <c r="E13222" s="3" t="inlineStr">
        <is>
          <t>Supplier Control Account</t>
        </is>
      </c>
      <c r="F13222" s="3" t="n">
        <v>-3917.01</v>
      </c>
      <c r="G13222" s="3" t="n">
        <v>-284182.72</v>
      </c>
    </row>
    <row r="13223">
      <c r="A13223" s="3" t="inlineStr">
        <is>
          <t>Quinate Consulting (Pty) Ltd</t>
        </is>
      </c>
      <c r="B13223" s="4" t="n">
        <v>44985</v>
      </c>
      <c r="C13223" s="3" t="inlineStr">
        <is>
          <t>Liabilities</t>
        </is>
      </c>
      <c r="D13223" s="3" t="inlineStr">
        <is>
          <t>9000/000</t>
        </is>
      </c>
      <c r="E13223" s="3" t="inlineStr">
        <is>
          <t>Supplier Control Account</t>
        </is>
      </c>
      <c r="F13223" s="3" t="n">
        <v>47522.05</v>
      </c>
      <c r="G13223" s="3" t="n">
        <v>457517.33</v>
      </c>
    </row>
    <row r="13224">
      <c r="A13224" s="3" t="inlineStr">
        <is>
          <t>Trademark Holdings (Pty) Ltd</t>
        </is>
      </c>
      <c r="B13224" s="4" t="n">
        <v>44985</v>
      </c>
      <c r="C13224" s="3" t="inlineStr">
        <is>
          <t>Liabilities</t>
        </is>
      </c>
      <c r="D13224" s="3" t="inlineStr">
        <is>
          <t>9000/000</t>
        </is>
      </c>
      <c r="E13224" s="3" t="inlineStr">
        <is>
          <t>Supplier Control Account</t>
        </is>
      </c>
      <c r="F13224" s="3" t="n">
        <v>29094.81</v>
      </c>
      <c r="G13224" s="3" t="n">
        <v>-8407.75</v>
      </c>
    </row>
    <row r="13225">
      <c r="A13225" s="3" t="inlineStr">
        <is>
          <t>Quinate Consulting (Pty) Ltd</t>
        </is>
      </c>
      <c r="B13225" s="4" t="n">
        <v>44985</v>
      </c>
      <c r="C13225" s="3" t="inlineStr">
        <is>
          <t>Liabilities</t>
        </is>
      </c>
      <c r="D13225" s="3" t="inlineStr">
        <is>
          <t>9001</t>
        </is>
      </c>
      <c r="E13225" s="3" t="inlineStr">
        <is>
          <t>Supplier Control</t>
        </is>
      </c>
      <c r="F13225" s="3" t="n">
        <v>0</v>
      </c>
      <c r="G13225" s="3" t="n">
        <v>-347315.41</v>
      </c>
    </row>
    <row r="13226">
      <c r="A13226" s="3" t="inlineStr">
        <is>
          <t>Opportunity Management Holdings (PTY) LTD</t>
        </is>
      </c>
      <c r="B13226" s="4" t="n">
        <v>44985</v>
      </c>
      <c r="C13226" s="3" t="inlineStr">
        <is>
          <t>Liabilities</t>
        </is>
      </c>
      <c r="D13226" s="3" t="inlineStr">
        <is>
          <t>9100/000</t>
        </is>
      </c>
      <c r="E13226" s="3" t="inlineStr">
        <is>
          <t>PAYE/UIF/SDL Accrual - Prior Years ADJ</t>
        </is>
      </c>
      <c r="F13226" s="3" t="n">
        <v>0</v>
      </c>
      <c r="G13226" s="3" t="n">
        <v>-33739.36</v>
      </c>
    </row>
    <row r="13227">
      <c r="A13227" s="3" t="inlineStr">
        <is>
          <t>Opportunity Management Holdings (PTY) LTD</t>
        </is>
      </c>
      <c r="B13227" s="4" t="n">
        <v>44985</v>
      </c>
      <c r="C13227" s="3" t="inlineStr">
        <is>
          <t>Assets</t>
        </is>
      </c>
      <c r="D13227" s="3" t="inlineStr">
        <is>
          <t>9110/000</t>
        </is>
      </c>
      <c r="E13227" s="3" t="inlineStr">
        <is>
          <t>Deposit Received</t>
        </is>
      </c>
      <c r="F13227" s="3" t="n">
        <v>0</v>
      </c>
      <c r="G13227" s="3" t="n">
        <v>-3852.5</v>
      </c>
    </row>
    <row r="13228">
      <c r="A13228" s="3" t="inlineStr">
        <is>
          <t>Opportunity Global Investment (PTY) LTD</t>
        </is>
      </c>
      <c r="B13228" s="4" t="n">
        <v>44985</v>
      </c>
      <c r="C13228" s="3" t="inlineStr">
        <is>
          <t>Liabilities</t>
        </is>
      </c>
      <c r="D13228" s="3" t="inlineStr">
        <is>
          <t>9110/000</t>
        </is>
      </c>
      <c r="E13228" s="3" t="inlineStr">
        <is>
          <t>Taxation B/S</t>
        </is>
      </c>
      <c r="F13228" s="3" t="n">
        <v>57465.03</v>
      </c>
      <c r="G13228" s="3" t="n">
        <v>57442.84</v>
      </c>
    </row>
    <row r="13229">
      <c r="A13229" s="3" t="inlineStr">
        <is>
          <t>Noble Shield (Pty) Ltd ta Go Letting</t>
        </is>
      </c>
      <c r="B13229" s="4" t="n">
        <v>44985</v>
      </c>
      <c r="C13229" s="3" t="inlineStr">
        <is>
          <t>Liabilities</t>
        </is>
      </c>
      <c r="D13229" s="3" t="inlineStr">
        <is>
          <t>9250/010</t>
        </is>
      </c>
      <c r="E13229" s="3" t="inlineStr">
        <is>
          <t>SALARY CONTROL</t>
        </is>
      </c>
      <c r="F13229" s="3" t="n">
        <v>187.76</v>
      </c>
      <c r="G13229" s="3" t="n">
        <v>-17569.41</v>
      </c>
    </row>
    <row r="13230">
      <c r="A13230" s="3" t="inlineStr">
        <is>
          <t>Trademark Holdings (Pty) Ltd</t>
        </is>
      </c>
      <c r="B13230" s="4" t="n">
        <v>44985</v>
      </c>
      <c r="C13230" s="3" t="inlineStr">
        <is>
          <t>Liabilities</t>
        </is>
      </c>
      <c r="D13230" s="3" t="inlineStr">
        <is>
          <t>9250/010</t>
        </is>
      </c>
      <c r="E13230" s="3" t="inlineStr">
        <is>
          <t>SALARY CONTROL</t>
        </is>
      </c>
      <c r="F13230" s="3" t="n">
        <v>1881.75</v>
      </c>
      <c r="G13230" s="3" t="n">
        <v>-17448.62</v>
      </c>
    </row>
    <row r="13231">
      <c r="A13231" s="3" t="inlineStr">
        <is>
          <t>Noble Shield (Pty) Ltd ta Go Letting</t>
        </is>
      </c>
      <c r="B13231" s="4" t="n">
        <v>44985</v>
      </c>
      <c r="C13231" s="3" t="inlineStr">
        <is>
          <t>Liabilities</t>
        </is>
      </c>
      <c r="D13231" s="3" t="inlineStr">
        <is>
          <t>9250/020</t>
        </is>
      </c>
      <c r="E13231" s="3" t="inlineStr">
        <is>
          <t>PAYE, UIF AND SDL CONTROL</t>
        </is>
      </c>
      <c r="F13231" s="3" t="n">
        <v>68.64</v>
      </c>
      <c r="G13231" s="3" t="n">
        <v>-5972.92</v>
      </c>
    </row>
    <row r="13232">
      <c r="A13232" s="3" t="inlineStr">
        <is>
          <t>Opportunity Global Investment (PTY) LTD</t>
        </is>
      </c>
      <c r="B13232" s="4" t="n">
        <v>44985</v>
      </c>
      <c r="C13232" s="3" t="inlineStr">
        <is>
          <t>Liabilities</t>
        </is>
      </c>
      <c r="D13232" s="3" t="inlineStr">
        <is>
          <t>9250/020</t>
        </is>
      </c>
      <c r="E13232" s="3" t="inlineStr">
        <is>
          <t>PAYE, UIF AND SDL CONTROL</t>
        </is>
      </c>
      <c r="F13232" s="3" t="n">
        <v>-1945.58</v>
      </c>
      <c r="G13232" s="3" t="n">
        <v>-46657.55</v>
      </c>
    </row>
    <row r="13233">
      <c r="A13233" s="3" t="inlineStr">
        <is>
          <t>Opportunity Management Holdings (PTY) LTD</t>
        </is>
      </c>
      <c r="B13233" s="4" t="n">
        <v>44985</v>
      </c>
      <c r="C13233" s="3" t="inlineStr">
        <is>
          <t>Liabilities</t>
        </is>
      </c>
      <c r="D13233" s="3" t="inlineStr">
        <is>
          <t>9250/020</t>
        </is>
      </c>
      <c r="E13233" s="3" t="inlineStr">
        <is>
          <t>PAYE, UIF AND SDL CONTROL</t>
        </is>
      </c>
      <c r="F13233" s="3" t="n">
        <v>-5052.68</v>
      </c>
      <c r="G13233" s="3" t="n">
        <v>-60686.88</v>
      </c>
    </row>
    <row r="13234">
      <c r="A13234" s="3" t="inlineStr">
        <is>
          <t>Trademark Holdings (Pty) Ltd</t>
        </is>
      </c>
      <c r="B13234" s="4" t="n">
        <v>44985</v>
      </c>
      <c r="C13234" s="3" t="inlineStr">
        <is>
          <t>Liabilities</t>
        </is>
      </c>
      <c r="D13234" s="3" t="inlineStr">
        <is>
          <t>9250/020</t>
        </is>
      </c>
      <c r="E13234" s="3" t="inlineStr">
        <is>
          <t>PAYE, UIF AND SDL CONTROL</t>
        </is>
      </c>
      <c r="F13234" s="3" t="n">
        <v>872.87</v>
      </c>
      <c r="G13234" s="3" t="n">
        <v>-4990.06</v>
      </c>
    </row>
    <row r="13235">
      <c r="A13235" s="3" t="inlineStr">
        <is>
          <t>Opportunity Global Investment (PTY) LTD</t>
        </is>
      </c>
      <c r="B13235" s="4" t="n">
        <v>44985</v>
      </c>
      <c r="C13235" s="3" t="inlineStr">
        <is>
          <t>Liabilities</t>
        </is>
      </c>
      <c r="D13235" s="3" t="inlineStr">
        <is>
          <t>9400/030</t>
        </is>
      </c>
      <c r="E13235" s="3" t="inlineStr">
        <is>
          <t>Accrued Expenses - PAYE_AND_UIF</t>
        </is>
      </c>
      <c r="F13235" s="3" t="n">
        <v>0</v>
      </c>
      <c r="G13235" s="3" t="n">
        <v>-2</v>
      </c>
    </row>
    <row r="13236">
      <c r="A13236" s="3" t="inlineStr">
        <is>
          <t>Trademark Holdings (Pty) Ltd</t>
        </is>
      </c>
      <c r="B13236" s="4" t="n">
        <v>44985</v>
      </c>
      <c r="C13236" s="3" t="inlineStr">
        <is>
          <t>Liabilities</t>
        </is>
      </c>
      <c r="D13236" s="3" t="inlineStr">
        <is>
          <t>9400/400</t>
        </is>
      </c>
      <c r="E13236" s="3" t="inlineStr">
        <is>
          <t>Deemed Dividend Tax</t>
        </is>
      </c>
      <c r="F13236" s="3" t="n">
        <v>0</v>
      </c>
      <c r="G13236" s="3" t="n">
        <v>-699.13</v>
      </c>
    </row>
    <row r="13237">
      <c r="A13237" s="3" t="inlineStr">
        <is>
          <t>Opportunity Global Investment (PTY) LTD</t>
        </is>
      </c>
      <c r="B13237" s="4" t="n">
        <v>44985</v>
      </c>
      <c r="C13237" s="3" t="inlineStr">
        <is>
          <t>Liabilities</t>
        </is>
      </c>
      <c r="D13237" s="3" t="inlineStr">
        <is>
          <t>9500/000</t>
        </is>
      </c>
      <c r="E13237" s="3" t="inlineStr">
        <is>
          <t>VAT Control Account</t>
        </is>
      </c>
      <c r="F13237" s="3" t="n">
        <v>-12591.12</v>
      </c>
      <c r="G13237" s="3" t="n">
        <v>518986.7</v>
      </c>
    </row>
    <row r="13238">
      <c r="A13238" s="3" t="inlineStr">
        <is>
          <t>Opportunity Global Sales (PTY) LTD</t>
        </is>
      </c>
      <c r="B13238" s="4" t="n">
        <v>44985</v>
      </c>
      <c r="C13238" s="3" t="inlineStr">
        <is>
          <t>Liabilities</t>
        </is>
      </c>
      <c r="D13238" s="3" t="inlineStr">
        <is>
          <t>9500/000</t>
        </is>
      </c>
      <c r="E13238" s="3" t="inlineStr">
        <is>
          <t>VAT Control Account</t>
        </is>
      </c>
      <c r="F13238" s="3" t="n">
        <v>-61743.09</v>
      </c>
      <c r="G13238" s="3" t="n">
        <v>-660302.5</v>
      </c>
    </row>
    <row r="13239">
      <c r="A13239" s="3" t="inlineStr">
        <is>
          <t>Opportunity Management Holdings (PTY) LTD</t>
        </is>
      </c>
      <c r="B13239" s="4" t="n">
        <v>44985</v>
      </c>
      <c r="C13239" s="3" t="inlineStr">
        <is>
          <t>Liabilities</t>
        </is>
      </c>
      <c r="D13239" s="3" t="inlineStr">
        <is>
          <t>9500/000</t>
        </is>
      </c>
      <c r="E13239" s="3" t="inlineStr">
        <is>
          <t>VAT Control Account</t>
        </is>
      </c>
      <c r="F13239" s="3" t="n">
        <v>55189.65</v>
      </c>
      <c r="G13239" s="3" t="n">
        <v>124088.94</v>
      </c>
    </row>
    <row r="13240">
      <c r="A13240" s="3" t="inlineStr">
        <is>
          <t>Endulini (Pty) Ltd</t>
        </is>
      </c>
      <c r="B13240" s="4" t="n">
        <v>44985</v>
      </c>
      <c r="C13240" s="3" t="inlineStr">
        <is>
          <t>Liabilities</t>
        </is>
      </c>
      <c r="D13240" s="3" t="inlineStr">
        <is>
          <t>9500/000</t>
        </is>
      </c>
      <c r="E13240" s="3" t="inlineStr">
        <is>
          <t>Vat / Tax Control Account</t>
        </is>
      </c>
      <c r="F13240" s="3" t="n">
        <v>261867.8</v>
      </c>
      <c r="G13240" s="3" t="n">
        <v>-2068160.26</v>
      </c>
    </row>
    <row r="13241">
      <c r="A13241" s="3" t="inlineStr">
        <is>
          <t>Quinate Consulting (Pty) Ltd</t>
        </is>
      </c>
      <c r="B13241" s="4" t="n">
        <v>44985</v>
      </c>
      <c r="C13241" s="3" t="inlineStr">
        <is>
          <t>Liabilities</t>
        </is>
      </c>
      <c r="D13241" s="3" t="inlineStr">
        <is>
          <t>9500/000</t>
        </is>
      </c>
      <c r="E13241" s="3" t="inlineStr">
        <is>
          <t>Vat Control Account</t>
        </is>
      </c>
      <c r="F13241" s="3" t="n">
        <v>39098.52</v>
      </c>
      <c r="G13241" s="3" t="n">
        <v>2019689.39</v>
      </c>
    </row>
    <row r="13242">
      <c r="A13242" s="3" t="inlineStr">
        <is>
          <t>Opportunity Management Holdings (PTY) LTD</t>
        </is>
      </c>
      <c r="B13242" s="4" t="n">
        <v>44985</v>
      </c>
      <c r="C13242" s="3" t="inlineStr">
        <is>
          <t>Liabilities</t>
        </is>
      </c>
      <c r="D13242" s="3" t="inlineStr">
        <is>
          <t>9501/000</t>
        </is>
      </c>
      <c r="E13242" s="3" t="inlineStr">
        <is>
          <t>Vat Adjustments - C2M</t>
        </is>
      </c>
      <c r="F13242" s="3" t="n">
        <v>0</v>
      </c>
      <c r="G13242" s="3" t="n">
        <v>47274.04</v>
      </c>
    </row>
    <row r="13243">
      <c r="A13243" s="3" t="inlineStr">
        <is>
          <t>Endulini (Pty) Ltd</t>
        </is>
      </c>
      <c r="B13243" s="4" t="n">
        <v>44985</v>
      </c>
      <c r="C13243" s="3" t="inlineStr">
        <is>
          <t>Liabilities</t>
        </is>
      </c>
      <c r="D13243" s="3" t="inlineStr">
        <is>
          <t>9899/A101</t>
        </is>
      </c>
      <c r="E13243" s="3" t="inlineStr">
        <is>
          <t>Sales - Unit Reg Control A101</t>
        </is>
      </c>
      <c r="F13243" s="3" t="n">
        <v>1134.24</v>
      </c>
      <c r="G13243" s="3" t="n">
        <v>0</v>
      </c>
    </row>
    <row r="13244">
      <c r="A13244" s="3" t="inlineStr">
        <is>
          <t>Endulini (Pty) Ltd</t>
        </is>
      </c>
      <c r="B13244" s="4" t="n">
        <v>44985</v>
      </c>
      <c r="C13244" s="3" t="inlineStr">
        <is>
          <t>Liabilities</t>
        </is>
      </c>
      <c r="D13244" s="3" t="inlineStr">
        <is>
          <t>9899/A103</t>
        </is>
      </c>
      <c r="E13244" s="3" t="inlineStr">
        <is>
          <t>Sales - Unit Reg Control A103</t>
        </is>
      </c>
      <c r="F13244" s="3" t="n">
        <v>-79995</v>
      </c>
      <c r="G13244" s="3" t="n">
        <v>0</v>
      </c>
    </row>
    <row r="13245">
      <c r="A13245" s="3" t="inlineStr">
        <is>
          <t>Endulini (Pty) Ltd</t>
        </is>
      </c>
      <c r="B13245" s="4" t="n">
        <v>44985</v>
      </c>
      <c r="C13245" s="3" t="inlineStr">
        <is>
          <t>Liabilities</t>
        </is>
      </c>
      <c r="D13245" s="3" t="inlineStr">
        <is>
          <t>9899/A208</t>
        </is>
      </c>
      <c r="E13245" s="3" t="inlineStr">
        <is>
          <t>Sales - Unit Reg Control A208</t>
        </is>
      </c>
      <c r="F13245" s="3" t="n">
        <v>-134384.93</v>
      </c>
      <c r="G13245" s="3" t="n">
        <v>0</v>
      </c>
    </row>
    <row r="13246">
      <c r="A13246" s="3" t="inlineStr">
        <is>
          <t>Quinate Consulting (Pty) Ltd</t>
        </is>
      </c>
      <c r="B13246" s="4" t="n">
        <v>44985</v>
      </c>
      <c r="C13246" s="3" t="inlineStr">
        <is>
          <t>Liabilities</t>
        </is>
      </c>
      <c r="D13246" s="3" t="inlineStr">
        <is>
          <t>9960/000</t>
        </is>
      </c>
      <c r="E13246" s="3" t="inlineStr">
        <is>
          <t>Deposits - Southwark Rentals</t>
        </is>
      </c>
      <c r="F13246" s="3" t="n">
        <v>0</v>
      </c>
      <c r="G13246" s="3" t="n">
        <v>-11500</v>
      </c>
    </row>
    <row r="13247">
      <c r="A13247" s="3" t="inlineStr">
        <is>
          <t>Noble Shield (Pty) Ltd ta Go Letting</t>
        </is>
      </c>
      <c r="B13247" s="4" t="n">
        <v>44985</v>
      </c>
      <c r="C13247" s="3" t="inlineStr">
        <is>
          <t>Expenses</t>
        </is>
      </c>
      <c r="D13247" s="3" t="inlineStr">
        <is>
          <t>ACB Link</t>
        </is>
      </c>
      <c r="E13247" s="3" t="inlineStr">
        <is>
          <t>Subscriptions - TPN</t>
        </is>
      </c>
      <c r="F13247" s="3" t="n">
        <v>2985.55</v>
      </c>
      <c r="G13247" s="3" t="n">
        <v>14493.98</v>
      </c>
    </row>
    <row r="13248">
      <c r="A13248" s="3" t="inlineStr">
        <is>
          <t>Noble Shield (Pty) Ltd ta Go Letting</t>
        </is>
      </c>
      <c r="B13248" s="4" t="n">
        <v>44985</v>
      </c>
      <c r="C13248" s="3" t="inlineStr">
        <is>
          <t>Liabilities</t>
        </is>
      </c>
      <c r="D13248" s="3" t="inlineStr">
        <is>
          <t>B/S</t>
        </is>
      </c>
      <c r="E13248" s="3" t="inlineStr">
        <is>
          <t>Tax Payable</t>
        </is>
      </c>
      <c r="F13248" s="3" t="n">
        <v>0</v>
      </c>
      <c r="G13248" s="3" t="n">
        <v>-5166.4</v>
      </c>
    </row>
    <row r="13249">
      <c r="A13249" s="3" t="inlineStr">
        <is>
          <t>Quinate Consulting (Pty) Ltd</t>
        </is>
      </c>
      <c r="B13249" s="4" t="n">
        <v>44985</v>
      </c>
      <c r="C13249" s="3" t="inlineStr">
        <is>
          <t>Liabilities</t>
        </is>
      </c>
      <c r="D13249" s="3" t="inlineStr">
        <is>
          <t xml:space="preserve">B/S </t>
        </is>
      </c>
      <c r="E13249" s="3" t="inlineStr">
        <is>
          <t>Taxation Payable</t>
        </is>
      </c>
      <c r="F13249" s="3" t="n">
        <v>0</v>
      </c>
      <c r="G13249" s="3" t="n">
        <v>-15486</v>
      </c>
    </row>
    <row r="13250">
      <c r="A13250" s="3" t="inlineStr">
        <is>
          <t>Quinate Consulting (Pty) Ltd</t>
        </is>
      </c>
      <c r="B13250" s="4" t="n">
        <v>44985</v>
      </c>
      <c r="C13250" s="3" t="inlineStr">
        <is>
          <t>Liabilities</t>
        </is>
      </c>
      <c r="D13250" s="3" t="inlineStr">
        <is>
          <t>FV</t>
        </is>
      </c>
      <c r="E13250" s="3" t="inlineStr">
        <is>
          <t>Loan - Cape Projects Constuction</t>
        </is>
      </c>
      <c r="F13250" s="3" t="n">
        <v>-311187.4</v>
      </c>
      <c r="G13250" s="3" t="n">
        <v>-7411187.4</v>
      </c>
    </row>
    <row r="13251">
      <c r="A13251" s="3" t="inlineStr">
        <is>
          <t>Quinate Consulting (Pty) Ltd</t>
        </is>
      </c>
      <c r="B13251" s="4" t="n">
        <v>44985</v>
      </c>
      <c r="C13251" s="3" t="inlineStr">
        <is>
          <t>Liabilities</t>
        </is>
      </c>
      <c r="D13251" s="3" t="inlineStr">
        <is>
          <t>Sharehold OppDev</t>
        </is>
      </c>
      <c r="E13251" s="3" t="inlineStr">
        <is>
          <t>Loan - Justine Morgan</t>
        </is>
      </c>
      <c r="F13251" s="3" t="n">
        <v>0</v>
      </c>
      <c r="G13251" s="3" t="n">
        <v>-563766.76</v>
      </c>
    </row>
    <row r="13252">
      <c r="A13252" s="3" t="inlineStr">
        <is>
          <t>Opportunity Global Investment (PTY) LTD</t>
        </is>
      </c>
      <c r="B13252" s="4" t="n">
        <v>44985</v>
      </c>
      <c r="C13252" s="3" t="inlineStr">
        <is>
          <t>Expenses</t>
        </is>
      </c>
      <c r="D13252" s="3" t="inlineStr">
        <is>
          <t>Swiftshutter</t>
        </is>
      </c>
      <c r="E13252" s="3" t="inlineStr">
        <is>
          <t>Advertising - Rousseau Lotter</t>
        </is>
      </c>
      <c r="F13252" s="3" t="n">
        <v>0</v>
      </c>
      <c r="G13252" s="3" t="n">
        <v>22000</v>
      </c>
    </row>
    <row r="13253">
      <c r="A13253" s="3" t="inlineStr">
        <is>
          <t>Opportunity Global Sales (PTY) LTD</t>
        </is>
      </c>
      <c r="B13253" s="4" t="n">
        <v>45016</v>
      </c>
      <c r="C13253" s="3" t="inlineStr">
        <is>
          <t>Revenue</t>
        </is>
      </c>
      <c r="D13253" s="3" t="inlineStr">
        <is>
          <t>1000/009</t>
        </is>
      </c>
      <c r="E13253" s="3" t="inlineStr">
        <is>
          <t>Sales - Comm on Payprop</t>
        </is>
      </c>
      <c r="F13253" s="3" t="n">
        <v>-14480.78</v>
      </c>
      <c r="G13253" s="3" t="n">
        <v>-14480.78</v>
      </c>
    </row>
    <row r="13254">
      <c r="A13254" s="3" t="inlineStr">
        <is>
          <t>Quinate Consulting (Pty) Ltd</t>
        </is>
      </c>
      <c r="B13254" s="4" t="n">
        <v>45016</v>
      </c>
      <c r="C13254" s="3" t="inlineStr">
        <is>
          <t>Revenue</t>
        </is>
      </c>
      <c r="D13254" s="3" t="inlineStr">
        <is>
          <t>1000/011</t>
        </is>
      </c>
      <c r="E13254" s="3" t="inlineStr">
        <is>
          <t>Rent Received - Soho Unit 23</t>
        </is>
      </c>
      <c r="F13254" s="3" t="n">
        <v>-12500</v>
      </c>
      <c r="G13254" s="3" t="n">
        <v>-12500</v>
      </c>
    </row>
    <row r="13255">
      <c r="A13255" s="3" t="inlineStr">
        <is>
          <t>Quinate Consulting (Pty) Ltd</t>
        </is>
      </c>
      <c r="B13255" s="4" t="n">
        <v>45016</v>
      </c>
      <c r="C13255" s="3" t="inlineStr">
        <is>
          <t>Revenue</t>
        </is>
      </c>
      <c r="D13255" s="3" t="inlineStr">
        <is>
          <t>1000/012</t>
        </is>
      </c>
      <c r="E13255" s="3" t="inlineStr">
        <is>
          <t>Rent Received - Soho Unit 24</t>
        </is>
      </c>
      <c r="F13255" s="3" t="n">
        <v>-14445</v>
      </c>
      <c r="G13255" s="3" t="n">
        <v>-14445</v>
      </c>
    </row>
    <row r="13256">
      <c r="A13256" s="3" t="inlineStr">
        <is>
          <t>Quinate Consulting (Pty) Ltd</t>
        </is>
      </c>
      <c r="B13256" s="4" t="n">
        <v>45016</v>
      </c>
      <c r="C13256" s="3" t="inlineStr">
        <is>
          <t>Revenue</t>
        </is>
      </c>
      <c r="D13256" s="3" t="inlineStr">
        <is>
          <t>1000/013</t>
        </is>
      </c>
      <c r="E13256" s="3" t="inlineStr">
        <is>
          <t>Rent Recieved - Soho Unit 20</t>
        </is>
      </c>
      <c r="F13256" s="3" t="n">
        <v>-12500</v>
      </c>
      <c r="G13256" s="3" t="n">
        <v>-12500</v>
      </c>
    </row>
    <row r="13257">
      <c r="A13257" s="3" t="inlineStr">
        <is>
          <t>Quinate Consulting (Pty) Ltd</t>
        </is>
      </c>
      <c r="B13257" s="4" t="n">
        <v>45016</v>
      </c>
      <c r="C13257" s="3" t="inlineStr">
        <is>
          <t>Revenue</t>
        </is>
      </c>
      <c r="D13257" s="3" t="inlineStr">
        <is>
          <t>1000/016</t>
        </is>
      </c>
      <c r="E13257" s="3" t="inlineStr">
        <is>
          <t>Rent Recieved - Southwark Unit 21</t>
        </is>
      </c>
      <c r="F13257" s="3" t="n">
        <v>-10000</v>
      </c>
      <c r="G13257" s="3" t="n">
        <v>-10000</v>
      </c>
    </row>
    <row r="13258">
      <c r="A13258" s="3" t="inlineStr">
        <is>
          <t>Noble Shield (Pty) Ltd ta Go Letting</t>
        </is>
      </c>
      <c r="B13258" s="4" t="n">
        <v>45016</v>
      </c>
      <c r="C13258" s="3" t="inlineStr">
        <is>
          <t>Revenue</t>
        </is>
      </c>
      <c r="D13258" s="3" t="inlineStr">
        <is>
          <t>1000/100</t>
        </is>
      </c>
      <c r="E13258" s="3" t="inlineStr">
        <is>
          <t>Sales - Payprop 328 - Michelle</t>
        </is>
      </c>
      <c r="F13258" s="3" t="n">
        <v>-83318.96000000001</v>
      </c>
      <c r="G13258" s="3" t="n">
        <v>-540904.46</v>
      </c>
    </row>
    <row r="13259">
      <c r="A13259" s="3" t="inlineStr">
        <is>
          <t>Opportunity Global Sales (PTY) LTD</t>
        </is>
      </c>
      <c r="B13259" s="4" t="n">
        <v>45016</v>
      </c>
      <c r="C13259" s="3" t="inlineStr">
        <is>
          <t>Revenue</t>
        </is>
      </c>
      <c r="D13259" s="3" t="inlineStr">
        <is>
          <t>1000/120</t>
        </is>
      </c>
      <c r="E13259" s="3" t="inlineStr">
        <is>
          <t>Sales - Admin Fees on Rental Units</t>
        </is>
      </c>
      <c r="F13259" s="3" t="n">
        <v>-3478.24</v>
      </c>
      <c r="G13259" s="3" t="n">
        <v>-3478.24</v>
      </c>
    </row>
    <row r="13260">
      <c r="A13260" s="3" t="inlineStr">
        <is>
          <t>Opportunity Global Sales (PTY) LTD</t>
        </is>
      </c>
      <c r="B13260" s="4" t="n">
        <v>45016</v>
      </c>
      <c r="C13260" s="3" t="inlineStr">
        <is>
          <t>Revenue</t>
        </is>
      </c>
      <c r="D13260" s="3" t="inlineStr">
        <is>
          <t>1000/121</t>
        </is>
      </c>
      <c r="E13260" s="3" t="inlineStr">
        <is>
          <t>Sales - Admin Fees on Rental Units Endulini</t>
        </is>
      </c>
      <c r="F13260" s="3" t="n">
        <v>-434.78</v>
      </c>
      <c r="G13260" s="3" t="n">
        <v>-434.78</v>
      </c>
    </row>
    <row r="13261">
      <c r="A13261" s="3" t="inlineStr">
        <is>
          <t>Opportunity Global Sales (PTY) LTD</t>
        </is>
      </c>
      <c r="B13261" s="4" t="n">
        <v>45016</v>
      </c>
      <c r="C13261" s="3" t="inlineStr">
        <is>
          <t>Revenue</t>
        </is>
      </c>
      <c r="D13261" s="3" t="inlineStr">
        <is>
          <t>1000/122</t>
        </is>
      </c>
      <c r="E13261" s="3" t="inlineStr">
        <is>
          <t>Sales - Admin Fees on Rental Units Heron Fields</t>
        </is>
      </c>
      <c r="F13261" s="3" t="n">
        <v>-1739.14</v>
      </c>
      <c r="G13261" s="3" t="n">
        <v>-1739.14</v>
      </c>
    </row>
    <row r="13262">
      <c r="A13262" s="3" t="inlineStr">
        <is>
          <t>Opportunity Global Sales (PTY) LTD</t>
        </is>
      </c>
      <c r="B13262" s="4" t="n">
        <v>45016</v>
      </c>
      <c r="C13262" s="3" t="inlineStr">
        <is>
          <t>Revenue</t>
        </is>
      </c>
      <c r="D13262" s="3" t="inlineStr">
        <is>
          <t>1000/150</t>
        </is>
      </c>
      <c r="E13262" s="3" t="inlineStr">
        <is>
          <t>Sales - Comm on External Rental</t>
        </is>
      </c>
      <c r="F13262" s="3" t="n">
        <v>-29999.99</v>
      </c>
      <c r="G13262" s="3" t="n">
        <v>-29999.99</v>
      </c>
    </row>
    <row r="13263">
      <c r="A13263" s="3" t="inlineStr">
        <is>
          <t>Opportunity Global Sales (PTY) LTD</t>
        </is>
      </c>
      <c r="B13263" s="4" t="n">
        <v>45016</v>
      </c>
      <c r="C13263" s="3" t="inlineStr">
        <is>
          <t>Revenue</t>
        </is>
      </c>
      <c r="D13263" s="3" t="inlineStr">
        <is>
          <t>1000/300</t>
        </is>
      </c>
      <c r="E13263" s="3" t="inlineStr">
        <is>
          <t>Sales - Comm on Heron Fields</t>
        </is>
      </c>
      <c r="F13263" s="3" t="n">
        <v>-906591.3</v>
      </c>
      <c r="G13263" s="3" t="n">
        <v>-906591.3</v>
      </c>
    </row>
    <row r="13264">
      <c r="A13264" s="3" t="inlineStr">
        <is>
          <t>Trademark Holdings (Pty) Ltd</t>
        </is>
      </c>
      <c r="B13264" s="4" t="n">
        <v>45016</v>
      </c>
      <c r="C13264" s="3" t="inlineStr">
        <is>
          <t>Revenue</t>
        </is>
      </c>
      <c r="D13264" s="3" t="inlineStr">
        <is>
          <t>1000/300</t>
        </is>
      </c>
      <c r="E13264" s="3" t="inlineStr">
        <is>
          <t>Sales - Payprop - Lara</t>
        </is>
      </c>
      <c r="F13264" s="3" t="n">
        <v>-89943.85000000001</v>
      </c>
      <c r="G13264" s="3" t="n">
        <v>-615189.09</v>
      </c>
    </row>
    <row r="13265">
      <c r="A13265" s="3" t="inlineStr">
        <is>
          <t>Opportunity Global Investment (PTY) LTD</t>
        </is>
      </c>
      <c r="B13265" s="4" t="n">
        <v>45016</v>
      </c>
      <c r="C13265" s="3" t="inlineStr">
        <is>
          <t>Revenue</t>
        </is>
      </c>
      <c r="D13265" s="3" t="inlineStr">
        <is>
          <t>1000/360</t>
        </is>
      </c>
      <c r="E13265" s="3" t="inlineStr">
        <is>
          <t>Sales - Investor Management - Heron View</t>
        </is>
      </c>
      <c r="F13265" s="3" t="n">
        <v>-1826086.96</v>
      </c>
      <c r="G13265" s="3" t="n">
        <v>-1826086.96</v>
      </c>
    </row>
    <row r="13266">
      <c r="A13266" s="3" t="inlineStr">
        <is>
          <t>Noble Shield (Pty) Ltd ta Go Letting</t>
        </is>
      </c>
      <c r="B13266" s="4" t="n">
        <v>45016</v>
      </c>
      <c r="C13266" s="3" t="inlineStr">
        <is>
          <t>Revenue</t>
        </is>
      </c>
      <c r="D13266" s="3" t="inlineStr">
        <is>
          <t>1000/420</t>
        </is>
      </c>
      <c r="E13266" s="3" t="inlineStr">
        <is>
          <t>Sales - Commission Received - External</t>
        </is>
      </c>
      <c r="F13266" s="3" t="n">
        <v>0</v>
      </c>
      <c r="G13266" s="3" t="n">
        <v>-30000</v>
      </c>
    </row>
    <row r="13267">
      <c r="A13267" s="3" t="inlineStr">
        <is>
          <t>Trademark Holdings (Pty) Ltd</t>
        </is>
      </c>
      <c r="B13267" s="4" t="n">
        <v>45016</v>
      </c>
      <c r="C13267" s="3" t="inlineStr">
        <is>
          <t>Revenue</t>
        </is>
      </c>
      <c r="D13267" s="3" t="inlineStr">
        <is>
          <t>1000/500</t>
        </is>
      </c>
      <c r="E13267" s="3" t="inlineStr">
        <is>
          <t>Sales - Commission external sale</t>
        </is>
      </c>
      <c r="F13267" s="3" t="n">
        <v>0</v>
      </c>
      <c r="G13267" s="3" t="n">
        <v>-80000</v>
      </c>
    </row>
    <row r="13268">
      <c r="A13268" s="3" t="inlineStr">
        <is>
          <t>Quinate Consulting (Pty) Ltd</t>
        </is>
      </c>
      <c r="B13268" s="4" t="n">
        <v>45016</v>
      </c>
      <c r="C13268" s="3" t="inlineStr">
        <is>
          <t>Revenue</t>
        </is>
      </c>
      <c r="D13268" s="3" t="inlineStr">
        <is>
          <t>1004/000</t>
        </is>
      </c>
      <c r="E13268" s="3" t="inlineStr">
        <is>
          <t>Interest received</t>
        </is>
      </c>
      <c r="F13268" s="3" t="n">
        <v>-748.17</v>
      </c>
      <c r="G13268" s="3" t="n">
        <v>-748.17</v>
      </c>
    </row>
    <row r="13269">
      <c r="A13269" s="3" t="inlineStr">
        <is>
          <t>Quinate Consulting (Pty) Ltd</t>
        </is>
      </c>
      <c r="B13269" s="4" t="n">
        <v>45016</v>
      </c>
      <c r="C13269" s="3" t="inlineStr">
        <is>
          <t>Revenue</t>
        </is>
      </c>
      <c r="D13269" s="3" t="inlineStr">
        <is>
          <t>1006/100</t>
        </is>
      </c>
      <c r="E13269" s="3" t="inlineStr">
        <is>
          <t>Rental income - Payprop</t>
        </is>
      </c>
      <c r="F13269" s="3" t="n">
        <v>-82187.86</v>
      </c>
      <c r="G13269" s="3" t="n">
        <v>-82187.86</v>
      </c>
    </row>
    <row r="13270">
      <c r="A13270" s="3" t="inlineStr">
        <is>
          <t>Opportunity Management Holdings (PTY) LTD</t>
        </is>
      </c>
      <c r="B13270" s="4" t="n">
        <v>45016</v>
      </c>
      <c r="C13270" s="3" t="inlineStr">
        <is>
          <t>Revenue</t>
        </is>
      </c>
      <c r="D13270" s="3" t="inlineStr">
        <is>
          <t>1100/001</t>
        </is>
      </c>
      <c r="E13270" s="3" t="inlineStr">
        <is>
          <t>Salary Recharges</t>
        </is>
      </c>
      <c r="F13270" s="3" t="n">
        <v>-371102.84</v>
      </c>
      <c r="G13270" s="3" t="n">
        <v>-2534249.06</v>
      </c>
    </row>
    <row r="13271">
      <c r="A13271" s="3" t="inlineStr">
        <is>
          <t>Endulini (Pty) Ltd</t>
        </is>
      </c>
      <c r="B13271" s="4" t="n">
        <v>45016</v>
      </c>
      <c r="C13271" s="3" t="inlineStr">
        <is>
          <t>Expenses</t>
        </is>
      </c>
      <c r="D13271" s="3" t="inlineStr">
        <is>
          <t>2000/001</t>
        </is>
      </c>
      <c r="E13271" s="3" t="inlineStr">
        <is>
          <t>COS - CIP Construction</t>
        </is>
      </c>
      <c r="F13271" s="3" t="n">
        <v>2000</v>
      </c>
      <c r="G13271" s="3" t="n">
        <v>2000</v>
      </c>
    </row>
    <row r="13272">
      <c r="A13272" s="3" t="inlineStr">
        <is>
          <t>Opportunity Global Sales (PTY) LTD</t>
        </is>
      </c>
      <c r="B13272" s="4" t="n">
        <v>45016</v>
      </c>
      <c r="C13272" s="3" t="inlineStr">
        <is>
          <t>Expenses</t>
        </is>
      </c>
      <c r="D13272" s="3" t="inlineStr">
        <is>
          <t>2000/010</t>
        </is>
      </c>
      <c r="E13272" s="3" t="inlineStr">
        <is>
          <t>COS - PAYE on Commission</t>
        </is>
      </c>
      <c r="F13272" s="3" t="n">
        <v>28288.66</v>
      </c>
      <c r="G13272" s="3" t="n">
        <v>28288.66</v>
      </c>
    </row>
    <row r="13273">
      <c r="A13273" s="3" t="inlineStr">
        <is>
          <t>Noble Shield (Pty) Ltd ta Go Letting</t>
        </is>
      </c>
      <c r="B13273" s="4" t="n">
        <v>45016</v>
      </c>
      <c r="C13273" s="3" t="inlineStr">
        <is>
          <t>Expenses</t>
        </is>
      </c>
      <c r="D13273" s="3" t="inlineStr">
        <is>
          <t>2000/100</t>
        </is>
      </c>
      <c r="E13273" s="3" t="inlineStr">
        <is>
          <t>COS - Commission Paid</t>
        </is>
      </c>
      <c r="F13273" s="3" t="n">
        <v>15413.84</v>
      </c>
      <c r="G13273" s="3" t="n">
        <v>189555.61</v>
      </c>
    </row>
    <row r="13274">
      <c r="A13274" s="3" t="inlineStr">
        <is>
          <t>Opportunity Global Sales (PTY) LTD</t>
        </is>
      </c>
      <c r="B13274" s="4" t="n">
        <v>45016</v>
      </c>
      <c r="C13274" s="3" t="inlineStr">
        <is>
          <t>Expenses</t>
        </is>
      </c>
      <c r="D13274" s="3" t="inlineStr">
        <is>
          <t>2000/125</t>
        </is>
      </c>
      <c r="E13274" s="3" t="inlineStr">
        <is>
          <t>Commission Paid - Referal commission</t>
        </is>
      </c>
      <c r="F13274" s="3" t="n">
        <v>74342.61</v>
      </c>
      <c r="G13274" s="3" t="n">
        <v>74342.61</v>
      </c>
    </row>
    <row r="13275">
      <c r="A13275" s="3" t="inlineStr">
        <is>
          <t>Opportunity Global Investment (PTY) LTD</t>
        </is>
      </c>
      <c r="B13275" s="4" t="n">
        <v>45016</v>
      </c>
      <c r="C13275" s="3" t="inlineStr">
        <is>
          <t>Expenses</t>
        </is>
      </c>
      <c r="D13275" s="3" t="inlineStr">
        <is>
          <t>2000/135</t>
        </is>
      </c>
      <c r="E13275" s="3" t="inlineStr">
        <is>
          <t>Referral commission - Heron View</t>
        </is>
      </c>
      <c r="F13275" s="3" t="n">
        <v>8731.209999999999</v>
      </c>
      <c r="G13275" s="3" t="n">
        <v>8731.209999999999</v>
      </c>
    </row>
    <row r="13276">
      <c r="A13276" s="3" t="inlineStr">
        <is>
          <t>Opportunity Global Sales (PTY) LTD</t>
        </is>
      </c>
      <c r="B13276" s="4" t="n">
        <v>45016</v>
      </c>
      <c r="C13276" s="3" t="inlineStr">
        <is>
          <t>Expenses</t>
        </is>
      </c>
      <c r="D13276" s="3" t="inlineStr">
        <is>
          <t>2000/137</t>
        </is>
      </c>
      <c r="E13276" s="3" t="inlineStr">
        <is>
          <t>COS - Rental Comm External - Minette</t>
        </is>
      </c>
      <c r="F13276" s="3" t="n">
        <v>34310</v>
      </c>
      <c r="G13276" s="3" t="n">
        <v>34310</v>
      </c>
    </row>
    <row r="13277">
      <c r="A13277" s="3" t="inlineStr">
        <is>
          <t>Opportunity Global Sales (PTY) LTD</t>
        </is>
      </c>
      <c r="B13277" s="4" t="n">
        <v>45016</v>
      </c>
      <c r="C13277" s="3" t="inlineStr">
        <is>
          <t>Expenses</t>
        </is>
      </c>
      <c r="D13277" s="3" t="inlineStr">
        <is>
          <t>2000/139</t>
        </is>
      </c>
      <c r="E13277" s="3" t="inlineStr">
        <is>
          <t>COS - Sales Comm Heron Fields - Minette</t>
        </is>
      </c>
      <c r="F13277" s="3" t="n">
        <v>26084.87</v>
      </c>
      <c r="G13277" s="3" t="n">
        <v>26084.87</v>
      </c>
    </row>
    <row r="13278">
      <c r="A13278" s="3" t="inlineStr">
        <is>
          <t>Opportunity Global Investment (PTY) LTD</t>
        </is>
      </c>
      <c r="B13278" s="4" t="n">
        <v>45016</v>
      </c>
      <c r="C13278" s="3" t="inlineStr">
        <is>
          <t>Expenses</t>
        </is>
      </c>
      <c r="D13278" s="3" t="inlineStr">
        <is>
          <t>2000/140</t>
        </is>
      </c>
      <c r="E13278" s="3" t="inlineStr">
        <is>
          <t>Referral commission - F Geldenhuys</t>
        </is>
      </c>
      <c r="F13278" s="3" t="n">
        <v>12000</v>
      </c>
      <c r="G13278" s="3" t="n">
        <v>12000</v>
      </c>
    </row>
    <row r="13279">
      <c r="A13279" s="3" t="inlineStr">
        <is>
          <t>Opportunity Global Investment (PTY) LTD</t>
        </is>
      </c>
      <c r="B13279" s="4" t="n">
        <v>45016</v>
      </c>
      <c r="C13279" s="3" t="inlineStr">
        <is>
          <t>Expenses</t>
        </is>
      </c>
      <c r="D13279" s="3" t="inlineStr">
        <is>
          <t>2000/145</t>
        </is>
      </c>
      <c r="E13279" s="3" t="inlineStr">
        <is>
          <t>Referral commission - W Thomason</t>
        </is>
      </c>
      <c r="F13279" s="3" t="n">
        <v>12000</v>
      </c>
      <c r="G13279" s="3" t="n">
        <v>12000</v>
      </c>
    </row>
    <row r="13280">
      <c r="A13280" s="3" t="inlineStr">
        <is>
          <t>Opportunity Global Sales (PTY) LTD</t>
        </is>
      </c>
      <c r="B13280" s="4" t="n">
        <v>45016</v>
      </c>
      <c r="C13280" s="3" t="inlineStr">
        <is>
          <t>Expenses</t>
        </is>
      </c>
      <c r="D13280" s="3" t="inlineStr">
        <is>
          <t>2000/147</t>
        </is>
      </c>
      <c r="E13280" s="3" t="inlineStr">
        <is>
          <t>COS - Sales Comm Heron Fields - Yvette</t>
        </is>
      </c>
      <c r="F13280" s="3" t="n">
        <v>22851.62</v>
      </c>
      <c r="G13280" s="3" t="n">
        <v>22851.62</v>
      </c>
    </row>
    <row r="13281">
      <c r="A13281" s="3" t="inlineStr">
        <is>
          <t>Endulini (Pty) Ltd</t>
        </is>
      </c>
      <c r="B13281" s="4" t="n">
        <v>45016</v>
      </c>
      <c r="C13281" s="3" t="inlineStr">
        <is>
          <t>Expenses</t>
        </is>
      </c>
      <c r="D13281" s="3" t="inlineStr">
        <is>
          <t>2000/150</t>
        </is>
      </c>
      <c r="E13281" s="3" t="inlineStr">
        <is>
          <t>COS - Levies special agreement</t>
        </is>
      </c>
      <c r="F13281" s="3" t="n">
        <v>8762.940000000001</v>
      </c>
      <c r="G13281" s="3" t="n">
        <v>8762.940000000001</v>
      </c>
    </row>
    <row r="13282">
      <c r="A13282" s="3" t="inlineStr">
        <is>
          <t>Opportunity Global Sales (PTY) LTD</t>
        </is>
      </c>
      <c r="B13282" s="4" t="n">
        <v>45016</v>
      </c>
      <c r="C13282" s="3" t="inlineStr">
        <is>
          <t>Expenses</t>
        </is>
      </c>
      <c r="D13282" s="3" t="inlineStr">
        <is>
          <t>2000/160</t>
        </is>
      </c>
      <c r="E13282" s="3" t="inlineStr">
        <is>
          <t>COS - Sales Comm Heron View - Minette</t>
        </is>
      </c>
      <c r="F13282" s="3" t="n">
        <v>23163.83</v>
      </c>
      <c r="G13282" s="3" t="n">
        <v>23163.83</v>
      </c>
    </row>
    <row r="13283">
      <c r="A13283" s="3" t="inlineStr">
        <is>
          <t>Opportunity Global Sales (PTY) LTD</t>
        </is>
      </c>
      <c r="B13283" s="4" t="n">
        <v>45016</v>
      </c>
      <c r="C13283" s="3" t="inlineStr">
        <is>
          <t>Expenses</t>
        </is>
      </c>
      <c r="D13283" s="3" t="inlineStr">
        <is>
          <t>2000/162</t>
        </is>
      </c>
      <c r="E13283" s="3" t="inlineStr">
        <is>
          <t>COS - Sales Comm Heron View - Yvette</t>
        </is>
      </c>
      <c r="F13283" s="3" t="n">
        <v>12620.16</v>
      </c>
      <c r="G13283" s="3" t="n">
        <v>12620.16</v>
      </c>
    </row>
    <row r="13284">
      <c r="A13284" s="3" t="inlineStr">
        <is>
          <t>Noble Shield (Pty) Ltd ta Go Letting</t>
        </is>
      </c>
      <c r="B13284" s="4" t="n">
        <v>45016</v>
      </c>
      <c r="C13284" s="3" t="inlineStr">
        <is>
          <t>Expenses</t>
        </is>
      </c>
      <c r="D13284" s="3" t="inlineStr">
        <is>
          <t>2000/200</t>
        </is>
      </c>
      <c r="E13284" s="3" t="inlineStr">
        <is>
          <t>COS - Commission on external sales</t>
        </is>
      </c>
      <c r="F13284" s="3" t="n">
        <v>0</v>
      </c>
      <c r="G13284" s="3" t="n">
        <v>18000</v>
      </c>
    </row>
    <row r="13285">
      <c r="A13285" s="3" t="inlineStr">
        <is>
          <t>Trademark Holdings (Pty) Ltd</t>
        </is>
      </c>
      <c r="B13285" s="4" t="n">
        <v>45016</v>
      </c>
      <c r="C13285" s="3" t="inlineStr">
        <is>
          <t>Expenses</t>
        </is>
      </c>
      <c r="D13285" s="3" t="inlineStr">
        <is>
          <t>2000/300</t>
        </is>
      </c>
      <c r="E13285" s="3" t="inlineStr">
        <is>
          <t>COS - Commission Paid</t>
        </is>
      </c>
      <c r="F13285" s="3" t="n">
        <v>16520.18</v>
      </c>
      <c r="G13285" s="3" t="n">
        <v>112097.1</v>
      </c>
    </row>
    <row r="13286">
      <c r="A13286" s="3" t="inlineStr">
        <is>
          <t>Trademark Holdings (Pty) Ltd</t>
        </is>
      </c>
      <c r="B13286" s="4" t="n">
        <v>45016</v>
      </c>
      <c r="C13286" s="3" t="inlineStr">
        <is>
          <t>Expenses</t>
        </is>
      </c>
      <c r="D13286" s="3" t="inlineStr">
        <is>
          <t>2000/400</t>
        </is>
      </c>
      <c r="E13286" s="3" t="inlineStr">
        <is>
          <t>COS - Commission on external sales</t>
        </is>
      </c>
      <c r="F13286" s="3" t="n">
        <v>0</v>
      </c>
      <c r="G13286" s="3" t="n">
        <v>48000</v>
      </c>
    </row>
    <row r="13287">
      <c r="A13287" s="3" t="inlineStr">
        <is>
          <t>Opportunity Global Sales (PTY) LTD</t>
        </is>
      </c>
      <c r="B13287" s="4" t="n">
        <v>45016</v>
      </c>
      <c r="C13287" s="3" t="inlineStr">
        <is>
          <t>Expenses</t>
        </is>
      </c>
      <c r="D13287" s="3" t="inlineStr">
        <is>
          <t>2000/550</t>
        </is>
      </c>
      <c r="E13287" s="3" t="inlineStr">
        <is>
          <t>COS - Electricity Costs Heron Fields</t>
        </is>
      </c>
      <c r="F13287" s="3" t="n">
        <v>100</v>
      </c>
      <c r="G13287" s="3" t="n">
        <v>100</v>
      </c>
    </row>
    <row r="13288">
      <c r="A13288" s="3" t="inlineStr">
        <is>
          <t>Quinate Consulting (Pty) Ltd</t>
        </is>
      </c>
      <c r="B13288" s="4" t="n">
        <v>45016</v>
      </c>
      <c r="C13288" s="3" t="inlineStr">
        <is>
          <t>Revenue</t>
        </is>
      </c>
      <c r="D13288" s="3" t="inlineStr">
        <is>
          <t>2400/200</t>
        </is>
      </c>
      <c r="E13288" s="3" t="inlineStr">
        <is>
          <t>Recovery Acc - Electricity SH</t>
        </is>
      </c>
      <c r="F13288" s="3" t="n">
        <v>-18023.52</v>
      </c>
      <c r="G13288" s="3" t="n">
        <v>-18023.52</v>
      </c>
    </row>
    <row r="13289">
      <c r="A13289" s="3" t="inlineStr">
        <is>
          <t>Quinate Consulting (Pty) Ltd</t>
        </is>
      </c>
      <c r="B13289" s="4" t="n">
        <v>45016</v>
      </c>
      <c r="C13289" s="3" t="inlineStr">
        <is>
          <t>Revenue</t>
        </is>
      </c>
      <c r="D13289" s="3" t="inlineStr">
        <is>
          <t>2400/300</t>
        </is>
      </c>
      <c r="E13289" s="3" t="inlineStr">
        <is>
          <t>Recovery Account - Electricity SW</t>
        </is>
      </c>
      <c r="F13289" s="3" t="n">
        <v>-15390.56</v>
      </c>
      <c r="G13289" s="3" t="n">
        <v>-15390.56</v>
      </c>
    </row>
    <row r="13290">
      <c r="A13290" s="3" t="inlineStr">
        <is>
          <t>Opportunity Management Holdings (PTY) LTD</t>
        </is>
      </c>
      <c r="B13290" s="4" t="n">
        <v>45016</v>
      </c>
      <c r="C13290" s="3" t="inlineStr">
        <is>
          <t>Revenue</t>
        </is>
      </c>
      <c r="D13290" s="3" t="inlineStr">
        <is>
          <t>2750/000</t>
        </is>
      </c>
      <c r="E13290" s="3" t="inlineStr">
        <is>
          <t>Interest Received</t>
        </is>
      </c>
      <c r="F13290" s="3" t="n">
        <v>0</v>
      </c>
      <c r="G13290" s="3" t="n">
        <v>-380.89</v>
      </c>
    </row>
    <row r="13291">
      <c r="A13291" s="3" t="inlineStr">
        <is>
          <t>Noble Shield (Pty) Ltd ta Go Letting</t>
        </is>
      </c>
      <c r="B13291" s="4" t="n">
        <v>45016</v>
      </c>
      <c r="C13291" s="3" t="inlineStr">
        <is>
          <t>Revenue</t>
        </is>
      </c>
      <c r="D13291" s="3" t="inlineStr">
        <is>
          <t>2750/100</t>
        </is>
      </c>
      <c r="E13291" s="3" t="inlineStr">
        <is>
          <t>Interest Received - bank</t>
        </is>
      </c>
      <c r="F13291" s="3" t="n">
        <v>-0.1</v>
      </c>
      <c r="G13291" s="3" t="n">
        <v>-0.1</v>
      </c>
    </row>
    <row r="13292">
      <c r="A13292" s="3" t="inlineStr">
        <is>
          <t>Opportunity Global Investment (PTY) LTD</t>
        </is>
      </c>
      <c r="B13292" s="4" t="n">
        <v>45016</v>
      </c>
      <c r="C13292" s="3" t="inlineStr">
        <is>
          <t>Revenue</t>
        </is>
      </c>
      <c r="D13292" s="3" t="inlineStr">
        <is>
          <t>2753/000</t>
        </is>
      </c>
      <c r="E13292" s="3" t="inlineStr">
        <is>
          <t>Interest received - Momentum</t>
        </is>
      </c>
      <c r="F13292" s="3" t="n">
        <v>-59.26</v>
      </c>
      <c r="G13292" s="3" t="n">
        <v>-59.26</v>
      </c>
    </row>
    <row r="13293">
      <c r="A13293" s="3" t="inlineStr">
        <is>
          <t>Endulini (Pty) Ltd</t>
        </is>
      </c>
      <c r="B13293" s="4" t="n">
        <v>45016</v>
      </c>
      <c r="C13293" s="3" t="inlineStr">
        <is>
          <t>Revenue</t>
        </is>
      </c>
      <c r="D13293" s="3" t="inlineStr">
        <is>
          <t>2755/001</t>
        </is>
      </c>
      <c r="E13293" s="3" t="inlineStr">
        <is>
          <t>Interest Received - Momentum</t>
        </is>
      </c>
      <c r="F13293" s="3" t="n">
        <v>-17.91</v>
      </c>
      <c r="G13293" s="3" t="n">
        <v>-17.91</v>
      </c>
    </row>
    <row r="13294">
      <c r="A13294" s="3" t="inlineStr">
        <is>
          <t>Quinate Consulting (Pty) Ltd</t>
        </is>
      </c>
      <c r="B13294" s="4" t="n">
        <v>45016</v>
      </c>
      <c r="C13294" s="3" t="inlineStr">
        <is>
          <t>Revenue</t>
        </is>
      </c>
      <c r="D13294" s="3" t="inlineStr">
        <is>
          <t>2755/001</t>
        </is>
      </c>
      <c r="E13294" s="3" t="inlineStr">
        <is>
          <t>Interest Received - Momentum</t>
        </is>
      </c>
      <c r="F13294" s="3" t="n">
        <v>-3.59</v>
      </c>
      <c r="G13294" s="3" t="n">
        <v>-3.59</v>
      </c>
    </row>
    <row r="13295">
      <c r="A13295" s="3" t="inlineStr">
        <is>
          <t>Noble Shield (Pty) Ltd ta Go Letting</t>
        </is>
      </c>
      <c r="B13295" s="4" t="n">
        <v>45016</v>
      </c>
      <c r="C13295" s="3" t="inlineStr">
        <is>
          <t>Expenses</t>
        </is>
      </c>
      <c r="D13295" s="3" t="inlineStr">
        <is>
          <t>3000/300</t>
        </is>
      </c>
      <c r="E13295" s="3" t="inlineStr">
        <is>
          <t>Accounting Fees - Audit</t>
        </is>
      </c>
      <c r="F13295" s="3" t="n">
        <v>0</v>
      </c>
      <c r="G13295" s="3" t="n">
        <v>22367.5</v>
      </c>
    </row>
    <row r="13296">
      <c r="A13296" s="3" t="inlineStr">
        <is>
          <t>Trademark Holdings (Pty) Ltd</t>
        </is>
      </c>
      <c r="B13296" s="4" t="n">
        <v>45016</v>
      </c>
      <c r="C13296" s="3" t="inlineStr">
        <is>
          <t>Expenses</t>
        </is>
      </c>
      <c r="D13296" s="3" t="inlineStr">
        <is>
          <t>3000/300</t>
        </is>
      </c>
      <c r="E13296" s="3" t="inlineStr">
        <is>
          <t>Accounting Fees - Audit</t>
        </is>
      </c>
      <c r="F13296" s="3" t="n">
        <v>0</v>
      </c>
      <c r="G13296" s="3" t="n">
        <v>22367.5</v>
      </c>
    </row>
    <row r="13297">
      <c r="A13297" s="3" t="inlineStr">
        <is>
          <t>Opportunity Management Holdings (PTY) LTD</t>
        </is>
      </c>
      <c r="B13297" s="4" t="n">
        <v>45016</v>
      </c>
      <c r="C13297" s="3" t="inlineStr">
        <is>
          <t>Expenses</t>
        </is>
      </c>
      <c r="D13297" s="3" t="inlineStr">
        <is>
          <t>3004/000</t>
        </is>
      </c>
      <c r="E13297" s="3" t="inlineStr">
        <is>
          <t>Accounting fees - Janine Theart</t>
        </is>
      </c>
      <c r="F13297" s="3" t="n">
        <v>0</v>
      </c>
      <c r="G13297" s="3" t="n">
        <v>73432.16</v>
      </c>
    </row>
    <row r="13298">
      <c r="A13298" s="3" t="inlineStr">
        <is>
          <t>Opportunity Management Holdings (PTY) LTD</t>
        </is>
      </c>
      <c r="B13298" s="4" t="n">
        <v>45016</v>
      </c>
      <c r="C13298" s="3" t="inlineStr">
        <is>
          <t>Expenses</t>
        </is>
      </c>
      <c r="D13298" s="3" t="inlineStr">
        <is>
          <t>3005/000</t>
        </is>
      </c>
      <c r="E13298" s="3" t="inlineStr">
        <is>
          <t>Accounting fees - Deric Dudley</t>
        </is>
      </c>
      <c r="F13298" s="3" t="n">
        <v>0</v>
      </c>
      <c r="G13298" s="3" t="n">
        <v>210000</v>
      </c>
    </row>
    <row r="13299">
      <c r="A13299" s="3" t="inlineStr">
        <is>
          <t>Opportunity Management Holdings (PTY) LTD</t>
        </is>
      </c>
      <c r="B13299" s="4" t="n">
        <v>45016</v>
      </c>
      <c r="C13299" s="3" t="inlineStr">
        <is>
          <t>Expenses</t>
        </is>
      </c>
      <c r="D13299" s="3" t="inlineStr">
        <is>
          <t>3006/000</t>
        </is>
      </c>
      <c r="E13299" s="3" t="inlineStr">
        <is>
          <t>Accounting fees - CIPC</t>
        </is>
      </c>
      <c r="F13299" s="3" t="n">
        <v>1500</v>
      </c>
      <c r="G13299" s="3" t="n">
        <v>1850</v>
      </c>
    </row>
    <row r="13300">
      <c r="A13300" s="3" t="inlineStr">
        <is>
          <t>Opportunity Management Holdings (PTY) LTD</t>
        </is>
      </c>
      <c r="B13300" s="4" t="n">
        <v>45016</v>
      </c>
      <c r="C13300" s="3" t="inlineStr">
        <is>
          <t>Expenses</t>
        </is>
      </c>
      <c r="D13300" s="3" t="inlineStr">
        <is>
          <t>3007/000</t>
        </is>
      </c>
      <c r="E13300" s="3" t="inlineStr">
        <is>
          <t>Accounting fees - Warwick</t>
        </is>
      </c>
      <c r="F13300" s="3" t="n">
        <v>0</v>
      </c>
      <c r="G13300" s="3" t="n">
        <v>54000</v>
      </c>
    </row>
    <row r="13301">
      <c r="A13301" s="3" t="inlineStr">
        <is>
          <t>Noble Shield (Pty) Ltd ta Go Letting</t>
        </is>
      </c>
      <c r="B13301" s="4" t="n">
        <v>45016</v>
      </c>
      <c r="C13301" s="3" t="inlineStr">
        <is>
          <t>Expenses</t>
        </is>
      </c>
      <c r="D13301" s="3" t="inlineStr">
        <is>
          <t>3050/000</t>
        </is>
      </c>
      <c r="E13301" s="3" t="inlineStr">
        <is>
          <t>Advertising _AND_ Promotions</t>
        </is>
      </c>
      <c r="F13301" s="3" t="n">
        <v>0</v>
      </c>
      <c r="G13301" s="3" t="n">
        <v>1543.99</v>
      </c>
    </row>
    <row r="13302">
      <c r="A13302" s="3" t="inlineStr">
        <is>
          <t>Opportunity Management Holdings (PTY) LTD</t>
        </is>
      </c>
      <c r="B13302" s="4" t="n">
        <v>45016</v>
      </c>
      <c r="C13302" s="3" t="inlineStr">
        <is>
          <t>Expenses</t>
        </is>
      </c>
      <c r="D13302" s="3" t="inlineStr">
        <is>
          <t>3050/000</t>
        </is>
      </c>
      <c r="E13302" s="3" t="inlineStr">
        <is>
          <t>Advertising _AND_ Promotions</t>
        </is>
      </c>
      <c r="F13302" s="3" t="n">
        <v>0</v>
      </c>
      <c r="G13302" s="3" t="n">
        <v>500</v>
      </c>
    </row>
    <row r="13303">
      <c r="A13303" s="3" t="inlineStr">
        <is>
          <t>Trademark Holdings (Pty) Ltd</t>
        </is>
      </c>
      <c r="B13303" s="4" t="n">
        <v>45016</v>
      </c>
      <c r="C13303" s="3" t="inlineStr">
        <is>
          <t>Expenses</t>
        </is>
      </c>
      <c r="D13303" s="3" t="inlineStr">
        <is>
          <t>3050/000</t>
        </is>
      </c>
      <c r="E13303" s="3" t="inlineStr">
        <is>
          <t>Advertising _AND_ Promotions</t>
        </is>
      </c>
      <c r="F13303" s="3" t="n">
        <v>0</v>
      </c>
      <c r="G13303" s="3" t="n">
        <v>6852.5</v>
      </c>
    </row>
    <row r="13304">
      <c r="A13304" s="3" t="inlineStr">
        <is>
          <t>Endulini (Pty) Ltd</t>
        </is>
      </c>
      <c r="B13304" s="4" t="n">
        <v>45016</v>
      </c>
      <c r="C13304" s="3" t="inlineStr">
        <is>
          <t>Expenses</t>
        </is>
      </c>
      <c r="D13304" s="3" t="inlineStr">
        <is>
          <t>3050/001</t>
        </is>
      </c>
      <c r="E13304" s="3" t="inlineStr">
        <is>
          <t>Advertising _AND_ Promotions - Media Agenda</t>
        </is>
      </c>
      <c r="F13304" s="3" t="n">
        <v>1437.5</v>
      </c>
      <c r="G13304" s="3" t="n">
        <v>1437.5</v>
      </c>
    </row>
    <row r="13305">
      <c r="A13305" s="3" t="inlineStr">
        <is>
          <t>Noble Shield (Pty) Ltd ta Go Letting</t>
        </is>
      </c>
      <c r="B13305" s="4" t="n">
        <v>45016</v>
      </c>
      <c r="C13305" s="3" t="inlineStr">
        <is>
          <t>Expenses</t>
        </is>
      </c>
      <c r="D13305" s="3" t="inlineStr">
        <is>
          <t>3050/050</t>
        </is>
      </c>
      <c r="E13305" s="3" t="inlineStr">
        <is>
          <t>Advertising - Prop 24</t>
        </is>
      </c>
      <c r="F13305" s="3" t="n">
        <v>542.8</v>
      </c>
      <c r="G13305" s="3" t="n">
        <v>18239</v>
      </c>
    </row>
    <row r="13306">
      <c r="A13306" s="3" t="inlineStr">
        <is>
          <t>Opportunity Global Sales (PTY) LTD</t>
        </is>
      </c>
      <c r="B13306" s="4" t="n">
        <v>45016</v>
      </c>
      <c r="C13306" s="3" t="inlineStr">
        <is>
          <t>Expenses</t>
        </is>
      </c>
      <c r="D13306" s="3" t="inlineStr">
        <is>
          <t>3050/100</t>
        </is>
      </c>
      <c r="E13306" s="3" t="inlineStr">
        <is>
          <t>Advertising - Facebook</t>
        </is>
      </c>
      <c r="F13306" s="3" t="n">
        <v>2279.78</v>
      </c>
      <c r="G13306" s="3" t="n">
        <v>2279.78</v>
      </c>
    </row>
    <row r="13307">
      <c r="A13307" s="3" t="inlineStr">
        <is>
          <t>Opportunity Global Sales (PTY) LTD</t>
        </is>
      </c>
      <c r="B13307" s="4" t="n">
        <v>45016</v>
      </c>
      <c r="C13307" s="3" t="inlineStr">
        <is>
          <t>Expenses</t>
        </is>
      </c>
      <c r="D13307" s="3" t="inlineStr">
        <is>
          <t>3050/140</t>
        </is>
      </c>
      <c r="E13307" s="3" t="inlineStr">
        <is>
          <t>Advertising - Media Agenda</t>
        </is>
      </c>
      <c r="F13307" s="3" t="n">
        <v>1912.5</v>
      </c>
      <c r="G13307" s="3" t="n">
        <v>1912.5</v>
      </c>
    </row>
    <row r="13308">
      <c r="A13308" s="3" t="inlineStr">
        <is>
          <t>Opportunity Global Investment (PTY) LTD</t>
        </is>
      </c>
      <c r="B13308" s="4" t="n">
        <v>45016</v>
      </c>
      <c r="C13308" s="3" t="inlineStr">
        <is>
          <t>Expenses</t>
        </is>
      </c>
      <c r="D13308" s="3" t="inlineStr">
        <is>
          <t>3050/250</t>
        </is>
      </c>
      <c r="E13308" s="3" t="inlineStr">
        <is>
          <t>Advertising - General</t>
        </is>
      </c>
      <c r="F13308" s="3" t="n">
        <v>39303</v>
      </c>
      <c r="G13308" s="3" t="n">
        <v>39303</v>
      </c>
    </row>
    <row r="13309">
      <c r="A13309" s="3" t="inlineStr">
        <is>
          <t>Opportunity Global Sales (PTY) LTD</t>
        </is>
      </c>
      <c r="B13309" s="4" t="n">
        <v>45016</v>
      </c>
      <c r="C13309" s="3" t="inlineStr">
        <is>
          <t>Expenses</t>
        </is>
      </c>
      <c r="D13309" s="3" t="inlineStr">
        <is>
          <t>3050/250</t>
        </is>
      </c>
      <c r="E13309" s="3" t="inlineStr">
        <is>
          <t>Advertising - General</t>
        </is>
      </c>
      <c r="F13309" s="3" t="n">
        <v>2375.3</v>
      </c>
      <c r="G13309" s="3" t="n">
        <v>2375.3</v>
      </c>
    </row>
    <row r="13310">
      <c r="A13310" s="3" t="inlineStr">
        <is>
          <t>Opportunity Global Investment (PTY) LTD</t>
        </is>
      </c>
      <c r="B13310" s="4" t="n">
        <v>45016</v>
      </c>
      <c r="C13310" s="3" t="inlineStr">
        <is>
          <t>Expenses</t>
        </is>
      </c>
      <c r="D13310" s="3" t="inlineStr">
        <is>
          <t>3050/290</t>
        </is>
      </c>
      <c r="E13310" s="3" t="inlineStr">
        <is>
          <t>Advertising - Serene Living</t>
        </is>
      </c>
      <c r="F13310" s="3" t="n">
        <v>65086</v>
      </c>
      <c r="G13310" s="3" t="n">
        <v>65086</v>
      </c>
    </row>
    <row r="13311">
      <c r="A13311" s="3" t="inlineStr">
        <is>
          <t>Opportunity Global Investment (PTY) LTD</t>
        </is>
      </c>
      <c r="B13311" s="4" t="n">
        <v>45016</v>
      </c>
      <c r="C13311" s="3" t="inlineStr">
        <is>
          <t>Expenses</t>
        </is>
      </c>
      <c r="D13311" s="3" t="inlineStr">
        <is>
          <t>3050/295</t>
        </is>
      </c>
      <c r="E13311" s="3" t="inlineStr">
        <is>
          <t>Advertising - Reale Activation</t>
        </is>
      </c>
      <c r="F13311" s="3" t="n">
        <v>1821.18</v>
      </c>
      <c r="G13311" s="3" t="n">
        <v>1821.18</v>
      </c>
    </row>
    <row r="13312">
      <c r="A13312" s="3" t="inlineStr">
        <is>
          <t>Quinate Consulting (Pty) Ltd</t>
        </is>
      </c>
      <c r="B13312" s="4" t="n">
        <v>45016</v>
      </c>
      <c r="C13312" s="3" t="inlineStr">
        <is>
          <t>Expenses</t>
        </is>
      </c>
      <c r="D13312" s="3" t="inlineStr">
        <is>
          <t>3050/400</t>
        </is>
      </c>
      <c r="E13312" s="3" t="inlineStr">
        <is>
          <t>Advertising - Prop24</t>
        </is>
      </c>
      <c r="F13312" s="3" t="n">
        <v>254</v>
      </c>
      <c r="G13312" s="3" t="n">
        <v>254</v>
      </c>
    </row>
    <row r="13313">
      <c r="A13313" s="3" t="inlineStr">
        <is>
          <t>Quinate Consulting (Pty) Ltd</t>
        </is>
      </c>
      <c r="B13313" s="4" t="n">
        <v>45016</v>
      </c>
      <c r="C13313" s="3" t="inlineStr">
        <is>
          <t>Expenses</t>
        </is>
      </c>
      <c r="D13313" s="3" t="inlineStr">
        <is>
          <t>3050/450</t>
        </is>
      </c>
      <c r="E13313" s="3" t="inlineStr">
        <is>
          <t>Advertising - Facebook</t>
        </is>
      </c>
      <c r="F13313" s="3" t="n">
        <v>9882.389999999999</v>
      </c>
      <c r="G13313" s="3" t="n">
        <v>9882.389999999999</v>
      </c>
    </row>
    <row r="13314">
      <c r="A13314" s="3" t="inlineStr">
        <is>
          <t>Opportunity Global Investment (PTY) LTD</t>
        </is>
      </c>
      <c r="B13314" s="4" t="n">
        <v>45016</v>
      </c>
      <c r="C13314" s="3" t="inlineStr">
        <is>
          <t>Expenses</t>
        </is>
      </c>
      <c r="D13314" s="3" t="inlineStr">
        <is>
          <t>3051/000</t>
        </is>
      </c>
      <c r="E13314" s="3" t="inlineStr">
        <is>
          <t>Advertising - Facebook</t>
        </is>
      </c>
      <c r="F13314" s="3" t="n">
        <v>15431.53</v>
      </c>
      <c r="G13314" s="3" t="n">
        <v>15431.53</v>
      </c>
    </row>
    <row r="13315">
      <c r="A13315" s="3" t="inlineStr">
        <is>
          <t>Opportunity Global Investment (PTY) LTD</t>
        </is>
      </c>
      <c r="B13315" s="4" t="n">
        <v>45016</v>
      </c>
      <c r="C13315" s="3" t="inlineStr">
        <is>
          <t>Expenses</t>
        </is>
      </c>
      <c r="D13315" s="3" t="inlineStr">
        <is>
          <t>3053/000</t>
        </is>
      </c>
      <c r="E13315" s="3" t="inlineStr">
        <is>
          <t>Advertising - Google Ads</t>
        </is>
      </c>
      <c r="F13315" s="3" t="n">
        <v>971</v>
      </c>
      <c r="G13315" s="3" t="n">
        <v>971</v>
      </c>
    </row>
    <row r="13316">
      <c r="A13316" s="3" t="inlineStr">
        <is>
          <t>Endulini (Pty) Ltd</t>
        </is>
      </c>
      <c r="B13316" s="4" t="n">
        <v>45016</v>
      </c>
      <c r="C13316" s="3" t="inlineStr">
        <is>
          <t>Expenses</t>
        </is>
      </c>
      <c r="D13316" s="3" t="inlineStr">
        <is>
          <t>3200/000</t>
        </is>
      </c>
      <c r="E13316" s="3" t="inlineStr">
        <is>
          <t>Bank Charges</t>
        </is>
      </c>
      <c r="F13316" s="3" t="n">
        <v>108.92</v>
      </c>
      <c r="G13316" s="3" t="n">
        <v>108.92</v>
      </c>
    </row>
    <row r="13317">
      <c r="A13317" s="3" t="inlineStr">
        <is>
          <t>Noble Shield (Pty) Ltd ta Go Letting</t>
        </is>
      </c>
      <c r="B13317" s="4" t="n">
        <v>45016</v>
      </c>
      <c r="C13317" s="3" t="inlineStr">
        <is>
          <t>Expenses</t>
        </is>
      </c>
      <c r="D13317" s="3" t="inlineStr">
        <is>
          <t>3200/000</t>
        </is>
      </c>
      <c r="E13317" s="3" t="inlineStr">
        <is>
          <t>Bank Charges</t>
        </is>
      </c>
      <c r="F13317" s="3" t="n">
        <v>502.74</v>
      </c>
      <c r="G13317" s="3" t="n">
        <v>4864.49</v>
      </c>
    </row>
    <row r="13318">
      <c r="A13318" s="3" t="inlineStr">
        <is>
          <t>Opportunity Global Investment (PTY) LTD</t>
        </is>
      </c>
      <c r="B13318" s="4" t="n">
        <v>45016</v>
      </c>
      <c r="C13318" s="3" t="inlineStr">
        <is>
          <t>Expenses</t>
        </is>
      </c>
      <c r="D13318" s="3" t="inlineStr">
        <is>
          <t>3200/000</t>
        </is>
      </c>
      <c r="E13318" s="3" t="inlineStr">
        <is>
          <t>Bank Charges</t>
        </is>
      </c>
      <c r="F13318" s="3" t="n">
        <v>400.15</v>
      </c>
      <c r="G13318" s="3" t="n">
        <v>400.15</v>
      </c>
    </row>
    <row r="13319">
      <c r="A13319" s="3" t="inlineStr">
        <is>
          <t>Opportunity Global Sales (PTY) LTD</t>
        </is>
      </c>
      <c r="B13319" s="4" t="n">
        <v>45016</v>
      </c>
      <c r="C13319" s="3" t="inlineStr">
        <is>
          <t>Expenses</t>
        </is>
      </c>
      <c r="D13319" s="3" t="inlineStr">
        <is>
          <t>3200/000</t>
        </is>
      </c>
      <c r="E13319" s="3" t="inlineStr">
        <is>
          <t>Bank Charges</t>
        </is>
      </c>
      <c r="F13319" s="3" t="n">
        <v>368.31</v>
      </c>
      <c r="G13319" s="3" t="n">
        <v>368.31</v>
      </c>
    </row>
    <row r="13320">
      <c r="A13320" s="3" t="inlineStr">
        <is>
          <t>Opportunity Management Holdings (PTY) LTD</t>
        </is>
      </c>
      <c r="B13320" s="4" t="n">
        <v>45016</v>
      </c>
      <c r="C13320" s="3" t="inlineStr">
        <is>
          <t>Expenses</t>
        </is>
      </c>
      <c r="D13320" s="3" t="inlineStr">
        <is>
          <t>3200/000</t>
        </is>
      </c>
      <c r="E13320" s="3" t="inlineStr">
        <is>
          <t>Bank Charges</t>
        </is>
      </c>
      <c r="F13320" s="3" t="n">
        <v>801.0700000000001</v>
      </c>
      <c r="G13320" s="3" t="n">
        <v>5269.23</v>
      </c>
    </row>
    <row r="13321">
      <c r="A13321" s="3" t="inlineStr">
        <is>
          <t>Quinate Consulting (Pty) Ltd</t>
        </is>
      </c>
      <c r="B13321" s="4" t="n">
        <v>45016</v>
      </c>
      <c r="C13321" s="3" t="inlineStr">
        <is>
          <t>Expenses</t>
        </is>
      </c>
      <c r="D13321" s="3" t="inlineStr">
        <is>
          <t>3200/000</t>
        </is>
      </c>
      <c r="E13321" s="3" t="inlineStr">
        <is>
          <t>Bank Charges</t>
        </is>
      </c>
      <c r="F13321" s="3" t="n">
        <v>1520.52</v>
      </c>
      <c r="G13321" s="3" t="n">
        <v>1520.52</v>
      </c>
    </row>
    <row r="13322">
      <c r="A13322" s="3" t="inlineStr">
        <is>
          <t>Trademark Holdings (Pty) Ltd</t>
        </is>
      </c>
      <c r="B13322" s="4" t="n">
        <v>45016</v>
      </c>
      <c r="C13322" s="3" t="inlineStr">
        <is>
          <t>Expenses</t>
        </is>
      </c>
      <c r="D13322" s="3" t="inlineStr">
        <is>
          <t>3200/000</t>
        </is>
      </c>
      <c r="E13322" s="3" t="inlineStr">
        <is>
          <t>Bank Charges</t>
        </is>
      </c>
      <c r="F13322" s="3" t="n">
        <v>279.84</v>
      </c>
      <c r="G13322" s="3" t="n">
        <v>2794.46</v>
      </c>
    </row>
    <row r="13323">
      <c r="A13323" s="3" t="inlineStr">
        <is>
          <t>Quinate Consulting (Pty) Ltd</t>
        </is>
      </c>
      <c r="B13323" s="4" t="n">
        <v>45016</v>
      </c>
      <c r="C13323" s="3" t="inlineStr">
        <is>
          <t>Expenses</t>
        </is>
      </c>
      <c r="D13323" s="3" t="inlineStr">
        <is>
          <t>3220/000</t>
        </is>
      </c>
      <c r="E13323" s="3" t="inlineStr">
        <is>
          <t>Bank Charges - Bond Fees</t>
        </is>
      </c>
      <c r="F13323" s="3" t="n">
        <v>1117.41</v>
      </c>
      <c r="G13323" s="3" t="n">
        <v>1117.41</v>
      </c>
    </row>
    <row r="13324">
      <c r="A13324" s="3" t="inlineStr">
        <is>
          <t>Noble Shield (Pty) Ltd ta Go Letting</t>
        </is>
      </c>
      <c r="B13324" s="4" t="n">
        <v>45016</v>
      </c>
      <c r="C13324" s="3" t="inlineStr">
        <is>
          <t>Expenses</t>
        </is>
      </c>
      <c r="D13324" s="3" t="inlineStr">
        <is>
          <t>3230/000</t>
        </is>
      </c>
      <c r="E13324" s="3" t="inlineStr">
        <is>
          <t>Cell Phone - NM</t>
        </is>
      </c>
      <c r="F13324" s="3" t="n">
        <v>2129.74</v>
      </c>
      <c r="G13324" s="3" t="n">
        <v>15666.58</v>
      </c>
    </row>
    <row r="13325">
      <c r="A13325" s="3" t="inlineStr">
        <is>
          <t>Noble Shield (Pty) Ltd ta Go Letting</t>
        </is>
      </c>
      <c r="B13325" s="4" t="n">
        <v>45016</v>
      </c>
      <c r="C13325" s="3" t="inlineStr">
        <is>
          <t>Expenses</t>
        </is>
      </c>
      <c r="D13325" s="3" t="inlineStr">
        <is>
          <t>3233/000</t>
        </is>
      </c>
      <c r="E13325" s="3" t="inlineStr">
        <is>
          <t>Cell Data - Other</t>
        </is>
      </c>
      <c r="F13325" s="3" t="n">
        <v>199</v>
      </c>
      <c r="G13325" s="3" t="n">
        <v>1393</v>
      </c>
    </row>
    <row r="13326">
      <c r="A13326" s="3" t="inlineStr">
        <is>
          <t>Noble Shield (Pty) Ltd ta Go Letting</t>
        </is>
      </c>
      <c r="B13326" s="4" t="n">
        <v>45016</v>
      </c>
      <c r="C13326" s="3" t="inlineStr">
        <is>
          <t>Expenses</t>
        </is>
      </c>
      <c r="D13326" s="3" t="inlineStr">
        <is>
          <t>3233/100</t>
        </is>
      </c>
      <c r="E13326" s="3" t="inlineStr">
        <is>
          <t>Cell Data - Sales office Wifi</t>
        </is>
      </c>
      <c r="F13326" s="3" t="n">
        <v>369</v>
      </c>
      <c r="G13326" s="3" t="n">
        <v>2583</v>
      </c>
    </row>
    <row r="13327">
      <c r="A13327" s="3" t="inlineStr">
        <is>
          <t>Noble Shield (Pty) Ltd ta Go Letting</t>
        </is>
      </c>
      <c r="B13327" s="4" t="n">
        <v>45016</v>
      </c>
      <c r="C13327" s="3" t="inlineStr">
        <is>
          <t>Expenses</t>
        </is>
      </c>
      <c r="D13327" s="3" t="inlineStr">
        <is>
          <t>3250/000</t>
        </is>
      </c>
      <c r="E13327" s="3" t="inlineStr">
        <is>
          <t>Cleaning</t>
        </is>
      </c>
      <c r="F13327" s="3" t="n">
        <v>0</v>
      </c>
      <c r="G13327" s="3" t="n">
        <v>289.4</v>
      </c>
    </row>
    <row r="13328">
      <c r="A13328" s="3" t="inlineStr">
        <is>
          <t>Opportunity Global Investment (PTY) LTD</t>
        </is>
      </c>
      <c r="B13328" s="4" t="n">
        <v>45016</v>
      </c>
      <c r="C13328" s="3" t="inlineStr">
        <is>
          <t>Expenses</t>
        </is>
      </c>
      <c r="D13328" s="3" t="inlineStr">
        <is>
          <t>3250/000</t>
        </is>
      </c>
      <c r="E13328" s="3" t="inlineStr">
        <is>
          <t>Cleaning</t>
        </is>
      </c>
      <c r="F13328" s="3" t="n">
        <v>2700</v>
      </c>
      <c r="G13328" s="3" t="n">
        <v>2700</v>
      </c>
    </row>
    <row r="13329">
      <c r="A13329" s="3" t="inlineStr">
        <is>
          <t>Opportunity Management Holdings (PTY) LTD</t>
        </is>
      </c>
      <c r="B13329" s="4" t="n">
        <v>45016</v>
      </c>
      <c r="C13329" s="3" t="inlineStr">
        <is>
          <t>Expenses</t>
        </is>
      </c>
      <c r="D13329" s="3" t="inlineStr">
        <is>
          <t>3250/000</t>
        </is>
      </c>
      <c r="E13329" s="3" t="inlineStr">
        <is>
          <t>Cleaning</t>
        </is>
      </c>
      <c r="F13329" s="3" t="n">
        <v>2044.3</v>
      </c>
      <c r="G13329" s="3" t="n">
        <v>14862.45</v>
      </c>
    </row>
    <row r="13330">
      <c r="A13330" s="3" t="inlineStr">
        <is>
          <t>Trademark Holdings (Pty) Ltd</t>
        </is>
      </c>
      <c r="B13330" s="4" t="n">
        <v>45016</v>
      </c>
      <c r="C13330" s="3" t="inlineStr">
        <is>
          <t>Expenses</t>
        </is>
      </c>
      <c r="D13330" s="3" t="inlineStr">
        <is>
          <t>3250/000</t>
        </is>
      </c>
      <c r="E13330" s="3" t="inlineStr">
        <is>
          <t>Cleaning</t>
        </is>
      </c>
      <c r="F13330" s="3" t="n">
        <v>858</v>
      </c>
      <c r="G13330" s="3" t="n">
        <v>6578</v>
      </c>
    </row>
    <row r="13331">
      <c r="A13331" s="3" t="inlineStr">
        <is>
          <t>Noble Shield (Pty) Ltd ta Go Letting</t>
        </is>
      </c>
      <c r="B13331" s="4" t="n">
        <v>45016</v>
      </c>
      <c r="C13331" s="3" t="inlineStr">
        <is>
          <t>Expenses</t>
        </is>
      </c>
      <c r="D13331" s="3" t="inlineStr">
        <is>
          <t>3300/000</t>
        </is>
      </c>
      <c r="E13331" s="3" t="inlineStr">
        <is>
          <t>Computer Expenses</t>
        </is>
      </c>
      <c r="F13331" s="3" t="n">
        <v>0</v>
      </c>
      <c r="G13331" s="3" t="n">
        <v>1300</v>
      </c>
    </row>
    <row r="13332">
      <c r="A13332" s="3" t="inlineStr">
        <is>
          <t>Opportunity Management Holdings (PTY) LTD</t>
        </is>
      </c>
      <c r="B13332" s="4" t="n">
        <v>45016</v>
      </c>
      <c r="C13332" s="3" t="inlineStr">
        <is>
          <t>Expenses</t>
        </is>
      </c>
      <c r="D13332" s="3" t="inlineStr">
        <is>
          <t>3300/000</t>
        </is>
      </c>
      <c r="E13332" s="3" t="inlineStr">
        <is>
          <t>Computer Expenses</t>
        </is>
      </c>
      <c r="F13332" s="3" t="n">
        <v>2368.13</v>
      </c>
      <c r="G13332" s="3" t="n">
        <v>6091.39</v>
      </c>
    </row>
    <row r="13333">
      <c r="A13333" s="3" t="inlineStr">
        <is>
          <t>Noble Shield (Pty) Ltd ta Go Letting</t>
        </is>
      </c>
      <c r="B13333" s="4" t="n">
        <v>45016</v>
      </c>
      <c r="C13333" s="3" t="inlineStr">
        <is>
          <t>Expenses</t>
        </is>
      </c>
      <c r="D13333" s="3" t="inlineStr">
        <is>
          <t>3300/120</t>
        </is>
      </c>
      <c r="E13333" s="3" t="inlineStr">
        <is>
          <t>Computer IT - Software Propworx</t>
        </is>
      </c>
      <c r="F13333" s="3" t="n">
        <v>2167.75</v>
      </c>
      <c r="G13333" s="3" t="n">
        <v>15093.75</v>
      </c>
    </row>
    <row r="13334">
      <c r="A13334" s="3" t="inlineStr">
        <is>
          <t>Trademark Holdings (Pty) Ltd</t>
        </is>
      </c>
      <c r="B13334" s="4" t="n">
        <v>45016</v>
      </c>
      <c r="C13334" s="3" t="inlineStr">
        <is>
          <t>Expenses</t>
        </is>
      </c>
      <c r="D13334" s="3" t="inlineStr">
        <is>
          <t>3300/130</t>
        </is>
      </c>
      <c r="E13334" s="3" t="inlineStr">
        <is>
          <t>Computer IT - Internet/Hosting Fees</t>
        </is>
      </c>
      <c r="F13334" s="3" t="n">
        <v>0</v>
      </c>
      <c r="G13334" s="3" t="n">
        <v>-3599.5</v>
      </c>
    </row>
    <row r="13335">
      <c r="A13335" s="3" t="inlineStr">
        <is>
          <t>Opportunity Management Holdings (PTY) LTD</t>
        </is>
      </c>
      <c r="B13335" s="4" t="n">
        <v>45016</v>
      </c>
      <c r="C13335" s="3" t="inlineStr">
        <is>
          <t>Expenses</t>
        </is>
      </c>
      <c r="D13335" s="3" t="inlineStr">
        <is>
          <t>3300/140</t>
        </is>
      </c>
      <c r="E13335" s="3" t="inlineStr">
        <is>
          <t>Computer IT</t>
        </is>
      </c>
      <c r="F13335" s="3" t="n">
        <v>0</v>
      </c>
      <c r="G13335" s="3" t="n">
        <v>22364.04</v>
      </c>
    </row>
    <row r="13336">
      <c r="A13336" s="3" t="inlineStr">
        <is>
          <t>Trademark Holdings (Pty) Ltd</t>
        </is>
      </c>
      <c r="B13336" s="4" t="n">
        <v>45016</v>
      </c>
      <c r="C13336" s="3" t="inlineStr">
        <is>
          <t>Expenses</t>
        </is>
      </c>
      <c r="D13336" s="3" t="inlineStr">
        <is>
          <t>3300/145</t>
        </is>
      </c>
      <c r="E13336" s="3" t="inlineStr">
        <is>
          <t>Computer IT - Cloud Solve</t>
        </is>
      </c>
      <c r="F13336" s="3" t="n">
        <v>0</v>
      </c>
      <c r="G13336" s="3" t="n">
        <v>6313.5</v>
      </c>
    </row>
    <row r="13337">
      <c r="A13337" s="3" t="inlineStr">
        <is>
          <t>Noble Shield (Pty) Ltd ta Go Letting</t>
        </is>
      </c>
      <c r="B13337" s="4" t="n">
        <v>45016</v>
      </c>
      <c r="C13337" s="3" t="inlineStr">
        <is>
          <t>Expenses</t>
        </is>
      </c>
      <c r="D13337" s="3" t="inlineStr">
        <is>
          <t>3300/170</t>
        </is>
      </c>
      <c r="E13337" s="3" t="inlineStr">
        <is>
          <t>Computer IT - VDB office Fibre</t>
        </is>
      </c>
      <c r="F13337" s="3" t="n">
        <v>790</v>
      </c>
      <c r="G13337" s="3" t="n">
        <v>5530</v>
      </c>
    </row>
    <row r="13338">
      <c r="A13338" s="3" t="inlineStr">
        <is>
          <t>Trademark Holdings (Pty) Ltd</t>
        </is>
      </c>
      <c r="B13338" s="4" t="n">
        <v>45016</v>
      </c>
      <c r="C13338" s="3" t="inlineStr">
        <is>
          <t>Expenses</t>
        </is>
      </c>
      <c r="D13338" s="3" t="inlineStr">
        <is>
          <t>3350/000</t>
        </is>
      </c>
      <c r="E13338" s="3" t="inlineStr">
        <is>
          <t>Consulting Fees</t>
        </is>
      </c>
      <c r="F13338" s="3" t="n">
        <v>22200</v>
      </c>
      <c r="G13338" s="3" t="n">
        <v>190200</v>
      </c>
    </row>
    <row r="13339">
      <c r="A13339" s="3" t="inlineStr">
        <is>
          <t>Opportunity Management Holdings (PTY) LTD</t>
        </is>
      </c>
      <c r="B13339" s="4" t="n">
        <v>45016</v>
      </c>
      <c r="C13339" s="3" t="inlineStr">
        <is>
          <t>Expenses</t>
        </is>
      </c>
      <c r="D13339" s="3" t="inlineStr">
        <is>
          <t>3350/100</t>
        </is>
      </c>
      <c r="E13339" s="3" t="inlineStr">
        <is>
          <t>Consulting Fee - Dirk Coetzee</t>
        </is>
      </c>
      <c r="F13339" s="3" t="n">
        <v>6000</v>
      </c>
      <c r="G13339" s="3" t="n">
        <v>52000</v>
      </c>
    </row>
    <row r="13340">
      <c r="A13340" s="3" t="inlineStr">
        <is>
          <t>Endulini (Pty) Ltd</t>
        </is>
      </c>
      <c r="B13340" s="4" t="n">
        <v>45016</v>
      </c>
      <c r="C13340" s="3" t="inlineStr">
        <is>
          <t>Expenses</t>
        </is>
      </c>
      <c r="D13340" s="3" t="inlineStr">
        <is>
          <t>3350/100</t>
        </is>
      </c>
      <c r="E13340" s="3" t="inlineStr">
        <is>
          <t>Consulting Fees - Admin and Finance</t>
        </is>
      </c>
      <c r="F13340" s="3" t="n">
        <v>61022.57</v>
      </c>
      <c r="G13340" s="3" t="n">
        <v>61022.57</v>
      </c>
    </row>
    <row r="13341">
      <c r="A13341" s="3" t="inlineStr">
        <is>
          <t>Opportunity Global Investment (PTY) LTD</t>
        </is>
      </c>
      <c r="B13341" s="4" t="n">
        <v>45016</v>
      </c>
      <c r="C13341" s="3" t="inlineStr">
        <is>
          <t>Expenses</t>
        </is>
      </c>
      <c r="D13341" s="3" t="inlineStr">
        <is>
          <t>3350/100</t>
        </is>
      </c>
      <c r="E13341" s="3" t="inlineStr">
        <is>
          <t>Consulting Fees - Admin and Finance</t>
        </is>
      </c>
      <c r="F13341" s="3" t="n">
        <v>30613.8</v>
      </c>
      <c r="G13341" s="3" t="n">
        <v>30613.8</v>
      </c>
    </row>
    <row r="13342">
      <c r="A13342" s="3" t="inlineStr">
        <is>
          <t>Opportunity Global Sales (PTY) LTD</t>
        </is>
      </c>
      <c r="B13342" s="4" t="n">
        <v>45016</v>
      </c>
      <c r="C13342" s="3" t="inlineStr">
        <is>
          <t>Expenses</t>
        </is>
      </c>
      <c r="D13342" s="3" t="inlineStr">
        <is>
          <t>3350/100</t>
        </is>
      </c>
      <c r="E13342" s="3" t="inlineStr">
        <is>
          <t>Consulting Fees - Admin and Finance</t>
        </is>
      </c>
      <c r="F13342" s="3" t="n">
        <v>15022.5</v>
      </c>
      <c r="G13342" s="3" t="n">
        <v>15022.5</v>
      </c>
    </row>
    <row r="13343">
      <c r="A13343" s="3" t="inlineStr">
        <is>
          <t>Opportunity Management Holdings (PTY) LTD</t>
        </is>
      </c>
      <c r="B13343" s="4" t="n">
        <v>45016</v>
      </c>
      <c r="C13343" s="3" t="inlineStr">
        <is>
          <t>Expenses</t>
        </is>
      </c>
      <c r="D13343" s="3" t="inlineStr">
        <is>
          <t>3350/200</t>
        </is>
      </c>
      <c r="E13343" s="3" t="inlineStr">
        <is>
          <t>Consulting Fee - Staff recruitment</t>
        </is>
      </c>
      <c r="F13343" s="3" t="n">
        <v>0</v>
      </c>
      <c r="G13343" s="3" t="n">
        <v>18240</v>
      </c>
    </row>
    <row r="13344">
      <c r="A13344" s="3" t="inlineStr">
        <is>
          <t>Opportunity Global Sales (PTY) LTD</t>
        </is>
      </c>
      <c r="B13344" s="4" t="n">
        <v>45016</v>
      </c>
      <c r="C13344" s="3" t="inlineStr">
        <is>
          <t>Expenses</t>
        </is>
      </c>
      <c r="D13344" s="3" t="inlineStr">
        <is>
          <t>3350/200</t>
        </is>
      </c>
      <c r="E13344" s="3" t="inlineStr">
        <is>
          <t>Consulting Fees - Agent Karien Muller</t>
        </is>
      </c>
      <c r="F13344" s="3" t="n">
        <v>10000</v>
      </c>
      <c r="G13344" s="3" t="n">
        <v>10000</v>
      </c>
    </row>
    <row r="13345">
      <c r="A13345" s="3" t="inlineStr">
        <is>
          <t>Opportunity Global Investment (PTY) LTD</t>
        </is>
      </c>
      <c r="B13345" s="4" t="n">
        <v>45016</v>
      </c>
      <c r="C13345" s="3" t="inlineStr">
        <is>
          <t>Expenses</t>
        </is>
      </c>
      <c r="D13345" s="3" t="inlineStr">
        <is>
          <t>3350/200</t>
        </is>
      </c>
      <c r="E13345" s="3" t="inlineStr">
        <is>
          <t>Consulting Fees - Rockfin</t>
        </is>
      </c>
      <c r="F13345" s="3" t="n">
        <v>10000</v>
      </c>
      <c r="G13345" s="3" t="n">
        <v>10000</v>
      </c>
    </row>
    <row r="13346">
      <c r="A13346" s="3" t="inlineStr">
        <is>
          <t>Opportunity Management Holdings (PTY) LTD</t>
        </is>
      </c>
      <c r="B13346" s="4" t="n">
        <v>45016</v>
      </c>
      <c r="C13346" s="3" t="inlineStr">
        <is>
          <t>Expenses</t>
        </is>
      </c>
      <c r="D13346" s="3" t="inlineStr">
        <is>
          <t>3350/300</t>
        </is>
      </c>
      <c r="E13346" s="3" t="inlineStr">
        <is>
          <t>Consulting Fee - HR Joblaw</t>
        </is>
      </c>
      <c r="F13346" s="3" t="n">
        <v>1455.3</v>
      </c>
      <c r="G13346" s="3" t="n">
        <v>1455.3</v>
      </c>
    </row>
    <row r="13347">
      <c r="A13347" s="3" t="inlineStr">
        <is>
          <t>Quinate Consulting (Pty) Ltd</t>
        </is>
      </c>
      <c r="B13347" s="4" t="n">
        <v>45016</v>
      </c>
      <c r="C13347" s="3" t="inlineStr">
        <is>
          <t>Expenses</t>
        </is>
      </c>
      <c r="D13347" s="3" t="inlineStr">
        <is>
          <t>3350/300</t>
        </is>
      </c>
      <c r="E13347" s="3" t="inlineStr">
        <is>
          <t>Consulting Fees - Admin and Finance</t>
        </is>
      </c>
      <c r="F13347" s="3" t="n">
        <v>2000</v>
      </c>
      <c r="G13347" s="3" t="n">
        <v>2000</v>
      </c>
    </row>
    <row r="13348">
      <c r="A13348" s="3" t="inlineStr">
        <is>
          <t>Quinate Consulting (Pty) Ltd</t>
        </is>
      </c>
      <c r="B13348" s="4" t="n">
        <v>45016</v>
      </c>
      <c r="C13348" s="3" t="inlineStr">
        <is>
          <t>Expenses</t>
        </is>
      </c>
      <c r="D13348" s="3" t="inlineStr">
        <is>
          <t>3351/000</t>
        </is>
      </c>
      <c r="E13348" s="3" t="inlineStr">
        <is>
          <t>Consulting fees - Trustees</t>
        </is>
      </c>
      <c r="F13348" s="3" t="n">
        <v>8000</v>
      </c>
      <c r="G13348" s="3" t="n">
        <v>8000</v>
      </c>
    </row>
    <row r="13349">
      <c r="A13349" s="3" t="inlineStr">
        <is>
          <t>Quinate Consulting (Pty) Ltd</t>
        </is>
      </c>
      <c r="B13349" s="4" t="n">
        <v>45016</v>
      </c>
      <c r="C13349" s="3" t="inlineStr">
        <is>
          <t>Expenses</t>
        </is>
      </c>
      <c r="D13349" s="3" t="inlineStr">
        <is>
          <t>3450/001</t>
        </is>
      </c>
      <c r="E13349" s="3" t="inlineStr">
        <is>
          <t>Depreciation - Computer Equipment</t>
        </is>
      </c>
      <c r="F13349" s="3" t="n">
        <v>2331.67</v>
      </c>
      <c r="G13349" s="3" t="n">
        <v>2331.67</v>
      </c>
    </row>
    <row r="13350">
      <c r="A13350" s="3" t="inlineStr">
        <is>
          <t>Opportunity Global Investment (PTY) LTD</t>
        </is>
      </c>
      <c r="B13350" s="4" t="n">
        <v>45016</v>
      </c>
      <c r="C13350" s="3" t="inlineStr">
        <is>
          <t>Expenses</t>
        </is>
      </c>
      <c r="D13350" s="3" t="inlineStr">
        <is>
          <t>3450/001</t>
        </is>
      </c>
      <c r="E13350" s="3" t="inlineStr">
        <is>
          <t>Depreciation - Computer equipment</t>
        </is>
      </c>
      <c r="F13350" s="3" t="n">
        <v>880.08</v>
      </c>
      <c r="G13350" s="3" t="n">
        <v>880.08</v>
      </c>
    </row>
    <row r="13351">
      <c r="A13351" s="3" t="inlineStr">
        <is>
          <t>Quinate Consulting (Pty) Ltd</t>
        </is>
      </c>
      <c r="B13351" s="4" t="n">
        <v>45016</v>
      </c>
      <c r="C13351" s="3" t="inlineStr">
        <is>
          <t>Expenses</t>
        </is>
      </c>
      <c r="D13351" s="3" t="inlineStr">
        <is>
          <t>3450/002</t>
        </is>
      </c>
      <c r="E13351" s="3" t="inlineStr">
        <is>
          <t>Depreciation - Site Containers</t>
        </is>
      </c>
      <c r="F13351" s="3" t="n">
        <v>318.84</v>
      </c>
      <c r="G13351" s="3" t="n">
        <v>318.84</v>
      </c>
    </row>
    <row r="13352">
      <c r="A13352" s="3" t="inlineStr">
        <is>
          <t>Opportunity Global Sales (PTY) LTD</t>
        </is>
      </c>
      <c r="B13352" s="4" t="n">
        <v>45016</v>
      </c>
      <c r="C13352" s="3" t="inlineStr">
        <is>
          <t>Expenses</t>
        </is>
      </c>
      <c r="D13352" s="3" t="inlineStr">
        <is>
          <t>3450/030</t>
        </is>
      </c>
      <c r="E13352" s="3" t="inlineStr">
        <is>
          <t>Depreciation - Furniture and Fittings</t>
        </is>
      </c>
      <c r="F13352" s="3" t="n">
        <v>408.05</v>
      </c>
      <c r="G13352" s="3" t="n">
        <v>408.05</v>
      </c>
    </row>
    <row r="13353">
      <c r="A13353" s="3" t="inlineStr">
        <is>
          <t>Opportunity Management Holdings (PTY) LTD</t>
        </is>
      </c>
      <c r="B13353" s="4" t="n">
        <v>45016</v>
      </c>
      <c r="C13353" s="3" t="inlineStr">
        <is>
          <t>Expenses</t>
        </is>
      </c>
      <c r="D13353" s="3" t="inlineStr">
        <is>
          <t>3451/000</t>
        </is>
      </c>
      <c r="E13353" s="3" t="inlineStr">
        <is>
          <t>Depreciation - Computer Equipment</t>
        </is>
      </c>
      <c r="F13353" s="3" t="n">
        <v>1035.16</v>
      </c>
      <c r="G13353" s="3" t="n">
        <v>5412.91</v>
      </c>
    </row>
    <row r="13354">
      <c r="A13354" s="3" t="inlineStr">
        <is>
          <t>Quinate Consulting (Pty) Ltd</t>
        </is>
      </c>
      <c r="B13354" s="4" t="n">
        <v>45016</v>
      </c>
      <c r="C13354" s="3" t="inlineStr">
        <is>
          <t>Expenses</t>
        </is>
      </c>
      <c r="D13354" s="3" t="inlineStr">
        <is>
          <t>3600/000</t>
        </is>
      </c>
      <c r="E13354" s="3" t="inlineStr">
        <is>
          <t>Donations</t>
        </is>
      </c>
      <c r="F13354" s="3" t="n">
        <v>572.45</v>
      </c>
      <c r="G13354" s="3" t="n">
        <v>572.45</v>
      </c>
    </row>
    <row r="13355">
      <c r="A13355" s="3" t="inlineStr">
        <is>
          <t>Noble Shield (Pty) Ltd ta Go Letting</t>
        </is>
      </c>
      <c r="B13355" s="4" t="n">
        <v>45016</v>
      </c>
      <c r="C13355" s="3" t="inlineStr">
        <is>
          <t>Expenses</t>
        </is>
      </c>
      <c r="D13355" s="3" t="inlineStr">
        <is>
          <t>3650/000</t>
        </is>
      </c>
      <c r="E13355" s="3" t="inlineStr">
        <is>
          <t>Electricity _AND_ Water</t>
        </is>
      </c>
      <c r="F13355" s="3" t="n">
        <v>0</v>
      </c>
      <c r="G13355" s="3" t="n">
        <v>3400</v>
      </c>
    </row>
    <row r="13356">
      <c r="A13356" s="3" t="inlineStr">
        <is>
          <t>Opportunity Global Investment (PTY) LTD</t>
        </is>
      </c>
      <c r="B13356" s="4" t="n">
        <v>45016</v>
      </c>
      <c r="C13356" s="3" t="inlineStr">
        <is>
          <t>Expenses</t>
        </is>
      </c>
      <c r="D13356" s="3" t="inlineStr">
        <is>
          <t>3650/000</t>
        </is>
      </c>
      <c r="E13356" s="3" t="inlineStr">
        <is>
          <t>Electricity _AND_ Water</t>
        </is>
      </c>
      <c r="F13356" s="3" t="n">
        <v>2950</v>
      </c>
      <c r="G13356" s="3" t="n">
        <v>2950</v>
      </c>
    </row>
    <row r="13357">
      <c r="A13357" s="3" t="inlineStr">
        <is>
          <t>Quinate Consulting (Pty) Ltd</t>
        </is>
      </c>
      <c r="B13357" s="4" t="n">
        <v>45016</v>
      </c>
      <c r="C13357" s="3" t="inlineStr">
        <is>
          <t>Expenses</t>
        </is>
      </c>
      <c r="D13357" s="3" t="inlineStr">
        <is>
          <t>3651/000</t>
        </is>
      </c>
      <c r="E13357" s="3" t="inlineStr">
        <is>
          <t>Electricity _AND_ Water - Southwark</t>
        </is>
      </c>
      <c r="F13357" s="3" t="n">
        <v>3356.36</v>
      </c>
      <c r="G13357" s="3" t="n">
        <v>3356.36</v>
      </c>
    </row>
    <row r="13358">
      <c r="A13358" s="3" t="inlineStr">
        <is>
          <t>Quinate Consulting (Pty) Ltd</t>
        </is>
      </c>
      <c r="B13358" s="4" t="n">
        <v>45016</v>
      </c>
      <c r="C13358" s="3" t="inlineStr">
        <is>
          <t>Expenses</t>
        </is>
      </c>
      <c r="D13358" s="3" t="inlineStr">
        <is>
          <t>3652/000</t>
        </is>
      </c>
      <c r="E13358" s="3" t="inlineStr">
        <is>
          <t>Electricity _AND_ Water - Soho</t>
        </is>
      </c>
      <c r="F13358" s="3" t="n">
        <v>17370.12</v>
      </c>
      <c r="G13358" s="3" t="n">
        <v>17370.12</v>
      </c>
    </row>
    <row r="13359">
      <c r="A13359" s="3" t="inlineStr">
        <is>
          <t>Quinate Consulting (Pty) Ltd</t>
        </is>
      </c>
      <c r="B13359" s="4" t="n">
        <v>45016</v>
      </c>
      <c r="C13359" s="3" t="inlineStr">
        <is>
          <t>Expenses</t>
        </is>
      </c>
      <c r="D13359" s="3" t="inlineStr">
        <is>
          <t>3653/000</t>
        </is>
      </c>
      <c r="E13359" s="3" t="inlineStr">
        <is>
          <t>Electricity _AND_ Water - Endulini</t>
        </is>
      </c>
      <c r="F13359" s="3" t="n">
        <v>-355.41</v>
      </c>
      <c r="G13359" s="3" t="n">
        <v>-355.41</v>
      </c>
    </row>
    <row r="13360">
      <c r="A13360" s="3" t="inlineStr">
        <is>
          <t>Noble Shield (Pty) Ltd ta Go Letting</t>
        </is>
      </c>
      <c r="B13360" s="4" t="n">
        <v>45016</v>
      </c>
      <c r="C13360" s="3" t="inlineStr">
        <is>
          <t>Expenses</t>
        </is>
      </c>
      <c r="D13360" s="3" t="inlineStr">
        <is>
          <t>3700/000</t>
        </is>
      </c>
      <c r="E13360" s="3" t="inlineStr">
        <is>
          <t>Entertainment Expenses</t>
        </is>
      </c>
      <c r="F13360" s="3" t="n">
        <v>0</v>
      </c>
      <c r="G13360" s="3" t="n">
        <v>1900</v>
      </c>
    </row>
    <row r="13361">
      <c r="A13361" s="3" t="inlineStr">
        <is>
          <t>Opportunity Global Investment (PTY) LTD</t>
        </is>
      </c>
      <c r="B13361" s="4" t="n">
        <v>45016</v>
      </c>
      <c r="C13361" s="3" t="inlineStr">
        <is>
          <t>Expenses</t>
        </is>
      </c>
      <c r="D13361" s="3" t="inlineStr">
        <is>
          <t>3700/000</t>
        </is>
      </c>
      <c r="E13361" s="3" t="inlineStr">
        <is>
          <t>Entertainment Expenses</t>
        </is>
      </c>
      <c r="F13361" s="3" t="n">
        <v>130</v>
      </c>
      <c r="G13361" s="3" t="n">
        <v>130</v>
      </c>
    </row>
    <row r="13362">
      <c r="A13362" s="3" t="inlineStr">
        <is>
          <t>Opportunity Global Sales (PTY) LTD</t>
        </is>
      </c>
      <c r="B13362" s="4" t="n">
        <v>45016</v>
      </c>
      <c r="C13362" s="3" t="inlineStr">
        <is>
          <t>Expenses</t>
        </is>
      </c>
      <c r="D13362" s="3" t="inlineStr">
        <is>
          <t>3700/000</t>
        </is>
      </c>
      <c r="E13362" s="3" t="inlineStr">
        <is>
          <t>Entertainment Expenses</t>
        </is>
      </c>
      <c r="F13362" s="3" t="n">
        <v>1480</v>
      </c>
      <c r="G13362" s="3" t="n">
        <v>1480</v>
      </c>
    </row>
    <row r="13363">
      <c r="A13363" s="3" t="inlineStr">
        <is>
          <t>Opportunity Management Holdings (PTY) LTD</t>
        </is>
      </c>
      <c r="B13363" s="4" t="n">
        <v>45016</v>
      </c>
      <c r="C13363" s="3" t="inlineStr">
        <is>
          <t>Expenses</t>
        </is>
      </c>
      <c r="D13363" s="3" t="inlineStr">
        <is>
          <t>3700/000</t>
        </is>
      </c>
      <c r="E13363" s="3" t="inlineStr">
        <is>
          <t>Entertainment Expenses</t>
        </is>
      </c>
      <c r="F13363" s="3" t="n">
        <v>545</v>
      </c>
      <c r="G13363" s="3" t="n">
        <v>1693.38</v>
      </c>
    </row>
    <row r="13364">
      <c r="A13364" s="3" t="inlineStr">
        <is>
          <t>Quinate Consulting (Pty) Ltd</t>
        </is>
      </c>
      <c r="B13364" s="4" t="n">
        <v>45016</v>
      </c>
      <c r="C13364" s="3" t="inlineStr">
        <is>
          <t>Expenses</t>
        </is>
      </c>
      <c r="D13364" s="3" t="inlineStr">
        <is>
          <t>3700/000</t>
        </is>
      </c>
      <c r="E13364" s="3" t="inlineStr">
        <is>
          <t>Entertainment Expenses</t>
        </is>
      </c>
      <c r="F13364" s="3" t="n">
        <v>589.4400000000001</v>
      </c>
      <c r="G13364" s="3" t="n">
        <v>589.4400000000001</v>
      </c>
    </row>
    <row r="13365">
      <c r="A13365" s="3" t="inlineStr">
        <is>
          <t>Opportunity Management Holdings (PTY) LTD</t>
        </is>
      </c>
      <c r="B13365" s="4" t="n">
        <v>45016</v>
      </c>
      <c r="C13365" s="3" t="inlineStr">
        <is>
          <t>Expenses</t>
        </is>
      </c>
      <c r="D13365" s="3" t="inlineStr">
        <is>
          <t>3850/000</t>
        </is>
      </c>
      <c r="E13365" s="3" t="inlineStr">
        <is>
          <t>Insurance - Momentum</t>
        </is>
      </c>
      <c r="F13365" s="3" t="n">
        <v>1696.06</v>
      </c>
      <c r="G13365" s="3" t="n">
        <v>10966.22</v>
      </c>
    </row>
    <row r="13366">
      <c r="A13366" s="3" t="inlineStr">
        <is>
          <t>Noble Shield (Pty) Ltd ta Go Letting</t>
        </is>
      </c>
      <c r="B13366" s="4" t="n">
        <v>45016</v>
      </c>
      <c r="C13366" s="3" t="inlineStr">
        <is>
          <t>Expenses</t>
        </is>
      </c>
      <c r="D13366" s="3" t="inlineStr">
        <is>
          <t>3850/100</t>
        </is>
      </c>
      <c r="E13366" s="3" t="inlineStr">
        <is>
          <t>Insurance - Santam</t>
        </is>
      </c>
      <c r="F13366" s="3" t="n">
        <v>3883.7</v>
      </c>
      <c r="G13366" s="3" t="n">
        <v>26605.17</v>
      </c>
    </row>
    <row r="13367">
      <c r="A13367" s="3" t="inlineStr">
        <is>
          <t>Noble Shield (Pty) Ltd ta Go Letting</t>
        </is>
      </c>
      <c r="B13367" s="4" t="n">
        <v>45016</v>
      </c>
      <c r="C13367" s="3" t="inlineStr">
        <is>
          <t>Expenses</t>
        </is>
      </c>
      <c r="D13367" s="3" t="inlineStr">
        <is>
          <t>3850/200</t>
        </is>
      </c>
      <c r="E13367" s="3" t="inlineStr">
        <is>
          <t>Insurance - A_AND_G</t>
        </is>
      </c>
      <c r="F13367" s="3" t="n">
        <v>2244.46</v>
      </c>
      <c r="G13367" s="3" t="n">
        <v>13020.46</v>
      </c>
    </row>
    <row r="13368">
      <c r="A13368" s="3" t="inlineStr">
        <is>
          <t>Quinate Consulting (Pty) Ltd</t>
        </is>
      </c>
      <c r="B13368" s="4" t="n">
        <v>45016</v>
      </c>
      <c r="C13368" s="3" t="inlineStr">
        <is>
          <t>Expenses</t>
        </is>
      </c>
      <c r="D13368" s="3" t="inlineStr">
        <is>
          <t>3851/000</t>
        </is>
      </c>
      <c r="E13368" s="3" t="inlineStr">
        <is>
          <t>Insurance - Momentum</t>
        </is>
      </c>
      <c r="F13368" s="3" t="n">
        <v>7990.64</v>
      </c>
      <c r="G13368" s="3" t="n">
        <v>7990.64</v>
      </c>
    </row>
    <row r="13369">
      <c r="A13369" s="3" t="inlineStr">
        <is>
          <t>Quinate Consulting (Pty) Ltd</t>
        </is>
      </c>
      <c r="B13369" s="4" t="n">
        <v>45016</v>
      </c>
      <c r="C13369" s="3" t="inlineStr">
        <is>
          <t>Expenses</t>
        </is>
      </c>
      <c r="D13369" s="3" t="inlineStr">
        <is>
          <t>3900/050</t>
        </is>
      </c>
      <c r="E13369" s="3" t="inlineStr">
        <is>
          <t>Interest Paid - STD Bond Accounts</t>
        </is>
      </c>
      <c r="F13369" s="3" t="n">
        <v>38955.95</v>
      </c>
      <c r="G13369" s="3" t="n">
        <v>38955.95</v>
      </c>
    </row>
    <row r="13370">
      <c r="A13370" s="3" t="inlineStr">
        <is>
          <t>Quinate Consulting (Pty) Ltd</t>
        </is>
      </c>
      <c r="B13370" s="4" t="n">
        <v>45016</v>
      </c>
      <c r="C13370" s="3" t="inlineStr">
        <is>
          <t>Expenses</t>
        </is>
      </c>
      <c r="D13370" s="3" t="inlineStr">
        <is>
          <t>3900/152</t>
        </is>
      </c>
      <c r="E13370" s="3" t="inlineStr">
        <is>
          <t>Interest Paid - Gengis</t>
        </is>
      </c>
      <c r="F13370" s="3" t="n">
        <v>3516.16</v>
      </c>
      <c r="G13370" s="3" t="n">
        <v>3516.16</v>
      </c>
    </row>
    <row r="13371">
      <c r="A13371" s="3" t="inlineStr">
        <is>
          <t>Opportunity Management Holdings (PTY) LTD</t>
        </is>
      </c>
      <c r="B13371" s="4" t="n">
        <v>45016</v>
      </c>
      <c r="C13371" s="3" t="inlineStr">
        <is>
          <t>Expenses</t>
        </is>
      </c>
      <c r="D13371" s="3" t="inlineStr">
        <is>
          <t>3960/000</t>
        </is>
      </c>
      <c r="E13371" s="3" t="inlineStr">
        <is>
          <t>Internet Fees</t>
        </is>
      </c>
      <c r="F13371" s="3" t="n">
        <v>599.41</v>
      </c>
      <c r="G13371" s="3" t="n">
        <v>4088.01</v>
      </c>
    </row>
    <row r="13372">
      <c r="A13372" s="3" t="inlineStr">
        <is>
          <t>Quinate Consulting (Pty) Ltd</t>
        </is>
      </c>
      <c r="B13372" s="4" t="n">
        <v>45016</v>
      </c>
      <c r="C13372" s="3" t="inlineStr">
        <is>
          <t>Expenses</t>
        </is>
      </c>
      <c r="D13372" s="3" t="inlineStr">
        <is>
          <t>4065/000</t>
        </is>
      </c>
      <c r="E13372" s="3" t="inlineStr">
        <is>
          <t>Levies - SoHo</t>
        </is>
      </c>
      <c r="F13372" s="3" t="n">
        <v>6689.58</v>
      </c>
      <c r="G13372" s="3" t="n">
        <v>6689.58</v>
      </c>
    </row>
    <row r="13373">
      <c r="A13373" s="3" t="inlineStr">
        <is>
          <t>Quinate Consulting (Pty) Ltd</t>
        </is>
      </c>
      <c r="B13373" s="4" t="n">
        <v>45016</v>
      </c>
      <c r="C13373" s="3" t="inlineStr">
        <is>
          <t>Expenses</t>
        </is>
      </c>
      <c r="D13373" s="3" t="inlineStr">
        <is>
          <t>4066/000</t>
        </is>
      </c>
      <c r="E13373" s="3" t="inlineStr">
        <is>
          <t>Levies - Southwark</t>
        </is>
      </c>
      <c r="F13373" s="3" t="n">
        <v>3422.18</v>
      </c>
      <c r="G13373" s="3" t="n">
        <v>3422.18</v>
      </c>
    </row>
    <row r="13374">
      <c r="A13374" s="3" t="inlineStr">
        <is>
          <t>Quinate Consulting (Pty) Ltd</t>
        </is>
      </c>
      <c r="B13374" s="4" t="n">
        <v>45016</v>
      </c>
      <c r="C13374" s="3" t="inlineStr">
        <is>
          <t>Expenses</t>
        </is>
      </c>
      <c r="D13374" s="3" t="inlineStr">
        <is>
          <t>4067/000</t>
        </is>
      </c>
      <c r="E13374" s="3" t="inlineStr">
        <is>
          <t>Levies - C4 Property</t>
        </is>
      </c>
      <c r="F13374" s="3" t="n">
        <v>2827.14</v>
      </c>
      <c r="G13374" s="3" t="n">
        <v>2827.14</v>
      </c>
    </row>
    <row r="13375">
      <c r="A13375" s="3" t="inlineStr">
        <is>
          <t>Endulini (Pty) Ltd</t>
        </is>
      </c>
      <c r="B13375" s="4" t="n">
        <v>45016</v>
      </c>
      <c r="C13375" s="3" t="inlineStr">
        <is>
          <t>Expenses</t>
        </is>
      </c>
      <c r="D13375" s="3" t="inlineStr">
        <is>
          <t>4100/001</t>
        </is>
      </c>
      <c r="E13375" s="3" t="inlineStr">
        <is>
          <t>Momentum Admin Fee</t>
        </is>
      </c>
      <c r="F13375" s="3" t="n">
        <v>1.03</v>
      </c>
      <c r="G13375" s="3" t="n">
        <v>1.03</v>
      </c>
    </row>
    <row r="13376">
      <c r="A13376" s="3" t="inlineStr">
        <is>
          <t>Quinate Consulting (Pty) Ltd</t>
        </is>
      </c>
      <c r="B13376" s="4" t="n">
        <v>45016</v>
      </c>
      <c r="C13376" s="3" t="inlineStr">
        <is>
          <t>Expenses</t>
        </is>
      </c>
      <c r="D13376" s="3" t="inlineStr">
        <is>
          <t>4100/001</t>
        </is>
      </c>
      <c r="E13376" s="3" t="inlineStr">
        <is>
          <t>Momentum Advise Fee</t>
        </is>
      </c>
      <c r="F13376" s="3" t="n">
        <v>0.21</v>
      </c>
      <c r="G13376" s="3" t="n">
        <v>0.21</v>
      </c>
    </row>
    <row r="13377">
      <c r="A13377" s="3" t="inlineStr">
        <is>
          <t>Opportunity Global Investment (PTY) LTD</t>
        </is>
      </c>
      <c r="B13377" s="4" t="n">
        <v>45016</v>
      </c>
      <c r="C13377" s="3" t="inlineStr">
        <is>
          <t>Expenses</t>
        </is>
      </c>
      <c r="D13377" s="3" t="inlineStr">
        <is>
          <t>4100/100</t>
        </is>
      </c>
      <c r="E13377" s="3" t="inlineStr">
        <is>
          <t>Members Salaries - Nick Morgan</t>
        </is>
      </c>
      <c r="F13377" s="3" t="n">
        <v>41251.61</v>
      </c>
      <c r="G13377" s="3" t="n">
        <v>41251.61</v>
      </c>
    </row>
    <row r="13378">
      <c r="A13378" s="3" t="inlineStr">
        <is>
          <t>Opportunity Global Investment (PTY) LTD</t>
        </is>
      </c>
      <c r="B13378" s="4" t="n">
        <v>45016</v>
      </c>
      <c r="C13378" s="3" t="inlineStr">
        <is>
          <t>Expenses</t>
        </is>
      </c>
      <c r="D13378" s="3" t="inlineStr">
        <is>
          <t>4200/000</t>
        </is>
      </c>
      <c r="E13378" s="3" t="inlineStr">
        <is>
          <t>Printing _AND_ Stationery</t>
        </is>
      </c>
      <c r="F13378" s="3" t="n">
        <v>2367</v>
      </c>
      <c r="G13378" s="3" t="n">
        <v>2367</v>
      </c>
    </row>
    <row r="13379">
      <c r="A13379" s="3" t="inlineStr">
        <is>
          <t>Opportunity Global Sales (PTY) LTD</t>
        </is>
      </c>
      <c r="B13379" s="4" t="n">
        <v>45016</v>
      </c>
      <c r="C13379" s="3" t="inlineStr">
        <is>
          <t>Expenses</t>
        </is>
      </c>
      <c r="D13379" s="3" t="inlineStr">
        <is>
          <t>4200/000</t>
        </is>
      </c>
      <c r="E13379" s="3" t="inlineStr">
        <is>
          <t>Printing _AND_ Stationery</t>
        </is>
      </c>
      <c r="F13379" s="3" t="n">
        <v>286.96</v>
      </c>
      <c r="G13379" s="3" t="n">
        <v>286.96</v>
      </c>
    </row>
    <row r="13380">
      <c r="A13380" s="3" t="inlineStr">
        <is>
          <t>Opportunity Management Holdings (PTY) LTD</t>
        </is>
      </c>
      <c r="B13380" s="4" t="n">
        <v>45016</v>
      </c>
      <c r="C13380" s="3" t="inlineStr">
        <is>
          <t>Expenses</t>
        </is>
      </c>
      <c r="D13380" s="3" t="inlineStr">
        <is>
          <t>4200/000</t>
        </is>
      </c>
      <c r="E13380" s="3" t="inlineStr">
        <is>
          <t>Printing _AND_ Stationery</t>
        </is>
      </c>
      <c r="F13380" s="3" t="n">
        <v>3726.91</v>
      </c>
      <c r="G13380" s="3" t="n">
        <v>17439.96</v>
      </c>
    </row>
    <row r="13381">
      <c r="A13381" s="3" t="inlineStr">
        <is>
          <t>Noble Shield (Pty) Ltd ta Go Letting</t>
        </is>
      </c>
      <c r="B13381" s="4" t="n">
        <v>45016</v>
      </c>
      <c r="C13381" s="3" t="inlineStr">
        <is>
          <t>Expenses</t>
        </is>
      </c>
      <c r="D13381" s="3" t="inlineStr">
        <is>
          <t>4200/100</t>
        </is>
      </c>
      <c r="E13381" s="3" t="inlineStr">
        <is>
          <t>Printing - Merchant West- Printer Rental</t>
        </is>
      </c>
      <c r="F13381" s="3" t="n">
        <v>1630.17</v>
      </c>
      <c r="G13381" s="3" t="n">
        <v>11395.42</v>
      </c>
    </row>
    <row r="13382">
      <c r="A13382" s="3" t="inlineStr">
        <is>
          <t>Noble Shield (Pty) Ltd ta Go Letting</t>
        </is>
      </c>
      <c r="B13382" s="4" t="n">
        <v>45016</v>
      </c>
      <c r="C13382" s="3" t="inlineStr">
        <is>
          <t>Expenses</t>
        </is>
      </c>
      <c r="D13382" s="3" t="inlineStr">
        <is>
          <t>4200/120</t>
        </is>
      </c>
      <c r="E13382" s="3" t="inlineStr">
        <is>
          <t>Printing - Ivy Line - Prints</t>
        </is>
      </c>
      <c r="F13382" s="3" t="n">
        <v>329.51</v>
      </c>
      <c r="G13382" s="3" t="n">
        <v>5778.42</v>
      </c>
    </row>
    <row r="13383">
      <c r="A13383" s="3" t="inlineStr">
        <is>
          <t>Noble Shield (Pty) Ltd ta Go Letting</t>
        </is>
      </c>
      <c r="B13383" s="4" t="n">
        <v>45016</v>
      </c>
      <c r="C13383" s="3" t="inlineStr">
        <is>
          <t>Expenses</t>
        </is>
      </c>
      <c r="D13383" s="3" t="inlineStr">
        <is>
          <t>4200/180</t>
        </is>
      </c>
      <c r="E13383" s="3" t="inlineStr">
        <is>
          <t>Printing - Ikon</t>
        </is>
      </c>
      <c r="F13383" s="3" t="n">
        <v>108.96</v>
      </c>
      <c r="G13383" s="3" t="n">
        <v>707.98</v>
      </c>
    </row>
    <row r="13384">
      <c r="A13384" s="3" t="inlineStr">
        <is>
          <t>Noble Shield (Pty) Ltd ta Go Letting</t>
        </is>
      </c>
      <c r="B13384" s="4" t="n">
        <v>45016</v>
      </c>
      <c r="C13384" s="3" t="inlineStr">
        <is>
          <t>Expenses</t>
        </is>
      </c>
      <c r="D13384" s="3" t="inlineStr">
        <is>
          <t>4200/190</t>
        </is>
      </c>
      <c r="E13384" s="3" t="inlineStr">
        <is>
          <t>Printing - Centrafin printer rental</t>
        </is>
      </c>
      <c r="F13384" s="3" t="n">
        <v>2882.81</v>
      </c>
      <c r="G13384" s="3" t="n">
        <v>18903.19</v>
      </c>
    </row>
    <row r="13385">
      <c r="A13385" s="3" t="inlineStr">
        <is>
          <t>Noble Shield (Pty) Ltd ta Go Letting</t>
        </is>
      </c>
      <c r="B13385" s="4" t="n">
        <v>45016</v>
      </c>
      <c r="C13385" s="3" t="inlineStr">
        <is>
          <t>Expenses</t>
        </is>
      </c>
      <c r="D13385" s="3" t="inlineStr">
        <is>
          <t>4200/200</t>
        </is>
      </c>
      <c r="E13385" s="3" t="inlineStr">
        <is>
          <t>Printing - General Stationery VDB Office</t>
        </is>
      </c>
      <c r="F13385" s="3" t="n">
        <v>0</v>
      </c>
      <c r="G13385" s="3" t="n">
        <v>5661.22</v>
      </c>
    </row>
    <row r="13386">
      <c r="A13386" s="3" t="inlineStr">
        <is>
          <t>Opportunity Global Investment (PTY) LTD</t>
        </is>
      </c>
      <c r="B13386" s="4" t="n">
        <v>45016</v>
      </c>
      <c r="C13386" s="3" t="inlineStr">
        <is>
          <t>Expenses</t>
        </is>
      </c>
      <c r="D13386" s="3" t="inlineStr">
        <is>
          <t>4220/000</t>
        </is>
      </c>
      <c r="E13386" s="3" t="inlineStr">
        <is>
          <t>Motor Vehicle Expenses - Petrol _AND_ Oil</t>
        </is>
      </c>
      <c r="F13386" s="3" t="n">
        <v>1844.26</v>
      </c>
      <c r="G13386" s="3" t="n">
        <v>1844.26</v>
      </c>
    </row>
    <row r="13387">
      <c r="A13387" s="3" t="inlineStr">
        <is>
          <t>Noble Shield (Pty) Ltd ta Go Letting</t>
        </is>
      </c>
      <c r="B13387" s="4" t="n">
        <v>45016</v>
      </c>
      <c r="C13387" s="3" t="inlineStr">
        <is>
          <t>Expenses</t>
        </is>
      </c>
      <c r="D13387" s="3" t="inlineStr">
        <is>
          <t>4290/000</t>
        </is>
      </c>
      <c r="E13387" s="3" t="inlineStr">
        <is>
          <t>Refreshments - CT Office</t>
        </is>
      </c>
      <c r="F13387" s="3" t="n">
        <v>1237.16</v>
      </c>
      <c r="G13387" s="3" t="n">
        <v>7018.93</v>
      </c>
    </row>
    <row r="13388">
      <c r="A13388" s="3" t="inlineStr">
        <is>
          <t>Opportunity Global Investment (PTY) LTD</t>
        </is>
      </c>
      <c r="B13388" s="4" t="n">
        <v>45016</v>
      </c>
      <c r="C13388" s="3" t="inlineStr">
        <is>
          <t>Expenses</t>
        </is>
      </c>
      <c r="D13388" s="3" t="inlineStr">
        <is>
          <t>4290/000</t>
        </is>
      </c>
      <c r="E13388" s="3" t="inlineStr">
        <is>
          <t>Rent</t>
        </is>
      </c>
      <c r="F13388" s="3" t="n">
        <v>8770</v>
      </c>
      <c r="G13388" s="3" t="n">
        <v>8770</v>
      </c>
    </row>
    <row r="13389">
      <c r="A13389" s="3" t="inlineStr">
        <is>
          <t>Noble Shield (Pty) Ltd ta Go Letting</t>
        </is>
      </c>
      <c r="B13389" s="4" t="n">
        <v>45016</v>
      </c>
      <c r="C13389" s="3" t="inlineStr">
        <is>
          <t>Expenses</t>
        </is>
      </c>
      <c r="D13389" s="3" t="inlineStr">
        <is>
          <t>4291/000</t>
        </is>
      </c>
      <c r="E13389" s="3" t="inlineStr">
        <is>
          <t>Refreshments - VDB Office</t>
        </is>
      </c>
      <c r="F13389" s="3" t="n">
        <v>0</v>
      </c>
      <c r="G13389" s="3" t="n">
        <v>3130.25</v>
      </c>
    </row>
    <row r="13390">
      <c r="A13390" s="3" t="inlineStr">
        <is>
          <t>Trademark Holdings (Pty) Ltd</t>
        </is>
      </c>
      <c r="B13390" s="4" t="n">
        <v>45016</v>
      </c>
      <c r="C13390" s="3" t="inlineStr">
        <is>
          <t>Expenses</t>
        </is>
      </c>
      <c r="D13390" s="3" t="inlineStr">
        <is>
          <t>4300/000</t>
        </is>
      </c>
      <c r="E13390" s="3" t="inlineStr">
        <is>
          <t>Rent Paid</t>
        </is>
      </c>
      <c r="F13390" s="3" t="n">
        <v>6532</v>
      </c>
      <c r="G13390" s="3" t="n">
        <v>45500.57</v>
      </c>
    </row>
    <row r="13391">
      <c r="A13391" s="3" t="inlineStr">
        <is>
          <t>Opportunity Global Investment (PTY) LTD</t>
        </is>
      </c>
      <c r="B13391" s="4" t="n">
        <v>45016</v>
      </c>
      <c r="C13391" s="3" t="inlineStr">
        <is>
          <t>Expenses</t>
        </is>
      </c>
      <c r="D13391" s="3" t="inlineStr">
        <is>
          <t>4310/000</t>
        </is>
      </c>
      <c r="E13391" s="3" t="inlineStr">
        <is>
          <t>Refreshments</t>
        </is>
      </c>
      <c r="F13391" s="3" t="n">
        <v>2521</v>
      </c>
      <c r="G13391" s="3" t="n">
        <v>2521</v>
      </c>
    </row>
    <row r="13392">
      <c r="A13392" s="3" t="inlineStr">
        <is>
          <t>Opportunity Management Holdings (PTY) LTD</t>
        </is>
      </c>
      <c r="B13392" s="4" t="n">
        <v>45016</v>
      </c>
      <c r="C13392" s="3" t="inlineStr">
        <is>
          <t>Expenses</t>
        </is>
      </c>
      <c r="D13392" s="3" t="inlineStr">
        <is>
          <t>4310/000</t>
        </is>
      </c>
      <c r="E13392" s="3" t="inlineStr">
        <is>
          <t>Refreshments</t>
        </is>
      </c>
      <c r="F13392" s="3" t="n">
        <v>0</v>
      </c>
      <c r="G13392" s="3" t="n">
        <v>6398.35</v>
      </c>
    </row>
    <row r="13393">
      <c r="A13393" s="3" t="inlineStr">
        <is>
          <t>Quinate Consulting (Pty) Ltd</t>
        </is>
      </c>
      <c r="B13393" s="4" t="n">
        <v>45016</v>
      </c>
      <c r="C13393" s="3" t="inlineStr">
        <is>
          <t>Expenses</t>
        </is>
      </c>
      <c r="D13393" s="3" t="inlineStr">
        <is>
          <t>4312/000</t>
        </is>
      </c>
      <c r="E13393" s="3" t="inlineStr">
        <is>
          <t>Rates - SoHo Units</t>
        </is>
      </c>
      <c r="F13393" s="3" t="n">
        <v>2321.37</v>
      </c>
      <c r="G13393" s="3" t="n">
        <v>2321.37</v>
      </c>
    </row>
    <row r="13394">
      <c r="A13394" s="3" t="inlineStr">
        <is>
          <t>Noble Shield (Pty) Ltd ta Go Letting</t>
        </is>
      </c>
      <c r="B13394" s="4" t="n">
        <v>45016</v>
      </c>
      <c r="C13394" s="3" t="inlineStr">
        <is>
          <t>Expenses</t>
        </is>
      </c>
      <c r="D13394" s="3" t="inlineStr">
        <is>
          <t>4350/000</t>
        </is>
      </c>
      <c r="E13394" s="3" t="inlineStr">
        <is>
          <t>Repairs _AND_ Maintenance</t>
        </is>
      </c>
      <c r="F13394" s="3" t="n">
        <v>0</v>
      </c>
      <c r="G13394" s="3" t="n">
        <v>710</v>
      </c>
    </row>
    <row r="13395">
      <c r="A13395" s="3" t="inlineStr">
        <is>
          <t>Opportunity Management Holdings (PTY) LTD</t>
        </is>
      </c>
      <c r="B13395" s="4" t="n">
        <v>45016</v>
      </c>
      <c r="C13395" s="3" t="inlineStr">
        <is>
          <t>Expenses</t>
        </is>
      </c>
      <c r="D13395" s="3" t="inlineStr">
        <is>
          <t>4350/000</t>
        </is>
      </c>
      <c r="E13395" s="3" t="inlineStr">
        <is>
          <t>Repairs _AND_ Maintenance</t>
        </is>
      </c>
      <c r="F13395" s="3" t="n">
        <v>0</v>
      </c>
      <c r="G13395" s="3" t="n">
        <v>843.37</v>
      </c>
    </row>
    <row r="13396">
      <c r="A13396" s="3" t="inlineStr">
        <is>
          <t>Quinate Consulting (Pty) Ltd</t>
        </is>
      </c>
      <c r="B13396" s="4" t="n">
        <v>45016</v>
      </c>
      <c r="C13396" s="3" t="inlineStr">
        <is>
          <t>Expenses</t>
        </is>
      </c>
      <c r="D13396" s="3" t="inlineStr">
        <is>
          <t>4350/000</t>
        </is>
      </c>
      <c r="E13396" s="3" t="inlineStr">
        <is>
          <t>Repairs and Maintenance - Southwark Units</t>
        </is>
      </c>
      <c r="F13396" s="3" t="n">
        <v>2350</v>
      </c>
      <c r="G13396" s="3" t="n">
        <v>2350</v>
      </c>
    </row>
    <row r="13397">
      <c r="A13397" s="3" t="inlineStr">
        <is>
          <t>Opportunity Global Sales (PTY) LTD</t>
        </is>
      </c>
      <c r="B13397" s="4" t="n">
        <v>45016</v>
      </c>
      <c r="C13397" s="3" t="inlineStr">
        <is>
          <t>Expenses</t>
        </is>
      </c>
      <c r="D13397" s="3" t="inlineStr">
        <is>
          <t>4390/000</t>
        </is>
      </c>
      <c r="E13397" s="3" t="inlineStr">
        <is>
          <t>Small Assets</t>
        </is>
      </c>
      <c r="F13397" s="3" t="n">
        <v>1477.39</v>
      </c>
      <c r="G13397" s="3" t="n">
        <v>1477.39</v>
      </c>
    </row>
    <row r="13398">
      <c r="A13398" s="3" t="inlineStr">
        <is>
          <t>Opportunity Management Holdings (PTY) LTD</t>
        </is>
      </c>
      <c r="B13398" s="4" t="n">
        <v>45016</v>
      </c>
      <c r="C13398" s="3" t="inlineStr">
        <is>
          <t>Expenses</t>
        </is>
      </c>
      <c r="D13398" s="3" t="inlineStr">
        <is>
          <t>4390/000</t>
        </is>
      </c>
      <c r="E13398" s="3" t="inlineStr">
        <is>
          <t>Small Assets</t>
        </is>
      </c>
      <c r="F13398" s="3" t="n">
        <v>0</v>
      </c>
      <c r="G13398" s="3" t="n">
        <v>18288.69</v>
      </c>
    </row>
    <row r="13399">
      <c r="A13399" s="3" t="inlineStr">
        <is>
          <t>Noble Shield (Pty) Ltd ta Go Letting</t>
        </is>
      </c>
      <c r="B13399" s="4" t="n">
        <v>45016</v>
      </c>
      <c r="C13399" s="3" t="inlineStr">
        <is>
          <t>Expenses</t>
        </is>
      </c>
      <c r="D13399" s="3" t="inlineStr">
        <is>
          <t>4400/000</t>
        </is>
      </c>
      <c r="E13399" s="3" t="inlineStr">
        <is>
          <t>Salaries _AND_ Wages</t>
        </is>
      </c>
      <c r="F13399" s="3" t="n">
        <v>26915.7</v>
      </c>
      <c r="G13399" s="3" t="n">
        <v>188004.92</v>
      </c>
    </row>
    <row r="13400">
      <c r="A13400" s="3" t="inlineStr">
        <is>
          <t>Opportunity Global Sales (PTY) LTD</t>
        </is>
      </c>
      <c r="B13400" s="4" t="n">
        <v>45016</v>
      </c>
      <c r="C13400" s="3" t="inlineStr">
        <is>
          <t>Expenses</t>
        </is>
      </c>
      <c r="D13400" s="3" t="inlineStr">
        <is>
          <t>4400/000</t>
        </is>
      </c>
      <c r="E13400" s="3" t="inlineStr">
        <is>
          <t>Salaries _AND_ Wages</t>
        </is>
      </c>
      <c r="F13400" s="3" t="n">
        <v>53967.05</v>
      </c>
      <c r="G13400" s="3" t="n">
        <v>53967.05</v>
      </c>
    </row>
    <row r="13401">
      <c r="A13401" s="3" t="inlineStr">
        <is>
          <t>Opportunity Management Holdings (PTY) LTD</t>
        </is>
      </c>
      <c r="B13401" s="4" t="n">
        <v>45016</v>
      </c>
      <c r="C13401" s="3" t="inlineStr">
        <is>
          <t>Expenses</t>
        </is>
      </c>
      <c r="D13401" s="3" t="inlineStr">
        <is>
          <t>4400/000</t>
        </is>
      </c>
      <c r="E13401" s="3" t="inlineStr">
        <is>
          <t>Salaries _AND_ Wages</t>
        </is>
      </c>
      <c r="F13401" s="3" t="n">
        <v>308278.6</v>
      </c>
      <c r="G13401" s="3" t="n">
        <v>1780732.25</v>
      </c>
    </row>
    <row r="13402">
      <c r="A13402" s="3" t="inlineStr">
        <is>
          <t>Trademark Holdings (Pty) Ltd</t>
        </is>
      </c>
      <c r="B13402" s="4" t="n">
        <v>45016</v>
      </c>
      <c r="C13402" s="3" t="inlineStr">
        <is>
          <t>Expenses</t>
        </is>
      </c>
      <c r="D13402" s="3" t="inlineStr">
        <is>
          <t>4400/000</t>
        </is>
      </c>
      <c r="E13402" s="3" t="inlineStr">
        <is>
          <t>Salaries _AND_ Wages</t>
        </is>
      </c>
      <c r="F13402" s="3" t="n">
        <v>12429.45</v>
      </c>
      <c r="G13402" s="3" t="n">
        <v>87006.14999999999</v>
      </c>
    </row>
    <row r="13403">
      <c r="A13403" s="3" t="inlineStr">
        <is>
          <t>Trademark Holdings (Pty) Ltd</t>
        </is>
      </c>
      <c r="B13403" s="4" t="n">
        <v>45016</v>
      </c>
      <c r="C13403" s="3" t="inlineStr">
        <is>
          <t>Expenses</t>
        </is>
      </c>
      <c r="D13403" s="3" t="inlineStr">
        <is>
          <t>4410/000</t>
        </is>
      </c>
      <c r="E13403" s="3" t="inlineStr">
        <is>
          <t>Salaries _AND_ Wages - WCA</t>
        </is>
      </c>
      <c r="F13403" s="3" t="n">
        <v>0</v>
      </c>
      <c r="G13403" s="3" t="n">
        <v>1397.74</v>
      </c>
    </row>
    <row r="13404">
      <c r="A13404" s="3" t="inlineStr">
        <is>
          <t>Opportunity Global Investment (PTY) LTD</t>
        </is>
      </c>
      <c r="B13404" s="4" t="n">
        <v>45016</v>
      </c>
      <c r="C13404" s="3" t="inlineStr">
        <is>
          <t>Expenses</t>
        </is>
      </c>
      <c r="D13404" s="3" t="inlineStr">
        <is>
          <t>4450/000</t>
        </is>
      </c>
      <c r="E13404" s="3" t="inlineStr">
        <is>
          <t>Staff Training</t>
        </is>
      </c>
      <c r="F13404" s="3" t="n">
        <v>6191.31</v>
      </c>
      <c r="G13404" s="3" t="n">
        <v>6191.31</v>
      </c>
    </row>
    <row r="13405">
      <c r="A13405" s="3" t="inlineStr">
        <is>
          <t>Opportunity Management Holdings (PTY) LTD</t>
        </is>
      </c>
      <c r="B13405" s="4" t="n">
        <v>45016</v>
      </c>
      <c r="C13405" s="3" t="inlineStr">
        <is>
          <t>Expenses</t>
        </is>
      </c>
      <c r="D13405" s="3" t="inlineStr">
        <is>
          <t>4450/000</t>
        </is>
      </c>
      <c r="E13405" s="3" t="inlineStr">
        <is>
          <t>Staff Training</t>
        </is>
      </c>
      <c r="F13405" s="3" t="n">
        <v>0</v>
      </c>
      <c r="G13405" s="3" t="n">
        <v>2001.78</v>
      </c>
    </row>
    <row r="13406">
      <c r="A13406" s="3" t="inlineStr">
        <is>
          <t>Noble Shield (Pty) Ltd ta Go Letting</t>
        </is>
      </c>
      <c r="B13406" s="4" t="n">
        <v>45016</v>
      </c>
      <c r="C13406" s="3" t="inlineStr">
        <is>
          <t>Expenses</t>
        </is>
      </c>
      <c r="D13406" s="3" t="inlineStr">
        <is>
          <t>4500/000</t>
        </is>
      </c>
      <c r="E13406" s="3" t="inlineStr">
        <is>
          <t>Staff Welfare</t>
        </is>
      </c>
      <c r="F13406" s="3" t="n">
        <v>543.2</v>
      </c>
      <c r="G13406" s="3" t="n">
        <v>5043.2</v>
      </c>
    </row>
    <row r="13407">
      <c r="A13407" s="3" t="inlineStr">
        <is>
          <t>Opportunity Global Sales (PTY) LTD</t>
        </is>
      </c>
      <c r="B13407" s="4" t="n">
        <v>45016</v>
      </c>
      <c r="C13407" s="3" t="inlineStr">
        <is>
          <t>Expenses</t>
        </is>
      </c>
      <c r="D13407" s="3" t="inlineStr">
        <is>
          <t>4500/000</t>
        </is>
      </c>
      <c r="E13407" s="3" t="inlineStr">
        <is>
          <t>Staff Welfare</t>
        </is>
      </c>
      <c r="F13407" s="3" t="n">
        <v>92.17</v>
      </c>
      <c r="G13407" s="3" t="n">
        <v>92.17</v>
      </c>
    </row>
    <row r="13408">
      <c r="A13408" s="3" t="inlineStr">
        <is>
          <t>Opportunity Management Holdings (PTY) LTD</t>
        </is>
      </c>
      <c r="B13408" s="4" t="n">
        <v>45016</v>
      </c>
      <c r="C13408" s="3" t="inlineStr">
        <is>
          <t>Expenses</t>
        </is>
      </c>
      <c r="D13408" s="3" t="inlineStr">
        <is>
          <t>4500/000</t>
        </is>
      </c>
      <c r="E13408" s="3" t="inlineStr">
        <is>
          <t>Staff Welfare</t>
        </is>
      </c>
      <c r="F13408" s="3" t="n">
        <v>6067.12</v>
      </c>
      <c r="G13408" s="3" t="n">
        <v>55040.06</v>
      </c>
    </row>
    <row r="13409">
      <c r="A13409" s="3" t="inlineStr">
        <is>
          <t>Trademark Holdings (Pty) Ltd</t>
        </is>
      </c>
      <c r="B13409" s="4" t="n">
        <v>45016</v>
      </c>
      <c r="C13409" s="3" t="inlineStr">
        <is>
          <t>Expenses</t>
        </is>
      </c>
      <c r="D13409" s="3" t="inlineStr">
        <is>
          <t>4500/000</t>
        </is>
      </c>
      <c r="E13409" s="3" t="inlineStr">
        <is>
          <t>Staff Welfare _AND_ Refreshments</t>
        </is>
      </c>
      <c r="F13409" s="3" t="n">
        <v>0</v>
      </c>
      <c r="G13409" s="3" t="n">
        <v>4500</v>
      </c>
    </row>
    <row r="13410">
      <c r="A13410" s="3" t="inlineStr">
        <is>
          <t>Noble Shield (Pty) Ltd ta Go Letting</t>
        </is>
      </c>
      <c r="B13410" s="4" t="n">
        <v>45016</v>
      </c>
      <c r="C13410" s="3" t="inlineStr">
        <is>
          <t>Expenses</t>
        </is>
      </c>
      <c r="D13410" s="3" t="inlineStr">
        <is>
          <t>4520/000</t>
        </is>
      </c>
      <c r="E13410" s="3" t="inlineStr">
        <is>
          <t>Security</t>
        </is>
      </c>
      <c r="F13410" s="3" t="n">
        <v>815</v>
      </c>
      <c r="G13410" s="3" t="n">
        <v>5841.44</v>
      </c>
    </row>
    <row r="13411">
      <c r="A13411" s="3" t="inlineStr">
        <is>
          <t>Quinate Consulting (Pty) Ltd</t>
        </is>
      </c>
      <c r="B13411" s="4" t="n">
        <v>45016</v>
      </c>
      <c r="C13411" s="3" t="inlineStr">
        <is>
          <t>Expenses</t>
        </is>
      </c>
      <c r="D13411" s="3" t="inlineStr">
        <is>
          <t>4550/000</t>
        </is>
      </c>
      <c r="E13411" s="3" t="inlineStr">
        <is>
          <t>Subscriptions / Licenses</t>
        </is>
      </c>
      <c r="F13411" s="3" t="n">
        <v>11903.38</v>
      </c>
      <c r="G13411" s="3" t="n">
        <v>11903.38</v>
      </c>
    </row>
    <row r="13412">
      <c r="A13412" s="3" t="inlineStr">
        <is>
          <t>Opportunity Management Holdings (PTY) LTD</t>
        </is>
      </c>
      <c r="B13412" s="4" t="n">
        <v>45016</v>
      </c>
      <c r="C13412" s="3" t="inlineStr">
        <is>
          <t>Expenses</t>
        </is>
      </c>
      <c r="D13412" s="3" t="inlineStr">
        <is>
          <t>4550/000</t>
        </is>
      </c>
      <c r="E13412" s="3" t="inlineStr">
        <is>
          <t>Subscriptions _AND_ Lisences</t>
        </is>
      </c>
      <c r="F13412" s="3" t="n">
        <v>3306.17</v>
      </c>
      <c r="G13412" s="3" t="n">
        <v>35325.55</v>
      </c>
    </row>
    <row r="13413">
      <c r="A13413" s="3" t="inlineStr">
        <is>
          <t>Noble Shield (Pty) Ltd ta Go Letting</t>
        </is>
      </c>
      <c r="B13413" s="4" t="n">
        <v>45016</v>
      </c>
      <c r="C13413" s="3" t="inlineStr">
        <is>
          <t>Expenses</t>
        </is>
      </c>
      <c r="D13413" s="3" t="inlineStr">
        <is>
          <t>4550/100</t>
        </is>
      </c>
      <c r="E13413" s="3" t="inlineStr">
        <is>
          <t>Subscriptions - EAAB</t>
        </is>
      </c>
      <c r="F13413" s="3" t="n">
        <v>0</v>
      </c>
      <c r="G13413" s="3" t="n">
        <v>2340</v>
      </c>
    </row>
    <row r="13414">
      <c r="A13414" s="3" t="inlineStr">
        <is>
          <t>Trademark Holdings (Pty) Ltd</t>
        </is>
      </c>
      <c r="B13414" s="4" t="n">
        <v>45016</v>
      </c>
      <c r="C13414" s="3" t="inlineStr">
        <is>
          <t>Expenses</t>
        </is>
      </c>
      <c r="D13414" s="3" t="inlineStr">
        <is>
          <t>4550/100</t>
        </is>
      </c>
      <c r="E13414" s="3" t="inlineStr">
        <is>
          <t>Subscriptions - EAAB</t>
        </is>
      </c>
      <c r="F13414" s="3" t="n">
        <v>0</v>
      </c>
      <c r="G13414" s="3" t="n">
        <v>2340</v>
      </c>
    </row>
    <row r="13415">
      <c r="A13415" s="3" t="inlineStr">
        <is>
          <t>Opportunity Global Investment (PTY) LTD</t>
        </is>
      </c>
      <c r="B13415" s="4" t="n">
        <v>45016</v>
      </c>
      <c r="C13415" s="3" t="inlineStr">
        <is>
          <t>Expenses</t>
        </is>
      </c>
      <c r="D13415" s="3" t="inlineStr">
        <is>
          <t>4550/100</t>
        </is>
      </c>
      <c r="E13415" s="3" t="inlineStr">
        <is>
          <t>Subscriptions - Zoho</t>
        </is>
      </c>
      <c r="F13415" s="3" t="n">
        <v>1125</v>
      </c>
      <c r="G13415" s="3" t="n">
        <v>1125</v>
      </c>
    </row>
    <row r="13416">
      <c r="A13416" s="3" t="inlineStr">
        <is>
          <t>Opportunity Global Sales (PTY) LTD</t>
        </is>
      </c>
      <c r="B13416" s="4" t="n">
        <v>45016</v>
      </c>
      <c r="C13416" s="3" t="inlineStr">
        <is>
          <t>Expenses</t>
        </is>
      </c>
      <c r="D13416" s="3" t="inlineStr">
        <is>
          <t>4550/150</t>
        </is>
      </c>
      <c r="E13416" s="3" t="inlineStr">
        <is>
          <t>Subscription - Webbox</t>
        </is>
      </c>
      <c r="F13416" s="3" t="n">
        <v>1259</v>
      </c>
      <c r="G13416" s="3" t="n">
        <v>1259</v>
      </c>
    </row>
    <row r="13417">
      <c r="A13417" s="3" t="inlineStr">
        <is>
          <t>Opportunity Global Investment (PTY) LTD</t>
        </is>
      </c>
      <c r="B13417" s="4" t="n">
        <v>45016</v>
      </c>
      <c r="C13417" s="3" t="inlineStr">
        <is>
          <t>Expenses</t>
        </is>
      </c>
      <c r="D13417" s="3" t="inlineStr">
        <is>
          <t>4550/250</t>
        </is>
      </c>
      <c r="E13417" s="3" t="inlineStr">
        <is>
          <t>Subscriptions - LinkedIn</t>
        </is>
      </c>
      <c r="F13417" s="3" t="n">
        <v>2000.98</v>
      </c>
      <c r="G13417" s="3" t="n">
        <v>2000.98</v>
      </c>
    </row>
    <row r="13418">
      <c r="A13418" s="3" t="inlineStr">
        <is>
          <t>Opportunity Global Investment (PTY) LTD</t>
        </is>
      </c>
      <c r="B13418" s="4" t="n">
        <v>45016</v>
      </c>
      <c r="C13418" s="3" t="inlineStr">
        <is>
          <t>Expenses</t>
        </is>
      </c>
      <c r="D13418" s="3" t="inlineStr">
        <is>
          <t>4550/350</t>
        </is>
      </c>
      <c r="E13418" s="3" t="inlineStr">
        <is>
          <t>Subscriptions - Xero</t>
        </is>
      </c>
      <c r="F13418" s="3" t="n">
        <v>600</v>
      </c>
      <c r="G13418" s="3" t="n">
        <v>600</v>
      </c>
    </row>
    <row r="13419">
      <c r="A13419" s="3" t="inlineStr">
        <is>
          <t>Opportunity Global Investment (PTY) LTD</t>
        </is>
      </c>
      <c r="B13419" s="4" t="n">
        <v>45016</v>
      </c>
      <c r="C13419" s="3" t="inlineStr">
        <is>
          <t>Expenses</t>
        </is>
      </c>
      <c r="D13419" s="3" t="inlineStr">
        <is>
          <t>4550/400</t>
        </is>
      </c>
      <c r="E13419" s="3" t="inlineStr">
        <is>
          <t>Subscriptions - Moneyweb</t>
        </is>
      </c>
      <c r="F13419" s="3" t="n">
        <v>54.78</v>
      </c>
      <c r="G13419" s="3" t="n">
        <v>54.78</v>
      </c>
    </row>
    <row r="13420">
      <c r="A13420" s="3" t="inlineStr">
        <is>
          <t>Trademark Holdings (Pty) Ltd</t>
        </is>
      </c>
      <c r="B13420" s="4" t="n">
        <v>45016</v>
      </c>
      <c r="C13420" s="3" t="inlineStr">
        <is>
          <t>Expenses</t>
        </is>
      </c>
      <c r="D13420" s="3" t="inlineStr">
        <is>
          <t>4550/400</t>
        </is>
      </c>
      <c r="E13420" s="3" t="inlineStr">
        <is>
          <t>Subscriptions - Xero</t>
        </is>
      </c>
      <c r="F13420" s="3" t="n">
        <v>600</v>
      </c>
      <c r="G13420" s="3" t="n">
        <v>4200</v>
      </c>
    </row>
    <row r="13421">
      <c r="A13421" s="3" t="inlineStr">
        <is>
          <t>Opportunity Global Investment (PTY) LTD</t>
        </is>
      </c>
      <c r="B13421" s="4" t="n">
        <v>45016</v>
      </c>
      <c r="C13421" s="3" t="inlineStr">
        <is>
          <t>Expenses</t>
        </is>
      </c>
      <c r="D13421" s="3" t="inlineStr">
        <is>
          <t>4550/450</t>
        </is>
      </c>
      <c r="E13421" s="3" t="inlineStr">
        <is>
          <t>Subscriptions - Adobe</t>
        </is>
      </c>
      <c r="F13421" s="3" t="n">
        <v>589.28</v>
      </c>
      <c r="G13421" s="3" t="n">
        <v>589.28</v>
      </c>
    </row>
    <row r="13422">
      <c r="A13422" s="3" t="inlineStr">
        <is>
          <t>Opportunity Global Investment (PTY) LTD</t>
        </is>
      </c>
      <c r="B13422" s="4" t="n">
        <v>45016</v>
      </c>
      <c r="C13422" s="3" t="inlineStr">
        <is>
          <t>Expenses</t>
        </is>
      </c>
      <c r="D13422" s="3" t="inlineStr">
        <is>
          <t>4550/500</t>
        </is>
      </c>
      <c r="E13422" s="3" t="inlineStr">
        <is>
          <t>Subscriptions - Pandadoc</t>
        </is>
      </c>
      <c r="F13422" s="3" t="n">
        <v>553.87</v>
      </c>
      <c r="G13422" s="3" t="n">
        <v>553.87</v>
      </c>
    </row>
    <row r="13423">
      <c r="A13423" s="3" t="inlineStr">
        <is>
          <t>Noble Shield (Pty) Ltd ta Go Letting</t>
        </is>
      </c>
      <c r="B13423" s="4" t="n">
        <v>45016</v>
      </c>
      <c r="C13423" s="3" t="inlineStr">
        <is>
          <t>Expenses</t>
        </is>
      </c>
      <c r="D13423" s="3" t="inlineStr">
        <is>
          <t>4550/600</t>
        </is>
      </c>
      <c r="E13423" s="3" t="inlineStr">
        <is>
          <t>Subscriptions - Webbox</t>
        </is>
      </c>
      <c r="F13423" s="3" t="n">
        <v>1351.25</v>
      </c>
      <c r="G13423" s="3" t="n">
        <v>9302.35</v>
      </c>
    </row>
    <row r="13424">
      <c r="A13424" s="3" t="inlineStr">
        <is>
          <t>Noble Shield (Pty) Ltd ta Go Letting</t>
        </is>
      </c>
      <c r="B13424" s="4" t="n">
        <v>45016</v>
      </c>
      <c r="C13424" s="3" t="inlineStr">
        <is>
          <t>Expenses</t>
        </is>
      </c>
      <c r="D13424" s="3" t="inlineStr">
        <is>
          <t>4550/650</t>
        </is>
      </c>
      <c r="E13424" s="3" t="inlineStr">
        <is>
          <t>Subscriptions - Xero</t>
        </is>
      </c>
      <c r="F13424" s="3" t="n">
        <v>600</v>
      </c>
      <c r="G13424" s="3" t="n">
        <v>4200</v>
      </c>
    </row>
    <row r="13425">
      <c r="A13425" s="3" t="inlineStr">
        <is>
          <t>Noble Shield (Pty) Ltd ta Go Letting</t>
        </is>
      </c>
      <c r="B13425" s="4" t="n">
        <v>45016</v>
      </c>
      <c r="C13425" s="3" t="inlineStr">
        <is>
          <t>Expenses</t>
        </is>
      </c>
      <c r="D13425" s="3" t="inlineStr">
        <is>
          <t>4550/700</t>
        </is>
      </c>
      <c r="E13425" s="3" t="inlineStr">
        <is>
          <t>Subscriptions - Domain renewals</t>
        </is>
      </c>
      <c r="F13425" s="3" t="n">
        <v>0</v>
      </c>
      <c r="G13425" s="3" t="n">
        <v>440.45</v>
      </c>
    </row>
    <row r="13426">
      <c r="A13426" s="3" t="inlineStr">
        <is>
          <t>Noble Shield (Pty) Ltd ta Go Letting</t>
        </is>
      </c>
      <c r="B13426" s="4" t="n">
        <v>45016</v>
      </c>
      <c r="C13426" s="3" t="inlineStr">
        <is>
          <t>Expenses</t>
        </is>
      </c>
      <c r="D13426" s="3" t="inlineStr">
        <is>
          <t>4550/800</t>
        </is>
      </c>
      <c r="E13426" s="3" t="inlineStr">
        <is>
          <t>Subscriptions - Adobe</t>
        </is>
      </c>
      <c r="F13426" s="3" t="n">
        <v>428.37</v>
      </c>
      <c r="G13426" s="3" t="n">
        <v>2291.65</v>
      </c>
    </row>
    <row r="13427">
      <c r="A13427" s="3" t="inlineStr">
        <is>
          <t>Opportunity Global Sales (PTY) LTD</t>
        </is>
      </c>
      <c r="B13427" s="4" t="n">
        <v>45016</v>
      </c>
      <c r="C13427" s="3" t="inlineStr">
        <is>
          <t>Expenses</t>
        </is>
      </c>
      <c r="D13427" s="3" t="inlineStr">
        <is>
          <t>4551/000</t>
        </is>
      </c>
      <c r="E13427" s="3" t="inlineStr">
        <is>
          <t>Subscriptions - Payprop</t>
        </is>
      </c>
      <c r="F13427" s="3" t="n">
        <v>1695.58</v>
      </c>
      <c r="G13427" s="3" t="n">
        <v>1695.58</v>
      </c>
    </row>
    <row r="13428">
      <c r="A13428" s="3" t="inlineStr">
        <is>
          <t>Endulini (Pty) Ltd</t>
        </is>
      </c>
      <c r="B13428" s="4" t="n">
        <v>45016</v>
      </c>
      <c r="C13428" s="3" t="inlineStr">
        <is>
          <t>Expenses</t>
        </is>
      </c>
      <c r="D13428" s="3" t="inlineStr">
        <is>
          <t>4552/000</t>
        </is>
      </c>
      <c r="E13428" s="3" t="inlineStr">
        <is>
          <t>Subscriptions - Xero</t>
        </is>
      </c>
      <c r="F13428" s="3" t="n">
        <v>600</v>
      </c>
      <c r="G13428" s="3" t="n">
        <v>600</v>
      </c>
    </row>
    <row r="13429">
      <c r="A13429" s="3" t="inlineStr">
        <is>
          <t>Opportunity Global Sales (PTY) LTD</t>
        </is>
      </c>
      <c r="B13429" s="4" t="n">
        <v>45016</v>
      </c>
      <c r="C13429" s="3" t="inlineStr">
        <is>
          <t>Expenses</t>
        </is>
      </c>
      <c r="D13429" s="3" t="inlineStr">
        <is>
          <t>4552/000</t>
        </is>
      </c>
      <c r="E13429" s="3" t="inlineStr">
        <is>
          <t>Subscriptions - Xero</t>
        </is>
      </c>
      <c r="F13429" s="3" t="n">
        <v>600</v>
      </c>
      <c r="G13429" s="3" t="n">
        <v>600</v>
      </c>
    </row>
    <row r="13430">
      <c r="A13430" s="3" t="inlineStr">
        <is>
          <t>Opportunity Management Holdings (PTY) LTD</t>
        </is>
      </c>
      <c r="B13430" s="4" t="n">
        <v>45016</v>
      </c>
      <c r="C13430" s="3" t="inlineStr">
        <is>
          <t>Expenses</t>
        </is>
      </c>
      <c r="D13430" s="3" t="inlineStr">
        <is>
          <t>4552/000</t>
        </is>
      </c>
      <c r="E13430" s="3" t="inlineStr">
        <is>
          <t>Subscriptions - Xero</t>
        </is>
      </c>
      <c r="F13430" s="3" t="n">
        <v>600</v>
      </c>
      <c r="G13430" s="3" t="n">
        <v>4200</v>
      </c>
    </row>
    <row r="13431">
      <c r="A13431" s="3" t="inlineStr">
        <is>
          <t>Opportunity Global Sales (PTY) LTD</t>
        </is>
      </c>
      <c r="B13431" s="4" t="n">
        <v>45016</v>
      </c>
      <c r="C13431" s="3" t="inlineStr">
        <is>
          <t>Expenses</t>
        </is>
      </c>
      <c r="D13431" s="3" t="inlineStr">
        <is>
          <t>4553/000</t>
        </is>
      </c>
      <c r="E13431" s="3" t="inlineStr">
        <is>
          <t>Subscriptions - CMA</t>
        </is>
      </c>
      <c r="F13431" s="3" t="n">
        <v>680</v>
      </c>
      <c r="G13431" s="3" t="n">
        <v>680</v>
      </c>
    </row>
    <row r="13432">
      <c r="A13432" s="3" t="inlineStr">
        <is>
          <t>Quinate Consulting (Pty) Ltd</t>
        </is>
      </c>
      <c r="B13432" s="4" t="n">
        <v>45016</v>
      </c>
      <c r="C13432" s="3" t="inlineStr">
        <is>
          <t>Expenses</t>
        </is>
      </c>
      <c r="D13432" s="3" t="inlineStr">
        <is>
          <t>4554/000</t>
        </is>
      </c>
      <c r="E13432" s="3" t="inlineStr">
        <is>
          <t>Subscriptions - Xero</t>
        </is>
      </c>
      <c r="F13432" s="3" t="n">
        <v>600</v>
      </c>
      <c r="G13432" s="3" t="n">
        <v>600</v>
      </c>
    </row>
    <row r="13433">
      <c r="A13433" s="3" t="inlineStr">
        <is>
          <t>Opportunity Global Sales (PTY) LTD</t>
        </is>
      </c>
      <c r="B13433" s="4" t="n">
        <v>45016</v>
      </c>
      <c r="C13433" s="3" t="inlineStr">
        <is>
          <t>Expenses</t>
        </is>
      </c>
      <c r="D13433" s="3" t="inlineStr">
        <is>
          <t>4554/000</t>
        </is>
      </c>
      <c r="E13433" s="3" t="inlineStr">
        <is>
          <t>Subscriptions - Zoho</t>
        </is>
      </c>
      <c r="F13433" s="3" t="n">
        <v>750</v>
      </c>
      <c r="G13433" s="3" t="n">
        <v>750</v>
      </c>
    </row>
    <row r="13434">
      <c r="A13434" s="3" t="inlineStr">
        <is>
          <t>Quinate Consulting (Pty) Ltd</t>
        </is>
      </c>
      <c r="B13434" s="4" t="n">
        <v>45016</v>
      </c>
      <c r="C13434" s="3" t="inlineStr">
        <is>
          <t>Expenses</t>
        </is>
      </c>
      <c r="D13434" s="3" t="inlineStr">
        <is>
          <t>4555/000</t>
        </is>
      </c>
      <c r="E13434" s="3" t="inlineStr">
        <is>
          <t>Subscriptions - OUMS</t>
        </is>
      </c>
      <c r="F13434" s="3" t="n">
        <v>7636.17</v>
      </c>
      <c r="G13434" s="3" t="n">
        <v>7636.17</v>
      </c>
    </row>
    <row r="13435">
      <c r="A13435" s="3" t="inlineStr">
        <is>
          <t>Opportunity Global Investment (PTY) LTD</t>
        </is>
      </c>
      <c r="B13435" s="4" t="n">
        <v>45016</v>
      </c>
      <c r="C13435" s="3" t="inlineStr">
        <is>
          <t>Expenses</t>
        </is>
      </c>
      <c r="D13435" s="3" t="inlineStr">
        <is>
          <t>4600/000</t>
        </is>
      </c>
      <c r="E13435" s="3" t="inlineStr">
        <is>
          <t>Telephone _AND_ Fax</t>
        </is>
      </c>
      <c r="F13435" s="3" t="n">
        <v>3355</v>
      </c>
      <c r="G13435" s="3" t="n">
        <v>3355</v>
      </c>
    </row>
    <row r="13436">
      <c r="A13436" s="3" t="inlineStr">
        <is>
          <t>Trademark Holdings (Pty) Ltd</t>
        </is>
      </c>
      <c r="B13436" s="4" t="n">
        <v>45016</v>
      </c>
      <c r="C13436" s="3" t="inlineStr">
        <is>
          <t>Expenses</t>
        </is>
      </c>
      <c r="D13436" s="3" t="inlineStr">
        <is>
          <t>4600/000</t>
        </is>
      </c>
      <c r="E13436" s="3" t="inlineStr">
        <is>
          <t>Telephone _AND_ Fax</t>
        </is>
      </c>
      <c r="F13436" s="3" t="n">
        <v>1229.32</v>
      </c>
      <c r="G13436" s="3" t="n">
        <v>9484.25</v>
      </c>
    </row>
    <row r="13437">
      <c r="A13437" s="3" t="inlineStr">
        <is>
          <t>Noble Shield (Pty) Ltd ta Go Letting</t>
        </is>
      </c>
      <c r="B13437" s="4" t="n">
        <v>45016</v>
      </c>
      <c r="C13437" s="3" t="inlineStr">
        <is>
          <t>Expenses</t>
        </is>
      </c>
      <c r="D13437" s="3" t="inlineStr">
        <is>
          <t>4610/000</t>
        </is>
      </c>
      <c r="E13437" s="3" t="inlineStr">
        <is>
          <t>Telephone - CT Office</t>
        </is>
      </c>
      <c r="F13437" s="3" t="n">
        <v>946.02</v>
      </c>
      <c r="G13437" s="3" t="n">
        <v>7186.6</v>
      </c>
    </row>
    <row r="13438">
      <c r="A13438" s="3" t="inlineStr">
        <is>
          <t>Noble Shield (Pty) Ltd ta Go Letting</t>
        </is>
      </c>
      <c r="B13438" s="4" t="n">
        <v>45016</v>
      </c>
      <c r="C13438" s="3" t="inlineStr">
        <is>
          <t>Expenses</t>
        </is>
      </c>
      <c r="D13438" s="3" t="inlineStr">
        <is>
          <t>4650/000</t>
        </is>
      </c>
      <c r="E13438" s="3" t="inlineStr">
        <is>
          <t>Travel _AND_ Accommodation</t>
        </is>
      </c>
      <c r="F13438" s="3" t="n">
        <v>0</v>
      </c>
      <c r="G13438" s="3" t="n">
        <v>500</v>
      </c>
    </row>
    <row r="13439">
      <c r="A13439" s="3" t="inlineStr">
        <is>
          <t>Opportunity Management Holdings (PTY) LTD</t>
        </is>
      </c>
      <c r="B13439" s="4" t="n">
        <v>45016</v>
      </c>
      <c r="C13439" s="3" t="inlineStr">
        <is>
          <t>Expenses</t>
        </is>
      </c>
      <c r="D13439" s="3" t="inlineStr">
        <is>
          <t>4650/000</t>
        </is>
      </c>
      <c r="E13439" s="3" t="inlineStr">
        <is>
          <t>Travel _AND_ Accommodation</t>
        </is>
      </c>
      <c r="F13439" s="3" t="n">
        <v>196.46</v>
      </c>
      <c r="G13439" s="3" t="n">
        <v>768.78</v>
      </c>
    </row>
    <row r="13440">
      <c r="A13440" s="3" t="inlineStr">
        <is>
          <t>Noble Shield (Pty) Ltd ta Go Letting</t>
        </is>
      </c>
      <c r="B13440" s="4" t="n">
        <v>45016</v>
      </c>
      <c r="C13440" s="3" t="inlineStr">
        <is>
          <t>Expenses</t>
        </is>
      </c>
      <c r="D13440" s="3" t="inlineStr">
        <is>
          <t>4650/050</t>
        </is>
      </c>
      <c r="E13440" s="3" t="inlineStr">
        <is>
          <t>Travel - Parking</t>
        </is>
      </c>
      <c r="F13440" s="3" t="n">
        <v>0</v>
      </c>
      <c r="G13440" s="3" t="n">
        <v>16</v>
      </c>
    </row>
    <row r="13441">
      <c r="A13441" s="3" t="inlineStr">
        <is>
          <t>Opportunity Global Investment (PTY) LTD</t>
        </is>
      </c>
      <c r="B13441" s="4" t="n">
        <v>45016</v>
      </c>
      <c r="C13441" s="3" t="inlineStr">
        <is>
          <t>Expenses</t>
        </is>
      </c>
      <c r="D13441" s="3" t="inlineStr">
        <is>
          <t>4650/090</t>
        </is>
      </c>
      <c r="E13441" s="3" t="inlineStr">
        <is>
          <t>Travel &amp; Accom - Fuel</t>
        </is>
      </c>
      <c r="F13441" s="3" t="n">
        <v>1047.05</v>
      </c>
      <c r="G13441" s="3" t="n">
        <v>1047.05</v>
      </c>
    </row>
    <row r="13442">
      <c r="A13442" s="3" t="inlineStr">
        <is>
          <t>Noble Shield (Pty) Ltd ta Go Letting</t>
        </is>
      </c>
      <c r="B13442" s="4" t="n">
        <v>45016</v>
      </c>
      <c r="C13442" s="3" t="inlineStr">
        <is>
          <t>Expenses</t>
        </is>
      </c>
      <c r="D13442" s="3" t="inlineStr">
        <is>
          <t>4700/000</t>
        </is>
      </c>
      <c r="E13442" s="3" t="inlineStr">
        <is>
          <t>PAYE Contributions</t>
        </is>
      </c>
      <c r="F13442" s="3" t="n">
        <v>5049.03</v>
      </c>
      <c r="G13442" s="3" t="n">
        <v>33890.91</v>
      </c>
    </row>
    <row r="13443">
      <c r="A13443" s="3" t="inlineStr">
        <is>
          <t>Trademark Holdings (Pty) Ltd</t>
        </is>
      </c>
      <c r="B13443" s="4" t="n">
        <v>45016</v>
      </c>
      <c r="C13443" s="3" t="inlineStr">
        <is>
          <t>Expenses</t>
        </is>
      </c>
      <c r="D13443" s="3" t="inlineStr">
        <is>
          <t>4700/000</t>
        </is>
      </c>
      <c r="E13443" s="3" t="inlineStr">
        <is>
          <t>PAYE Contributions</t>
        </is>
      </c>
      <c r="F13443" s="3" t="n">
        <v>5091.66</v>
      </c>
      <c r="G13443" s="3" t="n">
        <v>35910.1</v>
      </c>
    </row>
    <row r="13444">
      <c r="A13444" s="3" t="inlineStr">
        <is>
          <t>Opportunity Global Investment (PTY) LTD</t>
        </is>
      </c>
      <c r="B13444" s="4" t="n">
        <v>45016</v>
      </c>
      <c r="C13444" s="3" t="inlineStr">
        <is>
          <t>Expenses</t>
        </is>
      </c>
      <c r="D13444" s="3" t="inlineStr">
        <is>
          <t>4700/000</t>
        </is>
      </c>
      <c r="E13444" s="3" t="inlineStr">
        <is>
          <t>UIF Contributions</t>
        </is>
      </c>
      <c r="F13444" s="3" t="n">
        <v>177.12</v>
      </c>
      <c r="G13444" s="3" t="n">
        <v>177.12</v>
      </c>
    </row>
    <row r="13445">
      <c r="A13445" s="3" t="inlineStr">
        <is>
          <t>Opportunity Global Sales (PTY) LTD</t>
        </is>
      </c>
      <c r="B13445" s="4" t="n">
        <v>45016</v>
      </c>
      <c r="C13445" s="3" t="inlineStr">
        <is>
          <t>Expenses</t>
        </is>
      </c>
      <c r="D13445" s="3" t="inlineStr">
        <is>
          <t>4700/000</t>
        </is>
      </c>
      <c r="E13445" s="3" t="inlineStr">
        <is>
          <t>UIF Contributions</t>
        </is>
      </c>
      <c r="F13445" s="3" t="n">
        <v>312.12</v>
      </c>
      <c r="G13445" s="3" t="n">
        <v>312.12</v>
      </c>
    </row>
    <row r="13446">
      <c r="A13446" s="3" t="inlineStr">
        <is>
          <t>Opportunity Global Sales (PTY) LTD</t>
        </is>
      </c>
      <c r="B13446" s="4" t="n">
        <v>45016</v>
      </c>
      <c r="C13446" s="3" t="inlineStr">
        <is>
          <t>Expenses</t>
        </is>
      </c>
      <c r="D13446" s="3" t="inlineStr">
        <is>
          <t>4701/000</t>
        </is>
      </c>
      <c r="E13446" s="3" t="inlineStr">
        <is>
          <t>UIF Employee Contribution</t>
        </is>
      </c>
      <c r="F13446" s="3" t="n">
        <v>312.12</v>
      </c>
      <c r="G13446" s="3" t="n">
        <v>312.12</v>
      </c>
    </row>
    <row r="13447">
      <c r="A13447" s="3" t="inlineStr">
        <is>
          <t>Opportunity Global Investment (PTY) LTD</t>
        </is>
      </c>
      <c r="B13447" s="4" t="n">
        <v>45016</v>
      </c>
      <c r="C13447" s="3" t="inlineStr">
        <is>
          <t>Expenses</t>
        </is>
      </c>
      <c r="D13447" s="3" t="inlineStr">
        <is>
          <t>4701/000</t>
        </is>
      </c>
      <c r="E13447" s="3" t="inlineStr">
        <is>
          <t>UIF Employee Contributions</t>
        </is>
      </c>
      <c r="F13447" s="3" t="n">
        <v>177.12</v>
      </c>
      <c r="G13447" s="3" t="n">
        <v>177.12</v>
      </c>
    </row>
    <row r="13448">
      <c r="A13448" s="3" t="inlineStr">
        <is>
          <t>Noble Shield (Pty) Ltd ta Go Letting</t>
        </is>
      </c>
      <c r="B13448" s="4" t="n">
        <v>45016</v>
      </c>
      <c r="C13448" s="3" t="inlineStr">
        <is>
          <t>Expenses</t>
        </is>
      </c>
      <c r="D13448" s="3" t="inlineStr">
        <is>
          <t>4710/000</t>
        </is>
      </c>
      <c r="E13448" s="3" t="inlineStr">
        <is>
          <t>UIF Company Contributions</t>
        </is>
      </c>
      <c r="F13448" s="3" t="n">
        <v>245.25</v>
      </c>
      <c r="G13448" s="3" t="n">
        <v>1716.75</v>
      </c>
    </row>
    <row r="13449">
      <c r="A13449" s="3" t="inlineStr">
        <is>
          <t>Trademark Holdings (Pty) Ltd</t>
        </is>
      </c>
      <c r="B13449" s="4" t="n">
        <v>45016</v>
      </c>
      <c r="C13449" s="3" t="inlineStr">
        <is>
          <t>Expenses</t>
        </is>
      </c>
      <c r="D13449" s="3" t="inlineStr">
        <is>
          <t>4710/000</t>
        </is>
      </c>
      <c r="E13449" s="3" t="inlineStr">
        <is>
          <t>UIF Company Contributions</t>
        </is>
      </c>
      <c r="F13449" s="3" t="n">
        <v>95.25</v>
      </c>
      <c r="G13449" s="3" t="n">
        <v>666.75</v>
      </c>
    </row>
    <row r="13450">
      <c r="A13450" s="3" t="inlineStr">
        <is>
          <t>Noble Shield (Pty) Ltd ta Go Letting</t>
        </is>
      </c>
      <c r="B13450" s="4" t="n">
        <v>45016</v>
      </c>
      <c r="C13450" s="3" t="inlineStr">
        <is>
          <t>Expenses</t>
        </is>
      </c>
      <c r="D13450" s="3" t="inlineStr">
        <is>
          <t>4711/000</t>
        </is>
      </c>
      <c r="E13450" s="3" t="inlineStr">
        <is>
          <t>UIF Employee Contribution</t>
        </is>
      </c>
      <c r="F13450" s="3" t="n">
        <v>245.25</v>
      </c>
      <c r="G13450" s="3" t="n">
        <v>1716.75</v>
      </c>
    </row>
    <row r="13451">
      <c r="A13451" s="3" t="inlineStr">
        <is>
          <t>Trademark Holdings (Pty) Ltd</t>
        </is>
      </c>
      <c r="B13451" s="4" t="n">
        <v>45016</v>
      </c>
      <c r="C13451" s="3" t="inlineStr">
        <is>
          <t>Expenses</t>
        </is>
      </c>
      <c r="D13451" s="3" t="inlineStr">
        <is>
          <t>4711/000</t>
        </is>
      </c>
      <c r="E13451" s="3" t="inlineStr">
        <is>
          <t>UIF Employee Contributions</t>
        </is>
      </c>
      <c r="F13451" s="3" t="n">
        <v>95.25</v>
      </c>
      <c r="G13451" s="3" t="n">
        <v>666.75</v>
      </c>
    </row>
    <row r="13452">
      <c r="A13452" s="3" t="inlineStr">
        <is>
          <t>Noble Shield (Pty) Ltd ta Go Letting</t>
        </is>
      </c>
      <c r="B13452" s="4" t="n">
        <v>45016</v>
      </c>
      <c r="C13452" s="3" t="inlineStr">
        <is>
          <t>Expenses</t>
        </is>
      </c>
      <c r="D13452" s="3" t="inlineStr">
        <is>
          <t>4720/000</t>
        </is>
      </c>
      <c r="E13452" s="3" t="inlineStr">
        <is>
          <t>SDL Contributions</t>
        </is>
      </c>
      <c r="F13452" s="3" t="n">
        <v>446.24</v>
      </c>
      <c r="G13452" s="3" t="n">
        <v>3019.59</v>
      </c>
    </row>
    <row r="13453">
      <c r="A13453" s="3" t="inlineStr">
        <is>
          <t>Trademark Holdings (Pty) Ltd</t>
        </is>
      </c>
      <c r="B13453" s="4" t="n">
        <v>45016</v>
      </c>
      <c r="C13453" s="3" t="inlineStr">
        <is>
          <t>Expenses</t>
        </is>
      </c>
      <c r="D13453" s="3" t="inlineStr">
        <is>
          <t>4720/000</t>
        </is>
      </c>
      <c r="E13453" s="3" t="inlineStr">
        <is>
          <t>SDL Contributions</t>
        </is>
      </c>
      <c r="F13453" s="3" t="n">
        <v>311.37</v>
      </c>
      <c r="G13453" s="3" t="n">
        <v>2146.8</v>
      </c>
    </row>
    <row r="13454">
      <c r="A13454" s="3" t="inlineStr">
        <is>
          <t>Opportunity Global Investment (PTY) LTD</t>
        </is>
      </c>
      <c r="B13454" s="4" t="n">
        <v>45016</v>
      </c>
      <c r="C13454" s="3" t="inlineStr">
        <is>
          <t>Expenses</t>
        </is>
      </c>
      <c r="D13454" s="3" t="inlineStr">
        <is>
          <t>4730/000</t>
        </is>
      </c>
      <c r="E13454" s="3" t="inlineStr">
        <is>
          <t>PAYE Contributions</t>
        </is>
      </c>
      <c r="F13454" s="3" t="n">
        <v>8822.27</v>
      </c>
      <c r="G13454" s="3" t="n">
        <v>8822.27</v>
      </c>
    </row>
    <row r="13455">
      <c r="A13455" s="3" t="inlineStr">
        <is>
          <t>Opportunity Global Sales (PTY) LTD</t>
        </is>
      </c>
      <c r="B13455" s="4" t="n">
        <v>45016</v>
      </c>
      <c r="C13455" s="3" t="inlineStr">
        <is>
          <t>Expenses</t>
        </is>
      </c>
      <c r="D13455" s="3" t="inlineStr">
        <is>
          <t>4730/000</t>
        </is>
      </c>
      <c r="E13455" s="3" t="inlineStr">
        <is>
          <t>PAYE Contributions</t>
        </is>
      </c>
      <c r="F13455" s="3" t="n">
        <v>9220.83</v>
      </c>
      <c r="G13455" s="3" t="n">
        <v>9220.83</v>
      </c>
    </row>
    <row r="13456">
      <c r="A13456" s="3" t="inlineStr">
        <is>
          <t>Opportunity Management Holdings (PTY) LTD</t>
        </is>
      </c>
      <c r="B13456" s="4" t="n">
        <v>45016</v>
      </c>
      <c r="C13456" s="3" t="inlineStr">
        <is>
          <t>Expenses</t>
        </is>
      </c>
      <c r="D13456" s="3" t="inlineStr">
        <is>
          <t>4730/000</t>
        </is>
      </c>
      <c r="E13456" s="3" t="inlineStr">
        <is>
          <t>PAYE Contributions</t>
        </is>
      </c>
      <c r="F13456" s="3" t="n">
        <v>54882.61</v>
      </c>
      <c r="G13456" s="3" t="n">
        <v>339079</v>
      </c>
    </row>
    <row r="13457">
      <c r="A13457" s="3" t="inlineStr">
        <is>
          <t>Opportunity Global Investment (PTY) LTD</t>
        </is>
      </c>
      <c r="B13457" s="4" t="n">
        <v>45016</v>
      </c>
      <c r="C13457" s="3" t="inlineStr">
        <is>
          <t>Expenses</t>
        </is>
      </c>
      <c r="D13457" s="3" t="inlineStr">
        <is>
          <t>4740/000</t>
        </is>
      </c>
      <c r="E13457" s="3" t="inlineStr">
        <is>
          <t>SDL Contributions</t>
        </is>
      </c>
      <c r="F13457" s="3" t="n">
        <v>431.1</v>
      </c>
      <c r="G13457" s="3" t="n">
        <v>431.1</v>
      </c>
    </row>
    <row r="13458">
      <c r="A13458" s="3" t="inlineStr">
        <is>
          <t>Opportunity Global Sales (PTY) LTD</t>
        </is>
      </c>
      <c r="B13458" s="4" t="n">
        <v>45016</v>
      </c>
      <c r="C13458" s="3" t="inlineStr">
        <is>
          <t>Expenses</t>
        </is>
      </c>
      <c r="D13458" s="3" t="inlineStr">
        <is>
          <t>4740/000</t>
        </is>
      </c>
      <c r="E13458" s="3" t="inlineStr">
        <is>
          <t>SDL Contributions</t>
        </is>
      </c>
      <c r="F13458" s="3" t="n">
        <v>2102.19</v>
      </c>
      <c r="G13458" s="3" t="n">
        <v>2102.19</v>
      </c>
    </row>
    <row r="13459">
      <c r="A13459" s="3" t="inlineStr">
        <is>
          <t>Opportunity Management Holdings (PTY) LTD</t>
        </is>
      </c>
      <c r="B13459" s="4" t="n">
        <v>45016</v>
      </c>
      <c r="C13459" s="3" t="inlineStr">
        <is>
          <t>Expenses</t>
        </is>
      </c>
      <c r="D13459" s="3" t="inlineStr">
        <is>
          <t>4740/000</t>
        </is>
      </c>
      <c r="E13459" s="3" t="inlineStr">
        <is>
          <t>UIF Company Contribution</t>
        </is>
      </c>
      <c r="F13459" s="3" t="n">
        <v>1941.62</v>
      </c>
      <c r="G13459" s="3" t="n">
        <v>11750.01</v>
      </c>
    </row>
    <row r="13460">
      <c r="A13460" s="3" t="inlineStr">
        <is>
          <t>Opportunity Management Holdings (PTY) LTD</t>
        </is>
      </c>
      <c r="B13460" s="4" t="n">
        <v>45016</v>
      </c>
      <c r="C13460" s="3" t="inlineStr">
        <is>
          <t>Expenses</t>
        </is>
      </c>
      <c r="D13460" s="3" t="inlineStr">
        <is>
          <t>4741/000</t>
        </is>
      </c>
      <c r="E13460" s="3" t="inlineStr">
        <is>
          <t>UIF Employee Contribution</t>
        </is>
      </c>
      <c r="F13460" s="3" t="n">
        <v>1941.62</v>
      </c>
      <c r="G13460" s="3" t="n">
        <v>11750.01</v>
      </c>
    </row>
    <row r="13461">
      <c r="A13461" s="3" t="inlineStr">
        <is>
          <t>Opportunity Management Holdings (PTY) LTD</t>
        </is>
      </c>
      <c r="B13461" s="4" t="n">
        <v>45016</v>
      </c>
      <c r="C13461" s="3" t="inlineStr">
        <is>
          <t>Expenses</t>
        </is>
      </c>
      <c r="D13461" s="3" t="inlineStr">
        <is>
          <t>4750/000</t>
        </is>
      </c>
      <c r="E13461" s="3" t="inlineStr">
        <is>
          <t>SDL Contribution</t>
        </is>
      </c>
      <c r="F13461" s="3" t="n">
        <v>3265.03</v>
      </c>
      <c r="G13461" s="3" t="n">
        <v>19613.61</v>
      </c>
    </row>
    <row r="13462">
      <c r="A13462" s="3" t="inlineStr">
        <is>
          <t>Noble Shield (Pty) Ltd ta Go Letting</t>
        </is>
      </c>
      <c r="B13462" s="4" t="n">
        <v>45016</v>
      </c>
      <c r="C13462" s="3" t="inlineStr">
        <is>
          <t>Equity</t>
        </is>
      </c>
      <c r="D13462" s="3" t="inlineStr">
        <is>
          <t>5100/000</t>
        </is>
      </c>
      <c r="E13462" s="3" t="inlineStr">
        <is>
          <t>Share Capital</t>
        </is>
      </c>
      <c r="F13462" s="3" t="n">
        <v>0</v>
      </c>
      <c r="G13462" s="3" t="n">
        <v>-1</v>
      </c>
    </row>
    <row r="13463">
      <c r="A13463" s="3" t="inlineStr">
        <is>
          <t>Opportunity Management Holdings (PTY) LTD</t>
        </is>
      </c>
      <c r="B13463" s="4" t="n">
        <v>45016</v>
      </c>
      <c r="C13463" s="3" t="inlineStr">
        <is>
          <t>Equity</t>
        </is>
      </c>
      <c r="D13463" s="3" t="inlineStr">
        <is>
          <t>5100/000</t>
        </is>
      </c>
      <c r="E13463" s="3" t="inlineStr">
        <is>
          <t>Share Capital / Members Contribution</t>
        </is>
      </c>
      <c r="F13463" s="3" t="n">
        <v>0</v>
      </c>
      <c r="G13463" s="3" t="n">
        <v>-120</v>
      </c>
    </row>
    <row r="13464">
      <c r="A13464" s="3" t="inlineStr">
        <is>
          <t>Quinate Consulting (Pty) Ltd</t>
        </is>
      </c>
      <c r="B13464" s="4" t="n">
        <v>45016</v>
      </c>
      <c r="C13464" s="3" t="inlineStr">
        <is>
          <t>Equity</t>
        </is>
      </c>
      <c r="D13464" s="3" t="inlineStr">
        <is>
          <t>5100/000</t>
        </is>
      </c>
      <c r="E13464" s="3" t="inlineStr">
        <is>
          <t>Share Capital / Members Contribution</t>
        </is>
      </c>
      <c r="F13464" s="3" t="n">
        <v>0</v>
      </c>
      <c r="G13464" s="3" t="n">
        <v>-120</v>
      </c>
    </row>
    <row r="13465">
      <c r="A13465" s="3" t="inlineStr">
        <is>
          <t>Trademark Holdings (Pty) Ltd</t>
        </is>
      </c>
      <c r="B13465" s="4" t="n">
        <v>45016</v>
      </c>
      <c r="C13465" s="3" t="inlineStr">
        <is>
          <t>Equity</t>
        </is>
      </c>
      <c r="D13465" s="3" t="inlineStr">
        <is>
          <t>5100/001</t>
        </is>
      </c>
      <c r="E13465" s="3" t="inlineStr">
        <is>
          <t>Share Capital - GFY Investments</t>
        </is>
      </c>
      <c r="F13465" s="3" t="n">
        <v>0</v>
      </c>
      <c r="G13465" s="3" t="n">
        <v>-60</v>
      </c>
    </row>
    <row r="13466">
      <c r="A13466" s="3" t="inlineStr">
        <is>
          <t>Trademark Holdings (Pty) Ltd</t>
        </is>
      </c>
      <c r="B13466" s="4" t="n">
        <v>45016</v>
      </c>
      <c r="C13466" s="3" t="inlineStr">
        <is>
          <t>Equity</t>
        </is>
      </c>
      <c r="D13466" s="3" t="inlineStr">
        <is>
          <t>5100/002</t>
        </is>
      </c>
      <c r="E13466" s="3" t="inlineStr">
        <is>
          <t>Share Capital - Zak Trust</t>
        </is>
      </c>
      <c r="F13466" s="3" t="n">
        <v>0</v>
      </c>
      <c r="G13466" s="3" t="n">
        <v>-60</v>
      </c>
    </row>
    <row r="13467">
      <c r="A13467" s="3" t="inlineStr">
        <is>
          <t>Opportunity Global Investment (PTY) LTD</t>
        </is>
      </c>
      <c r="B13467" s="4" t="n">
        <v>45016</v>
      </c>
      <c r="C13467" s="3" t="inlineStr">
        <is>
          <t>Equity</t>
        </is>
      </c>
      <c r="D13467" s="3" t="inlineStr">
        <is>
          <t>5101/000</t>
        </is>
      </c>
      <c r="E13467" s="3" t="inlineStr">
        <is>
          <t>Share Capital - Ordinary Type A</t>
        </is>
      </c>
      <c r="F13467" s="3" t="n">
        <v>0</v>
      </c>
      <c r="G13467" s="3" t="n">
        <v>-70</v>
      </c>
    </row>
    <row r="13468">
      <c r="A13468" s="3" t="inlineStr">
        <is>
          <t>Opportunity Global Investment (PTY) LTD</t>
        </is>
      </c>
      <c r="B13468" s="4" t="n">
        <v>45016</v>
      </c>
      <c r="C13468" s="3" t="inlineStr">
        <is>
          <t>Equity</t>
        </is>
      </c>
      <c r="D13468" s="3" t="inlineStr">
        <is>
          <t>5102/000</t>
        </is>
      </c>
      <c r="E13468" s="3" t="inlineStr">
        <is>
          <t>Share Capital - Ordinary Type B</t>
        </is>
      </c>
      <c r="F13468" s="3" t="n">
        <v>0</v>
      </c>
      <c r="G13468" s="3" t="n">
        <v>-30</v>
      </c>
    </row>
    <row r="13469">
      <c r="A13469" s="3" t="inlineStr">
        <is>
          <t>Endulini (Pty) Ltd</t>
        </is>
      </c>
      <c r="B13469" s="4" t="n">
        <v>45016</v>
      </c>
      <c r="C13469" s="3" t="inlineStr">
        <is>
          <t>Equity</t>
        </is>
      </c>
      <c r="D13469" s="3" t="inlineStr">
        <is>
          <t>5200/000</t>
        </is>
      </c>
      <c r="E13469" s="3" t="inlineStr">
        <is>
          <t>Retained Earnings / Loss</t>
        </is>
      </c>
      <c r="F13469" s="3" t="n">
        <v>0</v>
      </c>
      <c r="G13469" s="3" t="n">
        <v>-6017232.05</v>
      </c>
    </row>
    <row r="13470">
      <c r="A13470" s="3" t="inlineStr">
        <is>
          <t>Noble Shield (Pty) Ltd ta Go Letting</t>
        </is>
      </c>
      <c r="B13470" s="4" t="n">
        <v>45016</v>
      </c>
      <c r="C13470" s="3" t="inlineStr">
        <is>
          <t>Equity</t>
        </is>
      </c>
      <c r="D13470" s="3" t="inlineStr">
        <is>
          <t>5200/000</t>
        </is>
      </c>
      <c r="E13470" s="3" t="inlineStr">
        <is>
          <t>Retained Earnings / Loss</t>
        </is>
      </c>
      <c r="F13470" s="3" t="n">
        <v>0</v>
      </c>
      <c r="G13470" s="3" t="n">
        <v>-64792.67</v>
      </c>
    </row>
    <row r="13471">
      <c r="A13471" s="3" t="inlineStr">
        <is>
          <t>Opportunity Global Investment (PTY) LTD</t>
        </is>
      </c>
      <c r="B13471" s="4" t="n">
        <v>45016</v>
      </c>
      <c r="C13471" s="3" t="inlineStr">
        <is>
          <t>Equity</t>
        </is>
      </c>
      <c r="D13471" s="3" t="inlineStr">
        <is>
          <t>5200/000</t>
        </is>
      </c>
      <c r="E13471" s="3" t="inlineStr">
        <is>
          <t>Retained Earnings / Loss</t>
        </is>
      </c>
      <c r="F13471" s="3" t="n">
        <v>0</v>
      </c>
      <c r="G13471" s="3" t="n">
        <v>2134849.73</v>
      </c>
    </row>
    <row r="13472">
      <c r="A13472" s="3" t="inlineStr">
        <is>
          <t>Opportunity Global Sales (PTY) LTD</t>
        </is>
      </c>
      <c r="B13472" s="4" t="n">
        <v>45016</v>
      </c>
      <c r="C13472" s="3" t="inlineStr">
        <is>
          <t>Equity</t>
        </is>
      </c>
      <c r="D13472" s="3" t="inlineStr">
        <is>
          <t>5200/000</t>
        </is>
      </c>
      <c r="E13472" s="3" t="inlineStr">
        <is>
          <t>Retained Earnings / Loss</t>
        </is>
      </c>
      <c r="F13472" s="3" t="n">
        <v>0</v>
      </c>
      <c r="G13472" s="3" t="n">
        <v>-2287097.79</v>
      </c>
    </row>
    <row r="13473">
      <c r="A13473" s="3" t="inlineStr">
        <is>
          <t>Opportunity Management Holdings (PTY) LTD</t>
        </is>
      </c>
      <c r="B13473" s="4" t="n">
        <v>45016</v>
      </c>
      <c r="C13473" s="3" t="inlineStr">
        <is>
          <t>Equity</t>
        </is>
      </c>
      <c r="D13473" s="3" t="inlineStr">
        <is>
          <t>5200/000</t>
        </is>
      </c>
      <c r="E13473" s="3" t="inlineStr">
        <is>
          <t>Retained Earnings / Loss</t>
        </is>
      </c>
      <c r="F13473" s="3" t="n">
        <v>0</v>
      </c>
      <c r="G13473" s="3" t="n">
        <v>1230800.76</v>
      </c>
    </row>
    <row r="13474">
      <c r="A13474" s="3" t="inlineStr">
        <is>
          <t>Quinate Consulting (Pty) Ltd</t>
        </is>
      </c>
      <c r="B13474" s="4" t="n">
        <v>45016</v>
      </c>
      <c r="C13474" s="3" t="inlineStr">
        <is>
          <t>Equity</t>
        </is>
      </c>
      <c r="D13474" s="3" t="inlineStr">
        <is>
          <t>5200/000</t>
        </is>
      </c>
      <c r="E13474" s="3" t="inlineStr">
        <is>
          <t>Retained Earnings / Loss</t>
        </is>
      </c>
      <c r="F13474" s="3" t="n">
        <v>0</v>
      </c>
      <c r="G13474" s="3" t="n">
        <v>1549164.28</v>
      </c>
    </row>
    <row r="13475">
      <c r="A13475" s="3" t="inlineStr">
        <is>
          <t>Trademark Holdings (Pty) Ltd</t>
        </is>
      </c>
      <c r="B13475" s="4" t="n">
        <v>45016</v>
      </c>
      <c r="C13475" s="3" t="inlineStr">
        <is>
          <t>Equity</t>
        </is>
      </c>
      <c r="D13475" s="3" t="inlineStr">
        <is>
          <t>5200/000</t>
        </is>
      </c>
      <c r="E13475" s="3" t="inlineStr">
        <is>
          <t>Retained Earnings / Loss</t>
        </is>
      </c>
      <c r="F13475" s="3" t="n">
        <v>0</v>
      </c>
      <c r="G13475" s="3" t="n">
        <v>-155356.41</v>
      </c>
    </row>
    <row r="13476">
      <c r="A13476" s="3" t="inlineStr">
        <is>
          <t>Quinate Consulting (Pty) Ltd</t>
        </is>
      </c>
      <c r="B13476" s="4" t="n">
        <v>45016</v>
      </c>
      <c r="C13476" s="3" t="inlineStr">
        <is>
          <t>Assets</t>
        </is>
      </c>
      <c r="D13476" s="3" t="inlineStr">
        <is>
          <t>5400/011</t>
        </is>
      </c>
      <c r="E13476" s="3" t="inlineStr">
        <is>
          <t>Members Loan - Nick Morgan</t>
        </is>
      </c>
      <c r="F13476" s="3" t="n">
        <v>0</v>
      </c>
      <c r="G13476" s="3" t="n">
        <v>-85743.69</v>
      </c>
    </row>
    <row r="13477">
      <c r="A13477" s="3" t="inlineStr">
        <is>
          <t>Opportunity Management Holdings (PTY) LTD</t>
        </is>
      </c>
      <c r="B13477" s="4" t="n">
        <v>45016</v>
      </c>
      <c r="C13477" s="3" t="inlineStr">
        <is>
          <t>Assets</t>
        </is>
      </c>
      <c r="D13477" s="3" t="inlineStr">
        <is>
          <t>5400/500</t>
        </is>
      </c>
      <c r="E13477" s="3" t="inlineStr">
        <is>
          <t>Shareholder - Zak Loan</t>
        </is>
      </c>
      <c r="F13477" s="3" t="n">
        <v>0</v>
      </c>
      <c r="G13477" s="3" t="n">
        <v>-171798.21</v>
      </c>
    </row>
    <row r="13478">
      <c r="A13478" s="3" t="inlineStr">
        <is>
          <t>Quinate Consulting (Pty) Ltd</t>
        </is>
      </c>
      <c r="B13478" s="4" t="n">
        <v>45016</v>
      </c>
      <c r="C13478" s="3" t="inlineStr">
        <is>
          <t>Liabilities</t>
        </is>
      </c>
      <c r="D13478" s="3" t="inlineStr">
        <is>
          <t>5500/010</t>
        </is>
      </c>
      <c r="E13478" s="3" t="inlineStr">
        <is>
          <t>Loan - Wynand Haywood</t>
        </is>
      </c>
      <c r="F13478" s="3" t="n">
        <v>0</v>
      </c>
      <c r="G13478" s="3" t="n">
        <v>1928.67</v>
      </c>
    </row>
    <row r="13479">
      <c r="A13479" s="3" t="inlineStr">
        <is>
          <t>Quinate Consulting (Pty) Ltd</t>
        </is>
      </c>
      <c r="B13479" s="4" t="n">
        <v>45016</v>
      </c>
      <c r="C13479" s="3" t="inlineStr">
        <is>
          <t>Liabilities</t>
        </is>
      </c>
      <c r="D13479" s="3" t="inlineStr">
        <is>
          <t>5500/030</t>
        </is>
      </c>
      <c r="E13479" s="3" t="inlineStr">
        <is>
          <t>Loan - Heron Projects</t>
        </is>
      </c>
      <c r="F13479" s="3" t="n">
        <v>4000</v>
      </c>
      <c r="G13479" s="3" t="n">
        <v>4000</v>
      </c>
    </row>
    <row r="13480">
      <c r="A13480" s="3" t="inlineStr">
        <is>
          <t>Opportunity Global Investment (PTY) LTD</t>
        </is>
      </c>
      <c r="B13480" s="4" t="n">
        <v>45016</v>
      </c>
      <c r="C13480" s="3" t="inlineStr">
        <is>
          <t>Liabilities</t>
        </is>
      </c>
      <c r="D13480" s="3" t="inlineStr">
        <is>
          <t>5500/100</t>
        </is>
      </c>
      <c r="E13480" s="3" t="inlineStr">
        <is>
          <t>Loan - Cape Projects Construction</t>
        </is>
      </c>
      <c r="F13480" s="3" t="n">
        <v>0</v>
      </c>
      <c r="G13480" s="3" t="n">
        <v>361000</v>
      </c>
    </row>
    <row r="13481">
      <c r="A13481" s="3" t="inlineStr">
        <is>
          <t>Noble Shield (Pty) Ltd ta Go Letting</t>
        </is>
      </c>
      <c r="B13481" s="4" t="n">
        <v>45016</v>
      </c>
      <c r="C13481" s="3" t="inlineStr">
        <is>
          <t>Liabilities</t>
        </is>
      </c>
      <c r="D13481" s="3" t="inlineStr">
        <is>
          <t>5500/100</t>
        </is>
      </c>
      <c r="E13481" s="3" t="inlineStr">
        <is>
          <t>Loan - Jupiter Trust</t>
        </is>
      </c>
      <c r="F13481" s="3" t="n">
        <v>0</v>
      </c>
      <c r="G13481" s="3" t="n">
        <v>-100228.75</v>
      </c>
    </row>
    <row r="13482">
      <c r="A13482" s="3" t="inlineStr">
        <is>
          <t>Opportunity Management Holdings (PTY) LTD</t>
        </is>
      </c>
      <c r="B13482" s="4" t="n">
        <v>45016</v>
      </c>
      <c r="C13482" s="3" t="inlineStr">
        <is>
          <t>Liabilities</t>
        </is>
      </c>
      <c r="D13482" s="3" t="inlineStr">
        <is>
          <t>5500/100</t>
        </is>
      </c>
      <c r="E13482" s="3" t="inlineStr">
        <is>
          <t>Loan - Opportunity Global</t>
        </is>
      </c>
      <c r="F13482" s="3" t="n">
        <v>-20000</v>
      </c>
      <c r="G13482" s="3" t="n">
        <v>-20000</v>
      </c>
    </row>
    <row r="13483">
      <c r="A13483" s="3" t="inlineStr">
        <is>
          <t>Endulini (Pty) Ltd</t>
        </is>
      </c>
      <c r="B13483" s="4" t="n">
        <v>45016</v>
      </c>
      <c r="C13483" s="3" t="inlineStr">
        <is>
          <t>Liabilities</t>
        </is>
      </c>
      <c r="D13483" s="3" t="inlineStr">
        <is>
          <t>5500/100</t>
        </is>
      </c>
      <c r="E13483" s="3" t="inlineStr">
        <is>
          <t>Loan - Quinate Consulting</t>
        </is>
      </c>
      <c r="F13483" s="3" t="n">
        <v>14400</v>
      </c>
      <c r="G13483" s="3" t="n">
        <v>-9410749.1</v>
      </c>
    </row>
    <row r="13484">
      <c r="A13484" s="3" t="inlineStr">
        <is>
          <t>Opportunity Global Investment (PTY) LTD</t>
        </is>
      </c>
      <c r="B13484" s="4" t="n">
        <v>45016</v>
      </c>
      <c r="C13484" s="3" t="inlineStr">
        <is>
          <t>Liabilities</t>
        </is>
      </c>
      <c r="D13484" s="3" t="inlineStr">
        <is>
          <t>5500/112</t>
        </is>
      </c>
      <c r="E13484" s="3" t="inlineStr">
        <is>
          <t>Loan - GFY</t>
        </is>
      </c>
      <c r="F13484" s="3" t="n">
        <v>144500</v>
      </c>
      <c r="G13484" s="3" t="n">
        <v>-105000</v>
      </c>
    </row>
    <row r="13485">
      <c r="A13485" s="3" t="inlineStr">
        <is>
          <t>Endulini (Pty) Ltd</t>
        </is>
      </c>
      <c r="B13485" s="4" t="n">
        <v>45016</v>
      </c>
      <c r="C13485" s="3" t="inlineStr">
        <is>
          <t>Liabilities</t>
        </is>
      </c>
      <c r="D13485" s="3" t="inlineStr">
        <is>
          <t>5500/150</t>
        </is>
      </c>
      <c r="E13485" s="3" t="inlineStr">
        <is>
          <t>Loan - Cape Projects Construction</t>
        </is>
      </c>
      <c r="F13485" s="3" t="n">
        <v>-1505000</v>
      </c>
      <c r="G13485" s="3" t="n">
        <v>-7424000</v>
      </c>
    </row>
    <row r="13486">
      <c r="A13486" s="3" t="inlineStr">
        <is>
          <t>Quinate Consulting (Pty) Ltd</t>
        </is>
      </c>
      <c r="B13486" s="4" t="n">
        <v>45016</v>
      </c>
      <c r="C13486" s="3" t="inlineStr">
        <is>
          <t>Liabilities</t>
        </is>
      </c>
      <c r="D13486" s="3" t="inlineStr">
        <is>
          <t>5500/160</t>
        </is>
      </c>
      <c r="E13486" s="3" t="inlineStr">
        <is>
          <t>Loan - GFY Investment and Consulting</t>
        </is>
      </c>
      <c r="F13486" s="3" t="n">
        <v>0</v>
      </c>
      <c r="G13486" s="3" t="n">
        <v>-1750249.93</v>
      </c>
    </row>
    <row r="13487">
      <c r="A13487" s="3" t="inlineStr">
        <is>
          <t>Opportunity Management Holdings (PTY) LTD</t>
        </is>
      </c>
      <c r="B13487" s="4" t="n">
        <v>45016</v>
      </c>
      <c r="C13487" s="3" t="inlineStr">
        <is>
          <t>Liabilities</t>
        </is>
      </c>
      <c r="D13487" s="3" t="inlineStr">
        <is>
          <t>5500/200</t>
        </is>
      </c>
      <c r="E13487" s="3" t="inlineStr">
        <is>
          <t>Loan - Cape Projects</t>
        </is>
      </c>
      <c r="F13487" s="3" t="n">
        <v>0</v>
      </c>
      <c r="G13487" s="3" t="n">
        <v>120000</v>
      </c>
    </row>
    <row r="13488">
      <c r="A13488" s="3" t="inlineStr">
        <is>
          <t>Trademark Holdings (Pty) Ltd</t>
        </is>
      </c>
      <c r="B13488" s="4" t="n">
        <v>45016</v>
      </c>
      <c r="C13488" s="3" t="inlineStr">
        <is>
          <t>Liabilities</t>
        </is>
      </c>
      <c r="D13488" s="3" t="inlineStr">
        <is>
          <t>5500/250</t>
        </is>
      </c>
      <c r="E13488" s="3" t="inlineStr">
        <is>
          <t>Loan - Noble Shield</t>
        </is>
      </c>
      <c r="F13488" s="3" t="n">
        <v>0</v>
      </c>
      <c r="G13488" s="3" t="n">
        <v>133165.59</v>
      </c>
    </row>
    <row r="13489">
      <c r="A13489" s="3" t="inlineStr">
        <is>
          <t>Opportunity Management Holdings (PTY) LTD</t>
        </is>
      </c>
      <c r="B13489" s="4" t="n">
        <v>45016</v>
      </c>
      <c r="C13489" s="3" t="inlineStr">
        <is>
          <t>Liabilities</t>
        </is>
      </c>
      <c r="D13489" s="3" t="inlineStr">
        <is>
          <t>5500/250</t>
        </is>
      </c>
      <c r="E13489" s="3" t="inlineStr">
        <is>
          <t>Loan - Quinate</t>
        </is>
      </c>
      <c r="F13489" s="3" t="n">
        <v>-20000</v>
      </c>
      <c r="G13489" s="3" t="n">
        <v>-20000</v>
      </c>
    </row>
    <row r="13490">
      <c r="A13490" s="3" t="inlineStr">
        <is>
          <t>Quinate Consulting (Pty) Ltd</t>
        </is>
      </c>
      <c r="B13490" s="4" t="n">
        <v>45016</v>
      </c>
      <c r="C13490" s="3" t="inlineStr">
        <is>
          <t>Liabilities</t>
        </is>
      </c>
      <c r="D13490" s="3" t="inlineStr">
        <is>
          <t>5500/300</t>
        </is>
      </c>
      <c r="E13490" s="3" t="inlineStr">
        <is>
          <t>Loan - Gengis</t>
        </is>
      </c>
      <c r="F13490" s="3" t="n">
        <v>-3516.16</v>
      </c>
      <c r="G13490" s="3" t="n">
        <v>-308899.17</v>
      </c>
    </row>
    <row r="13491">
      <c r="A13491" s="3" t="inlineStr">
        <is>
          <t>Opportunity Management Holdings (PTY) LTD</t>
        </is>
      </c>
      <c r="B13491" s="4" t="n">
        <v>45016</v>
      </c>
      <c r="C13491" s="3" t="inlineStr">
        <is>
          <t>Liabilities</t>
        </is>
      </c>
      <c r="D13491" s="3" t="inlineStr">
        <is>
          <t>5500/300</t>
        </is>
      </c>
      <c r="E13491" s="3" t="inlineStr">
        <is>
          <t>Loan - Opportunity Prop Management</t>
        </is>
      </c>
      <c r="F13491" s="3" t="n">
        <v>0</v>
      </c>
      <c r="G13491" s="3" t="n">
        <v>-1220204.15</v>
      </c>
    </row>
    <row r="13492">
      <c r="A13492" s="3" t="inlineStr">
        <is>
          <t>Noble Shield (Pty) Ltd ta Go Letting</t>
        </is>
      </c>
      <c r="B13492" s="4" t="n">
        <v>45016</v>
      </c>
      <c r="C13492" s="3" t="inlineStr">
        <is>
          <t>Liabilities</t>
        </is>
      </c>
      <c r="D13492" s="3" t="inlineStr">
        <is>
          <t>5500/300</t>
        </is>
      </c>
      <c r="E13492" s="3" t="inlineStr">
        <is>
          <t>Loan - Trademark Holdings</t>
        </is>
      </c>
      <c r="F13492" s="3" t="n">
        <v>0</v>
      </c>
      <c r="G13492" s="3" t="n">
        <v>-133165.59</v>
      </c>
    </row>
    <row r="13493">
      <c r="A13493" s="3" t="inlineStr">
        <is>
          <t>Trademark Holdings (Pty) Ltd</t>
        </is>
      </c>
      <c r="B13493" s="4" t="n">
        <v>45016</v>
      </c>
      <c r="C13493" s="3" t="inlineStr">
        <is>
          <t>Liabilities</t>
        </is>
      </c>
      <c r="D13493" s="3" t="inlineStr">
        <is>
          <t>5500/375</t>
        </is>
      </c>
      <c r="E13493" s="3" t="inlineStr">
        <is>
          <t>Loan - Opportunity Management Holdings Pty Ltd</t>
        </is>
      </c>
      <c r="F13493" s="3" t="n">
        <v>0</v>
      </c>
      <c r="G13493" s="3" t="n">
        <v>19000</v>
      </c>
    </row>
    <row r="13494">
      <c r="A13494" s="3" t="inlineStr">
        <is>
          <t>Trademark Holdings (Pty) Ltd</t>
        </is>
      </c>
      <c r="B13494" s="4" t="n">
        <v>45016</v>
      </c>
      <c r="C13494" s="3" t="inlineStr">
        <is>
          <t>Liabilities</t>
        </is>
      </c>
      <c r="D13494" s="3" t="inlineStr">
        <is>
          <t>5500/450</t>
        </is>
      </c>
      <c r="E13494" s="3" t="inlineStr">
        <is>
          <t>Loan - Cape Projects Construction</t>
        </is>
      </c>
      <c r="F13494" s="3" t="n">
        <v>-600</v>
      </c>
      <c r="G13494" s="3" t="n">
        <v>-600</v>
      </c>
    </row>
    <row r="13495">
      <c r="A13495" s="3" t="inlineStr">
        <is>
          <t>Trademark Holdings (Pty) Ltd</t>
        </is>
      </c>
      <c r="B13495" s="4" t="n">
        <v>45016</v>
      </c>
      <c r="C13495" s="3" t="inlineStr">
        <is>
          <t>Liabilities</t>
        </is>
      </c>
      <c r="D13495" s="3" t="inlineStr">
        <is>
          <t>5500/500</t>
        </is>
      </c>
      <c r="E13495" s="3" t="inlineStr">
        <is>
          <t>Go Letting Brand Name</t>
        </is>
      </c>
      <c r="F13495" s="3" t="n">
        <v>0</v>
      </c>
      <c r="G13495" s="3" t="n">
        <v>93420</v>
      </c>
    </row>
    <row r="13496">
      <c r="A13496" s="3" t="inlineStr">
        <is>
          <t>Noble Shield (Pty) Ltd ta Go Letting</t>
        </is>
      </c>
      <c r="B13496" s="4" t="n">
        <v>45016</v>
      </c>
      <c r="C13496" s="3" t="inlineStr">
        <is>
          <t>Liabilities</t>
        </is>
      </c>
      <c r="D13496" s="3" t="inlineStr">
        <is>
          <t>5500/500</t>
        </is>
      </c>
      <c r="E13496" s="3" t="inlineStr">
        <is>
          <t>Loan - Cape Projects Construction</t>
        </is>
      </c>
      <c r="F13496" s="3" t="n">
        <v>-600</v>
      </c>
      <c r="G13496" s="3" t="n">
        <v>-600</v>
      </c>
    </row>
    <row r="13497">
      <c r="A13497" s="3" t="inlineStr">
        <is>
          <t>Quinate Consulting (Pty) Ltd</t>
        </is>
      </c>
      <c r="B13497" s="4" t="n">
        <v>45016</v>
      </c>
      <c r="C13497" s="3" t="inlineStr">
        <is>
          <t>Liabilities</t>
        </is>
      </c>
      <c r="D13497" s="3" t="inlineStr">
        <is>
          <t>5500/500</t>
        </is>
      </c>
      <c r="E13497" s="3" t="inlineStr">
        <is>
          <t>Loan - Opportunity Development Struct.</t>
        </is>
      </c>
      <c r="F13497" s="3" t="n">
        <v>0</v>
      </c>
      <c r="G13497" s="3" t="n">
        <v>-2380000</v>
      </c>
    </row>
    <row r="13498">
      <c r="A13498" s="3" t="inlineStr">
        <is>
          <t>Opportunity Management Holdings (PTY) LTD</t>
        </is>
      </c>
      <c r="B13498" s="4" t="n">
        <v>45016</v>
      </c>
      <c r="C13498" s="3" t="inlineStr">
        <is>
          <t>Liabilities</t>
        </is>
      </c>
      <c r="D13498" s="3" t="inlineStr">
        <is>
          <t>5500/500</t>
        </is>
      </c>
      <c r="E13498" s="3" t="inlineStr">
        <is>
          <t>Loan - Opportunity Tradermark Holdings</t>
        </is>
      </c>
      <c r="F13498" s="3" t="n">
        <v>0</v>
      </c>
      <c r="G13498" s="3" t="n">
        <v>-19000</v>
      </c>
    </row>
    <row r="13499">
      <c r="A13499" s="3" t="inlineStr">
        <is>
          <t>Quinate Consulting (Pty) Ltd</t>
        </is>
      </c>
      <c r="B13499" s="4" t="n">
        <v>45016</v>
      </c>
      <c r="C13499" s="3" t="inlineStr">
        <is>
          <t>Liabilities</t>
        </is>
      </c>
      <c r="D13499" s="3" t="inlineStr">
        <is>
          <t>5500/520</t>
        </is>
      </c>
      <c r="E13499" s="3" t="inlineStr">
        <is>
          <t>Loan - Opportunity Management Holdings</t>
        </is>
      </c>
      <c r="F13499" s="3" t="n">
        <v>20000</v>
      </c>
      <c r="G13499" s="3" t="n">
        <v>16100</v>
      </c>
    </row>
    <row r="13500">
      <c r="A13500" s="3" t="inlineStr">
        <is>
          <t>Opportunity Management Holdings (PTY) LTD</t>
        </is>
      </c>
      <c r="B13500" s="4" t="n">
        <v>45016</v>
      </c>
      <c r="C13500" s="3" t="inlineStr">
        <is>
          <t>Liabilities</t>
        </is>
      </c>
      <c r="D13500" s="3" t="inlineStr">
        <is>
          <t>5500/550</t>
        </is>
      </c>
      <c r="E13500" s="3" t="inlineStr">
        <is>
          <t>Loan - Heron Projects</t>
        </is>
      </c>
      <c r="F13500" s="3" t="n">
        <v>-41000</v>
      </c>
      <c r="G13500" s="3" t="n">
        <v>-64000</v>
      </c>
    </row>
    <row r="13501">
      <c r="A13501" s="3" t="inlineStr">
        <is>
          <t>Noble Shield (Pty) Ltd ta Go Letting</t>
        </is>
      </c>
      <c r="B13501" s="4" t="n">
        <v>45016</v>
      </c>
      <c r="C13501" s="3" t="inlineStr">
        <is>
          <t>Liabilities</t>
        </is>
      </c>
      <c r="D13501" s="3" t="inlineStr">
        <is>
          <t>5500/600</t>
        </is>
      </c>
      <c r="E13501" s="3" t="inlineStr">
        <is>
          <t>Loan - Heron Projects</t>
        </is>
      </c>
      <c r="F13501" s="3" t="n">
        <v>0</v>
      </c>
      <c r="G13501" s="3" t="n">
        <v>20898.22</v>
      </c>
    </row>
    <row r="13502">
      <c r="A13502" s="3" t="inlineStr">
        <is>
          <t>Opportunity Global Investment (PTY) LTD</t>
        </is>
      </c>
      <c r="B13502" s="4" t="n">
        <v>45016</v>
      </c>
      <c r="C13502" s="3" t="inlineStr">
        <is>
          <t>Liabilities</t>
        </is>
      </c>
      <c r="D13502" s="3" t="inlineStr">
        <is>
          <t>5500/650</t>
        </is>
      </c>
      <c r="E13502" s="3" t="inlineStr">
        <is>
          <t>Loan - Opportunit Global - Sales</t>
        </is>
      </c>
      <c r="F13502" s="3" t="n">
        <v>-292716.23</v>
      </c>
      <c r="G13502" s="3" t="n">
        <v>-2641397.37</v>
      </c>
    </row>
    <row r="13503">
      <c r="A13503" s="3" t="inlineStr">
        <is>
          <t>Opportunity Global Sales (PTY) LTD</t>
        </is>
      </c>
      <c r="B13503" s="4" t="n">
        <v>45016</v>
      </c>
      <c r="C13503" s="3" t="inlineStr">
        <is>
          <t>Liabilities</t>
        </is>
      </c>
      <c r="D13503" s="3" t="inlineStr">
        <is>
          <t>5500/650</t>
        </is>
      </c>
      <c r="E13503" s="3" t="inlineStr">
        <is>
          <t>Loan - Opportunity Investments</t>
        </is>
      </c>
      <c r="F13503" s="3" t="n">
        <v>292716.23</v>
      </c>
      <c r="G13503" s="3" t="n">
        <v>2641397.37</v>
      </c>
    </row>
    <row r="13504">
      <c r="A13504" s="3" t="inlineStr">
        <is>
          <t>Opportunity Management Holdings (PTY) LTD</t>
        </is>
      </c>
      <c r="B13504" s="4" t="n">
        <v>45016</v>
      </c>
      <c r="C13504" s="3" t="inlineStr">
        <is>
          <t>Liabilities</t>
        </is>
      </c>
      <c r="D13504" s="3" t="inlineStr">
        <is>
          <t>5500/700</t>
        </is>
      </c>
      <c r="E13504" s="3" t="inlineStr">
        <is>
          <t>Loan - Go Letting</t>
        </is>
      </c>
      <c r="F13504" s="3" t="n">
        <v>0</v>
      </c>
      <c r="G13504" s="3" t="n">
        <v>-120</v>
      </c>
    </row>
    <row r="13505">
      <c r="A13505" s="3" t="inlineStr">
        <is>
          <t>Opportunity Global Investment (PTY) LTD</t>
        </is>
      </c>
      <c r="B13505" s="4" t="n">
        <v>45016</v>
      </c>
      <c r="C13505" s="3" t="inlineStr">
        <is>
          <t>Liabilities</t>
        </is>
      </c>
      <c r="D13505" s="3" t="inlineStr">
        <is>
          <t>5500/750</t>
        </is>
      </c>
      <c r="E13505" s="3" t="inlineStr">
        <is>
          <t>Loan - Heron Projects</t>
        </is>
      </c>
      <c r="F13505" s="3" t="n">
        <v>-55000</v>
      </c>
      <c r="G13505" s="3" t="n">
        <v>-603000</v>
      </c>
    </row>
    <row r="13506">
      <c r="A13506" s="3" t="inlineStr">
        <is>
          <t>Opportunity Global Investment (PTY) LTD</t>
        </is>
      </c>
      <c r="B13506" s="4" t="n">
        <v>45016</v>
      </c>
      <c r="C13506" s="3" t="inlineStr">
        <is>
          <t>Liabilities</t>
        </is>
      </c>
      <c r="D13506" s="3" t="inlineStr">
        <is>
          <t>5500/850</t>
        </is>
      </c>
      <c r="E13506" s="3" t="inlineStr">
        <is>
          <t>Loan - Nick Morgan</t>
        </is>
      </c>
      <c r="F13506" s="3" t="n">
        <v>0</v>
      </c>
      <c r="G13506" s="3" t="n">
        <v>6200</v>
      </c>
    </row>
    <row r="13507">
      <c r="A13507" s="3" t="inlineStr">
        <is>
          <t>Opportunity Global Investment (PTY) LTD</t>
        </is>
      </c>
      <c r="B13507" s="4" t="n">
        <v>45016</v>
      </c>
      <c r="C13507" s="3" t="inlineStr">
        <is>
          <t>Liabilities</t>
        </is>
      </c>
      <c r="D13507" s="3" t="inlineStr">
        <is>
          <t>5500/950</t>
        </is>
      </c>
      <c r="E13507" s="3" t="inlineStr">
        <is>
          <t>Loan - Gengis</t>
        </is>
      </c>
      <c r="F13507" s="3" t="n">
        <v>62050</v>
      </c>
      <c r="G13507" s="3" t="n">
        <v>-45000</v>
      </c>
    </row>
    <row r="13508">
      <c r="A13508" s="3" t="inlineStr">
        <is>
          <t>Quinate Consulting (Pty) Ltd</t>
        </is>
      </c>
      <c r="B13508" s="4" t="n">
        <v>45016</v>
      </c>
      <c r="C13508" s="3" t="inlineStr">
        <is>
          <t>Liabilities</t>
        </is>
      </c>
      <c r="D13508" s="3" t="inlineStr">
        <is>
          <t>5501/001</t>
        </is>
      </c>
      <c r="E13508" s="3" t="inlineStr">
        <is>
          <t>Loan - Endulini CIP Costs</t>
        </is>
      </c>
      <c r="F13508" s="3" t="n">
        <v>-14400</v>
      </c>
      <c r="G13508" s="3" t="n">
        <v>9410749.1</v>
      </c>
    </row>
    <row r="13509">
      <c r="A13509" s="3" t="inlineStr">
        <is>
          <t>Opportunity Management Holdings (PTY) LTD</t>
        </is>
      </c>
      <c r="B13509" s="4" t="n">
        <v>45016</v>
      </c>
      <c r="C13509" s="3" t="inlineStr">
        <is>
          <t>Liabilities</t>
        </is>
      </c>
      <c r="D13509" s="3" t="inlineStr">
        <is>
          <t>5510/100</t>
        </is>
      </c>
      <c r="E13509" s="3" t="inlineStr">
        <is>
          <t>Staff loan - Debbie Landsberg</t>
        </is>
      </c>
      <c r="F13509" s="3" t="n">
        <v>-2000</v>
      </c>
      <c r="G13509" s="3" t="n">
        <v>3100</v>
      </c>
    </row>
    <row r="13510">
      <c r="A13510" s="3" t="inlineStr">
        <is>
          <t>Noble Shield (Pty) Ltd ta Go Letting</t>
        </is>
      </c>
      <c r="B13510" s="4" t="n">
        <v>45016</v>
      </c>
      <c r="C13510" s="3" t="inlineStr">
        <is>
          <t>Assets</t>
        </is>
      </c>
      <c r="D13510" s="3" t="inlineStr">
        <is>
          <t>6250/010</t>
        </is>
      </c>
      <c r="E13510" s="3" t="inlineStr">
        <is>
          <t>Computer Equipment - @ Cost</t>
        </is>
      </c>
      <c r="F13510" s="3" t="n">
        <v>0</v>
      </c>
      <c r="G13510" s="3" t="n">
        <v>20397</v>
      </c>
    </row>
    <row r="13511">
      <c r="A13511" s="3" t="inlineStr">
        <is>
          <t>Opportunity Global Investment (PTY) LTD</t>
        </is>
      </c>
      <c r="B13511" s="4" t="n">
        <v>45016</v>
      </c>
      <c r="C13511" s="3" t="inlineStr">
        <is>
          <t>Assets</t>
        </is>
      </c>
      <c r="D13511" s="3" t="inlineStr">
        <is>
          <t>6250/010</t>
        </is>
      </c>
      <c r="E13511" s="3" t="inlineStr">
        <is>
          <t>Computer Equipment - @ Cost</t>
        </is>
      </c>
      <c r="F13511" s="3" t="n">
        <v>0</v>
      </c>
      <c r="G13511" s="3" t="n">
        <v>31683.04</v>
      </c>
    </row>
    <row r="13512">
      <c r="A13512" s="3" t="inlineStr">
        <is>
          <t>Opportunity Management Holdings (PTY) LTD</t>
        </is>
      </c>
      <c r="B13512" s="4" t="n">
        <v>45016</v>
      </c>
      <c r="C13512" s="3" t="inlineStr">
        <is>
          <t>Assets</t>
        </is>
      </c>
      <c r="D13512" s="3" t="inlineStr">
        <is>
          <t>6250/010</t>
        </is>
      </c>
      <c r="E13512" s="3" t="inlineStr">
        <is>
          <t>Computer Equipment - @ Cost</t>
        </is>
      </c>
      <c r="F13512" s="3" t="n">
        <v>0</v>
      </c>
      <c r="G13512" s="3" t="n">
        <v>52177.85</v>
      </c>
    </row>
    <row r="13513">
      <c r="A13513" s="3" t="inlineStr">
        <is>
          <t>Quinate Consulting (Pty) Ltd</t>
        </is>
      </c>
      <c r="B13513" s="4" t="n">
        <v>45016</v>
      </c>
      <c r="C13513" s="3" t="inlineStr">
        <is>
          <t>Assets</t>
        </is>
      </c>
      <c r="D13513" s="3" t="inlineStr">
        <is>
          <t>6250/010</t>
        </is>
      </c>
      <c r="E13513" s="3" t="inlineStr">
        <is>
          <t>Computer Equipment - @ Cost</t>
        </is>
      </c>
      <c r="F13513" s="3" t="n">
        <v>0</v>
      </c>
      <c r="G13513" s="3" t="n">
        <v>137059.7</v>
      </c>
    </row>
    <row r="13514">
      <c r="A13514" s="3" t="inlineStr">
        <is>
          <t>Noble Shield (Pty) Ltd ta Go Letting</t>
        </is>
      </c>
      <c r="B13514" s="4" t="n">
        <v>45016</v>
      </c>
      <c r="C13514" s="3" t="inlineStr">
        <is>
          <t>Assets</t>
        </is>
      </c>
      <c r="D13514" s="3" t="inlineStr">
        <is>
          <t>6250/020</t>
        </is>
      </c>
      <c r="E13514" s="3" t="inlineStr">
        <is>
          <t>Computer Equipment - Accum Depre</t>
        </is>
      </c>
      <c r="F13514" s="3" t="n">
        <v>0</v>
      </c>
      <c r="G13514" s="3" t="n">
        <v>-12040.89</v>
      </c>
    </row>
    <row r="13515">
      <c r="A13515" s="3" t="inlineStr">
        <is>
          <t>Opportunity Global Investment (PTY) LTD</t>
        </is>
      </c>
      <c r="B13515" s="4" t="n">
        <v>45016</v>
      </c>
      <c r="C13515" s="3" t="inlineStr">
        <is>
          <t>Assets</t>
        </is>
      </c>
      <c r="D13515" s="3" t="inlineStr">
        <is>
          <t>6250/020</t>
        </is>
      </c>
      <c r="E13515" s="3" t="inlineStr">
        <is>
          <t>Computer Equipment - Accum Depre</t>
        </is>
      </c>
      <c r="F13515" s="3" t="n">
        <v>-880.08</v>
      </c>
      <c r="G13515" s="3" t="n">
        <v>-2640.24</v>
      </c>
    </row>
    <row r="13516">
      <c r="A13516" s="3" t="inlineStr">
        <is>
          <t>Opportunity Management Holdings (PTY) LTD</t>
        </is>
      </c>
      <c r="B13516" s="4" t="n">
        <v>45016</v>
      </c>
      <c r="C13516" s="3" t="inlineStr">
        <is>
          <t>Assets</t>
        </is>
      </c>
      <c r="D13516" s="3" t="inlineStr">
        <is>
          <t>6250/020</t>
        </is>
      </c>
      <c r="E13516" s="3" t="inlineStr">
        <is>
          <t>Computer Equipment - Accum Depre</t>
        </is>
      </c>
      <c r="F13516" s="3" t="n">
        <v>-1035.16</v>
      </c>
      <c r="G13516" s="3" t="n">
        <v>-6644.36</v>
      </c>
    </row>
    <row r="13517">
      <c r="A13517" s="3" t="inlineStr">
        <is>
          <t>Quinate Consulting (Pty) Ltd</t>
        </is>
      </c>
      <c r="B13517" s="4" t="n">
        <v>45016</v>
      </c>
      <c r="C13517" s="3" t="inlineStr">
        <is>
          <t>Assets</t>
        </is>
      </c>
      <c r="D13517" s="3" t="inlineStr">
        <is>
          <t>6250/020</t>
        </is>
      </c>
      <c r="E13517" s="3" t="inlineStr">
        <is>
          <t>Computer Equipment - Accum Depre</t>
        </is>
      </c>
      <c r="F13517" s="3" t="n">
        <v>-2331.67</v>
      </c>
      <c r="G13517" s="3" t="n">
        <v>-100705.49</v>
      </c>
    </row>
    <row r="13518">
      <c r="A13518" s="3" t="inlineStr">
        <is>
          <t>Opportunity Management Holdings (PTY) LTD</t>
        </is>
      </c>
      <c r="B13518" s="4" t="n">
        <v>45016</v>
      </c>
      <c r="C13518" s="3" t="inlineStr">
        <is>
          <t>Assets</t>
        </is>
      </c>
      <c r="D13518" s="3" t="inlineStr">
        <is>
          <t>6250/030</t>
        </is>
      </c>
      <c r="E13518" s="3" t="inlineStr">
        <is>
          <t>Acc Depreciation - Computer Equipment</t>
        </is>
      </c>
      <c r="F13518" s="3" t="n">
        <v>0</v>
      </c>
      <c r="G13518" s="3" t="n">
        <v>-9441.25</v>
      </c>
    </row>
    <row r="13519">
      <c r="A13519" s="3" t="inlineStr">
        <is>
          <t>Quinate Consulting (Pty) Ltd</t>
        </is>
      </c>
      <c r="B13519" s="4" t="n">
        <v>45016</v>
      </c>
      <c r="C13519" s="3" t="inlineStr">
        <is>
          <t>Assets</t>
        </is>
      </c>
      <c r="D13519" s="3" t="inlineStr">
        <is>
          <t>6270/010</t>
        </is>
      </c>
      <c r="E13519" s="3" t="inlineStr">
        <is>
          <t>Site Containers - @ Cost</t>
        </is>
      </c>
      <c r="F13519" s="3" t="n">
        <v>0</v>
      </c>
      <c r="G13519" s="3" t="n">
        <v>19130.44</v>
      </c>
    </row>
    <row r="13520">
      <c r="A13520" s="3" t="inlineStr">
        <is>
          <t>Quinate Consulting (Pty) Ltd</t>
        </is>
      </c>
      <c r="B13520" s="4" t="n">
        <v>45016</v>
      </c>
      <c r="C13520" s="3" t="inlineStr">
        <is>
          <t>Assets</t>
        </is>
      </c>
      <c r="D13520" s="3" t="inlineStr">
        <is>
          <t>6270/020</t>
        </is>
      </c>
      <c r="E13520" s="3" t="inlineStr">
        <is>
          <t>Site Containers - Accum Depre</t>
        </is>
      </c>
      <c r="F13520" s="3" t="n">
        <v>-318.84</v>
      </c>
      <c r="G13520" s="3" t="n">
        <v>-7971.02</v>
      </c>
    </row>
    <row r="13521">
      <c r="A13521" s="3" t="inlineStr">
        <is>
          <t>Noble Shield (Pty) Ltd ta Go Letting</t>
        </is>
      </c>
      <c r="B13521" s="4" t="n">
        <v>45016</v>
      </c>
      <c r="C13521" s="3" t="inlineStr">
        <is>
          <t>Assets</t>
        </is>
      </c>
      <c r="D13521" s="3" t="inlineStr">
        <is>
          <t>6350/010</t>
        </is>
      </c>
      <c r="E13521" s="3" t="inlineStr">
        <is>
          <t>Furniture _AND_ Fittings - @ Cost</t>
        </is>
      </c>
      <c r="F13521" s="3" t="n">
        <v>0</v>
      </c>
      <c r="G13521" s="3" t="n">
        <v>2242</v>
      </c>
    </row>
    <row r="13522">
      <c r="A13522" s="3" t="inlineStr">
        <is>
          <t>Opportunity Global Sales (PTY) LTD</t>
        </is>
      </c>
      <c r="B13522" s="4" t="n">
        <v>45016</v>
      </c>
      <c r="C13522" s="3" t="inlineStr">
        <is>
          <t>Assets</t>
        </is>
      </c>
      <c r="D13522" s="3" t="inlineStr">
        <is>
          <t>6350/010</t>
        </is>
      </c>
      <c r="E13522" s="3" t="inlineStr">
        <is>
          <t>Furniture _AND_ Fittings - @ Cost</t>
        </is>
      </c>
      <c r="F13522" s="3" t="n">
        <v>0</v>
      </c>
      <c r="G13522" s="3" t="n">
        <v>29379.7</v>
      </c>
    </row>
    <row r="13523">
      <c r="A13523" s="3" t="inlineStr">
        <is>
          <t>Noble Shield (Pty) Ltd ta Go Letting</t>
        </is>
      </c>
      <c r="B13523" s="4" t="n">
        <v>45016</v>
      </c>
      <c r="C13523" s="3" t="inlineStr">
        <is>
          <t>Assets</t>
        </is>
      </c>
      <c r="D13523" s="3" t="inlineStr">
        <is>
          <t>6350/020</t>
        </is>
      </c>
      <c r="E13523" s="3" t="inlineStr">
        <is>
          <t>Furniture _AND_ Fittings - Accum Depre</t>
        </is>
      </c>
      <c r="F13523" s="3" t="n">
        <v>0</v>
      </c>
      <c r="G13523" s="3" t="n">
        <v>-2239</v>
      </c>
    </row>
    <row r="13524">
      <c r="A13524" s="3" t="inlineStr">
        <is>
          <t>Opportunity Global Sales (PTY) LTD</t>
        </is>
      </c>
      <c r="B13524" s="4" t="n">
        <v>45016</v>
      </c>
      <c r="C13524" s="3" t="inlineStr">
        <is>
          <t>Assets</t>
        </is>
      </c>
      <c r="D13524" s="3" t="inlineStr">
        <is>
          <t>6350/020</t>
        </is>
      </c>
      <c r="E13524" s="3" t="inlineStr">
        <is>
          <t>Furniture _AND_ Fittings - Accum Depre</t>
        </is>
      </c>
      <c r="F13524" s="3" t="n">
        <v>-408.05</v>
      </c>
      <c r="G13524" s="3" t="n">
        <v>-3672.46</v>
      </c>
    </row>
    <row r="13525">
      <c r="A13525" s="3" t="inlineStr">
        <is>
          <t>Opportunity Management Holdings (PTY) LTD</t>
        </is>
      </c>
      <c r="B13525" s="4" t="n">
        <v>45016</v>
      </c>
      <c r="C13525" s="3" t="inlineStr">
        <is>
          <t>Liabilities</t>
        </is>
      </c>
      <c r="D13525" s="3" t="inlineStr">
        <is>
          <t>6500/000</t>
        </is>
      </c>
      <c r="E13525" s="3" t="inlineStr">
        <is>
          <t>Deposits - Held</t>
        </is>
      </c>
      <c r="F13525" s="3" t="n">
        <v>0</v>
      </c>
      <c r="G13525" s="3" t="n">
        <v>-12028.1</v>
      </c>
    </row>
    <row r="13526">
      <c r="A13526" s="3" t="inlineStr">
        <is>
          <t>Opportunity Management Holdings (PTY) LTD</t>
        </is>
      </c>
      <c r="B13526" s="4" t="n">
        <v>45016</v>
      </c>
      <c r="C13526" s="3" t="inlineStr">
        <is>
          <t>Liabilities</t>
        </is>
      </c>
      <c r="D13526" s="3" t="inlineStr">
        <is>
          <t>6510/000</t>
        </is>
      </c>
      <c r="E13526" s="3" t="inlineStr">
        <is>
          <t>Deposits Paid - Anicol Properties</t>
        </is>
      </c>
      <c r="F13526" s="3" t="n">
        <v>0</v>
      </c>
      <c r="G13526" s="3" t="n">
        <v>13755</v>
      </c>
    </row>
    <row r="13527">
      <c r="A13527" s="3" t="inlineStr">
        <is>
          <t>Opportunity Management Holdings (PTY) LTD</t>
        </is>
      </c>
      <c r="B13527" s="4" t="n">
        <v>45016</v>
      </c>
      <c r="C13527" s="3" t="inlineStr">
        <is>
          <t>Liabilities</t>
        </is>
      </c>
      <c r="D13527" s="3" t="inlineStr">
        <is>
          <t>6515/000</t>
        </is>
      </c>
      <c r="E13527" s="3" t="inlineStr">
        <is>
          <t>Deposits Paid</t>
        </is>
      </c>
      <c r="F13527" s="3" t="n">
        <v>0</v>
      </c>
      <c r="G13527" s="3" t="n">
        <v>3852.5</v>
      </c>
    </row>
    <row r="13528">
      <c r="A13528" s="3" t="inlineStr">
        <is>
          <t>Quinate Consulting (Pty) Ltd</t>
        </is>
      </c>
      <c r="B13528" s="4" t="n">
        <v>45016</v>
      </c>
      <c r="C13528" s="3" t="inlineStr">
        <is>
          <t>Assets</t>
        </is>
      </c>
      <c r="D13528" s="3" t="inlineStr">
        <is>
          <t>6600/010</t>
        </is>
      </c>
      <c r="E13528" s="3" t="inlineStr">
        <is>
          <t>Other Fixed Assets - @ Cost</t>
        </is>
      </c>
      <c r="F13528" s="3" t="n">
        <v>0</v>
      </c>
      <c r="G13528" s="3" t="n">
        <v>14442.5</v>
      </c>
    </row>
    <row r="13529">
      <c r="A13529" s="3" t="inlineStr">
        <is>
          <t>Quinate Consulting (Pty) Ltd</t>
        </is>
      </c>
      <c r="B13529" s="4" t="n">
        <v>45016</v>
      </c>
      <c r="C13529" s="3" t="inlineStr">
        <is>
          <t>Assets</t>
        </is>
      </c>
      <c r="D13529" s="3" t="inlineStr">
        <is>
          <t>6600/020</t>
        </is>
      </c>
      <c r="E13529" s="3" t="inlineStr">
        <is>
          <t>Other Fixed Assets - Accum Depre</t>
        </is>
      </c>
      <c r="F13529" s="3" t="n">
        <v>0</v>
      </c>
      <c r="G13529" s="3" t="n">
        <v>-14441.5</v>
      </c>
    </row>
    <row r="13530">
      <c r="A13530" s="3" t="inlineStr">
        <is>
          <t>Noble Shield (Pty) Ltd ta Go Letting</t>
        </is>
      </c>
      <c r="B13530" s="4" t="n">
        <v>45016</v>
      </c>
      <c r="C13530" s="3" t="inlineStr">
        <is>
          <t>Assets</t>
        </is>
      </c>
      <c r="D13530" s="3" t="inlineStr">
        <is>
          <t>7000/100</t>
        </is>
      </c>
      <c r="E13530" s="3" t="inlineStr">
        <is>
          <t>Goodwill - Purchase of Go Letting</t>
        </is>
      </c>
      <c r="F13530" s="3" t="n">
        <v>0</v>
      </c>
      <c r="G13530" s="3" t="n">
        <v>106580</v>
      </c>
    </row>
    <row r="13531">
      <c r="A13531" s="3" t="inlineStr">
        <is>
          <t>Opportunity Management Holdings (PTY) LTD</t>
        </is>
      </c>
      <c r="B13531" s="4" t="n">
        <v>45016</v>
      </c>
      <c r="C13531" s="3" t="inlineStr">
        <is>
          <t>Assets</t>
        </is>
      </c>
      <c r="D13531" s="3" t="inlineStr">
        <is>
          <t>7200/000</t>
        </is>
      </c>
      <c r="E13531" s="3" t="inlineStr">
        <is>
          <t>Shares in Subsidiary Companies</t>
        </is>
      </c>
      <c r="F13531" s="3" t="n">
        <v>0</v>
      </c>
      <c r="G13531" s="3" t="n">
        <v>120</v>
      </c>
    </row>
    <row r="13532">
      <c r="A13532" s="3" t="inlineStr">
        <is>
          <t>Endulini (Pty) Ltd</t>
        </is>
      </c>
      <c r="B13532" s="4" t="n">
        <v>45016</v>
      </c>
      <c r="C13532" s="3" t="inlineStr">
        <is>
          <t>Assets</t>
        </is>
      </c>
      <c r="D13532" s="3" t="inlineStr">
        <is>
          <t>7610/100</t>
        </is>
      </c>
      <c r="E13532" s="3" t="inlineStr">
        <is>
          <t>Endulini Land</t>
        </is>
      </c>
      <c r="F13532" s="3" t="n">
        <v>0</v>
      </c>
      <c r="G13532" s="3" t="n">
        <v>10572851.37</v>
      </c>
    </row>
    <row r="13533">
      <c r="A13533" s="3" t="inlineStr">
        <is>
          <t>Endulini (Pty) Ltd</t>
        </is>
      </c>
      <c r="B13533" s="4" t="n">
        <v>45016</v>
      </c>
      <c r="C13533" s="3" t="inlineStr">
        <is>
          <t>Assets</t>
        </is>
      </c>
      <c r="D13533" s="3" t="inlineStr">
        <is>
          <t>7610/111</t>
        </is>
      </c>
      <c r="E13533" s="3" t="inlineStr">
        <is>
          <t>Endulini Closing Stock February 2021</t>
        </is>
      </c>
      <c r="F13533" s="3" t="n">
        <v>0</v>
      </c>
      <c r="G13533" s="3" t="n">
        <v>14368610.11</v>
      </c>
    </row>
    <row r="13534">
      <c r="A13534" s="3" t="inlineStr">
        <is>
          <t>Endulini (Pty) Ltd</t>
        </is>
      </c>
      <c r="B13534" s="4" t="n">
        <v>45016</v>
      </c>
      <c r="C13534" s="3" t="inlineStr">
        <is>
          <t>Assets</t>
        </is>
      </c>
      <c r="D13534" s="3" t="inlineStr">
        <is>
          <t>7610/180</t>
        </is>
      </c>
      <c r="E13534" s="3" t="inlineStr">
        <is>
          <t>Endulini CIP Architects</t>
        </is>
      </c>
      <c r="F13534" s="3" t="n">
        <v>0</v>
      </c>
      <c r="G13534" s="3" t="n">
        <v>1251503.01</v>
      </c>
    </row>
    <row r="13535">
      <c r="A13535" s="3" t="inlineStr">
        <is>
          <t>Endulini (Pty) Ltd</t>
        </is>
      </c>
      <c r="B13535" s="4" t="n">
        <v>45016</v>
      </c>
      <c r="C13535" s="3" t="inlineStr">
        <is>
          <t>Assets</t>
        </is>
      </c>
      <c r="D13535" s="3" t="inlineStr">
        <is>
          <t>7610/200</t>
        </is>
      </c>
      <c r="E13535" s="3" t="inlineStr">
        <is>
          <t>Endulini CIP CoCT Land Use App</t>
        </is>
      </c>
      <c r="F13535" s="3" t="n">
        <v>0</v>
      </c>
      <c r="G13535" s="3" t="n">
        <v>232891.06</v>
      </c>
    </row>
    <row r="13536">
      <c r="A13536" s="3" t="inlineStr">
        <is>
          <t>Endulini (Pty) Ltd</t>
        </is>
      </c>
      <c r="B13536" s="4" t="n">
        <v>45016</v>
      </c>
      <c r="C13536" s="3" t="inlineStr">
        <is>
          <t>Assets</t>
        </is>
      </c>
      <c r="D13536" s="3" t="inlineStr">
        <is>
          <t>7610/205</t>
        </is>
      </c>
      <c r="E13536" s="3" t="inlineStr">
        <is>
          <t>Endulini CIP Site Establishments</t>
        </is>
      </c>
      <c r="F13536" s="3" t="n">
        <v>0</v>
      </c>
      <c r="G13536" s="3" t="n">
        <v>32428975.01</v>
      </c>
    </row>
    <row r="13537">
      <c r="A13537" s="3" t="inlineStr">
        <is>
          <t>Endulini (Pty) Ltd</t>
        </is>
      </c>
      <c r="B13537" s="4" t="n">
        <v>45016</v>
      </c>
      <c r="C13537" s="3" t="inlineStr">
        <is>
          <t>Assets</t>
        </is>
      </c>
      <c r="D13537" s="3" t="inlineStr">
        <is>
          <t>7610/209</t>
        </is>
      </c>
      <c r="E13537" s="3" t="inlineStr">
        <is>
          <t>Endulini CIP Construction Management</t>
        </is>
      </c>
      <c r="F13537" s="3" t="n">
        <v>1500</v>
      </c>
      <c r="G13537" s="3" t="n">
        <v>223375</v>
      </c>
    </row>
    <row r="13538">
      <c r="A13538" s="3" t="inlineStr">
        <is>
          <t>Endulini (Pty) Ltd</t>
        </is>
      </c>
      <c r="B13538" s="4" t="n">
        <v>45016</v>
      </c>
      <c r="C13538" s="3" t="inlineStr">
        <is>
          <t>Assets</t>
        </is>
      </c>
      <c r="D13538" s="3" t="inlineStr">
        <is>
          <t>7610/210</t>
        </is>
      </c>
      <c r="E13538" s="3" t="inlineStr">
        <is>
          <t>Endulini CIP Civil Works</t>
        </is>
      </c>
      <c r="F13538" s="3" t="n">
        <v>0</v>
      </c>
      <c r="G13538" s="3" t="n">
        <v>6295702.14</v>
      </c>
    </row>
    <row r="13539">
      <c r="A13539" s="3" t="inlineStr">
        <is>
          <t>Endulini (Pty) Ltd</t>
        </is>
      </c>
      <c r="B13539" s="4" t="n">
        <v>45016</v>
      </c>
      <c r="C13539" s="3" t="inlineStr">
        <is>
          <t>Assets</t>
        </is>
      </c>
      <c r="D13539" s="3" t="inlineStr">
        <is>
          <t>7610/215</t>
        </is>
      </c>
      <c r="E13539" s="3" t="inlineStr">
        <is>
          <t>Endulini CIP Civil Engineers</t>
        </is>
      </c>
      <c r="F13539" s="3" t="n">
        <v>0</v>
      </c>
      <c r="G13539" s="3" t="n">
        <v>183000</v>
      </c>
    </row>
    <row r="13540">
      <c r="A13540" s="3" t="inlineStr">
        <is>
          <t>Endulini (Pty) Ltd</t>
        </is>
      </c>
      <c r="B13540" s="4" t="n">
        <v>45016</v>
      </c>
      <c r="C13540" s="3" t="inlineStr">
        <is>
          <t>Assets</t>
        </is>
      </c>
      <c r="D13540" s="3" t="inlineStr">
        <is>
          <t>7610/220</t>
        </is>
      </c>
      <c r="E13540" s="3" t="inlineStr">
        <is>
          <t>Endulini CIP Structuring Project Fee Opp Invest</t>
        </is>
      </c>
      <c r="F13540" s="3" t="n">
        <v>0</v>
      </c>
      <c r="G13540" s="3" t="n">
        <v>483735.96</v>
      </c>
    </row>
    <row r="13541">
      <c r="A13541" s="3" t="inlineStr">
        <is>
          <t>Endulini (Pty) Ltd</t>
        </is>
      </c>
      <c r="B13541" s="4" t="n">
        <v>45016</v>
      </c>
      <c r="C13541" s="3" t="inlineStr">
        <is>
          <t>Assets</t>
        </is>
      </c>
      <c r="D13541" s="3" t="inlineStr">
        <is>
          <t>7610/225</t>
        </is>
      </c>
      <c r="E13541" s="3" t="inlineStr">
        <is>
          <t>Endulini CIP Structural engineering fee</t>
        </is>
      </c>
      <c r="F13541" s="3" t="n">
        <v>0</v>
      </c>
      <c r="G13541" s="3" t="n">
        <v>346268.03</v>
      </c>
    </row>
    <row r="13542">
      <c r="A13542" s="3" t="inlineStr">
        <is>
          <t>Endulini (Pty) Ltd</t>
        </is>
      </c>
      <c r="B13542" s="4" t="n">
        <v>45016</v>
      </c>
      <c r="C13542" s="3" t="inlineStr">
        <is>
          <t>Assets</t>
        </is>
      </c>
      <c r="D13542" s="3" t="inlineStr">
        <is>
          <t>7610/230</t>
        </is>
      </c>
      <c r="E13542" s="3" t="inlineStr">
        <is>
          <t>Endulini CIP Mechanical Engineering</t>
        </is>
      </c>
      <c r="F13542" s="3" t="n">
        <v>0</v>
      </c>
      <c r="G13542" s="3" t="n">
        <v>15570</v>
      </c>
    </row>
    <row r="13543">
      <c r="A13543" s="3" t="inlineStr">
        <is>
          <t>Endulini (Pty) Ltd</t>
        </is>
      </c>
      <c r="B13543" s="4" t="n">
        <v>45016</v>
      </c>
      <c r="C13543" s="3" t="inlineStr">
        <is>
          <t>Assets</t>
        </is>
      </c>
      <c r="D13543" s="3" t="inlineStr">
        <is>
          <t>7610/235</t>
        </is>
      </c>
      <c r="E13543" s="3" t="inlineStr">
        <is>
          <t>Endulini CIP Electrical Installation</t>
        </is>
      </c>
      <c r="F13543" s="3" t="n">
        <v>0</v>
      </c>
      <c r="G13543" s="3" t="n">
        <v>1034019.08</v>
      </c>
    </row>
    <row r="13544">
      <c r="A13544" s="3" t="inlineStr">
        <is>
          <t>Endulini (Pty) Ltd</t>
        </is>
      </c>
      <c r="B13544" s="4" t="n">
        <v>45016</v>
      </c>
      <c r="C13544" s="3" t="inlineStr">
        <is>
          <t>Assets</t>
        </is>
      </c>
      <c r="D13544" s="3" t="inlineStr">
        <is>
          <t>7610/250</t>
        </is>
      </c>
      <c r="E13544" s="3" t="inlineStr">
        <is>
          <t>Endulini CIP Boundary Wall</t>
        </is>
      </c>
      <c r="F13544" s="3" t="n">
        <v>0</v>
      </c>
      <c r="G13544" s="3" t="n">
        <v>88400.8</v>
      </c>
    </row>
    <row r="13545">
      <c r="A13545" s="3" t="inlineStr">
        <is>
          <t>Endulini (Pty) Ltd</t>
        </is>
      </c>
      <c r="B13545" s="4" t="n">
        <v>45016</v>
      </c>
      <c r="C13545" s="3" t="inlineStr">
        <is>
          <t>Assets</t>
        </is>
      </c>
      <c r="D13545" s="3" t="inlineStr">
        <is>
          <t>7610/290</t>
        </is>
      </c>
      <c r="E13545" s="3" t="inlineStr">
        <is>
          <t>Endulini CIP Development Management Fees</t>
        </is>
      </c>
      <c r="F13545" s="3" t="n">
        <v>0</v>
      </c>
      <c r="G13545" s="3" t="n">
        <v>237496.62</v>
      </c>
    </row>
    <row r="13546">
      <c r="A13546" s="3" t="inlineStr">
        <is>
          <t>Endulini (Pty) Ltd</t>
        </is>
      </c>
      <c r="B13546" s="4" t="n">
        <v>45016</v>
      </c>
      <c r="C13546" s="3" t="inlineStr">
        <is>
          <t>Assets</t>
        </is>
      </c>
      <c r="D13546" s="3" t="inlineStr">
        <is>
          <t>7610/310</t>
        </is>
      </c>
      <c r="E13546" s="3" t="inlineStr">
        <is>
          <t>Endulini CIP Enviromental consultants</t>
        </is>
      </c>
      <c r="F13546" s="3" t="n">
        <v>0</v>
      </c>
      <c r="G13546" s="3" t="n">
        <v>115730</v>
      </c>
    </row>
    <row r="13547">
      <c r="A13547" s="3" t="inlineStr">
        <is>
          <t>Endulini (Pty) Ltd</t>
        </is>
      </c>
      <c r="B13547" s="4" t="n">
        <v>45016</v>
      </c>
      <c r="C13547" s="3" t="inlineStr">
        <is>
          <t>Assets</t>
        </is>
      </c>
      <c r="D13547" s="3" t="inlineStr">
        <is>
          <t>7610/320</t>
        </is>
      </c>
      <c r="E13547" s="3" t="inlineStr">
        <is>
          <t>Endulini CIP Geotechnical</t>
        </is>
      </c>
      <c r="F13547" s="3" t="n">
        <v>0</v>
      </c>
      <c r="G13547" s="3" t="n">
        <v>13575</v>
      </c>
    </row>
    <row r="13548">
      <c r="A13548" s="3" t="inlineStr">
        <is>
          <t>Endulini (Pty) Ltd</t>
        </is>
      </c>
      <c r="B13548" s="4" t="n">
        <v>45016</v>
      </c>
      <c r="C13548" s="3" t="inlineStr">
        <is>
          <t>Assets</t>
        </is>
      </c>
      <c r="D13548" s="3" t="inlineStr">
        <is>
          <t>7610/330</t>
        </is>
      </c>
      <c r="E13548" s="3" t="inlineStr">
        <is>
          <t>Endulini CIP Health and Safety</t>
        </is>
      </c>
      <c r="F13548" s="3" t="n">
        <v>0</v>
      </c>
      <c r="G13548" s="3" t="n">
        <v>40200</v>
      </c>
    </row>
    <row r="13549">
      <c r="A13549" s="3" t="inlineStr">
        <is>
          <t>Endulini (Pty) Ltd</t>
        </is>
      </c>
      <c r="B13549" s="4" t="n">
        <v>45016</v>
      </c>
      <c r="C13549" s="3" t="inlineStr">
        <is>
          <t>Assets</t>
        </is>
      </c>
      <c r="D13549" s="3" t="inlineStr">
        <is>
          <t>7610/390</t>
        </is>
      </c>
      <c r="E13549" s="3" t="inlineStr">
        <is>
          <t>Endulini CIP Land Surveyor</t>
        </is>
      </c>
      <c r="F13549" s="3" t="n">
        <v>0</v>
      </c>
      <c r="G13549" s="3" t="n">
        <v>186021.2</v>
      </c>
    </row>
    <row r="13550">
      <c r="A13550" s="3" t="inlineStr">
        <is>
          <t>Endulini (Pty) Ltd</t>
        </is>
      </c>
      <c r="B13550" s="4" t="n">
        <v>45016</v>
      </c>
      <c r="C13550" s="3" t="inlineStr">
        <is>
          <t>Assets</t>
        </is>
      </c>
      <c r="D13550" s="3" t="inlineStr">
        <is>
          <t>7610/392</t>
        </is>
      </c>
      <c r="E13550" s="3" t="inlineStr">
        <is>
          <t>Endulini CIP Landscaping</t>
        </is>
      </c>
      <c r="F13550" s="3" t="n">
        <v>0</v>
      </c>
      <c r="G13550" s="3" t="n">
        <v>6100</v>
      </c>
    </row>
    <row r="13551">
      <c r="A13551" s="3" t="inlineStr">
        <is>
          <t>Endulini (Pty) Ltd</t>
        </is>
      </c>
      <c r="B13551" s="4" t="n">
        <v>45016</v>
      </c>
      <c r="C13551" s="3" t="inlineStr">
        <is>
          <t>Assets</t>
        </is>
      </c>
      <c r="D13551" s="3" t="inlineStr">
        <is>
          <t>7610/395</t>
        </is>
      </c>
      <c r="E13551" s="3" t="inlineStr">
        <is>
          <t>Endulini CIP NHBRC</t>
        </is>
      </c>
      <c r="F13551" s="3" t="n">
        <v>0</v>
      </c>
      <c r="G13551" s="3" t="n">
        <v>928847.49</v>
      </c>
    </row>
    <row r="13552">
      <c r="A13552" s="3" t="inlineStr">
        <is>
          <t>Endulini (Pty) Ltd</t>
        </is>
      </c>
      <c r="B13552" s="4" t="n">
        <v>45016</v>
      </c>
      <c r="C13552" s="3" t="inlineStr">
        <is>
          <t>Assets</t>
        </is>
      </c>
      <c r="D13552" s="3" t="inlineStr">
        <is>
          <t>7610/400</t>
        </is>
      </c>
      <c r="E13552" s="3" t="inlineStr">
        <is>
          <t>Endulini CIP Quantity Surveyor</t>
        </is>
      </c>
      <c r="F13552" s="3" t="n">
        <v>0</v>
      </c>
      <c r="G13552" s="3" t="n">
        <v>82136.36</v>
      </c>
    </row>
    <row r="13553">
      <c r="A13553" s="3" t="inlineStr">
        <is>
          <t>Endulini (Pty) Ltd</t>
        </is>
      </c>
      <c r="B13553" s="4" t="n">
        <v>45016</v>
      </c>
      <c r="C13553" s="3" t="inlineStr">
        <is>
          <t>Assets</t>
        </is>
      </c>
      <c r="D13553" s="3" t="inlineStr">
        <is>
          <t>7610/600</t>
        </is>
      </c>
      <c r="E13553" s="3" t="inlineStr">
        <is>
          <t>Endulini CIP Town Planning</t>
        </is>
      </c>
      <c r="F13553" s="3" t="n">
        <v>0</v>
      </c>
      <c r="G13553" s="3" t="n">
        <v>21105</v>
      </c>
    </row>
    <row r="13554">
      <c r="A13554" s="3" t="inlineStr">
        <is>
          <t>Endulini (Pty) Ltd</t>
        </is>
      </c>
      <c r="B13554" s="4" t="n">
        <v>45016</v>
      </c>
      <c r="C13554" s="3" t="inlineStr">
        <is>
          <t>Assets</t>
        </is>
      </c>
      <c r="D13554" s="3" t="inlineStr">
        <is>
          <t>7610/620</t>
        </is>
      </c>
      <c r="E13554" s="3" t="inlineStr">
        <is>
          <t>Endulini CIP Traffic Impact</t>
        </is>
      </c>
      <c r="F13554" s="3" t="n">
        <v>0</v>
      </c>
      <c r="G13554" s="3" t="n">
        <v>24915</v>
      </c>
    </row>
    <row r="13555">
      <c r="A13555" s="3" t="inlineStr">
        <is>
          <t>Endulini (Pty) Ltd</t>
        </is>
      </c>
      <c r="B13555" s="4" t="n">
        <v>45016</v>
      </c>
      <c r="C13555" s="3" t="inlineStr">
        <is>
          <t>Assets</t>
        </is>
      </c>
      <c r="D13555" s="3" t="inlineStr">
        <is>
          <t>7610/630</t>
        </is>
      </c>
      <c r="E13555" s="3" t="inlineStr">
        <is>
          <t>Endulini CIP CoCT Development Contributi</t>
        </is>
      </c>
      <c r="F13555" s="3" t="n">
        <v>0</v>
      </c>
      <c r="G13555" s="3" t="n">
        <v>661860.3100000001</v>
      </c>
    </row>
    <row r="13556">
      <c r="A13556" s="3" t="inlineStr">
        <is>
          <t>Endulini (Pty) Ltd</t>
        </is>
      </c>
      <c r="B13556" s="4" t="n">
        <v>45016</v>
      </c>
      <c r="C13556" s="3" t="inlineStr">
        <is>
          <t>Assets</t>
        </is>
      </c>
      <c r="D13556" s="3" t="inlineStr">
        <is>
          <t>7610/640</t>
        </is>
      </c>
      <c r="E13556" s="3" t="inlineStr">
        <is>
          <t>Endulini CIP CoCT Building plan application</t>
        </is>
      </c>
      <c r="F13556" s="3" t="n">
        <v>0</v>
      </c>
      <c r="G13556" s="3" t="n">
        <v>111203.22</v>
      </c>
    </row>
    <row r="13557">
      <c r="A13557" s="3" t="inlineStr">
        <is>
          <t>Endulini (Pty) Ltd</t>
        </is>
      </c>
      <c r="B13557" s="4" t="n">
        <v>45016</v>
      </c>
      <c r="C13557" s="3" t="inlineStr">
        <is>
          <t>Assets</t>
        </is>
      </c>
      <c r="D13557" s="3" t="inlineStr">
        <is>
          <t>7610/900</t>
        </is>
      </c>
      <c r="E13557" s="3" t="inlineStr">
        <is>
          <t>Endulini CIP Cost of Sales</t>
        </is>
      </c>
      <c r="F13557" s="3" t="n">
        <v>0</v>
      </c>
      <c r="G13557" s="3" t="n">
        <v>-28210981.9</v>
      </c>
    </row>
    <row r="13558">
      <c r="A13558" s="3" t="inlineStr">
        <is>
          <t>Quinate Consulting (Pty) Ltd</t>
        </is>
      </c>
      <c r="B13558" s="4" t="n">
        <v>45016</v>
      </c>
      <c r="C13558" s="3" t="inlineStr">
        <is>
          <t>Assets</t>
        </is>
      </c>
      <c r="D13558" s="3" t="inlineStr">
        <is>
          <t>7800/104</t>
        </is>
      </c>
      <c r="E13558" s="3" t="inlineStr">
        <is>
          <t>Stock - Closing Stock SW - 28 Feb 21</t>
        </is>
      </c>
      <c r="F13558" s="3" t="n">
        <v>0</v>
      </c>
      <c r="G13558" s="3" t="n">
        <v>2874478.88</v>
      </c>
    </row>
    <row r="13559">
      <c r="A13559" s="3" t="inlineStr">
        <is>
          <t>Quinate Consulting (Pty) Ltd</t>
        </is>
      </c>
      <c r="B13559" s="4" t="n">
        <v>45016</v>
      </c>
      <c r="C13559" s="3" t="inlineStr">
        <is>
          <t>Assets</t>
        </is>
      </c>
      <c r="D13559" s="3" t="inlineStr">
        <is>
          <t>7800/105</t>
        </is>
      </c>
      <c r="E13559" s="3" t="inlineStr">
        <is>
          <t>Stock - Closing Stock SH - 28 Feb 21</t>
        </is>
      </c>
      <c r="F13559" s="3" t="n">
        <v>0</v>
      </c>
      <c r="G13559" s="3" t="n">
        <v>2843477.6</v>
      </c>
    </row>
    <row r="13560">
      <c r="A13560" s="3" t="inlineStr">
        <is>
          <t>Endulini (Pty) Ltd</t>
        </is>
      </c>
      <c r="B13560" s="4" t="n">
        <v>45016</v>
      </c>
      <c r="C13560" s="3" t="inlineStr">
        <is>
          <t>Assets</t>
        </is>
      </c>
      <c r="D13560" s="3" t="inlineStr">
        <is>
          <t>8000/000</t>
        </is>
      </c>
      <c r="E13560" s="3" t="inlineStr">
        <is>
          <t>Customer Control Account</t>
        </is>
      </c>
      <c r="F13560" s="3" t="n">
        <v>0</v>
      </c>
      <c r="G13560" s="3" t="n">
        <v>170572.96</v>
      </c>
    </row>
    <row r="13561">
      <c r="A13561" s="3" t="inlineStr">
        <is>
          <t>Noble Shield (Pty) Ltd ta Go Letting</t>
        </is>
      </c>
      <c r="B13561" s="4" t="n">
        <v>45016</v>
      </c>
      <c r="C13561" s="3" t="inlineStr">
        <is>
          <t>Assets</t>
        </is>
      </c>
      <c r="D13561" s="3" t="inlineStr">
        <is>
          <t>8000/000</t>
        </is>
      </c>
      <c r="E13561" s="3" t="inlineStr">
        <is>
          <t>Customer Control Account</t>
        </is>
      </c>
      <c r="F13561" s="3" t="n">
        <v>0</v>
      </c>
      <c r="G13561" s="3" t="n">
        <v>60289.32</v>
      </c>
    </row>
    <row r="13562">
      <c r="A13562" s="3" t="inlineStr">
        <is>
          <t>Opportunity Global Investment (PTY) LTD</t>
        </is>
      </c>
      <c r="B13562" s="4" t="n">
        <v>45016</v>
      </c>
      <c r="C13562" s="3" t="inlineStr">
        <is>
          <t>Assets</t>
        </is>
      </c>
      <c r="D13562" s="3" t="inlineStr">
        <is>
          <t>8000/000</t>
        </is>
      </c>
      <c r="E13562" s="3" t="inlineStr">
        <is>
          <t>Customer Control Account</t>
        </is>
      </c>
      <c r="F13562" s="3" t="n">
        <v>-198326.4</v>
      </c>
      <c r="G13562" s="3" t="n">
        <v>1673.6</v>
      </c>
    </row>
    <row r="13563">
      <c r="A13563" s="3" t="inlineStr">
        <is>
          <t>Opportunity Global Sales (PTY) LTD</t>
        </is>
      </c>
      <c r="B13563" s="4" t="n">
        <v>45016</v>
      </c>
      <c r="C13563" s="3" t="inlineStr">
        <is>
          <t>Assets</t>
        </is>
      </c>
      <c r="D13563" s="3" t="inlineStr">
        <is>
          <t>8000/000</t>
        </is>
      </c>
      <c r="E13563" s="3" t="inlineStr">
        <is>
          <t>Customer Control Account</t>
        </is>
      </c>
      <c r="F13563" s="3" t="n">
        <v>497825.44</v>
      </c>
      <c r="G13563" s="3" t="n">
        <v>983673.5600000001</v>
      </c>
    </row>
    <row r="13564">
      <c r="A13564" s="3" t="inlineStr">
        <is>
          <t>Opportunity Management Holdings (PTY) LTD</t>
        </is>
      </c>
      <c r="B13564" s="4" t="n">
        <v>45016</v>
      </c>
      <c r="C13564" s="3" t="inlineStr">
        <is>
          <t>Assets</t>
        </is>
      </c>
      <c r="D13564" s="3" t="inlineStr">
        <is>
          <t>8000/000</t>
        </is>
      </c>
      <c r="E13564" s="3" t="inlineStr">
        <is>
          <t>Customer Control Account</t>
        </is>
      </c>
      <c r="F13564" s="3" t="n">
        <v>-4347</v>
      </c>
      <c r="G13564" s="3" t="n">
        <v>11500</v>
      </c>
    </row>
    <row r="13565">
      <c r="A13565" s="3" t="inlineStr">
        <is>
          <t>Quinate Consulting (Pty) Ltd</t>
        </is>
      </c>
      <c r="B13565" s="4" t="n">
        <v>45016</v>
      </c>
      <c r="C13565" s="3" t="inlineStr">
        <is>
          <t>Assets</t>
        </is>
      </c>
      <c r="D13565" s="3" t="inlineStr">
        <is>
          <t>8000/000</t>
        </is>
      </c>
      <c r="E13565" s="3" t="inlineStr">
        <is>
          <t>Customer Control Account</t>
        </is>
      </c>
      <c r="F13565" s="3" t="n">
        <v>13248.63</v>
      </c>
      <c r="G13565" s="3" t="n">
        <v>-2169.66</v>
      </c>
    </row>
    <row r="13566">
      <c r="A13566" s="3" t="inlineStr">
        <is>
          <t>Quinate Consulting (Pty) Ltd</t>
        </is>
      </c>
      <c r="B13566" s="4" t="n">
        <v>45016</v>
      </c>
      <c r="C13566" s="3" t="inlineStr">
        <is>
          <t>Assets</t>
        </is>
      </c>
      <c r="D13566" s="3" t="inlineStr">
        <is>
          <t>8001</t>
        </is>
      </c>
      <c r="E13566" s="3" t="inlineStr">
        <is>
          <t>Customer Control</t>
        </is>
      </c>
      <c r="F13566" s="3" t="n">
        <v>0</v>
      </c>
      <c r="G13566" s="3" t="n">
        <v>29487.49</v>
      </c>
    </row>
    <row r="13567">
      <c r="A13567" s="3" t="inlineStr">
        <is>
          <t>Quinate Consulting (Pty) Ltd</t>
        </is>
      </c>
      <c r="B13567" s="4" t="n">
        <v>45016</v>
      </c>
      <c r="C13567" s="3" t="inlineStr">
        <is>
          <t>Assets</t>
        </is>
      </c>
      <c r="D13567" s="3" t="inlineStr">
        <is>
          <t>8200/010</t>
        </is>
      </c>
      <c r="E13567" s="3" t="inlineStr">
        <is>
          <t>Prepayments / Prepaid Expenses</t>
        </is>
      </c>
      <c r="F13567" s="3" t="n">
        <v>0</v>
      </c>
      <c r="G13567" s="3" t="n">
        <v>109675</v>
      </c>
    </row>
    <row r="13568">
      <c r="A13568" s="3" t="inlineStr">
        <is>
          <t>Opportunity Global Investment (PTY) LTD</t>
        </is>
      </c>
      <c r="B13568" s="4" t="n">
        <v>45016</v>
      </c>
      <c r="C13568" s="3" t="inlineStr">
        <is>
          <t>Assets</t>
        </is>
      </c>
      <c r="D13568" s="3" t="inlineStr">
        <is>
          <t>8400/000</t>
        </is>
      </c>
      <c r="E13568" s="3" t="inlineStr">
        <is>
          <t>FNB 62093491696</t>
        </is>
      </c>
      <c r="F13568" s="3" t="n">
        <v>2033923.76</v>
      </c>
      <c r="G13568" s="3" t="n">
        <v>2081393.62</v>
      </c>
    </row>
    <row r="13569">
      <c r="A13569" s="3" t="inlineStr">
        <is>
          <t>Opportunity Global Sales (PTY) LTD</t>
        </is>
      </c>
      <c r="B13569" s="4" t="n">
        <v>45016</v>
      </c>
      <c r="C13569" s="3" t="inlineStr">
        <is>
          <t>Assets</t>
        </is>
      </c>
      <c r="D13569" s="3" t="inlineStr">
        <is>
          <t>8400/000</t>
        </is>
      </c>
      <c r="E13569" s="3" t="inlineStr">
        <is>
          <t>FNB 62835620875</t>
        </is>
      </c>
      <c r="F13569" s="3" t="n">
        <v>-33794.81</v>
      </c>
      <c r="G13569" s="3" t="n">
        <v>57719.84</v>
      </c>
    </row>
    <row r="13570">
      <c r="A13570" s="3" t="inlineStr">
        <is>
          <t>Quinate Consulting (Pty) Ltd</t>
        </is>
      </c>
      <c r="B13570" s="4" t="n">
        <v>45016</v>
      </c>
      <c r="C13570" s="3" t="inlineStr">
        <is>
          <t>Assets</t>
        </is>
      </c>
      <c r="D13570" s="3" t="inlineStr">
        <is>
          <t>8400/000</t>
        </is>
      </c>
      <c r="E13570" s="3" t="inlineStr">
        <is>
          <t>RMB - 62736659189 - Call Acc</t>
        </is>
      </c>
      <c r="F13570" s="3" t="n">
        <v>-270.78</v>
      </c>
      <c r="G13570" s="3" t="n">
        <v>155603.08</v>
      </c>
    </row>
    <row r="13571">
      <c r="A13571" s="3" t="inlineStr">
        <is>
          <t>Trademark Holdings (Pty) Ltd</t>
        </is>
      </c>
      <c r="B13571" s="4" t="n">
        <v>45016</v>
      </c>
      <c r="C13571" s="3" t="inlineStr">
        <is>
          <t>Assets</t>
        </is>
      </c>
      <c r="D13571" s="3" t="inlineStr">
        <is>
          <t>8400/000</t>
        </is>
      </c>
      <c r="E13571" s="3" t="inlineStr">
        <is>
          <t>RMB 623 693 03640</t>
        </is>
      </c>
      <c r="F13571" s="3" t="n">
        <v>26829.31</v>
      </c>
      <c r="G13571" s="3" t="n">
        <v>54278.38</v>
      </c>
    </row>
    <row r="13572">
      <c r="A13572" s="3" t="inlineStr">
        <is>
          <t>Noble Shield (Pty) Ltd ta Go Letting</t>
        </is>
      </c>
      <c r="B13572" s="4" t="n">
        <v>45016</v>
      </c>
      <c r="C13572" s="3" t="inlineStr">
        <is>
          <t>Assets</t>
        </is>
      </c>
      <c r="D13572" s="3" t="inlineStr">
        <is>
          <t>8400/000</t>
        </is>
      </c>
      <c r="E13572" s="3" t="inlineStr">
        <is>
          <t>RMB 6250 573 3833</t>
        </is>
      </c>
      <c r="F13572" s="3" t="n">
        <v>6161.47</v>
      </c>
      <c r="G13572" s="3" t="n">
        <v>45810.19</v>
      </c>
    </row>
    <row r="13573">
      <c r="A13573" s="3" t="inlineStr">
        <is>
          <t>Endulini (Pty) Ltd</t>
        </is>
      </c>
      <c r="B13573" s="4" t="n">
        <v>45016</v>
      </c>
      <c r="C13573" s="3" t="inlineStr">
        <is>
          <t>Assets</t>
        </is>
      </c>
      <c r="D13573" s="3" t="inlineStr">
        <is>
          <t>8400/000</t>
        </is>
      </c>
      <c r="E13573" s="3" t="inlineStr">
        <is>
          <t>RMB 62906944576</t>
        </is>
      </c>
      <c r="F13573" s="3" t="n">
        <v>-14410.27</v>
      </c>
      <c r="G13573" s="3" t="n">
        <v>15178.44</v>
      </c>
    </row>
    <row r="13574">
      <c r="A13574" s="3" t="inlineStr">
        <is>
          <t>Opportunity Management Holdings (PTY) LTD</t>
        </is>
      </c>
      <c r="B13574" s="4" t="n">
        <v>45016</v>
      </c>
      <c r="C13574" s="3" t="inlineStr">
        <is>
          <t>Assets</t>
        </is>
      </c>
      <c r="D13574" s="3" t="inlineStr">
        <is>
          <t>8400/000</t>
        </is>
      </c>
      <c r="E13574" s="3" t="inlineStr">
        <is>
          <t>RMB Cheq - 62312246920</t>
        </is>
      </c>
      <c r="F13574" s="3" t="n">
        <v>110997.11</v>
      </c>
      <c r="G13574" s="3" t="n">
        <v>120312.54</v>
      </c>
    </row>
    <row r="13575">
      <c r="A13575" s="3" t="inlineStr">
        <is>
          <t>Opportunity Global Investment (PTY) LTD</t>
        </is>
      </c>
      <c r="B13575" s="4" t="n">
        <v>45016</v>
      </c>
      <c r="C13575" s="3" t="inlineStr">
        <is>
          <t>Assets</t>
        </is>
      </c>
      <c r="D13575" s="3" t="inlineStr">
        <is>
          <t>8405/000</t>
        </is>
      </c>
      <c r="E13575" s="3" t="inlineStr">
        <is>
          <t>FNB Trust 62762449265</t>
        </is>
      </c>
      <c r="F13575" s="3" t="n">
        <v>0</v>
      </c>
      <c r="G13575" s="3" t="n">
        <v>685.26</v>
      </c>
    </row>
    <row r="13576">
      <c r="A13576" s="3" t="inlineStr">
        <is>
          <t>Endulini (Pty) Ltd</t>
        </is>
      </c>
      <c r="B13576" s="4" t="n">
        <v>45016</v>
      </c>
      <c r="C13576" s="3" t="inlineStr">
        <is>
          <t>Assets</t>
        </is>
      </c>
      <c r="D13576" s="3" t="inlineStr">
        <is>
          <t>8410/000</t>
        </is>
      </c>
      <c r="E13576" s="3" t="inlineStr">
        <is>
          <t>Momentum Investor Account : RU 502229883</t>
        </is>
      </c>
      <c r="F13576" s="3" t="n">
        <v>16.73</v>
      </c>
      <c r="G13576" s="3" t="n">
        <v>2688.46</v>
      </c>
    </row>
    <row r="13577">
      <c r="A13577" s="3" t="inlineStr">
        <is>
          <t>Opportunity Management Holdings (PTY) LTD</t>
        </is>
      </c>
      <c r="B13577" s="4" t="n">
        <v>45016</v>
      </c>
      <c r="C13577" s="3" t="inlineStr">
        <is>
          <t>Assets</t>
        </is>
      </c>
      <c r="D13577" s="3" t="inlineStr">
        <is>
          <t>8410/000</t>
        </is>
      </c>
      <c r="E13577" s="3" t="inlineStr">
        <is>
          <t>RMB Call Acc - 62312248851</t>
        </is>
      </c>
      <c r="F13577" s="3" t="n">
        <v>0</v>
      </c>
      <c r="G13577" s="3" t="n">
        <v>1434.82</v>
      </c>
    </row>
    <row r="13578">
      <c r="A13578" s="3" t="inlineStr">
        <is>
          <t>Noble Shield (Pty) Ltd ta Go Letting</t>
        </is>
      </c>
      <c r="B13578" s="4" t="n">
        <v>45016</v>
      </c>
      <c r="C13578" s="3" t="inlineStr">
        <is>
          <t>Assets</t>
        </is>
      </c>
      <c r="D13578" s="3" t="inlineStr">
        <is>
          <t>8410/000</t>
        </is>
      </c>
      <c r="E13578" s="3" t="inlineStr">
        <is>
          <t>RMB Trust Acc - 6250 615 1365</t>
        </is>
      </c>
      <c r="F13578" s="3" t="n">
        <v>-61.9</v>
      </c>
      <c r="G13578" s="3" t="n">
        <v>511.84</v>
      </c>
    </row>
    <row r="13579">
      <c r="A13579" s="3" t="inlineStr">
        <is>
          <t>Quinate Consulting (Pty) Ltd</t>
        </is>
      </c>
      <c r="B13579" s="4" t="n">
        <v>45016</v>
      </c>
      <c r="C13579" s="3" t="inlineStr">
        <is>
          <t>Assets</t>
        </is>
      </c>
      <c r="D13579" s="3" t="inlineStr">
        <is>
          <t>8415/000</t>
        </is>
      </c>
      <c r="E13579" s="3" t="inlineStr">
        <is>
          <t>STD Acc 071 958 959 - Facility Acc</t>
        </is>
      </c>
      <c r="F13579" s="3" t="n">
        <v>-85</v>
      </c>
      <c r="G13579" s="3" t="n">
        <v>3211.21</v>
      </c>
    </row>
    <row r="13580">
      <c r="A13580" s="3" t="inlineStr">
        <is>
          <t>Trademark Holdings (Pty) Ltd</t>
        </is>
      </c>
      <c r="B13580" s="4" t="n">
        <v>45016</v>
      </c>
      <c r="C13580" s="3" t="inlineStr">
        <is>
          <t>Assets</t>
        </is>
      </c>
      <c r="D13580" s="3" t="inlineStr">
        <is>
          <t>8420/000</t>
        </is>
      </c>
      <c r="E13580" s="3" t="inlineStr">
        <is>
          <t>FNB Credit Card</t>
        </is>
      </c>
      <c r="F13580" s="3" t="n">
        <v>52</v>
      </c>
      <c r="G13580" s="3" t="n">
        <v>104</v>
      </c>
    </row>
    <row r="13581">
      <c r="A13581" s="3" t="inlineStr">
        <is>
          <t>Quinate Consulting (Pty) Ltd</t>
        </is>
      </c>
      <c r="B13581" s="4" t="n">
        <v>45016</v>
      </c>
      <c r="C13581" s="3" t="inlineStr">
        <is>
          <t>Assets</t>
        </is>
      </c>
      <c r="D13581" s="3" t="inlineStr">
        <is>
          <t>8430/000</t>
        </is>
      </c>
      <c r="E13581" s="3" t="inlineStr">
        <is>
          <t>Momentum Investment Acc - RU502230185</t>
        </is>
      </c>
      <c r="F13581" s="3" t="n">
        <v>3.35</v>
      </c>
      <c r="G13581" s="3" t="n">
        <v>538.5</v>
      </c>
    </row>
    <row r="13582">
      <c r="A13582" s="3" t="inlineStr">
        <is>
          <t>Opportunity Global Investment (PTY) LTD</t>
        </is>
      </c>
      <c r="B13582" s="4" t="n">
        <v>45016</v>
      </c>
      <c r="C13582" s="3" t="inlineStr">
        <is>
          <t>Assets</t>
        </is>
      </c>
      <c r="D13582" s="3" t="inlineStr">
        <is>
          <t>8440/000</t>
        </is>
      </c>
      <c r="E13582" s="3" t="inlineStr">
        <is>
          <t>FNB - Call 627602764438</t>
        </is>
      </c>
      <c r="F13582" s="3" t="n">
        <v>0</v>
      </c>
      <c r="G13582" s="3" t="n">
        <v>943.05</v>
      </c>
    </row>
    <row r="13583">
      <c r="A13583" s="3" t="inlineStr">
        <is>
          <t>Opportunity Global Investment (PTY) LTD</t>
        </is>
      </c>
      <c r="B13583" s="4" t="n">
        <v>45016</v>
      </c>
      <c r="C13583" s="3" t="inlineStr">
        <is>
          <t>Assets</t>
        </is>
      </c>
      <c r="D13583" s="3" t="inlineStr">
        <is>
          <t>8445/000</t>
        </is>
      </c>
      <c r="E13583" s="3" t="inlineStr">
        <is>
          <t>Momentum RU502230096</t>
        </is>
      </c>
      <c r="F13583" s="3" t="n">
        <v>59.26</v>
      </c>
      <c r="G13583" s="3" t="n">
        <v>4735.38</v>
      </c>
    </row>
    <row r="13584">
      <c r="A13584" s="3" t="inlineStr">
        <is>
          <t>Quinate Consulting (Pty) Ltd</t>
        </is>
      </c>
      <c r="B13584" s="4" t="n">
        <v>45016</v>
      </c>
      <c r="C13584" s="3" t="inlineStr">
        <is>
          <t>Assets</t>
        </is>
      </c>
      <c r="D13584" s="3" t="inlineStr">
        <is>
          <t>8450/000</t>
        </is>
      </c>
      <c r="E13584" s="3" t="inlineStr">
        <is>
          <t>A RMB 62275810820</t>
        </is>
      </c>
      <c r="F13584" s="3" t="n">
        <v>20122.5</v>
      </c>
      <c r="G13584" s="3" t="n">
        <v>137334.85</v>
      </c>
    </row>
    <row r="13585">
      <c r="A13585" s="3" t="inlineStr">
        <is>
          <t>Opportunity Management Holdings (PTY) LTD</t>
        </is>
      </c>
      <c r="B13585" s="4" t="n">
        <v>45016</v>
      </c>
      <c r="C13585" s="3" t="inlineStr">
        <is>
          <t>Assets</t>
        </is>
      </c>
      <c r="D13585" s="3" t="inlineStr">
        <is>
          <t>8450/000</t>
        </is>
      </c>
      <c r="E13585" s="3" t="inlineStr">
        <is>
          <t>Petty Cash - CT Office</t>
        </is>
      </c>
      <c r="F13585" s="3" t="n">
        <v>-20</v>
      </c>
      <c r="G13585" s="3" t="n">
        <v>317.2</v>
      </c>
    </row>
    <row r="13586">
      <c r="A13586" s="3" t="inlineStr">
        <is>
          <t>Quinate Consulting (Pty) Ltd</t>
        </is>
      </c>
      <c r="B13586" s="4" t="n">
        <v>45016</v>
      </c>
      <c r="C13586" s="3" t="inlineStr">
        <is>
          <t>Liabilities</t>
        </is>
      </c>
      <c r="D13586" s="3" t="inlineStr">
        <is>
          <t>8480/100</t>
        </is>
      </c>
      <c r="E13586" s="3" t="inlineStr">
        <is>
          <t>Bond - SH20 - STD Bank 532010558</t>
        </is>
      </c>
      <c r="F13586" s="3" t="n">
        <v>2724.61</v>
      </c>
      <c r="G13586" s="3" t="n">
        <v>-1351504.52</v>
      </c>
    </row>
    <row r="13587">
      <c r="A13587" s="3" t="inlineStr">
        <is>
          <t>Quinate Consulting (Pty) Ltd</t>
        </is>
      </c>
      <c r="B13587" s="4" t="n">
        <v>45016</v>
      </c>
      <c r="C13587" s="3" t="inlineStr">
        <is>
          <t>Liabilities</t>
        </is>
      </c>
      <c r="D13587" s="3" t="inlineStr">
        <is>
          <t>8480/200</t>
        </is>
      </c>
      <c r="E13587" s="3" t="inlineStr">
        <is>
          <t>Bond - SH23 - STD Bank 532010035</t>
        </is>
      </c>
      <c r="F13587" s="3" t="n">
        <v>2721.28</v>
      </c>
      <c r="G13587" s="3" t="n">
        <v>-1351353.93</v>
      </c>
    </row>
    <row r="13588">
      <c r="A13588" s="3" t="inlineStr">
        <is>
          <t>Quinate Consulting (Pty) Ltd</t>
        </is>
      </c>
      <c r="B13588" s="4" t="n">
        <v>45016</v>
      </c>
      <c r="C13588" s="3" t="inlineStr">
        <is>
          <t>Liabilities</t>
        </is>
      </c>
      <c r="D13588" s="3" t="inlineStr">
        <is>
          <t>8480/300</t>
        </is>
      </c>
      <c r="E13588" s="3" t="inlineStr">
        <is>
          <t>Bond - SH24 - STD Bank 532372662</t>
        </is>
      </c>
      <c r="F13588" s="3" t="n">
        <v>1054.34</v>
      </c>
      <c r="G13588" s="3" t="n">
        <v>-1451473.67</v>
      </c>
    </row>
    <row r="13589">
      <c r="A13589" s="3" t="inlineStr">
        <is>
          <t>Quinate Consulting (Pty) Ltd</t>
        </is>
      </c>
      <c r="B13589" s="4" t="n">
        <v>45016</v>
      </c>
      <c r="C13589" s="3" t="inlineStr">
        <is>
          <t>Liabilities</t>
        </is>
      </c>
      <c r="D13589" s="3" t="inlineStr">
        <is>
          <t>8480/400</t>
        </is>
      </c>
      <c r="E13589" s="3" t="inlineStr">
        <is>
          <t>Bond - SW01 - STD Bank 532920627</t>
        </is>
      </c>
      <c r="F13589" s="3" t="n">
        <v>12229.98</v>
      </c>
      <c r="G13589" s="3" t="n">
        <v>-1280886.02</v>
      </c>
    </row>
    <row r="13590">
      <c r="A13590" s="3" t="inlineStr">
        <is>
          <t>Quinate Consulting (Pty) Ltd</t>
        </is>
      </c>
      <c r="B13590" s="4" t="n">
        <v>45016</v>
      </c>
      <c r="C13590" s="3" t="inlineStr">
        <is>
          <t>Liabilities</t>
        </is>
      </c>
      <c r="D13590" s="3" t="inlineStr">
        <is>
          <t>8480/401</t>
        </is>
      </c>
      <c r="E13590" s="3" t="inlineStr">
        <is>
          <t>Bond - SW21 - STD Bank 532920597</t>
        </is>
      </c>
      <c r="F13590" s="3" t="n">
        <v>12234.83</v>
      </c>
      <c r="G13590" s="3" t="n">
        <v>-1281394.25</v>
      </c>
    </row>
    <row r="13591">
      <c r="A13591" s="3" t="inlineStr">
        <is>
          <t>Opportunity Global Investment (PTY) LTD</t>
        </is>
      </c>
      <c r="B13591" s="4" t="n">
        <v>45016</v>
      </c>
      <c r="C13591" s="3" t="inlineStr">
        <is>
          <t>Liabilities</t>
        </is>
      </c>
      <c r="D13591" s="3" t="inlineStr">
        <is>
          <t>860</t>
        </is>
      </c>
      <c r="E13591" s="3" t="inlineStr">
        <is>
          <t>Rounding</t>
        </is>
      </c>
      <c r="F13591" s="3" t="n">
        <v>0</v>
      </c>
      <c r="G13591" s="3" t="n">
        <v>-0.04</v>
      </c>
    </row>
    <row r="13592">
      <c r="A13592" s="3" t="inlineStr">
        <is>
          <t>Opportunity Global Sales (PTY) LTD</t>
        </is>
      </c>
      <c r="B13592" s="4" t="n">
        <v>45016</v>
      </c>
      <c r="C13592" s="3" t="inlineStr">
        <is>
          <t>Liabilities</t>
        </is>
      </c>
      <c r="D13592" s="3" t="inlineStr">
        <is>
          <t>860</t>
        </is>
      </c>
      <c r="E13592" s="3" t="inlineStr">
        <is>
          <t>Rounding</t>
        </is>
      </c>
      <c r="F13592" s="3" t="n">
        <v>0</v>
      </c>
      <c r="G13592" s="3" t="n">
        <v>-1</v>
      </c>
    </row>
    <row r="13593">
      <c r="A13593" s="3" t="inlineStr">
        <is>
          <t>Quinate Consulting (Pty) Ltd</t>
        </is>
      </c>
      <c r="B13593" s="4" t="n">
        <v>45016</v>
      </c>
      <c r="C13593" s="3" t="inlineStr">
        <is>
          <t>Liabilities</t>
        </is>
      </c>
      <c r="D13593" s="3" t="inlineStr">
        <is>
          <t>860</t>
        </is>
      </c>
      <c r="E13593" s="3" t="inlineStr">
        <is>
          <t>Rounding</t>
        </is>
      </c>
      <c r="F13593" s="3" t="n">
        <v>0.04</v>
      </c>
      <c r="G13593" s="3" t="n">
        <v>-2.49</v>
      </c>
    </row>
    <row r="13594">
      <c r="A13594" s="3" t="inlineStr">
        <is>
          <t>Trademark Holdings (Pty) Ltd</t>
        </is>
      </c>
      <c r="B13594" s="4" t="n">
        <v>45016</v>
      </c>
      <c r="C13594" s="3" t="inlineStr">
        <is>
          <t>Liabilities</t>
        </is>
      </c>
      <c r="D13594" s="3" t="inlineStr">
        <is>
          <t>860</t>
        </is>
      </c>
      <c r="E13594" s="3" t="inlineStr">
        <is>
          <t>Rounding</t>
        </is>
      </c>
      <c r="F13594" s="3" t="n">
        <v>0</v>
      </c>
      <c r="G13594" s="3" t="n">
        <v>0.2</v>
      </c>
    </row>
    <row r="13595">
      <c r="A13595" s="3" t="inlineStr">
        <is>
          <t>Endulini (Pty) Ltd</t>
        </is>
      </c>
      <c r="B13595" s="4" t="n">
        <v>45016</v>
      </c>
      <c r="C13595" s="3" t="inlineStr">
        <is>
          <t>Liabilities</t>
        </is>
      </c>
      <c r="D13595" s="3" t="inlineStr">
        <is>
          <t>9000/000</t>
        </is>
      </c>
      <c r="E13595" s="3" t="inlineStr">
        <is>
          <t>Supplier Control Account</t>
        </is>
      </c>
      <c r="F13595" s="3" t="n">
        <v>1420408.62</v>
      </c>
      <c r="G13595" s="3" t="n">
        <v>-17094493.24</v>
      </c>
    </row>
    <row r="13596">
      <c r="A13596" s="3" t="inlineStr">
        <is>
          <t>Noble Shield (Pty) Ltd ta Go Letting</t>
        </is>
      </c>
      <c r="B13596" s="4" t="n">
        <v>45016</v>
      </c>
      <c r="C13596" s="3" t="inlineStr">
        <is>
          <t>Liabilities</t>
        </is>
      </c>
      <c r="D13596" s="3" t="inlineStr">
        <is>
          <t>9000/000</t>
        </is>
      </c>
      <c r="E13596" s="3" t="inlineStr">
        <is>
          <t>Supplier Control Account</t>
        </is>
      </c>
      <c r="F13596" s="3" t="n">
        <v>4511.82</v>
      </c>
      <c r="G13596" s="3" t="n">
        <v>-20000.05</v>
      </c>
    </row>
    <row r="13597">
      <c r="A13597" s="3" t="inlineStr">
        <is>
          <t>Opportunity Global Investment (PTY) LTD</t>
        </is>
      </c>
      <c r="B13597" s="4" t="n">
        <v>45016</v>
      </c>
      <c r="C13597" s="3" t="inlineStr">
        <is>
          <t>Liabilities</t>
        </is>
      </c>
      <c r="D13597" s="3" t="inlineStr">
        <is>
          <t>9000/000</t>
        </is>
      </c>
      <c r="E13597" s="3" t="inlineStr">
        <is>
          <t>Supplier Control Account</t>
        </is>
      </c>
      <c r="F13597" s="3" t="n">
        <v>-45140.95</v>
      </c>
      <c r="G13597" s="3" t="n">
        <v>-107326.66</v>
      </c>
    </row>
    <row r="13598">
      <c r="A13598" s="3" t="inlineStr">
        <is>
          <t>Opportunity Global Sales (PTY) LTD</t>
        </is>
      </c>
      <c r="B13598" s="4" t="n">
        <v>45016</v>
      </c>
      <c r="C13598" s="3" t="inlineStr">
        <is>
          <t>Liabilities</t>
        </is>
      </c>
      <c r="D13598" s="3" t="inlineStr">
        <is>
          <t>9000/000</t>
        </is>
      </c>
      <c r="E13598" s="3" t="inlineStr">
        <is>
          <t>Supplier Control Account</t>
        </is>
      </c>
      <c r="F13598" s="3" t="n">
        <v>721</v>
      </c>
      <c r="G13598" s="3" t="n">
        <v>-4036.91</v>
      </c>
    </row>
    <row r="13599">
      <c r="A13599" s="3" t="inlineStr">
        <is>
          <t>Opportunity Management Holdings (PTY) LTD</t>
        </is>
      </c>
      <c r="B13599" s="4" t="n">
        <v>45016</v>
      </c>
      <c r="C13599" s="3" t="inlineStr">
        <is>
          <t>Liabilities</t>
        </is>
      </c>
      <c r="D13599" s="3" t="inlineStr">
        <is>
          <t>9000/000</t>
        </is>
      </c>
      <c r="E13599" s="3" t="inlineStr">
        <is>
          <t>Supplier Control Account</t>
        </is>
      </c>
      <c r="F13599" s="3" t="n">
        <v>-2449.95</v>
      </c>
      <c r="G13599" s="3" t="n">
        <v>-286632.67</v>
      </c>
    </row>
    <row r="13600">
      <c r="A13600" s="3" t="inlineStr">
        <is>
          <t>Quinate Consulting (Pty) Ltd</t>
        </is>
      </c>
      <c r="B13600" s="4" t="n">
        <v>45016</v>
      </c>
      <c r="C13600" s="3" t="inlineStr">
        <is>
          <t>Liabilities</t>
        </is>
      </c>
      <c r="D13600" s="3" t="inlineStr">
        <is>
          <t>9000/000</t>
        </is>
      </c>
      <c r="E13600" s="3" t="inlineStr">
        <is>
          <t>Supplier Control Account</t>
        </is>
      </c>
      <c r="F13600" s="3" t="n">
        <v>138144.73</v>
      </c>
      <c r="G13600" s="3" t="n">
        <v>595662.0600000001</v>
      </c>
    </row>
    <row r="13601">
      <c r="A13601" s="3" t="inlineStr">
        <is>
          <t>Trademark Holdings (Pty) Ltd</t>
        </is>
      </c>
      <c r="B13601" s="4" t="n">
        <v>45016</v>
      </c>
      <c r="C13601" s="3" t="inlineStr">
        <is>
          <t>Liabilities</t>
        </is>
      </c>
      <c r="D13601" s="3" t="inlineStr">
        <is>
          <t>9000/000</t>
        </is>
      </c>
      <c r="E13601" s="3" t="inlineStr">
        <is>
          <t>Supplier Control Account</t>
        </is>
      </c>
      <c r="F13601" s="3" t="n">
        <v>0</v>
      </c>
      <c r="G13601" s="3" t="n">
        <v>-8407.75</v>
      </c>
    </row>
    <row r="13602">
      <c r="A13602" s="3" t="inlineStr">
        <is>
          <t>Quinate Consulting (Pty) Ltd</t>
        </is>
      </c>
      <c r="B13602" s="4" t="n">
        <v>45016</v>
      </c>
      <c r="C13602" s="3" t="inlineStr">
        <is>
          <t>Liabilities</t>
        </is>
      </c>
      <c r="D13602" s="3" t="inlineStr">
        <is>
          <t>9001</t>
        </is>
      </c>
      <c r="E13602" s="3" t="inlineStr">
        <is>
          <t>Supplier Control</t>
        </is>
      </c>
      <c r="F13602" s="3" t="n">
        <v>0</v>
      </c>
      <c r="G13602" s="3" t="n">
        <v>-347315.41</v>
      </c>
    </row>
    <row r="13603">
      <c r="A13603" s="3" t="inlineStr">
        <is>
          <t>Opportunity Management Holdings (PTY) LTD</t>
        </is>
      </c>
      <c r="B13603" s="4" t="n">
        <v>45016</v>
      </c>
      <c r="C13603" s="3" t="inlineStr">
        <is>
          <t>Liabilities</t>
        </is>
      </c>
      <c r="D13603" s="3" t="inlineStr">
        <is>
          <t>9100/000</t>
        </is>
      </c>
      <c r="E13603" s="3" t="inlineStr">
        <is>
          <t>PAYE/UIF/SDL Accrual - Prior Years ADJ</t>
        </is>
      </c>
      <c r="F13603" s="3" t="n">
        <v>0</v>
      </c>
      <c r="G13603" s="3" t="n">
        <v>-33739.36</v>
      </c>
    </row>
    <row r="13604">
      <c r="A13604" s="3" t="inlineStr">
        <is>
          <t>Opportunity Management Holdings (PTY) LTD</t>
        </is>
      </c>
      <c r="B13604" s="4" t="n">
        <v>45016</v>
      </c>
      <c r="C13604" s="3" t="inlineStr">
        <is>
          <t>Assets</t>
        </is>
      </c>
      <c r="D13604" s="3" t="inlineStr">
        <is>
          <t>9110/000</t>
        </is>
      </c>
      <c r="E13604" s="3" t="inlineStr">
        <is>
          <t>Deposit Received</t>
        </is>
      </c>
      <c r="F13604" s="3" t="n">
        <v>0</v>
      </c>
      <c r="G13604" s="3" t="n">
        <v>-3852.5</v>
      </c>
    </row>
    <row r="13605">
      <c r="A13605" s="3" t="inlineStr">
        <is>
          <t>Opportunity Global Investment (PTY) LTD</t>
        </is>
      </c>
      <c r="B13605" s="4" t="n">
        <v>45016</v>
      </c>
      <c r="C13605" s="3" t="inlineStr">
        <is>
          <t>Liabilities</t>
        </is>
      </c>
      <c r="D13605" s="3" t="inlineStr">
        <is>
          <t>9110/000</t>
        </is>
      </c>
      <c r="E13605" s="3" t="inlineStr">
        <is>
          <t>Taxation B/S</t>
        </is>
      </c>
      <c r="F13605" s="3" t="n">
        <v>0</v>
      </c>
      <c r="G13605" s="3" t="n">
        <v>57442.84</v>
      </c>
    </row>
    <row r="13606">
      <c r="A13606" s="3" t="inlineStr">
        <is>
          <t>Noble Shield (Pty) Ltd ta Go Letting</t>
        </is>
      </c>
      <c r="B13606" s="4" t="n">
        <v>45016</v>
      </c>
      <c r="C13606" s="3" t="inlineStr">
        <is>
          <t>Liabilities</t>
        </is>
      </c>
      <c r="D13606" s="3" t="inlineStr">
        <is>
          <t>9250/010</t>
        </is>
      </c>
      <c r="E13606" s="3" t="inlineStr">
        <is>
          <t>SALARY CONTROL</t>
        </is>
      </c>
      <c r="F13606" s="3" t="n">
        <v>-749.1799999999999</v>
      </c>
      <c r="G13606" s="3" t="n">
        <v>-18318.59</v>
      </c>
    </row>
    <row r="13607">
      <c r="A13607" s="3" t="inlineStr">
        <is>
          <t>Opportunity Global Investment (PTY) LTD</t>
        </is>
      </c>
      <c r="B13607" s="4" t="n">
        <v>45016</v>
      </c>
      <c r="C13607" s="3" t="inlineStr">
        <is>
          <t>Liabilities</t>
        </is>
      </c>
      <c r="D13607" s="3" t="inlineStr">
        <is>
          <t>9250/010</t>
        </is>
      </c>
      <c r="E13607" s="3" t="inlineStr">
        <is>
          <t>SALARY CONTROL</t>
        </is>
      </c>
      <c r="F13607" s="3" t="n">
        <v>5000</v>
      </c>
      <c r="G13607" s="3" t="n">
        <v>5000</v>
      </c>
    </row>
    <row r="13608">
      <c r="A13608" s="3" t="inlineStr">
        <is>
          <t>Opportunity Global Sales (PTY) LTD</t>
        </is>
      </c>
      <c r="B13608" s="4" t="n">
        <v>45016</v>
      </c>
      <c r="C13608" s="3" t="inlineStr">
        <is>
          <t>Liabilities</t>
        </is>
      </c>
      <c r="D13608" s="3" t="inlineStr">
        <is>
          <t>9250/010</t>
        </is>
      </c>
      <c r="E13608" s="3" t="inlineStr">
        <is>
          <t>SALARY CONTROL</t>
        </is>
      </c>
      <c r="F13608" s="3" t="n">
        <v>-0.01</v>
      </c>
      <c r="G13608" s="3" t="n">
        <v>-0.01</v>
      </c>
    </row>
    <row r="13609">
      <c r="A13609" s="3" t="inlineStr">
        <is>
          <t>Trademark Holdings (Pty) Ltd</t>
        </is>
      </c>
      <c r="B13609" s="4" t="n">
        <v>45016</v>
      </c>
      <c r="C13609" s="3" t="inlineStr">
        <is>
          <t>Liabilities</t>
        </is>
      </c>
      <c r="D13609" s="3" t="inlineStr">
        <is>
          <t>9250/010</t>
        </is>
      </c>
      <c r="E13609" s="3" t="inlineStr">
        <is>
          <t>SALARY CONTROL</t>
        </is>
      </c>
      <c r="F13609" s="3" t="n">
        <v>-1976.31</v>
      </c>
      <c r="G13609" s="3" t="n">
        <v>-19424.93</v>
      </c>
    </row>
    <row r="13610">
      <c r="A13610" s="3" t="inlineStr">
        <is>
          <t>Noble Shield (Pty) Ltd ta Go Letting</t>
        </is>
      </c>
      <c r="B13610" s="4" t="n">
        <v>45016</v>
      </c>
      <c r="C13610" s="3" t="inlineStr">
        <is>
          <t>Liabilities</t>
        </is>
      </c>
      <c r="D13610" s="3" t="inlineStr">
        <is>
          <t>9250/020</t>
        </is>
      </c>
      <c r="E13610" s="3" t="inlineStr">
        <is>
          <t>PAYE, UIF AND SDL CONTROL</t>
        </is>
      </c>
      <c r="F13610" s="3" t="n">
        <v>-12.85</v>
      </c>
      <c r="G13610" s="3" t="n">
        <v>-5985.77</v>
      </c>
    </row>
    <row r="13611">
      <c r="A13611" s="3" t="inlineStr">
        <is>
          <t>Opportunity Global Investment (PTY) LTD</t>
        </is>
      </c>
      <c r="B13611" s="4" t="n">
        <v>45016</v>
      </c>
      <c r="C13611" s="3" t="inlineStr">
        <is>
          <t>Liabilities</t>
        </is>
      </c>
      <c r="D13611" s="3" t="inlineStr">
        <is>
          <t>9250/020</t>
        </is>
      </c>
      <c r="E13611" s="3" t="inlineStr">
        <is>
          <t>PAYE, UIF AND SDL CONTROL</t>
        </is>
      </c>
      <c r="F13611" s="3" t="n">
        <v>-3185.98</v>
      </c>
      <c r="G13611" s="3" t="n">
        <v>-49843.53</v>
      </c>
    </row>
    <row r="13612">
      <c r="A13612" s="3" t="inlineStr">
        <is>
          <t>Opportunity Management Holdings (PTY) LTD</t>
        </is>
      </c>
      <c r="B13612" s="4" t="n">
        <v>45016</v>
      </c>
      <c r="C13612" s="3" t="inlineStr">
        <is>
          <t>Liabilities</t>
        </is>
      </c>
      <c r="D13612" s="3" t="inlineStr">
        <is>
          <t>9250/020</t>
        </is>
      </c>
      <c r="E13612" s="3" t="inlineStr">
        <is>
          <t>PAYE, UIF AND SDL CONTROL</t>
        </is>
      </c>
      <c r="F13612" s="3" t="n">
        <v>-1344</v>
      </c>
      <c r="G13612" s="3" t="n">
        <v>-62030.88</v>
      </c>
    </row>
    <row r="13613">
      <c r="A13613" s="3" t="inlineStr">
        <is>
          <t>Trademark Holdings (Pty) Ltd</t>
        </is>
      </c>
      <c r="B13613" s="4" t="n">
        <v>45016</v>
      </c>
      <c r="C13613" s="3" t="inlineStr">
        <is>
          <t>Liabilities</t>
        </is>
      </c>
      <c r="D13613" s="3" t="inlineStr">
        <is>
          <t>9250/020</t>
        </is>
      </c>
      <c r="E13613" s="3" t="inlineStr">
        <is>
          <t>PAYE, UIF AND SDL CONTROL</t>
        </is>
      </c>
      <c r="F13613" s="3" t="n">
        <v>-603.47</v>
      </c>
      <c r="G13613" s="3" t="n">
        <v>-5593.53</v>
      </c>
    </row>
    <row r="13614">
      <c r="A13614" s="3" t="inlineStr">
        <is>
          <t>Opportunity Global Investment (PTY) LTD</t>
        </is>
      </c>
      <c r="B13614" s="4" t="n">
        <v>45016</v>
      </c>
      <c r="C13614" s="3" t="inlineStr">
        <is>
          <t>Liabilities</t>
        </is>
      </c>
      <c r="D13614" s="3" t="inlineStr">
        <is>
          <t>9400/030</t>
        </is>
      </c>
      <c r="E13614" s="3" t="inlineStr">
        <is>
          <t>Accrued Expenses - PAYE_AND_UIF</t>
        </is>
      </c>
      <c r="F13614" s="3" t="n">
        <v>0</v>
      </c>
      <c r="G13614" s="3" t="n">
        <v>-2</v>
      </c>
    </row>
    <row r="13615">
      <c r="A13615" s="3" t="inlineStr">
        <is>
          <t>Trademark Holdings (Pty) Ltd</t>
        </is>
      </c>
      <c r="B13615" s="4" t="n">
        <v>45016</v>
      </c>
      <c r="C13615" s="3" t="inlineStr">
        <is>
          <t>Liabilities</t>
        </is>
      </c>
      <c r="D13615" s="3" t="inlineStr">
        <is>
          <t>9400/400</t>
        </is>
      </c>
      <c r="E13615" s="3" t="inlineStr">
        <is>
          <t>Deemed Dividend Tax</t>
        </is>
      </c>
      <c r="F13615" s="3" t="n">
        <v>0</v>
      </c>
      <c r="G13615" s="3" t="n">
        <v>-699.13</v>
      </c>
    </row>
    <row r="13616">
      <c r="A13616" s="3" t="inlineStr">
        <is>
          <t>Opportunity Global Investment (PTY) LTD</t>
        </is>
      </c>
      <c r="B13616" s="4" t="n">
        <v>45016</v>
      </c>
      <c r="C13616" s="3" t="inlineStr">
        <is>
          <t>Liabilities</t>
        </is>
      </c>
      <c r="D13616" s="3" t="inlineStr">
        <is>
          <t>9500/000</t>
        </is>
      </c>
      <c r="E13616" s="3" t="inlineStr">
        <is>
          <t>VAT Control Account</t>
        </is>
      </c>
      <c r="F13616" s="3" t="n">
        <v>-109033.86</v>
      </c>
      <c r="G13616" s="3" t="n">
        <v>409952.84</v>
      </c>
    </row>
    <row r="13617">
      <c r="A13617" s="3" t="inlineStr">
        <is>
          <t>Opportunity Global Sales (PTY) LTD</t>
        </is>
      </c>
      <c r="B13617" s="4" t="n">
        <v>45016</v>
      </c>
      <c r="C13617" s="3" t="inlineStr">
        <is>
          <t>Liabilities</t>
        </is>
      </c>
      <c r="D13617" s="3" t="inlineStr">
        <is>
          <t>9500/000</t>
        </is>
      </c>
      <c r="E13617" s="3" t="inlineStr">
        <is>
          <t>VAT Control Account</t>
        </is>
      </c>
      <c r="F13617" s="3" t="n">
        <v>-128699.17</v>
      </c>
      <c r="G13617" s="3" t="n">
        <v>-789001.67</v>
      </c>
    </row>
    <row r="13618">
      <c r="A13618" s="3" t="inlineStr">
        <is>
          <t>Opportunity Management Holdings (PTY) LTD</t>
        </is>
      </c>
      <c r="B13618" s="4" t="n">
        <v>45016</v>
      </c>
      <c r="C13618" s="3" t="inlineStr">
        <is>
          <t>Liabilities</t>
        </is>
      </c>
      <c r="D13618" s="3" t="inlineStr">
        <is>
          <t>9500/000</t>
        </is>
      </c>
      <c r="E13618" s="3" t="inlineStr">
        <is>
          <t>VAT Control Account</t>
        </is>
      </c>
      <c r="F13618" s="3" t="n">
        <v>-49948.73</v>
      </c>
      <c r="G13618" s="3" t="n">
        <v>74140.21000000001</v>
      </c>
    </row>
    <row r="13619">
      <c r="A13619" s="3" t="inlineStr">
        <is>
          <t>Endulini (Pty) Ltd</t>
        </is>
      </c>
      <c r="B13619" s="4" t="n">
        <v>45016</v>
      </c>
      <c r="C13619" s="3" t="inlineStr">
        <is>
          <t>Liabilities</t>
        </is>
      </c>
      <c r="D13619" s="3" t="inlineStr">
        <is>
          <t>9500/000</t>
        </is>
      </c>
      <c r="E13619" s="3" t="inlineStr">
        <is>
          <t>Vat / Tax Control Account</t>
        </is>
      </c>
      <c r="F13619" s="3" t="n">
        <v>9169.870000000001</v>
      </c>
      <c r="G13619" s="3" t="n">
        <v>-2058990.39</v>
      </c>
    </row>
    <row r="13620">
      <c r="A13620" s="3" t="inlineStr">
        <is>
          <t>Quinate Consulting (Pty) Ltd</t>
        </is>
      </c>
      <c r="B13620" s="4" t="n">
        <v>45016</v>
      </c>
      <c r="C13620" s="3" t="inlineStr">
        <is>
          <t>Liabilities</t>
        </is>
      </c>
      <c r="D13620" s="3" t="inlineStr">
        <is>
          <t>9500/000</t>
        </is>
      </c>
      <c r="E13620" s="3" t="inlineStr">
        <is>
          <t>Vat Control Account</t>
        </is>
      </c>
      <c r="F13620" s="3" t="n">
        <v>10066.29</v>
      </c>
      <c r="G13620" s="3" t="n">
        <v>2029755.68</v>
      </c>
    </row>
    <row r="13621">
      <c r="A13621" s="3" t="inlineStr">
        <is>
          <t>Opportunity Management Holdings (PTY) LTD</t>
        </is>
      </c>
      <c r="B13621" s="4" t="n">
        <v>45016</v>
      </c>
      <c r="C13621" s="3" t="inlineStr">
        <is>
          <t>Liabilities</t>
        </is>
      </c>
      <c r="D13621" s="3" t="inlineStr">
        <is>
          <t>9501/000</t>
        </is>
      </c>
      <c r="E13621" s="3" t="inlineStr">
        <is>
          <t>Vat Adjustments - C2M</t>
        </is>
      </c>
      <c r="F13621" s="3" t="n">
        <v>0</v>
      </c>
      <c r="G13621" s="3" t="n">
        <v>47274.04</v>
      </c>
    </row>
    <row r="13622">
      <c r="A13622" s="3" t="inlineStr">
        <is>
          <t>Quinate Consulting (Pty) Ltd</t>
        </is>
      </c>
      <c r="B13622" s="4" t="n">
        <v>45016</v>
      </c>
      <c r="C13622" s="3" t="inlineStr">
        <is>
          <t>Liabilities</t>
        </is>
      </c>
      <c r="D13622" s="3" t="inlineStr">
        <is>
          <t>9960/000</t>
        </is>
      </c>
      <c r="E13622" s="3" t="inlineStr">
        <is>
          <t>Deposits - Southwark Rentals</t>
        </is>
      </c>
      <c r="F13622" s="3" t="n">
        <v>0</v>
      </c>
      <c r="G13622" s="3" t="n">
        <v>-11500</v>
      </c>
    </row>
    <row r="13623">
      <c r="A13623" s="3" t="inlineStr">
        <is>
          <t>Noble Shield (Pty) Ltd ta Go Letting</t>
        </is>
      </c>
      <c r="B13623" s="4" t="n">
        <v>45016</v>
      </c>
      <c r="C13623" s="3" t="inlineStr">
        <is>
          <t>Expenses</t>
        </is>
      </c>
      <c r="D13623" s="3" t="inlineStr">
        <is>
          <t>ACB Link</t>
        </is>
      </c>
      <c r="E13623" s="3" t="inlineStr">
        <is>
          <t>Subscriptions - TPN</t>
        </is>
      </c>
      <c r="F13623" s="3" t="n">
        <v>2052.75</v>
      </c>
      <c r="G13623" s="3" t="n">
        <v>16546.73</v>
      </c>
    </row>
    <row r="13624">
      <c r="A13624" s="3" t="inlineStr">
        <is>
          <t>Noble Shield (Pty) Ltd ta Go Letting</t>
        </is>
      </c>
      <c r="B13624" s="4" t="n">
        <v>45016</v>
      </c>
      <c r="C13624" s="3" t="inlineStr">
        <is>
          <t>Liabilities</t>
        </is>
      </c>
      <c r="D13624" s="3" t="inlineStr">
        <is>
          <t>B/S</t>
        </is>
      </c>
      <c r="E13624" s="3" t="inlineStr">
        <is>
          <t>Tax Payable</t>
        </is>
      </c>
      <c r="F13624" s="3" t="n">
        <v>0</v>
      </c>
      <c r="G13624" s="3" t="n">
        <v>-5166.4</v>
      </c>
    </row>
    <row r="13625">
      <c r="A13625" s="3" t="inlineStr">
        <is>
          <t>Quinate Consulting (Pty) Ltd</t>
        </is>
      </c>
      <c r="B13625" s="4" t="n">
        <v>45016</v>
      </c>
      <c r="C13625" s="3" t="inlineStr">
        <is>
          <t>Liabilities</t>
        </is>
      </c>
      <c r="D13625" s="3" t="inlineStr">
        <is>
          <t xml:space="preserve">B/S </t>
        </is>
      </c>
      <c r="E13625" s="3" t="inlineStr">
        <is>
          <t>Taxation Payable</t>
        </is>
      </c>
      <c r="F13625" s="3" t="n">
        <v>0</v>
      </c>
      <c r="G13625" s="3" t="n">
        <v>-15486</v>
      </c>
    </row>
    <row r="13626">
      <c r="A13626" s="3" t="inlineStr">
        <is>
          <t>Quinate Consulting (Pty) Ltd</t>
        </is>
      </c>
      <c r="B13626" s="4" t="n">
        <v>45016</v>
      </c>
      <c r="C13626" s="3" t="inlineStr">
        <is>
          <t>Liabilities</t>
        </is>
      </c>
      <c r="D13626" s="3" t="inlineStr">
        <is>
          <t>FV</t>
        </is>
      </c>
      <c r="E13626" s="3" t="inlineStr">
        <is>
          <t>Loan - Cape Projects Constuction</t>
        </is>
      </c>
      <c r="F13626" s="3" t="n">
        <v>-185000</v>
      </c>
      <c r="G13626" s="3" t="n">
        <v>-7596187.4</v>
      </c>
    </row>
    <row r="13627">
      <c r="A13627" s="3" t="inlineStr">
        <is>
          <t>Quinate Consulting (Pty) Ltd</t>
        </is>
      </c>
      <c r="B13627" s="4" t="n">
        <v>45016</v>
      </c>
      <c r="C13627" s="3" t="inlineStr">
        <is>
          <t>Liabilities</t>
        </is>
      </c>
      <c r="D13627" s="3" t="inlineStr">
        <is>
          <t>Sharehold OppDev</t>
        </is>
      </c>
      <c r="E13627" s="3" t="inlineStr">
        <is>
          <t>Loan - Justine Morgan</t>
        </is>
      </c>
      <c r="F13627" s="3" t="n">
        <v>0</v>
      </c>
      <c r="G13627" s="3" t="n">
        <v>-563766.76</v>
      </c>
    </row>
    <row r="13628">
      <c r="A13628" s="3" t="inlineStr">
        <is>
          <t>Opportunity Global Sales (PTY) LTD</t>
        </is>
      </c>
      <c r="B13628" s="4" t="n">
        <v>45046</v>
      </c>
      <c r="C13628" s="3" t="inlineStr">
        <is>
          <t>Revenue</t>
        </is>
      </c>
      <c r="D13628" s="3" t="inlineStr">
        <is>
          <t>1000/009</t>
        </is>
      </c>
      <c r="E13628" s="3" t="inlineStr">
        <is>
          <t>Sales - Comm on Payprop</t>
        </is>
      </c>
      <c r="F13628" s="3" t="n">
        <v>-13472.44</v>
      </c>
      <c r="G13628" s="3" t="n">
        <v>-27953.22</v>
      </c>
    </row>
    <row r="13629">
      <c r="A13629" s="3" t="inlineStr">
        <is>
          <t>Quinate Consulting (Pty) Ltd</t>
        </is>
      </c>
      <c r="B13629" s="4" t="n">
        <v>45046</v>
      </c>
      <c r="C13629" s="3" t="inlineStr">
        <is>
          <t>Revenue</t>
        </is>
      </c>
      <c r="D13629" s="3" t="inlineStr">
        <is>
          <t>1000/011</t>
        </is>
      </c>
      <c r="E13629" s="3" t="inlineStr">
        <is>
          <t>Rent Received - Soho Unit 23</t>
        </is>
      </c>
      <c r="F13629" s="3" t="n">
        <v>-12500</v>
      </c>
      <c r="G13629" s="3" t="n">
        <v>-25000</v>
      </c>
    </row>
    <row r="13630">
      <c r="A13630" s="3" t="inlineStr">
        <is>
          <t>Quinate Consulting (Pty) Ltd</t>
        </is>
      </c>
      <c r="B13630" s="4" t="n">
        <v>45046</v>
      </c>
      <c r="C13630" s="3" t="inlineStr">
        <is>
          <t>Revenue</t>
        </is>
      </c>
      <c r="D13630" s="3" t="inlineStr">
        <is>
          <t>1000/012</t>
        </is>
      </c>
      <c r="E13630" s="3" t="inlineStr">
        <is>
          <t>Rent Received - Soho Unit 24</t>
        </is>
      </c>
      <c r="F13630" s="3" t="n">
        <v>-14445</v>
      </c>
      <c r="G13630" s="3" t="n">
        <v>-28890</v>
      </c>
    </row>
    <row r="13631">
      <c r="A13631" s="3" t="inlineStr">
        <is>
          <t>Quinate Consulting (Pty) Ltd</t>
        </is>
      </c>
      <c r="B13631" s="4" t="n">
        <v>45046</v>
      </c>
      <c r="C13631" s="3" t="inlineStr">
        <is>
          <t>Revenue</t>
        </is>
      </c>
      <c r="D13631" s="3" t="inlineStr">
        <is>
          <t>1000/013</t>
        </is>
      </c>
      <c r="E13631" s="3" t="inlineStr">
        <is>
          <t>Rent Recieved - Soho Unit 20</t>
        </is>
      </c>
      <c r="F13631" s="3" t="n">
        <v>-12500</v>
      </c>
      <c r="G13631" s="3" t="n">
        <v>-25000</v>
      </c>
    </row>
    <row r="13632">
      <c r="A13632" s="3" t="inlineStr">
        <is>
          <t>Quinate Consulting (Pty) Ltd</t>
        </is>
      </c>
      <c r="B13632" s="4" t="n">
        <v>45046</v>
      </c>
      <c r="C13632" s="3" t="inlineStr">
        <is>
          <t>Revenue</t>
        </is>
      </c>
      <c r="D13632" s="3" t="inlineStr">
        <is>
          <t>1000/016</t>
        </is>
      </c>
      <c r="E13632" s="3" t="inlineStr">
        <is>
          <t>Rent Recieved - Southwark Unit 21</t>
        </is>
      </c>
      <c r="F13632" s="3" t="n">
        <v>-10000</v>
      </c>
      <c r="G13632" s="3" t="n">
        <v>-20000</v>
      </c>
    </row>
    <row r="13633">
      <c r="A13633" s="3" t="inlineStr">
        <is>
          <t>Opportunity Global Sales (PTY) LTD</t>
        </is>
      </c>
      <c r="B13633" s="4" t="n">
        <v>45046</v>
      </c>
      <c r="C13633" s="3" t="inlineStr">
        <is>
          <t>Revenue</t>
        </is>
      </c>
      <c r="D13633" s="3" t="inlineStr">
        <is>
          <t>1000/100</t>
        </is>
      </c>
      <c r="E13633" s="3" t="inlineStr">
        <is>
          <t>Sales - Comm on External Sales</t>
        </is>
      </c>
      <c r="F13633" s="3" t="n">
        <v>-434.78</v>
      </c>
      <c r="G13633" s="3" t="n">
        <v>-434.78</v>
      </c>
    </row>
    <row r="13634">
      <c r="A13634" s="3" t="inlineStr">
        <is>
          <t>Noble Shield (Pty) Ltd ta Go Letting</t>
        </is>
      </c>
      <c r="B13634" s="4" t="n">
        <v>45046</v>
      </c>
      <c r="C13634" s="3" t="inlineStr">
        <is>
          <t>Revenue</t>
        </is>
      </c>
      <c r="D13634" s="3" t="inlineStr">
        <is>
          <t>1000/100</t>
        </is>
      </c>
      <c r="E13634" s="3" t="inlineStr">
        <is>
          <t>Sales - Payprop 328 - Michelle</t>
        </is>
      </c>
      <c r="F13634" s="3" t="n">
        <v>-70222.64</v>
      </c>
      <c r="G13634" s="3" t="n">
        <v>-611127.1</v>
      </c>
    </row>
    <row r="13635">
      <c r="A13635" s="3" t="inlineStr">
        <is>
          <t>Opportunity Global Sales (PTY) LTD</t>
        </is>
      </c>
      <c r="B13635" s="4" t="n">
        <v>45046</v>
      </c>
      <c r="C13635" s="3" t="inlineStr">
        <is>
          <t>Revenue</t>
        </is>
      </c>
      <c r="D13635" s="3" t="inlineStr">
        <is>
          <t>1000/120</t>
        </is>
      </c>
      <c r="E13635" s="3" t="inlineStr">
        <is>
          <t>Sales - Admin Fees on Rental Units</t>
        </is>
      </c>
      <c r="F13635" s="3" t="n">
        <v>0</v>
      </c>
      <c r="G13635" s="3" t="n">
        <v>-3478.24</v>
      </c>
    </row>
    <row r="13636">
      <c r="A13636" s="3" t="inlineStr">
        <is>
          <t>Opportunity Global Sales (PTY) LTD</t>
        </is>
      </c>
      <c r="B13636" s="4" t="n">
        <v>45046</v>
      </c>
      <c r="C13636" s="3" t="inlineStr">
        <is>
          <t>Revenue</t>
        </is>
      </c>
      <c r="D13636" s="3" t="inlineStr">
        <is>
          <t>1000/121</t>
        </is>
      </c>
      <c r="E13636" s="3" t="inlineStr">
        <is>
          <t>Sales - Admin Fees on Rental Units Endulini</t>
        </is>
      </c>
      <c r="F13636" s="3" t="n">
        <v>0</v>
      </c>
      <c r="G13636" s="3" t="n">
        <v>-434.78</v>
      </c>
    </row>
    <row r="13637">
      <c r="A13637" s="3" t="inlineStr">
        <is>
          <t>Opportunity Global Sales (PTY) LTD</t>
        </is>
      </c>
      <c r="B13637" s="4" t="n">
        <v>45046</v>
      </c>
      <c r="C13637" s="3" t="inlineStr">
        <is>
          <t>Revenue</t>
        </is>
      </c>
      <c r="D13637" s="3" t="inlineStr">
        <is>
          <t>1000/122</t>
        </is>
      </c>
      <c r="E13637" s="3" t="inlineStr">
        <is>
          <t>Sales - Admin Fees on Rental Units Heron Fields</t>
        </is>
      </c>
      <c r="F13637" s="3" t="n">
        <v>0</v>
      </c>
      <c r="G13637" s="3" t="n">
        <v>-1739.14</v>
      </c>
    </row>
    <row r="13638">
      <c r="A13638" s="3" t="inlineStr">
        <is>
          <t>Opportunity Global Sales (PTY) LTD</t>
        </is>
      </c>
      <c r="B13638" s="4" t="n">
        <v>45046</v>
      </c>
      <c r="C13638" s="3" t="inlineStr">
        <is>
          <t>Revenue</t>
        </is>
      </c>
      <c r="D13638" s="3" t="inlineStr">
        <is>
          <t>1000/150</t>
        </is>
      </c>
      <c r="E13638" s="3" t="inlineStr">
        <is>
          <t>Sales - Comm on External Rental</t>
        </is>
      </c>
      <c r="F13638" s="3" t="n">
        <v>-22539.13</v>
      </c>
      <c r="G13638" s="3" t="n">
        <v>-52539.12</v>
      </c>
    </row>
    <row r="13639">
      <c r="A13639" s="3" t="inlineStr">
        <is>
          <t>Opportunity Global Sales (PTY) LTD</t>
        </is>
      </c>
      <c r="B13639" s="4" t="n">
        <v>45046</v>
      </c>
      <c r="C13639" s="3" t="inlineStr">
        <is>
          <t>Revenue</t>
        </is>
      </c>
      <c r="D13639" s="3" t="inlineStr">
        <is>
          <t>1000/300</t>
        </is>
      </c>
      <c r="E13639" s="3" t="inlineStr">
        <is>
          <t>Sales - Comm on Heron Fields</t>
        </is>
      </c>
      <c r="F13639" s="3" t="n">
        <v>0</v>
      </c>
      <c r="G13639" s="3" t="n">
        <v>-906591.3</v>
      </c>
    </row>
    <row r="13640">
      <c r="A13640" s="3" t="inlineStr">
        <is>
          <t>Trademark Holdings (Pty) Ltd</t>
        </is>
      </c>
      <c r="B13640" s="4" t="n">
        <v>45046</v>
      </c>
      <c r="C13640" s="3" t="inlineStr">
        <is>
          <t>Revenue</t>
        </is>
      </c>
      <c r="D13640" s="3" t="inlineStr">
        <is>
          <t>1000/300</t>
        </is>
      </c>
      <c r="E13640" s="3" t="inlineStr">
        <is>
          <t>Sales - Payprop - Lara</t>
        </is>
      </c>
      <c r="F13640" s="3" t="n">
        <v>-85784.07000000001</v>
      </c>
      <c r="G13640" s="3" t="n">
        <v>-700973.16</v>
      </c>
    </row>
    <row r="13641">
      <c r="A13641" s="3" t="inlineStr">
        <is>
          <t>Opportunity Global Investment (PTY) LTD</t>
        </is>
      </c>
      <c r="B13641" s="4" t="n">
        <v>45046</v>
      </c>
      <c r="C13641" s="3" t="inlineStr">
        <is>
          <t>Revenue</t>
        </is>
      </c>
      <c r="D13641" s="3" t="inlineStr">
        <is>
          <t>1000/360</t>
        </is>
      </c>
      <c r="E13641" s="3" t="inlineStr">
        <is>
          <t>Sales - Investor Management - Heron View</t>
        </is>
      </c>
      <c r="F13641" s="3" t="n">
        <v>0</v>
      </c>
      <c r="G13641" s="3" t="n">
        <v>-1826086.96</v>
      </c>
    </row>
    <row r="13642">
      <c r="A13642" s="3" t="inlineStr">
        <is>
          <t>Noble Shield (Pty) Ltd ta Go Letting</t>
        </is>
      </c>
      <c r="B13642" s="4" t="n">
        <v>45046</v>
      </c>
      <c r="C13642" s="3" t="inlineStr">
        <is>
          <t>Revenue</t>
        </is>
      </c>
      <c r="D13642" s="3" t="inlineStr">
        <is>
          <t>1000/420</t>
        </is>
      </c>
      <c r="E13642" s="3" t="inlineStr">
        <is>
          <t>Sales - Commission Received - External</t>
        </is>
      </c>
      <c r="F13642" s="3" t="n">
        <v>0</v>
      </c>
      <c r="G13642" s="3" t="n">
        <v>-30000</v>
      </c>
    </row>
    <row r="13643">
      <c r="A13643" s="3" t="inlineStr">
        <is>
          <t>Trademark Holdings (Pty) Ltd</t>
        </is>
      </c>
      <c r="B13643" s="4" t="n">
        <v>45046</v>
      </c>
      <c r="C13643" s="3" t="inlineStr">
        <is>
          <t>Revenue</t>
        </is>
      </c>
      <c r="D13643" s="3" t="inlineStr">
        <is>
          <t>1000/500</t>
        </is>
      </c>
      <c r="E13643" s="3" t="inlineStr">
        <is>
          <t>Sales - Commission external sale</t>
        </is>
      </c>
      <c r="F13643" s="3" t="n">
        <v>0</v>
      </c>
      <c r="G13643" s="3" t="n">
        <v>-80000</v>
      </c>
    </row>
    <row r="13644">
      <c r="A13644" s="3" t="inlineStr">
        <is>
          <t>Quinate Consulting (Pty) Ltd</t>
        </is>
      </c>
      <c r="B13644" s="4" t="n">
        <v>45046</v>
      </c>
      <c r="C13644" s="3" t="inlineStr">
        <is>
          <t>Revenue</t>
        </is>
      </c>
      <c r="D13644" s="3" t="inlineStr">
        <is>
          <t>1004/000</t>
        </is>
      </c>
      <c r="E13644" s="3" t="inlineStr">
        <is>
          <t>Interest received</t>
        </is>
      </c>
      <c r="F13644" s="3" t="n">
        <v>-786.49</v>
      </c>
      <c r="G13644" s="3" t="n">
        <v>-1534.66</v>
      </c>
    </row>
    <row r="13645">
      <c r="A13645" s="3" t="inlineStr">
        <is>
          <t>Quinate Consulting (Pty) Ltd</t>
        </is>
      </c>
      <c r="B13645" s="4" t="n">
        <v>45046</v>
      </c>
      <c r="C13645" s="3" t="inlineStr">
        <is>
          <t>Revenue</t>
        </is>
      </c>
      <c r="D13645" s="3" t="inlineStr">
        <is>
          <t>1006/100</t>
        </is>
      </c>
      <c r="E13645" s="3" t="inlineStr">
        <is>
          <t>Rental income - Payprop</t>
        </is>
      </c>
      <c r="F13645" s="3" t="n">
        <v>-54705</v>
      </c>
      <c r="G13645" s="3" t="n">
        <v>-136892.86</v>
      </c>
    </row>
    <row r="13646">
      <c r="A13646" s="3" t="inlineStr">
        <is>
          <t>Quinate Consulting (Pty) Ltd</t>
        </is>
      </c>
      <c r="B13646" s="4" t="n">
        <v>45046</v>
      </c>
      <c r="C13646" s="3" t="inlineStr">
        <is>
          <t>Revenue</t>
        </is>
      </c>
      <c r="D13646" s="3" t="inlineStr">
        <is>
          <t>1006/120</t>
        </is>
      </c>
      <c r="E13646" s="3" t="inlineStr">
        <is>
          <t>Rental Income - D203</t>
        </is>
      </c>
      <c r="F13646" s="3" t="n">
        <v>-8000</v>
      </c>
      <c r="G13646" s="3" t="n">
        <v>-8000</v>
      </c>
    </row>
    <row r="13647">
      <c r="A13647" s="3" t="inlineStr">
        <is>
          <t>Opportunity Management Holdings (PTY) LTD</t>
        </is>
      </c>
      <c r="B13647" s="4" t="n">
        <v>45046</v>
      </c>
      <c r="C13647" s="3" t="inlineStr">
        <is>
          <t>Revenue</t>
        </is>
      </c>
      <c r="D13647" s="3" t="inlineStr">
        <is>
          <t>1100/001</t>
        </is>
      </c>
      <c r="E13647" s="3" t="inlineStr">
        <is>
          <t>Salary Recharges</t>
        </is>
      </c>
      <c r="F13647" s="3" t="n">
        <v>-315520</v>
      </c>
      <c r="G13647" s="3" t="n">
        <v>-2849769.06</v>
      </c>
    </row>
    <row r="13648">
      <c r="A13648" s="3" t="inlineStr">
        <is>
          <t>Endulini (Pty) Ltd</t>
        </is>
      </c>
      <c r="B13648" s="4" t="n">
        <v>45046</v>
      </c>
      <c r="C13648" s="3" t="inlineStr">
        <is>
          <t>Expenses</t>
        </is>
      </c>
      <c r="D13648" s="3" t="inlineStr">
        <is>
          <t>2000/001</t>
        </is>
      </c>
      <c r="E13648" s="3" t="inlineStr">
        <is>
          <t>COS - CIP Construction</t>
        </is>
      </c>
      <c r="F13648" s="3" t="n">
        <v>0</v>
      </c>
      <c r="G13648" s="3" t="n">
        <v>2000</v>
      </c>
    </row>
    <row r="13649">
      <c r="A13649" s="3" t="inlineStr">
        <is>
          <t>Opportunity Global Sales (PTY) LTD</t>
        </is>
      </c>
      <c r="B13649" s="4" t="n">
        <v>45046</v>
      </c>
      <c r="C13649" s="3" t="inlineStr">
        <is>
          <t>Expenses</t>
        </is>
      </c>
      <c r="D13649" s="3" t="inlineStr">
        <is>
          <t>2000/010</t>
        </is>
      </c>
      <c r="E13649" s="3" t="inlineStr">
        <is>
          <t>COS - PAYE on Commission</t>
        </is>
      </c>
      <c r="F13649" s="3" t="n">
        <v>34410.5</v>
      </c>
      <c r="G13649" s="3" t="n">
        <v>62699.16</v>
      </c>
    </row>
    <row r="13650">
      <c r="A13650" s="3" t="inlineStr">
        <is>
          <t>Noble Shield (Pty) Ltd ta Go Letting</t>
        </is>
      </c>
      <c r="B13650" s="4" t="n">
        <v>45046</v>
      </c>
      <c r="C13650" s="3" t="inlineStr">
        <is>
          <t>Expenses</t>
        </is>
      </c>
      <c r="D13650" s="3" t="inlineStr">
        <is>
          <t>2000/100</t>
        </is>
      </c>
      <c r="E13650" s="3" t="inlineStr">
        <is>
          <t>COS - Commission Paid</t>
        </is>
      </c>
      <c r="F13650" s="3" t="n">
        <v>13207.52</v>
      </c>
      <c r="G13650" s="3" t="n">
        <v>202763.13</v>
      </c>
    </row>
    <row r="13651">
      <c r="A13651" s="3" t="inlineStr">
        <is>
          <t>Opportunity Global Sales (PTY) LTD</t>
        </is>
      </c>
      <c r="B13651" s="4" t="n">
        <v>45046</v>
      </c>
      <c r="C13651" s="3" t="inlineStr">
        <is>
          <t>Expenses</t>
        </is>
      </c>
      <c r="D13651" s="3" t="inlineStr">
        <is>
          <t>2000/125</t>
        </is>
      </c>
      <c r="E13651" s="3" t="inlineStr">
        <is>
          <t>Commission Paid - Referal commission</t>
        </is>
      </c>
      <c r="F13651" s="3" t="n">
        <v>0</v>
      </c>
      <c r="G13651" s="3" t="n">
        <v>74342.61</v>
      </c>
    </row>
    <row r="13652">
      <c r="A13652" s="3" t="inlineStr">
        <is>
          <t>Opportunity Global Investment (PTY) LTD</t>
        </is>
      </c>
      <c r="B13652" s="4" t="n">
        <v>45046</v>
      </c>
      <c r="C13652" s="3" t="inlineStr">
        <is>
          <t>Expenses</t>
        </is>
      </c>
      <c r="D13652" s="3" t="inlineStr">
        <is>
          <t>2000/135</t>
        </is>
      </c>
      <c r="E13652" s="3" t="inlineStr">
        <is>
          <t>Referral commission - Heron View</t>
        </is>
      </c>
      <c r="F13652" s="3" t="n">
        <v>0</v>
      </c>
      <c r="G13652" s="3" t="n">
        <v>8731.209999999999</v>
      </c>
    </row>
    <row r="13653">
      <c r="A13653" s="3" t="inlineStr">
        <is>
          <t>Opportunity Global Sales (PTY) LTD</t>
        </is>
      </c>
      <c r="B13653" s="4" t="n">
        <v>45046</v>
      </c>
      <c r="C13653" s="3" t="inlineStr">
        <is>
          <t>Expenses</t>
        </is>
      </c>
      <c r="D13653" s="3" t="inlineStr">
        <is>
          <t>2000/137</t>
        </is>
      </c>
      <c r="E13653" s="3" t="inlineStr">
        <is>
          <t>COS - Rental Comm External - Minette</t>
        </is>
      </c>
      <c r="F13653" s="3" t="n">
        <v>2870</v>
      </c>
      <c r="G13653" s="3" t="n">
        <v>37180</v>
      </c>
    </row>
    <row r="13654">
      <c r="A13654" s="3" t="inlineStr">
        <is>
          <t>Opportunity Global Sales (PTY) LTD</t>
        </is>
      </c>
      <c r="B13654" s="4" t="n">
        <v>45046</v>
      </c>
      <c r="C13654" s="3" t="inlineStr">
        <is>
          <t>Expenses</t>
        </is>
      </c>
      <c r="D13654" s="3" t="inlineStr">
        <is>
          <t>2000/139</t>
        </is>
      </c>
      <c r="E13654" s="3" t="inlineStr">
        <is>
          <t>COS - Sales Comm Heron Fields - Minette</t>
        </is>
      </c>
      <c r="F13654" s="3" t="n">
        <v>32832.7</v>
      </c>
      <c r="G13654" s="3" t="n">
        <v>58917.57</v>
      </c>
    </row>
    <row r="13655">
      <c r="A13655" s="3" t="inlineStr">
        <is>
          <t>Opportunity Global Investment (PTY) LTD</t>
        </is>
      </c>
      <c r="B13655" s="4" t="n">
        <v>45046</v>
      </c>
      <c r="C13655" s="3" t="inlineStr">
        <is>
          <t>Expenses</t>
        </is>
      </c>
      <c r="D13655" s="3" t="inlineStr">
        <is>
          <t>2000/140</t>
        </is>
      </c>
      <c r="E13655" s="3" t="inlineStr">
        <is>
          <t>Referral commission - F Geldenhuys</t>
        </is>
      </c>
      <c r="F13655" s="3" t="n">
        <v>0</v>
      </c>
      <c r="G13655" s="3" t="n">
        <v>12000</v>
      </c>
    </row>
    <row r="13656">
      <c r="A13656" s="3" t="inlineStr">
        <is>
          <t>Opportunity Global Investment (PTY) LTD</t>
        </is>
      </c>
      <c r="B13656" s="4" t="n">
        <v>45046</v>
      </c>
      <c r="C13656" s="3" t="inlineStr">
        <is>
          <t>Expenses</t>
        </is>
      </c>
      <c r="D13656" s="3" t="inlineStr">
        <is>
          <t>2000/145</t>
        </is>
      </c>
      <c r="E13656" s="3" t="inlineStr">
        <is>
          <t>Referral commission - W Thomason</t>
        </is>
      </c>
      <c r="F13656" s="3" t="n">
        <v>0</v>
      </c>
      <c r="G13656" s="3" t="n">
        <v>12000</v>
      </c>
    </row>
    <row r="13657">
      <c r="A13657" s="3" t="inlineStr">
        <is>
          <t>Opportunity Global Sales (PTY) LTD</t>
        </is>
      </c>
      <c r="B13657" s="4" t="n">
        <v>45046</v>
      </c>
      <c r="C13657" s="3" t="inlineStr">
        <is>
          <t>Expenses</t>
        </is>
      </c>
      <c r="D13657" s="3" t="inlineStr">
        <is>
          <t>2000/147</t>
        </is>
      </c>
      <c r="E13657" s="3" t="inlineStr">
        <is>
          <t>COS - Sales Comm Heron Fields - Yvette</t>
        </is>
      </c>
      <c r="F13657" s="3" t="n">
        <v>71541.71000000001</v>
      </c>
      <c r="G13657" s="3" t="n">
        <v>94393.33</v>
      </c>
    </row>
    <row r="13658">
      <c r="A13658" s="3" t="inlineStr">
        <is>
          <t>Endulini (Pty) Ltd</t>
        </is>
      </c>
      <c r="B13658" s="4" t="n">
        <v>45046</v>
      </c>
      <c r="C13658" s="3" t="inlineStr">
        <is>
          <t>Expenses</t>
        </is>
      </c>
      <c r="D13658" s="3" t="inlineStr">
        <is>
          <t>2000/150</t>
        </is>
      </c>
      <c r="E13658" s="3" t="inlineStr">
        <is>
          <t>COS - Levies special agreement</t>
        </is>
      </c>
      <c r="F13658" s="3" t="n">
        <v>8762.940000000001</v>
      </c>
      <c r="G13658" s="3" t="n">
        <v>17525.88</v>
      </c>
    </row>
    <row r="13659">
      <c r="A13659" s="3" t="inlineStr">
        <is>
          <t>Opportunity Global Sales (PTY) LTD</t>
        </is>
      </c>
      <c r="B13659" s="4" t="n">
        <v>45046</v>
      </c>
      <c r="C13659" s="3" t="inlineStr">
        <is>
          <t>Expenses</t>
        </is>
      </c>
      <c r="D13659" s="3" t="inlineStr">
        <is>
          <t>2000/160</t>
        </is>
      </c>
      <c r="E13659" s="3" t="inlineStr">
        <is>
          <t>COS - Sales Comm Heron View - Minette</t>
        </is>
      </c>
      <c r="F13659" s="3" t="n">
        <v>32345.74</v>
      </c>
      <c r="G13659" s="3" t="n">
        <v>55509.57</v>
      </c>
    </row>
    <row r="13660">
      <c r="A13660" s="3" t="inlineStr">
        <is>
          <t>Opportunity Global Sales (PTY) LTD</t>
        </is>
      </c>
      <c r="B13660" s="4" t="n">
        <v>45046</v>
      </c>
      <c r="C13660" s="3" t="inlineStr">
        <is>
          <t>Expenses</t>
        </is>
      </c>
      <c r="D13660" s="3" t="inlineStr">
        <is>
          <t>2000/162</t>
        </is>
      </c>
      <c r="E13660" s="3" t="inlineStr">
        <is>
          <t>COS - Sales Comm Heron View - Yvette</t>
        </is>
      </c>
      <c r="F13660" s="3" t="n">
        <v>0</v>
      </c>
      <c r="G13660" s="3" t="n">
        <v>12620.16</v>
      </c>
    </row>
    <row r="13661">
      <c r="A13661" s="3" t="inlineStr">
        <is>
          <t>Noble Shield (Pty) Ltd ta Go Letting</t>
        </is>
      </c>
      <c r="B13661" s="4" t="n">
        <v>45046</v>
      </c>
      <c r="C13661" s="3" t="inlineStr">
        <is>
          <t>Expenses</t>
        </is>
      </c>
      <c r="D13661" s="3" t="inlineStr">
        <is>
          <t>2000/200</t>
        </is>
      </c>
      <c r="E13661" s="3" t="inlineStr">
        <is>
          <t>COS - Commission on external sales</t>
        </is>
      </c>
      <c r="F13661" s="3" t="n">
        <v>0</v>
      </c>
      <c r="G13661" s="3" t="n">
        <v>18000</v>
      </c>
    </row>
    <row r="13662">
      <c r="A13662" s="3" t="inlineStr">
        <is>
          <t>Opportunity Global Sales (PTY) LTD</t>
        </is>
      </c>
      <c r="B13662" s="4" t="n">
        <v>45046</v>
      </c>
      <c r="C13662" s="3" t="inlineStr">
        <is>
          <t>Expenses</t>
        </is>
      </c>
      <c r="D13662" s="3" t="inlineStr">
        <is>
          <t>2000/275</t>
        </is>
      </c>
      <c r="E13662" s="3" t="inlineStr">
        <is>
          <t>COS - Comm Rentals - Mario - Endulini</t>
        </is>
      </c>
      <c r="F13662" s="3" t="n">
        <v>205</v>
      </c>
      <c r="G13662" s="3" t="n">
        <v>205</v>
      </c>
    </row>
    <row r="13663">
      <c r="A13663" s="3" t="inlineStr">
        <is>
          <t>Opportunity Global Sales (PTY) LTD</t>
        </is>
      </c>
      <c r="B13663" s="4" t="n">
        <v>45046</v>
      </c>
      <c r="C13663" s="3" t="inlineStr">
        <is>
          <t>Expenses</t>
        </is>
      </c>
      <c r="D13663" s="3" t="inlineStr">
        <is>
          <t>2000/280</t>
        </is>
      </c>
      <c r="E13663" s="3" t="inlineStr">
        <is>
          <t>COS - Comm Rentals - Mario - Heron Fields</t>
        </is>
      </c>
      <c r="F13663" s="3" t="n">
        <v>820</v>
      </c>
      <c r="G13663" s="3" t="n">
        <v>820</v>
      </c>
    </row>
    <row r="13664">
      <c r="A13664" s="3" t="inlineStr">
        <is>
          <t>Trademark Holdings (Pty) Ltd</t>
        </is>
      </c>
      <c r="B13664" s="4" t="n">
        <v>45046</v>
      </c>
      <c r="C13664" s="3" t="inlineStr">
        <is>
          <t>Expenses</t>
        </is>
      </c>
      <c r="D13664" s="3" t="inlineStr">
        <is>
          <t>2000/300</t>
        </is>
      </c>
      <c r="E13664" s="3" t="inlineStr">
        <is>
          <t>COS - Commission Paid</t>
        </is>
      </c>
      <c r="F13664" s="3" t="n">
        <v>15832.19</v>
      </c>
      <c r="G13664" s="3" t="n">
        <v>127929.29</v>
      </c>
    </row>
    <row r="13665">
      <c r="A13665" s="3" t="inlineStr">
        <is>
          <t>Opportunity Global Sales (PTY) LTD</t>
        </is>
      </c>
      <c r="B13665" s="4" t="n">
        <v>45046</v>
      </c>
      <c r="C13665" s="3" t="inlineStr">
        <is>
          <t>Expenses</t>
        </is>
      </c>
      <c r="D13665" s="3" t="inlineStr">
        <is>
          <t>2000/380</t>
        </is>
      </c>
      <c r="E13665" s="3" t="inlineStr">
        <is>
          <t>COS - Overrider Comm Heron Fields - Morne</t>
        </is>
      </c>
      <c r="F13665" s="3" t="n">
        <v>21369</v>
      </c>
      <c r="G13665" s="3" t="n">
        <v>21369</v>
      </c>
    </row>
    <row r="13666">
      <c r="A13666" s="3" t="inlineStr">
        <is>
          <t>Trademark Holdings (Pty) Ltd</t>
        </is>
      </c>
      <c r="B13666" s="4" t="n">
        <v>45046</v>
      </c>
      <c r="C13666" s="3" t="inlineStr">
        <is>
          <t>Expenses</t>
        </is>
      </c>
      <c r="D13666" s="3" t="inlineStr">
        <is>
          <t>2000/400</t>
        </is>
      </c>
      <c r="E13666" s="3" t="inlineStr">
        <is>
          <t>COS - Commission on external sales</t>
        </is>
      </c>
      <c r="F13666" s="3" t="n">
        <v>0</v>
      </c>
      <c r="G13666" s="3" t="n">
        <v>48000</v>
      </c>
    </row>
    <row r="13667">
      <c r="A13667" s="3" t="inlineStr">
        <is>
          <t>Opportunity Global Sales (PTY) LTD</t>
        </is>
      </c>
      <c r="B13667" s="4" t="n">
        <v>45046</v>
      </c>
      <c r="C13667" s="3" t="inlineStr">
        <is>
          <t>Expenses</t>
        </is>
      </c>
      <c r="D13667" s="3" t="inlineStr">
        <is>
          <t>2000/550</t>
        </is>
      </c>
      <c r="E13667" s="3" t="inlineStr">
        <is>
          <t>COS - Electricity Costs Heron Fields</t>
        </is>
      </c>
      <c r="F13667" s="3" t="n">
        <v>260.87</v>
      </c>
      <c r="G13667" s="3" t="n">
        <v>360.87</v>
      </c>
    </row>
    <row r="13668">
      <c r="A13668" s="3" t="inlineStr">
        <is>
          <t>Quinate Consulting (Pty) Ltd</t>
        </is>
      </c>
      <c r="B13668" s="4" t="n">
        <v>45046</v>
      </c>
      <c r="C13668" s="3" t="inlineStr">
        <is>
          <t>Revenue</t>
        </is>
      </c>
      <c r="D13668" s="3" t="inlineStr">
        <is>
          <t>2400/200</t>
        </is>
      </c>
      <c r="E13668" s="3" t="inlineStr">
        <is>
          <t>Recovery Acc - Electricity SH</t>
        </is>
      </c>
      <c r="F13668" s="3" t="n">
        <v>-21536.36</v>
      </c>
      <c r="G13668" s="3" t="n">
        <v>-39559.88</v>
      </c>
    </row>
    <row r="13669">
      <c r="A13669" s="3" t="inlineStr">
        <is>
          <t>Quinate Consulting (Pty) Ltd</t>
        </is>
      </c>
      <c r="B13669" s="4" t="n">
        <v>45046</v>
      </c>
      <c r="C13669" s="3" t="inlineStr">
        <is>
          <t>Revenue</t>
        </is>
      </c>
      <c r="D13669" s="3" t="inlineStr">
        <is>
          <t>2400/300</t>
        </is>
      </c>
      <c r="E13669" s="3" t="inlineStr">
        <is>
          <t>Recovery Account - Electricity SW</t>
        </is>
      </c>
      <c r="F13669" s="3" t="n">
        <v>-19112.9</v>
      </c>
      <c r="G13669" s="3" t="n">
        <v>-34503.46</v>
      </c>
    </row>
    <row r="13670">
      <c r="A13670" s="3" t="inlineStr">
        <is>
          <t>Opportunity Management Holdings (PTY) LTD</t>
        </is>
      </c>
      <c r="B13670" s="4" t="n">
        <v>45046</v>
      </c>
      <c r="C13670" s="3" t="inlineStr">
        <is>
          <t>Revenue</t>
        </is>
      </c>
      <c r="D13670" s="3" t="inlineStr">
        <is>
          <t>2750/000</t>
        </is>
      </c>
      <c r="E13670" s="3" t="inlineStr">
        <is>
          <t>Interest Received</t>
        </is>
      </c>
      <c r="F13670" s="3" t="n">
        <v>-4.97</v>
      </c>
      <c r="G13670" s="3" t="n">
        <v>-385.86</v>
      </c>
    </row>
    <row r="13671">
      <c r="A13671" s="3" t="inlineStr">
        <is>
          <t>Opportunity Global Investment (PTY) LTD</t>
        </is>
      </c>
      <c r="B13671" s="4" t="n">
        <v>45046</v>
      </c>
      <c r="C13671" s="3" t="inlineStr">
        <is>
          <t>Revenue</t>
        </is>
      </c>
      <c r="D13671" s="3" t="inlineStr">
        <is>
          <t>2750/000</t>
        </is>
      </c>
      <c r="E13671" s="3" t="inlineStr">
        <is>
          <t>Interest Received - Bank</t>
        </is>
      </c>
      <c r="F13671" s="3" t="n">
        <v>-142.7</v>
      </c>
      <c r="G13671" s="3" t="n">
        <v>-142.7</v>
      </c>
    </row>
    <row r="13672">
      <c r="A13672" s="3" t="inlineStr">
        <is>
          <t>Noble Shield (Pty) Ltd ta Go Letting</t>
        </is>
      </c>
      <c r="B13672" s="4" t="n">
        <v>45046</v>
      </c>
      <c r="C13672" s="3" t="inlineStr">
        <is>
          <t>Revenue</t>
        </is>
      </c>
      <c r="D13672" s="3" t="inlineStr">
        <is>
          <t>2750/100</t>
        </is>
      </c>
      <c r="E13672" s="3" t="inlineStr">
        <is>
          <t>Interest Received - bank</t>
        </is>
      </c>
      <c r="F13672" s="3" t="n">
        <v>-0.21</v>
      </c>
      <c r="G13672" s="3" t="n">
        <v>-0.31</v>
      </c>
    </row>
    <row r="13673">
      <c r="A13673" s="3" t="inlineStr">
        <is>
          <t>Opportunity Global Investment (PTY) LTD</t>
        </is>
      </c>
      <c r="B13673" s="4" t="n">
        <v>45046</v>
      </c>
      <c r="C13673" s="3" t="inlineStr">
        <is>
          <t>Revenue</t>
        </is>
      </c>
      <c r="D13673" s="3" t="inlineStr">
        <is>
          <t>2753/000</t>
        </is>
      </c>
      <c r="E13673" s="3" t="inlineStr">
        <is>
          <t>Interest received - Momentum</t>
        </is>
      </c>
      <c r="F13673" s="3" t="n">
        <v>-31.12</v>
      </c>
      <c r="G13673" s="3" t="n">
        <v>-90.38</v>
      </c>
    </row>
    <row r="13674">
      <c r="A13674" s="3" t="inlineStr">
        <is>
          <t>Endulini (Pty) Ltd</t>
        </is>
      </c>
      <c r="B13674" s="4" t="n">
        <v>45046</v>
      </c>
      <c r="C13674" s="3" t="inlineStr">
        <is>
          <t>Revenue</t>
        </is>
      </c>
      <c r="D13674" s="3" t="inlineStr">
        <is>
          <t>2755/001</t>
        </is>
      </c>
      <c r="E13674" s="3" t="inlineStr">
        <is>
          <t>Interest Received - Momentum</t>
        </is>
      </c>
      <c r="F13674" s="3" t="n">
        <v>-17.66</v>
      </c>
      <c r="G13674" s="3" t="n">
        <v>-35.57</v>
      </c>
    </row>
    <row r="13675">
      <c r="A13675" s="3" t="inlineStr">
        <is>
          <t>Quinate Consulting (Pty) Ltd</t>
        </is>
      </c>
      <c r="B13675" s="4" t="n">
        <v>45046</v>
      </c>
      <c r="C13675" s="3" t="inlineStr">
        <is>
          <t>Revenue</t>
        </is>
      </c>
      <c r="D13675" s="3" t="inlineStr">
        <is>
          <t>2755/001</t>
        </is>
      </c>
      <c r="E13675" s="3" t="inlineStr">
        <is>
          <t>Interest Received - Momentum</t>
        </is>
      </c>
      <c r="F13675" s="3" t="n">
        <v>-3.54</v>
      </c>
      <c r="G13675" s="3" t="n">
        <v>-7.13</v>
      </c>
    </row>
    <row r="13676">
      <c r="A13676" s="3" t="inlineStr">
        <is>
          <t>Noble Shield (Pty) Ltd ta Go Letting</t>
        </is>
      </c>
      <c r="B13676" s="4" t="n">
        <v>45046</v>
      </c>
      <c r="C13676" s="3" t="inlineStr">
        <is>
          <t>Expenses</t>
        </is>
      </c>
      <c r="D13676" s="3" t="inlineStr">
        <is>
          <t>3000/300</t>
        </is>
      </c>
      <c r="E13676" s="3" t="inlineStr">
        <is>
          <t>Accounting Fees - Audit</t>
        </is>
      </c>
      <c r="F13676" s="3" t="n">
        <v>0</v>
      </c>
      <c r="G13676" s="3" t="n">
        <v>22367.5</v>
      </c>
    </row>
    <row r="13677">
      <c r="A13677" s="3" t="inlineStr">
        <is>
          <t>Trademark Holdings (Pty) Ltd</t>
        </is>
      </c>
      <c r="B13677" s="4" t="n">
        <v>45046</v>
      </c>
      <c r="C13677" s="3" t="inlineStr">
        <is>
          <t>Expenses</t>
        </is>
      </c>
      <c r="D13677" s="3" t="inlineStr">
        <is>
          <t>3000/300</t>
        </is>
      </c>
      <c r="E13677" s="3" t="inlineStr">
        <is>
          <t>Accounting Fees - Audit</t>
        </is>
      </c>
      <c r="F13677" s="3" t="n">
        <v>0</v>
      </c>
      <c r="G13677" s="3" t="n">
        <v>22367.5</v>
      </c>
    </row>
    <row r="13678">
      <c r="A13678" s="3" t="inlineStr">
        <is>
          <t>Quinate Consulting (Pty) Ltd</t>
        </is>
      </c>
      <c r="B13678" s="4" t="n">
        <v>45046</v>
      </c>
      <c r="C13678" s="3" t="inlineStr">
        <is>
          <t>Expenses</t>
        </is>
      </c>
      <c r="D13678" s="3" t="inlineStr">
        <is>
          <t>3002/000</t>
        </is>
      </c>
      <c r="E13678" s="3" t="inlineStr">
        <is>
          <t>Accounting Fees - Tax Dept.</t>
        </is>
      </c>
      <c r="F13678" s="3" t="n">
        <v>540</v>
      </c>
      <c r="G13678" s="3" t="n">
        <v>540</v>
      </c>
    </row>
    <row r="13679">
      <c r="A13679" s="3" t="inlineStr">
        <is>
          <t>Opportunity Management Holdings (PTY) LTD</t>
        </is>
      </c>
      <c r="B13679" s="4" t="n">
        <v>45046</v>
      </c>
      <c r="C13679" s="3" t="inlineStr">
        <is>
          <t>Expenses</t>
        </is>
      </c>
      <c r="D13679" s="3" t="inlineStr">
        <is>
          <t>3004/000</t>
        </is>
      </c>
      <c r="E13679" s="3" t="inlineStr">
        <is>
          <t>Accounting fees - Janine Theart</t>
        </is>
      </c>
      <c r="F13679" s="3" t="n">
        <v>0</v>
      </c>
      <c r="G13679" s="3" t="n">
        <v>73432.16</v>
      </c>
    </row>
    <row r="13680">
      <c r="A13680" s="3" t="inlineStr">
        <is>
          <t>Opportunity Management Holdings (PTY) LTD</t>
        </is>
      </c>
      <c r="B13680" s="4" t="n">
        <v>45046</v>
      </c>
      <c r="C13680" s="3" t="inlineStr">
        <is>
          <t>Expenses</t>
        </is>
      </c>
      <c r="D13680" s="3" t="inlineStr">
        <is>
          <t>3005/000</t>
        </is>
      </c>
      <c r="E13680" s="3" t="inlineStr">
        <is>
          <t>Accounting fees - Deric Dudley</t>
        </is>
      </c>
      <c r="F13680" s="3" t="n">
        <v>0</v>
      </c>
      <c r="G13680" s="3" t="n">
        <v>210000</v>
      </c>
    </row>
    <row r="13681">
      <c r="A13681" s="3" t="inlineStr">
        <is>
          <t>Opportunity Management Holdings (PTY) LTD</t>
        </is>
      </c>
      <c r="B13681" s="4" t="n">
        <v>45046</v>
      </c>
      <c r="C13681" s="3" t="inlineStr">
        <is>
          <t>Expenses</t>
        </is>
      </c>
      <c r="D13681" s="3" t="inlineStr">
        <is>
          <t>3006/000</t>
        </is>
      </c>
      <c r="E13681" s="3" t="inlineStr">
        <is>
          <t>Accounting fees - CIPC</t>
        </is>
      </c>
      <c r="F13681" s="3" t="n">
        <v>0</v>
      </c>
      <c r="G13681" s="3" t="n">
        <v>1850</v>
      </c>
    </row>
    <row r="13682">
      <c r="A13682" s="3" t="inlineStr">
        <is>
          <t>Opportunity Management Holdings (PTY) LTD</t>
        </is>
      </c>
      <c r="B13682" s="4" t="n">
        <v>45046</v>
      </c>
      <c r="C13682" s="3" t="inlineStr">
        <is>
          <t>Expenses</t>
        </is>
      </c>
      <c r="D13682" s="3" t="inlineStr">
        <is>
          <t>3007/000</t>
        </is>
      </c>
      <c r="E13682" s="3" t="inlineStr">
        <is>
          <t>Accounting fees - Warwick</t>
        </is>
      </c>
      <c r="F13682" s="3" t="n">
        <v>0</v>
      </c>
      <c r="G13682" s="3" t="n">
        <v>54000</v>
      </c>
    </row>
    <row r="13683">
      <c r="A13683" s="3" t="inlineStr">
        <is>
          <t>Noble Shield (Pty) Ltd ta Go Letting</t>
        </is>
      </c>
      <c r="B13683" s="4" t="n">
        <v>45046</v>
      </c>
      <c r="C13683" s="3" t="inlineStr">
        <is>
          <t>Expenses</t>
        </is>
      </c>
      <c r="D13683" s="3" t="inlineStr">
        <is>
          <t>3050/000</t>
        </is>
      </c>
      <c r="E13683" s="3" t="inlineStr">
        <is>
          <t>Advertising _AND_ Promotions</t>
        </is>
      </c>
      <c r="F13683" s="3" t="n">
        <v>0</v>
      </c>
      <c r="G13683" s="3" t="n">
        <v>1543.99</v>
      </c>
    </row>
    <row r="13684">
      <c r="A13684" s="3" t="inlineStr">
        <is>
          <t>Opportunity Management Holdings (PTY) LTD</t>
        </is>
      </c>
      <c r="B13684" s="4" t="n">
        <v>45046</v>
      </c>
      <c r="C13684" s="3" t="inlineStr">
        <is>
          <t>Expenses</t>
        </is>
      </c>
      <c r="D13684" s="3" t="inlineStr">
        <is>
          <t>3050/000</t>
        </is>
      </c>
      <c r="E13684" s="3" t="inlineStr">
        <is>
          <t>Advertising _AND_ Promotions</t>
        </is>
      </c>
      <c r="F13684" s="3" t="n">
        <v>0</v>
      </c>
      <c r="G13684" s="3" t="n">
        <v>500</v>
      </c>
    </row>
    <row r="13685">
      <c r="A13685" s="3" t="inlineStr">
        <is>
          <t>Trademark Holdings (Pty) Ltd</t>
        </is>
      </c>
      <c r="B13685" s="4" t="n">
        <v>45046</v>
      </c>
      <c r="C13685" s="3" t="inlineStr">
        <is>
          <t>Expenses</t>
        </is>
      </c>
      <c r="D13685" s="3" t="inlineStr">
        <is>
          <t>3050/000</t>
        </is>
      </c>
      <c r="E13685" s="3" t="inlineStr">
        <is>
          <t>Advertising _AND_ Promotions</t>
        </is>
      </c>
      <c r="F13685" s="3" t="n">
        <v>0</v>
      </c>
      <c r="G13685" s="3" t="n">
        <v>6852.5</v>
      </c>
    </row>
    <row r="13686">
      <c r="A13686" s="3" t="inlineStr">
        <is>
          <t>Opportunity Global Sales (PTY) LTD</t>
        </is>
      </c>
      <c r="B13686" s="4" t="n">
        <v>45046</v>
      </c>
      <c r="C13686" s="3" t="inlineStr">
        <is>
          <t>Expenses</t>
        </is>
      </c>
      <c r="D13686" s="3" t="inlineStr">
        <is>
          <t>3050/000</t>
        </is>
      </c>
      <c r="E13686" s="3" t="inlineStr">
        <is>
          <t>Advertising and Promotions</t>
        </is>
      </c>
      <c r="F13686" s="3" t="n">
        <v>1520</v>
      </c>
      <c r="G13686" s="3" t="n">
        <v>1520</v>
      </c>
    </row>
    <row r="13687">
      <c r="A13687" s="3" t="inlineStr">
        <is>
          <t>Endulini (Pty) Ltd</t>
        </is>
      </c>
      <c r="B13687" s="4" t="n">
        <v>45046</v>
      </c>
      <c r="C13687" s="3" t="inlineStr">
        <is>
          <t>Expenses</t>
        </is>
      </c>
      <c r="D13687" s="3" t="inlineStr">
        <is>
          <t>3050/001</t>
        </is>
      </c>
      <c r="E13687" s="3" t="inlineStr">
        <is>
          <t>Advertising _AND_ Promotions - Media Agenda</t>
        </is>
      </c>
      <c r="F13687" s="3" t="n">
        <v>0</v>
      </c>
      <c r="G13687" s="3" t="n">
        <v>1437.5</v>
      </c>
    </row>
    <row r="13688">
      <c r="A13688" s="3" t="inlineStr">
        <is>
          <t>Noble Shield (Pty) Ltd ta Go Letting</t>
        </is>
      </c>
      <c r="B13688" s="4" t="n">
        <v>45046</v>
      </c>
      <c r="C13688" s="3" t="inlineStr">
        <is>
          <t>Expenses</t>
        </is>
      </c>
      <c r="D13688" s="3" t="inlineStr">
        <is>
          <t>3050/050</t>
        </is>
      </c>
      <c r="E13688" s="3" t="inlineStr">
        <is>
          <t>Advertising - Prop 24</t>
        </is>
      </c>
      <c r="F13688" s="3" t="n">
        <v>7241.55</v>
      </c>
      <c r="G13688" s="3" t="n">
        <v>25480.55</v>
      </c>
    </row>
    <row r="13689">
      <c r="A13689" s="3" t="inlineStr">
        <is>
          <t>Opportunity Global Sales (PTY) LTD</t>
        </is>
      </c>
      <c r="B13689" s="4" t="n">
        <v>45046</v>
      </c>
      <c r="C13689" s="3" t="inlineStr">
        <is>
          <t>Expenses</t>
        </is>
      </c>
      <c r="D13689" s="3" t="inlineStr">
        <is>
          <t>3050/100</t>
        </is>
      </c>
      <c r="E13689" s="3" t="inlineStr">
        <is>
          <t>Advertising - Facebook</t>
        </is>
      </c>
      <c r="F13689" s="3" t="n">
        <v>0</v>
      </c>
      <c r="G13689" s="3" t="n">
        <v>2279.78</v>
      </c>
    </row>
    <row r="13690">
      <c r="A13690" s="3" t="inlineStr">
        <is>
          <t>Opportunity Global Sales (PTY) LTD</t>
        </is>
      </c>
      <c r="B13690" s="4" t="n">
        <v>45046</v>
      </c>
      <c r="C13690" s="3" t="inlineStr">
        <is>
          <t>Expenses</t>
        </is>
      </c>
      <c r="D13690" s="3" t="inlineStr">
        <is>
          <t>3050/140</t>
        </is>
      </c>
      <c r="E13690" s="3" t="inlineStr">
        <is>
          <t>Advertising - Media Agenda</t>
        </is>
      </c>
      <c r="F13690" s="3" t="n">
        <v>0</v>
      </c>
      <c r="G13690" s="3" t="n">
        <v>1912.5</v>
      </c>
    </row>
    <row r="13691">
      <c r="A13691" s="3" t="inlineStr">
        <is>
          <t>Opportunity Global Investment (PTY) LTD</t>
        </is>
      </c>
      <c r="B13691" s="4" t="n">
        <v>45046</v>
      </c>
      <c r="C13691" s="3" t="inlineStr">
        <is>
          <t>Expenses</t>
        </is>
      </c>
      <c r="D13691" s="3" t="inlineStr">
        <is>
          <t>3050/250</t>
        </is>
      </c>
      <c r="E13691" s="3" t="inlineStr">
        <is>
          <t>Advertising - General</t>
        </is>
      </c>
      <c r="F13691" s="3" t="n">
        <v>8556.6</v>
      </c>
      <c r="G13691" s="3" t="n">
        <v>47859.6</v>
      </c>
    </row>
    <row r="13692">
      <c r="A13692" s="3" t="inlineStr">
        <is>
          <t>Opportunity Global Sales (PTY) LTD</t>
        </is>
      </c>
      <c r="B13692" s="4" t="n">
        <v>45046</v>
      </c>
      <c r="C13692" s="3" t="inlineStr">
        <is>
          <t>Expenses</t>
        </is>
      </c>
      <c r="D13692" s="3" t="inlineStr">
        <is>
          <t>3050/250</t>
        </is>
      </c>
      <c r="E13692" s="3" t="inlineStr">
        <is>
          <t>Advertising - General</t>
        </is>
      </c>
      <c r="F13692" s="3" t="n">
        <v>0</v>
      </c>
      <c r="G13692" s="3" t="n">
        <v>2375.3</v>
      </c>
    </row>
    <row r="13693">
      <c r="A13693" s="3" t="inlineStr">
        <is>
          <t>Opportunity Global Investment (PTY) LTD</t>
        </is>
      </c>
      <c r="B13693" s="4" t="n">
        <v>45046</v>
      </c>
      <c r="C13693" s="3" t="inlineStr">
        <is>
          <t>Expenses</t>
        </is>
      </c>
      <c r="D13693" s="3" t="inlineStr">
        <is>
          <t>3050/270</t>
        </is>
      </c>
      <c r="E13693" s="3" t="inlineStr">
        <is>
          <t>Advertising - Radia and TV Interviews</t>
        </is>
      </c>
      <c r="F13693" s="3" t="n">
        <v>32202.5</v>
      </c>
      <c r="G13693" s="3" t="n">
        <v>32202.5</v>
      </c>
    </row>
    <row r="13694">
      <c r="A13694" s="3" t="inlineStr">
        <is>
          <t>Opportunity Global Investment (PTY) LTD</t>
        </is>
      </c>
      <c r="B13694" s="4" t="n">
        <v>45046</v>
      </c>
      <c r="C13694" s="3" t="inlineStr">
        <is>
          <t>Expenses</t>
        </is>
      </c>
      <c r="D13694" s="3" t="inlineStr">
        <is>
          <t>3050/290</t>
        </is>
      </c>
      <c r="E13694" s="3" t="inlineStr">
        <is>
          <t>Advertising - Serene Living</t>
        </is>
      </c>
      <c r="F13694" s="3" t="n">
        <v>65086</v>
      </c>
      <c r="G13694" s="3" t="n">
        <v>130172</v>
      </c>
    </row>
    <row r="13695">
      <c r="A13695" s="3" t="inlineStr">
        <is>
          <t>Opportunity Global Investment (PTY) LTD</t>
        </is>
      </c>
      <c r="B13695" s="4" t="n">
        <v>45046</v>
      </c>
      <c r="C13695" s="3" t="inlineStr">
        <is>
          <t>Expenses</t>
        </is>
      </c>
      <c r="D13695" s="3" t="inlineStr">
        <is>
          <t>3050/295</t>
        </is>
      </c>
      <c r="E13695" s="3" t="inlineStr">
        <is>
          <t>Advertising - Reale Activation</t>
        </is>
      </c>
      <c r="F13695" s="3" t="n">
        <v>26787.81</v>
      </c>
      <c r="G13695" s="3" t="n">
        <v>28608.99</v>
      </c>
    </row>
    <row r="13696">
      <c r="A13696" s="3" t="inlineStr">
        <is>
          <t>Opportunity Global Investment (PTY) LTD</t>
        </is>
      </c>
      <c r="B13696" s="4" t="n">
        <v>45046</v>
      </c>
      <c r="C13696" s="3" t="inlineStr">
        <is>
          <t>Expenses</t>
        </is>
      </c>
      <c r="D13696" s="3" t="inlineStr">
        <is>
          <t>3050/300</t>
        </is>
      </c>
      <c r="E13696" s="3" t="inlineStr">
        <is>
          <t>Advertising - Design</t>
        </is>
      </c>
      <c r="F13696" s="3" t="n">
        <v>4050</v>
      </c>
      <c r="G13696" s="3" t="n">
        <v>4050</v>
      </c>
    </row>
    <row r="13697">
      <c r="A13697" s="3" t="inlineStr">
        <is>
          <t>Quinate Consulting (Pty) Ltd</t>
        </is>
      </c>
      <c r="B13697" s="4" t="n">
        <v>45046</v>
      </c>
      <c r="C13697" s="3" t="inlineStr">
        <is>
          <t>Expenses</t>
        </is>
      </c>
      <c r="D13697" s="3" t="inlineStr">
        <is>
          <t>3050/400</t>
        </is>
      </c>
      <c r="E13697" s="3" t="inlineStr">
        <is>
          <t>Advertising - Prop24</t>
        </is>
      </c>
      <c r="F13697" s="3" t="n">
        <v>21752.75</v>
      </c>
      <c r="G13697" s="3" t="n">
        <v>22006.75</v>
      </c>
    </row>
    <row r="13698">
      <c r="A13698" s="3" t="inlineStr">
        <is>
          <t>Quinate Consulting (Pty) Ltd</t>
        </is>
      </c>
      <c r="B13698" s="4" t="n">
        <v>45046</v>
      </c>
      <c r="C13698" s="3" t="inlineStr">
        <is>
          <t>Expenses</t>
        </is>
      </c>
      <c r="D13698" s="3" t="inlineStr">
        <is>
          <t>3050/450</t>
        </is>
      </c>
      <c r="E13698" s="3" t="inlineStr">
        <is>
          <t>Advertising - Facebook</t>
        </is>
      </c>
      <c r="F13698" s="3" t="n">
        <v>9431.74</v>
      </c>
      <c r="G13698" s="3" t="n">
        <v>19314.13</v>
      </c>
    </row>
    <row r="13699">
      <c r="A13699" s="3" t="inlineStr">
        <is>
          <t>Opportunity Global Investment (PTY) LTD</t>
        </is>
      </c>
      <c r="B13699" s="4" t="n">
        <v>45046</v>
      </c>
      <c r="C13699" s="3" t="inlineStr">
        <is>
          <t>Expenses</t>
        </is>
      </c>
      <c r="D13699" s="3" t="inlineStr">
        <is>
          <t>3051/000</t>
        </is>
      </c>
      <c r="E13699" s="3" t="inlineStr">
        <is>
          <t>Advertising - Facebook</t>
        </is>
      </c>
      <c r="F13699" s="3" t="n">
        <v>17024.98</v>
      </c>
      <c r="G13699" s="3" t="n">
        <v>32456.51</v>
      </c>
    </row>
    <row r="13700">
      <c r="A13700" s="3" t="inlineStr">
        <is>
          <t>Opportunity Global Investment (PTY) LTD</t>
        </is>
      </c>
      <c r="B13700" s="4" t="n">
        <v>45046</v>
      </c>
      <c r="C13700" s="3" t="inlineStr">
        <is>
          <t>Expenses</t>
        </is>
      </c>
      <c r="D13700" s="3" t="inlineStr">
        <is>
          <t>3053/000</t>
        </is>
      </c>
      <c r="E13700" s="3" t="inlineStr">
        <is>
          <t>Advertising - Google Ads</t>
        </is>
      </c>
      <c r="F13700" s="3" t="n">
        <v>1885.1</v>
      </c>
      <c r="G13700" s="3" t="n">
        <v>2856.1</v>
      </c>
    </row>
    <row r="13701">
      <c r="A13701" s="3" t="inlineStr">
        <is>
          <t>Endulini (Pty) Ltd</t>
        </is>
      </c>
      <c r="B13701" s="4" t="n">
        <v>45046</v>
      </c>
      <c r="C13701" s="3" t="inlineStr">
        <is>
          <t>Expenses</t>
        </is>
      </c>
      <c r="D13701" s="3" t="inlineStr">
        <is>
          <t>3200/000</t>
        </is>
      </c>
      <c r="E13701" s="3" t="inlineStr">
        <is>
          <t>Bank Charges</t>
        </is>
      </c>
      <c r="F13701" s="3" t="n">
        <v>243.13</v>
      </c>
      <c r="G13701" s="3" t="n">
        <v>352.05</v>
      </c>
    </row>
    <row r="13702">
      <c r="A13702" s="3" t="inlineStr">
        <is>
          <t>Noble Shield (Pty) Ltd ta Go Letting</t>
        </is>
      </c>
      <c r="B13702" s="4" t="n">
        <v>45046</v>
      </c>
      <c r="C13702" s="3" t="inlineStr">
        <is>
          <t>Expenses</t>
        </is>
      </c>
      <c r="D13702" s="3" t="inlineStr">
        <is>
          <t>3200/000</t>
        </is>
      </c>
      <c r="E13702" s="3" t="inlineStr">
        <is>
          <t>Bank Charges</t>
        </is>
      </c>
      <c r="F13702" s="3" t="n">
        <v>533</v>
      </c>
      <c r="G13702" s="3" t="n">
        <v>5397.49</v>
      </c>
    </row>
    <row r="13703">
      <c r="A13703" s="3" t="inlineStr">
        <is>
          <t>Opportunity Global Investment (PTY) LTD</t>
        </is>
      </c>
      <c r="B13703" s="4" t="n">
        <v>45046</v>
      </c>
      <c r="C13703" s="3" t="inlineStr">
        <is>
          <t>Expenses</t>
        </is>
      </c>
      <c r="D13703" s="3" t="inlineStr">
        <is>
          <t>3200/000</t>
        </is>
      </c>
      <c r="E13703" s="3" t="inlineStr">
        <is>
          <t>Bank Charges</t>
        </is>
      </c>
      <c r="F13703" s="3" t="n">
        <v>482.86</v>
      </c>
      <c r="G13703" s="3" t="n">
        <v>883.01</v>
      </c>
    </row>
    <row r="13704">
      <c r="A13704" s="3" t="inlineStr">
        <is>
          <t>Opportunity Global Sales (PTY) LTD</t>
        </is>
      </c>
      <c r="B13704" s="4" t="n">
        <v>45046</v>
      </c>
      <c r="C13704" s="3" t="inlineStr">
        <is>
          <t>Expenses</t>
        </is>
      </c>
      <c r="D13704" s="3" t="inlineStr">
        <is>
          <t>3200/000</t>
        </is>
      </c>
      <c r="E13704" s="3" t="inlineStr">
        <is>
          <t>Bank Charges</t>
        </is>
      </c>
      <c r="F13704" s="3" t="n">
        <v>499.08</v>
      </c>
      <c r="G13704" s="3" t="n">
        <v>867.39</v>
      </c>
    </row>
    <row r="13705">
      <c r="A13705" s="3" t="inlineStr">
        <is>
          <t>Opportunity Management Holdings (PTY) LTD</t>
        </is>
      </c>
      <c r="B13705" s="4" t="n">
        <v>45046</v>
      </c>
      <c r="C13705" s="3" t="inlineStr">
        <is>
          <t>Expenses</t>
        </is>
      </c>
      <c r="D13705" s="3" t="inlineStr">
        <is>
          <t>3200/000</t>
        </is>
      </c>
      <c r="E13705" s="3" t="inlineStr">
        <is>
          <t>Bank Charges</t>
        </is>
      </c>
      <c r="F13705" s="3" t="n">
        <v>883.14</v>
      </c>
      <c r="G13705" s="3" t="n">
        <v>6152.37</v>
      </c>
    </row>
    <row r="13706">
      <c r="A13706" s="3" t="inlineStr">
        <is>
          <t>Quinate Consulting (Pty) Ltd</t>
        </is>
      </c>
      <c r="B13706" s="4" t="n">
        <v>45046</v>
      </c>
      <c r="C13706" s="3" t="inlineStr">
        <is>
          <t>Expenses</t>
        </is>
      </c>
      <c r="D13706" s="3" t="inlineStr">
        <is>
          <t>3200/000</t>
        </is>
      </c>
      <c r="E13706" s="3" t="inlineStr">
        <is>
          <t>Bank Charges</t>
        </is>
      </c>
      <c r="F13706" s="3" t="n">
        <v>717.4299999999999</v>
      </c>
      <c r="G13706" s="3" t="n">
        <v>2237.95</v>
      </c>
    </row>
    <row r="13707">
      <c r="A13707" s="3" t="inlineStr">
        <is>
          <t>Trademark Holdings (Pty) Ltd</t>
        </is>
      </c>
      <c r="B13707" s="4" t="n">
        <v>45046</v>
      </c>
      <c r="C13707" s="3" t="inlineStr">
        <is>
          <t>Expenses</t>
        </is>
      </c>
      <c r="D13707" s="3" t="inlineStr">
        <is>
          <t>3200/000</t>
        </is>
      </c>
      <c r="E13707" s="3" t="inlineStr">
        <is>
          <t>Bank Charges</t>
        </is>
      </c>
      <c r="F13707" s="3" t="n">
        <v>281.02</v>
      </c>
      <c r="G13707" s="3" t="n">
        <v>3075.48</v>
      </c>
    </row>
    <row r="13708">
      <c r="A13708" s="3" t="inlineStr">
        <is>
          <t>Quinate Consulting (Pty) Ltd</t>
        </is>
      </c>
      <c r="B13708" s="4" t="n">
        <v>45046</v>
      </c>
      <c r="C13708" s="3" t="inlineStr">
        <is>
          <t>Expenses</t>
        </is>
      </c>
      <c r="D13708" s="3" t="inlineStr">
        <is>
          <t>3220/000</t>
        </is>
      </c>
      <c r="E13708" s="3" t="inlineStr">
        <is>
          <t>Bank Charges - Bond Fees</t>
        </is>
      </c>
      <c r="F13708" s="3" t="n">
        <v>1117.41</v>
      </c>
      <c r="G13708" s="3" t="n">
        <v>2234.82</v>
      </c>
    </row>
    <row r="13709">
      <c r="A13709" s="3" t="inlineStr">
        <is>
          <t>Noble Shield (Pty) Ltd ta Go Letting</t>
        </is>
      </c>
      <c r="B13709" s="4" t="n">
        <v>45046</v>
      </c>
      <c r="C13709" s="3" t="inlineStr">
        <is>
          <t>Expenses</t>
        </is>
      </c>
      <c r="D13709" s="3" t="inlineStr">
        <is>
          <t>3230/000</t>
        </is>
      </c>
      <c r="E13709" s="3" t="inlineStr">
        <is>
          <t>Cell Phone - NM</t>
        </is>
      </c>
      <c r="F13709" s="3" t="n">
        <v>2260.24</v>
      </c>
      <c r="G13709" s="3" t="n">
        <v>17926.82</v>
      </c>
    </row>
    <row r="13710">
      <c r="A13710" s="3" t="inlineStr">
        <is>
          <t>Noble Shield (Pty) Ltd ta Go Letting</t>
        </is>
      </c>
      <c r="B13710" s="4" t="n">
        <v>45046</v>
      </c>
      <c r="C13710" s="3" t="inlineStr">
        <is>
          <t>Expenses</t>
        </is>
      </c>
      <c r="D13710" s="3" t="inlineStr">
        <is>
          <t>3233/000</t>
        </is>
      </c>
      <c r="E13710" s="3" t="inlineStr">
        <is>
          <t>Cell Data - Other</t>
        </is>
      </c>
      <c r="F13710" s="3" t="n">
        <v>199</v>
      </c>
      <c r="G13710" s="3" t="n">
        <v>1592</v>
      </c>
    </row>
    <row r="13711">
      <c r="A13711" s="3" t="inlineStr">
        <is>
          <t>Noble Shield (Pty) Ltd ta Go Letting</t>
        </is>
      </c>
      <c r="B13711" s="4" t="n">
        <v>45046</v>
      </c>
      <c r="C13711" s="3" t="inlineStr">
        <is>
          <t>Expenses</t>
        </is>
      </c>
      <c r="D13711" s="3" t="inlineStr">
        <is>
          <t>3233/100</t>
        </is>
      </c>
      <c r="E13711" s="3" t="inlineStr">
        <is>
          <t>Cell Data - Sales office Wifi</t>
        </is>
      </c>
      <c r="F13711" s="3" t="n">
        <v>385</v>
      </c>
      <c r="G13711" s="3" t="n">
        <v>2968</v>
      </c>
    </row>
    <row r="13712">
      <c r="A13712" s="3" t="inlineStr">
        <is>
          <t>Noble Shield (Pty) Ltd ta Go Letting</t>
        </is>
      </c>
      <c r="B13712" s="4" t="n">
        <v>45046</v>
      </c>
      <c r="C13712" s="3" t="inlineStr">
        <is>
          <t>Expenses</t>
        </is>
      </c>
      <c r="D13712" s="3" t="inlineStr">
        <is>
          <t>3250/000</t>
        </is>
      </c>
      <c r="E13712" s="3" t="inlineStr">
        <is>
          <t>Cleaning</t>
        </is>
      </c>
      <c r="F13712" s="3" t="n">
        <v>0</v>
      </c>
      <c r="G13712" s="3" t="n">
        <v>289.4</v>
      </c>
    </row>
    <row r="13713">
      <c r="A13713" s="3" t="inlineStr">
        <is>
          <t>Opportunity Global Investment (PTY) LTD</t>
        </is>
      </c>
      <c r="B13713" s="4" t="n">
        <v>45046</v>
      </c>
      <c r="C13713" s="3" t="inlineStr">
        <is>
          <t>Expenses</t>
        </is>
      </c>
      <c r="D13713" s="3" t="inlineStr">
        <is>
          <t>3250/000</t>
        </is>
      </c>
      <c r="E13713" s="3" t="inlineStr">
        <is>
          <t>Cleaning</t>
        </is>
      </c>
      <c r="F13713" s="3" t="n">
        <v>2700</v>
      </c>
      <c r="G13713" s="3" t="n">
        <v>5400</v>
      </c>
    </row>
    <row r="13714">
      <c r="A13714" s="3" t="inlineStr">
        <is>
          <t>Opportunity Management Holdings (PTY) LTD</t>
        </is>
      </c>
      <c r="B13714" s="4" t="n">
        <v>45046</v>
      </c>
      <c r="C13714" s="3" t="inlineStr">
        <is>
          <t>Expenses</t>
        </is>
      </c>
      <c r="D13714" s="3" t="inlineStr">
        <is>
          <t>3250/000</t>
        </is>
      </c>
      <c r="E13714" s="3" t="inlineStr">
        <is>
          <t>Cleaning</t>
        </is>
      </c>
      <c r="F13714" s="3" t="n">
        <v>2400</v>
      </c>
      <c r="G13714" s="3" t="n">
        <v>17262.45</v>
      </c>
    </row>
    <row r="13715">
      <c r="A13715" s="3" t="inlineStr">
        <is>
          <t>Trademark Holdings (Pty) Ltd</t>
        </is>
      </c>
      <c r="B13715" s="4" t="n">
        <v>45046</v>
      </c>
      <c r="C13715" s="3" t="inlineStr">
        <is>
          <t>Expenses</t>
        </is>
      </c>
      <c r="D13715" s="3" t="inlineStr">
        <is>
          <t>3250/000</t>
        </is>
      </c>
      <c r="E13715" s="3" t="inlineStr">
        <is>
          <t>Cleaning</t>
        </is>
      </c>
      <c r="F13715" s="3" t="n">
        <v>858</v>
      </c>
      <c r="G13715" s="3" t="n">
        <v>7436</v>
      </c>
    </row>
    <row r="13716">
      <c r="A13716" s="3" t="inlineStr">
        <is>
          <t>Noble Shield (Pty) Ltd ta Go Letting</t>
        </is>
      </c>
      <c r="B13716" s="4" t="n">
        <v>45046</v>
      </c>
      <c r="C13716" s="3" t="inlineStr">
        <is>
          <t>Expenses</t>
        </is>
      </c>
      <c r="D13716" s="3" t="inlineStr">
        <is>
          <t>3300/000</t>
        </is>
      </c>
      <c r="E13716" s="3" t="inlineStr">
        <is>
          <t>Computer Expenses</t>
        </is>
      </c>
      <c r="F13716" s="3" t="n">
        <v>0</v>
      </c>
      <c r="G13716" s="3" t="n">
        <v>1300</v>
      </c>
    </row>
    <row r="13717">
      <c r="A13717" s="3" t="inlineStr">
        <is>
          <t>Opportunity Management Holdings (PTY) LTD</t>
        </is>
      </c>
      <c r="B13717" s="4" t="n">
        <v>45046</v>
      </c>
      <c r="C13717" s="3" t="inlineStr">
        <is>
          <t>Expenses</t>
        </is>
      </c>
      <c r="D13717" s="3" t="inlineStr">
        <is>
          <t>3300/000</t>
        </is>
      </c>
      <c r="E13717" s="3" t="inlineStr">
        <is>
          <t>Computer Expenses</t>
        </is>
      </c>
      <c r="F13717" s="3" t="n">
        <v>0</v>
      </c>
      <c r="G13717" s="3" t="n">
        <v>6091.39</v>
      </c>
    </row>
    <row r="13718">
      <c r="A13718" s="3" t="inlineStr">
        <is>
          <t>Noble Shield (Pty) Ltd ta Go Letting</t>
        </is>
      </c>
      <c r="B13718" s="4" t="n">
        <v>45046</v>
      </c>
      <c r="C13718" s="3" t="inlineStr">
        <is>
          <t>Expenses</t>
        </is>
      </c>
      <c r="D13718" s="3" t="inlineStr">
        <is>
          <t>3300/120</t>
        </is>
      </c>
      <c r="E13718" s="3" t="inlineStr">
        <is>
          <t>Computer IT - Software Propworx</t>
        </is>
      </c>
      <c r="F13718" s="3" t="n">
        <v>2167.75</v>
      </c>
      <c r="G13718" s="3" t="n">
        <v>17261.5</v>
      </c>
    </row>
    <row r="13719">
      <c r="A13719" s="3" t="inlineStr">
        <is>
          <t>Trademark Holdings (Pty) Ltd</t>
        </is>
      </c>
      <c r="B13719" s="4" t="n">
        <v>45046</v>
      </c>
      <c r="C13719" s="3" t="inlineStr">
        <is>
          <t>Expenses</t>
        </is>
      </c>
      <c r="D13719" s="3" t="inlineStr">
        <is>
          <t>3300/130</t>
        </is>
      </c>
      <c r="E13719" s="3" t="inlineStr">
        <is>
          <t>Computer IT - Internet/Hosting Fees</t>
        </is>
      </c>
      <c r="F13719" s="3" t="n">
        <v>0</v>
      </c>
      <c r="G13719" s="3" t="n">
        <v>-3599.5</v>
      </c>
    </row>
    <row r="13720">
      <c r="A13720" s="3" t="inlineStr">
        <is>
          <t>Opportunity Management Holdings (PTY) LTD</t>
        </is>
      </c>
      <c r="B13720" s="4" t="n">
        <v>45046</v>
      </c>
      <c r="C13720" s="3" t="inlineStr">
        <is>
          <t>Expenses</t>
        </is>
      </c>
      <c r="D13720" s="3" t="inlineStr">
        <is>
          <t>3300/140</t>
        </is>
      </c>
      <c r="E13720" s="3" t="inlineStr">
        <is>
          <t>Computer IT</t>
        </is>
      </c>
      <c r="F13720" s="3" t="n">
        <v>0</v>
      </c>
      <c r="G13720" s="3" t="n">
        <v>22364.04</v>
      </c>
    </row>
    <row r="13721">
      <c r="A13721" s="3" t="inlineStr">
        <is>
          <t>Trademark Holdings (Pty) Ltd</t>
        </is>
      </c>
      <c r="B13721" s="4" t="n">
        <v>45046</v>
      </c>
      <c r="C13721" s="3" t="inlineStr">
        <is>
          <t>Expenses</t>
        </is>
      </c>
      <c r="D13721" s="3" t="inlineStr">
        <is>
          <t>3300/145</t>
        </is>
      </c>
      <c r="E13721" s="3" t="inlineStr">
        <is>
          <t>Computer IT - Cloud Solve</t>
        </is>
      </c>
      <c r="F13721" s="3" t="n">
        <v>0</v>
      </c>
      <c r="G13721" s="3" t="n">
        <v>6313.5</v>
      </c>
    </row>
    <row r="13722">
      <c r="A13722" s="3" t="inlineStr">
        <is>
          <t>Noble Shield (Pty) Ltd ta Go Letting</t>
        </is>
      </c>
      <c r="B13722" s="4" t="n">
        <v>45046</v>
      </c>
      <c r="C13722" s="3" t="inlineStr">
        <is>
          <t>Expenses</t>
        </is>
      </c>
      <c r="D13722" s="3" t="inlineStr">
        <is>
          <t>3300/170</t>
        </is>
      </c>
      <c r="E13722" s="3" t="inlineStr">
        <is>
          <t>Computer IT - VDB office Fibre</t>
        </is>
      </c>
      <c r="F13722" s="3" t="n">
        <v>790</v>
      </c>
      <c r="G13722" s="3" t="n">
        <v>6320</v>
      </c>
    </row>
    <row r="13723">
      <c r="A13723" s="3" t="inlineStr">
        <is>
          <t>Trademark Holdings (Pty) Ltd</t>
        </is>
      </c>
      <c r="B13723" s="4" t="n">
        <v>45046</v>
      </c>
      <c r="C13723" s="3" t="inlineStr">
        <is>
          <t>Expenses</t>
        </is>
      </c>
      <c r="D13723" s="3" t="inlineStr">
        <is>
          <t>3350/000</t>
        </is>
      </c>
      <c r="E13723" s="3" t="inlineStr">
        <is>
          <t>Consulting Fees</t>
        </is>
      </c>
      <c r="F13723" s="3" t="n">
        <v>22200</v>
      </c>
      <c r="G13723" s="3" t="n">
        <v>212400</v>
      </c>
    </row>
    <row r="13724">
      <c r="A13724" s="3" t="inlineStr">
        <is>
          <t>Opportunity Management Holdings (PTY) LTD</t>
        </is>
      </c>
      <c r="B13724" s="4" t="n">
        <v>45046</v>
      </c>
      <c r="C13724" s="3" t="inlineStr">
        <is>
          <t>Expenses</t>
        </is>
      </c>
      <c r="D13724" s="3" t="inlineStr">
        <is>
          <t>3350/100</t>
        </is>
      </c>
      <c r="E13724" s="3" t="inlineStr">
        <is>
          <t>Consulting Fee - Dirk Coetzee</t>
        </is>
      </c>
      <c r="F13724" s="3" t="n">
        <v>6000</v>
      </c>
      <c r="G13724" s="3" t="n">
        <v>58000</v>
      </c>
    </row>
    <row r="13725">
      <c r="A13725" s="3" t="inlineStr">
        <is>
          <t>Endulini (Pty) Ltd</t>
        </is>
      </c>
      <c r="B13725" s="4" t="n">
        <v>45046</v>
      </c>
      <c r="C13725" s="3" t="inlineStr">
        <is>
          <t>Expenses</t>
        </is>
      </c>
      <c r="D13725" s="3" t="inlineStr">
        <is>
          <t>3350/100</t>
        </is>
      </c>
      <c r="E13725" s="3" t="inlineStr">
        <is>
          <t>Consulting Fees - Admin and Finance</t>
        </is>
      </c>
      <c r="F13725" s="3" t="n">
        <v>49900</v>
      </c>
      <c r="G13725" s="3" t="n">
        <v>110922.57</v>
      </c>
    </row>
    <row r="13726">
      <c r="A13726" s="3" t="inlineStr">
        <is>
          <t>Opportunity Global Investment (PTY) LTD</t>
        </is>
      </c>
      <c r="B13726" s="4" t="n">
        <v>45046</v>
      </c>
      <c r="C13726" s="3" t="inlineStr">
        <is>
          <t>Expenses</t>
        </is>
      </c>
      <c r="D13726" s="3" t="inlineStr">
        <is>
          <t>3350/100</t>
        </is>
      </c>
      <c r="E13726" s="3" t="inlineStr">
        <is>
          <t>Consulting Fees - Admin and Finance</t>
        </is>
      </c>
      <c r="F13726" s="3" t="n">
        <v>13230</v>
      </c>
      <c r="G13726" s="3" t="n">
        <v>43843.8</v>
      </c>
    </row>
    <row r="13727">
      <c r="A13727" s="3" t="inlineStr">
        <is>
          <t>Opportunity Global Sales (PTY) LTD</t>
        </is>
      </c>
      <c r="B13727" s="4" t="n">
        <v>45046</v>
      </c>
      <c r="C13727" s="3" t="inlineStr">
        <is>
          <t>Expenses</t>
        </is>
      </c>
      <c r="D13727" s="3" t="inlineStr">
        <is>
          <t>3350/100</t>
        </is>
      </c>
      <c r="E13727" s="3" t="inlineStr">
        <is>
          <t>Consulting Fees - Admin and Finance</t>
        </is>
      </c>
      <c r="F13727" s="3" t="n">
        <v>15030</v>
      </c>
      <c r="G13727" s="3" t="n">
        <v>30052.5</v>
      </c>
    </row>
    <row r="13728">
      <c r="A13728" s="3" t="inlineStr">
        <is>
          <t>Opportunity Management Holdings (PTY) LTD</t>
        </is>
      </c>
      <c r="B13728" s="4" t="n">
        <v>45046</v>
      </c>
      <c r="C13728" s="3" t="inlineStr">
        <is>
          <t>Expenses</t>
        </is>
      </c>
      <c r="D13728" s="3" t="inlineStr">
        <is>
          <t>3350/200</t>
        </is>
      </c>
      <c r="E13728" s="3" t="inlineStr">
        <is>
          <t>Consulting Fee - Staff recruitment</t>
        </is>
      </c>
      <c r="F13728" s="3" t="n">
        <v>0</v>
      </c>
      <c r="G13728" s="3" t="n">
        <v>18240</v>
      </c>
    </row>
    <row r="13729">
      <c r="A13729" s="3" t="inlineStr">
        <is>
          <t>Opportunity Global Sales (PTY) LTD</t>
        </is>
      </c>
      <c r="B13729" s="4" t="n">
        <v>45046</v>
      </c>
      <c r="C13729" s="3" t="inlineStr">
        <is>
          <t>Expenses</t>
        </is>
      </c>
      <c r="D13729" s="3" t="inlineStr">
        <is>
          <t>3350/200</t>
        </is>
      </c>
      <c r="E13729" s="3" t="inlineStr">
        <is>
          <t>Consulting Fees - Agent Karien Muller</t>
        </is>
      </c>
      <c r="F13729" s="3" t="n">
        <v>0</v>
      </c>
      <c r="G13729" s="3" t="n">
        <v>10000</v>
      </c>
    </row>
    <row r="13730">
      <c r="A13730" s="3" t="inlineStr">
        <is>
          <t>Opportunity Global Investment (PTY) LTD</t>
        </is>
      </c>
      <c r="B13730" s="4" t="n">
        <v>45046</v>
      </c>
      <c r="C13730" s="3" t="inlineStr">
        <is>
          <t>Expenses</t>
        </is>
      </c>
      <c r="D13730" s="3" t="inlineStr">
        <is>
          <t>3350/200</t>
        </is>
      </c>
      <c r="E13730" s="3" t="inlineStr">
        <is>
          <t>Consulting Fees - Rockfin</t>
        </is>
      </c>
      <c r="F13730" s="3" t="n">
        <v>10000</v>
      </c>
      <c r="G13730" s="3" t="n">
        <v>20000</v>
      </c>
    </row>
    <row r="13731">
      <c r="A13731" s="3" t="inlineStr">
        <is>
          <t>Opportunity Management Holdings (PTY) LTD</t>
        </is>
      </c>
      <c r="B13731" s="4" t="n">
        <v>45046</v>
      </c>
      <c r="C13731" s="3" t="inlineStr">
        <is>
          <t>Expenses</t>
        </is>
      </c>
      <c r="D13731" s="3" t="inlineStr">
        <is>
          <t>3350/300</t>
        </is>
      </c>
      <c r="E13731" s="3" t="inlineStr">
        <is>
          <t>Consulting Fee - HR Joblaw</t>
        </is>
      </c>
      <c r="F13731" s="3" t="n">
        <v>1455.3</v>
      </c>
      <c r="G13731" s="3" t="n">
        <v>2910.6</v>
      </c>
    </row>
    <row r="13732">
      <c r="A13732" s="3" t="inlineStr">
        <is>
          <t>Quinate Consulting (Pty) Ltd</t>
        </is>
      </c>
      <c r="B13732" s="4" t="n">
        <v>45046</v>
      </c>
      <c r="C13732" s="3" t="inlineStr">
        <is>
          <t>Expenses</t>
        </is>
      </c>
      <c r="D13732" s="3" t="inlineStr">
        <is>
          <t>3350/300</t>
        </is>
      </c>
      <c r="E13732" s="3" t="inlineStr">
        <is>
          <t>Consulting Fees - Admin and Finance</t>
        </is>
      </c>
      <c r="F13732" s="3" t="n">
        <v>2100</v>
      </c>
      <c r="G13732" s="3" t="n">
        <v>4100</v>
      </c>
    </row>
    <row r="13733">
      <c r="A13733" s="3" t="inlineStr">
        <is>
          <t>Quinate Consulting (Pty) Ltd</t>
        </is>
      </c>
      <c r="B13733" s="4" t="n">
        <v>45046</v>
      </c>
      <c r="C13733" s="3" t="inlineStr">
        <is>
          <t>Expenses</t>
        </is>
      </c>
      <c r="D13733" s="3" t="inlineStr">
        <is>
          <t>3351/000</t>
        </is>
      </c>
      <c r="E13733" s="3" t="inlineStr">
        <is>
          <t>Consulting fees - Trustees</t>
        </is>
      </c>
      <c r="F13733" s="3" t="n">
        <v>8200</v>
      </c>
      <c r="G13733" s="3" t="n">
        <v>16200</v>
      </c>
    </row>
    <row r="13734">
      <c r="A13734" s="3" t="inlineStr">
        <is>
          <t>Quinate Consulting (Pty) Ltd</t>
        </is>
      </c>
      <c r="B13734" s="4" t="n">
        <v>45046</v>
      </c>
      <c r="C13734" s="3" t="inlineStr">
        <is>
          <t>Expenses</t>
        </is>
      </c>
      <c r="D13734" s="3" t="inlineStr">
        <is>
          <t>3450/001</t>
        </is>
      </c>
      <c r="E13734" s="3" t="inlineStr">
        <is>
          <t>Depreciation - Computer Equipment</t>
        </is>
      </c>
      <c r="F13734" s="3" t="n">
        <v>2331.65</v>
      </c>
      <c r="G13734" s="3" t="n">
        <v>4663.32</v>
      </c>
    </row>
    <row r="13735">
      <c r="A13735" s="3" t="inlineStr">
        <is>
          <t>Opportunity Global Investment (PTY) LTD</t>
        </is>
      </c>
      <c r="B13735" s="4" t="n">
        <v>45046</v>
      </c>
      <c r="C13735" s="3" t="inlineStr">
        <is>
          <t>Expenses</t>
        </is>
      </c>
      <c r="D13735" s="3" t="inlineStr">
        <is>
          <t>3450/001</t>
        </is>
      </c>
      <c r="E13735" s="3" t="inlineStr">
        <is>
          <t>Depreciation - Computer equipment</t>
        </is>
      </c>
      <c r="F13735" s="3" t="n">
        <v>880.08</v>
      </c>
      <c r="G13735" s="3" t="n">
        <v>1760.16</v>
      </c>
    </row>
    <row r="13736">
      <c r="A13736" s="3" t="inlineStr">
        <is>
          <t>Quinate Consulting (Pty) Ltd</t>
        </is>
      </c>
      <c r="B13736" s="4" t="n">
        <v>45046</v>
      </c>
      <c r="C13736" s="3" t="inlineStr">
        <is>
          <t>Expenses</t>
        </is>
      </c>
      <c r="D13736" s="3" t="inlineStr">
        <is>
          <t>3450/002</t>
        </is>
      </c>
      <c r="E13736" s="3" t="inlineStr">
        <is>
          <t>Depreciation - Site Containers</t>
        </is>
      </c>
      <c r="F13736" s="3" t="n">
        <v>318.84</v>
      </c>
      <c r="G13736" s="3" t="n">
        <v>637.6799999999999</v>
      </c>
    </row>
    <row r="13737">
      <c r="A13737" s="3" t="inlineStr">
        <is>
          <t>Opportunity Global Sales (PTY) LTD</t>
        </is>
      </c>
      <c r="B13737" s="4" t="n">
        <v>45046</v>
      </c>
      <c r="C13737" s="3" t="inlineStr">
        <is>
          <t>Expenses</t>
        </is>
      </c>
      <c r="D13737" s="3" t="inlineStr">
        <is>
          <t>3450/030</t>
        </is>
      </c>
      <c r="E13737" s="3" t="inlineStr">
        <is>
          <t>Depreciation - Furniture and Fittings</t>
        </is>
      </c>
      <c r="F13737" s="3" t="n">
        <v>408.05</v>
      </c>
      <c r="G13737" s="3" t="n">
        <v>816.1</v>
      </c>
    </row>
    <row r="13738">
      <c r="A13738" s="3" t="inlineStr">
        <is>
          <t>Opportunity Management Holdings (PTY) LTD</t>
        </is>
      </c>
      <c r="B13738" s="4" t="n">
        <v>45046</v>
      </c>
      <c r="C13738" s="3" t="inlineStr">
        <is>
          <t>Expenses</t>
        </is>
      </c>
      <c r="D13738" s="3" t="inlineStr">
        <is>
          <t>3451/000</t>
        </is>
      </c>
      <c r="E13738" s="3" t="inlineStr">
        <is>
          <t>Depreciation - Computer Equipment</t>
        </is>
      </c>
      <c r="F13738" s="3" t="n">
        <v>1035.19</v>
      </c>
      <c r="G13738" s="3" t="n">
        <v>6448.1</v>
      </c>
    </row>
    <row r="13739">
      <c r="A13739" s="3" t="inlineStr">
        <is>
          <t>Quinate Consulting (Pty) Ltd</t>
        </is>
      </c>
      <c r="B13739" s="4" t="n">
        <v>45046</v>
      </c>
      <c r="C13739" s="3" t="inlineStr">
        <is>
          <t>Expenses</t>
        </is>
      </c>
      <c r="D13739" s="3" t="inlineStr">
        <is>
          <t>3600/000</t>
        </is>
      </c>
      <c r="E13739" s="3" t="inlineStr">
        <is>
          <t>Donations</t>
        </is>
      </c>
      <c r="F13739" s="3" t="n">
        <v>572.45</v>
      </c>
      <c r="G13739" s="3" t="n">
        <v>1144.9</v>
      </c>
    </row>
    <row r="13740">
      <c r="A13740" s="3" t="inlineStr">
        <is>
          <t>Noble Shield (Pty) Ltd ta Go Letting</t>
        </is>
      </c>
      <c r="B13740" s="4" t="n">
        <v>45046</v>
      </c>
      <c r="C13740" s="3" t="inlineStr">
        <is>
          <t>Expenses</t>
        </is>
      </c>
      <c r="D13740" s="3" t="inlineStr">
        <is>
          <t>3650/000</t>
        </is>
      </c>
      <c r="E13740" s="3" t="inlineStr">
        <is>
          <t>Electricity _AND_ Water</t>
        </is>
      </c>
      <c r="F13740" s="3" t="n">
        <v>0</v>
      </c>
      <c r="G13740" s="3" t="n">
        <v>3400</v>
      </c>
    </row>
    <row r="13741">
      <c r="A13741" s="3" t="inlineStr">
        <is>
          <t>Opportunity Global Investment (PTY) LTD</t>
        </is>
      </c>
      <c r="B13741" s="4" t="n">
        <v>45046</v>
      </c>
      <c r="C13741" s="3" t="inlineStr">
        <is>
          <t>Expenses</t>
        </is>
      </c>
      <c r="D13741" s="3" t="inlineStr">
        <is>
          <t>3650/000</t>
        </is>
      </c>
      <c r="E13741" s="3" t="inlineStr">
        <is>
          <t>Electricity _AND_ Water</t>
        </is>
      </c>
      <c r="F13741" s="3" t="n">
        <v>2950</v>
      </c>
      <c r="G13741" s="3" t="n">
        <v>5900</v>
      </c>
    </row>
    <row r="13742">
      <c r="A13742" s="3" t="inlineStr">
        <is>
          <t>Quinate Consulting (Pty) Ltd</t>
        </is>
      </c>
      <c r="B13742" s="4" t="n">
        <v>45046</v>
      </c>
      <c r="C13742" s="3" t="inlineStr">
        <is>
          <t>Expenses</t>
        </is>
      </c>
      <c r="D13742" s="3" t="inlineStr">
        <is>
          <t>3651/000</t>
        </is>
      </c>
      <c r="E13742" s="3" t="inlineStr">
        <is>
          <t>Electricity _AND_ Water - Southwark</t>
        </is>
      </c>
      <c r="F13742" s="3" t="n">
        <v>0</v>
      </c>
      <c r="G13742" s="3" t="n">
        <v>3356.36</v>
      </c>
    </row>
    <row r="13743">
      <c r="A13743" s="3" t="inlineStr">
        <is>
          <t>Quinate Consulting (Pty) Ltd</t>
        </is>
      </c>
      <c r="B13743" s="4" t="n">
        <v>45046</v>
      </c>
      <c r="C13743" s="3" t="inlineStr">
        <is>
          <t>Expenses</t>
        </is>
      </c>
      <c r="D13743" s="3" t="inlineStr">
        <is>
          <t>3652/000</t>
        </is>
      </c>
      <c r="E13743" s="3" t="inlineStr">
        <is>
          <t>Electricity _AND_ Water - Soho</t>
        </is>
      </c>
      <c r="F13743" s="3" t="n">
        <v>20094.35</v>
      </c>
      <c r="G13743" s="3" t="n">
        <v>37464.47</v>
      </c>
    </row>
    <row r="13744">
      <c r="A13744" s="3" t="inlineStr">
        <is>
          <t>Quinate Consulting (Pty) Ltd</t>
        </is>
      </c>
      <c r="B13744" s="4" t="n">
        <v>45046</v>
      </c>
      <c r="C13744" s="3" t="inlineStr">
        <is>
          <t>Expenses</t>
        </is>
      </c>
      <c r="D13744" s="3" t="inlineStr">
        <is>
          <t>3653/000</t>
        </is>
      </c>
      <c r="E13744" s="3" t="inlineStr">
        <is>
          <t>Electricity _AND_ Water - Endulini</t>
        </is>
      </c>
      <c r="F13744" s="3" t="n">
        <v>355.41</v>
      </c>
      <c r="G13744" s="3" t="n">
        <v>0</v>
      </c>
    </row>
    <row r="13745">
      <c r="A13745" s="3" t="inlineStr">
        <is>
          <t>Noble Shield (Pty) Ltd ta Go Letting</t>
        </is>
      </c>
      <c r="B13745" s="4" t="n">
        <v>45046</v>
      </c>
      <c r="C13745" s="3" t="inlineStr">
        <is>
          <t>Expenses</t>
        </is>
      </c>
      <c r="D13745" s="3" t="inlineStr">
        <is>
          <t>3700/000</t>
        </is>
      </c>
      <c r="E13745" s="3" t="inlineStr">
        <is>
          <t>Entertainment Expenses</t>
        </is>
      </c>
      <c r="F13745" s="3" t="n">
        <v>0</v>
      </c>
      <c r="G13745" s="3" t="n">
        <v>1900</v>
      </c>
    </row>
    <row r="13746">
      <c r="A13746" s="3" t="inlineStr">
        <is>
          <t>Opportunity Global Investment (PTY) LTD</t>
        </is>
      </c>
      <c r="B13746" s="4" t="n">
        <v>45046</v>
      </c>
      <c r="C13746" s="3" t="inlineStr">
        <is>
          <t>Expenses</t>
        </is>
      </c>
      <c r="D13746" s="3" t="inlineStr">
        <is>
          <t>3700/000</t>
        </is>
      </c>
      <c r="E13746" s="3" t="inlineStr">
        <is>
          <t>Entertainment Expenses</t>
        </is>
      </c>
      <c r="F13746" s="3" t="n">
        <v>1580.87</v>
      </c>
      <c r="G13746" s="3" t="n">
        <v>1710.87</v>
      </c>
    </row>
    <row r="13747">
      <c r="A13747" s="3" t="inlineStr">
        <is>
          <t>Opportunity Global Sales (PTY) LTD</t>
        </is>
      </c>
      <c r="B13747" s="4" t="n">
        <v>45046</v>
      </c>
      <c r="C13747" s="3" t="inlineStr">
        <is>
          <t>Expenses</t>
        </is>
      </c>
      <c r="D13747" s="3" t="inlineStr">
        <is>
          <t>3700/000</t>
        </is>
      </c>
      <c r="E13747" s="3" t="inlineStr">
        <is>
          <t>Entertainment Expenses</t>
        </is>
      </c>
      <c r="F13747" s="3" t="n">
        <v>0</v>
      </c>
      <c r="G13747" s="3" t="n">
        <v>1480</v>
      </c>
    </row>
    <row r="13748">
      <c r="A13748" s="3" t="inlineStr">
        <is>
          <t>Opportunity Management Holdings (PTY) LTD</t>
        </is>
      </c>
      <c r="B13748" s="4" t="n">
        <v>45046</v>
      </c>
      <c r="C13748" s="3" t="inlineStr">
        <is>
          <t>Expenses</t>
        </is>
      </c>
      <c r="D13748" s="3" t="inlineStr">
        <is>
          <t>3700/000</t>
        </is>
      </c>
      <c r="E13748" s="3" t="inlineStr">
        <is>
          <t>Entertainment Expenses</t>
        </is>
      </c>
      <c r="F13748" s="3" t="n">
        <v>0</v>
      </c>
      <c r="G13748" s="3" t="n">
        <v>1693.38</v>
      </c>
    </row>
    <row r="13749">
      <c r="A13749" s="3" t="inlineStr">
        <is>
          <t>Quinate Consulting (Pty) Ltd</t>
        </is>
      </c>
      <c r="B13749" s="4" t="n">
        <v>45046</v>
      </c>
      <c r="C13749" s="3" t="inlineStr">
        <is>
          <t>Expenses</t>
        </is>
      </c>
      <c r="D13749" s="3" t="inlineStr">
        <is>
          <t>3700/000</t>
        </is>
      </c>
      <c r="E13749" s="3" t="inlineStr">
        <is>
          <t>Entertainment Expenses</t>
        </is>
      </c>
      <c r="F13749" s="3" t="n">
        <v>2119.91</v>
      </c>
      <c r="G13749" s="3" t="n">
        <v>2709.35</v>
      </c>
    </row>
    <row r="13750">
      <c r="A13750" s="3" t="inlineStr">
        <is>
          <t>Opportunity Management Holdings (PTY) LTD</t>
        </is>
      </c>
      <c r="B13750" s="4" t="n">
        <v>45046</v>
      </c>
      <c r="C13750" s="3" t="inlineStr">
        <is>
          <t>Expenses</t>
        </is>
      </c>
      <c r="D13750" s="3" t="inlineStr">
        <is>
          <t>3850/000</t>
        </is>
      </c>
      <c r="E13750" s="3" t="inlineStr">
        <is>
          <t>Insurance - Momentum</t>
        </is>
      </c>
      <c r="F13750" s="3" t="n">
        <v>1696.06</v>
      </c>
      <c r="G13750" s="3" t="n">
        <v>12662.28</v>
      </c>
    </row>
    <row r="13751">
      <c r="A13751" s="3" t="inlineStr">
        <is>
          <t>Noble Shield (Pty) Ltd ta Go Letting</t>
        </is>
      </c>
      <c r="B13751" s="4" t="n">
        <v>45046</v>
      </c>
      <c r="C13751" s="3" t="inlineStr">
        <is>
          <t>Expenses</t>
        </is>
      </c>
      <c r="D13751" s="3" t="inlineStr">
        <is>
          <t>3850/100</t>
        </is>
      </c>
      <c r="E13751" s="3" t="inlineStr">
        <is>
          <t>Insurance - Santam</t>
        </is>
      </c>
      <c r="F13751" s="3" t="n">
        <v>3883.7</v>
      </c>
      <c r="G13751" s="3" t="n">
        <v>30488.87</v>
      </c>
    </row>
    <row r="13752">
      <c r="A13752" s="3" t="inlineStr">
        <is>
          <t>Noble Shield (Pty) Ltd ta Go Letting</t>
        </is>
      </c>
      <c r="B13752" s="4" t="n">
        <v>45046</v>
      </c>
      <c r="C13752" s="3" t="inlineStr">
        <is>
          <t>Expenses</t>
        </is>
      </c>
      <c r="D13752" s="3" t="inlineStr">
        <is>
          <t>3850/200</t>
        </is>
      </c>
      <c r="E13752" s="3" t="inlineStr">
        <is>
          <t>Insurance - A_AND_G</t>
        </is>
      </c>
      <c r="F13752" s="3" t="n">
        <v>4488.92</v>
      </c>
      <c r="G13752" s="3" t="n">
        <v>17509.38</v>
      </c>
    </row>
    <row r="13753">
      <c r="A13753" s="3" t="inlineStr">
        <is>
          <t>Quinate Consulting (Pty) Ltd</t>
        </is>
      </c>
      <c r="B13753" s="4" t="n">
        <v>45046</v>
      </c>
      <c r="C13753" s="3" t="inlineStr">
        <is>
          <t>Expenses</t>
        </is>
      </c>
      <c r="D13753" s="3" t="inlineStr">
        <is>
          <t>3851/000</t>
        </is>
      </c>
      <c r="E13753" s="3" t="inlineStr">
        <is>
          <t>Insurance - Momentum</t>
        </is>
      </c>
      <c r="F13753" s="3" t="n">
        <v>7990.64</v>
      </c>
      <c r="G13753" s="3" t="n">
        <v>15981.28</v>
      </c>
    </row>
    <row r="13754">
      <c r="A13754" s="3" t="inlineStr">
        <is>
          <t>Quinate Consulting (Pty) Ltd</t>
        </is>
      </c>
      <c r="B13754" s="4" t="n">
        <v>45046</v>
      </c>
      <c r="C13754" s="3" t="inlineStr">
        <is>
          <t>Expenses</t>
        </is>
      </c>
      <c r="D13754" s="3" t="inlineStr">
        <is>
          <t>3900/050</t>
        </is>
      </c>
      <c r="E13754" s="3" t="inlineStr">
        <is>
          <t>Interest Paid - STD Bond Accounts</t>
        </is>
      </c>
      <c r="F13754" s="3" t="n">
        <v>38955.95</v>
      </c>
      <c r="G13754" s="3" t="n">
        <v>77911.89999999999</v>
      </c>
    </row>
    <row r="13755">
      <c r="A13755" s="3" t="inlineStr">
        <is>
          <t>Quinate Consulting (Pty) Ltd</t>
        </is>
      </c>
      <c r="B13755" s="4" t="n">
        <v>45046</v>
      </c>
      <c r="C13755" s="3" t="inlineStr">
        <is>
          <t>Expenses</t>
        </is>
      </c>
      <c r="D13755" s="3" t="inlineStr">
        <is>
          <t>3900/152</t>
        </is>
      </c>
      <c r="E13755" s="3" t="inlineStr">
        <is>
          <t>Interest Paid - Gengis</t>
        </is>
      </c>
      <c r="F13755" s="3" t="n">
        <v>3402.74</v>
      </c>
      <c r="G13755" s="3" t="n">
        <v>6918.9</v>
      </c>
    </row>
    <row r="13756">
      <c r="A13756" s="3" t="inlineStr">
        <is>
          <t>Opportunity Management Holdings (PTY) LTD</t>
        </is>
      </c>
      <c r="B13756" s="4" t="n">
        <v>45046</v>
      </c>
      <c r="C13756" s="3" t="inlineStr">
        <is>
          <t>Expenses</t>
        </is>
      </c>
      <c r="D13756" s="3" t="inlineStr">
        <is>
          <t>3960/000</t>
        </is>
      </c>
      <c r="E13756" s="3" t="inlineStr">
        <is>
          <t>Internet Fees</t>
        </is>
      </c>
      <c r="F13756" s="3" t="n">
        <v>605.49</v>
      </c>
      <c r="G13756" s="3" t="n">
        <v>4693.5</v>
      </c>
    </row>
    <row r="13757">
      <c r="A13757" s="3" t="inlineStr">
        <is>
          <t>Quinate Consulting (Pty) Ltd</t>
        </is>
      </c>
      <c r="B13757" s="4" t="n">
        <v>45046</v>
      </c>
      <c r="C13757" s="3" t="inlineStr">
        <is>
          <t>Expenses</t>
        </is>
      </c>
      <c r="D13757" s="3" t="inlineStr">
        <is>
          <t>4000/000</t>
        </is>
      </c>
      <c r="E13757" s="3" t="inlineStr">
        <is>
          <t>Legal Fees</t>
        </is>
      </c>
      <c r="F13757" s="3" t="n">
        <v>32450</v>
      </c>
      <c r="G13757" s="3" t="n">
        <v>32450</v>
      </c>
    </row>
    <row r="13758">
      <c r="A13758" s="3" t="inlineStr">
        <is>
          <t>Quinate Consulting (Pty) Ltd</t>
        </is>
      </c>
      <c r="B13758" s="4" t="n">
        <v>45046</v>
      </c>
      <c r="C13758" s="3" t="inlineStr">
        <is>
          <t>Expenses</t>
        </is>
      </c>
      <c r="D13758" s="3" t="inlineStr">
        <is>
          <t>4065/000</t>
        </is>
      </c>
      <c r="E13758" s="3" t="inlineStr">
        <is>
          <t>Levies - SoHo</t>
        </is>
      </c>
      <c r="F13758" s="3" t="n">
        <v>7516.83</v>
      </c>
      <c r="G13758" s="3" t="n">
        <v>14206.41</v>
      </c>
    </row>
    <row r="13759">
      <c r="A13759" s="3" t="inlineStr">
        <is>
          <t>Quinate Consulting (Pty) Ltd</t>
        </is>
      </c>
      <c r="B13759" s="4" t="n">
        <v>45046</v>
      </c>
      <c r="C13759" s="3" t="inlineStr">
        <is>
          <t>Expenses</t>
        </is>
      </c>
      <c r="D13759" s="3" t="inlineStr">
        <is>
          <t>4066/000</t>
        </is>
      </c>
      <c r="E13759" s="3" t="inlineStr">
        <is>
          <t>Levies - Southwark</t>
        </is>
      </c>
      <c r="F13759" s="3" t="n">
        <v>3422.18</v>
      </c>
      <c r="G13759" s="3" t="n">
        <v>6844.36</v>
      </c>
    </row>
    <row r="13760">
      <c r="A13760" s="3" t="inlineStr">
        <is>
          <t>Quinate Consulting (Pty) Ltd</t>
        </is>
      </c>
      <c r="B13760" s="4" t="n">
        <v>45046</v>
      </c>
      <c r="C13760" s="3" t="inlineStr">
        <is>
          <t>Expenses</t>
        </is>
      </c>
      <c r="D13760" s="3" t="inlineStr">
        <is>
          <t>4067/000</t>
        </is>
      </c>
      <c r="E13760" s="3" t="inlineStr">
        <is>
          <t>Levies - C4 Property</t>
        </is>
      </c>
      <c r="F13760" s="3" t="n">
        <v>9591.93</v>
      </c>
      <c r="G13760" s="3" t="n">
        <v>12419.07</v>
      </c>
    </row>
    <row r="13761">
      <c r="A13761" s="3" t="inlineStr">
        <is>
          <t>Endulini (Pty) Ltd</t>
        </is>
      </c>
      <c r="B13761" s="4" t="n">
        <v>45046</v>
      </c>
      <c r="C13761" s="3" t="inlineStr">
        <is>
          <t>Expenses</t>
        </is>
      </c>
      <c r="D13761" s="3" t="inlineStr">
        <is>
          <t>4100/001</t>
        </is>
      </c>
      <c r="E13761" s="3" t="inlineStr">
        <is>
          <t>Momentum Admin Fee</t>
        </is>
      </c>
      <c r="F13761" s="3" t="n">
        <v>1.14</v>
      </c>
      <c r="G13761" s="3" t="n">
        <v>2.17</v>
      </c>
    </row>
    <row r="13762">
      <c r="A13762" s="3" t="inlineStr">
        <is>
          <t>Quinate Consulting (Pty) Ltd</t>
        </is>
      </c>
      <c r="B13762" s="4" t="n">
        <v>45046</v>
      </c>
      <c r="C13762" s="3" t="inlineStr">
        <is>
          <t>Expenses</t>
        </is>
      </c>
      <c r="D13762" s="3" t="inlineStr">
        <is>
          <t>4100/001</t>
        </is>
      </c>
      <c r="E13762" s="3" t="inlineStr">
        <is>
          <t>Momentum Advise Fee</t>
        </is>
      </c>
      <c r="F13762" s="3" t="n">
        <v>0.23</v>
      </c>
      <c r="G13762" s="3" t="n">
        <v>0.44</v>
      </c>
    </row>
    <row r="13763">
      <c r="A13763" s="3" t="inlineStr">
        <is>
          <t>Opportunity Global Investment (PTY) LTD</t>
        </is>
      </c>
      <c r="B13763" s="4" t="n">
        <v>45046</v>
      </c>
      <c r="C13763" s="3" t="inlineStr">
        <is>
          <t>Expenses</t>
        </is>
      </c>
      <c r="D13763" s="3" t="inlineStr">
        <is>
          <t>4100/100</t>
        </is>
      </c>
      <c r="E13763" s="3" t="inlineStr">
        <is>
          <t>Members Salaries - Nick Morgan</t>
        </is>
      </c>
      <c r="F13763" s="3" t="n">
        <v>41251.62</v>
      </c>
      <c r="G13763" s="3" t="n">
        <v>82503.23</v>
      </c>
    </row>
    <row r="13764">
      <c r="A13764" s="3" t="inlineStr">
        <is>
          <t>Noble Shield (Pty) Ltd ta Go Letting</t>
        </is>
      </c>
      <c r="B13764" s="4" t="n">
        <v>45046</v>
      </c>
      <c r="C13764" s="3" t="inlineStr">
        <is>
          <t>Expenses</t>
        </is>
      </c>
      <c r="D13764" s="3" t="inlineStr">
        <is>
          <t>4200/000</t>
        </is>
      </c>
      <c r="E13764" s="3" t="inlineStr">
        <is>
          <t>Printing _AND_ Stationery</t>
        </is>
      </c>
      <c r="F13764" s="3" t="n">
        <v>1035</v>
      </c>
      <c r="G13764" s="3" t="n">
        <v>1035</v>
      </c>
    </row>
    <row r="13765">
      <c r="A13765" s="3" t="inlineStr">
        <is>
          <t>Opportunity Global Investment (PTY) LTD</t>
        </is>
      </c>
      <c r="B13765" s="4" t="n">
        <v>45046</v>
      </c>
      <c r="C13765" s="3" t="inlineStr">
        <is>
          <t>Expenses</t>
        </is>
      </c>
      <c r="D13765" s="3" t="inlineStr">
        <is>
          <t>4200/000</t>
        </is>
      </c>
      <c r="E13765" s="3" t="inlineStr">
        <is>
          <t>Printing _AND_ Stationery</t>
        </is>
      </c>
      <c r="F13765" s="3" t="n">
        <v>2367</v>
      </c>
      <c r="G13765" s="3" t="n">
        <v>4734</v>
      </c>
    </row>
    <row r="13766">
      <c r="A13766" s="3" t="inlineStr">
        <is>
          <t>Opportunity Global Sales (PTY) LTD</t>
        </is>
      </c>
      <c r="B13766" s="4" t="n">
        <v>45046</v>
      </c>
      <c r="C13766" s="3" t="inlineStr">
        <is>
          <t>Expenses</t>
        </is>
      </c>
      <c r="D13766" s="3" t="inlineStr">
        <is>
          <t>4200/000</t>
        </is>
      </c>
      <c r="E13766" s="3" t="inlineStr">
        <is>
          <t>Printing _AND_ Stationery</t>
        </is>
      </c>
      <c r="F13766" s="3" t="n">
        <v>0</v>
      </c>
      <c r="G13766" s="3" t="n">
        <v>286.96</v>
      </c>
    </row>
    <row r="13767">
      <c r="A13767" s="3" t="inlineStr">
        <is>
          <t>Opportunity Management Holdings (PTY) LTD</t>
        </is>
      </c>
      <c r="B13767" s="4" t="n">
        <v>45046</v>
      </c>
      <c r="C13767" s="3" t="inlineStr">
        <is>
          <t>Expenses</t>
        </is>
      </c>
      <c r="D13767" s="3" t="inlineStr">
        <is>
          <t>4200/000</t>
        </is>
      </c>
      <c r="E13767" s="3" t="inlineStr">
        <is>
          <t>Printing _AND_ Stationery</t>
        </is>
      </c>
      <c r="F13767" s="3" t="n">
        <v>3218.08</v>
      </c>
      <c r="G13767" s="3" t="n">
        <v>20658.04</v>
      </c>
    </row>
    <row r="13768">
      <c r="A13768" s="3" t="inlineStr">
        <is>
          <t>Noble Shield (Pty) Ltd ta Go Letting</t>
        </is>
      </c>
      <c r="B13768" s="4" t="n">
        <v>45046</v>
      </c>
      <c r="C13768" s="3" t="inlineStr">
        <is>
          <t>Expenses</t>
        </is>
      </c>
      <c r="D13768" s="3" t="inlineStr">
        <is>
          <t>4200/100</t>
        </is>
      </c>
      <c r="E13768" s="3" t="inlineStr">
        <is>
          <t>Printing - Merchant West- Printer Rental</t>
        </is>
      </c>
      <c r="F13768" s="3" t="n">
        <v>1630.17</v>
      </c>
      <c r="G13768" s="3" t="n">
        <v>13025.59</v>
      </c>
    </row>
    <row r="13769">
      <c r="A13769" s="3" t="inlineStr">
        <is>
          <t>Noble Shield (Pty) Ltd ta Go Letting</t>
        </is>
      </c>
      <c r="B13769" s="4" t="n">
        <v>45046</v>
      </c>
      <c r="C13769" s="3" t="inlineStr">
        <is>
          <t>Expenses</t>
        </is>
      </c>
      <c r="D13769" s="3" t="inlineStr">
        <is>
          <t>4200/120</t>
        </is>
      </c>
      <c r="E13769" s="3" t="inlineStr">
        <is>
          <t>Printing - Ivy Line - Prints</t>
        </is>
      </c>
      <c r="F13769" s="3" t="n">
        <v>1495.35</v>
      </c>
      <c r="G13769" s="3" t="n">
        <v>7273.77</v>
      </c>
    </row>
    <row r="13770">
      <c r="A13770" s="3" t="inlineStr">
        <is>
          <t>Noble Shield (Pty) Ltd ta Go Letting</t>
        </is>
      </c>
      <c r="B13770" s="4" t="n">
        <v>45046</v>
      </c>
      <c r="C13770" s="3" t="inlineStr">
        <is>
          <t>Expenses</t>
        </is>
      </c>
      <c r="D13770" s="3" t="inlineStr">
        <is>
          <t>4200/180</t>
        </is>
      </c>
      <c r="E13770" s="3" t="inlineStr">
        <is>
          <t>Printing - Ikon</t>
        </is>
      </c>
      <c r="F13770" s="3" t="n">
        <v>366.11</v>
      </c>
      <c r="G13770" s="3" t="n">
        <v>1074.09</v>
      </c>
    </row>
    <row r="13771">
      <c r="A13771" s="3" t="inlineStr">
        <is>
          <t>Noble Shield (Pty) Ltd ta Go Letting</t>
        </is>
      </c>
      <c r="B13771" s="4" t="n">
        <v>45046</v>
      </c>
      <c r="C13771" s="3" t="inlineStr">
        <is>
          <t>Expenses</t>
        </is>
      </c>
      <c r="D13771" s="3" t="inlineStr">
        <is>
          <t>4200/190</t>
        </is>
      </c>
      <c r="E13771" s="3" t="inlineStr">
        <is>
          <t>Printing - Centrafin printer rental</t>
        </is>
      </c>
      <c r="F13771" s="3" t="n">
        <v>2882.81</v>
      </c>
      <c r="G13771" s="3" t="n">
        <v>21786</v>
      </c>
    </row>
    <row r="13772">
      <c r="A13772" s="3" t="inlineStr">
        <is>
          <t>Noble Shield (Pty) Ltd ta Go Letting</t>
        </is>
      </c>
      <c r="B13772" s="4" t="n">
        <v>45046</v>
      </c>
      <c r="C13772" s="3" t="inlineStr">
        <is>
          <t>Expenses</t>
        </is>
      </c>
      <c r="D13772" s="3" t="inlineStr">
        <is>
          <t>4200/200</t>
        </is>
      </c>
      <c r="E13772" s="3" t="inlineStr">
        <is>
          <t>Printing - General Stationery VDB Office</t>
        </is>
      </c>
      <c r="F13772" s="3" t="n">
        <v>354.04</v>
      </c>
      <c r="G13772" s="3" t="n">
        <v>6015.26</v>
      </c>
    </row>
    <row r="13773">
      <c r="A13773" s="3" t="inlineStr">
        <is>
          <t>Opportunity Global Investment (PTY) LTD</t>
        </is>
      </c>
      <c r="B13773" s="4" t="n">
        <v>45046</v>
      </c>
      <c r="C13773" s="3" t="inlineStr">
        <is>
          <t>Expenses</t>
        </is>
      </c>
      <c r="D13773" s="3" t="inlineStr">
        <is>
          <t>4220/000</t>
        </is>
      </c>
      <c r="E13773" s="3" t="inlineStr">
        <is>
          <t>Motor Vehicle Expenses - Petrol _AND_ Oil</t>
        </is>
      </c>
      <c r="F13773" s="3" t="n">
        <v>1702.13</v>
      </c>
      <c r="G13773" s="3" t="n">
        <v>3546.39</v>
      </c>
    </row>
    <row r="13774">
      <c r="A13774" s="3" t="inlineStr">
        <is>
          <t>Noble Shield (Pty) Ltd ta Go Letting</t>
        </is>
      </c>
      <c r="B13774" s="4" t="n">
        <v>45046</v>
      </c>
      <c r="C13774" s="3" t="inlineStr">
        <is>
          <t>Expenses</t>
        </is>
      </c>
      <c r="D13774" s="3" t="inlineStr">
        <is>
          <t>4290/000</t>
        </is>
      </c>
      <c r="E13774" s="3" t="inlineStr">
        <is>
          <t>Refreshments - CT Office</t>
        </is>
      </c>
      <c r="F13774" s="3" t="n">
        <v>1327.83</v>
      </c>
      <c r="G13774" s="3" t="n">
        <v>8346.76</v>
      </c>
    </row>
    <row r="13775">
      <c r="A13775" s="3" t="inlineStr">
        <is>
          <t>Opportunity Global Investment (PTY) LTD</t>
        </is>
      </c>
      <c r="B13775" s="4" t="n">
        <v>45046</v>
      </c>
      <c r="C13775" s="3" t="inlineStr">
        <is>
          <t>Expenses</t>
        </is>
      </c>
      <c r="D13775" s="3" t="inlineStr">
        <is>
          <t>4290/000</t>
        </is>
      </c>
      <c r="E13775" s="3" t="inlineStr">
        <is>
          <t>Rent</t>
        </is>
      </c>
      <c r="F13775" s="3" t="n">
        <v>8770</v>
      </c>
      <c r="G13775" s="3" t="n">
        <v>17540</v>
      </c>
    </row>
    <row r="13776">
      <c r="A13776" s="3" t="inlineStr">
        <is>
          <t>Noble Shield (Pty) Ltd ta Go Letting</t>
        </is>
      </c>
      <c r="B13776" s="4" t="n">
        <v>45046</v>
      </c>
      <c r="C13776" s="3" t="inlineStr">
        <is>
          <t>Expenses</t>
        </is>
      </c>
      <c r="D13776" s="3" t="inlineStr">
        <is>
          <t>4291/000</t>
        </is>
      </c>
      <c r="E13776" s="3" t="inlineStr">
        <is>
          <t>Refreshments - VDB Office</t>
        </is>
      </c>
      <c r="F13776" s="3" t="n">
        <v>0</v>
      </c>
      <c r="G13776" s="3" t="n">
        <v>3130.25</v>
      </c>
    </row>
    <row r="13777">
      <c r="A13777" s="3" t="inlineStr">
        <is>
          <t>Trademark Holdings (Pty) Ltd</t>
        </is>
      </c>
      <c r="B13777" s="4" t="n">
        <v>45046</v>
      </c>
      <c r="C13777" s="3" t="inlineStr">
        <is>
          <t>Expenses</t>
        </is>
      </c>
      <c r="D13777" s="3" t="inlineStr">
        <is>
          <t>4300/000</t>
        </is>
      </c>
      <c r="E13777" s="3" t="inlineStr">
        <is>
          <t>Rent Paid</t>
        </is>
      </c>
      <c r="F13777" s="3" t="n">
        <v>6532</v>
      </c>
      <c r="G13777" s="3" t="n">
        <v>52032.57</v>
      </c>
    </row>
    <row r="13778">
      <c r="A13778" s="3" t="inlineStr">
        <is>
          <t>Opportunity Global Investment (PTY) LTD</t>
        </is>
      </c>
      <c r="B13778" s="4" t="n">
        <v>45046</v>
      </c>
      <c r="C13778" s="3" t="inlineStr">
        <is>
          <t>Expenses</t>
        </is>
      </c>
      <c r="D13778" s="3" t="inlineStr">
        <is>
          <t>4310/000</t>
        </is>
      </c>
      <c r="E13778" s="3" t="inlineStr">
        <is>
          <t>Refreshments</t>
        </is>
      </c>
      <c r="F13778" s="3" t="n">
        <v>2521</v>
      </c>
      <c r="G13778" s="3" t="n">
        <v>5042</v>
      </c>
    </row>
    <row r="13779">
      <c r="A13779" s="3" t="inlineStr">
        <is>
          <t>Opportunity Management Holdings (PTY) LTD</t>
        </is>
      </c>
      <c r="B13779" s="4" t="n">
        <v>45046</v>
      </c>
      <c r="C13779" s="3" t="inlineStr">
        <is>
          <t>Expenses</t>
        </is>
      </c>
      <c r="D13779" s="3" t="inlineStr">
        <is>
          <t>4310/000</t>
        </is>
      </c>
      <c r="E13779" s="3" t="inlineStr">
        <is>
          <t>Refreshments</t>
        </is>
      </c>
      <c r="F13779" s="3" t="n">
        <v>0</v>
      </c>
      <c r="G13779" s="3" t="n">
        <v>6398.35</v>
      </c>
    </row>
    <row r="13780">
      <c r="A13780" s="3" t="inlineStr">
        <is>
          <t>Quinate Consulting (Pty) Ltd</t>
        </is>
      </c>
      <c r="B13780" s="4" t="n">
        <v>45046</v>
      </c>
      <c r="C13780" s="3" t="inlineStr">
        <is>
          <t>Expenses</t>
        </is>
      </c>
      <c r="D13780" s="3" t="inlineStr">
        <is>
          <t>4312/000</t>
        </is>
      </c>
      <c r="E13780" s="3" t="inlineStr">
        <is>
          <t>Rates - SoHo Units</t>
        </is>
      </c>
      <c r="F13780" s="3" t="n">
        <v>2688.49</v>
      </c>
      <c r="G13780" s="3" t="n">
        <v>5009.86</v>
      </c>
    </row>
    <row r="13781">
      <c r="A13781" s="3" t="inlineStr">
        <is>
          <t>Noble Shield (Pty) Ltd ta Go Letting</t>
        </is>
      </c>
      <c r="B13781" s="4" t="n">
        <v>45046</v>
      </c>
      <c r="C13781" s="3" t="inlineStr">
        <is>
          <t>Expenses</t>
        </is>
      </c>
      <c r="D13781" s="3" t="inlineStr">
        <is>
          <t>4350/000</t>
        </is>
      </c>
      <c r="E13781" s="3" t="inlineStr">
        <is>
          <t>Repairs _AND_ Maintenance</t>
        </is>
      </c>
      <c r="F13781" s="3" t="n">
        <v>0</v>
      </c>
      <c r="G13781" s="3" t="n">
        <v>710</v>
      </c>
    </row>
    <row r="13782">
      <c r="A13782" s="3" t="inlineStr">
        <is>
          <t>Opportunity Management Holdings (PTY) LTD</t>
        </is>
      </c>
      <c r="B13782" s="4" t="n">
        <v>45046</v>
      </c>
      <c r="C13782" s="3" t="inlineStr">
        <is>
          <t>Expenses</t>
        </is>
      </c>
      <c r="D13782" s="3" t="inlineStr">
        <is>
          <t>4350/000</t>
        </is>
      </c>
      <c r="E13782" s="3" t="inlineStr">
        <is>
          <t>Repairs _AND_ Maintenance</t>
        </is>
      </c>
      <c r="F13782" s="3" t="n">
        <v>573.91</v>
      </c>
      <c r="G13782" s="3" t="n">
        <v>1417.28</v>
      </c>
    </row>
    <row r="13783">
      <c r="A13783" s="3" t="inlineStr">
        <is>
          <t>Quinate Consulting (Pty) Ltd</t>
        </is>
      </c>
      <c r="B13783" s="4" t="n">
        <v>45046</v>
      </c>
      <c r="C13783" s="3" t="inlineStr">
        <is>
          <t>Expenses</t>
        </is>
      </c>
      <c r="D13783" s="3" t="inlineStr">
        <is>
          <t>4350/000</t>
        </is>
      </c>
      <c r="E13783" s="3" t="inlineStr">
        <is>
          <t>Repairs and Maintenance - Southwark Units</t>
        </is>
      </c>
      <c r="F13783" s="3" t="n">
        <v>0</v>
      </c>
      <c r="G13783" s="3" t="n">
        <v>2350</v>
      </c>
    </row>
    <row r="13784">
      <c r="A13784" s="3" t="inlineStr">
        <is>
          <t>Opportunity Global Sales (PTY) LTD</t>
        </is>
      </c>
      <c r="B13784" s="4" t="n">
        <v>45046</v>
      </c>
      <c r="C13784" s="3" t="inlineStr">
        <is>
          <t>Expenses</t>
        </is>
      </c>
      <c r="D13784" s="3" t="inlineStr">
        <is>
          <t>4390/000</t>
        </is>
      </c>
      <c r="E13784" s="3" t="inlineStr">
        <is>
          <t>Small Assets</t>
        </is>
      </c>
      <c r="F13784" s="3" t="n">
        <v>0</v>
      </c>
      <c r="G13784" s="3" t="n">
        <v>1477.39</v>
      </c>
    </row>
    <row r="13785">
      <c r="A13785" s="3" t="inlineStr">
        <is>
          <t>Opportunity Management Holdings (PTY) LTD</t>
        </is>
      </c>
      <c r="B13785" s="4" t="n">
        <v>45046</v>
      </c>
      <c r="C13785" s="3" t="inlineStr">
        <is>
          <t>Expenses</t>
        </is>
      </c>
      <c r="D13785" s="3" t="inlineStr">
        <is>
          <t>4390/000</t>
        </is>
      </c>
      <c r="E13785" s="3" t="inlineStr">
        <is>
          <t>Small Assets</t>
        </is>
      </c>
      <c r="F13785" s="3" t="n">
        <v>0</v>
      </c>
      <c r="G13785" s="3" t="n">
        <v>18288.69</v>
      </c>
    </row>
    <row r="13786">
      <c r="A13786" s="3" t="inlineStr">
        <is>
          <t>Noble Shield (Pty) Ltd ta Go Letting</t>
        </is>
      </c>
      <c r="B13786" s="4" t="n">
        <v>45046</v>
      </c>
      <c r="C13786" s="3" t="inlineStr">
        <is>
          <t>Expenses</t>
        </is>
      </c>
      <c r="D13786" s="3" t="inlineStr">
        <is>
          <t>4400/000</t>
        </is>
      </c>
      <c r="E13786" s="3" t="inlineStr">
        <is>
          <t>Salaries _AND_ Wages</t>
        </is>
      </c>
      <c r="F13786" s="3" t="n">
        <v>26915.7</v>
      </c>
      <c r="G13786" s="3" t="n">
        <v>214920.62</v>
      </c>
    </row>
    <row r="13787">
      <c r="A13787" s="3" t="inlineStr">
        <is>
          <t>Opportunity Global Sales (PTY) LTD</t>
        </is>
      </c>
      <c r="B13787" s="4" t="n">
        <v>45046</v>
      </c>
      <c r="C13787" s="3" t="inlineStr">
        <is>
          <t>Expenses</t>
        </is>
      </c>
      <c r="D13787" s="3" t="inlineStr">
        <is>
          <t>4400/000</t>
        </is>
      </c>
      <c r="E13787" s="3" t="inlineStr">
        <is>
          <t>Salaries _AND_ Wages</t>
        </is>
      </c>
      <c r="F13787" s="3" t="n">
        <v>53967.04</v>
      </c>
      <c r="G13787" s="3" t="n">
        <v>107934.09</v>
      </c>
    </row>
    <row r="13788">
      <c r="A13788" s="3" t="inlineStr">
        <is>
          <t>Opportunity Management Holdings (PTY) LTD</t>
        </is>
      </c>
      <c r="B13788" s="4" t="n">
        <v>45046</v>
      </c>
      <c r="C13788" s="3" t="inlineStr">
        <is>
          <t>Expenses</t>
        </is>
      </c>
      <c r="D13788" s="3" t="inlineStr">
        <is>
          <t>4400/000</t>
        </is>
      </c>
      <c r="E13788" s="3" t="inlineStr">
        <is>
          <t>Salaries _AND_ Wages</t>
        </is>
      </c>
      <c r="F13788" s="3" t="n">
        <v>265085.4</v>
      </c>
      <c r="G13788" s="3" t="n">
        <v>2045817.65</v>
      </c>
    </row>
    <row r="13789">
      <c r="A13789" s="3" t="inlineStr">
        <is>
          <t>Trademark Holdings (Pty) Ltd</t>
        </is>
      </c>
      <c r="B13789" s="4" t="n">
        <v>45046</v>
      </c>
      <c r="C13789" s="3" t="inlineStr">
        <is>
          <t>Expenses</t>
        </is>
      </c>
      <c r="D13789" s="3" t="inlineStr">
        <is>
          <t>4400/000</t>
        </is>
      </c>
      <c r="E13789" s="3" t="inlineStr">
        <is>
          <t>Salaries _AND_ Wages</t>
        </is>
      </c>
      <c r="F13789" s="3" t="n">
        <v>12429.45</v>
      </c>
      <c r="G13789" s="3" t="n">
        <v>99435.60000000001</v>
      </c>
    </row>
    <row r="13790">
      <c r="A13790" s="3" t="inlineStr">
        <is>
          <t>Trademark Holdings (Pty) Ltd</t>
        </is>
      </c>
      <c r="B13790" s="4" t="n">
        <v>45046</v>
      </c>
      <c r="C13790" s="3" t="inlineStr">
        <is>
          <t>Expenses</t>
        </is>
      </c>
      <c r="D13790" s="3" t="inlineStr">
        <is>
          <t>4410/000</t>
        </is>
      </c>
      <c r="E13790" s="3" t="inlineStr">
        <is>
          <t>Salaries _AND_ Wages - WCA</t>
        </is>
      </c>
      <c r="F13790" s="3" t="n">
        <v>0</v>
      </c>
      <c r="G13790" s="3" t="n">
        <v>1397.74</v>
      </c>
    </row>
    <row r="13791">
      <c r="A13791" s="3" t="inlineStr">
        <is>
          <t>Opportunity Global Investment (PTY) LTD</t>
        </is>
      </c>
      <c r="B13791" s="4" t="n">
        <v>45046</v>
      </c>
      <c r="C13791" s="3" t="inlineStr">
        <is>
          <t>Expenses</t>
        </is>
      </c>
      <c r="D13791" s="3" t="inlineStr">
        <is>
          <t>4450/000</t>
        </is>
      </c>
      <c r="E13791" s="3" t="inlineStr">
        <is>
          <t>Staff Training</t>
        </is>
      </c>
      <c r="F13791" s="3" t="n">
        <v>-695.65</v>
      </c>
      <c r="G13791" s="3" t="n">
        <v>5495.66</v>
      </c>
    </row>
    <row r="13792">
      <c r="A13792" s="3" t="inlineStr">
        <is>
          <t>Opportunity Management Holdings (PTY) LTD</t>
        </is>
      </c>
      <c r="B13792" s="4" t="n">
        <v>45046</v>
      </c>
      <c r="C13792" s="3" t="inlineStr">
        <is>
          <t>Expenses</t>
        </is>
      </c>
      <c r="D13792" s="3" t="inlineStr">
        <is>
          <t>4450/000</t>
        </is>
      </c>
      <c r="E13792" s="3" t="inlineStr">
        <is>
          <t>Staff Training</t>
        </is>
      </c>
      <c r="F13792" s="3" t="n">
        <v>0</v>
      </c>
      <c r="G13792" s="3" t="n">
        <v>2001.78</v>
      </c>
    </row>
    <row r="13793">
      <c r="A13793" s="3" t="inlineStr">
        <is>
          <t>Noble Shield (Pty) Ltd ta Go Letting</t>
        </is>
      </c>
      <c r="B13793" s="4" t="n">
        <v>45046</v>
      </c>
      <c r="C13793" s="3" t="inlineStr">
        <is>
          <t>Expenses</t>
        </is>
      </c>
      <c r="D13793" s="3" t="inlineStr">
        <is>
          <t>4500/000</t>
        </is>
      </c>
      <c r="E13793" s="3" t="inlineStr">
        <is>
          <t>Staff Welfare</t>
        </is>
      </c>
      <c r="F13793" s="3" t="n">
        <v>1200</v>
      </c>
      <c r="G13793" s="3" t="n">
        <v>6243.2</v>
      </c>
    </row>
    <row r="13794">
      <c r="A13794" s="3" t="inlineStr">
        <is>
          <t>Opportunity Global Sales (PTY) LTD</t>
        </is>
      </c>
      <c r="B13794" s="4" t="n">
        <v>45046</v>
      </c>
      <c r="C13794" s="3" t="inlineStr">
        <is>
          <t>Expenses</t>
        </is>
      </c>
      <c r="D13794" s="3" t="inlineStr">
        <is>
          <t>4500/000</t>
        </is>
      </c>
      <c r="E13794" s="3" t="inlineStr">
        <is>
          <t>Staff Welfare</t>
        </is>
      </c>
      <c r="F13794" s="3" t="n">
        <v>0</v>
      </c>
      <c r="G13794" s="3" t="n">
        <v>92.17</v>
      </c>
    </row>
    <row r="13795">
      <c r="A13795" s="3" t="inlineStr">
        <is>
          <t>Opportunity Management Holdings (PTY) LTD</t>
        </is>
      </c>
      <c r="B13795" s="4" t="n">
        <v>45046</v>
      </c>
      <c r="C13795" s="3" t="inlineStr">
        <is>
          <t>Expenses</t>
        </is>
      </c>
      <c r="D13795" s="3" t="inlineStr">
        <is>
          <t>4500/000</t>
        </is>
      </c>
      <c r="E13795" s="3" t="inlineStr">
        <is>
          <t>Staff Welfare</t>
        </is>
      </c>
      <c r="F13795" s="3" t="n">
        <v>2691.56</v>
      </c>
      <c r="G13795" s="3" t="n">
        <v>57731.62</v>
      </c>
    </row>
    <row r="13796">
      <c r="A13796" s="3" t="inlineStr">
        <is>
          <t>Quinate Consulting (Pty) Ltd</t>
        </is>
      </c>
      <c r="B13796" s="4" t="n">
        <v>45046</v>
      </c>
      <c r="C13796" s="3" t="inlineStr">
        <is>
          <t>Expenses</t>
        </is>
      </c>
      <c r="D13796" s="3" t="inlineStr">
        <is>
          <t>4500/000</t>
        </is>
      </c>
      <c r="E13796" s="3" t="inlineStr">
        <is>
          <t>Staff Welfare</t>
        </is>
      </c>
      <c r="F13796" s="3" t="n">
        <v>1263</v>
      </c>
      <c r="G13796" s="3" t="n">
        <v>1263</v>
      </c>
    </row>
    <row r="13797">
      <c r="A13797" s="3" t="inlineStr">
        <is>
          <t>Trademark Holdings (Pty) Ltd</t>
        </is>
      </c>
      <c r="B13797" s="4" t="n">
        <v>45046</v>
      </c>
      <c r="C13797" s="3" t="inlineStr">
        <is>
          <t>Expenses</t>
        </is>
      </c>
      <c r="D13797" s="3" t="inlineStr">
        <is>
          <t>4500/000</t>
        </is>
      </c>
      <c r="E13797" s="3" t="inlineStr">
        <is>
          <t>Staff Welfare _AND_ Refreshments</t>
        </is>
      </c>
      <c r="F13797" s="3" t="n">
        <v>0</v>
      </c>
      <c r="G13797" s="3" t="n">
        <v>4500</v>
      </c>
    </row>
    <row r="13798">
      <c r="A13798" s="3" t="inlineStr">
        <is>
          <t>Noble Shield (Pty) Ltd ta Go Letting</t>
        </is>
      </c>
      <c r="B13798" s="4" t="n">
        <v>45046</v>
      </c>
      <c r="C13798" s="3" t="inlineStr">
        <is>
          <t>Expenses</t>
        </is>
      </c>
      <c r="D13798" s="3" t="inlineStr">
        <is>
          <t>4520/000</t>
        </is>
      </c>
      <c r="E13798" s="3" t="inlineStr">
        <is>
          <t>Security</t>
        </is>
      </c>
      <c r="F13798" s="3" t="n">
        <v>815</v>
      </c>
      <c r="G13798" s="3" t="n">
        <v>6656.44</v>
      </c>
    </row>
    <row r="13799">
      <c r="A13799" s="3" t="inlineStr">
        <is>
          <t>Quinate Consulting (Pty) Ltd</t>
        </is>
      </c>
      <c r="B13799" s="4" t="n">
        <v>45046</v>
      </c>
      <c r="C13799" s="3" t="inlineStr">
        <is>
          <t>Expenses</t>
        </is>
      </c>
      <c r="D13799" s="3" t="inlineStr">
        <is>
          <t>4550/000</t>
        </is>
      </c>
      <c r="E13799" s="3" t="inlineStr">
        <is>
          <t>Subscriptions / Licenses</t>
        </is>
      </c>
      <c r="F13799" s="3" t="n">
        <v>11275.7</v>
      </c>
      <c r="G13799" s="3" t="n">
        <v>23179.08</v>
      </c>
    </row>
    <row r="13800">
      <c r="A13800" s="3" t="inlineStr">
        <is>
          <t>Opportunity Management Holdings (PTY) LTD</t>
        </is>
      </c>
      <c r="B13800" s="4" t="n">
        <v>45046</v>
      </c>
      <c r="C13800" s="3" t="inlineStr">
        <is>
          <t>Expenses</t>
        </is>
      </c>
      <c r="D13800" s="3" t="inlineStr">
        <is>
          <t>4550/000</t>
        </is>
      </c>
      <c r="E13800" s="3" t="inlineStr">
        <is>
          <t>Subscriptions _AND_ Lisences</t>
        </is>
      </c>
      <c r="F13800" s="3" t="n">
        <v>3052.23</v>
      </c>
      <c r="G13800" s="3" t="n">
        <v>38377.78</v>
      </c>
    </row>
    <row r="13801">
      <c r="A13801" s="3" t="inlineStr">
        <is>
          <t>Noble Shield (Pty) Ltd ta Go Letting</t>
        </is>
      </c>
      <c r="B13801" s="4" t="n">
        <v>45046</v>
      </c>
      <c r="C13801" s="3" t="inlineStr">
        <is>
          <t>Expenses</t>
        </is>
      </c>
      <c r="D13801" s="3" t="inlineStr">
        <is>
          <t>4550/100</t>
        </is>
      </c>
      <c r="E13801" s="3" t="inlineStr">
        <is>
          <t>Subscriptions - EAAB</t>
        </is>
      </c>
      <c r="F13801" s="3" t="n">
        <v>0</v>
      </c>
      <c r="G13801" s="3" t="n">
        <v>2340</v>
      </c>
    </row>
    <row r="13802">
      <c r="A13802" s="3" t="inlineStr">
        <is>
          <t>Trademark Holdings (Pty) Ltd</t>
        </is>
      </c>
      <c r="B13802" s="4" t="n">
        <v>45046</v>
      </c>
      <c r="C13802" s="3" t="inlineStr">
        <is>
          <t>Expenses</t>
        </is>
      </c>
      <c r="D13802" s="3" t="inlineStr">
        <is>
          <t>4550/100</t>
        </is>
      </c>
      <c r="E13802" s="3" t="inlineStr">
        <is>
          <t>Subscriptions - EAAB</t>
        </is>
      </c>
      <c r="F13802" s="3" t="n">
        <v>0</v>
      </c>
      <c r="G13802" s="3" t="n">
        <v>2340</v>
      </c>
    </row>
    <row r="13803">
      <c r="A13803" s="3" t="inlineStr">
        <is>
          <t>Opportunity Global Investment (PTY) LTD</t>
        </is>
      </c>
      <c r="B13803" s="4" t="n">
        <v>45046</v>
      </c>
      <c r="C13803" s="3" t="inlineStr">
        <is>
          <t>Expenses</t>
        </is>
      </c>
      <c r="D13803" s="3" t="inlineStr">
        <is>
          <t>4550/100</t>
        </is>
      </c>
      <c r="E13803" s="3" t="inlineStr">
        <is>
          <t>Subscriptions - Zoho</t>
        </is>
      </c>
      <c r="F13803" s="3" t="n">
        <v>1125</v>
      </c>
      <c r="G13803" s="3" t="n">
        <v>2250</v>
      </c>
    </row>
    <row r="13804">
      <c r="A13804" s="3" t="inlineStr">
        <is>
          <t>Opportunity Global Sales (PTY) LTD</t>
        </is>
      </c>
      <c r="B13804" s="4" t="n">
        <v>45046</v>
      </c>
      <c r="C13804" s="3" t="inlineStr">
        <is>
          <t>Expenses</t>
        </is>
      </c>
      <c r="D13804" s="3" t="inlineStr">
        <is>
          <t>4550/150</t>
        </is>
      </c>
      <c r="E13804" s="3" t="inlineStr">
        <is>
          <t>Subscription - Webbox</t>
        </is>
      </c>
      <c r="F13804" s="3" t="n">
        <v>1371</v>
      </c>
      <c r="G13804" s="3" t="n">
        <v>2630</v>
      </c>
    </row>
    <row r="13805">
      <c r="A13805" s="3" t="inlineStr">
        <is>
          <t>Opportunity Global Investment (PTY) LTD</t>
        </is>
      </c>
      <c r="B13805" s="4" t="n">
        <v>45046</v>
      </c>
      <c r="C13805" s="3" t="inlineStr">
        <is>
          <t>Expenses</t>
        </is>
      </c>
      <c r="D13805" s="3" t="inlineStr">
        <is>
          <t>4550/250</t>
        </is>
      </c>
      <c r="E13805" s="3" t="inlineStr">
        <is>
          <t>Subscriptions - LinkedIn</t>
        </is>
      </c>
      <c r="F13805" s="3" t="n">
        <v>1000.49</v>
      </c>
      <c r="G13805" s="3" t="n">
        <v>3001.47</v>
      </c>
    </row>
    <row r="13806">
      <c r="A13806" s="3" t="inlineStr">
        <is>
          <t>Opportunity Global Investment (PTY) LTD</t>
        </is>
      </c>
      <c r="B13806" s="4" t="n">
        <v>45046</v>
      </c>
      <c r="C13806" s="3" t="inlineStr">
        <is>
          <t>Expenses</t>
        </is>
      </c>
      <c r="D13806" s="3" t="inlineStr">
        <is>
          <t>4550/350</t>
        </is>
      </c>
      <c r="E13806" s="3" t="inlineStr">
        <is>
          <t>Subscriptions - Xero</t>
        </is>
      </c>
      <c r="F13806" s="3" t="n">
        <v>600</v>
      </c>
      <c r="G13806" s="3" t="n">
        <v>1200</v>
      </c>
    </row>
    <row r="13807">
      <c r="A13807" s="3" t="inlineStr">
        <is>
          <t>Opportunity Global Investment (PTY) LTD</t>
        </is>
      </c>
      <c r="B13807" s="4" t="n">
        <v>45046</v>
      </c>
      <c r="C13807" s="3" t="inlineStr">
        <is>
          <t>Expenses</t>
        </is>
      </c>
      <c r="D13807" s="3" t="inlineStr">
        <is>
          <t>4550/400</t>
        </is>
      </c>
      <c r="E13807" s="3" t="inlineStr">
        <is>
          <t>Subscriptions - Moneyweb</t>
        </is>
      </c>
      <c r="F13807" s="3" t="n">
        <v>54.78</v>
      </c>
      <c r="G13807" s="3" t="n">
        <v>109.56</v>
      </c>
    </row>
    <row r="13808">
      <c r="A13808" s="3" t="inlineStr">
        <is>
          <t>Trademark Holdings (Pty) Ltd</t>
        </is>
      </c>
      <c r="B13808" s="4" t="n">
        <v>45046</v>
      </c>
      <c r="C13808" s="3" t="inlineStr">
        <is>
          <t>Expenses</t>
        </is>
      </c>
      <c r="D13808" s="3" t="inlineStr">
        <is>
          <t>4550/400</t>
        </is>
      </c>
      <c r="E13808" s="3" t="inlineStr">
        <is>
          <t>Subscriptions - Xero</t>
        </is>
      </c>
      <c r="F13808" s="3" t="n">
        <v>600</v>
      </c>
      <c r="G13808" s="3" t="n">
        <v>4800</v>
      </c>
    </row>
    <row r="13809">
      <c r="A13809" s="3" t="inlineStr">
        <is>
          <t>Opportunity Global Investment (PTY) LTD</t>
        </is>
      </c>
      <c r="B13809" s="4" t="n">
        <v>45046</v>
      </c>
      <c r="C13809" s="3" t="inlineStr">
        <is>
          <t>Expenses</t>
        </is>
      </c>
      <c r="D13809" s="3" t="inlineStr">
        <is>
          <t>4550/450</t>
        </is>
      </c>
      <c r="E13809" s="3" t="inlineStr">
        <is>
          <t>Subscriptions - Adobe</t>
        </is>
      </c>
      <c r="F13809" s="3" t="n">
        <v>592.5</v>
      </c>
      <c r="G13809" s="3" t="n">
        <v>1181.78</v>
      </c>
    </row>
    <row r="13810">
      <c r="A13810" s="3" t="inlineStr">
        <is>
          <t>Opportunity Global Investment (PTY) LTD</t>
        </is>
      </c>
      <c r="B13810" s="4" t="n">
        <v>45046</v>
      </c>
      <c r="C13810" s="3" t="inlineStr">
        <is>
          <t>Expenses</t>
        </is>
      </c>
      <c r="D13810" s="3" t="inlineStr">
        <is>
          <t>4550/500</t>
        </is>
      </c>
      <c r="E13810" s="3" t="inlineStr">
        <is>
          <t>Subscriptions - Pandadoc</t>
        </is>
      </c>
      <c r="F13810" s="3" t="n">
        <v>541.6799999999999</v>
      </c>
      <c r="G13810" s="3" t="n">
        <v>1095.55</v>
      </c>
    </row>
    <row r="13811">
      <c r="A13811" s="3" t="inlineStr">
        <is>
          <t>Noble Shield (Pty) Ltd ta Go Letting</t>
        </is>
      </c>
      <c r="B13811" s="4" t="n">
        <v>45046</v>
      </c>
      <c r="C13811" s="3" t="inlineStr">
        <is>
          <t>Expenses</t>
        </is>
      </c>
      <c r="D13811" s="3" t="inlineStr">
        <is>
          <t>4550/600</t>
        </is>
      </c>
      <c r="E13811" s="3" t="inlineStr">
        <is>
          <t>Subscriptions - Webbox</t>
        </is>
      </c>
      <c r="F13811" s="3" t="n">
        <v>1450.15</v>
      </c>
      <c r="G13811" s="3" t="n">
        <v>10752.5</v>
      </c>
    </row>
    <row r="13812">
      <c r="A13812" s="3" t="inlineStr">
        <is>
          <t>Noble Shield (Pty) Ltd ta Go Letting</t>
        </is>
      </c>
      <c r="B13812" s="4" t="n">
        <v>45046</v>
      </c>
      <c r="C13812" s="3" t="inlineStr">
        <is>
          <t>Expenses</t>
        </is>
      </c>
      <c r="D13812" s="3" t="inlineStr">
        <is>
          <t>4550/650</t>
        </is>
      </c>
      <c r="E13812" s="3" t="inlineStr">
        <is>
          <t>Subscriptions - Xero</t>
        </is>
      </c>
      <c r="F13812" s="3" t="n">
        <v>600</v>
      </c>
      <c r="G13812" s="3" t="n">
        <v>4800</v>
      </c>
    </row>
    <row r="13813">
      <c r="A13813" s="3" t="inlineStr">
        <is>
          <t>Noble Shield (Pty) Ltd ta Go Letting</t>
        </is>
      </c>
      <c r="B13813" s="4" t="n">
        <v>45046</v>
      </c>
      <c r="C13813" s="3" t="inlineStr">
        <is>
          <t>Expenses</t>
        </is>
      </c>
      <c r="D13813" s="3" t="inlineStr">
        <is>
          <t>4550/700</t>
        </is>
      </c>
      <c r="E13813" s="3" t="inlineStr">
        <is>
          <t>Subscriptions - Domain renewals</t>
        </is>
      </c>
      <c r="F13813" s="3" t="n">
        <v>0</v>
      </c>
      <c r="G13813" s="3" t="n">
        <v>440.45</v>
      </c>
    </row>
    <row r="13814">
      <c r="A13814" s="3" t="inlineStr">
        <is>
          <t>Noble Shield (Pty) Ltd ta Go Letting</t>
        </is>
      </c>
      <c r="B13814" s="4" t="n">
        <v>45046</v>
      </c>
      <c r="C13814" s="3" t="inlineStr">
        <is>
          <t>Expenses</t>
        </is>
      </c>
      <c r="D13814" s="3" t="inlineStr">
        <is>
          <t>4550/800</t>
        </is>
      </c>
      <c r="E13814" s="3" t="inlineStr">
        <is>
          <t>Subscriptions - Adobe</t>
        </is>
      </c>
      <c r="F13814" s="3" t="n">
        <v>429.86</v>
      </c>
      <c r="G13814" s="3" t="n">
        <v>2721.51</v>
      </c>
    </row>
    <row r="13815">
      <c r="A13815" s="3" t="inlineStr">
        <is>
          <t>Opportunity Global Sales (PTY) LTD</t>
        </is>
      </c>
      <c r="B13815" s="4" t="n">
        <v>45046</v>
      </c>
      <c r="C13815" s="3" t="inlineStr">
        <is>
          <t>Expenses</t>
        </is>
      </c>
      <c r="D13815" s="3" t="inlineStr">
        <is>
          <t>4551/000</t>
        </is>
      </c>
      <c r="E13815" s="3" t="inlineStr">
        <is>
          <t>Subscriptions - Payprop</t>
        </is>
      </c>
      <c r="F13815" s="3" t="n">
        <v>0</v>
      </c>
      <c r="G13815" s="3" t="n">
        <v>1695.58</v>
      </c>
    </row>
    <row r="13816">
      <c r="A13816" s="3" t="inlineStr">
        <is>
          <t>Endulini (Pty) Ltd</t>
        </is>
      </c>
      <c r="B13816" s="4" t="n">
        <v>45046</v>
      </c>
      <c r="C13816" s="3" t="inlineStr">
        <is>
          <t>Expenses</t>
        </is>
      </c>
      <c r="D13816" s="3" t="inlineStr">
        <is>
          <t>4552/000</t>
        </is>
      </c>
      <c r="E13816" s="3" t="inlineStr">
        <is>
          <t>Subscriptions - Xero</t>
        </is>
      </c>
      <c r="F13816" s="3" t="n">
        <v>600</v>
      </c>
      <c r="G13816" s="3" t="n">
        <v>1200</v>
      </c>
    </row>
    <row r="13817">
      <c r="A13817" s="3" t="inlineStr">
        <is>
          <t>Opportunity Global Sales (PTY) LTD</t>
        </is>
      </c>
      <c r="B13817" s="4" t="n">
        <v>45046</v>
      </c>
      <c r="C13817" s="3" t="inlineStr">
        <is>
          <t>Expenses</t>
        </is>
      </c>
      <c r="D13817" s="3" t="inlineStr">
        <is>
          <t>4552/000</t>
        </is>
      </c>
      <c r="E13817" s="3" t="inlineStr">
        <is>
          <t>Subscriptions - Xero</t>
        </is>
      </c>
      <c r="F13817" s="3" t="n">
        <v>600</v>
      </c>
      <c r="G13817" s="3" t="n">
        <v>1200</v>
      </c>
    </row>
    <row r="13818">
      <c r="A13818" s="3" t="inlineStr">
        <is>
          <t>Opportunity Management Holdings (PTY) LTD</t>
        </is>
      </c>
      <c r="B13818" s="4" t="n">
        <v>45046</v>
      </c>
      <c r="C13818" s="3" t="inlineStr">
        <is>
          <t>Expenses</t>
        </is>
      </c>
      <c r="D13818" s="3" t="inlineStr">
        <is>
          <t>4552/000</t>
        </is>
      </c>
      <c r="E13818" s="3" t="inlineStr">
        <is>
          <t>Subscriptions - Xero</t>
        </is>
      </c>
      <c r="F13818" s="3" t="n">
        <v>600</v>
      </c>
      <c r="G13818" s="3" t="n">
        <v>4800</v>
      </c>
    </row>
    <row r="13819">
      <c r="A13819" s="3" t="inlineStr">
        <is>
          <t>Opportunity Global Sales (PTY) LTD</t>
        </is>
      </c>
      <c r="B13819" s="4" t="n">
        <v>45046</v>
      </c>
      <c r="C13819" s="3" t="inlineStr">
        <is>
          <t>Expenses</t>
        </is>
      </c>
      <c r="D13819" s="3" t="inlineStr">
        <is>
          <t>4553/000</t>
        </is>
      </c>
      <c r="E13819" s="3" t="inlineStr">
        <is>
          <t>Subscriptions - CMA</t>
        </is>
      </c>
      <c r="F13819" s="3" t="n">
        <v>680</v>
      </c>
      <c r="G13819" s="3" t="n">
        <v>1360</v>
      </c>
    </row>
    <row r="13820">
      <c r="A13820" s="3" t="inlineStr">
        <is>
          <t>Quinate Consulting (Pty) Ltd</t>
        </is>
      </c>
      <c r="B13820" s="4" t="n">
        <v>45046</v>
      </c>
      <c r="C13820" s="3" t="inlineStr">
        <is>
          <t>Expenses</t>
        </is>
      </c>
      <c r="D13820" s="3" t="inlineStr">
        <is>
          <t>4554/000</t>
        </is>
      </c>
      <c r="E13820" s="3" t="inlineStr">
        <is>
          <t>Subscriptions - Xero</t>
        </is>
      </c>
      <c r="F13820" s="3" t="n">
        <v>600</v>
      </c>
      <c r="G13820" s="3" t="n">
        <v>1200</v>
      </c>
    </row>
    <row r="13821">
      <c r="A13821" s="3" t="inlineStr">
        <is>
          <t>Opportunity Global Sales (PTY) LTD</t>
        </is>
      </c>
      <c r="B13821" s="4" t="n">
        <v>45046</v>
      </c>
      <c r="C13821" s="3" t="inlineStr">
        <is>
          <t>Expenses</t>
        </is>
      </c>
      <c r="D13821" s="3" t="inlineStr">
        <is>
          <t>4554/000</t>
        </is>
      </c>
      <c r="E13821" s="3" t="inlineStr">
        <is>
          <t>Subscriptions - Zoho</t>
        </is>
      </c>
      <c r="F13821" s="3" t="n">
        <v>750</v>
      </c>
      <c r="G13821" s="3" t="n">
        <v>1500</v>
      </c>
    </row>
    <row r="13822">
      <c r="A13822" s="3" t="inlineStr">
        <is>
          <t>Quinate Consulting (Pty) Ltd</t>
        </is>
      </c>
      <c r="B13822" s="4" t="n">
        <v>45046</v>
      </c>
      <c r="C13822" s="3" t="inlineStr">
        <is>
          <t>Expenses</t>
        </is>
      </c>
      <c r="D13822" s="3" t="inlineStr">
        <is>
          <t>4555/000</t>
        </is>
      </c>
      <c r="E13822" s="3" t="inlineStr">
        <is>
          <t>Subscriptions - OUMS</t>
        </is>
      </c>
      <c r="F13822" s="3" t="n">
        <v>7636.17</v>
      </c>
      <c r="G13822" s="3" t="n">
        <v>15272.34</v>
      </c>
    </row>
    <row r="13823">
      <c r="A13823" s="3" t="inlineStr">
        <is>
          <t>Opportunity Global Investment (PTY) LTD</t>
        </is>
      </c>
      <c r="B13823" s="4" t="n">
        <v>45046</v>
      </c>
      <c r="C13823" s="3" t="inlineStr">
        <is>
          <t>Expenses</t>
        </is>
      </c>
      <c r="D13823" s="3" t="inlineStr">
        <is>
          <t>4600/000</t>
        </is>
      </c>
      <c r="E13823" s="3" t="inlineStr">
        <is>
          <t>Telephone _AND_ Fax</t>
        </is>
      </c>
      <c r="F13823" s="3" t="n">
        <v>3355</v>
      </c>
      <c r="G13823" s="3" t="n">
        <v>6710</v>
      </c>
    </row>
    <row r="13824">
      <c r="A13824" s="3" t="inlineStr">
        <is>
          <t>Trademark Holdings (Pty) Ltd</t>
        </is>
      </c>
      <c r="B13824" s="4" t="n">
        <v>45046</v>
      </c>
      <c r="C13824" s="3" t="inlineStr">
        <is>
          <t>Expenses</t>
        </is>
      </c>
      <c r="D13824" s="3" t="inlineStr">
        <is>
          <t>4600/000</t>
        </is>
      </c>
      <c r="E13824" s="3" t="inlineStr">
        <is>
          <t>Telephone _AND_ Fax</t>
        </is>
      </c>
      <c r="F13824" s="3" t="n">
        <v>1230.03</v>
      </c>
      <c r="G13824" s="3" t="n">
        <v>10714.28</v>
      </c>
    </row>
    <row r="13825">
      <c r="A13825" s="3" t="inlineStr">
        <is>
          <t>Noble Shield (Pty) Ltd ta Go Letting</t>
        </is>
      </c>
      <c r="B13825" s="4" t="n">
        <v>45046</v>
      </c>
      <c r="C13825" s="3" t="inlineStr">
        <is>
          <t>Expenses</t>
        </is>
      </c>
      <c r="D13825" s="3" t="inlineStr">
        <is>
          <t>4610/000</t>
        </is>
      </c>
      <c r="E13825" s="3" t="inlineStr">
        <is>
          <t>Telephone - CT Office</t>
        </is>
      </c>
      <c r="F13825" s="3" t="n">
        <v>1002.81</v>
      </c>
      <c r="G13825" s="3" t="n">
        <v>8189.41</v>
      </c>
    </row>
    <row r="13826">
      <c r="A13826" s="3" t="inlineStr">
        <is>
          <t>Noble Shield (Pty) Ltd ta Go Letting</t>
        </is>
      </c>
      <c r="B13826" s="4" t="n">
        <v>45046</v>
      </c>
      <c r="C13826" s="3" t="inlineStr">
        <is>
          <t>Expenses</t>
        </is>
      </c>
      <c r="D13826" s="3" t="inlineStr">
        <is>
          <t>4650/000</t>
        </is>
      </c>
      <c r="E13826" s="3" t="inlineStr">
        <is>
          <t>Travel _AND_ Accommodation</t>
        </is>
      </c>
      <c r="F13826" s="3" t="n">
        <v>0</v>
      </c>
      <c r="G13826" s="3" t="n">
        <v>500</v>
      </c>
    </row>
    <row r="13827">
      <c r="A13827" s="3" t="inlineStr">
        <is>
          <t>Opportunity Management Holdings (PTY) LTD</t>
        </is>
      </c>
      <c r="B13827" s="4" t="n">
        <v>45046</v>
      </c>
      <c r="C13827" s="3" t="inlineStr">
        <is>
          <t>Expenses</t>
        </is>
      </c>
      <c r="D13827" s="3" t="inlineStr">
        <is>
          <t>4650/000</t>
        </is>
      </c>
      <c r="E13827" s="3" t="inlineStr">
        <is>
          <t>Travel _AND_ Accommodation</t>
        </is>
      </c>
      <c r="F13827" s="3" t="n">
        <v>0</v>
      </c>
      <c r="G13827" s="3" t="n">
        <v>768.78</v>
      </c>
    </row>
    <row r="13828">
      <c r="A13828" s="3" t="inlineStr">
        <is>
          <t>Quinate Consulting (Pty) Ltd</t>
        </is>
      </c>
      <c r="B13828" s="4" t="n">
        <v>45046</v>
      </c>
      <c r="C13828" s="3" t="inlineStr">
        <is>
          <t>Expenses</t>
        </is>
      </c>
      <c r="D13828" s="3" t="inlineStr">
        <is>
          <t>4650/010</t>
        </is>
      </c>
      <c r="E13828" s="3" t="inlineStr">
        <is>
          <t>Travel - Local Flights</t>
        </is>
      </c>
      <c r="F13828" s="3" t="n">
        <v>6253.04</v>
      </c>
      <c r="G13828" s="3" t="n">
        <v>6253.04</v>
      </c>
    </row>
    <row r="13829">
      <c r="A13829" s="3" t="inlineStr">
        <is>
          <t>Quinate Consulting (Pty) Ltd</t>
        </is>
      </c>
      <c r="B13829" s="4" t="n">
        <v>45046</v>
      </c>
      <c r="C13829" s="3" t="inlineStr">
        <is>
          <t>Expenses</t>
        </is>
      </c>
      <c r="D13829" s="3" t="inlineStr">
        <is>
          <t>4650/020</t>
        </is>
      </c>
      <c r="E13829" s="3" t="inlineStr">
        <is>
          <t>Travel - Local Accomodation - B_AND_B</t>
        </is>
      </c>
      <c r="F13829" s="3" t="n">
        <v>6998.26</v>
      </c>
      <c r="G13829" s="3" t="n">
        <v>6998.26</v>
      </c>
    </row>
    <row r="13830">
      <c r="A13830" s="3" t="inlineStr">
        <is>
          <t>Opportunity Global Investment (PTY) LTD</t>
        </is>
      </c>
      <c r="B13830" s="4" t="n">
        <v>45046</v>
      </c>
      <c r="C13830" s="3" t="inlineStr">
        <is>
          <t>Expenses</t>
        </is>
      </c>
      <c r="D13830" s="3" t="inlineStr">
        <is>
          <t>4650/030</t>
        </is>
      </c>
      <c r="E13830" s="3" t="inlineStr">
        <is>
          <t>Travel _AND_ Accomodation - Local Accom</t>
        </is>
      </c>
      <c r="F13830" s="3" t="n">
        <v>34.78</v>
      </c>
      <c r="G13830" s="3" t="n">
        <v>34.78</v>
      </c>
    </row>
    <row r="13831">
      <c r="A13831" s="3" t="inlineStr">
        <is>
          <t>Noble Shield (Pty) Ltd ta Go Letting</t>
        </is>
      </c>
      <c r="B13831" s="4" t="n">
        <v>45046</v>
      </c>
      <c r="C13831" s="3" t="inlineStr">
        <is>
          <t>Expenses</t>
        </is>
      </c>
      <c r="D13831" s="3" t="inlineStr">
        <is>
          <t>4650/050</t>
        </is>
      </c>
      <c r="E13831" s="3" t="inlineStr">
        <is>
          <t>Travel - Parking</t>
        </is>
      </c>
      <c r="F13831" s="3" t="n">
        <v>0</v>
      </c>
      <c r="G13831" s="3" t="n">
        <v>16</v>
      </c>
    </row>
    <row r="13832">
      <c r="A13832" s="3" t="inlineStr">
        <is>
          <t>Opportunity Global Investment (PTY) LTD</t>
        </is>
      </c>
      <c r="B13832" s="4" t="n">
        <v>45046</v>
      </c>
      <c r="C13832" s="3" t="inlineStr">
        <is>
          <t>Expenses</t>
        </is>
      </c>
      <c r="D13832" s="3" t="inlineStr">
        <is>
          <t>4650/090</t>
        </is>
      </c>
      <c r="E13832" s="3" t="inlineStr">
        <is>
          <t>Travel &amp; Accom - Fuel</t>
        </is>
      </c>
      <c r="F13832" s="3" t="n">
        <v>515</v>
      </c>
      <c r="G13832" s="3" t="n">
        <v>1562.05</v>
      </c>
    </row>
    <row r="13833">
      <c r="A13833" s="3" t="inlineStr">
        <is>
          <t>Noble Shield (Pty) Ltd ta Go Letting</t>
        </is>
      </c>
      <c r="B13833" s="4" t="n">
        <v>45046</v>
      </c>
      <c r="C13833" s="3" t="inlineStr">
        <is>
          <t>Expenses</t>
        </is>
      </c>
      <c r="D13833" s="3" t="inlineStr">
        <is>
          <t>4700/000</t>
        </is>
      </c>
      <c r="E13833" s="3" t="inlineStr">
        <is>
          <t>PAYE Contributions</t>
        </is>
      </c>
      <c r="F13833" s="3" t="n">
        <v>4273.83</v>
      </c>
      <c r="G13833" s="3" t="n">
        <v>38164.74</v>
      </c>
    </row>
    <row r="13834">
      <c r="A13834" s="3" t="inlineStr">
        <is>
          <t>Trademark Holdings (Pty) Ltd</t>
        </is>
      </c>
      <c r="B13834" s="4" t="n">
        <v>45046</v>
      </c>
      <c r="C13834" s="3" t="inlineStr">
        <is>
          <t>Expenses</t>
        </is>
      </c>
      <c r="D13834" s="3" t="inlineStr">
        <is>
          <t>4700/000</t>
        </is>
      </c>
      <c r="E13834" s="3" t="inlineStr">
        <is>
          <t>PAYE Contributions</t>
        </is>
      </c>
      <c r="F13834" s="3" t="n">
        <v>4814.59</v>
      </c>
      <c r="G13834" s="3" t="n">
        <v>40724.69</v>
      </c>
    </row>
    <row r="13835">
      <c r="A13835" s="3" t="inlineStr">
        <is>
          <t>Opportunity Global Investment (PTY) LTD</t>
        </is>
      </c>
      <c r="B13835" s="4" t="n">
        <v>45046</v>
      </c>
      <c r="C13835" s="3" t="inlineStr">
        <is>
          <t>Expenses</t>
        </is>
      </c>
      <c r="D13835" s="3" t="inlineStr">
        <is>
          <t>4700/000</t>
        </is>
      </c>
      <c r="E13835" s="3" t="inlineStr">
        <is>
          <t>UIF Contributions</t>
        </is>
      </c>
      <c r="F13835" s="3" t="n">
        <v>177.12</v>
      </c>
      <c r="G13835" s="3" t="n">
        <v>354.24</v>
      </c>
    </row>
    <row r="13836">
      <c r="A13836" s="3" t="inlineStr">
        <is>
          <t>Opportunity Global Sales (PTY) LTD</t>
        </is>
      </c>
      <c r="B13836" s="4" t="n">
        <v>45046</v>
      </c>
      <c r="C13836" s="3" t="inlineStr">
        <is>
          <t>Expenses</t>
        </is>
      </c>
      <c r="D13836" s="3" t="inlineStr">
        <is>
          <t>4700/000</t>
        </is>
      </c>
      <c r="E13836" s="3" t="inlineStr">
        <is>
          <t>UIF Contributions</t>
        </is>
      </c>
      <c r="F13836" s="3" t="n">
        <v>312.12</v>
      </c>
      <c r="G13836" s="3" t="n">
        <v>624.24</v>
      </c>
    </row>
    <row r="13837">
      <c r="A13837" s="3" t="inlineStr">
        <is>
          <t>Opportunity Global Sales (PTY) LTD</t>
        </is>
      </c>
      <c r="B13837" s="4" t="n">
        <v>45046</v>
      </c>
      <c r="C13837" s="3" t="inlineStr">
        <is>
          <t>Expenses</t>
        </is>
      </c>
      <c r="D13837" s="3" t="inlineStr">
        <is>
          <t>4701/000</t>
        </is>
      </c>
      <c r="E13837" s="3" t="inlineStr">
        <is>
          <t>UIF Employee Contribution</t>
        </is>
      </c>
      <c r="F13837" s="3" t="n">
        <v>312.12</v>
      </c>
      <c r="G13837" s="3" t="n">
        <v>624.24</v>
      </c>
    </row>
    <row r="13838">
      <c r="A13838" s="3" t="inlineStr">
        <is>
          <t>Opportunity Global Investment (PTY) LTD</t>
        </is>
      </c>
      <c r="B13838" s="4" t="n">
        <v>45046</v>
      </c>
      <c r="C13838" s="3" t="inlineStr">
        <is>
          <t>Expenses</t>
        </is>
      </c>
      <c r="D13838" s="3" t="inlineStr">
        <is>
          <t>4701/000</t>
        </is>
      </c>
      <c r="E13838" s="3" t="inlineStr">
        <is>
          <t>UIF Employee Contributions</t>
        </is>
      </c>
      <c r="F13838" s="3" t="n">
        <v>177.12</v>
      </c>
      <c r="G13838" s="3" t="n">
        <v>354.24</v>
      </c>
    </row>
    <row r="13839">
      <c r="A13839" s="3" t="inlineStr">
        <is>
          <t>Noble Shield (Pty) Ltd ta Go Letting</t>
        </is>
      </c>
      <c r="B13839" s="4" t="n">
        <v>45046</v>
      </c>
      <c r="C13839" s="3" t="inlineStr">
        <is>
          <t>Expenses</t>
        </is>
      </c>
      <c r="D13839" s="3" t="inlineStr">
        <is>
          <t>4710/000</t>
        </is>
      </c>
      <c r="E13839" s="3" t="inlineStr">
        <is>
          <t>UIF Company Contributions</t>
        </is>
      </c>
      <c r="F13839" s="3" t="n">
        <v>245.25</v>
      </c>
      <c r="G13839" s="3" t="n">
        <v>1962</v>
      </c>
    </row>
    <row r="13840">
      <c r="A13840" s="3" t="inlineStr">
        <is>
          <t>Trademark Holdings (Pty) Ltd</t>
        </is>
      </c>
      <c r="B13840" s="4" t="n">
        <v>45046</v>
      </c>
      <c r="C13840" s="3" t="inlineStr">
        <is>
          <t>Expenses</t>
        </is>
      </c>
      <c r="D13840" s="3" t="inlineStr">
        <is>
          <t>4710/000</t>
        </is>
      </c>
      <c r="E13840" s="3" t="inlineStr">
        <is>
          <t>UIF Company Contributions</t>
        </is>
      </c>
      <c r="F13840" s="3" t="n">
        <v>95.25</v>
      </c>
      <c r="G13840" s="3" t="n">
        <v>762</v>
      </c>
    </row>
    <row r="13841">
      <c r="A13841" s="3" t="inlineStr">
        <is>
          <t>Noble Shield (Pty) Ltd ta Go Letting</t>
        </is>
      </c>
      <c r="B13841" s="4" t="n">
        <v>45046</v>
      </c>
      <c r="C13841" s="3" t="inlineStr">
        <is>
          <t>Expenses</t>
        </is>
      </c>
      <c r="D13841" s="3" t="inlineStr">
        <is>
          <t>4711/000</t>
        </is>
      </c>
      <c r="E13841" s="3" t="inlineStr">
        <is>
          <t>UIF Employee Contribution</t>
        </is>
      </c>
      <c r="F13841" s="3" t="n">
        <v>245.25</v>
      </c>
      <c r="G13841" s="3" t="n">
        <v>1962</v>
      </c>
    </row>
    <row r="13842">
      <c r="A13842" s="3" t="inlineStr">
        <is>
          <t>Trademark Holdings (Pty) Ltd</t>
        </is>
      </c>
      <c r="B13842" s="4" t="n">
        <v>45046</v>
      </c>
      <c r="C13842" s="3" t="inlineStr">
        <is>
          <t>Expenses</t>
        </is>
      </c>
      <c r="D13842" s="3" t="inlineStr">
        <is>
          <t>4711/000</t>
        </is>
      </c>
      <c r="E13842" s="3" t="inlineStr">
        <is>
          <t>UIF Employee Contributions</t>
        </is>
      </c>
      <c r="F13842" s="3" t="n">
        <v>95.25</v>
      </c>
      <c r="G13842" s="3" t="n">
        <v>762</v>
      </c>
    </row>
    <row r="13843">
      <c r="A13843" s="3" t="inlineStr">
        <is>
          <t>Noble Shield (Pty) Ltd ta Go Letting</t>
        </is>
      </c>
      <c r="B13843" s="4" t="n">
        <v>45046</v>
      </c>
      <c r="C13843" s="3" t="inlineStr">
        <is>
          <t>Expenses</t>
        </is>
      </c>
      <c r="D13843" s="3" t="inlineStr">
        <is>
          <t>4720/000</t>
        </is>
      </c>
      <c r="E13843" s="3" t="inlineStr">
        <is>
          <t>SDL Contributions</t>
        </is>
      </c>
      <c r="F13843" s="3" t="n">
        <v>416.42</v>
      </c>
      <c r="G13843" s="3" t="n">
        <v>3436.01</v>
      </c>
    </row>
    <row r="13844">
      <c r="A13844" s="3" t="inlineStr">
        <is>
          <t>Trademark Holdings (Pty) Ltd</t>
        </is>
      </c>
      <c r="B13844" s="4" t="n">
        <v>45046</v>
      </c>
      <c r="C13844" s="3" t="inlineStr">
        <is>
          <t>Expenses</t>
        </is>
      </c>
      <c r="D13844" s="3" t="inlineStr">
        <is>
          <t>4720/000</t>
        </is>
      </c>
      <c r="E13844" s="3" t="inlineStr">
        <is>
          <t>SDL Contributions</t>
        </is>
      </c>
      <c r="F13844" s="3" t="n">
        <v>301.71</v>
      </c>
      <c r="G13844" s="3" t="n">
        <v>2448.51</v>
      </c>
    </row>
    <row r="13845">
      <c r="A13845" s="3" t="inlineStr">
        <is>
          <t>Opportunity Global Investment (PTY) LTD</t>
        </is>
      </c>
      <c r="B13845" s="4" t="n">
        <v>45046</v>
      </c>
      <c r="C13845" s="3" t="inlineStr">
        <is>
          <t>Expenses</t>
        </is>
      </c>
      <c r="D13845" s="3" t="inlineStr">
        <is>
          <t>4730/000</t>
        </is>
      </c>
      <c r="E13845" s="3" t="inlineStr">
        <is>
          <t>PAYE Contributions</t>
        </is>
      </c>
      <c r="F13845" s="3" t="n">
        <v>8822.26</v>
      </c>
      <c r="G13845" s="3" t="n">
        <v>17644.53</v>
      </c>
    </row>
    <row r="13846">
      <c r="A13846" s="3" t="inlineStr">
        <is>
          <t>Opportunity Global Sales (PTY) LTD</t>
        </is>
      </c>
      <c r="B13846" s="4" t="n">
        <v>45046</v>
      </c>
      <c r="C13846" s="3" t="inlineStr">
        <is>
          <t>Expenses</t>
        </is>
      </c>
      <c r="D13846" s="3" t="inlineStr">
        <is>
          <t>4730/000</t>
        </is>
      </c>
      <c r="E13846" s="3" t="inlineStr">
        <is>
          <t>PAYE Contributions</t>
        </is>
      </c>
      <c r="F13846" s="3" t="n">
        <v>9220.84</v>
      </c>
      <c r="G13846" s="3" t="n">
        <v>18441.67</v>
      </c>
    </row>
    <row r="13847">
      <c r="A13847" s="3" t="inlineStr">
        <is>
          <t>Opportunity Management Holdings (PTY) LTD</t>
        </is>
      </c>
      <c r="B13847" s="4" t="n">
        <v>45046</v>
      </c>
      <c r="C13847" s="3" t="inlineStr">
        <is>
          <t>Expenses</t>
        </is>
      </c>
      <c r="D13847" s="3" t="inlineStr">
        <is>
          <t>4730/000</t>
        </is>
      </c>
      <c r="E13847" s="3" t="inlineStr">
        <is>
          <t>PAYE Contributions</t>
        </is>
      </c>
      <c r="F13847" s="3" t="n">
        <v>42662.68</v>
      </c>
      <c r="G13847" s="3" t="n">
        <v>381741.68</v>
      </c>
    </row>
    <row r="13848">
      <c r="A13848" s="3" t="inlineStr">
        <is>
          <t>Noble Shield (Pty) Ltd ta Go Letting</t>
        </is>
      </c>
      <c r="B13848" s="4" t="n">
        <v>45046</v>
      </c>
      <c r="C13848" s="3" t="inlineStr">
        <is>
          <t>Expenses</t>
        </is>
      </c>
      <c r="D13848" s="3" t="inlineStr">
        <is>
          <t>4730/000</t>
        </is>
      </c>
      <c r="E13848" s="3" t="inlineStr">
        <is>
          <t>Workmans Compensation</t>
        </is>
      </c>
      <c r="F13848" s="3" t="n">
        <v>1470.4</v>
      </c>
      <c r="G13848" s="3" t="n">
        <v>1470.4</v>
      </c>
    </row>
    <row r="13849">
      <c r="A13849" s="3" t="inlineStr">
        <is>
          <t>Opportunity Global Investment (PTY) LTD</t>
        </is>
      </c>
      <c r="B13849" s="4" t="n">
        <v>45046</v>
      </c>
      <c r="C13849" s="3" t="inlineStr">
        <is>
          <t>Expenses</t>
        </is>
      </c>
      <c r="D13849" s="3" t="inlineStr">
        <is>
          <t>4740/000</t>
        </is>
      </c>
      <c r="E13849" s="3" t="inlineStr">
        <is>
          <t>SDL Contributions</t>
        </is>
      </c>
      <c r="F13849" s="3" t="n">
        <v>431.1</v>
      </c>
      <c r="G13849" s="3" t="n">
        <v>862.2</v>
      </c>
    </row>
    <row r="13850">
      <c r="A13850" s="3" t="inlineStr">
        <is>
          <t>Opportunity Global Sales (PTY) LTD</t>
        </is>
      </c>
      <c r="B13850" s="4" t="n">
        <v>45046</v>
      </c>
      <c r="C13850" s="3" t="inlineStr">
        <is>
          <t>Expenses</t>
        </is>
      </c>
      <c r="D13850" s="3" t="inlineStr">
        <is>
          <t>4740/000</t>
        </is>
      </c>
      <c r="E13850" s="3" t="inlineStr">
        <is>
          <t>SDL Contributions</t>
        </is>
      </c>
      <c r="F13850" s="3" t="n">
        <v>2379.26</v>
      </c>
      <c r="G13850" s="3" t="n">
        <v>4481.45</v>
      </c>
    </row>
    <row r="13851">
      <c r="A13851" s="3" t="inlineStr">
        <is>
          <t>Opportunity Management Holdings (PTY) LTD</t>
        </is>
      </c>
      <c r="B13851" s="4" t="n">
        <v>45046</v>
      </c>
      <c r="C13851" s="3" t="inlineStr">
        <is>
          <t>Expenses</t>
        </is>
      </c>
      <c r="D13851" s="3" t="inlineStr">
        <is>
          <t>4740/000</t>
        </is>
      </c>
      <c r="E13851" s="3" t="inlineStr">
        <is>
          <t>UIF Company Contribution</t>
        </is>
      </c>
      <c r="F13851" s="3" t="n">
        <v>1771.92</v>
      </c>
      <c r="G13851" s="3" t="n">
        <v>13521.93</v>
      </c>
    </row>
    <row r="13852">
      <c r="A13852" s="3" t="inlineStr">
        <is>
          <t>Opportunity Management Holdings (PTY) LTD</t>
        </is>
      </c>
      <c r="B13852" s="4" t="n">
        <v>45046</v>
      </c>
      <c r="C13852" s="3" t="inlineStr">
        <is>
          <t>Expenses</t>
        </is>
      </c>
      <c r="D13852" s="3" t="inlineStr">
        <is>
          <t>4741/000</t>
        </is>
      </c>
      <c r="E13852" s="3" t="inlineStr">
        <is>
          <t>UIF Employee Contribution</t>
        </is>
      </c>
      <c r="F13852" s="3" t="n">
        <v>1771.92</v>
      </c>
      <c r="G13852" s="3" t="n">
        <v>13521.93</v>
      </c>
    </row>
    <row r="13853">
      <c r="A13853" s="3" t="inlineStr">
        <is>
          <t>Opportunity Management Holdings (PTY) LTD</t>
        </is>
      </c>
      <c r="B13853" s="4" t="n">
        <v>45046</v>
      </c>
      <c r="C13853" s="3" t="inlineStr">
        <is>
          <t>Expenses</t>
        </is>
      </c>
      <c r="D13853" s="3" t="inlineStr">
        <is>
          <t>4750/000</t>
        </is>
      </c>
      <c r="E13853" s="3" t="inlineStr">
        <is>
          <t>SDL Contribution</t>
        </is>
      </c>
      <c r="F13853" s="3" t="n">
        <v>2709.2</v>
      </c>
      <c r="G13853" s="3" t="n">
        <v>22322.81</v>
      </c>
    </row>
    <row r="13854">
      <c r="A13854" s="3" t="inlineStr">
        <is>
          <t>Noble Shield (Pty) Ltd ta Go Letting</t>
        </is>
      </c>
      <c r="B13854" s="4" t="n">
        <v>45046</v>
      </c>
      <c r="C13854" s="3" t="inlineStr">
        <is>
          <t>Equity</t>
        </is>
      </c>
      <c r="D13854" s="3" t="inlineStr">
        <is>
          <t>5100/000</t>
        </is>
      </c>
      <c r="E13854" s="3" t="inlineStr">
        <is>
          <t>Share Capital</t>
        </is>
      </c>
      <c r="F13854" s="3" t="n">
        <v>0</v>
      </c>
      <c r="G13854" s="3" t="n">
        <v>-1</v>
      </c>
    </row>
    <row r="13855">
      <c r="A13855" s="3" t="inlineStr">
        <is>
          <t>Opportunity Management Holdings (PTY) LTD</t>
        </is>
      </c>
      <c r="B13855" s="4" t="n">
        <v>45046</v>
      </c>
      <c r="C13855" s="3" t="inlineStr">
        <is>
          <t>Equity</t>
        </is>
      </c>
      <c r="D13855" s="3" t="inlineStr">
        <is>
          <t>5100/000</t>
        </is>
      </c>
      <c r="E13855" s="3" t="inlineStr">
        <is>
          <t>Share Capital / Members Contribution</t>
        </is>
      </c>
      <c r="F13855" s="3" t="n">
        <v>0</v>
      </c>
      <c r="G13855" s="3" t="n">
        <v>-120</v>
      </c>
    </row>
    <row r="13856">
      <c r="A13856" s="3" t="inlineStr">
        <is>
          <t>Quinate Consulting (Pty) Ltd</t>
        </is>
      </c>
      <c r="B13856" s="4" t="n">
        <v>45046</v>
      </c>
      <c r="C13856" s="3" t="inlineStr">
        <is>
          <t>Equity</t>
        </is>
      </c>
      <c r="D13856" s="3" t="inlineStr">
        <is>
          <t>5100/000</t>
        </is>
      </c>
      <c r="E13856" s="3" t="inlineStr">
        <is>
          <t>Share Capital / Members Contribution</t>
        </is>
      </c>
      <c r="F13856" s="3" t="n">
        <v>0</v>
      </c>
      <c r="G13856" s="3" t="n">
        <v>-120</v>
      </c>
    </row>
    <row r="13857">
      <c r="A13857" s="3" t="inlineStr">
        <is>
          <t>Trademark Holdings (Pty) Ltd</t>
        </is>
      </c>
      <c r="B13857" s="4" t="n">
        <v>45046</v>
      </c>
      <c r="C13857" s="3" t="inlineStr">
        <is>
          <t>Equity</t>
        </is>
      </c>
      <c r="D13857" s="3" t="inlineStr">
        <is>
          <t>5100/001</t>
        </is>
      </c>
      <c r="E13857" s="3" t="inlineStr">
        <is>
          <t>Share Capital - GFY Investments</t>
        </is>
      </c>
      <c r="F13857" s="3" t="n">
        <v>0</v>
      </c>
      <c r="G13857" s="3" t="n">
        <v>-60</v>
      </c>
    </row>
    <row r="13858">
      <c r="A13858" s="3" t="inlineStr">
        <is>
          <t>Trademark Holdings (Pty) Ltd</t>
        </is>
      </c>
      <c r="B13858" s="4" t="n">
        <v>45046</v>
      </c>
      <c r="C13858" s="3" t="inlineStr">
        <is>
          <t>Equity</t>
        </is>
      </c>
      <c r="D13858" s="3" t="inlineStr">
        <is>
          <t>5100/002</t>
        </is>
      </c>
      <c r="E13858" s="3" t="inlineStr">
        <is>
          <t>Share Capital - Zak Trust</t>
        </is>
      </c>
      <c r="F13858" s="3" t="n">
        <v>0</v>
      </c>
      <c r="G13858" s="3" t="n">
        <v>-60</v>
      </c>
    </row>
    <row r="13859">
      <c r="A13859" s="3" t="inlineStr">
        <is>
          <t>Opportunity Global Investment (PTY) LTD</t>
        </is>
      </c>
      <c r="B13859" s="4" t="n">
        <v>45046</v>
      </c>
      <c r="C13859" s="3" t="inlineStr">
        <is>
          <t>Equity</t>
        </is>
      </c>
      <c r="D13859" s="3" t="inlineStr">
        <is>
          <t>5101/000</t>
        </is>
      </c>
      <c r="E13859" s="3" t="inlineStr">
        <is>
          <t>Share Capital - Ordinary Type A</t>
        </is>
      </c>
      <c r="F13859" s="3" t="n">
        <v>0</v>
      </c>
      <c r="G13859" s="3" t="n">
        <v>-70</v>
      </c>
    </row>
    <row r="13860">
      <c r="A13860" s="3" t="inlineStr">
        <is>
          <t>Opportunity Global Investment (PTY) LTD</t>
        </is>
      </c>
      <c r="B13860" s="4" t="n">
        <v>45046</v>
      </c>
      <c r="C13860" s="3" t="inlineStr">
        <is>
          <t>Equity</t>
        </is>
      </c>
      <c r="D13860" s="3" t="inlineStr">
        <is>
          <t>5102/000</t>
        </is>
      </c>
      <c r="E13860" s="3" t="inlineStr">
        <is>
          <t>Share Capital - Ordinary Type B</t>
        </is>
      </c>
      <c r="F13860" s="3" t="n">
        <v>0</v>
      </c>
      <c r="G13860" s="3" t="n">
        <v>-30</v>
      </c>
    </row>
    <row r="13861">
      <c r="A13861" s="3" t="inlineStr">
        <is>
          <t>Endulini (Pty) Ltd</t>
        </is>
      </c>
      <c r="B13861" s="4" t="n">
        <v>45046</v>
      </c>
      <c r="C13861" s="3" t="inlineStr">
        <is>
          <t>Equity</t>
        </is>
      </c>
      <c r="D13861" s="3" t="inlineStr">
        <is>
          <t>5200/000</t>
        </is>
      </c>
      <c r="E13861" s="3" t="inlineStr">
        <is>
          <t>Retained Earnings / Loss</t>
        </is>
      </c>
      <c r="F13861" s="3" t="n">
        <v>0</v>
      </c>
      <c r="G13861" s="3" t="n">
        <v>-6017232.05</v>
      </c>
    </row>
    <row r="13862">
      <c r="A13862" s="3" t="inlineStr">
        <is>
          <t>Noble Shield (Pty) Ltd ta Go Letting</t>
        </is>
      </c>
      <c r="B13862" s="4" t="n">
        <v>45046</v>
      </c>
      <c r="C13862" s="3" t="inlineStr">
        <is>
          <t>Equity</t>
        </is>
      </c>
      <c r="D13862" s="3" t="inlineStr">
        <is>
          <t>5200/000</t>
        </is>
      </c>
      <c r="E13862" s="3" t="inlineStr">
        <is>
          <t>Retained Earnings / Loss</t>
        </is>
      </c>
      <c r="F13862" s="3" t="n">
        <v>0</v>
      </c>
      <c r="G13862" s="3" t="n">
        <v>-64792.67</v>
      </c>
    </row>
    <row r="13863">
      <c r="A13863" s="3" t="inlineStr">
        <is>
          <t>Opportunity Global Investment (PTY) LTD</t>
        </is>
      </c>
      <c r="B13863" s="4" t="n">
        <v>45046</v>
      </c>
      <c r="C13863" s="3" t="inlineStr">
        <is>
          <t>Equity</t>
        </is>
      </c>
      <c r="D13863" s="3" t="inlineStr">
        <is>
          <t>5200/000</t>
        </is>
      </c>
      <c r="E13863" s="3" t="inlineStr">
        <is>
          <t>Retained Earnings / Loss</t>
        </is>
      </c>
      <c r="F13863" s="3" t="n">
        <v>0</v>
      </c>
      <c r="G13863" s="3" t="n">
        <v>2134849.73</v>
      </c>
    </row>
    <row r="13864">
      <c r="A13864" s="3" t="inlineStr">
        <is>
          <t>Opportunity Global Sales (PTY) LTD</t>
        </is>
      </c>
      <c r="B13864" s="4" t="n">
        <v>45046</v>
      </c>
      <c r="C13864" s="3" t="inlineStr">
        <is>
          <t>Equity</t>
        </is>
      </c>
      <c r="D13864" s="3" t="inlineStr">
        <is>
          <t>5200/000</t>
        </is>
      </c>
      <c r="E13864" s="3" t="inlineStr">
        <is>
          <t>Retained Earnings / Loss</t>
        </is>
      </c>
      <c r="F13864" s="3" t="n">
        <v>0</v>
      </c>
      <c r="G13864" s="3" t="n">
        <v>-2287097.79</v>
      </c>
    </row>
    <row r="13865">
      <c r="A13865" s="3" t="inlineStr">
        <is>
          <t>Opportunity Management Holdings (PTY) LTD</t>
        </is>
      </c>
      <c r="B13865" s="4" t="n">
        <v>45046</v>
      </c>
      <c r="C13865" s="3" t="inlineStr">
        <is>
          <t>Equity</t>
        </is>
      </c>
      <c r="D13865" s="3" t="inlineStr">
        <is>
          <t>5200/000</t>
        </is>
      </c>
      <c r="E13865" s="3" t="inlineStr">
        <is>
          <t>Retained Earnings / Loss</t>
        </is>
      </c>
      <c r="F13865" s="3" t="n">
        <v>0</v>
      </c>
      <c r="G13865" s="3" t="n">
        <v>1230800.76</v>
      </c>
    </row>
    <row r="13866">
      <c r="A13866" s="3" t="inlineStr">
        <is>
          <t>Quinate Consulting (Pty) Ltd</t>
        </is>
      </c>
      <c r="B13866" s="4" t="n">
        <v>45046</v>
      </c>
      <c r="C13866" s="3" t="inlineStr">
        <is>
          <t>Equity</t>
        </is>
      </c>
      <c r="D13866" s="3" t="inlineStr">
        <is>
          <t>5200/000</t>
        </is>
      </c>
      <c r="E13866" s="3" t="inlineStr">
        <is>
          <t>Retained Earnings / Loss</t>
        </is>
      </c>
      <c r="F13866" s="3" t="n">
        <v>0</v>
      </c>
      <c r="G13866" s="3" t="n">
        <v>1549164.28</v>
      </c>
    </row>
    <row r="13867">
      <c r="A13867" s="3" t="inlineStr">
        <is>
          <t>Trademark Holdings (Pty) Ltd</t>
        </is>
      </c>
      <c r="B13867" s="4" t="n">
        <v>45046</v>
      </c>
      <c r="C13867" s="3" t="inlineStr">
        <is>
          <t>Equity</t>
        </is>
      </c>
      <c r="D13867" s="3" t="inlineStr">
        <is>
          <t>5200/000</t>
        </is>
      </c>
      <c r="E13867" s="3" t="inlineStr">
        <is>
          <t>Retained Earnings / Loss</t>
        </is>
      </c>
      <c r="F13867" s="3" t="n">
        <v>0</v>
      </c>
      <c r="G13867" s="3" t="n">
        <v>-155356.41</v>
      </c>
    </row>
    <row r="13868">
      <c r="A13868" s="3" t="inlineStr">
        <is>
          <t>Quinate Consulting (Pty) Ltd</t>
        </is>
      </c>
      <c r="B13868" s="4" t="n">
        <v>45046</v>
      </c>
      <c r="C13868" s="3" t="inlineStr">
        <is>
          <t>Assets</t>
        </is>
      </c>
      <c r="D13868" s="3" t="inlineStr">
        <is>
          <t>5400/011</t>
        </is>
      </c>
      <c r="E13868" s="3" t="inlineStr">
        <is>
          <t>Members Loan - Nick Morgan</t>
        </is>
      </c>
      <c r="F13868" s="3" t="n">
        <v>0</v>
      </c>
      <c r="G13868" s="3" t="n">
        <v>-85743.69</v>
      </c>
    </row>
    <row r="13869">
      <c r="A13869" s="3" t="inlineStr">
        <is>
          <t>Opportunity Management Holdings (PTY) LTD</t>
        </is>
      </c>
      <c r="B13869" s="4" t="n">
        <v>45046</v>
      </c>
      <c r="C13869" s="3" t="inlineStr">
        <is>
          <t>Assets</t>
        </is>
      </c>
      <c r="D13869" s="3" t="inlineStr">
        <is>
          <t>5400/500</t>
        </is>
      </c>
      <c r="E13869" s="3" t="inlineStr">
        <is>
          <t>Shareholder - Zak Loan</t>
        </is>
      </c>
      <c r="F13869" s="3" t="n">
        <v>0</v>
      </c>
      <c r="G13869" s="3" t="n">
        <v>-171798.21</v>
      </c>
    </row>
    <row r="13870">
      <c r="A13870" s="3" t="inlineStr">
        <is>
          <t>Quinate Consulting (Pty) Ltd</t>
        </is>
      </c>
      <c r="B13870" s="4" t="n">
        <v>45046</v>
      </c>
      <c r="C13870" s="3" t="inlineStr">
        <is>
          <t>Liabilities</t>
        </is>
      </c>
      <c r="D13870" s="3" t="inlineStr">
        <is>
          <t>5500/010</t>
        </is>
      </c>
      <c r="E13870" s="3" t="inlineStr">
        <is>
          <t>Loan - Wynand Haywood</t>
        </is>
      </c>
      <c r="F13870" s="3" t="n">
        <v>0</v>
      </c>
      <c r="G13870" s="3" t="n">
        <v>1928.67</v>
      </c>
    </row>
    <row r="13871">
      <c r="A13871" s="3" t="inlineStr">
        <is>
          <t>Quinate Consulting (Pty) Ltd</t>
        </is>
      </c>
      <c r="B13871" s="4" t="n">
        <v>45046</v>
      </c>
      <c r="C13871" s="3" t="inlineStr">
        <is>
          <t>Liabilities</t>
        </is>
      </c>
      <c r="D13871" s="3" t="inlineStr">
        <is>
          <t>5500/025</t>
        </is>
      </c>
      <c r="E13871" s="3" t="inlineStr">
        <is>
          <t>Loan - Noble Shield 2 Security Trust</t>
        </is>
      </c>
      <c r="F13871" s="3" t="n">
        <v>50</v>
      </c>
      <c r="G13871" s="3" t="n">
        <v>50</v>
      </c>
    </row>
    <row r="13872">
      <c r="A13872" s="3" t="inlineStr">
        <is>
          <t>Quinate Consulting (Pty) Ltd</t>
        </is>
      </c>
      <c r="B13872" s="4" t="n">
        <v>45046</v>
      </c>
      <c r="C13872" s="3" t="inlineStr">
        <is>
          <t>Liabilities</t>
        </is>
      </c>
      <c r="D13872" s="3" t="inlineStr">
        <is>
          <t>5500/030</t>
        </is>
      </c>
      <c r="E13872" s="3" t="inlineStr">
        <is>
          <t>Loan - Heron Projects</t>
        </is>
      </c>
      <c r="F13872" s="3" t="n">
        <v>4200</v>
      </c>
      <c r="G13872" s="3" t="n">
        <v>8200</v>
      </c>
    </row>
    <row r="13873">
      <c r="A13873" s="3" t="inlineStr">
        <is>
          <t>Opportunity Global Investment (PTY) LTD</t>
        </is>
      </c>
      <c r="B13873" s="4" t="n">
        <v>45046</v>
      </c>
      <c r="C13873" s="3" t="inlineStr">
        <is>
          <t>Liabilities</t>
        </is>
      </c>
      <c r="D13873" s="3" t="inlineStr">
        <is>
          <t>5500/100</t>
        </is>
      </c>
      <c r="E13873" s="3" t="inlineStr">
        <is>
          <t>Loan - Cape Projects Construction</t>
        </is>
      </c>
      <c r="F13873" s="3" t="n">
        <v>1900000</v>
      </c>
      <c r="G13873" s="3" t="n">
        <v>2261000</v>
      </c>
    </row>
    <row r="13874">
      <c r="A13874" s="3" t="inlineStr">
        <is>
          <t>Noble Shield (Pty) Ltd ta Go Letting</t>
        </is>
      </c>
      <c r="B13874" s="4" t="n">
        <v>45046</v>
      </c>
      <c r="C13874" s="3" t="inlineStr">
        <is>
          <t>Liabilities</t>
        </is>
      </c>
      <c r="D13874" s="3" t="inlineStr">
        <is>
          <t>5500/100</t>
        </is>
      </c>
      <c r="E13874" s="3" t="inlineStr">
        <is>
          <t>Loan - Jupiter Trust</t>
        </is>
      </c>
      <c r="F13874" s="3" t="n">
        <v>0</v>
      </c>
      <c r="G13874" s="3" t="n">
        <v>-100228.75</v>
      </c>
    </row>
    <row r="13875">
      <c r="A13875" s="3" t="inlineStr">
        <is>
          <t>Opportunity Management Holdings (PTY) LTD</t>
        </is>
      </c>
      <c r="B13875" s="4" t="n">
        <v>45046</v>
      </c>
      <c r="C13875" s="3" t="inlineStr">
        <is>
          <t>Liabilities</t>
        </is>
      </c>
      <c r="D13875" s="3" t="inlineStr">
        <is>
          <t>5500/100</t>
        </is>
      </c>
      <c r="E13875" s="3" t="inlineStr">
        <is>
          <t>Loan - Opportunity Global</t>
        </is>
      </c>
      <c r="F13875" s="3" t="n">
        <v>0</v>
      </c>
      <c r="G13875" s="3" t="n">
        <v>-20000</v>
      </c>
    </row>
    <row r="13876">
      <c r="A13876" s="3" t="inlineStr">
        <is>
          <t>Endulini (Pty) Ltd</t>
        </is>
      </c>
      <c r="B13876" s="4" t="n">
        <v>45046</v>
      </c>
      <c r="C13876" s="3" t="inlineStr">
        <is>
          <t>Liabilities</t>
        </is>
      </c>
      <c r="D13876" s="3" t="inlineStr">
        <is>
          <t>5500/100</t>
        </is>
      </c>
      <c r="E13876" s="3" t="inlineStr">
        <is>
          <t>Loan - Quinate Consulting</t>
        </is>
      </c>
      <c r="F13876" s="3" t="n">
        <v>-90600</v>
      </c>
      <c r="G13876" s="3" t="n">
        <v>-9501349.1</v>
      </c>
    </row>
    <row r="13877">
      <c r="A13877" s="3" t="inlineStr">
        <is>
          <t>Opportunity Global Investment (PTY) LTD</t>
        </is>
      </c>
      <c r="B13877" s="4" t="n">
        <v>45046</v>
      </c>
      <c r="C13877" s="3" t="inlineStr">
        <is>
          <t>Liabilities</t>
        </is>
      </c>
      <c r="D13877" s="3" t="inlineStr">
        <is>
          <t>5500/112</t>
        </is>
      </c>
      <c r="E13877" s="3" t="inlineStr">
        <is>
          <t>Loan - GFY</t>
        </is>
      </c>
      <c r="F13877" s="3" t="n">
        <v>0</v>
      </c>
      <c r="G13877" s="3" t="n">
        <v>-105000</v>
      </c>
    </row>
    <row r="13878">
      <c r="A13878" s="3" t="inlineStr">
        <is>
          <t>Endulini (Pty) Ltd</t>
        </is>
      </c>
      <c r="B13878" s="4" t="n">
        <v>45046</v>
      </c>
      <c r="C13878" s="3" t="inlineStr">
        <is>
          <t>Liabilities</t>
        </is>
      </c>
      <c r="D13878" s="3" t="inlineStr">
        <is>
          <t>5500/150</t>
        </is>
      </c>
      <c r="E13878" s="3" t="inlineStr">
        <is>
          <t>Loan - Cape Projects Construction</t>
        </is>
      </c>
      <c r="F13878" s="3" t="n">
        <v>-4011000</v>
      </c>
      <c r="G13878" s="3" t="n">
        <v>-11435000</v>
      </c>
    </row>
    <row r="13879">
      <c r="A13879" s="3" t="inlineStr">
        <is>
          <t>Quinate Consulting (Pty) Ltd</t>
        </is>
      </c>
      <c r="B13879" s="4" t="n">
        <v>45046</v>
      </c>
      <c r="C13879" s="3" t="inlineStr">
        <is>
          <t>Liabilities</t>
        </is>
      </c>
      <c r="D13879" s="3" t="inlineStr">
        <is>
          <t>5500/160</t>
        </is>
      </c>
      <c r="E13879" s="3" t="inlineStr">
        <is>
          <t>Loan - GFY Investment and Consulting</t>
        </is>
      </c>
      <c r="F13879" s="3" t="n">
        <v>0</v>
      </c>
      <c r="G13879" s="3" t="n">
        <v>-1750249.93</v>
      </c>
    </row>
    <row r="13880">
      <c r="A13880" s="3" t="inlineStr">
        <is>
          <t>Opportunity Management Holdings (PTY) LTD</t>
        </is>
      </c>
      <c r="B13880" s="4" t="n">
        <v>45046</v>
      </c>
      <c r="C13880" s="3" t="inlineStr">
        <is>
          <t>Liabilities</t>
        </is>
      </c>
      <c r="D13880" s="3" t="inlineStr">
        <is>
          <t>5500/200</t>
        </is>
      </c>
      <c r="E13880" s="3" t="inlineStr">
        <is>
          <t>Loan - Cape Projects</t>
        </is>
      </c>
      <c r="F13880" s="3" t="n">
        <v>0</v>
      </c>
      <c r="G13880" s="3" t="n">
        <v>120000</v>
      </c>
    </row>
    <row r="13881">
      <c r="A13881" s="3" t="inlineStr">
        <is>
          <t>Trademark Holdings (Pty) Ltd</t>
        </is>
      </c>
      <c r="B13881" s="4" t="n">
        <v>45046</v>
      </c>
      <c r="C13881" s="3" t="inlineStr">
        <is>
          <t>Liabilities</t>
        </is>
      </c>
      <c r="D13881" s="3" t="inlineStr">
        <is>
          <t>5500/250</t>
        </is>
      </c>
      <c r="E13881" s="3" t="inlineStr">
        <is>
          <t>Loan - Noble Shield</t>
        </is>
      </c>
      <c r="F13881" s="3" t="n">
        <v>15000</v>
      </c>
      <c r="G13881" s="3" t="n">
        <v>148165.59</v>
      </c>
    </row>
    <row r="13882">
      <c r="A13882" s="3" t="inlineStr">
        <is>
          <t>Opportunity Management Holdings (PTY) LTD</t>
        </is>
      </c>
      <c r="B13882" s="4" t="n">
        <v>45046</v>
      </c>
      <c r="C13882" s="3" t="inlineStr">
        <is>
          <t>Liabilities</t>
        </is>
      </c>
      <c r="D13882" s="3" t="inlineStr">
        <is>
          <t>5500/250</t>
        </is>
      </c>
      <c r="E13882" s="3" t="inlineStr">
        <is>
          <t>Loan - Quinate</t>
        </is>
      </c>
      <c r="F13882" s="3" t="n">
        <v>0</v>
      </c>
      <c r="G13882" s="3" t="n">
        <v>-20000</v>
      </c>
    </row>
    <row r="13883">
      <c r="A13883" s="3" t="inlineStr">
        <is>
          <t>Quinate Consulting (Pty) Ltd</t>
        </is>
      </c>
      <c r="B13883" s="4" t="n">
        <v>45046</v>
      </c>
      <c r="C13883" s="3" t="inlineStr">
        <is>
          <t>Liabilities</t>
        </is>
      </c>
      <c r="D13883" s="3" t="inlineStr">
        <is>
          <t>5500/300</t>
        </is>
      </c>
      <c r="E13883" s="3" t="inlineStr">
        <is>
          <t>Loan - Gengis</t>
        </is>
      </c>
      <c r="F13883" s="3" t="n">
        <v>-3402.74</v>
      </c>
      <c r="G13883" s="3" t="n">
        <v>-312301.91</v>
      </c>
    </row>
    <row r="13884">
      <c r="A13884" s="3" t="inlineStr">
        <is>
          <t>Opportunity Management Holdings (PTY) LTD</t>
        </is>
      </c>
      <c r="B13884" s="4" t="n">
        <v>45046</v>
      </c>
      <c r="C13884" s="3" t="inlineStr">
        <is>
          <t>Liabilities</t>
        </is>
      </c>
      <c r="D13884" s="3" t="inlineStr">
        <is>
          <t>5500/300</t>
        </is>
      </c>
      <c r="E13884" s="3" t="inlineStr">
        <is>
          <t>Loan - Opportunity Prop Management</t>
        </is>
      </c>
      <c r="F13884" s="3" t="n">
        <v>0</v>
      </c>
      <c r="G13884" s="3" t="n">
        <v>-1220204.15</v>
      </c>
    </row>
    <row r="13885">
      <c r="A13885" s="3" t="inlineStr">
        <is>
          <t>Noble Shield (Pty) Ltd ta Go Letting</t>
        </is>
      </c>
      <c r="B13885" s="4" t="n">
        <v>45046</v>
      </c>
      <c r="C13885" s="3" t="inlineStr">
        <is>
          <t>Liabilities</t>
        </is>
      </c>
      <c r="D13885" s="3" t="inlineStr">
        <is>
          <t>5500/300</t>
        </is>
      </c>
      <c r="E13885" s="3" t="inlineStr">
        <is>
          <t>Loan - Trademark Holdings</t>
        </is>
      </c>
      <c r="F13885" s="3" t="n">
        <v>-15000</v>
      </c>
      <c r="G13885" s="3" t="n">
        <v>-148165.59</v>
      </c>
    </row>
    <row r="13886">
      <c r="A13886" s="3" t="inlineStr">
        <is>
          <t>Trademark Holdings (Pty) Ltd</t>
        </is>
      </c>
      <c r="B13886" s="4" t="n">
        <v>45046</v>
      </c>
      <c r="C13886" s="3" t="inlineStr">
        <is>
          <t>Liabilities</t>
        </is>
      </c>
      <c r="D13886" s="3" t="inlineStr">
        <is>
          <t>5500/375</t>
        </is>
      </c>
      <c r="E13886" s="3" t="inlineStr">
        <is>
          <t>Loan - Opportunity Management Holdings Pty Ltd</t>
        </is>
      </c>
      <c r="F13886" s="3" t="n">
        <v>0</v>
      </c>
      <c r="G13886" s="3" t="n">
        <v>19000</v>
      </c>
    </row>
    <row r="13887">
      <c r="A13887" s="3" t="inlineStr">
        <is>
          <t>Trademark Holdings (Pty) Ltd</t>
        </is>
      </c>
      <c r="B13887" s="4" t="n">
        <v>45046</v>
      </c>
      <c r="C13887" s="3" t="inlineStr">
        <is>
          <t>Liabilities</t>
        </is>
      </c>
      <c r="D13887" s="3" t="inlineStr">
        <is>
          <t>5500/450</t>
        </is>
      </c>
      <c r="E13887" s="3" t="inlineStr">
        <is>
          <t>Loan - Cape Projects Construction</t>
        </is>
      </c>
      <c r="F13887" s="3" t="n">
        <v>-600</v>
      </c>
      <c r="G13887" s="3" t="n">
        <v>-1200</v>
      </c>
    </row>
    <row r="13888">
      <c r="A13888" s="3" t="inlineStr">
        <is>
          <t>Trademark Holdings (Pty) Ltd</t>
        </is>
      </c>
      <c r="B13888" s="4" t="n">
        <v>45046</v>
      </c>
      <c r="C13888" s="3" t="inlineStr">
        <is>
          <t>Liabilities</t>
        </is>
      </c>
      <c r="D13888" s="3" t="inlineStr">
        <is>
          <t>5500/500</t>
        </is>
      </c>
      <c r="E13888" s="3" t="inlineStr">
        <is>
          <t>Go Letting Brand Name</t>
        </is>
      </c>
      <c r="F13888" s="3" t="n">
        <v>0</v>
      </c>
      <c r="G13888" s="3" t="n">
        <v>93420</v>
      </c>
    </row>
    <row r="13889">
      <c r="A13889" s="3" t="inlineStr">
        <is>
          <t>Noble Shield (Pty) Ltd ta Go Letting</t>
        </is>
      </c>
      <c r="B13889" s="4" t="n">
        <v>45046</v>
      </c>
      <c r="C13889" s="3" t="inlineStr">
        <is>
          <t>Liabilities</t>
        </is>
      </c>
      <c r="D13889" s="3" t="inlineStr">
        <is>
          <t>5500/500</t>
        </is>
      </c>
      <c r="E13889" s="3" t="inlineStr">
        <is>
          <t>Loan - Cape Projects Construction</t>
        </is>
      </c>
      <c r="F13889" s="3" t="n">
        <v>-600</v>
      </c>
      <c r="G13889" s="3" t="n">
        <v>-1200</v>
      </c>
    </row>
    <row r="13890">
      <c r="A13890" s="3" t="inlineStr">
        <is>
          <t>Quinate Consulting (Pty) Ltd</t>
        </is>
      </c>
      <c r="B13890" s="4" t="n">
        <v>45046</v>
      </c>
      <c r="C13890" s="3" t="inlineStr">
        <is>
          <t>Liabilities</t>
        </is>
      </c>
      <c r="D13890" s="3" t="inlineStr">
        <is>
          <t>5500/500</t>
        </is>
      </c>
      <c r="E13890" s="3" t="inlineStr">
        <is>
          <t>Loan - Opportunity Development Struct.</t>
        </is>
      </c>
      <c r="F13890" s="3" t="n">
        <v>0</v>
      </c>
      <c r="G13890" s="3" t="n">
        <v>-2380000</v>
      </c>
    </row>
    <row r="13891">
      <c r="A13891" s="3" t="inlineStr">
        <is>
          <t>Opportunity Management Holdings (PTY) LTD</t>
        </is>
      </c>
      <c r="B13891" s="4" t="n">
        <v>45046</v>
      </c>
      <c r="C13891" s="3" t="inlineStr">
        <is>
          <t>Liabilities</t>
        </is>
      </c>
      <c r="D13891" s="3" t="inlineStr">
        <is>
          <t>5500/500</t>
        </is>
      </c>
      <c r="E13891" s="3" t="inlineStr">
        <is>
          <t>Loan - Opportunity Tradermark Holdings</t>
        </is>
      </c>
      <c r="F13891" s="3" t="n">
        <v>0</v>
      </c>
      <c r="G13891" s="3" t="n">
        <v>-19000</v>
      </c>
    </row>
    <row r="13892">
      <c r="A13892" s="3" t="inlineStr">
        <is>
          <t>Quinate Consulting (Pty) Ltd</t>
        </is>
      </c>
      <c r="B13892" s="4" t="n">
        <v>45046</v>
      </c>
      <c r="C13892" s="3" t="inlineStr">
        <is>
          <t>Liabilities</t>
        </is>
      </c>
      <c r="D13892" s="3" t="inlineStr">
        <is>
          <t>5500/520</t>
        </is>
      </c>
      <c r="E13892" s="3" t="inlineStr">
        <is>
          <t>Loan - Opportunity Management Holdings</t>
        </is>
      </c>
      <c r="F13892" s="3" t="n">
        <v>0</v>
      </c>
      <c r="G13892" s="3" t="n">
        <v>16100</v>
      </c>
    </row>
    <row r="13893">
      <c r="A13893" s="3" t="inlineStr">
        <is>
          <t>Opportunity Management Holdings (PTY) LTD</t>
        </is>
      </c>
      <c r="B13893" s="4" t="n">
        <v>45046</v>
      </c>
      <c r="C13893" s="3" t="inlineStr">
        <is>
          <t>Liabilities</t>
        </is>
      </c>
      <c r="D13893" s="3" t="inlineStr">
        <is>
          <t>5500/550</t>
        </is>
      </c>
      <c r="E13893" s="3" t="inlineStr">
        <is>
          <t>Loan - Heron Projects</t>
        </is>
      </c>
      <c r="F13893" s="3" t="n">
        <v>0</v>
      </c>
      <c r="G13893" s="3" t="n">
        <v>-64000</v>
      </c>
    </row>
    <row r="13894">
      <c r="A13894" s="3" t="inlineStr">
        <is>
          <t>Noble Shield (Pty) Ltd ta Go Letting</t>
        </is>
      </c>
      <c r="B13894" s="4" t="n">
        <v>45046</v>
      </c>
      <c r="C13894" s="3" t="inlineStr">
        <is>
          <t>Liabilities</t>
        </is>
      </c>
      <c r="D13894" s="3" t="inlineStr">
        <is>
          <t>5500/600</t>
        </is>
      </c>
      <c r="E13894" s="3" t="inlineStr">
        <is>
          <t>Loan - Heron Projects</t>
        </is>
      </c>
      <c r="F13894" s="3" t="n">
        <v>0</v>
      </c>
      <c r="G13894" s="3" t="n">
        <v>20898.22</v>
      </c>
    </row>
    <row r="13895">
      <c r="A13895" s="3" t="inlineStr">
        <is>
          <t>Opportunity Global Investment (PTY) LTD</t>
        </is>
      </c>
      <c r="B13895" s="4" t="n">
        <v>45046</v>
      </c>
      <c r="C13895" s="3" t="inlineStr">
        <is>
          <t>Liabilities</t>
        </is>
      </c>
      <c r="D13895" s="3" t="inlineStr">
        <is>
          <t>5500/650</t>
        </is>
      </c>
      <c r="E13895" s="3" t="inlineStr">
        <is>
          <t>Loan - Opportunit Global - Sales</t>
        </is>
      </c>
      <c r="F13895" s="3" t="n">
        <v>-221188.51</v>
      </c>
      <c r="G13895" s="3" t="n">
        <v>-2862585.88</v>
      </c>
    </row>
    <row r="13896">
      <c r="A13896" s="3" t="inlineStr">
        <is>
          <t>Opportunity Global Sales (PTY) LTD</t>
        </is>
      </c>
      <c r="B13896" s="4" t="n">
        <v>45046</v>
      </c>
      <c r="C13896" s="3" t="inlineStr">
        <is>
          <t>Liabilities</t>
        </is>
      </c>
      <c r="D13896" s="3" t="inlineStr">
        <is>
          <t>5500/650</t>
        </is>
      </c>
      <c r="E13896" s="3" t="inlineStr">
        <is>
          <t>Loan - Opportunity Investments</t>
        </is>
      </c>
      <c r="F13896" s="3" t="n">
        <v>221188.51</v>
      </c>
      <c r="G13896" s="3" t="n">
        <v>2862585.88</v>
      </c>
    </row>
    <row r="13897">
      <c r="A13897" s="3" t="inlineStr">
        <is>
          <t>Opportunity Management Holdings (PTY) LTD</t>
        </is>
      </c>
      <c r="B13897" s="4" t="n">
        <v>45046</v>
      </c>
      <c r="C13897" s="3" t="inlineStr">
        <is>
          <t>Liabilities</t>
        </is>
      </c>
      <c r="D13897" s="3" t="inlineStr">
        <is>
          <t>5500/700</t>
        </is>
      </c>
      <c r="E13897" s="3" t="inlineStr">
        <is>
          <t>Loan - Go Letting</t>
        </is>
      </c>
      <c r="F13897" s="3" t="n">
        <v>0</v>
      </c>
      <c r="G13897" s="3" t="n">
        <v>-120</v>
      </c>
    </row>
    <row r="13898">
      <c r="A13898" s="3" t="inlineStr">
        <is>
          <t>Opportunity Global Investment (PTY) LTD</t>
        </is>
      </c>
      <c r="B13898" s="4" t="n">
        <v>45046</v>
      </c>
      <c r="C13898" s="3" t="inlineStr">
        <is>
          <t>Liabilities</t>
        </is>
      </c>
      <c r="D13898" s="3" t="inlineStr">
        <is>
          <t>5500/750</t>
        </is>
      </c>
      <c r="E13898" s="3" t="inlineStr">
        <is>
          <t>Loan - Heron Projects</t>
        </is>
      </c>
      <c r="F13898" s="3" t="n">
        <v>0</v>
      </c>
      <c r="G13898" s="3" t="n">
        <v>-603000</v>
      </c>
    </row>
    <row r="13899">
      <c r="A13899" s="3" t="inlineStr">
        <is>
          <t>Opportunity Global Investment (PTY) LTD</t>
        </is>
      </c>
      <c r="B13899" s="4" t="n">
        <v>45046</v>
      </c>
      <c r="C13899" s="3" t="inlineStr">
        <is>
          <t>Liabilities</t>
        </is>
      </c>
      <c r="D13899" s="3" t="inlineStr">
        <is>
          <t>5500/850</t>
        </is>
      </c>
      <c r="E13899" s="3" t="inlineStr">
        <is>
          <t>Loan - Nick Morgan</t>
        </is>
      </c>
      <c r="F13899" s="3" t="n">
        <v>0</v>
      </c>
      <c r="G13899" s="3" t="n">
        <v>6200</v>
      </c>
    </row>
    <row r="13900">
      <c r="A13900" s="3" t="inlineStr">
        <is>
          <t>Opportunity Global Investment (PTY) LTD</t>
        </is>
      </c>
      <c r="B13900" s="4" t="n">
        <v>45046</v>
      </c>
      <c r="C13900" s="3" t="inlineStr">
        <is>
          <t>Liabilities</t>
        </is>
      </c>
      <c r="D13900" s="3" t="inlineStr">
        <is>
          <t>5500/950</t>
        </is>
      </c>
      <c r="E13900" s="3" t="inlineStr">
        <is>
          <t>Loan - Gengis</t>
        </is>
      </c>
      <c r="F13900" s="3" t="n">
        <v>0</v>
      </c>
      <c r="G13900" s="3" t="n">
        <v>-45000</v>
      </c>
    </row>
    <row r="13901">
      <c r="A13901" s="3" t="inlineStr">
        <is>
          <t>Quinate Consulting (Pty) Ltd</t>
        </is>
      </c>
      <c r="B13901" s="4" t="n">
        <v>45046</v>
      </c>
      <c r="C13901" s="3" t="inlineStr">
        <is>
          <t>Liabilities</t>
        </is>
      </c>
      <c r="D13901" s="3" t="inlineStr">
        <is>
          <t>5501/001</t>
        </is>
      </c>
      <c r="E13901" s="3" t="inlineStr">
        <is>
          <t>Loan - Endulini CIP Costs</t>
        </is>
      </c>
      <c r="F13901" s="3" t="n">
        <v>90600</v>
      </c>
      <c r="G13901" s="3" t="n">
        <v>9501349.1</v>
      </c>
    </row>
    <row r="13902">
      <c r="A13902" s="3" t="inlineStr">
        <is>
          <t>Opportunity Management Holdings (PTY) LTD</t>
        </is>
      </c>
      <c r="B13902" s="4" t="n">
        <v>45046</v>
      </c>
      <c r="C13902" s="3" t="inlineStr">
        <is>
          <t>Liabilities</t>
        </is>
      </c>
      <c r="D13902" s="3" t="inlineStr">
        <is>
          <t>5510/100</t>
        </is>
      </c>
      <c r="E13902" s="3" t="inlineStr">
        <is>
          <t>Staff loan - Debbie Landsberg</t>
        </is>
      </c>
      <c r="F13902" s="3" t="n">
        <v>-1700</v>
      </c>
      <c r="G13902" s="3" t="n">
        <v>1400</v>
      </c>
    </row>
    <row r="13903">
      <c r="A13903" s="3" t="inlineStr">
        <is>
          <t>Noble Shield (Pty) Ltd ta Go Letting</t>
        </is>
      </c>
      <c r="B13903" s="4" t="n">
        <v>45046</v>
      </c>
      <c r="C13903" s="3" t="inlineStr">
        <is>
          <t>Assets</t>
        </is>
      </c>
      <c r="D13903" s="3" t="inlineStr">
        <is>
          <t>6250/010</t>
        </is>
      </c>
      <c r="E13903" s="3" t="inlineStr">
        <is>
          <t>Computer Equipment - @ Cost</t>
        </is>
      </c>
      <c r="F13903" s="3" t="n">
        <v>0</v>
      </c>
      <c r="G13903" s="3" t="n">
        <v>20397</v>
      </c>
    </row>
    <row r="13904">
      <c r="A13904" s="3" t="inlineStr">
        <is>
          <t>Opportunity Global Investment (PTY) LTD</t>
        </is>
      </c>
      <c r="B13904" s="4" t="n">
        <v>45046</v>
      </c>
      <c r="C13904" s="3" t="inlineStr">
        <is>
          <t>Assets</t>
        </is>
      </c>
      <c r="D13904" s="3" t="inlineStr">
        <is>
          <t>6250/010</t>
        </is>
      </c>
      <c r="E13904" s="3" t="inlineStr">
        <is>
          <t>Computer Equipment - @ Cost</t>
        </is>
      </c>
      <c r="F13904" s="3" t="n">
        <v>0</v>
      </c>
      <c r="G13904" s="3" t="n">
        <v>31683.04</v>
      </c>
    </row>
    <row r="13905">
      <c r="A13905" s="3" t="inlineStr">
        <is>
          <t>Opportunity Management Holdings (PTY) LTD</t>
        </is>
      </c>
      <c r="B13905" s="4" t="n">
        <v>45046</v>
      </c>
      <c r="C13905" s="3" t="inlineStr">
        <is>
          <t>Assets</t>
        </is>
      </c>
      <c r="D13905" s="3" t="inlineStr">
        <is>
          <t>6250/010</t>
        </is>
      </c>
      <c r="E13905" s="3" t="inlineStr">
        <is>
          <t>Computer Equipment - @ Cost</t>
        </is>
      </c>
      <c r="F13905" s="3" t="n">
        <v>0</v>
      </c>
      <c r="G13905" s="3" t="n">
        <v>52177.85</v>
      </c>
    </row>
    <row r="13906">
      <c r="A13906" s="3" t="inlineStr">
        <is>
          <t>Quinate Consulting (Pty) Ltd</t>
        </is>
      </c>
      <c r="B13906" s="4" t="n">
        <v>45046</v>
      </c>
      <c r="C13906" s="3" t="inlineStr">
        <is>
          <t>Assets</t>
        </is>
      </c>
      <c r="D13906" s="3" t="inlineStr">
        <is>
          <t>6250/010</t>
        </is>
      </c>
      <c r="E13906" s="3" t="inlineStr">
        <is>
          <t>Computer Equipment - @ Cost</t>
        </is>
      </c>
      <c r="F13906" s="3" t="n">
        <v>0</v>
      </c>
      <c r="G13906" s="3" t="n">
        <v>137059.7</v>
      </c>
    </row>
    <row r="13907">
      <c r="A13907" s="3" t="inlineStr">
        <is>
          <t>Noble Shield (Pty) Ltd ta Go Letting</t>
        </is>
      </c>
      <c r="B13907" s="4" t="n">
        <v>45046</v>
      </c>
      <c r="C13907" s="3" t="inlineStr">
        <is>
          <t>Assets</t>
        </is>
      </c>
      <c r="D13907" s="3" t="inlineStr">
        <is>
          <t>6250/020</t>
        </is>
      </c>
      <c r="E13907" s="3" t="inlineStr">
        <is>
          <t>Computer Equipment - Accum Depre</t>
        </is>
      </c>
      <c r="F13907" s="3" t="n">
        <v>0</v>
      </c>
      <c r="G13907" s="3" t="n">
        <v>-12040.89</v>
      </c>
    </row>
    <row r="13908">
      <c r="A13908" s="3" t="inlineStr">
        <is>
          <t>Opportunity Global Investment (PTY) LTD</t>
        </is>
      </c>
      <c r="B13908" s="4" t="n">
        <v>45046</v>
      </c>
      <c r="C13908" s="3" t="inlineStr">
        <is>
          <t>Assets</t>
        </is>
      </c>
      <c r="D13908" s="3" t="inlineStr">
        <is>
          <t>6250/020</t>
        </is>
      </c>
      <c r="E13908" s="3" t="inlineStr">
        <is>
          <t>Computer Equipment - Accum Depre</t>
        </is>
      </c>
      <c r="F13908" s="3" t="n">
        <v>-880.08</v>
      </c>
      <c r="G13908" s="3" t="n">
        <v>-3520.32</v>
      </c>
    </row>
    <row r="13909">
      <c r="A13909" s="3" t="inlineStr">
        <is>
          <t>Opportunity Management Holdings (PTY) LTD</t>
        </is>
      </c>
      <c r="B13909" s="4" t="n">
        <v>45046</v>
      </c>
      <c r="C13909" s="3" t="inlineStr">
        <is>
          <t>Assets</t>
        </is>
      </c>
      <c r="D13909" s="3" t="inlineStr">
        <is>
          <t>6250/020</t>
        </is>
      </c>
      <c r="E13909" s="3" t="inlineStr">
        <is>
          <t>Computer Equipment - Accum Depre</t>
        </is>
      </c>
      <c r="F13909" s="3" t="n">
        <v>-1035.19</v>
      </c>
      <c r="G13909" s="3" t="n">
        <v>-7679.55</v>
      </c>
    </row>
    <row r="13910">
      <c r="A13910" s="3" t="inlineStr">
        <is>
          <t>Quinate Consulting (Pty) Ltd</t>
        </is>
      </c>
      <c r="B13910" s="4" t="n">
        <v>45046</v>
      </c>
      <c r="C13910" s="3" t="inlineStr">
        <is>
          <t>Assets</t>
        </is>
      </c>
      <c r="D13910" s="3" t="inlineStr">
        <is>
          <t>6250/020</t>
        </is>
      </c>
      <c r="E13910" s="3" t="inlineStr">
        <is>
          <t>Computer Equipment - Accum Depre</t>
        </is>
      </c>
      <c r="F13910" s="3" t="n">
        <v>-2331.65</v>
      </c>
      <c r="G13910" s="3" t="n">
        <v>-103037.14</v>
      </c>
    </row>
    <row r="13911">
      <c r="A13911" s="3" t="inlineStr">
        <is>
          <t>Opportunity Management Holdings (PTY) LTD</t>
        </is>
      </c>
      <c r="B13911" s="4" t="n">
        <v>45046</v>
      </c>
      <c r="C13911" s="3" t="inlineStr">
        <is>
          <t>Assets</t>
        </is>
      </c>
      <c r="D13911" s="3" t="inlineStr">
        <is>
          <t>6250/030</t>
        </is>
      </c>
      <c r="E13911" s="3" t="inlineStr">
        <is>
          <t>Acc Depreciation - Computer Equipment</t>
        </is>
      </c>
      <c r="F13911" s="3" t="n">
        <v>0</v>
      </c>
      <c r="G13911" s="3" t="n">
        <v>-9441.25</v>
      </c>
    </row>
    <row r="13912">
      <c r="A13912" s="3" t="inlineStr">
        <is>
          <t>Quinate Consulting (Pty) Ltd</t>
        </is>
      </c>
      <c r="B13912" s="4" t="n">
        <v>45046</v>
      </c>
      <c r="C13912" s="3" t="inlineStr">
        <is>
          <t>Assets</t>
        </is>
      </c>
      <c r="D13912" s="3" t="inlineStr">
        <is>
          <t>6270/010</t>
        </is>
      </c>
      <c r="E13912" s="3" t="inlineStr">
        <is>
          <t>Site Containers - @ Cost</t>
        </is>
      </c>
      <c r="F13912" s="3" t="n">
        <v>0</v>
      </c>
      <c r="G13912" s="3" t="n">
        <v>19130.44</v>
      </c>
    </row>
    <row r="13913">
      <c r="A13913" s="3" t="inlineStr">
        <is>
          <t>Quinate Consulting (Pty) Ltd</t>
        </is>
      </c>
      <c r="B13913" s="4" t="n">
        <v>45046</v>
      </c>
      <c r="C13913" s="3" t="inlineStr">
        <is>
          <t>Assets</t>
        </is>
      </c>
      <c r="D13913" s="3" t="inlineStr">
        <is>
          <t>6270/020</t>
        </is>
      </c>
      <c r="E13913" s="3" t="inlineStr">
        <is>
          <t>Site Containers - Accum Depre</t>
        </is>
      </c>
      <c r="F13913" s="3" t="n">
        <v>-318.84</v>
      </c>
      <c r="G13913" s="3" t="n">
        <v>-8289.860000000001</v>
      </c>
    </row>
    <row r="13914">
      <c r="A13914" s="3" t="inlineStr">
        <is>
          <t>Noble Shield (Pty) Ltd ta Go Letting</t>
        </is>
      </c>
      <c r="B13914" s="4" t="n">
        <v>45046</v>
      </c>
      <c r="C13914" s="3" t="inlineStr">
        <is>
          <t>Assets</t>
        </is>
      </c>
      <c r="D13914" s="3" t="inlineStr">
        <is>
          <t>6350/010</t>
        </is>
      </c>
      <c r="E13914" s="3" t="inlineStr">
        <is>
          <t>Furniture _AND_ Fittings - @ Cost</t>
        </is>
      </c>
      <c r="F13914" s="3" t="n">
        <v>0</v>
      </c>
      <c r="G13914" s="3" t="n">
        <v>2242</v>
      </c>
    </row>
    <row r="13915">
      <c r="A13915" s="3" t="inlineStr">
        <is>
          <t>Opportunity Global Sales (PTY) LTD</t>
        </is>
      </c>
      <c r="B13915" s="4" t="n">
        <v>45046</v>
      </c>
      <c r="C13915" s="3" t="inlineStr">
        <is>
          <t>Assets</t>
        </is>
      </c>
      <c r="D13915" s="3" t="inlineStr">
        <is>
          <t>6350/010</t>
        </is>
      </c>
      <c r="E13915" s="3" t="inlineStr">
        <is>
          <t>Furniture _AND_ Fittings - @ Cost</t>
        </is>
      </c>
      <c r="F13915" s="3" t="n">
        <v>0</v>
      </c>
      <c r="G13915" s="3" t="n">
        <v>29379.7</v>
      </c>
    </row>
    <row r="13916">
      <c r="A13916" s="3" t="inlineStr">
        <is>
          <t>Noble Shield (Pty) Ltd ta Go Letting</t>
        </is>
      </c>
      <c r="B13916" s="4" t="n">
        <v>45046</v>
      </c>
      <c r="C13916" s="3" t="inlineStr">
        <is>
          <t>Assets</t>
        </is>
      </c>
      <c r="D13916" s="3" t="inlineStr">
        <is>
          <t>6350/020</t>
        </is>
      </c>
      <c r="E13916" s="3" t="inlineStr">
        <is>
          <t>Furniture _AND_ Fittings - Accum Depre</t>
        </is>
      </c>
      <c r="F13916" s="3" t="n">
        <v>0</v>
      </c>
      <c r="G13916" s="3" t="n">
        <v>-2239</v>
      </c>
    </row>
    <row r="13917">
      <c r="A13917" s="3" t="inlineStr">
        <is>
          <t>Opportunity Global Sales (PTY) LTD</t>
        </is>
      </c>
      <c r="B13917" s="4" t="n">
        <v>45046</v>
      </c>
      <c r="C13917" s="3" t="inlineStr">
        <is>
          <t>Assets</t>
        </is>
      </c>
      <c r="D13917" s="3" t="inlineStr">
        <is>
          <t>6350/020</t>
        </is>
      </c>
      <c r="E13917" s="3" t="inlineStr">
        <is>
          <t>Furniture _AND_ Fittings - Accum Depre</t>
        </is>
      </c>
      <c r="F13917" s="3" t="n">
        <v>-408.05</v>
      </c>
      <c r="G13917" s="3" t="n">
        <v>-4080.51</v>
      </c>
    </row>
    <row r="13918">
      <c r="A13918" s="3" t="inlineStr">
        <is>
          <t>Opportunity Management Holdings (PTY) LTD</t>
        </is>
      </c>
      <c r="B13918" s="4" t="n">
        <v>45046</v>
      </c>
      <c r="C13918" s="3" t="inlineStr">
        <is>
          <t>Liabilities</t>
        </is>
      </c>
      <c r="D13918" s="3" t="inlineStr">
        <is>
          <t>6500/000</t>
        </is>
      </c>
      <c r="E13918" s="3" t="inlineStr">
        <is>
          <t>Deposits - Held</t>
        </is>
      </c>
      <c r="F13918" s="3" t="n">
        <v>0</v>
      </c>
      <c r="G13918" s="3" t="n">
        <v>-12028.1</v>
      </c>
    </row>
    <row r="13919">
      <c r="A13919" s="3" t="inlineStr">
        <is>
          <t>Opportunity Management Holdings (PTY) LTD</t>
        </is>
      </c>
      <c r="B13919" s="4" t="n">
        <v>45046</v>
      </c>
      <c r="C13919" s="3" t="inlineStr">
        <is>
          <t>Liabilities</t>
        </is>
      </c>
      <c r="D13919" s="3" t="inlineStr">
        <is>
          <t>6510/000</t>
        </is>
      </c>
      <c r="E13919" s="3" t="inlineStr">
        <is>
          <t>Deposits Paid - Anicol Properties</t>
        </is>
      </c>
      <c r="F13919" s="3" t="n">
        <v>0</v>
      </c>
      <c r="G13919" s="3" t="n">
        <v>13755</v>
      </c>
    </row>
    <row r="13920">
      <c r="A13920" s="3" t="inlineStr">
        <is>
          <t>Opportunity Management Holdings (PTY) LTD</t>
        </is>
      </c>
      <c r="B13920" s="4" t="n">
        <v>45046</v>
      </c>
      <c r="C13920" s="3" t="inlineStr">
        <is>
          <t>Liabilities</t>
        </is>
      </c>
      <c r="D13920" s="3" t="inlineStr">
        <is>
          <t>6515/000</t>
        </is>
      </c>
      <c r="E13920" s="3" t="inlineStr">
        <is>
          <t>Deposits Paid</t>
        </is>
      </c>
      <c r="F13920" s="3" t="n">
        <v>0</v>
      </c>
      <c r="G13920" s="3" t="n">
        <v>3852.5</v>
      </c>
    </row>
    <row r="13921">
      <c r="A13921" s="3" t="inlineStr">
        <is>
          <t>Quinate Consulting (Pty) Ltd</t>
        </is>
      </c>
      <c r="B13921" s="4" t="n">
        <v>45046</v>
      </c>
      <c r="C13921" s="3" t="inlineStr">
        <is>
          <t>Assets</t>
        </is>
      </c>
      <c r="D13921" s="3" t="inlineStr">
        <is>
          <t>6600/010</t>
        </is>
      </c>
      <c r="E13921" s="3" t="inlineStr">
        <is>
          <t>Other Fixed Assets - @ Cost</t>
        </is>
      </c>
      <c r="F13921" s="3" t="n">
        <v>0</v>
      </c>
      <c r="G13921" s="3" t="n">
        <v>14442.5</v>
      </c>
    </row>
    <row r="13922">
      <c r="A13922" s="3" t="inlineStr">
        <is>
          <t>Quinate Consulting (Pty) Ltd</t>
        </is>
      </c>
      <c r="B13922" s="4" t="n">
        <v>45046</v>
      </c>
      <c r="C13922" s="3" t="inlineStr">
        <is>
          <t>Assets</t>
        </is>
      </c>
      <c r="D13922" s="3" t="inlineStr">
        <is>
          <t>6600/020</t>
        </is>
      </c>
      <c r="E13922" s="3" t="inlineStr">
        <is>
          <t>Other Fixed Assets - Accum Depre</t>
        </is>
      </c>
      <c r="F13922" s="3" t="n">
        <v>0</v>
      </c>
      <c r="G13922" s="3" t="n">
        <v>-14441.5</v>
      </c>
    </row>
    <row r="13923">
      <c r="A13923" s="3" t="inlineStr">
        <is>
          <t>Noble Shield (Pty) Ltd ta Go Letting</t>
        </is>
      </c>
      <c r="B13923" s="4" t="n">
        <v>45046</v>
      </c>
      <c r="C13923" s="3" t="inlineStr">
        <is>
          <t>Assets</t>
        </is>
      </c>
      <c r="D13923" s="3" t="inlineStr">
        <is>
          <t>7000/100</t>
        </is>
      </c>
      <c r="E13923" s="3" t="inlineStr">
        <is>
          <t>Goodwill - Purchase of Go Letting</t>
        </is>
      </c>
      <c r="F13923" s="3" t="n">
        <v>0</v>
      </c>
      <c r="G13923" s="3" t="n">
        <v>106580</v>
      </c>
    </row>
    <row r="13924">
      <c r="A13924" s="3" t="inlineStr">
        <is>
          <t>Opportunity Management Holdings (PTY) LTD</t>
        </is>
      </c>
      <c r="B13924" s="4" t="n">
        <v>45046</v>
      </c>
      <c r="C13924" s="3" t="inlineStr">
        <is>
          <t>Assets</t>
        </is>
      </c>
      <c r="D13924" s="3" t="inlineStr">
        <is>
          <t>7200/000</t>
        </is>
      </c>
      <c r="E13924" s="3" t="inlineStr">
        <is>
          <t>Shares in Subsidiary Companies</t>
        </is>
      </c>
      <c r="F13924" s="3" t="n">
        <v>0</v>
      </c>
      <c r="G13924" s="3" t="n">
        <v>120</v>
      </c>
    </row>
    <row r="13925">
      <c r="A13925" s="3" t="inlineStr">
        <is>
          <t>Endulini (Pty) Ltd</t>
        </is>
      </c>
      <c r="B13925" s="4" t="n">
        <v>45046</v>
      </c>
      <c r="C13925" s="3" t="inlineStr">
        <is>
          <t>Assets</t>
        </is>
      </c>
      <c r="D13925" s="3" t="inlineStr">
        <is>
          <t>7610/100</t>
        </is>
      </c>
      <c r="E13925" s="3" t="inlineStr">
        <is>
          <t>Endulini Land</t>
        </is>
      </c>
      <c r="F13925" s="3" t="n">
        <v>0</v>
      </c>
      <c r="G13925" s="3" t="n">
        <v>10572851.37</v>
      </c>
    </row>
    <row r="13926">
      <c r="A13926" s="3" t="inlineStr">
        <is>
          <t>Endulini (Pty) Ltd</t>
        </is>
      </c>
      <c r="B13926" s="4" t="n">
        <v>45046</v>
      </c>
      <c r="C13926" s="3" t="inlineStr">
        <is>
          <t>Assets</t>
        </is>
      </c>
      <c r="D13926" s="3" t="inlineStr">
        <is>
          <t>7610/111</t>
        </is>
      </c>
      <c r="E13926" s="3" t="inlineStr">
        <is>
          <t>Endulini Closing Stock February 2021</t>
        </is>
      </c>
      <c r="F13926" s="3" t="n">
        <v>0</v>
      </c>
      <c r="G13926" s="3" t="n">
        <v>14368610.11</v>
      </c>
    </row>
    <row r="13927">
      <c r="A13927" s="3" t="inlineStr">
        <is>
          <t>Endulini (Pty) Ltd</t>
        </is>
      </c>
      <c r="B13927" s="4" t="n">
        <v>45046</v>
      </c>
      <c r="C13927" s="3" t="inlineStr">
        <is>
          <t>Assets</t>
        </is>
      </c>
      <c r="D13927" s="3" t="inlineStr">
        <is>
          <t>7610/180</t>
        </is>
      </c>
      <c r="E13927" s="3" t="inlineStr">
        <is>
          <t>Endulini CIP Architects</t>
        </is>
      </c>
      <c r="F13927" s="3" t="n">
        <v>40608.7</v>
      </c>
      <c r="G13927" s="3" t="n">
        <v>1292111.71</v>
      </c>
    </row>
    <row r="13928">
      <c r="A13928" s="3" t="inlineStr">
        <is>
          <t>Endulini (Pty) Ltd</t>
        </is>
      </c>
      <c r="B13928" s="4" t="n">
        <v>45046</v>
      </c>
      <c r="C13928" s="3" t="inlineStr">
        <is>
          <t>Assets</t>
        </is>
      </c>
      <c r="D13928" s="3" t="inlineStr">
        <is>
          <t>7610/200</t>
        </is>
      </c>
      <c r="E13928" s="3" t="inlineStr">
        <is>
          <t>Endulini CIP CoCT Land Use App</t>
        </is>
      </c>
      <c r="F13928" s="3" t="n">
        <v>0</v>
      </c>
      <c r="G13928" s="3" t="n">
        <v>232891.06</v>
      </c>
    </row>
    <row r="13929">
      <c r="A13929" s="3" t="inlineStr">
        <is>
          <t>Endulini (Pty) Ltd</t>
        </is>
      </c>
      <c r="B13929" s="4" t="n">
        <v>45046</v>
      </c>
      <c r="C13929" s="3" t="inlineStr">
        <is>
          <t>Assets</t>
        </is>
      </c>
      <c r="D13929" s="3" t="inlineStr">
        <is>
          <t>7610/205</t>
        </is>
      </c>
      <c r="E13929" s="3" t="inlineStr">
        <is>
          <t>Endulini CIP Site Establishments</t>
        </is>
      </c>
      <c r="F13929" s="3" t="n">
        <v>0</v>
      </c>
      <c r="G13929" s="3" t="n">
        <v>32428975.01</v>
      </c>
    </row>
    <row r="13930">
      <c r="A13930" s="3" t="inlineStr">
        <is>
          <t>Endulini (Pty) Ltd</t>
        </is>
      </c>
      <c r="B13930" s="4" t="n">
        <v>45046</v>
      </c>
      <c r="C13930" s="3" t="inlineStr">
        <is>
          <t>Assets</t>
        </is>
      </c>
      <c r="D13930" s="3" t="inlineStr">
        <is>
          <t>7610/209</t>
        </is>
      </c>
      <c r="E13930" s="3" t="inlineStr">
        <is>
          <t>Endulini CIP Construction Management</t>
        </is>
      </c>
      <c r="F13930" s="3" t="n">
        <v>0</v>
      </c>
      <c r="G13930" s="3" t="n">
        <v>223375</v>
      </c>
    </row>
    <row r="13931">
      <c r="A13931" s="3" t="inlineStr">
        <is>
          <t>Endulini (Pty) Ltd</t>
        </is>
      </c>
      <c r="B13931" s="4" t="n">
        <v>45046</v>
      </c>
      <c r="C13931" s="3" t="inlineStr">
        <is>
          <t>Assets</t>
        </is>
      </c>
      <c r="D13931" s="3" t="inlineStr">
        <is>
          <t>7610/210</t>
        </is>
      </c>
      <c r="E13931" s="3" t="inlineStr">
        <is>
          <t>Endulini CIP Civil Works</t>
        </is>
      </c>
      <c r="F13931" s="3" t="n">
        <v>0</v>
      </c>
      <c r="G13931" s="3" t="n">
        <v>6295702.14</v>
      </c>
    </row>
    <row r="13932">
      <c r="A13932" s="3" t="inlineStr">
        <is>
          <t>Endulini (Pty) Ltd</t>
        </is>
      </c>
      <c r="B13932" s="4" t="n">
        <v>45046</v>
      </c>
      <c r="C13932" s="3" t="inlineStr">
        <is>
          <t>Assets</t>
        </is>
      </c>
      <c r="D13932" s="3" t="inlineStr">
        <is>
          <t>7610/215</t>
        </is>
      </c>
      <c r="E13932" s="3" t="inlineStr">
        <is>
          <t>Endulini CIP Civil Engineers</t>
        </is>
      </c>
      <c r="F13932" s="3" t="n">
        <v>0</v>
      </c>
      <c r="G13932" s="3" t="n">
        <v>183000</v>
      </c>
    </row>
    <row r="13933">
      <c r="A13933" s="3" t="inlineStr">
        <is>
          <t>Endulini (Pty) Ltd</t>
        </is>
      </c>
      <c r="B13933" s="4" t="n">
        <v>45046</v>
      </c>
      <c r="C13933" s="3" t="inlineStr">
        <is>
          <t>Assets</t>
        </is>
      </c>
      <c r="D13933" s="3" t="inlineStr">
        <is>
          <t>7610/220</t>
        </is>
      </c>
      <c r="E13933" s="3" t="inlineStr">
        <is>
          <t>Endulini CIP Structuring Project Fee Opp Invest</t>
        </is>
      </c>
      <c r="F13933" s="3" t="n">
        <v>0</v>
      </c>
      <c r="G13933" s="3" t="n">
        <v>483735.96</v>
      </c>
    </row>
    <row r="13934">
      <c r="A13934" s="3" t="inlineStr">
        <is>
          <t>Endulini (Pty) Ltd</t>
        </is>
      </c>
      <c r="B13934" s="4" t="n">
        <v>45046</v>
      </c>
      <c r="C13934" s="3" t="inlineStr">
        <is>
          <t>Assets</t>
        </is>
      </c>
      <c r="D13934" s="3" t="inlineStr">
        <is>
          <t>7610/225</t>
        </is>
      </c>
      <c r="E13934" s="3" t="inlineStr">
        <is>
          <t>Endulini CIP Structural engineering fee</t>
        </is>
      </c>
      <c r="F13934" s="3" t="n">
        <v>0</v>
      </c>
      <c r="G13934" s="3" t="n">
        <v>346268.03</v>
      </c>
    </row>
    <row r="13935">
      <c r="A13935" s="3" t="inlineStr">
        <is>
          <t>Endulini (Pty) Ltd</t>
        </is>
      </c>
      <c r="B13935" s="4" t="n">
        <v>45046</v>
      </c>
      <c r="C13935" s="3" t="inlineStr">
        <is>
          <t>Assets</t>
        </is>
      </c>
      <c r="D13935" s="3" t="inlineStr">
        <is>
          <t>7610/230</t>
        </is>
      </c>
      <c r="E13935" s="3" t="inlineStr">
        <is>
          <t>Endulini CIP Mechanical Engineering</t>
        </is>
      </c>
      <c r="F13935" s="3" t="n">
        <v>0</v>
      </c>
      <c r="G13935" s="3" t="n">
        <v>15570</v>
      </c>
    </row>
    <row r="13936">
      <c r="A13936" s="3" t="inlineStr">
        <is>
          <t>Endulini (Pty) Ltd</t>
        </is>
      </c>
      <c r="B13936" s="4" t="n">
        <v>45046</v>
      </c>
      <c r="C13936" s="3" t="inlineStr">
        <is>
          <t>Assets</t>
        </is>
      </c>
      <c r="D13936" s="3" t="inlineStr">
        <is>
          <t>7610/235</t>
        </is>
      </c>
      <c r="E13936" s="3" t="inlineStr">
        <is>
          <t>Endulini CIP Electrical Installation</t>
        </is>
      </c>
      <c r="F13936" s="3" t="n">
        <v>0</v>
      </c>
      <c r="G13936" s="3" t="n">
        <v>1034019.08</v>
      </c>
    </row>
    <row r="13937">
      <c r="A13937" s="3" t="inlineStr">
        <is>
          <t>Endulini (Pty) Ltd</t>
        </is>
      </c>
      <c r="B13937" s="4" t="n">
        <v>45046</v>
      </c>
      <c r="C13937" s="3" t="inlineStr">
        <is>
          <t>Assets</t>
        </is>
      </c>
      <c r="D13937" s="3" t="inlineStr">
        <is>
          <t>7610/250</t>
        </is>
      </c>
      <c r="E13937" s="3" t="inlineStr">
        <is>
          <t>Endulini CIP Boundary Wall</t>
        </is>
      </c>
      <c r="F13937" s="3" t="n">
        <v>0</v>
      </c>
      <c r="G13937" s="3" t="n">
        <v>88400.8</v>
      </c>
    </row>
    <row r="13938">
      <c r="A13938" s="3" t="inlineStr">
        <is>
          <t>Endulini (Pty) Ltd</t>
        </is>
      </c>
      <c r="B13938" s="4" t="n">
        <v>45046</v>
      </c>
      <c r="C13938" s="3" t="inlineStr">
        <is>
          <t>Assets</t>
        </is>
      </c>
      <c r="D13938" s="3" t="inlineStr">
        <is>
          <t>7610/290</t>
        </is>
      </c>
      <c r="E13938" s="3" t="inlineStr">
        <is>
          <t>Endulini CIP Development Management Fees</t>
        </is>
      </c>
      <c r="F13938" s="3" t="n">
        <v>0</v>
      </c>
      <c r="G13938" s="3" t="n">
        <v>237496.62</v>
      </c>
    </row>
    <row r="13939">
      <c r="A13939" s="3" t="inlineStr">
        <is>
          <t>Endulini (Pty) Ltd</t>
        </is>
      </c>
      <c r="B13939" s="4" t="n">
        <v>45046</v>
      </c>
      <c r="C13939" s="3" t="inlineStr">
        <is>
          <t>Assets</t>
        </is>
      </c>
      <c r="D13939" s="3" t="inlineStr">
        <is>
          <t>7610/310</t>
        </is>
      </c>
      <c r="E13939" s="3" t="inlineStr">
        <is>
          <t>Endulini CIP Enviromental consultants</t>
        </is>
      </c>
      <c r="F13939" s="3" t="n">
        <v>0</v>
      </c>
      <c r="G13939" s="3" t="n">
        <v>115730</v>
      </c>
    </row>
    <row r="13940">
      <c r="A13940" s="3" t="inlineStr">
        <is>
          <t>Endulini (Pty) Ltd</t>
        </is>
      </c>
      <c r="B13940" s="4" t="n">
        <v>45046</v>
      </c>
      <c r="C13940" s="3" t="inlineStr">
        <is>
          <t>Assets</t>
        </is>
      </c>
      <c r="D13940" s="3" t="inlineStr">
        <is>
          <t>7610/320</t>
        </is>
      </c>
      <c r="E13940" s="3" t="inlineStr">
        <is>
          <t>Endulini CIP Geotechnical</t>
        </is>
      </c>
      <c r="F13940" s="3" t="n">
        <v>0</v>
      </c>
      <c r="G13940" s="3" t="n">
        <v>13575</v>
      </c>
    </row>
    <row r="13941">
      <c r="A13941" s="3" t="inlineStr">
        <is>
          <t>Endulini (Pty) Ltd</t>
        </is>
      </c>
      <c r="B13941" s="4" t="n">
        <v>45046</v>
      </c>
      <c r="C13941" s="3" t="inlineStr">
        <is>
          <t>Assets</t>
        </is>
      </c>
      <c r="D13941" s="3" t="inlineStr">
        <is>
          <t>7610/330</t>
        </is>
      </c>
      <c r="E13941" s="3" t="inlineStr">
        <is>
          <t>Endulini CIP Health and Safety</t>
        </is>
      </c>
      <c r="F13941" s="3" t="n">
        <v>0</v>
      </c>
      <c r="G13941" s="3" t="n">
        <v>40200</v>
      </c>
    </row>
    <row r="13942">
      <c r="A13942" s="3" t="inlineStr">
        <is>
          <t>Endulini (Pty) Ltd</t>
        </is>
      </c>
      <c r="B13942" s="4" t="n">
        <v>45046</v>
      </c>
      <c r="C13942" s="3" t="inlineStr">
        <is>
          <t>Assets</t>
        </is>
      </c>
      <c r="D13942" s="3" t="inlineStr">
        <is>
          <t>7610/390</t>
        </is>
      </c>
      <c r="E13942" s="3" t="inlineStr">
        <is>
          <t>Endulini CIP Land Surveyor</t>
        </is>
      </c>
      <c r="F13942" s="3" t="n">
        <v>0</v>
      </c>
      <c r="G13942" s="3" t="n">
        <v>186021.2</v>
      </c>
    </row>
    <row r="13943">
      <c r="A13943" s="3" t="inlineStr">
        <is>
          <t>Endulini (Pty) Ltd</t>
        </is>
      </c>
      <c r="B13943" s="4" t="n">
        <v>45046</v>
      </c>
      <c r="C13943" s="3" t="inlineStr">
        <is>
          <t>Assets</t>
        </is>
      </c>
      <c r="D13943" s="3" t="inlineStr">
        <is>
          <t>7610/392</t>
        </is>
      </c>
      <c r="E13943" s="3" t="inlineStr">
        <is>
          <t>Endulini CIP Landscaping</t>
        </is>
      </c>
      <c r="F13943" s="3" t="n">
        <v>0</v>
      </c>
      <c r="G13943" s="3" t="n">
        <v>6100</v>
      </c>
    </row>
    <row r="13944">
      <c r="A13944" s="3" t="inlineStr">
        <is>
          <t>Endulini (Pty) Ltd</t>
        </is>
      </c>
      <c r="B13944" s="4" t="n">
        <v>45046</v>
      </c>
      <c r="C13944" s="3" t="inlineStr">
        <is>
          <t>Assets</t>
        </is>
      </c>
      <c r="D13944" s="3" t="inlineStr">
        <is>
          <t>7610/395</t>
        </is>
      </c>
      <c r="E13944" s="3" t="inlineStr">
        <is>
          <t>Endulini CIP NHBRC</t>
        </is>
      </c>
      <c r="F13944" s="3" t="n">
        <v>0</v>
      </c>
      <c r="G13944" s="3" t="n">
        <v>928847.49</v>
      </c>
    </row>
    <row r="13945">
      <c r="A13945" s="3" t="inlineStr">
        <is>
          <t>Endulini (Pty) Ltd</t>
        </is>
      </c>
      <c r="B13945" s="4" t="n">
        <v>45046</v>
      </c>
      <c r="C13945" s="3" t="inlineStr">
        <is>
          <t>Assets</t>
        </is>
      </c>
      <c r="D13945" s="3" t="inlineStr">
        <is>
          <t>7610/400</t>
        </is>
      </c>
      <c r="E13945" s="3" t="inlineStr">
        <is>
          <t>Endulini CIP Quantity Surveyor</t>
        </is>
      </c>
      <c r="F13945" s="3" t="n">
        <v>0</v>
      </c>
      <c r="G13945" s="3" t="n">
        <v>82136.36</v>
      </c>
    </row>
    <row r="13946">
      <c r="A13946" s="3" t="inlineStr">
        <is>
          <t>Endulini (Pty) Ltd</t>
        </is>
      </c>
      <c r="B13946" s="4" t="n">
        <v>45046</v>
      </c>
      <c r="C13946" s="3" t="inlineStr">
        <is>
          <t>Assets</t>
        </is>
      </c>
      <c r="D13946" s="3" t="inlineStr">
        <is>
          <t>7610/600</t>
        </is>
      </c>
      <c r="E13946" s="3" t="inlineStr">
        <is>
          <t>Endulini CIP Town Planning</t>
        </is>
      </c>
      <c r="F13946" s="3" t="n">
        <v>0</v>
      </c>
      <c r="G13946" s="3" t="n">
        <v>21105</v>
      </c>
    </row>
    <row r="13947">
      <c r="A13947" s="3" t="inlineStr">
        <is>
          <t>Endulini (Pty) Ltd</t>
        </is>
      </c>
      <c r="B13947" s="4" t="n">
        <v>45046</v>
      </c>
      <c r="C13947" s="3" t="inlineStr">
        <is>
          <t>Assets</t>
        </is>
      </c>
      <c r="D13947" s="3" t="inlineStr">
        <is>
          <t>7610/620</t>
        </is>
      </c>
      <c r="E13947" s="3" t="inlineStr">
        <is>
          <t>Endulini CIP Traffic Impact</t>
        </is>
      </c>
      <c r="F13947" s="3" t="n">
        <v>0</v>
      </c>
      <c r="G13947" s="3" t="n">
        <v>24915</v>
      </c>
    </row>
    <row r="13948">
      <c r="A13948" s="3" t="inlineStr">
        <is>
          <t>Endulini (Pty) Ltd</t>
        </is>
      </c>
      <c r="B13948" s="4" t="n">
        <v>45046</v>
      </c>
      <c r="C13948" s="3" t="inlineStr">
        <is>
          <t>Assets</t>
        </is>
      </c>
      <c r="D13948" s="3" t="inlineStr">
        <is>
          <t>7610/630</t>
        </is>
      </c>
      <c r="E13948" s="3" t="inlineStr">
        <is>
          <t>Endulini CIP CoCT Development Contributi</t>
        </is>
      </c>
      <c r="F13948" s="3" t="n">
        <v>0</v>
      </c>
      <c r="G13948" s="3" t="n">
        <v>661860.3100000001</v>
      </c>
    </row>
    <row r="13949">
      <c r="A13949" s="3" t="inlineStr">
        <is>
          <t>Endulini (Pty) Ltd</t>
        </is>
      </c>
      <c r="B13949" s="4" t="n">
        <v>45046</v>
      </c>
      <c r="C13949" s="3" t="inlineStr">
        <is>
          <t>Assets</t>
        </is>
      </c>
      <c r="D13949" s="3" t="inlineStr">
        <is>
          <t>7610/640</t>
        </is>
      </c>
      <c r="E13949" s="3" t="inlineStr">
        <is>
          <t>Endulini CIP CoCT Building plan application</t>
        </is>
      </c>
      <c r="F13949" s="3" t="n">
        <v>0</v>
      </c>
      <c r="G13949" s="3" t="n">
        <v>111203.22</v>
      </c>
    </row>
    <row r="13950">
      <c r="A13950" s="3" t="inlineStr">
        <is>
          <t>Endulini (Pty) Ltd</t>
        </is>
      </c>
      <c r="B13950" s="4" t="n">
        <v>45046</v>
      </c>
      <c r="C13950" s="3" t="inlineStr">
        <is>
          <t>Assets</t>
        </is>
      </c>
      <c r="D13950" s="3" t="inlineStr">
        <is>
          <t>7610/900</t>
        </is>
      </c>
      <c r="E13950" s="3" t="inlineStr">
        <is>
          <t>Endulini CIP Cost of Sales</t>
        </is>
      </c>
      <c r="F13950" s="3" t="n">
        <v>0</v>
      </c>
      <c r="G13950" s="3" t="n">
        <v>-28210981.9</v>
      </c>
    </row>
    <row r="13951">
      <c r="A13951" s="3" t="inlineStr">
        <is>
          <t>Quinate Consulting (Pty) Ltd</t>
        </is>
      </c>
      <c r="B13951" s="4" t="n">
        <v>45046</v>
      </c>
      <c r="C13951" s="3" t="inlineStr">
        <is>
          <t>Assets</t>
        </is>
      </c>
      <c r="D13951" s="3" t="inlineStr">
        <is>
          <t>7800/104</t>
        </is>
      </c>
      <c r="E13951" s="3" t="inlineStr">
        <is>
          <t>Stock - Closing Stock SW - 28 Feb 21</t>
        </is>
      </c>
      <c r="F13951" s="3" t="n">
        <v>0</v>
      </c>
      <c r="G13951" s="3" t="n">
        <v>2874478.88</v>
      </c>
    </row>
    <row r="13952">
      <c r="A13952" s="3" t="inlineStr">
        <is>
          <t>Quinate Consulting (Pty) Ltd</t>
        </is>
      </c>
      <c r="B13952" s="4" t="n">
        <v>45046</v>
      </c>
      <c r="C13952" s="3" t="inlineStr">
        <is>
          <t>Assets</t>
        </is>
      </c>
      <c r="D13952" s="3" t="inlineStr">
        <is>
          <t>7800/105</t>
        </is>
      </c>
      <c r="E13952" s="3" t="inlineStr">
        <is>
          <t>Stock - Closing Stock SH - 28 Feb 21</t>
        </is>
      </c>
      <c r="F13952" s="3" t="n">
        <v>0</v>
      </c>
      <c r="G13952" s="3" t="n">
        <v>2843477.6</v>
      </c>
    </row>
    <row r="13953">
      <c r="A13953" s="3" t="inlineStr">
        <is>
          <t>Endulini (Pty) Ltd</t>
        </is>
      </c>
      <c r="B13953" s="4" t="n">
        <v>45046</v>
      </c>
      <c r="C13953" s="3" t="inlineStr">
        <is>
          <t>Assets</t>
        </is>
      </c>
      <c r="D13953" s="3" t="inlineStr">
        <is>
          <t>8000/000</t>
        </is>
      </c>
      <c r="E13953" s="3" t="inlineStr">
        <is>
          <t>Customer Control Account</t>
        </is>
      </c>
      <c r="F13953" s="3" t="n">
        <v>0</v>
      </c>
      <c r="G13953" s="3" t="n">
        <v>170572.96</v>
      </c>
    </row>
    <row r="13954">
      <c r="A13954" s="3" t="inlineStr">
        <is>
          <t>Noble Shield (Pty) Ltd ta Go Letting</t>
        </is>
      </c>
      <c r="B13954" s="4" t="n">
        <v>45046</v>
      </c>
      <c r="C13954" s="3" t="inlineStr">
        <is>
          <t>Assets</t>
        </is>
      </c>
      <c r="D13954" s="3" t="inlineStr">
        <is>
          <t>8000/000</t>
        </is>
      </c>
      <c r="E13954" s="3" t="inlineStr">
        <is>
          <t>Customer Control Account</t>
        </is>
      </c>
      <c r="F13954" s="3" t="n">
        <v>0</v>
      </c>
      <c r="G13954" s="3" t="n">
        <v>60289.32</v>
      </c>
    </row>
    <row r="13955">
      <c r="A13955" s="3" t="inlineStr">
        <is>
          <t>Opportunity Global Investment (PTY) LTD</t>
        </is>
      </c>
      <c r="B13955" s="4" t="n">
        <v>45046</v>
      </c>
      <c r="C13955" s="3" t="inlineStr">
        <is>
          <t>Assets</t>
        </is>
      </c>
      <c r="D13955" s="3" t="inlineStr">
        <is>
          <t>8000/000</t>
        </is>
      </c>
      <c r="E13955" s="3" t="inlineStr">
        <is>
          <t>Customer Control Account</t>
        </is>
      </c>
      <c r="F13955" s="3" t="n">
        <v>1673.6</v>
      </c>
      <c r="G13955" s="3" t="n">
        <v>3347.2</v>
      </c>
    </row>
    <row r="13956">
      <c r="A13956" s="3" t="inlineStr">
        <is>
          <t>Opportunity Global Sales (PTY) LTD</t>
        </is>
      </c>
      <c r="B13956" s="4" t="n">
        <v>45046</v>
      </c>
      <c r="C13956" s="3" t="inlineStr">
        <is>
          <t>Assets</t>
        </is>
      </c>
      <c r="D13956" s="3" t="inlineStr">
        <is>
          <t>8000/000</t>
        </is>
      </c>
      <c r="E13956" s="3" t="inlineStr">
        <is>
          <t>Customer Control Account</t>
        </is>
      </c>
      <c r="F13956" s="3" t="n">
        <v>-601410</v>
      </c>
      <c r="G13956" s="3" t="n">
        <v>382263.56</v>
      </c>
    </row>
    <row r="13957">
      <c r="A13957" s="3" t="inlineStr">
        <is>
          <t>Opportunity Management Holdings (PTY) LTD</t>
        </is>
      </c>
      <c r="B13957" s="4" t="n">
        <v>45046</v>
      </c>
      <c r="C13957" s="3" t="inlineStr">
        <is>
          <t>Assets</t>
        </is>
      </c>
      <c r="D13957" s="3" t="inlineStr">
        <is>
          <t>8000/000</t>
        </is>
      </c>
      <c r="E13957" s="3" t="inlineStr">
        <is>
          <t>Customer Control Account</t>
        </is>
      </c>
      <c r="F13957" s="3" t="n">
        <v>0</v>
      </c>
      <c r="G13957" s="3" t="n">
        <v>11500</v>
      </c>
    </row>
    <row r="13958">
      <c r="A13958" s="3" t="inlineStr">
        <is>
          <t>Quinate Consulting (Pty) Ltd</t>
        </is>
      </c>
      <c r="B13958" s="4" t="n">
        <v>45046</v>
      </c>
      <c r="C13958" s="3" t="inlineStr">
        <is>
          <t>Assets</t>
        </is>
      </c>
      <c r="D13958" s="3" t="inlineStr">
        <is>
          <t>8000/000</t>
        </is>
      </c>
      <c r="E13958" s="3" t="inlineStr">
        <is>
          <t>Customer Control Account</t>
        </is>
      </c>
      <c r="F13958" s="3" t="n">
        <v>32079.49</v>
      </c>
      <c r="G13958" s="3" t="n">
        <v>29909.83</v>
      </c>
    </row>
    <row r="13959">
      <c r="A13959" s="3" t="inlineStr">
        <is>
          <t>Quinate Consulting (Pty) Ltd</t>
        </is>
      </c>
      <c r="B13959" s="4" t="n">
        <v>45046</v>
      </c>
      <c r="C13959" s="3" t="inlineStr">
        <is>
          <t>Assets</t>
        </is>
      </c>
      <c r="D13959" s="3" t="inlineStr">
        <is>
          <t>8001</t>
        </is>
      </c>
      <c r="E13959" s="3" t="inlineStr">
        <is>
          <t>Customer Control</t>
        </is>
      </c>
      <c r="F13959" s="3" t="n">
        <v>0</v>
      </c>
      <c r="G13959" s="3" t="n">
        <v>29487.49</v>
      </c>
    </row>
    <row r="13960">
      <c r="A13960" s="3" t="inlineStr">
        <is>
          <t>Quinate Consulting (Pty) Ltd</t>
        </is>
      </c>
      <c r="B13960" s="4" t="n">
        <v>45046</v>
      </c>
      <c r="C13960" s="3" t="inlineStr">
        <is>
          <t>Assets</t>
        </is>
      </c>
      <c r="D13960" s="3" t="inlineStr">
        <is>
          <t>8200/010</t>
        </is>
      </c>
      <c r="E13960" s="3" t="inlineStr">
        <is>
          <t>Prepayments / Prepaid Expenses</t>
        </is>
      </c>
      <c r="F13960" s="3" t="n">
        <v>0</v>
      </c>
      <c r="G13960" s="3" t="n">
        <v>109675</v>
      </c>
    </row>
    <row r="13961">
      <c r="A13961" s="3" t="inlineStr">
        <is>
          <t>Opportunity Global Investment (PTY) LTD</t>
        </is>
      </c>
      <c r="B13961" s="4" t="n">
        <v>45046</v>
      </c>
      <c r="C13961" s="3" t="inlineStr">
        <is>
          <t>Assets</t>
        </is>
      </c>
      <c r="D13961" s="3" t="inlineStr">
        <is>
          <t>8400/000</t>
        </is>
      </c>
      <c r="E13961" s="3" t="inlineStr">
        <is>
          <t>FNB 62093491696</t>
        </is>
      </c>
      <c r="F13961" s="3" t="n">
        <v>-2011872.49</v>
      </c>
      <c r="G13961" s="3" t="n">
        <v>69521.13</v>
      </c>
    </row>
    <row r="13962">
      <c r="A13962" s="3" t="inlineStr">
        <is>
          <t>Opportunity Global Sales (PTY) LTD</t>
        </is>
      </c>
      <c r="B13962" s="4" t="n">
        <v>45046</v>
      </c>
      <c r="C13962" s="3" t="inlineStr">
        <is>
          <t>Assets</t>
        </is>
      </c>
      <c r="D13962" s="3" t="inlineStr">
        <is>
          <t>8400/000</t>
        </is>
      </c>
      <c r="E13962" s="3" t="inlineStr">
        <is>
          <t>FNB 62835620875</t>
        </is>
      </c>
      <c r="F13962" s="3" t="n">
        <v>137127.57</v>
      </c>
      <c r="G13962" s="3" t="n">
        <v>194847.41</v>
      </c>
    </row>
    <row r="13963">
      <c r="A13963" s="3" t="inlineStr">
        <is>
          <t>Quinate Consulting (Pty) Ltd</t>
        </is>
      </c>
      <c r="B13963" s="4" t="n">
        <v>45046</v>
      </c>
      <c r="C13963" s="3" t="inlineStr">
        <is>
          <t>Assets</t>
        </is>
      </c>
      <c r="D13963" s="3" t="inlineStr">
        <is>
          <t>8400/000</t>
        </is>
      </c>
      <c r="E13963" s="3" t="inlineStr">
        <is>
          <t>RMB - 62736659189 - Call Acc</t>
        </is>
      </c>
      <c r="F13963" s="3" t="n">
        <v>777.01</v>
      </c>
      <c r="G13963" s="3" t="n">
        <v>156380.09</v>
      </c>
    </row>
    <row r="13964">
      <c r="A13964" s="3" t="inlineStr">
        <is>
          <t>Trademark Holdings (Pty) Ltd</t>
        </is>
      </c>
      <c r="B13964" s="4" t="n">
        <v>45046</v>
      </c>
      <c r="C13964" s="3" t="inlineStr">
        <is>
          <t>Assets</t>
        </is>
      </c>
      <c r="D13964" s="3" t="inlineStr">
        <is>
          <t>8400/000</t>
        </is>
      </c>
      <c r="E13964" s="3" t="inlineStr">
        <is>
          <t>RMB 623 693 03640</t>
        </is>
      </c>
      <c r="F13964" s="3" t="n">
        <v>5087.86</v>
      </c>
      <c r="G13964" s="3" t="n">
        <v>59366.24</v>
      </c>
    </row>
    <row r="13965">
      <c r="A13965" s="3" t="inlineStr">
        <is>
          <t>Noble Shield (Pty) Ltd ta Go Letting</t>
        </is>
      </c>
      <c r="B13965" s="4" t="n">
        <v>45046</v>
      </c>
      <c r="C13965" s="3" t="inlineStr">
        <is>
          <t>Assets</t>
        </is>
      </c>
      <c r="D13965" s="3" t="inlineStr">
        <is>
          <t>8400/000</t>
        </is>
      </c>
      <c r="E13965" s="3" t="inlineStr">
        <is>
          <t>RMB 6250 573 3833</t>
        </is>
      </c>
      <c r="F13965" s="3" t="n">
        <v>3703.59</v>
      </c>
      <c r="G13965" s="3" t="n">
        <v>49513.78</v>
      </c>
    </row>
    <row r="13966">
      <c r="A13966" s="3" t="inlineStr">
        <is>
          <t>Endulini (Pty) Ltd</t>
        </is>
      </c>
      <c r="B13966" s="4" t="n">
        <v>45046</v>
      </c>
      <c r="C13966" s="3" t="inlineStr">
        <is>
          <t>Assets</t>
        </is>
      </c>
      <c r="D13966" s="3" t="inlineStr">
        <is>
          <t>8400/000</t>
        </is>
      </c>
      <c r="E13966" s="3" t="inlineStr">
        <is>
          <t>RMB 62906944576</t>
        </is>
      </c>
      <c r="F13966" s="3" t="n">
        <v>32391.98</v>
      </c>
      <c r="G13966" s="3" t="n">
        <v>47570.42</v>
      </c>
    </row>
    <row r="13967">
      <c r="A13967" s="3" t="inlineStr">
        <is>
          <t>Opportunity Management Holdings (PTY) LTD</t>
        </is>
      </c>
      <c r="B13967" s="4" t="n">
        <v>45046</v>
      </c>
      <c r="C13967" s="3" t="inlineStr">
        <is>
          <t>Assets</t>
        </is>
      </c>
      <c r="D13967" s="3" t="inlineStr">
        <is>
          <t>8400/000</t>
        </is>
      </c>
      <c r="E13967" s="3" t="inlineStr">
        <is>
          <t>RMB Cheq - 62312246920</t>
        </is>
      </c>
      <c r="F13967" s="3" t="n">
        <v>-99306.02</v>
      </c>
      <c r="G13967" s="3" t="n">
        <v>21006.52</v>
      </c>
    </row>
    <row r="13968">
      <c r="A13968" s="3" t="inlineStr">
        <is>
          <t>Opportunity Global Investment (PTY) LTD</t>
        </is>
      </c>
      <c r="B13968" s="4" t="n">
        <v>45046</v>
      </c>
      <c r="C13968" s="3" t="inlineStr">
        <is>
          <t>Assets</t>
        </is>
      </c>
      <c r="D13968" s="3" t="inlineStr">
        <is>
          <t>8405/000</t>
        </is>
      </c>
      <c r="E13968" s="3" t="inlineStr">
        <is>
          <t>FNB Trust 62762449265</t>
        </is>
      </c>
      <c r="F13968" s="3" t="n">
        <v>-71.29000000000001</v>
      </c>
      <c r="G13968" s="3" t="n">
        <v>613.97</v>
      </c>
    </row>
    <row r="13969">
      <c r="A13969" s="3" t="inlineStr">
        <is>
          <t>Endulini (Pty) Ltd</t>
        </is>
      </c>
      <c r="B13969" s="4" t="n">
        <v>45046</v>
      </c>
      <c r="C13969" s="3" t="inlineStr">
        <is>
          <t>Assets</t>
        </is>
      </c>
      <c r="D13969" s="3" t="inlineStr">
        <is>
          <t>8410/000</t>
        </is>
      </c>
      <c r="E13969" s="3" t="inlineStr">
        <is>
          <t>Momentum Investor Account : RU 502229883</t>
        </is>
      </c>
      <c r="F13969" s="3" t="n">
        <v>16.35</v>
      </c>
      <c r="G13969" s="3" t="n">
        <v>2704.81</v>
      </c>
    </row>
    <row r="13970">
      <c r="A13970" s="3" t="inlineStr">
        <is>
          <t>Opportunity Management Holdings (PTY) LTD</t>
        </is>
      </c>
      <c r="B13970" s="4" t="n">
        <v>45046</v>
      </c>
      <c r="C13970" s="3" t="inlineStr">
        <is>
          <t>Assets</t>
        </is>
      </c>
      <c r="D13970" s="3" t="inlineStr">
        <is>
          <t>8410/000</t>
        </is>
      </c>
      <c r="E13970" s="3" t="inlineStr">
        <is>
          <t>RMB Call Acc - 62312248851</t>
        </is>
      </c>
      <c r="F13970" s="3" t="n">
        <v>-1.35</v>
      </c>
      <c r="G13970" s="3" t="n">
        <v>1433.47</v>
      </c>
    </row>
    <row r="13971">
      <c r="A13971" s="3" t="inlineStr">
        <is>
          <t>Noble Shield (Pty) Ltd ta Go Letting</t>
        </is>
      </c>
      <c r="B13971" s="4" t="n">
        <v>45046</v>
      </c>
      <c r="C13971" s="3" t="inlineStr">
        <is>
          <t>Assets</t>
        </is>
      </c>
      <c r="D13971" s="3" t="inlineStr">
        <is>
          <t>8410/000</t>
        </is>
      </c>
      <c r="E13971" s="3" t="inlineStr">
        <is>
          <t>RMB Trust Acc - 6250 615 1365</t>
        </is>
      </c>
      <c r="F13971" s="3" t="n">
        <v>-71.27</v>
      </c>
      <c r="G13971" s="3" t="n">
        <v>440.57</v>
      </c>
    </row>
    <row r="13972">
      <c r="A13972" s="3" t="inlineStr">
        <is>
          <t>Quinate Consulting (Pty) Ltd</t>
        </is>
      </c>
      <c r="B13972" s="4" t="n">
        <v>45046</v>
      </c>
      <c r="C13972" s="3" t="inlineStr">
        <is>
          <t>Assets</t>
        </is>
      </c>
      <c r="D13972" s="3" t="inlineStr">
        <is>
          <t>8415/000</t>
        </is>
      </c>
      <c r="E13972" s="3" t="inlineStr">
        <is>
          <t>STD Acc 071 958 959 - Facility Acc</t>
        </is>
      </c>
      <c r="F13972" s="3" t="n">
        <v>-85</v>
      </c>
      <c r="G13972" s="3" t="n">
        <v>3126.21</v>
      </c>
    </row>
    <row r="13973">
      <c r="A13973" s="3" t="inlineStr">
        <is>
          <t>Trademark Holdings (Pty) Ltd</t>
        </is>
      </c>
      <c r="B13973" s="4" t="n">
        <v>45046</v>
      </c>
      <c r="C13973" s="3" t="inlineStr">
        <is>
          <t>Assets</t>
        </is>
      </c>
      <c r="D13973" s="3" t="inlineStr">
        <is>
          <t>8420/000</t>
        </is>
      </c>
      <c r="E13973" s="3" t="inlineStr">
        <is>
          <t>FNB Credit Card</t>
        </is>
      </c>
      <c r="F13973" s="3" t="n">
        <v>52</v>
      </c>
      <c r="G13973" s="3" t="n">
        <v>156</v>
      </c>
    </row>
    <row r="13974">
      <c r="A13974" s="3" t="inlineStr">
        <is>
          <t>Quinate Consulting (Pty) Ltd</t>
        </is>
      </c>
      <c r="B13974" s="4" t="n">
        <v>45046</v>
      </c>
      <c r="C13974" s="3" t="inlineStr">
        <is>
          <t>Assets</t>
        </is>
      </c>
      <c r="D13974" s="3" t="inlineStr">
        <is>
          <t>8430/000</t>
        </is>
      </c>
      <c r="E13974" s="3" t="inlineStr">
        <is>
          <t>Momentum Investment Acc - RU502230185</t>
        </is>
      </c>
      <c r="F13974" s="3" t="n">
        <v>3.28</v>
      </c>
      <c r="G13974" s="3" t="n">
        <v>541.78</v>
      </c>
    </row>
    <row r="13975">
      <c r="A13975" s="3" t="inlineStr">
        <is>
          <t>Opportunity Global Investment (PTY) LTD</t>
        </is>
      </c>
      <c r="B13975" s="4" t="n">
        <v>45046</v>
      </c>
      <c r="C13975" s="3" t="inlineStr">
        <is>
          <t>Assets</t>
        </is>
      </c>
      <c r="D13975" s="3" t="inlineStr">
        <is>
          <t>8440/000</t>
        </is>
      </c>
      <c r="E13975" s="3" t="inlineStr">
        <is>
          <t>FNB - Call 627602764438</t>
        </is>
      </c>
      <c r="F13975" s="3" t="n">
        <v>-12.64</v>
      </c>
      <c r="G13975" s="3" t="n">
        <v>930.41</v>
      </c>
    </row>
    <row r="13976">
      <c r="A13976" s="3" t="inlineStr">
        <is>
          <t>Opportunity Global Investment (PTY) LTD</t>
        </is>
      </c>
      <c r="B13976" s="4" t="n">
        <v>45046</v>
      </c>
      <c r="C13976" s="3" t="inlineStr">
        <is>
          <t>Assets</t>
        </is>
      </c>
      <c r="D13976" s="3" t="inlineStr">
        <is>
          <t>8445/000</t>
        </is>
      </c>
      <c r="E13976" s="3" t="inlineStr">
        <is>
          <t>Momentum RU502230096</t>
        </is>
      </c>
      <c r="F13976" s="3" t="n">
        <v>31.12</v>
      </c>
      <c r="G13976" s="3" t="n">
        <v>4766.5</v>
      </c>
    </row>
    <row r="13977">
      <c r="A13977" s="3" t="inlineStr">
        <is>
          <t>Quinate Consulting (Pty) Ltd</t>
        </is>
      </c>
      <c r="B13977" s="4" t="n">
        <v>45046</v>
      </c>
      <c r="C13977" s="3" t="inlineStr">
        <is>
          <t>Assets</t>
        </is>
      </c>
      <c r="D13977" s="3" t="inlineStr">
        <is>
          <t>8450/000</t>
        </is>
      </c>
      <c r="E13977" s="3" t="inlineStr">
        <is>
          <t>A RMB 62275810820</t>
        </is>
      </c>
      <c r="F13977" s="3" t="n">
        <v>122971.26</v>
      </c>
      <c r="G13977" s="3" t="n">
        <v>260306.11</v>
      </c>
    </row>
    <row r="13978">
      <c r="A13978" s="3" t="inlineStr">
        <is>
          <t>Opportunity Management Holdings (PTY) LTD</t>
        </is>
      </c>
      <c r="B13978" s="4" t="n">
        <v>45046</v>
      </c>
      <c r="C13978" s="3" t="inlineStr">
        <is>
          <t>Assets</t>
        </is>
      </c>
      <c r="D13978" s="3" t="inlineStr">
        <is>
          <t>8450/000</t>
        </is>
      </c>
      <c r="E13978" s="3" t="inlineStr">
        <is>
          <t>Petty Cash - CT Office</t>
        </is>
      </c>
      <c r="F13978" s="3" t="n">
        <v>-300</v>
      </c>
      <c r="G13978" s="3" t="n">
        <v>17.2</v>
      </c>
    </row>
    <row r="13979">
      <c r="A13979" s="3" t="inlineStr">
        <is>
          <t>Quinate Consulting (Pty) Ltd</t>
        </is>
      </c>
      <c r="B13979" s="4" t="n">
        <v>45046</v>
      </c>
      <c r="C13979" s="3" t="inlineStr">
        <is>
          <t>Liabilities</t>
        </is>
      </c>
      <c r="D13979" s="3" t="inlineStr">
        <is>
          <t>8480/100</t>
        </is>
      </c>
      <c r="E13979" s="3" t="inlineStr">
        <is>
          <t>Bond - SH20 - STD Bank 532010558</t>
        </is>
      </c>
      <c r="F13979" s="3" t="n">
        <v>2724.61</v>
      </c>
      <c r="G13979" s="3" t="n">
        <v>-1348779.91</v>
      </c>
    </row>
    <row r="13980">
      <c r="A13980" s="3" t="inlineStr">
        <is>
          <t>Quinate Consulting (Pty) Ltd</t>
        </is>
      </c>
      <c r="B13980" s="4" t="n">
        <v>45046</v>
      </c>
      <c r="C13980" s="3" t="inlineStr">
        <is>
          <t>Liabilities</t>
        </is>
      </c>
      <c r="D13980" s="3" t="inlineStr">
        <is>
          <t>8480/200</t>
        </is>
      </c>
      <c r="E13980" s="3" t="inlineStr">
        <is>
          <t>Bond - SH23 - STD Bank 532010035</t>
        </is>
      </c>
      <c r="F13980" s="3" t="n">
        <v>2721.28</v>
      </c>
      <c r="G13980" s="3" t="n">
        <v>-1348632.65</v>
      </c>
    </row>
    <row r="13981">
      <c r="A13981" s="3" t="inlineStr">
        <is>
          <t>Quinate Consulting (Pty) Ltd</t>
        </is>
      </c>
      <c r="B13981" s="4" t="n">
        <v>45046</v>
      </c>
      <c r="C13981" s="3" t="inlineStr">
        <is>
          <t>Liabilities</t>
        </is>
      </c>
      <c r="D13981" s="3" t="inlineStr">
        <is>
          <t>8480/300</t>
        </is>
      </c>
      <c r="E13981" s="3" t="inlineStr">
        <is>
          <t>Bond - SH24 - STD Bank 532372662</t>
        </is>
      </c>
      <c r="F13981" s="3" t="n">
        <v>1054.34</v>
      </c>
      <c r="G13981" s="3" t="n">
        <v>-1450419.33</v>
      </c>
    </row>
    <row r="13982">
      <c r="A13982" s="3" t="inlineStr">
        <is>
          <t>Quinate Consulting (Pty) Ltd</t>
        </is>
      </c>
      <c r="B13982" s="4" t="n">
        <v>45046</v>
      </c>
      <c r="C13982" s="3" t="inlineStr">
        <is>
          <t>Liabilities</t>
        </is>
      </c>
      <c r="D13982" s="3" t="inlineStr">
        <is>
          <t>8480/400</t>
        </is>
      </c>
      <c r="E13982" s="3" t="inlineStr">
        <is>
          <t>Bond - SW01 - STD Bank 532920627</t>
        </is>
      </c>
      <c r="F13982" s="3" t="n">
        <v>12229.98</v>
      </c>
      <c r="G13982" s="3" t="n">
        <v>-1268656.04</v>
      </c>
    </row>
    <row r="13983">
      <c r="A13983" s="3" t="inlineStr">
        <is>
          <t>Quinate Consulting (Pty) Ltd</t>
        </is>
      </c>
      <c r="B13983" s="4" t="n">
        <v>45046</v>
      </c>
      <c r="C13983" s="3" t="inlineStr">
        <is>
          <t>Liabilities</t>
        </is>
      </c>
      <c r="D13983" s="3" t="inlineStr">
        <is>
          <t>8480/401</t>
        </is>
      </c>
      <c r="E13983" s="3" t="inlineStr">
        <is>
          <t>Bond - SW21 - STD Bank 532920597</t>
        </is>
      </c>
      <c r="F13983" s="3" t="n">
        <v>12234.83</v>
      </c>
      <c r="G13983" s="3" t="n">
        <v>-1269159.42</v>
      </c>
    </row>
    <row r="13984">
      <c r="A13984" s="3" t="inlineStr">
        <is>
          <t>Opportunity Global Investment (PTY) LTD</t>
        </is>
      </c>
      <c r="B13984" s="4" t="n">
        <v>45046</v>
      </c>
      <c r="C13984" s="3" t="inlineStr">
        <is>
          <t>Liabilities</t>
        </is>
      </c>
      <c r="D13984" s="3" t="inlineStr">
        <is>
          <t>860</t>
        </is>
      </c>
      <c r="E13984" s="3" t="inlineStr">
        <is>
          <t>Rounding</t>
        </is>
      </c>
      <c r="F13984" s="3" t="n">
        <v>0.05</v>
      </c>
      <c r="G13984" s="3" t="n">
        <v>0.01</v>
      </c>
    </row>
    <row r="13985">
      <c r="A13985" s="3" t="inlineStr">
        <is>
          <t>Opportunity Global Sales (PTY) LTD</t>
        </is>
      </c>
      <c r="B13985" s="4" t="n">
        <v>45046</v>
      </c>
      <c r="C13985" s="3" t="inlineStr">
        <is>
          <t>Liabilities</t>
        </is>
      </c>
      <c r="D13985" s="3" t="inlineStr">
        <is>
          <t>860</t>
        </is>
      </c>
      <c r="E13985" s="3" t="inlineStr">
        <is>
          <t>Rounding</t>
        </is>
      </c>
      <c r="F13985" s="3" t="n">
        <v>0</v>
      </c>
      <c r="G13985" s="3" t="n">
        <v>-1</v>
      </c>
    </row>
    <row r="13986">
      <c r="A13986" s="3" t="inlineStr">
        <is>
          <t>Quinate Consulting (Pty) Ltd</t>
        </is>
      </c>
      <c r="B13986" s="4" t="n">
        <v>45046</v>
      </c>
      <c r="C13986" s="3" t="inlineStr">
        <is>
          <t>Liabilities</t>
        </is>
      </c>
      <c r="D13986" s="3" t="inlineStr">
        <is>
          <t>860</t>
        </is>
      </c>
      <c r="E13986" s="3" t="inlineStr">
        <is>
          <t>Rounding</t>
        </is>
      </c>
      <c r="F13986" s="3" t="n">
        <v>-0.4</v>
      </c>
      <c r="G13986" s="3" t="n">
        <v>-2.89</v>
      </c>
    </row>
    <row r="13987">
      <c r="A13987" s="3" t="inlineStr">
        <is>
          <t>Trademark Holdings (Pty) Ltd</t>
        </is>
      </c>
      <c r="B13987" s="4" t="n">
        <v>45046</v>
      </c>
      <c r="C13987" s="3" t="inlineStr">
        <is>
          <t>Liabilities</t>
        </is>
      </c>
      <c r="D13987" s="3" t="inlineStr">
        <is>
          <t>860</t>
        </is>
      </c>
      <c r="E13987" s="3" t="inlineStr">
        <is>
          <t>Rounding</t>
        </is>
      </c>
      <c r="F13987" s="3" t="n">
        <v>0</v>
      </c>
      <c r="G13987" s="3" t="n">
        <v>0.2</v>
      </c>
    </row>
    <row r="13988">
      <c r="A13988" s="3" t="inlineStr">
        <is>
          <t>Endulini (Pty) Ltd</t>
        </is>
      </c>
      <c r="B13988" s="4" t="n">
        <v>45046</v>
      </c>
      <c r="C13988" s="3" t="inlineStr">
        <is>
          <t>Liabilities</t>
        </is>
      </c>
      <c r="D13988" s="3" t="inlineStr">
        <is>
          <t>9000/000</t>
        </is>
      </c>
      <c r="E13988" s="3" t="inlineStr">
        <is>
          <t>Supplier Control Account</t>
        </is>
      </c>
      <c r="F13988" s="3" t="n">
        <v>3955480.48</v>
      </c>
      <c r="G13988" s="3" t="n">
        <v>-13139012.76</v>
      </c>
    </row>
    <row r="13989">
      <c r="A13989" s="3" t="inlineStr">
        <is>
          <t>Noble Shield (Pty) Ltd ta Go Letting</t>
        </is>
      </c>
      <c r="B13989" s="4" t="n">
        <v>45046</v>
      </c>
      <c r="C13989" s="3" t="inlineStr">
        <is>
          <t>Liabilities</t>
        </is>
      </c>
      <c r="D13989" s="3" t="inlineStr">
        <is>
          <t>9000/000</t>
        </is>
      </c>
      <c r="E13989" s="3" t="inlineStr">
        <is>
          <t>Supplier Control Account</t>
        </is>
      </c>
      <c r="F13989" s="3" t="n">
        <v>-5752.67</v>
      </c>
      <c r="G13989" s="3" t="n">
        <v>-25752.72</v>
      </c>
    </row>
    <row r="13990">
      <c r="A13990" s="3" t="inlineStr">
        <is>
          <t>Opportunity Global Investment (PTY) LTD</t>
        </is>
      </c>
      <c r="B13990" s="4" t="n">
        <v>45046</v>
      </c>
      <c r="C13990" s="3" t="inlineStr">
        <is>
          <t>Liabilities</t>
        </is>
      </c>
      <c r="D13990" s="3" t="inlineStr">
        <is>
          <t>9000/000</t>
        </is>
      </c>
      <c r="E13990" s="3" t="inlineStr">
        <is>
          <t>Supplier Control Account</t>
        </is>
      </c>
      <c r="F13990" s="3" t="n">
        <v>57825.22</v>
      </c>
      <c r="G13990" s="3" t="n">
        <v>-49501.44</v>
      </c>
    </row>
    <row r="13991">
      <c r="A13991" s="3" t="inlineStr">
        <is>
          <t>Opportunity Global Sales (PTY) LTD</t>
        </is>
      </c>
      <c r="B13991" s="4" t="n">
        <v>45046</v>
      </c>
      <c r="C13991" s="3" t="inlineStr">
        <is>
          <t>Liabilities</t>
        </is>
      </c>
      <c r="D13991" s="3" t="inlineStr">
        <is>
          <t>9000/000</t>
        </is>
      </c>
      <c r="E13991" s="3" t="inlineStr">
        <is>
          <t>Supplier Control Account</t>
        </is>
      </c>
      <c r="F13991" s="3" t="n">
        <v>-1306.4</v>
      </c>
      <c r="G13991" s="3" t="n">
        <v>-5343.31</v>
      </c>
    </row>
    <row r="13992">
      <c r="A13992" s="3" t="inlineStr">
        <is>
          <t>Opportunity Management Holdings (PTY) LTD</t>
        </is>
      </c>
      <c r="B13992" s="4" t="n">
        <v>45046</v>
      </c>
      <c r="C13992" s="3" t="inlineStr">
        <is>
          <t>Liabilities</t>
        </is>
      </c>
      <c r="D13992" s="3" t="inlineStr">
        <is>
          <t>9000/000</t>
        </is>
      </c>
      <c r="E13992" s="3" t="inlineStr">
        <is>
          <t>Supplier Control Account</t>
        </is>
      </c>
      <c r="F13992" s="3" t="n">
        <v>16437.75</v>
      </c>
      <c r="G13992" s="3" t="n">
        <v>-270194.92</v>
      </c>
    </row>
    <row r="13993">
      <c r="A13993" s="3" t="inlineStr">
        <is>
          <t>Quinate Consulting (Pty) Ltd</t>
        </is>
      </c>
      <c r="B13993" s="4" t="n">
        <v>45046</v>
      </c>
      <c r="C13993" s="3" t="inlineStr">
        <is>
          <t>Liabilities</t>
        </is>
      </c>
      <c r="D13993" s="3" t="inlineStr">
        <is>
          <t>9000/000</t>
        </is>
      </c>
      <c r="E13993" s="3" t="inlineStr">
        <is>
          <t>Supplier Control Account</t>
        </is>
      </c>
      <c r="F13993" s="3" t="n">
        <v>-62709.69</v>
      </c>
      <c r="G13993" s="3" t="n">
        <v>532952.37</v>
      </c>
    </row>
    <row r="13994">
      <c r="A13994" s="3" t="inlineStr">
        <is>
          <t>Trademark Holdings (Pty) Ltd</t>
        </is>
      </c>
      <c r="B13994" s="4" t="n">
        <v>45046</v>
      </c>
      <c r="C13994" s="3" t="inlineStr">
        <is>
          <t>Liabilities</t>
        </is>
      </c>
      <c r="D13994" s="3" t="inlineStr">
        <is>
          <t>9000/000</t>
        </is>
      </c>
      <c r="E13994" s="3" t="inlineStr">
        <is>
          <t>Supplier Control Account</t>
        </is>
      </c>
      <c r="F13994" s="3" t="n">
        <v>0</v>
      </c>
      <c r="G13994" s="3" t="n">
        <v>-8407.75</v>
      </c>
    </row>
    <row r="13995">
      <c r="A13995" s="3" t="inlineStr">
        <is>
          <t>Quinate Consulting (Pty) Ltd</t>
        </is>
      </c>
      <c r="B13995" s="4" t="n">
        <v>45046</v>
      </c>
      <c r="C13995" s="3" t="inlineStr">
        <is>
          <t>Liabilities</t>
        </is>
      </c>
      <c r="D13995" s="3" t="inlineStr">
        <is>
          <t>9001</t>
        </is>
      </c>
      <c r="E13995" s="3" t="inlineStr">
        <is>
          <t>Supplier Control</t>
        </is>
      </c>
      <c r="F13995" s="3" t="n">
        <v>0</v>
      </c>
      <c r="G13995" s="3" t="n">
        <v>-347315.41</v>
      </c>
    </row>
    <row r="13996">
      <c r="A13996" s="3" t="inlineStr">
        <is>
          <t>Opportunity Management Holdings (PTY) LTD</t>
        </is>
      </c>
      <c r="B13996" s="4" t="n">
        <v>45046</v>
      </c>
      <c r="C13996" s="3" t="inlineStr">
        <is>
          <t>Liabilities</t>
        </is>
      </c>
      <c r="D13996" s="3" t="inlineStr">
        <is>
          <t>9100/000</t>
        </is>
      </c>
      <c r="E13996" s="3" t="inlineStr">
        <is>
          <t>PAYE/UIF/SDL Accrual - Prior Years ADJ</t>
        </is>
      </c>
      <c r="F13996" s="3" t="n">
        <v>0</v>
      </c>
      <c r="G13996" s="3" t="n">
        <v>-33739.36</v>
      </c>
    </row>
    <row r="13997">
      <c r="A13997" s="3" t="inlineStr">
        <is>
          <t>Opportunity Management Holdings (PTY) LTD</t>
        </is>
      </c>
      <c r="B13997" s="4" t="n">
        <v>45046</v>
      </c>
      <c r="C13997" s="3" t="inlineStr">
        <is>
          <t>Assets</t>
        </is>
      </c>
      <c r="D13997" s="3" t="inlineStr">
        <is>
          <t>9110/000</t>
        </is>
      </c>
      <c r="E13997" s="3" t="inlineStr">
        <is>
          <t>Deposit Received</t>
        </is>
      </c>
      <c r="F13997" s="3" t="n">
        <v>0</v>
      </c>
      <c r="G13997" s="3" t="n">
        <v>-3852.5</v>
      </c>
    </row>
    <row r="13998">
      <c r="A13998" s="3" t="inlineStr">
        <is>
          <t>Opportunity Global Investment (PTY) LTD</t>
        </is>
      </c>
      <c r="B13998" s="4" t="n">
        <v>45046</v>
      </c>
      <c r="C13998" s="3" t="inlineStr">
        <is>
          <t>Liabilities</t>
        </is>
      </c>
      <c r="D13998" s="3" t="inlineStr">
        <is>
          <t>9110/000</t>
        </is>
      </c>
      <c r="E13998" s="3" t="inlineStr">
        <is>
          <t>Taxation B/S</t>
        </is>
      </c>
      <c r="F13998" s="3" t="n">
        <v>0</v>
      </c>
      <c r="G13998" s="3" t="n">
        <v>57442.84</v>
      </c>
    </row>
    <row r="13999">
      <c r="A13999" s="3" t="inlineStr">
        <is>
          <t>Noble Shield (Pty) Ltd ta Go Letting</t>
        </is>
      </c>
      <c r="B13999" s="4" t="n">
        <v>45046</v>
      </c>
      <c r="C13999" s="3" t="inlineStr">
        <is>
          <t>Liabilities</t>
        </is>
      </c>
      <c r="D13999" s="3" t="inlineStr">
        <is>
          <t>9250/010</t>
        </is>
      </c>
      <c r="E13999" s="3" t="inlineStr">
        <is>
          <t>SALARY CONTROL</t>
        </is>
      </c>
      <c r="F13999" s="3" t="n">
        <v>2206.32</v>
      </c>
      <c r="G13999" s="3" t="n">
        <v>-16112.27</v>
      </c>
    </row>
    <row r="14000">
      <c r="A14000" s="3" t="inlineStr">
        <is>
          <t>Opportunity Global Investment (PTY) LTD</t>
        </is>
      </c>
      <c r="B14000" s="4" t="n">
        <v>45046</v>
      </c>
      <c r="C14000" s="3" t="inlineStr">
        <is>
          <t>Liabilities</t>
        </is>
      </c>
      <c r="D14000" s="3" t="inlineStr">
        <is>
          <t>9250/010</t>
        </is>
      </c>
      <c r="E14000" s="3" t="inlineStr">
        <is>
          <t>SALARY CONTROL</t>
        </is>
      </c>
      <c r="F14000" s="3" t="n">
        <v>0</v>
      </c>
      <c r="G14000" s="3" t="n">
        <v>5000</v>
      </c>
    </row>
    <row r="14001">
      <c r="A14001" s="3" t="inlineStr">
        <is>
          <t>Opportunity Global Sales (PTY) LTD</t>
        </is>
      </c>
      <c r="B14001" s="4" t="n">
        <v>45046</v>
      </c>
      <c r="C14001" s="3" t="inlineStr">
        <is>
          <t>Liabilities</t>
        </is>
      </c>
      <c r="D14001" s="3" t="inlineStr">
        <is>
          <t>9250/010</t>
        </is>
      </c>
      <c r="E14001" s="3" t="inlineStr">
        <is>
          <t>SALARY CONTROL</t>
        </is>
      </c>
      <c r="F14001" s="3" t="n">
        <v>0</v>
      </c>
      <c r="G14001" s="3" t="n">
        <v>-0.01</v>
      </c>
    </row>
    <row r="14002">
      <c r="A14002" s="3" t="inlineStr">
        <is>
          <t>Trademark Holdings (Pty) Ltd</t>
        </is>
      </c>
      <c r="B14002" s="4" t="n">
        <v>45046</v>
      </c>
      <c r="C14002" s="3" t="inlineStr">
        <is>
          <t>Liabilities</t>
        </is>
      </c>
      <c r="D14002" s="3" t="inlineStr">
        <is>
          <t>9250/010</t>
        </is>
      </c>
      <c r="E14002" s="3" t="inlineStr">
        <is>
          <t>SALARY CONTROL</t>
        </is>
      </c>
      <c r="F14002" s="3" t="n">
        <v>687.99</v>
      </c>
      <c r="G14002" s="3" t="n">
        <v>-18736.94</v>
      </c>
    </row>
    <row r="14003">
      <c r="A14003" s="3" t="inlineStr">
        <is>
          <t>Noble Shield (Pty) Ltd ta Go Letting</t>
        </is>
      </c>
      <c r="B14003" s="4" t="n">
        <v>45046</v>
      </c>
      <c r="C14003" s="3" t="inlineStr">
        <is>
          <t>Liabilities</t>
        </is>
      </c>
      <c r="D14003" s="3" t="inlineStr">
        <is>
          <t>9250/020</t>
        </is>
      </c>
      <c r="E14003" s="3" t="inlineStr">
        <is>
          <t>PAYE, UIF AND SDL CONTROL</t>
        </is>
      </c>
      <c r="F14003" s="3" t="n">
        <v>805.02</v>
      </c>
      <c r="G14003" s="3" t="n">
        <v>-5180.75</v>
      </c>
    </row>
    <row r="14004">
      <c r="A14004" s="3" t="inlineStr">
        <is>
          <t>Opportunity Global Investment (PTY) LTD</t>
        </is>
      </c>
      <c r="B14004" s="4" t="n">
        <v>45046</v>
      </c>
      <c r="C14004" s="3" t="inlineStr">
        <is>
          <t>Liabilities</t>
        </is>
      </c>
      <c r="D14004" s="3" t="inlineStr">
        <is>
          <t>9250/020</t>
        </is>
      </c>
      <c r="E14004" s="3" t="inlineStr">
        <is>
          <t>PAYE, UIF AND SDL CONTROL</t>
        </is>
      </c>
      <c r="F14004" s="3" t="n">
        <v>-6398.91</v>
      </c>
      <c r="G14004" s="3" t="n">
        <v>-56242.44</v>
      </c>
    </row>
    <row r="14005">
      <c r="A14005" s="3" t="inlineStr">
        <is>
          <t>Opportunity Management Holdings (PTY) LTD</t>
        </is>
      </c>
      <c r="B14005" s="4" t="n">
        <v>45046</v>
      </c>
      <c r="C14005" s="3" t="inlineStr">
        <is>
          <t>Liabilities</t>
        </is>
      </c>
      <c r="D14005" s="3" t="inlineStr">
        <is>
          <t>9250/020</t>
        </is>
      </c>
      <c r="E14005" s="3" t="inlineStr">
        <is>
          <t>PAYE, UIF AND SDL CONTROL</t>
        </is>
      </c>
      <c r="F14005" s="3" t="n">
        <v>13115.16</v>
      </c>
      <c r="G14005" s="3" t="n">
        <v>-48915.72</v>
      </c>
    </row>
    <row r="14006">
      <c r="A14006" s="3" t="inlineStr">
        <is>
          <t>Trademark Holdings (Pty) Ltd</t>
        </is>
      </c>
      <c r="B14006" s="4" t="n">
        <v>45046</v>
      </c>
      <c r="C14006" s="3" t="inlineStr">
        <is>
          <t>Liabilities</t>
        </is>
      </c>
      <c r="D14006" s="3" t="inlineStr">
        <is>
          <t>9250/020</t>
        </is>
      </c>
      <c r="E14006" s="3" t="inlineStr">
        <is>
          <t>PAYE, UIF AND SDL CONTROL</t>
        </is>
      </c>
      <c r="F14006" s="3" t="n">
        <v>286.73</v>
      </c>
      <c r="G14006" s="3" t="n">
        <v>-5306.8</v>
      </c>
    </row>
    <row r="14007">
      <c r="A14007" s="3" t="inlineStr">
        <is>
          <t>Opportunity Global Investment (PTY) LTD</t>
        </is>
      </c>
      <c r="B14007" s="4" t="n">
        <v>45046</v>
      </c>
      <c r="C14007" s="3" t="inlineStr">
        <is>
          <t>Liabilities</t>
        </is>
      </c>
      <c r="D14007" s="3" t="inlineStr">
        <is>
          <t>9400/030</t>
        </is>
      </c>
      <c r="E14007" s="3" t="inlineStr">
        <is>
          <t>Accrued Expenses - PAYE_AND_UIF</t>
        </is>
      </c>
      <c r="F14007" s="3" t="n">
        <v>0</v>
      </c>
      <c r="G14007" s="3" t="n">
        <v>-2</v>
      </c>
    </row>
    <row r="14008">
      <c r="A14008" s="3" t="inlineStr">
        <is>
          <t>Trademark Holdings (Pty) Ltd</t>
        </is>
      </c>
      <c r="B14008" s="4" t="n">
        <v>45046</v>
      </c>
      <c r="C14008" s="3" t="inlineStr">
        <is>
          <t>Liabilities</t>
        </is>
      </c>
      <c r="D14008" s="3" t="inlineStr">
        <is>
          <t>9400/400</t>
        </is>
      </c>
      <c r="E14008" s="3" t="inlineStr">
        <is>
          <t>Deemed Dividend Tax</t>
        </is>
      </c>
      <c r="F14008" s="3" t="n">
        <v>0</v>
      </c>
      <c r="G14008" s="3" t="n">
        <v>-699.13</v>
      </c>
    </row>
    <row r="14009">
      <c r="A14009" s="3" t="inlineStr">
        <is>
          <t>Opportunity Global Investment (PTY) LTD</t>
        </is>
      </c>
      <c r="B14009" s="4" t="n">
        <v>45046</v>
      </c>
      <c r="C14009" s="3" t="inlineStr">
        <is>
          <t>Liabilities</t>
        </is>
      </c>
      <c r="D14009" s="3" t="inlineStr">
        <is>
          <t>9500/000</t>
        </is>
      </c>
      <c r="E14009" s="3" t="inlineStr">
        <is>
          <t>VAT Control Account</t>
        </is>
      </c>
      <c r="F14009" s="3" t="n">
        <v>20308.02</v>
      </c>
      <c r="G14009" s="3" t="n">
        <v>430260.86</v>
      </c>
    </row>
    <row r="14010">
      <c r="A14010" s="3" t="inlineStr">
        <is>
          <t>Opportunity Global Sales (PTY) LTD</t>
        </is>
      </c>
      <c r="B14010" s="4" t="n">
        <v>45046</v>
      </c>
      <c r="C14010" s="3" t="inlineStr">
        <is>
          <t>Liabilities</t>
        </is>
      </c>
      <c r="D14010" s="3" t="inlineStr">
        <is>
          <t>9500/000</t>
        </is>
      </c>
      <c r="E14010" s="3" t="inlineStr">
        <is>
          <t>VAT Control Account</t>
        </is>
      </c>
      <c r="F14010" s="3" t="n">
        <v>-2450.31</v>
      </c>
      <c r="G14010" s="3" t="n">
        <v>-791451.98</v>
      </c>
    </row>
    <row r="14011">
      <c r="A14011" s="3" t="inlineStr">
        <is>
          <t>Opportunity Management Holdings (PTY) LTD</t>
        </is>
      </c>
      <c r="B14011" s="4" t="n">
        <v>45046</v>
      </c>
      <c r="C14011" s="3" t="inlineStr">
        <is>
          <t>Liabilities</t>
        </is>
      </c>
      <c r="D14011" s="3" t="inlineStr">
        <is>
          <t>9500/000</t>
        </is>
      </c>
      <c r="E14011" s="3" t="inlineStr">
        <is>
          <t>VAT Control Account</t>
        </is>
      </c>
      <c r="F14011" s="3" t="n">
        <v>50102.54</v>
      </c>
      <c r="G14011" s="3" t="n">
        <v>124242.75</v>
      </c>
    </row>
    <row r="14012">
      <c r="A14012" s="3" t="inlineStr">
        <is>
          <t>Endulini (Pty) Ltd</t>
        </is>
      </c>
      <c r="B14012" s="4" t="n">
        <v>45046</v>
      </c>
      <c r="C14012" s="3" t="inlineStr">
        <is>
          <t>Liabilities</t>
        </is>
      </c>
      <c r="D14012" s="3" t="inlineStr">
        <is>
          <t>9500/000</t>
        </is>
      </c>
      <c r="E14012" s="3" t="inlineStr">
        <is>
          <t>Vat / Tax Control Account</t>
        </is>
      </c>
      <c r="F14012" s="3" t="n">
        <v>13612.94</v>
      </c>
      <c r="G14012" s="3" t="n">
        <v>-2045377.45</v>
      </c>
    </row>
    <row r="14013">
      <c r="A14013" s="3" t="inlineStr">
        <is>
          <t>Quinate Consulting (Pty) Ltd</t>
        </is>
      </c>
      <c r="B14013" s="4" t="n">
        <v>45046</v>
      </c>
      <c r="C14013" s="3" t="inlineStr">
        <is>
          <t>Liabilities</t>
        </is>
      </c>
      <c r="D14013" s="3" t="inlineStr">
        <is>
          <t>9500/000</t>
        </is>
      </c>
      <c r="E14013" s="3" t="inlineStr">
        <is>
          <t>Vat Control Account</t>
        </is>
      </c>
      <c r="F14013" s="3" t="n">
        <v>-268905.57</v>
      </c>
      <c r="G14013" s="3" t="n">
        <v>1760850.11</v>
      </c>
    </row>
    <row r="14014">
      <c r="A14014" s="3" t="inlineStr">
        <is>
          <t>Opportunity Management Holdings (PTY) LTD</t>
        </is>
      </c>
      <c r="B14014" s="4" t="n">
        <v>45046</v>
      </c>
      <c r="C14014" s="3" t="inlineStr">
        <is>
          <t>Liabilities</t>
        </is>
      </c>
      <c r="D14014" s="3" t="inlineStr">
        <is>
          <t>9501/000</t>
        </is>
      </c>
      <c r="E14014" s="3" t="inlineStr">
        <is>
          <t>Vat Adjustments - C2M</t>
        </is>
      </c>
      <c r="F14014" s="3" t="n">
        <v>0</v>
      </c>
      <c r="G14014" s="3" t="n">
        <v>47274.04</v>
      </c>
    </row>
    <row r="14015">
      <c r="A14015" s="3" t="inlineStr">
        <is>
          <t>Quinate Consulting (Pty) Ltd</t>
        </is>
      </c>
      <c r="B14015" s="4" t="n">
        <v>45046</v>
      </c>
      <c r="C14015" s="3" t="inlineStr">
        <is>
          <t>Liabilities</t>
        </is>
      </c>
      <c r="D14015" s="3" t="inlineStr">
        <is>
          <t>9960/000</t>
        </is>
      </c>
      <c r="E14015" s="3" t="inlineStr">
        <is>
          <t>Deposits - Southwark Rentals</t>
        </is>
      </c>
      <c r="F14015" s="3" t="n">
        <v>0</v>
      </c>
      <c r="G14015" s="3" t="n">
        <v>-11500</v>
      </c>
    </row>
    <row r="14016">
      <c r="A14016" s="3" t="inlineStr">
        <is>
          <t>Noble Shield (Pty) Ltd ta Go Letting</t>
        </is>
      </c>
      <c r="B14016" s="4" t="n">
        <v>45046</v>
      </c>
      <c r="C14016" s="3" t="inlineStr">
        <is>
          <t>Expenses</t>
        </is>
      </c>
      <c r="D14016" s="3" t="inlineStr">
        <is>
          <t>ACB Link</t>
        </is>
      </c>
      <c r="E14016" s="3" t="inlineStr">
        <is>
          <t>Subscriptions - TPN</t>
        </is>
      </c>
      <c r="F14016" s="3" t="n">
        <v>1619.2</v>
      </c>
      <c r="G14016" s="3" t="n">
        <v>18165.93</v>
      </c>
    </row>
    <row r="14017">
      <c r="A14017" s="3" t="inlineStr">
        <is>
          <t>Noble Shield (Pty) Ltd ta Go Letting</t>
        </is>
      </c>
      <c r="B14017" s="4" t="n">
        <v>45046</v>
      </c>
      <c r="C14017" s="3" t="inlineStr">
        <is>
          <t>Liabilities</t>
        </is>
      </c>
      <c r="D14017" s="3" t="inlineStr">
        <is>
          <t>B/S</t>
        </is>
      </c>
      <c r="E14017" s="3" t="inlineStr">
        <is>
          <t>Tax Payable</t>
        </is>
      </c>
      <c r="F14017" s="3" t="n">
        <v>0</v>
      </c>
      <c r="G14017" s="3" t="n">
        <v>-5166.4</v>
      </c>
    </row>
    <row r="14018">
      <c r="A14018" s="3" t="inlineStr">
        <is>
          <t>Quinate Consulting (Pty) Ltd</t>
        </is>
      </c>
      <c r="B14018" s="4" t="n">
        <v>45046</v>
      </c>
      <c r="C14018" s="3" t="inlineStr">
        <is>
          <t>Liabilities</t>
        </is>
      </c>
      <c r="D14018" s="3" t="inlineStr">
        <is>
          <t xml:space="preserve">B/S </t>
        </is>
      </c>
      <c r="E14018" s="3" t="inlineStr">
        <is>
          <t>Taxation Payable</t>
        </is>
      </c>
      <c r="F14018" s="3" t="n">
        <v>0</v>
      </c>
      <c r="G14018" s="3" t="n">
        <v>-15486</v>
      </c>
    </row>
    <row r="14019">
      <c r="A14019" s="3" t="inlineStr">
        <is>
          <t>Quinate Consulting (Pty) Ltd</t>
        </is>
      </c>
      <c r="B14019" s="4" t="n">
        <v>45046</v>
      </c>
      <c r="C14019" s="3" t="inlineStr">
        <is>
          <t>Liabilities</t>
        </is>
      </c>
      <c r="D14019" s="3" t="inlineStr">
        <is>
          <t>FV</t>
        </is>
      </c>
      <c r="E14019" s="3" t="inlineStr">
        <is>
          <t>Loan - Cape Projects Constuction</t>
        </is>
      </c>
      <c r="F14019" s="3" t="n">
        <v>0</v>
      </c>
      <c r="G14019" s="3" t="n">
        <v>-7596187.4</v>
      </c>
    </row>
    <row r="14020">
      <c r="A14020" s="3" t="inlineStr">
        <is>
          <t>Quinate Consulting (Pty) Ltd</t>
        </is>
      </c>
      <c r="B14020" s="4" t="n">
        <v>45046</v>
      </c>
      <c r="C14020" s="3" t="inlineStr">
        <is>
          <t>Liabilities</t>
        </is>
      </c>
      <c r="D14020" s="3" t="inlineStr">
        <is>
          <t>Sharehold OppDev</t>
        </is>
      </c>
      <c r="E14020" s="3" t="inlineStr">
        <is>
          <t>Loan - Justine Morgan</t>
        </is>
      </c>
      <c r="F14020" s="3" t="n">
        <v>0</v>
      </c>
      <c r="G14020" s="3" t="n">
        <v>-563766.76</v>
      </c>
    </row>
    <row r="14021">
      <c r="A14021" s="3" t="inlineStr">
        <is>
          <t>Opportunity Global Sales (PTY) LTD</t>
        </is>
      </c>
      <c r="B14021" s="4" t="n">
        <v>45077</v>
      </c>
      <c r="C14021" s="3" t="inlineStr">
        <is>
          <t>Revenue</t>
        </is>
      </c>
      <c r="D14021" s="3" t="inlineStr">
        <is>
          <t>1000/009</t>
        </is>
      </c>
      <c r="E14021" s="3" t="inlineStr">
        <is>
          <t>Sales - Comm on Payprop</t>
        </is>
      </c>
      <c r="F14021" s="3" t="n">
        <v>-12447.28</v>
      </c>
      <c r="G14021" s="3" t="n">
        <v>-40400.5</v>
      </c>
    </row>
    <row r="14022">
      <c r="A14022" s="3" t="inlineStr">
        <is>
          <t>Quinate Consulting (Pty) Ltd</t>
        </is>
      </c>
      <c r="B14022" s="4" t="n">
        <v>45077</v>
      </c>
      <c r="C14022" s="3" t="inlineStr">
        <is>
          <t>Revenue</t>
        </is>
      </c>
      <c r="D14022" s="3" t="inlineStr">
        <is>
          <t>1000/011</t>
        </is>
      </c>
      <c r="E14022" s="3" t="inlineStr">
        <is>
          <t>Rent Received - Soho Unit 23</t>
        </is>
      </c>
      <c r="F14022" s="3" t="n">
        <v>-12500</v>
      </c>
      <c r="G14022" s="3" t="n">
        <v>-37500</v>
      </c>
    </row>
    <row r="14023">
      <c r="A14023" s="3" t="inlineStr">
        <is>
          <t>Quinate Consulting (Pty) Ltd</t>
        </is>
      </c>
      <c r="B14023" s="4" t="n">
        <v>45077</v>
      </c>
      <c r="C14023" s="3" t="inlineStr">
        <is>
          <t>Revenue</t>
        </is>
      </c>
      <c r="D14023" s="3" t="inlineStr">
        <is>
          <t>1000/012</t>
        </is>
      </c>
      <c r="E14023" s="3" t="inlineStr">
        <is>
          <t>Rent Received - Soho Unit 24</t>
        </is>
      </c>
      <c r="F14023" s="3" t="n">
        <v>-14445</v>
      </c>
      <c r="G14023" s="3" t="n">
        <v>-43335</v>
      </c>
    </row>
    <row r="14024">
      <c r="A14024" s="3" t="inlineStr">
        <is>
          <t>Quinate Consulting (Pty) Ltd</t>
        </is>
      </c>
      <c r="B14024" s="4" t="n">
        <v>45077</v>
      </c>
      <c r="C14024" s="3" t="inlineStr">
        <is>
          <t>Revenue</t>
        </is>
      </c>
      <c r="D14024" s="3" t="inlineStr">
        <is>
          <t>1000/013</t>
        </is>
      </c>
      <c r="E14024" s="3" t="inlineStr">
        <is>
          <t>Rent Recieved - Soho Unit 20</t>
        </is>
      </c>
      <c r="F14024" s="3" t="n">
        <v>-12500</v>
      </c>
      <c r="G14024" s="3" t="n">
        <v>-37500</v>
      </c>
    </row>
    <row r="14025">
      <c r="A14025" s="3" t="inlineStr">
        <is>
          <t>Quinate Consulting (Pty) Ltd</t>
        </is>
      </c>
      <c r="B14025" s="4" t="n">
        <v>45077</v>
      </c>
      <c r="C14025" s="3" t="inlineStr">
        <is>
          <t>Revenue</t>
        </is>
      </c>
      <c r="D14025" s="3" t="inlineStr">
        <is>
          <t>1000/016</t>
        </is>
      </c>
      <c r="E14025" s="3" t="inlineStr">
        <is>
          <t>Rent Recieved - Southwark Unit 21</t>
        </is>
      </c>
      <c r="F14025" s="3" t="n">
        <v>-10000</v>
      </c>
      <c r="G14025" s="3" t="n">
        <v>-30000</v>
      </c>
    </row>
    <row r="14026">
      <c r="A14026" s="3" t="inlineStr">
        <is>
          <t>Opportunity Global Sales (PTY) LTD</t>
        </is>
      </c>
      <c r="B14026" s="4" t="n">
        <v>45077</v>
      </c>
      <c r="C14026" s="3" t="inlineStr">
        <is>
          <t>Revenue</t>
        </is>
      </c>
      <c r="D14026" s="3" t="inlineStr">
        <is>
          <t>1000/100</t>
        </is>
      </c>
      <c r="E14026" s="3" t="inlineStr">
        <is>
          <t>Sales - Comm on External Sales</t>
        </is>
      </c>
      <c r="F14026" s="3" t="n">
        <v>-104347.83</v>
      </c>
      <c r="G14026" s="3" t="n">
        <v>-104782.61</v>
      </c>
    </row>
    <row r="14027">
      <c r="A14027" s="3" t="inlineStr">
        <is>
          <t>Noble Shield (Pty) Ltd ta Go Letting</t>
        </is>
      </c>
      <c r="B14027" s="4" t="n">
        <v>45077</v>
      </c>
      <c r="C14027" s="3" t="inlineStr">
        <is>
          <t>Revenue</t>
        </is>
      </c>
      <c r="D14027" s="3" t="inlineStr">
        <is>
          <t>1000/100</t>
        </is>
      </c>
      <c r="E14027" s="3" t="inlineStr">
        <is>
          <t>Sales - Payprop 328 - Michelle</t>
        </is>
      </c>
      <c r="F14027" s="3" t="n">
        <v>-79294.02</v>
      </c>
      <c r="G14027" s="3" t="n">
        <v>-690421.12</v>
      </c>
    </row>
    <row r="14028">
      <c r="A14028" s="3" t="inlineStr">
        <is>
          <t>Opportunity Global Sales (PTY) LTD</t>
        </is>
      </c>
      <c r="B14028" s="4" t="n">
        <v>45077</v>
      </c>
      <c r="C14028" s="3" t="inlineStr">
        <is>
          <t>Revenue</t>
        </is>
      </c>
      <c r="D14028" s="3" t="inlineStr">
        <is>
          <t>1000/120</t>
        </is>
      </c>
      <c r="E14028" s="3" t="inlineStr">
        <is>
          <t>Sales - Admin Fees on Rental Units</t>
        </is>
      </c>
      <c r="F14028" s="3" t="n">
        <v>-8260.860000000001</v>
      </c>
      <c r="G14028" s="3" t="n">
        <v>-11739.1</v>
      </c>
    </row>
    <row r="14029">
      <c r="A14029" s="3" t="inlineStr">
        <is>
          <t>Opportunity Global Sales (PTY) LTD</t>
        </is>
      </c>
      <c r="B14029" s="4" t="n">
        <v>45077</v>
      </c>
      <c r="C14029" s="3" t="inlineStr">
        <is>
          <t>Revenue</t>
        </is>
      </c>
      <c r="D14029" s="3" t="inlineStr">
        <is>
          <t>1000/121</t>
        </is>
      </c>
      <c r="E14029" s="3" t="inlineStr">
        <is>
          <t>Sales - Admin Fees on Rental Units Endulini</t>
        </is>
      </c>
      <c r="F14029" s="3" t="n">
        <v>0</v>
      </c>
      <c r="G14029" s="3" t="n">
        <v>-434.78</v>
      </c>
    </row>
    <row r="14030">
      <c r="A14030" s="3" t="inlineStr">
        <is>
          <t>Opportunity Global Sales (PTY) LTD</t>
        </is>
      </c>
      <c r="B14030" s="4" t="n">
        <v>45077</v>
      </c>
      <c r="C14030" s="3" t="inlineStr">
        <is>
          <t>Revenue</t>
        </is>
      </c>
      <c r="D14030" s="3" t="inlineStr">
        <is>
          <t>1000/122</t>
        </is>
      </c>
      <c r="E14030" s="3" t="inlineStr">
        <is>
          <t>Sales - Admin Fees on Rental Units Heron Fields</t>
        </is>
      </c>
      <c r="F14030" s="3" t="n">
        <v>0</v>
      </c>
      <c r="G14030" s="3" t="n">
        <v>-1739.14</v>
      </c>
    </row>
    <row r="14031">
      <c r="A14031" s="3" t="inlineStr">
        <is>
          <t>Opportunity Global Sales (PTY) LTD</t>
        </is>
      </c>
      <c r="B14031" s="4" t="n">
        <v>45077</v>
      </c>
      <c r="C14031" s="3" t="inlineStr">
        <is>
          <t>Revenue</t>
        </is>
      </c>
      <c r="D14031" s="3" t="inlineStr">
        <is>
          <t>1000/150</t>
        </is>
      </c>
      <c r="E14031" s="3" t="inlineStr">
        <is>
          <t>Sales - Comm on External Rental</t>
        </is>
      </c>
      <c r="F14031" s="3" t="n">
        <v>-30260.85</v>
      </c>
      <c r="G14031" s="3" t="n">
        <v>-82799.97</v>
      </c>
    </row>
    <row r="14032">
      <c r="A14032" s="3" t="inlineStr">
        <is>
          <t>Opportunity Global Sales (PTY) LTD</t>
        </is>
      </c>
      <c r="B14032" s="4" t="n">
        <v>45077</v>
      </c>
      <c r="C14032" s="3" t="inlineStr">
        <is>
          <t>Revenue</t>
        </is>
      </c>
      <c r="D14032" s="3" t="inlineStr">
        <is>
          <t>1000/300</t>
        </is>
      </c>
      <c r="E14032" s="3" t="inlineStr">
        <is>
          <t>Sales - Comm on Heron Fields</t>
        </is>
      </c>
      <c r="F14032" s="3" t="n">
        <v>-242591.31</v>
      </c>
      <c r="G14032" s="3" t="n">
        <v>-1149182.61</v>
      </c>
    </row>
    <row r="14033">
      <c r="A14033" s="3" t="inlineStr">
        <is>
          <t>Trademark Holdings (Pty) Ltd</t>
        </is>
      </c>
      <c r="B14033" s="4" t="n">
        <v>45077</v>
      </c>
      <c r="C14033" s="3" t="inlineStr">
        <is>
          <t>Revenue</t>
        </is>
      </c>
      <c r="D14033" s="3" t="inlineStr">
        <is>
          <t>1000/300</t>
        </is>
      </c>
      <c r="E14033" s="3" t="inlineStr">
        <is>
          <t>Sales - Payprop - Lara</t>
        </is>
      </c>
      <c r="F14033" s="3" t="n">
        <v>-88824.16</v>
      </c>
      <c r="G14033" s="3" t="n">
        <v>-789797.3199999999</v>
      </c>
    </row>
    <row r="14034">
      <c r="A14034" s="3" t="inlineStr">
        <is>
          <t>Opportunity Global Investment (PTY) LTD</t>
        </is>
      </c>
      <c r="B14034" s="4" t="n">
        <v>45077</v>
      </c>
      <c r="C14034" s="3" t="inlineStr">
        <is>
          <t>Revenue</t>
        </is>
      </c>
      <c r="D14034" s="3" t="inlineStr">
        <is>
          <t>1000/360</t>
        </is>
      </c>
      <c r="E14034" s="3" t="inlineStr">
        <is>
          <t>Sales - Investor Management - Heron View</t>
        </is>
      </c>
      <c r="F14034" s="3" t="n">
        <v>0</v>
      </c>
      <c r="G14034" s="3" t="n">
        <v>-1826086.96</v>
      </c>
    </row>
    <row r="14035">
      <c r="A14035" s="3" t="inlineStr">
        <is>
          <t>Noble Shield (Pty) Ltd ta Go Letting</t>
        </is>
      </c>
      <c r="B14035" s="4" t="n">
        <v>45077</v>
      </c>
      <c r="C14035" s="3" t="inlineStr">
        <is>
          <t>Revenue</t>
        </is>
      </c>
      <c r="D14035" s="3" t="inlineStr">
        <is>
          <t>1000/420</t>
        </is>
      </c>
      <c r="E14035" s="3" t="inlineStr">
        <is>
          <t>Sales - Commission Received - External</t>
        </is>
      </c>
      <c r="F14035" s="3" t="n">
        <v>-39000</v>
      </c>
      <c r="G14035" s="3" t="n">
        <v>-69000</v>
      </c>
    </row>
    <row r="14036">
      <c r="A14036" s="3" t="inlineStr">
        <is>
          <t>Trademark Holdings (Pty) Ltd</t>
        </is>
      </c>
      <c r="B14036" s="4" t="n">
        <v>45077</v>
      </c>
      <c r="C14036" s="3" t="inlineStr">
        <is>
          <t>Revenue</t>
        </is>
      </c>
      <c r="D14036" s="3" t="inlineStr">
        <is>
          <t>1000/500</t>
        </is>
      </c>
      <c r="E14036" s="3" t="inlineStr">
        <is>
          <t>Sales - Commission external sale</t>
        </is>
      </c>
      <c r="F14036" s="3" t="n">
        <v>0</v>
      </c>
      <c r="G14036" s="3" t="n">
        <v>-80000</v>
      </c>
    </row>
    <row r="14037">
      <c r="A14037" s="3" t="inlineStr">
        <is>
          <t>Quinate Consulting (Pty) Ltd</t>
        </is>
      </c>
      <c r="B14037" s="4" t="n">
        <v>45077</v>
      </c>
      <c r="C14037" s="3" t="inlineStr">
        <is>
          <t>Revenue</t>
        </is>
      </c>
      <c r="D14037" s="3" t="inlineStr">
        <is>
          <t>1004/000</t>
        </is>
      </c>
      <c r="E14037" s="3" t="inlineStr">
        <is>
          <t>Interest received</t>
        </is>
      </c>
      <c r="F14037" s="3" t="n">
        <v>-829.58</v>
      </c>
      <c r="G14037" s="3" t="n">
        <v>-2364.24</v>
      </c>
    </row>
    <row r="14038">
      <c r="A14038" s="3" t="inlineStr">
        <is>
          <t>Quinate Consulting (Pty) Ltd</t>
        </is>
      </c>
      <c r="B14038" s="4" t="n">
        <v>45077</v>
      </c>
      <c r="C14038" s="3" t="inlineStr">
        <is>
          <t>Revenue</t>
        </is>
      </c>
      <c r="D14038" s="3" t="inlineStr">
        <is>
          <t>1006/100</t>
        </is>
      </c>
      <c r="E14038" s="3" t="inlineStr">
        <is>
          <t>Rental income - Payprop</t>
        </is>
      </c>
      <c r="F14038" s="3" t="n">
        <v>-74202.5</v>
      </c>
      <c r="G14038" s="3" t="n">
        <v>-211095.36</v>
      </c>
    </row>
    <row r="14039">
      <c r="A14039" s="3" t="inlineStr">
        <is>
          <t>Quinate Consulting (Pty) Ltd</t>
        </is>
      </c>
      <c r="B14039" s="4" t="n">
        <v>45077</v>
      </c>
      <c r="C14039" s="3" t="inlineStr">
        <is>
          <t>Revenue</t>
        </is>
      </c>
      <c r="D14039" s="3" t="inlineStr">
        <is>
          <t>1006/120</t>
        </is>
      </c>
      <c r="E14039" s="3" t="inlineStr">
        <is>
          <t>Rental Income - D203</t>
        </is>
      </c>
      <c r="F14039" s="3" t="n">
        <v>0</v>
      </c>
      <c r="G14039" s="3" t="n">
        <v>-8000</v>
      </c>
    </row>
    <row r="14040">
      <c r="A14040" s="3" t="inlineStr">
        <is>
          <t>Opportunity Management Holdings (PTY) LTD</t>
        </is>
      </c>
      <c r="B14040" s="4" t="n">
        <v>45077</v>
      </c>
      <c r="C14040" s="3" t="inlineStr">
        <is>
          <t>Revenue</t>
        </is>
      </c>
      <c r="D14040" s="3" t="inlineStr">
        <is>
          <t>1100/001</t>
        </is>
      </c>
      <c r="E14040" s="3" t="inlineStr">
        <is>
          <t>Salary Recharges</t>
        </is>
      </c>
      <c r="F14040" s="3" t="n">
        <v>-338020</v>
      </c>
      <c r="G14040" s="3" t="n">
        <v>-3187789.06</v>
      </c>
    </row>
    <row r="14041">
      <c r="A14041" s="3" t="inlineStr">
        <is>
          <t>Endulini (Pty) Ltd</t>
        </is>
      </c>
      <c r="B14041" s="4" t="n">
        <v>45077</v>
      </c>
      <c r="C14041" s="3" t="inlineStr">
        <is>
          <t>Expenses</t>
        </is>
      </c>
      <c r="D14041" s="3" t="inlineStr">
        <is>
          <t>2000/001</t>
        </is>
      </c>
      <c r="E14041" s="3" t="inlineStr">
        <is>
          <t>COS - CIP Construction</t>
        </is>
      </c>
      <c r="F14041" s="3" t="n">
        <v>0</v>
      </c>
      <c r="G14041" s="3" t="n">
        <v>2000</v>
      </c>
    </row>
    <row r="14042">
      <c r="A14042" s="3" t="inlineStr">
        <is>
          <t>Opportunity Global Sales (PTY) LTD</t>
        </is>
      </c>
      <c r="B14042" s="4" t="n">
        <v>45077</v>
      </c>
      <c r="C14042" s="3" t="inlineStr">
        <is>
          <t>Expenses</t>
        </is>
      </c>
      <c r="D14042" s="3" t="inlineStr">
        <is>
          <t>2000/010</t>
        </is>
      </c>
      <c r="E14042" s="3" t="inlineStr">
        <is>
          <t>COS - PAYE on Commission</t>
        </is>
      </c>
      <c r="F14042" s="3" t="n">
        <v>22784.53</v>
      </c>
      <c r="G14042" s="3" t="n">
        <v>85483.69</v>
      </c>
    </row>
    <row r="14043">
      <c r="A14043" s="3" t="inlineStr">
        <is>
          <t>Noble Shield (Pty) Ltd ta Go Letting</t>
        </is>
      </c>
      <c r="B14043" s="4" t="n">
        <v>45077</v>
      </c>
      <c r="C14043" s="3" t="inlineStr">
        <is>
          <t>Expenses</t>
        </is>
      </c>
      <c r="D14043" s="3" t="inlineStr">
        <is>
          <t>2000/100</t>
        </is>
      </c>
      <c r="E14043" s="3" t="inlineStr">
        <is>
          <t>COS - Commission Paid</t>
        </is>
      </c>
      <c r="F14043" s="3" t="n">
        <v>14578.25</v>
      </c>
      <c r="G14043" s="3" t="n">
        <v>217341.38</v>
      </c>
    </row>
    <row r="14044">
      <c r="A14044" s="3" t="inlineStr">
        <is>
          <t>Opportunity Global Sales (PTY) LTD</t>
        </is>
      </c>
      <c r="B14044" s="4" t="n">
        <v>45077</v>
      </c>
      <c r="C14044" s="3" t="inlineStr">
        <is>
          <t>Expenses</t>
        </is>
      </c>
      <c r="D14044" s="3" t="inlineStr">
        <is>
          <t>2000/125</t>
        </is>
      </c>
      <c r="E14044" s="3" t="inlineStr">
        <is>
          <t>Commission Paid - Referal commission</t>
        </is>
      </c>
      <c r="F14044" s="3" t="n">
        <v>0</v>
      </c>
      <c r="G14044" s="3" t="n">
        <v>74342.61</v>
      </c>
    </row>
    <row r="14045">
      <c r="A14045" s="3" t="inlineStr">
        <is>
          <t>Opportunity Global Investment (PTY) LTD</t>
        </is>
      </c>
      <c r="B14045" s="4" t="n">
        <v>45077</v>
      </c>
      <c r="C14045" s="3" t="inlineStr">
        <is>
          <t>Expenses</t>
        </is>
      </c>
      <c r="D14045" s="3" t="inlineStr">
        <is>
          <t>2000/135</t>
        </is>
      </c>
      <c r="E14045" s="3" t="inlineStr">
        <is>
          <t>Referral commission - Heron View</t>
        </is>
      </c>
      <c r="F14045" s="3" t="n">
        <v>0</v>
      </c>
      <c r="G14045" s="3" t="n">
        <v>8731.209999999999</v>
      </c>
    </row>
    <row r="14046">
      <c r="A14046" s="3" t="inlineStr">
        <is>
          <t>Opportunity Global Sales (PTY) LTD</t>
        </is>
      </c>
      <c r="B14046" s="4" t="n">
        <v>45077</v>
      </c>
      <c r="C14046" s="3" t="inlineStr">
        <is>
          <t>Expenses</t>
        </is>
      </c>
      <c r="D14046" s="3" t="inlineStr">
        <is>
          <t>2000/137</t>
        </is>
      </c>
      <c r="E14046" s="3" t="inlineStr">
        <is>
          <t>COS - Rental Comm External - Minette</t>
        </is>
      </c>
      <c r="F14046" s="3" t="n">
        <v>16927.2</v>
      </c>
      <c r="G14046" s="3" t="n">
        <v>54107.2</v>
      </c>
    </row>
    <row r="14047">
      <c r="A14047" s="3" t="inlineStr">
        <is>
          <t>Opportunity Global Sales (PTY) LTD</t>
        </is>
      </c>
      <c r="B14047" s="4" t="n">
        <v>45077</v>
      </c>
      <c r="C14047" s="3" t="inlineStr">
        <is>
          <t>Expenses</t>
        </is>
      </c>
      <c r="D14047" s="3" t="inlineStr">
        <is>
          <t>2000/139</t>
        </is>
      </c>
      <c r="E14047" s="3" t="inlineStr">
        <is>
          <t>COS - Sales Comm Heron Fields - Minette</t>
        </is>
      </c>
      <c r="F14047" s="3" t="n">
        <v>9181.91</v>
      </c>
      <c r="G14047" s="3" t="n">
        <v>68099.48</v>
      </c>
    </row>
    <row r="14048">
      <c r="A14048" s="3" t="inlineStr">
        <is>
          <t>Opportunity Global Investment (PTY) LTD</t>
        </is>
      </c>
      <c r="B14048" s="4" t="n">
        <v>45077</v>
      </c>
      <c r="C14048" s="3" t="inlineStr">
        <is>
          <t>Expenses</t>
        </is>
      </c>
      <c r="D14048" s="3" t="inlineStr">
        <is>
          <t>2000/140</t>
        </is>
      </c>
      <c r="E14048" s="3" t="inlineStr">
        <is>
          <t>Referral commission - F Geldenhuys</t>
        </is>
      </c>
      <c r="F14048" s="3" t="n">
        <v>31800</v>
      </c>
      <c r="G14048" s="3" t="n">
        <v>43800</v>
      </c>
    </row>
    <row r="14049">
      <c r="A14049" s="3" t="inlineStr">
        <is>
          <t>Opportunity Global Investment (PTY) LTD</t>
        </is>
      </c>
      <c r="B14049" s="4" t="n">
        <v>45077</v>
      </c>
      <c r="C14049" s="3" t="inlineStr">
        <is>
          <t>Expenses</t>
        </is>
      </c>
      <c r="D14049" s="3" t="inlineStr">
        <is>
          <t>2000/145</t>
        </is>
      </c>
      <c r="E14049" s="3" t="inlineStr">
        <is>
          <t>Referral commission - W Thomason</t>
        </is>
      </c>
      <c r="F14049" s="3" t="n">
        <v>0</v>
      </c>
      <c r="G14049" s="3" t="n">
        <v>12000</v>
      </c>
    </row>
    <row r="14050">
      <c r="A14050" s="3" t="inlineStr">
        <is>
          <t>Opportunity Global Sales (PTY) LTD</t>
        </is>
      </c>
      <c r="B14050" s="4" t="n">
        <v>45077</v>
      </c>
      <c r="C14050" s="3" t="inlineStr">
        <is>
          <t>Expenses</t>
        </is>
      </c>
      <c r="D14050" s="3" t="inlineStr">
        <is>
          <t>2000/147</t>
        </is>
      </c>
      <c r="E14050" s="3" t="inlineStr">
        <is>
          <t>COS - Sales Comm Heron Fields - Yvette</t>
        </is>
      </c>
      <c r="F14050" s="3" t="n">
        <v>50408.61</v>
      </c>
      <c r="G14050" s="3" t="n">
        <v>144801.94</v>
      </c>
    </row>
    <row r="14051">
      <c r="A14051" s="3" t="inlineStr">
        <is>
          <t>Endulini (Pty) Ltd</t>
        </is>
      </c>
      <c r="B14051" s="4" t="n">
        <v>45077</v>
      </c>
      <c r="C14051" s="3" t="inlineStr">
        <is>
          <t>Expenses</t>
        </is>
      </c>
      <c r="D14051" s="3" t="inlineStr">
        <is>
          <t>2000/150</t>
        </is>
      </c>
      <c r="E14051" s="3" t="inlineStr">
        <is>
          <t>COS - Levies special agreement</t>
        </is>
      </c>
      <c r="F14051" s="3" t="n">
        <v>6753.06</v>
      </c>
      <c r="G14051" s="3" t="n">
        <v>24278.94</v>
      </c>
    </row>
    <row r="14052">
      <c r="A14052" s="3" t="inlineStr">
        <is>
          <t>Opportunity Global Sales (PTY) LTD</t>
        </is>
      </c>
      <c r="B14052" s="4" t="n">
        <v>45077</v>
      </c>
      <c r="C14052" s="3" t="inlineStr">
        <is>
          <t>Expenses</t>
        </is>
      </c>
      <c r="D14052" s="3" t="inlineStr">
        <is>
          <t>2000/160</t>
        </is>
      </c>
      <c r="E14052" s="3" t="inlineStr">
        <is>
          <t>COS - Sales Comm Heron View - Minette</t>
        </is>
      </c>
      <c r="F14052" s="3" t="n">
        <v>21563.83</v>
      </c>
      <c r="G14052" s="3" t="n">
        <v>77073.39999999999</v>
      </c>
    </row>
    <row r="14053">
      <c r="A14053" s="3" t="inlineStr">
        <is>
          <t>Opportunity Global Sales (PTY) LTD</t>
        </is>
      </c>
      <c r="B14053" s="4" t="n">
        <v>45077</v>
      </c>
      <c r="C14053" s="3" t="inlineStr">
        <is>
          <t>Expenses</t>
        </is>
      </c>
      <c r="D14053" s="3" t="inlineStr">
        <is>
          <t>2000/162</t>
        </is>
      </c>
      <c r="E14053" s="3" t="inlineStr">
        <is>
          <t>COS - Sales Comm Heron View - Yvette</t>
        </is>
      </c>
      <c r="F14053" s="3" t="n">
        <v>0</v>
      </c>
      <c r="G14053" s="3" t="n">
        <v>12620.16</v>
      </c>
    </row>
    <row r="14054">
      <c r="A14054" s="3" t="inlineStr">
        <is>
          <t>Noble Shield (Pty) Ltd ta Go Letting</t>
        </is>
      </c>
      <c r="B14054" s="4" t="n">
        <v>45077</v>
      </c>
      <c r="C14054" s="3" t="inlineStr">
        <is>
          <t>Expenses</t>
        </is>
      </c>
      <c r="D14054" s="3" t="inlineStr">
        <is>
          <t>2000/200</t>
        </is>
      </c>
      <c r="E14054" s="3" t="inlineStr">
        <is>
          <t>COS - Commission on external sales</t>
        </is>
      </c>
      <c r="F14054" s="3" t="n">
        <v>23400</v>
      </c>
      <c r="G14054" s="3" t="n">
        <v>41400</v>
      </c>
    </row>
    <row r="14055">
      <c r="A14055" s="3" t="inlineStr">
        <is>
          <t>Opportunity Global Sales (PTY) LTD</t>
        </is>
      </c>
      <c r="B14055" s="4" t="n">
        <v>45077</v>
      </c>
      <c r="C14055" s="3" t="inlineStr">
        <is>
          <t>Expenses</t>
        </is>
      </c>
      <c r="D14055" s="3" t="inlineStr">
        <is>
          <t>2000/275</t>
        </is>
      </c>
      <c r="E14055" s="3" t="inlineStr">
        <is>
          <t>COS - Comm Rentals - Mario - Endulini</t>
        </is>
      </c>
      <c r="F14055" s="3" t="n">
        <v>2330</v>
      </c>
      <c r="G14055" s="3" t="n">
        <v>2535</v>
      </c>
    </row>
    <row r="14056">
      <c r="A14056" s="3" t="inlineStr">
        <is>
          <t>Opportunity Global Sales (PTY) LTD</t>
        </is>
      </c>
      <c r="B14056" s="4" t="n">
        <v>45077</v>
      </c>
      <c r="C14056" s="3" t="inlineStr">
        <is>
          <t>Expenses</t>
        </is>
      </c>
      <c r="D14056" s="3" t="inlineStr">
        <is>
          <t>2000/280</t>
        </is>
      </c>
      <c r="E14056" s="3" t="inlineStr">
        <is>
          <t>COS - Comm Rentals - Mario - Heron Fields</t>
        </is>
      </c>
      <c r="F14056" s="3" t="n">
        <v>2000</v>
      </c>
      <c r="G14056" s="3" t="n">
        <v>2820</v>
      </c>
    </row>
    <row r="14057">
      <c r="A14057" s="3" t="inlineStr">
        <is>
          <t>Trademark Holdings (Pty) Ltd</t>
        </is>
      </c>
      <c r="B14057" s="4" t="n">
        <v>45077</v>
      </c>
      <c r="C14057" s="3" t="inlineStr">
        <is>
          <t>Expenses</t>
        </is>
      </c>
      <c r="D14057" s="3" t="inlineStr">
        <is>
          <t>2000/300</t>
        </is>
      </c>
      <c r="E14057" s="3" t="inlineStr">
        <is>
          <t>COS - Commission Paid</t>
        </is>
      </c>
      <c r="F14057" s="3" t="n">
        <v>16381.83</v>
      </c>
      <c r="G14057" s="3" t="n">
        <v>144311.12</v>
      </c>
    </row>
    <row r="14058">
      <c r="A14058" s="3" t="inlineStr">
        <is>
          <t>Opportunity Global Sales (PTY) LTD</t>
        </is>
      </c>
      <c r="B14058" s="4" t="n">
        <v>45077</v>
      </c>
      <c r="C14058" s="3" t="inlineStr">
        <is>
          <t>Expenses</t>
        </is>
      </c>
      <c r="D14058" s="3" t="inlineStr">
        <is>
          <t>2000/380</t>
        </is>
      </c>
      <c r="E14058" s="3" t="inlineStr">
        <is>
          <t>COS - Overrider Comm Heron Fields - Morne</t>
        </is>
      </c>
      <c r="F14058" s="3" t="n">
        <v>0</v>
      </c>
      <c r="G14058" s="3" t="n">
        <v>21369</v>
      </c>
    </row>
    <row r="14059">
      <c r="A14059" s="3" t="inlineStr">
        <is>
          <t>Trademark Holdings (Pty) Ltd</t>
        </is>
      </c>
      <c r="B14059" s="4" t="n">
        <v>45077</v>
      </c>
      <c r="C14059" s="3" t="inlineStr">
        <is>
          <t>Expenses</t>
        </is>
      </c>
      <c r="D14059" s="3" t="inlineStr">
        <is>
          <t>2000/400</t>
        </is>
      </c>
      <c r="E14059" s="3" t="inlineStr">
        <is>
          <t>COS - Commission on external sales</t>
        </is>
      </c>
      <c r="F14059" s="3" t="n">
        <v>0</v>
      </c>
      <c r="G14059" s="3" t="n">
        <v>48000</v>
      </c>
    </row>
    <row r="14060">
      <c r="A14060" s="3" t="inlineStr">
        <is>
          <t>Opportunity Global Sales (PTY) LTD</t>
        </is>
      </c>
      <c r="B14060" s="4" t="n">
        <v>45077</v>
      </c>
      <c r="C14060" s="3" t="inlineStr">
        <is>
          <t>Expenses</t>
        </is>
      </c>
      <c r="D14060" s="3" t="inlineStr">
        <is>
          <t>2000/550</t>
        </is>
      </c>
      <c r="E14060" s="3" t="inlineStr">
        <is>
          <t>COS - Electricity Costs Heron Fields</t>
        </is>
      </c>
      <c r="F14060" s="3" t="n">
        <v>0</v>
      </c>
      <c r="G14060" s="3" t="n">
        <v>360.87</v>
      </c>
    </row>
    <row r="14061">
      <c r="A14061" s="3" t="inlineStr">
        <is>
          <t>Quinate Consulting (Pty) Ltd</t>
        </is>
      </c>
      <c r="B14061" s="4" t="n">
        <v>45077</v>
      </c>
      <c r="C14061" s="3" t="inlineStr">
        <is>
          <t>Expenses</t>
        </is>
      </c>
      <c r="D14061" s="3" t="inlineStr">
        <is>
          <t>2001/210</t>
        </is>
      </c>
      <c r="E14061" s="3" t="inlineStr">
        <is>
          <t>COS - NHBRC</t>
        </is>
      </c>
      <c r="F14061" s="3" t="n">
        <v>457.67</v>
      </c>
      <c r="G14061" s="3" t="n">
        <v>457.67</v>
      </c>
    </row>
    <row r="14062">
      <c r="A14062" s="3" t="inlineStr">
        <is>
          <t>Quinate Consulting (Pty) Ltd</t>
        </is>
      </c>
      <c r="B14062" s="4" t="n">
        <v>45077</v>
      </c>
      <c r="C14062" s="3" t="inlineStr">
        <is>
          <t>Revenue</t>
        </is>
      </c>
      <c r="D14062" s="3" t="inlineStr">
        <is>
          <t>2400/200</t>
        </is>
      </c>
      <c r="E14062" s="3" t="inlineStr">
        <is>
          <t>Recovery Acc - Electricity SH</t>
        </is>
      </c>
      <c r="F14062" s="3" t="n">
        <v>-22338.5</v>
      </c>
      <c r="G14062" s="3" t="n">
        <v>-61898.38</v>
      </c>
    </row>
    <row r="14063">
      <c r="A14063" s="3" t="inlineStr">
        <is>
          <t>Quinate Consulting (Pty) Ltd</t>
        </is>
      </c>
      <c r="B14063" s="4" t="n">
        <v>45077</v>
      </c>
      <c r="C14063" s="3" t="inlineStr">
        <is>
          <t>Revenue</t>
        </is>
      </c>
      <c r="D14063" s="3" t="inlineStr">
        <is>
          <t>2400/300</t>
        </is>
      </c>
      <c r="E14063" s="3" t="inlineStr">
        <is>
          <t>Recovery Account - Electricity SW</t>
        </is>
      </c>
      <c r="F14063" s="3" t="n">
        <v>-20013.77</v>
      </c>
      <c r="G14063" s="3" t="n">
        <v>-54517.23</v>
      </c>
    </row>
    <row r="14064">
      <c r="A14064" s="3" t="inlineStr">
        <is>
          <t>Opportunity Management Holdings (PTY) LTD</t>
        </is>
      </c>
      <c r="B14064" s="4" t="n">
        <v>45077</v>
      </c>
      <c r="C14064" s="3" t="inlineStr">
        <is>
          <t>Revenue</t>
        </is>
      </c>
      <c r="D14064" s="3" t="inlineStr">
        <is>
          <t>2750/000</t>
        </is>
      </c>
      <c r="E14064" s="3" t="inlineStr">
        <is>
          <t>Interest Received</t>
        </is>
      </c>
      <c r="F14064" s="3" t="n">
        <v>-5.29</v>
      </c>
      <c r="G14064" s="3" t="n">
        <v>-391.15</v>
      </c>
    </row>
    <row r="14065">
      <c r="A14065" s="3" t="inlineStr">
        <is>
          <t>Opportunity Global Investment (PTY) LTD</t>
        </is>
      </c>
      <c r="B14065" s="4" t="n">
        <v>45077</v>
      </c>
      <c r="C14065" s="3" t="inlineStr">
        <is>
          <t>Revenue</t>
        </is>
      </c>
      <c r="D14065" s="3" t="inlineStr">
        <is>
          <t>2750/000</t>
        </is>
      </c>
      <c r="E14065" s="3" t="inlineStr">
        <is>
          <t>Interest Received - Bank</t>
        </is>
      </c>
      <c r="F14065" s="3" t="n">
        <v>-212.14</v>
      </c>
      <c r="G14065" s="3" t="n">
        <v>-354.84</v>
      </c>
    </row>
    <row r="14066">
      <c r="A14066" s="3" t="inlineStr">
        <is>
          <t>Opportunity Global Sales (PTY) LTD</t>
        </is>
      </c>
      <c r="B14066" s="4" t="n">
        <v>45077</v>
      </c>
      <c r="C14066" s="3" t="inlineStr">
        <is>
          <t>Revenue</t>
        </is>
      </c>
      <c r="D14066" s="3" t="inlineStr">
        <is>
          <t>2750/000</t>
        </is>
      </c>
      <c r="E14066" s="3" t="inlineStr">
        <is>
          <t>Interest Received - Bank</t>
        </is>
      </c>
      <c r="F14066" s="3" t="n">
        <v>-18.82</v>
      </c>
      <c r="G14066" s="3" t="n">
        <v>-18.82</v>
      </c>
    </row>
    <row r="14067">
      <c r="A14067" s="3" t="inlineStr">
        <is>
          <t>Noble Shield (Pty) Ltd ta Go Letting</t>
        </is>
      </c>
      <c r="B14067" s="4" t="n">
        <v>45077</v>
      </c>
      <c r="C14067" s="3" t="inlineStr">
        <is>
          <t>Revenue</t>
        </is>
      </c>
      <c r="D14067" s="3" t="inlineStr">
        <is>
          <t>2750/100</t>
        </is>
      </c>
      <c r="E14067" s="3" t="inlineStr">
        <is>
          <t>Interest Received - bank</t>
        </is>
      </c>
      <c r="F14067" s="3" t="n">
        <v>-0.22</v>
      </c>
      <c r="G14067" s="3" t="n">
        <v>-0.53</v>
      </c>
    </row>
    <row r="14068">
      <c r="A14068" s="3" t="inlineStr">
        <is>
          <t>Opportunity Global Investment (PTY) LTD</t>
        </is>
      </c>
      <c r="B14068" s="4" t="n">
        <v>45077</v>
      </c>
      <c r="C14068" s="3" t="inlineStr">
        <is>
          <t>Revenue</t>
        </is>
      </c>
      <c r="D14068" s="3" t="inlineStr">
        <is>
          <t>2753/000</t>
        </is>
      </c>
      <c r="E14068" s="3" t="inlineStr">
        <is>
          <t>Interest received - Momentum</t>
        </is>
      </c>
      <c r="F14068" s="3" t="n">
        <v>-33.05</v>
      </c>
      <c r="G14068" s="3" t="n">
        <v>-123.43</v>
      </c>
    </row>
    <row r="14069">
      <c r="A14069" s="3" t="inlineStr">
        <is>
          <t>Endulini (Pty) Ltd</t>
        </is>
      </c>
      <c r="B14069" s="4" t="n">
        <v>45077</v>
      </c>
      <c r="C14069" s="3" t="inlineStr">
        <is>
          <t>Revenue</t>
        </is>
      </c>
      <c r="D14069" s="3" t="inlineStr">
        <is>
          <t>2755/001</t>
        </is>
      </c>
      <c r="E14069" s="3" t="inlineStr">
        <is>
          <t>Interest Received - Momentum</t>
        </is>
      </c>
      <c r="F14069" s="3" t="n">
        <v>-18.75</v>
      </c>
      <c r="G14069" s="3" t="n">
        <v>-54.32</v>
      </c>
    </row>
    <row r="14070">
      <c r="A14070" s="3" t="inlineStr">
        <is>
          <t>Quinate Consulting (Pty) Ltd</t>
        </is>
      </c>
      <c r="B14070" s="4" t="n">
        <v>45077</v>
      </c>
      <c r="C14070" s="3" t="inlineStr">
        <is>
          <t>Revenue</t>
        </is>
      </c>
      <c r="D14070" s="3" t="inlineStr">
        <is>
          <t>2755/001</t>
        </is>
      </c>
      <c r="E14070" s="3" t="inlineStr">
        <is>
          <t>Interest Received - Momentum</t>
        </is>
      </c>
      <c r="F14070" s="3" t="n">
        <v>-3.76</v>
      </c>
      <c r="G14070" s="3" t="n">
        <v>-10.89</v>
      </c>
    </row>
    <row r="14071">
      <c r="A14071" s="3" t="inlineStr">
        <is>
          <t>Noble Shield (Pty) Ltd ta Go Letting</t>
        </is>
      </c>
      <c r="B14071" s="4" t="n">
        <v>45077</v>
      </c>
      <c r="C14071" s="3" t="inlineStr">
        <is>
          <t>Expenses</t>
        </is>
      </c>
      <c r="D14071" s="3" t="inlineStr">
        <is>
          <t>3000/300</t>
        </is>
      </c>
      <c r="E14071" s="3" t="inlineStr">
        <is>
          <t>Accounting Fees - Audit</t>
        </is>
      </c>
      <c r="F14071" s="3" t="n">
        <v>0</v>
      </c>
      <c r="G14071" s="3" t="n">
        <v>22367.5</v>
      </c>
    </row>
    <row r="14072">
      <c r="A14072" s="3" t="inlineStr">
        <is>
          <t>Trademark Holdings (Pty) Ltd</t>
        </is>
      </c>
      <c r="B14072" s="4" t="n">
        <v>45077</v>
      </c>
      <c r="C14072" s="3" t="inlineStr">
        <is>
          <t>Expenses</t>
        </is>
      </c>
      <c r="D14072" s="3" t="inlineStr">
        <is>
          <t>3000/300</t>
        </is>
      </c>
      <c r="E14072" s="3" t="inlineStr">
        <is>
          <t>Accounting Fees - Audit</t>
        </is>
      </c>
      <c r="F14072" s="3" t="n">
        <v>0</v>
      </c>
      <c r="G14072" s="3" t="n">
        <v>22367.5</v>
      </c>
    </row>
    <row r="14073">
      <c r="A14073" s="3" t="inlineStr">
        <is>
          <t>Quinate Consulting (Pty) Ltd</t>
        </is>
      </c>
      <c r="B14073" s="4" t="n">
        <v>45077</v>
      </c>
      <c r="C14073" s="3" t="inlineStr">
        <is>
          <t>Expenses</t>
        </is>
      </c>
      <c r="D14073" s="3" t="inlineStr">
        <is>
          <t>3002/000</t>
        </is>
      </c>
      <c r="E14073" s="3" t="inlineStr">
        <is>
          <t>Accounting Fees - Tax Dept.</t>
        </is>
      </c>
      <c r="F14073" s="3" t="n">
        <v>0</v>
      </c>
      <c r="G14073" s="3" t="n">
        <v>540</v>
      </c>
    </row>
    <row r="14074">
      <c r="A14074" s="3" t="inlineStr">
        <is>
          <t>Opportunity Management Holdings (PTY) LTD</t>
        </is>
      </c>
      <c r="B14074" s="4" t="n">
        <v>45077</v>
      </c>
      <c r="C14074" s="3" t="inlineStr">
        <is>
          <t>Expenses</t>
        </is>
      </c>
      <c r="D14074" s="3" t="inlineStr">
        <is>
          <t>3004/000</t>
        </is>
      </c>
      <c r="E14074" s="3" t="inlineStr">
        <is>
          <t>Accounting fees - Janine Theart</t>
        </is>
      </c>
      <c r="F14074" s="3" t="n">
        <v>0</v>
      </c>
      <c r="G14074" s="3" t="n">
        <v>73432.16</v>
      </c>
    </row>
    <row r="14075">
      <c r="A14075" s="3" t="inlineStr">
        <is>
          <t>Opportunity Management Holdings (PTY) LTD</t>
        </is>
      </c>
      <c r="B14075" s="4" t="n">
        <v>45077</v>
      </c>
      <c r="C14075" s="3" t="inlineStr">
        <is>
          <t>Expenses</t>
        </is>
      </c>
      <c r="D14075" s="3" t="inlineStr">
        <is>
          <t>3005/000</t>
        </is>
      </c>
      <c r="E14075" s="3" t="inlineStr">
        <is>
          <t>Accounting fees - Deric Dudley</t>
        </is>
      </c>
      <c r="F14075" s="3" t="n">
        <v>6000</v>
      </c>
      <c r="G14075" s="3" t="n">
        <v>216000</v>
      </c>
    </row>
    <row r="14076">
      <c r="A14076" s="3" t="inlineStr">
        <is>
          <t>Opportunity Management Holdings (PTY) LTD</t>
        </is>
      </c>
      <c r="B14076" s="4" t="n">
        <v>45077</v>
      </c>
      <c r="C14076" s="3" t="inlineStr">
        <is>
          <t>Expenses</t>
        </is>
      </c>
      <c r="D14076" s="3" t="inlineStr">
        <is>
          <t>3006/000</t>
        </is>
      </c>
      <c r="E14076" s="3" t="inlineStr">
        <is>
          <t>Accounting fees - CIPC</t>
        </is>
      </c>
      <c r="F14076" s="3" t="n">
        <v>0</v>
      </c>
      <c r="G14076" s="3" t="n">
        <v>1850</v>
      </c>
    </row>
    <row r="14077">
      <c r="A14077" s="3" t="inlineStr">
        <is>
          <t>Opportunity Management Holdings (PTY) LTD</t>
        </is>
      </c>
      <c r="B14077" s="4" t="n">
        <v>45077</v>
      </c>
      <c r="C14077" s="3" t="inlineStr">
        <is>
          <t>Expenses</t>
        </is>
      </c>
      <c r="D14077" s="3" t="inlineStr">
        <is>
          <t>3007/000</t>
        </is>
      </c>
      <c r="E14077" s="3" t="inlineStr">
        <is>
          <t>Accounting fees - Warwick</t>
        </is>
      </c>
      <c r="F14077" s="3" t="n">
        <v>0</v>
      </c>
      <c r="G14077" s="3" t="n">
        <v>54000</v>
      </c>
    </row>
    <row r="14078">
      <c r="A14078" s="3" t="inlineStr">
        <is>
          <t>Noble Shield (Pty) Ltd ta Go Letting</t>
        </is>
      </c>
      <c r="B14078" s="4" t="n">
        <v>45077</v>
      </c>
      <c r="C14078" s="3" t="inlineStr">
        <is>
          <t>Expenses</t>
        </is>
      </c>
      <c r="D14078" s="3" t="inlineStr">
        <is>
          <t>3050/000</t>
        </is>
      </c>
      <c r="E14078" s="3" t="inlineStr">
        <is>
          <t>Advertising _AND_ Promotions</t>
        </is>
      </c>
      <c r="F14078" s="3" t="n">
        <v>851</v>
      </c>
      <c r="G14078" s="3" t="n">
        <v>2394.99</v>
      </c>
    </row>
    <row r="14079">
      <c r="A14079" s="3" t="inlineStr">
        <is>
          <t>Opportunity Management Holdings (PTY) LTD</t>
        </is>
      </c>
      <c r="B14079" s="4" t="n">
        <v>45077</v>
      </c>
      <c r="C14079" s="3" t="inlineStr">
        <is>
          <t>Expenses</t>
        </is>
      </c>
      <c r="D14079" s="3" t="inlineStr">
        <is>
          <t>3050/000</t>
        </is>
      </c>
      <c r="E14079" s="3" t="inlineStr">
        <is>
          <t>Advertising _AND_ Promotions</t>
        </is>
      </c>
      <c r="F14079" s="3" t="n">
        <v>0</v>
      </c>
      <c r="G14079" s="3" t="n">
        <v>500</v>
      </c>
    </row>
    <row r="14080">
      <c r="A14080" s="3" t="inlineStr">
        <is>
          <t>Trademark Holdings (Pty) Ltd</t>
        </is>
      </c>
      <c r="B14080" s="4" t="n">
        <v>45077</v>
      </c>
      <c r="C14080" s="3" t="inlineStr">
        <is>
          <t>Expenses</t>
        </is>
      </c>
      <c r="D14080" s="3" t="inlineStr">
        <is>
          <t>3050/000</t>
        </is>
      </c>
      <c r="E14080" s="3" t="inlineStr">
        <is>
          <t>Advertising _AND_ Promotions</t>
        </is>
      </c>
      <c r="F14080" s="3" t="n">
        <v>0</v>
      </c>
      <c r="G14080" s="3" t="n">
        <v>6852.5</v>
      </c>
    </row>
    <row r="14081">
      <c r="A14081" s="3" t="inlineStr">
        <is>
          <t>Opportunity Global Investment (PTY) LTD</t>
        </is>
      </c>
      <c r="B14081" s="4" t="n">
        <v>45077</v>
      </c>
      <c r="C14081" s="3" t="inlineStr">
        <is>
          <t>Expenses</t>
        </is>
      </c>
      <c r="D14081" s="3" t="inlineStr">
        <is>
          <t>3050/000</t>
        </is>
      </c>
      <c r="E14081" s="3" t="inlineStr">
        <is>
          <t>Advertising and Promotions</t>
        </is>
      </c>
      <c r="F14081" s="3" t="n">
        <v>95.64</v>
      </c>
      <c r="G14081" s="3" t="n">
        <v>95.64</v>
      </c>
    </row>
    <row r="14082">
      <c r="A14082" s="3" t="inlineStr">
        <is>
          <t>Opportunity Global Sales (PTY) LTD</t>
        </is>
      </c>
      <c r="B14082" s="4" t="n">
        <v>45077</v>
      </c>
      <c r="C14082" s="3" t="inlineStr">
        <is>
          <t>Expenses</t>
        </is>
      </c>
      <c r="D14082" s="3" t="inlineStr">
        <is>
          <t>3050/000</t>
        </is>
      </c>
      <c r="E14082" s="3" t="inlineStr">
        <is>
          <t>Advertising and Promotions</t>
        </is>
      </c>
      <c r="F14082" s="3" t="n">
        <v>0</v>
      </c>
      <c r="G14082" s="3" t="n">
        <v>1520</v>
      </c>
    </row>
    <row r="14083">
      <c r="A14083" s="3" t="inlineStr">
        <is>
          <t>Endulini (Pty) Ltd</t>
        </is>
      </c>
      <c r="B14083" s="4" t="n">
        <v>45077</v>
      </c>
      <c r="C14083" s="3" t="inlineStr">
        <is>
          <t>Expenses</t>
        </is>
      </c>
      <c r="D14083" s="3" t="inlineStr">
        <is>
          <t>3050/001</t>
        </is>
      </c>
      <c r="E14083" s="3" t="inlineStr">
        <is>
          <t>Advertising _AND_ Promotions - Media Agenda</t>
        </is>
      </c>
      <c r="F14083" s="3" t="n">
        <v>2300</v>
      </c>
      <c r="G14083" s="3" t="n">
        <v>3737.5</v>
      </c>
    </row>
    <row r="14084">
      <c r="A14084" s="3" t="inlineStr">
        <is>
          <t>Noble Shield (Pty) Ltd ta Go Letting</t>
        </is>
      </c>
      <c r="B14084" s="4" t="n">
        <v>45077</v>
      </c>
      <c r="C14084" s="3" t="inlineStr">
        <is>
          <t>Expenses</t>
        </is>
      </c>
      <c r="D14084" s="3" t="inlineStr">
        <is>
          <t>3050/038</t>
        </is>
      </c>
      <c r="E14084" s="3" t="inlineStr">
        <is>
          <t>Advertsing - Show Boards</t>
        </is>
      </c>
      <c r="F14084" s="3" t="n">
        <v>5520</v>
      </c>
      <c r="G14084" s="3" t="n">
        <v>5520</v>
      </c>
    </row>
    <row r="14085">
      <c r="A14085" s="3" t="inlineStr">
        <is>
          <t>Noble Shield (Pty) Ltd ta Go Letting</t>
        </is>
      </c>
      <c r="B14085" s="4" t="n">
        <v>45077</v>
      </c>
      <c r="C14085" s="3" t="inlineStr">
        <is>
          <t>Expenses</t>
        </is>
      </c>
      <c r="D14085" s="3" t="inlineStr">
        <is>
          <t>3050/050</t>
        </is>
      </c>
      <c r="E14085" s="3" t="inlineStr">
        <is>
          <t>Advertising - Prop 24</t>
        </is>
      </c>
      <c r="F14085" s="3" t="n">
        <v>3336.15</v>
      </c>
      <c r="G14085" s="3" t="n">
        <v>28816.7</v>
      </c>
    </row>
    <row r="14086">
      <c r="A14086" s="3" t="inlineStr">
        <is>
          <t>Opportunity Global Sales (PTY) LTD</t>
        </is>
      </c>
      <c r="B14086" s="4" t="n">
        <v>45077</v>
      </c>
      <c r="C14086" s="3" t="inlineStr">
        <is>
          <t>Expenses</t>
        </is>
      </c>
      <c r="D14086" s="3" t="inlineStr">
        <is>
          <t>3050/100</t>
        </is>
      </c>
      <c r="E14086" s="3" t="inlineStr">
        <is>
          <t>Advertising - Facebook</t>
        </is>
      </c>
      <c r="F14086" s="3" t="n">
        <v>0</v>
      </c>
      <c r="G14086" s="3" t="n">
        <v>2279.78</v>
      </c>
    </row>
    <row r="14087">
      <c r="A14087" s="3" t="inlineStr">
        <is>
          <t>Opportunity Global Sales (PTY) LTD</t>
        </is>
      </c>
      <c r="B14087" s="4" t="n">
        <v>45077</v>
      </c>
      <c r="C14087" s="3" t="inlineStr">
        <is>
          <t>Expenses</t>
        </is>
      </c>
      <c r="D14087" s="3" t="inlineStr">
        <is>
          <t>3050/140</t>
        </is>
      </c>
      <c r="E14087" s="3" t="inlineStr">
        <is>
          <t>Advertising - Media Agenda</t>
        </is>
      </c>
      <c r="F14087" s="3" t="n">
        <v>1800</v>
      </c>
      <c r="G14087" s="3" t="n">
        <v>3712.5</v>
      </c>
    </row>
    <row r="14088">
      <c r="A14088" s="3" t="inlineStr">
        <is>
          <t>Opportunity Global Sales (PTY) LTD</t>
        </is>
      </c>
      <c r="B14088" s="4" t="n">
        <v>45077</v>
      </c>
      <c r="C14088" s="3" t="inlineStr">
        <is>
          <t>Expenses</t>
        </is>
      </c>
      <c r="D14088" s="3" t="inlineStr">
        <is>
          <t>3050/200</t>
        </is>
      </c>
      <c r="E14088" s="3" t="inlineStr">
        <is>
          <t>Advertising - Design</t>
        </is>
      </c>
      <c r="F14088" s="3" t="n">
        <v>35000</v>
      </c>
      <c r="G14088" s="3" t="n">
        <v>35000</v>
      </c>
    </row>
    <row r="14089">
      <c r="A14089" s="3" t="inlineStr">
        <is>
          <t>Opportunity Global Investment (PTY) LTD</t>
        </is>
      </c>
      <c r="B14089" s="4" t="n">
        <v>45077</v>
      </c>
      <c r="C14089" s="3" t="inlineStr">
        <is>
          <t>Expenses</t>
        </is>
      </c>
      <c r="D14089" s="3" t="inlineStr">
        <is>
          <t>3050/250</t>
        </is>
      </c>
      <c r="E14089" s="3" t="inlineStr">
        <is>
          <t>Advertising - General</t>
        </is>
      </c>
      <c r="F14089" s="3" t="n">
        <v>0</v>
      </c>
      <c r="G14089" s="3" t="n">
        <v>47859.6</v>
      </c>
    </row>
    <row r="14090">
      <c r="A14090" s="3" t="inlineStr">
        <is>
          <t>Opportunity Global Sales (PTY) LTD</t>
        </is>
      </c>
      <c r="B14090" s="4" t="n">
        <v>45077</v>
      </c>
      <c r="C14090" s="3" t="inlineStr">
        <is>
          <t>Expenses</t>
        </is>
      </c>
      <c r="D14090" s="3" t="inlineStr">
        <is>
          <t>3050/250</t>
        </is>
      </c>
      <c r="E14090" s="3" t="inlineStr">
        <is>
          <t>Advertising - General</t>
        </is>
      </c>
      <c r="F14090" s="3" t="n">
        <v>468.64</v>
      </c>
      <c r="G14090" s="3" t="n">
        <v>2843.94</v>
      </c>
    </row>
    <row r="14091">
      <c r="A14091" s="3" t="inlineStr">
        <is>
          <t>Opportunity Global Investment (PTY) LTD</t>
        </is>
      </c>
      <c r="B14091" s="4" t="n">
        <v>45077</v>
      </c>
      <c r="C14091" s="3" t="inlineStr">
        <is>
          <t>Expenses</t>
        </is>
      </c>
      <c r="D14091" s="3" t="inlineStr">
        <is>
          <t>3050/270</t>
        </is>
      </c>
      <c r="E14091" s="3" t="inlineStr">
        <is>
          <t>Advertising - Radia and TV Interviews</t>
        </is>
      </c>
      <c r="F14091" s="3" t="n">
        <v>36595</v>
      </c>
      <c r="G14091" s="3" t="n">
        <v>68797.5</v>
      </c>
    </row>
    <row r="14092">
      <c r="A14092" s="3" t="inlineStr">
        <is>
          <t>Opportunity Global Investment (PTY) LTD</t>
        </is>
      </c>
      <c r="B14092" s="4" t="n">
        <v>45077</v>
      </c>
      <c r="C14092" s="3" t="inlineStr">
        <is>
          <t>Expenses</t>
        </is>
      </c>
      <c r="D14092" s="3" t="inlineStr">
        <is>
          <t>3050/290</t>
        </is>
      </c>
      <c r="E14092" s="3" t="inlineStr">
        <is>
          <t>Advertising - Serene Living</t>
        </is>
      </c>
      <c r="F14092" s="3" t="n">
        <v>65086</v>
      </c>
      <c r="G14092" s="3" t="n">
        <v>195258</v>
      </c>
    </row>
    <row r="14093">
      <c r="A14093" s="3" t="inlineStr">
        <is>
          <t>Opportunity Global Investment (PTY) LTD</t>
        </is>
      </c>
      <c r="B14093" s="4" t="n">
        <v>45077</v>
      </c>
      <c r="C14093" s="3" t="inlineStr">
        <is>
          <t>Expenses</t>
        </is>
      </c>
      <c r="D14093" s="3" t="inlineStr">
        <is>
          <t>3050/295</t>
        </is>
      </c>
      <c r="E14093" s="3" t="inlineStr">
        <is>
          <t>Advertising - Reale Activation</t>
        </is>
      </c>
      <c r="F14093" s="3" t="n">
        <v>1788.23</v>
      </c>
      <c r="G14093" s="3" t="n">
        <v>30397.22</v>
      </c>
    </row>
    <row r="14094">
      <c r="A14094" s="3" t="inlineStr">
        <is>
          <t>Opportunity Global Investment (PTY) LTD</t>
        </is>
      </c>
      <c r="B14094" s="4" t="n">
        <v>45077</v>
      </c>
      <c r="C14094" s="3" t="inlineStr">
        <is>
          <t>Expenses</t>
        </is>
      </c>
      <c r="D14094" s="3" t="inlineStr">
        <is>
          <t>3050/300</t>
        </is>
      </c>
      <c r="E14094" s="3" t="inlineStr">
        <is>
          <t>Advertising - Design</t>
        </is>
      </c>
      <c r="F14094" s="3" t="n">
        <v>0</v>
      </c>
      <c r="G14094" s="3" t="n">
        <v>4050</v>
      </c>
    </row>
    <row r="14095">
      <c r="A14095" s="3" t="inlineStr">
        <is>
          <t>Quinate Consulting (Pty) Ltd</t>
        </is>
      </c>
      <c r="B14095" s="4" t="n">
        <v>45077</v>
      </c>
      <c r="C14095" s="3" t="inlineStr">
        <is>
          <t>Expenses</t>
        </is>
      </c>
      <c r="D14095" s="3" t="inlineStr">
        <is>
          <t>3050/400</t>
        </is>
      </c>
      <c r="E14095" s="3" t="inlineStr">
        <is>
          <t>Advertising - Prop24</t>
        </is>
      </c>
      <c r="F14095" s="3" t="n">
        <v>12801.27</v>
      </c>
      <c r="G14095" s="3" t="n">
        <v>34808.02</v>
      </c>
    </row>
    <row r="14096">
      <c r="A14096" s="3" t="inlineStr">
        <is>
          <t>Quinate Consulting (Pty) Ltd</t>
        </is>
      </c>
      <c r="B14096" s="4" t="n">
        <v>45077</v>
      </c>
      <c r="C14096" s="3" t="inlineStr">
        <is>
          <t>Expenses</t>
        </is>
      </c>
      <c r="D14096" s="3" t="inlineStr">
        <is>
          <t>3050/450</t>
        </is>
      </c>
      <c r="E14096" s="3" t="inlineStr">
        <is>
          <t>Advertising - Facebook</t>
        </is>
      </c>
      <c r="F14096" s="3" t="n">
        <v>8599.059999999999</v>
      </c>
      <c r="G14096" s="3" t="n">
        <v>27913.19</v>
      </c>
    </row>
    <row r="14097">
      <c r="A14097" s="3" t="inlineStr">
        <is>
          <t>Opportunity Global Investment (PTY) LTD</t>
        </is>
      </c>
      <c r="B14097" s="4" t="n">
        <v>45077</v>
      </c>
      <c r="C14097" s="3" t="inlineStr">
        <is>
          <t>Expenses</t>
        </is>
      </c>
      <c r="D14097" s="3" t="inlineStr">
        <is>
          <t>3051/000</t>
        </is>
      </c>
      <c r="E14097" s="3" t="inlineStr">
        <is>
          <t>Advertising - Facebook</t>
        </is>
      </c>
      <c r="F14097" s="3" t="n">
        <v>17327.81</v>
      </c>
      <c r="G14097" s="3" t="n">
        <v>49784.32</v>
      </c>
    </row>
    <row r="14098">
      <c r="A14098" s="3" t="inlineStr">
        <is>
          <t>Opportunity Management Holdings (PTY) LTD</t>
        </is>
      </c>
      <c r="B14098" s="4" t="n">
        <v>45077</v>
      </c>
      <c r="C14098" s="3" t="inlineStr">
        <is>
          <t>Expenses</t>
        </is>
      </c>
      <c r="D14098" s="3" t="inlineStr">
        <is>
          <t>3052/000</t>
        </is>
      </c>
      <c r="E14098" s="3" t="inlineStr">
        <is>
          <t>Advertsing _AND_ Marketing - Website</t>
        </is>
      </c>
      <c r="F14098" s="3" t="n">
        <v>287.5</v>
      </c>
      <c r="G14098" s="3" t="n">
        <v>287.5</v>
      </c>
    </row>
    <row r="14099">
      <c r="A14099" s="3" t="inlineStr">
        <is>
          <t>Opportunity Global Investment (PTY) LTD</t>
        </is>
      </c>
      <c r="B14099" s="4" t="n">
        <v>45077</v>
      </c>
      <c r="C14099" s="3" t="inlineStr">
        <is>
          <t>Expenses</t>
        </is>
      </c>
      <c r="D14099" s="3" t="inlineStr">
        <is>
          <t>3053/000</t>
        </is>
      </c>
      <c r="E14099" s="3" t="inlineStr">
        <is>
          <t>Advertising - Google Ads</t>
        </is>
      </c>
      <c r="F14099" s="3" t="n">
        <v>653.66</v>
      </c>
      <c r="G14099" s="3" t="n">
        <v>3509.76</v>
      </c>
    </row>
    <row r="14100">
      <c r="A14100" s="3" t="inlineStr">
        <is>
          <t>Endulini (Pty) Ltd</t>
        </is>
      </c>
      <c r="B14100" s="4" t="n">
        <v>45077</v>
      </c>
      <c r="C14100" s="3" t="inlineStr">
        <is>
          <t>Expenses</t>
        </is>
      </c>
      <c r="D14100" s="3" t="inlineStr">
        <is>
          <t>3200/000</t>
        </is>
      </c>
      <c r="E14100" s="3" t="inlineStr">
        <is>
          <t>Bank Charges</t>
        </is>
      </c>
      <c r="F14100" s="3" t="n">
        <v>246.22</v>
      </c>
      <c r="G14100" s="3" t="n">
        <v>598.27</v>
      </c>
    </row>
    <row r="14101">
      <c r="A14101" s="3" t="inlineStr">
        <is>
          <t>Noble Shield (Pty) Ltd ta Go Letting</t>
        </is>
      </c>
      <c r="B14101" s="4" t="n">
        <v>45077</v>
      </c>
      <c r="C14101" s="3" t="inlineStr">
        <is>
          <t>Expenses</t>
        </is>
      </c>
      <c r="D14101" s="3" t="inlineStr">
        <is>
          <t>3200/000</t>
        </is>
      </c>
      <c r="E14101" s="3" t="inlineStr">
        <is>
          <t>Bank Charges</t>
        </is>
      </c>
      <c r="F14101" s="3" t="n">
        <v>523.52</v>
      </c>
      <c r="G14101" s="3" t="n">
        <v>5921.01</v>
      </c>
    </row>
    <row r="14102">
      <c r="A14102" s="3" t="inlineStr">
        <is>
          <t>Opportunity Global Investment (PTY) LTD</t>
        </is>
      </c>
      <c r="B14102" s="4" t="n">
        <v>45077</v>
      </c>
      <c r="C14102" s="3" t="inlineStr">
        <is>
          <t>Expenses</t>
        </is>
      </c>
      <c r="D14102" s="3" t="inlineStr">
        <is>
          <t>3200/000</t>
        </is>
      </c>
      <c r="E14102" s="3" t="inlineStr">
        <is>
          <t>Bank Charges</t>
        </is>
      </c>
      <c r="F14102" s="3" t="n">
        <v>458.84</v>
      </c>
      <c r="G14102" s="3" t="n">
        <v>1341.85</v>
      </c>
    </row>
    <row r="14103">
      <c r="A14103" s="3" t="inlineStr">
        <is>
          <t>Opportunity Global Sales (PTY) LTD</t>
        </is>
      </c>
      <c r="B14103" s="4" t="n">
        <v>45077</v>
      </c>
      <c r="C14103" s="3" t="inlineStr">
        <is>
          <t>Expenses</t>
        </is>
      </c>
      <c r="D14103" s="3" t="inlineStr">
        <is>
          <t>3200/000</t>
        </is>
      </c>
      <c r="E14103" s="3" t="inlineStr">
        <is>
          <t>Bank Charges</t>
        </is>
      </c>
      <c r="F14103" s="3" t="n">
        <v>471.36</v>
      </c>
      <c r="G14103" s="3" t="n">
        <v>1338.75</v>
      </c>
    </row>
    <row r="14104">
      <c r="A14104" s="3" t="inlineStr">
        <is>
          <t>Opportunity Management Holdings (PTY) LTD</t>
        </is>
      </c>
      <c r="B14104" s="4" t="n">
        <v>45077</v>
      </c>
      <c r="C14104" s="3" t="inlineStr">
        <is>
          <t>Expenses</t>
        </is>
      </c>
      <c r="D14104" s="3" t="inlineStr">
        <is>
          <t>3200/000</t>
        </is>
      </c>
      <c r="E14104" s="3" t="inlineStr">
        <is>
          <t>Bank Charges</t>
        </is>
      </c>
      <c r="F14104" s="3" t="n">
        <v>765.51</v>
      </c>
      <c r="G14104" s="3" t="n">
        <v>6917.88</v>
      </c>
    </row>
    <row r="14105">
      <c r="A14105" s="3" t="inlineStr">
        <is>
          <t>Quinate Consulting (Pty) Ltd</t>
        </is>
      </c>
      <c r="B14105" s="4" t="n">
        <v>45077</v>
      </c>
      <c r="C14105" s="3" t="inlineStr">
        <is>
          <t>Expenses</t>
        </is>
      </c>
      <c r="D14105" s="3" t="inlineStr">
        <is>
          <t>3200/000</t>
        </is>
      </c>
      <c r="E14105" s="3" t="inlineStr">
        <is>
          <t>Bank Charges</t>
        </is>
      </c>
      <c r="F14105" s="3" t="n">
        <v>613.8200000000001</v>
      </c>
      <c r="G14105" s="3" t="n">
        <v>2851.77</v>
      </c>
    </row>
    <row r="14106">
      <c r="A14106" s="3" t="inlineStr">
        <is>
          <t>Trademark Holdings (Pty) Ltd</t>
        </is>
      </c>
      <c r="B14106" s="4" t="n">
        <v>45077</v>
      </c>
      <c r="C14106" s="3" t="inlineStr">
        <is>
          <t>Expenses</t>
        </is>
      </c>
      <c r="D14106" s="3" t="inlineStr">
        <is>
          <t>3200/000</t>
        </is>
      </c>
      <c r="E14106" s="3" t="inlineStr">
        <is>
          <t>Bank Charges</t>
        </is>
      </c>
      <c r="F14106" s="3" t="n">
        <v>285.36</v>
      </c>
      <c r="G14106" s="3" t="n">
        <v>3360.84</v>
      </c>
    </row>
    <row r="14107">
      <c r="A14107" s="3" t="inlineStr">
        <is>
          <t>Quinate Consulting (Pty) Ltd</t>
        </is>
      </c>
      <c r="B14107" s="4" t="n">
        <v>45077</v>
      </c>
      <c r="C14107" s="3" t="inlineStr">
        <is>
          <t>Expenses</t>
        </is>
      </c>
      <c r="D14107" s="3" t="inlineStr">
        <is>
          <t>3220/000</t>
        </is>
      </c>
      <c r="E14107" s="3" t="inlineStr">
        <is>
          <t>Bank Charges - Bond Fees</t>
        </is>
      </c>
      <c r="F14107" s="3" t="n">
        <v>1043.5</v>
      </c>
      <c r="G14107" s="3" t="n">
        <v>3278.32</v>
      </c>
    </row>
    <row r="14108">
      <c r="A14108" s="3" t="inlineStr">
        <is>
          <t>Noble Shield (Pty) Ltd ta Go Letting</t>
        </is>
      </c>
      <c r="B14108" s="4" t="n">
        <v>45077</v>
      </c>
      <c r="C14108" s="3" t="inlineStr">
        <is>
          <t>Expenses</t>
        </is>
      </c>
      <c r="D14108" s="3" t="inlineStr">
        <is>
          <t>3230/000</t>
        </is>
      </c>
      <c r="E14108" s="3" t="inlineStr">
        <is>
          <t>Cell Phone - NM</t>
        </is>
      </c>
      <c r="F14108" s="3" t="n">
        <v>2260.24</v>
      </c>
      <c r="G14108" s="3" t="n">
        <v>20187.06</v>
      </c>
    </row>
    <row r="14109">
      <c r="A14109" s="3" t="inlineStr">
        <is>
          <t>Noble Shield (Pty) Ltd ta Go Letting</t>
        </is>
      </c>
      <c r="B14109" s="4" t="n">
        <v>45077</v>
      </c>
      <c r="C14109" s="3" t="inlineStr">
        <is>
          <t>Expenses</t>
        </is>
      </c>
      <c r="D14109" s="3" t="inlineStr">
        <is>
          <t>3233/000</t>
        </is>
      </c>
      <c r="E14109" s="3" t="inlineStr">
        <is>
          <t>Cell Data - Other</t>
        </is>
      </c>
      <c r="F14109" s="3" t="n">
        <v>199</v>
      </c>
      <c r="G14109" s="3" t="n">
        <v>1791</v>
      </c>
    </row>
    <row r="14110">
      <c r="A14110" s="3" t="inlineStr">
        <is>
          <t>Noble Shield (Pty) Ltd ta Go Letting</t>
        </is>
      </c>
      <c r="B14110" s="4" t="n">
        <v>45077</v>
      </c>
      <c r="C14110" s="3" t="inlineStr">
        <is>
          <t>Expenses</t>
        </is>
      </c>
      <c r="D14110" s="3" t="inlineStr">
        <is>
          <t>3233/100</t>
        </is>
      </c>
      <c r="E14110" s="3" t="inlineStr">
        <is>
          <t>Cell Data - Sales office Wifi</t>
        </is>
      </c>
      <c r="F14110" s="3" t="n">
        <v>385</v>
      </c>
      <c r="G14110" s="3" t="n">
        <v>3353</v>
      </c>
    </row>
    <row r="14111">
      <c r="A14111" s="3" t="inlineStr">
        <is>
          <t>Noble Shield (Pty) Ltd ta Go Letting</t>
        </is>
      </c>
      <c r="B14111" s="4" t="n">
        <v>45077</v>
      </c>
      <c r="C14111" s="3" t="inlineStr">
        <is>
          <t>Expenses</t>
        </is>
      </c>
      <c r="D14111" s="3" t="inlineStr">
        <is>
          <t>3250/000</t>
        </is>
      </c>
      <c r="E14111" s="3" t="inlineStr">
        <is>
          <t>Cleaning</t>
        </is>
      </c>
      <c r="F14111" s="3" t="n">
        <v>0</v>
      </c>
      <c r="G14111" s="3" t="n">
        <v>289.4</v>
      </c>
    </row>
    <row r="14112">
      <c r="A14112" s="3" t="inlineStr">
        <is>
          <t>Opportunity Global Investment (PTY) LTD</t>
        </is>
      </c>
      <c r="B14112" s="4" t="n">
        <v>45077</v>
      </c>
      <c r="C14112" s="3" t="inlineStr">
        <is>
          <t>Expenses</t>
        </is>
      </c>
      <c r="D14112" s="3" t="inlineStr">
        <is>
          <t>3250/000</t>
        </is>
      </c>
      <c r="E14112" s="3" t="inlineStr">
        <is>
          <t>Cleaning</t>
        </is>
      </c>
      <c r="F14112" s="3" t="n">
        <v>2700</v>
      </c>
      <c r="G14112" s="3" t="n">
        <v>8100</v>
      </c>
    </row>
    <row r="14113">
      <c r="A14113" s="3" t="inlineStr">
        <is>
          <t>Opportunity Management Holdings (PTY) LTD</t>
        </is>
      </c>
      <c r="B14113" s="4" t="n">
        <v>45077</v>
      </c>
      <c r="C14113" s="3" t="inlineStr">
        <is>
          <t>Expenses</t>
        </is>
      </c>
      <c r="D14113" s="3" t="inlineStr">
        <is>
          <t>3250/000</t>
        </is>
      </c>
      <c r="E14113" s="3" t="inlineStr">
        <is>
          <t>Cleaning</t>
        </is>
      </c>
      <c r="F14113" s="3" t="n">
        <v>3075.62</v>
      </c>
      <c r="G14113" s="3" t="n">
        <v>20338.07</v>
      </c>
    </row>
    <row r="14114">
      <c r="A14114" s="3" t="inlineStr">
        <is>
          <t>Trademark Holdings (Pty) Ltd</t>
        </is>
      </c>
      <c r="B14114" s="4" t="n">
        <v>45077</v>
      </c>
      <c r="C14114" s="3" t="inlineStr">
        <is>
          <t>Expenses</t>
        </is>
      </c>
      <c r="D14114" s="3" t="inlineStr">
        <is>
          <t>3250/000</t>
        </is>
      </c>
      <c r="E14114" s="3" t="inlineStr">
        <is>
          <t>Cleaning</t>
        </is>
      </c>
      <c r="F14114" s="3" t="n">
        <v>1144</v>
      </c>
      <c r="G14114" s="3" t="n">
        <v>8580</v>
      </c>
    </row>
    <row r="14115">
      <c r="A14115" s="3" t="inlineStr">
        <is>
          <t>Noble Shield (Pty) Ltd ta Go Letting</t>
        </is>
      </c>
      <c r="B14115" s="4" t="n">
        <v>45077</v>
      </c>
      <c r="C14115" s="3" t="inlineStr">
        <is>
          <t>Expenses</t>
        </is>
      </c>
      <c r="D14115" s="3" t="inlineStr">
        <is>
          <t>3300/000</t>
        </is>
      </c>
      <c r="E14115" s="3" t="inlineStr">
        <is>
          <t>Computer Expenses</t>
        </is>
      </c>
      <c r="F14115" s="3" t="n">
        <v>0</v>
      </c>
      <c r="G14115" s="3" t="n">
        <v>1300</v>
      </c>
    </row>
    <row r="14116">
      <c r="A14116" s="3" t="inlineStr">
        <is>
          <t>Opportunity Global Investment (PTY) LTD</t>
        </is>
      </c>
      <c r="B14116" s="4" t="n">
        <v>45077</v>
      </c>
      <c r="C14116" s="3" t="inlineStr">
        <is>
          <t>Expenses</t>
        </is>
      </c>
      <c r="D14116" s="3" t="inlineStr">
        <is>
          <t>3300/000</t>
        </is>
      </c>
      <c r="E14116" s="3" t="inlineStr">
        <is>
          <t>Computer Expenses</t>
        </is>
      </c>
      <c r="F14116" s="3" t="n">
        <v>1350</v>
      </c>
      <c r="G14116" s="3" t="n">
        <v>1350</v>
      </c>
    </row>
    <row r="14117">
      <c r="A14117" s="3" t="inlineStr">
        <is>
          <t>Opportunity Management Holdings (PTY) LTD</t>
        </is>
      </c>
      <c r="B14117" s="4" t="n">
        <v>45077</v>
      </c>
      <c r="C14117" s="3" t="inlineStr">
        <is>
          <t>Expenses</t>
        </is>
      </c>
      <c r="D14117" s="3" t="inlineStr">
        <is>
          <t>3300/000</t>
        </is>
      </c>
      <c r="E14117" s="3" t="inlineStr">
        <is>
          <t>Computer Expenses</t>
        </is>
      </c>
      <c r="F14117" s="3" t="n">
        <v>1190.52</v>
      </c>
      <c r="G14117" s="3" t="n">
        <v>7281.91</v>
      </c>
    </row>
    <row r="14118">
      <c r="A14118" s="3" t="inlineStr">
        <is>
          <t>Noble Shield (Pty) Ltd ta Go Letting</t>
        </is>
      </c>
      <c r="B14118" s="4" t="n">
        <v>45077</v>
      </c>
      <c r="C14118" s="3" t="inlineStr">
        <is>
          <t>Expenses</t>
        </is>
      </c>
      <c r="D14118" s="3" t="inlineStr">
        <is>
          <t>3300/120</t>
        </is>
      </c>
      <c r="E14118" s="3" t="inlineStr">
        <is>
          <t>Computer IT - Software Propworx</t>
        </is>
      </c>
      <c r="F14118" s="3" t="n">
        <v>2167.75</v>
      </c>
      <c r="G14118" s="3" t="n">
        <v>19429.25</v>
      </c>
    </row>
    <row r="14119">
      <c r="A14119" s="3" t="inlineStr">
        <is>
          <t>Trademark Holdings (Pty) Ltd</t>
        </is>
      </c>
      <c r="B14119" s="4" t="n">
        <v>45077</v>
      </c>
      <c r="C14119" s="3" t="inlineStr">
        <is>
          <t>Expenses</t>
        </is>
      </c>
      <c r="D14119" s="3" t="inlineStr">
        <is>
          <t>3300/130</t>
        </is>
      </c>
      <c r="E14119" s="3" t="inlineStr">
        <is>
          <t>Computer IT - Internet/Hosting Fees</t>
        </is>
      </c>
      <c r="F14119" s="3" t="n">
        <v>0</v>
      </c>
      <c r="G14119" s="3" t="n">
        <v>-3599.5</v>
      </c>
    </row>
    <row r="14120">
      <c r="A14120" s="3" t="inlineStr">
        <is>
          <t>Opportunity Management Holdings (PTY) LTD</t>
        </is>
      </c>
      <c r="B14120" s="4" t="n">
        <v>45077</v>
      </c>
      <c r="C14120" s="3" t="inlineStr">
        <is>
          <t>Expenses</t>
        </is>
      </c>
      <c r="D14120" s="3" t="inlineStr">
        <is>
          <t>3300/140</t>
        </is>
      </c>
      <c r="E14120" s="3" t="inlineStr">
        <is>
          <t>Computer IT</t>
        </is>
      </c>
      <c r="F14120" s="3" t="n">
        <v>0</v>
      </c>
      <c r="G14120" s="3" t="n">
        <v>22364.04</v>
      </c>
    </row>
    <row r="14121">
      <c r="A14121" s="3" t="inlineStr">
        <is>
          <t>Trademark Holdings (Pty) Ltd</t>
        </is>
      </c>
      <c r="B14121" s="4" t="n">
        <v>45077</v>
      </c>
      <c r="C14121" s="3" t="inlineStr">
        <is>
          <t>Expenses</t>
        </is>
      </c>
      <c r="D14121" s="3" t="inlineStr">
        <is>
          <t>3300/145</t>
        </is>
      </c>
      <c r="E14121" s="3" t="inlineStr">
        <is>
          <t>Computer IT - Cloud Solve</t>
        </is>
      </c>
      <c r="F14121" s="3" t="n">
        <v>0</v>
      </c>
      <c r="G14121" s="3" t="n">
        <v>6313.5</v>
      </c>
    </row>
    <row r="14122">
      <c r="A14122" s="3" t="inlineStr">
        <is>
          <t>Noble Shield (Pty) Ltd ta Go Letting</t>
        </is>
      </c>
      <c r="B14122" s="4" t="n">
        <v>45077</v>
      </c>
      <c r="C14122" s="3" t="inlineStr">
        <is>
          <t>Expenses</t>
        </is>
      </c>
      <c r="D14122" s="3" t="inlineStr">
        <is>
          <t>3300/170</t>
        </is>
      </c>
      <c r="E14122" s="3" t="inlineStr">
        <is>
          <t>Computer IT - VDB office Fibre</t>
        </is>
      </c>
      <c r="F14122" s="3" t="n">
        <v>790</v>
      </c>
      <c r="G14122" s="3" t="n">
        <v>7110</v>
      </c>
    </row>
    <row r="14123">
      <c r="A14123" s="3" t="inlineStr">
        <is>
          <t>Trademark Holdings (Pty) Ltd</t>
        </is>
      </c>
      <c r="B14123" s="4" t="n">
        <v>45077</v>
      </c>
      <c r="C14123" s="3" t="inlineStr">
        <is>
          <t>Expenses</t>
        </is>
      </c>
      <c r="D14123" s="3" t="inlineStr">
        <is>
          <t>3350/000</t>
        </is>
      </c>
      <c r="E14123" s="3" t="inlineStr">
        <is>
          <t>Consulting Fees</t>
        </is>
      </c>
      <c r="F14123" s="3" t="n">
        <v>22200</v>
      </c>
      <c r="G14123" s="3" t="n">
        <v>234600</v>
      </c>
    </row>
    <row r="14124">
      <c r="A14124" s="3" t="inlineStr">
        <is>
          <t>Opportunity Management Holdings (PTY) LTD</t>
        </is>
      </c>
      <c r="B14124" s="4" t="n">
        <v>45077</v>
      </c>
      <c r="C14124" s="3" t="inlineStr">
        <is>
          <t>Expenses</t>
        </is>
      </c>
      <c r="D14124" s="3" t="inlineStr">
        <is>
          <t>3350/100</t>
        </is>
      </c>
      <c r="E14124" s="3" t="inlineStr">
        <is>
          <t>Consulting Fee - Dirk Coetzee</t>
        </is>
      </c>
      <c r="F14124" s="3" t="n">
        <v>17000</v>
      </c>
      <c r="G14124" s="3" t="n">
        <v>75000</v>
      </c>
    </row>
    <row r="14125">
      <c r="A14125" s="3" t="inlineStr">
        <is>
          <t>Endulini (Pty) Ltd</t>
        </is>
      </c>
      <c r="B14125" s="4" t="n">
        <v>45077</v>
      </c>
      <c r="C14125" s="3" t="inlineStr">
        <is>
          <t>Expenses</t>
        </is>
      </c>
      <c r="D14125" s="3" t="inlineStr">
        <is>
          <t>3350/100</t>
        </is>
      </c>
      <c r="E14125" s="3" t="inlineStr">
        <is>
          <t>Consulting Fees - Admin and Finance</t>
        </is>
      </c>
      <c r="F14125" s="3" t="n">
        <v>39975</v>
      </c>
      <c r="G14125" s="3" t="n">
        <v>150897.57</v>
      </c>
    </row>
    <row r="14126">
      <c r="A14126" s="3" t="inlineStr">
        <is>
          <t>Opportunity Global Investment (PTY) LTD</t>
        </is>
      </c>
      <c r="B14126" s="4" t="n">
        <v>45077</v>
      </c>
      <c r="C14126" s="3" t="inlineStr">
        <is>
          <t>Expenses</t>
        </is>
      </c>
      <c r="D14126" s="3" t="inlineStr">
        <is>
          <t>3350/100</t>
        </is>
      </c>
      <c r="E14126" s="3" t="inlineStr">
        <is>
          <t>Consulting Fees - Admin and Finance</t>
        </is>
      </c>
      <c r="F14126" s="3" t="n">
        <v>13230</v>
      </c>
      <c r="G14126" s="3" t="n">
        <v>57073.8</v>
      </c>
    </row>
    <row r="14127">
      <c r="A14127" s="3" t="inlineStr">
        <is>
          <t>Opportunity Global Sales (PTY) LTD</t>
        </is>
      </c>
      <c r="B14127" s="4" t="n">
        <v>45077</v>
      </c>
      <c r="C14127" s="3" t="inlineStr">
        <is>
          <t>Expenses</t>
        </is>
      </c>
      <c r="D14127" s="3" t="inlineStr">
        <is>
          <t>3350/100</t>
        </is>
      </c>
      <c r="E14127" s="3" t="inlineStr">
        <is>
          <t>Consulting Fees - Admin and Finance</t>
        </is>
      </c>
      <c r="F14127" s="3" t="n">
        <v>15030</v>
      </c>
      <c r="G14127" s="3" t="n">
        <v>45082.5</v>
      </c>
    </row>
    <row r="14128">
      <c r="A14128" s="3" t="inlineStr">
        <is>
          <t>Opportunity Management Holdings (PTY) LTD</t>
        </is>
      </c>
      <c r="B14128" s="4" t="n">
        <v>45077</v>
      </c>
      <c r="C14128" s="3" t="inlineStr">
        <is>
          <t>Expenses</t>
        </is>
      </c>
      <c r="D14128" s="3" t="inlineStr">
        <is>
          <t>3350/200</t>
        </is>
      </c>
      <c r="E14128" s="3" t="inlineStr">
        <is>
          <t>Consulting Fee - Staff recruitment</t>
        </is>
      </c>
      <c r="F14128" s="3" t="n">
        <v>0</v>
      </c>
      <c r="G14128" s="3" t="n">
        <v>18240</v>
      </c>
    </row>
    <row r="14129">
      <c r="A14129" s="3" t="inlineStr">
        <is>
          <t>Opportunity Global Sales (PTY) LTD</t>
        </is>
      </c>
      <c r="B14129" s="4" t="n">
        <v>45077</v>
      </c>
      <c r="C14129" s="3" t="inlineStr">
        <is>
          <t>Expenses</t>
        </is>
      </c>
      <c r="D14129" s="3" t="inlineStr">
        <is>
          <t>3350/200</t>
        </is>
      </c>
      <c r="E14129" s="3" t="inlineStr">
        <is>
          <t>Consulting Fees - Agent Karien Muller</t>
        </is>
      </c>
      <c r="F14129" s="3" t="n">
        <v>0</v>
      </c>
      <c r="G14129" s="3" t="n">
        <v>10000</v>
      </c>
    </row>
    <row r="14130">
      <c r="A14130" s="3" t="inlineStr">
        <is>
          <t>Opportunity Global Investment (PTY) LTD</t>
        </is>
      </c>
      <c r="B14130" s="4" t="n">
        <v>45077</v>
      </c>
      <c r="C14130" s="3" t="inlineStr">
        <is>
          <t>Expenses</t>
        </is>
      </c>
      <c r="D14130" s="3" t="inlineStr">
        <is>
          <t>3350/200</t>
        </is>
      </c>
      <c r="E14130" s="3" t="inlineStr">
        <is>
          <t>Consulting Fees - Rockfin</t>
        </is>
      </c>
      <c r="F14130" s="3" t="n">
        <v>10000</v>
      </c>
      <c r="G14130" s="3" t="n">
        <v>30000</v>
      </c>
    </row>
    <row r="14131">
      <c r="A14131" s="3" t="inlineStr">
        <is>
          <t>Opportunity Management Holdings (PTY) LTD</t>
        </is>
      </c>
      <c r="B14131" s="4" t="n">
        <v>45077</v>
      </c>
      <c r="C14131" s="3" t="inlineStr">
        <is>
          <t>Expenses</t>
        </is>
      </c>
      <c r="D14131" s="3" t="inlineStr">
        <is>
          <t>3350/300</t>
        </is>
      </c>
      <c r="E14131" s="3" t="inlineStr">
        <is>
          <t>Consulting Fee - HR Joblaw</t>
        </is>
      </c>
      <c r="F14131" s="3" t="n">
        <v>1455.3</v>
      </c>
      <c r="G14131" s="3" t="n">
        <v>4365.9</v>
      </c>
    </row>
    <row r="14132">
      <c r="A14132" s="3" t="inlineStr">
        <is>
          <t>Quinate Consulting (Pty) Ltd</t>
        </is>
      </c>
      <c r="B14132" s="4" t="n">
        <v>45077</v>
      </c>
      <c r="C14132" s="3" t="inlineStr">
        <is>
          <t>Expenses</t>
        </is>
      </c>
      <c r="D14132" s="3" t="inlineStr">
        <is>
          <t>3350/300</t>
        </is>
      </c>
      <c r="E14132" s="3" t="inlineStr">
        <is>
          <t>Consulting Fees - Admin and Finance</t>
        </is>
      </c>
      <c r="F14132" s="3" t="n">
        <v>2100</v>
      </c>
      <c r="G14132" s="3" t="n">
        <v>6200</v>
      </c>
    </row>
    <row r="14133">
      <c r="A14133" s="3" t="inlineStr">
        <is>
          <t>Quinate Consulting (Pty) Ltd</t>
        </is>
      </c>
      <c r="B14133" s="4" t="n">
        <v>45077</v>
      </c>
      <c r="C14133" s="3" t="inlineStr">
        <is>
          <t>Expenses</t>
        </is>
      </c>
      <c r="D14133" s="3" t="inlineStr">
        <is>
          <t>3351/000</t>
        </is>
      </c>
      <c r="E14133" s="3" t="inlineStr">
        <is>
          <t>Consulting fees - Trustees</t>
        </is>
      </c>
      <c r="F14133" s="3" t="n">
        <v>8200</v>
      </c>
      <c r="G14133" s="3" t="n">
        <v>24400</v>
      </c>
    </row>
    <row r="14134">
      <c r="A14134" s="3" t="inlineStr">
        <is>
          <t>Quinate Consulting (Pty) Ltd</t>
        </is>
      </c>
      <c r="B14134" s="4" t="n">
        <v>45077</v>
      </c>
      <c r="C14134" s="3" t="inlineStr">
        <is>
          <t>Expenses</t>
        </is>
      </c>
      <c r="D14134" s="3" t="inlineStr">
        <is>
          <t>3450/001</t>
        </is>
      </c>
      <c r="E14134" s="3" t="inlineStr">
        <is>
          <t>Depreciation - Computer Equipment</t>
        </is>
      </c>
      <c r="F14134" s="3" t="n">
        <v>2331.66</v>
      </c>
      <c r="G14134" s="3" t="n">
        <v>6994.98</v>
      </c>
    </row>
    <row r="14135">
      <c r="A14135" s="3" t="inlineStr">
        <is>
          <t>Opportunity Global Investment (PTY) LTD</t>
        </is>
      </c>
      <c r="B14135" s="4" t="n">
        <v>45077</v>
      </c>
      <c r="C14135" s="3" t="inlineStr">
        <is>
          <t>Expenses</t>
        </is>
      </c>
      <c r="D14135" s="3" t="inlineStr">
        <is>
          <t>3450/001</t>
        </is>
      </c>
      <c r="E14135" s="3" t="inlineStr">
        <is>
          <t>Depreciation - Computer equipment</t>
        </is>
      </c>
      <c r="F14135" s="3" t="n">
        <v>880.1</v>
      </c>
      <c r="G14135" s="3" t="n">
        <v>2640.26</v>
      </c>
    </row>
    <row r="14136">
      <c r="A14136" s="3" t="inlineStr">
        <is>
          <t>Quinate Consulting (Pty) Ltd</t>
        </is>
      </c>
      <c r="B14136" s="4" t="n">
        <v>45077</v>
      </c>
      <c r="C14136" s="3" t="inlineStr">
        <is>
          <t>Expenses</t>
        </is>
      </c>
      <c r="D14136" s="3" t="inlineStr">
        <is>
          <t>3450/002</t>
        </is>
      </c>
      <c r="E14136" s="3" t="inlineStr">
        <is>
          <t>Depreciation - Site Containers</t>
        </is>
      </c>
      <c r="F14136" s="3" t="n">
        <v>318.84</v>
      </c>
      <c r="G14136" s="3" t="n">
        <v>956.52</v>
      </c>
    </row>
    <row r="14137">
      <c r="A14137" s="3" t="inlineStr">
        <is>
          <t>Opportunity Global Sales (PTY) LTD</t>
        </is>
      </c>
      <c r="B14137" s="4" t="n">
        <v>45077</v>
      </c>
      <c r="C14137" s="3" t="inlineStr">
        <is>
          <t>Expenses</t>
        </is>
      </c>
      <c r="D14137" s="3" t="inlineStr">
        <is>
          <t>3450/030</t>
        </is>
      </c>
      <c r="E14137" s="3" t="inlineStr">
        <is>
          <t>Depreciation - Furniture and Fittings</t>
        </is>
      </c>
      <c r="F14137" s="3" t="n">
        <v>408.05</v>
      </c>
      <c r="G14137" s="3" t="n">
        <v>1224.15</v>
      </c>
    </row>
    <row r="14138">
      <c r="A14138" s="3" t="inlineStr">
        <is>
          <t>Opportunity Management Holdings (PTY) LTD</t>
        </is>
      </c>
      <c r="B14138" s="4" t="n">
        <v>45077</v>
      </c>
      <c r="C14138" s="3" t="inlineStr">
        <is>
          <t>Expenses</t>
        </is>
      </c>
      <c r="D14138" s="3" t="inlineStr">
        <is>
          <t>3451/000</t>
        </is>
      </c>
      <c r="E14138" s="3" t="inlineStr">
        <is>
          <t>Depreciation - Computer Equipment</t>
        </is>
      </c>
      <c r="F14138" s="3" t="n">
        <v>1035.19</v>
      </c>
      <c r="G14138" s="3" t="n">
        <v>7483.29</v>
      </c>
    </row>
    <row r="14139">
      <c r="A14139" s="3" t="inlineStr">
        <is>
          <t>Quinate Consulting (Pty) Ltd</t>
        </is>
      </c>
      <c r="B14139" s="4" t="n">
        <v>45077</v>
      </c>
      <c r="C14139" s="3" t="inlineStr">
        <is>
          <t>Expenses</t>
        </is>
      </c>
      <c r="D14139" s="3" t="inlineStr">
        <is>
          <t>3600/000</t>
        </is>
      </c>
      <c r="E14139" s="3" t="inlineStr">
        <is>
          <t>Donations</t>
        </is>
      </c>
      <c r="F14139" s="3" t="n">
        <v>572.45</v>
      </c>
      <c r="G14139" s="3" t="n">
        <v>1717.35</v>
      </c>
    </row>
    <row r="14140">
      <c r="A14140" s="3" t="inlineStr">
        <is>
          <t>Noble Shield (Pty) Ltd ta Go Letting</t>
        </is>
      </c>
      <c r="B14140" s="4" t="n">
        <v>45077</v>
      </c>
      <c r="C14140" s="3" t="inlineStr">
        <is>
          <t>Expenses</t>
        </is>
      </c>
      <c r="D14140" s="3" t="inlineStr">
        <is>
          <t>3650/000</t>
        </is>
      </c>
      <c r="E14140" s="3" t="inlineStr">
        <is>
          <t>Electricity _AND_ Water</t>
        </is>
      </c>
      <c r="F14140" s="3" t="n">
        <v>0</v>
      </c>
      <c r="G14140" s="3" t="n">
        <v>3400</v>
      </c>
    </row>
    <row r="14141">
      <c r="A14141" s="3" t="inlineStr">
        <is>
          <t>Opportunity Global Investment (PTY) LTD</t>
        </is>
      </c>
      <c r="B14141" s="4" t="n">
        <v>45077</v>
      </c>
      <c r="C14141" s="3" t="inlineStr">
        <is>
          <t>Expenses</t>
        </is>
      </c>
      <c r="D14141" s="3" t="inlineStr">
        <is>
          <t>3650/000</t>
        </is>
      </c>
      <c r="E14141" s="3" t="inlineStr">
        <is>
          <t>Electricity _AND_ Water</t>
        </is>
      </c>
      <c r="F14141" s="3" t="n">
        <v>2950</v>
      </c>
      <c r="G14141" s="3" t="n">
        <v>8850</v>
      </c>
    </row>
    <row r="14142">
      <c r="A14142" s="3" t="inlineStr">
        <is>
          <t>Quinate Consulting (Pty) Ltd</t>
        </is>
      </c>
      <c r="B14142" s="4" t="n">
        <v>45077</v>
      </c>
      <c r="C14142" s="3" t="inlineStr">
        <is>
          <t>Expenses</t>
        </is>
      </c>
      <c r="D14142" s="3" t="inlineStr">
        <is>
          <t>3651/000</t>
        </is>
      </c>
      <c r="E14142" s="3" t="inlineStr">
        <is>
          <t>Electricity _AND_ Water - Southwark</t>
        </is>
      </c>
      <c r="F14142" s="3" t="n">
        <v>86307.53</v>
      </c>
      <c r="G14142" s="3" t="n">
        <v>89663.89</v>
      </c>
    </row>
    <row r="14143">
      <c r="A14143" s="3" t="inlineStr">
        <is>
          <t>Quinate Consulting (Pty) Ltd</t>
        </is>
      </c>
      <c r="B14143" s="4" t="n">
        <v>45077</v>
      </c>
      <c r="C14143" s="3" t="inlineStr">
        <is>
          <t>Expenses</t>
        </is>
      </c>
      <c r="D14143" s="3" t="inlineStr">
        <is>
          <t>3652/000</t>
        </is>
      </c>
      <c r="E14143" s="3" t="inlineStr">
        <is>
          <t>Electricity _AND_ Water - Soho</t>
        </is>
      </c>
      <c r="F14143" s="3" t="n">
        <v>23261.69</v>
      </c>
      <c r="G14143" s="3" t="n">
        <v>60726.16</v>
      </c>
    </row>
    <row r="14144">
      <c r="A14144" s="3" t="inlineStr">
        <is>
          <t>Noble Shield (Pty) Ltd ta Go Letting</t>
        </is>
      </c>
      <c r="B14144" s="4" t="n">
        <v>45077</v>
      </c>
      <c r="C14144" s="3" t="inlineStr">
        <is>
          <t>Expenses</t>
        </is>
      </c>
      <c r="D14144" s="3" t="inlineStr">
        <is>
          <t>3700/000</t>
        </is>
      </c>
      <c r="E14144" s="3" t="inlineStr">
        <is>
          <t>Entertainment Expenses</t>
        </is>
      </c>
      <c r="F14144" s="3" t="n">
        <v>0</v>
      </c>
      <c r="G14144" s="3" t="n">
        <v>1900</v>
      </c>
    </row>
    <row r="14145">
      <c r="A14145" s="3" t="inlineStr">
        <is>
          <t>Opportunity Global Investment (PTY) LTD</t>
        </is>
      </c>
      <c r="B14145" s="4" t="n">
        <v>45077</v>
      </c>
      <c r="C14145" s="3" t="inlineStr">
        <is>
          <t>Expenses</t>
        </is>
      </c>
      <c r="D14145" s="3" t="inlineStr">
        <is>
          <t>3700/000</t>
        </is>
      </c>
      <c r="E14145" s="3" t="inlineStr">
        <is>
          <t>Entertainment Expenses</t>
        </is>
      </c>
      <c r="F14145" s="3" t="n">
        <v>328.7</v>
      </c>
      <c r="G14145" s="3" t="n">
        <v>2039.57</v>
      </c>
    </row>
    <row r="14146">
      <c r="A14146" s="3" t="inlineStr">
        <is>
          <t>Opportunity Global Sales (PTY) LTD</t>
        </is>
      </c>
      <c r="B14146" s="4" t="n">
        <v>45077</v>
      </c>
      <c r="C14146" s="3" t="inlineStr">
        <is>
          <t>Expenses</t>
        </is>
      </c>
      <c r="D14146" s="3" t="inlineStr">
        <is>
          <t>3700/000</t>
        </is>
      </c>
      <c r="E14146" s="3" t="inlineStr">
        <is>
          <t>Entertainment Expenses</t>
        </is>
      </c>
      <c r="F14146" s="3" t="n">
        <v>400</v>
      </c>
      <c r="G14146" s="3" t="n">
        <v>1880</v>
      </c>
    </row>
    <row r="14147">
      <c r="A14147" s="3" t="inlineStr">
        <is>
          <t>Opportunity Management Holdings (PTY) LTD</t>
        </is>
      </c>
      <c r="B14147" s="4" t="n">
        <v>45077</v>
      </c>
      <c r="C14147" s="3" t="inlineStr">
        <is>
          <t>Expenses</t>
        </is>
      </c>
      <c r="D14147" s="3" t="inlineStr">
        <is>
          <t>3700/000</t>
        </is>
      </c>
      <c r="E14147" s="3" t="inlineStr">
        <is>
          <t>Entertainment Expenses</t>
        </is>
      </c>
      <c r="F14147" s="3" t="n">
        <v>156</v>
      </c>
      <c r="G14147" s="3" t="n">
        <v>1849.38</v>
      </c>
    </row>
    <row r="14148">
      <c r="A14148" s="3" t="inlineStr">
        <is>
          <t>Quinate Consulting (Pty) Ltd</t>
        </is>
      </c>
      <c r="B14148" s="4" t="n">
        <v>45077</v>
      </c>
      <c r="C14148" s="3" t="inlineStr">
        <is>
          <t>Expenses</t>
        </is>
      </c>
      <c r="D14148" s="3" t="inlineStr">
        <is>
          <t>3700/000</t>
        </is>
      </c>
      <c r="E14148" s="3" t="inlineStr">
        <is>
          <t>Entertainment Expenses</t>
        </is>
      </c>
      <c r="F14148" s="3" t="n">
        <v>1831.86</v>
      </c>
      <c r="G14148" s="3" t="n">
        <v>4541.21</v>
      </c>
    </row>
    <row r="14149">
      <c r="A14149" s="3" t="inlineStr">
        <is>
          <t>Opportunity Management Holdings (PTY) LTD</t>
        </is>
      </c>
      <c r="B14149" s="4" t="n">
        <v>45077</v>
      </c>
      <c r="C14149" s="3" t="inlineStr">
        <is>
          <t>Expenses</t>
        </is>
      </c>
      <c r="D14149" s="3" t="inlineStr">
        <is>
          <t>3800/000</t>
        </is>
      </c>
      <c r="E14149" s="3" t="inlineStr">
        <is>
          <t>General Expenses</t>
        </is>
      </c>
      <c r="F14149" s="3" t="n">
        <v>91.28</v>
      </c>
      <c r="G14149" s="3" t="n">
        <v>91.28</v>
      </c>
    </row>
    <row r="14150">
      <c r="A14150" s="3" t="inlineStr">
        <is>
          <t>Opportunity Management Holdings (PTY) LTD</t>
        </is>
      </c>
      <c r="B14150" s="4" t="n">
        <v>45077</v>
      </c>
      <c r="C14150" s="3" t="inlineStr">
        <is>
          <t>Expenses</t>
        </is>
      </c>
      <c r="D14150" s="3" t="inlineStr">
        <is>
          <t>3850/000</t>
        </is>
      </c>
      <c r="E14150" s="3" t="inlineStr">
        <is>
          <t>Insurance - Momentum</t>
        </is>
      </c>
      <c r="F14150" s="3" t="n">
        <v>1696.06</v>
      </c>
      <c r="G14150" s="3" t="n">
        <v>14358.34</v>
      </c>
    </row>
    <row r="14151">
      <c r="A14151" s="3" t="inlineStr">
        <is>
          <t>Noble Shield (Pty) Ltd ta Go Letting</t>
        </is>
      </c>
      <c r="B14151" s="4" t="n">
        <v>45077</v>
      </c>
      <c r="C14151" s="3" t="inlineStr">
        <is>
          <t>Expenses</t>
        </is>
      </c>
      <c r="D14151" s="3" t="inlineStr">
        <is>
          <t>3850/100</t>
        </is>
      </c>
      <c r="E14151" s="3" t="inlineStr">
        <is>
          <t>Insurance - Santam</t>
        </is>
      </c>
      <c r="F14151" s="3" t="n">
        <v>3883.7</v>
      </c>
      <c r="G14151" s="3" t="n">
        <v>34372.57</v>
      </c>
    </row>
    <row r="14152">
      <c r="A14152" s="3" t="inlineStr">
        <is>
          <t>Noble Shield (Pty) Ltd ta Go Letting</t>
        </is>
      </c>
      <c r="B14152" s="4" t="n">
        <v>45077</v>
      </c>
      <c r="C14152" s="3" t="inlineStr">
        <is>
          <t>Expenses</t>
        </is>
      </c>
      <c r="D14152" s="3" t="inlineStr">
        <is>
          <t>3850/200</t>
        </is>
      </c>
      <c r="E14152" s="3" t="inlineStr">
        <is>
          <t>Insurance - A_AND_G</t>
        </is>
      </c>
      <c r="F14152" s="3" t="n">
        <v>0</v>
      </c>
      <c r="G14152" s="3" t="n">
        <v>17509.38</v>
      </c>
    </row>
    <row r="14153">
      <c r="A14153" s="3" t="inlineStr">
        <is>
          <t>Quinate Consulting (Pty) Ltd</t>
        </is>
      </c>
      <c r="B14153" s="4" t="n">
        <v>45077</v>
      </c>
      <c r="C14153" s="3" t="inlineStr">
        <is>
          <t>Expenses</t>
        </is>
      </c>
      <c r="D14153" s="3" t="inlineStr">
        <is>
          <t>3851/000</t>
        </is>
      </c>
      <c r="E14153" s="3" t="inlineStr">
        <is>
          <t>Insurance - Momentum</t>
        </is>
      </c>
      <c r="F14153" s="3" t="n">
        <v>7990.64</v>
      </c>
      <c r="G14153" s="3" t="n">
        <v>23971.92</v>
      </c>
    </row>
    <row r="14154">
      <c r="A14154" s="3" t="inlineStr">
        <is>
          <t>Quinate Consulting (Pty) Ltd</t>
        </is>
      </c>
      <c r="B14154" s="4" t="n">
        <v>45077</v>
      </c>
      <c r="C14154" s="3" t="inlineStr">
        <is>
          <t>Expenses</t>
        </is>
      </c>
      <c r="D14154" s="3" t="inlineStr">
        <is>
          <t>3900/000</t>
        </is>
      </c>
      <c r="E14154" s="3" t="inlineStr">
        <is>
          <t>Interest Paid</t>
        </is>
      </c>
      <c r="F14154" s="3" t="n">
        <v>123.46</v>
      </c>
      <c r="G14154" s="3" t="n">
        <v>123.46</v>
      </c>
    </row>
    <row r="14155">
      <c r="A14155" s="3" t="inlineStr">
        <is>
          <t>Quinate Consulting (Pty) Ltd</t>
        </is>
      </c>
      <c r="B14155" s="4" t="n">
        <v>45077</v>
      </c>
      <c r="C14155" s="3" t="inlineStr">
        <is>
          <t>Expenses</t>
        </is>
      </c>
      <c r="D14155" s="3" t="inlineStr">
        <is>
          <t>3900/050</t>
        </is>
      </c>
      <c r="E14155" s="3" t="inlineStr">
        <is>
          <t>Interest Paid - STD Bond Accounts</t>
        </is>
      </c>
      <c r="F14155" s="3" t="n">
        <v>38955.95</v>
      </c>
      <c r="G14155" s="3" t="n">
        <v>116867.85</v>
      </c>
    </row>
    <row r="14156">
      <c r="A14156" s="3" t="inlineStr">
        <is>
          <t>Quinate Consulting (Pty) Ltd</t>
        </is>
      </c>
      <c r="B14156" s="4" t="n">
        <v>45077</v>
      </c>
      <c r="C14156" s="3" t="inlineStr">
        <is>
          <t>Expenses</t>
        </is>
      </c>
      <c r="D14156" s="3" t="inlineStr">
        <is>
          <t>3900/152</t>
        </is>
      </c>
      <c r="E14156" s="3" t="inlineStr">
        <is>
          <t>Interest Paid - Gengis</t>
        </is>
      </c>
      <c r="F14156" s="3" t="n">
        <v>3516.16</v>
      </c>
      <c r="G14156" s="3" t="n">
        <v>10435.06</v>
      </c>
    </row>
    <row r="14157">
      <c r="A14157" s="3" t="inlineStr">
        <is>
          <t>Opportunity Management Holdings (PTY) LTD</t>
        </is>
      </c>
      <c r="B14157" s="4" t="n">
        <v>45077</v>
      </c>
      <c r="C14157" s="3" t="inlineStr">
        <is>
          <t>Expenses</t>
        </is>
      </c>
      <c r="D14157" s="3" t="inlineStr">
        <is>
          <t>3960/000</t>
        </is>
      </c>
      <c r="E14157" s="3" t="inlineStr">
        <is>
          <t>Internet Fees</t>
        </is>
      </c>
      <c r="F14157" s="3" t="n">
        <v>630.83</v>
      </c>
      <c r="G14157" s="3" t="n">
        <v>5324.33</v>
      </c>
    </row>
    <row r="14158">
      <c r="A14158" s="3" t="inlineStr">
        <is>
          <t>Quinate Consulting (Pty) Ltd</t>
        </is>
      </c>
      <c r="B14158" s="4" t="n">
        <v>45077</v>
      </c>
      <c r="C14158" s="3" t="inlineStr">
        <is>
          <t>Expenses</t>
        </is>
      </c>
      <c r="D14158" s="3" t="inlineStr">
        <is>
          <t>4000/000</t>
        </is>
      </c>
      <c r="E14158" s="3" t="inlineStr">
        <is>
          <t>Legal Fees</t>
        </is>
      </c>
      <c r="F14158" s="3" t="n">
        <v>0</v>
      </c>
      <c r="G14158" s="3" t="n">
        <v>32450</v>
      </c>
    </row>
    <row r="14159">
      <c r="A14159" s="3" t="inlineStr">
        <is>
          <t>Quinate Consulting (Pty) Ltd</t>
        </is>
      </c>
      <c r="B14159" s="4" t="n">
        <v>45077</v>
      </c>
      <c r="C14159" s="3" t="inlineStr">
        <is>
          <t>Expenses</t>
        </is>
      </c>
      <c r="D14159" s="3" t="inlineStr">
        <is>
          <t>4065/000</t>
        </is>
      </c>
      <c r="E14159" s="3" t="inlineStr">
        <is>
          <t>Levies - SoHo</t>
        </is>
      </c>
      <c r="F14159" s="3" t="n">
        <v>6466.98</v>
      </c>
      <c r="G14159" s="3" t="n">
        <v>20673.39</v>
      </c>
    </row>
    <row r="14160">
      <c r="A14160" s="3" t="inlineStr">
        <is>
          <t>Quinate Consulting (Pty) Ltd</t>
        </is>
      </c>
      <c r="B14160" s="4" t="n">
        <v>45077</v>
      </c>
      <c r="C14160" s="3" t="inlineStr">
        <is>
          <t>Expenses</t>
        </is>
      </c>
      <c r="D14160" s="3" t="inlineStr">
        <is>
          <t>4066/000</t>
        </is>
      </c>
      <c r="E14160" s="3" t="inlineStr">
        <is>
          <t>Levies - Southwark</t>
        </is>
      </c>
      <c r="F14160" s="3" t="n">
        <v>3422.18</v>
      </c>
      <c r="G14160" s="3" t="n">
        <v>10266.54</v>
      </c>
    </row>
    <row r="14161">
      <c r="A14161" s="3" t="inlineStr">
        <is>
          <t>Quinate Consulting (Pty) Ltd</t>
        </is>
      </c>
      <c r="B14161" s="4" t="n">
        <v>45077</v>
      </c>
      <c r="C14161" s="3" t="inlineStr">
        <is>
          <t>Expenses</t>
        </is>
      </c>
      <c r="D14161" s="3" t="inlineStr">
        <is>
          <t>4067/000</t>
        </is>
      </c>
      <c r="E14161" s="3" t="inlineStr">
        <is>
          <t>Levies - C4 Property</t>
        </is>
      </c>
      <c r="F14161" s="3" t="n">
        <v>8633.91</v>
      </c>
      <c r="G14161" s="3" t="n">
        <v>21052.98</v>
      </c>
    </row>
    <row r="14162">
      <c r="A14162" s="3" t="inlineStr">
        <is>
          <t>Endulini (Pty) Ltd</t>
        </is>
      </c>
      <c r="B14162" s="4" t="n">
        <v>45077</v>
      </c>
      <c r="C14162" s="3" t="inlineStr">
        <is>
          <t>Expenses</t>
        </is>
      </c>
      <c r="D14162" s="3" t="inlineStr">
        <is>
          <t>4100/001</t>
        </is>
      </c>
      <c r="E14162" s="3" t="inlineStr">
        <is>
          <t>Momentum Admin Fee</t>
        </is>
      </c>
      <c r="F14162" s="3" t="n">
        <v>1.07</v>
      </c>
      <c r="G14162" s="3" t="n">
        <v>3.24</v>
      </c>
    </row>
    <row r="14163">
      <c r="A14163" s="3" t="inlineStr">
        <is>
          <t>Quinate Consulting (Pty) Ltd</t>
        </is>
      </c>
      <c r="B14163" s="4" t="n">
        <v>45077</v>
      </c>
      <c r="C14163" s="3" t="inlineStr">
        <is>
          <t>Expenses</t>
        </is>
      </c>
      <c r="D14163" s="3" t="inlineStr">
        <is>
          <t>4100/001</t>
        </is>
      </c>
      <c r="E14163" s="3" t="inlineStr">
        <is>
          <t>Momentum Advise Fee</t>
        </is>
      </c>
      <c r="F14163" s="3" t="n">
        <v>0.22</v>
      </c>
      <c r="G14163" s="3" t="n">
        <v>0.66</v>
      </c>
    </row>
    <row r="14164">
      <c r="A14164" s="3" t="inlineStr">
        <is>
          <t>Opportunity Global Investment (PTY) LTD</t>
        </is>
      </c>
      <c r="B14164" s="4" t="n">
        <v>45077</v>
      </c>
      <c r="C14164" s="3" t="inlineStr">
        <is>
          <t>Expenses</t>
        </is>
      </c>
      <c r="D14164" s="3" t="inlineStr">
        <is>
          <t>4100/100</t>
        </is>
      </c>
      <c r="E14164" s="3" t="inlineStr">
        <is>
          <t>Members Salaries - Nick Morgan</t>
        </is>
      </c>
      <c r="F14164" s="3" t="n">
        <v>41251.61</v>
      </c>
      <c r="G14164" s="3" t="n">
        <v>123754.84</v>
      </c>
    </row>
    <row r="14165">
      <c r="A14165" s="3" t="inlineStr">
        <is>
          <t>Noble Shield (Pty) Ltd ta Go Letting</t>
        </is>
      </c>
      <c r="B14165" s="4" t="n">
        <v>45077</v>
      </c>
      <c r="C14165" s="3" t="inlineStr">
        <is>
          <t>Expenses</t>
        </is>
      </c>
      <c r="D14165" s="3" t="inlineStr">
        <is>
          <t>4200/000</t>
        </is>
      </c>
      <c r="E14165" s="3" t="inlineStr">
        <is>
          <t>Printing _AND_ Stationery</t>
        </is>
      </c>
      <c r="F14165" s="3" t="n">
        <v>0</v>
      </c>
      <c r="G14165" s="3" t="n">
        <v>1035</v>
      </c>
    </row>
    <row r="14166">
      <c r="A14166" s="3" t="inlineStr">
        <is>
          <t>Opportunity Global Investment (PTY) LTD</t>
        </is>
      </c>
      <c r="B14166" s="4" t="n">
        <v>45077</v>
      </c>
      <c r="C14166" s="3" t="inlineStr">
        <is>
          <t>Expenses</t>
        </is>
      </c>
      <c r="D14166" s="3" t="inlineStr">
        <is>
          <t>4200/000</t>
        </is>
      </c>
      <c r="E14166" s="3" t="inlineStr">
        <is>
          <t>Printing _AND_ Stationery</t>
        </is>
      </c>
      <c r="F14166" s="3" t="n">
        <v>2367</v>
      </c>
      <c r="G14166" s="3" t="n">
        <v>7101</v>
      </c>
    </row>
    <row r="14167">
      <c r="A14167" s="3" t="inlineStr">
        <is>
          <t>Opportunity Global Sales (PTY) LTD</t>
        </is>
      </c>
      <c r="B14167" s="4" t="n">
        <v>45077</v>
      </c>
      <c r="C14167" s="3" t="inlineStr">
        <is>
          <t>Expenses</t>
        </is>
      </c>
      <c r="D14167" s="3" t="inlineStr">
        <is>
          <t>4200/000</t>
        </is>
      </c>
      <c r="E14167" s="3" t="inlineStr">
        <is>
          <t>Printing _AND_ Stationery</t>
        </is>
      </c>
      <c r="F14167" s="3" t="n">
        <v>0</v>
      </c>
      <c r="G14167" s="3" t="n">
        <v>286.96</v>
      </c>
    </row>
    <row r="14168">
      <c r="A14168" s="3" t="inlineStr">
        <is>
          <t>Opportunity Management Holdings (PTY) LTD</t>
        </is>
      </c>
      <c r="B14168" s="4" t="n">
        <v>45077</v>
      </c>
      <c r="C14168" s="3" t="inlineStr">
        <is>
          <t>Expenses</t>
        </is>
      </c>
      <c r="D14168" s="3" t="inlineStr">
        <is>
          <t>4200/000</t>
        </is>
      </c>
      <c r="E14168" s="3" t="inlineStr">
        <is>
          <t>Printing _AND_ Stationery</t>
        </is>
      </c>
      <c r="F14168" s="3" t="n">
        <v>3643.44</v>
      </c>
      <c r="G14168" s="3" t="n">
        <v>24301.48</v>
      </c>
    </row>
    <row r="14169">
      <c r="A14169" s="3" t="inlineStr">
        <is>
          <t>Noble Shield (Pty) Ltd ta Go Letting</t>
        </is>
      </c>
      <c r="B14169" s="4" t="n">
        <v>45077</v>
      </c>
      <c r="C14169" s="3" t="inlineStr">
        <is>
          <t>Expenses</t>
        </is>
      </c>
      <c r="D14169" s="3" t="inlineStr">
        <is>
          <t>4200/100</t>
        </is>
      </c>
      <c r="E14169" s="3" t="inlineStr">
        <is>
          <t>Printing - Merchant West- Printer Rental</t>
        </is>
      </c>
      <c r="F14169" s="3" t="n">
        <v>1630.84</v>
      </c>
      <c r="G14169" s="3" t="n">
        <v>14656.43</v>
      </c>
    </row>
    <row r="14170">
      <c r="A14170" s="3" t="inlineStr">
        <is>
          <t>Noble Shield (Pty) Ltd ta Go Letting</t>
        </is>
      </c>
      <c r="B14170" s="4" t="n">
        <v>45077</v>
      </c>
      <c r="C14170" s="3" t="inlineStr">
        <is>
          <t>Expenses</t>
        </is>
      </c>
      <c r="D14170" s="3" t="inlineStr">
        <is>
          <t>4200/120</t>
        </is>
      </c>
      <c r="E14170" s="3" t="inlineStr">
        <is>
          <t>Printing - Ivy Line - Prints</t>
        </is>
      </c>
      <c r="F14170" s="3" t="n">
        <v>629.59</v>
      </c>
      <c r="G14170" s="3" t="n">
        <v>7903.36</v>
      </c>
    </row>
    <row r="14171">
      <c r="A14171" s="3" t="inlineStr">
        <is>
          <t>Noble Shield (Pty) Ltd ta Go Letting</t>
        </is>
      </c>
      <c r="B14171" s="4" t="n">
        <v>45077</v>
      </c>
      <c r="C14171" s="3" t="inlineStr">
        <is>
          <t>Expenses</t>
        </is>
      </c>
      <c r="D14171" s="3" t="inlineStr">
        <is>
          <t>4200/180</t>
        </is>
      </c>
      <c r="E14171" s="3" t="inlineStr">
        <is>
          <t>Printing - Ikon</t>
        </is>
      </c>
      <c r="F14171" s="3" t="n">
        <v>147.29</v>
      </c>
      <c r="G14171" s="3" t="n">
        <v>1221.38</v>
      </c>
    </row>
    <row r="14172">
      <c r="A14172" s="3" t="inlineStr">
        <is>
          <t>Noble Shield (Pty) Ltd ta Go Letting</t>
        </is>
      </c>
      <c r="B14172" s="4" t="n">
        <v>45077</v>
      </c>
      <c r="C14172" s="3" t="inlineStr">
        <is>
          <t>Expenses</t>
        </is>
      </c>
      <c r="D14172" s="3" t="inlineStr">
        <is>
          <t>4200/190</t>
        </is>
      </c>
      <c r="E14172" s="3" t="inlineStr">
        <is>
          <t>Printing - Centrafin printer rental</t>
        </is>
      </c>
      <c r="F14172" s="3" t="n">
        <v>2901.42</v>
      </c>
      <c r="G14172" s="3" t="n">
        <v>24687.42</v>
      </c>
    </row>
    <row r="14173">
      <c r="A14173" s="3" t="inlineStr">
        <is>
          <t>Noble Shield (Pty) Ltd ta Go Letting</t>
        </is>
      </c>
      <c r="B14173" s="4" t="n">
        <v>45077</v>
      </c>
      <c r="C14173" s="3" t="inlineStr">
        <is>
          <t>Expenses</t>
        </is>
      </c>
      <c r="D14173" s="3" t="inlineStr">
        <is>
          <t>4200/200</t>
        </is>
      </c>
      <c r="E14173" s="3" t="inlineStr">
        <is>
          <t>Printing - General Stationery VDB Office</t>
        </is>
      </c>
      <c r="F14173" s="3" t="n">
        <v>1048.3</v>
      </c>
      <c r="G14173" s="3" t="n">
        <v>7063.56</v>
      </c>
    </row>
    <row r="14174">
      <c r="A14174" s="3" t="inlineStr">
        <is>
          <t>Opportunity Global Investment (PTY) LTD</t>
        </is>
      </c>
      <c r="B14174" s="4" t="n">
        <v>45077</v>
      </c>
      <c r="C14174" s="3" t="inlineStr">
        <is>
          <t>Expenses</t>
        </is>
      </c>
      <c r="D14174" s="3" t="inlineStr">
        <is>
          <t>4220/000</t>
        </is>
      </c>
      <c r="E14174" s="3" t="inlineStr">
        <is>
          <t>Motor Vehicle Expenses - Petrol _AND_ Oil</t>
        </is>
      </c>
      <c r="F14174" s="3" t="n">
        <v>1545.35</v>
      </c>
      <c r="G14174" s="3" t="n">
        <v>5091.74</v>
      </c>
    </row>
    <row r="14175">
      <c r="A14175" s="3" t="inlineStr">
        <is>
          <t>Noble Shield (Pty) Ltd ta Go Letting</t>
        </is>
      </c>
      <c r="B14175" s="4" t="n">
        <v>45077</v>
      </c>
      <c r="C14175" s="3" t="inlineStr">
        <is>
          <t>Expenses</t>
        </is>
      </c>
      <c r="D14175" s="3" t="inlineStr">
        <is>
          <t>4290/000</t>
        </is>
      </c>
      <c r="E14175" s="3" t="inlineStr">
        <is>
          <t>Refreshments - CT Office</t>
        </is>
      </c>
      <c r="F14175" s="3" t="n">
        <v>1055.83</v>
      </c>
      <c r="G14175" s="3" t="n">
        <v>9402.59</v>
      </c>
    </row>
    <row r="14176">
      <c r="A14176" s="3" t="inlineStr">
        <is>
          <t>Opportunity Global Investment (PTY) LTD</t>
        </is>
      </c>
      <c r="B14176" s="4" t="n">
        <v>45077</v>
      </c>
      <c r="C14176" s="3" t="inlineStr">
        <is>
          <t>Expenses</t>
        </is>
      </c>
      <c r="D14176" s="3" t="inlineStr">
        <is>
          <t>4290/000</t>
        </is>
      </c>
      <c r="E14176" s="3" t="inlineStr">
        <is>
          <t>Rent</t>
        </is>
      </c>
      <c r="F14176" s="3" t="n">
        <v>8770</v>
      </c>
      <c r="G14176" s="3" t="n">
        <v>26310</v>
      </c>
    </row>
    <row r="14177">
      <c r="A14177" s="3" t="inlineStr">
        <is>
          <t>Noble Shield (Pty) Ltd ta Go Letting</t>
        </is>
      </c>
      <c r="B14177" s="4" t="n">
        <v>45077</v>
      </c>
      <c r="C14177" s="3" t="inlineStr">
        <is>
          <t>Expenses</t>
        </is>
      </c>
      <c r="D14177" s="3" t="inlineStr">
        <is>
          <t>4291/000</t>
        </is>
      </c>
      <c r="E14177" s="3" t="inlineStr">
        <is>
          <t>Refreshments - VDB Office</t>
        </is>
      </c>
      <c r="F14177" s="3" t="n">
        <v>582.03</v>
      </c>
      <c r="G14177" s="3" t="n">
        <v>3712.28</v>
      </c>
    </row>
    <row r="14178">
      <c r="A14178" s="3" t="inlineStr">
        <is>
          <t>Trademark Holdings (Pty) Ltd</t>
        </is>
      </c>
      <c r="B14178" s="4" t="n">
        <v>45077</v>
      </c>
      <c r="C14178" s="3" t="inlineStr">
        <is>
          <t>Expenses</t>
        </is>
      </c>
      <c r="D14178" s="3" t="inlineStr">
        <is>
          <t>4300/000</t>
        </is>
      </c>
      <c r="E14178" s="3" t="inlineStr">
        <is>
          <t>Rent Paid</t>
        </is>
      </c>
      <c r="F14178" s="3" t="n">
        <v>6532</v>
      </c>
      <c r="G14178" s="3" t="n">
        <v>58564.57</v>
      </c>
    </row>
    <row r="14179">
      <c r="A14179" s="3" t="inlineStr">
        <is>
          <t>Opportunity Global Investment (PTY) LTD</t>
        </is>
      </c>
      <c r="B14179" s="4" t="n">
        <v>45077</v>
      </c>
      <c r="C14179" s="3" t="inlineStr">
        <is>
          <t>Expenses</t>
        </is>
      </c>
      <c r="D14179" s="3" t="inlineStr">
        <is>
          <t>4310/000</t>
        </is>
      </c>
      <c r="E14179" s="3" t="inlineStr">
        <is>
          <t>Refreshments</t>
        </is>
      </c>
      <c r="F14179" s="3" t="n">
        <v>2521</v>
      </c>
      <c r="G14179" s="3" t="n">
        <v>7563</v>
      </c>
    </row>
    <row r="14180">
      <c r="A14180" s="3" t="inlineStr">
        <is>
          <t>Opportunity Management Holdings (PTY) LTD</t>
        </is>
      </c>
      <c r="B14180" s="4" t="n">
        <v>45077</v>
      </c>
      <c r="C14180" s="3" t="inlineStr">
        <is>
          <t>Expenses</t>
        </is>
      </c>
      <c r="D14180" s="3" t="inlineStr">
        <is>
          <t>4310/000</t>
        </is>
      </c>
      <c r="E14180" s="3" t="inlineStr">
        <is>
          <t>Refreshments</t>
        </is>
      </c>
      <c r="F14180" s="3" t="n">
        <v>6394.82</v>
      </c>
      <c r="G14180" s="3" t="n">
        <v>12793.17</v>
      </c>
    </row>
    <row r="14181">
      <c r="A14181" s="3" t="inlineStr">
        <is>
          <t>Quinate Consulting (Pty) Ltd</t>
        </is>
      </c>
      <c r="B14181" s="4" t="n">
        <v>45077</v>
      </c>
      <c r="C14181" s="3" t="inlineStr">
        <is>
          <t>Expenses</t>
        </is>
      </c>
      <c r="D14181" s="3" t="inlineStr">
        <is>
          <t>4312/000</t>
        </is>
      </c>
      <c r="E14181" s="3" t="inlineStr">
        <is>
          <t>Rates - SoHo Units</t>
        </is>
      </c>
      <c r="F14181" s="3" t="n">
        <v>1602.86</v>
      </c>
      <c r="G14181" s="3" t="n">
        <v>6612.72</v>
      </c>
    </row>
    <row r="14182">
      <c r="A14182" s="3" t="inlineStr">
        <is>
          <t>Endulini (Pty) Ltd</t>
        </is>
      </c>
      <c r="B14182" s="4" t="n">
        <v>45077</v>
      </c>
      <c r="C14182" s="3" t="inlineStr">
        <is>
          <t>Expenses</t>
        </is>
      </c>
      <c r="D14182" s="3" t="inlineStr">
        <is>
          <t>4350/000</t>
        </is>
      </c>
      <c r="E14182" s="3" t="inlineStr">
        <is>
          <t>Repairs _AND_ Maintenance</t>
        </is>
      </c>
      <c r="F14182" s="3" t="n">
        <v>15702.19</v>
      </c>
      <c r="G14182" s="3" t="n">
        <v>15702.19</v>
      </c>
    </row>
    <row r="14183">
      <c r="A14183" s="3" t="inlineStr">
        <is>
          <t>Noble Shield (Pty) Ltd ta Go Letting</t>
        </is>
      </c>
      <c r="B14183" s="4" t="n">
        <v>45077</v>
      </c>
      <c r="C14183" s="3" t="inlineStr">
        <is>
          <t>Expenses</t>
        </is>
      </c>
      <c r="D14183" s="3" t="inlineStr">
        <is>
          <t>4350/000</t>
        </is>
      </c>
      <c r="E14183" s="3" t="inlineStr">
        <is>
          <t>Repairs _AND_ Maintenance</t>
        </is>
      </c>
      <c r="F14183" s="3" t="n">
        <v>610</v>
      </c>
      <c r="G14183" s="3" t="n">
        <v>1320</v>
      </c>
    </row>
    <row r="14184">
      <c r="A14184" s="3" t="inlineStr">
        <is>
          <t>Opportunity Management Holdings (PTY) LTD</t>
        </is>
      </c>
      <c r="B14184" s="4" t="n">
        <v>45077</v>
      </c>
      <c r="C14184" s="3" t="inlineStr">
        <is>
          <t>Expenses</t>
        </is>
      </c>
      <c r="D14184" s="3" t="inlineStr">
        <is>
          <t>4350/000</t>
        </is>
      </c>
      <c r="E14184" s="3" t="inlineStr">
        <is>
          <t>Repairs _AND_ Maintenance</t>
        </is>
      </c>
      <c r="F14184" s="3" t="n">
        <v>2056.41</v>
      </c>
      <c r="G14184" s="3" t="n">
        <v>3473.69</v>
      </c>
    </row>
    <row r="14185">
      <c r="A14185" s="3" t="inlineStr">
        <is>
          <t>Quinate Consulting (Pty) Ltd</t>
        </is>
      </c>
      <c r="B14185" s="4" t="n">
        <v>45077</v>
      </c>
      <c r="C14185" s="3" t="inlineStr">
        <is>
          <t>Expenses</t>
        </is>
      </c>
      <c r="D14185" s="3" t="inlineStr">
        <is>
          <t>4350/000</t>
        </is>
      </c>
      <c r="E14185" s="3" t="inlineStr">
        <is>
          <t>Repairs and Maintenance - Southwark Units</t>
        </is>
      </c>
      <c r="F14185" s="3" t="n">
        <v>0</v>
      </c>
      <c r="G14185" s="3" t="n">
        <v>2350</v>
      </c>
    </row>
    <row r="14186">
      <c r="A14186" s="3" t="inlineStr">
        <is>
          <t>Quinate Consulting (Pty) Ltd</t>
        </is>
      </c>
      <c r="B14186" s="4" t="n">
        <v>45077</v>
      </c>
      <c r="C14186" s="3" t="inlineStr">
        <is>
          <t>Expenses</t>
        </is>
      </c>
      <c r="D14186" s="3" t="inlineStr">
        <is>
          <t>4351/100</t>
        </is>
      </c>
      <c r="E14186" s="3" t="inlineStr">
        <is>
          <t>Repairs and Maintenance -  Soho Units</t>
        </is>
      </c>
      <c r="F14186" s="3" t="n">
        <v>2400</v>
      </c>
      <c r="G14186" s="3" t="n">
        <v>2400</v>
      </c>
    </row>
    <row r="14187">
      <c r="A14187" s="3" t="inlineStr">
        <is>
          <t>Opportunity Global Sales (PTY) LTD</t>
        </is>
      </c>
      <c r="B14187" s="4" t="n">
        <v>45077</v>
      </c>
      <c r="C14187" s="3" t="inlineStr">
        <is>
          <t>Expenses</t>
        </is>
      </c>
      <c r="D14187" s="3" t="inlineStr">
        <is>
          <t>4390/000</t>
        </is>
      </c>
      <c r="E14187" s="3" t="inlineStr">
        <is>
          <t>Small Assets</t>
        </is>
      </c>
      <c r="F14187" s="3" t="n">
        <v>0</v>
      </c>
      <c r="G14187" s="3" t="n">
        <v>1477.39</v>
      </c>
    </row>
    <row r="14188">
      <c r="A14188" s="3" t="inlineStr">
        <is>
          <t>Opportunity Management Holdings (PTY) LTD</t>
        </is>
      </c>
      <c r="B14188" s="4" t="n">
        <v>45077</v>
      </c>
      <c r="C14188" s="3" t="inlineStr">
        <is>
          <t>Expenses</t>
        </is>
      </c>
      <c r="D14188" s="3" t="inlineStr">
        <is>
          <t>4390/000</t>
        </is>
      </c>
      <c r="E14188" s="3" t="inlineStr">
        <is>
          <t>Small Assets</t>
        </is>
      </c>
      <c r="F14188" s="3" t="n">
        <v>6520</v>
      </c>
      <c r="G14188" s="3" t="n">
        <v>24808.69</v>
      </c>
    </row>
    <row r="14189">
      <c r="A14189" s="3" t="inlineStr">
        <is>
          <t>Noble Shield (Pty) Ltd ta Go Letting</t>
        </is>
      </c>
      <c r="B14189" s="4" t="n">
        <v>45077</v>
      </c>
      <c r="C14189" s="3" t="inlineStr">
        <is>
          <t>Expenses</t>
        </is>
      </c>
      <c r="D14189" s="3" t="inlineStr">
        <is>
          <t>4400/000</t>
        </is>
      </c>
      <c r="E14189" s="3" t="inlineStr">
        <is>
          <t>Salaries _AND_ Wages</t>
        </is>
      </c>
      <c r="F14189" s="3" t="n">
        <v>26915.7</v>
      </c>
      <c r="G14189" s="3" t="n">
        <v>241836.32</v>
      </c>
    </row>
    <row r="14190">
      <c r="A14190" s="3" t="inlineStr">
        <is>
          <t>Opportunity Global Sales (PTY) LTD</t>
        </is>
      </c>
      <c r="B14190" s="4" t="n">
        <v>45077</v>
      </c>
      <c r="C14190" s="3" t="inlineStr">
        <is>
          <t>Expenses</t>
        </is>
      </c>
      <c r="D14190" s="3" t="inlineStr">
        <is>
          <t>4400/000</t>
        </is>
      </c>
      <c r="E14190" s="3" t="inlineStr">
        <is>
          <t>Salaries _AND_ Wages</t>
        </is>
      </c>
      <c r="F14190" s="3" t="n">
        <v>54267.05</v>
      </c>
      <c r="G14190" s="3" t="n">
        <v>162201.14</v>
      </c>
    </row>
    <row r="14191">
      <c r="A14191" s="3" t="inlineStr">
        <is>
          <t>Opportunity Management Holdings (PTY) LTD</t>
        </is>
      </c>
      <c r="B14191" s="4" t="n">
        <v>45077</v>
      </c>
      <c r="C14191" s="3" t="inlineStr">
        <is>
          <t>Expenses</t>
        </is>
      </c>
      <c r="D14191" s="3" t="inlineStr">
        <is>
          <t>4400/000</t>
        </is>
      </c>
      <c r="E14191" s="3" t="inlineStr">
        <is>
          <t>Salaries _AND_ Wages</t>
        </is>
      </c>
      <c r="F14191" s="3" t="n">
        <v>274472.9</v>
      </c>
      <c r="G14191" s="3" t="n">
        <v>2320290.55</v>
      </c>
    </row>
    <row r="14192">
      <c r="A14192" s="3" t="inlineStr">
        <is>
          <t>Trademark Holdings (Pty) Ltd</t>
        </is>
      </c>
      <c r="B14192" s="4" t="n">
        <v>45077</v>
      </c>
      <c r="C14192" s="3" t="inlineStr">
        <is>
          <t>Expenses</t>
        </is>
      </c>
      <c r="D14192" s="3" t="inlineStr">
        <is>
          <t>4400/000</t>
        </is>
      </c>
      <c r="E14192" s="3" t="inlineStr">
        <is>
          <t>Salaries _AND_ Wages</t>
        </is>
      </c>
      <c r="F14192" s="3" t="n">
        <v>12429.45</v>
      </c>
      <c r="G14192" s="3" t="n">
        <v>111865.05</v>
      </c>
    </row>
    <row r="14193">
      <c r="A14193" s="3" t="inlineStr">
        <is>
          <t>Trademark Holdings (Pty) Ltd</t>
        </is>
      </c>
      <c r="B14193" s="4" t="n">
        <v>45077</v>
      </c>
      <c r="C14193" s="3" t="inlineStr">
        <is>
          <t>Expenses</t>
        </is>
      </c>
      <c r="D14193" s="3" t="inlineStr">
        <is>
          <t>4410/000</t>
        </is>
      </c>
      <c r="E14193" s="3" t="inlineStr">
        <is>
          <t>Salaries _AND_ Wages - WCA</t>
        </is>
      </c>
      <c r="F14193" s="3" t="n">
        <v>0</v>
      </c>
      <c r="G14193" s="3" t="n">
        <v>1397.74</v>
      </c>
    </row>
    <row r="14194">
      <c r="A14194" s="3" t="inlineStr">
        <is>
          <t>Opportunity Global Investment (PTY) LTD</t>
        </is>
      </c>
      <c r="B14194" s="4" t="n">
        <v>45077</v>
      </c>
      <c r="C14194" s="3" t="inlineStr">
        <is>
          <t>Expenses</t>
        </is>
      </c>
      <c r="D14194" s="3" t="inlineStr">
        <is>
          <t>4450/000</t>
        </is>
      </c>
      <c r="E14194" s="3" t="inlineStr">
        <is>
          <t>Staff Training</t>
        </is>
      </c>
      <c r="F14194" s="3" t="n">
        <v>0</v>
      </c>
      <c r="G14194" s="3" t="n">
        <v>5495.66</v>
      </c>
    </row>
    <row r="14195">
      <c r="A14195" s="3" t="inlineStr">
        <is>
          <t>Opportunity Management Holdings (PTY) LTD</t>
        </is>
      </c>
      <c r="B14195" s="4" t="n">
        <v>45077</v>
      </c>
      <c r="C14195" s="3" t="inlineStr">
        <is>
          <t>Expenses</t>
        </is>
      </c>
      <c r="D14195" s="3" t="inlineStr">
        <is>
          <t>4450/000</t>
        </is>
      </c>
      <c r="E14195" s="3" t="inlineStr">
        <is>
          <t>Staff Training</t>
        </is>
      </c>
      <c r="F14195" s="3" t="n">
        <v>0</v>
      </c>
      <c r="G14195" s="3" t="n">
        <v>2001.78</v>
      </c>
    </row>
    <row r="14196">
      <c r="A14196" s="3" t="inlineStr">
        <is>
          <t>Noble Shield (Pty) Ltd ta Go Letting</t>
        </is>
      </c>
      <c r="B14196" s="4" t="n">
        <v>45077</v>
      </c>
      <c r="C14196" s="3" t="inlineStr">
        <is>
          <t>Expenses</t>
        </is>
      </c>
      <c r="D14196" s="3" t="inlineStr">
        <is>
          <t>4500/000</t>
        </is>
      </c>
      <c r="E14196" s="3" t="inlineStr">
        <is>
          <t>Staff Welfare</t>
        </is>
      </c>
      <c r="F14196" s="3" t="n">
        <v>400</v>
      </c>
      <c r="G14196" s="3" t="n">
        <v>6643.2</v>
      </c>
    </row>
    <row r="14197">
      <c r="A14197" s="3" t="inlineStr">
        <is>
          <t>Opportunity Global Investment (PTY) LTD</t>
        </is>
      </c>
      <c r="B14197" s="4" t="n">
        <v>45077</v>
      </c>
      <c r="C14197" s="3" t="inlineStr">
        <is>
          <t>Expenses</t>
        </is>
      </c>
      <c r="D14197" s="3" t="inlineStr">
        <is>
          <t>4500/000</t>
        </is>
      </c>
      <c r="E14197" s="3" t="inlineStr">
        <is>
          <t>Staff Welfare</t>
        </is>
      </c>
      <c r="F14197" s="3" t="n">
        <v>244.15</v>
      </c>
      <c r="G14197" s="3" t="n">
        <v>244.15</v>
      </c>
    </row>
    <row r="14198">
      <c r="A14198" s="3" t="inlineStr">
        <is>
          <t>Opportunity Global Sales (PTY) LTD</t>
        </is>
      </c>
      <c r="B14198" s="4" t="n">
        <v>45077</v>
      </c>
      <c r="C14198" s="3" t="inlineStr">
        <is>
          <t>Expenses</t>
        </is>
      </c>
      <c r="D14198" s="3" t="inlineStr">
        <is>
          <t>4500/000</t>
        </is>
      </c>
      <c r="E14198" s="3" t="inlineStr">
        <is>
          <t>Staff Welfare</t>
        </is>
      </c>
      <c r="F14198" s="3" t="n">
        <v>0</v>
      </c>
      <c r="G14198" s="3" t="n">
        <v>92.17</v>
      </c>
    </row>
    <row r="14199">
      <c r="A14199" s="3" t="inlineStr">
        <is>
          <t>Opportunity Management Holdings (PTY) LTD</t>
        </is>
      </c>
      <c r="B14199" s="4" t="n">
        <v>45077</v>
      </c>
      <c r="C14199" s="3" t="inlineStr">
        <is>
          <t>Expenses</t>
        </is>
      </c>
      <c r="D14199" s="3" t="inlineStr">
        <is>
          <t>4500/000</t>
        </is>
      </c>
      <c r="E14199" s="3" t="inlineStr">
        <is>
          <t>Staff Welfare</t>
        </is>
      </c>
      <c r="F14199" s="3" t="n">
        <v>3026.31</v>
      </c>
      <c r="G14199" s="3" t="n">
        <v>60757.93</v>
      </c>
    </row>
    <row r="14200">
      <c r="A14200" s="3" t="inlineStr">
        <is>
          <t>Quinate Consulting (Pty) Ltd</t>
        </is>
      </c>
      <c r="B14200" s="4" t="n">
        <v>45077</v>
      </c>
      <c r="C14200" s="3" t="inlineStr">
        <is>
          <t>Expenses</t>
        </is>
      </c>
      <c r="D14200" s="3" t="inlineStr">
        <is>
          <t>4500/000</t>
        </is>
      </c>
      <c r="E14200" s="3" t="inlineStr">
        <is>
          <t>Staff Welfare</t>
        </is>
      </c>
      <c r="F14200" s="3" t="n">
        <v>0</v>
      </c>
      <c r="G14200" s="3" t="n">
        <v>1263</v>
      </c>
    </row>
    <row r="14201">
      <c r="A14201" s="3" t="inlineStr">
        <is>
          <t>Trademark Holdings (Pty) Ltd</t>
        </is>
      </c>
      <c r="B14201" s="4" t="n">
        <v>45077</v>
      </c>
      <c r="C14201" s="3" t="inlineStr">
        <is>
          <t>Expenses</t>
        </is>
      </c>
      <c r="D14201" s="3" t="inlineStr">
        <is>
          <t>4500/000</t>
        </is>
      </c>
      <c r="E14201" s="3" t="inlineStr">
        <is>
          <t>Staff Welfare _AND_ Refreshments</t>
        </is>
      </c>
      <c r="F14201" s="3" t="n">
        <v>0</v>
      </c>
      <c r="G14201" s="3" t="n">
        <v>4500</v>
      </c>
    </row>
    <row r="14202">
      <c r="A14202" s="3" t="inlineStr">
        <is>
          <t>Noble Shield (Pty) Ltd ta Go Letting</t>
        </is>
      </c>
      <c r="B14202" s="4" t="n">
        <v>45077</v>
      </c>
      <c r="C14202" s="3" t="inlineStr">
        <is>
          <t>Expenses</t>
        </is>
      </c>
      <c r="D14202" s="3" t="inlineStr">
        <is>
          <t>4520/000</t>
        </is>
      </c>
      <c r="E14202" s="3" t="inlineStr">
        <is>
          <t>Security</t>
        </is>
      </c>
      <c r="F14202" s="3" t="n">
        <v>1415</v>
      </c>
      <c r="G14202" s="3" t="n">
        <v>8071.44</v>
      </c>
    </row>
    <row r="14203">
      <c r="A14203" s="3" t="inlineStr">
        <is>
          <t>Quinate Consulting (Pty) Ltd</t>
        </is>
      </c>
      <c r="B14203" s="4" t="n">
        <v>45077</v>
      </c>
      <c r="C14203" s="3" t="inlineStr">
        <is>
          <t>Expenses</t>
        </is>
      </c>
      <c r="D14203" s="3" t="inlineStr">
        <is>
          <t>4550/000</t>
        </is>
      </c>
      <c r="E14203" s="3" t="inlineStr">
        <is>
          <t>Subscriptions / Licenses</t>
        </is>
      </c>
      <c r="F14203" s="3" t="n">
        <v>145.5</v>
      </c>
      <c r="G14203" s="3" t="n">
        <v>23324.58</v>
      </c>
    </row>
    <row r="14204">
      <c r="A14204" s="3" t="inlineStr">
        <is>
          <t>Opportunity Management Holdings (PTY) LTD</t>
        </is>
      </c>
      <c r="B14204" s="4" t="n">
        <v>45077</v>
      </c>
      <c r="C14204" s="3" t="inlineStr">
        <is>
          <t>Expenses</t>
        </is>
      </c>
      <c r="D14204" s="3" t="inlineStr">
        <is>
          <t>4550/000</t>
        </is>
      </c>
      <c r="E14204" s="3" t="inlineStr">
        <is>
          <t>Subscriptions _AND_ Lisences</t>
        </is>
      </c>
      <c r="F14204" s="3" t="n">
        <v>3121.57</v>
      </c>
      <c r="G14204" s="3" t="n">
        <v>41499.35</v>
      </c>
    </row>
    <row r="14205">
      <c r="A14205" s="3" t="inlineStr">
        <is>
          <t>Noble Shield (Pty) Ltd ta Go Letting</t>
        </is>
      </c>
      <c r="B14205" s="4" t="n">
        <v>45077</v>
      </c>
      <c r="C14205" s="3" t="inlineStr">
        <is>
          <t>Expenses</t>
        </is>
      </c>
      <c r="D14205" s="3" t="inlineStr">
        <is>
          <t>4550/100</t>
        </is>
      </c>
      <c r="E14205" s="3" t="inlineStr">
        <is>
          <t>Subscriptions - EAAB</t>
        </is>
      </c>
      <c r="F14205" s="3" t="n">
        <v>0</v>
      </c>
      <c r="G14205" s="3" t="n">
        <v>2340</v>
      </c>
    </row>
    <row r="14206">
      <c r="A14206" s="3" t="inlineStr">
        <is>
          <t>Trademark Holdings (Pty) Ltd</t>
        </is>
      </c>
      <c r="B14206" s="4" t="n">
        <v>45077</v>
      </c>
      <c r="C14206" s="3" t="inlineStr">
        <is>
          <t>Expenses</t>
        </is>
      </c>
      <c r="D14206" s="3" t="inlineStr">
        <is>
          <t>4550/100</t>
        </is>
      </c>
      <c r="E14206" s="3" t="inlineStr">
        <is>
          <t>Subscriptions - EAAB</t>
        </is>
      </c>
      <c r="F14206" s="3" t="n">
        <v>0</v>
      </c>
      <c r="G14206" s="3" t="n">
        <v>2340</v>
      </c>
    </row>
    <row r="14207">
      <c r="A14207" s="3" t="inlineStr">
        <is>
          <t>Opportunity Global Investment (PTY) LTD</t>
        </is>
      </c>
      <c r="B14207" s="4" t="n">
        <v>45077</v>
      </c>
      <c r="C14207" s="3" t="inlineStr">
        <is>
          <t>Expenses</t>
        </is>
      </c>
      <c r="D14207" s="3" t="inlineStr">
        <is>
          <t>4550/100</t>
        </is>
      </c>
      <c r="E14207" s="3" t="inlineStr">
        <is>
          <t>Subscriptions - Zoho</t>
        </is>
      </c>
      <c r="F14207" s="3" t="n">
        <v>1125</v>
      </c>
      <c r="G14207" s="3" t="n">
        <v>3375</v>
      </c>
    </row>
    <row r="14208">
      <c r="A14208" s="3" t="inlineStr">
        <is>
          <t>Opportunity Global Sales (PTY) LTD</t>
        </is>
      </c>
      <c r="B14208" s="4" t="n">
        <v>45077</v>
      </c>
      <c r="C14208" s="3" t="inlineStr">
        <is>
          <t>Expenses</t>
        </is>
      </c>
      <c r="D14208" s="3" t="inlineStr">
        <is>
          <t>4550/150</t>
        </is>
      </c>
      <c r="E14208" s="3" t="inlineStr">
        <is>
          <t>Subscription - Webbox</t>
        </is>
      </c>
      <c r="F14208" s="3" t="n">
        <v>1371</v>
      </c>
      <c r="G14208" s="3" t="n">
        <v>4001</v>
      </c>
    </row>
    <row r="14209">
      <c r="A14209" s="3" t="inlineStr">
        <is>
          <t>Opportunity Global Investment (PTY) LTD</t>
        </is>
      </c>
      <c r="B14209" s="4" t="n">
        <v>45077</v>
      </c>
      <c r="C14209" s="3" t="inlineStr">
        <is>
          <t>Expenses</t>
        </is>
      </c>
      <c r="D14209" s="3" t="inlineStr">
        <is>
          <t>4550/250</t>
        </is>
      </c>
      <c r="E14209" s="3" t="inlineStr">
        <is>
          <t>Subscriptions - LinkedIn</t>
        </is>
      </c>
      <c r="F14209" s="3" t="n">
        <v>1000.49</v>
      </c>
      <c r="G14209" s="3" t="n">
        <v>4001.96</v>
      </c>
    </row>
    <row r="14210">
      <c r="A14210" s="3" t="inlineStr">
        <is>
          <t>Opportunity Global Investment (PTY) LTD</t>
        </is>
      </c>
      <c r="B14210" s="4" t="n">
        <v>45077</v>
      </c>
      <c r="C14210" s="3" t="inlineStr">
        <is>
          <t>Expenses</t>
        </is>
      </c>
      <c r="D14210" s="3" t="inlineStr">
        <is>
          <t>4550/350</t>
        </is>
      </c>
      <c r="E14210" s="3" t="inlineStr">
        <is>
          <t>Subscriptions - Xero</t>
        </is>
      </c>
      <c r="F14210" s="3" t="n">
        <v>600</v>
      </c>
      <c r="G14210" s="3" t="n">
        <v>1800</v>
      </c>
    </row>
    <row r="14211">
      <c r="A14211" s="3" t="inlineStr">
        <is>
          <t>Opportunity Global Investment (PTY) LTD</t>
        </is>
      </c>
      <c r="B14211" s="4" t="n">
        <v>45077</v>
      </c>
      <c r="C14211" s="3" t="inlineStr">
        <is>
          <t>Expenses</t>
        </is>
      </c>
      <c r="D14211" s="3" t="inlineStr">
        <is>
          <t>4550/400</t>
        </is>
      </c>
      <c r="E14211" s="3" t="inlineStr">
        <is>
          <t>Subscriptions - Moneyweb</t>
        </is>
      </c>
      <c r="F14211" s="3" t="n">
        <v>60.87</v>
      </c>
      <c r="G14211" s="3" t="n">
        <v>170.43</v>
      </c>
    </row>
    <row r="14212">
      <c r="A14212" s="3" t="inlineStr">
        <is>
          <t>Trademark Holdings (Pty) Ltd</t>
        </is>
      </c>
      <c r="B14212" s="4" t="n">
        <v>45077</v>
      </c>
      <c r="C14212" s="3" t="inlineStr">
        <is>
          <t>Expenses</t>
        </is>
      </c>
      <c r="D14212" s="3" t="inlineStr">
        <is>
          <t>4550/400</t>
        </is>
      </c>
      <c r="E14212" s="3" t="inlineStr">
        <is>
          <t>Subscriptions - Xero</t>
        </is>
      </c>
      <c r="F14212" s="3" t="n">
        <v>600</v>
      </c>
      <c r="G14212" s="3" t="n">
        <v>5400</v>
      </c>
    </row>
    <row r="14213">
      <c r="A14213" s="3" t="inlineStr">
        <is>
          <t>Opportunity Global Investment (PTY) LTD</t>
        </is>
      </c>
      <c r="B14213" s="4" t="n">
        <v>45077</v>
      </c>
      <c r="C14213" s="3" t="inlineStr">
        <is>
          <t>Expenses</t>
        </is>
      </c>
      <c r="D14213" s="3" t="inlineStr">
        <is>
          <t>4550/450</t>
        </is>
      </c>
      <c r="E14213" s="3" t="inlineStr">
        <is>
          <t>Subscriptions - Adobe</t>
        </is>
      </c>
      <c r="F14213" s="3" t="n">
        <v>626.99</v>
      </c>
      <c r="G14213" s="3" t="n">
        <v>1808.77</v>
      </c>
    </row>
    <row r="14214">
      <c r="A14214" s="3" t="inlineStr">
        <is>
          <t>Opportunity Global Investment (PTY) LTD</t>
        </is>
      </c>
      <c r="B14214" s="4" t="n">
        <v>45077</v>
      </c>
      <c r="C14214" s="3" t="inlineStr">
        <is>
          <t>Expenses</t>
        </is>
      </c>
      <c r="D14214" s="3" t="inlineStr">
        <is>
          <t>4550/500</t>
        </is>
      </c>
      <c r="E14214" s="3" t="inlineStr">
        <is>
          <t>Subscriptions - Pandadoc</t>
        </is>
      </c>
      <c r="F14214" s="3" t="n">
        <v>545.4</v>
      </c>
      <c r="G14214" s="3" t="n">
        <v>1640.95</v>
      </c>
    </row>
    <row r="14215">
      <c r="A14215" s="3" t="inlineStr">
        <is>
          <t>Noble Shield (Pty) Ltd ta Go Letting</t>
        </is>
      </c>
      <c r="B14215" s="4" t="n">
        <v>45077</v>
      </c>
      <c r="C14215" s="3" t="inlineStr">
        <is>
          <t>Expenses</t>
        </is>
      </c>
      <c r="D14215" s="3" t="inlineStr">
        <is>
          <t>4550/600</t>
        </is>
      </c>
      <c r="E14215" s="3" t="inlineStr">
        <is>
          <t>Subscriptions - Webbox</t>
        </is>
      </c>
      <c r="F14215" s="3" t="n">
        <v>1450.15</v>
      </c>
      <c r="G14215" s="3" t="n">
        <v>12202.65</v>
      </c>
    </row>
    <row r="14216">
      <c r="A14216" s="3" t="inlineStr">
        <is>
          <t>Noble Shield (Pty) Ltd ta Go Letting</t>
        </is>
      </c>
      <c r="B14216" s="4" t="n">
        <v>45077</v>
      </c>
      <c r="C14216" s="3" t="inlineStr">
        <is>
          <t>Expenses</t>
        </is>
      </c>
      <c r="D14216" s="3" t="inlineStr">
        <is>
          <t>4550/650</t>
        </is>
      </c>
      <c r="E14216" s="3" t="inlineStr">
        <is>
          <t>Subscriptions - Xero</t>
        </is>
      </c>
      <c r="F14216" s="3" t="n">
        <v>600</v>
      </c>
      <c r="G14216" s="3" t="n">
        <v>5400</v>
      </c>
    </row>
    <row r="14217">
      <c r="A14217" s="3" t="inlineStr">
        <is>
          <t>Noble Shield (Pty) Ltd ta Go Letting</t>
        </is>
      </c>
      <c r="B14217" s="4" t="n">
        <v>45077</v>
      </c>
      <c r="C14217" s="3" t="inlineStr">
        <is>
          <t>Expenses</t>
        </is>
      </c>
      <c r="D14217" s="3" t="inlineStr">
        <is>
          <t>4550/700</t>
        </is>
      </c>
      <c r="E14217" s="3" t="inlineStr">
        <is>
          <t>Subscriptions - Domain renewals</t>
        </is>
      </c>
      <c r="F14217" s="3" t="n">
        <v>0</v>
      </c>
      <c r="G14217" s="3" t="n">
        <v>440.45</v>
      </c>
    </row>
    <row r="14218">
      <c r="A14218" s="3" t="inlineStr">
        <is>
          <t>Noble Shield (Pty) Ltd ta Go Letting</t>
        </is>
      </c>
      <c r="B14218" s="4" t="n">
        <v>45077</v>
      </c>
      <c r="C14218" s="3" t="inlineStr">
        <is>
          <t>Expenses</t>
        </is>
      </c>
      <c r="D14218" s="3" t="inlineStr">
        <is>
          <t>4550/800</t>
        </is>
      </c>
      <c r="E14218" s="3" t="inlineStr">
        <is>
          <t>Subscriptions - Adobe</t>
        </is>
      </c>
      <c r="F14218" s="3" t="n">
        <v>433.72</v>
      </c>
      <c r="G14218" s="3" t="n">
        <v>3155.23</v>
      </c>
    </row>
    <row r="14219">
      <c r="A14219" s="3" t="inlineStr">
        <is>
          <t>Opportunity Global Sales (PTY) LTD</t>
        </is>
      </c>
      <c r="B14219" s="4" t="n">
        <v>45077</v>
      </c>
      <c r="C14219" s="3" t="inlineStr">
        <is>
          <t>Expenses</t>
        </is>
      </c>
      <c r="D14219" s="3" t="inlineStr">
        <is>
          <t>4551/000</t>
        </is>
      </c>
      <c r="E14219" s="3" t="inlineStr">
        <is>
          <t>Subscriptions - Payprop</t>
        </is>
      </c>
      <c r="F14219" s="3" t="n">
        <v>1621.19</v>
      </c>
      <c r="G14219" s="3" t="n">
        <v>3316.77</v>
      </c>
    </row>
    <row r="14220">
      <c r="A14220" s="3" t="inlineStr">
        <is>
          <t>Endulini (Pty) Ltd</t>
        </is>
      </c>
      <c r="B14220" s="4" t="n">
        <v>45077</v>
      </c>
      <c r="C14220" s="3" t="inlineStr">
        <is>
          <t>Expenses</t>
        </is>
      </c>
      <c r="D14220" s="3" t="inlineStr">
        <is>
          <t>4552/000</t>
        </is>
      </c>
      <c r="E14220" s="3" t="inlineStr">
        <is>
          <t>Subscriptions - Xero</t>
        </is>
      </c>
      <c r="F14220" s="3" t="n">
        <v>600</v>
      </c>
      <c r="G14220" s="3" t="n">
        <v>1800</v>
      </c>
    </row>
    <row r="14221">
      <c r="A14221" s="3" t="inlineStr">
        <is>
          <t>Opportunity Global Sales (PTY) LTD</t>
        </is>
      </c>
      <c r="B14221" s="4" t="n">
        <v>45077</v>
      </c>
      <c r="C14221" s="3" t="inlineStr">
        <is>
          <t>Expenses</t>
        </is>
      </c>
      <c r="D14221" s="3" t="inlineStr">
        <is>
          <t>4552/000</t>
        </is>
      </c>
      <c r="E14221" s="3" t="inlineStr">
        <is>
          <t>Subscriptions - Xero</t>
        </is>
      </c>
      <c r="F14221" s="3" t="n">
        <v>600</v>
      </c>
      <c r="G14221" s="3" t="n">
        <v>1800</v>
      </c>
    </row>
    <row r="14222">
      <c r="A14222" s="3" t="inlineStr">
        <is>
          <t>Opportunity Management Holdings (PTY) LTD</t>
        </is>
      </c>
      <c r="B14222" s="4" t="n">
        <v>45077</v>
      </c>
      <c r="C14222" s="3" t="inlineStr">
        <is>
          <t>Expenses</t>
        </is>
      </c>
      <c r="D14222" s="3" t="inlineStr">
        <is>
          <t>4552/000</t>
        </is>
      </c>
      <c r="E14222" s="3" t="inlineStr">
        <is>
          <t>Subscriptions - Xero</t>
        </is>
      </c>
      <c r="F14222" s="3" t="n">
        <v>600</v>
      </c>
      <c r="G14222" s="3" t="n">
        <v>5400</v>
      </c>
    </row>
    <row r="14223">
      <c r="A14223" s="3" t="inlineStr">
        <is>
          <t>Opportunity Global Sales (PTY) LTD</t>
        </is>
      </c>
      <c r="B14223" s="4" t="n">
        <v>45077</v>
      </c>
      <c r="C14223" s="3" t="inlineStr">
        <is>
          <t>Expenses</t>
        </is>
      </c>
      <c r="D14223" s="3" t="inlineStr">
        <is>
          <t>4553/000</t>
        </is>
      </c>
      <c r="E14223" s="3" t="inlineStr">
        <is>
          <t>Subscriptions - CMA</t>
        </is>
      </c>
      <c r="F14223" s="3" t="n">
        <v>680</v>
      </c>
      <c r="G14223" s="3" t="n">
        <v>2040</v>
      </c>
    </row>
    <row r="14224">
      <c r="A14224" s="3" t="inlineStr">
        <is>
          <t>Quinate Consulting (Pty) Ltd</t>
        </is>
      </c>
      <c r="B14224" s="4" t="n">
        <v>45077</v>
      </c>
      <c r="C14224" s="3" t="inlineStr">
        <is>
          <t>Expenses</t>
        </is>
      </c>
      <c r="D14224" s="3" t="inlineStr">
        <is>
          <t>4554/000</t>
        </is>
      </c>
      <c r="E14224" s="3" t="inlineStr">
        <is>
          <t>Subscriptions - Xero</t>
        </is>
      </c>
      <c r="F14224" s="3" t="n">
        <v>600</v>
      </c>
      <c r="G14224" s="3" t="n">
        <v>1800</v>
      </c>
    </row>
    <row r="14225">
      <c r="A14225" s="3" t="inlineStr">
        <is>
          <t>Opportunity Global Sales (PTY) LTD</t>
        </is>
      </c>
      <c r="B14225" s="4" t="n">
        <v>45077</v>
      </c>
      <c r="C14225" s="3" t="inlineStr">
        <is>
          <t>Expenses</t>
        </is>
      </c>
      <c r="D14225" s="3" t="inlineStr">
        <is>
          <t>4554/000</t>
        </is>
      </c>
      <c r="E14225" s="3" t="inlineStr">
        <is>
          <t>Subscriptions - Zoho</t>
        </is>
      </c>
      <c r="F14225" s="3" t="n">
        <v>750</v>
      </c>
      <c r="G14225" s="3" t="n">
        <v>2250</v>
      </c>
    </row>
    <row r="14226">
      <c r="A14226" s="3" t="inlineStr">
        <is>
          <t>Quinate Consulting (Pty) Ltd</t>
        </is>
      </c>
      <c r="B14226" s="4" t="n">
        <v>45077</v>
      </c>
      <c r="C14226" s="3" t="inlineStr">
        <is>
          <t>Expenses</t>
        </is>
      </c>
      <c r="D14226" s="3" t="inlineStr">
        <is>
          <t>4555/000</t>
        </is>
      </c>
      <c r="E14226" s="3" t="inlineStr">
        <is>
          <t>Subscriptions - OUMS</t>
        </is>
      </c>
      <c r="F14226" s="3" t="n">
        <v>7636.17</v>
      </c>
      <c r="G14226" s="3" t="n">
        <v>22908.51</v>
      </c>
    </row>
    <row r="14227">
      <c r="A14227" s="3" t="inlineStr">
        <is>
          <t>Opportunity Global Investment (PTY) LTD</t>
        </is>
      </c>
      <c r="B14227" s="4" t="n">
        <v>45077</v>
      </c>
      <c r="C14227" s="3" t="inlineStr">
        <is>
          <t>Expenses</t>
        </is>
      </c>
      <c r="D14227" s="3" t="inlineStr">
        <is>
          <t>4600/000</t>
        </is>
      </c>
      <c r="E14227" s="3" t="inlineStr">
        <is>
          <t>Telephone _AND_ Fax</t>
        </is>
      </c>
      <c r="F14227" s="3" t="n">
        <v>3355</v>
      </c>
      <c r="G14227" s="3" t="n">
        <v>10065</v>
      </c>
    </row>
    <row r="14228">
      <c r="A14228" s="3" t="inlineStr">
        <is>
          <t>Trademark Holdings (Pty) Ltd</t>
        </is>
      </c>
      <c r="B14228" s="4" t="n">
        <v>45077</v>
      </c>
      <c r="C14228" s="3" t="inlineStr">
        <is>
          <t>Expenses</t>
        </is>
      </c>
      <c r="D14228" s="3" t="inlineStr">
        <is>
          <t>4600/000</t>
        </is>
      </c>
      <c r="E14228" s="3" t="inlineStr">
        <is>
          <t>Telephone _AND_ Fax</t>
        </is>
      </c>
      <c r="F14228" s="3" t="n">
        <v>1157.98</v>
      </c>
      <c r="G14228" s="3" t="n">
        <v>11872.26</v>
      </c>
    </row>
    <row r="14229">
      <c r="A14229" s="3" t="inlineStr">
        <is>
          <t>Noble Shield (Pty) Ltd ta Go Letting</t>
        </is>
      </c>
      <c r="B14229" s="4" t="n">
        <v>45077</v>
      </c>
      <c r="C14229" s="3" t="inlineStr">
        <is>
          <t>Expenses</t>
        </is>
      </c>
      <c r="D14229" s="3" t="inlineStr">
        <is>
          <t>4610/000</t>
        </is>
      </c>
      <c r="E14229" s="3" t="inlineStr">
        <is>
          <t>Telephone - CT Office</t>
        </is>
      </c>
      <c r="F14229" s="3" t="n">
        <v>858.77</v>
      </c>
      <c r="G14229" s="3" t="n">
        <v>9048.18</v>
      </c>
    </row>
    <row r="14230">
      <c r="A14230" s="3" t="inlineStr">
        <is>
          <t>Noble Shield (Pty) Ltd ta Go Letting</t>
        </is>
      </c>
      <c r="B14230" s="4" t="n">
        <v>45077</v>
      </c>
      <c r="C14230" s="3" t="inlineStr">
        <is>
          <t>Expenses</t>
        </is>
      </c>
      <c r="D14230" s="3" t="inlineStr">
        <is>
          <t>4650/000</t>
        </is>
      </c>
      <c r="E14230" s="3" t="inlineStr">
        <is>
          <t>Travel _AND_ Accommodation</t>
        </is>
      </c>
      <c r="F14230" s="3" t="n">
        <v>0</v>
      </c>
      <c r="G14230" s="3" t="n">
        <v>500</v>
      </c>
    </row>
    <row r="14231">
      <c r="A14231" s="3" t="inlineStr">
        <is>
          <t>Opportunity Management Holdings (PTY) LTD</t>
        </is>
      </c>
      <c r="B14231" s="4" t="n">
        <v>45077</v>
      </c>
      <c r="C14231" s="3" t="inlineStr">
        <is>
          <t>Expenses</t>
        </is>
      </c>
      <c r="D14231" s="3" t="inlineStr">
        <is>
          <t>4650/000</t>
        </is>
      </c>
      <c r="E14231" s="3" t="inlineStr">
        <is>
          <t>Travel _AND_ Accommodation</t>
        </is>
      </c>
      <c r="F14231" s="3" t="n">
        <v>363.66</v>
      </c>
      <c r="G14231" s="3" t="n">
        <v>1132.44</v>
      </c>
    </row>
    <row r="14232">
      <c r="A14232" s="3" t="inlineStr">
        <is>
          <t>Quinate Consulting (Pty) Ltd</t>
        </is>
      </c>
      <c r="B14232" s="4" t="n">
        <v>45077</v>
      </c>
      <c r="C14232" s="3" t="inlineStr">
        <is>
          <t>Expenses</t>
        </is>
      </c>
      <c r="D14232" s="3" t="inlineStr">
        <is>
          <t>4650/010</t>
        </is>
      </c>
      <c r="E14232" s="3" t="inlineStr">
        <is>
          <t>Travel - Local Flights</t>
        </is>
      </c>
      <c r="F14232" s="3" t="n">
        <v>0</v>
      </c>
      <c r="G14232" s="3" t="n">
        <v>6253.04</v>
      </c>
    </row>
    <row r="14233">
      <c r="A14233" s="3" t="inlineStr">
        <is>
          <t>Quinate Consulting (Pty) Ltd</t>
        </is>
      </c>
      <c r="B14233" s="4" t="n">
        <v>45077</v>
      </c>
      <c r="C14233" s="3" t="inlineStr">
        <is>
          <t>Expenses</t>
        </is>
      </c>
      <c r="D14233" s="3" t="inlineStr">
        <is>
          <t>4650/020</t>
        </is>
      </c>
      <c r="E14233" s="3" t="inlineStr">
        <is>
          <t>Travel - Local Accomodation - B_AND_B</t>
        </is>
      </c>
      <c r="F14233" s="3" t="n">
        <v>0</v>
      </c>
      <c r="G14233" s="3" t="n">
        <v>6998.26</v>
      </c>
    </row>
    <row r="14234">
      <c r="A14234" s="3" t="inlineStr">
        <is>
          <t>Opportunity Global Investment (PTY) LTD</t>
        </is>
      </c>
      <c r="B14234" s="4" t="n">
        <v>45077</v>
      </c>
      <c r="C14234" s="3" t="inlineStr">
        <is>
          <t>Expenses</t>
        </is>
      </c>
      <c r="D14234" s="3" t="inlineStr">
        <is>
          <t>4650/020</t>
        </is>
      </c>
      <c r="E14234" s="3" t="inlineStr">
        <is>
          <t>Travel Accomodation - Car Hire</t>
        </is>
      </c>
      <c r="F14234" s="3" t="n">
        <v>1581.74</v>
      </c>
      <c r="G14234" s="3" t="n">
        <v>1581.74</v>
      </c>
    </row>
    <row r="14235">
      <c r="A14235" s="3" t="inlineStr">
        <is>
          <t>Opportunity Global Investment (PTY) LTD</t>
        </is>
      </c>
      <c r="B14235" s="4" t="n">
        <v>45077</v>
      </c>
      <c r="C14235" s="3" t="inlineStr">
        <is>
          <t>Expenses</t>
        </is>
      </c>
      <c r="D14235" s="3" t="inlineStr">
        <is>
          <t>4650/030</t>
        </is>
      </c>
      <c r="E14235" s="3" t="inlineStr">
        <is>
          <t>Travel _AND_ Accomodation - Local Accom</t>
        </is>
      </c>
      <c r="F14235" s="3" t="n">
        <v>0</v>
      </c>
      <c r="G14235" s="3" t="n">
        <v>34.78</v>
      </c>
    </row>
    <row r="14236">
      <c r="A14236" s="3" t="inlineStr">
        <is>
          <t>Quinate Consulting (Pty) Ltd</t>
        </is>
      </c>
      <c r="B14236" s="4" t="n">
        <v>45077</v>
      </c>
      <c r="C14236" s="3" t="inlineStr">
        <is>
          <t>Expenses</t>
        </is>
      </c>
      <c r="D14236" s="3" t="inlineStr">
        <is>
          <t>4650/040</t>
        </is>
      </c>
      <c r="E14236" s="3" t="inlineStr">
        <is>
          <t>Travel - Local Car Hire</t>
        </is>
      </c>
      <c r="F14236" s="3" t="n">
        <v>510.6</v>
      </c>
      <c r="G14236" s="3" t="n">
        <v>510.6</v>
      </c>
    </row>
    <row r="14237">
      <c r="A14237" s="3" t="inlineStr">
        <is>
          <t>Noble Shield (Pty) Ltd ta Go Letting</t>
        </is>
      </c>
      <c r="B14237" s="4" t="n">
        <v>45077</v>
      </c>
      <c r="C14237" s="3" t="inlineStr">
        <is>
          <t>Expenses</t>
        </is>
      </c>
      <c r="D14237" s="3" t="inlineStr">
        <is>
          <t>4650/050</t>
        </is>
      </c>
      <c r="E14237" s="3" t="inlineStr">
        <is>
          <t>Travel - Parking</t>
        </is>
      </c>
      <c r="F14237" s="3" t="n">
        <v>0</v>
      </c>
      <c r="G14237" s="3" t="n">
        <v>16</v>
      </c>
    </row>
    <row r="14238">
      <c r="A14238" s="3" t="inlineStr">
        <is>
          <t>Opportunity Global Investment (PTY) LTD</t>
        </is>
      </c>
      <c r="B14238" s="4" t="n">
        <v>45077</v>
      </c>
      <c r="C14238" s="3" t="inlineStr">
        <is>
          <t>Expenses</t>
        </is>
      </c>
      <c r="D14238" s="3" t="inlineStr">
        <is>
          <t>4650/090</t>
        </is>
      </c>
      <c r="E14238" s="3" t="inlineStr">
        <is>
          <t>Travel &amp; Accom - Fuel</t>
        </is>
      </c>
      <c r="F14238" s="3" t="n">
        <v>1070.15</v>
      </c>
      <c r="G14238" s="3" t="n">
        <v>2632.2</v>
      </c>
    </row>
    <row r="14239">
      <c r="A14239" s="3" t="inlineStr">
        <is>
          <t>Noble Shield (Pty) Ltd ta Go Letting</t>
        </is>
      </c>
      <c r="B14239" s="4" t="n">
        <v>45077</v>
      </c>
      <c r="C14239" s="3" t="inlineStr">
        <is>
          <t>Expenses</t>
        </is>
      </c>
      <c r="D14239" s="3" t="inlineStr">
        <is>
          <t>4700/000</t>
        </is>
      </c>
      <c r="E14239" s="3" t="inlineStr">
        <is>
          <t>PAYE Contributions</t>
        </is>
      </c>
      <c r="F14239" s="3" t="n">
        <v>4755.44</v>
      </c>
      <c r="G14239" s="3" t="n">
        <v>42920.18</v>
      </c>
    </row>
    <row r="14240">
      <c r="A14240" s="3" t="inlineStr">
        <is>
          <t>Trademark Holdings (Pty) Ltd</t>
        </is>
      </c>
      <c r="B14240" s="4" t="n">
        <v>45077</v>
      </c>
      <c r="C14240" s="3" t="inlineStr">
        <is>
          <t>Expenses</t>
        </is>
      </c>
      <c r="D14240" s="3" t="inlineStr">
        <is>
          <t>4700/000</t>
        </is>
      </c>
      <c r="E14240" s="3" t="inlineStr">
        <is>
          <t>PAYE Contributions</t>
        </is>
      </c>
      <c r="F14240" s="3" t="n">
        <v>5025.38</v>
      </c>
      <c r="G14240" s="3" t="n">
        <v>45750.07</v>
      </c>
    </row>
    <row r="14241">
      <c r="A14241" s="3" t="inlineStr">
        <is>
          <t>Opportunity Global Investment (PTY) LTD</t>
        </is>
      </c>
      <c r="B14241" s="4" t="n">
        <v>45077</v>
      </c>
      <c r="C14241" s="3" t="inlineStr">
        <is>
          <t>Expenses</t>
        </is>
      </c>
      <c r="D14241" s="3" t="inlineStr">
        <is>
          <t>4700/000</t>
        </is>
      </c>
      <c r="E14241" s="3" t="inlineStr">
        <is>
          <t>UIF Contributions</t>
        </is>
      </c>
      <c r="F14241" s="3" t="n">
        <v>177.12</v>
      </c>
      <c r="G14241" s="3" t="n">
        <v>531.36</v>
      </c>
    </row>
    <row r="14242">
      <c r="A14242" s="3" t="inlineStr">
        <is>
          <t>Opportunity Global Sales (PTY) LTD</t>
        </is>
      </c>
      <c r="B14242" s="4" t="n">
        <v>45077</v>
      </c>
      <c r="C14242" s="3" t="inlineStr">
        <is>
          <t>Expenses</t>
        </is>
      </c>
      <c r="D14242" s="3" t="inlineStr">
        <is>
          <t>4700/000</t>
        </is>
      </c>
      <c r="E14242" s="3" t="inlineStr">
        <is>
          <t>UIF Contributions</t>
        </is>
      </c>
      <c r="F14242" s="3" t="n">
        <v>312.12</v>
      </c>
      <c r="G14242" s="3" t="n">
        <v>936.36</v>
      </c>
    </row>
    <row r="14243">
      <c r="A14243" s="3" t="inlineStr">
        <is>
          <t>Opportunity Global Sales (PTY) LTD</t>
        </is>
      </c>
      <c r="B14243" s="4" t="n">
        <v>45077</v>
      </c>
      <c r="C14243" s="3" t="inlineStr">
        <is>
          <t>Expenses</t>
        </is>
      </c>
      <c r="D14243" s="3" t="inlineStr">
        <is>
          <t>4701/000</t>
        </is>
      </c>
      <c r="E14243" s="3" t="inlineStr">
        <is>
          <t>UIF Employee Contribution</t>
        </is>
      </c>
      <c r="F14243" s="3" t="n">
        <v>312.12</v>
      </c>
      <c r="G14243" s="3" t="n">
        <v>936.36</v>
      </c>
    </row>
    <row r="14244">
      <c r="A14244" s="3" t="inlineStr">
        <is>
          <t>Opportunity Global Investment (PTY) LTD</t>
        </is>
      </c>
      <c r="B14244" s="4" t="n">
        <v>45077</v>
      </c>
      <c r="C14244" s="3" t="inlineStr">
        <is>
          <t>Expenses</t>
        </is>
      </c>
      <c r="D14244" s="3" t="inlineStr">
        <is>
          <t>4701/000</t>
        </is>
      </c>
      <c r="E14244" s="3" t="inlineStr">
        <is>
          <t>UIF Employee Contributions</t>
        </is>
      </c>
      <c r="F14244" s="3" t="n">
        <v>177.12</v>
      </c>
      <c r="G14244" s="3" t="n">
        <v>531.36</v>
      </c>
    </row>
    <row r="14245">
      <c r="A14245" s="3" t="inlineStr">
        <is>
          <t>Noble Shield (Pty) Ltd ta Go Letting</t>
        </is>
      </c>
      <c r="B14245" s="4" t="n">
        <v>45077</v>
      </c>
      <c r="C14245" s="3" t="inlineStr">
        <is>
          <t>Expenses</t>
        </is>
      </c>
      <c r="D14245" s="3" t="inlineStr">
        <is>
          <t>4710/000</t>
        </is>
      </c>
      <c r="E14245" s="3" t="inlineStr">
        <is>
          <t>UIF Company Contributions</t>
        </is>
      </c>
      <c r="F14245" s="3" t="n">
        <v>245.25</v>
      </c>
      <c r="G14245" s="3" t="n">
        <v>2207.25</v>
      </c>
    </row>
    <row r="14246">
      <c r="A14246" s="3" t="inlineStr">
        <is>
          <t>Trademark Holdings (Pty) Ltd</t>
        </is>
      </c>
      <c r="B14246" s="4" t="n">
        <v>45077</v>
      </c>
      <c r="C14246" s="3" t="inlineStr">
        <is>
          <t>Expenses</t>
        </is>
      </c>
      <c r="D14246" s="3" t="inlineStr">
        <is>
          <t>4710/000</t>
        </is>
      </c>
      <c r="E14246" s="3" t="inlineStr">
        <is>
          <t>UIF Company Contributions</t>
        </is>
      </c>
      <c r="F14246" s="3" t="n">
        <v>95.25</v>
      </c>
      <c r="G14246" s="3" t="n">
        <v>857.25</v>
      </c>
    </row>
    <row r="14247">
      <c r="A14247" s="3" t="inlineStr">
        <is>
          <t>Noble Shield (Pty) Ltd ta Go Letting</t>
        </is>
      </c>
      <c r="B14247" s="4" t="n">
        <v>45077</v>
      </c>
      <c r="C14247" s="3" t="inlineStr">
        <is>
          <t>Expenses</t>
        </is>
      </c>
      <c r="D14247" s="3" t="inlineStr">
        <is>
          <t>4711/000</t>
        </is>
      </c>
      <c r="E14247" s="3" t="inlineStr">
        <is>
          <t>UIF Employee Contribution</t>
        </is>
      </c>
      <c r="F14247" s="3" t="n">
        <v>245.25</v>
      </c>
      <c r="G14247" s="3" t="n">
        <v>2207.25</v>
      </c>
    </row>
    <row r="14248">
      <c r="A14248" s="3" t="inlineStr">
        <is>
          <t>Trademark Holdings (Pty) Ltd</t>
        </is>
      </c>
      <c r="B14248" s="4" t="n">
        <v>45077</v>
      </c>
      <c r="C14248" s="3" t="inlineStr">
        <is>
          <t>Expenses</t>
        </is>
      </c>
      <c r="D14248" s="3" t="inlineStr">
        <is>
          <t>4711/000</t>
        </is>
      </c>
      <c r="E14248" s="3" t="inlineStr">
        <is>
          <t>UIF Employee Contributions</t>
        </is>
      </c>
      <c r="F14248" s="3" t="n">
        <v>95.25</v>
      </c>
      <c r="G14248" s="3" t="n">
        <v>857.25</v>
      </c>
    </row>
    <row r="14249">
      <c r="A14249" s="3" t="inlineStr">
        <is>
          <t>Noble Shield (Pty) Ltd ta Go Letting</t>
        </is>
      </c>
      <c r="B14249" s="4" t="n">
        <v>45077</v>
      </c>
      <c r="C14249" s="3" t="inlineStr">
        <is>
          <t>Expenses</t>
        </is>
      </c>
      <c r="D14249" s="3" t="inlineStr">
        <is>
          <t>4720/000</t>
        </is>
      </c>
      <c r="E14249" s="3" t="inlineStr">
        <is>
          <t>SDL Contributions</t>
        </is>
      </c>
      <c r="F14249" s="3" t="n">
        <v>434.95</v>
      </c>
      <c r="G14249" s="3" t="n">
        <v>3870.96</v>
      </c>
    </row>
    <row r="14250">
      <c r="A14250" s="3" t="inlineStr">
        <is>
          <t>Trademark Holdings (Pty) Ltd</t>
        </is>
      </c>
      <c r="B14250" s="4" t="n">
        <v>45077</v>
      </c>
      <c r="C14250" s="3" t="inlineStr">
        <is>
          <t>Expenses</t>
        </is>
      </c>
      <c r="D14250" s="3" t="inlineStr">
        <is>
          <t>4720/000</t>
        </is>
      </c>
      <c r="E14250" s="3" t="inlineStr">
        <is>
          <t>SDL Contributions</t>
        </is>
      </c>
      <c r="F14250" s="3" t="n">
        <v>309.32</v>
      </c>
      <c r="G14250" s="3" t="n">
        <v>2757.83</v>
      </c>
    </row>
    <row r="14251">
      <c r="A14251" s="3" t="inlineStr">
        <is>
          <t>Opportunity Global Investment (PTY) LTD</t>
        </is>
      </c>
      <c r="B14251" s="4" t="n">
        <v>45077</v>
      </c>
      <c r="C14251" s="3" t="inlineStr">
        <is>
          <t>Expenses</t>
        </is>
      </c>
      <c r="D14251" s="3" t="inlineStr">
        <is>
          <t>4730/000</t>
        </is>
      </c>
      <c r="E14251" s="3" t="inlineStr">
        <is>
          <t>PAYE Contributions</t>
        </is>
      </c>
      <c r="F14251" s="3" t="n">
        <v>8822.27</v>
      </c>
      <c r="G14251" s="3" t="n">
        <v>26466.8</v>
      </c>
    </row>
    <row r="14252">
      <c r="A14252" s="3" t="inlineStr">
        <is>
          <t>Opportunity Global Sales (PTY) LTD</t>
        </is>
      </c>
      <c r="B14252" s="4" t="n">
        <v>45077</v>
      </c>
      <c r="C14252" s="3" t="inlineStr">
        <is>
          <t>Expenses</t>
        </is>
      </c>
      <c r="D14252" s="3" t="inlineStr">
        <is>
          <t>4730/000</t>
        </is>
      </c>
      <c r="E14252" s="3" t="inlineStr">
        <is>
          <t>PAYE Contributions</t>
        </is>
      </c>
      <c r="F14252" s="3" t="n">
        <v>9220.83</v>
      </c>
      <c r="G14252" s="3" t="n">
        <v>27662.5</v>
      </c>
    </row>
    <row r="14253">
      <c r="A14253" s="3" t="inlineStr">
        <is>
          <t>Opportunity Management Holdings (PTY) LTD</t>
        </is>
      </c>
      <c r="B14253" s="4" t="n">
        <v>45077</v>
      </c>
      <c r="C14253" s="3" t="inlineStr">
        <is>
          <t>Expenses</t>
        </is>
      </c>
      <c r="D14253" s="3" t="inlineStr">
        <is>
          <t>4730/000</t>
        </is>
      </c>
      <c r="E14253" s="3" t="inlineStr">
        <is>
          <t>PAYE Contributions</t>
        </is>
      </c>
      <c r="F14253" s="3" t="n">
        <v>44775.18</v>
      </c>
      <c r="G14253" s="3" t="n">
        <v>426516.86</v>
      </c>
    </row>
    <row r="14254">
      <c r="A14254" s="3" t="inlineStr">
        <is>
          <t>Noble Shield (Pty) Ltd ta Go Letting</t>
        </is>
      </c>
      <c r="B14254" s="4" t="n">
        <v>45077</v>
      </c>
      <c r="C14254" s="3" t="inlineStr">
        <is>
          <t>Expenses</t>
        </is>
      </c>
      <c r="D14254" s="3" t="inlineStr">
        <is>
          <t>4730/000</t>
        </is>
      </c>
      <c r="E14254" s="3" t="inlineStr">
        <is>
          <t>Workmans Compensation</t>
        </is>
      </c>
      <c r="F14254" s="3" t="n">
        <v>0</v>
      </c>
      <c r="G14254" s="3" t="n">
        <v>1470.4</v>
      </c>
    </row>
    <row r="14255">
      <c r="A14255" s="3" t="inlineStr">
        <is>
          <t>Opportunity Global Investment (PTY) LTD</t>
        </is>
      </c>
      <c r="B14255" s="4" t="n">
        <v>45077</v>
      </c>
      <c r="C14255" s="3" t="inlineStr">
        <is>
          <t>Expenses</t>
        </is>
      </c>
      <c r="D14255" s="3" t="inlineStr">
        <is>
          <t>4740/000</t>
        </is>
      </c>
      <c r="E14255" s="3" t="inlineStr">
        <is>
          <t>SDL Contributions</t>
        </is>
      </c>
      <c r="F14255" s="3" t="n">
        <v>431.1</v>
      </c>
      <c r="G14255" s="3" t="n">
        <v>1293.3</v>
      </c>
    </row>
    <row r="14256">
      <c r="A14256" s="3" t="inlineStr">
        <is>
          <t>Opportunity Global Sales (PTY) LTD</t>
        </is>
      </c>
      <c r="B14256" s="4" t="n">
        <v>45077</v>
      </c>
      <c r="C14256" s="3" t="inlineStr">
        <is>
          <t>Expenses</t>
        </is>
      </c>
      <c r="D14256" s="3" t="inlineStr">
        <is>
          <t>4740/000</t>
        </is>
      </c>
      <c r="E14256" s="3" t="inlineStr">
        <is>
          <t>SDL Contributions</t>
        </is>
      </c>
      <c r="F14256" s="3" t="n">
        <v>1835.66</v>
      </c>
      <c r="G14256" s="3" t="n">
        <v>6317.11</v>
      </c>
    </row>
    <row r="14257">
      <c r="A14257" s="3" t="inlineStr">
        <is>
          <t>Opportunity Management Holdings (PTY) LTD</t>
        </is>
      </c>
      <c r="B14257" s="4" t="n">
        <v>45077</v>
      </c>
      <c r="C14257" s="3" t="inlineStr">
        <is>
          <t>Expenses</t>
        </is>
      </c>
      <c r="D14257" s="3" t="inlineStr">
        <is>
          <t>4740/000</t>
        </is>
      </c>
      <c r="E14257" s="3" t="inlineStr">
        <is>
          <t>UIF Company Contribution</t>
        </is>
      </c>
      <c r="F14257" s="3" t="n">
        <v>1771.92</v>
      </c>
      <c r="G14257" s="3" t="n">
        <v>15293.85</v>
      </c>
    </row>
    <row r="14258">
      <c r="A14258" s="3" t="inlineStr">
        <is>
          <t>Opportunity Management Holdings (PTY) LTD</t>
        </is>
      </c>
      <c r="B14258" s="4" t="n">
        <v>45077</v>
      </c>
      <c r="C14258" s="3" t="inlineStr">
        <is>
          <t>Expenses</t>
        </is>
      </c>
      <c r="D14258" s="3" t="inlineStr">
        <is>
          <t>4741/000</t>
        </is>
      </c>
      <c r="E14258" s="3" t="inlineStr">
        <is>
          <t>UIF Employee Contribution</t>
        </is>
      </c>
      <c r="F14258" s="3" t="n">
        <v>1771.92</v>
      </c>
      <c r="G14258" s="3" t="n">
        <v>15293.85</v>
      </c>
    </row>
    <row r="14259">
      <c r="A14259" s="3" t="inlineStr">
        <is>
          <t>Opportunity Management Holdings (PTY) LTD</t>
        </is>
      </c>
      <c r="B14259" s="4" t="n">
        <v>45077</v>
      </c>
      <c r="C14259" s="3" t="inlineStr">
        <is>
          <t>Expenses</t>
        </is>
      </c>
      <c r="D14259" s="3" t="inlineStr">
        <is>
          <t>4750/000</t>
        </is>
      </c>
      <c r="E14259" s="3" t="inlineStr">
        <is>
          <t>SDL Contribution</t>
        </is>
      </c>
      <c r="F14259" s="3" t="n">
        <v>2764.2</v>
      </c>
      <c r="G14259" s="3" t="n">
        <v>25087.01</v>
      </c>
    </row>
    <row r="14260">
      <c r="A14260" s="3" t="inlineStr">
        <is>
          <t>Noble Shield (Pty) Ltd ta Go Letting</t>
        </is>
      </c>
      <c r="B14260" s="4" t="n">
        <v>45077</v>
      </c>
      <c r="C14260" s="3" t="inlineStr">
        <is>
          <t>Equity</t>
        </is>
      </c>
      <c r="D14260" s="3" t="inlineStr">
        <is>
          <t>5100/000</t>
        </is>
      </c>
      <c r="E14260" s="3" t="inlineStr">
        <is>
          <t>Share Capital</t>
        </is>
      </c>
      <c r="F14260" s="3" t="n">
        <v>0</v>
      </c>
      <c r="G14260" s="3" t="n">
        <v>-1</v>
      </c>
    </row>
    <row r="14261">
      <c r="A14261" s="3" t="inlineStr">
        <is>
          <t>Opportunity Management Holdings (PTY) LTD</t>
        </is>
      </c>
      <c r="B14261" s="4" t="n">
        <v>45077</v>
      </c>
      <c r="C14261" s="3" t="inlineStr">
        <is>
          <t>Equity</t>
        </is>
      </c>
      <c r="D14261" s="3" t="inlineStr">
        <is>
          <t>5100/000</t>
        </is>
      </c>
      <c r="E14261" s="3" t="inlineStr">
        <is>
          <t>Share Capital / Members Contribution</t>
        </is>
      </c>
      <c r="F14261" s="3" t="n">
        <v>0</v>
      </c>
      <c r="G14261" s="3" t="n">
        <v>-120</v>
      </c>
    </row>
    <row r="14262">
      <c r="A14262" s="3" t="inlineStr">
        <is>
          <t>Quinate Consulting (Pty) Ltd</t>
        </is>
      </c>
      <c r="B14262" s="4" t="n">
        <v>45077</v>
      </c>
      <c r="C14262" s="3" t="inlineStr">
        <is>
          <t>Equity</t>
        </is>
      </c>
      <c r="D14262" s="3" t="inlineStr">
        <is>
          <t>5100/000</t>
        </is>
      </c>
      <c r="E14262" s="3" t="inlineStr">
        <is>
          <t>Share Capital / Members Contribution</t>
        </is>
      </c>
      <c r="F14262" s="3" t="n">
        <v>0</v>
      </c>
      <c r="G14262" s="3" t="n">
        <v>-120</v>
      </c>
    </row>
    <row r="14263">
      <c r="A14263" s="3" t="inlineStr">
        <is>
          <t>Trademark Holdings (Pty) Ltd</t>
        </is>
      </c>
      <c r="B14263" s="4" t="n">
        <v>45077</v>
      </c>
      <c r="C14263" s="3" t="inlineStr">
        <is>
          <t>Equity</t>
        </is>
      </c>
      <c r="D14263" s="3" t="inlineStr">
        <is>
          <t>5100/001</t>
        </is>
      </c>
      <c r="E14263" s="3" t="inlineStr">
        <is>
          <t>Share Capital - GFY Investments</t>
        </is>
      </c>
      <c r="F14263" s="3" t="n">
        <v>0</v>
      </c>
      <c r="G14263" s="3" t="n">
        <v>-60</v>
      </c>
    </row>
    <row r="14264">
      <c r="A14264" s="3" t="inlineStr">
        <is>
          <t>Trademark Holdings (Pty) Ltd</t>
        </is>
      </c>
      <c r="B14264" s="4" t="n">
        <v>45077</v>
      </c>
      <c r="C14264" s="3" t="inlineStr">
        <is>
          <t>Equity</t>
        </is>
      </c>
      <c r="D14264" s="3" t="inlineStr">
        <is>
          <t>5100/002</t>
        </is>
      </c>
      <c r="E14264" s="3" t="inlineStr">
        <is>
          <t>Share Capital - Zak Trust</t>
        </is>
      </c>
      <c r="F14264" s="3" t="n">
        <v>0</v>
      </c>
      <c r="G14264" s="3" t="n">
        <v>-60</v>
      </c>
    </row>
    <row r="14265">
      <c r="A14265" s="3" t="inlineStr">
        <is>
          <t>Opportunity Global Investment (PTY) LTD</t>
        </is>
      </c>
      <c r="B14265" s="4" t="n">
        <v>45077</v>
      </c>
      <c r="C14265" s="3" t="inlineStr">
        <is>
          <t>Equity</t>
        </is>
      </c>
      <c r="D14265" s="3" t="inlineStr">
        <is>
          <t>5101/000</t>
        </is>
      </c>
      <c r="E14265" s="3" t="inlineStr">
        <is>
          <t>Share Capital - Ordinary Type A</t>
        </is>
      </c>
      <c r="F14265" s="3" t="n">
        <v>0</v>
      </c>
      <c r="G14265" s="3" t="n">
        <v>-70</v>
      </c>
    </row>
    <row r="14266">
      <c r="A14266" s="3" t="inlineStr">
        <is>
          <t>Opportunity Global Investment (PTY) LTD</t>
        </is>
      </c>
      <c r="B14266" s="4" t="n">
        <v>45077</v>
      </c>
      <c r="C14266" s="3" t="inlineStr">
        <is>
          <t>Equity</t>
        </is>
      </c>
      <c r="D14266" s="3" t="inlineStr">
        <is>
          <t>5102/000</t>
        </is>
      </c>
      <c r="E14266" s="3" t="inlineStr">
        <is>
          <t>Share Capital - Ordinary Type B</t>
        </is>
      </c>
      <c r="F14266" s="3" t="n">
        <v>0</v>
      </c>
      <c r="G14266" s="3" t="n">
        <v>-30</v>
      </c>
    </row>
    <row r="14267">
      <c r="A14267" s="3" t="inlineStr">
        <is>
          <t>Endulini (Pty) Ltd</t>
        </is>
      </c>
      <c r="B14267" s="4" t="n">
        <v>45077</v>
      </c>
      <c r="C14267" s="3" t="inlineStr">
        <is>
          <t>Equity</t>
        </is>
      </c>
      <c r="D14267" s="3" t="inlineStr">
        <is>
          <t>5200/000</t>
        </is>
      </c>
      <c r="E14267" s="3" t="inlineStr">
        <is>
          <t>Retained Earnings / Loss</t>
        </is>
      </c>
      <c r="F14267" s="3" t="n">
        <v>0</v>
      </c>
      <c r="G14267" s="3" t="n">
        <v>-6017232.05</v>
      </c>
    </row>
    <row r="14268">
      <c r="A14268" s="3" t="inlineStr">
        <is>
          <t>Noble Shield (Pty) Ltd ta Go Letting</t>
        </is>
      </c>
      <c r="B14268" s="4" t="n">
        <v>45077</v>
      </c>
      <c r="C14268" s="3" t="inlineStr">
        <is>
          <t>Equity</t>
        </is>
      </c>
      <c r="D14268" s="3" t="inlineStr">
        <is>
          <t>5200/000</t>
        </is>
      </c>
      <c r="E14268" s="3" t="inlineStr">
        <is>
          <t>Retained Earnings / Loss</t>
        </is>
      </c>
      <c r="F14268" s="3" t="n">
        <v>0</v>
      </c>
      <c r="G14268" s="3" t="n">
        <v>-64792.67</v>
      </c>
    </row>
    <row r="14269">
      <c r="A14269" s="3" t="inlineStr">
        <is>
          <t>Opportunity Global Investment (PTY) LTD</t>
        </is>
      </c>
      <c r="B14269" s="4" t="n">
        <v>45077</v>
      </c>
      <c r="C14269" s="3" t="inlineStr">
        <is>
          <t>Equity</t>
        </is>
      </c>
      <c r="D14269" s="3" t="inlineStr">
        <is>
          <t>5200/000</t>
        </is>
      </c>
      <c r="E14269" s="3" t="inlineStr">
        <is>
          <t>Retained Earnings / Loss</t>
        </is>
      </c>
      <c r="F14269" s="3" t="n">
        <v>0</v>
      </c>
      <c r="G14269" s="3" t="n">
        <v>2134849.73</v>
      </c>
    </row>
    <row r="14270">
      <c r="A14270" s="3" t="inlineStr">
        <is>
          <t>Opportunity Global Sales (PTY) LTD</t>
        </is>
      </c>
      <c r="B14270" s="4" t="n">
        <v>45077</v>
      </c>
      <c r="C14270" s="3" t="inlineStr">
        <is>
          <t>Equity</t>
        </is>
      </c>
      <c r="D14270" s="3" t="inlineStr">
        <is>
          <t>5200/000</t>
        </is>
      </c>
      <c r="E14270" s="3" t="inlineStr">
        <is>
          <t>Retained Earnings / Loss</t>
        </is>
      </c>
      <c r="F14270" s="3" t="n">
        <v>0</v>
      </c>
      <c r="G14270" s="3" t="n">
        <v>-2287097.79</v>
      </c>
    </row>
    <row r="14271">
      <c r="A14271" s="3" t="inlineStr">
        <is>
          <t>Opportunity Management Holdings (PTY) LTD</t>
        </is>
      </c>
      <c r="B14271" s="4" t="n">
        <v>45077</v>
      </c>
      <c r="C14271" s="3" t="inlineStr">
        <is>
          <t>Equity</t>
        </is>
      </c>
      <c r="D14271" s="3" t="inlineStr">
        <is>
          <t>5200/000</t>
        </is>
      </c>
      <c r="E14271" s="3" t="inlineStr">
        <is>
          <t>Retained Earnings / Loss</t>
        </is>
      </c>
      <c r="F14271" s="3" t="n">
        <v>0</v>
      </c>
      <c r="G14271" s="3" t="n">
        <v>1230800.76</v>
      </c>
    </row>
    <row r="14272">
      <c r="A14272" s="3" t="inlineStr">
        <is>
          <t>Quinate Consulting (Pty) Ltd</t>
        </is>
      </c>
      <c r="B14272" s="4" t="n">
        <v>45077</v>
      </c>
      <c r="C14272" s="3" t="inlineStr">
        <is>
          <t>Equity</t>
        </is>
      </c>
      <c r="D14272" s="3" t="inlineStr">
        <is>
          <t>5200/000</t>
        </is>
      </c>
      <c r="E14272" s="3" t="inlineStr">
        <is>
          <t>Retained Earnings / Loss</t>
        </is>
      </c>
      <c r="F14272" s="3" t="n">
        <v>0</v>
      </c>
      <c r="G14272" s="3" t="n">
        <v>1549164.28</v>
      </c>
    </row>
    <row r="14273">
      <c r="A14273" s="3" t="inlineStr">
        <is>
          <t>Trademark Holdings (Pty) Ltd</t>
        </is>
      </c>
      <c r="B14273" s="4" t="n">
        <v>45077</v>
      </c>
      <c r="C14273" s="3" t="inlineStr">
        <is>
          <t>Equity</t>
        </is>
      </c>
      <c r="D14273" s="3" t="inlineStr">
        <is>
          <t>5200/000</t>
        </is>
      </c>
      <c r="E14273" s="3" t="inlineStr">
        <is>
          <t>Retained Earnings / Loss</t>
        </is>
      </c>
      <c r="F14273" s="3" t="n">
        <v>0</v>
      </c>
      <c r="G14273" s="3" t="n">
        <v>-155356.41</v>
      </c>
    </row>
    <row r="14274">
      <c r="A14274" s="3" t="inlineStr">
        <is>
          <t>Quinate Consulting (Pty) Ltd</t>
        </is>
      </c>
      <c r="B14274" s="4" t="n">
        <v>45077</v>
      </c>
      <c r="C14274" s="3" t="inlineStr">
        <is>
          <t>Assets</t>
        </is>
      </c>
      <c r="D14274" s="3" t="inlineStr">
        <is>
          <t>5400/011</t>
        </is>
      </c>
      <c r="E14274" s="3" t="inlineStr">
        <is>
          <t>Members Loan - Nick Morgan</t>
        </is>
      </c>
      <c r="F14274" s="3" t="n">
        <v>0</v>
      </c>
      <c r="G14274" s="3" t="n">
        <v>-85743.69</v>
      </c>
    </row>
    <row r="14275">
      <c r="A14275" s="3" t="inlineStr">
        <is>
          <t>Opportunity Management Holdings (PTY) LTD</t>
        </is>
      </c>
      <c r="B14275" s="4" t="n">
        <v>45077</v>
      </c>
      <c r="C14275" s="3" t="inlineStr">
        <is>
          <t>Assets</t>
        </is>
      </c>
      <c r="D14275" s="3" t="inlineStr">
        <is>
          <t>5400/500</t>
        </is>
      </c>
      <c r="E14275" s="3" t="inlineStr">
        <is>
          <t>Shareholder - Zak Loan</t>
        </is>
      </c>
      <c r="F14275" s="3" t="n">
        <v>0</v>
      </c>
      <c r="G14275" s="3" t="n">
        <v>-171798.21</v>
      </c>
    </row>
    <row r="14276">
      <c r="A14276" s="3" t="inlineStr">
        <is>
          <t>Quinate Consulting (Pty) Ltd</t>
        </is>
      </c>
      <c r="B14276" s="4" t="n">
        <v>45077</v>
      </c>
      <c r="C14276" s="3" t="inlineStr">
        <is>
          <t>Liabilities</t>
        </is>
      </c>
      <c r="D14276" s="3" t="inlineStr">
        <is>
          <t>5500/010</t>
        </is>
      </c>
      <c r="E14276" s="3" t="inlineStr">
        <is>
          <t>Loan - Wynand Haywood</t>
        </is>
      </c>
      <c r="F14276" s="3" t="n">
        <v>0</v>
      </c>
      <c r="G14276" s="3" t="n">
        <v>1928.67</v>
      </c>
    </row>
    <row r="14277">
      <c r="A14277" s="3" t="inlineStr">
        <is>
          <t>Quinate Consulting (Pty) Ltd</t>
        </is>
      </c>
      <c r="B14277" s="4" t="n">
        <v>45077</v>
      </c>
      <c r="C14277" s="3" t="inlineStr">
        <is>
          <t>Liabilities</t>
        </is>
      </c>
      <c r="D14277" s="3" t="inlineStr">
        <is>
          <t>5500/025</t>
        </is>
      </c>
      <c r="E14277" s="3" t="inlineStr">
        <is>
          <t>Loan - Noble Shield 2 Security Trust</t>
        </is>
      </c>
      <c r="F14277" s="3" t="n">
        <v>0</v>
      </c>
      <c r="G14277" s="3" t="n">
        <v>50</v>
      </c>
    </row>
    <row r="14278">
      <c r="A14278" s="3" t="inlineStr">
        <is>
          <t>Quinate Consulting (Pty) Ltd</t>
        </is>
      </c>
      <c r="B14278" s="4" t="n">
        <v>45077</v>
      </c>
      <c r="C14278" s="3" t="inlineStr">
        <is>
          <t>Liabilities</t>
        </is>
      </c>
      <c r="D14278" s="3" t="inlineStr">
        <is>
          <t>5500/030</t>
        </is>
      </c>
      <c r="E14278" s="3" t="inlineStr">
        <is>
          <t>Loan - Heron Projects</t>
        </is>
      </c>
      <c r="F14278" s="3" t="n">
        <v>4200</v>
      </c>
      <c r="G14278" s="3" t="n">
        <v>12400</v>
      </c>
    </row>
    <row r="14279">
      <c r="A14279" s="3" t="inlineStr">
        <is>
          <t>Opportunity Global Investment (PTY) LTD</t>
        </is>
      </c>
      <c r="B14279" s="4" t="n">
        <v>45077</v>
      </c>
      <c r="C14279" s="3" t="inlineStr">
        <is>
          <t>Liabilities</t>
        </is>
      </c>
      <c r="D14279" s="3" t="inlineStr">
        <is>
          <t>5500/100</t>
        </is>
      </c>
      <c r="E14279" s="3" t="inlineStr">
        <is>
          <t>Loan - Cape Projects Construction</t>
        </is>
      </c>
      <c r="F14279" s="3" t="n">
        <v>0</v>
      </c>
      <c r="G14279" s="3" t="n">
        <v>2261000</v>
      </c>
    </row>
    <row r="14280">
      <c r="A14280" s="3" t="inlineStr">
        <is>
          <t>Noble Shield (Pty) Ltd ta Go Letting</t>
        </is>
      </c>
      <c r="B14280" s="4" t="n">
        <v>45077</v>
      </c>
      <c r="C14280" s="3" t="inlineStr">
        <is>
          <t>Liabilities</t>
        </is>
      </c>
      <c r="D14280" s="3" t="inlineStr">
        <is>
          <t>5500/100</t>
        </is>
      </c>
      <c r="E14280" s="3" t="inlineStr">
        <is>
          <t>Loan - Jupiter Trust</t>
        </is>
      </c>
      <c r="F14280" s="3" t="n">
        <v>0</v>
      </c>
      <c r="G14280" s="3" t="n">
        <v>-100228.75</v>
      </c>
    </row>
    <row r="14281">
      <c r="A14281" s="3" t="inlineStr">
        <is>
          <t>Opportunity Management Holdings (PTY) LTD</t>
        </is>
      </c>
      <c r="B14281" s="4" t="n">
        <v>45077</v>
      </c>
      <c r="C14281" s="3" t="inlineStr">
        <is>
          <t>Liabilities</t>
        </is>
      </c>
      <c r="D14281" s="3" t="inlineStr">
        <is>
          <t>5500/100</t>
        </is>
      </c>
      <c r="E14281" s="3" t="inlineStr">
        <is>
          <t>Loan - Opportunity Global</t>
        </is>
      </c>
      <c r="F14281" s="3" t="n">
        <v>0</v>
      </c>
      <c r="G14281" s="3" t="n">
        <v>-20000</v>
      </c>
    </row>
    <row r="14282">
      <c r="A14282" s="3" t="inlineStr">
        <is>
          <t>Endulini (Pty) Ltd</t>
        </is>
      </c>
      <c r="B14282" s="4" t="n">
        <v>45077</v>
      </c>
      <c r="C14282" s="3" t="inlineStr">
        <is>
          <t>Liabilities</t>
        </is>
      </c>
      <c r="D14282" s="3" t="inlineStr">
        <is>
          <t>5500/100</t>
        </is>
      </c>
      <c r="E14282" s="3" t="inlineStr">
        <is>
          <t>Loan - Quinate Consulting</t>
        </is>
      </c>
      <c r="F14282" s="3" t="n">
        <v>-31600</v>
      </c>
      <c r="G14282" s="3" t="n">
        <v>-9532949.1</v>
      </c>
    </row>
    <row r="14283">
      <c r="A14283" s="3" t="inlineStr">
        <is>
          <t>Opportunity Global Investment (PTY) LTD</t>
        </is>
      </c>
      <c r="B14283" s="4" t="n">
        <v>45077</v>
      </c>
      <c r="C14283" s="3" t="inlineStr">
        <is>
          <t>Liabilities</t>
        </is>
      </c>
      <c r="D14283" s="3" t="inlineStr">
        <is>
          <t>5500/112</t>
        </is>
      </c>
      <c r="E14283" s="3" t="inlineStr">
        <is>
          <t>Loan - GFY</t>
        </is>
      </c>
      <c r="F14283" s="3" t="n">
        <v>0</v>
      </c>
      <c r="G14283" s="3" t="n">
        <v>-105000</v>
      </c>
    </row>
    <row r="14284">
      <c r="A14284" s="3" t="inlineStr">
        <is>
          <t>Endulini (Pty) Ltd</t>
        </is>
      </c>
      <c r="B14284" s="4" t="n">
        <v>45077</v>
      </c>
      <c r="C14284" s="3" t="inlineStr">
        <is>
          <t>Liabilities</t>
        </is>
      </c>
      <c r="D14284" s="3" t="inlineStr">
        <is>
          <t>5500/150</t>
        </is>
      </c>
      <c r="E14284" s="3" t="inlineStr">
        <is>
          <t>Loan - Cape Projects Construction</t>
        </is>
      </c>
      <c r="F14284" s="3" t="n">
        <v>-2665000</v>
      </c>
      <c r="G14284" s="3" t="n">
        <v>-14100000</v>
      </c>
    </row>
    <row r="14285">
      <c r="A14285" s="3" t="inlineStr">
        <is>
          <t>Quinate Consulting (Pty) Ltd</t>
        </is>
      </c>
      <c r="B14285" s="4" t="n">
        <v>45077</v>
      </c>
      <c r="C14285" s="3" t="inlineStr">
        <is>
          <t>Liabilities</t>
        </is>
      </c>
      <c r="D14285" s="3" t="inlineStr">
        <is>
          <t>5500/160</t>
        </is>
      </c>
      <c r="E14285" s="3" t="inlineStr">
        <is>
          <t>Loan - GFY Investment and Consulting</t>
        </is>
      </c>
      <c r="F14285" s="3" t="n">
        <v>0</v>
      </c>
      <c r="G14285" s="3" t="n">
        <v>-1750249.93</v>
      </c>
    </row>
    <row r="14286">
      <c r="A14286" s="3" t="inlineStr">
        <is>
          <t>Opportunity Management Holdings (PTY) LTD</t>
        </is>
      </c>
      <c r="B14286" s="4" t="n">
        <v>45077</v>
      </c>
      <c r="C14286" s="3" t="inlineStr">
        <is>
          <t>Liabilities</t>
        </is>
      </c>
      <c r="D14286" s="3" t="inlineStr">
        <is>
          <t>5500/200</t>
        </is>
      </c>
      <c r="E14286" s="3" t="inlineStr">
        <is>
          <t>Loan - Cape Projects</t>
        </is>
      </c>
      <c r="F14286" s="3" t="n">
        <v>-131500</v>
      </c>
      <c r="G14286" s="3" t="n">
        <v>-11500</v>
      </c>
    </row>
    <row r="14287">
      <c r="A14287" s="3" t="inlineStr">
        <is>
          <t>Trademark Holdings (Pty) Ltd</t>
        </is>
      </c>
      <c r="B14287" s="4" t="n">
        <v>45077</v>
      </c>
      <c r="C14287" s="3" t="inlineStr">
        <is>
          <t>Liabilities</t>
        </is>
      </c>
      <c r="D14287" s="3" t="inlineStr">
        <is>
          <t>5500/250</t>
        </is>
      </c>
      <c r="E14287" s="3" t="inlineStr">
        <is>
          <t>Loan - Noble Shield</t>
        </is>
      </c>
      <c r="F14287" s="3" t="n">
        <v>0</v>
      </c>
      <c r="G14287" s="3" t="n">
        <v>148165.59</v>
      </c>
    </row>
    <row r="14288">
      <c r="A14288" s="3" t="inlineStr">
        <is>
          <t>Opportunity Management Holdings (PTY) LTD</t>
        </is>
      </c>
      <c r="B14288" s="4" t="n">
        <v>45077</v>
      </c>
      <c r="C14288" s="3" t="inlineStr">
        <is>
          <t>Liabilities</t>
        </is>
      </c>
      <c r="D14288" s="3" t="inlineStr">
        <is>
          <t>5500/250</t>
        </is>
      </c>
      <c r="E14288" s="3" t="inlineStr">
        <is>
          <t>Loan - Quinate</t>
        </is>
      </c>
      <c r="F14288" s="3" t="n">
        <v>0</v>
      </c>
      <c r="G14288" s="3" t="n">
        <v>-20000</v>
      </c>
    </row>
    <row r="14289">
      <c r="A14289" s="3" t="inlineStr">
        <is>
          <t>Quinate Consulting (Pty) Ltd</t>
        </is>
      </c>
      <c r="B14289" s="4" t="n">
        <v>45077</v>
      </c>
      <c r="C14289" s="3" t="inlineStr">
        <is>
          <t>Liabilities</t>
        </is>
      </c>
      <c r="D14289" s="3" t="inlineStr">
        <is>
          <t>5500/300</t>
        </is>
      </c>
      <c r="E14289" s="3" t="inlineStr">
        <is>
          <t>Loan - Gengis</t>
        </is>
      </c>
      <c r="F14289" s="3" t="n">
        <v>-3516.16</v>
      </c>
      <c r="G14289" s="3" t="n">
        <v>-315818.07</v>
      </c>
    </row>
    <row r="14290">
      <c r="A14290" s="3" t="inlineStr">
        <is>
          <t>Opportunity Management Holdings (PTY) LTD</t>
        </is>
      </c>
      <c r="B14290" s="4" t="n">
        <v>45077</v>
      </c>
      <c r="C14290" s="3" t="inlineStr">
        <is>
          <t>Liabilities</t>
        </is>
      </c>
      <c r="D14290" s="3" t="inlineStr">
        <is>
          <t>5500/300</t>
        </is>
      </c>
      <c r="E14290" s="3" t="inlineStr">
        <is>
          <t>Loan - Opportunity Prop Management</t>
        </is>
      </c>
      <c r="F14290" s="3" t="n">
        <v>0</v>
      </c>
      <c r="G14290" s="3" t="n">
        <v>-1220204.15</v>
      </c>
    </row>
    <row r="14291">
      <c r="A14291" s="3" t="inlineStr">
        <is>
          <t>Noble Shield (Pty) Ltd ta Go Letting</t>
        </is>
      </c>
      <c r="B14291" s="4" t="n">
        <v>45077</v>
      </c>
      <c r="C14291" s="3" t="inlineStr">
        <is>
          <t>Liabilities</t>
        </is>
      </c>
      <c r="D14291" s="3" t="inlineStr">
        <is>
          <t>5500/300</t>
        </is>
      </c>
      <c r="E14291" s="3" t="inlineStr">
        <is>
          <t>Loan - Trademark Holdings</t>
        </is>
      </c>
      <c r="F14291" s="3" t="n">
        <v>0</v>
      </c>
      <c r="G14291" s="3" t="n">
        <v>-148165.59</v>
      </c>
    </row>
    <row r="14292">
      <c r="A14292" s="3" t="inlineStr">
        <is>
          <t>Trademark Holdings (Pty) Ltd</t>
        </is>
      </c>
      <c r="B14292" s="4" t="n">
        <v>45077</v>
      </c>
      <c r="C14292" s="3" t="inlineStr">
        <is>
          <t>Liabilities</t>
        </is>
      </c>
      <c r="D14292" s="3" t="inlineStr">
        <is>
          <t>5500/375</t>
        </is>
      </c>
      <c r="E14292" s="3" t="inlineStr">
        <is>
          <t>Loan - Opportunity Management Holdings Pty Ltd</t>
        </is>
      </c>
      <c r="F14292" s="3" t="n">
        <v>0</v>
      </c>
      <c r="G14292" s="3" t="n">
        <v>19000</v>
      </c>
    </row>
    <row r="14293">
      <c r="A14293" s="3" t="inlineStr">
        <is>
          <t>Trademark Holdings (Pty) Ltd</t>
        </is>
      </c>
      <c r="B14293" s="4" t="n">
        <v>45077</v>
      </c>
      <c r="C14293" s="3" t="inlineStr">
        <is>
          <t>Liabilities</t>
        </is>
      </c>
      <c r="D14293" s="3" t="inlineStr">
        <is>
          <t>5500/450</t>
        </is>
      </c>
      <c r="E14293" s="3" t="inlineStr">
        <is>
          <t>Loan - Cape Projects Construction</t>
        </is>
      </c>
      <c r="F14293" s="3" t="n">
        <v>1200</v>
      </c>
      <c r="G14293" s="3" t="n">
        <v>0</v>
      </c>
    </row>
    <row r="14294">
      <c r="A14294" s="3" t="inlineStr">
        <is>
          <t>Trademark Holdings (Pty) Ltd</t>
        </is>
      </c>
      <c r="B14294" s="4" t="n">
        <v>45077</v>
      </c>
      <c r="C14294" s="3" t="inlineStr">
        <is>
          <t>Liabilities</t>
        </is>
      </c>
      <c r="D14294" s="3" t="inlineStr">
        <is>
          <t>5500/500</t>
        </is>
      </c>
      <c r="E14294" s="3" t="inlineStr">
        <is>
          <t>Go Letting Brand Name</t>
        </is>
      </c>
      <c r="F14294" s="3" t="n">
        <v>0</v>
      </c>
      <c r="G14294" s="3" t="n">
        <v>93420</v>
      </c>
    </row>
    <row r="14295">
      <c r="A14295" s="3" t="inlineStr">
        <is>
          <t>Noble Shield (Pty) Ltd ta Go Letting</t>
        </is>
      </c>
      <c r="B14295" s="4" t="n">
        <v>45077</v>
      </c>
      <c r="C14295" s="3" t="inlineStr">
        <is>
          <t>Liabilities</t>
        </is>
      </c>
      <c r="D14295" s="3" t="inlineStr">
        <is>
          <t>5500/500</t>
        </is>
      </c>
      <c r="E14295" s="3" t="inlineStr">
        <is>
          <t>Loan - Cape Projects Construction</t>
        </is>
      </c>
      <c r="F14295" s="3" t="n">
        <v>1200</v>
      </c>
      <c r="G14295" s="3" t="n">
        <v>0</v>
      </c>
    </row>
    <row r="14296">
      <c r="A14296" s="3" t="inlineStr">
        <is>
          <t>Quinate Consulting (Pty) Ltd</t>
        </is>
      </c>
      <c r="B14296" s="4" t="n">
        <v>45077</v>
      </c>
      <c r="C14296" s="3" t="inlineStr">
        <is>
          <t>Liabilities</t>
        </is>
      </c>
      <c r="D14296" s="3" t="inlineStr">
        <is>
          <t>5500/500</t>
        </is>
      </c>
      <c r="E14296" s="3" t="inlineStr">
        <is>
          <t>Loan - Opportunity Development Struct.</t>
        </is>
      </c>
      <c r="F14296" s="3" t="n">
        <v>0</v>
      </c>
      <c r="G14296" s="3" t="n">
        <v>-2380000</v>
      </c>
    </row>
    <row r="14297">
      <c r="A14297" s="3" t="inlineStr">
        <is>
          <t>Opportunity Management Holdings (PTY) LTD</t>
        </is>
      </c>
      <c r="B14297" s="4" t="n">
        <v>45077</v>
      </c>
      <c r="C14297" s="3" t="inlineStr">
        <is>
          <t>Liabilities</t>
        </is>
      </c>
      <c r="D14297" s="3" t="inlineStr">
        <is>
          <t>5500/500</t>
        </is>
      </c>
      <c r="E14297" s="3" t="inlineStr">
        <is>
          <t>Loan - Opportunity Tradermark Holdings</t>
        </is>
      </c>
      <c r="F14297" s="3" t="n">
        <v>0</v>
      </c>
      <c r="G14297" s="3" t="n">
        <v>-19000</v>
      </c>
    </row>
    <row r="14298">
      <c r="A14298" s="3" t="inlineStr">
        <is>
          <t>Quinate Consulting (Pty) Ltd</t>
        </is>
      </c>
      <c r="B14298" s="4" t="n">
        <v>45077</v>
      </c>
      <c r="C14298" s="3" t="inlineStr">
        <is>
          <t>Liabilities</t>
        </is>
      </c>
      <c r="D14298" s="3" t="inlineStr">
        <is>
          <t>5500/520</t>
        </is>
      </c>
      <c r="E14298" s="3" t="inlineStr">
        <is>
          <t>Loan - Opportunity Management Holdings</t>
        </is>
      </c>
      <c r="F14298" s="3" t="n">
        <v>0</v>
      </c>
      <c r="G14298" s="3" t="n">
        <v>16100</v>
      </c>
    </row>
    <row r="14299">
      <c r="A14299" s="3" t="inlineStr">
        <is>
          <t>Opportunity Management Holdings (PTY) LTD</t>
        </is>
      </c>
      <c r="B14299" s="4" t="n">
        <v>45077</v>
      </c>
      <c r="C14299" s="3" t="inlineStr">
        <is>
          <t>Liabilities</t>
        </is>
      </c>
      <c r="D14299" s="3" t="inlineStr">
        <is>
          <t>5500/550</t>
        </is>
      </c>
      <c r="E14299" s="3" t="inlineStr">
        <is>
          <t>Loan - Heron Projects</t>
        </is>
      </c>
      <c r="F14299" s="3" t="n">
        <v>19000</v>
      </c>
      <c r="G14299" s="3" t="n">
        <v>-45000</v>
      </c>
    </row>
    <row r="14300">
      <c r="A14300" s="3" t="inlineStr">
        <is>
          <t>Noble Shield (Pty) Ltd ta Go Letting</t>
        </is>
      </c>
      <c r="B14300" s="4" t="n">
        <v>45077</v>
      </c>
      <c r="C14300" s="3" t="inlineStr">
        <is>
          <t>Liabilities</t>
        </is>
      </c>
      <c r="D14300" s="3" t="inlineStr">
        <is>
          <t>5500/600</t>
        </is>
      </c>
      <c r="E14300" s="3" t="inlineStr">
        <is>
          <t>Loan - Heron Projects</t>
        </is>
      </c>
      <c r="F14300" s="3" t="n">
        <v>0</v>
      </c>
      <c r="G14300" s="3" t="n">
        <v>20898.22</v>
      </c>
    </row>
    <row r="14301">
      <c r="A14301" s="3" t="inlineStr">
        <is>
          <t>Opportunity Global Investment (PTY) LTD</t>
        </is>
      </c>
      <c r="B14301" s="4" t="n">
        <v>45077</v>
      </c>
      <c r="C14301" s="3" t="inlineStr">
        <is>
          <t>Liabilities</t>
        </is>
      </c>
      <c r="D14301" s="3" t="inlineStr">
        <is>
          <t>5500/650</t>
        </is>
      </c>
      <c r="E14301" s="3" t="inlineStr">
        <is>
          <t>Loan - Opportunit Global - Sales</t>
        </is>
      </c>
      <c r="F14301" s="3" t="n">
        <v>-283358.09</v>
      </c>
      <c r="G14301" s="3" t="n">
        <v>-3145943.97</v>
      </c>
    </row>
    <row r="14302">
      <c r="A14302" s="3" t="inlineStr">
        <is>
          <t>Opportunity Global Sales (PTY) LTD</t>
        </is>
      </c>
      <c r="B14302" s="4" t="n">
        <v>45077</v>
      </c>
      <c r="C14302" s="3" t="inlineStr">
        <is>
          <t>Liabilities</t>
        </is>
      </c>
      <c r="D14302" s="3" t="inlineStr">
        <is>
          <t>5500/650</t>
        </is>
      </c>
      <c r="E14302" s="3" t="inlineStr">
        <is>
          <t>Loan - Opportunity Investments</t>
        </is>
      </c>
      <c r="F14302" s="3" t="n">
        <v>283358.09</v>
      </c>
      <c r="G14302" s="3" t="n">
        <v>3145943.97</v>
      </c>
    </row>
    <row r="14303">
      <c r="A14303" s="3" t="inlineStr">
        <is>
          <t>Opportunity Management Holdings (PTY) LTD</t>
        </is>
      </c>
      <c r="B14303" s="4" t="n">
        <v>45077</v>
      </c>
      <c r="C14303" s="3" t="inlineStr">
        <is>
          <t>Liabilities</t>
        </is>
      </c>
      <c r="D14303" s="3" t="inlineStr">
        <is>
          <t>5500/700</t>
        </is>
      </c>
      <c r="E14303" s="3" t="inlineStr">
        <is>
          <t>Loan - Go Letting</t>
        </is>
      </c>
      <c r="F14303" s="3" t="n">
        <v>0</v>
      </c>
      <c r="G14303" s="3" t="n">
        <v>-120</v>
      </c>
    </row>
    <row r="14304">
      <c r="A14304" s="3" t="inlineStr">
        <is>
          <t>Opportunity Global Investment (PTY) LTD</t>
        </is>
      </c>
      <c r="B14304" s="4" t="n">
        <v>45077</v>
      </c>
      <c r="C14304" s="3" t="inlineStr">
        <is>
          <t>Liabilities</t>
        </is>
      </c>
      <c r="D14304" s="3" t="inlineStr">
        <is>
          <t>5500/750</t>
        </is>
      </c>
      <c r="E14304" s="3" t="inlineStr">
        <is>
          <t>Loan - Heron Projects</t>
        </is>
      </c>
      <c r="F14304" s="3" t="n">
        <v>-349000</v>
      </c>
      <c r="G14304" s="3" t="n">
        <v>-952000</v>
      </c>
    </row>
    <row r="14305">
      <c r="A14305" s="3" t="inlineStr">
        <is>
          <t>Opportunity Global Investment (PTY) LTD</t>
        </is>
      </c>
      <c r="B14305" s="4" t="n">
        <v>45077</v>
      </c>
      <c r="C14305" s="3" t="inlineStr">
        <is>
          <t>Liabilities</t>
        </is>
      </c>
      <c r="D14305" s="3" t="inlineStr">
        <is>
          <t>5500/850</t>
        </is>
      </c>
      <c r="E14305" s="3" t="inlineStr">
        <is>
          <t>Loan - Nick Morgan</t>
        </is>
      </c>
      <c r="F14305" s="3" t="n">
        <v>0</v>
      </c>
      <c r="G14305" s="3" t="n">
        <v>6200</v>
      </c>
    </row>
    <row r="14306">
      <c r="A14306" s="3" t="inlineStr">
        <is>
          <t>Opportunity Global Investment (PTY) LTD</t>
        </is>
      </c>
      <c r="B14306" s="4" t="n">
        <v>45077</v>
      </c>
      <c r="C14306" s="3" t="inlineStr">
        <is>
          <t>Liabilities</t>
        </is>
      </c>
      <c r="D14306" s="3" t="inlineStr">
        <is>
          <t>5500/950</t>
        </is>
      </c>
      <c r="E14306" s="3" t="inlineStr">
        <is>
          <t>Loan - Gengis</t>
        </is>
      </c>
      <c r="F14306" s="3" t="n">
        <v>0</v>
      </c>
      <c r="G14306" s="3" t="n">
        <v>-45000</v>
      </c>
    </row>
    <row r="14307">
      <c r="A14307" s="3" t="inlineStr">
        <is>
          <t>Quinate Consulting (Pty) Ltd</t>
        </is>
      </c>
      <c r="B14307" s="4" t="n">
        <v>45077</v>
      </c>
      <c r="C14307" s="3" t="inlineStr">
        <is>
          <t>Liabilities</t>
        </is>
      </c>
      <c r="D14307" s="3" t="inlineStr">
        <is>
          <t>5501/001</t>
        </is>
      </c>
      <c r="E14307" s="3" t="inlineStr">
        <is>
          <t>Loan - Endulini CIP Costs</t>
        </is>
      </c>
      <c r="F14307" s="3" t="n">
        <v>31600</v>
      </c>
      <c r="G14307" s="3" t="n">
        <v>9532949.1</v>
      </c>
    </row>
    <row r="14308">
      <c r="A14308" s="3" t="inlineStr">
        <is>
          <t>Opportunity Management Holdings (PTY) LTD</t>
        </is>
      </c>
      <c r="B14308" s="4" t="n">
        <v>45077</v>
      </c>
      <c r="C14308" s="3" t="inlineStr">
        <is>
          <t>Liabilities</t>
        </is>
      </c>
      <c r="D14308" s="3" t="inlineStr">
        <is>
          <t>5510/100</t>
        </is>
      </c>
      <c r="E14308" s="3" t="inlineStr">
        <is>
          <t>Staff loan - Debbie Landsberg</t>
        </is>
      </c>
      <c r="F14308" s="3" t="n">
        <v>1000</v>
      </c>
      <c r="G14308" s="3" t="n">
        <v>2400</v>
      </c>
    </row>
    <row r="14309">
      <c r="A14309" s="3" t="inlineStr">
        <is>
          <t>Noble Shield (Pty) Ltd ta Go Letting</t>
        </is>
      </c>
      <c r="B14309" s="4" t="n">
        <v>45077</v>
      </c>
      <c r="C14309" s="3" t="inlineStr">
        <is>
          <t>Assets</t>
        </is>
      </c>
      <c r="D14309" s="3" t="inlineStr">
        <is>
          <t>6250/010</t>
        </is>
      </c>
      <c r="E14309" s="3" t="inlineStr">
        <is>
          <t>Computer Equipment - @ Cost</t>
        </is>
      </c>
      <c r="F14309" s="3" t="n">
        <v>0</v>
      </c>
      <c r="G14309" s="3" t="n">
        <v>20397</v>
      </c>
    </row>
    <row r="14310">
      <c r="A14310" s="3" t="inlineStr">
        <is>
          <t>Opportunity Global Investment (PTY) LTD</t>
        </is>
      </c>
      <c r="B14310" s="4" t="n">
        <v>45077</v>
      </c>
      <c r="C14310" s="3" t="inlineStr">
        <is>
          <t>Assets</t>
        </is>
      </c>
      <c r="D14310" s="3" t="inlineStr">
        <is>
          <t>6250/010</t>
        </is>
      </c>
      <c r="E14310" s="3" t="inlineStr">
        <is>
          <t>Computer Equipment - @ Cost</t>
        </is>
      </c>
      <c r="F14310" s="3" t="n">
        <v>0</v>
      </c>
      <c r="G14310" s="3" t="n">
        <v>31683.04</v>
      </c>
    </row>
    <row r="14311">
      <c r="A14311" s="3" t="inlineStr">
        <is>
          <t>Opportunity Management Holdings (PTY) LTD</t>
        </is>
      </c>
      <c r="B14311" s="4" t="n">
        <v>45077</v>
      </c>
      <c r="C14311" s="3" t="inlineStr">
        <is>
          <t>Assets</t>
        </is>
      </c>
      <c r="D14311" s="3" t="inlineStr">
        <is>
          <t>6250/010</t>
        </is>
      </c>
      <c r="E14311" s="3" t="inlineStr">
        <is>
          <t>Computer Equipment - @ Cost</t>
        </is>
      </c>
      <c r="F14311" s="3" t="n">
        <v>0</v>
      </c>
      <c r="G14311" s="3" t="n">
        <v>52177.85</v>
      </c>
    </row>
    <row r="14312">
      <c r="A14312" s="3" t="inlineStr">
        <is>
          <t>Quinate Consulting (Pty) Ltd</t>
        </is>
      </c>
      <c r="B14312" s="4" t="n">
        <v>45077</v>
      </c>
      <c r="C14312" s="3" t="inlineStr">
        <is>
          <t>Assets</t>
        </is>
      </c>
      <c r="D14312" s="3" t="inlineStr">
        <is>
          <t>6250/010</t>
        </is>
      </c>
      <c r="E14312" s="3" t="inlineStr">
        <is>
          <t>Computer Equipment - @ Cost</t>
        </is>
      </c>
      <c r="F14312" s="3" t="n">
        <v>0</v>
      </c>
      <c r="G14312" s="3" t="n">
        <v>137059.7</v>
      </c>
    </row>
    <row r="14313">
      <c r="A14313" s="3" t="inlineStr">
        <is>
          <t>Noble Shield (Pty) Ltd ta Go Letting</t>
        </is>
      </c>
      <c r="B14313" s="4" t="n">
        <v>45077</v>
      </c>
      <c r="C14313" s="3" t="inlineStr">
        <is>
          <t>Assets</t>
        </is>
      </c>
      <c r="D14313" s="3" t="inlineStr">
        <is>
          <t>6250/020</t>
        </is>
      </c>
      <c r="E14313" s="3" t="inlineStr">
        <is>
          <t>Computer Equipment - Accum Depre</t>
        </is>
      </c>
      <c r="F14313" s="3" t="n">
        <v>0</v>
      </c>
      <c r="G14313" s="3" t="n">
        <v>-12040.89</v>
      </c>
    </row>
    <row r="14314">
      <c r="A14314" s="3" t="inlineStr">
        <is>
          <t>Opportunity Global Investment (PTY) LTD</t>
        </is>
      </c>
      <c r="B14314" s="4" t="n">
        <v>45077</v>
      </c>
      <c r="C14314" s="3" t="inlineStr">
        <is>
          <t>Assets</t>
        </is>
      </c>
      <c r="D14314" s="3" t="inlineStr">
        <is>
          <t>6250/020</t>
        </is>
      </c>
      <c r="E14314" s="3" t="inlineStr">
        <is>
          <t>Computer Equipment - Accum Depre</t>
        </is>
      </c>
      <c r="F14314" s="3" t="n">
        <v>-880.1</v>
      </c>
      <c r="G14314" s="3" t="n">
        <v>-4400.42</v>
      </c>
    </row>
    <row r="14315">
      <c r="A14315" s="3" t="inlineStr">
        <is>
          <t>Opportunity Management Holdings (PTY) LTD</t>
        </is>
      </c>
      <c r="B14315" s="4" t="n">
        <v>45077</v>
      </c>
      <c r="C14315" s="3" t="inlineStr">
        <is>
          <t>Assets</t>
        </is>
      </c>
      <c r="D14315" s="3" t="inlineStr">
        <is>
          <t>6250/020</t>
        </is>
      </c>
      <c r="E14315" s="3" t="inlineStr">
        <is>
          <t>Computer Equipment - Accum Depre</t>
        </is>
      </c>
      <c r="F14315" s="3" t="n">
        <v>-1035.19</v>
      </c>
      <c r="G14315" s="3" t="n">
        <v>-8714.74</v>
      </c>
    </row>
    <row r="14316">
      <c r="A14316" s="3" t="inlineStr">
        <is>
          <t>Quinate Consulting (Pty) Ltd</t>
        </is>
      </c>
      <c r="B14316" s="4" t="n">
        <v>45077</v>
      </c>
      <c r="C14316" s="3" t="inlineStr">
        <is>
          <t>Assets</t>
        </is>
      </c>
      <c r="D14316" s="3" t="inlineStr">
        <is>
          <t>6250/020</t>
        </is>
      </c>
      <c r="E14316" s="3" t="inlineStr">
        <is>
          <t>Computer Equipment - Accum Depre</t>
        </is>
      </c>
      <c r="F14316" s="3" t="n">
        <v>-2331.66</v>
      </c>
      <c r="G14316" s="3" t="n">
        <v>-105368.8</v>
      </c>
    </row>
    <row r="14317">
      <c r="A14317" s="3" t="inlineStr">
        <is>
          <t>Opportunity Management Holdings (PTY) LTD</t>
        </is>
      </c>
      <c r="B14317" s="4" t="n">
        <v>45077</v>
      </c>
      <c r="C14317" s="3" t="inlineStr">
        <is>
          <t>Assets</t>
        </is>
      </c>
      <c r="D14317" s="3" t="inlineStr">
        <is>
          <t>6250/030</t>
        </is>
      </c>
      <c r="E14317" s="3" t="inlineStr">
        <is>
          <t>Acc Depreciation - Computer Equipment</t>
        </is>
      </c>
      <c r="F14317" s="3" t="n">
        <v>0</v>
      </c>
      <c r="G14317" s="3" t="n">
        <v>-9441.25</v>
      </c>
    </row>
    <row r="14318">
      <c r="A14318" s="3" t="inlineStr">
        <is>
          <t>Quinate Consulting (Pty) Ltd</t>
        </is>
      </c>
      <c r="B14318" s="4" t="n">
        <v>45077</v>
      </c>
      <c r="C14318" s="3" t="inlineStr">
        <is>
          <t>Assets</t>
        </is>
      </c>
      <c r="D14318" s="3" t="inlineStr">
        <is>
          <t>6270/010</t>
        </is>
      </c>
      <c r="E14318" s="3" t="inlineStr">
        <is>
          <t>Site Containers - @ Cost</t>
        </is>
      </c>
      <c r="F14318" s="3" t="n">
        <v>0</v>
      </c>
      <c r="G14318" s="3" t="n">
        <v>19130.44</v>
      </c>
    </row>
    <row r="14319">
      <c r="A14319" s="3" t="inlineStr">
        <is>
          <t>Quinate Consulting (Pty) Ltd</t>
        </is>
      </c>
      <c r="B14319" s="4" t="n">
        <v>45077</v>
      </c>
      <c r="C14319" s="3" t="inlineStr">
        <is>
          <t>Assets</t>
        </is>
      </c>
      <c r="D14319" s="3" t="inlineStr">
        <is>
          <t>6270/020</t>
        </is>
      </c>
      <c r="E14319" s="3" t="inlineStr">
        <is>
          <t>Site Containers - Accum Depre</t>
        </is>
      </c>
      <c r="F14319" s="3" t="n">
        <v>-318.84</v>
      </c>
      <c r="G14319" s="3" t="n">
        <v>-8608.700000000001</v>
      </c>
    </row>
    <row r="14320">
      <c r="A14320" s="3" t="inlineStr">
        <is>
          <t>Noble Shield (Pty) Ltd ta Go Letting</t>
        </is>
      </c>
      <c r="B14320" s="4" t="n">
        <v>45077</v>
      </c>
      <c r="C14320" s="3" t="inlineStr">
        <is>
          <t>Assets</t>
        </is>
      </c>
      <c r="D14320" s="3" t="inlineStr">
        <is>
          <t>6350/010</t>
        </is>
      </c>
      <c r="E14320" s="3" t="inlineStr">
        <is>
          <t>Furniture _AND_ Fittings - @ Cost</t>
        </is>
      </c>
      <c r="F14320" s="3" t="n">
        <v>0</v>
      </c>
      <c r="G14320" s="3" t="n">
        <v>2242</v>
      </c>
    </row>
    <row r="14321">
      <c r="A14321" s="3" t="inlineStr">
        <is>
          <t>Opportunity Global Sales (PTY) LTD</t>
        </is>
      </c>
      <c r="B14321" s="4" t="n">
        <v>45077</v>
      </c>
      <c r="C14321" s="3" t="inlineStr">
        <is>
          <t>Assets</t>
        </is>
      </c>
      <c r="D14321" s="3" t="inlineStr">
        <is>
          <t>6350/010</t>
        </is>
      </c>
      <c r="E14321" s="3" t="inlineStr">
        <is>
          <t>Furniture _AND_ Fittings - @ Cost</t>
        </is>
      </c>
      <c r="F14321" s="3" t="n">
        <v>0</v>
      </c>
      <c r="G14321" s="3" t="n">
        <v>29379.7</v>
      </c>
    </row>
    <row r="14322">
      <c r="A14322" s="3" t="inlineStr">
        <is>
          <t>Noble Shield (Pty) Ltd ta Go Letting</t>
        </is>
      </c>
      <c r="B14322" s="4" t="n">
        <v>45077</v>
      </c>
      <c r="C14322" s="3" t="inlineStr">
        <is>
          <t>Assets</t>
        </is>
      </c>
      <c r="D14322" s="3" t="inlineStr">
        <is>
          <t>6350/020</t>
        </is>
      </c>
      <c r="E14322" s="3" t="inlineStr">
        <is>
          <t>Furniture _AND_ Fittings - Accum Depre</t>
        </is>
      </c>
      <c r="F14322" s="3" t="n">
        <v>0</v>
      </c>
      <c r="G14322" s="3" t="n">
        <v>-2239</v>
      </c>
    </row>
    <row r="14323">
      <c r="A14323" s="3" t="inlineStr">
        <is>
          <t>Opportunity Global Sales (PTY) LTD</t>
        </is>
      </c>
      <c r="B14323" s="4" t="n">
        <v>45077</v>
      </c>
      <c r="C14323" s="3" t="inlineStr">
        <is>
          <t>Assets</t>
        </is>
      </c>
      <c r="D14323" s="3" t="inlineStr">
        <is>
          <t>6350/020</t>
        </is>
      </c>
      <c r="E14323" s="3" t="inlineStr">
        <is>
          <t>Furniture _AND_ Fittings - Accum Depre</t>
        </is>
      </c>
      <c r="F14323" s="3" t="n">
        <v>-408.05</v>
      </c>
      <c r="G14323" s="3" t="n">
        <v>-4488.56</v>
      </c>
    </row>
    <row r="14324">
      <c r="A14324" s="3" t="inlineStr">
        <is>
          <t>Opportunity Management Holdings (PTY) LTD</t>
        </is>
      </c>
      <c r="B14324" s="4" t="n">
        <v>45077</v>
      </c>
      <c r="C14324" s="3" t="inlineStr">
        <is>
          <t>Liabilities</t>
        </is>
      </c>
      <c r="D14324" s="3" t="inlineStr">
        <is>
          <t>6500/000</t>
        </is>
      </c>
      <c r="E14324" s="3" t="inlineStr">
        <is>
          <t>Deposits - Held</t>
        </is>
      </c>
      <c r="F14324" s="3" t="n">
        <v>0</v>
      </c>
      <c r="G14324" s="3" t="n">
        <v>-12028.1</v>
      </c>
    </row>
    <row r="14325">
      <c r="A14325" s="3" t="inlineStr">
        <is>
          <t>Opportunity Management Holdings (PTY) LTD</t>
        </is>
      </c>
      <c r="B14325" s="4" t="n">
        <v>45077</v>
      </c>
      <c r="C14325" s="3" t="inlineStr">
        <is>
          <t>Liabilities</t>
        </is>
      </c>
      <c r="D14325" s="3" t="inlineStr">
        <is>
          <t>6510/000</t>
        </is>
      </c>
      <c r="E14325" s="3" t="inlineStr">
        <is>
          <t>Deposits Paid - Anicol Properties</t>
        </is>
      </c>
      <c r="F14325" s="3" t="n">
        <v>0</v>
      </c>
      <c r="G14325" s="3" t="n">
        <v>13755</v>
      </c>
    </row>
    <row r="14326">
      <c r="A14326" s="3" t="inlineStr">
        <is>
          <t>Opportunity Management Holdings (PTY) LTD</t>
        </is>
      </c>
      <c r="B14326" s="4" t="n">
        <v>45077</v>
      </c>
      <c r="C14326" s="3" t="inlineStr">
        <is>
          <t>Liabilities</t>
        </is>
      </c>
      <c r="D14326" s="3" t="inlineStr">
        <is>
          <t>6515/000</t>
        </is>
      </c>
      <c r="E14326" s="3" t="inlineStr">
        <is>
          <t>Deposits Paid</t>
        </is>
      </c>
      <c r="F14326" s="3" t="n">
        <v>0</v>
      </c>
      <c r="G14326" s="3" t="n">
        <v>3852.5</v>
      </c>
    </row>
    <row r="14327">
      <c r="A14327" s="3" t="inlineStr">
        <is>
          <t>Quinate Consulting (Pty) Ltd</t>
        </is>
      </c>
      <c r="B14327" s="4" t="n">
        <v>45077</v>
      </c>
      <c r="C14327" s="3" t="inlineStr">
        <is>
          <t>Assets</t>
        </is>
      </c>
      <c r="D14327" s="3" t="inlineStr">
        <is>
          <t>6600/010</t>
        </is>
      </c>
      <c r="E14327" s="3" t="inlineStr">
        <is>
          <t>Other Fixed Assets - @ Cost</t>
        </is>
      </c>
      <c r="F14327" s="3" t="n">
        <v>0</v>
      </c>
      <c r="G14327" s="3" t="n">
        <v>14442.5</v>
      </c>
    </row>
    <row r="14328">
      <c r="A14328" s="3" t="inlineStr">
        <is>
          <t>Quinate Consulting (Pty) Ltd</t>
        </is>
      </c>
      <c r="B14328" s="4" t="n">
        <v>45077</v>
      </c>
      <c r="C14328" s="3" t="inlineStr">
        <is>
          <t>Assets</t>
        </is>
      </c>
      <c r="D14328" s="3" t="inlineStr">
        <is>
          <t>6600/020</t>
        </is>
      </c>
      <c r="E14328" s="3" t="inlineStr">
        <is>
          <t>Other Fixed Assets - Accum Depre</t>
        </is>
      </c>
      <c r="F14328" s="3" t="n">
        <v>0</v>
      </c>
      <c r="G14328" s="3" t="n">
        <v>-14441.5</v>
      </c>
    </row>
    <row r="14329">
      <c r="A14329" s="3" t="inlineStr">
        <is>
          <t>Noble Shield (Pty) Ltd ta Go Letting</t>
        </is>
      </c>
      <c r="B14329" s="4" t="n">
        <v>45077</v>
      </c>
      <c r="C14329" s="3" t="inlineStr">
        <is>
          <t>Assets</t>
        </is>
      </c>
      <c r="D14329" s="3" t="inlineStr">
        <is>
          <t>7000/100</t>
        </is>
      </c>
      <c r="E14329" s="3" t="inlineStr">
        <is>
          <t>Goodwill - Purchase of Go Letting</t>
        </is>
      </c>
      <c r="F14329" s="3" t="n">
        <v>0</v>
      </c>
      <c r="G14329" s="3" t="n">
        <v>106580</v>
      </c>
    </row>
    <row r="14330">
      <c r="A14330" s="3" t="inlineStr">
        <is>
          <t>Opportunity Management Holdings (PTY) LTD</t>
        </is>
      </c>
      <c r="B14330" s="4" t="n">
        <v>45077</v>
      </c>
      <c r="C14330" s="3" t="inlineStr">
        <is>
          <t>Assets</t>
        </is>
      </c>
      <c r="D14330" s="3" t="inlineStr">
        <is>
          <t>7200/000</t>
        </is>
      </c>
      <c r="E14330" s="3" t="inlineStr">
        <is>
          <t>Shares in Subsidiary Companies</t>
        </is>
      </c>
      <c r="F14330" s="3" t="n">
        <v>0</v>
      </c>
      <c r="G14330" s="3" t="n">
        <v>120</v>
      </c>
    </row>
    <row r="14331">
      <c r="A14331" s="3" t="inlineStr">
        <is>
          <t>Endulini (Pty) Ltd</t>
        </is>
      </c>
      <c r="B14331" s="4" t="n">
        <v>45077</v>
      </c>
      <c r="C14331" s="3" t="inlineStr">
        <is>
          <t>Assets</t>
        </is>
      </c>
      <c r="D14331" s="3" t="inlineStr">
        <is>
          <t>7610/100</t>
        </is>
      </c>
      <c r="E14331" s="3" t="inlineStr">
        <is>
          <t>Endulini Land</t>
        </is>
      </c>
      <c r="F14331" s="3" t="n">
        <v>0</v>
      </c>
      <c r="G14331" s="3" t="n">
        <v>10572851.37</v>
      </c>
    </row>
    <row r="14332">
      <c r="A14332" s="3" t="inlineStr">
        <is>
          <t>Endulini (Pty) Ltd</t>
        </is>
      </c>
      <c r="B14332" s="4" t="n">
        <v>45077</v>
      </c>
      <c r="C14332" s="3" t="inlineStr">
        <is>
          <t>Assets</t>
        </is>
      </c>
      <c r="D14332" s="3" t="inlineStr">
        <is>
          <t>7610/111</t>
        </is>
      </c>
      <c r="E14332" s="3" t="inlineStr">
        <is>
          <t>Endulini Closing Stock February 2021</t>
        </is>
      </c>
      <c r="F14332" s="3" t="n">
        <v>0</v>
      </c>
      <c r="G14332" s="3" t="n">
        <v>14368610.11</v>
      </c>
    </row>
    <row r="14333">
      <c r="A14333" s="3" t="inlineStr">
        <is>
          <t>Endulini (Pty) Ltd</t>
        </is>
      </c>
      <c r="B14333" s="4" t="n">
        <v>45077</v>
      </c>
      <c r="C14333" s="3" t="inlineStr">
        <is>
          <t>Assets</t>
        </is>
      </c>
      <c r="D14333" s="3" t="inlineStr">
        <is>
          <t>7610/180</t>
        </is>
      </c>
      <c r="E14333" s="3" t="inlineStr">
        <is>
          <t>Endulini CIP Architects</t>
        </is>
      </c>
      <c r="F14333" s="3" t="n">
        <v>0</v>
      </c>
      <c r="G14333" s="3" t="n">
        <v>1292111.71</v>
      </c>
    </row>
    <row r="14334">
      <c r="A14334" s="3" t="inlineStr">
        <is>
          <t>Endulini (Pty) Ltd</t>
        </is>
      </c>
      <c r="B14334" s="4" t="n">
        <v>45077</v>
      </c>
      <c r="C14334" s="3" t="inlineStr">
        <is>
          <t>Assets</t>
        </is>
      </c>
      <c r="D14334" s="3" t="inlineStr">
        <is>
          <t>7610/200</t>
        </is>
      </c>
      <c r="E14334" s="3" t="inlineStr">
        <is>
          <t>Endulini CIP CoCT Land Use App</t>
        </is>
      </c>
      <c r="F14334" s="3" t="n">
        <v>0</v>
      </c>
      <c r="G14334" s="3" t="n">
        <v>232891.06</v>
      </c>
    </row>
    <row r="14335">
      <c r="A14335" s="3" t="inlineStr">
        <is>
          <t>Endulini (Pty) Ltd</t>
        </is>
      </c>
      <c r="B14335" s="4" t="n">
        <v>45077</v>
      </c>
      <c r="C14335" s="3" t="inlineStr">
        <is>
          <t>Assets</t>
        </is>
      </c>
      <c r="D14335" s="3" t="inlineStr">
        <is>
          <t>7610/205</t>
        </is>
      </c>
      <c r="E14335" s="3" t="inlineStr">
        <is>
          <t>Endulini CIP Site Establishments</t>
        </is>
      </c>
      <c r="F14335" s="3" t="n">
        <v>0</v>
      </c>
      <c r="G14335" s="3" t="n">
        <v>32428975.01</v>
      </c>
    </row>
    <row r="14336">
      <c r="A14336" s="3" t="inlineStr">
        <is>
          <t>Endulini (Pty) Ltd</t>
        </is>
      </c>
      <c r="B14336" s="4" t="n">
        <v>45077</v>
      </c>
      <c r="C14336" s="3" t="inlineStr">
        <is>
          <t>Assets</t>
        </is>
      </c>
      <c r="D14336" s="3" t="inlineStr">
        <is>
          <t>7610/209</t>
        </is>
      </c>
      <c r="E14336" s="3" t="inlineStr">
        <is>
          <t>Endulini CIP Construction Management</t>
        </is>
      </c>
      <c r="F14336" s="3" t="n">
        <v>0</v>
      </c>
      <c r="G14336" s="3" t="n">
        <v>223375</v>
      </c>
    </row>
    <row r="14337">
      <c r="A14337" s="3" t="inlineStr">
        <is>
          <t>Endulini (Pty) Ltd</t>
        </is>
      </c>
      <c r="B14337" s="4" t="n">
        <v>45077</v>
      </c>
      <c r="C14337" s="3" t="inlineStr">
        <is>
          <t>Assets</t>
        </is>
      </c>
      <c r="D14337" s="3" t="inlineStr">
        <is>
          <t>7610/210</t>
        </is>
      </c>
      <c r="E14337" s="3" t="inlineStr">
        <is>
          <t>Endulini CIP Civil Works</t>
        </is>
      </c>
      <c r="F14337" s="3" t="n">
        <v>0</v>
      </c>
      <c r="G14337" s="3" t="n">
        <v>6295702.14</v>
      </c>
    </row>
    <row r="14338">
      <c r="A14338" s="3" t="inlineStr">
        <is>
          <t>Endulini (Pty) Ltd</t>
        </is>
      </c>
      <c r="B14338" s="4" t="n">
        <v>45077</v>
      </c>
      <c r="C14338" s="3" t="inlineStr">
        <is>
          <t>Assets</t>
        </is>
      </c>
      <c r="D14338" s="3" t="inlineStr">
        <is>
          <t>7610/215</t>
        </is>
      </c>
      <c r="E14338" s="3" t="inlineStr">
        <is>
          <t>Endulini CIP Civil Engineers</t>
        </is>
      </c>
      <c r="F14338" s="3" t="n">
        <v>0</v>
      </c>
      <c r="G14338" s="3" t="n">
        <v>183000</v>
      </c>
    </row>
    <row r="14339">
      <c r="A14339" s="3" t="inlineStr">
        <is>
          <t>Endulini (Pty) Ltd</t>
        </is>
      </c>
      <c r="B14339" s="4" t="n">
        <v>45077</v>
      </c>
      <c r="C14339" s="3" t="inlineStr">
        <is>
          <t>Assets</t>
        </is>
      </c>
      <c r="D14339" s="3" t="inlineStr">
        <is>
          <t>7610/220</t>
        </is>
      </c>
      <c r="E14339" s="3" t="inlineStr">
        <is>
          <t>Endulini CIP Structuring Project Fee Opp Invest</t>
        </is>
      </c>
      <c r="F14339" s="3" t="n">
        <v>0</v>
      </c>
      <c r="G14339" s="3" t="n">
        <v>483735.96</v>
      </c>
    </row>
    <row r="14340">
      <c r="A14340" s="3" t="inlineStr">
        <is>
          <t>Endulini (Pty) Ltd</t>
        </is>
      </c>
      <c r="B14340" s="4" t="n">
        <v>45077</v>
      </c>
      <c r="C14340" s="3" t="inlineStr">
        <is>
          <t>Assets</t>
        </is>
      </c>
      <c r="D14340" s="3" t="inlineStr">
        <is>
          <t>7610/225</t>
        </is>
      </c>
      <c r="E14340" s="3" t="inlineStr">
        <is>
          <t>Endulini CIP Structural engineering fee</t>
        </is>
      </c>
      <c r="F14340" s="3" t="n">
        <v>0</v>
      </c>
      <c r="G14340" s="3" t="n">
        <v>346268.03</v>
      </c>
    </row>
    <row r="14341">
      <c r="A14341" s="3" t="inlineStr">
        <is>
          <t>Endulini (Pty) Ltd</t>
        </is>
      </c>
      <c r="B14341" s="4" t="n">
        <v>45077</v>
      </c>
      <c r="C14341" s="3" t="inlineStr">
        <is>
          <t>Assets</t>
        </is>
      </c>
      <c r="D14341" s="3" t="inlineStr">
        <is>
          <t>7610/230</t>
        </is>
      </c>
      <c r="E14341" s="3" t="inlineStr">
        <is>
          <t>Endulini CIP Mechanical Engineering</t>
        </is>
      </c>
      <c r="F14341" s="3" t="n">
        <v>0</v>
      </c>
      <c r="G14341" s="3" t="n">
        <v>15570</v>
      </c>
    </row>
    <row r="14342">
      <c r="A14342" s="3" t="inlineStr">
        <is>
          <t>Endulini (Pty) Ltd</t>
        </is>
      </c>
      <c r="B14342" s="4" t="n">
        <v>45077</v>
      </c>
      <c r="C14342" s="3" t="inlineStr">
        <is>
          <t>Assets</t>
        </is>
      </c>
      <c r="D14342" s="3" t="inlineStr">
        <is>
          <t>7610/235</t>
        </is>
      </c>
      <c r="E14342" s="3" t="inlineStr">
        <is>
          <t>Endulini CIP Electrical Installation</t>
        </is>
      </c>
      <c r="F14342" s="3" t="n">
        <v>0</v>
      </c>
      <c r="G14342" s="3" t="n">
        <v>1034019.08</v>
      </c>
    </row>
    <row r="14343">
      <c r="A14343" s="3" t="inlineStr">
        <is>
          <t>Endulini (Pty) Ltd</t>
        </is>
      </c>
      <c r="B14343" s="4" t="n">
        <v>45077</v>
      </c>
      <c r="C14343" s="3" t="inlineStr">
        <is>
          <t>Assets</t>
        </is>
      </c>
      <c r="D14343" s="3" t="inlineStr">
        <is>
          <t>7610/250</t>
        </is>
      </c>
      <c r="E14343" s="3" t="inlineStr">
        <is>
          <t>Endulini CIP Boundary Wall</t>
        </is>
      </c>
      <c r="F14343" s="3" t="n">
        <v>0</v>
      </c>
      <c r="G14343" s="3" t="n">
        <v>88400.8</v>
      </c>
    </row>
    <row r="14344">
      <c r="A14344" s="3" t="inlineStr">
        <is>
          <t>Endulini (Pty) Ltd</t>
        </is>
      </c>
      <c r="B14344" s="4" t="n">
        <v>45077</v>
      </c>
      <c r="C14344" s="3" t="inlineStr">
        <is>
          <t>Assets</t>
        </is>
      </c>
      <c r="D14344" s="3" t="inlineStr">
        <is>
          <t>7610/290</t>
        </is>
      </c>
      <c r="E14344" s="3" t="inlineStr">
        <is>
          <t>Endulini CIP Development Management Fees</t>
        </is>
      </c>
      <c r="F14344" s="3" t="n">
        <v>0</v>
      </c>
      <c r="G14344" s="3" t="n">
        <v>237496.62</v>
      </c>
    </row>
    <row r="14345">
      <c r="A14345" s="3" t="inlineStr">
        <is>
          <t>Endulini (Pty) Ltd</t>
        </is>
      </c>
      <c r="B14345" s="4" t="n">
        <v>45077</v>
      </c>
      <c r="C14345" s="3" t="inlineStr">
        <is>
          <t>Assets</t>
        </is>
      </c>
      <c r="D14345" s="3" t="inlineStr">
        <is>
          <t>7610/310</t>
        </is>
      </c>
      <c r="E14345" s="3" t="inlineStr">
        <is>
          <t>Endulini CIP Enviromental consultants</t>
        </is>
      </c>
      <c r="F14345" s="3" t="n">
        <v>0</v>
      </c>
      <c r="G14345" s="3" t="n">
        <v>115730</v>
      </c>
    </row>
    <row r="14346">
      <c r="A14346" s="3" t="inlineStr">
        <is>
          <t>Endulini (Pty) Ltd</t>
        </is>
      </c>
      <c r="B14346" s="4" t="n">
        <v>45077</v>
      </c>
      <c r="C14346" s="3" t="inlineStr">
        <is>
          <t>Assets</t>
        </is>
      </c>
      <c r="D14346" s="3" t="inlineStr">
        <is>
          <t>7610/320</t>
        </is>
      </c>
      <c r="E14346" s="3" t="inlineStr">
        <is>
          <t>Endulini CIP Geotechnical</t>
        </is>
      </c>
      <c r="F14346" s="3" t="n">
        <v>0</v>
      </c>
      <c r="G14346" s="3" t="n">
        <v>13575</v>
      </c>
    </row>
    <row r="14347">
      <c r="A14347" s="3" t="inlineStr">
        <is>
          <t>Endulini (Pty) Ltd</t>
        </is>
      </c>
      <c r="B14347" s="4" t="n">
        <v>45077</v>
      </c>
      <c r="C14347" s="3" t="inlineStr">
        <is>
          <t>Assets</t>
        </is>
      </c>
      <c r="D14347" s="3" t="inlineStr">
        <is>
          <t>7610/330</t>
        </is>
      </c>
      <c r="E14347" s="3" t="inlineStr">
        <is>
          <t>Endulini CIP Health and Safety</t>
        </is>
      </c>
      <c r="F14347" s="3" t="n">
        <v>0</v>
      </c>
      <c r="G14347" s="3" t="n">
        <v>40200</v>
      </c>
    </row>
    <row r="14348">
      <c r="A14348" s="3" t="inlineStr">
        <is>
          <t>Endulini (Pty) Ltd</t>
        </is>
      </c>
      <c r="B14348" s="4" t="n">
        <v>45077</v>
      </c>
      <c r="C14348" s="3" t="inlineStr">
        <is>
          <t>Assets</t>
        </is>
      </c>
      <c r="D14348" s="3" t="inlineStr">
        <is>
          <t>7610/390</t>
        </is>
      </c>
      <c r="E14348" s="3" t="inlineStr">
        <is>
          <t>Endulini CIP Land Surveyor</t>
        </is>
      </c>
      <c r="F14348" s="3" t="n">
        <v>0</v>
      </c>
      <c r="G14348" s="3" t="n">
        <v>186021.2</v>
      </c>
    </row>
    <row r="14349">
      <c r="A14349" s="3" t="inlineStr">
        <is>
          <t>Endulini (Pty) Ltd</t>
        </is>
      </c>
      <c r="B14349" s="4" t="n">
        <v>45077</v>
      </c>
      <c r="C14349" s="3" t="inlineStr">
        <is>
          <t>Assets</t>
        </is>
      </c>
      <c r="D14349" s="3" t="inlineStr">
        <is>
          <t>7610/392</t>
        </is>
      </c>
      <c r="E14349" s="3" t="inlineStr">
        <is>
          <t>Endulini CIP Landscaping</t>
        </is>
      </c>
      <c r="F14349" s="3" t="n">
        <v>0</v>
      </c>
      <c r="G14349" s="3" t="n">
        <v>6100</v>
      </c>
    </row>
    <row r="14350">
      <c r="A14350" s="3" t="inlineStr">
        <is>
          <t>Endulini (Pty) Ltd</t>
        </is>
      </c>
      <c r="B14350" s="4" t="n">
        <v>45077</v>
      </c>
      <c r="C14350" s="3" t="inlineStr">
        <is>
          <t>Assets</t>
        </is>
      </c>
      <c r="D14350" s="3" t="inlineStr">
        <is>
          <t>7610/395</t>
        </is>
      </c>
      <c r="E14350" s="3" t="inlineStr">
        <is>
          <t>Endulini CIP NHBRC</t>
        </is>
      </c>
      <c r="F14350" s="3" t="n">
        <v>0</v>
      </c>
      <c r="G14350" s="3" t="n">
        <v>928847.49</v>
      </c>
    </row>
    <row r="14351">
      <c r="A14351" s="3" t="inlineStr">
        <is>
          <t>Endulini (Pty) Ltd</t>
        </is>
      </c>
      <c r="B14351" s="4" t="n">
        <v>45077</v>
      </c>
      <c r="C14351" s="3" t="inlineStr">
        <is>
          <t>Assets</t>
        </is>
      </c>
      <c r="D14351" s="3" t="inlineStr">
        <is>
          <t>7610/400</t>
        </is>
      </c>
      <c r="E14351" s="3" t="inlineStr">
        <is>
          <t>Endulini CIP Quantity Surveyor</t>
        </is>
      </c>
      <c r="F14351" s="3" t="n">
        <v>0</v>
      </c>
      <c r="G14351" s="3" t="n">
        <v>82136.36</v>
      </c>
    </row>
    <row r="14352">
      <c r="A14352" s="3" t="inlineStr">
        <is>
          <t>Endulini (Pty) Ltd</t>
        </is>
      </c>
      <c r="B14352" s="4" t="n">
        <v>45077</v>
      </c>
      <c r="C14352" s="3" t="inlineStr">
        <is>
          <t>Assets</t>
        </is>
      </c>
      <c r="D14352" s="3" t="inlineStr">
        <is>
          <t>7610/600</t>
        </is>
      </c>
      <c r="E14352" s="3" t="inlineStr">
        <is>
          <t>Endulini CIP Town Planning</t>
        </is>
      </c>
      <c r="F14352" s="3" t="n">
        <v>0</v>
      </c>
      <c r="G14352" s="3" t="n">
        <v>21105</v>
      </c>
    </row>
    <row r="14353">
      <c r="A14353" s="3" t="inlineStr">
        <is>
          <t>Endulini (Pty) Ltd</t>
        </is>
      </c>
      <c r="B14353" s="4" t="n">
        <v>45077</v>
      </c>
      <c r="C14353" s="3" t="inlineStr">
        <is>
          <t>Assets</t>
        </is>
      </c>
      <c r="D14353" s="3" t="inlineStr">
        <is>
          <t>7610/620</t>
        </is>
      </c>
      <c r="E14353" s="3" t="inlineStr">
        <is>
          <t>Endulini CIP Traffic Impact</t>
        </is>
      </c>
      <c r="F14353" s="3" t="n">
        <v>0</v>
      </c>
      <c r="G14353" s="3" t="n">
        <v>24915</v>
      </c>
    </row>
    <row r="14354">
      <c r="A14354" s="3" t="inlineStr">
        <is>
          <t>Endulini (Pty) Ltd</t>
        </is>
      </c>
      <c r="B14354" s="4" t="n">
        <v>45077</v>
      </c>
      <c r="C14354" s="3" t="inlineStr">
        <is>
          <t>Assets</t>
        </is>
      </c>
      <c r="D14354" s="3" t="inlineStr">
        <is>
          <t>7610/630</t>
        </is>
      </c>
      <c r="E14354" s="3" t="inlineStr">
        <is>
          <t>Endulini CIP CoCT Development Contributi</t>
        </is>
      </c>
      <c r="F14354" s="3" t="n">
        <v>0</v>
      </c>
      <c r="G14354" s="3" t="n">
        <v>661860.3100000001</v>
      </c>
    </row>
    <row r="14355">
      <c r="A14355" s="3" t="inlineStr">
        <is>
          <t>Endulini (Pty) Ltd</t>
        </is>
      </c>
      <c r="B14355" s="4" t="n">
        <v>45077</v>
      </c>
      <c r="C14355" s="3" t="inlineStr">
        <is>
          <t>Assets</t>
        </is>
      </c>
      <c r="D14355" s="3" t="inlineStr">
        <is>
          <t>7610/640</t>
        </is>
      </c>
      <c r="E14355" s="3" t="inlineStr">
        <is>
          <t>Endulini CIP CoCT Building plan application</t>
        </is>
      </c>
      <c r="F14355" s="3" t="n">
        <v>0</v>
      </c>
      <c r="G14355" s="3" t="n">
        <v>111203.22</v>
      </c>
    </row>
    <row r="14356">
      <c r="A14356" s="3" t="inlineStr">
        <is>
          <t>Endulini (Pty) Ltd</t>
        </is>
      </c>
      <c r="B14356" s="4" t="n">
        <v>45077</v>
      </c>
      <c r="C14356" s="3" t="inlineStr">
        <is>
          <t>Assets</t>
        </is>
      </c>
      <c r="D14356" s="3" t="inlineStr">
        <is>
          <t>7610/900</t>
        </is>
      </c>
      <c r="E14356" s="3" t="inlineStr">
        <is>
          <t>Endulini CIP Cost of Sales</t>
        </is>
      </c>
      <c r="F14356" s="3" t="n">
        <v>0</v>
      </c>
      <c r="G14356" s="3" t="n">
        <v>-28210981.9</v>
      </c>
    </row>
    <row r="14357">
      <c r="A14357" s="3" t="inlineStr">
        <is>
          <t>Quinate Consulting (Pty) Ltd</t>
        </is>
      </c>
      <c r="B14357" s="4" t="n">
        <v>45077</v>
      </c>
      <c r="C14357" s="3" t="inlineStr">
        <is>
          <t>Assets</t>
        </is>
      </c>
      <c r="D14357" s="3" t="inlineStr">
        <is>
          <t>7800/104</t>
        </is>
      </c>
      <c r="E14357" s="3" t="inlineStr">
        <is>
          <t>Stock - Closing Stock SW - 28 Feb 21</t>
        </is>
      </c>
      <c r="F14357" s="3" t="n">
        <v>0</v>
      </c>
      <c r="G14357" s="3" t="n">
        <v>2874478.88</v>
      </c>
    </row>
    <row r="14358">
      <c r="A14358" s="3" t="inlineStr">
        <is>
          <t>Quinate Consulting (Pty) Ltd</t>
        </is>
      </c>
      <c r="B14358" s="4" t="n">
        <v>45077</v>
      </c>
      <c r="C14358" s="3" t="inlineStr">
        <is>
          <t>Assets</t>
        </is>
      </c>
      <c r="D14358" s="3" t="inlineStr">
        <is>
          <t>7800/105</t>
        </is>
      </c>
      <c r="E14358" s="3" t="inlineStr">
        <is>
          <t>Stock - Closing Stock SH - 28 Feb 21</t>
        </is>
      </c>
      <c r="F14358" s="3" t="n">
        <v>0</v>
      </c>
      <c r="G14358" s="3" t="n">
        <v>2843477.6</v>
      </c>
    </row>
    <row r="14359">
      <c r="A14359" s="3" t="inlineStr">
        <is>
          <t>Endulini (Pty) Ltd</t>
        </is>
      </c>
      <c r="B14359" s="4" t="n">
        <v>45077</v>
      </c>
      <c r="C14359" s="3" t="inlineStr">
        <is>
          <t>Assets</t>
        </is>
      </c>
      <c r="D14359" s="3" t="inlineStr">
        <is>
          <t>8000/000</t>
        </is>
      </c>
      <c r="E14359" s="3" t="inlineStr">
        <is>
          <t>Customer Control Account</t>
        </is>
      </c>
      <c r="F14359" s="3" t="n">
        <v>0</v>
      </c>
      <c r="G14359" s="3" t="n">
        <v>170572.96</v>
      </c>
    </row>
    <row r="14360">
      <c r="A14360" s="3" t="inlineStr">
        <is>
          <t>Noble Shield (Pty) Ltd ta Go Letting</t>
        </is>
      </c>
      <c r="B14360" s="4" t="n">
        <v>45077</v>
      </c>
      <c r="C14360" s="3" t="inlineStr">
        <is>
          <t>Assets</t>
        </is>
      </c>
      <c r="D14360" s="3" t="inlineStr">
        <is>
          <t>8000/000</t>
        </is>
      </c>
      <c r="E14360" s="3" t="inlineStr">
        <is>
          <t>Customer Control Account</t>
        </is>
      </c>
      <c r="F14360" s="3" t="n">
        <v>0</v>
      </c>
      <c r="G14360" s="3" t="n">
        <v>60289.32</v>
      </c>
    </row>
    <row r="14361">
      <c r="A14361" s="3" t="inlineStr">
        <is>
          <t>Opportunity Global Investment (PTY) LTD</t>
        </is>
      </c>
      <c r="B14361" s="4" t="n">
        <v>45077</v>
      </c>
      <c r="C14361" s="3" t="inlineStr">
        <is>
          <t>Assets</t>
        </is>
      </c>
      <c r="D14361" s="3" t="inlineStr">
        <is>
          <t>8000/000</t>
        </is>
      </c>
      <c r="E14361" s="3" t="inlineStr">
        <is>
          <t>Customer Control Account</t>
        </is>
      </c>
      <c r="F14361" s="3" t="n">
        <v>1673.6</v>
      </c>
      <c r="G14361" s="3" t="n">
        <v>5020.8</v>
      </c>
    </row>
    <row r="14362">
      <c r="A14362" s="3" t="inlineStr">
        <is>
          <t>Opportunity Global Sales (PTY) LTD</t>
        </is>
      </c>
      <c r="B14362" s="4" t="n">
        <v>45077</v>
      </c>
      <c r="C14362" s="3" t="inlineStr">
        <is>
          <t>Assets</t>
        </is>
      </c>
      <c r="D14362" s="3" t="inlineStr">
        <is>
          <t>8000/000</t>
        </is>
      </c>
      <c r="E14362" s="3" t="inlineStr">
        <is>
          <t>Customer Control Account</t>
        </is>
      </c>
      <c r="F14362" s="3" t="n">
        <v>82553.48</v>
      </c>
      <c r="G14362" s="3" t="n">
        <v>464817.04</v>
      </c>
    </row>
    <row r="14363">
      <c r="A14363" s="3" t="inlineStr">
        <is>
          <t>Opportunity Management Holdings (PTY) LTD</t>
        </is>
      </c>
      <c r="B14363" s="4" t="n">
        <v>45077</v>
      </c>
      <c r="C14363" s="3" t="inlineStr">
        <is>
          <t>Assets</t>
        </is>
      </c>
      <c r="D14363" s="3" t="inlineStr">
        <is>
          <t>8000/000</t>
        </is>
      </c>
      <c r="E14363" s="3" t="inlineStr">
        <is>
          <t>Customer Control Account</t>
        </is>
      </c>
      <c r="F14363" s="3" t="n">
        <v>0</v>
      </c>
      <c r="G14363" s="3" t="n">
        <v>11500</v>
      </c>
    </row>
    <row r="14364">
      <c r="A14364" s="3" t="inlineStr">
        <is>
          <t>Quinate Consulting (Pty) Ltd</t>
        </is>
      </c>
      <c r="B14364" s="4" t="n">
        <v>45077</v>
      </c>
      <c r="C14364" s="3" t="inlineStr">
        <is>
          <t>Assets</t>
        </is>
      </c>
      <c r="D14364" s="3" t="inlineStr">
        <is>
          <t>8000/000</t>
        </is>
      </c>
      <c r="E14364" s="3" t="inlineStr">
        <is>
          <t>Customer Control Account</t>
        </is>
      </c>
      <c r="F14364" s="3" t="n">
        <v>-20732.54</v>
      </c>
      <c r="G14364" s="3" t="n">
        <v>9177.290000000001</v>
      </c>
    </row>
    <row r="14365">
      <c r="A14365" s="3" t="inlineStr">
        <is>
          <t>Quinate Consulting (Pty) Ltd</t>
        </is>
      </c>
      <c r="B14365" s="4" t="n">
        <v>45077</v>
      </c>
      <c r="C14365" s="3" t="inlineStr">
        <is>
          <t>Assets</t>
        </is>
      </c>
      <c r="D14365" s="3" t="inlineStr">
        <is>
          <t>8001</t>
        </is>
      </c>
      <c r="E14365" s="3" t="inlineStr">
        <is>
          <t>Customer Control</t>
        </is>
      </c>
      <c r="F14365" s="3" t="n">
        <v>0</v>
      </c>
      <c r="G14365" s="3" t="n">
        <v>29487.49</v>
      </c>
    </row>
    <row r="14366">
      <c r="A14366" s="3" t="inlineStr">
        <is>
          <t>Quinate Consulting (Pty) Ltd</t>
        </is>
      </c>
      <c r="B14366" s="4" t="n">
        <v>45077</v>
      </c>
      <c r="C14366" s="3" t="inlineStr">
        <is>
          <t>Assets</t>
        </is>
      </c>
      <c r="D14366" s="3" t="inlineStr">
        <is>
          <t>8200/010</t>
        </is>
      </c>
      <c r="E14366" s="3" t="inlineStr">
        <is>
          <t>Prepayments / Prepaid Expenses</t>
        </is>
      </c>
      <c r="F14366" s="3" t="n">
        <v>0</v>
      </c>
      <c r="G14366" s="3" t="n">
        <v>109675</v>
      </c>
    </row>
    <row r="14367">
      <c r="A14367" s="3" t="inlineStr">
        <is>
          <t>Opportunity Global Sales (PTY) LTD</t>
        </is>
      </c>
      <c r="B14367" s="4" t="n">
        <v>45077</v>
      </c>
      <c r="C14367" s="3" t="inlineStr">
        <is>
          <t>Assets</t>
        </is>
      </c>
      <c r="D14367" s="3" t="inlineStr">
        <is>
          <t>8300/200</t>
        </is>
      </c>
      <c r="E14367" s="3" t="inlineStr">
        <is>
          <t>Staff Loan - Mario Stoop</t>
        </is>
      </c>
      <c r="F14367" s="3" t="n">
        <v>4500</v>
      </c>
      <c r="G14367" s="3" t="n">
        <v>4500</v>
      </c>
    </row>
    <row r="14368">
      <c r="A14368" s="3" t="inlineStr">
        <is>
          <t>Opportunity Global Investment (PTY) LTD</t>
        </is>
      </c>
      <c r="B14368" s="4" t="n">
        <v>45077</v>
      </c>
      <c r="C14368" s="3" t="inlineStr">
        <is>
          <t>Assets</t>
        </is>
      </c>
      <c r="D14368" s="3" t="inlineStr">
        <is>
          <t>8400/000</t>
        </is>
      </c>
      <c r="E14368" s="3" t="inlineStr">
        <is>
          <t>FNB 62093491696</t>
        </is>
      </c>
      <c r="F14368" s="3" t="n">
        <v>-15279.59</v>
      </c>
      <c r="G14368" s="3" t="n">
        <v>54241.54</v>
      </c>
    </row>
    <row r="14369">
      <c r="A14369" s="3" t="inlineStr">
        <is>
          <t>Opportunity Global Sales (PTY) LTD</t>
        </is>
      </c>
      <c r="B14369" s="4" t="n">
        <v>45077</v>
      </c>
      <c r="C14369" s="3" t="inlineStr">
        <is>
          <t>Assets</t>
        </is>
      </c>
      <c r="D14369" s="3" t="inlineStr">
        <is>
          <t>8400/000</t>
        </is>
      </c>
      <c r="E14369" s="3" t="inlineStr">
        <is>
          <t>FNB 62835620875</t>
        </is>
      </c>
      <c r="F14369" s="3" t="n">
        <v>-128014.26</v>
      </c>
      <c r="G14369" s="3" t="n">
        <v>66833.14999999999</v>
      </c>
    </row>
    <row r="14370">
      <c r="A14370" s="3" t="inlineStr">
        <is>
          <t>Quinate Consulting (Pty) Ltd</t>
        </is>
      </c>
      <c r="B14370" s="4" t="n">
        <v>45077</v>
      </c>
      <c r="C14370" s="3" t="inlineStr">
        <is>
          <t>Assets</t>
        </is>
      </c>
      <c r="D14370" s="3" t="inlineStr">
        <is>
          <t>8400/000</t>
        </is>
      </c>
      <c r="E14370" s="3" t="inlineStr">
        <is>
          <t>RMB - 62736659189 - Call Acc</t>
        </is>
      </c>
      <c r="F14370" s="3" t="n">
        <v>809.04</v>
      </c>
      <c r="G14370" s="3" t="n">
        <v>157189.13</v>
      </c>
    </row>
    <row r="14371">
      <c r="A14371" s="3" t="inlineStr">
        <is>
          <t>Trademark Holdings (Pty) Ltd</t>
        </is>
      </c>
      <c r="B14371" s="4" t="n">
        <v>45077</v>
      </c>
      <c r="C14371" s="3" t="inlineStr">
        <is>
          <t>Assets</t>
        </is>
      </c>
      <c r="D14371" s="3" t="inlineStr">
        <is>
          <t>8400/000</t>
        </is>
      </c>
      <c r="E14371" s="3" t="inlineStr">
        <is>
          <t>RMB 623 693 03640</t>
        </is>
      </c>
      <c r="F14371" s="3" t="n">
        <v>28920.38</v>
      </c>
      <c r="G14371" s="3" t="n">
        <v>88286.62</v>
      </c>
    </row>
    <row r="14372">
      <c r="A14372" s="3" t="inlineStr">
        <is>
          <t>Noble Shield (Pty) Ltd ta Go Letting</t>
        </is>
      </c>
      <c r="B14372" s="4" t="n">
        <v>45077</v>
      </c>
      <c r="C14372" s="3" t="inlineStr">
        <is>
          <t>Assets</t>
        </is>
      </c>
      <c r="D14372" s="3" t="inlineStr">
        <is>
          <t>8400/000</t>
        </is>
      </c>
      <c r="E14372" s="3" t="inlineStr">
        <is>
          <t>RMB 6250 573 3833</t>
        </is>
      </c>
      <c r="F14372" s="3" t="n">
        <v>15782.5</v>
      </c>
      <c r="G14372" s="3" t="n">
        <v>65296.28</v>
      </c>
    </row>
    <row r="14373">
      <c r="A14373" s="3" t="inlineStr">
        <is>
          <t>Endulini (Pty) Ltd</t>
        </is>
      </c>
      <c r="B14373" s="4" t="n">
        <v>45077</v>
      </c>
      <c r="C14373" s="3" t="inlineStr">
        <is>
          <t>Assets</t>
        </is>
      </c>
      <c r="D14373" s="3" t="inlineStr">
        <is>
          <t>8400/000</t>
        </is>
      </c>
      <c r="E14373" s="3" t="inlineStr">
        <is>
          <t>RMB 62906944576</t>
        </is>
      </c>
      <c r="F14373" s="3" t="n">
        <v>-5946.99</v>
      </c>
      <c r="G14373" s="3" t="n">
        <v>41623.43</v>
      </c>
    </row>
    <row r="14374">
      <c r="A14374" s="3" t="inlineStr">
        <is>
          <t>Opportunity Management Holdings (PTY) LTD</t>
        </is>
      </c>
      <c r="B14374" s="4" t="n">
        <v>45077</v>
      </c>
      <c r="C14374" s="3" t="inlineStr">
        <is>
          <t>Assets</t>
        </is>
      </c>
      <c r="D14374" s="3" t="inlineStr">
        <is>
          <t>8400/000</t>
        </is>
      </c>
      <c r="E14374" s="3" t="inlineStr">
        <is>
          <t>RMB Cheq - 62312246920</t>
        </is>
      </c>
      <c r="F14374" s="3" t="n">
        <v>119621.57</v>
      </c>
      <c r="G14374" s="3" t="n">
        <v>140628.09</v>
      </c>
    </row>
    <row r="14375">
      <c r="A14375" s="3" t="inlineStr">
        <is>
          <t>Opportunity Global Investment (PTY) LTD</t>
        </is>
      </c>
      <c r="B14375" s="4" t="n">
        <v>45077</v>
      </c>
      <c r="C14375" s="3" t="inlineStr">
        <is>
          <t>Assets</t>
        </is>
      </c>
      <c r="D14375" s="3" t="inlineStr">
        <is>
          <t>8405/000</t>
        </is>
      </c>
      <c r="E14375" s="3" t="inlineStr">
        <is>
          <t>FNB Trust 62762449265</t>
        </is>
      </c>
      <c r="F14375" s="3" t="n">
        <v>-71.13</v>
      </c>
      <c r="G14375" s="3" t="n">
        <v>542.84</v>
      </c>
    </row>
    <row r="14376">
      <c r="A14376" s="3" t="inlineStr">
        <is>
          <t>Endulini (Pty) Ltd</t>
        </is>
      </c>
      <c r="B14376" s="4" t="n">
        <v>45077</v>
      </c>
      <c r="C14376" s="3" t="inlineStr">
        <is>
          <t>Assets</t>
        </is>
      </c>
      <c r="D14376" s="3" t="inlineStr">
        <is>
          <t>8410/000</t>
        </is>
      </c>
      <c r="E14376" s="3" t="inlineStr">
        <is>
          <t>Momentum Investor Account : RU 502229883</t>
        </is>
      </c>
      <c r="F14376" s="3" t="n">
        <v>17.52</v>
      </c>
      <c r="G14376" s="3" t="n">
        <v>2722.33</v>
      </c>
    </row>
    <row r="14377">
      <c r="A14377" s="3" t="inlineStr">
        <is>
          <t>Opportunity Management Holdings (PTY) LTD</t>
        </is>
      </c>
      <c r="B14377" s="4" t="n">
        <v>45077</v>
      </c>
      <c r="C14377" s="3" t="inlineStr">
        <is>
          <t>Assets</t>
        </is>
      </c>
      <c r="D14377" s="3" t="inlineStr">
        <is>
          <t>8410/000</t>
        </is>
      </c>
      <c r="E14377" s="3" t="inlineStr">
        <is>
          <t>RMB Call Acc - 62312248851</t>
        </is>
      </c>
      <c r="F14377" s="3" t="n">
        <v>-2.61</v>
      </c>
      <c r="G14377" s="3" t="n">
        <v>1430.86</v>
      </c>
    </row>
    <row r="14378">
      <c r="A14378" s="3" t="inlineStr">
        <is>
          <t>Noble Shield (Pty) Ltd ta Go Letting</t>
        </is>
      </c>
      <c r="B14378" s="4" t="n">
        <v>45077</v>
      </c>
      <c r="C14378" s="3" t="inlineStr">
        <is>
          <t>Assets</t>
        </is>
      </c>
      <c r="D14378" s="3" t="inlineStr">
        <is>
          <t>8410/000</t>
        </is>
      </c>
      <c r="E14378" s="3" t="inlineStr">
        <is>
          <t>RMB Trust Acc - 6250 615 1365</t>
        </is>
      </c>
      <c r="F14378" s="3" t="n">
        <v>-71.26000000000001</v>
      </c>
      <c r="G14378" s="3" t="n">
        <v>369.31</v>
      </c>
    </row>
    <row r="14379">
      <c r="A14379" s="3" t="inlineStr">
        <is>
          <t>Quinate Consulting (Pty) Ltd</t>
        </is>
      </c>
      <c r="B14379" s="4" t="n">
        <v>45077</v>
      </c>
      <c r="C14379" s="3" t="inlineStr">
        <is>
          <t>Assets</t>
        </is>
      </c>
      <c r="D14379" s="3" t="inlineStr">
        <is>
          <t>8415/000</t>
        </is>
      </c>
      <c r="E14379" s="3" t="inlineStr">
        <is>
          <t>STD Acc 071 958 959 - Facility Acc</t>
        </is>
      </c>
      <c r="F14379" s="3" t="n">
        <v>0</v>
      </c>
      <c r="G14379" s="3" t="n">
        <v>3126.21</v>
      </c>
    </row>
    <row r="14380">
      <c r="A14380" s="3" t="inlineStr">
        <is>
          <t>Trademark Holdings (Pty) Ltd</t>
        </is>
      </c>
      <c r="B14380" s="4" t="n">
        <v>45077</v>
      </c>
      <c r="C14380" s="3" t="inlineStr">
        <is>
          <t>Assets</t>
        </is>
      </c>
      <c r="D14380" s="3" t="inlineStr">
        <is>
          <t>8420/000</t>
        </is>
      </c>
      <c r="E14380" s="3" t="inlineStr">
        <is>
          <t>FNB Credit Card</t>
        </is>
      </c>
      <c r="F14380" s="3" t="n">
        <v>52</v>
      </c>
      <c r="G14380" s="3" t="n">
        <v>208</v>
      </c>
    </row>
    <row r="14381">
      <c r="A14381" s="3" t="inlineStr">
        <is>
          <t>Quinate Consulting (Pty) Ltd</t>
        </is>
      </c>
      <c r="B14381" s="4" t="n">
        <v>45077</v>
      </c>
      <c r="C14381" s="3" t="inlineStr">
        <is>
          <t>Assets</t>
        </is>
      </c>
      <c r="D14381" s="3" t="inlineStr">
        <is>
          <t>8430/000</t>
        </is>
      </c>
      <c r="E14381" s="3" t="inlineStr">
        <is>
          <t>Momentum Investment Acc - RU502230185</t>
        </is>
      </c>
      <c r="F14381" s="3" t="n">
        <v>3.51</v>
      </c>
      <c r="G14381" s="3" t="n">
        <v>545.29</v>
      </c>
    </row>
    <row r="14382">
      <c r="A14382" s="3" t="inlineStr">
        <is>
          <t>Opportunity Global Investment (PTY) LTD</t>
        </is>
      </c>
      <c r="B14382" s="4" t="n">
        <v>45077</v>
      </c>
      <c r="C14382" s="3" t="inlineStr">
        <is>
          <t>Assets</t>
        </is>
      </c>
      <c r="D14382" s="3" t="inlineStr">
        <is>
          <t>8440/000</t>
        </is>
      </c>
      <c r="E14382" s="3" t="inlineStr">
        <is>
          <t>FNB - Call 627602764438</t>
        </is>
      </c>
      <c r="F14382" s="3" t="n">
        <v>-14.22</v>
      </c>
      <c r="G14382" s="3" t="n">
        <v>916.1900000000001</v>
      </c>
    </row>
    <row r="14383">
      <c r="A14383" s="3" t="inlineStr">
        <is>
          <t>Opportunity Global Investment (PTY) LTD</t>
        </is>
      </c>
      <c r="B14383" s="4" t="n">
        <v>45077</v>
      </c>
      <c r="C14383" s="3" t="inlineStr">
        <is>
          <t>Assets</t>
        </is>
      </c>
      <c r="D14383" s="3" t="inlineStr">
        <is>
          <t>8445/000</t>
        </is>
      </c>
      <c r="E14383" s="3" t="inlineStr">
        <is>
          <t>Momentum RU502230096</t>
        </is>
      </c>
      <c r="F14383" s="3" t="n">
        <v>33.05</v>
      </c>
      <c r="G14383" s="3" t="n">
        <v>4799.55</v>
      </c>
    </row>
    <row r="14384">
      <c r="A14384" s="3" t="inlineStr">
        <is>
          <t>Quinate Consulting (Pty) Ltd</t>
        </is>
      </c>
      <c r="B14384" s="4" t="n">
        <v>45077</v>
      </c>
      <c r="C14384" s="3" t="inlineStr">
        <is>
          <t>Assets</t>
        </is>
      </c>
      <c r="D14384" s="3" t="inlineStr">
        <is>
          <t>8450/000</t>
        </is>
      </c>
      <c r="E14384" s="3" t="inlineStr">
        <is>
          <t>A RMB 62275810820</t>
        </is>
      </c>
      <c r="F14384" s="3" t="n">
        <v>-121286.13</v>
      </c>
      <c r="G14384" s="3" t="n">
        <v>139019.98</v>
      </c>
    </row>
    <row r="14385">
      <c r="A14385" s="3" t="inlineStr">
        <is>
          <t>Opportunity Management Holdings (PTY) LTD</t>
        </is>
      </c>
      <c r="B14385" s="4" t="n">
        <v>45077</v>
      </c>
      <c r="C14385" s="3" t="inlineStr">
        <is>
          <t>Assets</t>
        </is>
      </c>
      <c r="D14385" s="3" t="inlineStr">
        <is>
          <t>8450/000</t>
        </is>
      </c>
      <c r="E14385" s="3" t="inlineStr">
        <is>
          <t>Petty Cash - CT Office</t>
        </is>
      </c>
      <c r="F14385" s="3" t="n">
        <v>0</v>
      </c>
      <c r="G14385" s="3" t="n">
        <v>17.2</v>
      </c>
    </row>
    <row r="14386">
      <c r="A14386" s="3" t="inlineStr">
        <is>
          <t>Quinate Consulting (Pty) Ltd</t>
        </is>
      </c>
      <c r="B14386" s="4" t="n">
        <v>45077</v>
      </c>
      <c r="C14386" s="3" t="inlineStr">
        <is>
          <t>Liabilities</t>
        </is>
      </c>
      <c r="D14386" s="3" t="inlineStr">
        <is>
          <t>8480/100</t>
        </is>
      </c>
      <c r="E14386" s="3" t="inlineStr">
        <is>
          <t>Bond - SH20 - STD Bank 532010558</t>
        </is>
      </c>
      <c r="F14386" s="3" t="n">
        <v>3182.57</v>
      </c>
      <c r="G14386" s="3" t="n">
        <v>-1345597.34</v>
      </c>
    </row>
    <row r="14387">
      <c r="A14387" s="3" t="inlineStr">
        <is>
          <t>Quinate Consulting (Pty) Ltd</t>
        </is>
      </c>
      <c r="B14387" s="4" t="n">
        <v>45077</v>
      </c>
      <c r="C14387" s="3" t="inlineStr">
        <is>
          <t>Liabilities</t>
        </is>
      </c>
      <c r="D14387" s="3" t="inlineStr">
        <is>
          <t>8480/200</t>
        </is>
      </c>
      <c r="E14387" s="3" t="inlineStr">
        <is>
          <t>Bond - SH23 - STD Bank 532010035</t>
        </is>
      </c>
      <c r="F14387" s="3" t="n">
        <v>3179.1</v>
      </c>
      <c r="G14387" s="3" t="n">
        <v>-1345453.55</v>
      </c>
    </row>
    <row r="14388">
      <c r="A14388" s="3" t="inlineStr">
        <is>
          <t>Quinate Consulting (Pty) Ltd</t>
        </is>
      </c>
      <c r="B14388" s="4" t="n">
        <v>45077</v>
      </c>
      <c r="C14388" s="3" t="inlineStr">
        <is>
          <t>Liabilities</t>
        </is>
      </c>
      <c r="D14388" s="3" t="inlineStr">
        <is>
          <t>8480/300</t>
        </is>
      </c>
      <c r="E14388" s="3" t="inlineStr">
        <is>
          <t>Bond - SH24 - STD Bank 532372662</t>
        </is>
      </c>
      <c r="F14388" s="3" t="n">
        <v>1613.98</v>
      </c>
      <c r="G14388" s="3" t="n">
        <v>-1448805.35</v>
      </c>
    </row>
    <row r="14389">
      <c r="A14389" s="3" t="inlineStr">
        <is>
          <t>Quinate Consulting (Pty) Ltd</t>
        </is>
      </c>
      <c r="B14389" s="4" t="n">
        <v>45077</v>
      </c>
      <c r="C14389" s="3" t="inlineStr">
        <is>
          <t>Liabilities</t>
        </is>
      </c>
      <c r="D14389" s="3" t="inlineStr">
        <is>
          <t>8480/400</t>
        </is>
      </c>
      <c r="E14389" s="3" t="inlineStr">
        <is>
          <t>Bond - SW01 - STD Bank 532920627</t>
        </is>
      </c>
      <c r="F14389" s="3" t="n">
        <v>12715.99</v>
      </c>
      <c r="G14389" s="3" t="n">
        <v>-1255940.05</v>
      </c>
    </row>
    <row r="14390">
      <c r="A14390" s="3" t="inlineStr">
        <is>
          <t>Quinate Consulting (Pty) Ltd</t>
        </is>
      </c>
      <c r="B14390" s="4" t="n">
        <v>45077</v>
      </c>
      <c r="C14390" s="3" t="inlineStr">
        <is>
          <t>Liabilities</t>
        </is>
      </c>
      <c r="D14390" s="3" t="inlineStr">
        <is>
          <t>8480/401</t>
        </is>
      </c>
      <c r="E14390" s="3" t="inlineStr">
        <is>
          <t>Bond - SW21 - STD Bank 532920597</t>
        </is>
      </c>
      <c r="F14390" s="3" t="n">
        <v>12721.03</v>
      </c>
      <c r="G14390" s="3" t="n">
        <v>-1256438.39</v>
      </c>
    </row>
    <row r="14391">
      <c r="A14391" s="3" t="inlineStr">
        <is>
          <t>Opportunity Global Investment (PTY) LTD</t>
        </is>
      </c>
      <c r="B14391" s="4" t="n">
        <v>45077</v>
      </c>
      <c r="C14391" s="3" t="inlineStr">
        <is>
          <t>Liabilities</t>
        </is>
      </c>
      <c r="D14391" s="3" t="inlineStr">
        <is>
          <t>860</t>
        </is>
      </c>
      <c r="E14391" s="3" t="inlineStr">
        <is>
          <t>Rounding</t>
        </is>
      </c>
      <c r="F14391" s="3" t="n">
        <v>0</v>
      </c>
      <c r="G14391" s="3" t="n">
        <v>0.01</v>
      </c>
    </row>
    <row r="14392">
      <c r="A14392" s="3" t="inlineStr">
        <is>
          <t>Opportunity Global Sales (PTY) LTD</t>
        </is>
      </c>
      <c r="B14392" s="4" t="n">
        <v>45077</v>
      </c>
      <c r="C14392" s="3" t="inlineStr">
        <is>
          <t>Liabilities</t>
        </is>
      </c>
      <c r="D14392" s="3" t="inlineStr">
        <is>
          <t>860</t>
        </is>
      </c>
      <c r="E14392" s="3" t="inlineStr">
        <is>
          <t>Rounding</t>
        </is>
      </c>
      <c r="F14392" s="3" t="n">
        <v>0</v>
      </c>
      <c r="G14392" s="3" t="n">
        <v>-1</v>
      </c>
    </row>
    <row r="14393">
      <c r="A14393" s="3" t="inlineStr">
        <is>
          <t>Quinate Consulting (Pty) Ltd</t>
        </is>
      </c>
      <c r="B14393" s="4" t="n">
        <v>45077</v>
      </c>
      <c r="C14393" s="3" t="inlineStr">
        <is>
          <t>Liabilities</t>
        </is>
      </c>
      <c r="D14393" s="3" t="inlineStr">
        <is>
          <t>860</t>
        </is>
      </c>
      <c r="E14393" s="3" t="inlineStr">
        <is>
          <t>Rounding</t>
        </is>
      </c>
      <c r="F14393" s="3" t="n">
        <v>-0.34</v>
      </c>
      <c r="G14393" s="3" t="n">
        <v>-3.23</v>
      </c>
    </row>
    <row r="14394">
      <c r="A14394" s="3" t="inlineStr">
        <is>
          <t>Trademark Holdings (Pty) Ltd</t>
        </is>
      </c>
      <c r="B14394" s="4" t="n">
        <v>45077</v>
      </c>
      <c r="C14394" s="3" t="inlineStr">
        <is>
          <t>Liabilities</t>
        </is>
      </c>
      <c r="D14394" s="3" t="inlineStr">
        <is>
          <t>860</t>
        </is>
      </c>
      <c r="E14394" s="3" t="inlineStr">
        <is>
          <t>Rounding</t>
        </is>
      </c>
      <c r="F14394" s="3" t="n">
        <v>0</v>
      </c>
      <c r="G14394" s="3" t="n">
        <v>0.2</v>
      </c>
    </row>
    <row r="14395">
      <c r="A14395" s="3" t="inlineStr">
        <is>
          <t>Endulini (Pty) Ltd</t>
        </is>
      </c>
      <c r="B14395" s="4" t="n">
        <v>45077</v>
      </c>
      <c r="C14395" s="3" t="inlineStr">
        <is>
          <t>Liabilities</t>
        </is>
      </c>
      <c r="D14395" s="3" t="inlineStr">
        <is>
          <t>9000/000</t>
        </is>
      </c>
      <c r="E14395" s="3" t="inlineStr">
        <is>
          <t>Supplier Control Account</t>
        </is>
      </c>
      <c r="F14395" s="3" t="n">
        <v>2628582</v>
      </c>
      <c r="G14395" s="3" t="n">
        <v>-10510430.76</v>
      </c>
    </row>
    <row r="14396">
      <c r="A14396" s="3" t="inlineStr">
        <is>
          <t>Noble Shield (Pty) Ltd ta Go Letting</t>
        </is>
      </c>
      <c r="B14396" s="4" t="n">
        <v>45077</v>
      </c>
      <c r="C14396" s="3" t="inlineStr">
        <is>
          <t>Liabilities</t>
        </is>
      </c>
      <c r="D14396" s="3" t="inlineStr">
        <is>
          <t>9000/000</t>
        </is>
      </c>
      <c r="E14396" s="3" t="inlineStr">
        <is>
          <t>Supplier Control Account</t>
        </is>
      </c>
      <c r="F14396" s="3" t="n">
        <v>-2269.87</v>
      </c>
      <c r="G14396" s="3" t="n">
        <v>-28022.59</v>
      </c>
    </row>
    <row r="14397">
      <c r="A14397" s="3" t="inlineStr">
        <is>
          <t>Opportunity Global Investment (PTY) LTD</t>
        </is>
      </c>
      <c r="B14397" s="4" t="n">
        <v>45077</v>
      </c>
      <c r="C14397" s="3" t="inlineStr">
        <is>
          <t>Liabilities</t>
        </is>
      </c>
      <c r="D14397" s="3" t="inlineStr">
        <is>
          <t>9000/000</t>
        </is>
      </c>
      <c r="E14397" s="3" t="inlineStr">
        <is>
          <t>Supplier Control Account</t>
        </is>
      </c>
      <c r="F14397" s="3" t="n">
        <v>-8840.73</v>
      </c>
      <c r="G14397" s="3" t="n">
        <v>-58342.17</v>
      </c>
    </row>
    <row r="14398">
      <c r="A14398" s="3" t="inlineStr">
        <is>
          <t>Opportunity Global Sales (PTY) LTD</t>
        </is>
      </c>
      <c r="B14398" s="4" t="n">
        <v>45077</v>
      </c>
      <c r="C14398" s="3" t="inlineStr">
        <is>
          <t>Liabilities</t>
        </is>
      </c>
      <c r="D14398" s="3" t="inlineStr">
        <is>
          <t>9000/000</t>
        </is>
      </c>
      <c r="E14398" s="3" t="inlineStr">
        <is>
          <t>Supplier Control Account</t>
        </is>
      </c>
      <c r="F14398" s="3" t="n">
        <v>-41830</v>
      </c>
      <c r="G14398" s="3" t="n">
        <v>-47173.31</v>
      </c>
    </row>
    <row r="14399">
      <c r="A14399" s="3" t="inlineStr">
        <is>
          <t>Opportunity Management Holdings (PTY) LTD</t>
        </is>
      </c>
      <c r="B14399" s="4" t="n">
        <v>45077</v>
      </c>
      <c r="C14399" s="3" t="inlineStr">
        <is>
          <t>Liabilities</t>
        </is>
      </c>
      <c r="D14399" s="3" t="inlineStr">
        <is>
          <t>9000/000</t>
        </is>
      </c>
      <c r="E14399" s="3" t="inlineStr">
        <is>
          <t>Supplier Control Account</t>
        </is>
      </c>
      <c r="F14399" s="3" t="n">
        <v>-1961.1</v>
      </c>
      <c r="G14399" s="3" t="n">
        <v>-272156.02</v>
      </c>
    </row>
    <row r="14400">
      <c r="A14400" s="3" t="inlineStr">
        <is>
          <t>Quinate Consulting (Pty) Ltd</t>
        </is>
      </c>
      <c r="B14400" s="4" t="n">
        <v>45077</v>
      </c>
      <c r="C14400" s="3" t="inlineStr">
        <is>
          <t>Liabilities</t>
        </is>
      </c>
      <c r="D14400" s="3" t="inlineStr">
        <is>
          <t>9000/000</t>
        </is>
      </c>
      <c r="E14400" s="3" t="inlineStr">
        <is>
          <t>Supplier Control Account</t>
        </is>
      </c>
      <c r="F14400" s="3" t="n">
        <v>7088.46</v>
      </c>
      <c r="G14400" s="3" t="n">
        <v>540040.83</v>
      </c>
    </row>
    <row r="14401">
      <c r="A14401" s="3" t="inlineStr">
        <is>
          <t>Trademark Holdings (Pty) Ltd</t>
        </is>
      </c>
      <c r="B14401" s="4" t="n">
        <v>45077</v>
      </c>
      <c r="C14401" s="3" t="inlineStr">
        <is>
          <t>Liabilities</t>
        </is>
      </c>
      <c r="D14401" s="3" t="inlineStr">
        <is>
          <t>9000/000</t>
        </is>
      </c>
      <c r="E14401" s="3" t="inlineStr">
        <is>
          <t>Supplier Control Account</t>
        </is>
      </c>
      <c r="F14401" s="3" t="n">
        <v>-6836</v>
      </c>
      <c r="G14401" s="3" t="n">
        <v>-15243.75</v>
      </c>
    </row>
    <row r="14402">
      <c r="A14402" s="3" t="inlineStr">
        <is>
          <t>Quinate Consulting (Pty) Ltd</t>
        </is>
      </c>
      <c r="B14402" s="4" t="n">
        <v>45077</v>
      </c>
      <c r="C14402" s="3" t="inlineStr">
        <is>
          <t>Liabilities</t>
        </is>
      </c>
      <c r="D14402" s="3" t="inlineStr">
        <is>
          <t>9001</t>
        </is>
      </c>
      <c r="E14402" s="3" t="inlineStr">
        <is>
          <t>Supplier Control</t>
        </is>
      </c>
      <c r="F14402" s="3" t="n">
        <v>0</v>
      </c>
      <c r="G14402" s="3" t="n">
        <v>-347315.41</v>
      </c>
    </row>
    <row r="14403">
      <c r="A14403" s="3" t="inlineStr">
        <is>
          <t>Opportunity Management Holdings (PTY) LTD</t>
        </is>
      </c>
      <c r="B14403" s="4" t="n">
        <v>45077</v>
      </c>
      <c r="C14403" s="3" t="inlineStr">
        <is>
          <t>Liabilities</t>
        </is>
      </c>
      <c r="D14403" s="3" t="inlineStr">
        <is>
          <t>9100/000</t>
        </is>
      </c>
      <c r="E14403" s="3" t="inlineStr">
        <is>
          <t>PAYE/UIF/SDL Accrual - Prior Years ADJ</t>
        </is>
      </c>
      <c r="F14403" s="3" t="n">
        <v>0</v>
      </c>
      <c r="G14403" s="3" t="n">
        <v>-33739.36</v>
      </c>
    </row>
    <row r="14404">
      <c r="A14404" s="3" t="inlineStr">
        <is>
          <t>Opportunity Management Holdings (PTY) LTD</t>
        </is>
      </c>
      <c r="B14404" s="4" t="n">
        <v>45077</v>
      </c>
      <c r="C14404" s="3" t="inlineStr">
        <is>
          <t>Assets</t>
        </is>
      </c>
      <c r="D14404" s="3" t="inlineStr">
        <is>
          <t>9110/000</t>
        </is>
      </c>
      <c r="E14404" s="3" t="inlineStr">
        <is>
          <t>Deposit Received</t>
        </is>
      </c>
      <c r="F14404" s="3" t="n">
        <v>0</v>
      </c>
      <c r="G14404" s="3" t="n">
        <v>-3852.5</v>
      </c>
    </row>
    <row r="14405">
      <c r="A14405" s="3" t="inlineStr">
        <is>
          <t>Opportunity Global Investment (PTY) LTD</t>
        </is>
      </c>
      <c r="B14405" s="4" t="n">
        <v>45077</v>
      </c>
      <c r="C14405" s="3" t="inlineStr">
        <is>
          <t>Liabilities</t>
        </is>
      </c>
      <c r="D14405" s="3" t="inlineStr">
        <is>
          <t>9110/000</t>
        </is>
      </c>
      <c r="E14405" s="3" t="inlineStr">
        <is>
          <t>Taxation B/S</t>
        </is>
      </c>
      <c r="F14405" s="3" t="n">
        <v>0</v>
      </c>
      <c r="G14405" s="3" t="n">
        <v>57442.84</v>
      </c>
    </row>
    <row r="14406">
      <c r="A14406" s="3" t="inlineStr">
        <is>
          <t>Noble Shield (Pty) Ltd ta Go Letting</t>
        </is>
      </c>
      <c r="B14406" s="4" t="n">
        <v>45077</v>
      </c>
      <c r="C14406" s="3" t="inlineStr">
        <is>
          <t>Liabilities</t>
        </is>
      </c>
      <c r="D14406" s="3" t="inlineStr">
        <is>
          <t>9250/010</t>
        </is>
      </c>
      <c r="E14406" s="3" t="inlineStr">
        <is>
          <t>SALARY CONTROL</t>
        </is>
      </c>
      <c r="F14406" s="3" t="n">
        <v>-1370.73</v>
      </c>
      <c r="G14406" s="3" t="n">
        <v>-17483</v>
      </c>
    </row>
    <row r="14407">
      <c r="A14407" s="3" t="inlineStr">
        <is>
          <t>Opportunity Global Investment (PTY) LTD</t>
        </is>
      </c>
      <c r="B14407" s="4" t="n">
        <v>45077</v>
      </c>
      <c r="C14407" s="3" t="inlineStr">
        <is>
          <t>Liabilities</t>
        </is>
      </c>
      <c r="D14407" s="3" t="inlineStr">
        <is>
          <t>9250/010</t>
        </is>
      </c>
      <c r="E14407" s="3" t="inlineStr">
        <is>
          <t>SALARY CONTROL</t>
        </is>
      </c>
      <c r="F14407" s="3" t="n">
        <v>0</v>
      </c>
      <c r="G14407" s="3" t="n">
        <v>5000</v>
      </c>
    </row>
    <row r="14408">
      <c r="A14408" s="3" t="inlineStr">
        <is>
          <t>Opportunity Global Sales (PTY) LTD</t>
        </is>
      </c>
      <c r="B14408" s="4" t="n">
        <v>45077</v>
      </c>
      <c r="C14408" s="3" t="inlineStr">
        <is>
          <t>Liabilities</t>
        </is>
      </c>
      <c r="D14408" s="3" t="inlineStr">
        <is>
          <t>9250/010</t>
        </is>
      </c>
      <c r="E14408" s="3" t="inlineStr">
        <is>
          <t>SALARY CONTROL</t>
        </is>
      </c>
      <c r="F14408" s="3" t="n">
        <v>-500</v>
      </c>
      <c r="G14408" s="3" t="n">
        <v>-500.01</v>
      </c>
    </row>
    <row r="14409">
      <c r="A14409" s="3" t="inlineStr">
        <is>
          <t>Opportunity Management Holdings (PTY) LTD</t>
        </is>
      </c>
      <c r="B14409" s="4" t="n">
        <v>45077</v>
      </c>
      <c r="C14409" s="3" t="inlineStr">
        <is>
          <t>Liabilities</t>
        </is>
      </c>
      <c r="D14409" s="3" t="inlineStr">
        <is>
          <t>9250/010</t>
        </is>
      </c>
      <c r="E14409" s="3" t="inlineStr">
        <is>
          <t>SALARY CONTROL</t>
        </is>
      </c>
      <c r="F14409" s="3" t="n">
        <v>-5500</v>
      </c>
      <c r="G14409" s="3" t="n">
        <v>-5500</v>
      </c>
    </row>
    <row r="14410">
      <c r="A14410" s="3" t="inlineStr">
        <is>
          <t>Trademark Holdings (Pty) Ltd</t>
        </is>
      </c>
      <c r="B14410" s="4" t="n">
        <v>45077</v>
      </c>
      <c r="C14410" s="3" t="inlineStr">
        <is>
          <t>Liabilities</t>
        </is>
      </c>
      <c r="D14410" s="3" t="inlineStr">
        <is>
          <t>9250/010</t>
        </is>
      </c>
      <c r="E14410" s="3" t="inlineStr">
        <is>
          <t>SALARY CONTROL</t>
        </is>
      </c>
      <c r="F14410" s="3" t="n">
        <v>-549.64</v>
      </c>
      <c r="G14410" s="3" t="n">
        <v>-19286.58</v>
      </c>
    </row>
    <row r="14411">
      <c r="A14411" s="3" t="inlineStr">
        <is>
          <t>Noble Shield (Pty) Ltd ta Go Letting</t>
        </is>
      </c>
      <c r="B14411" s="4" t="n">
        <v>45077</v>
      </c>
      <c r="C14411" s="3" t="inlineStr">
        <is>
          <t>Liabilities</t>
        </is>
      </c>
      <c r="D14411" s="3" t="inlineStr">
        <is>
          <t>9250/020</t>
        </is>
      </c>
      <c r="E14411" s="3" t="inlineStr">
        <is>
          <t>PAYE, UIF AND SDL CONTROL</t>
        </is>
      </c>
      <c r="F14411" s="3" t="n">
        <v>-500.14</v>
      </c>
      <c r="G14411" s="3" t="n">
        <v>-5680.89</v>
      </c>
    </row>
    <row r="14412">
      <c r="A14412" s="3" t="inlineStr">
        <is>
          <t>Opportunity Global Investment (PTY) LTD</t>
        </is>
      </c>
      <c r="B14412" s="4" t="n">
        <v>45077</v>
      </c>
      <c r="C14412" s="3" t="inlineStr">
        <is>
          <t>Liabilities</t>
        </is>
      </c>
      <c r="D14412" s="3" t="inlineStr">
        <is>
          <t>9250/020</t>
        </is>
      </c>
      <c r="E14412" s="3" t="inlineStr">
        <is>
          <t>PAYE, UIF AND SDL CONTROL</t>
        </is>
      </c>
      <c r="F14412" s="3" t="n">
        <v>12169.57</v>
      </c>
      <c r="G14412" s="3" t="n">
        <v>-44072.87</v>
      </c>
    </row>
    <row r="14413">
      <c r="A14413" s="3" t="inlineStr">
        <is>
          <t>Opportunity Management Holdings (PTY) LTD</t>
        </is>
      </c>
      <c r="B14413" s="4" t="n">
        <v>45077</v>
      </c>
      <c r="C14413" s="3" t="inlineStr">
        <is>
          <t>Liabilities</t>
        </is>
      </c>
      <c r="D14413" s="3" t="inlineStr">
        <is>
          <t>9250/020</t>
        </is>
      </c>
      <c r="E14413" s="3" t="inlineStr">
        <is>
          <t>PAYE, UIF AND SDL CONTROL</t>
        </is>
      </c>
      <c r="F14413" s="3" t="n">
        <v>-2167.5</v>
      </c>
      <c r="G14413" s="3" t="n">
        <v>-51083.22</v>
      </c>
    </row>
    <row r="14414">
      <c r="A14414" s="3" t="inlineStr">
        <is>
          <t>Trademark Holdings (Pty) Ltd</t>
        </is>
      </c>
      <c r="B14414" s="4" t="n">
        <v>45077</v>
      </c>
      <c r="C14414" s="3" t="inlineStr">
        <is>
          <t>Liabilities</t>
        </is>
      </c>
      <c r="D14414" s="3" t="inlineStr">
        <is>
          <t>9250/020</t>
        </is>
      </c>
      <c r="E14414" s="3" t="inlineStr">
        <is>
          <t>PAYE, UIF AND SDL CONTROL</t>
        </is>
      </c>
      <c r="F14414" s="3" t="n">
        <v>-218.4</v>
      </c>
      <c r="G14414" s="3" t="n">
        <v>-5525.2</v>
      </c>
    </row>
    <row r="14415">
      <c r="A14415" s="3" t="inlineStr">
        <is>
          <t>Opportunity Global Investment (PTY) LTD</t>
        </is>
      </c>
      <c r="B14415" s="4" t="n">
        <v>45077</v>
      </c>
      <c r="C14415" s="3" t="inlineStr">
        <is>
          <t>Liabilities</t>
        </is>
      </c>
      <c r="D14415" s="3" t="inlineStr">
        <is>
          <t>9400/030</t>
        </is>
      </c>
      <c r="E14415" s="3" t="inlineStr">
        <is>
          <t>Accrued Expenses - PAYE_AND_UIF</t>
        </is>
      </c>
      <c r="F14415" s="3" t="n">
        <v>0</v>
      </c>
      <c r="G14415" s="3" t="n">
        <v>-2</v>
      </c>
    </row>
    <row r="14416">
      <c r="A14416" s="3" t="inlineStr">
        <is>
          <t>Trademark Holdings (Pty) Ltd</t>
        </is>
      </c>
      <c r="B14416" s="4" t="n">
        <v>45077</v>
      </c>
      <c r="C14416" s="3" t="inlineStr">
        <is>
          <t>Liabilities</t>
        </is>
      </c>
      <c r="D14416" s="3" t="inlineStr">
        <is>
          <t>9400/400</t>
        </is>
      </c>
      <c r="E14416" s="3" t="inlineStr">
        <is>
          <t>Deemed Dividend Tax</t>
        </is>
      </c>
      <c r="F14416" s="3" t="n">
        <v>0</v>
      </c>
      <c r="G14416" s="3" t="n">
        <v>-699.13</v>
      </c>
    </row>
    <row r="14417">
      <c r="A14417" s="3" t="inlineStr">
        <is>
          <t>Opportunity Global Investment (PTY) LTD</t>
        </is>
      </c>
      <c r="B14417" s="4" t="n">
        <v>45077</v>
      </c>
      <c r="C14417" s="3" t="inlineStr">
        <is>
          <t>Liabilities</t>
        </is>
      </c>
      <c r="D14417" s="3" t="inlineStr">
        <is>
          <t>9500/000</t>
        </is>
      </c>
      <c r="E14417" s="3" t="inlineStr">
        <is>
          <t>VAT Control Account</t>
        </is>
      </c>
      <c r="F14417" s="3" t="n">
        <v>382296.49</v>
      </c>
      <c r="G14417" s="3" t="n">
        <v>812557.35</v>
      </c>
    </row>
    <row r="14418">
      <c r="A14418" s="3" t="inlineStr">
        <is>
          <t>Opportunity Global Sales (PTY) LTD</t>
        </is>
      </c>
      <c r="B14418" s="4" t="n">
        <v>45077</v>
      </c>
      <c r="C14418" s="3" t="inlineStr">
        <is>
          <t>Liabilities</t>
        </is>
      </c>
      <c r="D14418" s="3" t="inlineStr">
        <is>
          <t>9500/000</t>
        </is>
      </c>
      <c r="E14418" s="3" t="inlineStr">
        <is>
          <t>VAT Control Account</t>
        </is>
      </c>
      <c r="F14418" s="3" t="n">
        <v>-51476.41</v>
      </c>
      <c r="G14418" s="3" t="n">
        <v>-842928.39</v>
      </c>
    </row>
    <row r="14419">
      <c r="A14419" s="3" t="inlineStr">
        <is>
          <t>Opportunity Management Holdings (PTY) LTD</t>
        </is>
      </c>
      <c r="B14419" s="4" t="n">
        <v>45077</v>
      </c>
      <c r="C14419" s="3" t="inlineStr">
        <is>
          <t>Liabilities</t>
        </is>
      </c>
      <c r="D14419" s="3" t="inlineStr">
        <is>
          <t>9500/000</t>
        </is>
      </c>
      <c r="E14419" s="3" t="inlineStr">
        <is>
          <t>VAT Control Account</t>
        </is>
      </c>
      <c r="F14419" s="3" t="n">
        <v>-44096.02</v>
      </c>
      <c r="G14419" s="3" t="n">
        <v>80146.73</v>
      </c>
    </row>
    <row r="14420">
      <c r="A14420" s="3" t="inlineStr">
        <is>
          <t>Endulini (Pty) Ltd</t>
        </is>
      </c>
      <c r="B14420" s="4" t="n">
        <v>45077</v>
      </c>
      <c r="C14420" s="3" t="inlineStr">
        <is>
          <t>Liabilities</t>
        </is>
      </c>
      <c r="D14420" s="3" t="inlineStr">
        <is>
          <t>9500/000</t>
        </is>
      </c>
      <c r="E14420" s="3" t="inlineStr">
        <is>
          <t>Vat / Tax Control Account</t>
        </is>
      </c>
      <c r="F14420" s="3" t="n">
        <v>8388.68</v>
      </c>
      <c r="G14420" s="3" t="n">
        <v>-2036988.77</v>
      </c>
    </row>
    <row r="14421">
      <c r="A14421" s="3" t="inlineStr">
        <is>
          <t>Quinate Consulting (Pty) Ltd</t>
        </is>
      </c>
      <c r="B14421" s="4" t="n">
        <v>45077</v>
      </c>
      <c r="C14421" s="3" t="inlineStr">
        <is>
          <t>Liabilities</t>
        </is>
      </c>
      <c r="D14421" s="3" t="inlineStr">
        <is>
          <t>9500/000</t>
        </is>
      </c>
      <c r="E14421" s="3" t="inlineStr">
        <is>
          <t>Vat Control Account</t>
        </is>
      </c>
      <c r="F14421" s="3" t="n">
        <v>7461.12</v>
      </c>
      <c r="G14421" s="3" t="n">
        <v>1768311.23</v>
      </c>
    </row>
    <row r="14422">
      <c r="A14422" s="3" t="inlineStr">
        <is>
          <t>Opportunity Management Holdings (PTY) LTD</t>
        </is>
      </c>
      <c r="B14422" s="4" t="n">
        <v>45077</v>
      </c>
      <c r="C14422" s="3" t="inlineStr">
        <is>
          <t>Liabilities</t>
        </is>
      </c>
      <c r="D14422" s="3" t="inlineStr">
        <is>
          <t>9501/000</t>
        </is>
      </c>
      <c r="E14422" s="3" t="inlineStr">
        <is>
          <t>Vat Adjustments - C2M</t>
        </is>
      </c>
      <c r="F14422" s="3" t="n">
        <v>0</v>
      </c>
      <c r="G14422" s="3" t="n">
        <v>47274.04</v>
      </c>
    </row>
    <row r="14423">
      <c r="A14423" s="3" t="inlineStr">
        <is>
          <t>Quinate Consulting (Pty) Ltd</t>
        </is>
      </c>
      <c r="B14423" s="4" t="n">
        <v>45077</v>
      </c>
      <c r="C14423" s="3" t="inlineStr">
        <is>
          <t>Liabilities</t>
        </is>
      </c>
      <c r="D14423" s="3" t="inlineStr">
        <is>
          <t>9960/000</t>
        </is>
      </c>
      <c r="E14423" s="3" t="inlineStr">
        <is>
          <t>Deposits - Southwark Rentals</t>
        </is>
      </c>
      <c r="F14423" s="3" t="n">
        <v>0</v>
      </c>
      <c r="G14423" s="3" t="n">
        <v>-11500</v>
      </c>
    </row>
    <row r="14424">
      <c r="A14424" s="3" t="inlineStr">
        <is>
          <t>Noble Shield (Pty) Ltd ta Go Letting</t>
        </is>
      </c>
      <c r="B14424" s="4" t="n">
        <v>45077</v>
      </c>
      <c r="C14424" s="3" t="inlineStr">
        <is>
          <t>Expenses</t>
        </is>
      </c>
      <c r="D14424" s="3" t="inlineStr">
        <is>
          <t>ACB Link</t>
        </is>
      </c>
      <c r="E14424" s="3" t="inlineStr">
        <is>
          <t>Subscriptions - TPN</t>
        </is>
      </c>
      <c r="F14424" s="3" t="n">
        <v>1269.6</v>
      </c>
      <c r="G14424" s="3" t="n">
        <v>19435.53</v>
      </c>
    </row>
    <row r="14425">
      <c r="A14425" s="3" t="inlineStr">
        <is>
          <t>Noble Shield (Pty) Ltd ta Go Letting</t>
        </is>
      </c>
      <c r="B14425" s="4" t="n">
        <v>45077</v>
      </c>
      <c r="C14425" s="3" t="inlineStr">
        <is>
          <t>Liabilities</t>
        </is>
      </c>
      <c r="D14425" s="3" t="inlineStr">
        <is>
          <t>B/S</t>
        </is>
      </c>
      <c r="E14425" s="3" t="inlineStr">
        <is>
          <t>Tax Payable</t>
        </is>
      </c>
      <c r="F14425" s="3" t="n">
        <v>0</v>
      </c>
      <c r="G14425" s="3" t="n">
        <v>-5166.4</v>
      </c>
    </row>
    <row r="14426">
      <c r="A14426" s="3" t="inlineStr">
        <is>
          <t>Quinate Consulting (Pty) Ltd</t>
        </is>
      </c>
      <c r="B14426" s="4" t="n">
        <v>45077</v>
      </c>
      <c r="C14426" s="3" t="inlineStr">
        <is>
          <t>Liabilities</t>
        </is>
      </c>
      <c r="D14426" s="3" t="inlineStr">
        <is>
          <t xml:space="preserve">B/S </t>
        </is>
      </c>
      <c r="E14426" s="3" t="inlineStr">
        <is>
          <t>Taxation Payable</t>
        </is>
      </c>
      <c r="F14426" s="3" t="n">
        <v>0</v>
      </c>
      <c r="G14426" s="3" t="n">
        <v>-15486</v>
      </c>
    </row>
    <row r="14427">
      <c r="A14427" s="3" t="inlineStr">
        <is>
          <t>Quinate Consulting (Pty) Ltd</t>
        </is>
      </c>
      <c r="B14427" s="4" t="n">
        <v>45077</v>
      </c>
      <c r="C14427" s="3" t="inlineStr">
        <is>
          <t>Liabilities</t>
        </is>
      </c>
      <c r="D14427" s="3" t="inlineStr">
        <is>
          <t>FV</t>
        </is>
      </c>
      <c r="E14427" s="3" t="inlineStr">
        <is>
          <t>Loan - Cape Projects Constuction</t>
        </is>
      </c>
      <c r="F14427" s="3" t="n">
        <v>0</v>
      </c>
      <c r="G14427" s="3" t="n">
        <v>-7596187.4</v>
      </c>
    </row>
    <row r="14428">
      <c r="A14428" s="3" t="inlineStr">
        <is>
          <t>Quinate Consulting (Pty) Ltd</t>
        </is>
      </c>
      <c r="B14428" s="4" t="n">
        <v>45077</v>
      </c>
      <c r="C14428" s="3" t="inlineStr">
        <is>
          <t>Liabilities</t>
        </is>
      </c>
      <c r="D14428" s="3" t="inlineStr">
        <is>
          <t>Sharehold OppDev</t>
        </is>
      </c>
      <c r="E14428" s="3" t="inlineStr">
        <is>
          <t>Loan - Justine Morgan</t>
        </is>
      </c>
      <c r="F14428" s="3" t="n">
        <v>0</v>
      </c>
      <c r="G14428" s="3" t="n">
        <v>-563766.76</v>
      </c>
    </row>
    <row r="14429">
      <c r="A14429" s="3" t="inlineStr">
        <is>
          <t>Opportunity Global Sales (PTY) LTD</t>
        </is>
      </c>
      <c r="B14429" s="4" t="n">
        <v>45107</v>
      </c>
      <c r="C14429" s="3" t="inlineStr">
        <is>
          <t>Revenue</t>
        </is>
      </c>
      <c r="D14429" s="3" t="inlineStr">
        <is>
          <t>1000/009</t>
        </is>
      </c>
      <c r="E14429" s="3" t="inlineStr">
        <is>
          <t>Sales - Comm on Payprop</t>
        </is>
      </c>
      <c r="F14429" s="3" t="n">
        <v>-16120.04</v>
      </c>
      <c r="G14429" s="3" t="n">
        <v>-56520.54</v>
      </c>
    </row>
    <row r="14430">
      <c r="A14430" s="3" t="inlineStr">
        <is>
          <t>Quinate Consulting (Pty) Ltd</t>
        </is>
      </c>
      <c r="B14430" s="4" t="n">
        <v>45107</v>
      </c>
      <c r="C14430" s="3" t="inlineStr">
        <is>
          <t>Revenue</t>
        </is>
      </c>
      <c r="D14430" s="3" t="inlineStr">
        <is>
          <t>1000/011</t>
        </is>
      </c>
      <c r="E14430" s="3" t="inlineStr">
        <is>
          <t>Rent Received - Soho Unit 23</t>
        </is>
      </c>
      <c r="F14430" s="3" t="n">
        <v>-12500</v>
      </c>
      <c r="G14430" s="3" t="n">
        <v>-50000</v>
      </c>
    </row>
    <row r="14431">
      <c r="A14431" s="3" t="inlineStr">
        <is>
          <t>Quinate Consulting (Pty) Ltd</t>
        </is>
      </c>
      <c r="B14431" s="4" t="n">
        <v>45107</v>
      </c>
      <c r="C14431" s="3" t="inlineStr">
        <is>
          <t>Revenue</t>
        </is>
      </c>
      <c r="D14431" s="3" t="inlineStr">
        <is>
          <t>1000/012</t>
        </is>
      </c>
      <c r="E14431" s="3" t="inlineStr">
        <is>
          <t>Rent Received - Soho Unit 24</t>
        </is>
      </c>
      <c r="F14431" s="3" t="n">
        <v>-14445</v>
      </c>
      <c r="G14431" s="3" t="n">
        <v>-57780</v>
      </c>
    </row>
    <row r="14432">
      <c r="A14432" s="3" t="inlineStr">
        <is>
          <t>Quinate Consulting (Pty) Ltd</t>
        </is>
      </c>
      <c r="B14432" s="4" t="n">
        <v>45107</v>
      </c>
      <c r="C14432" s="3" t="inlineStr">
        <is>
          <t>Revenue</t>
        </is>
      </c>
      <c r="D14432" s="3" t="inlineStr">
        <is>
          <t>1000/013</t>
        </is>
      </c>
      <c r="E14432" s="3" t="inlineStr">
        <is>
          <t>Rent Recieved - Soho Unit 20</t>
        </is>
      </c>
      <c r="F14432" s="3" t="n">
        <v>-12500</v>
      </c>
      <c r="G14432" s="3" t="n">
        <v>-50000</v>
      </c>
    </row>
    <row r="14433">
      <c r="A14433" s="3" t="inlineStr">
        <is>
          <t>Quinate Consulting (Pty) Ltd</t>
        </is>
      </c>
      <c r="B14433" s="4" t="n">
        <v>45107</v>
      </c>
      <c r="C14433" s="3" t="inlineStr">
        <is>
          <t>Revenue</t>
        </is>
      </c>
      <c r="D14433" s="3" t="inlineStr">
        <is>
          <t>1000/016</t>
        </is>
      </c>
      <c r="E14433" s="3" t="inlineStr">
        <is>
          <t>Rent Recieved - Southwark Unit 21</t>
        </is>
      </c>
      <c r="F14433" s="3" t="n">
        <v>-10000</v>
      </c>
      <c r="G14433" s="3" t="n">
        <v>-40000</v>
      </c>
    </row>
    <row r="14434">
      <c r="A14434" s="3" t="inlineStr">
        <is>
          <t>Opportunity Global Sales (PTY) LTD</t>
        </is>
      </c>
      <c r="B14434" s="4" t="n">
        <v>45107</v>
      </c>
      <c r="C14434" s="3" t="inlineStr">
        <is>
          <t>Revenue</t>
        </is>
      </c>
      <c r="D14434" s="3" t="inlineStr">
        <is>
          <t>1000/100</t>
        </is>
      </c>
      <c r="E14434" s="3" t="inlineStr">
        <is>
          <t>Sales - Comm on External Sales</t>
        </is>
      </c>
      <c r="F14434" s="3" t="n">
        <v>0</v>
      </c>
      <c r="G14434" s="3" t="n">
        <v>-104782.61</v>
      </c>
    </row>
    <row r="14435">
      <c r="A14435" s="3" t="inlineStr">
        <is>
          <t>Noble Shield (Pty) Ltd ta Go Letting</t>
        </is>
      </c>
      <c r="B14435" s="4" t="n">
        <v>45107</v>
      </c>
      <c r="C14435" s="3" t="inlineStr">
        <is>
          <t>Revenue</t>
        </is>
      </c>
      <c r="D14435" s="3" t="inlineStr">
        <is>
          <t>1000/100</t>
        </is>
      </c>
      <c r="E14435" s="3" t="inlineStr">
        <is>
          <t>Sales - Payprop 328 - Michelle</t>
        </is>
      </c>
      <c r="F14435" s="3" t="n">
        <v>-78867.78999999999</v>
      </c>
      <c r="G14435" s="3" t="n">
        <v>-769288.91</v>
      </c>
    </row>
    <row r="14436">
      <c r="A14436" s="3" t="inlineStr">
        <is>
          <t>Opportunity Global Sales (PTY) LTD</t>
        </is>
      </c>
      <c r="B14436" s="4" t="n">
        <v>45107</v>
      </c>
      <c r="C14436" s="3" t="inlineStr">
        <is>
          <t>Revenue</t>
        </is>
      </c>
      <c r="D14436" s="3" t="inlineStr">
        <is>
          <t>1000/120</t>
        </is>
      </c>
      <c r="E14436" s="3" t="inlineStr">
        <is>
          <t>Sales - Admin Fees on Rental Units</t>
        </is>
      </c>
      <c r="F14436" s="3" t="n">
        <v>-4847.81</v>
      </c>
      <c r="G14436" s="3" t="n">
        <v>-16586.91</v>
      </c>
    </row>
    <row r="14437">
      <c r="A14437" s="3" t="inlineStr">
        <is>
          <t>Opportunity Global Sales (PTY) LTD</t>
        </is>
      </c>
      <c r="B14437" s="4" t="n">
        <v>45107</v>
      </c>
      <c r="C14437" s="3" t="inlineStr">
        <is>
          <t>Revenue</t>
        </is>
      </c>
      <c r="D14437" s="3" t="inlineStr">
        <is>
          <t>1000/121</t>
        </is>
      </c>
      <c r="E14437" s="3" t="inlineStr">
        <is>
          <t>Sales - Admin Fees on Rental Units Endulini</t>
        </is>
      </c>
      <c r="F14437" s="3" t="n">
        <v>0</v>
      </c>
      <c r="G14437" s="3" t="n">
        <v>-434.78</v>
      </c>
    </row>
    <row r="14438">
      <c r="A14438" s="3" t="inlineStr">
        <is>
          <t>Opportunity Global Sales (PTY) LTD</t>
        </is>
      </c>
      <c r="B14438" s="4" t="n">
        <v>45107</v>
      </c>
      <c r="C14438" s="3" t="inlineStr">
        <is>
          <t>Revenue</t>
        </is>
      </c>
      <c r="D14438" s="3" t="inlineStr">
        <is>
          <t>1000/122</t>
        </is>
      </c>
      <c r="E14438" s="3" t="inlineStr">
        <is>
          <t>Sales - Admin Fees on Rental Units Heron Fields</t>
        </is>
      </c>
      <c r="F14438" s="3" t="n">
        <v>0</v>
      </c>
      <c r="G14438" s="3" t="n">
        <v>-1739.14</v>
      </c>
    </row>
    <row r="14439">
      <c r="A14439" s="3" t="inlineStr">
        <is>
          <t>Opportunity Global Sales (PTY) LTD</t>
        </is>
      </c>
      <c r="B14439" s="4" t="n">
        <v>45107</v>
      </c>
      <c r="C14439" s="3" t="inlineStr">
        <is>
          <t>Revenue</t>
        </is>
      </c>
      <c r="D14439" s="3" t="inlineStr">
        <is>
          <t>1000/150</t>
        </is>
      </c>
      <c r="E14439" s="3" t="inlineStr">
        <is>
          <t>Sales - Comm on External Rental</t>
        </is>
      </c>
      <c r="F14439" s="3" t="n">
        <v>-98778.25</v>
      </c>
      <c r="G14439" s="3" t="n">
        <v>-181578.22</v>
      </c>
    </row>
    <row r="14440">
      <c r="A14440" s="3" t="inlineStr">
        <is>
          <t>Opportunity Global Sales (PTY) LTD</t>
        </is>
      </c>
      <c r="B14440" s="4" t="n">
        <v>45107</v>
      </c>
      <c r="C14440" s="3" t="inlineStr">
        <is>
          <t>Revenue</t>
        </is>
      </c>
      <c r="D14440" s="3" t="inlineStr">
        <is>
          <t>1000/250</t>
        </is>
      </c>
      <c r="E14440" s="3" t="inlineStr">
        <is>
          <t>Sales - Comm on Endulini</t>
        </is>
      </c>
      <c r="F14440" s="3" t="n">
        <v>-68256.52</v>
      </c>
      <c r="G14440" s="3" t="n">
        <v>-68256.52</v>
      </c>
    </row>
    <row r="14441">
      <c r="A14441" s="3" t="inlineStr">
        <is>
          <t>Opportunity Global Sales (PTY) LTD</t>
        </is>
      </c>
      <c r="B14441" s="4" t="n">
        <v>45107</v>
      </c>
      <c r="C14441" s="3" t="inlineStr">
        <is>
          <t>Revenue</t>
        </is>
      </c>
      <c r="D14441" s="3" t="inlineStr">
        <is>
          <t>1000/300</t>
        </is>
      </c>
      <c r="E14441" s="3" t="inlineStr">
        <is>
          <t>Sales - Comm on Heron Fields</t>
        </is>
      </c>
      <c r="F14441" s="3" t="n">
        <v>-62169.57</v>
      </c>
      <c r="G14441" s="3" t="n">
        <v>-1211352.18</v>
      </c>
    </row>
    <row r="14442">
      <c r="A14442" s="3" t="inlineStr">
        <is>
          <t>Trademark Holdings (Pty) Ltd</t>
        </is>
      </c>
      <c r="B14442" s="4" t="n">
        <v>45107</v>
      </c>
      <c r="C14442" s="3" t="inlineStr">
        <is>
          <t>Revenue</t>
        </is>
      </c>
      <c r="D14442" s="3" t="inlineStr">
        <is>
          <t>1000/300</t>
        </is>
      </c>
      <c r="E14442" s="3" t="inlineStr">
        <is>
          <t>Sales - Payprop - Lara</t>
        </is>
      </c>
      <c r="F14442" s="3" t="n">
        <v>-85893.07000000001</v>
      </c>
      <c r="G14442" s="3" t="n">
        <v>-875690.39</v>
      </c>
    </row>
    <row r="14443">
      <c r="A14443" s="3" t="inlineStr">
        <is>
          <t>Opportunity Global Investment (PTY) LTD</t>
        </is>
      </c>
      <c r="B14443" s="4" t="n">
        <v>45107</v>
      </c>
      <c r="C14443" s="3" t="inlineStr">
        <is>
          <t>Revenue</t>
        </is>
      </c>
      <c r="D14443" s="3" t="inlineStr">
        <is>
          <t>1000/360</t>
        </is>
      </c>
      <c r="E14443" s="3" t="inlineStr">
        <is>
          <t>Sales - Investor Management - Heron View</t>
        </is>
      </c>
      <c r="F14443" s="3" t="n">
        <v>0</v>
      </c>
      <c r="G14443" s="3" t="n">
        <v>-1826086.96</v>
      </c>
    </row>
    <row r="14444">
      <c r="A14444" s="3" t="inlineStr">
        <is>
          <t>Noble Shield (Pty) Ltd ta Go Letting</t>
        </is>
      </c>
      <c r="B14444" s="4" t="n">
        <v>45107</v>
      </c>
      <c r="C14444" s="3" t="inlineStr">
        <is>
          <t>Revenue</t>
        </is>
      </c>
      <c r="D14444" s="3" t="inlineStr">
        <is>
          <t>1000/420</t>
        </is>
      </c>
      <c r="E14444" s="3" t="inlineStr">
        <is>
          <t>Sales - Commission Received - External</t>
        </is>
      </c>
      <c r="F14444" s="3" t="n">
        <v>-79000</v>
      </c>
      <c r="G14444" s="3" t="n">
        <v>-148000</v>
      </c>
    </row>
    <row r="14445">
      <c r="A14445" s="3" t="inlineStr">
        <is>
          <t>Trademark Holdings (Pty) Ltd</t>
        </is>
      </c>
      <c r="B14445" s="4" t="n">
        <v>45107</v>
      </c>
      <c r="C14445" s="3" t="inlineStr">
        <is>
          <t>Revenue</t>
        </is>
      </c>
      <c r="D14445" s="3" t="inlineStr">
        <is>
          <t>1000/500</t>
        </is>
      </c>
      <c r="E14445" s="3" t="inlineStr">
        <is>
          <t>Sales - Commission external sale</t>
        </is>
      </c>
      <c r="F14445" s="3" t="n">
        <v>0</v>
      </c>
      <c r="G14445" s="3" t="n">
        <v>-80000</v>
      </c>
    </row>
    <row r="14446">
      <c r="A14446" s="3" t="inlineStr">
        <is>
          <t>Quinate Consulting (Pty) Ltd</t>
        </is>
      </c>
      <c r="B14446" s="4" t="n">
        <v>45107</v>
      </c>
      <c r="C14446" s="3" t="inlineStr">
        <is>
          <t>Revenue</t>
        </is>
      </c>
      <c r="D14446" s="3" t="inlineStr">
        <is>
          <t>1004/000</t>
        </is>
      </c>
      <c r="E14446" s="3" t="inlineStr">
        <is>
          <t>Interest received</t>
        </is>
      </c>
      <c r="F14446" s="3" t="n">
        <v>0</v>
      </c>
      <c r="G14446" s="3" t="n">
        <v>-2364.24</v>
      </c>
    </row>
    <row r="14447">
      <c r="A14447" s="3" t="inlineStr">
        <is>
          <t>Quinate Consulting (Pty) Ltd</t>
        </is>
      </c>
      <c r="B14447" s="4" t="n">
        <v>45107</v>
      </c>
      <c r="C14447" s="3" t="inlineStr">
        <is>
          <t>Revenue</t>
        </is>
      </c>
      <c r="D14447" s="3" t="inlineStr">
        <is>
          <t>1006/100</t>
        </is>
      </c>
      <c r="E14447" s="3" t="inlineStr">
        <is>
          <t>Rental income - Payprop</t>
        </is>
      </c>
      <c r="F14447" s="3" t="n">
        <v>-78255</v>
      </c>
      <c r="G14447" s="3" t="n">
        <v>-289350.36</v>
      </c>
    </row>
    <row r="14448">
      <c r="A14448" s="3" t="inlineStr">
        <is>
          <t>Quinate Consulting (Pty) Ltd</t>
        </is>
      </c>
      <c r="B14448" s="4" t="n">
        <v>45107</v>
      </c>
      <c r="C14448" s="3" t="inlineStr">
        <is>
          <t>Revenue</t>
        </is>
      </c>
      <c r="D14448" s="3" t="inlineStr">
        <is>
          <t>1006/120</t>
        </is>
      </c>
      <c r="E14448" s="3" t="inlineStr">
        <is>
          <t>Rental Income - D203</t>
        </is>
      </c>
      <c r="F14448" s="3" t="n">
        <v>0</v>
      </c>
      <c r="G14448" s="3" t="n">
        <v>-8000</v>
      </c>
    </row>
    <row r="14449">
      <c r="A14449" s="3" t="inlineStr">
        <is>
          <t>Endulini (Pty) Ltd</t>
        </is>
      </c>
      <c r="B14449" s="4" t="n">
        <v>45107</v>
      </c>
      <c r="C14449" s="3" t="inlineStr">
        <is>
          <t>Revenue</t>
        </is>
      </c>
      <c r="D14449" s="3" t="inlineStr">
        <is>
          <t>1100/000</t>
        </is>
      </c>
      <c r="E14449" s="3" t="inlineStr">
        <is>
          <t>Sales - Endulini</t>
        </is>
      </c>
      <c r="F14449" s="3" t="n">
        <v>-2721565.21</v>
      </c>
      <c r="G14449" s="3" t="n">
        <v>-2721565.21</v>
      </c>
    </row>
    <row r="14450">
      <c r="A14450" s="3" t="inlineStr">
        <is>
          <t>Opportunity Management Holdings (PTY) LTD</t>
        </is>
      </c>
      <c r="B14450" s="4" t="n">
        <v>45107</v>
      </c>
      <c r="C14450" s="3" t="inlineStr">
        <is>
          <t>Revenue</t>
        </is>
      </c>
      <c r="D14450" s="3" t="inlineStr">
        <is>
          <t>1100/001</t>
        </is>
      </c>
      <c r="E14450" s="3" t="inlineStr">
        <is>
          <t>Salary Recharges</t>
        </is>
      </c>
      <c r="F14450" s="3" t="n">
        <v>-338020</v>
      </c>
      <c r="G14450" s="3" t="n">
        <v>-3525809.06</v>
      </c>
    </row>
    <row r="14451">
      <c r="A14451" s="3" t="inlineStr">
        <is>
          <t>Endulini (Pty) Ltd</t>
        </is>
      </c>
      <c r="B14451" s="4" t="n">
        <v>45107</v>
      </c>
      <c r="C14451" s="3" t="inlineStr">
        <is>
          <t>Revenue</t>
        </is>
      </c>
      <c r="D14451" s="3" t="inlineStr">
        <is>
          <t>1100/200</t>
        </is>
      </c>
      <c r="E14451" s="3" t="inlineStr">
        <is>
          <t>Sales - Endulini occupational rent</t>
        </is>
      </c>
      <c r="F14451" s="3" t="n">
        <v>3303.6</v>
      </c>
      <c r="G14451" s="3" t="n">
        <v>3303.6</v>
      </c>
    </row>
    <row r="14452">
      <c r="A14452" s="3" t="inlineStr">
        <is>
          <t>Opportunity Management Holdings (PTY) LTD</t>
        </is>
      </c>
      <c r="B14452" s="4" t="n">
        <v>45107</v>
      </c>
      <c r="C14452" s="3" t="inlineStr">
        <is>
          <t>Revenue</t>
        </is>
      </c>
      <c r="D14452" s="3" t="inlineStr">
        <is>
          <t>1200/300</t>
        </is>
      </c>
      <c r="E14452" s="3" t="inlineStr">
        <is>
          <t>Management Fees - Heron View</t>
        </is>
      </c>
      <c r="F14452" s="3" t="n">
        <v>-350000</v>
      </c>
      <c r="G14452" s="3" t="n">
        <v>-350000</v>
      </c>
    </row>
    <row r="14453">
      <c r="A14453" s="3" t="inlineStr">
        <is>
          <t>Endulini (Pty) Ltd</t>
        </is>
      </c>
      <c r="B14453" s="4" t="n">
        <v>45107</v>
      </c>
      <c r="C14453" s="3" t="inlineStr">
        <is>
          <t>Expenses</t>
        </is>
      </c>
      <c r="D14453" s="3" t="inlineStr">
        <is>
          <t>2000/001</t>
        </is>
      </c>
      <c r="E14453" s="3" t="inlineStr">
        <is>
          <t>COS - CIP Construction</t>
        </is>
      </c>
      <c r="F14453" s="3" t="n">
        <v>0</v>
      </c>
      <c r="G14453" s="3" t="n">
        <v>2000</v>
      </c>
    </row>
    <row r="14454">
      <c r="A14454" s="3" t="inlineStr">
        <is>
          <t>Opportunity Global Sales (PTY) LTD</t>
        </is>
      </c>
      <c r="B14454" s="4" t="n">
        <v>45107</v>
      </c>
      <c r="C14454" s="3" t="inlineStr">
        <is>
          <t>Expenses</t>
        </is>
      </c>
      <c r="D14454" s="3" t="inlineStr">
        <is>
          <t>2000/010</t>
        </is>
      </c>
      <c r="E14454" s="3" t="inlineStr">
        <is>
          <t>COS - PAYE on Commission</t>
        </is>
      </c>
      <c r="F14454" s="3" t="n">
        <v>26603.88</v>
      </c>
      <c r="G14454" s="3" t="n">
        <v>112087.57</v>
      </c>
    </row>
    <row r="14455">
      <c r="A14455" s="3" t="inlineStr">
        <is>
          <t>Endulini (Pty) Ltd</t>
        </is>
      </c>
      <c r="B14455" s="4" t="n">
        <v>45107</v>
      </c>
      <c r="C14455" s="3" t="inlineStr">
        <is>
          <t>Expenses</t>
        </is>
      </c>
      <c r="D14455" s="3" t="inlineStr">
        <is>
          <t>2000/100</t>
        </is>
      </c>
      <c r="E14455" s="3" t="inlineStr">
        <is>
          <t>COS - Commission Endulini</t>
        </is>
      </c>
      <c r="F14455" s="3" t="n">
        <v>136078.26</v>
      </c>
      <c r="G14455" s="3" t="n">
        <v>136078.26</v>
      </c>
    </row>
    <row r="14456">
      <c r="A14456" s="3" t="inlineStr">
        <is>
          <t>Noble Shield (Pty) Ltd ta Go Letting</t>
        </is>
      </c>
      <c r="B14456" s="4" t="n">
        <v>45107</v>
      </c>
      <c r="C14456" s="3" t="inlineStr">
        <is>
          <t>Expenses</t>
        </is>
      </c>
      <c r="D14456" s="3" t="inlineStr">
        <is>
          <t>2000/100</t>
        </is>
      </c>
      <c r="E14456" s="3" t="inlineStr">
        <is>
          <t>COS - Commission Paid</t>
        </is>
      </c>
      <c r="F14456" s="3" t="n">
        <v>14668.6</v>
      </c>
      <c r="G14456" s="3" t="n">
        <v>232009.98</v>
      </c>
    </row>
    <row r="14457">
      <c r="A14457" s="3" t="inlineStr">
        <is>
          <t>Opportunity Global Sales (PTY) LTD</t>
        </is>
      </c>
      <c r="B14457" s="4" t="n">
        <v>45107</v>
      </c>
      <c r="C14457" s="3" t="inlineStr">
        <is>
          <t>Expenses</t>
        </is>
      </c>
      <c r="D14457" s="3" t="inlineStr">
        <is>
          <t>2000/125</t>
        </is>
      </c>
      <c r="E14457" s="3" t="inlineStr">
        <is>
          <t>Commission Paid - Referal commission</t>
        </is>
      </c>
      <c r="F14457" s="3" t="n">
        <v>0</v>
      </c>
      <c r="G14457" s="3" t="n">
        <v>74342.61</v>
      </c>
    </row>
    <row r="14458">
      <c r="A14458" s="3" t="inlineStr">
        <is>
          <t>Opportunity Global Sales (PTY) LTD</t>
        </is>
      </c>
      <c r="B14458" s="4" t="n">
        <v>45107</v>
      </c>
      <c r="C14458" s="3" t="inlineStr">
        <is>
          <t>Expenses</t>
        </is>
      </c>
      <c r="D14458" s="3" t="inlineStr">
        <is>
          <t>2000/135</t>
        </is>
      </c>
      <c r="E14458" s="3" t="inlineStr">
        <is>
          <t>COS - Sales Comm External - Minette</t>
        </is>
      </c>
      <c r="F14458" s="3" t="n">
        <v>41739.13</v>
      </c>
      <c r="G14458" s="3" t="n">
        <v>41739.13</v>
      </c>
    </row>
    <row r="14459">
      <c r="A14459" s="3" t="inlineStr">
        <is>
          <t>Opportunity Global Investment (PTY) LTD</t>
        </is>
      </c>
      <c r="B14459" s="4" t="n">
        <v>45107</v>
      </c>
      <c r="C14459" s="3" t="inlineStr">
        <is>
          <t>Expenses</t>
        </is>
      </c>
      <c r="D14459" s="3" t="inlineStr">
        <is>
          <t>2000/135</t>
        </is>
      </c>
      <c r="E14459" s="3" t="inlineStr">
        <is>
          <t>Referral commission - Heron View</t>
        </is>
      </c>
      <c r="F14459" s="3" t="n">
        <v>0</v>
      </c>
      <c r="G14459" s="3" t="n">
        <v>8731.209999999999</v>
      </c>
    </row>
    <row r="14460">
      <c r="A14460" s="3" t="inlineStr">
        <is>
          <t>Opportunity Global Sales (PTY) LTD</t>
        </is>
      </c>
      <c r="B14460" s="4" t="n">
        <v>45107</v>
      </c>
      <c r="C14460" s="3" t="inlineStr">
        <is>
          <t>Expenses</t>
        </is>
      </c>
      <c r="D14460" s="3" t="inlineStr">
        <is>
          <t>2000/137</t>
        </is>
      </c>
      <c r="E14460" s="3" t="inlineStr">
        <is>
          <t>COS - Rental Comm External - Minette</t>
        </is>
      </c>
      <c r="F14460" s="3" t="n">
        <v>20700</v>
      </c>
      <c r="G14460" s="3" t="n">
        <v>74807.2</v>
      </c>
    </row>
    <row r="14461">
      <c r="A14461" s="3" t="inlineStr">
        <is>
          <t>Opportunity Global Sales (PTY) LTD</t>
        </is>
      </c>
      <c r="B14461" s="4" t="n">
        <v>45107</v>
      </c>
      <c r="C14461" s="3" t="inlineStr">
        <is>
          <t>Expenses</t>
        </is>
      </c>
      <c r="D14461" s="3" t="inlineStr">
        <is>
          <t>2000/139</t>
        </is>
      </c>
      <c r="E14461" s="3" t="inlineStr">
        <is>
          <t>COS - Sales Comm Heron Fields - Minette</t>
        </is>
      </c>
      <c r="F14461" s="3" t="n">
        <v>0</v>
      </c>
      <c r="G14461" s="3" t="n">
        <v>68099.48</v>
      </c>
    </row>
    <row r="14462">
      <c r="A14462" s="3" t="inlineStr">
        <is>
          <t>Opportunity Global Investment (PTY) LTD</t>
        </is>
      </c>
      <c r="B14462" s="4" t="n">
        <v>45107</v>
      </c>
      <c r="C14462" s="3" t="inlineStr">
        <is>
          <t>Expenses</t>
        </is>
      </c>
      <c r="D14462" s="3" t="inlineStr">
        <is>
          <t>2000/140</t>
        </is>
      </c>
      <c r="E14462" s="3" t="inlineStr">
        <is>
          <t>Referral commission - F Geldenhuys</t>
        </is>
      </c>
      <c r="F14462" s="3" t="n">
        <v>0</v>
      </c>
      <c r="G14462" s="3" t="n">
        <v>43800</v>
      </c>
    </row>
    <row r="14463">
      <c r="A14463" s="3" t="inlineStr">
        <is>
          <t>Opportunity Global Investment (PTY) LTD</t>
        </is>
      </c>
      <c r="B14463" s="4" t="n">
        <v>45107</v>
      </c>
      <c r="C14463" s="3" t="inlineStr">
        <is>
          <t>Expenses</t>
        </is>
      </c>
      <c r="D14463" s="3" t="inlineStr">
        <is>
          <t>2000/145</t>
        </is>
      </c>
      <c r="E14463" s="3" t="inlineStr">
        <is>
          <t>Referral commission - W Thomason</t>
        </is>
      </c>
      <c r="F14463" s="3" t="n">
        <v>0</v>
      </c>
      <c r="G14463" s="3" t="n">
        <v>12000</v>
      </c>
    </row>
    <row r="14464">
      <c r="A14464" s="3" t="inlineStr">
        <is>
          <t>Opportunity Global Sales (PTY) LTD</t>
        </is>
      </c>
      <c r="B14464" s="4" t="n">
        <v>45107</v>
      </c>
      <c r="C14464" s="3" t="inlineStr">
        <is>
          <t>Expenses</t>
        </is>
      </c>
      <c r="D14464" s="3" t="inlineStr">
        <is>
          <t>2000/147</t>
        </is>
      </c>
      <c r="E14464" s="3" t="inlineStr">
        <is>
          <t>COS - Sales Comm Heron Fields - Yvette</t>
        </is>
      </c>
      <c r="F14464" s="3" t="n">
        <v>10195.81</v>
      </c>
      <c r="G14464" s="3" t="n">
        <v>154997.75</v>
      </c>
    </row>
    <row r="14465">
      <c r="A14465" s="3" t="inlineStr">
        <is>
          <t>Endulini (Pty) Ltd</t>
        </is>
      </c>
      <c r="B14465" s="4" t="n">
        <v>45107</v>
      </c>
      <c r="C14465" s="3" t="inlineStr">
        <is>
          <t>Expenses</t>
        </is>
      </c>
      <c r="D14465" s="3" t="inlineStr">
        <is>
          <t>2000/150</t>
        </is>
      </c>
      <c r="E14465" s="3" t="inlineStr">
        <is>
          <t>COS - Levies special agreement</t>
        </is>
      </c>
      <c r="F14465" s="3" t="n">
        <v>6753.06</v>
      </c>
      <c r="G14465" s="3" t="n">
        <v>31032</v>
      </c>
    </row>
    <row r="14466">
      <c r="A14466" s="3" t="inlineStr">
        <is>
          <t>Opportunity Global Sales (PTY) LTD</t>
        </is>
      </c>
      <c r="B14466" s="4" t="n">
        <v>45107</v>
      </c>
      <c r="C14466" s="3" t="inlineStr">
        <is>
          <t>Expenses</t>
        </is>
      </c>
      <c r="D14466" s="3" t="inlineStr">
        <is>
          <t>2000/160</t>
        </is>
      </c>
      <c r="E14466" s="3" t="inlineStr">
        <is>
          <t>COS - Sales Comm Heron View - Minette</t>
        </is>
      </c>
      <c r="F14466" s="3" t="n">
        <v>34224</v>
      </c>
      <c r="G14466" s="3" t="n">
        <v>111297.4</v>
      </c>
    </row>
    <row r="14467">
      <c r="A14467" s="3" t="inlineStr">
        <is>
          <t>Opportunity Global Sales (PTY) LTD</t>
        </is>
      </c>
      <c r="B14467" s="4" t="n">
        <v>45107</v>
      </c>
      <c r="C14467" s="3" t="inlineStr">
        <is>
          <t>Expenses</t>
        </is>
      </c>
      <c r="D14467" s="3" t="inlineStr">
        <is>
          <t>2000/162</t>
        </is>
      </c>
      <c r="E14467" s="3" t="inlineStr">
        <is>
          <t>COS - Sales Comm Heron View - Yvette</t>
        </is>
      </c>
      <c r="F14467" s="3" t="n">
        <v>0</v>
      </c>
      <c r="G14467" s="3" t="n">
        <v>12620.16</v>
      </c>
    </row>
    <row r="14468">
      <c r="A14468" s="3" t="inlineStr">
        <is>
          <t>Noble Shield (Pty) Ltd ta Go Letting</t>
        </is>
      </c>
      <c r="B14468" s="4" t="n">
        <v>45107</v>
      </c>
      <c r="C14468" s="3" t="inlineStr">
        <is>
          <t>Expenses</t>
        </is>
      </c>
      <c r="D14468" s="3" t="inlineStr">
        <is>
          <t>2000/200</t>
        </is>
      </c>
      <c r="E14468" s="3" t="inlineStr">
        <is>
          <t>COS - Commission on external sales</t>
        </is>
      </c>
      <c r="F14468" s="3" t="n">
        <v>47400</v>
      </c>
      <c r="G14468" s="3" t="n">
        <v>88800</v>
      </c>
    </row>
    <row r="14469">
      <c r="A14469" s="3" t="inlineStr">
        <is>
          <t>Endulini (Pty) Ltd</t>
        </is>
      </c>
      <c r="B14469" s="4" t="n">
        <v>45107</v>
      </c>
      <c r="C14469" s="3" t="inlineStr">
        <is>
          <t>Expenses</t>
        </is>
      </c>
      <c r="D14469" s="3" t="inlineStr">
        <is>
          <t>2000/200</t>
        </is>
      </c>
      <c r="E14469" s="3" t="inlineStr">
        <is>
          <t>COS - Rates clearance</t>
        </is>
      </c>
      <c r="F14469" s="3" t="n">
        <v>13487.36</v>
      </c>
      <c r="G14469" s="3" t="n">
        <v>13487.36</v>
      </c>
    </row>
    <row r="14470">
      <c r="A14470" s="3" t="inlineStr">
        <is>
          <t>Opportunity Global Sales (PTY) LTD</t>
        </is>
      </c>
      <c r="B14470" s="4" t="n">
        <v>45107</v>
      </c>
      <c r="C14470" s="3" t="inlineStr">
        <is>
          <t>Expenses</t>
        </is>
      </c>
      <c r="D14470" s="3" t="inlineStr">
        <is>
          <t>2000/270</t>
        </is>
      </c>
      <c r="E14470" s="3" t="inlineStr">
        <is>
          <t>COS - Comm Rentals - Mario - External</t>
        </is>
      </c>
      <c r="F14470" s="3" t="n">
        <v>799</v>
      </c>
      <c r="G14470" s="3" t="n">
        <v>799</v>
      </c>
    </row>
    <row r="14471">
      <c r="A14471" s="3" t="inlineStr">
        <is>
          <t>Opportunity Global Sales (PTY) LTD</t>
        </is>
      </c>
      <c r="B14471" s="4" t="n">
        <v>45107</v>
      </c>
      <c r="C14471" s="3" t="inlineStr">
        <is>
          <t>Expenses</t>
        </is>
      </c>
      <c r="D14471" s="3" t="inlineStr">
        <is>
          <t>2000/275</t>
        </is>
      </c>
      <c r="E14471" s="3" t="inlineStr">
        <is>
          <t>COS - Comm Rentals - Mario - Endulini</t>
        </is>
      </c>
      <c r="F14471" s="3" t="n">
        <v>1205</v>
      </c>
      <c r="G14471" s="3" t="n">
        <v>3740</v>
      </c>
    </row>
    <row r="14472">
      <c r="A14472" s="3" t="inlineStr">
        <is>
          <t>Opportunity Global Sales (PTY) LTD</t>
        </is>
      </c>
      <c r="B14472" s="4" t="n">
        <v>45107</v>
      </c>
      <c r="C14472" s="3" t="inlineStr">
        <is>
          <t>Expenses</t>
        </is>
      </c>
      <c r="D14472" s="3" t="inlineStr">
        <is>
          <t>2000/280</t>
        </is>
      </c>
      <c r="E14472" s="3" t="inlineStr">
        <is>
          <t>COS - Comm Rentals - Mario - Heron Fields</t>
        </is>
      </c>
      <c r="F14472" s="3" t="n">
        <v>500</v>
      </c>
      <c r="G14472" s="3" t="n">
        <v>3320</v>
      </c>
    </row>
    <row r="14473">
      <c r="A14473" s="3" t="inlineStr">
        <is>
          <t>Trademark Holdings (Pty) Ltd</t>
        </is>
      </c>
      <c r="B14473" s="4" t="n">
        <v>45107</v>
      </c>
      <c r="C14473" s="3" t="inlineStr">
        <is>
          <t>Expenses</t>
        </is>
      </c>
      <c r="D14473" s="3" t="inlineStr">
        <is>
          <t>2000/300</t>
        </is>
      </c>
      <c r="E14473" s="3" t="inlineStr">
        <is>
          <t>COS - Commission Paid</t>
        </is>
      </c>
      <c r="F14473" s="3" t="n">
        <v>15806.61</v>
      </c>
      <c r="G14473" s="3" t="n">
        <v>160117.73</v>
      </c>
    </row>
    <row r="14474">
      <c r="A14474" s="3" t="inlineStr">
        <is>
          <t>Opportunity Global Sales (PTY) LTD</t>
        </is>
      </c>
      <c r="B14474" s="4" t="n">
        <v>45107</v>
      </c>
      <c r="C14474" s="3" t="inlineStr">
        <is>
          <t>Expenses</t>
        </is>
      </c>
      <c r="D14474" s="3" t="inlineStr">
        <is>
          <t>2000/380</t>
        </is>
      </c>
      <c r="E14474" s="3" t="inlineStr">
        <is>
          <t>COS - Overrider Comm Heron Fields - Morne</t>
        </is>
      </c>
      <c r="F14474" s="3" t="n">
        <v>6443.03</v>
      </c>
      <c r="G14474" s="3" t="n">
        <v>27812.03</v>
      </c>
    </row>
    <row r="14475">
      <c r="A14475" s="3" t="inlineStr">
        <is>
          <t>Opportunity Global Sales (PTY) LTD</t>
        </is>
      </c>
      <c r="B14475" s="4" t="n">
        <v>45107</v>
      </c>
      <c r="C14475" s="3" t="inlineStr">
        <is>
          <t>Expenses</t>
        </is>
      </c>
      <c r="D14475" s="3" t="inlineStr">
        <is>
          <t>2000/383</t>
        </is>
      </c>
      <c r="E14475" s="3" t="inlineStr">
        <is>
          <t>COS - Overrider Comm Heron View - Morne</t>
        </is>
      </c>
      <c r="F14475" s="3" t="n">
        <v>11679.72</v>
      </c>
      <c r="G14475" s="3" t="n">
        <v>11679.72</v>
      </c>
    </row>
    <row r="14476">
      <c r="A14476" s="3" t="inlineStr">
        <is>
          <t>Trademark Holdings (Pty) Ltd</t>
        </is>
      </c>
      <c r="B14476" s="4" t="n">
        <v>45107</v>
      </c>
      <c r="C14476" s="3" t="inlineStr">
        <is>
          <t>Expenses</t>
        </is>
      </c>
      <c r="D14476" s="3" t="inlineStr">
        <is>
          <t>2000/400</t>
        </is>
      </c>
      <c r="E14476" s="3" t="inlineStr">
        <is>
          <t>COS - Commission on external sales</t>
        </is>
      </c>
      <c r="F14476" s="3" t="n">
        <v>0</v>
      </c>
      <c r="G14476" s="3" t="n">
        <v>48000</v>
      </c>
    </row>
    <row r="14477">
      <c r="A14477" s="3" t="inlineStr">
        <is>
          <t>Opportunity Global Sales (PTY) LTD</t>
        </is>
      </c>
      <c r="B14477" s="4" t="n">
        <v>45107</v>
      </c>
      <c r="C14477" s="3" t="inlineStr">
        <is>
          <t>Expenses</t>
        </is>
      </c>
      <c r="D14477" s="3" t="inlineStr">
        <is>
          <t>2000/550</t>
        </is>
      </c>
      <c r="E14477" s="3" t="inlineStr">
        <is>
          <t>COS - Electricity Costs Heron Fields</t>
        </is>
      </c>
      <c r="F14477" s="3" t="n">
        <v>86.95999999999999</v>
      </c>
      <c r="G14477" s="3" t="n">
        <v>447.83</v>
      </c>
    </row>
    <row r="14478">
      <c r="A14478" s="3" t="inlineStr">
        <is>
          <t>Opportunity Global Sales (PTY) LTD</t>
        </is>
      </c>
      <c r="B14478" s="4" t="n">
        <v>45107</v>
      </c>
      <c r="C14478" s="3" t="inlineStr">
        <is>
          <t>Expenses</t>
        </is>
      </c>
      <c r="D14478" s="3" t="inlineStr">
        <is>
          <t>2000/600</t>
        </is>
      </c>
      <c r="E14478" s="3" t="inlineStr">
        <is>
          <t>COS - Heron Fields Show House</t>
        </is>
      </c>
      <c r="F14478" s="3" t="n">
        <v>201.97</v>
      </c>
      <c r="G14478" s="3" t="n">
        <v>201.97</v>
      </c>
    </row>
    <row r="14479">
      <c r="A14479" s="3" t="inlineStr">
        <is>
          <t>Endulini (Pty) Ltd</t>
        </is>
      </c>
      <c r="B14479" s="4" t="n">
        <v>45107</v>
      </c>
      <c r="C14479" s="3" t="inlineStr">
        <is>
          <t>Expenses</t>
        </is>
      </c>
      <c r="D14479" s="3" t="inlineStr">
        <is>
          <t>2000/600</t>
        </is>
      </c>
      <c r="E14479" s="3" t="inlineStr">
        <is>
          <t>COS - Legal fees</t>
        </is>
      </c>
      <c r="F14479" s="3" t="n">
        <v>71531.39999999999</v>
      </c>
      <c r="G14479" s="3" t="n">
        <v>71531.39999999999</v>
      </c>
    </row>
    <row r="14480">
      <c r="A14480" s="3" t="inlineStr">
        <is>
          <t>Quinate Consulting (Pty) Ltd</t>
        </is>
      </c>
      <c r="B14480" s="4" t="n">
        <v>45107</v>
      </c>
      <c r="C14480" s="3" t="inlineStr">
        <is>
          <t>Expenses</t>
        </is>
      </c>
      <c r="D14480" s="3" t="inlineStr">
        <is>
          <t>2001/120</t>
        </is>
      </c>
      <c r="E14480" s="3" t="inlineStr">
        <is>
          <t>COS - Commission - South Wark</t>
        </is>
      </c>
      <c r="F14480" s="3" t="n">
        <v>-869.5700000000001</v>
      </c>
      <c r="G14480" s="3" t="n">
        <v>-869.5700000000001</v>
      </c>
    </row>
    <row r="14481">
      <c r="A14481" s="3" t="inlineStr">
        <is>
          <t>Quinate Consulting (Pty) Ltd</t>
        </is>
      </c>
      <c r="B14481" s="4" t="n">
        <v>45107</v>
      </c>
      <c r="C14481" s="3" t="inlineStr">
        <is>
          <t>Expenses</t>
        </is>
      </c>
      <c r="D14481" s="3" t="inlineStr">
        <is>
          <t>2001/210</t>
        </is>
      </c>
      <c r="E14481" s="3" t="inlineStr">
        <is>
          <t>COS - NHBRC</t>
        </is>
      </c>
      <c r="F14481" s="3" t="n">
        <v>0</v>
      </c>
      <c r="G14481" s="3" t="n">
        <v>457.67</v>
      </c>
    </row>
    <row r="14482">
      <c r="A14482" s="3" t="inlineStr">
        <is>
          <t>Quinate Consulting (Pty) Ltd</t>
        </is>
      </c>
      <c r="B14482" s="4" t="n">
        <v>45107</v>
      </c>
      <c r="C14482" s="3" t="inlineStr">
        <is>
          <t>Revenue</t>
        </is>
      </c>
      <c r="D14482" s="3" t="inlineStr">
        <is>
          <t>2400/200</t>
        </is>
      </c>
      <c r="E14482" s="3" t="inlineStr">
        <is>
          <t>Recovery Acc - Electricity SH</t>
        </is>
      </c>
      <c r="F14482" s="3" t="n">
        <v>-27483.51</v>
      </c>
      <c r="G14482" s="3" t="n">
        <v>-89381.89</v>
      </c>
    </row>
    <row r="14483">
      <c r="A14483" s="3" t="inlineStr">
        <is>
          <t>Quinate Consulting (Pty) Ltd</t>
        </is>
      </c>
      <c r="B14483" s="4" t="n">
        <v>45107</v>
      </c>
      <c r="C14483" s="3" t="inlineStr">
        <is>
          <t>Revenue</t>
        </is>
      </c>
      <c r="D14483" s="3" t="inlineStr">
        <is>
          <t>2400/300</t>
        </is>
      </c>
      <c r="E14483" s="3" t="inlineStr">
        <is>
          <t>Recovery Account - Electricity SW</t>
        </is>
      </c>
      <c r="F14483" s="3" t="n">
        <v>-24977.37</v>
      </c>
      <c r="G14483" s="3" t="n">
        <v>-79494.60000000001</v>
      </c>
    </row>
    <row r="14484">
      <c r="A14484" s="3" t="inlineStr">
        <is>
          <t>Opportunity Management Holdings (PTY) LTD</t>
        </is>
      </c>
      <c r="B14484" s="4" t="n">
        <v>45107</v>
      </c>
      <c r="C14484" s="3" t="inlineStr">
        <is>
          <t>Revenue</t>
        </is>
      </c>
      <c r="D14484" s="3" t="inlineStr">
        <is>
          <t>2750/000</t>
        </is>
      </c>
      <c r="E14484" s="3" t="inlineStr">
        <is>
          <t>Interest Received</t>
        </is>
      </c>
      <c r="F14484" s="3" t="n">
        <v>0</v>
      </c>
      <c r="G14484" s="3" t="n">
        <v>-391.15</v>
      </c>
    </row>
    <row r="14485">
      <c r="A14485" s="3" t="inlineStr">
        <is>
          <t>Opportunity Global Investment (PTY) LTD</t>
        </is>
      </c>
      <c r="B14485" s="4" t="n">
        <v>45107</v>
      </c>
      <c r="C14485" s="3" t="inlineStr">
        <is>
          <t>Revenue</t>
        </is>
      </c>
      <c r="D14485" s="3" t="inlineStr">
        <is>
          <t>2750/000</t>
        </is>
      </c>
      <c r="E14485" s="3" t="inlineStr">
        <is>
          <t>Interest Received - Bank</t>
        </is>
      </c>
      <c r="F14485" s="3" t="n">
        <v>-0.39</v>
      </c>
      <c r="G14485" s="3" t="n">
        <v>-355.23</v>
      </c>
    </row>
    <row r="14486">
      <c r="A14486" s="3" t="inlineStr">
        <is>
          <t>Opportunity Global Sales (PTY) LTD</t>
        </is>
      </c>
      <c r="B14486" s="4" t="n">
        <v>45107</v>
      </c>
      <c r="C14486" s="3" t="inlineStr">
        <is>
          <t>Revenue</t>
        </is>
      </c>
      <c r="D14486" s="3" t="inlineStr">
        <is>
          <t>2750/000</t>
        </is>
      </c>
      <c r="E14486" s="3" t="inlineStr">
        <is>
          <t>Interest Received - Bank</t>
        </is>
      </c>
      <c r="F14486" s="3" t="n">
        <v>0</v>
      </c>
      <c r="G14486" s="3" t="n">
        <v>-18.82</v>
      </c>
    </row>
    <row r="14487">
      <c r="A14487" s="3" t="inlineStr">
        <is>
          <t>Noble Shield (Pty) Ltd ta Go Letting</t>
        </is>
      </c>
      <c r="B14487" s="4" t="n">
        <v>45107</v>
      </c>
      <c r="C14487" s="3" t="inlineStr">
        <is>
          <t>Revenue</t>
        </is>
      </c>
      <c r="D14487" s="3" t="inlineStr">
        <is>
          <t>2750/100</t>
        </is>
      </c>
      <c r="E14487" s="3" t="inlineStr">
        <is>
          <t>Interest Received - bank</t>
        </is>
      </c>
      <c r="F14487" s="3" t="n">
        <v>-0.29</v>
      </c>
      <c r="G14487" s="3" t="n">
        <v>-0.82</v>
      </c>
    </row>
    <row r="14488">
      <c r="A14488" s="3" t="inlineStr">
        <is>
          <t>Opportunity Global Investment (PTY) LTD</t>
        </is>
      </c>
      <c r="B14488" s="4" t="n">
        <v>45107</v>
      </c>
      <c r="C14488" s="3" t="inlineStr">
        <is>
          <t>Revenue</t>
        </is>
      </c>
      <c r="D14488" s="3" t="inlineStr">
        <is>
          <t>2753/000</t>
        </is>
      </c>
      <c r="E14488" s="3" t="inlineStr">
        <is>
          <t>Interest received - Momentum</t>
        </is>
      </c>
      <c r="F14488" s="3" t="n">
        <v>-33.38</v>
      </c>
      <c r="G14488" s="3" t="n">
        <v>-156.81</v>
      </c>
    </row>
    <row r="14489">
      <c r="A14489" s="3" t="inlineStr">
        <is>
          <t>Endulini (Pty) Ltd</t>
        </is>
      </c>
      <c r="B14489" s="4" t="n">
        <v>45107</v>
      </c>
      <c r="C14489" s="3" t="inlineStr">
        <is>
          <t>Revenue</t>
        </is>
      </c>
      <c r="D14489" s="3" t="inlineStr">
        <is>
          <t>2755/001</t>
        </is>
      </c>
      <c r="E14489" s="3" t="inlineStr">
        <is>
          <t>Interest Received - Momentum</t>
        </is>
      </c>
      <c r="F14489" s="3" t="n">
        <v>0</v>
      </c>
      <c r="G14489" s="3" t="n">
        <v>-54.32</v>
      </c>
    </row>
    <row r="14490">
      <c r="A14490" s="3" t="inlineStr">
        <is>
          <t>Quinate Consulting (Pty) Ltd</t>
        </is>
      </c>
      <c r="B14490" s="4" t="n">
        <v>45107</v>
      </c>
      <c r="C14490" s="3" t="inlineStr">
        <is>
          <t>Revenue</t>
        </is>
      </c>
      <c r="D14490" s="3" t="inlineStr">
        <is>
          <t>2755/001</t>
        </is>
      </c>
      <c r="E14490" s="3" t="inlineStr">
        <is>
          <t>Interest Received - Momentum</t>
        </is>
      </c>
      <c r="F14490" s="3" t="n">
        <v>0</v>
      </c>
      <c r="G14490" s="3" t="n">
        <v>-10.89</v>
      </c>
    </row>
    <row r="14491">
      <c r="A14491" s="3" t="inlineStr">
        <is>
          <t>Noble Shield (Pty) Ltd ta Go Letting</t>
        </is>
      </c>
      <c r="B14491" s="4" t="n">
        <v>45107</v>
      </c>
      <c r="C14491" s="3" t="inlineStr">
        <is>
          <t>Expenses</t>
        </is>
      </c>
      <c r="D14491" s="3" t="inlineStr">
        <is>
          <t>3000/300</t>
        </is>
      </c>
      <c r="E14491" s="3" t="inlineStr">
        <is>
          <t>Accounting Fees - Audit</t>
        </is>
      </c>
      <c r="F14491" s="3" t="n">
        <v>0</v>
      </c>
      <c r="G14491" s="3" t="n">
        <v>22367.5</v>
      </c>
    </row>
    <row r="14492">
      <c r="A14492" s="3" t="inlineStr">
        <is>
          <t>Trademark Holdings (Pty) Ltd</t>
        </is>
      </c>
      <c r="B14492" s="4" t="n">
        <v>45107</v>
      </c>
      <c r="C14492" s="3" t="inlineStr">
        <is>
          <t>Expenses</t>
        </is>
      </c>
      <c r="D14492" s="3" t="inlineStr">
        <is>
          <t>3000/300</t>
        </is>
      </c>
      <c r="E14492" s="3" t="inlineStr">
        <is>
          <t>Accounting Fees - Audit</t>
        </is>
      </c>
      <c r="F14492" s="3" t="n">
        <v>0</v>
      </c>
      <c r="G14492" s="3" t="n">
        <v>22367.5</v>
      </c>
    </row>
    <row r="14493">
      <c r="A14493" s="3" t="inlineStr">
        <is>
          <t>Quinate Consulting (Pty) Ltd</t>
        </is>
      </c>
      <c r="B14493" s="4" t="n">
        <v>45107</v>
      </c>
      <c r="C14493" s="3" t="inlineStr">
        <is>
          <t>Expenses</t>
        </is>
      </c>
      <c r="D14493" s="3" t="inlineStr">
        <is>
          <t>3001/000</t>
        </is>
      </c>
      <c r="E14493" s="3" t="inlineStr">
        <is>
          <t>Accounting fees - Other</t>
        </is>
      </c>
      <c r="F14493" s="3" t="n">
        <v>6000</v>
      </c>
      <c r="G14493" s="3" t="n">
        <v>6000</v>
      </c>
    </row>
    <row r="14494">
      <c r="A14494" s="3" t="inlineStr">
        <is>
          <t>Quinate Consulting (Pty) Ltd</t>
        </is>
      </c>
      <c r="B14494" s="4" t="n">
        <v>45107</v>
      </c>
      <c r="C14494" s="3" t="inlineStr">
        <is>
          <t>Expenses</t>
        </is>
      </c>
      <c r="D14494" s="3" t="inlineStr">
        <is>
          <t>3002/000</t>
        </is>
      </c>
      <c r="E14494" s="3" t="inlineStr">
        <is>
          <t>Accounting Fees - Tax Dept.</t>
        </is>
      </c>
      <c r="F14494" s="3" t="n">
        <v>0</v>
      </c>
      <c r="G14494" s="3" t="n">
        <v>540</v>
      </c>
    </row>
    <row r="14495">
      <c r="A14495" s="3" t="inlineStr">
        <is>
          <t>Opportunity Management Holdings (PTY) LTD</t>
        </is>
      </c>
      <c r="B14495" s="4" t="n">
        <v>45107</v>
      </c>
      <c r="C14495" s="3" t="inlineStr">
        <is>
          <t>Expenses</t>
        </is>
      </c>
      <c r="D14495" s="3" t="inlineStr">
        <is>
          <t>3004/000</t>
        </is>
      </c>
      <c r="E14495" s="3" t="inlineStr">
        <is>
          <t>Accounting fees - Janine Theart</t>
        </is>
      </c>
      <c r="F14495" s="3" t="n">
        <v>0</v>
      </c>
      <c r="G14495" s="3" t="n">
        <v>73432.16</v>
      </c>
    </row>
    <row r="14496">
      <c r="A14496" s="3" t="inlineStr">
        <is>
          <t>Opportunity Management Holdings (PTY) LTD</t>
        </is>
      </c>
      <c r="B14496" s="4" t="n">
        <v>45107</v>
      </c>
      <c r="C14496" s="3" t="inlineStr">
        <is>
          <t>Expenses</t>
        </is>
      </c>
      <c r="D14496" s="3" t="inlineStr">
        <is>
          <t>3005/000</t>
        </is>
      </c>
      <c r="E14496" s="3" t="inlineStr">
        <is>
          <t>Accounting fees - Deric Dudley</t>
        </is>
      </c>
      <c r="F14496" s="3" t="n">
        <v>56000</v>
      </c>
      <c r="G14496" s="3" t="n">
        <v>272000</v>
      </c>
    </row>
    <row r="14497">
      <c r="A14497" s="3" t="inlineStr">
        <is>
          <t>Opportunity Management Holdings (PTY) LTD</t>
        </is>
      </c>
      <c r="B14497" s="4" t="n">
        <v>45107</v>
      </c>
      <c r="C14497" s="3" t="inlineStr">
        <is>
          <t>Expenses</t>
        </is>
      </c>
      <c r="D14497" s="3" t="inlineStr">
        <is>
          <t>3006/000</t>
        </is>
      </c>
      <c r="E14497" s="3" t="inlineStr">
        <is>
          <t>Accounting fees - CIPC</t>
        </is>
      </c>
      <c r="F14497" s="3" t="n">
        <v>0</v>
      </c>
      <c r="G14497" s="3" t="n">
        <v>1850</v>
      </c>
    </row>
    <row r="14498">
      <c r="A14498" s="3" t="inlineStr">
        <is>
          <t>Opportunity Management Holdings (PTY) LTD</t>
        </is>
      </c>
      <c r="B14498" s="4" t="n">
        <v>45107</v>
      </c>
      <c r="C14498" s="3" t="inlineStr">
        <is>
          <t>Expenses</t>
        </is>
      </c>
      <c r="D14498" s="3" t="inlineStr">
        <is>
          <t>3007/000</t>
        </is>
      </c>
      <c r="E14498" s="3" t="inlineStr">
        <is>
          <t>Accounting fees - Warwick</t>
        </is>
      </c>
      <c r="F14498" s="3" t="n">
        <v>0</v>
      </c>
      <c r="G14498" s="3" t="n">
        <v>54000</v>
      </c>
    </row>
    <row r="14499">
      <c r="A14499" s="3" t="inlineStr">
        <is>
          <t>Endulini (Pty) Ltd</t>
        </is>
      </c>
      <c r="B14499" s="4" t="n">
        <v>45107</v>
      </c>
      <c r="C14499" s="3" t="inlineStr">
        <is>
          <t>Expenses</t>
        </is>
      </c>
      <c r="D14499" s="3" t="inlineStr">
        <is>
          <t>3050/000</t>
        </is>
      </c>
      <c r="E14499" s="3" t="inlineStr">
        <is>
          <t>Advertising _AND_ Promotions</t>
        </is>
      </c>
      <c r="F14499" s="3" t="n">
        <v>4180</v>
      </c>
      <c r="G14499" s="3" t="n">
        <v>4180</v>
      </c>
    </row>
    <row r="14500">
      <c r="A14500" s="3" t="inlineStr">
        <is>
          <t>Noble Shield (Pty) Ltd ta Go Letting</t>
        </is>
      </c>
      <c r="B14500" s="4" t="n">
        <v>45107</v>
      </c>
      <c r="C14500" s="3" t="inlineStr">
        <is>
          <t>Expenses</t>
        </is>
      </c>
      <c r="D14500" s="3" t="inlineStr">
        <is>
          <t>3050/000</t>
        </is>
      </c>
      <c r="E14500" s="3" t="inlineStr">
        <is>
          <t>Advertising _AND_ Promotions</t>
        </is>
      </c>
      <c r="F14500" s="3" t="n">
        <v>0</v>
      </c>
      <c r="G14500" s="3" t="n">
        <v>2394.99</v>
      </c>
    </row>
    <row r="14501">
      <c r="A14501" s="3" t="inlineStr">
        <is>
          <t>Opportunity Management Holdings (PTY) LTD</t>
        </is>
      </c>
      <c r="B14501" s="4" t="n">
        <v>45107</v>
      </c>
      <c r="C14501" s="3" t="inlineStr">
        <is>
          <t>Expenses</t>
        </is>
      </c>
      <c r="D14501" s="3" t="inlineStr">
        <is>
          <t>3050/000</t>
        </is>
      </c>
      <c r="E14501" s="3" t="inlineStr">
        <is>
          <t>Advertising _AND_ Promotions</t>
        </is>
      </c>
      <c r="F14501" s="3" t="n">
        <v>0</v>
      </c>
      <c r="G14501" s="3" t="n">
        <v>500</v>
      </c>
    </row>
    <row r="14502">
      <c r="A14502" s="3" t="inlineStr">
        <is>
          <t>Trademark Holdings (Pty) Ltd</t>
        </is>
      </c>
      <c r="B14502" s="4" t="n">
        <v>45107</v>
      </c>
      <c r="C14502" s="3" t="inlineStr">
        <is>
          <t>Expenses</t>
        </is>
      </c>
      <c r="D14502" s="3" t="inlineStr">
        <is>
          <t>3050/000</t>
        </is>
      </c>
      <c r="E14502" s="3" t="inlineStr">
        <is>
          <t>Advertising _AND_ Promotions</t>
        </is>
      </c>
      <c r="F14502" s="3" t="n">
        <v>0</v>
      </c>
      <c r="G14502" s="3" t="n">
        <v>6852.5</v>
      </c>
    </row>
    <row r="14503">
      <c r="A14503" s="3" t="inlineStr">
        <is>
          <t>Opportunity Global Investment (PTY) LTD</t>
        </is>
      </c>
      <c r="B14503" s="4" t="n">
        <v>45107</v>
      </c>
      <c r="C14503" s="3" t="inlineStr">
        <is>
          <t>Expenses</t>
        </is>
      </c>
      <c r="D14503" s="3" t="inlineStr">
        <is>
          <t>3050/000</t>
        </is>
      </c>
      <c r="E14503" s="3" t="inlineStr">
        <is>
          <t>Advertising and Promotions</t>
        </is>
      </c>
      <c r="F14503" s="3" t="n">
        <v>1745.64</v>
      </c>
      <c r="G14503" s="3" t="n">
        <v>1841.28</v>
      </c>
    </row>
    <row r="14504">
      <c r="A14504" s="3" t="inlineStr">
        <is>
          <t>Opportunity Global Sales (PTY) LTD</t>
        </is>
      </c>
      <c r="B14504" s="4" t="n">
        <v>45107</v>
      </c>
      <c r="C14504" s="3" t="inlineStr">
        <is>
          <t>Expenses</t>
        </is>
      </c>
      <c r="D14504" s="3" t="inlineStr">
        <is>
          <t>3050/000</t>
        </is>
      </c>
      <c r="E14504" s="3" t="inlineStr">
        <is>
          <t>Advertising and Promotions</t>
        </is>
      </c>
      <c r="F14504" s="3" t="n">
        <v>16577.51</v>
      </c>
      <c r="G14504" s="3" t="n">
        <v>18097.51</v>
      </c>
    </row>
    <row r="14505">
      <c r="A14505" s="3" t="inlineStr">
        <is>
          <t>Endulini (Pty) Ltd</t>
        </is>
      </c>
      <c r="B14505" s="4" t="n">
        <v>45107</v>
      </c>
      <c r="C14505" s="3" t="inlineStr">
        <is>
          <t>Expenses</t>
        </is>
      </c>
      <c r="D14505" s="3" t="inlineStr">
        <is>
          <t>3050/001</t>
        </is>
      </c>
      <c r="E14505" s="3" t="inlineStr">
        <is>
          <t>Advertising _AND_ Promotions - Media Agenda</t>
        </is>
      </c>
      <c r="F14505" s="3" t="n">
        <v>0</v>
      </c>
      <c r="G14505" s="3" t="n">
        <v>3737.5</v>
      </c>
    </row>
    <row r="14506">
      <c r="A14506" s="3" t="inlineStr">
        <is>
          <t>Noble Shield (Pty) Ltd ta Go Letting</t>
        </is>
      </c>
      <c r="B14506" s="4" t="n">
        <v>45107</v>
      </c>
      <c r="C14506" s="3" t="inlineStr">
        <is>
          <t>Expenses</t>
        </is>
      </c>
      <c r="D14506" s="3" t="inlineStr">
        <is>
          <t>3050/038</t>
        </is>
      </c>
      <c r="E14506" s="3" t="inlineStr">
        <is>
          <t>Advertsing - Show Boards</t>
        </is>
      </c>
      <c r="F14506" s="3" t="n">
        <v>0</v>
      </c>
      <c r="G14506" s="3" t="n">
        <v>5520</v>
      </c>
    </row>
    <row r="14507">
      <c r="A14507" s="3" t="inlineStr">
        <is>
          <t>Noble Shield (Pty) Ltd ta Go Letting</t>
        </is>
      </c>
      <c r="B14507" s="4" t="n">
        <v>45107</v>
      </c>
      <c r="C14507" s="3" t="inlineStr">
        <is>
          <t>Expenses</t>
        </is>
      </c>
      <c r="D14507" s="3" t="inlineStr">
        <is>
          <t>3050/050</t>
        </is>
      </c>
      <c r="E14507" s="3" t="inlineStr">
        <is>
          <t>Advertising - Prop 24</t>
        </is>
      </c>
      <c r="F14507" s="3" t="n">
        <v>4491.9</v>
      </c>
      <c r="G14507" s="3" t="n">
        <v>33308.6</v>
      </c>
    </row>
    <row r="14508">
      <c r="A14508" s="3" t="inlineStr">
        <is>
          <t>Opportunity Global Sales (PTY) LTD</t>
        </is>
      </c>
      <c r="B14508" s="4" t="n">
        <v>45107</v>
      </c>
      <c r="C14508" s="3" t="inlineStr">
        <is>
          <t>Expenses</t>
        </is>
      </c>
      <c r="D14508" s="3" t="inlineStr">
        <is>
          <t>3050/100</t>
        </is>
      </c>
      <c r="E14508" s="3" t="inlineStr">
        <is>
          <t>Advertising - Facebook</t>
        </is>
      </c>
      <c r="F14508" s="3" t="n">
        <v>0</v>
      </c>
      <c r="G14508" s="3" t="n">
        <v>2279.78</v>
      </c>
    </row>
    <row r="14509">
      <c r="A14509" s="3" t="inlineStr">
        <is>
          <t>Opportunity Global Sales (PTY) LTD</t>
        </is>
      </c>
      <c r="B14509" s="4" t="n">
        <v>45107</v>
      </c>
      <c r="C14509" s="3" t="inlineStr">
        <is>
          <t>Expenses</t>
        </is>
      </c>
      <c r="D14509" s="3" t="inlineStr">
        <is>
          <t>3050/140</t>
        </is>
      </c>
      <c r="E14509" s="3" t="inlineStr">
        <is>
          <t>Advertising - Media Agenda</t>
        </is>
      </c>
      <c r="F14509" s="3" t="n">
        <v>7200</v>
      </c>
      <c r="G14509" s="3" t="n">
        <v>10912.5</v>
      </c>
    </row>
    <row r="14510">
      <c r="A14510" s="3" t="inlineStr">
        <is>
          <t>Opportunity Global Sales (PTY) LTD</t>
        </is>
      </c>
      <c r="B14510" s="4" t="n">
        <v>45107</v>
      </c>
      <c r="C14510" s="3" t="inlineStr">
        <is>
          <t>Expenses</t>
        </is>
      </c>
      <c r="D14510" s="3" t="inlineStr">
        <is>
          <t>3050/200</t>
        </is>
      </c>
      <c r="E14510" s="3" t="inlineStr">
        <is>
          <t>Advertising - Design</t>
        </is>
      </c>
      <c r="F14510" s="3" t="n">
        <v>0</v>
      </c>
      <c r="G14510" s="3" t="n">
        <v>35000</v>
      </c>
    </row>
    <row r="14511">
      <c r="A14511" s="3" t="inlineStr">
        <is>
          <t>Opportunity Global Investment (PTY) LTD</t>
        </is>
      </c>
      <c r="B14511" s="4" t="n">
        <v>45107</v>
      </c>
      <c r="C14511" s="3" t="inlineStr">
        <is>
          <t>Expenses</t>
        </is>
      </c>
      <c r="D14511" s="3" t="inlineStr">
        <is>
          <t>3050/250</t>
        </is>
      </c>
      <c r="E14511" s="3" t="inlineStr">
        <is>
          <t>Advertising - General</t>
        </is>
      </c>
      <c r="F14511" s="3" t="n">
        <v>2000</v>
      </c>
      <c r="G14511" s="3" t="n">
        <v>49859.6</v>
      </c>
    </row>
    <row r="14512">
      <c r="A14512" s="3" t="inlineStr">
        <is>
          <t>Opportunity Global Sales (PTY) LTD</t>
        </is>
      </c>
      <c r="B14512" s="4" t="n">
        <v>45107</v>
      </c>
      <c r="C14512" s="3" t="inlineStr">
        <is>
          <t>Expenses</t>
        </is>
      </c>
      <c r="D14512" s="3" t="inlineStr">
        <is>
          <t>3050/250</t>
        </is>
      </c>
      <c r="E14512" s="3" t="inlineStr">
        <is>
          <t>Advertising - General</t>
        </is>
      </c>
      <c r="F14512" s="3" t="n">
        <v>0</v>
      </c>
      <c r="G14512" s="3" t="n">
        <v>2843.94</v>
      </c>
    </row>
    <row r="14513">
      <c r="A14513" s="3" t="inlineStr">
        <is>
          <t>Opportunity Global Investment (PTY) LTD</t>
        </is>
      </c>
      <c r="B14513" s="4" t="n">
        <v>45107</v>
      </c>
      <c r="C14513" s="3" t="inlineStr">
        <is>
          <t>Expenses</t>
        </is>
      </c>
      <c r="D14513" s="3" t="inlineStr">
        <is>
          <t>3050/270</t>
        </is>
      </c>
      <c r="E14513" s="3" t="inlineStr">
        <is>
          <t>Advertising - Radia and TV Interviews</t>
        </is>
      </c>
      <c r="F14513" s="3" t="n">
        <v>0</v>
      </c>
      <c r="G14513" s="3" t="n">
        <v>68797.5</v>
      </c>
    </row>
    <row r="14514">
      <c r="A14514" s="3" t="inlineStr">
        <is>
          <t>Opportunity Global Investment (PTY) LTD</t>
        </is>
      </c>
      <c r="B14514" s="4" t="n">
        <v>45107</v>
      </c>
      <c r="C14514" s="3" t="inlineStr">
        <is>
          <t>Expenses</t>
        </is>
      </c>
      <c r="D14514" s="3" t="inlineStr">
        <is>
          <t>3050/290</t>
        </is>
      </c>
      <c r="E14514" s="3" t="inlineStr">
        <is>
          <t>Advertising - Serene Living</t>
        </is>
      </c>
      <c r="F14514" s="3" t="n">
        <v>65086</v>
      </c>
      <c r="G14514" s="3" t="n">
        <v>260344</v>
      </c>
    </row>
    <row r="14515">
      <c r="A14515" s="3" t="inlineStr">
        <is>
          <t>Opportunity Global Investment (PTY) LTD</t>
        </is>
      </c>
      <c r="B14515" s="4" t="n">
        <v>45107</v>
      </c>
      <c r="C14515" s="3" t="inlineStr">
        <is>
          <t>Expenses</t>
        </is>
      </c>
      <c r="D14515" s="3" t="inlineStr">
        <is>
          <t>3050/295</t>
        </is>
      </c>
      <c r="E14515" s="3" t="inlineStr">
        <is>
          <t>Advertising - Reale Activation</t>
        </is>
      </c>
      <c r="F14515" s="3" t="n">
        <v>0</v>
      </c>
      <c r="G14515" s="3" t="n">
        <v>30397.22</v>
      </c>
    </row>
    <row r="14516">
      <c r="A14516" s="3" t="inlineStr">
        <is>
          <t>Opportunity Global Investment (PTY) LTD</t>
        </is>
      </c>
      <c r="B14516" s="4" t="n">
        <v>45107</v>
      </c>
      <c r="C14516" s="3" t="inlineStr">
        <is>
          <t>Expenses</t>
        </is>
      </c>
      <c r="D14516" s="3" t="inlineStr">
        <is>
          <t>3050/300</t>
        </is>
      </c>
      <c r="E14516" s="3" t="inlineStr">
        <is>
          <t>Advertising - Design</t>
        </is>
      </c>
      <c r="F14516" s="3" t="n">
        <v>0</v>
      </c>
      <c r="G14516" s="3" t="n">
        <v>4050</v>
      </c>
    </row>
    <row r="14517">
      <c r="A14517" s="3" t="inlineStr">
        <is>
          <t>Quinate Consulting (Pty) Ltd</t>
        </is>
      </c>
      <c r="B14517" s="4" t="n">
        <v>45107</v>
      </c>
      <c r="C14517" s="3" t="inlineStr">
        <is>
          <t>Expenses</t>
        </is>
      </c>
      <c r="D14517" s="3" t="inlineStr">
        <is>
          <t>3050/400</t>
        </is>
      </c>
      <c r="E14517" s="3" t="inlineStr">
        <is>
          <t>Advertising - Prop24</t>
        </is>
      </c>
      <c r="F14517" s="3" t="n">
        <v>11241</v>
      </c>
      <c r="G14517" s="3" t="n">
        <v>46049.02</v>
      </c>
    </row>
    <row r="14518">
      <c r="A14518" s="3" t="inlineStr">
        <is>
          <t>Quinate Consulting (Pty) Ltd</t>
        </is>
      </c>
      <c r="B14518" s="4" t="n">
        <v>45107</v>
      </c>
      <c r="C14518" s="3" t="inlineStr">
        <is>
          <t>Expenses</t>
        </is>
      </c>
      <c r="D14518" s="3" t="inlineStr">
        <is>
          <t>3050/450</t>
        </is>
      </c>
      <c r="E14518" s="3" t="inlineStr">
        <is>
          <t>Advertising - Facebook</t>
        </is>
      </c>
      <c r="F14518" s="3" t="n">
        <v>10556.72</v>
      </c>
      <c r="G14518" s="3" t="n">
        <v>38469.91</v>
      </c>
    </row>
    <row r="14519">
      <c r="A14519" s="3" t="inlineStr">
        <is>
          <t>Opportunity Global Investment (PTY) LTD</t>
        </is>
      </c>
      <c r="B14519" s="4" t="n">
        <v>45107</v>
      </c>
      <c r="C14519" s="3" t="inlineStr">
        <is>
          <t>Expenses</t>
        </is>
      </c>
      <c r="D14519" s="3" t="inlineStr">
        <is>
          <t>3051/000</t>
        </is>
      </c>
      <c r="E14519" s="3" t="inlineStr">
        <is>
          <t>Advertising - Facebook</t>
        </is>
      </c>
      <c r="F14519" s="3" t="n">
        <v>17226.19</v>
      </c>
      <c r="G14519" s="3" t="n">
        <v>67010.50999999999</v>
      </c>
    </row>
    <row r="14520">
      <c r="A14520" s="3" t="inlineStr">
        <is>
          <t>Opportunity Management Holdings (PTY) LTD</t>
        </is>
      </c>
      <c r="B14520" s="4" t="n">
        <v>45107</v>
      </c>
      <c r="C14520" s="3" t="inlineStr">
        <is>
          <t>Expenses</t>
        </is>
      </c>
      <c r="D14520" s="3" t="inlineStr">
        <is>
          <t>3052/000</t>
        </is>
      </c>
      <c r="E14520" s="3" t="inlineStr">
        <is>
          <t>Advertsing _AND_ Marketing - Website</t>
        </is>
      </c>
      <c r="F14520" s="3" t="n">
        <v>0</v>
      </c>
      <c r="G14520" s="3" t="n">
        <v>287.5</v>
      </c>
    </row>
    <row r="14521">
      <c r="A14521" s="3" t="inlineStr">
        <is>
          <t>Opportunity Global Investment (PTY) LTD</t>
        </is>
      </c>
      <c r="B14521" s="4" t="n">
        <v>45107</v>
      </c>
      <c r="C14521" s="3" t="inlineStr">
        <is>
          <t>Expenses</t>
        </is>
      </c>
      <c r="D14521" s="3" t="inlineStr">
        <is>
          <t>3053/000</t>
        </is>
      </c>
      <c r="E14521" s="3" t="inlineStr">
        <is>
          <t>Advertising - Google Ads</t>
        </is>
      </c>
      <c r="F14521" s="3" t="n">
        <v>1598.09</v>
      </c>
      <c r="G14521" s="3" t="n">
        <v>5107.85</v>
      </c>
    </row>
    <row r="14522">
      <c r="A14522" s="3" t="inlineStr">
        <is>
          <t>Endulini (Pty) Ltd</t>
        </is>
      </c>
      <c r="B14522" s="4" t="n">
        <v>45107</v>
      </c>
      <c r="C14522" s="3" t="inlineStr">
        <is>
          <t>Expenses</t>
        </is>
      </c>
      <c r="D14522" s="3" t="inlineStr">
        <is>
          <t>3200/000</t>
        </is>
      </c>
      <c r="E14522" s="3" t="inlineStr">
        <is>
          <t>Bank Charges</t>
        </is>
      </c>
      <c r="F14522" s="3" t="n">
        <v>258.59</v>
      </c>
      <c r="G14522" s="3" t="n">
        <v>856.86</v>
      </c>
    </row>
    <row r="14523">
      <c r="A14523" s="3" t="inlineStr">
        <is>
          <t>Noble Shield (Pty) Ltd ta Go Letting</t>
        </is>
      </c>
      <c r="B14523" s="4" t="n">
        <v>45107</v>
      </c>
      <c r="C14523" s="3" t="inlineStr">
        <is>
          <t>Expenses</t>
        </is>
      </c>
      <c r="D14523" s="3" t="inlineStr">
        <is>
          <t>3200/000</t>
        </is>
      </c>
      <c r="E14523" s="3" t="inlineStr">
        <is>
          <t>Bank Charges</t>
        </is>
      </c>
      <c r="F14523" s="3" t="n">
        <v>546.5599999999999</v>
      </c>
      <c r="G14523" s="3" t="n">
        <v>6467.57</v>
      </c>
    </row>
    <row r="14524">
      <c r="A14524" s="3" t="inlineStr">
        <is>
          <t>Opportunity Global Investment (PTY) LTD</t>
        </is>
      </c>
      <c r="B14524" s="4" t="n">
        <v>45107</v>
      </c>
      <c r="C14524" s="3" t="inlineStr">
        <is>
          <t>Expenses</t>
        </is>
      </c>
      <c r="D14524" s="3" t="inlineStr">
        <is>
          <t>3200/000</t>
        </is>
      </c>
      <c r="E14524" s="3" t="inlineStr">
        <is>
          <t>Bank Charges</t>
        </is>
      </c>
      <c r="F14524" s="3" t="n">
        <v>457.58</v>
      </c>
      <c r="G14524" s="3" t="n">
        <v>1799.43</v>
      </c>
    </row>
    <row r="14525">
      <c r="A14525" s="3" t="inlineStr">
        <is>
          <t>Opportunity Global Sales (PTY) LTD</t>
        </is>
      </c>
      <c r="B14525" s="4" t="n">
        <v>45107</v>
      </c>
      <c r="C14525" s="3" t="inlineStr">
        <is>
          <t>Expenses</t>
        </is>
      </c>
      <c r="D14525" s="3" t="inlineStr">
        <is>
          <t>3200/000</t>
        </is>
      </c>
      <c r="E14525" s="3" t="inlineStr">
        <is>
          <t>Bank Charges</t>
        </is>
      </c>
      <c r="F14525" s="3" t="n">
        <v>523.46</v>
      </c>
      <c r="G14525" s="3" t="n">
        <v>1862.21</v>
      </c>
    </row>
    <row r="14526">
      <c r="A14526" s="3" t="inlineStr">
        <is>
          <t>Opportunity Management Holdings (PTY) LTD</t>
        </is>
      </c>
      <c r="B14526" s="4" t="n">
        <v>45107</v>
      </c>
      <c r="C14526" s="3" t="inlineStr">
        <is>
          <t>Expenses</t>
        </is>
      </c>
      <c r="D14526" s="3" t="inlineStr">
        <is>
          <t>3200/000</t>
        </is>
      </c>
      <c r="E14526" s="3" t="inlineStr">
        <is>
          <t>Bank Charges</t>
        </is>
      </c>
      <c r="F14526" s="3" t="n">
        <v>937.51</v>
      </c>
      <c r="G14526" s="3" t="n">
        <v>7855.39</v>
      </c>
    </row>
    <row r="14527">
      <c r="A14527" s="3" t="inlineStr">
        <is>
          <t>Quinate Consulting (Pty) Ltd</t>
        </is>
      </c>
      <c r="B14527" s="4" t="n">
        <v>45107</v>
      </c>
      <c r="C14527" s="3" t="inlineStr">
        <is>
          <t>Expenses</t>
        </is>
      </c>
      <c r="D14527" s="3" t="inlineStr">
        <is>
          <t>3200/000</t>
        </is>
      </c>
      <c r="E14527" s="3" t="inlineStr">
        <is>
          <t>Bank Charges</t>
        </is>
      </c>
      <c r="F14527" s="3" t="n">
        <v>1414.94</v>
      </c>
      <c r="G14527" s="3" t="n">
        <v>4266.71</v>
      </c>
    </row>
    <row r="14528">
      <c r="A14528" s="3" t="inlineStr">
        <is>
          <t>Trademark Holdings (Pty) Ltd</t>
        </is>
      </c>
      <c r="B14528" s="4" t="n">
        <v>45107</v>
      </c>
      <c r="C14528" s="3" t="inlineStr">
        <is>
          <t>Expenses</t>
        </is>
      </c>
      <c r="D14528" s="3" t="inlineStr">
        <is>
          <t>3200/000</t>
        </is>
      </c>
      <c r="E14528" s="3" t="inlineStr">
        <is>
          <t>Bank Charges</t>
        </is>
      </c>
      <c r="F14528" s="3" t="n">
        <v>264.44</v>
      </c>
      <c r="G14528" s="3" t="n">
        <v>3625.28</v>
      </c>
    </row>
    <row r="14529">
      <c r="A14529" s="3" t="inlineStr">
        <is>
          <t>Quinate Consulting (Pty) Ltd</t>
        </is>
      </c>
      <c r="B14529" s="4" t="n">
        <v>45107</v>
      </c>
      <c r="C14529" s="3" t="inlineStr">
        <is>
          <t>Expenses</t>
        </is>
      </c>
      <c r="D14529" s="3" t="inlineStr">
        <is>
          <t>3220/000</t>
        </is>
      </c>
      <c r="E14529" s="3" t="inlineStr">
        <is>
          <t>Bank Charges - Bond Fees</t>
        </is>
      </c>
      <c r="F14529" s="3" t="n">
        <v>1043.5</v>
      </c>
      <c r="G14529" s="3" t="n">
        <v>4321.82</v>
      </c>
    </row>
    <row r="14530">
      <c r="A14530" s="3" t="inlineStr">
        <is>
          <t>Noble Shield (Pty) Ltd ta Go Letting</t>
        </is>
      </c>
      <c r="B14530" s="4" t="n">
        <v>45107</v>
      </c>
      <c r="C14530" s="3" t="inlineStr">
        <is>
          <t>Expenses</t>
        </is>
      </c>
      <c r="D14530" s="3" t="inlineStr">
        <is>
          <t>3230/000</t>
        </is>
      </c>
      <c r="E14530" s="3" t="inlineStr">
        <is>
          <t>Cell Phone - NM</t>
        </is>
      </c>
      <c r="F14530" s="3" t="n">
        <v>2276.34</v>
      </c>
      <c r="G14530" s="3" t="n">
        <v>22463.4</v>
      </c>
    </row>
    <row r="14531">
      <c r="A14531" s="3" t="inlineStr">
        <is>
          <t>Noble Shield (Pty) Ltd ta Go Letting</t>
        </is>
      </c>
      <c r="B14531" s="4" t="n">
        <v>45107</v>
      </c>
      <c r="C14531" s="3" t="inlineStr">
        <is>
          <t>Expenses</t>
        </is>
      </c>
      <c r="D14531" s="3" t="inlineStr">
        <is>
          <t>3233/000</t>
        </is>
      </c>
      <c r="E14531" s="3" t="inlineStr">
        <is>
          <t>Cell Data - Other</t>
        </is>
      </c>
      <c r="F14531" s="3" t="n">
        <v>199</v>
      </c>
      <c r="G14531" s="3" t="n">
        <v>1990</v>
      </c>
    </row>
    <row r="14532">
      <c r="A14532" s="3" t="inlineStr">
        <is>
          <t>Noble Shield (Pty) Ltd ta Go Letting</t>
        </is>
      </c>
      <c r="B14532" s="4" t="n">
        <v>45107</v>
      </c>
      <c r="C14532" s="3" t="inlineStr">
        <is>
          <t>Expenses</t>
        </is>
      </c>
      <c r="D14532" s="3" t="inlineStr">
        <is>
          <t>3233/100</t>
        </is>
      </c>
      <c r="E14532" s="3" t="inlineStr">
        <is>
          <t>Cell Data - Sales office Wifi</t>
        </is>
      </c>
      <c r="F14532" s="3" t="n">
        <v>385</v>
      </c>
      <c r="G14532" s="3" t="n">
        <v>3738</v>
      </c>
    </row>
    <row r="14533">
      <c r="A14533" s="3" t="inlineStr">
        <is>
          <t>Noble Shield (Pty) Ltd ta Go Letting</t>
        </is>
      </c>
      <c r="B14533" s="4" t="n">
        <v>45107</v>
      </c>
      <c r="C14533" s="3" t="inlineStr">
        <is>
          <t>Expenses</t>
        </is>
      </c>
      <c r="D14533" s="3" t="inlineStr">
        <is>
          <t>3250/000</t>
        </is>
      </c>
      <c r="E14533" s="3" t="inlineStr">
        <is>
          <t>Cleaning</t>
        </is>
      </c>
      <c r="F14533" s="3" t="n">
        <v>0</v>
      </c>
      <c r="G14533" s="3" t="n">
        <v>289.4</v>
      </c>
    </row>
    <row r="14534">
      <c r="A14534" s="3" t="inlineStr">
        <is>
          <t>Opportunity Global Investment (PTY) LTD</t>
        </is>
      </c>
      <c r="B14534" s="4" t="n">
        <v>45107</v>
      </c>
      <c r="C14534" s="3" t="inlineStr">
        <is>
          <t>Expenses</t>
        </is>
      </c>
      <c r="D14534" s="3" t="inlineStr">
        <is>
          <t>3250/000</t>
        </is>
      </c>
      <c r="E14534" s="3" t="inlineStr">
        <is>
          <t>Cleaning</t>
        </is>
      </c>
      <c r="F14534" s="3" t="n">
        <v>2700</v>
      </c>
      <c r="G14534" s="3" t="n">
        <v>10800</v>
      </c>
    </row>
    <row r="14535">
      <c r="A14535" s="3" t="inlineStr">
        <is>
          <t>Opportunity Management Holdings (PTY) LTD</t>
        </is>
      </c>
      <c r="B14535" s="4" t="n">
        <v>45107</v>
      </c>
      <c r="C14535" s="3" t="inlineStr">
        <is>
          <t>Expenses</t>
        </is>
      </c>
      <c r="D14535" s="3" t="inlineStr">
        <is>
          <t>3250/000</t>
        </is>
      </c>
      <c r="E14535" s="3" t="inlineStr">
        <is>
          <t>Cleaning</t>
        </is>
      </c>
      <c r="F14535" s="3" t="n">
        <v>2457.37</v>
      </c>
      <c r="G14535" s="3" t="n">
        <v>22795.44</v>
      </c>
    </row>
    <row r="14536">
      <c r="A14536" s="3" t="inlineStr">
        <is>
          <t>Trademark Holdings (Pty) Ltd</t>
        </is>
      </c>
      <c r="B14536" s="4" t="n">
        <v>45107</v>
      </c>
      <c r="C14536" s="3" t="inlineStr">
        <is>
          <t>Expenses</t>
        </is>
      </c>
      <c r="D14536" s="3" t="inlineStr">
        <is>
          <t>3250/000</t>
        </is>
      </c>
      <c r="E14536" s="3" t="inlineStr">
        <is>
          <t>Cleaning</t>
        </is>
      </c>
      <c r="F14536" s="3" t="n">
        <v>1144</v>
      </c>
      <c r="G14536" s="3" t="n">
        <v>9724</v>
      </c>
    </row>
    <row r="14537">
      <c r="A14537" s="3" t="inlineStr">
        <is>
          <t>Noble Shield (Pty) Ltd ta Go Letting</t>
        </is>
      </c>
      <c r="B14537" s="4" t="n">
        <v>45107</v>
      </c>
      <c r="C14537" s="3" t="inlineStr">
        <is>
          <t>Expenses</t>
        </is>
      </c>
      <c r="D14537" s="3" t="inlineStr">
        <is>
          <t>3300/000</t>
        </is>
      </c>
      <c r="E14537" s="3" t="inlineStr">
        <is>
          <t>Computer Expenses</t>
        </is>
      </c>
      <c r="F14537" s="3" t="n">
        <v>0</v>
      </c>
      <c r="G14537" s="3" t="n">
        <v>1300</v>
      </c>
    </row>
    <row r="14538">
      <c r="A14538" s="3" t="inlineStr">
        <is>
          <t>Opportunity Global Investment (PTY) LTD</t>
        </is>
      </c>
      <c r="B14538" s="4" t="n">
        <v>45107</v>
      </c>
      <c r="C14538" s="3" t="inlineStr">
        <is>
          <t>Expenses</t>
        </is>
      </c>
      <c r="D14538" s="3" t="inlineStr">
        <is>
          <t>3300/000</t>
        </is>
      </c>
      <c r="E14538" s="3" t="inlineStr">
        <is>
          <t>Computer Expenses</t>
        </is>
      </c>
      <c r="F14538" s="3" t="n">
        <v>0</v>
      </c>
      <c r="G14538" s="3" t="n">
        <v>1350</v>
      </c>
    </row>
    <row r="14539">
      <c r="A14539" s="3" t="inlineStr">
        <is>
          <t>Opportunity Management Holdings (PTY) LTD</t>
        </is>
      </c>
      <c r="B14539" s="4" t="n">
        <v>45107</v>
      </c>
      <c r="C14539" s="3" t="inlineStr">
        <is>
          <t>Expenses</t>
        </is>
      </c>
      <c r="D14539" s="3" t="inlineStr">
        <is>
          <t>3300/000</t>
        </is>
      </c>
      <c r="E14539" s="3" t="inlineStr">
        <is>
          <t>Computer Expenses</t>
        </is>
      </c>
      <c r="F14539" s="3" t="n">
        <v>550</v>
      </c>
      <c r="G14539" s="3" t="n">
        <v>7831.91</v>
      </c>
    </row>
    <row r="14540">
      <c r="A14540" s="3" t="inlineStr">
        <is>
          <t>Noble Shield (Pty) Ltd ta Go Letting</t>
        </is>
      </c>
      <c r="B14540" s="4" t="n">
        <v>45107</v>
      </c>
      <c r="C14540" s="3" t="inlineStr">
        <is>
          <t>Expenses</t>
        </is>
      </c>
      <c r="D14540" s="3" t="inlineStr">
        <is>
          <t>3300/100</t>
        </is>
      </c>
      <c r="E14540" s="3" t="inlineStr">
        <is>
          <t>Computer - Maintenance</t>
        </is>
      </c>
      <c r="F14540" s="3" t="n">
        <v>845</v>
      </c>
      <c r="G14540" s="3" t="n">
        <v>845</v>
      </c>
    </row>
    <row r="14541">
      <c r="A14541" s="3" t="inlineStr">
        <is>
          <t>Noble Shield (Pty) Ltd ta Go Letting</t>
        </is>
      </c>
      <c r="B14541" s="4" t="n">
        <v>45107</v>
      </c>
      <c r="C14541" s="3" t="inlineStr">
        <is>
          <t>Expenses</t>
        </is>
      </c>
      <c r="D14541" s="3" t="inlineStr">
        <is>
          <t>3300/120</t>
        </is>
      </c>
      <c r="E14541" s="3" t="inlineStr">
        <is>
          <t>Computer IT - Software Propworx</t>
        </is>
      </c>
      <c r="F14541" s="3" t="n">
        <v>2167.75</v>
      </c>
      <c r="G14541" s="3" t="n">
        <v>21597</v>
      </c>
    </row>
    <row r="14542">
      <c r="A14542" s="3" t="inlineStr">
        <is>
          <t>Trademark Holdings (Pty) Ltd</t>
        </is>
      </c>
      <c r="B14542" s="4" t="n">
        <v>45107</v>
      </c>
      <c r="C14542" s="3" t="inlineStr">
        <is>
          <t>Expenses</t>
        </is>
      </c>
      <c r="D14542" s="3" t="inlineStr">
        <is>
          <t>3300/130</t>
        </is>
      </c>
      <c r="E14542" s="3" t="inlineStr">
        <is>
          <t>Computer IT - Internet/Hosting Fees</t>
        </is>
      </c>
      <c r="F14542" s="3" t="n">
        <v>0</v>
      </c>
      <c r="G14542" s="3" t="n">
        <v>-3599.5</v>
      </c>
    </row>
    <row r="14543">
      <c r="A14543" s="3" t="inlineStr">
        <is>
          <t>Opportunity Management Holdings (PTY) LTD</t>
        </is>
      </c>
      <c r="B14543" s="4" t="n">
        <v>45107</v>
      </c>
      <c r="C14543" s="3" t="inlineStr">
        <is>
          <t>Expenses</t>
        </is>
      </c>
      <c r="D14543" s="3" t="inlineStr">
        <is>
          <t>3300/140</t>
        </is>
      </c>
      <c r="E14543" s="3" t="inlineStr">
        <is>
          <t>Computer IT</t>
        </is>
      </c>
      <c r="F14543" s="3" t="n">
        <v>0</v>
      </c>
      <c r="G14543" s="3" t="n">
        <v>22364.04</v>
      </c>
    </row>
    <row r="14544">
      <c r="A14544" s="3" t="inlineStr">
        <is>
          <t>Trademark Holdings (Pty) Ltd</t>
        </is>
      </c>
      <c r="B14544" s="4" t="n">
        <v>45107</v>
      </c>
      <c r="C14544" s="3" t="inlineStr">
        <is>
          <t>Expenses</t>
        </is>
      </c>
      <c r="D14544" s="3" t="inlineStr">
        <is>
          <t>3300/145</t>
        </is>
      </c>
      <c r="E14544" s="3" t="inlineStr">
        <is>
          <t>Computer IT - Cloud Solve</t>
        </is>
      </c>
      <c r="F14544" s="3" t="n">
        <v>0</v>
      </c>
      <c r="G14544" s="3" t="n">
        <v>6313.5</v>
      </c>
    </row>
    <row r="14545">
      <c r="A14545" s="3" t="inlineStr">
        <is>
          <t>Noble Shield (Pty) Ltd ta Go Letting</t>
        </is>
      </c>
      <c r="B14545" s="4" t="n">
        <v>45107</v>
      </c>
      <c r="C14545" s="3" t="inlineStr">
        <is>
          <t>Expenses</t>
        </is>
      </c>
      <c r="D14545" s="3" t="inlineStr">
        <is>
          <t>3300/170</t>
        </is>
      </c>
      <c r="E14545" s="3" t="inlineStr">
        <is>
          <t>Computer IT - VDB office Fibre</t>
        </is>
      </c>
      <c r="F14545" s="3" t="n">
        <v>790</v>
      </c>
      <c r="G14545" s="3" t="n">
        <v>7900</v>
      </c>
    </row>
    <row r="14546">
      <c r="A14546" s="3" t="inlineStr">
        <is>
          <t>Trademark Holdings (Pty) Ltd</t>
        </is>
      </c>
      <c r="B14546" s="4" t="n">
        <v>45107</v>
      </c>
      <c r="C14546" s="3" t="inlineStr">
        <is>
          <t>Expenses</t>
        </is>
      </c>
      <c r="D14546" s="3" t="inlineStr">
        <is>
          <t>3350/000</t>
        </is>
      </c>
      <c r="E14546" s="3" t="inlineStr">
        <is>
          <t>Consulting Fees</t>
        </is>
      </c>
      <c r="F14546" s="3" t="n">
        <v>22200</v>
      </c>
      <c r="G14546" s="3" t="n">
        <v>256800</v>
      </c>
    </row>
    <row r="14547">
      <c r="A14547" s="3" t="inlineStr">
        <is>
          <t>Opportunity Management Holdings (PTY) LTD</t>
        </is>
      </c>
      <c r="B14547" s="4" t="n">
        <v>45107</v>
      </c>
      <c r="C14547" s="3" t="inlineStr">
        <is>
          <t>Expenses</t>
        </is>
      </c>
      <c r="D14547" s="3" t="inlineStr">
        <is>
          <t>3350/100</t>
        </is>
      </c>
      <c r="E14547" s="3" t="inlineStr">
        <is>
          <t>Consulting Fee - Dirk Coetzee</t>
        </is>
      </c>
      <c r="F14547" s="3" t="n">
        <v>17000</v>
      </c>
      <c r="G14547" s="3" t="n">
        <v>92000</v>
      </c>
    </row>
    <row r="14548">
      <c r="A14548" s="3" t="inlineStr">
        <is>
          <t>Endulini (Pty) Ltd</t>
        </is>
      </c>
      <c r="B14548" s="4" t="n">
        <v>45107</v>
      </c>
      <c r="C14548" s="3" t="inlineStr">
        <is>
          <t>Expenses</t>
        </is>
      </c>
      <c r="D14548" s="3" t="inlineStr">
        <is>
          <t>3350/100</t>
        </is>
      </c>
      <c r="E14548" s="3" t="inlineStr">
        <is>
          <t>Consulting Fees - Admin and Finance</t>
        </is>
      </c>
      <c r="F14548" s="3" t="n">
        <v>39975</v>
      </c>
      <c r="G14548" s="3" t="n">
        <v>190872.57</v>
      </c>
    </row>
    <row r="14549">
      <c r="A14549" s="3" t="inlineStr">
        <is>
          <t>Opportunity Global Investment (PTY) LTD</t>
        </is>
      </c>
      <c r="B14549" s="4" t="n">
        <v>45107</v>
      </c>
      <c r="C14549" s="3" t="inlineStr">
        <is>
          <t>Expenses</t>
        </is>
      </c>
      <c r="D14549" s="3" t="inlineStr">
        <is>
          <t>3350/100</t>
        </is>
      </c>
      <c r="E14549" s="3" t="inlineStr">
        <is>
          <t>Consulting Fees - Admin and Finance</t>
        </is>
      </c>
      <c r="F14549" s="3" t="n">
        <v>13230</v>
      </c>
      <c r="G14549" s="3" t="n">
        <v>70303.8</v>
      </c>
    </row>
    <row r="14550">
      <c r="A14550" s="3" t="inlineStr">
        <is>
          <t>Opportunity Global Sales (PTY) LTD</t>
        </is>
      </c>
      <c r="B14550" s="4" t="n">
        <v>45107</v>
      </c>
      <c r="C14550" s="3" t="inlineStr">
        <is>
          <t>Expenses</t>
        </is>
      </c>
      <c r="D14550" s="3" t="inlineStr">
        <is>
          <t>3350/100</t>
        </is>
      </c>
      <c r="E14550" s="3" t="inlineStr">
        <is>
          <t>Consulting Fees - Admin and Finance</t>
        </is>
      </c>
      <c r="F14550" s="3" t="n">
        <v>17284.5</v>
      </c>
      <c r="G14550" s="3" t="n">
        <v>62367</v>
      </c>
    </row>
    <row r="14551">
      <c r="A14551" s="3" t="inlineStr">
        <is>
          <t>Opportunity Management Holdings (PTY) LTD</t>
        </is>
      </c>
      <c r="B14551" s="4" t="n">
        <v>45107</v>
      </c>
      <c r="C14551" s="3" t="inlineStr">
        <is>
          <t>Expenses</t>
        </is>
      </c>
      <c r="D14551" s="3" t="inlineStr">
        <is>
          <t>3350/200</t>
        </is>
      </c>
      <c r="E14551" s="3" t="inlineStr">
        <is>
          <t>Consulting Fee - Staff recruitment</t>
        </is>
      </c>
      <c r="F14551" s="3" t="n">
        <v>0</v>
      </c>
      <c r="G14551" s="3" t="n">
        <v>18240</v>
      </c>
    </row>
    <row r="14552">
      <c r="A14552" s="3" t="inlineStr">
        <is>
          <t>Opportunity Global Sales (PTY) LTD</t>
        </is>
      </c>
      <c r="B14552" s="4" t="n">
        <v>45107</v>
      </c>
      <c r="C14552" s="3" t="inlineStr">
        <is>
          <t>Expenses</t>
        </is>
      </c>
      <c r="D14552" s="3" t="inlineStr">
        <is>
          <t>3350/200</t>
        </is>
      </c>
      <c r="E14552" s="3" t="inlineStr">
        <is>
          <t>Consulting Fees - Agent Karien Muller</t>
        </is>
      </c>
      <c r="F14552" s="3" t="n">
        <v>0</v>
      </c>
      <c r="G14552" s="3" t="n">
        <v>10000</v>
      </c>
    </row>
    <row r="14553">
      <c r="A14553" s="3" t="inlineStr">
        <is>
          <t>Opportunity Global Investment (PTY) LTD</t>
        </is>
      </c>
      <c r="B14553" s="4" t="n">
        <v>45107</v>
      </c>
      <c r="C14553" s="3" t="inlineStr">
        <is>
          <t>Expenses</t>
        </is>
      </c>
      <c r="D14553" s="3" t="inlineStr">
        <is>
          <t>3350/200</t>
        </is>
      </c>
      <c r="E14553" s="3" t="inlineStr">
        <is>
          <t>Consulting Fees - Rockfin</t>
        </is>
      </c>
      <c r="F14553" s="3" t="n">
        <v>10000</v>
      </c>
      <c r="G14553" s="3" t="n">
        <v>40000</v>
      </c>
    </row>
    <row r="14554">
      <c r="A14554" s="3" t="inlineStr">
        <is>
          <t>Opportunity Management Holdings (PTY) LTD</t>
        </is>
      </c>
      <c r="B14554" s="4" t="n">
        <v>45107</v>
      </c>
      <c r="C14554" s="3" t="inlineStr">
        <is>
          <t>Expenses</t>
        </is>
      </c>
      <c r="D14554" s="3" t="inlineStr">
        <is>
          <t>3350/300</t>
        </is>
      </c>
      <c r="E14554" s="3" t="inlineStr">
        <is>
          <t>Consulting Fee - HR Joblaw</t>
        </is>
      </c>
      <c r="F14554" s="3" t="n">
        <v>1455.3</v>
      </c>
      <c r="G14554" s="3" t="n">
        <v>5821.2</v>
      </c>
    </row>
    <row r="14555">
      <c r="A14555" s="3" t="inlineStr">
        <is>
          <t>Quinate Consulting (Pty) Ltd</t>
        </is>
      </c>
      <c r="B14555" s="4" t="n">
        <v>45107</v>
      </c>
      <c r="C14555" s="3" t="inlineStr">
        <is>
          <t>Expenses</t>
        </is>
      </c>
      <c r="D14555" s="3" t="inlineStr">
        <is>
          <t>3350/300</t>
        </is>
      </c>
      <c r="E14555" s="3" t="inlineStr">
        <is>
          <t>Consulting Fees - Admin and Finance</t>
        </is>
      </c>
      <c r="F14555" s="3" t="n">
        <v>2100</v>
      </c>
      <c r="G14555" s="3" t="n">
        <v>8300</v>
      </c>
    </row>
    <row r="14556">
      <c r="A14556" s="3" t="inlineStr">
        <is>
          <t>Quinate Consulting (Pty) Ltd</t>
        </is>
      </c>
      <c r="B14556" s="4" t="n">
        <v>45107</v>
      </c>
      <c r="C14556" s="3" t="inlineStr">
        <is>
          <t>Expenses</t>
        </is>
      </c>
      <c r="D14556" s="3" t="inlineStr">
        <is>
          <t>3351/000</t>
        </is>
      </c>
      <c r="E14556" s="3" t="inlineStr">
        <is>
          <t>Consulting fees - Trustees</t>
        </is>
      </c>
      <c r="F14556" s="3" t="n">
        <v>8400</v>
      </c>
      <c r="G14556" s="3" t="n">
        <v>32800</v>
      </c>
    </row>
    <row r="14557">
      <c r="A14557" s="3" t="inlineStr">
        <is>
          <t>Quinate Consulting (Pty) Ltd</t>
        </is>
      </c>
      <c r="B14557" s="4" t="n">
        <v>45107</v>
      </c>
      <c r="C14557" s="3" t="inlineStr">
        <is>
          <t>Expenses</t>
        </is>
      </c>
      <c r="D14557" s="3" t="inlineStr">
        <is>
          <t>3450/001</t>
        </is>
      </c>
      <c r="E14557" s="3" t="inlineStr">
        <is>
          <t>Depreciation - Computer Equipment</t>
        </is>
      </c>
      <c r="F14557" s="3" t="n">
        <v>2331.65</v>
      </c>
      <c r="G14557" s="3" t="n">
        <v>9326.629999999999</v>
      </c>
    </row>
    <row r="14558">
      <c r="A14558" s="3" t="inlineStr">
        <is>
          <t>Opportunity Global Investment (PTY) LTD</t>
        </is>
      </c>
      <c r="B14558" s="4" t="n">
        <v>45107</v>
      </c>
      <c r="C14558" s="3" t="inlineStr">
        <is>
          <t>Expenses</t>
        </is>
      </c>
      <c r="D14558" s="3" t="inlineStr">
        <is>
          <t>3450/001</t>
        </is>
      </c>
      <c r="E14558" s="3" t="inlineStr">
        <is>
          <t>Depreciation - Computer equipment</t>
        </is>
      </c>
      <c r="F14558" s="3" t="n">
        <v>880.08</v>
      </c>
      <c r="G14558" s="3" t="n">
        <v>3520.34</v>
      </c>
    </row>
    <row r="14559">
      <c r="A14559" s="3" t="inlineStr">
        <is>
          <t>Quinate Consulting (Pty) Ltd</t>
        </is>
      </c>
      <c r="B14559" s="4" t="n">
        <v>45107</v>
      </c>
      <c r="C14559" s="3" t="inlineStr">
        <is>
          <t>Expenses</t>
        </is>
      </c>
      <c r="D14559" s="3" t="inlineStr">
        <is>
          <t>3450/002</t>
        </is>
      </c>
      <c r="E14559" s="3" t="inlineStr">
        <is>
          <t>Depreciation - Site Containers</t>
        </is>
      </c>
      <c r="F14559" s="3" t="n">
        <v>318.84</v>
      </c>
      <c r="G14559" s="3" t="n">
        <v>1275.36</v>
      </c>
    </row>
    <row r="14560">
      <c r="A14560" s="3" t="inlineStr">
        <is>
          <t>Opportunity Global Sales (PTY) LTD</t>
        </is>
      </c>
      <c r="B14560" s="4" t="n">
        <v>45107</v>
      </c>
      <c r="C14560" s="3" t="inlineStr">
        <is>
          <t>Expenses</t>
        </is>
      </c>
      <c r="D14560" s="3" t="inlineStr">
        <is>
          <t>3450/030</t>
        </is>
      </c>
      <c r="E14560" s="3" t="inlineStr">
        <is>
          <t>Depreciation - Furniture and Fittings</t>
        </is>
      </c>
      <c r="F14560" s="3" t="n">
        <v>408.06</v>
      </c>
      <c r="G14560" s="3" t="n">
        <v>1632.21</v>
      </c>
    </row>
    <row r="14561">
      <c r="A14561" s="3" t="inlineStr">
        <is>
          <t>Opportunity Management Holdings (PTY) LTD</t>
        </is>
      </c>
      <c r="B14561" s="4" t="n">
        <v>45107</v>
      </c>
      <c r="C14561" s="3" t="inlineStr">
        <is>
          <t>Expenses</t>
        </is>
      </c>
      <c r="D14561" s="3" t="inlineStr">
        <is>
          <t>3451/000</t>
        </is>
      </c>
      <c r="E14561" s="3" t="inlineStr">
        <is>
          <t>Depreciation - Computer Equipment</t>
        </is>
      </c>
      <c r="F14561" s="3" t="n">
        <v>1035.17</v>
      </c>
      <c r="G14561" s="3" t="n">
        <v>8518.459999999999</v>
      </c>
    </row>
    <row r="14562">
      <c r="A14562" s="3" t="inlineStr">
        <is>
          <t>Quinate Consulting (Pty) Ltd</t>
        </is>
      </c>
      <c r="B14562" s="4" t="n">
        <v>45107</v>
      </c>
      <c r="C14562" s="3" t="inlineStr">
        <is>
          <t>Expenses</t>
        </is>
      </c>
      <c r="D14562" s="3" t="inlineStr">
        <is>
          <t>3600/000</t>
        </is>
      </c>
      <c r="E14562" s="3" t="inlineStr">
        <is>
          <t>Donations</t>
        </is>
      </c>
      <c r="F14562" s="3" t="n">
        <v>572.45</v>
      </c>
      <c r="G14562" s="3" t="n">
        <v>2289.8</v>
      </c>
    </row>
    <row r="14563">
      <c r="A14563" s="3" t="inlineStr">
        <is>
          <t>Noble Shield (Pty) Ltd ta Go Letting</t>
        </is>
      </c>
      <c r="B14563" s="4" t="n">
        <v>45107</v>
      </c>
      <c r="C14563" s="3" t="inlineStr">
        <is>
          <t>Expenses</t>
        </is>
      </c>
      <c r="D14563" s="3" t="inlineStr">
        <is>
          <t>3650/000</t>
        </is>
      </c>
      <c r="E14563" s="3" t="inlineStr">
        <is>
          <t>Electricity _AND_ Water</t>
        </is>
      </c>
      <c r="F14563" s="3" t="n">
        <v>0</v>
      </c>
      <c r="G14563" s="3" t="n">
        <v>3400</v>
      </c>
    </row>
    <row r="14564">
      <c r="A14564" s="3" t="inlineStr">
        <is>
          <t>Opportunity Global Investment (PTY) LTD</t>
        </is>
      </c>
      <c r="B14564" s="4" t="n">
        <v>45107</v>
      </c>
      <c r="C14564" s="3" t="inlineStr">
        <is>
          <t>Expenses</t>
        </is>
      </c>
      <c r="D14564" s="3" t="inlineStr">
        <is>
          <t>3650/000</t>
        </is>
      </c>
      <c r="E14564" s="3" t="inlineStr">
        <is>
          <t>Electricity _AND_ Water</t>
        </is>
      </c>
      <c r="F14564" s="3" t="n">
        <v>2950</v>
      </c>
      <c r="G14564" s="3" t="n">
        <v>11800</v>
      </c>
    </row>
    <row r="14565">
      <c r="A14565" s="3" t="inlineStr">
        <is>
          <t>Noble Shield (Pty) Ltd ta Go Letting</t>
        </is>
      </c>
      <c r="B14565" s="4" t="n">
        <v>45107</v>
      </c>
      <c r="C14565" s="3" t="inlineStr">
        <is>
          <t>Expenses</t>
        </is>
      </c>
      <c r="D14565" s="3" t="inlineStr">
        <is>
          <t>3651/000</t>
        </is>
      </c>
      <c r="E14565" s="3" t="inlineStr">
        <is>
          <t>Electricity _AND_ Water - Rentals</t>
        </is>
      </c>
      <c r="F14565" s="3" t="n">
        <v>-1000</v>
      </c>
      <c r="G14565" s="3" t="n">
        <v>-1000</v>
      </c>
    </row>
    <row r="14566">
      <c r="A14566" s="3" t="inlineStr">
        <is>
          <t>Quinate Consulting (Pty) Ltd</t>
        </is>
      </c>
      <c r="B14566" s="4" t="n">
        <v>45107</v>
      </c>
      <c r="C14566" s="3" t="inlineStr">
        <is>
          <t>Expenses</t>
        </is>
      </c>
      <c r="D14566" s="3" t="inlineStr">
        <is>
          <t>3651/000</t>
        </is>
      </c>
      <c r="E14566" s="3" t="inlineStr">
        <is>
          <t>Electricity _AND_ Water - Southwark</t>
        </is>
      </c>
      <c r="F14566" s="3" t="n">
        <v>48020.65</v>
      </c>
      <c r="G14566" s="3" t="n">
        <v>137684.54</v>
      </c>
    </row>
    <row r="14567">
      <c r="A14567" s="3" t="inlineStr">
        <is>
          <t>Quinate Consulting (Pty) Ltd</t>
        </is>
      </c>
      <c r="B14567" s="4" t="n">
        <v>45107</v>
      </c>
      <c r="C14567" s="3" t="inlineStr">
        <is>
          <t>Expenses</t>
        </is>
      </c>
      <c r="D14567" s="3" t="inlineStr">
        <is>
          <t>3652/000</t>
        </is>
      </c>
      <c r="E14567" s="3" t="inlineStr">
        <is>
          <t>Electricity _AND_ Water - Soho</t>
        </is>
      </c>
      <c r="F14567" s="3" t="n">
        <v>30545.23</v>
      </c>
      <c r="G14567" s="3" t="n">
        <v>91271.39</v>
      </c>
    </row>
    <row r="14568">
      <c r="A14568" s="3" t="inlineStr">
        <is>
          <t>Quinate Consulting (Pty) Ltd</t>
        </is>
      </c>
      <c r="B14568" s="4" t="n">
        <v>45107</v>
      </c>
      <c r="C14568" s="3" t="inlineStr">
        <is>
          <t>Expenses</t>
        </is>
      </c>
      <c r="D14568" s="3" t="inlineStr">
        <is>
          <t>3653/000</t>
        </is>
      </c>
      <c r="E14568" s="3" t="inlineStr">
        <is>
          <t>Electricity _AND_ Water - Endulini</t>
        </is>
      </c>
      <c r="F14568" s="3" t="n">
        <v>0.51</v>
      </c>
      <c r="G14568" s="3" t="n">
        <v>0.51</v>
      </c>
    </row>
    <row r="14569">
      <c r="A14569" s="3" t="inlineStr">
        <is>
          <t>Noble Shield (Pty) Ltd ta Go Letting</t>
        </is>
      </c>
      <c r="B14569" s="4" t="n">
        <v>45107</v>
      </c>
      <c r="C14569" s="3" t="inlineStr">
        <is>
          <t>Expenses</t>
        </is>
      </c>
      <c r="D14569" s="3" t="inlineStr">
        <is>
          <t>3700/000</t>
        </is>
      </c>
      <c r="E14569" s="3" t="inlineStr">
        <is>
          <t>Entertainment Expenses</t>
        </is>
      </c>
      <c r="F14569" s="3" t="n">
        <v>60</v>
      </c>
      <c r="G14569" s="3" t="n">
        <v>1960</v>
      </c>
    </row>
    <row r="14570">
      <c r="A14570" s="3" t="inlineStr">
        <is>
          <t>Opportunity Global Investment (PTY) LTD</t>
        </is>
      </c>
      <c r="B14570" s="4" t="n">
        <v>45107</v>
      </c>
      <c r="C14570" s="3" t="inlineStr">
        <is>
          <t>Expenses</t>
        </is>
      </c>
      <c r="D14570" s="3" t="inlineStr">
        <is>
          <t>3700/000</t>
        </is>
      </c>
      <c r="E14570" s="3" t="inlineStr">
        <is>
          <t>Entertainment Expenses</t>
        </is>
      </c>
      <c r="F14570" s="3" t="n">
        <v>1012</v>
      </c>
      <c r="G14570" s="3" t="n">
        <v>3051.57</v>
      </c>
    </row>
    <row r="14571">
      <c r="A14571" s="3" t="inlineStr">
        <is>
          <t>Opportunity Global Sales (PTY) LTD</t>
        </is>
      </c>
      <c r="B14571" s="4" t="n">
        <v>45107</v>
      </c>
      <c r="C14571" s="3" t="inlineStr">
        <is>
          <t>Expenses</t>
        </is>
      </c>
      <c r="D14571" s="3" t="inlineStr">
        <is>
          <t>3700/000</t>
        </is>
      </c>
      <c r="E14571" s="3" t="inlineStr">
        <is>
          <t>Entertainment Expenses</t>
        </is>
      </c>
      <c r="F14571" s="3" t="n">
        <v>0</v>
      </c>
      <c r="G14571" s="3" t="n">
        <v>1880</v>
      </c>
    </row>
    <row r="14572">
      <c r="A14572" s="3" t="inlineStr">
        <is>
          <t>Opportunity Management Holdings (PTY) LTD</t>
        </is>
      </c>
      <c r="B14572" s="4" t="n">
        <v>45107</v>
      </c>
      <c r="C14572" s="3" t="inlineStr">
        <is>
          <t>Expenses</t>
        </is>
      </c>
      <c r="D14572" s="3" t="inlineStr">
        <is>
          <t>3700/000</t>
        </is>
      </c>
      <c r="E14572" s="3" t="inlineStr">
        <is>
          <t>Entertainment Expenses</t>
        </is>
      </c>
      <c r="F14572" s="3" t="n">
        <v>0</v>
      </c>
      <c r="G14572" s="3" t="n">
        <v>1849.38</v>
      </c>
    </row>
    <row r="14573">
      <c r="A14573" s="3" t="inlineStr">
        <is>
          <t>Quinate Consulting (Pty) Ltd</t>
        </is>
      </c>
      <c r="B14573" s="4" t="n">
        <v>45107</v>
      </c>
      <c r="C14573" s="3" t="inlineStr">
        <is>
          <t>Expenses</t>
        </is>
      </c>
      <c r="D14573" s="3" t="inlineStr">
        <is>
          <t>3700/000</t>
        </is>
      </c>
      <c r="E14573" s="3" t="inlineStr">
        <is>
          <t>Entertainment Expenses</t>
        </is>
      </c>
      <c r="F14573" s="3" t="n">
        <v>60</v>
      </c>
      <c r="G14573" s="3" t="n">
        <v>4601.21</v>
      </c>
    </row>
    <row r="14574">
      <c r="A14574" s="3" t="inlineStr">
        <is>
          <t>Opportunity Management Holdings (PTY) LTD</t>
        </is>
      </c>
      <c r="B14574" s="4" t="n">
        <v>45107</v>
      </c>
      <c r="C14574" s="3" t="inlineStr">
        <is>
          <t>Expenses</t>
        </is>
      </c>
      <c r="D14574" s="3" t="inlineStr">
        <is>
          <t>3800/000</t>
        </is>
      </c>
      <c r="E14574" s="3" t="inlineStr">
        <is>
          <t>General Expenses</t>
        </is>
      </c>
      <c r="F14574" s="3" t="n">
        <v>0</v>
      </c>
      <c r="G14574" s="3" t="n">
        <v>91.28</v>
      </c>
    </row>
    <row r="14575">
      <c r="A14575" s="3" t="inlineStr">
        <is>
          <t>Opportunity Management Holdings (PTY) LTD</t>
        </is>
      </c>
      <c r="B14575" s="4" t="n">
        <v>45107</v>
      </c>
      <c r="C14575" s="3" t="inlineStr">
        <is>
          <t>Expenses</t>
        </is>
      </c>
      <c r="D14575" s="3" t="inlineStr">
        <is>
          <t>3850/000</t>
        </is>
      </c>
      <c r="E14575" s="3" t="inlineStr">
        <is>
          <t>Insurance - Momentum</t>
        </is>
      </c>
      <c r="F14575" s="3" t="n">
        <v>1696.06</v>
      </c>
      <c r="G14575" s="3" t="n">
        <v>16054.4</v>
      </c>
    </row>
    <row r="14576">
      <c r="A14576" s="3" t="inlineStr">
        <is>
          <t>Noble Shield (Pty) Ltd ta Go Letting</t>
        </is>
      </c>
      <c r="B14576" s="4" t="n">
        <v>45107</v>
      </c>
      <c r="C14576" s="3" t="inlineStr">
        <is>
          <t>Expenses</t>
        </is>
      </c>
      <c r="D14576" s="3" t="inlineStr">
        <is>
          <t>3850/100</t>
        </is>
      </c>
      <c r="E14576" s="3" t="inlineStr">
        <is>
          <t>Insurance - Santam</t>
        </is>
      </c>
      <c r="F14576" s="3" t="n">
        <v>3883.7</v>
      </c>
      <c r="G14576" s="3" t="n">
        <v>38256.27</v>
      </c>
    </row>
    <row r="14577">
      <c r="A14577" s="3" t="inlineStr">
        <is>
          <t>Noble Shield (Pty) Ltd ta Go Letting</t>
        </is>
      </c>
      <c r="B14577" s="4" t="n">
        <v>45107</v>
      </c>
      <c r="C14577" s="3" t="inlineStr">
        <is>
          <t>Expenses</t>
        </is>
      </c>
      <c r="D14577" s="3" t="inlineStr">
        <is>
          <t>3850/200</t>
        </is>
      </c>
      <c r="E14577" s="3" t="inlineStr">
        <is>
          <t>Insurance - A_AND_G</t>
        </is>
      </c>
      <c r="F14577" s="3" t="n">
        <v>2244.46</v>
      </c>
      <c r="G14577" s="3" t="n">
        <v>19753.84</v>
      </c>
    </row>
    <row r="14578">
      <c r="A14578" s="3" t="inlineStr">
        <is>
          <t>Quinate Consulting (Pty) Ltd</t>
        </is>
      </c>
      <c r="B14578" s="4" t="n">
        <v>45107</v>
      </c>
      <c r="C14578" s="3" t="inlineStr">
        <is>
          <t>Expenses</t>
        </is>
      </c>
      <c r="D14578" s="3" t="inlineStr">
        <is>
          <t>3851/000</t>
        </is>
      </c>
      <c r="E14578" s="3" t="inlineStr">
        <is>
          <t>Insurance - Momentum</t>
        </is>
      </c>
      <c r="F14578" s="3" t="n">
        <v>7990.64</v>
      </c>
      <c r="G14578" s="3" t="n">
        <v>31962.56</v>
      </c>
    </row>
    <row r="14579">
      <c r="A14579" s="3" t="inlineStr">
        <is>
          <t>Quinate Consulting (Pty) Ltd</t>
        </is>
      </c>
      <c r="B14579" s="4" t="n">
        <v>45107</v>
      </c>
      <c r="C14579" s="3" t="inlineStr">
        <is>
          <t>Expenses</t>
        </is>
      </c>
      <c r="D14579" s="3" t="inlineStr">
        <is>
          <t>3900/000</t>
        </is>
      </c>
      <c r="E14579" s="3" t="inlineStr">
        <is>
          <t>Interest Paid</t>
        </is>
      </c>
      <c r="F14579" s="3" t="n">
        <v>155.91</v>
      </c>
      <c r="G14579" s="3" t="n">
        <v>279.37</v>
      </c>
    </row>
    <row r="14580">
      <c r="A14580" s="3" t="inlineStr">
        <is>
          <t>Quinate Consulting (Pty) Ltd</t>
        </is>
      </c>
      <c r="B14580" s="4" t="n">
        <v>45107</v>
      </c>
      <c r="C14580" s="3" t="inlineStr">
        <is>
          <t>Expenses</t>
        </is>
      </c>
      <c r="D14580" s="3" t="inlineStr">
        <is>
          <t>3900/050</t>
        </is>
      </c>
      <c r="E14580" s="3" t="inlineStr">
        <is>
          <t>Interest Paid - STD Bond Accounts</t>
        </is>
      </c>
      <c r="F14580" s="3" t="n">
        <v>38955.95</v>
      </c>
      <c r="G14580" s="3" t="n">
        <v>155823.8</v>
      </c>
    </row>
    <row r="14581">
      <c r="A14581" s="3" t="inlineStr">
        <is>
          <t>Endulini (Pty) Ltd</t>
        </is>
      </c>
      <c r="B14581" s="4" t="n">
        <v>45107</v>
      </c>
      <c r="C14581" s="3" t="inlineStr">
        <is>
          <t>Expenses</t>
        </is>
      </c>
      <c r="D14581" s="3" t="inlineStr">
        <is>
          <t>3900/112</t>
        </is>
      </c>
      <c r="E14581" s="3" t="inlineStr">
        <is>
          <t>Interest Paid - Investors @ 6.5%</t>
        </is>
      </c>
      <c r="F14581" s="3" t="n">
        <v>605.49</v>
      </c>
      <c r="G14581" s="3" t="n">
        <v>605.49</v>
      </c>
    </row>
    <row r="14582">
      <c r="A14582" s="3" t="inlineStr">
        <is>
          <t>Endulini (Pty) Ltd</t>
        </is>
      </c>
      <c r="B14582" s="4" t="n">
        <v>45107</v>
      </c>
      <c r="C14582" s="3" t="inlineStr">
        <is>
          <t>Expenses</t>
        </is>
      </c>
      <c r="D14582" s="3" t="inlineStr">
        <is>
          <t>3900/113</t>
        </is>
      </c>
      <c r="E14582" s="3" t="inlineStr">
        <is>
          <t>Interest Paid - Investors @ 6.75%</t>
        </is>
      </c>
      <c r="F14582" s="3" t="n">
        <v>3532.19</v>
      </c>
      <c r="G14582" s="3" t="n">
        <v>3532.19</v>
      </c>
    </row>
    <row r="14583">
      <c r="A14583" s="3" t="inlineStr">
        <is>
          <t>Endulini (Pty) Ltd</t>
        </is>
      </c>
      <c r="B14583" s="4" t="n">
        <v>45107</v>
      </c>
      <c r="C14583" s="3" t="inlineStr">
        <is>
          <t>Expenses</t>
        </is>
      </c>
      <c r="D14583" s="3" t="inlineStr">
        <is>
          <t>3900/120</t>
        </is>
      </c>
      <c r="E14583" s="3" t="inlineStr">
        <is>
          <t>Interest Paid - Investors @ 7%</t>
        </is>
      </c>
      <c r="F14583" s="3" t="n">
        <v>2794.72</v>
      </c>
      <c r="G14583" s="3" t="n">
        <v>2794.72</v>
      </c>
    </row>
    <row r="14584">
      <c r="A14584" s="3" t="inlineStr">
        <is>
          <t>Endulini (Pty) Ltd</t>
        </is>
      </c>
      <c r="B14584" s="4" t="n">
        <v>45107</v>
      </c>
      <c r="C14584" s="3" t="inlineStr">
        <is>
          <t>Expenses</t>
        </is>
      </c>
      <c r="D14584" s="3" t="inlineStr">
        <is>
          <t>3900/122</t>
        </is>
      </c>
      <c r="E14584" s="3" t="inlineStr">
        <is>
          <t>Interest Paid - Investors @ 7.5%</t>
        </is>
      </c>
      <c r="F14584" s="3" t="n">
        <v>45.53</v>
      </c>
      <c r="G14584" s="3" t="n">
        <v>45.53</v>
      </c>
    </row>
    <row r="14585">
      <c r="A14585" s="3" t="inlineStr">
        <is>
          <t>Quinate Consulting (Pty) Ltd</t>
        </is>
      </c>
      <c r="B14585" s="4" t="n">
        <v>45107</v>
      </c>
      <c r="C14585" s="3" t="inlineStr">
        <is>
          <t>Expenses</t>
        </is>
      </c>
      <c r="D14585" s="3" t="inlineStr">
        <is>
          <t>3900/152</t>
        </is>
      </c>
      <c r="E14585" s="3" t="inlineStr">
        <is>
          <t>Interest Paid - Gengis</t>
        </is>
      </c>
      <c r="F14585" s="3" t="n">
        <v>3402.74</v>
      </c>
      <c r="G14585" s="3" t="n">
        <v>13837.8</v>
      </c>
    </row>
    <row r="14586">
      <c r="A14586" s="3" t="inlineStr">
        <is>
          <t>Endulini (Pty) Ltd</t>
        </is>
      </c>
      <c r="B14586" s="4" t="n">
        <v>45107</v>
      </c>
      <c r="C14586" s="3" t="inlineStr">
        <is>
          <t>Expenses</t>
        </is>
      </c>
      <c r="D14586" s="3" t="inlineStr">
        <is>
          <t>3900/190</t>
        </is>
      </c>
      <c r="E14586" s="3" t="inlineStr">
        <is>
          <t>Interest Paid - Investors @ 14%</t>
        </is>
      </c>
      <c r="F14586" s="3" t="n">
        <v>177783.07</v>
      </c>
      <c r="G14586" s="3" t="n">
        <v>177783.07</v>
      </c>
    </row>
    <row r="14587">
      <c r="A14587" s="3" t="inlineStr">
        <is>
          <t>Endulini (Pty) Ltd</t>
        </is>
      </c>
      <c r="B14587" s="4" t="n">
        <v>45107</v>
      </c>
      <c r="C14587" s="3" t="inlineStr">
        <is>
          <t>Expenses</t>
        </is>
      </c>
      <c r="D14587" s="3" t="inlineStr">
        <is>
          <t>3900/210</t>
        </is>
      </c>
      <c r="E14587" s="3" t="inlineStr">
        <is>
          <t>Interest Paid - Investors @ 16%</t>
        </is>
      </c>
      <c r="F14587" s="3" t="n">
        <v>47736.98</v>
      </c>
      <c r="G14587" s="3" t="n">
        <v>47736.98</v>
      </c>
    </row>
    <row r="14588">
      <c r="A14588" s="3" t="inlineStr">
        <is>
          <t>Endulini (Pty) Ltd</t>
        </is>
      </c>
      <c r="B14588" s="4" t="n">
        <v>45107</v>
      </c>
      <c r="C14588" s="3" t="inlineStr">
        <is>
          <t>Expenses</t>
        </is>
      </c>
      <c r="D14588" s="3" t="inlineStr">
        <is>
          <t>3900/230</t>
        </is>
      </c>
      <c r="E14588" s="3" t="inlineStr">
        <is>
          <t>Interest Paid - Investors @ 18%</t>
        </is>
      </c>
      <c r="F14588" s="3" t="n">
        <v>64356.16</v>
      </c>
      <c r="G14588" s="3" t="n">
        <v>64356.16</v>
      </c>
    </row>
    <row r="14589">
      <c r="A14589" s="3" t="inlineStr">
        <is>
          <t>Opportunity Management Holdings (PTY) LTD</t>
        </is>
      </c>
      <c r="B14589" s="4" t="n">
        <v>45107</v>
      </c>
      <c r="C14589" s="3" t="inlineStr">
        <is>
          <t>Expenses</t>
        </is>
      </c>
      <c r="D14589" s="3" t="inlineStr">
        <is>
          <t>3960/000</t>
        </is>
      </c>
      <c r="E14589" s="3" t="inlineStr">
        <is>
          <t>Internet Fees</t>
        </is>
      </c>
      <c r="F14589" s="3" t="n">
        <v>617.03</v>
      </c>
      <c r="G14589" s="3" t="n">
        <v>5941.36</v>
      </c>
    </row>
    <row r="14590">
      <c r="A14590" s="3" t="inlineStr">
        <is>
          <t>Quinate Consulting (Pty) Ltd</t>
        </is>
      </c>
      <c r="B14590" s="4" t="n">
        <v>45107</v>
      </c>
      <c r="C14590" s="3" t="inlineStr">
        <is>
          <t>Expenses</t>
        </is>
      </c>
      <c r="D14590" s="3" t="inlineStr">
        <is>
          <t>4000/000</t>
        </is>
      </c>
      <c r="E14590" s="3" t="inlineStr">
        <is>
          <t>Legal Fees</t>
        </is>
      </c>
      <c r="F14590" s="3" t="n">
        <v>0</v>
      </c>
      <c r="G14590" s="3" t="n">
        <v>32450</v>
      </c>
    </row>
    <row r="14591">
      <c r="A14591" s="3" t="inlineStr">
        <is>
          <t>Quinate Consulting (Pty) Ltd</t>
        </is>
      </c>
      <c r="B14591" s="4" t="n">
        <v>45107</v>
      </c>
      <c r="C14591" s="3" t="inlineStr">
        <is>
          <t>Expenses</t>
        </is>
      </c>
      <c r="D14591" s="3" t="inlineStr">
        <is>
          <t>4065/000</t>
        </is>
      </c>
      <c r="E14591" s="3" t="inlineStr">
        <is>
          <t>Levies - SoHo</t>
        </is>
      </c>
      <c r="F14591" s="3" t="n">
        <v>6466.98</v>
      </c>
      <c r="G14591" s="3" t="n">
        <v>27140.37</v>
      </c>
    </row>
    <row r="14592">
      <c r="A14592" s="3" t="inlineStr">
        <is>
          <t>Quinate Consulting (Pty) Ltd</t>
        </is>
      </c>
      <c r="B14592" s="4" t="n">
        <v>45107</v>
      </c>
      <c r="C14592" s="3" t="inlineStr">
        <is>
          <t>Expenses</t>
        </is>
      </c>
      <c r="D14592" s="3" t="inlineStr">
        <is>
          <t>4066/000</t>
        </is>
      </c>
      <c r="E14592" s="3" t="inlineStr">
        <is>
          <t>Levies - Southwark</t>
        </is>
      </c>
      <c r="F14592" s="3" t="n">
        <v>3422.18</v>
      </c>
      <c r="G14592" s="3" t="n">
        <v>13688.72</v>
      </c>
    </row>
    <row r="14593">
      <c r="A14593" s="3" t="inlineStr">
        <is>
          <t>Quinate Consulting (Pty) Ltd</t>
        </is>
      </c>
      <c r="B14593" s="4" t="n">
        <v>45107</v>
      </c>
      <c r="C14593" s="3" t="inlineStr">
        <is>
          <t>Expenses</t>
        </is>
      </c>
      <c r="D14593" s="3" t="inlineStr">
        <is>
          <t>4067/000</t>
        </is>
      </c>
      <c r="E14593" s="3" t="inlineStr">
        <is>
          <t>Levies - C4 Property</t>
        </is>
      </c>
      <c r="F14593" s="3" t="n">
        <v>18397.71</v>
      </c>
      <c r="G14593" s="3" t="n">
        <v>39450.69</v>
      </c>
    </row>
    <row r="14594">
      <c r="A14594" s="3" t="inlineStr">
        <is>
          <t>Endulini (Pty) Ltd</t>
        </is>
      </c>
      <c r="B14594" s="4" t="n">
        <v>45107</v>
      </c>
      <c r="C14594" s="3" t="inlineStr">
        <is>
          <t>Expenses</t>
        </is>
      </c>
      <c r="D14594" s="3" t="inlineStr">
        <is>
          <t>4100/001</t>
        </is>
      </c>
      <c r="E14594" s="3" t="inlineStr">
        <is>
          <t>Momentum Admin Fee</t>
        </is>
      </c>
      <c r="F14594" s="3" t="n">
        <v>0</v>
      </c>
      <c r="G14594" s="3" t="n">
        <v>3.24</v>
      </c>
    </row>
    <row r="14595">
      <c r="A14595" s="3" t="inlineStr">
        <is>
          <t>Quinate Consulting (Pty) Ltd</t>
        </is>
      </c>
      <c r="B14595" s="4" t="n">
        <v>45107</v>
      </c>
      <c r="C14595" s="3" t="inlineStr">
        <is>
          <t>Expenses</t>
        </is>
      </c>
      <c r="D14595" s="3" t="inlineStr">
        <is>
          <t>4100/001</t>
        </is>
      </c>
      <c r="E14595" s="3" t="inlineStr">
        <is>
          <t>Momentum Advise Fee</t>
        </is>
      </c>
      <c r="F14595" s="3" t="n">
        <v>0</v>
      </c>
      <c r="G14595" s="3" t="n">
        <v>0.66</v>
      </c>
    </row>
    <row r="14596">
      <c r="A14596" s="3" t="inlineStr">
        <is>
          <t>Opportunity Global Investment (PTY) LTD</t>
        </is>
      </c>
      <c r="B14596" s="4" t="n">
        <v>45107</v>
      </c>
      <c r="C14596" s="3" t="inlineStr">
        <is>
          <t>Expenses</t>
        </is>
      </c>
      <c r="D14596" s="3" t="inlineStr">
        <is>
          <t>4100/100</t>
        </is>
      </c>
      <c r="E14596" s="3" t="inlineStr">
        <is>
          <t>Members Salaries - Nick Morgan</t>
        </is>
      </c>
      <c r="F14596" s="3" t="n">
        <v>41251.61</v>
      </c>
      <c r="G14596" s="3" t="n">
        <v>165006.45</v>
      </c>
    </row>
    <row r="14597">
      <c r="A14597" s="3" t="inlineStr">
        <is>
          <t>Noble Shield (Pty) Ltd ta Go Letting</t>
        </is>
      </c>
      <c r="B14597" s="4" t="n">
        <v>45107</v>
      </c>
      <c r="C14597" s="3" t="inlineStr">
        <is>
          <t>Expenses</t>
        </is>
      </c>
      <c r="D14597" s="3" t="inlineStr">
        <is>
          <t>4200/000</t>
        </is>
      </c>
      <c r="E14597" s="3" t="inlineStr">
        <is>
          <t>Printing _AND_ Stationery</t>
        </is>
      </c>
      <c r="F14597" s="3" t="n">
        <v>0</v>
      </c>
      <c r="G14597" s="3" t="n">
        <v>1035</v>
      </c>
    </row>
    <row r="14598">
      <c r="A14598" s="3" t="inlineStr">
        <is>
          <t>Opportunity Global Investment (PTY) LTD</t>
        </is>
      </c>
      <c r="B14598" s="4" t="n">
        <v>45107</v>
      </c>
      <c r="C14598" s="3" t="inlineStr">
        <is>
          <t>Expenses</t>
        </is>
      </c>
      <c r="D14598" s="3" t="inlineStr">
        <is>
          <t>4200/000</t>
        </is>
      </c>
      <c r="E14598" s="3" t="inlineStr">
        <is>
          <t>Printing _AND_ Stationery</t>
        </is>
      </c>
      <c r="F14598" s="3" t="n">
        <v>2367</v>
      </c>
      <c r="G14598" s="3" t="n">
        <v>9468</v>
      </c>
    </row>
    <row r="14599">
      <c r="A14599" s="3" t="inlineStr">
        <is>
          <t>Opportunity Global Sales (PTY) LTD</t>
        </is>
      </c>
      <c r="B14599" s="4" t="n">
        <v>45107</v>
      </c>
      <c r="C14599" s="3" t="inlineStr">
        <is>
          <t>Expenses</t>
        </is>
      </c>
      <c r="D14599" s="3" t="inlineStr">
        <is>
          <t>4200/000</t>
        </is>
      </c>
      <c r="E14599" s="3" t="inlineStr">
        <is>
          <t>Printing _AND_ Stationery</t>
        </is>
      </c>
      <c r="F14599" s="3" t="n">
        <v>0</v>
      </c>
      <c r="G14599" s="3" t="n">
        <v>286.96</v>
      </c>
    </row>
    <row r="14600">
      <c r="A14600" s="3" t="inlineStr">
        <is>
          <t>Opportunity Management Holdings (PTY) LTD</t>
        </is>
      </c>
      <c r="B14600" s="4" t="n">
        <v>45107</v>
      </c>
      <c r="C14600" s="3" t="inlineStr">
        <is>
          <t>Expenses</t>
        </is>
      </c>
      <c r="D14600" s="3" t="inlineStr">
        <is>
          <t>4200/000</t>
        </is>
      </c>
      <c r="E14600" s="3" t="inlineStr">
        <is>
          <t>Printing _AND_ Stationery</t>
        </is>
      </c>
      <c r="F14600" s="3" t="n">
        <v>1910.14</v>
      </c>
      <c r="G14600" s="3" t="n">
        <v>26211.62</v>
      </c>
    </row>
    <row r="14601">
      <c r="A14601" s="3" t="inlineStr">
        <is>
          <t>Noble Shield (Pty) Ltd ta Go Letting</t>
        </is>
      </c>
      <c r="B14601" s="4" t="n">
        <v>45107</v>
      </c>
      <c r="C14601" s="3" t="inlineStr">
        <is>
          <t>Expenses</t>
        </is>
      </c>
      <c r="D14601" s="3" t="inlineStr">
        <is>
          <t>4200/100</t>
        </is>
      </c>
      <c r="E14601" s="3" t="inlineStr">
        <is>
          <t>Printing - Merchant West- Printer Rental</t>
        </is>
      </c>
      <c r="F14601" s="3" t="n">
        <v>1630.84</v>
      </c>
      <c r="G14601" s="3" t="n">
        <v>16287.27</v>
      </c>
    </row>
    <row r="14602">
      <c r="A14602" s="3" t="inlineStr">
        <is>
          <t>Noble Shield (Pty) Ltd ta Go Letting</t>
        </is>
      </c>
      <c r="B14602" s="4" t="n">
        <v>45107</v>
      </c>
      <c r="C14602" s="3" t="inlineStr">
        <is>
          <t>Expenses</t>
        </is>
      </c>
      <c r="D14602" s="3" t="inlineStr">
        <is>
          <t>4200/120</t>
        </is>
      </c>
      <c r="E14602" s="3" t="inlineStr">
        <is>
          <t>Printing - Ivy Line - Prints</t>
        </is>
      </c>
      <c r="F14602" s="3" t="n">
        <v>1119.84</v>
      </c>
      <c r="G14602" s="3" t="n">
        <v>9023.200000000001</v>
      </c>
    </row>
    <row r="14603">
      <c r="A14603" s="3" t="inlineStr">
        <is>
          <t>Noble Shield (Pty) Ltd ta Go Letting</t>
        </is>
      </c>
      <c r="B14603" s="4" t="n">
        <v>45107</v>
      </c>
      <c r="C14603" s="3" t="inlineStr">
        <is>
          <t>Expenses</t>
        </is>
      </c>
      <c r="D14603" s="3" t="inlineStr">
        <is>
          <t>4200/180</t>
        </is>
      </c>
      <c r="E14603" s="3" t="inlineStr">
        <is>
          <t>Printing - Ikon</t>
        </is>
      </c>
      <c r="F14603" s="3" t="n">
        <v>329.76</v>
      </c>
      <c r="G14603" s="3" t="n">
        <v>1551.14</v>
      </c>
    </row>
    <row r="14604">
      <c r="A14604" s="3" t="inlineStr">
        <is>
          <t>Noble Shield (Pty) Ltd ta Go Letting</t>
        </is>
      </c>
      <c r="B14604" s="4" t="n">
        <v>45107</v>
      </c>
      <c r="C14604" s="3" t="inlineStr">
        <is>
          <t>Expenses</t>
        </is>
      </c>
      <c r="D14604" s="3" t="inlineStr">
        <is>
          <t>4200/190</t>
        </is>
      </c>
      <c r="E14604" s="3" t="inlineStr">
        <is>
          <t>Printing - Centrafin printer rental</t>
        </is>
      </c>
      <c r="F14604" s="3" t="n">
        <v>2901.42</v>
      </c>
      <c r="G14604" s="3" t="n">
        <v>27588.84</v>
      </c>
    </row>
    <row r="14605">
      <c r="A14605" s="3" t="inlineStr">
        <is>
          <t>Noble Shield (Pty) Ltd ta Go Letting</t>
        </is>
      </c>
      <c r="B14605" s="4" t="n">
        <v>45107</v>
      </c>
      <c r="C14605" s="3" t="inlineStr">
        <is>
          <t>Expenses</t>
        </is>
      </c>
      <c r="D14605" s="3" t="inlineStr">
        <is>
          <t>4200/200</t>
        </is>
      </c>
      <c r="E14605" s="3" t="inlineStr">
        <is>
          <t>Printing - General Stationery VDB Office</t>
        </is>
      </c>
      <c r="F14605" s="3" t="n">
        <v>0</v>
      </c>
      <c r="G14605" s="3" t="n">
        <v>7063.56</v>
      </c>
    </row>
    <row r="14606">
      <c r="A14606" s="3" t="inlineStr">
        <is>
          <t>Opportunity Global Investment (PTY) LTD</t>
        </is>
      </c>
      <c r="B14606" s="4" t="n">
        <v>45107</v>
      </c>
      <c r="C14606" s="3" t="inlineStr">
        <is>
          <t>Expenses</t>
        </is>
      </c>
      <c r="D14606" s="3" t="inlineStr">
        <is>
          <t>4220/000</t>
        </is>
      </c>
      <c r="E14606" s="3" t="inlineStr">
        <is>
          <t>Motor Vehicle Expenses - Petrol _AND_ Oil</t>
        </is>
      </c>
      <c r="F14606" s="3" t="n">
        <v>2475.85</v>
      </c>
      <c r="G14606" s="3" t="n">
        <v>7567.59</v>
      </c>
    </row>
    <row r="14607">
      <c r="A14607" s="3" t="inlineStr">
        <is>
          <t>Noble Shield (Pty) Ltd ta Go Letting</t>
        </is>
      </c>
      <c r="B14607" s="4" t="n">
        <v>45107</v>
      </c>
      <c r="C14607" s="3" t="inlineStr">
        <is>
          <t>Expenses</t>
        </is>
      </c>
      <c r="D14607" s="3" t="inlineStr">
        <is>
          <t>4290/000</t>
        </is>
      </c>
      <c r="E14607" s="3" t="inlineStr">
        <is>
          <t>Refreshments - CT Office</t>
        </is>
      </c>
      <c r="F14607" s="3" t="n">
        <v>1237.16</v>
      </c>
      <c r="G14607" s="3" t="n">
        <v>10639.75</v>
      </c>
    </row>
    <row r="14608">
      <c r="A14608" s="3" t="inlineStr">
        <is>
          <t>Opportunity Global Investment (PTY) LTD</t>
        </is>
      </c>
      <c r="B14608" s="4" t="n">
        <v>45107</v>
      </c>
      <c r="C14608" s="3" t="inlineStr">
        <is>
          <t>Expenses</t>
        </is>
      </c>
      <c r="D14608" s="3" t="inlineStr">
        <is>
          <t>4290/000</t>
        </is>
      </c>
      <c r="E14608" s="3" t="inlineStr">
        <is>
          <t>Rent</t>
        </is>
      </c>
      <c r="F14608" s="3" t="n">
        <v>8770</v>
      </c>
      <c r="G14608" s="3" t="n">
        <v>35080</v>
      </c>
    </row>
    <row r="14609">
      <c r="A14609" s="3" t="inlineStr">
        <is>
          <t>Noble Shield (Pty) Ltd ta Go Letting</t>
        </is>
      </c>
      <c r="B14609" s="4" t="n">
        <v>45107</v>
      </c>
      <c r="C14609" s="3" t="inlineStr">
        <is>
          <t>Expenses</t>
        </is>
      </c>
      <c r="D14609" s="3" t="inlineStr">
        <is>
          <t>4291/000</t>
        </is>
      </c>
      <c r="E14609" s="3" t="inlineStr">
        <is>
          <t>Refreshments - VDB Office</t>
        </is>
      </c>
      <c r="F14609" s="3" t="n">
        <v>1024.36</v>
      </c>
      <c r="G14609" s="3" t="n">
        <v>4736.64</v>
      </c>
    </row>
    <row r="14610">
      <c r="A14610" s="3" t="inlineStr">
        <is>
          <t>Trademark Holdings (Pty) Ltd</t>
        </is>
      </c>
      <c r="B14610" s="4" t="n">
        <v>45107</v>
      </c>
      <c r="C14610" s="3" t="inlineStr">
        <is>
          <t>Expenses</t>
        </is>
      </c>
      <c r="D14610" s="3" t="inlineStr">
        <is>
          <t>4300/000</t>
        </is>
      </c>
      <c r="E14610" s="3" t="inlineStr">
        <is>
          <t>Rent Paid</t>
        </is>
      </c>
      <c r="F14610" s="3" t="n">
        <v>6532</v>
      </c>
      <c r="G14610" s="3" t="n">
        <v>65096.57</v>
      </c>
    </row>
    <row r="14611">
      <c r="A14611" s="3" t="inlineStr">
        <is>
          <t>Opportunity Global Investment (PTY) LTD</t>
        </is>
      </c>
      <c r="B14611" s="4" t="n">
        <v>45107</v>
      </c>
      <c r="C14611" s="3" t="inlineStr">
        <is>
          <t>Expenses</t>
        </is>
      </c>
      <c r="D14611" s="3" t="inlineStr">
        <is>
          <t>4310/000</t>
        </is>
      </c>
      <c r="E14611" s="3" t="inlineStr">
        <is>
          <t>Refreshments</t>
        </is>
      </c>
      <c r="F14611" s="3" t="n">
        <v>2521</v>
      </c>
      <c r="G14611" s="3" t="n">
        <v>10084</v>
      </c>
    </row>
    <row r="14612">
      <c r="A14612" s="3" t="inlineStr">
        <is>
          <t>Opportunity Management Holdings (PTY) LTD</t>
        </is>
      </c>
      <c r="B14612" s="4" t="n">
        <v>45107</v>
      </c>
      <c r="C14612" s="3" t="inlineStr">
        <is>
          <t>Expenses</t>
        </is>
      </c>
      <c r="D14612" s="3" t="inlineStr">
        <is>
          <t>4310/000</t>
        </is>
      </c>
      <c r="E14612" s="3" t="inlineStr">
        <is>
          <t>Refreshments</t>
        </is>
      </c>
      <c r="F14612" s="3" t="n">
        <v>6398.23</v>
      </c>
      <c r="G14612" s="3" t="n">
        <v>19191.4</v>
      </c>
    </row>
    <row r="14613">
      <c r="A14613" s="3" t="inlineStr">
        <is>
          <t>Quinate Consulting (Pty) Ltd</t>
        </is>
      </c>
      <c r="B14613" s="4" t="n">
        <v>45107</v>
      </c>
      <c r="C14613" s="3" t="inlineStr">
        <is>
          <t>Expenses</t>
        </is>
      </c>
      <c r="D14613" s="3" t="inlineStr">
        <is>
          <t>4312/000</t>
        </is>
      </c>
      <c r="E14613" s="3" t="inlineStr">
        <is>
          <t>Rates - SoHo Units</t>
        </is>
      </c>
      <c r="F14613" s="3" t="n">
        <v>1667.43</v>
      </c>
      <c r="G14613" s="3" t="n">
        <v>8280.15</v>
      </c>
    </row>
    <row r="14614">
      <c r="A14614" s="3" t="inlineStr">
        <is>
          <t>Endulini (Pty) Ltd</t>
        </is>
      </c>
      <c r="B14614" s="4" t="n">
        <v>45107</v>
      </c>
      <c r="C14614" s="3" t="inlineStr">
        <is>
          <t>Expenses</t>
        </is>
      </c>
      <c r="D14614" s="3" t="inlineStr">
        <is>
          <t>4350/000</t>
        </is>
      </c>
      <c r="E14614" s="3" t="inlineStr">
        <is>
          <t>Repairs _AND_ Maintenance</t>
        </is>
      </c>
      <c r="F14614" s="3" t="n">
        <v>0</v>
      </c>
      <c r="G14614" s="3" t="n">
        <v>15702.19</v>
      </c>
    </row>
    <row r="14615">
      <c r="A14615" s="3" t="inlineStr">
        <is>
          <t>Noble Shield (Pty) Ltd ta Go Letting</t>
        </is>
      </c>
      <c r="B14615" s="4" t="n">
        <v>45107</v>
      </c>
      <c r="C14615" s="3" t="inlineStr">
        <is>
          <t>Expenses</t>
        </is>
      </c>
      <c r="D14615" s="3" t="inlineStr">
        <is>
          <t>4350/000</t>
        </is>
      </c>
      <c r="E14615" s="3" t="inlineStr">
        <is>
          <t>Repairs _AND_ Maintenance</t>
        </is>
      </c>
      <c r="F14615" s="3" t="n">
        <v>860</v>
      </c>
      <c r="G14615" s="3" t="n">
        <v>2180</v>
      </c>
    </row>
    <row r="14616">
      <c r="A14616" s="3" t="inlineStr">
        <is>
          <t>Opportunity Management Holdings (PTY) LTD</t>
        </is>
      </c>
      <c r="B14616" s="4" t="n">
        <v>45107</v>
      </c>
      <c r="C14616" s="3" t="inlineStr">
        <is>
          <t>Expenses</t>
        </is>
      </c>
      <c r="D14616" s="3" t="inlineStr">
        <is>
          <t>4350/000</t>
        </is>
      </c>
      <c r="E14616" s="3" t="inlineStr">
        <is>
          <t>Repairs _AND_ Maintenance</t>
        </is>
      </c>
      <c r="F14616" s="3" t="n">
        <v>0</v>
      </c>
      <c r="G14616" s="3" t="n">
        <v>3473.69</v>
      </c>
    </row>
    <row r="14617">
      <c r="A14617" s="3" t="inlineStr">
        <is>
          <t>Quinate Consulting (Pty) Ltd</t>
        </is>
      </c>
      <c r="B14617" s="4" t="n">
        <v>45107</v>
      </c>
      <c r="C14617" s="3" t="inlineStr">
        <is>
          <t>Expenses</t>
        </is>
      </c>
      <c r="D14617" s="3" t="inlineStr">
        <is>
          <t>4350/000</t>
        </is>
      </c>
      <c r="E14617" s="3" t="inlineStr">
        <is>
          <t>Repairs and Maintenance - Southwark Units</t>
        </is>
      </c>
      <c r="F14617" s="3" t="n">
        <v>0</v>
      </c>
      <c r="G14617" s="3" t="n">
        <v>2350</v>
      </c>
    </row>
    <row r="14618">
      <c r="A14618" s="3" t="inlineStr">
        <is>
          <t>Endulini (Pty) Ltd</t>
        </is>
      </c>
      <c r="B14618" s="4" t="n">
        <v>45107</v>
      </c>
      <c r="C14618" s="3" t="inlineStr">
        <is>
          <t>Expenses</t>
        </is>
      </c>
      <c r="D14618" s="3" t="inlineStr">
        <is>
          <t>4351/000</t>
        </is>
      </c>
      <c r="E14618" s="3" t="inlineStr">
        <is>
          <t>Repair &amp; Maintenance - Rentals</t>
        </is>
      </c>
      <c r="F14618" s="3" t="n">
        <v>1521.74</v>
      </c>
      <c r="G14618" s="3" t="n">
        <v>1521.74</v>
      </c>
    </row>
    <row r="14619">
      <c r="A14619" s="3" t="inlineStr">
        <is>
          <t>Noble Shield (Pty) Ltd ta Go Letting</t>
        </is>
      </c>
      <c r="B14619" s="4" t="n">
        <v>45107</v>
      </c>
      <c r="C14619" s="3" t="inlineStr">
        <is>
          <t>Expenses</t>
        </is>
      </c>
      <c r="D14619" s="3" t="inlineStr">
        <is>
          <t>4351/000</t>
        </is>
      </c>
      <c r="E14619" s="3" t="inlineStr">
        <is>
          <t>Repairs _AND_ Maintanence - Rentals</t>
        </is>
      </c>
      <c r="F14619" s="3" t="n">
        <v>67.98999999999999</v>
      </c>
      <c r="G14619" s="3" t="n">
        <v>67.98999999999999</v>
      </c>
    </row>
    <row r="14620">
      <c r="A14620" s="3" t="inlineStr">
        <is>
          <t>Quinate Consulting (Pty) Ltd</t>
        </is>
      </c>
      <c r="B14620" s="4" t="n">
        <v>45107</v>
      </c>
      <c r="C14620" s="3" t="inlineStr">
        <is>
          <t>Expenses</t>
        </is>
      </c>
      <c r="D14620" s="3" t="inlineStr">
        <is>
          <t>4351/100</t>
        </is>
      </c>
      <c r="E14620" s="3" t="inlineStr">
        <is>
          <t>Repairs and Maintenance -  Soho Units</t>
        </is>
      </c>
      <c r="F14620" s="3" t="n">
        <v>0</v>
      </c>
      <c r="G14620" s="3" t="n">
        <v>2400</v>
      </c>
    </row>
    <row r="14621">
      <c r="A14621" s="3" t="inlineStr">
        <is>
          <t>Opportunity Global Sales (PTY) LTD</t>
        </is>
      </c>
      <c r="B14621" s="4" t="n">
        <v>45107</v>
      </c>
      <c r="C14621" s="3" t="inlineStr">
        <is>
          <t>Expenses</t>
        </is>
      </c>
      <c r="D14621" s="3" t="inlineStr">
        <is>
          <t>4390/000</t>
        </is>
      </c>
      <c r="E14621" s="3" t="inlineStr">
        <is>
          <t>Small Assets</t>
        </is>
      </c>
      <c r="F14621" s="3" t="n">
        <v>0</v>
      </c>
      <c r="G14621" s="3" t="n">
        <v>1477.39</v>
      </c>
    </row>
    <row r="14622">
      <c r="A14622" s="3" t="inlineStr">
        <is>
          <t>Opportunity Management Holdings (PTY) LTD</t>
        </is>
      </c>
      <c r="B14622" s="4" t="n">
        <v>45107</v>
      </c>
      <c r="C14622" s="3" t="inlineStr">
        <is>
          <t>Expenses</t>
        </is>
      </c>
      <c r="D14622" s="3" t="inlineStr">
        <is>
          <t>4390/000</t>
        </is>
      </c>
      <c r="E14622" s="3" t="inlineStr">
        <is>
          <t>Small Assets</t>
        </is>
      </c>
      <c r="F14622" s="3" t="n">
        <v>2574.78</v>
      </c>
      <c r="G14622" s="3" t="n">
        <v>27383.47</v>
      </c>
    </row>
    <row r="14623">
      <c r="A14623" s="3" t="inlineStr">
        <is>
          <t>Noble Shield (Pty) Ltd ta Go Letting</t>
        </is>
      </c>
      <c r="B14623" s="4" t="n">
        <v>45107</v>
      </c>
      <c r="C14623" s="3" t="inlineStr">
        <is>
          <t>Expenses</t>
        </is>
      </c>
      <c r="D14623" s="3" t="inlineStr">
        <is>
          <t>4400/000</t>
        </is>
      </c>
      <c r="E14623" s="3" t="inlineStr">
        <is>
          <t>Salaries _AND_ Wages</t>
        </is>
      </c>
      <c r="F14623" s="3" t="n">
        <v>26915.7</v>
      </c>
      <c r="G14623" s="3" t="n">
        <v>268752.02</v>
      </c>
    </row>
    <row r="14624">
      <c r="A14624" s="3" t="inlineStr">
        <is>
          <t>Opportunity Global Sales (PTY) LTD</t>
        </is>
      </c>
      <c r="B14624" s="4" t="n">
        <v>45107</v>
      </c>
      <c r="C14624" s="3" t="inlineStr">
        <is>
          <t>Expenses</t>
        </is>
      </c>
      <c r="D14624" s="3" t="inlineStr">
        <is>
          <t>4400/000</t>
        </is>
      </c>
      <c r="E14624" s="3" t="inlineStr">
        <is>
          <t>Salaries _AND_ Wages</t>
        </is>
      </c>
      <c r="F14624" s="3" t="n">
        <v>54267.05</v>
      </c>
      <c r="G14624" s="3" t="n">
        <v>216468.19</v>
      </c>
    </row>
    <row r="14625">
      <c r="A14625" s="3" t="inlineStr">
        <is>
          <t>Opportunity Management Holdings (PTY) LTD</t>
        </is>
      </c>
      <c r="B14625" s="4" t="n">
        <v>45107</v>
      </c>
      <c r="C14625" s="3" t="inlineStr">
        <is>
          <t>Expenses</t>
        </is>
      </c>
      <c r="D14625" s="3" t="inlineStr">
        <is>
          <t>4400/000</t>
        </is>
      </c>
      <c r="E14625" s="3" t="inlineStr">
        <is>
          <t>Salaries _AND_ Wages</t>
        </is>
      </c>
      <c r="F14625" s="3" t="n">
        <v>217933.1</v>
      </c>
      <c r="G14625" s="3" t="n">
        <v>2538223.65</v>
      </c>
    </row>
    <row r="14626">
      <c r="A14626" s="3" t="inlineStr">
        <is>
          <t>Trademark Holdings (Pty) Ltd</t>
        </is>
      </c>
      <c r="B14626" s="4" t="n">
        <v>45107</v>
      </c>
      <c r="C14626" s="3" t="inlineStr">
        <is>
          <t>Expenses</t>
        </is>
      </c>
      <c r="D14626" s="3" t="inlineStr">
        <is>
          <t>4400/000</t>
        </is>
      </c>
      <c r="E14626" s="3" t="inlineStr">
        <is>
          <t>Salaries _AND_ Wages</t>
        </is>
      </c>
      <c r="F14626" s="3" t="n">
        <v>12429.45</v>
      </c>
      <c r="G14626" s="3" t="n">
        <v>124294.5</v>
      </c>
    </row>
    <row r="14627">
      <c r="A14627" s="3" t="inlineStr">
        <is>
          <t>Trademark Holdings (Pty) Ltd</t>
        </is>
      </c>
      <c r="B14627" s="4" t="n">
        <v>45107</v>
      </c>
      <c r="C14627" s="3" t="inlineStr">
        <is>
          <t>Expenses</t>
        </is>
      </c>
      <c r="D14627" s="3" t="inlineStr">
        <is>
          <t>4410/000</t>
        </is>
      </c>
      <c r="E14627" s="3" t="inlineStr">
        <is>
          <t>Salaries _AND_ Wages - WCA</t>
        </is>
      </c>
      <c r="F14627" s="3" t="n">
        <v>0</v>
      </c>
      <c r="G14627" s="3" t="n">
        <v>1397.74</v>
      </c>
    </row>
    <row r="14628">
      <c r="A14628" s="3" t="inlineStr">
        <is>
          <t>Opportunity Global Investment (PTY) LTD</t>
        </is>
      </c>
      <c r="B14628" s="4" t="n">
        <v>45107</v>
      </c>
      <c r="C14628" s="3" t="inlineStr">
        <is>
          <t>Expenses</t>
        </is>
      </c>
      <c r="D14628" s="3" t="inlineStr">
        <is>
          <t>4450/000</t>
        </is>
      </c>
      <c r="E14628" s="3" t="inlineStr">
        <is>
          <t>Staff Training</t>
        </is>
      </c>
      <c r="F14628" s="3" t="n">
        <v>0</v>
      </c>
      <c r="G14628" s="3" t="n">
        <v>5495.66</v>
      </c>
    </row>
    <row r="14629">
      <c r="A14629" s="3" t="inlineStr">
        <is>
          <t>Opportunity Management Holdings (PTY) LTD</t>
        </is>
      </c>
      <c r="B14629" s="4" t="n">
        <v>45107</v>
      </c>
      <c r="C14629" s="3" t="inlineStr">
        <is>
          <t>Expenses</t>
        </is>
      </c>
      <c r="D14629" s="3" t="inlineStr">
        <is>
          <t>4450/000</t>
        </is>
      </c>
      <c r="E14629" s="3" t="inlineStr">
        <is>
          <t>Staff Training</t>
        </is>
      </c>
      <c r="F14629" s="3" t="n">
        <v>0</v>
      </c>
      <c r="G14629" s="3" t="n">
        <v>2001.78</v>
      </c>
    </row>
    <row r="14630">
      <c r="A14630" s="3" t="inlineStr">
        <is>
          <t>Noble Shield (Pty) Ltd ta Go Letting</t>
        </is>
      </c>
      <c r="B14630" s="4" t="n">
        <v>45107</v>
      </c>
      <c r="C14630" s="3" t="inlineStr">
        <is>
          <t>Expenses</t>
        </is>
      </c>
      <c r="D14630" s="3" t="inlineStr">
        <is>
          <t>4500/000</t>
        </is>
      </c>
      <c r="E14630" s="3" t="inlineStr">
        <is>
          <t>Staff Welfare</t>
        </is>
      </c>
      <c r="F14630" s="3" t="n">
        <v>53.98</v>
      </c>
      <c r="G14630" s="3" t="n">
        <v>6697.18</v>
      </c>
    </row>
    <row r="14631">
      <c r="A14631" s="3" t="inlineStr">
        <is>
          <t>Opportunity Global Investment (PTY) LTD</t>
        </is>
      </c>
      <c r="B14631" s="4" t="n">
        <v>45107</v>
      </c>
      <c r="C14631" s="3" t="inlineStr">
        <is>
          <t>Expenses</t>
        </is>
      </c>
      <c r="D14631" s="3" t="inlineStr">
        <is>
          <t>4500/000</t>
        </is>
      </c>
      <c r="E14631" s="3" t="inlineStr">
        <is>
          <t>Staff Welfare</t>
        </is>
      </c>
      <c r="F14631" s="3" t="n">
        <v>0</v>
      </c>
      <c r="G14631" s="3" t="n">
        <v>244.15</v>
      </c>
    </row>
    <row r="14632">
      <c r="A14632" s="3" t="inlineStr">
        <is>
          <t>Opportunity Global Sales (PTY) LTD</t>
        </is>
      </c>
      <c r="B14632" s="4" t="n">
        <v>45107</v>
      </c>
      <c r="C14632" s="3" t="inlineStr">
        <is>
          <t>Expenses</t>
        </is>
      </c>
      <c r="D14632" s="3" t="inlineStr">
        <is>
          <t>4500/000</t>
        </is>
      </c>
      <c r="E14632" s="3" t="inlineStr">
        <is>
          <t>Staff Welfare</t>
        </is>
      </c>
      <c r="F14632" s="3" t="n">
        <v>1050</v>
      </c>
      <c r="G14632" s="3" t="n">
        <v>1142.17</v>
      </c>
    </row>
    <row r="14633">
      <c r="A14633" s="3" t="inlineStr">
        <is>
          <t>Opportunity Management Holdings (PTY) LTD</t>
        </is>
      </c>
      <c r="B14633" s="4" t="n">
        <v>45107</v>
      </c>
      <c r="C14633" s="3" t="inlineStr">
        <is>
          <t>Expenses</t>
        </is>
      </c>
      <c r="D14633" s="3" t="inlineStr">
        <is>
          <t>4500/000</t>
        </is>
      </c>
      <c r="E14633" s="3" t="inlineStr">
        <is>
          <t>Staff Welfare</t>
        </is>
      </c>
      <c r="F14633" s="3" t="n">
        <v>161.96</v>
      </c>
      <c r="G14633" s="3" t="n">
        <v>60919.89</v>
      </c>
    </row>
    <row r="14634">
      <c r="A14634" s="3" t="inlineStr">
        <is>
          <t>Quinate Consulting (Pty) Ltd</t>
        </is>
      </c>
      <c r="B14634" s="4" t="n">
        <v>45107</v>
      </c>
      <c r="C14634" s="3" t="inlineStr">
        <is>
          <t>Expenses</t>
        </is>
      </c>
      <c r="D14634" s="3" t="inlineStr">
        <is>
          <t>4500/000</t>
        </is>
      </c>
      <c r="E14634" s="3" t="inlineStr">
        <is>
          <t>Staff Welfare</t>
        </is>
      </c>
      <c r="F14634" s="3" t="n">
        <v>0</v>
      </c>
      <c r="G14634" s="3" t="n">
        <v>1263</v>
      </c>
    </row>
    <row r="14635">
      <c r="A14635" s="3" t="inlineStr">
        <is>
          <t>Trademark Holdings (Pty) Ltd</t>
        </is>
      </c>
      <c r="B14635" s="4" t="n">
        <v>45107</v>
      </c>
      <c r="C14635" s="3" t="inlineStr">
        <is>
          <t>Expenses</t>
        </is>
      </c>
      <c r="D14635" s="3" t="inlineStr">
        <is>
          <t>4500/000</t>
        </is>
      </c>
      <c r="E14635" s="3" t="inlineStr">
        <is>
          <t>Staff Welfare _AND_ Refreshments</t>
        </is>
      </c>
      <c r="F14635" s="3" t="n">
        <v>0</v>
      </c>
      <c r="G14635" s="3" t="n">
        <v>4500</v>
      </c>
    </row>
    <row r="14636">
      <c r="A14636" s="3" t="inlineStr">
        <is>
          <t>Noble Shield (Pty) Ltd ta Go Letting</t>
        </is>
      </c>
      <c r="B14636" s="4" t="n">
        <v>45107</v>
      </c>
      <c r="C14636" s="3" t="inlineStr">
        <is>
          <t>Expenses</t>
        </is>
      </c>
      <c r="D14636" s="3" t="inlineStr">
        <is>
          <t>4520/000</t>
        </is>
      </c>
      <c r="E14636" s="3" t="inlineStr">
        <is>
          <t>Security</t>
        </is>
      </c>
      <c r="F14636" s="3" t="n">
        <v>815</v>
      </c>
      <c r="G14636" s="3" t="n">
        <v>8886.440000000001</v>
      </c>
    </row>
    <row r="14637">
      <c r="A14637" s="3" t="inlineStr">
        <is>
          <t>Quinate Consulting (Pty) Ltd</t>
        </is>
      </c>
      <c r="B14637" s="4" t="n">
        <v>45107</v>
      </c>
      <c r="C14637" s="3" t="inlineStr">
        <is>
          <t>Expenses</t>
        </is>
      </c>
      <c r="D14637" s="3" t="inlineStr">
        <is>
          <t>4550/000</t>
        </is>
      </c>
      <c r="E14637" s="3" t="inlineStr">
        <is>
          <t>Subscriptions / Licenses</t>
        </is>
      </c>
      <c r="F14637" s="3" t="n">
        <v>0</v>
      </c>
      <c r="G14637" s="3" t="n">
        <v>23324.58</v>
      </c>
    </row>
    <row r="14638">
      <c r="A14638" s="3" t="inlineStr">
        <is>
          <t>Opportunity Management Holdings (PTY) LTD</t>
        </is>
      </c>
      <c r="B14638" s="4" t="n">
        <v>45107</v>
      </c>
      <c r="C14638" s="3" t="inlineStr">
        <is>
          <t>Expenses</t>
        </is>
      </c>
      <c r="D14638" s="3" t="inlineStr">
        <is>
          <t>4550/000</t>
        </is>
      </c>
      <c r="E14638" s="3" t="inlineStr">
        <is>
          <t>Subscriptions _AND_ Lisences</t>
        </is>
      </c>
      <c r="F14638" s="3" t="n">
        <v>3903.76</v>
      </c>
      <c r="G14638" s="3" t="n">
        <v>45403.11</v>
      </c>
    </row>
    <row r="14639">
      <c r="A14639" s="3" t="inlineStr">
        <is>
          <t>Noble Shield (Pty) Ltd ta Go Letting</t>
        </is>
      </c>
      <c r="B14639" s="4" t="n">
        <v>45107</v>
      </c>
      <c r="C14639" s="3" t="inlineStr">
        <is>
          <t>Expenses</t>
        </is>
      </c>
      <c r="D14639" s="3" t="inlineStr">
        <is>
          <t>4550/100</t>
        </is>
      </c>
      <c r="E14639" s="3" t="inlineStr">
        <is>
          <t>Subscriptions - EAAB</t>
        </is>
      </c>
      <c r="F14639" s="3" t="n">
        <v>0</v>
      </c>
      <c r="G14639" s="3" t="n">
        <v>2340</v>
      </c>
    </row>
    <row r="14640">
      <c r="A14640" s="3" t="inlineStr">
        <is>
          <t>Trademark Holdings (Pty) Ltd</t>
        </is>
      </c>
      <c r="B14640" s="4" t="n">
        <v>45107</v>
      </c>
      <c r="C14640" s="3" t="inlineStr">
        <is>
          <t>Expenses</t>
        </is>
      </c>
      <c r="D14640" s="3" t="inlineStr">
        <is>
          <t>4550/100</t>
        </is>
      </c>
      <c r="E14640" s="3" t="inlineStr">
        <is>
          <t>Subscriptions - EAAB</t>
        </is>
      </c>
      <c r="F14640" s="3" t="n">
        <v>0</v>
      </c>
      <c r="G14640" s="3" t="n">
        <v>2340</v>
      </c>
    </row>
    <row r="14641">
      <c r="A14641" s="3" t="inlineStr">
        <is>
          <t>Opportunity Global Investment (PTY) LTD</t>
        </is>
      </c>
      <c r="B14641" s="4" t="n">
        <v>45107</v>
      </c>
      <c r="C14641" s="3" t="inlineStr">
        <is>
          <t>Expenses</t>
        </is>
      </c>
      <c r="D14641" s="3" t="inlineStr">
        <is>
          <t>4550/100</t>
        </is>
      </c>
      <c r="E14641" s="3" t="inlineStr">
        <is>
          <t>Subscriptions - Zoho</t>
        </is>
      </c>
      <c r="F14641" s="3" t="n">
        <v>1125</v>
      </c>
      <c r="G14641" s="3" t="n">
        <v>4500</v>
      </c>
    </row>
    <row r="14642">
      <c r="A14642" s="3" t="inlineStr">
        <is>
          <t>Opportunity Global Sales (PTY) LTD</t>
        </is>
      </c>
      <c r="B14642" s="4" t="n">
        <v>45107</v>
      </c>
      <c r="C14642" s="3" t="inlineStr">
        <is>
          <t>Expenses</t>
        </is>
      </c>
      <c r="D14642" s="3" t="inlineStr">
        <is>
          <t>4550/150</t>
        </is>
      </c>
      <c r="E14642" s="3" t="inlineStr">
        <is>
          <t>Subscription - Webbox</t>
        </is>
      </c>
      <c r="F14642" s="3" t="n">
        <v>1371</v>
      </c>
      <c r="G14642" s="3" t="n">
        <v>5372</v>
      </c>
    </row>
    <row r="14643">
      <c r="A14643" s="3" t="inlineStr">
        <is>
          <t>Opportunity Global Investment (PTY) LTD</t>
        </is>
      </c>
      <c r="B14643" s="4" t="n">
        <v>45107</v>
      </c>
      <c r="C14643" s="3" t="inlineStr">
        <is>
          <t>Expenses</t>
        </is>
      </c>
      <c r="D14643" s="3" t="inlineStr">
        <is>
          <t>4550/250</t>
        </is>
      </c>
      <c r="E14643" s="3" t="inlineStr">
        <is>
          <t>Subscriptions - LinkedIn</t>
        </is>
      </c>
      <c r="F14643" s="3" t="n">
        <v>1000.49</v>
      </c>
      <c r="G14643" s="3" t="n">
        <v>5002.45</v>
      </c>
    </row>
    <row r="14644">
      <c r="A14644" s="3" t="inlineStr">
        <is>
          <t>Opportunity Global Investment (PTY) LTD</t>
        </is>
      </c>
      <c r="B14644" s="4" t="n">
        <v>45107</v>
      </c>
      <c r="C14644" s="3" t="inlineStr">
        <is>
          <t>Expenses</t>
        </is>
      </c>
      <c r="D14644" s="3" t="inlineStr">
        <is>
          <t>4550/350</t>
        </is>
      </c>
      <c r="E14644" s="3" t="inlineStr">
        <is>
          <t>Subscriptions - Xero</t>
        </is>
      </c>
      <c r="F14644" s="3" t="n">
        <v>600</v>
      </c>
      <c r="G14644" s="3" t="n">
        <v>2400</v>
      </c>
    </row>
    <row r="14645">
      <c r="A14645" s="3" t="inlineStr">
        <is>
          <t>Opportunity Global Investment (PTY) LTD</t>
        </is>
      </c>
      <c r="B14645" s="4" t="n">
        <v>45107</v>
      </c>
      <c r="C14645" s="3" t="inlineStr">
        <is>
          <t>Expenses</t>
        </is>
      </c>
      <c r="D14645" s="3" t="inlineStr">
        <is>
          <t>4550/400</t>
        </is>
      </c>
      <c r="E14645" s="3" t="inlineStr">
        <is>
          <t>Subscriptions - Moneyweb</t>
        </is>
      </c>
      <c r="F14645" s="3" t="n">
        <v>60.87</v>
      </c>
      <c r="G14645" s="3" t="n">
        <v>231.3</v>
      </c>
    </row>
    <row r="14646">
      <c r="A14646" s="3" t="inlineStr">
        <is>
          <t>Trademark Holdings (Pty) Ltd</t>
        </is>
      </c>
      <c r="B14646" s="4" t="n">
        <v>45107</v>
      </c>
      <c r="C14646" s="3" t="inlineStr">
        <is>
          <t>Expenses</t>
        </is>
      </c>
      <c r="D14646" s="3" t="inlineStr">
        <is>
          <t>4550/400</t>
        </is>
      </c>
      <c r="E14646" s="3" t="inlineStr">
        <is>
          <t>Subscriptions - Xero</t>
        </is>
      </c>
      <c r="F14646" s="3" t="n">
        <v>600</v>
      </c>
      <c r="G14646" s="3" t="n">
        <v>6000</v>
      </c>
    </row>
    <row r="14647">
      <c r="A14647" s="3" t="inlineStr">
        <is>
          <t>Opportunity Global Investment (PTY) LTD</t>
        </is>
      </c>
      <c r="B14647" s="4" t="n">
        <v>45107</v>
      </c>
      <c r="C14647" s="3" t="inlineStr">
        <is>
          <t>Expenses</t>
        </is>
      </c>
      <c r="D14647" s="3" t="inlineStr">
        <is>
          <t>4550/450</t>
        </is>
      </c>
      <c r="E14647" s="3" t="inlineStr">
        <is>
          <t>Subscriptions - Adobe</t>
        </is>
      </c>
      <c r="F14647" s="3" t="n">
        <v>600.05</v>
      </c>
      <c r="G14647" s="3" t="n">
        <v>2408.82</v>
      </c>
    </row>
    <row r="14648">
      <c r="A14648" s="3" t="inlineStr">
        <is>
          <t>Opportunity Global Investment (PTY) LTD</t>
        </is>
      </c>
      <c r="B14648" s="4" t="n">
        <v>45107</v>
      </c>
      <c r="C14648" s="3" t="inlineStr">
        <is>
          <t>Expenses</t>
        </is>
      </c>
      <c r="D14648" s="3" t="inlineStr">
        <is>
          <t>4550/500</t>
        </is>
      </c>
      <c r="E14648" s="3" t="inlineStr">
        <is>
          <t>Subscriptions - Pandadoc</t>
        </is>
      </c>
      <c r="F14648" s="3" t="n">
        <v>565.5700000000001</v>
      </c>
      <c r="G14648" s="3" t="n">
        <v>2206.52</v>
      </c>
    </row>
    <row r="14649">
      <c r="A14649" s="3" t="inlineStr">
        <is>
          <t>Noble Shield (Pty) Ltd ta Go Letting</t>
        </is>
      </c>
      <c r="B14649" s="4" t="n">
        <v>45107</v>
      </c>
      <c r="C14649" s="3" t="inlineStr">
        <is>
          <t>Expenses</t>
        </is>
      </c>
      <c r="D14649" s="3" t="inlineStr">
        <is>
          <t>4550/600</t>
        </is>
      </c>
      <c r="E14649" s="3" t="inlineStr">
        <is>
          <t>Subscriptions - Webbox</t>
        </is>
      </c>
      <c r="F14649" s="3" t="n">
        <v>1450.15</v>
      </c>
      <c r="G14649" s="3" t="n">
        <v>13652.8</v>
      </c>
    </row>
    <row r="14650">
      <c r="A14650" s="3" t="inlineStr">
        <is>
          <t>Noble Shield (Pty) Ltd ta Go Letting</t>
        </is>
      </c>
      <c r="B14650" s="4" t="n">
        <v>45107</v>
      </c>
      <c r="C14650" s="3" t="inlineStr">
        <is>
          <t>Expenses</t>
        </is>
      </c>
      <c r="D14650" s="3" t="inlineStr">
        <is>
          <t>4550/650</t>
        </is>
      </c>
      <c r="E14650" s="3" t="inlineStr">
        <is>
          <t>Subscriptions - Xero</t>
        </is>
      </c>
      <c r="F14650" s="3" t="n">
        <v>600</v>
      </c>
      <c r="G14650" s="3" t="n">
        <v>6000</v>
      </c>
    </row>
    <row r="14651">
      <c r="A14651" s="3" t="inlineStr">
        <is>
          <t>Noble Shield (Pty) Ltd ta Go Letting</t>
        </is>
      </c>
      <c r="B14651" s="4" t="n">
        <v>45107</v>
      </c>
      <c r="C14651" s="3" t="inlineStr">
        <is>
          <t>Expenses</t>
        </is>
      </c>
      <c r="D14651" s="3" t="inlineStr">
        <is>
          <t>4550/700</t>
        </is>
      </c>
      <c r="E14651" s="3" t="inlineStr">
        <is>
          <t>Subscriptions - Domain renewals</t>
        </is>
      </c>
      <c r="F14651" s="3" t="n">
        <v>0</v>
      </c>
      <c r="G14651" s="3" t="n">
        <v>440.45</v>
      </c>
    </row>
    <row r="14652">
      <c r="A14652" s="3" t="inlineStr">
        <is>
          <t>Noble Shield (Pty) Ltd ta Go Letting</t>
        </is>
      </c>
      <c r="B14652" s="4" t="n">
        <v>45107</v>
      </c>
      <c r="C14652" s="3" t="inlineStr">
        <is>
          <t>Expenses</t>
        </is>
      </c>
      <c r="D14652" s="3" t="inlineStr">
        <is>
          <t>4550/800</t>
        </is>
      </c>
      <c r="E14652" s="3" t="inlineStr">
        <is>
          <t>Subscriptions - Adobe</t>
        </is>
      </c>
      <c r="F14652" s="3" t="n">
        <v>454.13</v>
      </c>
      <c r="G14652" s="3" t="n">
        <v>3609.36</v>
      </c>
    </row>
    <row r="14653">
      <c r="A14653" s="3" t="inlineStr">
        <is>
          <t>Opportunity Global Sales (PTY) LTD</t>
        </is>
      </c>
      <c r="B14653" s="4" t="n">
        <v>45107</v>
      </c>
      <c r="C14653" s="3" t="inlineStr">
        <is>
          <t>Expenses</t>
        </is>
      </c>
      <c r="D14653" s="3" t="inlineStr">
        <is>
          <t>4551/000</t>
        </is>
      </c>
      <c r="E14653" s="3" t="inlineStr">
        <is>
          <t>Subscriptions - Payprop</t>
        </is>
      </c>
      <c r="F14653" s="3" t="n">
        <v>0</v>
      </c>
      <c r="G14653" s="3" t="n">
        <v>3316.77</v>
      </c>
    </row>
    <row r="14654">
      <c r="A14654" s="3" t="inlineStr">
        <is>
          <t>Endulini (Pty) Ltd</t>
        </is>
      </c>
      <c r="B14654" s="4" t="n">
        <v>45107</v>
      </c>
      <c r="C14654" s="3" t="inlineStr">
        <is>
          <t>Expenses</t>
        </is>
      </c>
      <c r="D14654" s="3" t="inlineStr">
        <is>
          <t>4552/000</t>
        </is>
      </c>
      <c r="E14654" s="3" t="inlineStr">
        <is>
          <t>Subscriptions - Xero</t>
        </is>
      </c>
      <c r="F14654" s="3" t="n">
        <v>600</v>
      </c>
      <c r="G14654" s="3" t="n">
        <v>2400</v>
      </c>
    </row>
    <row r="14655">
      <c r="A14655" s="3" t="inlineStr">
        <is>
          <t>Opportunity Global Sales (PTY) LTD</t>
        </is>
      </c>
      <c r="B14655" s="4" t="n">
        <v>45107</v>
      </c>
      <c r="C14655" s="3" t="inlineStr">
        <is>
          <t>Expenses</t>
        </is>
      </c>
      <c r="D14655" s="3" t="inlineStr">
        <is>
          <t>4552/000</t>
        </is>
      </c>
      <c r="E14655" s="3" t="inlineStr">
        <is>
          <t>Subscriptions - Xero</t>
        </is>
      </c>
      <c r="F14655" s="3" t="n">
        <v>600</v>
      </c>
      <c r="G14655" s="3" t="n">
        <v>2400</v>
      </c>
    </row>
    <row r="14656">
      <c r="A14656" s="3" t="inlineStr">
        <is>
          <t>Opportunity Management Holdings (PTY) LTD</t>
        </is>
      </c>
      <c r="B14656" s="4" t="n">
        <v>45107</v>
      </c>
      <c r="C14656" s="3" t="inlineStr">
        <is>
          <t>Expenses</t>
        </is>
      </c>
      <c r="D14656" s="3" t="inlineStr">
        <is>
          <t>4552/000</t>
        </is>
      </c>
      <c r="E14656" s="3" t="inlineStr">
        <is>
          <t>Subscriptions - Xero</t>
        </is>
      </c>
      <c r="F14656" s="3" t="n">
        <v>600</v>
      </c>
      <c r="G14656" s="3" t="n">
        <v>6000</v>
      </c>
    </row>
    <row r="14657">
      <c r="A14657" s="3" t="inlineStr">
        <is>
          <t>Opportunity Global Sales (PTY) LTD</t>
        </is>
      </c>
      <c r="B14657" s="4" t="n">
        <v>45107</v>
      </c>
      <c r="C14657" s="3" t="inlineStr">
        <is>
          <t>Expenses</t>
        </is>
      </c>
      <c r="D14657" s="3" t="inlineStr">
        <is>
          <t>4553/000</t>
        </is>
      </c>
      <c r="E14657" s="3" t="inlineStr">
        <is>
          <t>Subscriptions - CMA</t>
        </is>
      </c>
      <c r="F14657" s="3" t="n">
        <v>680</v>
      </c>
      <c r="G14657" s="3" t="n">
        <v>2720</v>
      </c>
    </row>
    <row r="14658">
      <c r="A14658" s="3" t="inlineStr">
        <is>
          <t>Quinate Consulting (Pty) Ltd</t>
        </is>
      </c>
      <c r="B14658" s="4" t="n">
        <v>45107</v>
      </c>
      <c r="C14658" s="3" t="inlineStr">
        <is>
          <t>Expenses</t>
        </is>
      </c>
      <c r="D14658" s="3" t="inlineStr">
        <is>
          <t>4554/000</t>
        </is>
      </c>
      <c r="E14658" s="3" t="inlineStr">
        <is>
          <t>Subscriptions - Xero</t>
        </is>
      </c>
      <c r="F14658" s="3" t="n">
        <v>600</v>
      </c>
      <c r="G14658" s="3" t="n">
        <v>2400</v>
      </c>
    </row>
    <row r="14659">
      <c r="A14659" s="3" t="inlineStr">
        <is>
          <t>Opportunity Global Sales (PTY) LTD</t>
        </is>
      </c>
      <c r="B14659" s="4" t="n">
        <v>45107</v>
      </c>
      <c r="C14659" s="3" t="inlineStr">
        <is>
          <t>Expenses</t>
        </is>
      </c>
      <c r="D14659" s="3" t="inlineStr">
        <is>
          <t>4554/000</t>
        </is>
      </c>
      <c r="E14659" s="3" t="inlineStr">
        <is>
          <t>Subscriptions - Zoho</t>
        </is>
      </c>
      <c r="F14659" s="3" t="n">
        <v>750</v>
      </c>
      <c r="G14659" s="3" t="n">
        <v>3000</v>
      </c>
    </row>
    <row r="14660">
      <c r="A14660" s="3" t="inlineStr">
        <is>
          <t>Quinate Consulting (Pty) Ltd</t>
        </is>
      </c>
      <c r="B14660" s="4" t="n">
        <v>45107</v>
      </c>
      <c r="C14660" s="3" t="inlineStr">
        <is>
          <t>Expenses</t>
        </is>
      </c>
      <c r="D14660" s="3" t="inlineStr">
        <is>
          <t>4555/000</t>
        </is>
      </c>
      <c r="E14660" s="3" t="inlineStr">
        <is>
          <t>Subscriptions - OUMS</t>
        </is>
      </c>
      <c r="F14660" s="3" t="n">
        <v>7636.17</v>
      </c>
      <c r="G14660" s="3" t="n">
        <v>30544.68</v>
      </c>
    </row>
    <row r="14661">
      <c r="A14661" s="3" t="inlineStr">
        <is>
          <t>Opportunity Global Investment (PTY) LTD</t>
        </is>
      </c>
      <c r="B14661" s="4" t="n">
        <v>45107</v>
      </c>
      <c r="C14661" s="3" t="inlineStr">
        <is>
          <t>Expenses</t>
        </is>
      </c>
      <c r="D14661" s="3" t="inlineStr">
        <is>
          <t>4600/000</t>
        </is>
      </c>
      <c r="E14661" s="3" t="inlineStr">
        <is>
          <t>Telephone _AND_ Fax</t>
        </is>
      </c>
      <c r="F14661" s="3" t="n">
        <v>3355</v>
      </c>
      <c r="G14661" s="3" t="n">
        <v>13420</v>
      </c>
    </row>
    <row r="14662">
      <c r="A14662" s="3" t="inlineStr">
        <is>
          <t>Trademark Holdings (Pty) Ltd</t>
        </is>
      </c>
      <c r="B14662" s="4" t="n">
        <v>45107</v>
      </c>
      <c r="C14662" s="3" t="inlineStr">
        <is>
          <t>Expenses</t>
        </is>
      </c>
      <c r="D14662" s="3" t="inlineStr">
        <is>
          <t>4600/000</t>
        </is>
      </c>
      <c r="E14662" s="3" t="inlineStr">
        <is>
          <t>Telephone _AND_ Fax</t>
        </is>
      </c>
      <c r="F14662" s="3" t="n">
        <v>1182.7</v>
      </c>
      <c r="G14662" s="3" t="n">
        <v>13054.96</v>
      </c>
    </row>
    <row r="14663">
      <c r="A14663" s="3" t="inlineStr">
        <is>
          <t>Noble Shield (Pty) Ltd ta Go Letting</t>
        </is>
      </c>
      <c r="B14663" s="4" t="n">
        <v>45107</v>
      </c>
      <c r="C14663" s="3" t="inlineStr">
        <is>
          <t>Expenses</t>
        </is>
      </c>
      <c r="D14663" s="3" t="inlineStr">
        <is>
          <t>4610/000</t>
        </is>
      </c>
      <c r="E14663" s="3" t="inlineStr">
        <is>
          <t>Telephone - CT Office</t>
        </is>
      </c>
      <c r="F14663" s="3" t="n">
        <v>776.8099999999999</v>
      </c>
      <c r="G14663" s="3" t="n">
        <v>9824.99</v>
      </c>
    </row>
    <row r="14664">
      <c r="A14664" s="3" t="inlineStr">
        <is>
          <t>Noble Shield (Pty) Ltd ta Go Letting</t>
        </is>
      </c>
      <c r="B14664" s="4" t="n">
        <v>45107</v>
      </c>
      <c r="C14664" s="3" t="inlineStr">
        <is>
          <t>Expenses</t>
        </is>
      </c>
      <c r="D14664" s="3" t="inlineStr">
        <is>
          <t>4650/000</t>
        </is>
      </c>
      <c r="E14664" s="3" t="inlineStr">
        <is>
          <t>Travel _AND_ Accommodation</t>
        </is>
      </c>
      <c r="F14664" s="3" t="n">
        <v>0</v>
      </c>
      <c r="G14664" s="3" t="n">
        <v>500</v>
      </c>
    </row>
    <row r="14665">
      <c r="A14665" s="3" t="inlineStr">
        <is>
          <t>Opportunity Management Holdings (PTY) LTD</t>
        </is>
      </c>
      <c r="B14665" s="4" t="n">
        <v>45107</v>
      </c>
      <c r="C14665" s="3" t="inlineStr">
        <is>
          <t>Expenses</t>
        </is>
      </c>
      <c r="D14665" s="3" t="inlineStr">
        <is>
          <t>4650/000</t>
        </is>
      </c>
      <c r="E14665" s="3" t="inlineStr">
        <is>
          <t>Travel _AND_ Accommodation</t>
        </is>
      </c>
      <c r="F14665" s="3" t="n">
        <v>0</v>
      </c>
      <c r="G14665" s="3" t="n">
        <v>1132.44</v>
      </c>
    </row>
    <row r="14666">
      <c r="A14666" s="3" t="inlineStr">
        <is>
          <t>Quinate Consulting (Pty) Ltd</t>
        </is>
      </c>
      <c r="B14666" s="4" t="n">
        <v>45107</v>
      </c>
      <c r="C14666" s="3" t="inlineStr">
        <is>
          <t>Expenses</t>
        </is>
      </c>
      <c r="D14666" s="3" t="inlineStr">
        <is>
          <t>4650/010</t>
        </is>
      </c>
      <c r="E14666" s="3" t="inlineStr">
        <is>
          <t>Travel - Local Flights</t>
        </is>
      </c>
      <c r="F14666" s="3" t="n">
        <v>0</v>
      </c>
      <c r="G14666" s="3" t="n">
        <v>6253.04</v>
      </c>
    </row>
    <row r="14667">
      <c r="A14667" s="3" t="inlineStr">
        <is>
          <t>Quinate Consulting (Pty) Ltd</t>
        </is>
      </c>
      <c r="B14667" s="4" t="n">
        <v>45107</v>
      </c>
      <c r="C14667" s="3" t="inlineStr">
        <is>
          <t>Expenses</t>
        </is>
      </c>
      <c r="D14667" s="3" t="inlineStr">
        <is>
          <t>4650/020</t>
        </is>
      </c>
      <c r="E14667" s="3" t="inlineStr">
        <is>
          <t>Travel - Local Accomodation - B_AND_B</t>
        </is>
      </c>
      <c r="F14667" s="3" t="n">
        <v>0</v>
      </c>
      <c r="G14667" s="3" t="n">
        <v>6998.26</v>
      </c>
    </row>
    <row r="14668">
      <c r="A14668" s="3" t="inlineStr">
        <is>
          <t>Opportunity Global Investment (PTY) LTD</t>
        </is>
      </c>
      <c r="B14668" s="4" t="n">
        <v>45107</v>
      </c>
      <c r="C14668" s="3" t="inlineStr">
        <is>
          <t>Expenses</t>
        </is>
      </c>
      <c r="D14668" s="3" t="inlineStr">
        <is>
          <t>4650/020</t>
        </is>
      </c>
      <c r="E14668" s="3" t="inlineStr">
        <is>
          <t>Travel Accomodation - Car Hire</t>
        </is>
      </c>
      <c r="F14668" s="3" t="n">
        <v>0</v>
      </c>
      <c r="G14668" s="3" t="n">
        <v>1581.74</v>
      </c>
    </row>
    <row r="14669">
      <c r="A14669" s="3" t="inlineStr">
        <is>
          <t>Opportunity Global Investment (PTY) LTD</t>
        </is>
      </c>
      <c r="B14669" s="4" t="n">
        <v>45107</v>
      </c>
      <c r="C14669" s="3" t="inlineStr">
        <is>
          <t>Expenses</t>
        </is>
      </c>
      <c r="D14669" s="3" t="inlineStr">
        <is>
          <t>4650/030</t>
        </is>
      </c>
      <c r="E14669" s="3" t="inlineStr">
        <is>
          <t>Travel _AND_ Accomodation - Local Accom</t>
        </is>
      </c>
      <c r="F14669" s="3" t="n">
        <v>0</v>
      </c>
      <c r="G14669" s="3" t="n">
        <v>34.78</v>
      </c>
    </row>
    <row r="14670">
      <c r="A14670" s="3" t="inlineStr">
        <is>
          <t>Quinate Consulting (Pty) Ltd</t>
        </is>
      </c>
      <c r="B14670" s="4" t="n">
        <v>45107</v>
      </c>
      <c r="C14670" s="3" t="inlineStr">
        <is>
          <t>Expenses</t>
        </is>
      </c>
      <c r="D14670" s="3" t="inlineStr">
        <is>
          <t>4650/040</t>
        </is>
      </c>
      <c r="E14670" s="3" t="inlineStr">
        <is>
          <t>Travel - Local Car Hire</t>
        </is>
      </c>
      <c r="F14670" s="3" t="n">
        <v>0</v>
      </c>
      <c r="G14670" s="3" t="n">
        <v>510.6</v>
      </c>
    </row>
    <row r="14671">
      <c r="A14671" s="3" t="inlineStr">
        <is>
          <t>Noble Shield (Pty) Ltd ta Go Letting</t>
        </is>
      </c>
      <c r="B14671" s="4" t="n">
        <v>45107</v>
      </c>
      <c r="C14671" s="3" t="inlineStr">
        <is>
          <t>Expenses</t>
        </is>
      </c>
      <c r="D14671" s="3" t="inlineStr">
        <is>
          <t>4650/050</t>
        </is>
      </c>
      <c r="E14671" s="3" t="inlineStr">
        <is>
          <t>Travel - Parking</t>
        </is>
      </c>
      <c r="F14671" s="3" t="n">
        <v>0</v>
      </c>
      <c r="G14671" s="3" t="n">
        <v>16</v>
      </c>
    </row>
    <row r="14672">
      <c r="A14672" s="3" t="inlineStr">
        <is>
          <t>Opportunity Global Investment (PTY) LTD</t>
        </is>
      </c>
      <c r="B14672" s="4" t="n">
        <v>45107</v>
      </c>
      <c r="C14672" s="3" t="inlineStr">
        <is>
          <t>Expenses</t>
        </is>
      </c>
      <c r="D14672" s="3" t="inlineStr">
        <is>
          <t>4650/090</t>
        </is>
      </c>
      <c r="E14672" s="3" t="inlineStr">
        <is>
          <t>Travel &amp; Accom - Fuel</t>
        </is>
      </c>
      <c r="F14672" s="3" t="n">
        <v>969.75</v>
      </c>
      <c r="G14672" s="3" t="n">
        <v>3601.95</v>
      </c>
    </row>
    <row r="14673">
      <c r="A14673" s="3" t="inlineStr">
        <is>
          <t>Noble Shield (Pty) Ltd ta Go Letting</t>
        </is>
      </c>
      <c r="B14673" s="4" t="n">
        <v>45107</v>
      </c>
      <c r="C14673" s="3" t="inlineStr">
        <is>
          <t>Expenses</t>
        </is>
      </c>
      <c r="D14673" s="3" t="inlineStr">
        <is>
          <t>4700/000</t>
        </is>
      </c>
      <c r="E14673" s="3" t="inlineStr">
        <is>
          <t>PAYE Contributions</t>
        </is>
      </c>
      <c r="F14673" s="3" t="n">
        <v>4787.18</v>
      </c>
      <c r="G14673" s="3" t="n">
        <v>47707.36</v>
      </c>
    </row>
    <row r="14674">
      <c r="A14674" s="3" t="inlineStr">
        <is>
          <t>Trademark Holdings (Pty) Ltd</t>
        </is>
      </c>
      <c r="B14674" s="4" t="n">
        <v>45107</v>
      </c>
      <c r="C14674" s="3" t="inlineStr">
        <is>
          <t>Expenses</t>
        </is>
      </c>
      <c r="D14674" s="3" t="inlineStr">
        <is>
          <t>4700/000</t>
        </is>
      </c>
      <c r="E14674" s="3" t="inlineStr">
        <is>
          <t>PAYE Contributions</t>
        </is>
      </c>
      <c r="F14674" s="3" t="n">
        <v>4823.44</v>
      </c>
      <c r="G14674" s="3" t="n">
        <v>50573.51</v>
      </c>
    </row>
    <row r="14675">
      <c r="A14675" s="3" t="inlineStr">
        <is>
          <t>Opportunity Global Investment (PTY) LTD</t>
        </is>
      </c>
      <c r="B14675" s="4" t="n">
        <v>45107</v>
      </c>
      <c r="C14675" s="3" t="inlineStr">
        <is>
          <t>Expenses</t>
        </is>
      </c>
      <c r="D14675" s="3" t="inlineStr">
        <is>
          <t>4700/000</t>
        </is>
      </c>
      <c r="E14675" s="3" t="inlineStr">
        <is>
          <t>UIF Contributions</t>
        </is>
      </c>
      <c r="F14675" s="3" t="n">
        <v>177.12</v>
      </c>
      <c r="G14675" s="3" t="n">
        <v>708.48</v>
      </c>
    </row>
    <row r="14676">
      <c r="A14676" s="3" t="inlineStr">
        <is>
          <t>Opportunity Global Sales (PTY) LTD</t>
        </is>
      </c>
      <c r="B14676" s="4" t="n">
        <v>45107</v>
      </c>
      <c r="C14676" s="3" t="inlineStr">
        <is>
          <t>Expenses</t>
        </is>
      </c>
      <c r="D14676" s="3" t="inlineStr">
        <is>
          <t>4700/000</t>
        </is>
      </c>
      <c r="E14676" s="3" t="inlineStr">
        <is>
          <t>UIF Contributions</t>
        </is>
      </c>
      <c r="F14676" s="3" t="n">
        <v>312.12</v>
      </c>
      <c r="G14676" s="3" t="n">
        <v>1248.48</v>
      </c>
    </row>
    <row r="14677">
      <c r="A14677" s="3" t="inlineStr">
        <is>
          <t>Opportunity Global Sales (PTY) LTD</t>
        </is>
      </c>
      <c r="B14677" s="4" t="n">
        <v>45107</v>
      </c>
      <c r="C14677" s="3" t="inlineStr">
        <is>
          <t>Expenses</t>
        </is>
      </c>
      <c r="D14677" s="3" t="inlineStr">
        <is>
          <t>4701/000</t>
        </is>
      </c>
      <c r="E14677" s="3" t="inlineStr">
        <is>
          <t>UIF Employee Contribution</t>
        </is>
      </c>
      <c r="F14677" s="3" t="n">
        <v>312.12</v>
      </c>
      <c r="G14677" s="3" t="n">
        <v>1248.48</v>
      </c>
    </row>
    <row r="14678">
      <c r="A14678" s="3" t="inlineStr">
        <is>
          <t>Opportunity Global Investment (PTY) LTD</t>
        </is>
      </c>
      <c r="B14678" s="4" t="n">
        <v>45107</v>
      </c>
      <c r="C14678" s="3" t="inlineStr">
        <is>
          <t>Expenses</t>
        </is>
      </c>
      <c r="D14678" s="3" t="inlineStr">
        <is>
          <t>4701/000</t>
        </is>
      </c>
      <c r="E14678" s="3" t="inlineStr">
        <is>
          <t>UIF Employee Contributions</t>
        </is>
      </c>
      <c r="F14678" s="3" t="n">
        <v>177.12</v>
      </c>
      <c r="G14678" s="3" t="n">
        <v>708.48</v>
      </c>
    </row>
    <row r="14679">
      <c r="A14679" s="3" t="inlineStr">
        <is>
          <t>Noble Shield (Pty) Ltd ta Go Letting</t>
        </is>
      </c>
      <c r="B14679" s="4" t="n">
        <v>45107</v>
      </c>
      <c r="C14679" s="3" t="inlineStr">
        <is>
          <t>Expenses</t>
        </is>
      </c>
      <c r="D14679" s="3" t="inlineStr">
        <is>
          <t>4710/000</t>
        </is>
      </c>
      <c r="E14679" s="3" t="inlineStr">
        <is>
          <t>UIF Company Contributions</t>
        </is>
      </c>
      <c r="F14679" s="3" t="n">
        <v>245.25</v>
      </c>
      <c r="G14679" s="3" t="n">
        <v>2452.5</v>
      </c>
    </row>
    <row r="14680">
      <c r="A14680" s="3" t="inlineStr">
        <is>
          <t>Trademark Holdings (Pty) Ltd</t>
        </is>
      </c>
      <c r="B14680" s="4" t="n">
        <v>45107</v>
      </c>
      <c r="C14680" s="3" t="inlineStr">
        <is>
          <t>Expenses</t>
        </is>
      </c>
      <c r="D14680" s="3" t="inlineStr">
        <is>
          <t>4710/000</t>
        </is>
      </c>
      <c r="E14680" s="3" t="inlineStr">
        <is>
          <t>UIF Company Contributions</t>
        </is>
      </c>
      <c r="F14680" s="3" t="n">
        <v>95.25</v>
      </c>
      <c r="G14680" s="3" t="n">
        <v>952.5</v>
      </c>
    </row>
    <row r="14681">
      <c r="A14681" s="3" t="inlineStr">
        <is>
          <t>Noble Shield (Pty) Ltd ta Go Letting</t>
        </is>
      </c>
      <c r="B14681" s="4" t="n">
        <v>45107</v>
      </c>
      <c r="C14681" s="3" t="inlineStr">
        <is>
          <t>Expenses</t>
        </is>
      </c>
      <c r="D14681" s="3" t="inlineStr">
        <is>
          <t>4711/000</t>
        </is>
      </c>
      <c r="E14681" s="3" t="inlineStr">
        <is>
          <t>UIF Employee Contribution</t>
        </is>
      </c>
      <c r="F14681" s="3" t="n">
        <v>245.25</v>
      </c>
      <c r="G14681" s="3" t="n">
        <v>2452.5</v>
      </c>
    </row>
    <row r="14682">
      <c r="A14682" s="3" t="inlineStr">
        <is>
          <t>Trademark Holdings (Pty) Ltd</t>
        </is>
      </c>
      <c r="B14682" s="4" t="n">
        <v>45107</v>
      </c>
      <c r="C14682" s="3" t="inlineStr">
        <is>
          <t>Expenses</t>
        </is>
      </c>
      <c r="D14682" s="3" t="inlineStr">
        <is>
          <t>4711/000</t>
        </is>
      </c>
      <c r="E14682" s="3" t="inlineStr">
        <is>
          <t>UIF Employee Contributions</t>
        </is>
      </c>
      <c r="F14682" s="3" t="n">
        <v>95.25</v>
      </c>
      <c r="G14682" s="3" t="n">
        <v>952.5</v>
      </c>
    </row>
    <row r="14683">
      <c r="A14683" s="3" t="inlineStr">
        <is>
          <t>Noble Shield (Pty) Ltd ta Go Letting</t>
        </is>
      </c>
      <c r="B14683" s="4" t="n">
        <v>45107</v>
      </c>
      <c r="C14683" s="3" t="inlineStr">
        <is>
          <t>Expenses</t>
        </is>
      </c>
      <c r="D14683" s="3" t="inlineStr">
        <is>
          <t>4720/000</t>
        </is>
      </c>
      <c r="E14683" s="3" t="inlineStr">
        <is>
          <t>SDL Contributions</t>
        </is>
      </c>
      <c r="F14683" s="3" t="n">
        <v>436.16</v>
      </c>
      <c r="G14683" s="3" t="n">
        <v>4307.12</v>
      </c>
    </row>
    <row r="14684">
      <c r="A14684" s="3" t="inlineStr">
        <is>
          <t>Trademark Holdings (Pty) Ltd</t>
        </is>
      </c>
      <c r="B14684" s="4" t="n">
        <v>45107</v>
      </c>
      <c r="C14684" s="3" t="inlineStr">
        <is>
          <t>Expenses</t>
        </is>
      </c>
      <c r="D14684" s="3" t="inlineStr">
        <is>
          <t>4720/000</t>
        </is>
      </c>
      <c r="E14684" s="3" t="inlineStr">
        <is>
          <t>SDL Contributions</t>
        </is>
      </c>
      <c r="F14684" s="3" t="n">
        <v>301.55</v>
      </c>
      <c r="G14684" s="3" t="n">
        <v>3059.38</v>
      </c>
    </row>
    <row r="14685">
      <c r="A14685" s="3" t="inlineStr">
        <is>
          <t>Opportunity Global Investment (PTY) LTD</t>
        </is>
      </c>
      <c r="B14685" s="4" t="n">
        <v>45107</v>
      </c>
      <c r="C14685" s="3" t="inlineStr">
        <is>
          <t>Expenses</t>
        </is>
      </c>
      <c r="D14685" s="3" t="inlineStr">
        <is>
          <t>4730/000</t>
        </is>
      </c>
      <c r="E14685" s="3" t="inlineStr">
        <is>
          <t>PAYE Contributions</t>
        </is>
      </c>
      <c r="F14685" s="3" t="n">
        <v>8822.27</v>
      </c>
      <c r="G14685" s="3" t="n">
        <v>35289.07</v>
      </c>
    </row>
    <row r="14686">
      <c r="A14686" s="3" t="inlineStr">
        <is>
          <t>Opportunity Global Sales (PTY) LTD</t>
        </is>
      </c>
      <c r="B14686" s="4" t="n">
        <v>45107</v>
      </c>
      <c r="C14686" s="3" t="inlineStr">
        <is>
          <t>Expenses</t>
        </is>
      </c>
      <c r="D14686" s="3" t="inlineStr">
        <is>
          <t>4730/000</t>
        </is>
      </c>
      <c r="E14686" s="3" t="inlineStr">
        <is>
          <t>PAYE Contributions</t>
        </is>
      </c>
      <c r="F14686" s="3" t="n">
        <v>9220.83</v>
      </c>
      <c r="G14686" s="3" t="n">
        <v>36883.33</v>
      </c>
    </row>
    <row r="14687">
      <c r="A14687" s="3" t="inlineStr">
        <is>
          <t>Opportunity Management Holdings (PTY) LTD</t>
        </is>
      </c>
      <c r="B14687" s="4" t="n">
        <v>45107</v>
      </c>
      <c r="C14687" s="3" t="inlineStr">
        <is>
          <t>Expenses</t>
        </is>
      </c>
      <c r="D14687" s="3" t="inlineStr">
        <is>
          <t>4730/000</t>
        </is>
      </c>
      <c r="E14687" s="3" t="inlineStr">
        <is>
          <t>PAYE Contributions</t>
        </is>
      </c>
      <c r="F14687" s="3" t="n">
        <v>39992.1</v>
      </c>
      <c r="G14687" s="3" t="n">
        <v>466508.96</v>
      </c>
    </row>
    <row r="14688">
      <c r="A14688" s="3" t="inlineStr">
        <is>
          <t>Noble Shield (Pty) Ltd ta Go Letting</t>
        </is>
      </c>
      <c r="B14688" s="4" t="n">
        <v>45107</v>
      </c>
      <c r="C14688" s="3" t="inlineStr">
        <is>
          <t>Expenses</t>
        </is>
      </c>
      <c r="D14688" s="3" t="inlineStr">
        <is>
          <t>4730/000</t>
        </is>
      </c>
      <c r="E14688" s="3" t="inlineStr">
        <is>
          <t>Workmans Compensation</t>
        </is>
      </c>
      <c r="F14688" s="3" t="n">
        <v>0</v>
      </c>
      <c r="G14688" s="3" t="n">
        <v>1470.4</v>
      </c>
    </row>
    <row r="14689">
      <c r="A14689" s="3" t="inlineStr">
        <is>
          <t>Opportunity Global Investment (PTY) LTD</t>
        </is>
      </c>
      <c r="B14689" s="4" t="n">
        <v>45107</v>
      </c>
      <c r="C14689" s="3" t="inlineStr">
        <is>
          <t>Expenses</t>
        </is>
      </c>
      <c r="D14689" s="3" t="inlineStr">
        <is>
          <t>4740/000</t>
        </is>
      </c>
      <c r="E14689" s="3" t="inlineStr">
        <is>
          <t>SDL Contributions</t>
        </is>
      </c>
      <c r="F14689" s="3" t="n">
        <v>431.1</v>
      </c>
      <c r="G14689" s="3" t="n">
        <v>1724.4</v>
      </c>
    </row>
    <row r="14690">
      <c r="A14690" s="3" t="inlineStr">
        <is>
          <t>Opportunity Global Sales (PTY) LTD</t>
        </is>
      </c>
      <c r="B14690" s="4" t="n">
        <v>45107</v>
      </c>
      <c r="C14690" s="3" t="inlineStr">
        <is>
          <t>Expenses</t>
        </is>
      </c>
      <c r="D14690" s="3" t="inlineStr">
        <is>
          <t>4740/000</t>
        </is>
      </c>
      <c r="E14690" s="3" t="inlineStr">
        <is>
          <t>SDL Contributions</t>
        </is>
      </c>
      <c r="F14690" s="3" t="n">
        <v>1961.63</v>
      </c>
      <c r="G14690" s="3" t="n">
        <v>8278.74</v>
      </c>
    </row>
    <row r="14691">
      <c r="A14691" s="3" t="inlineStr">
        <is>
          <t>Opportunity Management Holdings (PTY) LTD</t>
        </is>
      </c>
      <c r="B14691" s="4" t="n">
        <v>45107</v>
      </c>
      <c r="C14691" s="3" t="inlineStr">
        <is>
          <t>Expenses</t>
        </is>
      </c>
      <c r="D14691" s="3" t="inlineStr">
        <is>
          <t>4740/000</t>
        </is>
      </c>
      <c r="E14691" s="3" t="inlineStr">
        <is>
          <t>UIF Company Contribution</t>
        </is>
      </c>
      <c r="F14691" s="3" t="n">
        <v>1594.8</v>
      </c>
      <c r="G14691" s="3" t="n">
        <v>16888.65</v>
      </c>
    </row>
    <row r="14692">
      <c r="A14692" s="3" t="inlineStr">
        <is>
          <t>Opportunity Management Holdings (PTY) LTD</t>
        </is>
      </c>
      <c r="B14692" s="4" t="n">
        <v>45107</v>
      </c>
      <c r="C14692" s="3" t="inlineStr">
        <is>
          <t>Expenses</t>
        </is>
      </c>
      <c r="D14692" s="3" t="inlineStr">
        <is>
          <t>4741/000</t>
        </is>
      </c>
      <c r="E14692" s="3" t="inlineStr">
        <is>
          <t>UIF Employee Contribution</t>
        </is>
      </c>
      <c r="F14692" s="3" t="n">
        <v>1594.8</v>
      </c>
      <c r="G14692" s="3" t="n">
        <v>16888.65</v>
      </c>
    </row>
    <row r="14693">
      <c r="A14693" s="3" t="inlineStr">
        <is>
          <t>Opportunity Management Holdings (PTY) LTD</t>
        </is>
      </c>
      <c r="B14693" s="4" t="n">
        <v>45107</v>
      </c>
      <c r="C14693" s="3" t="inlineStr">
        <is>
          <t>Expenses</t>
        </is>
      </c>
      <c r="D14693" s="3" t="inlineStr">
        <is>
          <t>4750/000</t>
        </is>
      </c>
      <c r="E14693" s="3" t="inlineStr">
        <is>
          <t>SDL Contribution</t>
        </is>
      </c>
      <c r="F14693" s="3" t="n">
        <v>2464.2</v>
      </c>
      <c r="G14693" s="3" t="n">
        <v>27551.21</v>
      </c>
    </row>
    <row r="14694">
      <c r="A14694" s="3" t="inlineStr">
        <is>
          <t>Noble Shield (Pty) Ltd ta Go Letting</t>
        </is>
      </c>
      <c r="B14694" s="4" t="n">
        <v>45107</v>
      </c>
      <c r="C14694" s="3" t="inlineStr">
        <is>
          <t>Equity</t>
        </is>
      </c>
      <c r="D14694" s="3" t="inlineStr">
        <is>
          <t>5100/000</t>
        </is>
      </c>
      <c r="E14694" s="3" t="inlineStr">
        <is>
          <t>Share Capital</t>
        </is>
      </c>
      <c r="F14694" s="3" t="n">
        <v>0</v>
      </c>
      <c r="G14694" s="3" t="n">
        <v>-1</v>
      </c>
    </row>
    <row r="14695">
      <c r="A14695" s="3" t="inlineStr">
        <is>
          <t>Opportunity Management Holdings (PTY) LTD</t>
        </is>
      </c>
      <c r="B14695" s="4" t="n">
        <v>45107</v>
      </c>
      <c r="C14695" s="3" t="inlineStr">
        <is>
          <t>Equity</t>
        </is>
      </c>
      <c r="D14695" s="3" t="inlineStr">
        <is>
          <t>5100/000</t>
        </is>
      </c>
      <c r="E14695" s="3" t="inlineStr">
        <is>
          <t>Share Capital / Members Contribution</t>
        </is>
      </c>
      <c r="F14695" s="3" t="n">
        <v>0</v>
      </c>
      <c r="G14695" s="3" t="n">
        <v>-120</v>
      </c>
    </row>
    <row r="14696">
      <c r="A14696" s="3" t="inlineStr">
        <is>
          <t>Quinate Consulting (Pty) Ltd</t>
        </is>
      </c>
      <c r="B14696" s="4" t="n">
        <v>45107</v>
      </c>
      <c r="C14696" s="3" t="inlineStr">
        <is>
          <t>Equity</t>
        </is>
      </c>
      <c r="D14696" s="3" t="inlineStr">
        <is>
          <t>5100/000</t>
        </is>
      </c>
      <c r="E14696" s="3" t="inlineStr">
        <is>
          <t>Share Capital / Members Contribution</t>
        </is>
      </c>
      <c r="F14696" s="3" t="n">
        <v>0</v>
      </c>
      <c r="G14696" s="3" t="n">
        <v>-120</v>
      </c>
    </row>
    <row r="14697">
      <c r="A14697" s="3" t="inlineStr">
        <is>
          <t>Trademark Holdings (Pty) Ltd</t>
        </is>
      </c>
      <c r="B14697" s="4" t="n">
        <v>45107</v>
      </c>
      <c r="C14697" s="3" t="inlineStr">
        <is>
          <t>Equity</t>
        </is>
      </c>
      <c r="D14697" s="3" t="inlineStr">
        <is>
          <t>5100/001</t>
        </is>
      </c>
      <c r="E14697" s="3" t="inlineStr">
        <is>
          <t>Share Capital - GFY Investments</t>
        </is>
      </c>
      <c r="F14697" s="3" t="n">
        <v>0</v>
      </c>
      <c r="G14697" s="3" t="n">
        <v>-60</v>
      </c>
    </row>
    <row r="14698">
      <c r="A14698" s="3" t="inlineStr">
        <is>
          <t>Trademark Holdings (Pty) Ltd</t>
        </is>
      </c>
      <c r="B14698" s="4" t="n">
        <v>45107</v>
      </c>
      <c r="C14698" s="3" t="inlineStr">
        <is>
          <t>Equity</t>
        </is>
      </c>
      <c r="D14698" s="3" t="inlineStr">
        <is>
          <t>5100/002</t>
        </is>
      </c>
      <c r="E14698" s="3" t="inlineStr">
        <is>
          <t>Share Capital - Zak Trust</t>
        </is>
      </c>
      <c r="F14698" s="3" t="n">
        <v>0</v>
      </c>
      <c r="G14698" s="3" t="n">
        <v>-60</v>
      </c>
    </row>
    <row r="14699">
      <c r="A14699" s="3" t="inlineStr">
        <is>
          <t>Opportunity Global Investment (PTY) LTD</t>
        </is>
      </c>
      <c r="B14699" s="4" t="n">
        <v>45107</v>
      </c>
      <c r="C14699" s="3" t="inlineStr">
        <is>
          <t>Equity</t>
        </is>
      </c>
      <c r="D14699" s="3" t="inlineStr">
        <is>
          <t>5101/000</t>
        </is>
      </c>
      <c r="E14699" s="3" t="inlineStr">
        <is>
          <t>Share Capital - Ordinary Type A</t>
        </is>
      </c>
      <c r="F14699" s="3" t="n">
        <v>0</v>
      </c>
      <c r="G14699" s="3" t="n">
        <v>-70</v>
      </c>
    </row>
    <row r="14700">
      <c r="A14700" s="3" t="inlineStr">
        <is>
          <t>Opportunity Global Investment (PTY) LTD</t>
        </is>
      </c>
      <c r="B14700" s="4" t="n">
        <v>45107</v>
      </c>
      <c r="C14700" s="3" t="inlineStr">
        <is>
          <t>Equity</t>
        </is>
      </c>
      <c r="D14700" s="3" t="inlineStr">
        <is>
          <t>5102/000</t>
        </is>
      </c>
      <c r="E14700" s="3" t="inlineStr">
        <is>
          <t>Share Capital - Ordinary Type B</t>
        </is>
      </c>
      <c r="F14700" s="3" t="n">
        <v>0</v>
      </c>
      <c r="G14700" s="3" t="n">
        <v>-30</v>
      </c>
    </row>
    <row r="14701">
      <c r="A14701" s="3" t="inlineStr">
        <is>
          <t>Endulini (Pty) Ltd</t>
        </is>
      </c>
      <c r="B14701" s="4" t="n">
        <v>45107</v>
      </c>
      <c r="C14701" s="3" t="inlineStr">
        <is>
          <t>Equity</t>
        </is>
      </c>
      <c r="D14701" s="3" t="inlineStr">
        <is>
          <t>5200/000</t>
        </is>
      </c>
      <c r="E14701" s="3" t="inlineStr">
        <is>
          <t>Retained Earnings / Loss</t>
        </is>
      </c>
      <c r="F14701" s="3" t="n">
        <v>0</v>
      </c>
      <c r="G14701" s="3" t="n">
        <v>-6017232.05</v>
      </c>
    </row>
    <row r="14702">
      <c r="A14702" s="3" t="inlineStr">
        <is>
          <t>Noble Shield (Pty) Ltd ta Go Letting</t>
        </is>
      </c>
      <c r="B14702" s="4" t="n">
        <v>45107</v>
      </c>
      <c r="C14702" s="3" t="inlineStr">
        <is>
          <t>Equity</t>
        </is>
      </c>
      <c r="D14702" s="3" t="inlineStr">
        <is>
          <t>5200/000</t>
        </is>
      </c>
      <c r="E14702" s="3" t="inlineStr">
        <is>
          <t>Retained Earnings / Loss</t>
        </is>
      </c>
      <c r="F14702" s="3" t="n">
        <v>0</v>
      </c>
      <c r="G14702" s="3" t="n">
        <v>-64792.67</v>
      </c>
    </row>
    <row r="14703">
      <c r="A14703" s="3" t="inlineStr">
        <is>
          <t>Opportunity Global Investment (PTY) LTD</t>
        </is>
      </c>
      <c r="B14703" s="4" t="n">
        <v>45107</v>
      </c>
      <c r="C14703" s="3" t="inlineStr">
        <is>
          <t>Equity</t>
        </is>
      </c>
      <c r="D14703" s="3" t="inlineStr">
        <is>
          <t>5200/000</t>
        </is>
      </c>
      <c r="E14703" s="3" t="inlineStr">
        <is>
          <t>Retained Earnings / Loss</t>
        </is>
      </c>
      <c r="F14703" s="3" t="n">
        <v>0</v>
      </c>
      <c r="G14703" s="3" t="n">
        <v>2134849.73</v>
      </c>
    </row>
    <row r="14704">
      <c r="A14704" s="3" t="inlineStr">
        <is>
          <t>Opportunity Global Sales (PTY) LTD</t>
        </is>
      </c>
      <c r="B14704" s="4" t="n">
        <v>45107</v>
      </c>
      <c r="C14704" s="3" t="inlineStr">
        <is>
          <t>Equity</t>
        </is>
      </c>
      <c r="D14704" s="3" t="inlineStr">
        <is>
          <t>5200/000</t>
        </is>
      </c>
      <c r="E14704" s="3" t="inlineStr">
        <is>
          <t>Retained Earnings / Loss</t>
        </is>
      </c>
      <c r="F14704" s="3" t="n">
        <v>0</v>
      </c>
      <c r="G14704" s="3" t="n">
        <v>-2287097.79</v>
      </c>
    </row>
    <row r="14705">
      <c r="A14705" s="3" t="inlineStr">
        <is>
          <t>Opportunity Management Holdings (PTY) LTD</t>
        </is>
      </c>
      <c r="B14705" s="4" t="n">
        <v>45107</v>
      </c>
      <c r="C14705" s="3" t="inlineStr">
        <is>
          <t>Equity</t>
        </is>
      </c>
      <c r="D14705" s="3" t="inlineStr">
        <is>
          <t>5200/000</t>
        </is>
      </c>
      <c r="E14705" s="3" t="inlineStr">
        <is>
          <t>Retained Earnings / Loss</t>
        </is>
      </c>
      <c r="F14705" s="3" t="n">
        <v>0</v>
      </c>
      <c r="G14705" s="3" t="n">
        <v>1230800.76</v>
      </c>
    </row>
    <row r="14706">
      <c r="A14706" s="3" t="inlineStr">
        <is>
          <t>Quinate Consulting (Pty) Ltd</t>
        </is>
      </c>
      <c r="B14706" s="4" t="n">
        <v>45107</v>
      </c>
      <c r="C14706" s="3" t="inlineStr">
        <is>
          <t>Equity</t>
        </is>
      </c>
      <c r="D14706" s="3" t="inlineStr">
        <is>
          <t>5200/000</t>
        </is>
      </c>
      <c r="E14706" s="3" t="inlineStr">
        <is>
          <t>Retained Earnings / Loss</t>
        </is>
      </c>
      <c r="F14706" s="3" t="n">
        <v>0</v>
      </c>
      <c r="G14706" s="3" t="n">
        <v>1549164.28</v>
      </c>
    </row>
    <row r="14707">
      <c r="A14707" s="3" t="inlineStr">
        <is>
          <t>Trademark Holdings (Pty) Ltd</t>
        </is>
      </c>
      <c r="B14707" s="4" t="n">
        <v>45107</v>
      </c>
      <c r="C14707" s="3" t="inlineStr">
        <is>
          <t>Equity</t>
        </is>
      </c>
      <c r="D14707" s="3" t="inlineStr">
        <is>
          <t>5200/000</t>
        </is>
      </c>
      <c r="E14707" s="3" t="inlineStr">
        <is>
          <t>Retained Earnings / Loss</t>
        </is>
      </c>
      <c r="F14707" s="3" t="n">
        <v>0</v>
      </c>
      <c r="G14707" s="3" t="n">
        <v>-155356.41</v>
      </c>
    </row>
    <row r="14708">
      <c r="A14708" s="3" t="inlineStr">
        <is>
          <t>Quinate Consulting (Pty) Ltd</t>
        </is>
      </c>
      <c r="B14708" s="4" t="n">
        <v>45107</v>
      </c>
      <c r="C14708" s="3" t="inlineStr">
        <is>
          <t>Assets</t>
        </is>
      </c>
      <c r="D14708" s="3" t="inlineStr">
        <is>
          <t>5400/011</t>
        </is>
      </c>
      <c r="E14708" s="3" t="inlineStr">
        <is>
          <t>Members Loan - Nick Morgan</t>
        </is>
      </c>
      <c r="F14708" s="3" t="n">
        <v>0</v>
      </c>
      <c r="G14708" s="3" t="n">
        <v>-85743.69</v>
      </c>
    </row>
    <row r="14709">
      <c r="A14709" s="3" t="inlineStr">
        <is>
          <t>Opportunity Management Holdings (PTY) LTD</t>
        </is>
      </c>
      <c r="B14709" s="4" t="n">
        <v>45107</v>
      </c>
      <c r="C14709" s="3" t="inlineStr">
        <is>
          <t>Assets</t>
        </is>
      </c>
      <c r="D14709" s="3" t="inlineStr">
        <is>
          <t>5400/500</t>
        </is>
      </c>
      <c r="E14709" s="3" t="inlineStr">
        <is>
          <t>Shareholder - Zak Loan</t>
        </is>
      </c>
      <c r="F14709" s="3" t="n">
        <v>0</v>
      </c>
      <c r="G14709" s="3" t="n">
        <v>-171798.21</v>
      </c>
    </row>
    <row r="14710">
      <c r="A14710" s="3" t="inlineStr">
        <is>
          <t>Quinate Consulting (Pty) Ltd</t>
        </is>
      </c>
      <c r="B14710" s="4" t="n">
        <v>45107</v>
      </c>
      <c r="C14710" s="3" t="inlineStr">
        <is>
          <t>Liabilities</t>
        </is>
      </c>
      <c r="D14710" s="3" t="inlineStr">
        <is>
          <t>5500/010</t>
        </is>
      </c>
      <c r="E14710" s="3" t="inlineStr">
        <is>
          <t>Loan - Wynand Haywood</t>
        </is>
      </c>
      <c r="F14710" s="3" t="n">
        <v>0</v>
      </c>
      <c r="G14710" s="3" t="n">
        <v>1928.67</v>
      </c>
    </row>
    <row r="14711">
      <c r="A14711" s="3" t="inlineStr">
        <is>
          <t>Quinate Consulting (Pty) Ltd</t>
        </is>
      </c>
      <c r="B14711" s="4" t="n">
        <v>45107</v>
      </c>
      <c r="C14711" s="3" t="inlineStr">
        <is>
          <t>Liabilities</t>
        </is>
      </c>
      <c r="D14711" s="3" t="inlineStr">
        <is>
          <t>5500/025</t>
        </is>
      </c>
      <c r="E14711" s="3" t="inlineStr">
        <is>
          <t>Loan - Noble Shield 2 Security Trust</t>
        </is>
      </c>
      <c r="F14711" s="3" t="n">
        <v>0</v>
      </c>
      <c r="G14711" s="3" t="n">
        <v>50</v>
      </c>
    </row>
    <row r="14712">
      <c r="A14712" s="3" t="inlineStr">
        <is>
          <t>Quinate Consulting (Pty) Ltd</t>
        </is>
      </c>
      <c r="B14712" s="4" t="n">
        <v>45107</v>
      </c>
      <c r="C14712" s="3" t="inlineStr">
        <is>
          <t>Liabilities</t>
        </is>
      </c>
      <c r="D14712" s="3" t="inlineStr">
        <is>
          <t>5500/030</t>
        </is>
      </c>
      <c r="E14712" s="3" t="inlineStr">
        <is>
          <t>Loan - Heron Projects</t>
        </is>
      </c>
      <c r="F14712" s="3" t="n">
        <v>4200</v>
      </c>
      <c r="G14712" s="3" t="n">
        <v>16600</v>
      </c>
    </row>
    <row r="14713">
      <c r="A14713" s="3" t="inlineStr">
        <is>
          <t>Opportunity Global Investment (PTY) LTD</t>
        </is>
      </c>
      <c r="B14713" s="4" t="n">
        <v>45107</v>
      </c>
      <c r="C14713" s="3" t="inlineStr">
        <is>
          <t>Liabilities</t>
        </is>
      </c>
      <c r="D14713" s="3" t="inlineStr">
        <is>
          <t>5500/100</t>
        </is>
      </c>
      <c r="E14713" s="3" t="inlineStr">
        <is>
          <t>Loan - Cape Projects Construction</t>
        </is>
      </c>
      <c r="F14713" s="3" t="n">
        <v>0</v>
      </c>
      <c r="G14713" s="3" t="n">
        <v>2261000</v>
      </c>
    </row>
    <row r="14714">
      <c r="A14714" s="3" t="inlineStr">
        <is>
          <t>Noble Shield (Pty) Ltd ta Go Letting</t>
        </is>
      </c>
      <c r="B14714" s="4" t="n">
        <v>45107</v>
      </c>
      <c r="C14714" s="3" t="inlineStr">
        <is>
          <t>Liabilities</t>
        </is>
      </c>
      <c r="D14714" s="3" t="inlineStr">
        <is>
          <t>5500/100</t>
        </is>
      </c>
      <c r="E14714" s="3" t="inlineStr">
        <is>
          <t>Loan - Jupiter Trust</t>
        </is>
      </c>
      <c r="F14714" s="3" t="n">
        <v>0</v>
      </c>
      <c r="G14714" s="3" t="n">
        <v>-100228.75</v>
      </c>
    </row>
    <row r="14715">
      <c r="A14715" s="3" t="inlineStr">
        <is>
          <t>Opportunity Management Holdings (PTY) LTD</t>
        </is>
      </c>
      <c r="B14715" s="4" t="n">
        <v>45107</v>
      </c>
      <c r="C14715" s="3" t="inlineStr">
        <is>
          <t>Liabilities</t>
        </is>
      </c>
      <c r="D14715" s="3" t="inlineStr">
        <is>
          <t>5500/100</t>
        </is>
      </c>
      <c r="E14715" s="3" t="inlineStr">
        <is>
          <t>Loan - Opportunity Global</t>
        </is>
      </c>
      <c r="F14715" s="3" t="n">
        <v>0</v>
      </c>
      <c r="G14715" s="3" t="n">
        <v>-20000</v>
      </c>
    </row>
    <row r="14716">
      <c r="A14716" s="3" t="inlineStr">
        <is>
          <t>Endulini (Pty) Ltd</t>
        </is>
      </c>
      <c r="B14716" s="4" t="n">
        <v>45107</v>
      </c>
      <c r="C14716" s="3" t="inlineStr">
        <is>
          <t>Liabilities</t>
        </is>
      </c>
      <c r="D14716" s="3" t="inlineStr">
        <is>
          <t>5500/100</t>
        </is>
      </c>
      <c r="E14716" s="3" t="inlineStr">
        <is>
          <t>Loan - Quinate Consulting</t>
        </is>
      </c>
      <c r="F14716" s="3" t="n">
        <v>83400</v>
      </c>
      <c r="G14716" s="3" t="n">
        <v>-9449549.1</v>
      </c>
    </row>
    <row r="14717">
      <c r="A14717" s="3" t="inlineStr">
        <is>
          <t>Opportunity Global Investment (PTY) LTD</t>
        </is>
      </c>
      <c r="B14717" s="4" t="n">
        <v>45107</v>
      </c>
      <c r="C14717" s="3" t="inlineStr">
        <is>
          <t>Liabilities</t>
        </is>
      </c>
      <c r="D14717" s="3" t="inlineStr">
        <is>
          <t>5500/112</t>
        </is>
      </c>
      <c r="E14717" s="3" t="inlineStr">
        <is>
          <t>Loan - GFY</t>
        </is>
      </c>
      <c r="F14717" s="3" t="n">
        <v>0</v>
      </c>
      <c r="G14717" s="3" t="n">
        <v>-105000</v>
      </c>
    </row>
    <row r="14718">
      <c r="A14718" s="3" t="inlineStr">
        <is>
          <t>Endulini (Pty) Ltd</t>
        </is>
      </c>
      <c r="B14718" s="4" t="n">
        <v>45107</v>
      </c>
      <c r="C14718" s="3" t="inlineStr">
        <is>
          <t>Liabilities</t>
        </is>
      </c>
      <c r="D14718" s="3" t="inlineStr">
        <is>
          <t>5500/150</t>
        </is>
      </c>
      <c r="E14718" s="3" t="inlineStr">
        <is>
          <t>Loan - Cape Projects Construction</t>
        </is>
      </c>
      <c r="F14718" s="3" t="n">
        <v>762000</v>
      </c>
      <c r="G14718" s="3" t="n">
        <v>-13338000</v>
      </c>
    </row>
    <row r="14719">
      <c r="A14719" s="3" t="inlineStr">
        <is>
          <t>Quinate Consulting (Pty) Ltd</t>
        </is>
      </c>
      <c r="B14719" s="4" t="n">
        <v>45107</v>
      </c>
      <c r="C14719" s="3" t="inlineStr">
        <is>
          <t>Liabilities</t>
        </is>
      </c>
      <c r="D14719" s="3" t="inlineStr">
        <is>
          <t>5500/160</t>
        </is>
      </c>
      <c r="E14719" s="3" t="inlineStr">
        <is>
          <t>Loan - GFY Investment and Consulting</t>
        </is>
      </c>
      <c r="F14719" s="3" t="n">
        <v>0</v>
      </c>
      <c r="G14719" s="3" t="n">
        <v>-1750249.93</v>
      </c>
    </row>
    <row r="14720">
      <c r="A14720" s="3" t="inlineStr">
        <is>
          <t>Opportunity Management Holdings (PTY) LTD</t>
        </is>
      </c>
      <c r="B14720" s="4" t="n">
        <v>45107</v>
      </c>
      <c r="C14720" s="3" t="inlineStr">
        <is>
          <t>Liabilities</t>
        </is>
      </c>
      <c r="D14720" s="3" t="inlineStr">
        <is>
          <t>5500/200</t>
        </is>
      </c>
      <c r="E14720" s="3" t="inlineStr">
        <is>
          <t>Loan - Cape Projects</t>
        </is>
      </c>
      <c r="F14720" s="3" t="n">
        <v>65000</v>
      </c>
      <c r="G14720" s="3" t="n">
        <v>53500</v>
      </c>
    </row>
    <row r="14721">
      <c r="A14721" s="3" t="inlineStr">
        <is>
          <t>Trademark Holdings (Pty) Ltd</t>
        </is>
      </c>
      <c r="B14721" s="4" t="n">
        <v>45107</v>
      </c>
      <c r="C14721" s="3" t="inlineStr">
        <is>
          <t>Liabilities</t>
        </is>
      </c>
      <c r="D14721" s="3" t="inlineStr">
        <is>
          <t>5500/250</t>
        </is>
      </c>
      <c r="E14721" s="3" t="inlineStr">
        <is>
          <t>Loan - Noble Shield</t>
        </is>
      </c>
      <c r="F14721" s="3" t="n">
        <v>0</v>
      </c>
      <c r="G14721" s="3" t="n">
        <v>148165.59</v>
      </c>
    </row>
    <row r="14722">
      <c r="A14722" s="3" t="inlineStr">
        <is>
          <t>Opportunity Management Holdings (PTY) LTD</t>
        </is>
      </c>
      <c r="B14722" s="4" t="n">
        <v>45107</v>
      </c>
      <c r="C14722" s="3" t="inlineStr">
        <is>
          <t>Liabilities</t>
        </is>
      </c>
      <c r="D14722" s="3" t="inlineStr">
        <is>
          <t>5500/250</t>
        </is>
      </c>
      <c r="E14722" s="3" t="inlineStr">
        <is>
          <t>Loan - Quinate</t>
        </is>
      </c>
      <c r="F14722" s="3" t="n">
        <v>0</v>
      </c>
      <c r="G14722" s="3" t="n">
        <v>-20000</v>
      </c>
    </row>
    <row r="14723">
      <c r="A14723" s="3" t="inlineStr">
        <is>
          <t>Quinate Consulting (Pty) Ltd</t>
        </is>
      </c>
      <c r="B14723" s="4" t="n">
        <v>45107</v>
      </c>
      <c r="C14723" s="3" t="inlineStr">
        <is>
          <t>Liabilities</t>
        </is>
      </c>
      <c r="D14723" s="3" t="inlineStr">
        <is>
          <t>5500/300</t>
        </is>
      </c>
      <c r="E14723" s="3" t="inlineStr">
        <is>
          <t>Loan - Gengis</t>
        </is>
      </c>
      <c r="F14723" s="3" t="n">
        <v>-3402.74</v>
      </c>
      <c r="G14723" s="3" t="n">
        <v>-319220.81</v>
      </c>
    </row>
    <row r="14724">
      <c r="A14724" s="3" t="inlineStr">
        <is>
          <t>Opportunity Management Holdings (PTY) LTD</t>
        </is>
      </c>
      <c r="B14724" s="4" t="n">
        <v>45107</v>
      </c>
      <c r="C14724" s="3" t="inlineStr">
        <is>
          <t>Liabilities</t>
        </is>
      </c>
      <c r="D14724" s="3" t="inlineStr">
        <is>
          <t>5500/300</t>
        </is>
      </c>
      <c r="E14724" s="3" t="inlineStr">
        <is>
          <t>Loan - Opportunity Prop Management</t>
        </is>
      </c>
      <c r="F14724" s="3" t="n">
        <v>0</v>
      </c>
      <c r="G14724" s="3" t="n">
        <v>-1220204.15</v>
      </c>
    </row>
    <row r="14725">
      <c r="A14725" s="3" t="inlineStr">
        <is>
          <t>Noble Shield (Pty) Ltd ta Go Letting</t>
        </is>
      </c>
      <c r="B14725" s="4" t="n">
        <v>45107</v>
      </c>
      <c r="C14725" s="3" t="inlineStr">
        <is>
          <t>Liabilities</t>
        </is>
      </c>
      <c r="D14725" s="3" t="inlineStr">
        <is>
          <t>5500/300</t>
        </is>
      </c>
      <c r="E14725" s="3" t="inlineStr">
        <is>
          <t>Loan - Trademark Holdings</t>
        </is>
      </c>
      <c r="F14725" s="3" t="n">
        <v>0</v>
      </c>
      <c r="G14725" s="3" t="n">
        <v>-148165.59</v>
      </c>
    </row>
    <row r="14726">
      <c r="A14726" s="3" t="inlineStr">
        <is>
          <t>Trademark Holdings (Pty) Ltd</t>
        </is>
      </c>
      <c r="B14726" s="4" t="n">
        <v>45107</v>
      </c>
      <c r="C14726" s="3" t="inlineStr">
        <is>
          <t>Liabilities</t>
        </is>
      </c>
      <c r="D14726" s="3" t="inlineStr">
        <is>
          <t>5500/375</t>
        </is>
      </c>
      <c r="E14726" s="3" t="inlineStr">
        <is>
          <t>Loan - Opportunity Management Holdings Pty Ltd</t>
        </is>
      </c>
      <c r="F14726" s="3" t="n">
        <v>0</v>
      </c>
      <c r="G14726" s="3" t="n">
        <v>19000</v>
      </c>
    </row>
    <row r="14727">
      <c r="A14727" s="3" t="inlineStr">
        <is>
          <t>Trademark Holdings (Pty) Ltd</t>
        </is>
      </c>
      <c r="B14727" s="4" t="n">
        <v>45107</v>
      </c>
      <c r="C14727" s="3" t="inlineStr">
        <is>
          <t>Liabilities</t>
        </is>
      </c>
      <c r="D14727" s="3" t="inlineStr">
        <is>
          <t>5500/450</t>
        </is>
      </c>
      <c r="E14727" s="3" t="inlineStr">
        <is>
          <t>Loan - Cape Projects Construction</t>
        </is>
      </c>
      <c r="F14727" s="3" t="n">
        <v>20000</v>
      </c>
      <c r="G14727" s="3" t="n">
        <v>20000</v>
      </c>
    </row>
    <row r="14728">
      <c r="A14728" s="3" t="inlineStr">
        <is>
          <t>Trademark Holdings (Pty) Ltd</t>
        </is>
      </c>
      <c r="B14728" s="4" t="n">
        <v>45107</v>
      </c>
      <c r="C14728" s="3" t="inlineStr">
        <is>
          <t>Liabilities</t>
        </is>
      </c>
      <c r="D14728" s="3" t="inlineStr">
        <is>
          <t>5500/500</t>
        </is>
      </c>
      <c r="E14728" s="3" t="inlineStr">
        <is>
          <t>Go Letting Brand Name</t>
        </is>
      </c>
      <c r="F14728" s="3" t="n">
        <v>0</v>
      </c>
      <c r="G14728" s="3" t="n">
        <v>93420</v>
      </c>
    </row>
    <row r="14729">
      <c r="A14729" s="3" t="inlineStr">
        <is>
          <t>Noble Shield (Pty) Ltd ta Go Letting</t>
        </is>
      </c>
      <c r="B14729" s="4" t="n">
        <v>45107</v>
      </c>
      <c r="C14729" s="3" t="inlineStr">
        <is>
          <t>Liabilities</t>
        </is>
      </c>
      <c r="D14729" s="3" t="inlineStr">
        <is>
          <t>5500/500</t>
        </is>
      </c>
      <c r="E14729" s="3" t="inlineStr">
        <is>
          <t>Loan - Cape Projects Construction</t>
        </is>
      </c>
      <c r="F14729" s="3" t="n">
        <v>20000</v>
      </c>
      <c r="G14729" s="3" t="n">
        <v>20000</v>
      </c>
    </row>
    <row r="14730">
      <c r="A14730" s="3" t="inlineStr">
        <is>
          <t>Quinate Consulting (Pty) Ltd</t>
        </is>
      </c>
      <c r="B14730" s="4" t="n">
        <v>45107</v>
      </c>
      <c r="C14730" s="3" t="inlineStr">
        <is>
          <t>Liabilities</t>
        </is>
      </c>
      <c r="D14730" s="3" t="inlineStr">
        <is>
          <t>5500/500</t>
        </is>
      </c>
      <c r="E14730" s="3" t="inlineStr">
        <is>
          <t>Loan - Opportunity Development Struct.</t>
        </is>
      </c>
      <c r="F14730" s="3" t="n">
        <v>0</v>
      </c>
      <c r="G14730" s="3" t="n">
        <v>-2380000</v>
      </c>
    </row>
    <row r="14731">
      <c r="A14731" s="3" t="inlineStr">
        <is>
          <t>Opportunity Management Holdings (PTY) LTD</t>
        </is>
      </c>
      <c r="B14731" s="4" t="n">
        <v>45107</v>
      </c>
      <c r="C14731" s="3" t="inlineStr">
        <is>
          <t>Liabilities</t>
        </is>
      </c>
      <c r="D14731" s="3" t="inlineStr">
        <is>
          <t>5500/500</t>
        </is>
      </c>
      <c r="E14731" s="3" t="inlineStr">
        <is>
          <t>Loan - Opportunity Tradermark Holdings</t>
        </is>
      </c>
      <c r="F14731" s="3" t="n">
        <v>0</v>
      </c>
      <c r="G14731" s="3" t="n">
        <v>-19000</v>
      </c>
    </row>
    <row r="14732">
      <c r="A14732" s="3" t="inlineStr">
        <is>
          <t>Quinate Consulting (Pty) Ltd</t>
        </is>
      </c>
      <c r="B14732" s="4" t="n">
        <v>45107</v>
      </c>
      <c r="C14732" s="3" t="inlineStr">
        <is>
          <t>Liabilities</t>
        </is>
      </c>
      <c r="D14732" s="3" t="inlineStr">
        <is>
          <t>5500/520</t>
        </is>
      </c>
      <c r="E14732" s="3" t="inlineStr">
        <is>
          <t>Loan - Opportunity Management Holdings</t>
        </is>
      </c>
      <c r="F14732" s="3" t="n">
        <v>0</v>
      </c>
      <c r="G14732" s="3" t="n">
        <v>16100</v>
      </c>
    </row>
    <row r="14733">
      <c r="A14733" s="3" t="inlineStr">
        <is>
          <t>Opportunity Management Holdings (PTY) LTD</t>
        </is>
      </c>
      <c r="B14733" s="4" t="n">
        <v>45107</v>
      </c>
      <c r="C14733" s="3" t="inlineStr">
        <is>
          <t>Liabilities</t>
        </is>
      </c>
      <c r="D14733" s="3" t="inlineStr">
        <is>
          <t>5500/550</t>
        </is>
      </c>
      <c r="E14733" s="3" t="inlineStr">
        <is>
          <t>Loan - Heron Projects</t>
        </is>
      </c>
      <c r="F14733" s="3" t="n">
        <v>-30000</v>
      </c>
      <c r="G14733" s="3" t="n">
        <v>-75000</v>
      </c>
    </row>
    <row r="14734">
      <c r="A14734" s="3" t="inlineStr">
        <is>
          <t>Noble Shield (Pty) Ltd ta Go Letting</t>
        </is>
      </c>
      <c r="B14734" s="4" t="n">
        <v>45107</v>
      </c>
      <c r="C14734" s="3" t="inlineStr">
        <is>
          <t>Liabilities</t>
        </is>
      </c>
      <c r="D14734" s="3" t="inlineStr">
        <is>
          <t>5500/600</t>
        </is>
      </c>
      <c r="E14734" s="3" t="inlineStr">
        <is>
          <t>Loan - Heron Projects</t>
        </is>
      </c>
      <c r="F14734" s="3" t="n">
        <v>0</v>
      </c>
      <c r="G14734" s="3" t="n">
        <v>20898.22</v>
      </c>
    </row>
    <row r="14735">
      <c r="A14735" s="3" t="inlineStr">
        <is>
          <t>Opportunity Global Investment (PTY) LTD</t>
        </is>
      </c>
      <c r="B14735" s="4" t="n">
        <v>45107</v>
      </c>
      <c r="C14735" s="3" t="inlineStr">
        <is>
          <t>Liabilities</t>
        </is>
      </c>
      <c r="D14735" s="3" t="inlineStr">
        <is>
          <t>5500/650</t>
        </is>
      </c>
      <c r="E14735" s="3" t="inlineStr">
        <is>
          <t>Loan - Opportunit Global - Sales</t>
        </is>
      </c>
      <c r="F14735" s="3" t="n">
        <v>-156412.77</v>
      </c>
      <c r="G14735" s="3" t="n">
        <v>-3302356.74</v>
      </c>
    </row>
    <row r="14736">
      <c r="A14736" s="3" t="inlineStr">
        <is>
          <t>Opportunity Global Sales (PTY) LTD</t>
        </is>
      </c>
      <c r="B14736" s="4" t="n">
        <v>45107</v>
      </c>
      <c r="C14736" s="3" t="inlineStr">
        <is>
          <t>Liabilities</t>
        </is>
      </c>
      <c r="D14736" s="3" t="inlineStr">
        <is>
          <t>5500/650</t>
        </is>
      </c>
      <c r="E14736" s="3" t="inlineStr">
        <is>
          <t>Loan - Opportunity Investments</t>
        </is>
      </c>
      <c r="F14736" s="3" t="n">
        <v>156412.77</v>
      </c>
      <c r="G14736" s="3" t="n">
        <v>3302356.74</v>
      </c>
    </row>
    <row r="14737">
      <c r="A14737" s="3" t="inlineStr">
        <is>
          <t>Opportunity Management Holdings (PTY) LTD</t>
        </is>
      </c>
      <c r="B14737" s="4" t="n">
        <v>45107</v>
      </c>
      <c r="C14737" s="3" t="inlineStr">
        <is>
          <t>Liabilities</t>
        </is>
      </c>
      <c r="D14737" s="3" t="inlineStr">
        <is>
          <t>5500/700</t>
        </is>
      </c>
      <c r="E14737" s="3" t="inlineStr">
        <is>
          <t>Loan - Go Letting</t>
        </is>
      </c>
      <c r="F14737" s="3" t="n">
        <v>0</v>
      </c>
      <c r="G14737" s="3" t="n">
        <v>-120</v>
      </c>
    </row>
    <row r="14738">
      <c r="A14738" s="3" t="inlineStr">
        <is>
          <t>Opportunity Global Investment (PTY) LTD</t>
        </is>
      </c>
      <c r="B14738" s="4" t="n">
        <v>45107</v>
      </c>
      <c r="C14738" s="3" t="inlineStr">
        <is>
          <t>Liabilities</t>
        </is>
      </c>
      <c r="D14738" s="3" t="inlineStr">
        <is>
          <t>5500/750</t>
        </is>
      </c>
      <c r="E14738" s="3" t="inlineStr">
        <is>
          <t>Loan - Heron Projects</t>
        </is>
      </c>
      <c r="F14738" s="3" t="n">
        <v>-40000</v>
      </c>
      <c r="G14738" s="3" t="n">
        <v>-992000</v>
      </c>
    </row>
    <row r="14739">
      <c r="A14739" s="3" t="inlineStr">
        <is>
          <t>Opportunity Global Investment (PTY) LTD</t>
        </is>
      </c>
      <c r="B14739" s="4" t="n">
        <v>45107</v>
      </c>
      <c r="C14739" s="3" t="inlineStr">
        <is>
          <t>Liabilities</t>
        </is>
      </c>
      <c r="D14739" s="3" t="inlineStr">
        <is>
          <t>5500/850</t>
        </is>
      </c>
      <c r="E14739" s="3" t="inlineStr">
        <is>
          <t>Loan - Nick Morgan</t>
        </is>
      </c>
      <c r="F14739" s="3" t="n">
        <v>0</v>
      </c>
      <c r="G14739" s="3" t="n">
        <v>6200</v>
      </c>
    </row>
    <row r="14740">
      <c r="A14740" s="3" t="inlineStr">
        <is>
          <t>Opportunity Global Investment (PTY) LTD</t>
        </is>
      </c>
      <c r="B14740" s="4" t="n">
        <v>45107</v>
      </c>
      <c r="C14740" s="3" t="inlineStr">
        <is>
          <t>Liabilities</t>
        </is>
      </c>
      <c r="D14740" s="3" t="inlineStr">
        <is>
          <t>5500/950</t>
        </is>
      </c>
      <c r="E14740" s="3" t="inlineStr">
        <is>
          <t>Loan - Gengis</t>
        </is>
      </c>
      <c r="F14740" s="3" t="n">
        <v>0</v>
      </c>
      <c r="G14740" s="3" t="n">
        <v>-45000</v>
      </c>
    </row>
    <row r="14741">
      <c r="A14741" s="3" t="inlineStr">
        <is>
          <t>Quinate Consulting (Pty) Ltd</t>
        </is>
      </c>
      <c r="B14741" s="4" t="n">
        <v>45107</v>
      </c>
      <c r="C14741" s="3" t="inlineStr">
        <is>
          <t>Liabilities</t>
        </is>
      </c>
      <c r="D14741" s="3" t="inlineStr">
        <is>
          <t>5501/001</t>
        </is>
      </c>
      <c r="E14741" s="3" t="inlineStr">
        <is>
          <t>Loan - Endulini CIP Costs</t>
        </is>
      </c>
      <c r="F14741" s="3" t="n">
        <v>-83400</v>
      </c>
      <c r="G14741" s="3" t="n">
        <v>9449549.1</v>
      </c>
    </row>
    <row r="14742">
      <c r="A14742" s="3" t="inlineStr">
        <is>
          <t>Opportunity Management Holdings (PTY) LTD</t>
        </is>
      </c>
      <c r="B14742" s="4" t="n">
        <v>45107</v>
      </c>
      <c r="C14742" s="3" t="inlineStr">
        <is>
          <t>Liabilities</t>
        </is>
      </c>
      <c r="D14742" s="3" t="inlineStr">
        <is>
          <t>5510/100</t>
        </is>
      </c>
      <c r="E14742" s="3" t="inlineStr">
        <is>
          <t>Staff loan - Debbie Landsberg</t>
        </is>
      </c>
      <c r="F14742" s="3" t="n">
        <v>0</v>
      </c>
      <c r="G14742" s="3" t="n">
        <v>2400</v>
      </c>
    </row>
    <row r="14743">
      <c r="A14743" s="3" t="inlineStr">
        <is>
          <t>Noble Shield (Pty) Ltd ta Go Letting</t>
        </is>
      </c>
      <c r="B14743" s="4" t="n">
        <v>45107</v>
      </c>
      <c r="C14743" s="3" t="inlineStr">
        <is>
          <t>Assets</t>
        </is>
      </c>
      <c r="D14743" s="3" t="inlineStr">
        <is>
          <t>6250/010</t>
        </is>
      </c>
      <c r="E14743" s="3" t="inlineStr">
        <is>
          <t>Computer Equipment - @ Cost</t>
        </is>
      </c>
      <c r="F14743" s="3" t="n">
        <v>0</v>
      </c>
      <c r="G14743" s="3" t="n">
        <v>20397</v>
      </c>
    </row>
    <row r="14744">
      <c r="A14744" s="3" t="inlineStr">
        <is>
          <t>Opportunity Global Investment (PTY) LTD</t>
        </is>
      </c>
      <c r="B14744" s="4" t="n">
        <v>45107</v>
      </c>
      <c r="C14744" s="3" t="inlineStr">
        <is>
          <t>Assets</t>
        </is>
      </c>
      <c r="D14744" s="3" t="inlineStr">
        <is>
          <t>6250/010</t>
        </is>
      </c>
      <c r="E14744" s="3" t="inlineStr">
        <is>
          <t>Computer Equipment - @ Cost</t>
        </is>
      </c>
      <c r="F14744" s="3" t="n">
        <v>0</v>
      </c>
      <c r="G14744" s="3" t="n">
        <v>31683.04</v>
      </c>
    </row>
    <row r="14745">
      <c r="A14745" s="3" t="inlineStr">
        <is>
          <t>Opportunity Management Holdings (PTY) LTD</t>
        </is>
      </c>
      <c r="B14745" s="4" t="n">
        <v>45107</v>
      </c>
      <c r="C14745" s="3" t="inlineStr">
        <is>
          <t>Assets</t>
        </is>
      </c>
      <c r="D14745" s="3" t="inlineStr">
        <is>
          <t>6250/010</t>
        </is>
      </c>
      <c r="E14745" s="3" t="inlineStr">
        <is>
          <t>Computer Equipment - @ Cost</t>
        </is>
      </c>
      <c r="F14745" s="3" t="n">
        <v>0</v>
      </c>
      <c r="G14745" s="3" t="n">
        <v>52177.85</v>
      </c>
    </row>
    <row r="14746">
      <c r="A14746" s="3" t="inlineStr">
        <is>
          <t>Quinate Consulting (Pty) Ltd</t>
        </is>
      </c>
      <c r="B14746" s="4" t="n">
        <v>45107</v>
      </c>
      <c r="C14746" s="3" t="inlineStr">
        <is>
          <t>Assets</t>
        </is>
      </c>
      <c r="D14746" s="3" t="inlineStr">
        <is>
          <t>6250/010</t>
        </is>
      </c>
      <c r="E14746" s="3" t="inlineStr">
        <is>
          <t>Computer Equipment - @ Cost</t>
        </is>
      </c>
      <c r="F14746" s="3" t="n">
        <v>0</v>
      </c>
      <c r="G14746" s="3" t="n">
        <v>137059.7</v>
      </c>
    </row>
    <row r="14747">
      <c r="A14747" s="3" t="inlineStr">
        <is>
          <t>Noble Shield (Pty) Ltd ta Go Letting</t>
        </is>
      </c>
      <c r="B14747" s="4" t="n">
        <v>45107</v>
      </c>
      <c r="C14747" s="3" t="inlineStr">
        <is>
          <t>Assets</t>
        </is>
      </c>
      <c r="D14747" s="3" t="inlineStr">
        <is>
          <t>6250/020</t>
        </is>
      </c>
      <c r="E14747" s="3" t="inlineStr">
        <is>
          <t>Computer Equipment - Accum Depre</t>
        </is>
      </c>
      <c r="F14747" s="3" t="n">
        <v>0</v>
      </c>
      <c r="G14747" s="3" t="n">
        <v>-12040.89</v>
      </c>
    </row>
    <row r="14748">
      <c r="A14748" s="3" t="inlineStr">
        <is>
          <t>Opportunity Global Investment (PTY) LTD</t>
        </is>
      </c>
      <c r="B14748" s="4" t="n">
        <v>45107</v>
      </c>
      <c r="C14748" s="3" t="inlineStr">
        <is>
          <t>Assets</t>
        </is>
      </c>
      <c r="D14748" s="3" t="inlineStr">
        <is>
          <t>6250/020</t>
        </is>
      </c>
      <c r="E14748" s="3" t="inlineStr">
        <is>
          <t>Computer Equipment - Accum Depre</t>
        </is>
      </c>
      <c r="F14748" s="3" t="n">
        <v>-880.08</v>
      </c>
      <c r="G14748" s="3" t="n">
        <v>-5280.5</v>
      </c>
    </row>
    <row r="14749">
      <c r="A14749" s="3" t="inlineStr">
        <is>
          <t>Opportunity Management Holdings (PTY) LTD</t>
        </is>
      </c>
      <c r="B14749" s="4" t="n">
        <v>45107</v>
      </c>
      <c r="C14749" s="3" t="inlineStr">
        <is>
          <t>Assets</t>
        </is>
      </c>
      <c r="D14749" s="3" t="inlineStr">
        <is>
          <t>6250/020</t>
        </is>
      </c>
      <c r="E14749" s="3" t="inlineStr">
        <is>
          <t>Computer Equipment - Accum Depre</t>
        </is>
      </c>
      <c r="F14749" s="3" t="n">
        <v>-1035.17</v>
      </c>
      <c r="G14749" s="3" t="n">
        <v>-9749.91</v>
      </c>
    </row>
    <row r="14750">
      <c r="A14750" s="3" t="inlineStr">
        <is>
          <t>Quinate Consulting (Pty) Ltd</t>
        </is>
      </c>
      <c r="B14750" s="4" t="n">
        <v>45107</v>
      </c>
      <c r="C14750" s="3" t="inlineStr">
        <is>
          <t>Assets</t>
        </is>
      </c>
      <c r="D14750" s="3" t="inlineStr">
        <is>
          <t>6250/020</t>
        </is>
      </c>
      <c r="E14750" s="3" t="inlineStr">
        <is>
          <t>Computer Equipment - Accum Depre</t>
        </is>
      </c>
      <c r="F14750" s="3" t="n">
        <v>-2331.65</v>
      </c>
      <c r="G14750" s="3" t="n">
        <v>-107700.45</v>
      </c>
    </row>
    <row r="14751">
      <c r="A14751" s="3" t="inlineStr">
        <is>
          <t>Opportunity Management Holdings (PTY) LTD</t>
        </is>
      </c>
      <c r="B14751" s="4" t="n">
        <v>45107</v>
      </c>
      <c r="C14751" s="3" t="inlineStr">
        <is>
          <t>Assets</t>
        </is>
      </c>
      <c r="D14751" s="3" t="inlineStr">
        <is>
          <t>6250/030</t>
        </is>
      </c>
      <c r="E14751" s="3" t="inlineStr">
        <is>
          <t>Acc Depreciation - Computer Equipment</t>
        </is>
      </c>
      <c r="F14751" s="3" t="n">
        <v>0</v>
      </c>
      <c r="G14751" s="3" t="n">
        <v>-9441.25</v>
      </c>
    </row>
    <row r="14752">
      <c r="A14752" s="3" t="inlineStr">
        <is>
          <t>Quinate Consulting (Pty) Ltd</t>
        </is>
      </c>
      <c r="B14752" s="4" t="n">
        <v>45107</v>
      </c>
      <c r="C14752" s="3" t="inlineStr">
        <is>
          <t>Assets</t>
        </is>
      </c>
      <c r="D14752" s="3" t="inlineStr">
        <is>
          <t>6270/010</t>
        </is>
      </c>
      <c r="E14752" s="3" t="inlineStr">
        <is>
          <t>Site Containers - @ Cost</t>
        </is>
      </c>
      <c r="F14752" s="3" t="n">
        <v>0</v>
      </c>
      <c r="G14752" s="3" t="n">
        <v>19130.44</v>
      </c>
    </row>
    <row r="14753">
      <c r="A14753" s="3" t="inlineStr">
        <is>
          <t>Quinate Consulting (Pty) Ltd</t>
        </is>
      </c>
      <c r="B14753" s="4" t="n">
        <v>45107</v>
      </c>
      <c r="C14753" s="3" t="inlineStr">
        <is>
          <t>Assets</t>
        </is>
      </c>
      <c r="D14753" s="3" t="inlineStr">
        <is>
          <t>6270/020</t>
        </is>
      </c>
      <c r="E14753" s="3" t="inlineStr">
        <is>
          <t>Site Containers - Accum Depre</t>
        </is>
      </c>
      <c r="F14753" s="3" t="n">
        <v>-318.84</v>
      </c>
      <c r="G14753" s="3" t="n">
        <v>-8927.540000000001</v>
      </c>
    </row>
    <row r="14754">
      <c r="A14754" s="3" t="inlineStr">
        <is>
          <t>Noble Shield (Pty) Ltd ta Go Letting</t>
        </is>
      </c>
      <c r="B14754" s="4" t="n">
        <v>45107</v>
      </c>
      <c r="C14754" s="3" t="inlineStr">
        <is>
          <t>Assets</t>
        </is>
      </c>
      <c r="D14754" s="3" t="inlineStr">
        <is>
          <t>6350/010</t>
        </is>
      </c>
      <c r="E14754" s="3" t="inlineStr">
        <is>
          <t>Furniture _AND_ Fittings - @ Cost</t>
        </is>
      </c>
      <c r="F14754" s="3" t="n">
        <v>0</v>
      </c>
      <c r="G14754" s="3" t="n">
        <v>2242</v>
      </c>
    </row>
    <row r="14755">
      <c r="A14755" s="3" t="inlineStr">
        <is>
          <t>Opportunity Global Sales (PTY) LTD</t>
        </is>
      </c>
      <c r="B14755" s="4" t="n">
        <v>45107</v>
      </c>
      <c r="C14755" s="3" t="inlineStr">
        <is>
          <t>Assets</t>
        </is>
      </c>
      <c r="D14755" s="3" t="inlineStr">
        <is>
          <t>6350/010</t>
        </is>
      </c>
      <c r="E14755" s="3" t="inlineStr">
        <is>
          <t>Furniture _AND_ Fittings - @ Cost</t>
        </is>
      </c>
      <c r="F14755" s="3" t="n">
        <v>0</v>
      </c>
      <c r="G14755" s="3" t="n">
        <v>29379.7</v>
      </c>
    </row>
    <row r="14756">
      <c r="A14756" s="3" t="inlineStr">
        <is>
          <t>Noble Shield (Pty) Ltd ta Go Letting</t>
        </is>
      </c>
      <c r="B14756" s="4" t="n">
        <v>45107</v>
      </c>
      <c r="C14756" s="3" t="inlineStr">
        <is>
          <t>Assets</t>
        </is>
      </c>
      <c r="D14756" s="3" t="inlineStr">
        <is>
          <t>6350/020</t>
        </is>
      </c>
      <c r="E14756" s="3" t="inlineStr">
        <is>
          <t>Furniture _AND_ Fittings - Accum Depre</t>
        </is>
      </c>
      <c r="F14756" s="3" t="n">
        <v>0</v>
      </c>
      <c r="G14756" s="3" t="n">
        <v>-2239</v>
      </c>
    </row>
    <row r="14757">
      <c r="A14757" s="3" t="inlineStr">
        <is>
          <t>Opportunity Global Sales (PTY) LTD</t>
        </is>
      </c>
      <c r="B14757" s="4" t="n">
        <v>45107</v>
      </c>
      <c r="C14757" s="3" t="inlineStr">
        <is>
          <t>Assets</t>
        </is>
      </c>
      <c r="D14757" s="3" t="inlineStr">
        <is>
          <t>6350/020</t>
        </is>
      </c>
      <c r="E14757" s="3" t="inlineStr">
        <is>
          <t>Furniture _AND_ Fittings - Accum Depre</t>
        </is>
      </c>
      <c r="F14757" s="3" t="n">
        <v>-408.06</v>
      </c>
      <c r="G14757" s="3" t="n">
        <v>-4896.62</v>
      </c>
    </row>
    <row r="14758">
      <c r="A14758" s="3" t="inlineStr">
        <is>
          <t>Opportunity Management Holdings (PTY) LTD</t>
        </is>
      </c>
      <c r="B14758" s="4" t="n">
        <v>45107</v>
      </c>
      <c r="C14758" s="3" t="inlineStr">
        <is>
          <t>Liabilities</t>
        </is>
      </c>
      <c r="D14758" s="3" t="inlineStr">
        <is>
          <t>6500/000</t>
        </is>
      </c>
      <c r="E14758" s="3" t="inlineStr">
        <is>
          <t>Deposits - Held</t>
        </is>
      </c>
      <c r="F14758" s="3" t="n">
        <v>0</v>
      </c>
      <c r="G14758" s="3" t="n">
        <v>-12028.1</v>
      </c>
    </row>
    <row r="14759">
      <c r="A14759" s="3" t="inlineStr">
        <is>
          <t>Opportunity Management Holdings (PTY) LTD</t>
        </is>
      </c>
      <c r="B14759" s="4" t="n">
        <v>45107</v>
      </c>
      <c r="C14759" s="3" t="inlineStr">
        <is>
          <t>Liabilities</t>
        </is>
      </c>
      <c r="D14759" s="3" t="inlineStr">
        <is>
          <t>6510/000</t>
        </is>
      </c>
      <c r="E14759" s="3" t="inlineStr">
        <is>
          <t>Deposits Paid - Anicol Properties</t>
        </is>
      </c>
      <c r="F14759" s="3" t="n">
        <v>0</v>
      </c>
      <c r="G14759" s="3" t="n">
        <v>13755</v>
      </c>
    </row>
    <row r="14760">
      <c r="A14760" s="3" t="inlineStr">
        <is>
          <t>Opportunity Management Holdings (PTY) LTD</t>
        </is>
      </c>
      <c r="B14760" s="4" t="n">
        <v>45107</v>
      </c>
      <c r="C14760" s="3" t="inlineStr">
        <is>
          <t>Liabilities</t>
        </is>
      </c>
      <c r="D14760" s="3" t="inlineStr">
        <is>
          <t>6515/000</t>
        </is>
      </c>
      <c r="E14760" s="3" t="inlineStr">
        <is>
          <t>Deposits Paid</t>
        </is>
      </c>
      <c r="F14760" s="3" t="n">
        <v>0</v>
      </c>
      <c r="G14760" s="3" t="n">
        <v>3852.5</v>
      </c>
    </row>
    <row r="14761">
      <c r="A14761" s="3" t="inlineStr">
        <is>
          <t>Quinate Consulting (Pty) Ltd</t>
        </is>
      </c>
      <c r="B14761" s="4" t="n">
        <v>45107</v>
      </c>
      <c r="C14761" s="3" t="inlineStr">
        <is>
          <t>Assets</t>
        </is>
      </c>
      <c r="D14761" s="3" t="inlineStr">
        <is>
          <t>6600/010</t>
        </is>
      </c>
      <c r="E14761" s="3" t="inlineStr">
        <is>
          <t>Other Fixed Assets - @ Cost</t>
        </is>
      </c>
      <c r="F14761" s="3" t="n">
        <v>0</v>
      </c>
      <c r="G14761" s="3" t="n">
        <v>14442.5</v>
      </c>
    </row>
    <row r="14762">
      <c r="A14762" s="3" t="inlineStr">
        <is>
          <t>Quinate Consulting (Pty) Ltd</t>
        </is>
      </c>
      <c r="B14762" s="4" t="n">
        <v>45107</v>
      </c>
      <c r="C14762" s="3" t="inlineStr">
        <is>
          <t>Assets</t>
        </is>
      </c>
      <c r="D14762" s="3" t="inlineStr">
        <is>
          <t>6600/020</t>
        </is>
      </c>
      <c r="E14762" s="3" t="inlineStr">
        <is>
          <t>Other Fixed Assets - Accum Depre</t>
        </is>
      </c>
      <c r="F14762" s="3" t="n">
        <v>0</v>
      </c>
      <c r="G14762" s="3" t="n">
        <v>-14441.5</v>
      </c>
    </row>
    <row r="14763">
      <c r="A14763" s="3" t="inlineStr">
        <is>
          <t>Noble Shield (Pty) Ltd ta Go Letting</t>
        </is>
      </c>
      <c r="B14763" s="4" t="n">
        <v>45107</v>
      </c>
      <c r="C14763" s="3" t="inlineStr">
        <is>
          <t>Assets</t>
        </is>
      </c>
      <c r="D14763" s="3" t="inlineStr">
        <is>
          <t>7000/100</t>
        </is>
      </c>
      <c r="E14763" s="3" t="inlineStr">
        <is>
          <t>Goodwill - Purchase of Go Letting</t>
        </is>
      </c>
      <c r="F14763" s="3" t="n">
        <v>0</v>
      </c>
      <c r="G14763" s="3" t="n">
        <v>106580</v>
      </c>
    </row>
    <row r="14764">
      <c r="A14764" s="3" t="inlineStr">
        <is>
          <t>Opportunity Management Holdings (PTY) LTD</t>
        </is>
      </c>
      <c r="B14764" s="4" t="n">
        <v>45107</v>
      </c>
      <c r="C14764" s="3" t="inlineStr">
        <is>
          <t>Assets</t>
        </is>
      </c>
      <c r="D14764" s="3" t="inlineStr">
        <is>
          <t>7200/000</t>
        </is>
      </c>
      <c r="E14764" s="3" t="inlineStr">
        <is>
          <t>Shares in Subsidiary Companies</t>
        </is>
      </c>
      <c r="F14764" s="3" t="n">
        <v>0</v>
      </c>
      <c r="G14764" s="3" t="n">
        <v>120</v>
      </c>
    </row>
    <row r="14765">
      <c r="A14765" s="3" t="inlineStr">
        <is>
          <t>Endulini (Pty) Ltd</t>
        </is>
      </c>
      <c r="B14765" s="4" t="n">
        <v>45107</v>
      </c>
      <c r="C14765" s="3" t="inlineStr">
        <is>
          <t>Assets</t>
        </is>
      </c>
      <c r="D14765" s="3" t="inlineStr">
        <is>
          <t>7610/100</t>
        </is>
      </c>
      <c r="E14765" s="3" t="inlineStr">
        <is>
          <t>Endulini Land</t>
        </is>
      </c>
      <c r="F14765" s="3" t="n">
        <v>0</v>
      </c>
      <c r="G14765" s="3" t="n">
        <v>10572851.37</v>
      </c>
    </row>
    <row r="14766">
      <c r="A14766" s="3" t="inlineStr">
        <is>
          <t>Endulini (Pty) Ltd</t>
        </is>
      </c>
      <c r="B14766" s="4" t="n">
        <v>45107</v>
      </c>
      <c r="C14766" s="3" t="inlineStr">
        <is>
          <t>Assets</t>
        </is>
      </c>
      <c r="D14766" s="3" t="inlineStr">
        <is>
          <t>7610/111</t>
        </is>
      </c>
      <c r="E14766" s="3" t="inlineStr">
        <is>
          <t>Endulini Closing Stock February 2021</t>
        </is>
      </c>
      <c r="F14766" s="3" t="n">
        <v>0</v>
      </c>
      <c r="G14766" s="3" t="n">
        <v>14368610.11</v>
      </c>
    </row>
    <row r="14767">
      <c r="A14767" s="3" t="inlineStr">
        <is>
          <t>Endulini (Pty) Ltd</t>
        </is>
      </c>
      <c r="B14767" s="4" t="n">
        <v>45107</v>
      </c>
      <c r="C14767" s="3" t="inlineStr">
        <is>
          <t>Assets</t>
        </is>
      </c>
      <c r="D14767" s="3" t="inlineStr">
        <is>
          <t>7610/180</t>
        </is>
      </c>
      <c r="E14767" s="3" t="inlineStr">
        <is>
          <t>Endulini CIP Architects</t>
        </is>
      </c>
      <c r="F14767" s="3" t="n">
        <v>0</v>
      </c>
      <c r="G14767" s="3" t="n">
        <v>1292111.71</v>
      </c>
    </row>
    <row r="14768">
      <c r="A14768" s="3" t="inlineStr">
        <is>
          <t>Endulini (Pty) Ltd</t>
        </is>
      </c>
      <c r="B14768" s="4" t="n">
        <v>45107</v>
      </c>
      <c r="C14768" s="3" t="inlineStr">
        <is>
          <t>Assets</t>
        </is>
      </c>
      <c r="D14768" s="3" t="inlineStr">
        <is>
          <t>7610/200</t>
        </is>
      </c>
      <c r="E14768" s="3" t="inlineStr">
        <is>
          <t>Endulini CIP CoCT Land Use App</t>
        </is>
      </c>
      <c r="F14768" s="3" t="n">
        <v>0</v>
      </c>
      <c r="G14768" s="3" t="n">
        <v>232891.06</v>
      </c>
    </row>
    <row r="14769">
      <c r="A14769" s="3" t="inlineStr">
        <is>
          <t>Endulini (Pty) Ltd</t>
        </is>
      </c>
      <c r="B14769" s="4" t="n">
        <v>45107</v>
      </c>
      <c r="C14769" s="3" t="inlineStr">
        <is>
          <t>Assets</t>
        </is>
      </c>
      <c r="D14769" s="3" t="inlineStr">
        <is>
          <t>7610/205</t>
        </is>
      </c>
      <c r="E14769" s="3" t="inlineStr">
        <is>
          <t>Endulini CIP Site Establishments</t>
        </is>
      </c>
      <c r="F14769" s="3" t="n">
        <v>0</v>
      </c>
      <c r="G14769" s="3" t="n">
        <v>32428975.01</v>
      </c>
    </row>
    <row r="14770">
      <c r="A14770" s="3" t="inlineStr">
        <is>
          <t>Endulini (Pty) Ltd</t>
        </is>
      </c>
      <c r="B14770" s="4" t="n">
        <v>45107</v>
      </c>
      <c r="C14770" s="3" t="inlineStr">
        <is>
          <t>Assets</t>
        </is>
      </c>
      <c r="D14770" s="3" t="inlineStr">
        <is>
          <t>7610/209</t>
        </is>
      </c>
      <c r="E14770" s="3" t="inlineStr">
        <is>
          <t>Endulini CIP Construction Management</t>
        </is>
      </c>
      <c r="F14770" s="3" t="n">
        <v>0</v>
      </c>
      <c r="G14770" s="3" t="n">
        <v>223375</v>
      </c>
    </row>
    <row r="14771">
      <c r="A14771" s="3" t="inlineStr">
        <is>
          <t>Endulini (Pty) Ltd</t>
        </is>
      </c>
      <c r="B14771" s="4" t="n">
        <v>45107</v>
      </c>
      <c r="C14771" s="3" t="inlineStr">
        <is>
          <t>Assets</t>
        </is>
      </c>
      <c r="D14771" s="3" t="inlineStr">
        <is>
          <t>7610/210</t>
        </is>
      </c>
      <c r="E14771" s="3" t="inlineStr">
        <is>
          <t>Endulini CIP Civil Works</t>
        </is>
      </c>
      <c r="F14771" s="3" t="n">
        <v>0</v>
      </c>
      <c r="G14771" s="3" t="n">
        <v>6295702.14</v>
      </c>
    </row>
    <row r="14772">
      <c r="A14772" s="3" t="inlineStr">
        <is>
          <t>Endulini (Pty) Ltd</t>
        </is>
      </c>
      <c r="B14772" s="4" t="n">
        <v>45107</v>
      </c>
      <c r="C14772" s="3" t="inlineStr">
        <is>
          <t>Assets</t>
        </is>
      </c>
      <c r="D14772" s="3" t="inlineStr">
        <is>
          <t>7610/215</t>
        </is>
      </c>
      <c r="E14772" s="3" t="inlineStr">
        <is>
          <t>Endulini CIP Civil Engineers</t>
        </is>
      </c>
      <c r="F14772" s="3" t="n">
        <v>0</v>
      </c>
      <c r="G14772" s="3" t="n">
        <v>183000</v>
      </c>
    </row>
    <row r="14773">
      <c r="A14773" s="3" t="inlineStr">
        <is>
          <t>Endulini (Pty) Ltd</t>
        </is>
      </c>
      <c r="B14773" s="4" t="n">
        <v>45107</v>
      </c>
      <c r="C14773" s="3" t="inlineStr">
        <is>
          <t>Assets</t>
        </is>
      </c>
      <c r="D14773" s="3" t="inlineStr">
        <is>
          <t>7610/220</t>
        </is>
      </c>
      <c r="E14773" s="3" t="inlineStr">
        <is>
          <t>Endulini CIP Structuring Project Fee Opp Invest</t>
        </is>
      </c>
      <c r="F14773" s="3" t="n">
        <v>0</v>
      </c>
      <c r="G14773" s="3" t="n">
        <v>483735.96</v>
      </c>
    </row>
    <row r="14774">
      <c r="A14774" s="3" t="inlineStr">
        <is>
          <t>Endulini (Pty) Ltd</t>
        </is>
      </c>
      <c r="B14774" s="4" t="n">
        <v>45107</v>
      </c>
      <c r="C14774" s="3" t="inlineStr">
        <is>
          <t>Assets</t>
        </is>
      </c>
      <c r="D14774" s="3" t="inlineStr">
        <is>
          <t>7610/225</t>
        </is>
      </c>
      <c r="E14774" s="3" t="inlineStr">
        <is>
          <t>Endulini CIP Structural engineering fee</t>
        </is>
      </c>
      <c r="F14774" s="3" t="n">
        <v>0</v>
      </c>
      <c r="G14774" s="3" t="n">
        <v>346268.03</v>
      </c>
    </row>
    <row r="14775">
      <c r="A14775" s="3" t="inlineStr">
        <is>
          <t>Endulini (Pty) Ltd</t>
        </is>
      </c>
      <c r="B14775" s="4" t="n">
        <v>45107</v>
      </c>
      <c r="C14775" s="3" t="inlineStr">
        <is>
          <t>Assets</t>
        </is>
      </c>
      <c r="D14775" s="3" t="inlineStr">
        <is>
          <t>7610/230</t>
        </is>
      </c>
      <c r="E14775" s="3" t="inlineStr">
        <is>
          <t>Endulini CIP Mechanical Engineering</t>
        </is>
      </c>
      <c r="F14775" s="3" t="n">
        <v>0</v>
      </c>
      <c r="G14775" s="3" t="n">
        <v>15570</v>
      </c>
    </row>
    <row r="14776">
      <c r="A14776" s="3" t="inlineStr">
        <is>
          <t>Endulini (Pty) Ltd</t>
        </is>
      </c>
      <c r="B14776" s="4" t="n">
        <v>45107</v>
      </c>
      <c r="C14776" s="3" t="inlineStr">
        <is>
          <t>Assets</t>
        </is>
      </c>
      <c r="D14776" s="3" t="inlineStr">
        <is>
          <t>7610/235</t>
        </is>
      </c>
      <c r="E14776" s="3" t="inlineStr">
        <is>
          <t>Endulini CIP Electrical Installation</t>
        </is>
      </c>
      <c r="F14776" s="3" t="n">
        <v>0</v>
      </c>
      <c r="G14776" s="3" t="n">
        <v>1034019.08</v>
      </c>
    </row>
    <row r="14777">
      <c r="A14777" s="3" t="inlineStr">
        <is>
          <t>Endulini (Pty) Ltd</t>
        </is>
      </c>
      <c r="B14777" s="4" t="n">
        <v>45107</v>
      </c>
      <c r="C14777" s="3" t="inlineStr">
        <is>
          <t>Assets</t>
        </is>
      </c>
      <c r="D14777" s="3" t="inlineStr">
        <is>
          <t>7610/250</t>
        </is>
      </c>
      <c r="E14777" s="3" t="inlineStr">
        <is>
          <t>Endulini CIP Boundary Wall</t>
        </is>
      </c>
      <c r="F14777" s="3" t="n">
        <v>0</v>
      </c>
      <c r="G14777" s="3" t="n">
        <v>88400.8</v>
      </c>
    </row>
    <row r="14778">
      <c r="A14778" s="3" t="inlineStr">
        <is>
          <t>Endulini (Pty) Ltd</t>
        </is>
      </c>
      <c r="B14778" s="4" t="n">
        <v>45107</v>
      </c>
      <c r="C14778" s="3" t="inlineStr">
        <is>
          <t>Assets</t>
        </is>
      </c>
      <c r="D14778" s="3" t="inlineStr">
        <is>
          <t>7610/290</t>
        </is>
      </c>
      <c r="E14778" s="3" t="inlineStr">
        <is>
          <t>Endulini CIP Development Management Fees</t>
        </is>
      </c>
      <c r="F14778" s="3" t="n">
        <v>0</v>
      </c>
      <c r="G14778" s="3" t="n">
        <v>237496.62</v>
      </c>
    </row>
    <row r="14779">
      <c r="A14779" s="3" t="inlineStr">
        <is>
          <t>Endulini (Pty) Ltd</t>
        </is>
      </c>
      <c r="B14779" s="4" t="n">
        <v>45107</v>
      </c>
      <c r="C14779" s="3" t="inlineStr">
        <is>
          <t>Assets</t>
        </is>
      </c>
      <c r="D14779" s="3" t="inlineStr">
        <is>
          <t>7610/310</t>
        </is>
      </c>
      <c r="E14779" s="3" t="inlineStr">
        <is>
          <t>Endulini CIP Enviromental consultants</t>
        </is>
      </c>
      <c r="F14779" s="3" t="n">
        <v>0</v>
      </c>
      <c r="G14779" s="3" t="n">
        <v>115730</v>
      </c>
    </row>
    <row r="14780">
      <c r="A14780" s="3" t="inlineStr">
        <is>
          <t>Endulini (Pty) Ltd</t>
        </is>
      </c>
      <c r="B14780" s="4" t="n">
        <v>45107</v>
      </c>
      <c r="C14780" s="3" t="inlineStr">
        <is>
          <t>Assets</t>
        </is>
      </c>
      <c r="D14780" s="3" t="inlineStr">
        <is>
          <t>7610/320</t>
        </is>
      </c>
      <c r="E14780" s="3" t="inlineStr">
        <is>
          <t>Endulini CIP Geotechnical</t>
        </is>
      </c>
      <c r="F14780" s="3" t="n">
        <v>0</v>
      </c>
      <c r="G14780" s="3" t="n">
        <v>13575</v>
      </c>
    </row>
    <row r="14781">
      <c r="A14781" s="3" t="inlineStr">
        <is>
          <t>Endulini (Pty) Ltd</t>
        </is>
      </c>
      <c r="B14781" s="4" t="n">
        <v>45107</v>
      </c>
      <c r="C14781" s="3" t="inlineStr">
        <is>
          <t>Assets</t>
        </is>
      </c>
      <c r="D14781" s="3" t="inlineStr">
        <is>
          <t>7610/330</t>
        </is>
      </c>
      <c r="E14781" s="3" t="inlineStr">
        <is>
          <t>Endulini CIP Health and Safety</t>
        </is>
      </c>
      <c r="F14781" s="3" t="n">
        <v>0</v>
      </c>
      <c r="G14781" s="3" t="n">
        <v>40200</v>
      </c>
    </row>
    <row r="14782">
      <c r="A14782" s="3" t="inlineStr">
        <is>
          <t>Endulini (Pty) Ltd</t>
        </is>
      </c>
      <c r="B14782" s="4" t="n">
        <v>45107</v>
      </c>
      <c r="C14782" s="3" t="inlineStr">
        <is>
          <t>Assets</t>
        </is>
      </c>
      <c r="D14782" s="3" t="inlineStr">
        <is>
          <t>7610/390</t>
        </is>
      </c>
      <c r="E14782" s="3" t="inlineStr">
        <is>
          <t>Endulini CIP Land Surveyor</t>
        </is>
      </c>
      <c r="F14782" s="3" t="n">
        <v>0</v>
      </c>
      <c r="G14782" s="3" t="n">
        <v>186021.2</v>
      </c>
    </row>
    <row r="14783">
      <c r="A14783" s="3" t="inlineStr">
        <is>
          <t>Endulini (Pty) Ltd</t>
        </is>
      </c>
      <c r="B14783" s="4" t="n">
        <v>45107</v>
      </c>
      <c r="C14783" s="3" t="inlineStr">
        <is>
          <t>Assets</t>
        </is>
      </c>
      <c r="D14783" s="3" t="inlineStr">
        <is>
          <t>7610/392</t>
        </is>
      </c>
      <c r="E14783" s="3" t="inlineStr">
        <is>
          <t>Endulini CIP Landscaping</t>
        </is>
      </c>
      <c r="F14783" s="3" t="n">
        <v>0</v>
      </c>
      <c r="G14783" s="3" t="n">
        <v>6100</v>
      </c>
    </row>
    <row r="14784">
      <c r="A14784" s="3" t="inlineStr">
        <is>
          <t>Endulini (Pty) Ltd</t>
        </is>
      </c>
      <c r="B14784" s="4" t="n">
        <v>45107</v>
      </c>
      <c r="C14784" s="3" t="inlineStr">
        <is>
          <t>Assets</t>
        </is>
      </c>
      <c r="D14784" s="3" t="inlineStr">
        <is>
          <t>7610/395</t>
        </is>
      </c>
      <c r="E14784" s="3" t="inlineStr">
        <is>
          <t>Endulini CIP NHBRC</t>
        </is>
      </c>
      <c r="F14784" s="3" t="n">
        <v>0</v>
      </c>
      <c r="G14784" s="3" t="n">
        <v>928847.49</v>
      </c>
    </row>
    <row r="14785">
      <c r="A14785" s="3" t="inlineStr">
        <is>
          <t>Endulini (Pty) Ltd</t>
        </is>
      </c>
      <c r="B14785" s="4" t="n">
        <v>45107</v>
      </c>
      <c r="C14785" s="3" t="inlineStr">
        <is>
          <t>Assets</t>
        </is>
      </c>
      <c r="D14785" s="3" t="inlineStr">
        <is>
          <t>7610/400</t>
        </is>
      </c>
      <c r="E14785" s="3" t="inlineStr">
        <is>
          <t>Endulini CIP Quantity Surveyor</t>
        </is>
      </c>
      <c r="F14785" s="3" t="n">
        <v>0</v>
      </c>
      <c r="G14785" s="3" t="n">
        <v>82136.36</v>
      </c>
    </row>
    <row r="14786">
      <c r="A14786" s="3" t="inlineStr">
        <is>
          <t>Endulini (Pty) Ltd</t>
        </is>
      </c>
      <c r="B14786" s="4" t="n">
        <v>45107</v>
      </c>
      <c r="C14786" s="3" t="inlineStr">
        <is>
          <t>Assets</t>
        </is>
      </c>
      <c r="D14786" s="3" t="inlineStr">
        <is>
          <t>7610/600</t>
        </is>
      </c>
      <c r="E14786" s="3" t="inlineStr">
        <is>
          <t>Endulini CIP Town Planning</t>
        </is>
      </c>
      <c r="F14786" s="3" t="n">
        <v>0</v>
      </c>
      <c r="G14786" s="3" t="n">
        <v>21105</v>
      </c>
    </row>
    <row r="14787">
      <c r="A14787" s="3" t="inlineStr">
        <is>
          <t>Endulini (Pty) Ltd</t>
        </is>
      </c>
      <c r="B14787" s="4" t="n">
        <v>45107</v>
      </c>
      <c r="C14787" s="3" t="inlineStr">
        <is>
          <t>Assets</t>
        </is>
      </c>
      <c r="D14787" s="3" t="inlineStr">
        <is>
          <t>7610/620</t>
        </is>
      </c>
      <c r="E14787" s="3" t="inlineStr">
        <is>
          <t>Endulini CIP Traffic Impact</t>
        </is>
      </c>
      <c r="F14787" s="3" t="n">
        <v>0</v>
      </c>
      <c r="G14787" s="3" t="n">
        <v>24915</v>
      </c>
    </row>
    <row r="14788">
      <c r="A14788" s="3" t="inlineStr">
        <is>
          <t>Endulini (Pty) Ltd</t>
        </is>
      </c>
      <c r="B14788" s="4" t="n">
        <v>45107</v>
      </c>
      <c r="C14788" s="3" t="inlineStr">
        <is>
          <t>Assets</t>
        </is>
      </c>
      <c r="D14788" s="3" t="inlineStr">
        <is>
          <t>7610/630</t>
        </is>
      </c>
      <c r="E14788" s="3" t="inlineStr">
        <is>
          <t>Endulini CIP CoCT Development Contributi</t>
        </is>
      </c>
      <c r="F14788" s="3" t="n">
        <v>0</v>
      </c>
      <c r="G14788" s="3" t="n">
        <v>661860.3100000001</v>
      </c>
    </row>
    <row r="14789">
      <c r="A14789" s="3" t="inlineStr">
        <is>
          <t>Endulini (Pty) Ltd</t>
        </is>
      </c>
      <c r="B14789" s="4" t="n">
        <v>45107</v>
      </c>
      <c r="C14789" s="3" t="inlineStr">
        <is>
          <t>Assets</t>
        </is>
      </c>
      <c r="D14789" s="3" t="inlineStr">
        <is>
          <t>7610/640</t>
        </is>
      </c>
      <c r="E14789" s="3" t="inlineStr">
        <is>
          <t>Endulini CIP CoCT Building plan application</t>
        </is>
      </c>
      <c r="F14789" s="3" t="n">
        <v>0</v>
      </c>
      <c r="G14789" s="3" t="n">
        <v>111203.22</v>
      </c>
    </row>
    <row r="14790">
      <c r="A14790" s="3" t="inlineStr">
        <is>
          <t>Endulini (Pty) Ltd</t>
        </is>
      </c>
      <c r="B14790" s="4" t="n">
        <v>45107</v>
      </c>
      <c r="C14790" s="3" t="inlineStr">
        <is>
          <t>Assets</t>
        </is>
      </c>
      <c r="D14790" s="3" t="inlineStr">
        <is>
          <t>7610/900</t>
        </is>
      </c>
      <c r="E14790" s="3" t="inlineStr">
        <is>
          <t>Endulini CIP Cost of Sales</t>
        </is>
      </c>
      <c r="F14790" s="3" t="n">
        <v>0</v>
      </c>
      <c r="G14790" s="3" t="n">
        <v>-28210981.9</v>
      </c>
    </row>
    <row r="14791">
      <c r="A14791" s="3" t="inlineStr">
        <is>
          <t>Quinate Consulting (Pty) Ltd</t>
        </is>
      </c>
      <c r="B14791" s="4" t="n">
        <v>45107</v>
      </c>
      <c r="C14791" s="3" t="inlineStr">
        <is>
          <t>Assets</t>
        </is>
      </c>
      <c r="D14791" s="3" t="inlineStr">
        <is>
          <t>7800/104</t>
        </is>
      </c>
      <c r="E14791" s="3" t="inlineStr">
        <is>
          <t>Stock - Closing Stock SW - 28 Feb 21</t>
        </is>
      </c>
      <c r="F14791" s="3" t="n">
        <v>0</v>
      </c>
      <c r="G14791" s="3" t="n">
        <v>2874478.88</v>
      </c>
    </row>
    <row r="14792">
      <c r="A14792" s="3" t="inlineStr">
        <is>
          <t>Quinate Consulting (Pty) Ltd</t>
        </is>
      </c>
      <c r="B14792" s="4" t="n">
        <v>45107</v>
      </c>
      <c r="C14792" s="3" t="inlineStr">
        <is>
          <t>Assets</t>
        </is>
      </c>
      <c r="D14792" s="3" t="inlineStr">
        <is>
          <t>7800/105</t>
        </is>
      </c>
      <c r="E14792" s="3" t="inlineStr">
        <is>
          <t>Stock - Closing Stock SH - 28 Feb 21</t>
        </is>
      </c>
      <c r="F14792" s="3" t="n">
        <v>0</v>
      </c>
      <c r="G14792" s="3" t="n">
        <v>2843477.6</v>
      </c>
    </row>
    <row r="14793">
      <c r="A14793" s="3" t="inlineStr">
        <is>
          <t>Endulini (Pty) Ltd</t>
        </is>
      </c>
      <c r="B14793" s="4" t="n">
        <v>45107</v>
      </c>
      <c r="C14793" s="3" t="inlineStr">
        <is>
          <t>Assets</t>
        </is>
      </c>
      <c r="D14793" s="3" t="inlineStr">
        <is>
          <t>8000/000</t>
        </is>
      </c>
      <c r="E14793" s="3" t="inlineStr">
        <is>
          <t>Customer Control Account</t>
        </is>
      </c>
      <c r="F14793" s="3" t="n">
        <v>0</v>
      </c>
      <c r="G14793" s="3" t="n">
        <v>170572.96</v>
      </c>
    </row>
    <row r="14794">
      <c r="A14794" s="3" t="inlineStr">
        <is>
          <t>Noble Shield (Pty) Ltd ta Go Letting</t>
        </is>
      </c>
      <c r="B14794" s="4" t="n">
        <v>45107</v>
      </c>
      <c r="C14794" s="3" t="inlineStr">
        <is>
          <t>Assets</t>
        </is>
      </c>
      <c r="D14794" s="3" t="inlineStr">
        <is>
          <t>8000/000</t>
        </is>
      </c>
      <c r="E14794" s="3" t="inlineStr">
        <is>
          <t>Customer Control Account</t>
        </is>
      </c>
      <c r="F14794" s="3" t="n">
        <v>0</v>
      </c>
      <c r="G14794" s="3" t="n">
        <v>60289.32</v>
      </c>
    </row>
    <row r="14795">
      <c r="A14795" s="3" t="inlineStr">
        <is>
          <t>Opportunity Global Investment (PTY) LTD</t>
        </is>
      </c>
      <c r="B14795" s="4" t="n">
        <v>45107</v>
      </c>
      <c r="C14795" s="3" t="inlineStr">
        <is>
          <t>Assets</t>
        </is>
      </c>
      <c r="D14795" s="3" t="inlineStr">
        <is>
          <t>8000/000</t>
        </is>
      </c>
      <c r="E14795" s="3" t="inlineStr">
        <is>
          <t>Customer Control Account</t>
        </is>
      </c>
      <c r="F14795" s="3" t="n">
        <v>1673.6</v>
      </c>
      <c r="G14795" s="3" t="n">
        <v>6694.4</v>
      </c>
    </row>
    <row r="14796">
      <c r="A14796" s="3" t="inlineStr">
        <is>
          <t>Opportunity Global Sales (PTY) LTD</t>
        </is>
      </c>
      <c r="B14796" s="4" t="n">
        <v>45107</v>
      </c>
      <c r="C14796" s="3" t="inlineStr">
        <is>
          <t>Assets</t>
        </is>
      </c>
      <c r="D14796" s="3" t="inlineStr">
        <is>
          <t>8000/000</t>
        </is>
      </c>
      <c r="E14796" s="3" t="inlineStr">
        <is>
          <t>Customer Control Account</t>
        </is>
      </c>
      <c r="F14796" s="3" t="n">
        <v>-114716.09</v>
      </c>
      <c r="G14796" s="3" t="n">
        <v>350100.95</v>
      </c>
    </row>
    <row r="14797">
      <c r="A14797" s="3" t="inlineStr">
        <is>
          <t>Opportunity Management Holdings (PTY) LTD</t>
        </is>
      </c>
      <c r="B14797" s="4" t="n">
        <v>45107</v>
      </c>
      <c r="C14797" s="3" t="inlineStr">
        <is>
          <t>Assets</t>
        </is>
      </c>
      <c r="D14797" s="3" t="inlineStr">
        <is>
          <t>8000/000</t>
        </is>
      </c>
      <c r="E14797" s="3" t="inlineStr">
        <is>
          <t>Customer Control Account</t>
        </is>
      </c>
      <c r="F14797" s="3" t="n">
        <v>402500</v>
      </c>
      <c r="G14797" s="3" t="n">
        <v>414000</v>
      </c>
    </row>
    <row r="14798">
      <c r="A14798" s="3" t="inlineStr">
        <is>
          <t>Quinate Consulting (Pty) Ltd</t>
        </is>
      </c>
      <c r="B14798" s="4" t="n">
        <v>45107</v>
      </c>
      <c r="C14798" s="3" t="inlineStr">
        <is>
          <t>Assets</t>
        </is>
      </c>
      <c r="D14798" s="3" t="inlineStr">
        <is>
          <t>8000/000</t>
        </is>
      </c>
      <c r="E14798" s="3" t="inlineStr">
        <is>
          <t>Customer Control Account</t>
        </is>
      </c>
      <c r="F14798" s="3" t="n">
        <v>-16915.11</v>
      </c>
      <c r="G14798" s="3" t="n">
        <v>-7737.82</v>
      </c>
    </row>
    <row r="14799">
      <c r="A14799" s="3" t="inlineStr">
        <is>
          <t>Quinate Consulting (Pty) Ltd</t>
        </is>
      </c>
      <c r="B14799" s="4" t="n">
        <v>45107</v>
      </c>
      <c r="C14799" s="3" t="inlineStr">
        <is>
          <t>Assets</t>
        </is>
      </c>
      <c r="D14799" s="3" t="inlineStr">
        <is>
          <t>8001</t>
        </is>
      </c>
      <c r="E14799" s="3" t="inlineStr">
        <is>
          <t>Customer Control</t>
        </is>
      </c>
      <c r="F14799" s="3" t="n">
        <v>0</v>
      </c>
      <c r="G14799" s="3" t="n">
        <v>29487.49</v>
      </c>
    </row>
    <row r="14800">
      <c r="A14800" s="3" t="inlineStr">
        <is>
          <t>Quinate Consulting (Pty) Ltd</t>
        </is>
      </c>
      <c r="B14800" s="4" t="n">
        <v>45107</v>
      </c>
      <c r="C14800" s="3" t="inlineStr">
        <is>
          <t>Assets</t>
        </is>
      </c>
      <c r="D14800" s="3" t="inlineStr">
        <is>
          <t>8200/010</t>
        </is>
      </c>
      <c r="E14800" s="3" t="inlineStr">
        <is>
          <t>Prepayments / Prepaid Expenses</t>
        </is>
      </c>
      <c r="F14800" s="3" t="n">
        <v>0</v>
      </c>
      <c r="G14800" s="3" t="n">
        <v>109675</v>
      </c>
    </row>
    <row r="14801">
      <c r="A14801" s="3" t="inlineStr">
        <is>
          <t>Opportunity Global Sales (PTY) LTD</t>
        </is>
      </c>
      <c r="B14801" s="4" t="n">
        <v>45107</v>
      </c>
      <c r="C14801" s="3" t="inlineStr">
        <is>
          <t>Assets</t>
        </is>
      </c>
      <c r="D14801" s="3" t="inlineStr">
        <is>
          <t>8300/200</t>
        </is>
      </c>
      <c r="E14801" s="3" t="inlineStr">
        <is>
          <t>Staff Loan - Mario Stoop</t>
        </is>
      </c>
      <c r="F14801" s="3" t="n">
        <v>-500</v>
      </c>
      <c r="G14801" s="3" t="n">
        <v>4000</v>
      </c>
    </row>
    <row r="14802">
      <c r="A14802" s="3" t="inlineStr">
        <is>
          <t>Opportunity Global Investment (PTY) LTD</t>
        </is>
      </c>
      <c r="B14802" s="4" t="n">
        <v>45107</v>
      </c>
      <c r="C14802" s="3" t="inlineStr">
        <is>
          <t>Assets</t>
        </is>
      </c>
      <c r="D14802" s="3" t="inlineStr">
        <is>
          <t>8400/000</t>
        </is>
      </c>
      <c r="E14802" s="3" t="inlineStr">
        <is>
          <t>FNB 62093491696</t>
        </is>
      </c>
      <c r="F14802" s="3" t="n">
        <v>-18661.26</v>
      </c>
      <c r="G14802" s="3" t="n">
        <v>35580.28</v>
      </c>
    </row>
    <row r="14803">
      <c r="A14803" s="3" t="inlineStr">
        <is>
          <t>Opportunity Global Sales (PTY) LTD</t>
        </is>
      </c>
      <c r="B14803" s="4" t="n">
        <v>45107</v>
      </c>
      <c r="C14803" s="3" t="inlineStr">
        <is>
          <t>Assets</t>
        </is>
      </c>
      <c r="D14803" s="3" t="inlineStr">
        <is>
          <t>8400/000</t>
        </is>
      </c>
      <c r="E14803" s="3" t="inlineStr">
        <is>
          <t>FNB 62835620875</t>
        </is>
      </c>
      <c r="F14803" s="3" t="n">
        <v>-46440.13</v>
      </c>
      <c r="G14803" s="3" t="n">
        <v>20393.02</v>
      </c>
    </row>
    <row r="14804">
      <c r="A14804" s="3" t="inlineStr">
        <is>
          <t>Quinate Consulting (Pty) Ltd</t>
        </is>
      </c>
      <c r="B14804" s="4" t="n">
        <v>45107</v>
      </c>
      <c r="C14804" s="3" t="inlineStr">
        <is>
          <t>Assets</t>
        </is>
      </c>
      <c r="D14804" s="3" t="inlineStr">
        <is>
          <t>8400/000</t>
        </is>
      </c>
      <c r="E14804" s="3" t="inlineStr">
        <is>
          <t>RMB - 62736659189 - Call Acc</t>
        </is>
      </c>
      <c r="F14804" s="3" t="n">
        <v>-12.64</v>
      </c>
      <c r="G14804" s="3" t="n">
        <v>157176.49</v>
      </c>
    </row>
    <row r="14805">
      <c r="A14805" s="3" t="inlineStr">
        <is>
          <t>Trademark Holdings (Pty) Ltd</t>
        </is>
      </c>
      <c r="B14805" s="4" t="n">
        <v>45107</v>
      </c>
      <c r="C14805" s="3" t="inlineStr">
        <is>
          <t>Assets</t>
        </is>
      </c>
      <c r="D14805" s="3" t="inlineStr">
        <is>
          <t>8400/000</t>
        </is>
      </c>
      <c r="E14805" s="3" t="inlineStr">
        <is>
          <t>RMB 623 693 03640</t>
        </is>
      </c>
      <c r="F14805" s="3" t="n">
        <v>-7562.55</v>
      </c>
      <c r="G14805" s="3" t="n">
        <v>80724.07000000001</v>
      </c>
    </row>
    <row r="14806">
      <c r="A14806" s="3" t="inlineStr">
        <is>
          <t>Noble Shield (Pty) Ltd ta Go Letting</t>
        </is>
      </c>
      <c r="B14806" s="4" t="n">
        <v>45107</v>
      </c>
      <c r="C14806" s="3" t="inlineStr">
        <is>
          <t>Assets</t>
        </is>
      </c>
      <c r="D14806" s="3" t="inlineStr">
        <is>
          <t>8400/000</t>
        </is>
      </c>
      <c r="E14806" s="3" t="inlineStr">
        <is>
          <t>RMB 6250 573 3833</t>
        </is>
      </c>
      <c r="F14806" s="3" t="n">
        <v>8170.37</v>
      </c>
      <c r="G14806" s="3" t="n">
        <v>73466.64999999999</v>
      </c>
    </row>
    <row r="14807">
      <c r="A14807" s="3" t="inlineStr">
        <is>
          <t>Endulini (Pty) Ltd</t>
        </is>
      </c>
      <c r="B14807" s="4" t="n">
        <v>45107</v>
      </c>
      <c r="C14807" s="3" t="inlineStr">
        <is>
          <t>Assets</t>
        </is>
      </c>
      <c r="D14807" s="3" t="inlineStr">
        <is>
          <t>8400/000</t>
        </is>
      </c>
      <c r="E14807" s="3" t="inlineStr">
        <is>
          <t>RMB 62906944576</t>
        </is>
      </c>
      <c r="F14807" s="3" t="n">
        <v>-19798.15</v>
      </c>
      <c r="G14807" s="3" t="n">
        <v>21825.28</v>
      </c>
    </row>
    <row r="14808">
      <c r="A14808" s="3" t="inlineStr">
        <is>
          <t>Opportunity Management Holdings (PTY) LTD</t>
        </is>
      </c>
      <c r="B14808" s="4" t="n">
        <v>45107</v>
      </c>
      <c r="C14808" s="3" t="inlineStr">
        <is>
          <t>Assets</t>
        </is>
      </c>
      <c r="D14808" s="3" t="inlineStr">
        <is>
          <t>8400/000</t>
        </is>
      </c>
      <c r="E14808" s="3" t="inlineStr">
        <is>
          <t>RMB Cheq - 62312246920</t>
        </is>
      </c>
      <c r="F14808" s="3" t="n">
        <v>-106665.06</v>
      </c>
      <c r="G14808" s="3" t="n">
        <v>33963.03</v>
      </c>
    </row>
    <row r="14809">
      <c r="A14809" s="3" t="inlineStr">
        <is>
          <t>Opportunity Global Investment (PTY) LTD</t>
        </is>
      </c>
      <c r="B14809" s="4" t="n">
        <v>45107</v>
      </c>
      <c r="C14809" s="3" t="inlineStr">
        <is>
          <t>Assets</t>
        </is>
      </c>
      <c r="D14809" s="3" t="inlineStr">
        <is>
          <t>8405/000</t>
        </is>
      </c>
      <c r="E14809" s="3" t="inlineStr">
        <is>
          <t>FNB Trust 62762449265</t>
        </is>
      </c>
      <c r="F14809" s="3" t="n">
        <v>-71.09</v>
      </c>
      <c r="G14809" s="3" t="n">
        <v>471.75</v>
      </c>
    </row>
    <row r="14810">
      <c r="A14810" s="3" t="inlineStr">
        <is>
          <t>Endulini (Pty) Ltd</t>
        </is>
      </c>
      <c r="B14810" s="4" t="n">
        <v>45107</v>
      </c>
      <c r="C14810" s="3" t="inlineStr">
        <is>
          <t>Assets</t>
        </is>
      </c>
      <c r="D14810" s="3" t="inlineStr">
        <is>
          <t>8410/000</t>
        </is>
      </c>
      <c r="E14810" s="3" t="inlineStr">
        <is>
          <t>Momentum Investor Account : RU 502229883</t>
        </is>
      </c>
      <c r="F14810" s="3" t="n">
        <v>0</v>
      </c>
      <c r="G14810" s="3" t="n">
        <v>2722.33</v>
      </c>
    </row>
    <row r="14811">
      <c r="A14811" s="3" t="inlineStr">
        <is>
          <t>Opportunity Management Holdings (PTY) LTD</t>
        </is>
      </c>
      <c r="B14811" s="4" t="n">
        <v>45107</v>
      </c>
      <c r="C14811" s="3" t="inlineStr">
        <is>
          <t>Assets</t>
        </is>
      </c>
      <c r="D14811" s="3" t="inlineStr">
        <is>
          <t>8410/000</t>
        </is>
      </c>
      <c r="E14811" s="3" t="inlineStr">
        <is>
          <t>RMB Call Acc - 62312248851</t>
        </is>
      </c>
      <c r="F14811" s="3" t="n">
        <v>0</v>
      </c>
      <c r="G14811" s="3" t="n">
        <v>1430.86</v>
      </c>
    </row>
    <row r="14812">
      <c r="A14812" s="3" t="inlineStr">
        <is>
          <t>Noble Shield (Pty) Ltd ta Go Letting</t>
        </is>
      </c>
      <c r="B14812" s="4" t="n">
        <v>45107</v>
      </c>
      <c r="C14812" s="3" t="inlineStr">
        <is>
          <t>Assets</t>
        </is>
      </c>
      <c r="D14812" s="3" t="inlineStr">
        <is>
          <t>8410/000</t>
        </is>
      </c>
      <c r="E14812" s="3" t="inlineStr">
        <is>
          <t>RMB Trust Acc - 6250 615 1365</t>
        </is>
      </c>
      <c r="F14812" s="3" t="n">
        <v>-69.61</v>
      </c>
      <c r="G14812" s="3" t="n">
        <v>299.7</v>
      </c>
    </row>
    <row r="14813">
      <c r="A14813" s="3" t="inlineStr">
        <is>
          <t>Quinate Consulting (Pty) Ltd</t>
        </is>
      </c>
      <c r="B14813" s="4" t="n">
        <v>45107</v>
      </c>
      <c r="C14813" s="3" t="inlineStr">
        <is>
          <t>Assets</t>
        </is>
      </c>
      <c r="D14813" s="3" t="inlineStr">
        <is>
          <t>8415/000</t>
        </is>
      </c>
      <c r="E14813" s="3" t="inlineStr">
        <is>
          <t>STD Acc 071 958 959 - Facility Acc</t>
        </is>
      </c>
      <c r="F14813" s="3" t="n">
        <v>0</v>
      </c>
      <c r="G14813" s="3" t="n">
        <v>3126.21</v>
      </c>
    </row>
    <row r="14814">
      <c r="A14814" s="3" t="inlineStr">
        <is>
          <t>Trademark Holdings (Pty) Ltd</t>
        </is>
      </c>
      <c r="B14814" s="4" t="n">
        <v>45107</v>
      </c>
      <c r="C14814" s="3" t="inlineStr">
        <is>
          <t>Assets</t>
        </is>
      </c>
      <c r="D14814" s="3" t="inlineStr">
        <is>
          <t>8420/000</t>
        </is>
      </c>
      <c r="E14814" s="3" t="inlineStr">
        <is>
          <t>FNB Credit Card</t>
        </is>
      </c>
      <c r="F14814" s="3" t="n">
        <v>52</v>
      </c>
      <c r="G14814" s="3" t="n">
        <v>260</v>
      </c>
    </row>
    <row r="14815">
      <c r="A14815" s="3" t="inlineStr">
        <is>
          <t>Quinate Consulting (Pty) Ltd</t>
        </is>
      </c>
      <c r="B14815" s="4" t="n">
        <v>45107</v>
      </c>
      <c r="C14815" s="3" t="inlineStr">
        <is>
          <t>Assets</t>
        </is>
      </c>
      <c r="D14815" s="3" t="inlineStr">
        <is>
          <t>8430/000</t>
        </is>
      </c>
      <c r="E14815" s="3" t="inlineStr">
        <is>
          <t>Momentum Investment Acc - RU502230185</t>
        </is>
      </c>
      <c r="F14815" s="3" t="n">
        <v>0</v>
      </c>
      <c r="G14815" s="3" t="n">
        <v>545.29</v>
      </c>
    </row>
    <row r="14816">
      <c r="A14816" s="3" t="inlineStr">
        <is>
          <t>Opportunity Global Investment (PTY) LTD</t>
        </is>
      </c>
      <c r="B14816" s="4" t="n">
        <v>45107</v>
      </c>
      <c r="C14816" s="3" t="inlineStr">
        <is>
          <t>Assets</t>
        </is>
      </c>
      <c r="D14816" s="3" t="inlineStr">
        <is>
          <t>8440/000</t>
        </is>
      </c>
      <c r="E14816" s="3" t="inlineStr">
        <is>
          <t>FNB - Call 627602764438</t>
        </is>
      </c>
      <c r="F14816" s="3" t="n">
        <v>-11.06</v>
      </c>
      <c r="G14816" s="3" t="n">
        <v>905.13</v>
      </c>
    </row>
    <row r="14817">
      <c r="A14817" s="3" t="inlineStr">
        <is>
          <t>Opportunity Global Investment (PTY) LTD</t>
        </is>
      </c>
      <c r="B14817" s="4" t="n">
        <v>45107</v>
      </c>
      <c r="C14817" s="3" t="inlineStr">
        <is>
          <t>Assets</t>
        </is>
      </c>
      <c r="D14817" s="3" t="inlineStr">
        <is>
          <t>8445/000</t>
        </is>
      </c>
      <c r="E14817" s="3" t="inlineStr">
        <is>
          <t>Momentum RU502230096</t>
        </is>
      </c>
      <c r="F14817" s="3" t="n">
        <v>33.38</v>
      </c>
      <c r="G14817" s="3" t="n">
        <v>4832.93</v>
      </c>
    </row>
    <row r="14818">
      <c r="A14818" s="3" t="inlineStr">
        <is>
          <t>Quinate Consulting (Pty) Ltd</t>
        </is>
      </c>
      <c r="B14818" s="4" t="n">
        <v>45107</v>
      </c>
      <c r="C14818" s="3" t="inlineStr">
        <is>
          <t>Assets</t>
        </is>
      </c>
      <c r="D14818" s="3" t="inlineStr">
        <is>
          <t>8450/000</t>
        </is>
      </c>
      <c r="E14818" s="3" t="inlineStr">
        <is>
          <t>A RMB 62275810820</t>
        </is>
      </c>
      <c r="F14818" s="3" t="n">
        <v>102142.26</v>
      </c>
      <c r="G14818" s="3" t="n">
        <v>241162.24</v>
      </c>
    </row>
    <row r="14819">
      <c r="A14819" s="3" t="inlineStr">
        <is>
          <t>Opportunity Management Holdings (PTY) LTD</t>
        </is>
      </c>
      <c r="B14819" s="4" t="n">
        <v>45107</v>
      </c>
      <c r="C14819" s="3" t="inlineStr">
        <is>
          <t>Assets</t>
        </is>
      </c>
      <c r="D14819" s="3" t="inlineStr">
        <is>
          <t>8450/000</t>
        </is>
      </c>
      <c r="E14819" s="3" t="inlineStr">
        <is>
          <t>Petty Cash - CT Office</t>
        </is>
      </c>
      <c r="F14819" s="3" t="n">
        <v>0</v>
      </c>
      <c r="G14819" s="3" t="n">
        <v>17.2</v>
      </c>
    </row>
    <row r="14820">
      <c r="A14820" s="3" t="inlineStr">
        <is>
          <t>Quinate Consulting (Pty) Ltd</t>
        </is>
      </c>
      <c r="B14820" s="4" t="n">
        <v>45107</v>
      </c>
      <c r="C14820" s="3" t="inlineStr">
        <is>
          <t>Liabilities</t>
        </is>
      </c>
      <c r="D14820" s="3" t="inlineStr">
        <is>
          <t>8480/100</t>
        </is>
      </c>
      <c r="E14820" s="3" t="inlineStr">
        <is>
          <t>Bond - SH20 - STD Bank 532010558</t>
        </is>
      </c>
      <c r="F14820" s="3" t="n">
        <v>3182.57</v>
      </c>
      <c r="G14820" s="3" t="n">
        <v>-1342414.77</v>
      </c>
    </row>
    <row r="14821">
      <c r="A14821" s="3" t="inlineStr">
        <is>
          <t>Quinate Consulting (Pty) Ltd</t>
        </is>
      </c>
      <c r="B14821" s="4" t="n">
        <v>45107</v>
      </c>
      <c r="C14821" s="3" t="inlineStr">
        <is>
          <t>Liabilities</t>
        </is>
      </c>
      <c r="D14821" s="3" t="inlineStr">
        <is>
          <t>8480/200</t>
        </is>
      </c>
      <c r="E14821" s="3" t="inlineStr">
        <is>
          <t>Bond - SH23 - STD Bank 532010035</t>
        </is>
      </c>
      <c r="F14821" s="3" t="n">
        <v>3179.1</v>
      </c>
      <c r="G14821" s="3" t="n">
        <v>-1342274.45</v>
      </c>
    </row>
    <row r="14822">
      <c r="A14822" s="3" t="inlineStr">
        <is>
          <t>Quinate Consulting (Pty) Ltd</t>
        </is>
      </c>
      <c r="B14822" s="4" t="n">
        <v>45107</v>
      </c>
      <c r="C14822" s="3" t="inlineStr">
        <is>
          <t>Liabilities</t>
        </is>
      </c>
      <c r="D14822" s="3" t="inlineStr">
        <is>
          <t>8480/300</t>
        </is>
      </c>
      <c r="E14822" s="3" t="inlineStr">
        <is>
          <t>Bond - SH24 - STD Bank 532372662</t>
        </is>
      </c>
      <c r="F14822" s="3" t="n">
        <v>1613.98</v>
      </c>
      <c r="G14822" s="3" t="n">
        <v>-1447191.37</v>
      </c>
    </row>
    <row r="14823">
      <c r="A14823" s="3" t="inlineStr">
        <is>
          <t>Quinate Consulting (Pty) Ltd</t>
        </is>
      </c>
      <c r="B14823" s="4" t="n">
        <v>45107</v>
      </c>
      <c r="C14823" s="3" t="inlineStr">
        <is>
          <t>Liabilities</t>
        </is>
      </c>
      <c r="D14823" s="3" t="inlineStr">
        <is>
          <t>8480/400</t>
        </is>
      </c>
      <c r="E14823" s="3" t="inlineStr">
        <is>
          <t>Bond - SW01 - STD Bank 532920627</t>
        </is>
      </c>
      <c r="F14823" s="3" t="n">
        <v>12715.99</v>
      </c>
      <c r="G14823" s="3" t="n">
        <v>-1243224.06</v>
      </c>
    </row>
    <row r="14824">
      <c r="A14824" s="3" t="inlineStr">
        <is>
          <t>Quinate Consulting (Pty) Ltd</t>
        </is>
      </c>
      <c r="B14824" s="4" t="n">
        <v>45107</v>
      </c>
      <c r="C14824" s="3" t="inlineStr">
        <is>
          <t>Liabilities</t>
        </is>
      </c>
      <c r="D14824" s="3" t="inlineStr">
        <is>
          <t>8480/401</t>
        </is>
      </c>
      <c r="E14824" s="3" t="inlineStr">
        <is>
          <t>Bond - SW21 - STD Bank 532920597</t>
        </is>
      </c>
      <c r="F14824" s="3" t="n">
        <v>12721.03</v>
      </c>
      <c r="G14824" s="3" t="n">
        <v>-1243717.36</v>
      </c>
    </row>
    <row r="14825">
      <c r="A14825" s="3" t="inlineStr">
        <is>
          <t>Opportunity Global Investment (PTY) LTD</t>
        </is>
      </c>
      <c r="B14825" s="4" t="n">
        <v>45107</v>
      </c>
      <c r="C14825" s="3" t="inlineStr">
        <is>
          <t>Liabilities</t>
        </is>
      </c>
      <c r="D14825" s="3" t="inlineStr">
        <is>
          <t>860</t>
        </is>
      </c>
      <c r="E14825" s="3" t="inlineStr">
        <is>
          <t>Rounding</t>
        </is>
      </c>
      <c r="F14825" s="3" t="n">
        <v>0</v>
      </c>
      <c r="G14825" s="3" t="n">
        <v>0.01</v>
      </c>
    </row>
    <row r="14826">
      <c r="A14826" s="3" t="inlineStr">
        <is>
          <t>Opportunity Global Sales (PTY) LTD</t>
        </is>
      </c>
      <c r="B14826" s="4" t="n">
        <v>45107</v>
      </c>
      <c r="C14826" s="3" t="inlineStr">
        <is>
          <t>Liabilities</t>
        </is>
      </c>
      <c r="D14826" s="3" t="inlineStr">
        <is>
          <t>860</t>
        </is>
      </c>
      <c r="E14826" s="3" t="inlineStr">
        <is>
          <t>Rounding</t>
        </is>
      </c>
      <c r="F14826" s="3" t="n">
        <v>0</v>
      </c>
      <c r="G14826" s="3" t="n">
        <v>-1</v>
      </c>
    </row>
    <row r="14827">
      <c r="A14827" s="3" t="inlineStr">
        <is>
          <t>Quinate Consulting (Pty) Ltd</t>
        </is>
      </c>
      <c r="B14827" s="4" t="n">
        <v>45107</v>
      </c>
      <c r="C14827" s="3" t="inlineStr">
        <is>
          <t>Liabilities</t>
        </is>
      </c>
      <c r="D14827" s="3" t="inlineStr">
        <is>
          <t>860</t>
        </is>
      </c>
      <c r="E14827" s="3" t="inlineStr">
        <is>
          <t>Rounding</t>
        </is>
      </c>
      <c r="F14827" s="3" t="n">
        <v>-0.82</v>
      </c>
      <c r="G14827" s="3" t="n">
        <v>-4.05</v>
      </c>
    </row>
    <row r="14828">
      <c r="A14828" s="3" t="inlineStr">
        <is>
          <t>Trademark Holdings (Pty) Ltd</t>
        </is>
      </c>
      <c r="B14828" s="4" t="n">
        <v>45107</v>
      </c>
      <c r="C14828" s="3" t="inlineStr">
        <is>
          <t>Liabilities</t>
        </is>
      </c>
      <c r="D14828" s="3" t="inlineStr">
        <is>
          <t>860</t>
        </is>
      </c>
      <c r="E14828" s="3" t="inlineStr">
        <is>
          <t>Rounding</t>
        </is>
      </c>
      <c r="F14828" s="3" t="n">
        <v>0</v>
      </c>
      <c r="G14828" s="3" t="n">
        <v>0.2</v>
      </c>
    </row>
    <row r="14829">
      <c r="A14829" s="3" t="inlineStr">
        <is>
          <t>Endulini (Pty) Ltd</t>
        </is>
      </c>
      <c r="B14829" s="4" t="n">
        <v>45107</v>
      </c>
      <c r="C14829" s="3" t="inlineStr">
        <is>
          <t>Liabilities</t>
        </is>
      </c>
      <c r="D14829" s="3" t="inlineStr">
        <is>
          <t>9000/000</t>
        </is>
      </c>
      <c r="E14829" s="3" t="inlineStr">
        <is>
          <t>Supplier Control Account</t>
        </is>
      </c>
      <c r="F14829" s="3" t="n">
        <v>1692996.36</v>
      </c>
      <c r="G14829" s="3" t="n">
        <v>-8817434.4</v>
      </c>
    </row>
    <row r="14830">
      <c r="A14830" s="3" t="inlineStr">
        <is>
          <t>Noble Shield (Pty) Ltd ta Go Letting</t>
        </is>
      </c>
      <c r="B14830" s="4" t="n">
        <v>45107</v>
      </c>
      <c r="C14830" s="3" t="inlineStr">
        <is>
          <t>Liabilities</t>
        </is>
      </c>
      <c r="D14830" s="3" t="inlineStr">
        <is>
          <t>9000/000</t>
        </is>
      </c>
      <c r="E14830" s="3" t="inlineStr">
        <is>
          <t>Supplier Control Account</t>
        </is>
      </c>
      <c r="F14830" s="3" t="n">
        <v>2393.25</v>
      </c>
      <c r="G14830" s="3" t="n">
        <v>-25629.34</v>
      </c>
    </row>
    <row r="14831">
      <c r="A14831" s="3" t="inlineStr">
        <is>
          <t>Opportunity Global Investment (PTY) LTD</t>
        </is>
      </c>
      <c r="B14831" s="4" t="n">
        <v>45107</v>
      </c>
      <c r="C14831" s="3" t="inlineStr">
        <is>
          <t>Liabilities</t>
        </is>
      </c>
      <c r="D14831" s="3" t="inlineStr">
        <is>
          <t>9000/000</t>
        </is>
      </c>
      <c r="E14831" s="3" t="inlineStr">
        <is>
          <t>Supplier Control Account</t>
        </is>
      </c>
      <c r="F14831" s="3" t="n">
        <v>17313.96</v>
      </c>
      <c r="G14831" s="3" t="n">
        <v>-41028.21</v>
      </c>
    </row>
    <row r="14832">
      <c r="A14832" s="3" t="inlineStr">
        <is>
          <t>Opportunity Global Sales (PTY) LTD</t>
        </is>
      </c>
      <c r="B14832" s="4" t="n">
        <v>45107</v>
      </c>
      <c r="C14832" s="3" t="inlineStr">
        <is>
          <t>Liabilities</t>
        </is>
      </c>
      <c r="D14832" s="3" t="inlineStr">
        <is>
          <t>9000/000</t>
        </is>
      </c>
      <c r="E14832" s="3" t="inlineStr">
        <is>
          <t>Supplier Control Account</t>
        </is>
      </c>
      <c r="F14832" s="3" t="n">
        <v>23879.43</v>
      </c>
      <c r="G14832" s="3" t="n">
        <v>-23293.88</v>
      </c>
    </row>
    <row r="14833">
      <c r="A14833" s="3" t="inlineStr">
        <is>
          <t>Opportunity Management Holdings (PTY) LTD</t>
        </is>
      </c>
      <c r="B14833" s="4" t="n">
        <v>45107</v>
      </c>
      <c r="C14833" s="3" t="inlineStr">
        <is>
          <t>Liabilities</t>
        </is>
      </c>
      <c r="D14833" s="3" t="inlineStr">
        <is>
          <t>9000/000</t>
        </is>
      </c>
      <c r="E14833" s="3" t="inlineStr">
        <is>
          <t>Supplier Control Account</t>
        </is>
      </c>
      <c r="F14833" s="3" t="n">
        <v>-2018.6</v>
      </c>
      <c r="G14833" s="3" t="n">
        <v>-274174.62</v>
      </c>
    </row>
    <row r="14834">
      <c r="A14834" s="3" t="inlineStr">
        <is>
          <t>Quinate Consulting (Pty) Ltd</t>
        </is>
      </c>
      <c r="B14834" s="4" t="n">
        <v>45107</v>
      </c>
      <c r="C14834" s="3" t="inlineStr">
        <is>
          <t>Liabilities</t>
        </is>
      </c>
      <c r="D14834" s="3" t="inlineStr">
        <is>
          <t>9000/000</t>
        </is>
      </c>
      <c r="E14834" s="3" t="inlineStr">
        <is>
          <t>Supplier Control Account</t>
        </is>
      </c>
      <c r="F14834" s="3" t="n">
        <v>-74921.2</v>
      </c>
      <c r="G14834" s="3" t="n">
        <v>465119.63</v>
      </c>
    </row>
    <row r="14835">
      <c r="A14835" s="3" t="inlineStr">
        <is>
          <t>Trademark Holdings (Pty) Ltd</t>
        </is>
      </c>
      <c r="B14835" s="4" t="n">
        <v>45107</v>
      </c>
      <c r="C14835" s="3" t="inlineStr">
        <is>
          <t>Liabilities</t>
        </is>
      </c>
      <c r="D14835" s="3" t="inlineStr">
        <is>
          <t>9000/000</t>
        </is>
      </c>
      <c r="E14835" s="3" t="inlineStr">
        <is>
          <t>Supplier Control Account</t>
        </is>
      </c>
      <c r="F14835" s="3" t="n">
        <v>7144</v>
      </c>
      <c r="G14835" s="3" t="n">
        <v>-8099.75</v>
      </c>
    </row>
    <row r="14836">
      <c r="A14836" s="3" t="inlineStr">
        <is>
          <t>Quinate Consulting (Pty) Ltd</t>
        </is>
      </c>
      <c r="B14836" s="4" t="n">
        <v>45107</v>
      </c>
      <c r="C14836" s="3" t="inlineStr">
        <is>
          <t>Liabilities</t>
        </is>
      </c>
      <c r="D14836" s="3" t="inlineStr">
        <is>
          <t>9001</t>
        </is>
      </c>
      <c r="E14836" s="3" t="inlineStr">
        <is>
          <t>Supplier Control</t>
        </is>
      </c>
      <c r="F14836" s="3" t="n">
        <v>0</v>
      </c>
      <c r="G14836" s="3" t="n">
        <v>-347315.41</v>
      </c>
    </row>
    <row r="14837">
      <c r="A14837" s="3" t="inlineStr">
        <is>
          <t>Opportunity Management Holdings (PTY) LTD</t>
        </is>
      </c>
      <c r="B14837" s="4" t="n">
        <v>45107</v>
      </c>
      <c r="C14837" s="3" t="inlineStr">
        <is>
          <t>Liabilities</t>
        </is>
      </c>
      <c r="D14837" s="3" t="inlineStr">
        <is>
          <t>9100/000</t>
        </is>
      </c>
      <c r="E14837" s="3" t="inlineStr">
        <is>
          <t>PAYE/UIF/SDL Accrual - Prior Years ADJ</t>
        </is>
      </c>
      <c r="F14837" s="3" t="n">
        <v>0</v>
      </c>
      <c r="G14837" s="3" t="n">
        <v>-33739.36</v>
      </c>
    </row>
    <row r="14838">
      <c r="A14838" s="3" t="inlineStr">
        <is>
          <t>Opportunity Management Holdings (PTY) LTD</t>
        </is>
      </c>
      <c r="B14838" s="4" t="n">
        <v>45107</v>
      </c>
      <c r="C14838" s="3" t="inlineStr">
        <is>
          <t>Assets</t>
        </is>
      </c>
      <c r="D14838" s="3" t="inlineStr">
        <is>
          <t>9110/000</t>
        </is>
      </c>
      <c r="E14838" s="3" t="inlineStr">
        <is>
          <t>Deposit Received</t>
        </is>
      </c>
      <c r="F14838" s="3" t="n">
        <v>0</v>
      </c>
      <c r="G14838" s="3" t="n">
        <v>-3852.5</v>
      </c>
    </row>
    <row r="14839">
      <c r="A14839" s="3" t="inlineStr">
        <is>
          <t>Opportunity Global Investment (PTY) LTD</t>
        </is>
      </c>
      <c r="B14839" s="4" t="n">
        <v>45107</v>
      </c>
      <c r="C14839" s="3" t="inlineStr">
        <is>
          <t>Liabilities</t>
        </is>
      </c>
      <c r="D14839" s="3" t="inlineStr">
        <is>
          <t>9110/000</t>
        </is>
      </c>
      <c r="E14839" s="3" t="inlineStr">
        <is>
          <t>Taxation B/S</t>
        </is>
      </c>
      <c r="F14839" s="3" t="n">
        <v>0</v>
      </c>
      <c r="G14839" s="3" t="n">
        <v>57442.84</v>
      </c>
    </row>
    <row r="14840">
      <c r="A14840" s="3" t="inlineStr">
        <is>
          <t>Noble Shield (Pty) Ltd ta Go Letting</t>
        </is>
      </c>
      <c r="B14840" s="4" t="n">
        <v>45107</v>
      </c>
      <c r="C14840" s="3" t="inlineStr">
        <is>
          <t>Liabilities</t>
        </is>
      </c>
      <c r="D14840" s="3" t="inlineStr">
        <is>
          <t>9250/010</t>
        </is>
      </c>
      <c r="E14840" s="3" t="inlineStr">
        <is>
          <t>SALARY CONTROL</t>
        </is>
      </c>
      <c r="F14840" s="3" t="n">
        <v>-90.34999999999999</v>
      </c>
      <c r="G14840" s="3" t="n">
        <v>-17573.35</v>
      </c>
    </row>
    <row r="14841">
      <c r="A14841" s="3" t="inlineStr">
        <is>
          <t>Opportunity Global Investment (PTY) LTD</t>
        </is>
      </c>
      <c r="B14841" s="4" t="n">
        <v>45107</v>
      </c>
      <c r="C14841" s="3" t="inlineStr">
        <is>
          <t>Liabilities</t>
        </is>
      </c>
      <c r="D14841" s="3" t="inlineStr">
        <is>
          <t>9250/010</t>
        </is>
      </c>
      <c r="E14841" s="3" t="inlineStr">
        <is>
          <t>SALARY CONTROL</t>
        </is>
      </c>
      <c r="F14841" s="3" t="n">
        <v>0</v>
      </c>
      <c r="G14841" s="3" t="n">
        <v>5000</v>
      </c>
    </row>
    <row r="14842">
      <c r="A14842" s="3" t="inlineStr">
        <is>
          <t>Opportunity Global Sales (PTY) LTD</t>
        </is>
      </c>
      <c r="B14842" s="4" t="n">
        <v>45107</v>
      </c>
      <c r="C14842" s="3" t="inlineStr">
        <is>
          <t>Liabilities</t>
        </is>
      </c>
      <c r="D14842" s="3" t="inlineStr">
        <is>
          <t>9250/010</t>
        </is>
      </c>
      <c r="E14842" s="3" t="inlineStr">
        <is>
          <t>SALARY CONTROL</t>
        </is>
      </c>
      <c r="F14842" s="3" t="n">
        <v>-500</v>
      </c>
      <c r="G14842" s="3" t="n">
        <v>-1000.01</v>
      </c>
    </row>
    <row r="14843">
      <c r="A14843" s="3" t="inlineStr">
        <is>
          <t>Opportunity Management Holdings (PTY) LTD</t>
        </is>
      </c>
      <c r="B14843" s="4" t="n">
        <v>45107</v>
      </c>
      <c r="C14843" s="3" t="inlineStr">
        <is>
          <t>Liabilities</t>
        </is>
      </c>
      <c r="D14843" s="3" t="inlineStr">
        <is>
          <t>9250/010</t>
        </is>
      </c>
      <c r="E14843" s="3" t="inlineStr">
        <is>
          <t>SALARY CONTROL</t>
        </is>
      </c>
      <c r="F14843" s="3" t="n">
        <v>5500</v>
      </c>
      <c r="G14843" s="3" t="n">
        <v>0</v>
      </c>
    </row>
    <row r="14844">
      <c r="A14844" s="3" t="inlineStr">
        <is>
          <t>Trademark Holdings (Pty) Ltd</t>
        </is>
      </c>
      <c r="B14844" s="4" t="n">
        <v>45107</v>
      </c>
      <c r="C14844" s="3" t="inlineStr">
        <is>
          <t>Liabilities</t>
        </is>
      </c>
      <c r="D14844" s="3" t="inlineStr">
        <is>
          <t>9250/010</t>
        </is>
      </c>
      <c r="E14844" s="3" t="inlineStr">
        <is>
          <t>SALARY CONTROL</t>
        </is>
      </c>
      <c r="F14844" s="3" t="n">
        <v>575.22</v>
      </c>
      <c r="G14844" s="3" t="n">
        <v>-18711.36</v>
      </c>
    </row>
    <row r="14845">
      <c r="A14845" s="3" t="inlineStr">
        <is>
          <t>Noble Shield (Pty) Ltd ta Go Letting</t>
        </is>
      </c>
      <c r="B14845" s="4" t="n">
        <v>45107</v>
      </c>
      <c r="C14845" s="3" t="inlineStr">
        <is>
          <t>Liabilities</t>
        </is>
      </c>
      <c r="D14845" s="3" t="inlineStr">
        <is>
          <t>9250/020</t>
        </is>
      </c>
      <c r="E14845" s="3" t="inlineStr">
        <is>
          <t>PAYE, UIF AND SDL CONTROL</t>
        </is>
      </c>
      <c r="F14845" s="3" t="n">
        <v>-32.95</v>
      </c>
      <c r="G14845" s="3" t="n">
        <v>-5713.84</v>
      </c>
    </row>
    <row r="14846">
      <c r="A14846" s="3" t="inlineStr">
        <is>
          <t>Opportunity Global Investment (PTY) LTD</t>
        </is>
      </c>
      <c r="B14846" s="4" t="n">
        <v>45107</v>
      </c>
      <c r="C14846" s="3" t="inlineStr">
        <is>
          <t>Liabilities</t>
        </is>
      </c>
      <c r="D14846" s="3" t="inlineStr">
        <is>
          <t>9250/020</t>
        </is>
      </c>
      <c r="E14846" s="3" t="inlineStr">
        <is>
          <t>PAYE, UIF AND SDL CONTROL</t>
        </is>
      </c>
      <c r="F14846" s="3" t="n">
        <v>-3945.32</v>
      </c>
      <c r="G14846" s="3" t="n">
        <v>-48018.19</v>
      </c>
    </row>
    <row r="14847">
      <c r="A14847" s="3" t="inlineStr">
        <is>
          <t>Opportunity Management Holdings (PTY) LTD</t>
        </is>
      </c>
      <c r="B14847" s="4" t="n">
        <v>45107</v>
      </c>
      <c r="C14847" s="3" t="inlineStr">
        <is>
          <t>Liabilities</t>
        </is>
      </c>
      <c r="D14847" s="3" t="inlineStr">
        <is>
          <t>9250/020</t>
        </is>
      </c>
      <c r="E14847" s="3" t="inlineStr">
        <is>
          <t>PAYE, UIF AND SDL CONTROL</t>
        </is>
      </c>
      <c r="F14847" s="3" t="n">
        <v>5437.32</v>
      </c>
      <c r="G14847" s="3" t="n">
        <v>-45645.9</v>
      </c>
    </row>
    <row r="14848">
      <c r="A14848" s="3" t="inlineStr">
        <is>
          <t>Trademark Holdings (Pty) Ltd</t>
        </is>
      </c>
      <c r="B14848" s="4" t="n">
        <v>45107</v>
      </c>
      <c r="C14848" s="3" t="inlineStr">
        <is>
          <t>Liabilities</t>
        </is>
      </c>
      <c r="D14848" s="3" t="inlineStr">
        <is>
          <t>9250/020</t>
        </is>
      </c>
      <c r="E14848" s="3" t="inlineStr">
        <is>
          <t>PAYE, UIF AND SDL CONTROL</t>
        </is>
      </c>
      <c r="F14848" s="3" t="n">
        <v>209.71</v>
      </c>
      <c r="G14848" s="3" t="n">
        <v>-5315.49</v>
      </c>
    </row>
    <row r="14849">
      <c r="A14849" s="3" t="inlineStr">
        <is>
          <t>Opportunity Global Investment (PTY) LTD</t>
        </is>
      </c>
      <c r="B14849" s="4" t="n">
        <v>45107</v>
      </c>
      <c r="C14849" s="3" t="inlineStr">
        <is>
          <t>Liabilities</t>
        </is>
      </c>
      <c r="D14849" s="3" t="inlineStr">
        <is>
          <t>9400/030</t>
        </is>
      </c>
      <c r="E14849" s="3" t="inlineStr">
        <is>
          <t>Accrued Expenses - PAYE_AND_UIF</t>
        </is>
      </c>
      <c r="F14849" s="3" t="n">
        <v>0</v>
      </c>
      <c r="G14849" s="3" t="n">
        <v>-2</v>
      </c>
    </row>
    <row r="14850">
      <c r="A14850" s="3" t="inlineStr">
        <is>
          <t>Trademark Holdings (Pty) Ltd</t>
        </is>
      </c>
      <c r="B14850" s="4" t="n">
        <v>45107</v>
      </c>
      <c r="C14850" s="3" t="inlineStr">
        <is>
          <t>Liabilities</t>
        </is>
      </c>
      <c r="D14850" s="3" t="inlineStr">
        <is>
          <t>9400/400</t>
        </is>
      </c>
      <c r="E14850" s="3" t="inlineStr">
        <is>
          <t>Deemed Dividend Tax</t>
        </is>
      </c>
      <c r="F14850" s="3" t="n">
        <v>0</v>
      </c>
      <c r="G14850" s="3" t="n">
        <v>-699.13</v>
      </c>
    </row>
    <row r="14851">
      <c r="A14851" s="3" t="inlineStr">
        <is>
          <t>Opportunity Global Investment (PTY) LTD</t>
        </is>
      </c>
      <c r="B14851" s="4" t="n">
        <v>45107</v>
      </c>
      <c r="C14851" s="3" t="inlineStr">
        <is>
          <t>Liabilities</t>
        </is>
      </c>
      <c r="D14851" s="3" t="inlineStr">
        <is>
          <t>9500/000</t>
        </is>
      </c>
      <c r="E14851" s="3" t="inlineStr">
        <is>
          <t>VAT Control Account</t>
        </is>
      </c>
      <c r="F14851" s="3" t="n">
        <v>6839.03</v>
      </c>
      <c r="G14851" s="3" t="n">
        <v>819396.38</v>
      </c>
    </row>
    <row r="14852">
      <c r="A14852" s="3" t="inlineStr">
        <is>
          <t>Opportunity Global Sales (PTY) LTD</t>
        </is>
      </c>
      <c r="B14852" s="4" t="n">
        <v>45107</v>
      </c>
      <c r="C14852" s="3" t="inlineStr">
        <is>
          <t>Liabilities</t>
        </is>
      </c>
      <c r="D14852" s="3" t="inlineStr">
        <is>
          <t>9500/000</t>
        </is>
      </c>
      <c r="E14852" s="3" t="inlineStr">
        <is>
          <t>VAT Control Account</t>
        </is>
      </c>
      <c r="F14852" s="3" t="n">
        <v>-34452.51</v>
      </c>
      <c r="G14852" s="3" t="n">
        <v>-877380.9</v>
      </c>
    </row>
    <row r="14853">
      <c r="A14853" s="3" t="inlineStr">
        <is>
          <t>Opportunity Management Holdings (PTY) LTD</t>
        </is>
      </c>
      <c r="B14853" s="4" t="n">
        <v>45107</v>
      </c>
      <c r="C14853" s="3" t="inlineStr">
        <is>
          <t>Liabilities</t>
        </is>
      </c>
      <c r="D14853" s="3" t="inlineStr">
        <is>
          <t>9500/000</t>
        </is>
      </c>
      <c r="E14853" s="3" t="inlineStr">
        <is>
          <t>VAT Control Account</t>
        </is>
      </c>
      <c r="F14853" s="3" t="n">
        <v>-11574.8</v>
      </c>
      <c r="G14853" s="3" t="n">
        <v>68571.92999999999</v>
      </c>
    </row>
    <row r="14854">
      <c r="A14854" s="3" t="inlineStr">
        <is>
          <t>Endulini (Pty) Ltd</t>
        </is>
      </c>
      <c r="B14854" s="4" t="n">
        <v>45107</v>
      </c>
      <c r="C14854" s="3" t="inlineStr">
        <is>
          <t>Liabilities</t>
        </is>
      </c>
      <c r="D14854" s="3" t="inlineStr">
        <is>
          <t>9500/000</t>
        </is>
      </c>
      <c r="E14854" s="3" t="inlineStr">
        <is>
          <t>Vat / Tax Control Account</t>
        </is>
      </c>
      <c r="F14854" s="3" t="n">
        <v>-371576.15</v>
      </c>
      <c r="G14854" s="3" t="n">
        <v>-2408564.92</v>
      </c>
    </row>
    <row r="14855">
      <c r="A14855" s="3" t="inlineStr">
        <is>
          <t>Quinate Consulting (Pty) Ltd</t>
        </is>
      </c>
      <c r="B14855" s="4" t="n">
        <v>45107</v>
      </c>
      <c r="C14855" s="3" t="inlineStr">
        <is>
          <t>Liabilities</t>
        </is>
      </c>
      <c r="D14855" s="3" t="inlineStr">
        <is>
          <t>9500/000</t>
        </is>
      </c>
      <c r="E14855" s="3" t="inlineStr">
        <is>
          <t>Vat Control Account</t>
        </is>
      </c>
      <c r="F14855" s="3" t="n">
        <v>11277.32</v>
      </c>
      <c r="G14855" s="3" t="n">
        <v>1779588.55</v>
      </c>
    </row>
    <row r="14856">
      <c r="A14856" s="3" t="inlineStr">
        <is>
          <t>Opportunity Management Holdings (PTY) LTD</t>
        </is>
      </c>
      <c r="B14856" s="4" t="n">
        <v>45107</v>
      </c>
      <c r="C14856" s="3" t="inlineStr">
        <is>
          <t>Liabilities</t>
        </is>
      </c>
      <c r="D14856" s="3" t="inlineStr">
        <is>
          <t>9501/000</t>
        </is>
      </c>
      <c r="E14856" s="3" t="inlineStr">
        <is>
          <t>Vat Adjustments - C2M</t>
        </is>
      </c>
      <c r="F14856" s="3" t="n">
        <v>0</v>
      </c>
      <c r="G14856" s="3" t="n">
        <v>47274.04</v>
      </c>
    </row>
    <row r="14857">
      <c r="A14857" s="3" t="inlineStr">
        <is>
          <t>Quinate Consulting (Pty) Ltd</t>
        </is>
      </c>
      <c r="B14857" s="4" t="n">
        <v>45107</v>
      </c>
      <c r="C14857" s="3" t="inlineStr">
        <is>
          <t>Liabilities</t>
        </is>
      </c>
      <c r="D14857" s="3" t="inlineStr">
        <is>
          <t>9960/000</t>
        </is>
      </c>
      <c r="E14857" s="3" t="inlineStr">
        <is>
          <t>Deposits - Southwark Rentals</t>
        </is>
      </c>
      <c r="F14857" s="3" t="n">
        <v>0</v>
      </c>
      <c r="G14857" s="3" t="n">
        <v>-11500</v>
      </c>
    </row>
    <row r="14858">
      <c r="A14858" s="3" t="inlineStr">
        <is>
          <t>Noble Shield (Pty) Ltd ta Go Letting</t>
        </is>
      </c>
      <c r="B14858" s="4" t="n">
        <v>45107</v>
      </c>
      <c r="C14858" s="3" t="inlineStr">
        <is>
          <t>Expenses</t>
        </is>
      </c>
      <c r="D14858" s="3" t="inlineStr">
        <is>
          <t>ACB Link</t>
        </is>
      </c>
      <c r="E14858" s="3" t="inlineStr">
        <is>
          <t>Subscriptions - TPN</t>
        </is>
      </c>
      <c r="F14858" s="3" t="n">
        <v>2588.08</v>
      </c>
      <c r="G14858" s="3" t="n">
        <v>22023.61</v>
      </c>
    </row>
    <row r="14859">
      <c r="A14859" s="3" t="inlineStr">
        <is>
          <t>Noble Shield (Pty) Ltd ta Go Letting</t>
        </is>
      </c>
      <c r="B14859" s="4" t="n">
        <v>45107</v>
      </c>
      <c r="C14859" s="3" t="inlineStr">
        <is>
          <t>Liabilities</t>
        </is>
      </c>
      <c r="D14859" s="3" t="inlineStr">
        <is>
          <t>B/S</t>
        </is>
      </c>
      <c r="E14859" s="3" t="inlineStr">
        <is>
          <t>Tax Payable</t>
        </is>
      </c>
      <c r="F14859" s="3" t="n">
        <v>0</v>
      </c>
      <c r="G14859" s="3" t="n">
        <v>-5166.4</v>
      </c>
    </row>
    <row r="14860">
      <c r="A14860" s="3" t="inlineStr">
        <is>
          <t>Quinate Consulting (Pty) Ltd</t>
        </is>
      </c>
      <c r="B14860" s="4" t="n">
        <v>45107</v>
      </c>
      <c r="C14860" s="3" t="inlineStr">
        <is>
          <t>Liabilities</t>
        </is>
      </c>
      <c r="D14860" s="3" t="inlineStr">
        <is>
          <t xml:space="preserve">B/S </t>
        </is>
      </c>
      <c r="E14860" s="3" t="inlineStr">
        <is>
          <t>Taxation Payable</t>
        </is>
      </c>
      <c r="F14860" s="3" t="n">
        <v>0</v>
      </c>
      <c r="G14860" s="3" t="n">
        <v>-15486</v>
      </c>
    </row>
    <row r="14861">
      <c r="A14861" s="3" t="inlineStr">
        <is>
          <t>Quinate Consulting (Pty) Ltd</t>
        </is>
      </c>
      <c r="B14861" s="4" t="n">
        <v>45107</v>
      </c>
      <c r="C14861" s="3" t="inlineStr">
        <is>
          <t>Liabilities</t>
        </is>
      </c>
      <c r="D14861" s="3" t="inlineStr">
        <is>
          <t>FV</t>
        </is>
      </c>
      <c r="E14861" s="3" t="inlineStr">
        <is>
          <t>Loan - Cape Projects Constuction</t>
        </is>
      </c>
      <c r="F14861" s="3" t="n">
        <v>0</v>
      </c>
      <c r="G14861" s="3" t="n">
        <v>-7596187.4</v>
      </c>
    </row>
    <row r="14862">
      <c r="A14862" s="3" t="inlineStr">
        <is>
          <t>Quinate Consulting (Pty) Ltd</t>
        </is>
      </c>
      <c r="B14862" s="4" t="n">
        <v>45107</v>
      </c>
      <c r="C14862" s="3" t="inlineStr">
        <is>
          <t>Liabilities</t>
        </is>
      </c>
      <c r="D14862" s="3" t="inlineStr">
        <is>
          <t>Sharehold OppDev</t>
        </is>
      </c>
      <c r="E14862" s="3" t="inlineStr">
        <is>
          <t>Loan - Justine Morgan</t>
        </is>
      </c>
      <c r="F14862" s="3" t="n">
        <v>0</v>
      </c>
      <c r="G14862" s="3" t="n">
        <v>-563766.76</v>
      </c>
    </row>
    <row r="14863">
      <c r="A14863" s="3" t="inlineStr">
        <is>
          <t>Opportunity Global Sales (PTY) LTD</t>
        </is>
      </c>
      <c r="B14863" s="4" t="n">
        <v>45138</v>
      </c>
      <c r="C14863" s="3" t="inlineStr">
        <is>
          <t>Revenue</t>
        </is>
      </c>
      <c r="D14863" s="3" t="inlineStr">
        <is>
          <t>1000/009</t>
        </is>
      </c>
      <c r="E14863" s="3" t="inlineStr">
        <is>
          <t>Sales - Comm on Payprop</t>
        </is>
      </c>
      <c r="F14863" s="3" t="n">
        <v>-21257.87</v>
      </c>
      <c r="G14863" s="3" t="n">
        <v>-77778.41</v>
      </c>
    </row>
    <row r="14864">
      <c r="A14864" s="3" t="inlineStr">
        <is>
          <t>Quinate Consulting (Pty) Ltd</t>
        </is>
      </c>
      <c r="B14864" s="4" t="n">
        <v>45138</v>
      </c>
      <c r="C14864" s="3" t="inlineStr">
        <is>
          <t>Revenue</t>
        </is>
      </c>
      <c r="D14864" s="3" t="inlineStr">
        <is>
          <t>1000/011</t>
        </is>
      </c>
      <c r="E14864" s="3" t="inlineStr">
        <is>
          <t>Rent Received - Soho Unit 23</t>
        </is>
      </c>
      <c r="F14864" s="3" t="n">
        <v>-12500</v>
      </c>
      <c r="G14864" s="3" t="n">
        <v>-62500</v>
      </c>
    </row>
    <row r="14865">
      <c r="A14865" s="3" t="inlineStr">
        <is>
          <t>Quinate Consulting (Pty) Ltd</t>
        </is>
      </c>
      <c r="B14865" s="4" t="n">
        <v>45138</v>
      </c>
      <c r="C14865" s="3" t="inlineStr">
        <is>
          <t>Revenue</t>
        </is>
      </c>
      <c r="D14865" s="3" t="inlineStr">
        <is>
          <t>1000/012</t>
        </is>
      </c>
      <c r="E14865" s="3" t="inlineStr">
        <is>
          <t>Rent Received - Soho Unit 24</t>
        </is>
      </c>
      <c r="F14865" s="3" t="n">
        <v>-14445</v>
      </c>
      <c r="G14865" s="3" t="n">
        <v>-72225</v>
      </c>
    </row>
    <row r="14866">
      <c r="A14866" s="3" t="inlineStr">
        <is>
          <t>Quinate Consulting (Pty) Ltd</t>
        </is>
      </c>
      <c r="B14866" s="4" t="n">
        <v>45138</v>
      </c>
      <c r="C14866" s="3" t="inlineStr">
        <is>
          <t>Revenue</t>
        </is>
      </c>
      <c r="D14866" s="3" t="inlineStr">
        <is>
          <t>1000/013</t>
        </is>
      </c>
      <c r="E14866" s="3" t="inlineStr">
        <is>
          <t>Rent Recieved - Soho Unit 20</t>
        </is>
      </c>
      <c r="F14866" s="3" t="n">
        <v>-12500</v>
      </c>
      <c r="G14866" s="3" t="n">
        <v>-62500</v>
      </c>
    </row>
    <row r="14867">
      <c r="A14867" s="3" t="inlineStr">
        <is>
          <t>Quinate Consulting (Pty) Ltd</t>
        </is>
      </c>
      <c r="B14867" s="4" t="n">
        <v>45138</v>
      </c>
      <c r="C14867" s="3" t="inlineStr">
        <is>
          <t>Revenue</t>
        </is>
      </c>
      <c r="D14867" s="3" t="inlineStr">
        <is>
          <t>1000/015</t>
        </is>
      </c>
      <c r="E14867" s="3" t="inlineStr">
        <is>
          <t>Rent Received - Southwark Unit 1</t>
        </is>
      </c>
      <c r="F14867" s="3" t="n">
        <v>-11500</v>
      </c>
      <c r="G14867" s="3" t="n">
        <v>-11500</v>
      </c>
    </row>
    <row r="14868">
      <c r="A14868" s="3" t="inlineStr">
        <is>
          <t>Quinate Consulting (Pty) Ltd</t>
        </is>
      </c>
      <c r="B14868" s="4" t="n">
        <v>45138</v>
      </c>
      <c r="C14868" s="3" t="inlineStr">
        <is>
          <t>Revenue</t>
        </is>
      </c>
      <c r="D14868" s="3" t="inlineStr">
        <is>
          <t>1000/016</t>
        </is>
      </c>
      <c r="E14868" s="3" t="inlineStr">
        <is>
          <t>Rent Recieved - Southwark Unit 21</t>
        </is>
      </c>
      <c r="F14868" s="3" t="n">
        <v>-10000</v>
      </c>
      <c r="G14868" s="3" t="n">
        <v>-50000</v>
      </c>
    </row>
    <row r="14869">
      <c r="A14869" s="3" t="inlineStr">
        <is>
          <t>Opportunity Global Sales (PTY) LTD</t>
        </is>
      </c>
      <c r="B14869" s="4" t="n">
        <v>45138</v>
      </c>
      <c r="C14869" s="3" t="inlineStr">
        <is>
          <t>Revenue</t>
        </is>
      </c>
      <c r="D14869" s="3" t="inlineStr">
        <is>
          <t>1000/100</t>
        </is>
      </c>
      <c r="E14869" s="3" t="inlineStr">
        <is>
          <t>Sales - Comm on External Sales</t>
        </is>
      </c>
      <c r="F14869" s="3" t="n">
        <v>0</v>
      </c>
      <c r="G14869" s="3" t="n">
        <v>-104782.61</v>
      </c>
    </row>
    <row r="14870">
      <c r="A14870" s="3" t="inlineStr">
        <is>
          <t>Noble Shield (Pty) Ltd ta Go Letting</t>
        </is>
      </c>
      <c r="B14870" s="4" t="n">
        <v>45138</v>
      </c>
      <c r="C14870" s="3" t="inlineStr">
        <is>
          <t>Revenue</t>
        </is>
      </c>
      <c r="D14870" s="3" t="inlineStr">
        <is>
          <t>1000/100</t>
        </is>
      </c>
      <c r="E14870" s="3" t="inlineStr">
        <is>
          <t>Sales - Payprop 328 - Michelle</t>
        </is>
      </c>
      <c r="F14870" s="3" t="n">
        <v>-58956.12</v>
      </c>
      <c r="G14870" s="3" t="n">
        <v>-828245.03</v>
      </c>
    </row>
    <row r="14871">
      <c r="A14871" s="3" t="inlineStr">
        <is>
          <t>Opportunity Global Sales (PTY) LTD</t>
        </is>
      </c>
      <c r="B14871" s="4" t="n">
        <v>45138</v>
      </c>
      <c r="C14871" s="3" t="inlineStr">
        <is>
          <t>Revenue</t>
        </is>
      </c>
      <c r="D14871" s="3" t="inlineStr">
        <is>
          <t>1000/120</t>
        </is>
      </c>
      <c r="E14871" s="3" t="inlineStr">
        <is>
          <t>Sales - Admin Fees on Rental Units</t>
        </is>
      </c>
      <c r="F14871" s="3" t="n">
        <v>-2608.69</v>
      </c>
      <c r="G14871" s="3" t="n">
        <v>-19195.6</v>
      </c>
    </row>
    <row r="14872">
      <c r="A14872" s="3" t="inlineStr">
        <is>
          <t>Opportunity Global Sales (PTY) LTD</t>
        </is>
      </c>
      <c r="B14872" s="4" t="n">
        <v>45138</v>
      </c>
      <c r="C14872" s="3" t="inlineStr">
        <is>
          <t>Revenue</t>
        </is>
      </c>
      <c r="D14872" s="3" t="inlineStr">
        <is>
          <t>1000/121</t>
        </is>
      </c>
      <c r="E14872" s="3" t="inlineStr">
        <is>
          <t>Sales - Admin Fees on Rental Units Endulini</t>
        </is>
      </c>
      <c r="F14872" s="3" t="n">
        <v>0</v>
      </c>
      <c r="G14872" s="3" t="n">
        <v>-434.78</v>
      </c>
    </row>
    <row r="14873">
      <c r="A14873" s="3" t="inlineStr">
        <is>
          <t>Opportunity Global Sales (PTY) LTD</t>
        </is>
      </c>
      <c r="B14873" s="4" t="n">
        <v>45138</v>
      </c>
      <c r="C14873" s="3" t="inlineStr">
        <is>
          <t>Revenue</t>
        </is>
      </c>
      <c r="D14873" s="3" t="inlineStr">
        <is>
          <t>1000/122</t>
        </is>
      </c>
      <c r="E14873" s="3" t="inlineStr">
        <is>
          <t>Sales - Admin Fees on Rental Units Heron Fields</t>
        </is>
      </c>
      <c r="F14873" s="3" t="n">
        <v>0</v>
      </c>
      <c r="G14873" s="3" t="n">
        <v>-1739.14</v>
      </c>
    </row>
    <row r="14874">
      <c r="A14874" s="3" t="inlineStr">
        <is>
          <t>Opportunity Global Sales (PTY) LTD</t>
        </is>
      </c>
      <c r="B14874" s="4" t="n">
        <v>45138</v>
      </c>
      <c r="C14874" s="3" t="inlineStr">
        <is>
          <t>Revenue</t>
        </is>
      </c>
      <c r="D14874" s="3" t="inlineStr">
        <is>
          <t>1000/150</t>
        </is>
      </c>
      <c r="E14874" s="3" t="inlineStr">
        <is>
          <t>Sales - Comm on External Rental</t>
        </is>
      </c>
      <c r="F14874" s="3" t="n">
        <v>-50608.68</v>
      </c>
      <c r="G14874" s="3" t="n">
        <v>-232186.9</v>
      </c>
    </row>
    <row r="14875">
      <c r="A14875" s="3" t="inlineStr">
        <is>
          <t>Opportunity Global Sales (PTY) LTD</t>
        </is>
      </c>
      <c r="B14875" s="4" t="n">
        <v>45138</v>
      </c>
      <c r="C14875" s="3" t="inlineStr">
        <is>
          <t>Revenue</t>
        </is>
      </c>
      <c r="D14875" s="3" t="inlineStr">
        <is>
          <t>1000/250</t>
        </is>
      </c>
      <c r="E14875" s="3" t="inlineStr">
        <is>
          <t>Sales - Comm on Endulini</t>
        </is>
      </c>
      <c r="F14875" s="3" t="n">
        <v>0</v>
      </c>
      <c r="G14875" s="3" t="n">
        <v>-68256.52</v>
      </c>
    </row>
    <row r="14876">
      <c r="A14876" s="3" t="inlineStr">
        <is>
          <t>Opportunity Global Sales (PTY) LTD</t>
        </is>
      </c>
      <c r="B14876" s="4" t="n">
        <v>45138</v>
      </c>
      <c r="C14876" s="3" t="inlineStr">
        <is>
          <t>Revenue</t>
        </is>
      </c>
      <c r="D14876" s="3" t="inlineStr">
        <is>
          <t>1000/300</t>
        </is>
      </c>
      <c r="E14876" s="3" t="inlineStr">
        <is>
          <t>Sales - Comm on Heron Fields</t>
        </is>
      </c>
      <c r="F14876" s="3" t="n">
        <v>-62604.35</v>
      </c>
      <c r="G14876" s="3" t="n">
        <v>-1273956.53</v>
      </c>
    </row>
    <row r="14877">
      <c r="A14877" s="3" t="inlineStr">
        <is>
          <t>Trademark Holdings (Pty) Ltd</t>
        </is>
      </c>
      <c r="B14877" s="4" t="n">
        <v>45138</v>
      </c>
      <c r="C14877" s="3" t="inlineStr">
        <is>
          <t>Revenue</t>
        </is>
      </c>
      <c r="D14877" s="3" t="inlineStr">
        <is>
          <t>1000/300</t>
        </is>
      </c>
      <c r="E14877" s="3" t="inlineStr">
        <is>
          <t>Sales - Payprop - Lara</t>
        </is>
      </c>
      <c r="F14877" s="3" t="n">
        <v>-62464.02</v>
      </c>
      <c r="G14877" s="3" t="n">
        <v>-938154.41</v>
      </c>
    </row>
    <row r="14878">
      <c r="A14878" s="3" t="inlineStr">
        <is>
          <t>Opportunity Global Investment (PTY) LTD</t>
        </is>
      </c>
      <c r="B14878" s="4" t="n">
        <v>45138</v>
      </c>
      <c r="C14878" s="3" t="inlineStr">
        <is>
          <t>Revenue</t>
        </is>
      </c>
      <c r="D14878" s="3" t="inlineStr">
        <is>
          <t>1000/360</t>
        </is>
      </c>
      <c r="E14878" s="3" t="inlineStr">
        <is>
          <t>Sales - Investor Management - Heron View</t>
        </is>
      </c>
      <c r="F14878" s="3" t="n">
        <v>0</v>
      </c>
      <c r="G14878" s="3" t="n">
        <v>-1826086.96</v>
      </c>
    </row>
    <row r="14879">
      <c r="A14879" s="3" t="inlineStr">
        <is>
          <t>Noble Shield (Pty) Ltd ta Go Letting</t>
        </is>
      </c>
      <c r="B14879" s="4" t="n">
        <v>45138</v>
      </c>
      <c r="C14879" s="3" t="inlineStr">
        <is>
          <t>Revenue</t>
        </is>
      </c>
      <c r="D14879" s="3" t="inlineStr">
        <is>
          <t>1000/420</t>
        </is>
      </c>
      <c r="E14879" s="3" t="inlineStr">
        <is>
          <t>Sales - Commission Received - External</t>
        </is>
      </c>
      <c r="F14879" s="3" t="n">
        <v>0</v>
      </c>
      <c r="G14879" s="3" t="n">
        <v>-148000</v>
      </c>
    </row>
    <row r="14880">
      <c r="A14880" s="3" t="inlineStr">
        <is>
          <t>Trademark Holdings (Pty) Ltd</t>
        </is>
      </c>
      <c r="B14880" s="4" t="n">
        <v>45138</v>
      </c>
      <c r="C14880" s="3" t="inlineStr">
        <is>
          <t>Revenue</t>
        </is>
      </c>
      <c r="D14880" s="3" t="inlineStr">
        <is>
          <t>1000/500</t>
        </is>
      </c>
      <c r="E14880" s="3" t="inlineStr">
        <is>
          <t>Sales - Commission external sale</t>
        </is>
      </c>
      <c r="F14880" s="3" t="n">
        <v>-29950</v>
      </c>
      <c r="G14880" s="3" t="n">
        <v>-109950</v>
      </c>
    </row>
    <row r="14881">
      <c r="A14881" s="3" t="inlineStr">
        <is>
          <t>Quinate Consulting (Pty) Ltd</t>
        </is>
      </c>
      <c r="B14881" s="4" t="n">
        <v>45138</v>
      </c>
      <c r="C14881" s="3" t="inlineStr">
        <is>
          <t>Revenue</t>
        </is>
      </c>
      <c r="D14881" s="3" t="inlineStr">
        <is>
          <t>1004/000</t>
        </is>
      </c>
      <c r="E14881" s="3" t="inlineStr">
        <is>
          <t>Interest received</t>
        </is>
      </c>
      <c r="F14881" s="3" t="n">
        <v>0</v>
      </c>
      <c r="G14881" s="3" t="n">
        <v>-2364.24</v>
      </c>
    </row>
    <row r="14882">
      <c r="A14882" s="3" t="inlineStr">
        <is>
          <t>Quinate Consulting (Pty) Ltd</t>
        </is>
      </c>
      <c r="B14882" s="4" t="n">
        <v>45138</v>
      </c>
      <c r="C14882" s="3" t="inlineStr">
        <is>
          <t>Revenue</t>
        </is>
      </c>
      <c r="D14882" s="3" t="inlineStr">
        <is>
          <t>1006/100</t>
        </is>
      </c>
      <c r="E14882" s="3" t="inlineStr">
        <is>
          <t>Rental income - Payprop</t>
        </is>
      </c>
      <c r="F14882" s="3" t="n">
        <v>-64932.5</v>
      </c>
      <c r="G14882" s="3" t="n">
        <v>-354282.86</v>
      </c>
    </row>
    <row r="14883">
      <c r="A14883" s="3" t="inlineStr">
        <is>
          <t>Quinate Consulting (Pty) Ltd</t>
        </is>
      </c>
      <c r="B14883" s="4" t="n">
        <v>45138</v>
      </c>
      <c r="C14883" s="3" t="inlineStr">
        <is>
          <t>Revenue</t>
        </is>
      </c>
      <c r="D14883" s="3" t="inlineStr">
        <is>
          <t>1006/120</t>
        </is>
      </c>
      <c r="E14883" s="3" t="inlineStr">
        <is>
          <t>Rental Income - D203</t>
        </is>
      </c>
      <c r="F14883" s="3" t="n">
        <v>0</v>
      </c>
      <c r="G14883" s="3" t="n">
        <v>-8000</v>
      </c>
    </row>
    <row r="14884">
      <c r="A14884" s="3" t="inlineStr">
        <is>
          <t>Endulini (Pty) Ltd</t>
        </is>
      </c>
      <c r="B14884" s="4" t="n">
        <v>45138</v>
      </c>
      <c r="C14884" s="3" t="inlineStr">
        <is>
          <t>Revenue</t>
        </is>
      </c>
      <c r="D14884" s="3" t="inlineStr">
        <is>
          <t>1100/000</t>
        </is>
      </c>
      <c r="E14884" s="3" t="inlineStr">
        <is>
          <t>Sales - Endulini</t>
        </is>
      </c>
      <c r="F14884" s="3" t="n">
        <v>0</v>
      </c>
      <c r="G14884" s="3" t="n">
        <v>-2721565.21</v>
      </c>
    </row>
    <row r="14885">
      <c r="A14885" s="3" t="inlineStr">
        <is>
          <t>Opportunity Management Holdings (PTY) LTD</t>
        </is>
      </c>
      <c r="B14885" s="4" t="n">
        <v>45138</v>
      </c>
      <c r="C14885" s="3" t="inlineStr">
        <is>
          <t>Revenue</t>
        </is>
      </c>
      <c r="D14885" s="3" t="inlineStr">
        <is>
          <t>1100/001</t>
        </is>
      </c>
      <c r="E14885" s="3" t="inlineStr">
        <is>
          <t>Salary Recharges</t>
        </is>
      </c>
      <c r="F14885" s="3" t="n">
        <v>-338020</v>
      </c>
      <c r="G14885" s="3" t="n">
        <v>-3863829.06</v>
      </c>
    </row>
    <row r="14886">
      <c r="A14886" s="3" t="inlineStr">
        <is>
          <t>Endulini (Pty) Ltd</t>
        </is>
      </c>
      <c r="B14886" s="4" t="n">
        <v>45138</v>
      </c>
      <c r="C14886" s="3" t="inlineStr">
        <is>
          <t>Revenue</t>
        </is>
      </c>
      <c r="D14886" s="3" t="inlineStr">
        <is>
          <t>1100/200</t>
        </is>
      </c>
      <c r="E14886" s="3" t="inlineStr">
        <is>
          <t>Sales - Endulini occupational rent</t>
        </is>
      </c>
      <c r="F14886" s="3" t="n">
        <v>0</v>
      </c>
      <c r="G14886" s="3" t="n">
        <v>3303.6</v>
      </c>
    </row>
    <row r="14887">
      <c r="A14887" s="3" t="inlineStr">
        <is>
          <t>Opportunity Management Holdings (PTY) LTD</t>
        </is>
      </c>
      <c r="B14887" s="4" t="n">
        <v>45138</v>
      </c>
      <c r="C14887" s="3" t="inlineStr">
        <is>
          <t>Revenue</t>
        </is>
      </c>
      <c r="D14887" s="3" t="inlineStr">
        <is>
          <t>1200/300</t>
        </is>
      </c>
      <c r="E14887" s="3" t="inlineStr">
        <is>
          <t>Management Fees - Heron View</t>
        </is>
      </c>
      <c r="F14887" s="3" t="n">
        <v>0</v>
      </c>
      <c r="G14887" s="3" t="n">
        <v>-350000</v>
      </c>
    </row>
    <row r="14888">
      <c r="A14888" s="3" t="inlineStr">
        <is>
          <t>Endulini (Pty) Ltd</t>
        </is>
      </c>
      <c r="B14888" s="4" t="n">
        <v>45138</v>
      </c>
      <c r="C14888" s="3" t="inlineStr">
        <is>
          <t>Expenses</t>
        </is>
      </c>
      <c r="D14888" s="3" t="inlineStr">
        <is>
          <t>2000/001</t>
        </is>
      </c>
      <c r="E14888" s="3" t="inlineStr">
        <is>
          <t>COS - CIP Construction</t>
        </is>
      </c>
      <c r="F14888" s="3" t="n">
        <v>0</v>
      </c>
      <c r="G14888" s="3" t="n">
        <v>2000</v>
      </c>
    </row>
    <row r="14889">
      <c r="A14889" s="3" t="inlineStr">
        <is>
          <t>Opportunity Global Sales (PTY) LTD</t>
        </is>
      </c>
      <c r="B14889" s="4" t="n">
        <v>45138</v>
      </c>
      <c r="C14889" s="3" t="inlineStr">
        <is>
          <t>Expenses</t>
        </is>
      </c>
      <c r="D14889" s="3" t="inlineStr">
        <is>
          <t>2000/010</t>
        </is>
      </c>
      <c r="E14889" s="3" t="inlineStr">
        <is>
          <t>COS - PAYE on Commission</t>
        </is>
      </c>
      <c r="F14889" s="3" t="n">
        <v>7036.36</v>
      </c>
      <c r="G14889" s="3" t="n">
        <v>119123.93</v>
      </c>
    </row>
    <row r="14890">
      <c r="A14890" s="3" t="inlineStr">
        <is>
          <t>Endulini (Pty) Ltd</t>
        </is>
      </c>
      <c r="B14890" s="4" t="n">
        <v>45138</v>
      </c>
      <c r="C14890" s="3" t="inlineStr">
        <is>
          <t>Expenses</t>
        </is>
      </c>
      <c r="D14890" s="3" t="inlineStr">
        <is>
          <t>2000/100</t>
        </is>
      </c>
      <c r="E14890" s="3" t="inlineStr">
        <is>
          <t>COS - Commission Endulini</t>
        </is>
      </c>
      <c r="F14890" s="3" t="n">
        <v>0</v>
      </c>
      <c r="G14890" s="3" t="n">
        <v>136078.26</v>
      </c>
    </row>
    <row r="14891">
      <c r="A14891" s="3" t="inlineStr">
        <is>
          <t>Noble Shield (Pty) Ltd ta Go Letting</t>
        </is>
      </c>
      <c r="B14891" s="4" t="n">
        <v>45138</v>
      </c>
      <c r="C14891" s="3" t="inlineStr">
        <is>
          <t>Expenses</t>
        </is>
      </c>
      <c r="D14891" s="3" t="inlineStr">
        <is>
          <t>2000/100</t>
        </is>
      </c>
      <c r="E14891" s="3" t="inlineStr">
        <is>
          <t>COS - Commission Paid</t>
        </is>
      </c>
      <c r="F14891" s="3" t="n">
        <v>14060.1</v>
      </c>
      <c r="G14891" s="3" t="n">
        <v>246070.08</v>
      </c>
    </row>
    <row r="14892">
      <c r="A14892" s="3" t="inlineStr">
        <is>
          <t>Opportunity Global Sales (PTY) LTD</t>
        </is>
      </c>
      <c r="B14892" s="4" t="n">
        <v>45138</v>
      </c>
      <c r="C14892" s="3" t="inlineStr">
        <is>
          <t>Expenses</t>
        </is>
      </c>
      <c r="D14892" s="3" t="inlineStr">
        <is>
          <t>2000/125</t>
        </is>
      </c>
      <c r="E14892" s="3" t="inlineStr">
        <is>
          <t>Commission Paid - Referal commission</t>
        </is>
      </c>
      <c r="F14892" s="3" t="n">
        <v>0</v>
      </c>
      <c r="G14892" s="3" t="n">
        <v>74342.61</v>
      </c>
    </row>
    <row r="14893">
      <c r="A14893" s="3" t="inlineStr">
        <is>
          <t>Opportunity Global Sales (PTY) LTD</t>
        </is>
      </c>
      <c r="B14893" s="4" t="n">
        <v>45138</v>
      </c>
      <c r="C14893" s="3" t="inlineStr">
        <is>
          <t>Expenses</t>
        </is>
      </c>
      <c r="D14893" s="3" t="inlineStr">
        <is>
          <t>2000/135</t>
        </is>
      </c>
      <c r="E14893" s="3" t="inlineStr">
        <is>
          <t>COS - Sales Comm External - Minette</t>
        </is>
      </c>
      <c r="F14893" s="3" t="n">
        <v>0</v>
      </c>
      <c r="G14893" s="3" t="n">
        <v>41739.13</v>
      </c>
    </row>
    <row r="14894">
      <c r="A14894" s="3" t="inlineStr">
        <is>
          <t>Opportunity Global Investment (PTY) LTD</t>
        </is>
      </c>
      <c r="B14894" s="4" t="n">
        <v>45138</v>
      </c>
      <c r="C14894" s="3" t="inlineStr">
        <is>
          <t>Expenses</t>
        </is>
      </c>
      <c r="D14894" s="3" t="inlineStr">
        <is>
          <t>2000/135</t>
        </is>
      </c>
      <c r="E14894" s="3" t="inlineStr">
        <is>
          <t>Referral commission - Heron View</t>
        </is>
      </c>
      <c r="F14894" s="3" t="n">
        <v>0</v>
      </c>
      <c r="G14894" s="3" t="n">
        <v>8731.209999999999</v>
      </c>
    </row>
    <row r="14895">
      <c r="A14895" s="3" t="inlineStr">
        <is>
          <t>Opportunity Global Sales (PTY) LTD</t>
        </is>
      </c>
      <c r="B14895" s="4" t="n">
        <v>45138</v>
      </c>
      <c r="C14895" s="3" t="inlineStr">
        <is>
          <t>Expenses</t>
        </is>
      </c>
      <c r="D14895" s="3" t="inlineStr">
        <is>
          <t>2000/137</t>
        </is>
      </c>
      <c r="E14895" s="3" t="inlineStr">
        <is>
          <t>COS - Rental Comm External - Minette</t>
        </is>
      </c>
      <c r="F14895" s="3" t="n">
        <v>18330.44</v>
      </c>
      <c r="G14895" s="3" t="n">
        <v>93137.64</v>
      </c>
    </row>
    <row r="14896">
      <c r="A14896" s="3" t="inlineStr">
        <is>
          <t>Opportunity Global Sales (PTY) LTD</t>
        </is>
      </c>
      <c r="B14896" s="4" t="n">
        <v>45138</v>
      </c>
      <c r="C14896" s="3" t="inlineStr">
        <is>
          <t>Expenses</t>
        </is>
      </c>
      <c r="D14896" s="3" t="inlineStr">
        <is>
          <t>2000/139</t>
        </is>
      </c>
      <c r="E14896" s="3" t="inlineStr">
        <is>
          <t>COS - Sales Comm Heron Fields - Minette</t>
        </is>
      </c>
      <c r="F14896" s="3" t="n">
        <v>0</v>
      </c>
      <c r="G14896" s="3" t="n">
        <v>68099.48</v>
      </c>
    </row>
    <row r="14897">
      <c r="A14897" s="3" t="inlineStr">
        <is>
          <t>Opportunity Global Investment (PTY) LTD</t>
        </is>
      </c>
      <c r="B14897" s="4" t="n">
        <v>45138</v>
      </c>
      <c r="C14897" s="3" t="inlineStr">
        <is>
          <t>Expenses</t>
        </is>
      </c>
      <c r="D14897" s="3" t="inlineStr">
        <is>
          <t>2000/140</t>
        </is>
      </c>
      <c r="E14897" s="3" t="inlineStr">
        <is>
          <t>Referral commission - F Geldenhuys</t>
        </is>
      </c>
      <c r="F14897" s="3" t="n">
        <v>22800</v>
      </c>
      <c r="G14897" s="3" t="n">
        <v>66600</v>
      </c>
    </row>
    <row r="14898">
      <c r="A14898" s="3" t="inlineStr">
        <is>
          <t>Opportunity Global Investment (PTY) LTD</t>
        </is>
      </c>
      <c r="B14898" s="4" t="n">
        <v>45138</v>
      </c>
      <c r="C14898" s="3" t="inlineStr">
        <is>
          <t>Expenses</t>
        </is>
      </c>
      <c r="D14898" s="3" t="inlineStr">
        <is>
          <t>2000/145</t>
        </is>
      </c>
      <c r="E14898" s="3" t="inlineStr">
        <is>
          <t>Referral commission - W Thomason</t>
        </is>
      </c>
      <c r="F14898" s="3" t="n">
        <v>0</v>
      </c>
      <c r="G14898" s="3" t="n">
        <v>12000</v>
      </c>
    </row>
    <row r="14899">
      <c r="A14899" s="3" t="inlineStr">
        <is>
          <t>Opportunity Global Sales (PTY) LTD</t>
        </is>
      </c>
      <c r="B14899" s="4" t="n">
        <v>45138</v>
      </c>
      <c r="C14899" s="3" t="inlineStr">
        <is>
          <t>Expenses</t>
        </is>
      </c>
      <c r="D14899" s="3" t="inlineStr">
        <is>
          <t>2000/147</t>
        </is>
      </c>
      <c r="E14899" s="3" t="inlineStr">
        <is>
          <t>COS - Sales Comm Heron Fields - Yvette</t>
        </is>
      </c>
      <c r="F14899" s="3" t="n">
        <v>10267.11</v>
      </c>
      <c r="G14899" s="3" t="n">
        <v>165264.86</v>
      </c>
    </row>
    <row r="14900">
      <c r="A14900" s="3" t="inlineStr">
        <is>
          <t>Endulini (Pty) Ltd</t>
        </is>
      </c>
      <c r="B14900" s="4" t="n">
        <v>45138</v>
      </c>
      <c r="C14900" s="3" t="inlineStr">
        <is>
          <t>Expenses</t>
        </is>
      </c>
      <c r="D14900" s="3" t="inlineStr">
        <is>
          <t>2000/150</t>
        </is>
      </c>
      <c r="E14900" s="3" t="inlineStr">
        <is>
          <t>COS - Levies special agreement</t>
        </is>
      </c>
      <c r="F14900" s="3" t="n">
        <v>6811.71</v>
      </c>
      <c r="G14900" s="3" t="n">
        <v>37843.71</v>
      </c>
    </row>
    <row r="14901">
      <c r="A14901" s="3" t="inlineStr">
        <is>
          <t>Opportunity Global Sales (PTY) LTD</t>
        </is>
      </c>
      <c r="B14901" s="4" t="n">
        <v>45138</v>
      </c>
      <c r="C14901" s="3" t="inlineStr">
        <is>
          <t>Expenses</t>
        </is>
      </c>
      <c r="D14901" s="3" t="inlineStr">
        <is>
          <t>2000/160</t>
        </is>
      </c>
      <c r="E14901" s="3" t="inlineStr">
        <is>
          <t>COS - Sales Comm Heron View - Minette</t>
        </is>
      </c>
      <c r="F14901" s="3" t="n">
        <v>0</v>
      </c>
      <c r="G14901" s="3" t="n">
        <v>111297.4</v>
      </c>
    </row>
    <row r="14902">
      <c r="A14902" s="3" t="inlineStr">
        <is>
          <t>Opportunity Global Sales (PTY) LTD</t>
        </is>
      </c>
      <c r="B14902" s="4" t="n">
        <v>45138</v>
      </c>
      <c r="C14902" s="3" t="inlineStr">
        <is>
          <t>Expenses</t>
        </is>
      </c>
      <c r="D14902" s="3" t="inlineStr">
        <is>
          <t>2000/162</t>
        </is>
      </c>
      <c r="E14902" s="3" t="inlineStr">
        <is>
          <t>COS - Sales Comm Heron View - Yvette</t>
        </is>
      </c>
      <c r="F14902" s="3" t="n">
        <v>0</v>
      </c>
      <c r="G14902" s="3" t="n">
        <v>12620.16</v>
      </c>
    </row>
    <row r="14903">
      <c r="A14903" s="3" t="inlineStr">
        <is>
          <t>Noble Shield (Pty) Ltd ta Go Letting</t>
        </is>
      </c>
      <c r="B14903" s="4" t="n">
        <v>45138</v>
      </c>
      <c r="C14903" s="3" t="inlineStr">
        <is>
          <t>Expenses</t>
        </is>
      </c>
      <c r="D14903" s="3" t="inlineStr">
        <is>
          <t>2000/200</t>
        </is>
      </c>
      <c r="E14903" s="3" t="inlineStr">
        <is>
          <t>COS - Commission on external sales</t>
        </is>
      </c>
      <c r="F14903" s="3" t="n">
        <v>0</v>
      </c>
      <c r="G14903" s="3" t="n">
        <v>88800</v>
      </c>
    </row>
    <row r="14904">
      <c r="A14904" s="3" t="inlineStr">
        <is>
          <t>Endulini (Pty) Ltd</t>
        </is>
      </c>
      <c r="B14904" s="4" t="n">
        <v>45138</v>
      </c>
      <c r="C14904" s="3" t="inlineStr">
        <is>
          <t>Expenses</t>
        </is>
      </c>
      <c r="D14904" s="3" t="inlineStr">
        <is>
          <t>2000/200</t>
        </is>
      </c>
      <c r="E14904" s="3" t="inlineStr">
        <is>
          <t>COS - Rates clearance</t>
        </is>
      </c>
      <c r="F14904" s="3" t="n">
        <v>22537.64</v>
      </c>
      <c r="G14904" s="3" t="n">
        <v>36025</v>
      </c>
    </row>
    <row r="14905">
      <c r="A14905" s="3" t="inlineStr">
        <is>
          <t>Opportunity Global Sales (PTY) LTD</t>
        </is>
      </c>
      <c r="B14905" s="4" t="n">
        <v>45138</v>
      </c>
      <c r="C14905" s="3" t="inlineStr">
        <is>
          <t>Expenses</t>
        </is>
      </c>
      <c r="D14905" s="3" t="inlineStr">
        <is>
          <t>2000/270</t>
        </is>
      </c>
      <c r="E14905" s="3" t="inlineStr">
        <is>
          <t>COS - Comm Rentals - Mario - External</t>
        </is>
      </c>
      <c r="F14905" s="3" t="n">
        <v>299</v>
      </c>
      <c r="G14905" s="3" t="n">
        <v>1098</v>
      </c>
    </row>
    <row r="14906">
      <c r="A14906" s="3" t="inlineStr">
        <is>
          <t>Opportunity Global Sales (PTY) LTD</t>
        </is>
      </c>
      <c r="B14906" s="4" t="n">
        <v>45138</v>
      </c>
      <c r="C14906" s="3" t="inlineStr">
        <is>
          <t>Expenses</t>
        </is>
      </c>
      <c r="D14906" s="3" t="inlineStr">
        <is>
          <t>2000/275</t>
        </is>
      </c>
      <c r="E14906" s="3" t="inlineStr">
        <is>
          <t>COS - Comm Rentals - Mario - Endulini</t>
        </is>
      </c>
      <c r="F14906" s="3" t="n">
        <v>3205</v>
      </c>
      <c r="G14906" s="3" t="n">
        <v>6945</v>
      </c>
    </row>
    <row r="14907">
      <c r="A14907" s="3" t="inlineStr">
        <is>
          <t>Opportunity Global Sales (PTY) LTD</t>
        </is>
      </c>
      <c r="B14907" s="4" t="n">
        <v>45138</v>
      </c>
      <c r="C14907" s="3" t="inlineStr">
        <is>
          <t>Expenses</t>
        </is>
      </c>
      <c r="D14907" s="3" t="inlineStr">
        <is>
          <t>2000/280</t>
        </is>
      </c>
      <c r="E14907" s="3" t="inlineStr">
        <is>
          <t>COS - Comm Rentals - Mario - Heron Fields</t>
        </is>
      </c>
      <c r="F14907" s="3" t="n">
        <v>4000</v>
      </c>
      <c r="G14907" s="3" t="n">
        <v>7320</v>
      </c>
    </row>
    <row r="14908">
      <c r="A14908" s="3" t="inlineStr">
        <is>
          <t>Trademark Holdings (Pty) Ltd</t>
        </is>
      </c>
      <c r="B14908" s="4" t="n">
        <v>45138</v>
      </c>
      <c r="C14908" s="3" t="inlineStr">
        <is>
          <t>Expenses</t>
        </is>
      </c>
      <c r="D14908" s="3" t="inlineStr">
        <is>
          <t>2000/300</t>
        </is>
      </c>
      <c r="E14908" s="3" t="inlineStr">
        <is>
          <t>COS - Commission Paid</t>
        </is>
      </c>
      <c r="F14908" s="3" t="n">
        <v>15462.35</v>
      </c>
      <c r="G14908" s="3" t="n">
        <v>175580.08</v>
      </c>
    </row>
    <row r="14909">
      <c r="A14909" s="3" t="inlineStr">
        <is>
          <t>Opportunity Global Sales (PTY) LTD</t>
        </is>
      </c>
      <c r="B14909" s="4" t="n">
        <v>45138</v>
      </c>
      <c r="C14909" s="3" t="inlineStr">
        <is>
          <t>Expenses</t>
        </is>
      </c>
      <c r="D14909" s="3" t="inlineStr">
        <is>
          <t>2000/380</t>
        </is>
      </c>
      <c r="E14909" s="3" t="inlineStr">
        <is>
          <t>COS - Overrider Comm Heron Fields - Morne</t>
        </is>
      </c>
      <c r="F14909" s="3" t="n">
        <v>0</v>
      </c>
      <c r="G14909" s="3" t="n">
        <v>27812.03</v>
      </c>
    </row>
    <row r="14910">
      <c r="A14910" s="3" t="inlineStr">
        <is>
          <t>Opportunity Global Sales (PTY) LTD</t>
        </is>
      </c>
      <c r="B14910" s="4" t="n">
        <v>45138</v>
      </c>
      <c r="C14910" s="3" t="inlineStr">
        <is>
          <t>Expenses</t>
        </is>
      </c>
      <c r="D14910" s="3" t="inlineStr">
        <is>
          <t>2000/383</t>
        </is>
      </c>
      <c r="E14910" s="3" t="inlineStr">
        <is>
          <t>COS - Overrider Comm Heron View - Morne</t>
        </is>
      </c>
      <c r="F14910" s="3" t="n">
        <v>0</v>
      </c>
      <c r="G14910" s="3" t="n">
        <v>11679.72</v>
      </c>
    </row>
    <row r="14911">
      <c r="A14911" s="3" t="inlineStr">
        <is>
          <t>Opportunity Global Sales (PTY) LTD</t>
        </is>
      </c>
      <c r="B14911" s="4" t="n">
        <v>45138</v>
      </c>
      <c r="C14911" s="3" t="inlineStr">
        <is>
          <t>Expenses</t>
        </is>
      </c>
      <c r="D14911" s="3" t="inlineStr">
        <is>
          <t>2000/390</t>
        </is>
      </c>
      <c r="E14911" s="3" t="inlineStr">
        <is>
          <t>COS - Overrider Comm External Sales - Morne</t>
        </is>
      </c>
      <c r="F14911" s="3" t="n">
        <v>7080.65</v>
      </c>
      <c r="G14911" s="3" t="n">
        <v>7080.65</v>
      </c>
    </row>
    <row r="14912">
      <c r="A14912" s="3" t="inlineStr">
        <is>
          <t>Trademark Holdings (Pty) Ltd</t>
        </is>
      </c>
      <c r="B14912" s="4" t="n">
        <v>45138</v>
      </c>
      <c r="C14912" s="3" t="inlineStr">
        <is>
          <t>Expenses</t>
        </is>
      </c>
      <c r="D14912" s="3" t="inlineStr">
        <is>
          <t>2000/400</t>
        </is>
      </c>
      <c r="E14912" s="3" t="inlineStr">
        <is>
          <t>COS - Commission on external sales</t>
        </is>
      </c>
      <c r="F14912" s="3" t="n">
        <v>17970</v>
      </c>
      <c r="G14912" s="3" t="n">
        <v>65970</v>
      </c>
    </row>
    <row r="14913">
      <c r="A14913" s="3" t="inlineStr">
        <is>
          <t>Opportunity Global Sales (PTY) LTD</t>
        </is>
      </c>
      <c r="B14913" s="4" t="n">
        <v>45138</v>
      </c>
      <c r="C14913" s="3" t="inlineStr">
        <is>
          <t>Expenses</t>
        </is>
      </c>
      <c r="D14913" s="3" t="inlineStr">
        <is>
          <t>2000/550</t>
        </is>
      </c>
      <c r="E14913" s="3" t="inlineStr">
        <is>
          <t>COS - Electricity Costs Heron Fields</t>
        </is>
      </c>
      <c r="F14913" s="3" t="n">
        <v>0</v>
      </c>
      <c r="G14913" s="3" t="n">
        <v>447.83</v>
      </c>
    </row>
    <row r="14914">
      <c r="A14914" s="3" t="inlineStr">
        <is>
          <t>Opportunity Global Sales (PTY) LTD</t>
        </is>
      </c>
      <c r="B14914" s="4" t="n">
        <v>45138</v>
      </c>
      <c r="C14914" s="3" t="inlineStr">
        <is>
          <t>Expenses</t>
        </is>
      </c>
      <c r="D14914" s="3" t="inlineStr">
        <is>
          <t>2000/600</t>
        </is>
      </c>
      <c r="E14914" s="3" t="inlineStr">
        <is>
          <t>COS - Heron Fields Show House</t>
        </is>
      </c>
      <c r="F14914" s="3" t="n">
        <v>0</v>
      </c>
      <c r="G14914" s="3" t="n">
        <v>201.97</v>
      </c>
    </row>
    <row r="14915">
      <c r="A14915" s="3" t="inlineStr">
        <is>
          <t>Endulini (Pty) Ltd</t>
        </is>
      </c>
      <c r="B14915" s="4" t="n">
        <v>45138</v>
      </c>
      <c r="C14915" s="3" t="inlineStr">
        <is>
          <t>Expenses</t>
        </is>
      </c>
      <c r="D14915" s="3" t="inlineStr">
        <is>
          <t>2000/600</t>
        </is>
      </c>
      <c r="E14915" s="3" t="inlineStr">
        <is>
          <t>COS - Legal fees</t>
        </is>
      </c>
      <c r="F14915" s="3" t="n">
        <v>0</v>
      </c>
      <c r="G14915" s="3" t="n">
        <v>71531.39999999999</v>
      </c>
    </row>
    <row r="14916">
      <c r="A14916" s="3" t="inlineStr">
        <is>
          <t>Quinate Consulting (Pty) Ltd</t>
        </is>
      </c>
      <c r="B14916" s="4" t="n">
        <v>45138</v>
      </c>
      <c r="C14916" s="3" t="inlineStr">
        <is>
          <t>Expenses</t>
        </is>
      </c>
      <c r="D14916" s="3" t="inlineStr">
        <is>
          <t>2001/120</t>
        </is>
      </c>
      <c r="E14916" s="3" t="inlineStr">
        <is>
          <t>COS - Commission - South Wark</t>
        </is>
      </c>
      <c r="F14916" s="3" t="n">
        <v>0</v>
      </c>
      <c r="G14916" s="3" t="n">
        <v>-869.5700000000001</v>
      </c>
    </row>
    <row r="14917">
      <c r="A14917" s="3" t="inlineStr">
        <is>
          <t>Quinate Consulting (Pty) Ltd</t>
        </is>
      </c>
      <c r="B14917" s="4" t="n">
        <v>45138</v>
      </c>
      <c r="C14917" s="3" t="inlineStr">
        <is>
          <t>Expenses</t>
        </is>
      </c>
      <c r="D14917" s="3" t="inlineStr">
        <is>
          <t>2001/210</t>
        </is>
      </c>
      <c r="E14917" s="3" t="inlineStr">
        <is>
          <t>COS - NHBRC</t>
        </is>
      </c>
      <c r="F14917" s="3" t="n">
        <v>0</v>
      </c>
      <c r="G14917" s="3" t="n">
        <v>457.67</v>
      </c>
    </row>
    <row r="14918">
      <c r="A14918" s="3" t="inlineStr">
        <is>
          <t>Quinate Consulting (Pty) Ltd</t>
        </is>
      </c>
      <c r="B14918" s="4" t="n">
        <v>45138</v>
      </c>
      <c r="C14918" s="3" t="inlineStr">
        <is>
          <t>Revenue</t>
        </is>
      </c>
      <c r="D14918" s="3" t="inlineStr">
        <is>
          <t>2400/200</t>
        </is>
      </c>
      <c r="E14918" s="3" t="inlineStr">
        <is>
          <t>Recovery Acc - Electricity SH</t>
        </is>
      </c>
      <c r="F14918" s="3" t="n">
        <v>-31696.4</v>
      </c>
      <c r="G14918" s="3" t="n">
        <v>-121078.29</v>
      </c>
    </row>
    <row r="14919">
      <c r="A14919" s="3" t="inlineStr">
        <is>
          <t>Quinate Consulting (Pty) Ltd</t>
        </is>
      </c>
      <c r="B14919" s="4" t="n">
        <v>45138</v>
      </c>
      <c r="C14919" s="3" t="inlineStr">
        <is>
          <t>Revenue</t>
        </is>
      </c>
      <c r="D14919" s="3" t="inlineStr">
        <is>
          <t>2400/300</t>
        </is>
      </c>
      <c r="E14919" s="3" t="inlineStr">
        <is>
          <t>Recovery Account - Electricity SW</t>
        </is>
      </c>
      <c r="F14919" s="3" t="n">
        <v>-28680.9</v>
      </c>
      <c r="G14919" s="3" t="n">
        <v>-108175.5</v>
      </c>
    </row>
    <row r="14920">
      <c r="A14920" s="3" t="inlineStr">
        <is>
          <t>Endulini (Pty) Ltd</t>
        </is>
      </c>
      <c r="B14920" s="4" t="n">
        <v>45138</v>
      </c>
      <c r="C14920" s="3" t="inlineStr">
        <is>
          <t>Revenue</t>
        </is>
      </c>
      <c r="D14920" s="3" t="inlineStr">
        <is>
          <t>2750/000</t>
        </is>
      </c>
      <c r="E14920" s="3" t="inlineStr">
        <is>
          <t>Interest Received</t>
        </is>
      </c>
      <c r="F14920" s="3" t="n">
        <v>-578.91</v>
      </c>
      <c r="G14920" s="3" t="n">
        <v>-578.91</v>
      </c>
    </row>
    <row r="14921">
      <c r="A14921" s="3" t="inlineStr">
        <is>
          <t>Opportunity Management Holdings (PTY) LTD</t>
        </is>
      </c>
      <c r="B14921" s="4" t="n">
        <v>45138</v>
      </c>
      <c r="C14921" s="3" t="inlineStr">
        <is>
          <t>Revenue</t>
        </is>
      </c>
      <c r="D14921" s="3" t="inlineStr">
        <is>
          <t>2750/000</t>
        </is>
      </c>
      <c r="E14921" s="3" t="inlineStr">
        <is>
          <t>Interest Received</t>
        </is>
      </c>
      <c r="F14921" s="3" t="n">
        <v>0</v>
      </c>
      <c r="G14921" s="3" t="n">
        <v>-391.15</v>
      </c>
    </row>
    <row r="14922">
      <c r="A14922" s="3" t="inlineStr">
        <is>
          <t>Opportunity Global Investment (PTY) LTD</t>
        </is>
      </c>
      <c r="B14922" s="4" t="n">
        <v>45138</v>
      </c>
      <c r="C14922" s="3" t="inlineStr">
        <is>
          <t>Revenue</t>
        </is>
      </c>
      <c r="D14922" s="3" t="inlineStr">
        <is>
          <t>2750/000</t>
        </is>
      </c>
      <c r="E14922" s="3" t="inlineStr">
        <is>
          <t>Interest Received - Bank</t>
        </is>
      </c>
      <c r="F14922" s="3" t="n">
        <v>0</v>
      </c>
      <c r="G14922" s="3" t="n">
        <v>-355.23</v>
      </c>
    </row>
    <row r="14923">
      <c r="A14923" s="3" t="inlineStr">
        <is>
          <t>Opportunity Global Sales (PTY) LTD</t>
        </is>
      </c>
      <c r="B14923" s="4" t="n">
        <v>45138</v>
      </c>
      <c r="C14923" s="3" t="inlineStr">
        <is>
          <t>Revenue</t>
        </is>
      </c>
      <c r="D14923" s="3" t="inlineStr">
        <is>
          <t>2750/000</t>
        </is>
      </c>
      <c r="E14923" s="3" t="inlineStr">
        <is>
          <t>Interest Received - Bank</t>
        </is>
      </c>
      <c r="F14923" s="3" t="n">
        <v>0</v>
      </c>
      <c r="G14923" s="3" t="n">
        <v>-18.82</v>
      </c>
    </row>
    <row r="14924">
      <c r="A14924" s="3" t="inlineStr">
        <is>
          <t>Noble Shield (Pty) Ltd ta Go Letting</t>
        </is>
      </c>
      <c r="B14924" s="4" t="n">
        <v>45138</v>
      </c>
      <c r="C14924" s="3" t="inlineStr">
        <is>
          <t>Revenue</t>
        </is>
      </c>
      <c r="D14924" s="3" t="inlineStr">
        <is>
          <t>2750/100</t>
        </is>
      </c>
      <c r="E14924" s="3" t="inlineStr">
        <is>
          <t>Interest Received - bank</t>
        </is>
      </c>
      <c r="F14924" s="3" t="n">
        <v>-0.22</v>
      </c>
      <c r="G14924" s="3" t="n">
        <v>-1.04</v>
      </c>
    </row>
    <row r="14925">
      <c r="A14925" s="3" t="inlineStr">
        <is>
          <t>Opportunity Global Investment (PTY) LTD</t>
        </is>
      </c>
      <c r="B14925" s="4" t="n">
        <v>45138</v>
      </c>
      <c r="C14925" s="3" t="inlineStr">
        <is>
          <t>Revenue</t>
        </is>
      </c>
      <c r="D14925" s="3" t="inlineStr">
        <is>
          <t>2753/000</t>
        </is>
      </c>
      <c r="E14925" s="3" t="inlineStr">
        <is>
          <t>Interest received - Momentum</t>
        </is>
      </c>
      <c r="F14925" s="3" t="n">
        <v>-34.95</v>
      </c>
      <c r="G14925" s="3" t="n">
        <v>-191.76</v>
      </c>
    </row>
    <row r="14926">
      <c r="A14926" s="3" t="inlineStr">
        <is>
          <t>Endulini (Pty) Ltd</t>
        </is>
      </c>
      <c r="B14926" s="4" t="n">
        <v>45138</v>
      </c>
      <c r="C14926" s="3" t="inlineStr">
        <is>
          <t>Revenue</t>
        </is>
      </c>
      <c r="D14926" s="3" t="inlineStr">
        <is>
          <t>2755/001</t>
        </is>
      </c>
      <c r="E14926" s="3" t="inlineStr">
        <is>
          <t>Interest Received - Momentum</t>
        </is>
      </c>
      <c r="F14926" s="3" t="n">
        <v>0</v>
      </c>
      <c r="G14926" s="3" t="n">
        <v>-54.32</v>
      </c>
    </row>
    <row r="14927">
      <c r="A14927" s="3" t="inlineStr">
        <is>
          <t>Quinate Consulting (Pty) Ltd</t>
        </is>
      </c>
      <c r="B14927" s="4" t="n">
        <v>45138</v>
      </c>
      <c r="C14927" s="3" t="inlineStr">
        <is>
          <t>Revenue</t>
        </is>
      </c>
      <c r="D14927" s="3" t="inlineStr">
        <is>
          <t>2755/001</t>
        </is>
      </c>
      <c r="E14927" s="3" t="inlineStr">
        <is>
          <t>Interest Received - Momentum</t>
        </is>
      </c>
      <c r="F14927" s="3" t="n">
        <v>0</v>
      </c>
      <c r="G14927" s="3" t="n">
        <v>-10.89</v>
      </c>
    </row>
    <row r="14928">
      <c r="A14928" s="3" t="inlineStr">
        <is>
          <t>Opportunity Global Investment (PTY) LTD</t>
        </is>
      </c>
      <c r="B14928" s="4" t="n">
        <v>45138</v>
      </c>
      <c r="C14928" s="3" t="inlineStr">
        <is>
          <t>Expenses</t>
        </is>
      </c>
      <c r="D14928" s="3" t="inlineStr">
        <is>
          <t>3000/100</t>
        </is>
      </c>
      <c r="E14928" s="3" t="inlineStr">
        <is>
          <t>Accounting Fees - Secretarial</t>
        </is>
      </c>
      <c r="F14928" s="3" t="n">
        <v>890</v>
      </c>
      <c r="G14928" s="3" t="n">
        <v>890</v>
      </c>
    </row>
    <row r="14929">
      <c r="A14929" s="3" t="inlineStr">
        <is>
          <t>Opportunity Global Investment (PTY) LTD</t>
        </is>
      </c>
      <c r="B14929" s="4" t="n">
        <v>45138</v>
      </c>
      <c r="C14929" s="3" t="inlineStr">
        <is>
          <t>Expenses</t>
        </is>
      </c>
      <c r="D14929" s="3" t="inlineStr">
        <is>
          <t>3000/150</t>
        </is>
      </c>
      <c r="E14929" s="3" t="inlineStr">
        <is>
          <t>Accounting Fees - Audit</t>
        </is>
      </c>
      <c r="F14929" s="3" t="n">
        <v>10650</v>
      </c>
      <c r="G14929" s="3" t="n">
        <v>10650</v>
      </c>
    </row>
    <row r="14930">
      <c r="A14930" s="3" t="inlineStr">
        <is>
          <t>Noble Shield (Pty) Ltd ta Go Letting</t>
        </is>
      </c>
      <c r="B14930" s="4" t="n">
        <v>45138</v>
      </c>
      <c r="C14930" s="3" t="inlineStr">
        <is>
          <t>Expenses</t>
        </is>
      </c>
      <c r="D14930" s="3" t="inlineStr">
        <is>
          <t>3000/300</t>
        </is>
      </c>
      <c r="E14930" s="3" t="inlineStr">
        <is>
          <t>Accounting Fees - Audit</t>
        </is>
      </c>
      <c r="F14930" s="3" t="n">
        <v>0</v>
      </c>
      <c r="G14930" s="3" t="n">
        <v>22367.5</v>
      </c>
    </row>
    <row r="14931">
      <c r="A14931" s="3" t="inlineStr">
        <is>
          <t>Trademark Holdings (Pty) Ltd</t>
        </is>
      </c>
      <c r="B14931" s="4" t="n">
        <v>45138</v>
      </c>
      <c r="C14931" s="3" t="inlineStr">
        <is>
          <t>Expenses</t>
        </is>
      </c>
      <c r="D14931" s="3" t="inlineStr">
        <is>
          <t>3000/300</t>
        </is>
      </c>
      <c r="E14931" s="3" t="inlineStr">
        <is>
          <t>Accounting Fees - Audit</t>
        </is>
      </c>
      <c r="F14931" s="3" t="n">
        <v>0</v>
      </c>
      <c r="G14931" s="3" t="n">
        <v>22367.5</v>
      </c>
    </row>
    <row r="14932">
      <c r="A14932" s="3" t="inlineStr">
        <is>
          <t>Noble Shield (Pty) Ltd ta Go Letting</t>
        </is>
      </c>
      <c r="B14932" s="4" t="n">
        <v>45138</v>
      </c>
      <c r="C14932" s="3" t="inlineStr">
        <is>
          <t>Expenses</t>
        </is>
      </c>
      <c r="D14932" s="3" t="inlineStr">
        <is>
          <t>3000/400</t>
        </is>
      </c>
      <c r="E14932" s="3" t="inlineStr">
        <is>
          <t>Accounting Fees - CipC</t>
        </is>
      </c>
      <c r="F14932" s="3" t="n">
        <v>200</v>
      </c>
      <c r="G14932" s="3" t="n">
        <v>200</v>
      </c>
    </row>
    <row r="14933">
      <c r="A14933" s="3" t="inlineStr">
        <is>
          <t>Quinate Consulting (Pty) Ltd</t>
        </is>
      </c>
      <c r="B14933" s="4" t="n">
        <v>45138</v>
      </c>
      <c r="C14933" s="3" t="inlineStr">
        <is>
          <t>Expenses</t>
        </is>
      </c>
      <c r="D14933" s="3" t="inlineStr">
        <is>
          <t>3001/000</t>
        </is>
      </c>
      <c r="E14933" s="3" t="inlineStr">
        <is>
          <t>Accounting fees - Other</t>
        </is>
      </c>
      <c r="F14933" s="3" t="n">
        <v>0</v>
      </c>
      <c r="G14933" s="3" t="n">
        <v>6000</v>
      </c>
    </row>
    <row r="14934">
      <c r="A14934" s="3" t="inlineStr">
        <is>
          <t>Quinate Consulting (Pty) Ltd</t>
        </is>
      </c>
      <c r="B14934" s="4" t="n">
        <v>45138</v>
      </c>
      <c r="C14934" s="3" t="inlineStr">
        <is>
          <t>Expenses</t>
        </is>
      </c>
      <c r="D14934" s="3" t="inlineStr">
        <is>
          <t>3002/000</t>
        </is>
      </c>
      <c r="E14934" s="3" t="inlineStr">
        <is>
          <t>Accounting Fees - Tax Dept.</t>
        </is>
      </c>
      <c r="F14934" s="3" t="n">
        <v>0</v>
      </c>
      <c r="G14934" s="3" t="n">
        <v>540</v>
      </c>
    </row>
    <row r="14935">
      <c r="A14935" s="3" t="inlineStr">
        <is>
          <t>Opportunity Management Holdings (PTY) LTD</t>
        </is>
      </c>
      <c r="B14935" s="4" t="n">
        <v>45138</v>
      </c>
      <c r="C14935" s="3" t="inlineStr">
        <is>
          <t>Expenses</t>
        </is>
      </c>
      <c r="D14935" s="3" t="inlineStr">
        <is>
          <t>3004/000</t>
        </is>
      </c>
      <c r="E14935" s="3" t="inlineStr">
        <is>
          <t>Accounting fees - Janine Theart</t>
        </is>
      </c>
      <c r="F14935" s="3" t="n">
        <v>0</v>
      </c>
      <c r="G14935" s="3" t="n">
        <v>73432.16</v>
      </c>
    </row>
    <row r="14936">
      <c r="A14936" s="3" t="inlineStr">
        <is>
          <t>Opportunity Management Holdings (PTY) LTD</t>
        </is>
      </c>
      <c r="B14936" s="4" t="n">
        <v>45138</v>
      </c>
      <c r="C14936" s="3" t="inlineStr">
        <is>
          <t>Expenses</t>
        </is>
      </c>
      <c r="D14936" s="3" t="inlineStr">
        <is>
          <t>3005/000</t>
        </is>
      </c>
      <c r="E14936" s="3" t="inlineStr">
        <is>
          <t>Accounting fees - Deric Dudley</t>
        </is>
      </c>
      <c r="F14936" s="3" t="n">
        <v>56000</v>
      </c>
      <c r="G14936" s="3" t="n">
        <v>328000</v>
      </c>
    </row>
    <row r="14937">
      <c r="A14937" s="3" t="inlineStr">
        <is>
          <t>Opportunity Management Holdings (PTY) LTD</t>
        </is>
      </c>
      <c r="B14937" s="4" t="n">
        <v>45138</v>
      </c>
      <c r="C14937" s="3" t="inlineStr">
        <is>
          <t>Expenses</t>
        </is>
      </c>
      <c r="D14937" s="3" t="inlineStr">
        <is>
          <t>3006/000</t>
        </is>
      </c>
      <c r="E14937" s="3" t="inlineStr">
        <is>
          <t>Accounting fees - CIPC</t>
        </is>
      </c>
      <c r="F14937" s="3" t="n">
        <v>0</v>
      </c>
      <c r="G14937" s="3" t="n">
        <v>1850</v>
      </c>
    </row>
    <row r="14938">
      <c r="A14938" s="3" t="inlineStr">
        <is>
          <t>Opportunity Management Holdings (PTY) LTD</t>
        </is>
      </c>
      <c r="B14938" s="4" t="n">
        <v>45138</v>
      </c>
      <c r="C14938" s="3" t="inlineStr">
        <is>
          <t>Expenses</t>
        </is>
      </c>
      <c r="D14938" s="3" t="inlineStr">
        <is>
          <t>3007/000</t>
        </is>
      </c>
      <c r="E14938" s="3" t="inlineStr">
        <is>
          <t>Accounting fees - Warwick</t>
        </is>
      </c>
      <c r="F14938" s="3" t="n">
        <v>0</v>
      </c>
      <c r="G14938" s="3" t="n">
        <v>54000</v>
      </c>
    </row>
    <row r="14939">
      <c r="A14939" s="3" t="inlineStr">
        <is>
          <t>Endulini (Pty) Ltd</t>
        </is>
      </c>
      <c r="B14939" s="4" t="n">
        <v>45138</v>
      </c>
      <c r="C14939" s="3" t="inlineStr">
        <is>
          <t>Expenses</t>
        </is>
      </c>
      <c r="D14939" s="3" t="inlineStr">
        <is>
          <t>3050/000</t>
        </is>
      </c>
      <c r="E14939" s="3" t="inlineStr">
        <is>
          <t>Advertising _AND_ Promotions</t>
        </is>
      </c>
      <c r="F14939" s="3" t="n">
        <v>0</v>
      </c>
      <c r="G14939" s="3" t="n">
        <v>4180</v>
      </c>
    </row>
    <row r="14940">
      <c r="A14940" s="3" t="inlineStr">
        <is>
          <t>Noble Shield (Pty) Ltd ta Go Letting</t>
        </is>
      </c>
      <c r="B14940" s="4" t="n">
        <v>45138</v>
      </c>
      <c r="C14940" s="3" t="inlineStr">
        <is>
          <t>Expenses</t>
        </is>
      </c>
      <c r="D14940" s="3" t="inlineStr">
        <is>
          <t>3050/000</t>
        </is>
      </c>
      <c r="E14940" s="3" t="inlineStr">
        <is>
          <t>Advertising _AND_ Promotions</t>
        </is>
      </c>
      <c r="F14940" s="3" t="n">
        <v>0</v>
      </c>
      <c r="G14940" s="3" t="n">
        <v>2394.99</v>
      </c>
    </row>
    <row r="14941">
      <c r="A14941" s="3" t="inlineStr">
        <is>
          <t>Opportunity Management Holdings (PTY) LTD</t>
        </is>
      </c>
      <c r="B14941" s="4" t="n">
        <v>45138</v>
      </c>
      <c r="C14941" s="3" t="inlineStr">
        <is>
          <t>Expenses</t>
        </is>
      </c>
      <c r="D14941" s="3" t="inlineStr">
        <is>
          <t>3050/000</t>
        </is>
      </c>
      <c r="E14941" s="3" t="inlineStr">
        <is>
          <t>Advertising _AND_ Promotions</t>
        </is>
      </c>
      <c r="F14941" s="3" t="n">
        <v>0</v>
      </c>
      <c r="G14941" s="3" t="n">
        <v>500</v>
      </c>
    </row>
    <row r="14942">
      <c r="A14942" s="3" t="inlineStr">
        <is>
          <t>Trademark Holdings (Pty) Ltd</t>
        </is>
      </c>
      <c r="B14942" s="4" t="n">
        <v>45138</v>
      </c>
      <c r="C14942" s="3" t="inlineStr">
        <is>
          <t>Expenses</t>
        </is>
      </c>
      <c r="D14942" s="3" t="inlineStr">
        <is>
          <t>3050/000</t>
        </is>
      </c>
      <c r="E14942" s="3" t="inlineStr">
        <is>
          <t>Advertising _AND_ Promotions</t>
        </is>
      </c>
      <c r="F14942" s="3" t="n">
        <v>0</v>
      </c>
      <c r="G14942" s="3" t="n">
        <v>6852.5</v>
      </c>
    </row>
    <row r="14943">
      <c r="A14943" s="3" t="inlineStr">
        <is>
          <t>Opportunity Global Investment (PTY) LTD</t>
        </is>
      </c>
      <c r="B14943" s="4" t="n">
        <v>45138</v>
      </c>
      <c r="C14943" s="3" t="inlineStr">
        <is>
          <t>Expenses</t>
        </is>
      </c>
      <c r="D14943" s="3" t="inlineStr">
        <is>
          <t>3050/000</t>
        </is>
      </c>
      <c r="E14943" s="3" t="inlineStr">
        <is>
          <t>Advertising and Promotions</t>
        </is>
      </c>
      <c r="F14943" s="3" t="n">
        <v>95.64</v>
      </c>
      <c r="G14943" s="3" t="n">
        <v>1936.92</v>
      </c>
    </row>
    <row r="14944">
      <c r="A14944" s="3" t="inlineStr">
        <is>
          <t>Opportunity Global Sales (PTY) LTD</t>
        </is>
      </c>
      <c r="B14944" s="4" t="n">
        <v>45138</v>
      </c>
      <c r="C14944" s="3" t="inlineStr">
        <is>
          <t>Expenses</t>
        </is>
      </c>
      <c r="D14944" s="3" t="inlineStr">
        <is>
          <t>3050/000</t>
        </is>
      </c>
      <c r="E14944" s="3" t="inlineStr">
        <is>
          <t>Advertising and Promotions</t>
        </is>
      </c>
      <c r="F14944" s="3" t="n">
        <v>66.67</v>
      </c>
      <c r="G14944" s="3" t="n">
        <v>18164.18</v>
      </c>
    </row>
    <row r="14945">
      <c r="A14945" s="3" t="inlineStr">
        <is>
          <t>Endulini (Pty) Ltd</t>
        </is>
      </c>
      <c r="B14945" s="4" t="n">
        <v>45138</v>
      </c>
      <c r="C14945" s="3" t="inlineStr">
        <is>
          <t>Expenses</t>
        </is>
      </c>
      <c r="D14945" s="3" t="inlineStr">
        <is>
          <t>3050/001</t>
        </is>
      </c>
      <c r="E14945" s="3" t="inlineStr">
        <is>
          <t>Advertising _AND_ Promotions - Media Agenda</t>
        </is>
      </c>
      <c r="F14945" s="3" t="n">
        <v>575</v>
      </c>
      <c r="G14945" s="3" t="n">
        <v>4312.5</v>
      </c>
    </row>
    <row r="14946">
      <c r="A14946" s="3" t="inlineStr">
        <is>
          <t>Noble Shield (Pty) Ltd ta Go Letting</t>
        </is>
      </c>
      <c r="B14946" s="4" t="n">
        <v>45138</v>
      </c>
      <c r="C14946" s="3" t="inlineStr">
        <is>
          <t>Expenses</t>
        </is>
      </c>
      <c r="D14946" s="3" t="inlineStr">
        <is>
          <t>3050/038</t>
        </is>
      </c>
      <c r="E14946" s="3" t="inlineStr">
        <is>
          <t>Advertsing - Show Boards</t>
        </is>
      </c>
      <c r="F14946" s="3" t="n">
        <v>0</v>
      </c>
      <c r="G14946" s="3" t="n">
        <v>5520</v>
      </c>
    </row>
    <row r="14947">
      <c r="A14947" s="3" t="inlineStr">
        <is>
          <t>Noble Shield (Pty) Ltd ta Go Letting</t>
        </is>
      </c>
      <c r="B14947" s="4" t="n">
        <v>45138</v>
      </c>
      <c r="C14947" s="3" t="inlineStr">
        <is>
          <t>Expenses</t>
        </is>
      </c>
      <c r="D14947" s="3" t="inlineStr">
        <is>
          <t>3050/050</t>
        </is>
      </c>
      <c r="E14947" s="3" t="inlineStr">
        <is>
          <t>Advertising - Prop 24</t>
        </is>
      </c>
      <c r="F14947" s="3" t="n">
        <v>3336.15</v>
      </c>
      <c r="G14947" s="3" t="n">
        <v>36644.75</v>
      </c>
    </row>
    <row r="14948">
      <c r="A14948" s="3" t="inlineStr">
        <is>
          <t>Opportunity Global Sales (PTY) LTD</t>
        </is>
      </c>
      <c r="B14948" s="4" t="n">
        <v>45138</v>
      </c>
      <c r="C14948" s="3" t="inlineStr">
        <is>
          <t>Expenses</t>
        </is>
      </c>
      <c r="D14948" s="3" t="inlineStr">
        <is>
          <t>3050/100</t>
        </is>
      </c>
      <c r="E14948" s="3" t="inlineStr">
        <is>
          <t>Advertising - Facebook</t>
        </is>
      </c>
      <c r="F14948" s="3" t="n">
        <v>0</v>
      </c>
      <c r="G14948" s="3" t="n">
        <v>2279.78</v>
      </c>
    </row>
    <row r="14949">
      <c r="A14949" s="3" t="inlineStr">
        <is>
          <t>Opportunity Global Sales (PTY) LTD</t>
        </is>
      </c>
      <c r="B14949" s="4" t="n">
        <v>45138</v>
      </c>
      <c r="C14949" s="3" t="inlineStr">
        <is>
          <t>Expenses</t>
        </is>
      </c>
      <c r="D14949" s="3" t="inlineStr">
        <is>
          <t>3050/140</t>
        </is>
      </c>
      <c r="E14949" s="3" t="inlineStr">
        <is>
          <t>Advertising - Media Agenda</t>
        </is>
      </c>
      <c r="F14949" s="3" t="n">
        <v>0</v>
      </c>
      <c r="G14949" s="3" t="n">
        <v>10912.5</v>
      </c>
    </row>
    <row r="14950">
      <c r="A14950" s="3" t="inlineStr">
        <is>
          <t>Opportunity Global Sales (PTY) LTD</t>
        </is>
      </c>
      <c r="B14950" s="4" t="n">
        <v>45138</v>
      </c>
      <c r="C14950" s="3" t="inlineStr">
        <is>
          <t>Expenses</t>
        </is>
      </c>
      <c r="D14950" s="3" t="inlineStr">
        <is>
          <t>3050/200</t>
        </is>
      </c>
      <c r="E14950" s="3" t="inlineStr">
        <is>
          <t>Advertising - Design</t>
        </is>
      </c>
      <c r="F14950" s="3" t="n">
        <v>0</v>
      </c>
      <c r="G14950" s="3" t="n">
        <v>35000</v>
      </c>
    </row>
    <row r="14951">
      <c r="A14951" s="3" t="inlineStr">
        <is>
          <t>Opportunity Global Investment (PTY) LTD</t>
        </is>
      </c>
      <c r="B14951" s="4" t="n">
        <v>45138</v>
      </c>
      <c r="C14951" s="3" t="inlineStr">
        <is>
          <t>Expenses</t>
        </is>
      </c>
      <c r="D14951" s="3" t="inlineStr">
        <is>
          <t>3050/240</t>
        </is>
      </c>
      <c r="E14951" s="3" t="inlineStr">
        <is>
          <t>Advertising - Realmarketing</t>
        </is>
      </c>
      <c r="F14951" s="3" t="n">
        <v>46000</v>
      </c>
      <c r="G14951" s="3" t="n">
        <v>46000</v>
      </c>
    </row>
    <row r="14952">
      <c r="A14952" s="3" t="inlineStr">
        <is>
          <t>Opportunity Global Investment (PTY) LTD</t>
        </is>
      </c>
      <c r="B14952" s="4" t="n">
        <v>45138</v>
      </c>
      <c r="C14952" s="3" t="inlineStr">
        <is>
          <t>Expenses</t>
        </is>
      </c>
      <c r="D14952" s="3" t="inlineStr">
        <is>
          <t>3050/250</t>
        </is>
      </c>
      <c r="E14952" s="3" t="inlineStr">
        <is>
          <t>Advertising - General</t>
        </is>
      </c>
      <c r="F14952" s="3" t="n">
        <v>1000</v>
      </c>
      <c r="G14952" s="3" t="n">
        <v>50859.6</v>
      </c>
    </row>
    <row r="14953">
      <c r="A14953" s="3" t="inlineStr">
        <is>
          <t>Opportunity Global Sales (PTY) LTD</t>
        </is>
      </c>
      <c r="B14953" s="4" t="n">
        <v>45138</v>
      </c>
      <c r="C14953" s="3" t="inlineStr">
        <is>
          <t>Expenses</t>
        </is>
      </c>
      <c r="D14953" s="3" t="inlineStr">
        <is>
          <t>3050/250</t>
        </is>
      </c>
      <c r="E14953" s="3" t="inlineStr">
        <is>
          <t>Advertising - General</t>
        </is>
      </c>
      <c r="F14953" s="3" t="n">
        <v>956</v>
      </c>
      <c r="G14953" s="3" t="n">
        <v>3799.94</v>
      </c>
    </row>
    <row r="14954">
      <c r="A14954" s="3" t="inlineStr">
        <is>
          <t>Opportunity Global Investment (PTY) LTD</t>
        </is>
      </c>
      <c r="B14954" s="4" t="n">
        <v>45138</v>
      </c>
      <c r="C14954" s="3" t="inlineStr">
        <is>
          <t>Expenses</t>
        </is>
      </c>
      <c r="D14954" s="3" t="inlineStr">
        <is>
          <t>3050/270</t>
        </is>
      </c>
      <c r="E14954" s="3" t="inlineStr">
        <is>
          <t>Advertising - Radia and TV Interviews</t>
        </is>
      </c>
      <c r="F14954" s="3" t="n">
        <v>10000</v>
      </c>
      <c r="G14954" s="3" t="n">
        <v>78797.5</v>
      </c>
    </row>
    <row r="14955">
      <c r="A14955" s="3" t="inlineStr">
        <is>
          <t>Opportunity Global Investment (PTY) LTD</t>
        </is>
      </c>
      <c r="B14955" s="4" t="n">
        <v>45138</v>
      </c>
      <c r="C14955" s="3" t="inlineStr">
        <is>
          <t>Expenses</t>
        </is>
      </c>
      <c r="D14955" s="3" t="inlineStr">
        <is>
          <t>3050/290</t>
        </is>
      </c>
      <c r="E14955" s="3" t="inlineStr">
        <is>
          <t>Advertising - Serene Living</t>
        </is>
      </c>
      <c r="F14955" s="3" t="n">
        <v>65086</v>
      </c>
      <c r="G14955" s="3" t="n">
        <v>325430</v>
      </c>
    </row>
    <row r="14956">
      <c r="A14956" s="3" t="inlineStr">
        <is>
          <t>Opportunity Global Investment (PTY) LTD</t>
        </is>
      </c>
      <c r="B14956" s="4" t="n">
        <v>45138</v>
      </c>
      <c r="C14956" s="3" t="inlineStr">
        <is>
          <t>Expenses</t>
        </is>
      </c>
      <c r="D14956" s="3" t="inlineStr">
        <is>
          <t>3050/295</t>
        </is>
      </c>
      <c r="E14956" s="3" t="inlineStr">
        <is>
          <t>Advertising - Reale Activation</t>
        </is>
      </c>
      <c r="F14956" s="3" t="n">
        <v>0</v>
      </c>
      <c r="G14956" s="3" t="n">
        <v>30397.22</v>
      </c>
    </row>
    <row r="14957">
      <c r="A14957" s="3" t="inlineStr">
        <is>
          <t>Opportunity Global Investment (PTY) LTD</t>
        </is>
      </c>
      <c r="B14957" s="4" t="n">
        <v>45138</v>
      </c>
      <c r="C14957" s="3" t="inlineStr">
        <is>
          <t>Expenses</t>
        </is>
      </c>
      <c r="D14957" s="3" t="inlineStr">
        <is>
          <t>3050/300</t>
        </is>
      </c>
      <c r="E14957" s="3" t="inlineStr">
        <is>
          <t>Advertising - Design</t>
        </is>
      </c>
      <c r="F14957" s="3" t="n">
        <v>1800</v>
      </c>
      <c r="G14957" s="3" t="n">
        <v>5850</v>
      </c>
    </row>
    <row r="14958">
      <c r="A14958" s="3" t="inlineStr">
        <is>
          <t>Quinate Consulting (Pty) Ltd</t>
        </is>
      </c>
      <c r="B14958" s="4" t="n">
        <v>45138</v>
      </c>
      <c r="C14958" s="3" t="inlineStr">
        <is>
          <t>Expenses</t>
        </is>
      </c>
      <c r="D14958" s="3" t="inlineStr">
        <is>
          <t>3050/400</t>
        </is>
      </c>
      <c r="E14958" s="3" t="inlineStr">
        <is>
          <t>Advertising - Prop24</t>
        </is>
      </c>
      <c r="F14958" s="3" t="n">
        <v>10464.48</v>
      </c>
      <c r="G14958" s="3" t="n">
        <v>56513.5</v>
      </c>
    </row>
    <row r="14959">
      <c r="A14959" s="3" t="inlineStr">
        <is>
          <t>Quinate Consulting (Pty) Ltd</t>
        </is>
      </c>
      <c r="B14959" s="4" t="n">
        <v>45138</v>
      </c>
      <c r="C14959" s="3" t="inlineStr">
        <is>
          <t>Expenses</t>
        </is>
      </c>
      <c r="D14959" s="3" t="inlineStr">
        <is>
          <t>3050/450</t>
        </is>
      </c>
      <c r="E14959" s="3" t="inlineStr">
        <is>
          <t>Advertising - Facebook</t>
        </is>
      </c>
      <c r="F14959" s="3" t="n">
        <v>10550.58</v>
      </c>
      <c r="G14959" s="3" t="n">
        <v>49020.49</v>
      </c>
    </row>
    <row r="14960">
      <c r="A14960" s="3" t="inlineStr">
        <is>
          <t>Opportunity Global Investment (PTY) LTD</t>
        </is>
      </c>
      <c r="B14960" s="4" t="n">
        <v>45138</v>
      </c>
      <c r="C14960" s="3" t="inlineStr">
        <is>
          <t>Expenses</t>
        </is>
      </c>
      <c r="D14960" s="3" t="inlineStr">
        <is>
          <t>3051/000</t>
        </is>
      </c>
      <c r="E14960" s="3" t="inlineStr">
        <is>
          <t>Advertising - Facebook</t>
        </is>
      </c>
      <c r="F14960" s="3" t="n">
        <v>17121.79</v>
      </c>
      <c r="G14960" s="3" t="n">
        <v>84132.3</v>
      </c>
    </row>
    <row r="14961">
      <c r="A14961" s="3" t="inlineStr">
        <is>
          <t>Opportunity Management Holdings (PTY) LTD</t>
        </is>
      </c>
      <c r="B14961" s="4" t="n">
        <v>45138</v>
      </c>
      <c r="C14961" s="3" t="inlineStr">
        <is>
          <t>Expenses</t>
        </is>
      </c>
      <c r="D14961" s="3" t="inlineStr">
        <is>
          <t>3052/000</t>
        </is>
      </c>
      <c r="E14961" s="3" t="inlineStr">
        <is>
          <t>Advertsing _AND_ Marketing - Website</t>
        </is>
      </c>
      <c r="F14961" s="3" t="n">
        <v>0</v>
      </c>
      <c r="G14961" s="3" t="n">
        <v>287.5</v>
      </c>
    </row>
    <row r="14962">
      <c r="A14962" s="3" t="inlineStr">
        <is>
          <t>Opportunity Global Investment (PTY) LTD</t>
        </is>
      </c>
      <c r="B14962" s="4" t="n">
        <v>45138</v>
      </c>
      <c r="C14962" s="3" t="inlineStr">
        <is>
          <t>Expenses</t>
        </is>
      </c>
      <c r="D14962" s="3" t="inlineStr">
        <is>
          <t>3053/000</t>
        </is>
      </c>
      <c r="E14962" s="3" t="inlineStr">
        <is>
          <t>Advertising - Google Ads</t>
        </is>
      </c>
      <c r="F14962" s="3" t="n">
        <v>479.68</v>
      </c>
      <c r="G14962" s="3" t="n">
        <v>5587.53</v>
      </c>
    </row>
    <row r="14963">
      <c r="A14963" s="3" t="inlineStr">
        <is>
          <t>Endulini (Pty) Ltd</t>
        </is>
      </c>
      <c r="B14963" s="4" t="n">
        <v>45138</v>
      </c>
      <c r="C14963" s="3" t="inlineStr">
        <is>
          <t>Expenses</t>
        </is>
      </c>
      <c r="D14963" s="3" t="inlineStr">
        <is>
          <t>3200/000</t>
        </is>
      </c>
      <c r="E14963" s="3" t="inlineStr">
        <is>
          <t>Bank Charges</t>
        </is>
      </c>
      <c r="F14963" s="3" t="n">
        <v>356.08</v>
      </c>
      <c r="G14963" s="3" t="n">
        <v>1212.94</v>
      </c>
    </row>
    <row r="14964">
      <c r="A14964" s="3" t="inlineStr">
        <is>
          <t>Noble Shield (Pty) Ltd ta Go Letting</t>
        </is>
      </c>
      <c r="B14964" s="4" t="n">
        <v>45138</v>
      </c>
      <c r="C14964" s="3" t="inlineStr">
        <is>
          <t>Expenses</t>
        </is>
      </c>
      <c r="D14964" s="3" t="inlineStr">
        <is>
          <t>3200/000</t>
        </is>
      </c>
      <c r="E14964" s="3" t="inlineStr">
        <is>
          <t>Bank Charges</t>
        </is>
      </c>
      <c r="F14964" s="3" t="n">
        <v>618.08</v>
      </c>
      <c r="G14964" s="3" t="n">
        <v>7085.65</v>
      </c>
    </row>
    <row r="14965">
      <c r="A14965" s="3" t="inlineStr">
        <is>
          <t>Opportunity Global Investment (PTY) LTD</t>
        </is>
      </c>
      <c r="B14965" s="4" t="n">
        <v>45138</v>
      </c>
      <c r="C14965" s="3" t="inlineStr">
        <is>
          <t>Expenses</t>
        </is>
      </c>
      <c r="D14965" s="3" t="inlineStr">
        <is>
          <t>3200/000</t>
        </is>
      </c>
      <c r="E14965" s="3" t="inlineStr">
        <is>
          <t>Bank Charges</t>
        </is>
      </c>
      <c r="F14965" s="3" t="n">
        <v>360.45</v>
      </c>
      <c r="G14965" s="3" t="n">
        <v>2159.88</v>
      </c>
    </row>
    <row r="14966">
      <c r="A14966" s="3" t="inlineStr">
        <is>
          <t>Opportunity Global Sales (PTY) LTD</t>
        </is>
      </c>
      <c r="B14966" s="4" t="n">
        <v>45138</v>
      </c>
      <c r="C14966" s="3" t="inlineStr">
        <is>
          <t>Expenses</t>
        </is>
      </c>
      <c r="D14966" s="3" t="inlineStr">
        <is>
          <t>3200/000</t>
        </is>
      </c>
      <c r="E14966" s="3" t="inlineStr">
        <is>
          <t>Bank Charges</t>
        </is>
      </c>
      <c r="F14966" s="3" t="n">
        <v>541.29</v>
      </c>
      <c r="G14966" s="3" t="n">
        <v>2403.5</v>
      </c>
    </row>
    <row r="14967">
      <c r="A14967" s="3" t="inlineStr">
        <is>
          <t>Opportunity Management Holdings (PTY) LTD</t>
        </is>
      </c>
      <c r="B14967" s="4" t="n">
        <v>45138</v>
      </c>
      <c r="C14967" s="3" t="inlineStr">
        <is>
          <t>Expenses</t>
        </is>
      </c>
      <c r="D14967" s="3" t="inlineStr">
        <is>
          <t>3200/000</t>
        </is>
      </c>
      <c r="E14967" s="3" t="inlineStr">
        <is>
          <t>Bank Charges</t>
        </is>
      </c>
      <c r="F14967" s="3" t="n">
        <v>850.46</v>
      </c>
      <c r="G14967" s="3" t="n">
        <v>8705.85</v>
      </c>
    </row>
    <row r="14968">
      <c r="A14968" s="3" t="inlineStr">
        <is>
          <t>Quinate Consulting (Pty) Ltd</t>
        </is>
      </c>
      <c r="B14968" s="4" t="n">
        <v>45138</v>
      </c>
      <c r="C14968" s="3" t="inlineStr">
        <is>
          <t>Expenses</t>
        </is>
      </c>
      <c r="D14968" s="3" t="inlineStr">
        <is>
          <t>3200/000</t>
        </is>
      </c>
      <c r="E14968" s="3" t="inlineStr">
        <is>
          <t>Bank Charges</t>
        </is>
      </c>
      <c r="F14968" s="3" t="n">
        <v>532.16</v>
      </c>
      <c r="G14968" s="3" t="n">
        <v>4798.87</v>
      </c>
    </row>
    <row r="14969">
      <c r="A14969" s="3" t="inlineStr">
        <is>
          <t>Trademark Holdings (Pty) Ltd</t>
        </is>
      </c>
      <c r="B14969" s="4" t="n">
        <v>45138</v>
      </c>
      <c r="C14969" s="3" t="inlineStr">
        <is>
          <t>Expenses</t>
        </is>
      </c>
      <c r="D14969" s="3" t="inlineStr">
        <is>
          <t>3200/000</t>
        </is>
      </c>
      <c r="E14969" s="3" t="inlineStr">
        <is>
          <t>Bank Charges</t>
        </is>
      </c>
      <c r="F14969" s="3" t="n">
        <v>297.86</v>
      </c>
      <c r="G14969" s="3" t="n">
        <v>3923.14</v>
      </c>
    </row>
    <row r="14970">
      <c r="A14970" s="3" t="inlineStr">
        <is>
          <t>Quinate Consulting (Pty) Ltd</t>
        </is>
      </c>
      <c r="B14970" s="4" t="n">
        <v>45138</v>
      </c>
      <c r="C14970" s="3" t="inlineStr">
        <is>
          <t>Expenses</t>
        </is>
      </c>
      <c r="D14970" s="3" t="inlineStr">
        <is>
          <t>3220/000</t>
        </is>
      </c>
      <c r="E14970" s="3" t="inlineStr">
        <is>
          <t>Bank Charges - Bond Fees</t>
        </is>
      </c>
      <c r="F14970" s="3" t="n">
        <v>1191.32</v>
      </c>
      <c r="G14970" s="3" t="n">
        <v>5513.14</v>
      </c>
    </row>
    <row r="14971">
      <c r="A14971" s="3" t="inlineStr">
        <is>
          <t>Noble Shield (Pty) Ltd ta Go Letting</t>
        </is>
      </c>
      <c r="B14971" s="4" t="n">
        <v>45138</v>
      </c>
      <c r="C14971" s="3" t="inlineStr">
        <is>
          <t>Expenses</t>
        </is>
      </c>
      <c r="D14971" s="3" t="inlineStr">
        <is>
          <t>3230/000</t>
        </is>
      </c>
      <c r="E14971" s="3" t="inlineStr">
        <is>
          <t>Cell Phone - NM</t>
        </is>
      </c>
      <c r="F14971" s="3" t="n">
        <v>2039.93</v>
      </c>
      <c r="G14971" s="3" t="n">
        <v>24503.33</v>
      </c>
    </row>
    <row r="14972">
      <c r="A14972" s="3" t="inlineStr">
        <is>
          <t>Noble Shield (Pty) Ltd ta Go Letting</t>
        </is>
      </c>
      <c r="B14972" s="4" t="n">
        <v>45138</v>
      </c>
      <c r="C14972" s="3" t="inlineStr">
        <is>
          <t>Expenses</t>
        </is>
      </c>
      <c r="D14972" s="3" t="inlineStr">
        <is>
          <t>3233/000</t>
        </is>
      </c>
      <c r="E14972" s="3" t="inlineStr">
        <is>
          <t>Cell Data - Other</t>
        </is>
      </c>
      <c r="F14972" s="3" t="n">
        <v>199</v>
      </c>
      <c r="G14972" s="3" t="n">
        <v>2189</v>
      </c>
    </row>
    <row r="14973">
      <c r="A14973" s="3" t="inlineStr">
        <is>
          <t>Noble Shield (Pty) Ltd ta Go Letting</t>
        </is>
      </c>
      <c r="B14973" s="4" t="n">
        <v>45138</v>
      </c>
      <c r="C14973" s="3" t="inlineStr">
        <is>
          <t>Expenses</t>
        </is>
      </c>
      <c r="D14973" s="3" t="inlineStr">
        <is>
          <t>3233/100</t>
        </is>
      </c>
      <c r="E14973" s="3" t="inlineStr">
        <is>
          <t>Cell Data - Sales office Wifi</t>
        </is>
      </c>
      <c r="F14973" s="3" t="n">
        <v>385</v>
      </c>
      <c r="G14973" s="3" t="n">
        <v>4123</v>
      </c>
    </row>
    <row r="14974">
      <c r="A14974" s="3" t="inlineStr">
        <is>
          <t>Noble Shield (Pty) Ltd ta Go Letting</t>
        </is>
      </c>
      <c r="B14974" s="4" t="n">
        <v>45138</v>
      </c>
      <c r="C14974" s="3" t="inlineStr">
        <is>
          <t>Expenses</t>
        </is>
      </c>
      <c r="D14974" s="3" t="inlineStr">
        <is>
          <t>3250/000</t>
        </is>
      </c>
      <c r="E14974" s="3" t="inlineStr">
        <is>
          <t>Cleaning</t>
        </is>
      </c>
      <c r="F14974" s="3" t="n">
        <v>0</v>
      </c>
      <c r="G14974" s="3" t="n">
        <v>289.4</v>
      </c>
    </row>
    <row r="14975">
      <c r="A14975" s="3" t="inlineStr">
        <is>
          <t>Opportunity Global Investment (PTY) LTD</t>
        </is>
      </c>
      <c r="B14975" s="4" t="n">
        <v>45138</v>
      </c>
      <c r="C14975" s="3" t="inlineStr">
        <is>
          <t>Expenses</t>
        </is>
      </c>
      <c r="D14975" s="3" t="inlineStr">
        <is>
          <t>3250/000</t>
        </is>
      </c>
      <c r="E14975" s="3" t="inlineStr">
        <is>
          <t>Cleaning</t>
        </is>
      </c>
      <c r="F14975" s="3" t="n">
        <v>2700</v>
      </c>
      <c r="G14975" s="3" t="n">
        <v>13500</v>
      </c>
    </row>
    <row r="14976">
      <c r="A14976" s="3" t="inlineStr">
        <is>
          <t>Opportunity Management Holdings (PTY) LTD</t>
        </is>
      </c>
      <c r="B14976" s="4" t="n">
        <v>45138</v>
      </c>
      <c r="C14976" s="3" t="inlineStr">
        <is>
          <t>Expenses</t>
        </is>
      </c>
      <c r="D14976" s="3" t="inlineStr">
        <is>
          <t>3250/000</t>
        </is>
      </c>
      <c r="E14976" s="3" t="inlineStr">
        <is>
          <t>Cleaning</t>
        </is>
      </c>
      <c r="F14976" s="3" t="n">
        <v>3225.27</v>
      </c>
      <c r="G14976" s="3" t="n">
        <v>26020.71</v>
      </c>
    </row>
    <row r="14977">
      <c r="A14977" s="3" t="inlineStr">
        <is>
          <t>Trademark Holdings (Pty) Ltd</t>
        </is>
      </c>
      <c r="B14977" s="4" t="n">
        <v>45138</v>
      </c>
      <c r="C14977" s="3" t="inlineStr">
        <is>
          <t>Expenses</t>
        </is>
      </c>
      <c r="D14977" s="3" t="inlineStr">
        <is>
          <t>3250/000</t>
        </is>
      </c>
      <c r="E14977" s="3" t="inlineStr">
        <is>
          <t>Cleaning</t>
        </is>
      </c>
      <c r="F14977" s="3" t="n">
        <v>1430</v>
      </c>
      <c r="G14977" s="3" t="n">
        <v>11154</v>
      </c>
    </row>
    <row r="14978">
      <c r="A14978" s="3" t="inlineStr">
        <is>
          <t>Noble Shield (Pty) Ltd ta Go Letting</t>
        </is>
      </c>
      <c r="B14978" s="4" t="n">
        <v>45138</v>
      </c>
      <c r="C14978" s="3" t="inlineStr">
        <is>
          <t>Expenses</t>
        </is>
      </c>
      <c r="D14978" s="3" t="inlineStr">
        <is>
          <t>3300/000</t>
        </is>
      </c>
      <c r="E14978" s="3" t="inlineStr">
        <is>
          <t>Computer Expenses</t>
        </is>
      </c>
      <c r="F14978" s="3" t="n">
        <v>0</v>
      </c>
      <c r="G14978" s="3" t="n">
        <v>1300</v>
      </c>
    </row>
    <row r="14979">
      <c r="A14979" s="3" t="inlineStr">
        <is>
          <t>Opportunity Global Investment (PTY) LTD</t>
        </is>
      </c>
      <c r="B14979" s="4" t="n">
        <v>45138</v>
      </c>
      <c r="C14979" s="3" t="inlineStr">
        <is>
          <t>Expenses</t>
        </is>
      </c>
      <c r="D14979" s="3" t="inlineStr">
        <is>
          <t>3300/000</t>
        </is>
      </c>
      <c r="E14979" s="3" t="inlineStr">
        <is>
          <t>Computer Expenses</t>
        </is>
      </c>
      <c r="F14979" s="3" t="n">
        <v>0</v>
      </c>
      <c r="G14979" s="3" t="n">
        <v>1350</v>
      </c>
    </row>
    <row r="14980">
      <c r="A14980" s="3" t="inlineStr">
        <is>
          <t>Opportunity Management Holdings (PTY) LTD</t>
        </is>
      </c>
      <c r="B14980" s="4" t="n">
        <v>45138</v>
      </c>
      <c r="C14980" s="3" t="inlineStr">
        <is>
          <t>Expenses</t>
        </is>
      </c>
      <c r="D14980" s="3" t="inlineStr">
        <is>
          <t>3300/000</t>
        </is>
      </c>
      <c r="E14980" s="3" t="inlineStr">
        <is>
          <t>Computer Expenses</t>
        </is>
      </c>
      <c r="F14980" s="3" t="n">
        <v>0</v>
      </c>
      <c r="G14980" s="3" t="n">
        <v>7831.91</v>
      </c>
    </row>
    <row r="14981">
      <c r="A14981" s="3" t="inlineStr">
        <is>
          <t>Noble Shield (Pty) Ltd ta Go Letting</t>
        </is>
      </c>
      <c r="B14981" s="4" t="n">
        <v>45138</v>
      </c>
      <c r="C14981" s="3" t="inlineStr">
        <is>
          <t>Expenses</t>
        </is>
      </c>
      <c r="D14981" s="3" t="inlineStr">
        <is>
          <t>3300/100</t>
        </is>
      </c>
      <c r="E14981" s="3" t="inlineStr">
        <is>
          <t>Computer - Maintenance</t>
        </is>
      </c>
      <c r="F14981" s="3" t="n">
        <v>1550</v>
      </c>
      <c r="G14981" s="3" t="n">
        <v>2395</v>
      </c>
    </row>
    <row r="14982">
      <c r="A14982" s="3" t="inlineStr">
        <is>
          <t>Noble Shield (Pty) Ltd ta Go Letting</t>
        </is>
      </c>
      <c r="B14982" s="4" t="n">
        <v>45138</v>
      </c>
      <c r="C14982" s="3" t="inlineStr">
        <is>
          <t>Expenses</t>
        </is>
      </c>
      <c r="D14982" s="3" t="inlineStr">
        <is>
          <t>3300/120</t>
        </is>
      </c>
      <c r="E14982" s="3" t="inlineStr">
        <is>
          <t>Computer IT - Software Propworx</t>
        </is>
      </c>
      <c r="F14982" s="3" t="n">
        <v>2167.75</v>
      </c>
      <c r="G14982" s="3" t="n">
        <v>23764.75</v>
      </c>
    </row>
    <row r="14983">
      <c r="A14983" s="3" t="inlineStr">
        <is>
          <t>Trademark Holdings (Pty) Ltd</t>
        </is>
      </c>
      <c r="B14983" s="4" t="n">
        <v>45138</v>
      </c>
      <c r="C14983" s="3" t="inlineStr">
        <is>
          <t>Expenses</t>
        </is>
      </c>
      <c r="D14983" s="3" t="inlineStr">
        <is>
          <t>3300/130</t>
        </is>
      </c>
      <c r="E14983" s="3" t="inlineStr">
        <is>
          <t>Computer IT - Internet/Hosting Fees</t>
        </is>
      </c>
      <c r="F14983" s="3" t="n">
        <v>0</v>
      </c>
      <c r="G14983" s="3" t="n">
        <v>-3599.5</v>
      </c>
    </row>
    <row r="14984">
      <c r="A14984" s="3" t="inlineStr">
        <is>
          <t>Opportunity Management Holdings (PTY) LTD</t>
        </is>
      </c>
      <c r="B14984" s="4" t="n">
        <v>45138</v>
      </c>
      <c r="C14984" s="3" t="inlineStr">
        <is>
          <t>Expenses</t>
        </is>
      </c>
      <c r="D14984" s="3" t="inlineStr">
        <is>
          <t>3300/140</t>
        </is>
      </c>
      <c r="E14984" s="3" t="inlineStr">
        <is>
          <t>Computer IT</t>
        </is>
      </c>
      <c r="F14984" s="3" t="n">
        <v>0</v>
      </c>
      <c r="G14984" s="3" t="n">
        <v>22364.04</v>
      </c>
    </row>
    <row r="14985">
      <c r="A14985" s="3" t="inlineStr">
        <is>
          <t>Trademark Holdings (Pty) Ltd</t>
        </is>
      </c>
      <c r="B14985" s="4" t="n">
        <v>45138</v>
      </c>
      <c r="C14985" s="3" t="inlineStr">
        <is>
          <t>Expenses</t>
        </is>
      </c>
      <c r="D14985" s="3" t="inlineStr">
        <is>
          <t>3300/145</t>
        </is>
      </c>
      <c r="E14985" s="3" t="inlineStr">
        <is>
          <t>Computer IT - Cloud Solve</t>
        </is>
      </c>
      <c r="F14985" s="3" t="n">
        <v>0</v>
      </c>
      <c r="G14985" s="3" t="n">
        <v>6313.5</v>
      </c>
    </row>
    <row r="14986">
      <c r="A14986" s="3" t="inlineStr">
        <is>
          <t>Noble Shield (Pty) Ltd ta Go Letting</t>
        </is>
      </c>
      <c r="B14986" s="4" t="n">
        <v>45138</v>
      </c>
      <c r="C14986" s="3" t="inlineStr">
        <is>
          <t>Expenses</t>
        </is>
      </c>
      <c r="D14986" s="3" t="inlineStr">
        <is>
          <t>3300/170</t>
        </is>
      </c>
      <c r="E14986" s="3" t="inlineStr">
        <is>
          <t>Computer IT - VDB office Fibre</t>
        </is>
      </c>
      <c r="F14986" s="3" t="n">
        <v>790</v>
      </c>
      <c r="G14986" s="3" t="n">
        <v>8690</v>
      </c>
    </row>
    <row r="14987">
      <c r="A14987" s="3" t="inlineStr">
        <is>
          <t>Trademark Holdings (Pty) Ltd</t>
        </is>
      </c>
      <c r="B14987" s="4" t="n">
        <v>45138</v>
      </c>
      <c r="C14987" s="3" t="inlineStr">
        <is>
          <t>Expenses</t>
        </is>
      </c>
      <c r="D14987" s="3" t="inlineStr">
        <is>
          <t>3350/000</t>
        </is>
      </c>
      <c r="E14987" s="3" t="inlineStr">
        <is>
          <t>Consulting Fees</t>
        </is>
      </c>
      <c r="F14987" s="3" t="n">
        <v>22200</v>
      </c>
      <c r="G14987" s="3" t="n">
        <v>279000</v>
      </c>
    </row>
    <row r="14988">
      <c r="A14988" s="3" t="inlineStr">
        <is>
          <t>Opportunity Management Holdings (PTY) LTD</t>
        </is>
      </c>
      <c r="B14988" s="4" t="n">
        <v>45138</v>
      </c>
      <c r="C14988" s="3" t="inlineStr">
        <is>
          <t>Expenses</t>
        </is>
      </c>
      <c r="D14988" s="3" t="inlineStr">
        <is>
          <t>3350/100</t>
        </is>
      </c>
      <c r="E14988" s="3" t="inlineStr">
        <is>
          <t>Consulting Fee - Dirk Coetzee</t>
        </is>
      </c>
      <c r="F14988" s="3" t="n">
        <v>17000</v>
      </c>
      <c r="G14988" s="3" t="n">
        <v>109000</v>
      </c>
    </row>
    <row r="14989">
      <c r="A14989" s="3" t="inlineStr">
        <is>
          <t>Endulini (Pty) Ltd</t>
        </is>
      </c>
      <c r="B14989" s="4" t="n">
        <v>45138</v>
      </c>
      <c r="C14989" s="3" t="inlineStr">
        <is>
          <t>Expenses</t>
        </is>
      </c>
      <c r="D14989" s="3" t="inlineStr">
        <is>
          <t>3350/100</t>
        </is>
      </c>
      <c r="E14989" s="3" t="inlineStr">
        <is>
          <t>Consulting Fees - Admin and Finance</t>
        </is>
      </c>
      <c r="F14989" s="3" t="n">
        <v>39975</v>
      </c>
      <c r="G14989" s="3" t="n">
        <v>230847.57</v>
      </c>
    </row>
    <row r="14990">
      <c r="A14990" s="3" t="inlineStr">
        <is>
          <t>Opportunity Global Investment (PTY) LTD</t>
        </is>
      </c>
      <c r="B14990" s="4" t="n">
        <v>45138</v>
      </c>
      <c r="C14990" s="3" t="inlineStr">
        <is>
          <t>Expenses</t>
        </is>
      </c>
      <c r="D14990" s="3" t="inlineStr">
        <is>
          <t>3350/100</t>
        </is>
      </c>
      <c r="E14990" s="3" t="inlineStr">
        <is>
          <t>Consulting Fees - Admin and Finance</t>
        </is>
      </c>
      <c r="F14990" s="3" t="n">
        <v>13230</v>
      </c>
      <c r="G14990" s="3" t="n">
        <v>83533.8</v>
      </c>
    </row>
    <row r="14991">
      <c r="A14991" s="3" t="inlineStr">
        <is>
          <t>Opportunity Global Sales (PTY) LTD</t>
        </is>
      </c>
      <c r="B14991" s="4" t="n">
        <v>45138</v>
      </c>
      <c r="C14991" s="3" t="inlineStr">
        <is>
          <t>Expenses</t>
        </is>
      </c>
      <c r="D14991" s="3" t="inlineStr">
        <is>
          <t>3350/100</t>
        </is>
      </c>
      <c r="E14991" s="3" t="inlineStr">
        <is>
          <t>Consulting Fees - Admin and Finance</t>
        </is>
      </c>
      <c r="F14991" s="3" t="n">
        <v>15030</v>
      </c>
      <c r="G14991" s="3" t="n">
        <v>77397</v>
      </c>
    </row>
    <row r="14992">
      <c r="A14992" s="3" t="inlineStr">
        <is>
          <t>Opportunity Management Holdings (PTY) LTD</t>
        </is>
      </c>
      <c r="B14992" s="4" t="n">
        <v>45138</v>
      </c>
      <c r="C14992" s="3" t="inlineStr">
        <is>
          <t>Expenses</t>
        </is>
      </c>
      <c r="D14992" s="3" t="inlineStr">
        <is>
          <t>3350/200</t>
        </is>
      </c>
      <c r="E14992" s="3" t="inlineStr">
        <is>
          <t>Consulting Fee - Staff recruitment</t>
        </is>
      </c>
      <c r="F14992" s="3" t="n">
        <v>0</v>
      </c>
      <c r="G14992" s="3" t="n">
        <v>18240</v>
      </c>
    </row>
    <row r="14993">
      <c r="A14993" s="3" t="inlineStr">
        <is>
          <t>Opportunity Global Sales (PTY) LTD</t>
        </is>
      </c>
      <c r="B14993" s="4" t="n">
        <v>45138</v>
      </c>
      <c r="C14993" s="3" t="inlineStr">
        <is>
          <t>Expenses</t>
        </is>
      </c>
      <c r="D14993" s="3" t="inlineStr">
        <is>
          <t>3350/200</t>
        </is>
      </c>
      <c r="E14993" s="3" t="inlineStr">
        <is>
          <t>Consulting Fees - Agent Karien Muller</t>
        </is>
      </c>
      <c r="F14993" s="3" t="n">
        <v>0</v>
      </c>
      <c r="G14993" s="3" t="n">
        <v>10000</v>
      </c>
    </row>
    <row r="14994">
      <c r="A14994" s="3" t="inlineStr">
        <is>
          <t>Opportunity Global Investment (PTY) LTD</t>
        </is>
      </c>
      <c r="B14994" s="4" t="n">
        <v>45138</v>
      </c>
      <c r="C14994" s="3" t="inlineStr">
        <is>
          <t>Expenses</t>
        </is>
      </c>
      <c r="D14994" s="3" t="inlineStr">
        <is>
          <t>3350/200</t>
        </is>
      </c>
      <c r="E14994" s="3" t="inlineStr">
        <is>
          <t>Consulting Fees - Rockfin</t>
        </is>
      </c>
      <c r="F14994" s="3" t="n">
        <v>10000</v>
      </c>
      <c r="G14994" s="3" t="n">
        <v>50000</v>
      </c>
    </row>
    <row r="14995">
      <c r="A14995" s="3" t="inlineStr">
        <is>
          <t>Opportunity Management Holdings (PTY) LTD</t>
        </is>
      </c>
      <c r="B14995" s="4" t="n">
        <v>45138</v>
      </c>
      <c r="C14995" s="3" t="inlineStr">
        <is>
          <t>Expenses</t>
        </is>
      </c>
      <c r="D14995" s="3" t="inlineStr">
        <is>
          <t>3350/300</t>
        </is>
      </c>
      <c r="E14995" s="3" t="inlineStr">
        <is>
          <t>Consulting Fee - HR Joblaw</t>
        </is>
      </c>
      <c r="F14995" s="3" t="n">
        <v>1600.83</v>
      </c>
      <c r="G14995" s="3" t="n">
        <v>7422.03</v>
      </c>
    </row>
    <row r="14996">
      <c r="A14996" s="3" t="inlineStr">
        <is>
          <t>Quinate Consulting (Pty) Ltd</t>
        </is>
      </c>
      <c r="B14996" s="4" t="n">
        <v>45138</v>
      </c>
      <c r="C14996" s="3" t="inlineStr">
        <is>
          <t>Expenses</t>
        </is>
      </c>
      <c r="D14996" s="3" t="inlineStr">
        <is>
          <t>3350/300</t>
        </is>
      </c>
      <c r="E14996" s="3" t="inlineStr">
        <is>
          <t>Consulting Fees - Admin and Finance</t>
        </is>
      </c>
      <c r="F14996" s="3" t="n">
        <v>2100</v>
      </c>
      <c r="G14996" s="3" t="n">
        <v>10400</v>
      </c>
    </row>
    <row r="14997">
      <c r="A14997" s="3" t="inlineStr">
        <is>
          <t>Quinate Consulting (Pty) Ltd</t>
        </is>
      </c>
      <c r="B14997" s="4" t="n">
        <v>45138</v>
      </c>
      <c r="C14997" s="3" t="inlineStr">
        <is>
          <t>Expenses</t>
        </is>
      </c>
      <c r="D14997" s="3" t="inlineStr">
        <is>
          <t>3351/000</t>
        </is>
      </c>
      <c r="E14997" s="3" t="inlineStr">
        <is>
          <t>Consulting fees - Trustees</t>
        </is>
      </c>
      <c r="F14997" s="3" t="n">
        <v>8400</v>
      </c>
      <c r="G14997" s="3" t="n">
        <v>41200</v>
      </c>
    </row>
    <row r="14998">
      <c r="A14998" s="3" t="inlineStr">
        <is>
          <t>Quinate Consulting (Pty) Ltd</t>
        </is>
      </c>
      <c r="B14998" s="4" t="n">
        <v>45138</v>
      </c>
      <c r="C14998" s="3" t="inlineStr">
        <is>
          <t>Expenses</t>
        </is>
      </c>
      <c r="D14998" s="3" t="inlineStr">
        <is>
          <t>3450/001</t>
        </is>
      </c>
      <c r="E14998" s="3" t="inlineStr">
        <is>
          <t>Depreciation - Computer Equipment</t>
        </is>
      </c>
      <c r="F14998" s="3" t="n">
        <v>2331.67</v>
      </c>
      <c r="G14998" s="3" t="n">
        <v>11658.3</v>
      </c>
    </row>
    <row r="14999">
      <c r="A14999" s="3" t="inlineStr">
        <is>
          <t>Opportunity Global Investment (PTY) LTD</t>
        </is>
      </c>
      <c r="B14999" s="4" t="n">
        <v>45138</v>
      </c>
      <c r="C14999" s="3" t="inlineStr">
        <is>
          <t>Expenses</t>
        </is>
      </c>
      <c r="D14999" s="3" t="inlineStr">
        <is>
          <t>3450/001</t>
        </is>
      </c>
      <c r="E14999" s="3" t="inlineStr">
        <is>
          <t>Depreciation - Computer equipment</t>
        </is>
      </c>
      <c r="F14999" s="3" t="n">
        <v>880.08</v>
      </c>
      <c r="G14999" s="3" t="n">
        <v>4400.42</v>
      </c>
    </row>
    <row r="15000">
      <c r="A15000" s="3" t="inlineStr">
        <is>
          <t>Quinate Consulting (Pty) Ltd</t>
        </is>
      </c>
      <c r="B15000" s="4" t="n">
        <v>45138</v>
      </c>
      <c r="C15000" s="3" t="inlineStr">
        <is>
          <t>Expenses</t>
        </is>
      </c>
      <c r="D15000" s="3" t="inlineStr">
        <is>
          <t>3450/002</t>
        </is>
      </c>
      <c r="E15000" s="3" t="inlineStr">
        <is>
          <t>Depreciation - Site Containers</t>
        </is>
      </c>
      <c r="F15000" s="3" t="n">
        <v>318.84</v>
      </c>
      <c r="G15000" s="3" t="n">
        <v>1594.2</v>
      </c>
    </row>
    <row r="15001">
      <c r="A15001" s="3" t="inlineStr">
        <is>
          <t>Opportunity Global Sales (PTY) LTD</t>
        </is>
      </c>
      <c r="B15001" s="4" t="n">
        <v>45138</v>
      </c>
      <c r="C15001" s="3" t="inlineStr">
        <is>
          <t>Expenses</t>
        </is>
      </c>
      <c r="D15001" s="3" t="inlineStr">
        <is>
          <t>3450/030</t>
        </is>
      </c>
      <c r="E15001" s="3" t="inlineStr">
        <is>
          <t>Depreciation - Furniture and Fittings</t>
        </is>
      </c>
      <c r="F15001" s="3" t="n">
        <v>408.05</v>
      </c>
      <c r="G15001" s="3" t="n">
        <v>2040.26</v>
      </c>
    </row>
    <row r="15002">
      <c r="A15002" s="3" t="inlineStr">
        <is>
          <t>Opportunity Management Holdings (PTY) LTD</t>
        </is>
      </c>
      <c r="B15002" s="4" t="n">
        <v>45138</v>
      </c>
      <c r="C15002" s="3" t="inlineStr">
        <is>
          <t>Expenses</t>
        </is>
      </c>
      <c r="D15002" s="3" t="inlineStr">
        <is>
          <t>3451/000</t>
        </is>
      </c>
      <c r="E15002" s="3" t="inlineStr">
        <is>
          <t>Depreciation - Computer Equipment</t>
        </is>
      </c>
      <c r="F15002" s="3" t="n">
        <v>1035.18</v>
      </c>
      <c r="G15002" s="3" t="n">
        <v>9553.639999999999</v>
      </c>
    </row>
    <row r="15003">
      <c r="A15003" s="3" t="inlineStr">
        <is>
          <t>Quinate Consulting (Pty) Ltd</t>
        </is>
      </c>
      <c r="B15003" s="4" t="n">
        <v>45138</v>
      </c>
      <c r="C15003" s="3" t="inlineStr">
        <is>
          <t>Expenses</t>
        </is>
      </c>
      <c r="D15003" s="3" t="inlineStr">
        <is>
          <t>3600/000</t>
        </is>
      </c>
      <c r="E15003" s="3" t="inlineStr">
        <is>
          <t>Donations</t>
        </is>
      </c>
      <c r="F15003" s="3" t="n">
        <v>572.45</v>
      </c>
      <c r="G15003" s="3" t="n">
        <v>2862.25</v>
      </c>
    </row>
    <row r="15004">
      <c r="A15004" s="3" t="inlineStr">
        <is>
          <t>Noble Shield (Pty) Ltd ta Go Letting</t>
        </is>
      </c>
      <c r="B15004" s="4" t="n">
        <v>45138</v>
      </c>
      <c r="C15004" s="3" t="inlineStr">
        <is>
          <t>Expenses</t>
        </is>
      </c>
      <c r="D15004" s="3" t="inlineStr">
        <is>
          <t>3650/000</t>
        </is>
      </c>
      <c r="E15004" s="3" t="inlineStr">
        <is>
          <t>Electricity _AND_ Water</t>
        </is>
      </c>
      <c r="F15004" s="3" t="n">
        <v>-900</v>
      </c>
      <c r="G15004" s="3" t="n">
        <v>2500</v>
      </c>
    </row>
    <row r="15005">
      <c r="A15005" s="3" t="inlineStr">
        <is>
          <t>Opportunity Global Investment (PTY) LTD</t>
        </is>
      </c>
      <c r="B15005" s="4" t="n">
        <v>45138</v>
      </c>
      <c r="C15005" s="3" t="inlineStr">
        <is>
          <t>Expenses</t>
        </is>
      </c>
      <c r="D15005" s="3" t="inlineStr">
        <is>
          <t>3650/000</t>
        </is>
      </c>
      <c r="E15005" s="3" t="inlineStr">
        <is>
          <t>Electricity _AND_ Water</t>
        </is>
      </c>
      <c r="F15005" s="3" t="n">
        <v>2950</v>
      </c>
      <c r="G15005" s="3" t="n">
        <v>14750</v>
      </c>
    </row>
    <row r="15006">
      <c r="A15006" s="3" t="inlineStr">
        <is>
          <t>Noble Shield (Pty) Ltd ta Go Letting</t>
        </is>
      </c>
      <c r="B15006" s="4" t="n">
        <v>45138</v>
      </c>
      <c r="C15006" s="3" t="inlineStr">
        <is>
          <t>Expenses</t>
        </is>
      </c>
      <c r="D15006" s="3" t="inlineStr">
        <is>
          <t>3651/000</t>
        </is>
      </c>
      <c r="E15006" s="3" t="inlineStr">
        <is>
          <t>Electricity _AND_ Water - Rentals</t>
        </is>
      </c>
      <c r="F15006" s="3" t="n">
        <v>1000</v>
      </c>
      <c r="G15006" s="3" t="n">
        <v>0</v>
      </c>
    </row>
    <row r="15007">
      <c r="A15007" s="3" t="inlineStr">
        <is>
          <t>Quinate Consulting (Pty) Ltd</t>
        </is>
      </c>
      <c r="B15007" s="4" t="n">
        <v>45138</v>
      </c>
      <c r="C15007" s="3" t="inlineStr">
        <is>
          <t>Expenses</t>
        </is>
      </c>
      <c r="D15007" s="3" t="inlineStr">
        <is>
          <t>3651/000</t>
        </is>
      </c>
      <c r="E15007" s="3" t="inlineStr">
        <is>
          <t>Electricity _AND_ Water - Southwark</t>
        </is>
      </c>
      <c r="F15007" s="3" t="n">
        <v>4693.59</v>
      </c>
      <c r="G15007" s="3" t="n">
        <v>142378.13</v>
      </c>
    </row>
    <row r="15008">
      <c r="A15008" s="3" t="inlineStr">
        <is>
          <t>Quinate Consulting (Pty) Ltd</t>
        </is>
      </c>
      <c r="B15008" s="4" t="n">
        <v>45138</v>
      </c>
      <c r="C15008" s="3" t="inlineStr">
        <is>
          <t>Expenses</t>
        </is>
      </c>
      <c r="D15008" s="3" t="inlineStr">
        <is>
          <t>3652/000</t>
        </is>
      </c>
      <c r="E15008" s="3" t="inlineStr">
        <is>
          <t>Electricity _AND_ Water - Soho</t>
        </is>
      </c>
      <c r="F15008" s="3" t="n">
        <v>39536.31</v>
      </c>
      <c r="G15008" s="3" t="n">
        <v>130807.7</v>
      </c>
    </row>
    <row r="15009">
      <c r="A15009" s="3" t="inlineStr">
        <is>
          <t>Quinate Consulting (Pty) Ltd</t>
        </is>
      </c>
      <c r="B15009" s="4" t="n">
        <v>45138</v>
      </c>
      <c r="C15009" s="3" t="inlineStr">
        <is>
          <t>Expenses</t>
        </is>
      </c>
      <c r="D15009" s="3" t="inlineStr">
        <is>
          <t>3653/000</t>
        </is>
      </c>
      <c r="E15009" s="3" t="inlineStr">
        <is>
          <t>Electricity _AND_ Water - Endulini</t>
        </is>
      </c>
      <c r="F15009" s="3" t="n">
        <v>-516.29</v>
      </c>
      <c r="G15009" s="3" t="n">
        <v>-515.78</v>
      </c>
    </row>
    <row r="15010">
      <c r="A15010" s="3" t="inlineStr">
        <is>
          <t>Noble Shield (Pty) Ltd ta Go Letting</t>
        </is>
      </c>
      <c r="B15010" s="4" t="n">
        <v>45138</v>
      </c>
      <c r="C15010" s="3" t="inlineStr">
        <is>
          <t>Expenses</t>
        </is>
      </c>
      <c r="D15010" s="3" t="inlineStr">
        <is>
          <t>3700/000</t>
        </is>
      </c>
      <c r="E15010" s="3" t="inlineStr">
        <is>
          <t>Entertainment Expenses</t>
        </is>
      </c>
      <c r="F15010" s="3" t="n">
        <v>0</v>
      </c>
      <c r="G15010" s="3" t="n">
        <v>1960</v>
      </c>
    </row>
    <row r="15011">
      <c r="A15011" s="3" t="inlineStr">
        <is>
          <t>Opportunity Global Investment (PTY) LTD</t>
        </is>
      </c>
      <c r="B15011" s="4" t="n">
        <v>45138</v>
      </c>
      <c r="C15011" s="3" t="inlineStr">
        <is>
          <t>Expenses</t>
        </is>
      </c>
      <c r="D15011" s="3" t="inlineStr">
        <is>
          <t>3700/000</t>
        </is>
      </c>
      <c r="E15011" s="3" t="inlineStr">
        <is>
          <t>Entertainment Expenses</t>
        </is>
      </c>
      <c r="F15011" s="3" t="n">
        <v>321.74</v>
      </c>
      <c r="G15011" s="3" t="n">
        <v>3373.31</v>
      </c>
    </row>
    <row r="15012">
      <c r="A15012" s="3" t="inlineStr">
        <is>
          <t>Opportunity Global Sales (PTY) LTD</t>
        </is>
      </c>
      <c r="B15012" s="4" t="n">
        <v>45138</v>
      </c>
      <c r="C15012" s="3" t="inlineStr">
        <is>
          <t>Expenses</t>
        </is>
      </c>
      <c r="D15012" s="3" t="inlineStr">
        <is>
          <t>3700/000</t>
        </is>
      </c>
      <c r="E15012" s="3" t="inlineStr">
        <is>
          <t>Entertainment Expenses</t>
        </is>
      </c>
      <c r="F15012" s="3" t="n">
        <v>0</v>
      </c>
      <c r="G15012" s="3" t="n">
        <v>1880</v>
      </c>
    </row>
    <row r="15013">
      <c r="A15013" s="3" t="inlineStr">
        <is>
          <t>Opportunity Management Holdings (PTY) LTD</t>
        </is>
      </c>
      <c r="B15013" s="4" t="n">
        <v>45138</v>
      </c>
      <c r="C15013" s="3" t="inlineStr">
        <is>
          <t>Expenses</t>
        </is>
      </c>
      <c r="D15013" s="3" t="inlineStr">
        <is>
          <t>3700/000</t>
        </is>
      </c>
      <c r="E15013" s="3" t="inlineStr">
        <is>
          <t>Entertainment Expenses</t>
        </is>
      </c>
      <c r="F15013" s="3" t="n">
        <v>0</v>
      </c>
      <c r="G15013" s="3" t="n">
        <v>1849.38</v>
      </c>
    </row>
    <row r="15014">
      <c r="A15014" s="3" t="inlineStr">
        <is>
          <t>Quinate Consulting (Pty) Ltd</t>
        </is>
      </c>
      <c r="B15014" s="4" t="n">
        <v>45138</v>
      </c>
      <c r="C15014" s="3" t="inlineStr">
        <is>
          <t>Expenses</t>
        </is>
      </c>
      <c r="D15014" s="3" t="inlineStr">
        <is>
          <t>3700/000</t>
        </is>
      </c>
      <c r="E15014" s="3" t="inlineStr">
        <is>
          <t>Entertainment Expenses</t>
        </is>
      </c>
      <c r="F15014" s="3" t="n">
        <v>664.9400000000001</v>
      </c>
      <c r="G15014" s="3" t="n">
        <v>5266.15</v>
      </c>
    </row>
    <row r="15015">
      <c r="A15015" s="3" t="inlineStr">
        <is>
          <t>Opportunity Management Holdings (PTY) LTD</t>
        </is>
      </c>
      <c r="B15015" s="4" t="n">
        <v>45138</v>
      </c>
      <c r="C15015" s="3" t="inlineStr">
        <is>
          <t>Expenses</t>
        </is>
      </c>
      <c r="D15015" s="3" t="inlineStr">
        <is>
          <t>3800/000</t>
        </is>
      </c>
      <c r="E15015" s="3" t="inlineStr">
        <is>
          <t>General Expenses</t>
        </is>
      </c>
      <c r="F15015" s="3" t="n">
        <v>0</v>
      </c>
      <c r="G15015" s="3" t="n">
        <v>91.28</v>
      </c>
    </row>
    <row r="15016">
      <c r="A15016" s="3" t="inlineStr">
        <is>
          <t>Opportunity Global Investment (PTY) LTD</t>
        </is>
      </c>
      <c r="B15016" s="4" t="n">
        <v>45138</v>
      </c>
      <c r="C15016" s="3" t="inlineStr">
        <is>
          <t>Expenses</t>
        </is>
      </c>
      <c r="D15016" s="3" t="inlineStr">
        <is>
          <t>3800/010</t>
        </is>
      </c>
      <c r="E15016" s="3" t="inlineStr">
        <is>
          <t>General Expences - Gifts</t>
        </is>
      </c>
      <c r="F15016" s="3" t="n">
        <v>5651.3</v>
      </c>
      <c r="G15016" s="3" t="n">
        <v>5651.3</v>
      </c>
    </row>
    <row r="15017">
      <c r="A15017" s="3" t="inlineStr">
        <is>
          <t>Opportunity Global Sales (PTY) LTD</t>
        </is>
      </c>
      <c r="B15017" s="4" t="n">
        <v>45138</v>
      </c>
      <c r="C15017" s="3" t="inlineStr">
        <is>
          <t>Expenses</t>
        </is>
      </c>
      <c r="D15017" s="3" t="inlineStr">
        <is>
          <t>3800/010</t>
        </is>
      </c>
      <c r="E15017" s="3" t="inlineStr">
        <is>
          <t>General Expences - Gifts</t>
        </is>
      </c>
      <c r="F15017" s="3" t="n">
        <v>729.85</v>
      </c>
      <c r="G15017" s="3" t="n">
        <v>729.85</v>
      </c>
    </row>
    <row r="15018">
      <c r="A15018" s="3" t="inlineStr">
        <is>
          <t>Opportunity Management Holdings (PTY) LTD</t>
        </is>
      </c>
      <c r="B15018" s="4" t="n">
        <v>45138</v>
      </c>
      <c r="C15018" s="3" t="inlineStr">
        <is>
          <t>Expenses</t>
        </is>
      </c>
      <c r="D15018" s="3" t="inlineStr">
        <is>
          <t>3850/000</t>
        </is>
      </c>
      <c r="E15018" s="3" t="inlineStr">
        <is>
          <t>Insurance - Momentum</t>
        </is>
      </c>
      <c r="F15018" s="3" t="n">
        <v>1696.06</v>
      </c>
      <c r="G15018" s="3" t="n">
        <v>17750.46</v>
      </c>
    </row>
    <row r="15019">
      <c r="A15019" s="3" t="inlineStr">
        <is>
          <t>Noble Shield (Pty) Ltd ta Go Letting</t>
        </is>
      </c>
      <c r="B15019" s="4" t="n">
        <v>45138</v>
      </c>
      <c r="C15019" s="3" t="inlineStr">
        <is>
          <t>Expenses</t>
        </is>
      </c>
      <c r="D15019" s="3" t="inlineStr">
        <is>
          <t>3850/100</t>
        </is>
      </c>
      <c r="E15019" s="3" t="inlineStr">
        <is>
          <t>Insurance - Santam</t>
        </is>
      </c>
      <c r="F15019" s="3" t="n">
        <v>4249.42</v>
      </c>
      <c r="G15019" s="3" t="n">
        <v>42505.69</v>
      </c>
    </row>
    <row r="15020">
      <c r="A15020" s="3" t="inlineStr">
        <is>
          <t>Noble Shield (Pty) Ltd ta Go Letting</t>
        </is>
      </c>
      <c r="B15020" s="4" t="n">
        <v>45138</v>
      </c>
      <c r="C15020" s="3" t="inlineStr">
        <is>
          <t>Expenses</t>
        </is>
      </c>
      <c r="D15020" s="3" t="inlineStr">
        <is>
          <t>3850/200</t>
        </is>
      </c>
      <c r="E15020" s="3" t="inlineStr">
        <is>
          <t>Insurance - A_AND_G</t>
        </is>
      </c>
      <c r="F15020" s="3" t="n">
        <v>2244.46</v>
      </c>
      <c r="G15020" s="3" t="n">
        <v>21998.3</v>
      </c>
    </row>
    <row r="15021">
      <c r="A15021" s="3" t="inlineStr">
        <is>
          <t>Quinate Consulting (Pty) Ltd</t>
        </is>
      </c>
      <c r="B15021" s="4" t="n">
        <v>45138</v>
      </c>
      <c r="C15021" s="3" t="inlineStr">
        <is>
          <t>Expenses</t>
        </is>
      </c>
      <c r="D15021" s="3" t="inlineStr">
        <is>
          <t>3851/000</t>
        </is>
      </c>
      <c r="E15021" s="3" t="inlineStr">
        <is>
          <t>Insurance - Momentum</t>
        </is>
      </c>
      <c r="F15021" s="3" t="n">
        <v>7990.64</v>
      </c>
      <c r="G15021" s="3" t="n">
        <v>39953.2</v>
      </c>
    </row>
    <row r="15022">
      <c r="A15022" s="3" t="inlineStr">
        <is>
          <t>Quinate Consulting (Pty) Ltd</t>
        </is>
      </c>
      <c r="B15022" s="4" t="n">
        <v>45138</v>
      </c>
      <c r="C15022" s="3" t="inlineStr">
        <is>
          <t>Expenses</t>
        </is>
      </c>
      <c r="D15022" s="3" t="inlineStr">
        <is>
          <t>3900/000</t>
        </is>
      </c>
      <c r="E15022" s="3" t="inlineStr">
        <is>
          <t>Interest Paid</t>
        </is>
      </c>
      <c r="F15022" s="3" t="n">
        <v>259.06</v>
      </c>
      <c r="G15022" s="3" t="n">
        <v>538.4299999999999</v>
      </c>
    </row>
    <row r="15023">
      <c r="A15023" s="3" t="inlineStr">
        <is>
          <t>Quinate Consulting (Pty) Ltd</t>
        </is>
      </c>
      <c r="B15023" s="4" t="n">
        <v>45138</v>
      </c>
      <c r="C15023" s="3" t="inlineStr">
        <is>
          <t>Expenses</t>
        </is>
      </c>
      <c r="D15023" s="3" t="inlineStr">
        <is>
          <t>3900/050</t>
        </is>
      </c>
      <c r="E15023" s="3" t="inlineStr">
        <is>
          <t>Interest Paid - STD Bond Accounts</t>
        </is>
      </c>
      <c r="F15023" s="3" t="n">
        <v>126227.96</v>
      </c>
      <c r="G15023" s="3" t="n">
        <v>282051.76</v>
      </c>
    </row>
    <row r="15024">
      <c r="A15024" s="3" t="inlineStr">
        <is>
          <t>Endulini (Pty) Ltd</t>
        </is>
      </c>
      <c r="B15024" s="4" t="n">
        <v>45138</v>
      </c>
      <c r="C15024" s="3" t="inlineStr">
        <is>
          <t>Expenses</t>
        </is>
      </c>
      <c r="D15024" s="3" t="inlineStr">
        <is>
          <t>3900/112</t>
        </is>
      </c>
      <c r="E15024" s="3" t="inlineStr">
        <is>
          <t>Interest Paid - Investors @ 6.5%</t>
        </is>
      </c>
      <c r="F15024" s="3" t="n">
        <v>0</v>
      </c>
      <c r="G15024" s="3" t="n">
        <v>605.49</v>
      </c>
    </row>
    <row r="15025">
      <c r="A15025" s="3" t="inlineStr">
        <is>
          <t>Endulini (Pty) Ltd</t>
        </is>
      </c>
      <c r="B15025" s="4" t="n">
        <v>45138</v>
      </c>
      <c r="C15025" s="3" t="inlineStr">
        <is>
          <t>Expenses</t>
        </is>
      </c>
      <c r="D15025" s="3" t="inlineStr">
        <is>
          <t>3900/113</t>
        </is>
      </c>
      <c r="E15025" s="3" t="inlineStr">
        <is>
          <t>Interest Paid - Investors @ 6.75%</t>
        </is>
      </c>
      <c r="F15025" s="3" t="n">
        <v>0</v>
      </c>
      <c r="G15025" s="3" t="n">
        <v>3532.19</v>
      </c>
    </row>
    <row r="15026">
      <c r="A15026" s="3" t="inlineStr">
        <is>
          <t>Endulini (Pty) Ltd</t>
        </is>
      </c>
      <c r="B15026" s="4" t="n">
        <v>45138</v>
      </c>
      <c r="C15026" s="3" t="inlineStr">
        <is>
          <t>Expenses</t>
        </is>
      </c>
      <c r="D15026" s="3" t="inlineStr">
        <is>
          <t>3900/120</t>
        </is>
      </c>
      <c r="E15026" s="3" t="inlineStr">
        <is>
          <t>Interest Paid - Investors @ 7%</t>
        </is>
      </c>
      <c r="F15026" s="3" t="n">
        <v>0</v>
      </c>
      <c r="G15026" s="3" t="n">
        <v>2794.72</v>
      </c>
    </row>
    <row r="15027">
      <c r="A15027" s="3" t="inlineStr">
        <is>
          <t>Endulini (Pty) Ltd</t>
        </is>
      </c>
      <c r="B15027" s="4" t="n">
        <v>45138</v>
      </c>
      <c r="C15027" s="3" t="inlineStr">
        <is>
          <t>Expenses</t>
        </is>
      </c>
      <c r="D15027" s="3" t="inlineStr">
        <is>
          <t>3900/122</t>
        </is>
      </c>
      <c r="E15027" s="3" t="inlineStr">
        <is>
          <t>Interest Paid - Investors @ 7.5%</t>
        </is>
      </c>
      <c r="F15027" s="3" t="n">
        <v>0</v>
      </c>
      <c r="G15027" s="3" t="n">
        <v>45.53</v>
      </c>
    </row>
    <row r="15028">
      <c r="A15028" s="3" t="inlineStr">
        <is>
          <t>Quinate Consulting (Pty) Ltd</t>
        </is>
      </c>
      <c r="B15028" s="4" t="n">
        <v>45138</v>
      </c>
      <c r="C15028" s="3" t="inlineStr">
        <is>
          <t>Expenses</t>
        </is>
      </c>
      <c r="D15028" s="3" t="inlineStr">
        <is>
          <t>3900/152</t>
        </is>
      </c>
      <c r="E15028" s="3" t="inlineStr">
        <is>
          <t>Interest Paid - Gengis</t>
        </is>
      </c>
      <c r="F15028" s="3" t="n">
        <v>3516.18</v>
      </c>
      <c r="G15028" s="3" t="n">
        <v>17353.98</v>
      </c>
    </row>
    <row r="15029">
      <c r="A15029" s="3" t="inlineStr">
        <is>
          <t>Endulini (Pty) Ltd</t>
        </is>
      </c>
      <c r="B15029" s="4" t="n">
        <v>45138</v>
      </c>
      <c r="C15029" s="3" t="inlineStr">
        <is>
          <t>Expenses</t>
        </is>
      </c>
      <c r="D15029" s="3" t="inlineStr">
        <is>
          <t>3900/190</t>
        </is>
      </c>
      <c r="E15029" s="3" t="inlineStr">
        <is>
          <t>Interest Paid - Investors @ 14%</t>
        </is>
      </c>
      <c r="F15029" s="3" t="n">
        <v>0</v>
      </c>
      <c r="G15029" s="3" t="n">
        <v>177783.07</v>
      </c>
    </row>
    <row r="15030">
      <c r="A15030" s="3" t="inlineStr">
        <is>
          <t>Endulini (Pty) Ltd</t>
        </is>
      </c>
      <c r="B15030" s="4" t="n">
        <v>45138</v>
      </c>
      <c r="C15030" s="3" t="inlineStr">
        <is>
          <t>Expenses</t>
        </is>
      </c>
      <c r="D15030" s="3" t="inlineStr">
        <is>
          <t>3900/210</t>
        </is>
      </c>
      <c r="E15030" s="3" t="inlineStr">
        <is>
          <t>Interest Paid - Investors @ 16%</t>
        </is>
      </c>
      <c r="F15030" s="3" t="n">
        <v>0</v>
      </c>
      <c r="G15030" s="3" t="n">
        <v>47736.98</v>
      </c>
    </row>
    <row r="15031">
      <c r="A15031" s="3" t="inlineStr">
        <is>
          <t>Endulini (Pty) Ltd</t>
        </is>
      </c>
      <c r="B15031" s="4" t="n">
        <v>45138</v>
      </c>
      <c r="C15031" s="3" t="inlineStr">
        <is>
          <t>Expenses</t>
        </is>
      </c>
      <c r="D15031" s="3" t="inlineStr">
        <is>
          <t>3900/230</t>
        </is>
      </c>
      <c r="E15031" s="3" t="inlineStr">
        <is>
          <t>Interest Paid - Investors @ 18%</t>
        </is>
      </c>
      <c r="F15031" s="3" t="n">
        <v>0</v>
      </c>
      <c r="G15031" s="3" t="n">
        <v>64356.16</v>
      </c>
    </row>
    <row r="15032">
      <c r="A15032" s="3" t="inlineStr">
        <is>
          <t>Opportunity Management Holdings (PTY) LTD</t>
        </is>
      </c>
      <c r="B15032" s="4" t="n">
        <v>45138</v>
      </c>
      <c r="C15032" s="3" t="inlineStr">
        <is>
          <t>Expenses</t>
        </is>
      </c>
      <c r="D15032" s="3" t="inlineStr">
        <is>
          <t>3960/000</t>
        </is>
      </c>
      <c r="E15032" s="3" t="inlineStr">
        <is>
          <t>Internet Fees</t>
        </is>
      </c>
      <c r="F15032" s="3" t="n">
        <v>606.24</v>
      </c>
      <c r="G15032" s="3" t="n">
        <v>6547.6</v>
      </c>
    </row>
    <row r="15033">
      <c r="A15033" s="3" t="inlineStr">
        <is>
          <t>Quinate Consulting (Pty) Ltd</t>
        </is>
      </c>
      <c r="B15033" s="4" t="n">
        <v>45138</v>
      </c>
      <c r="C15033" s="3" t="inlineStr">
        <is>
          <t>Expenses</t>
        </is>
      </c>
      <c r="D15033" s="3" t="inlineStr">
        <is>
          <t>4000/000</t>
        </is>
      </c>
      <c r="E15033" s="3" t="inlineStr">
        <is>
          <t>Legal Fees</t>
        </is>
      </c>
      <c r="F15033" s="3" t="n">
        <v>0</v>
      </c>
      <c r="G15033" s="3" t="n">
        <v>32450</v>
      </c>
    </row>
    <row r="15034">
      <c r="A15034" s="3" t="inlineStr">
        <is>
          <t>Quinate Consulting (Pty) Ltd</t>
        </is>
      </c>
      <c r="B15034" s="4" t="n">
        <v>45138</v>
      </c>
      <c r="C15034" s="3" t="inlineStr">
        <is>
          <t>Expenses</t>
        </is>
      </c>
      <c r="D15034" s="3" t="inlineStr">
        <is>
          <t>4065/000</t>
        </is>
      </c>
      <c r="E15034" s="3" t="inlineStr">
        <is>
          <t>Levies - SoHo</t>
        </is>
      </c>
      <c r="F15034" s="3" t="n">
        <v>6716.98</v>
      </c>
      <c r="G15034" s="3" t="n">
        <v>33857.35</v>
      </c>
    </row>
    <row r="15035">
      <c r="A15035" s="3" t="inlineStr">
        <is>
          <t>Quinate Consulting (Pty) Ltd</t>
        </is>
      </c>
      <c r="B15035" s="4" t="n">
        <v>45138</v>
      </c>
      <c r="C15035" s="3" t="inlineStr">
        <is>
          <t>Expenses</t>
        </is>
      </c>
      <c r="D15035" s="3" t="inlineStr">
        <is>
          <t>4066/000</t>
        </is>
      </c>
      <c r="E15035" s="3" t="inlineStr">
        <is>
          <t>Levies - Southwark</t>
        </is>
      </c>
      <c r="F15035" s="3" t="n">
        <v>3422.18</v>
      </c>
      <c r="G15035" s="3" t="n">
        <v>17110.9</v>
      </c>
    </row>
    <row r="15036">
      <c r="A15036" s="3" t="inlineStr">
        <is>
          <t>Quinate Consulting (Pty) Ltd</t>
        </is>
      </c>
      <c r="B15036" s="4" t="n">
        <v>45138</v>
      </c>
      <c r="C15036" s="3" t="inlineStr">
        <is>
          <t>Expenses</t>
        </is>
      </c>
      <c r="D15036" s="3" t="inlineStr">
        <is>
          <t>4067/000</t>
        </is>
      </c>
      <c r="E15036" s="3" t="inlineStr">
        <is>
          <t>Levies - C4 Property</t>
        </is>
      </c>
      <c r="F15036" s="3" t="n">
        <v>7687.62</v>
      </c>
      <c r="G15036" s="3" t="n">
        <v>47138.31</v>
      </c>
    </row>
    <row r="15037">
      <c r="A15037" s="3" t="inlineStr">
        <is>
          <t>Endulini (Pty) Ltd</t>
        </is>
      </c>
      <c r="B15037" s="4" t="n">
        <v>45138</v>
      </c>
      <c r="C15037" s="3" t="inlineStr">
        <is>
          <t>Expenses</t>
        </is>
      </c>
      <c r="D15037" s="3" t="inlineStr">
        <is>
          <t>4100/001</t>
        </is>
      </c>
      <c r="E15037" s="3" t="inlineStr">
        <is>
          <t>Momentum Admin Fee</t>
        </is>
      </c>
      <c r="F15037" s="3" t="n">
        <v>0</v>
      </c>
      <c r="G15037" s="3" t="n">
        <v>3.24</v>
      </c>
    </row>
    <row r="15038">
      <c r="A15038" s="3" t="inlineStr">
        <is>
          <t>Quinate Consulting (Pty) Ltd</t>
        </is>
      </c>
      <c r="B15038" s="4" t="n">
        <v>45138</v>
      </c>
      <c r="C15038" s="3" t="inlineStr">
        <is>
          <t>Expenses</t>
        </is>
      </c>
      <c r="D15038" s="3" t="inlineStr">
        <is>
          <t>4100/001</t>
        </is>
      </c>
      <c r="E15038" s="3" t="inlineStr">
        <is>
          <t>Momentum Advise Fee</t>
        </is>
      </c>
      <c r="F15038" s="3" t="n">
        <v>0</v>
      </c>
      <c r="G15038" s="3" t="n">
        <v>0.66</v>
      </c>
    </row>
    <row r="15039">
      <c r="A15039" s="3" t="inlineStr">
        <is>
          <t>Opportunity Global Investment (PTY) LTD</t>
        </is>
      </c>
      <c r="B15039" s="4" t="n">
        <v>45138</v>
      </c>
      <c r="C15039" s="3" t="inlineStr">
        <is>
          <t>Expenses</t>
        </is>
      </c>
      <c r="D15039" s="3" t="inlineStr">
        <is>
          <t>4100/100</t>
        </is>
      </c>
      <c r="E15039" s="3" t="inlineStr">
        <is>
          <t>Members Salaries - Nick Morgan</t>
        </is>
      </c>
      <c r="F15039" s="3" t="n">
        <v>41251.62</v>
      </c>
      <c r="G15039" s="3" t="n">
        <v>206258.07</v>
      </c>
    </row>
    <row r="15040">
      <c r="A15040" s="3" t="inlineStr">
        <is>
          <t>Opportunity Management Holdings (PTY) LTD</t>
        </is>
      </c>
      <c r="B15040" s="4" t="n">
        <v>45138</v>
      </c>
      <c r="C15040" s="3" t="inlineStr">
        <is>
          <t>Expenses</t>
        </is>
      </c>
      <c r="D15040" s="3" t="inlineStr">
        <is>
          <t>4150/020</t>
        </is>
      </c>
      <c r="E15040" s="3" t="inlineStr">
        <is>
          <t>Motor Vehicle - Repairs _AND_ Maint.</t>
        </is>
      </c>
      <c r="F15040" s="3" t="n">
        <v>260</v>
      </c>
      <c r="G15040" s="3" t="n">
        <v>260</v>
      </c>
    </row>
    <row r="15041">
      <c r="A15041" s="3" t="inlineStr">
        <is>
          <t>Noble Shield (Pty) Ltd ta Go Letting</t>
        </is>
      </c>
      <c r="B15041" s="4" t="n">
        <v>45138</v>
      </c>
      <c r="C15041" s="3" t="inlineStr">
        <is>
          <t>Expenses</t>
        </is>
      </c>
      <c r="D15041" s="3" t="inlineStr">
        <is>
          <t>4200/000</t>
        </is>
      </c>
      <c r="E15041" s="3" t="inlineStr">
        <is>
          <t>Printing _AND_ Stationery</t>
        </is>
      </c>
      <c r="F15041" s="3" t="n">
        <v>0</v>
      </c>
      <c r="G15041" s="3" t="n">
        <v>1035</v>
      </c>
    </row>
    <row r="15042">
      <c r="A15042" s="3" t="inlineStr">
        <is>
          <t>Opportunity Global Investment (PTY) LTD</t>
        </is>
      </c>
      <c r="B15042" s="4" t="n">
        <v>45138</v>
      </c>
      <c r="C15042" s="3" t="inlineStr">
        <is>
          <t>Expenses</t>
        </is>
      </c>
      <c r="D15042" s="3" t="inlineStr">
        <is>
          <t>4200/000</t>
        </is>
      </c>
      <c r="E15042" s="3" t="inlineStr">
        <is>
          <t>Printing _AND_ Stationery</t>
        </is>
      </c>
      <c r="F15042" s="3" t="n">
        <v>2367</v>
      </c>
      <c r="G15042" s="3" t="n">
        <v>11835</v>
      </c>
    </row>
    <row r="15043">
      <c r="A15043" s="3" t="inlineStr">
        <is>
          <t>Opportunity Global Sales (PTY) LTD</t>
        </is>
      </c>
      <c r="B15043" s="4" t="n">
        <v>45138</v>
      </c>
      <c r="C15043" s="3" t="inlineStr">
        <is>
          <t>Expenses</t>
        </is>
      </c>
      <c r="D15043" s="3" t="inlineStr">
        <is>
          <t>4200/000</t>
        </is>
      </c>
      <c r="E15043" s="3" t="inlineStr">
        <is>
          <t>Printing _AND_ Stationery</t>
        </is>
      </c>
      <c r="F15043" s="3" t="n">
        <v>0</v>
      </c>
      <c r="G15043" s="3" t="n">
        <v>286.96</v>
      </c>
    </row>
    <row r="15044">
      <c r="A15044" s="3" t="inlineStr">
        <is>
          <t>Opportunity Management Holdings (PTY) LTD</t>
        </is>
      </c>
      <c r="B15044" s="4" t="n">
        <v>45138</v>
      </c>
      <c r="C15044" s="3" t="inlineStr">
        <is>
          <t>Expenses</t>
        </is>
      </c>
      <c r="D15044" s="3" t="inlineStr">
        <is>
          <t>4200/000</t>
        </is>
      </c>
      <c r="E15044" s="3" t="inlineStr">
        <is>
          <t>Printing _AND_ Stationery</t>
        </is>
      </c>
      <c r="F15044" s="3" t="n">
        <v>0</v>
      </c>
      <c r="G15044" s="3" t="n">
        <v>26211.62</v>
      </c>
    </row>
    <row r="15045">
      <c r="A15045" s="3" t="inlineStr">
        <is>
          <t>Noble Shield (Pty) Ltd ta Go Letting</t>
        </is>
      </c>
      <c r="B15045" s="4" t="n">
        <v>45138</v>
      </c>
      <c r="C15045" s="3" t="inlineStr">
        <is>
          <t>Expenses</t>
        </is>
      </c>
      <c r="D15045" s="3" t="inlineStr">
        <is>
          <t>4200/100</t>
        </is>
      </c>
      <c r="E15045" s="3" t="inlineStr">
        <is>
          <t>Printing - Merchant West- Printer Rental</t>
        </is>
      </c>
      <c r="F15045" s="3" t="n">
        <v>1631.51</v>
      </c>
      <c r="G15045" s="3" t="n">
        <v>17918.78</v>
      </c>
    </row>
    <row r="15046">
      <c r="A15046" s="3" t="inlineStr">
        <is>
          <t>Noble Shield (Pty) Ltd ta Go Letting</t>
        </is>
      </c>
      <c r="B15046" s="4" t="n">
        <v>45138</v>
      </c>
      <c r="C15046" s="3" t="inlineStr">
        <is>
          <t>Expenses</t>
        </is>
      </c>
      <c r="D15046" s="3" t="inlineStr">
        <is>
          <t>4200/120</t>
        </is>
      </c>
      <c r="E15046" s="3" t="inlineStr">
        <is>
          <t>Printing - Ivy Line - Prints</t>
        </is>
      </c>
      <c r="F15046" s="3" t="n">
        <v>1450.35</v>
      </c>
      <c r="G15046" s="3" t="n">
        <v>10473.55</v>
      </c>
    </row>
    <row r="15047">
      <c r="A15047" s="3" t="inlineStr">
        <is>
          <t>Noble Shield (Pty) Ltd ta Go Letting</t>
        </is>
      </c>
      <c r="B15047" s="4" t="n">
        <v>45138</v>
      </c>
      <c r="C15047" s="3" t="inlineStr">
        <is>
          <t>Expenses</t>
        </is>
      </c>
      <c r="D15047" s="3" t="inlineStr">
        <is>
          <t>4200/180</t>
        </is>
      </c>
      <c r="E15047" s="3" t="inlineStr">
        <is>
          <t>Printing - Ikon</t>
        </is>
      </c>
      <c r="F15047" s="3" t="n">
        <v>214.3</v>
      </c>
      <c r="G15047" s="3" t="n">
        <v>1765.44</v>
      </c>
    </row>
    <row r="15048">
      <c r="A15048" s="3" t="inlineStr">
        <is>
          <t>Noble Shield (Pty) Ltd ta Go Letting</t>
        </is>
      </c>
      <c r="B15048" s="4" t="n">
        <v>45138</v>
      </c>
      <c r="C15048" s="3" t="inlineStr">
        <is>
          <t>Expenses</t>
        </is>
      </c>
      <c r="D15048" s="3" t="inlineStr">
        <is>
          <t>4200/190</t>
        </is>
      </c>
      <c r="E15048" s="3" t="inlineStr">
        <is>
          <t>Printing - Centrafin printer rental</t>
        </is>
      </c>
      <c r="F15048" s="3" t="n">
        <v>2919.25</v>
      </c>
      <c r="G15048" s="3" t="n">
        <v>30508.09</v>
      </c>
    </row>
    <row r="15049">
      <c r="A15049" s="3" t="inlineStr">
        <is>
          <t>Noble Shield (Pty) Ltd ta Go Letting</t>
        </is>
      </c>
      <c r="B15049" s="4" t="n">
        <v>45138</v>
      </c>
      <c r="C15049" s="3" t="inlineStr">
        <is>
          <t>Expenses</t>
        </is>
      </c>
      <c r="D15049" s="3" t="inlineStr">
        <is>
          <t>4200/200</t>
        </is>
      </c>
      <c r="E15049" s="3" t="inlineStr">
        <is>
          <t>Printing - General Stationery VDB Office</t>
        </is>
      </c>
      <c r="F15049" s="3" t="n">
        <v>1691.69</v>
      </c>
      <c r="G15049" s="3" t="n">
        <v>8755.25</v>
      </c>
    </row>
    <row r="15050">
      <c r="A15050" s="3" t="inlineStr">
        <is>
          <t>Opportunity Global Investment (PTY) LTD</t>
        </is>
      </c>
      <c r="B15050" s="4" t="n">
        <v>45138</v>
      </c>
      <c r="C15050" s="3" t="inlineStr">
        <is>
          <t>Expenses</t>
        </is>
      </c>
      <c r="D15050" s="3" t="inlineStr">
        <is>
          <t>4220/000</t>
        </is>
      </c>
      <c r="E15050" s="3" t="inlineStr">
        <is>
          <t>Motor Vehicle Expenses - Petrol _AND_ Oil</t>
        </is>
      </c>
      <c r="F15050" s="3" t="n">
        <v>1747.69</v>
      </c>
      <c r="G15050" s="3" t="n">
        <v>9315.280000000001</v>
      </c>
    </row>
    <row r="15051">
      <c r="A15051" s="3" t="inlineStr">
        <is>
          <t>Noble Shield (Pty) Ltd ta Go Letting</t>
        </is>
      </c>
      <c r="B15051" s="4" t="n">
        <v>45138</v>
      </c>
      <c r="C15051" s="3" t="inlineStr">
        <is>
          <t>Expenses</t>
        </is>
      </c>
      <c r="D15051" s="3" t="inlineStr">
        <is>
          <t>4290/000</t>
        </is>
      </c>
      <c r="E15051" s="3" t="inlineStr">
        <is>
          <t>Refreshments - CT Office</t>
        </is>
      </c>
      <c r="F15051" s="3" t="n">
        <v>693.17</v>
      </c>
      <c r="G15051" s="3" t="n">
        <v>11332.92</v>
      </c>
    </row>
    <row r="15052">
      <c r="A15052" s="3" t="inlineStr">
        <is>
          <t>Opportunity Global Investment (PTY) LTD</t>
        </is>
      </c>
      <c r="B15052" s="4" t="n">
        <v>45138</v>
      </c>
      <c r="C15052" s="3" t="inlineStr">
        <is>
          <t>Expenses</t>
        </is>
      </c>
      <c r="D15052" s="3" t="inlineStr">
        <is>
          <t>4290/000</t>
        </is>
      </c>
      <c r="E15052" s="3" t="inlineStr">
        <is>
          <t>Rent</t>
        </is>
      </c>
      <c r="F15052" s="3" t="n">
        <v>8770</v>
      </c>
      <c r="G15052" s="3" t="n">
        <v>43850</v>
      </c>
    </row>
    <row r="15053">
      <c r="A15053" s="3" t="inlineStr">
        <is>
          <t>Noble Shield (Pty) Ltd ta Go Letting</t>
        </is>
      </c>
      <c r="B15053" s="4" t="n">
        <v>45138</v>
      </c>
      <c r="C15053" s="3" t="inlineStr">
        <is>
          <t>Expenses</t>
        </is>
      </c>
      <c r="D15053" s="3" t="inlineStr">
        <is>
          <t>4291/000</t>
        </is>
      </c>
      <c r="E15053" s="3" t="inlineStr">
        <is>
          <t>Refreshments - VDB Office</t>
        </is>
      </c>
      <c r="F15053" s="3" t="n">
        <v>0</v>
      </c>
      <c r="G15053" s="3" t="n">
        <v>4736.64</v>
      </c>
    </row>
    <row r="15054">
      <c r="A15054" s="3" t="inlineStr">
        <is>
          <t>Trademark Holdings (Pty) Ltd</t>
        </is>
      </c>
      <c r="B15054" s="4" t="n">
        <v>45138</v>
      </c>
      <c r="C15054" s="3" t="inlineStr">
        <is>
          <t>Expenses</t>
        </is>
      </c>
      <c r="D15054" s="3" t="inlineStr">
        <is>
          <t>4300/000</t>
        </is>
      </c>
      <c r="E15054" s="3" t="inlineStr">
        <is>
          <t>Rent Paid</t>
        </is>
      </c>
      <c r="F15054" s="3" t="n">
        <v>6840</v>
      </c>
      <c r="G15054" s="3" t="n">
        <v>71936.57000000001</v>
      </c>
    </row>
    <row r="15055">
      <c r="A15055" s="3" t="inlineStr">
        <is>
          <t>Opportunity Global Investment (PTY) LTD</t>
        </is>
      </c>
      <c r="B15055" s="4" t="n">
        <v>45138</v>
      </c>
      <c r="C15055" s="3" t="inlineStr">
        <is>
          <t>Expenses</t>
        </is>
      </c>
      <c r="D15055" s="3" t="inlineStr">
        <is>
          <t>4310/000</t>
        </is>
      </c>
      <c r="E15055" s="3" t="inlineStr">
        <is>
          <t>Refreshments</t>
        </is>
      </c>
      <c r="F15055" s="3" t="n">
        <v>2521</v>
      </c>
      <c r="G15055" s="3" t="n">
        <v>12605</v>
      </c>
    </row>
    <row r="15056">
      <c r="A15056" s="3" t="inlineStr">
        <is>
          <t>Opportunity Management Holdings (PTY) LTD</t>
        </is>
      </c>
      <c r="B15056" s="4" t="n">
        <v>45138</v>
      </c>
      <c r="C15056" s="3" t="inlineStr">
        <is>
          <t>Expenses</t>
        </is>
      </c>
      <c r="D15056" s="3" t="inlineStr">
        <is>
          <t>4310/000</t>
        </is>
      </c>
      <c r="E15056" s="3" t="inlineStr">
        <is>
          <t>Refreshments</t>
        </is>
      </c>
      <c r="F15056" s="3" t="n">
        <v>6723.99</v>
      </c>
      <c r="G15056" s="3" t="n">
        <v>25915.39</v>
      </c>
    </row>
    <row r="15057">
      <c r="A15057" s="3" t="inlineStr">
        <is>
          <t>Quinate Consulting (Pty) Ltd</t>
        </is>
      </c>
      <c r="B15057" s="4" t="n">
        <v>45138</v>
      </c>
      <c r="C15057" s="3" t="inlineStr">
        <is>
          <t>Expenses</t>
        </is>
      </c>
      <c r="D15057" s="3" t="inlineStr">
        <is>
          <t>4312/000</t>
        </is>
      </c>
      <c r="E15057" s="3" t="inlineStr">
        <is>
          <t>Rates - SoHo Units</t>
        </is>
      </c>
      <c r="F15057" s="3" t="n">
        <v>4349.44</v>
      </c>
      <c r="G15057" s="3" t="n">
        <v>12629.59</v>
      </c>
    </row>
    <row r="15058">
      <c r="A15058" s="3" t="inlineStr">
        <is>
          <t>Endulini (Pty) Ltd</t>
        </is>
      </c>
      <c r="B15058" s="4" t="n">
        <v>45138</v>
      </c>
      <c r="C15058" s="3" t="inlineStr">
        <is>
          <t>Expenses</t>
        </is>
      </c>
      <c r="D15058" s="3" t="inlineStr">
        <is>
          <t>4350/000</t>
        </is>
      </c>
      <c r="E15058" s="3" t="inlineStr">
        <is>
          <t>Repairs _AND_ Maintenance</t>
        </is>
      </c>
      <c r="F15058" s="3" t="n">
        <v>9269.25</v>
      </c>
      <c r="G15058" s="3" t="n">
        <v>24971.44</v>
      </c>
    </row>
    <row r="15059">
      <c r="A15059" s="3" t="inlineStr">
        <is>
          <t>Noble Shield (Pty) Ltd ta Go Letting</t>
        </is>
      </c>
      <c r="B15059" s="4" t="n">
        <v>45138</v>
      </c>
      <c r="C15059" s="3" t="inlineStr">
        <is>
          <t>Expenses</t>
        </is>
      </c>
      <c r="D15059" s="3" t="inlineStr">
        <is>
          <t>4350/000</t>
        </is>
      </c>
      <c r="E15059" s="3" t="inlineStr">
        <is>
          <t>Repairs _AND_ Maintenance</t>
        </is>
      </c>
      <c r="F15059" s="3" t="n">
        <v>-249.99</v>
      </c>
      <c r="G15059" s="3" t="n">
        <v>1930.01</v>
      </c>
    </row>
    <row r="15060">
      <c r="A15060" s="3" t="inlineStr">
        <is>
          <t>Opportunity Management Holdings (PTY) LTD</t>
        </is>
      </c>
      <c r="B15060" s="4" t="n">
        <v>45138</v>
      </c>
      <c r="C15060" s="3" t="inlineStr">
        <is>
          <t>Expenses</t>
        </is>
      </c>
      <c r="D15060" s="3" t="inlineStr">
        <is>
          <t>4350/000</t>
        </is>
      </c>
      <c r="E15060" s="3" t="inlineStr">
        <is>
          <t>Repairs _AND_ Maintenance</t>
        </is>
      </c>
      <c r="F15060" s="3" t="n">
        <v>481.72</v>
      </c>
      <c r="G15060" s="3" t="n">
        <v>3955.41</v>
      </c>
    </row>
    <row r="15061">
      <c r="A15061" s="3" t="inlineStr">
        <is>
          <t>Quinate Consulting (Pty) Ltd</t>
        </is>
      </c>
      <c r="B15061" s="4" t="n">
        <v>45138</v>
      </c>
      <c r="C15061" s="3" t="inlineStr">
        <is>
          <t>Expenses</t>
        </is>
      </c>
      <c r="D15061" s="3" t="inlineStr">
        <is>
          <t>4350/000</t>
        </is>
      </c>
      <c r="E15061" s="3" t="inlineStr">
        <is>
          <t>Repairs and Maintenance - Southwark Units</t>
        </is>
      </c>
      <c r="F15061" s="3" t="n">
        <v>800</v>
      </c>
      <c r="G15061" s="3" t="n">
        <v>3150</v>
      </c>
    </row>
    <row r="15062">
      <c r="A15062" s="3" t="inlineStr">
        <is>
          <t>Endulini (Pty) Ltd</t>
        </is>
      </c>
      <c r="B15062" s="4" t="n">
        <v>45138</v>
      </c>
      <c r="C15062" s="3" t="inlineStr">
        <is>
          <t>Expenses</t>
        </is>
      </c>
      <c r="D15062" s="3" t="inlineStr">
        <is>
          <t>4351/000</t>
        </is>
      </c>
      <c r="E15062" s="3" t="inlineStr">
        <is>
          <t>Repair &amp; Maintenance - Rentals</t>
        </is>
      </c>
      <c r="F15062" s="3" t="n">
        <v>391.3</v>
      </c>
      <c r="G15062" s="3" t="n">
        <v>1913.04</v>
      </c>
    </row>
    <row r="15063">
      <c r="A15063" s="3" t="inlineStr">
        <is>
          <t>Noble Shield (Pty) Ltd ta Go Letting</t>
        </is>
      </c>
      <c r="B15063" s="4" t="n">
        <v>45138</v>
      </c>
      <c r="C15063" s="3" t="inlineStr">
        <is>
          <t>Expenses</t>
        </is>
      </c>
      <c r="D15063" s="3" t="inlineStr">
        <is>
          <t>4351/000</t>
        </is>
      </c>
      <c r="E15063" s="3" t="inlineStr">
        <is>
          <t>Repairs _AND_ Maintanence - Rentals</t>
        </is>
      </c>
      <c r="F15063" s="3" t="n">
        <v>249.99</v>
      </c>
      <c r="G15063" s="3" t="n">
        <v>317.98</v>
      </c>
    </row>
    <row r="15064">
      <c r="A15064" s="3" t="inlineStr">
        <is>
          <t>Quinate Consulting (Pty) Ltd</t>
        </is>
      </c>
      <c r="B15064" s="4" t="n">
        <v>45138</v>
      </c>
      <c r="C15064" s="3" t="inlineStr">
        <is>
          <t>Expenses</t>
        </is>
      </c>
      <c r="D15064" s="3" t="inlineStr">
        <is>
          <t>4351/100</t>
        </is>
      </c>
      <c r="E15064" s="3" t="inlineStr">
        <is>
          <t>Repairs and Maintenance -  Soho Units</t>
        </is>
      </c>
      <c r="F15064" s="3" t="n">
        <v>0</v>
      </c>
      <c r="G15064" s="3" t="n">
        <v>2400</v>
      </c>
    </row>
    <row r="15065">
      <c r="A15065" s="3" t="inlineStr">
        <is>
          <t>Opportunity Global Investment (PTY) LTD</t>
        </is>
      </c>
      <c r="B15065" s="4" t="n">
        <v>45138</v>
      </c>
      <c r="C15065" s="3" t="inlineStr">
        <is>
          <t>Expenses</t>
        </is>
      </c>
      <c r="D15065" s="3" t="inlineStr">
        <is>
          <t>4360/000</t>
        </is>
      </c>
      <c r="E15065" s="3" t="inlineStr">
        <is>
          <t>Secretarial - CIPC</t>
        </is>
      </c>
      <c r="F15065" s="3" t="n">
        <v>800</v>
      </c>
      <c r="G15065" s="3" t="n">
        <v>800</v>
      </c>
    </row>
    <row r="15066">
      <c r="A15066" s="3" t="inlineStr">
        <is>
          <t>Opportunity Global Sales (PTY) LTD</t>
        </is>
      </c>
      <c r="B15066" s="4" t="n">
        <v>45138</v>
      </c>
      <c r="C15066" s="3" t="inlineStr">
        <is>
          <t>Expenses</t>
        </is>
      </c>
      <c r="D15066" s="3" t="inlineStr">
        <is>
          <t>4390/000</t>
        </is>
      </c>
      <c r="E15066" s="3" t="inlineStr">
        <is>
          <t>Small Assets</t>
        </is>
      </c>
      <c r="F15066" s="3" t="n">
        <v>0</v>
      </c>
      <c r="G15066" s="3" t="n">
        <v>1477.39</v>
      </c>
    </row>
    <row r="15067">
      <c r="A15067" s="3" t="inlineStr">
        <is>
          <t>Opportunity Management Holdings (PTY) LTD</t>
        </is>
      </c>
      <c r="B15067" s="4" t="n">
        <v>45138</v>
      </c>
      <c r="C15067" s="3" t="inlineStr">
        <is>
          <t>Expenses</t>
        </is>
      </c>
      <c r="D15067" s="3" t="inlineStr">
        <is>
          <t>4390/000</t>
        </is>
      </c>
      <c r="E15067" s="3" t="inlineStr">
        <is>
          <t>Small Assets</t>
        </is>
      </c>
      <c r="F15067" s="3" t="n">
        <v>0</v>
      </c>
      <c r="G15067" s="3" t="n">
        <v>27383.47</v>
      </c>
    </row>
    <row r="15068">
      <c r="A15068" s="3" t="inlineStr">
        <is>
          <t>Noble Shield (Pty) Ltd ta Go Letting</t>
        </is>
      </c>
      <c r="B15068" s="4" t="n">
        <v>45138</v>
      </c>
      <c r="C15068" s="3" t="inlineStr">
        <is>
          <t>Expenses</t>
        </is>
      </c>
      <c r="D15068" s="3" t="inlineStr">
        <is>
          <t>4400/000</t>
        </is>
      </c>
      <c r="E15068" s="3" t="inlineStr">
        <is>
          <t>Salaries _AND_ Wages</t>
        </is>
      </c>
      <c r="F15068" s="3" t="n">
        <v>26915.7</v>
      </c>
      <c r="G15068" s="3" t="n">
        <v>295667.72</v>
      </c>
    </row>
    <row r="15069">
      <c r="A15069" s="3" t="inlineStr">
        <is>
          <t>Opportunity Global Sales (PTY) LTD</t>
        </is>
      </c>
      <c r="B15069" s="4" t="n">
        <v>45138</v>
      </c>
      <c r="C15069" s="3" t="inlineStr">
        <is>
          <t>Expenses</t>
        </is>
      </c>
      <c r="D15069" s="3" t="inlineStr">
        <is>
          <t>4400/000</t>
        </is>
      </c>
      <c r="E15069" s="3" t="inlineStr">
        <is>
          <t>Salaries _AND_ Wages</t>
        </is>
      </c>
      <c r="F15069" s="3" t="n">
        <v>54267.04</v>
      </c>
      <c r="G15069" s="3" t="n">
        <v>270735.23</v>
      </c>
    </row>
    <row r="15070">
      <c r="A15070" s="3" t="inlineStr">
        <is>
          <t>Opportunity Management Holdings (PTY) LTD</t>
        </is>
      </c>
      <c r="B15070" s="4" t="n">
        <v>45138</v>
      </c>
      <c r="C15070" s="3" t="inlineStr">
        <is>
          <t>Expenses</t>
        </is>
      </c>
      <c r="D15070" s="3" t="inlineStr">
        <is>
          <t>4400/000</t>
        </is>
      </c>
      <c r="E15070" s="3" t="inlineStr">
        <is>
          <t>Salaries _AND_ Wages</t>
        </is>
      </c>
      <c r="F15070" s="3" t="n">
        <v>221433.1</v>
      </c>
      <c r="G15070" s="3" t="n">
        <v>2759656.75</v>
      </c>
    </row>
    <row r="15071">
      <c r="A15071" s="3" t="inlineStr">
        <is>
          <t>Trademark Holdings (Pty) Ltd</t>
        </is>
      </c>
      <c r="B15071" s="4" t="n">
        <v>45138</v>
      </c>
      <c r="C15071" s="3" t="inlineStr">
        <is>
          <t>Expenses</t>
        </is>
      </c>
      <c r="D15071" s="3" t="inlineStr">
        <is>
          <t>4400/000</t>
        </is>
      </c>
      <c r="E15071" s="3" t="inlineStr">
        <is>
          <t>Salaries _AND_ Wages</t>
        </is>
      </c>
      <c r="F15071" s="3" t="n">
        <v>12429.45</v>
      </c>
      <c r="G15071" s="3" t="n">
        <v>136723.95</v>
      </c>
    </row>
    <row r="15072">
      <c r="A15072" s="3" t="inlineStr">
        <is>
          <t>Opportunity Management Holdings (PTY) LTD</t>
        </is>
      </c>
      <c r="B15072" s="4" t="n">
        <v>45138</v>
      </c>
      <c r="C15072" s="3" t="inlineStr">
        <is>
          <t>Expenses</t>
        </is>
      </c>
      <c r="D15072" s="3" t="inlineStr">
        <is>
          <t>4410/000</t>
        </is>
      </c>
      <c r="E15072" s="3" t="inlineStr">
        <is>
          <t>Salaries _AND_ Wages - WCA</t>
        </is>
      </c>
      <c r="F15072" s="3" t="n">
        <v>2000</v>
      </c>
      <c r="G15072" s="3" t="n">
        <v>2000</v>
      </c>
    </row>
    <row r="15073">
      <c r="A15073" s="3" t="inlineStr">
        <is>
          <t>Trademark Holdings (Pty) Ltd</t>
        </is>
      </c>
      <c r="B15073" s="4" t="n">
        <v>45138</v>
      </c>
      <c r="C15073" s="3" t="inlineStr">
        <is>
          <t>Expenses</t>
        </is>
      </c>
      <c r="D15073" s="3" t="inlineStr">
        <is>
          <t>4410/000</t>
        </is>
      </c>
      <c r="E15073" s="3" t="inlineStr">
        <is>
          <t>Salaries _AND_ Wages - WCA</t>
        </is>
      </c>
      <c r="F15073" s="3" t="n">
        <v>0</v>
      </c>
      <c r="G15073" s="3" t="n">
        <v>1397.74</v>
      </c>
    </row>
    <row r="15074">
      <c r="A15074" s="3" t="inlineStr">
        <is>
          <t>Trademark Holdings (Pty) Ltd</t>
        </is>
      </c>
      <c r="B15074" s="4" t="n">
        <v>45138</v>
      </c>
      <c r="C15074" s="3" t="inlineStr">
        <is>
          <t>Expenses</t>
        </is>
      </c>
      <c r="D15074" s="3" t="inlineStr">
        <is>
          <t>4430/000</t>
        </is>
      </c>
      <c r="E15074" s="3" t="inlineStr">
        <is>
          <t>Secretarial fees - CIPC</t>
        </is>
      </c>
      <c r="F15074" s="3" t="n">
        <v>200</v>
      </c>
      <c r="G15074" s="3" t="n">
        <v>200</v>
      </c>
    </row>
    <row r="15075">
      <c r="A15075" s="3" t="inlineStr">
        <is>
          <t>Opportunity Global Investment (PTY) LTD</t>
        </is>
      </c>
      <c r="B15075" s="4" t="n">
        <v>45138</v>
      </c>
      <c r="C15075" s="3" t="inlineStr">
        <is>
          <t>Expenses</t>
        </is>
      </c>
      <c r="D15075" s="3" t="inlineStr">
        <is>
          <t>4450/000</t>
        </is>
      </c>
      <c r="E15075" s="3" t="inlineStr">
        <is>
          <t>Staff Training</t>
        </is>
      </c>
      <c r="F15075" s="3" t="n">
        <v>0</v>
      </c>
      <c r="G15075" s="3" t="n">
        <v>5495.66</v>
      </c>
    </row>
    <row r="15076">
      <c r="A15076" s="3" t="inlineStr">
        <is>
          <t>Opportunity Management Holdings (PTY) LTD</t>
        </is>
      </c>
      <c r="B15076" s="4" t="n">
        <v>45138</v>
      </c>
      <c r="C15076" s="3" t="inlineStr">
        <is>
          <t>Expenses</t>
        </is>
      </c>
      <c r="D15076" s="3" t="inlineStr">
        <is>
          <t>4450/000</t>
        </is>
      </c>
      <c r="E15076" s="3" t="inlineStr">
        <is>
          <t>Staff Training</t>
        </is>
      </c>
      <c r="F15076" s="3" t="n">
        <v>0</v>
      </c>
      <c r="G15076" s="3" t="n">
        <v>2001.78</v>
      </c>
    </row>
    <row r="15077">
      <c r="A15077" s="3" t="inlineStr">
        <is>
          <t>Noble Shield (Pty) Ltd ta Go Letting</t>
        </is>
      </c>
      <c r="B15077" s="4" t="n">
        <v>45138</v>
      </c>
      <c r="C15077" s="3" t="inlineStr">
        <is>
          <t>Expenses</t>
        </is>
      </c>
      <c r="D15077" s="3" t="inlineStr">
        <is>
          <t>4500/000</t>
        </is>
      </c>
      <c r="E15077" s="3" t="inlineStr">
        <is>
          <t>Staff Welfare</t>
        </is>
      </c>
      <c r="F15077" s="3" t="n">
        <v>0</v>
      </c>
      <c r="G15077" s="3" t="n">
        <v>6697.18</v>
      </c>
    </row>
    <row r="15078">
      <c r="A15078" s="3" t="inlineStr">
        <is>
          <t>Opportunity Global Investment (PTY) LTD</t>
        </is>
      </c>
      <c r="B15078" s="4" t="n">
        <v>45138</v>
      </c>
      <c r="C15078" s="3" t="inlineStr">
        <is>
          <t>Expenses</t>
        </is>
      </c>
      <c r="D15078" s="3" t="inlineStr">
        <is>
          <t>4500/000</t>
        </is>
      </c>
      <c r="E15078" s="3" t="inlineStr">
        <is>
          <t>Staff Welfare</t>
        </is>
      </c>
      <c r="F15078" s="3" t="n">
        <v>0</v>
      </c>
      <c r="G15078" s="3" t="n">
        <v>244.15</v>
      </c>
    </row>
    <row r="15079">
      <c r="A15079" s="3" t="inlineStr">
        <is>
          <t>Opportunity Global Sales (PTY) LTD</t>
        </is>
      </c>
      <c r="B15079" s="4" t="n">
        <v>45138</v>
      </c>
      <c r="C15079" s="3" t="inlineStr">
        <is>
          <t>Expenses</t>
        </is>
      </c>
      <c r="D15079" s="3" t="inlineStr">
        <is>
          <t>4500/000</t>
        </is>
      </c>
      <c r="E15079" s="3" t="inlineStr">
        <is>
          <t>Staff Welfare</t>
        </is>
      </c>
      <c r="F15079" s="3" t="n">
        <v>0</v>
      </c>
      <c r="G15079" s="3" t="n">
        <v>1142.17</v>
      </c>
    </row>
    <row r="15080">
      <c r="A15080" s="3" t="inlineStr">
        <is>
          <t>Opportunity Management Holdings (PTY) LTD</t>
        </is>
      </c>
      <c r="B15080" s="4" t="n">
        <v>45138</v>
      </c>
      <c r="C15080" s="3" t="inlineStr">
        <is>
          <t>Expenses</t>
        </is>
      </c>
      <c r="D15080" s="3" t="inlineStr">
        <is>
          <t>4500/000</t>
        </is>
      </c>
      <c r="E15080" s="3" t="inlineStr">
        <is>
          <t>Staff Welfare</t>
        </is>
      </c>
      <c r="F15080" s="3" t="n">
        <v>2310.77</v>
      </c>
      <c r="G15080" s="3" t="n">
        <v>63230.66</v>
      </c>
    </row>
    <row r="15081">
      <c r="A15081" s="3" t="inlineStr">
        <is>
          <t>Quinate Consulting (Pty) Ltd</t>
        </is>
      </c>
      <c r="B15081" s="4" t="n">
        <v>45138</v>
      </c>
      <c r="C15081" s="3" t="inlineStr">
        <is>
          <t>Expenses</t>
        </is>
      </c>
      <c r="D15081" s="3" t="inlineStr">
        <is>
          <t>4500/000</t>
        </is>
      </c>
      <c r="E15081" s="3" t="inlineStr">
        <is>
          <t>Staff Welfare</t>
        </is>
      </c>
      <c r="F15081" s="3" t="n">
        <v>0</v>
      </c>
      <c r="G15081" s="3" t="n">
        <v>1263</v>
      </c>
    </row>
    <row r="15082">
      <c r="A15082" s="3" t="inlineStr">
        <is>
          <t>Trademark Holdings (Pty) Ltd</t>
        </is>
      </c>
      <c r="B15082" s="4" t="n">
        <v>45138</v>
      </c>
      <c r="C15082" s="3" t="inlineStr">
        <is>
          <t>Expenses</t>
        </is>
      </c>
      <c r="D15082" s="3" t="inlineStr">
        <is>
          <t>4500/000</t>
        </is>
      </c>
      <c r="E15082" s="3" t="inlineStr">
        <is>
          <t>Staff Welfare _AND_ Refreshments</t>
        </is>
      </c>
      <c r="F15082" s="3" t="n">
        <v>0</v>
      </c>
      <c r="G15082" s="3" t="n">
        <v>4500</v>
      </c>
    </row>
    <row r="15083">
      <c r="A15083" s="3" t="inlineStr">
        <is>
          <t>Noble Shield (Pty) Ltd ta Go Letting</t>
        </is>
      </c>
      <c r="B15083" s="4" t="n">
        <v>45138</v>
      </c>
      <c r="C15083" s="3" t="inlineStr">
        <is>
          <t>Expenses</t>
        </is>
      </c>
      <c r="D15083" s="3" t="inlineStr">
        <is>
          <t>4520/000</t>
        </is>
      </c>
      <c r="E15083" s="3" t="inlineStr">
        <is>
          <t>Security</t>
        </is>
      </c>
      <c r="F15083" s="3" t="n">
        <v>815</v>
      </c>
      <c r="G15083" s="3" t="n">
        <v>9701.440000000001</v>
      </c>
    </row>
    <row r="15084">
      <c r="A15084" s="3" t="inlineStr">
        <is>
          <t>Opportunity Global Investment (PTY) LTD</t>
        </is>
      </c>
      <c r="B15084" s="4" t="n">
        <v>45138</v>
      </c>
      <c r="C15084" s="3" t="inlineStr">
        <is>
          <t>Expenses</t>
        </is>
      </c>
      <c r="D15084" s="3" t="inlineStr">
        <is>
          <t>4550/000</t>
        </is>
      </c>
      <c r="E15084" s="3" t="inlineStr">
        <is>
          <t>Subscriptions</t>
        </is>
      </c>
      <c r="F15084" s="3" t="n">
        <v>4623.48</v>
      </c>
      <c r="G15084" s="3" t="n">
        <v>4623.48</v>
      </c>
    </row>
    <row r="15085">
      <c r="A15085" s="3" t="inlineStr">
        <is>
          <t>Quinate Consulting (Pty) Ltd</t>
        </is>
      </c>
      <c r="B15085" s="4" t="n">
        <v>45138</v>
      </c>
      <c r="C15085" s="3" t="inlineStr">
        <is>
          <t>Expenses</t>
        </is>
      </c>
      <c r="D15085" s="3" t="inlineStr">
        <is>
          <t>4550/000</t>
        </is>
      </c>
      <c r="E15085" s="3" t="inlineStr">
        <is>
          <t>Subscriptions / Licenses</t>
        </is>
      </c>
      <c r="F15085" s="3" t="n">
        <v>35466.85</v>
      </c>
      <c r="G15085" s="3" t="n">
        <v>58791.43</v>
      </c>
    </row>
    <row r="15086">
      <c r="A15086" s="3" t="inlineStr">
        <is>
          <t>Opportunity Management Holdings (PTY) LTD</t>
        </is>
      </c>
      <c r="B15086" s="4" t="n">
        <v>45138</v>
      </c>
      <c r="C15086" s="3" t="inlineStr">
        <is>
          <t>Expenses</t>
        </is>
      </c>
      <c r="D15086" s="3" t="inlineStr">
        <is>
          <t>4550/000</t>
        </is>
      </c>
      <c r="E15086" s="3" t="inlineStr">
        <is>
          <t>Subscriptions _AND_ Lisences</t>
        </is>
      </c>
      <c r="F15086" s="3" t="n">
        <v>4147.71</v>
      </c>
      <c r="G15086" s="3" t="n">
        <v>49550.82</v>
      </c>
    </row>
    <row r="15087">
      <c r="A15087" s="3" t="inlineStr">
        <is>
          <t>Noble Shield (Pty) Ltd ta Go Letting</t>
        </is>
      </c>
      <c r="B15087" s="4" t="n">
        <v>45138</v>
      </c>
      <c r="C15087" s="3" t="inlineStr">
        <is>
          <t>Expenses</t>
        </is>
      </c>
      <c r="D15087" s="3" t="inlineStr">
        <is>
          <t>4550/100</t>
        </is>
      </c>
      <c r="E15087" s="3" t="inlineStr">
        <is>
          <t>Subscriptions - EAAB</t>
        </is>
      </c>
      <c r="F15087" s="3" t="n">
        <v>0</v>
      </c>
      <c r="G15087" s="3" t="n">
        <v>2340</v>
      </c>
    </row>
    <row r="15088">
      <c r="A15088" s="3" t="inlineStr">
        <is>
          <t>Trademark Holdings (Pty) Ltd</t>
        </is>
      </c>
      <c r="B15088" s="4" t="n">
        <v>45138</v>
      </c>
      <c r="C15088" s="3" t="inlineStr">
        <is>
          <t>Expenses</t>
        </is>
      </c>
      <c r="D15088" s="3" t="inlineStr">
        <is>
          <t>4550/100</t>
        </is>
      </c>
      <c r="E15088" s="3" t="inlineStr">
        <is>
          <t>Subscriptions - EAAB</t>
        </is>
      </c>
      <c r="F15088" s="3" t="n">
        <v>0</v>
      </c>
      <c r="G15088" s="3" t="n">
        <v>2340</v>
      </c>
    </row>
    <row r="15089">
      <c r="A15089" s="3" t="inlineStr">
        <is>
          <t>Opportunity Global Investment (PTY) LTD</t>
        </is>
      </c>
      <c r="B15089" s="4" t="n">
        <v>45138</v>
      </c>
      <c r="C15089" s="3" t="inlineStr">
        <is>
          <t>Expenses</t>
        </is>
      </c>
      <c r="D15089" s="3" t="inlineStr">
        <is>
          <t>4550/100</t>
        </is>
      </c>
      <c r="E15089" s="3" t="inlineStr">
        <is>
          <t>Subscriptions - Zoho</t>
        </is>
      </c>
      <c r="F15089" s="3" t="n">
        <v>1125</v>
      </c>
      <c r="G15089" s="3" t="n">
        <v>5625</v>
      </c>
    </row>
    <row r="15090">
      <c r="A15090" s="3" t="inlineStr">
        <is>
          <t>Opportunity Global Sales (PTY) LTD</t>
        </is>
      </c>
      <c r="B15090" s="4" t="n">
        <v>45138</v>
      </c>
      <c r="C15090" s="3" t="inlineStr">
        <is>
          <t>Expenses</t>
        </is>
      </c>
      <c r="D15090" s="3" t="inlineStr">
        <is>
          <t>4550/150</t>
        </is>
      </c>
      <c r="E15090" s="3" t="inlineStr">
        <is>
          <t>Subscription - Webbox</t>
        </is>
      </c>
      <c r="F15090" s="3" t="n">
        <v>1371</v>
      </c>
      <c r="G15090" s="3" t="n">
        <v>6743</v>
      </c>
    </row>
    <row r="15091">
      <c r="A15091" s="3" t="inlineStr">
        <is>
          <t>Opportunity Global Investment (PTY) LTD</t>
        </is>
      </c>
      <c r="B15091" s="4" t="n">
        <v>45138</v>
      </c>
      <c r="C15091" s="3" t="inlineStr">
        <is>
          <t>Expenses</t>
        </is>
      </c>
      <c r="D15091" s="3" t="inlineStr">
        <is>
          <t>4550/250</t>
        </is>
      </c>
      <c r="E15091" s="3" t="inlineStr">
        <is>
          <t>Subscriptions - LinkedIn</t>
        </is>
      </c>
      <c r="F15091" s="3" t="n">
        <v>1000.49</v>
      </c>
      <c r="G15091" s="3" t="n">
        <v>6002.94</v>
      </c>
    </row>
    <row r="15092">
      <c r="A15092" s="3" t="inlineStr">
        <is>
          <t>Opportunity Global Investment (PTY) LTD</t>
        </is>
      </c>
      <c r="B15092" s="4" t="n">
        <v>45138</v>
      </c>
      <c r="C15092" s="3" t="inlineStr">
        <is>
          <t>Expenses</t>
        </is>
      </c>
      <c r="D15092" s="3" t="inlineStr">
        <is>
          <t>4550/350</t>
        </is>
      </c>
      <c r="E15092" s="3" t="inlineStr">
        <is>
          <t>Subscriptions - Xero</t>
        </is>
      </c>
      <c r="F15092" s="3" t="n">
        <v>600</v>
      </c>
      <c r="G15092" s="3" t="n">
        <v>3000</v>
      </c>
    </row>
    <row r="15093">
      <c r="A15093" s="3" t="inlineStr">
        <is>
          <t>Opportunity Global Investment (PTY) LTD</t>
        </is>
      </c>
      <c r="B15093" s="4" t="n">
        <v>45138</v>
      </c>
      <c r="C15093" s="3" t="inlineStr">
        <is>
          <t>Expenses</t>
        </is>
      </c>
      <c r="D15093" s="3" t="inlineStr">
        <is>
          <t>4550/400</t>
        </is>
      </c>
      <c r="E15093" s="3" t="inlineStr">
        <is>
          <t>Subscriptions - Moneyweb</t>
        </is>
      </c>
      <c r="F15093" s="3" t="n">
        <v>60.87</v>
      </c>
      <c r="G15093" s="3" t="n">
        <v>292.17</v>
      </c>
    </row>
    <row r="15094">
      <c r="A15094" s="3" t="inlineStr">
        <is>
          <t>Trademark Holdings (Pty) Ltd</t>
        </is>
      </c>
      <c r="B15094" s="4" t="n">
        <v>45138</v>
      </c>
      <c r="C15094" s="3" t="inlineStr">
        <is>
          <t>Expenses</t>
        </is>
      </c>
      <c r="D15094" s="3" t="inlineStr">
        <is>
          <t>4550/400</t>
        </is>
      </c>
      <c r="E15094" s="3" t="inlineStr">
        <is>
          <t>Subscriptions - Xero</t>
        </is>
      </c>
      <c r="F15094" s="3" t="n">
        <v>600</v>
      </c>
      <c r="G15094" s="3" t="n">
        <v>6600</v>
      </c>
    </row>
    <row r="15095">
      <c r="A15095" s="3" t="inlineStr">
        <is>
          <t>Opportunity Global Investment (PTY) LTD</t>
        </is>
      </c>
      <c r="B15095" s="4" t="n">
        <v>45138</v>
      </c>
      <c r="C15095" s="3" t="inlineStr">
        <is>
          <t>Expenses</t>
        </is>
      </c>
      <c r="D15095" s="3" t="inlineStr">
        <is>
          <t>4550/450</t>
        </is>
      </c>
      <c r="E15095" s="3" t="inlineStr">
        <is>
          <t>Subscriptions - Adobe</t>
        </is>
      </c>
      <c r="F15095" s="3" t="n">
        <v>584.54</v>
      </c>
      <c r="G15095" s="3" t="n">
        <v>2993.36</v>
      </c>
    </row>
    <row r="15096">
      <c r="A15096" s="3" t="inlineStr">
        <is>
          <t>Opportunity Global Investment (PTY) LTD</t>
        </is>
      </c>
      <c r="B15096" s="4" t="n">
        <v>45138</v>
      </c>
      <c r="C15096" s="3" t="inlineStr">
        <is>
          <t>Expenses</t>
        </is>
      </c>
      <c r="D15096" s="3" t="inlineStr">
        <is>
          <t>4550/500</t>
        </is>
      </c>
      <c r="E15096" s="3" t="inlineStr">
        <is>
          <t>Subscriptions - Pandadoc</t>
        </is>
      </c>
      <c r="F15096" s="3" t="n">
        <v>567.23</v>
      </c>
      <c r="G15096" s="3" t="n">
        <v>2773.75</v>
      </c>
    </row>
    <row r="15097">
      <c r="A15097" s="3" t="inlineStr">
        <is>
          <t>Noble Shield (Pty) Ltd ta Go Letting</t>
        </is>
      </c>
      <c r="B15097" s="4" t="n">
        <v>45138</v>
      </c>
      <c r="C15097" s="3" t="inlineStr">
        <is>
          <t>Expenses</t>
        </is>
      </c>
      <c r="D15097" s="3" t="inlineStr">
        <is>
          <t>4550/600</t>
        </is>
      </c>
      <c r="E15097" s="3" t="inlineStr">
        <is>
          <t>Subscriptions - Webbox</t>
        </is>
      </c>
      <c r="F15097" s="3" t="n">
        <v>1493.85</v>
      </c>
      <c r="G15097" s="3" t="n">
        <v>15146.65</v>
      </c>
    </row>
    <row r="15098">
      <c r="A15098" s="3" t="inlineStr">
        <is>
          <t>Noble Shield (Pty) Ltd ta Go Letting</t>
        </is>
      </c>
      <c r="B15098" s="4" t="n">
        <v>45138</v>
      </c>
      <c r="C15098" s="3" t="inlineStr">
        <is>
          <t>Expenses</t>
        </is>
      </c>
      <c r="D15098" s="3" t="inlineStr">
        <is>
          <t>4550/650</t>
        </is>
      </c>
      <c r="E15098" s="3" t="inlineStr">
        <is>
          <t>Subscriptions - Xero</t>
        </is>
      </c>
      <c r="F15098" s="3" t="n">
        <v>600</v>
      </c>
      <c r="G15098" s="3" t="n">
        <v>6600</v>
      </c>
    </row>
    <row r="15099">
      <c r="A15099" s="3" t="inlineStr">
        <is>
          <t>Noble Shield (Pty) Ltd ta Go Letting</t>
        </is>
      </c>
      <c r="B15099" s="4" t="n">
        <v>45138</v>
      </c>
      <c r="C15099" s="3" t="inlineStr">
        <is>
          <t>Expenses</t>
        </is>
      </c>
      <c r="D15099" s="3" t="inlineStr">
        <is>
          <t>4550/700</t>
        </is>
      </c>
      <c r="E15099" s="3" t="inlineStr">
        <is>
          <t>Subscriptions - Domain renewals</t>
        </is>
      </c>
      <c r="F15099" s="3" t="n">
        <v>0</v>
      </c>
      <c r="G15099" s="3" t="n">
        <v>440.45</v>
      </c>
    </row>
    <row r="15100">
      <c r="A15100" s="3" t="inlineStr">
        <is>
          <t>Noble Shield (Pty) Ltd ta Go Letting</t>
        </is>
      </c>
      <c r="B15100" s="4" t="n">
        <v>45138</v>
      </c>
      <c r="C15100" s="3" t="inlineStr">
        <is>
          <t>Expenses</t>
        </is>
      </c>
      <c r="D15100" s="3" t="inlineStr">
        <is>
          <t>4550/800</t>
        </is>
      </c>
      <c r="E15100" s="3" t="inlineStr">
        <is>
          <t>Subscriptions - Adobe</t>
        </is>
      </c>
      <c r="F15100" s="3" t="n">
        <v>449.39</v>
      </c>
      <c r="G15100" s="3" t="n">
        <v>4058.75</v>
      </c>
    </row>
    <row r="15101">
      <c r="A15101" s="3" t="inlineStr">
        <is>
          <t>Opportunity Global Sales (PTY) LTD</t>
        </is>
      </c>
      <c r="B15101" s="4" t="n">
        <v>45138</v>
      </c>
      <c r="C15101" s="3" t="inlineStr">
        <is>
          <t>Expenses</t>
        </is>
      </c>
      <c r="D15101" s="3" t="inlineStr">
        <is>
          <t>4551/000</t>
        </is>
      </c>
      <c r="E15101" s="3" t="inlineStr">
        <is>
          <t>Subscriptions - Payprop</t>
        </is>
      </c>
      <c r="F15101" s="3" t="n">
        <v>824.34</v>
      </c>
      <c r="G15101" s="3" t="n">
        <v>4141.11</v>
      </c>
    </row>
    <row r="15102">
      <c r="A15102" s="3" t="inlineStr">
        <is>
          <t>Quinate Consulting (Pty) Ltd</t>
        </is>
      </c>
      <c r="B15102" s="4" t="n">
        <v>45138</v>
      </c>
      <c r="C15102" s="3" t="inlineStr">
        <is>
          <t>Expenses</t>
        </is>
      </c>
      <c r="D15102" s="3" t="inlineStr">
        <is>
          <t>4552/000</t>
        </is>
      </c>
      <c r="E15102" s="3" t="inlineStr">
        <is>
          <t>Subscriptions - CIPC</t>
        </is>
      </c>
      <c r="F15102" s="3" t="n">
        <v>300</v>
      </c>
      <c r="G15102" s="3" t="n">
        <v>300</v>
      </c>
    </row>
    <row r="15103">
      <c r="A15103" s="3" t="inlineStr">
        <is>
          <t>Endulini (Pty) Ltd</t>
        </is>
      </c>
      <c r="B15103" s="4" t="n">
        <v>45138</v>
      </c>
      <c r="C15103" s="3" t="inlineStr">
        <is>
          <t>Expenses</t>
        </is>
      </c>
      <c r="D15103" s="3" t="inlineStr">
        <is>
          <t>4552/000</t>
        </is>
      </c>
      <c r="E15103" s="3" t="inlineStr">
        <is>
          <t>Subscriptions - Xero</t>
        </is>
      </c>
      <c r="F15103" s="3" t="n">
        <v>600</v>
      </c>
      <c r="G15103" s="3" t="n">
        <v>3000</v>
      </c>
    </row>
    <row r="15104">
      <c r="A15104" s="3" t="inlineStr">
        <is>
          <t>Opportunity Global Sales (PTY) LTD</t>
        </is>
      </c>
      <c r="B15104" s="4" t="n">
        <v>45138</v>
      </c>
      <c r="C15104" s="3" t="inlineStr">
        <is>
          <t>Expenses</t>
        </is>
      </c>
      <c r="D15104" s="3" t="inlineStr">
        <is>
          <t>4552/000</t>
        </is>
      </c>
      <c r="E15104" s="3" t="inlineStr">
        <is>
          <t>Subscriptions - Xero</t>
        </is>
      </c>
      <c r="F15104" s="3" t="n">
        <v>600</v>
      </c>
      <c r="G15104" s="3" t="n">
        <v>3000</v>
      </c>
    </row>
    <row r="15105">
      <c r="A15105" s="3" t="inlineStr">
        <is>
          <t>Opportunity Management Holdings (PTY) LTD</t>
        </is>
      </c>
      <c r="B15105" s="4" t="n">
        <v>45138</v>
      </c>
      <c r="C15105" s="3" t="inlineStr">
        <is>
          <t>Expenses</t>
        </is>
      </c>
      <c r="D15105" s="3" t="inlineStr">
        <is>
          <t>4552/000</t>
        </is>
      </c>
      <c r="E15105" s="3" t="inlineStr">
        <is>
          <t>Subscriptions - Xero</t>
        </is>
      </c>
      <c r="F15105" s="3" t="n">
        <v>600</v>
      </c>
      <c r="G15105" s="3" t="n">
        <v>6600</v>
      </c>
    </row>
    <row r="15106">
      <c r="A15106" s="3" t="inlineStr">
        <is>
          <t>Opportunity Global Sales (PTY) LTD</t>
        </is>
      </c>
      <c r="B15106" s="4" t="n">
        <v>45138</v>
      </c>
      <c r="C15106" s="3" t="inlineStr">
        <is>
          <t>Expenses</t>
        </is>
      </c>
      <c r="D15106" s="3" t="inlineStr">
        <is>
          <t>4553/000</t>
        </is>
      </c>
      <c r="E15106" s="3" t="inlineStr">
        <is>
          <t>Subscriptions - CMA</t>
        </is>
      </c>
      <c r="F15106" s="3" t="n">
        <v>680</v>
      </c>
      <c r="G15106" s="3" t="n">
        <v>3400</v>
      </c>
    </row>
    <row r="15107">
      <c r="A15107" s="3" t="inlineStr">
        <is>
          <t>Quinate Consulting (Pty) Ltd</t>
        </is>
      </c>
      <c r="B15107" s="4" t="n">
        <v>45138</v>
      </c>
      <c r="C15107" s="3" t="inlineStr">
        <is>
          <t>Expenses</t>
        </is>
      </c>
      <c r="D15107" s="3" t="inlineStr">
        <is>
          <t>4554/000</t>
        </is>
      </c>
      <c r="E15107" s="3" t="inlineStr">
        <is>
          <t>Subscriptions - Xero</t>
        </is>
      </c>
      <c r="F15107" s="3" t="n">
        <v>600</v>
      </c>
      <c r="G15107" s="3" t="n">
        <v>3000</v>
      </c>
    </row>
    <row r="15108">
      <c r="A15108" s="3" t="inlineStr">
        <is>
          <t>Opportunity Global Sales (PTY) LTD</t>
        </is>
      </c>
      <c r="B15108" s="4" t="n">
        <v>45138</v>
      </c>
      <c r="C15108" s="3" t="inlineStr">
        <is>
          <t>Expenses</t>
        </is>
      </c>
      <c r="D15108" s="3" t="inlineStr">
        <is>
          <t>4554/000</t>
        </is>
      </c>
      <c r="E15108" s="3" t="inlineStr">
        <is>
          <t>Subscriptions - Zoho</t>
        </is>
      </c>
      <c r="F15108" s="3" t="n">
        <v>750</v>
      </c>
      <c r="G15108" s="3" t="n">
        <v>3750</v>
      </c>
    </row>
    <row r="15109">
      <c r="A15109" s="3" t="inlineStr">
        <is>
          <t>Quinate Consulting (Pty) Ltd</t>
        </is>
      </c>
      <c r="B15109" s="4" t="n">
        <v>45138</v>
      </c>
      <c r="C15109" s="3" t="inlineStr">
        <is>
          <t>Expenses</t>
        </is>
      </c>
      <c r="D15109" s="3" t="inlineStr">
        <is>
          <t>4555/000</t>
        </is>
      </c>
      <c r="E15109" s="3" t="inlineStr">
        <is>
          <t>Subscriptions - OUMS</t>
        </is>
      </c>
      <c r="F15109" s="3" t="n">
        <v>7636.17</v>
      </c>
      <c r="G15109" s="3" t="n">
        <v>38180.85</v>
      </c>
    </row>
    <row r="15110">
      <c r="A15110" s="3" t="inlineStr">
        <is>
          <t>Opportunity Global Investment (PTY) LTD</t>
        </is>
      </c>
      <c r="B15110" s="4" t="n">
        <v>45138</v>
      </c>
      <c r="C15110" s="3" t="inlineStr">
        <is>
          <t>Expenses</t>
        </is>
      </c>
      <c r="D15110" s="3" t="inlineStr">
        <is>
          <t>4600/000</t>
        </is>
      </c>
      <c r="E15110" s="3" t="inlineStr">
        <is>
          <t>Telephone _AND_ Fax</t>
        </is>
      </c>
      <c r="F15110" s="3" t="n">
        <v>3355</v>
      </c>
      <c r="G15110" s="3" t="n">
        <v>16775</v>
      </c>
    </row>
    <row r="15111">
      <c r="A15111" s="3" t="inlineStr">
        <is>
          <t>Trademark Holdings (Pty) Ltd</t>
        </is>
      </c>
      <c r="B15111" s="4" t="n">
        <v>45138</v>
      </c>
      <c r="C15111" s="3" t="inlineStr">
        <is>
          <t>Expenses</t>
        </is>
      </c>
      <c r="D15111" s="3" t="inlineStr">
        <is>
          <t>4600/000</t>
        </is>
      </c>
      <c r="E15111" s="3" t="inlineStr">
        <is>
          <t>Telephone _AND_ Fax</t>
        </is>
      </c>
      <c r="F15111" s="3" t="n">
        <v>1193.98</v>
      </c>
      <c r="G15111" s="3" t="n">
        <v>14248.94</v>
      </c>
    </row>
    <row r="15112">
      <c r="A15112" s="3" t="inlineStr">
        <is>
          <t>Noble Shield (Pty) Ltd ta Go Letting</t>
        </is>
      </c>
      <c r="B15112" s="4" t="n">
        <v>45138</v>
      </c>
      <c r="C15112" s="3" t="inlineStr">
        <is>
          <t>Expenses</t>
        </is>
      </c>
      <c r="D15112" s="3" t="inlineStr">
        <is>
          <t>4610/000</t>
        </is>
      </c>
      <c r="E15112" s="3" t="inlineStr">
        <is>
          <t>Telephone - CT Office</t>
        </is>
      </c>
      <c r="F15112" s="3" t="n">
        <v>904.99</v>
      </c>
      <c r="G15112" s="3" t="n">
        <v>10729.98</v>
      </c>
    </row>
    <row r="15113">
      <c r="A15113" s="3" t="inlineStr">
        <is>
          <t>Noble Shield (Pty) Ltd ta Go Letting</t>
        </is>
      </c>
      <c r="B15113" s="4" t="n">
        <v>45138</v>
      </c>
      <c r="C15113" s="3" t="inlineStr">
        <is>
          <t>Expenses</t>
        </is>
      </c>
      <c r="D15113" s="3" t="inlineStr">
        <is>
          <t>4650/000</t>
        </is>
      </c>
      <c r="E15113" s="3" t="inlineStr">
        <is>
          <t>Travel _AND_ Accommodation</t>
        </is>
      </c>
      <c r="F15113" s="3" t="n">
        <v>0</v>
      </c>
      <c r="G15113" s="3" t="n">
        <v>500</v>
      </c>
    </row>
    <row r="15114">
      <c r="A15114" s="3" t="inlineStr">
        <is>
          <t>Opportunity Management Holdings (PTY) LTD</t>
        </is>
      </c>
      <c r="B15114" s="4" t="n">
        <v>45138</v>
      </c>
      <c r="C15114" s="3" t="inlineStr">
        <is>
          <t>Expenses</t>
        </is>
      </c>
      <c r="D15114" s="3" t="inlineStr">
        <is>
          <t>4650/000</t>
        </is>
      </c>
      <c r="E15114" s="3" t="inlineStr">
        <is>
          <t>Travel _AND_ Accommodation</t>
        </is>
      </c>
      <c r="F15114" s="3" t="n">
        <v>0</v>
      </c>
      <c r="G15114" s="3" t="n">
        <v>1132.44</v>
      </c>
    </row>
    <row r="15115">
      <c r="A15115" s="3" t="inlineStr">
        <is>
          <t>Quinate Consulting (Pty) Ltd</t>
        </is>
      </c>
      <c r="B15115" s="4" t="n">
        <v>45138</v>
      </c>
      <c r="C15115" s="3" t="inlineStr">
        <is>
          <t>Expenses</t>
        </is>
      </c>
      <c r="D15115" s="3" t="inlineStr">
        <is>
          <t>4650/010</t>
        </is>
      </c>
      <c r="E15115" s="3" t="inlineStr">
        <is>
          <t>Travel - Local Flights</t>
        </is>
      </c>
      <c r="F15115" s="3" t="n">
        <v>0</v>
      </c>
      <c r="G15115" s="3" t="n">
        <v>6253.04</v>
      </c>
    </row>
    <row r="15116">
      <c r="A15116" s="3" t="inlineStr">
        <is>
          <t>Quinate Consulting (Pty) Ltd</t>
        </is>
      </c>
      <c r="B15116" s="4" t="n">
        <v>45138</v>
      </c>
      <c r="C15116" s="3" t="inlineStr">
        <is>
          <t>Expenses</t>
        </is>
      </c>
      <c r="D15116" s="3" t="inlineStr">
        <is>
          <t>4650/020</t>
        </is>
      </c>
      <c r="E15116" s="3" t="inlineStr">
        <is>
          <t>Travel - Local Accomodation - B_AND_B</t>
        </is>
      </c>
      <c r="F15116" s="3" t="n">
        <v>0</v>
      </c>
      <c r="G15116" s="3" t="n">
        <v>6998.26</v>
      </c>
    </row>
    <row r="15117">
      <c r="A15117" s="3" t="inlineStr">
        <is>
          <t>Opportunity Global Investment (PTY) LTD</t>
        </is>
      </c>
      <c r="B15117" s="4" t="n">
        <v>45138</v>
      </c>
      <c r="C15117" s="3" t="inlineStr">
        <is>
          <t>Expenses</t>
        </is>
      </c>
      <c r="D15117" s="3" t="inlineStr">
        <is>
          <t>4650/020</t>
        </is>
      </c>
      <c r="E15117" s="3" t="inlineStr">
        <is>
          <t>Travel Accomodation - Car Hire</t>
        </is>
      </c>
      <c r="F15117" s="3" t="n">
        <v>0</v>
      </c>
      <c r="G15117" s="3" t="n">
        <v>1581.74</v>
      </c>
    </row>
    <row r="15118">
      <c r="A15118" s="3" t="inlineStr">
        <is>
          <t>Opportunity Global Investment (PTY) LTD</t>
        </is>
      </c>
      <c r="B15118" s="4" t="n">
        <v>45138</v>
      </c>
      <c r="C15118" s="3" t="inlineStr">
        <is>
          <t>Expenses</t>
        </is>
      </c>
      <c r="D15118" s="3" t="inlineStr">
        <is>
          <t>4650/030</t>
        </is>
      </c>
      <c r="E15118" s="3" t="inlineStr">
        <is>
          <t>Travel _AND_ Accomodation - Local Accom</t>
        </is>
      </c>
      <c r="F15118" s="3" t="n">
        <v>0</v>
      </c>
      <c r="G15118" s="3" t="n">
        <v>34.78</v>
      </c>
    </row>
    <row r="15119">
      <c r="A15119" s="3" t="inlineStr">
        <is>
          <t>Quinate Consulting (Pty) Ltd</t>
        </is>
      </c>
      <c r="B15119" s="4" t="n">
        <v>45138</v>
      </c>
      <c r="C15119" s="3" t="inlineStr">
        <is>
          <t>Expenses</t>
        </is>
      </c>
      <c r="D15119" s="3" t="inlineStr">
        <is>
          <t>4650/040</t>
        </is>
      </c>
      <c r="E15119" s="3" t="inlineStr">
        <is>
          <t>Travel - Local Car Hire</t>
        </is>
      </c>
      <c r="F15119" s="3" t="n">
        <v>0</v>
      </c>
      <c r="G15119" s="3" t="n">
        <v>510.6</v>
      </c>
    </row>
    <row r="15120">
      <c r="A15120" s="3" t="inlineStr">
        <is>
          <t>Noble Shield (Pty) Ltd ta Go Letting</t>
        </is>
      </c>
      <c r="B15120" s="4" t="n">
        <v>45138</v>
      </c>
      <c r="C15120" s="3" t="inlineStr">
        <is>
          <t>Expenses</t>
        </is>
      </c>
      <c r="D15120" s="3" t="inlineStr">
        <is>
          <t>4650/050</t>
        </is>
      </c>
      <c r="E15120" s="3" t="inlineStr">
        <is>
          <t>Travel - Parking</t>
        </is>
      </c>
      <c r="F15120" s="3" t="n">
        <v>0</v>
      </c>
      <c r="G15120" s="3" t="n">
        <v>16</v>
      </c>
    </row>
    <row r="15121">
      <c r="A15121" s="3" t="inlineStr">
        <is>
          <t>Opportunity Global Investment (PTY) LTD</t>
        </is>
      </c>
      <c r="B15121" s="4" t="n">
        <v>45138</v>
      </c>
      <c r="C15121" s="3" t="inlineStr">
        <is>
          <t>Expenses</t>
        </is>
      </c>
      <c r="D15121" s="3" t="inlineStr">
        <is>
          <t>4650/090</t>
        </is>
      </c>
      <c r="E15121" s="3" t="inlineStr">
        <is>
          <t>Travel &amp; Accom - Fuel</t>
        </is>
      </c>
      <c r="F15121" s="3" t="n">
        <v>1059.1</v>
      </c>
      <c r="G15121" s="3" t="n">
        <v>4661.05</v>
      </c>
    </row>
    <row r="15122">
      <c r="A15122" s="3" t="inlineStr">
        <is>
          <t>Noble Shield (Pty) Ltd ta Go Letting</t>
        </is>
      </c>
      <c r="B15122" s="4" t="n">
        <v>45138</v>
      </c>
      <c r="C15122" s="3" t="inlineStr">
        <is>
          <t>Expenses</t>
        </is>
      </c>
      <c r="D15122" s="3" t="inlineStr">
        <is>
          <t>4700/000</t>
        </is>
      </c>
      <c r="E15122" s="3" t="inlineStr">
        <is>
          <t>PAYE Contributions</t>
        </is>
      </c>
      <c r="F15122" s="3" t="n">
        <v>4573.39</v>
      </c>
      <c r="G15122" s="3" t="n">
        <v>52280.75</v>
      </c>
    </row>
    <row r="15123">
      <c r="A15123" s="3" t="inlineStr">
        <is>
          <t>Trademark Holdings (Pty) Ltd</t>
        </is>
      </c>
      <c r="B15123" s="4" t="n">
        <v>45138</v>
      </c>
      <c r="C15123" s="3" t="inlineStr">
        <is>
          <t>Expenses</t>
        </is>
      </c>
      <c r="D15123" s="3" t="inlineStr">
        <is>
          <t>4700/000</t>
        </is>
      </c>
      <c r="E15123" s="3" t="inlineStr">
        <is>
          <t>PAYE Contributions</t>
        </is>
      </c>
      <c r="F15123" s="3" t="n">
        <v>4702.31</v>
      </c>
      <c r="G15123" s="3" t="n">
        <v>55275.82</v>
      </c>
    </row>
    <row r="15124">
      <c r="A15124" s="3" t="inlineStr">
        <is>
          <t>Opportunity Global Investment (PTY) LTD</t>
        </is>
      </c>
      <c r="B15124" s="4" t="n">
        <v>45138</v>
      </c>
      <c r="C15124" s="3" t="inlineStr">
        <is>
          <t>Expenses</t>
        </is>
      </c>
      <c r="D15124" s="3" t="inlineStr">
        <is>
          <t>4700/000</t>
        </is>
      </c>
      <c r="E15124" s="3" t="inlineStr">
        <is>
          <t>UIF Contributions</t>
        </is>
      </c>
      <c r="F15124" s="3" t="n">
        <v>177.12</v>
      </c>
      <c r="G15124" s="3" t="n">
        <v>885.6</v>
      </c>
    </row>
    <row r="15125">
      <c r="A15125" s="3" t="inlineStr">
        <is>
          <t>Opportunity Global Sales (PTY) LTD</t>
        </is>
      </c>
      <c r="B15125" s="4" t="n">
        <v>45138</v>
      </c>
      <c r="C15125" s="3" t="inlineStr">
        <is>
          <t>Expenses</t>
        </is>
      </c>
      <c r="D15125" s="3" t="inlineStr">
        <is>
          <t>4700/000</t>
        </is>
      </c>
      <c r="E15125" s="3" t="inlineStr">
        <is>
          <t>UIF Contributions</t>
        </is>
      </c>
      <c r="F15125" s="3" t="n">
        <v>312.12</v>
      </c>
      <c r="G15125" s="3" t="n">
        <v>1560.6</v>
      </c>
    </row>
    <row r="15126">
      <c r="A15126" s="3" t="inlineStr">
        <is>
          <t>Opportunity Global Sales (PTY) LTD</t>
        </is>
      </c>
      <c r="B15126" s="4" t="n">
        <v>45138</v>
      </c>
      <c r="C15126" s="3" t="inlineStr">
        <is>
          <t>Expenses</t>
        </is>
      </c>
      <c r="D15126" s="3" t="inlineStr">
        <is>
          <t>4701/000</t>
        </is>
      </c>
      <c r="E15126" s="3" t="inlineStr">
        <is>
          <t>UIF Employee Contribution</t>
        </is>
      </c>
      <c r="F15126" s="3" t="n">
        <v>312.12</v>
      </c>
      <c r="G15126" s="3" t="n">
        <v>1560.6</v>
      </c>
    </row>
    <row r="15127">
      <c r="A15127" s="3" t="inlineStr">
        <is>
          <t>Opportunity Global Investment (PTY) LTD</t>
        </is>
      </c>
      <c r="B15127" s="4" t="n">
        <v>45138</v>
      </c>
      <c r="C15127" s="3" t="inlineStr">
        <is>
          <t>Expenses</t>
        </is>
      </c>
      <c r="D15127" s="3" t="inlineStr">
        <is>
          <t>4701/000</t>
        </is>
      </c>
      <c r="E15127" s="3" t="inlineStr">
        <is>
          <t>UIF Employee Contributions</t>
        </is>
      </c>
      <c r="F15127" s="3" t="n">
        <v>177.12</v>
      </c>
      <c r="G15127" s="3" t="n">
        <v>885.6</v>
      </c>
    </row>
    <row r="15128">
      <c r="A15128" s="3" t="inlineStr">
        <is>
          <t>Noble Shield (Pty) Ltd ta Go Letting</t>
        </is>
      </c>
      <c r="B15128" s="4" t="n">
        <v>45138</v>
      </c>
      <c r="C15128" s="3" t="inlineStr">
        <is>
          <t>Expenses</t>
        </is>
      </c>
      <c r="D15128" s="3" t="inlineStr">
        <is>
          <t>4710/000</t>
        </is>
      </c>
      <c r="E15128" s="3" t="inlineStr">
        <is>
          <t>UIF Company Contributions</t>
        </is>
      </c>
      <c r="F15128" s="3" t="n">
        <v>245.25</v>
      </c>
      <c r="G15128" s="3" t="n">
        <v>2697.75</v>
      </c>
    </row>
    <row r="15129">
      <c r="A15129" s="3" t="inlineStr">
        <is>
          <t>Trademark Holdings (Pty) Ltd</t>
        </is>
      </c>
      <c r="B15129" s="4" t="n">
        <v>45138</v>
      </c>
      <c r="C15129" s="3" t="inlineStr">
        <is>
          <t>Expenses</t>
        </is>
      </c>
      <c r="D15129" s="3" t="inlineStr">
        <is>
          <t>4710/000</t>
        </is>
      </c>
      <c r="E15129" s="3" t="inlineStr">
        <is>
          <t>UIF Company Contributions</t>
        </is>
      </c>
      <c r="F15129" s="3" t="n">
        <v>95.25</v>
      </c>
      <c r="G15129" s="3" t="n">
        <v>1047.75</v>
      </c>
    </row>
    <row r="15130">
      <c r="A15130" s="3" t="inlineStr">
        <is>
          <t>Noble Shield (Pty) Ltd ta Go Letting</t>
        </is>
      </c>
      <c r="B15130" s="4" t="n">
        <v>45138</v>
      </c>
      <c r="C15130" s="3" t="inlineStr">
        <is>
          <t>Expenses</t>
        </is>
      </c>
      <c r="D15130" s="3" t="inlineStr">
        <is>
          <t>4711/000</t>
        </is>
      </c>
      <c r="E15130" s="3" t="inlineStr">
        <is>
          <t>UIF Employee Contribution</t>
        </is>
      </c>
      <c r="F15130" s="3" t="n">
        <v>245.25</v>
      </c>
      <c r="G15130" s="3" t="n">
        <v>2697.75</v>
      </c>
    </row>
    <row r="15131">
      <c r="A15131" s="3" t="inlineStr">
        <is>
          <t>Trademark Holdings (Pty) Ltd</t>
        </is>
      </c>
      <c r="B15131" s="4" t="n">
        <v>45138</v>
      </c>
      <c r="C15131" s="3" t="inlineStr">
        <is>
          <t>Expenses</t>
        </is>
      </c>
      <c r="D15131" s="3" t="inlineStr">
        <is>
          <t>4711/000</t>
        </is>
      </c>
      <c r="E15131" s="3" t="inlineStr">
        <is>
          <t>UIF Employee Contributions</t>
        </is>
      </c>
      <c r="F15131" s="3" t="n">
        <v>95.25</v>
      </c>
      <c r="G15131" s="3" t="n">
        <v>1047.75</v>
      </c>
    </row>
    <row r="15132">
      <c r="A15132" s="3" t="inlineStr">
        <is>
          <t>Noble Shield (Pty) Ltd ta Go Letting</t>
        </is>
      </c>
      <c r="B15132" s="4" t="n">
        <v>45138</v>
      </c>
      <c r="C15132" s="3" t="inlineStr">
        <is>
          <t>Expenses</t>
        </is>
      </c>
      <c r="D15132" s="3" t="inlineStr">
        <is>
          <t>4720/000</t>
        </is>
      </c>
      <c r="E15132" s="3" t="inlineStr">
        <is>
          <t>SDL Contributions</t>
        </is>
      </c>
      <c r="F15132" s="3" t="n">
        <v>427.95</v>
      </c>
      <c r="G15132" s="3" t="n">
        <v>4735.07</v>
      </c>
    </row>
    <row r="15133">
      <c r="A15133" s="3" t="inlineStr">
        <is>
          <t>Trademark Holdings (Pty) Ltd</t>
        </is>
      </c>
      <c r="B15133" s="4" t="n">
        <v>45138</v>
      </c>
      <c r="C15133" s="3" t="inlineStr">
        <is>
          <t>Expenses</t>
        </is>
      </c>
      <c r="D15133" s="3" t="inlineStr">
        <is>
          <t>4720/000</t>
        </is>
      </c>
      <c r="E15133" s="3" t="inlineStr">
        <is>
          <t>SDL Contributions</t>
        </is>
      </c>
      <c r="F15133" s="3" t="n">
        <v>296.89</v>
      </c>
      <c r="G15133" s="3" t="n">
        <v>3356.27</v>
      </c>
    </row>
    <row r="15134">
      <c r="A15134" s="3" t="inlineStr">
        <is>
          <t>Opportunity Global Investment (PTY) LTD</t>
        </is>
      </c>
      <c r="B15134" s="4" t="n">
        <v>45138</v>
      </c>
      <c r="C15134" s="3" t="inlineStr">
        <is>
          <t>Expenses</t>
        </is>
      </c>
      <c r="D15134" s="3" t="inlineStr">
        <is>
          <t>4730/000</t>
        </is>
      </c>
      <c r="E15134" s="3" t="inlineStr">
        <is>
          <t>PAYE Contributions</t>
        </is>
      </c>
      <c r="F15134" s="3" t="n">
        <v>8822.26</v>
      </c>
      <c r="G15134" s="3" t="n">
        <v>44111.33</v>
      </c>
    </row>
    <row r="15135">
      <c r="A15135" s="3" t="inlineStr">
        <is>
          <t>Opportunity Global Sales (PTY) LTD</t>
        </is>
      </c>
      <c r="B15135" s="4" t="n">
        <v>45138</v>
      </c>
      <c r="C15135" s="3" t="inlineStr">
        <is>
          <t>Expenses</t>
        </is>
      </c>
      <c r="D15135" s="3" t="inlineStr">
        <is>
          <t>4730/000</t>
        </is>
      </c>
      <c r="E15135" s="3" t="inlineStr">
        <is>
          <t>PAYE Contributions</t>
        </is>
      </c>
      <c r="F15135" s="3" t="n">
        <v>9220.84</v>
      </c>
      <c r="G15135" s="3" t="n">
        <v>46104.17</v>
      </c>
    </row>
    <row r="15136">
      <c r="A15136" s="3" t="inlineStr">
        <is>
          <t>Opportunity Management Holdings (PTY) LTD</t>
        </is>
      </c>
      <c r="B15136" s="4" t="n">
        <v>45138</v>
      </c>
      <c r="C15136" s="3" t="inlineStr">
        <is>
          <t>Expenses</t>
        </is>
      </c>
      <c r="D15136" s="3" t="inlineStr">
        <is>
          <t>4730/000</t>
        </is>
      </c>
      <c r="E15136" s="3" t="inlineStr">
        <is>
          <t>PAYE Contributions</t>
        </is>
      </c>
      <c r="F15136" s="3" t="n">
        <v>39992.1</v>
      </c>
      <c r="G15136" s="3" t="n">
        <v>506501.06</v>
      </c>
    </row>
    <row r="15137">
      <c r="A15137" s="3" t="inlineStr">
        <is>
          <t>Noble Shield (Pty) Ltd ta Go Letting</t>
        </is>
      </c>
      <c r="B15137" s="4" t="n">
        <v>45138</v>
      </c>
      <c r="C15137" s="3" t="inlineStr">
        <is>
          <t>Expenses</t>
        </is>
      </c>
      <c r="D15137" s="3" t="inlineStr">
        <is>
          <t>4730/000</t>
        </is>
      </c>
      <c r="E15137" s="3" t="inlineStr">
        <is>
          <t>Workmans Compensation</t>
        </is>
      </c>
      <c r="F15137" s="3" t="n">
        <v>0</v>
      </c>
      <c r="G15137" s="3" t="n">
        <v>1470.4</v>
      </c>
    </row>
    <row r="15138">
      <c r="A15138" s="3" t="inlineStr">
        <is>
          <t>Opportunity Global Investment (PTY) LTD</t>
        </is>
      </c>
      <c r="B15138" s="4" t="n">
        <v>45138</v>
      </c>
      <c r="C15138" s="3" t="inlineStr">
        <is>
          <t>Expenses</t>
        </is>
      </c>
      <c r="D15138" s="3" t="inlineStr">
        <is>
          <t>4740/000</t>
        </is>
      </c>
      <c r="E15138" s="3" t="inlineStr">
        <is>
          <t>SDL Contributions</t>
        </is>
      </c>
      <c r="F15138" s="3" t="n">
        <v>431.1</v>
      </c>
      <c r="G15138" s="3" t="n">
        <v>2155.5</v>
      </c>
    </row>
    <row r="15139">
      <c r="A15139" s="3" t="inlineStr">
        <is>
          <t>Opportunity Global Sales (PTY) LTD</t>
        </is>
      </c>
      <c r="B15139" s="4" t="n">
        <v>45138</v>
      </c>
      <c r="C15139" s="3" t="inlineStr">
        <is>
          <t>Expenses</t>
        </is>
      </c>
      <c r="D15139" s="3" t="inlineStr">
        <is>
          <t>4740/000</t>
        </is>
      </c>
      <c r="E15139" s="3" t="inlineStr">
        <is>
          <t>SDL Contributions</t>
        </is>
      </c>
      <c r="F15139" s="3" t="n">
        <v>983.34</v>
      </c>
      <c r="G15139" s="3" t="n">
        <v>9262.08</v>
      </c>
    </row>
    <row r="15140">
      <c r="A15140" s="3" t="inlineStr">
        <is>
          <t>Opportunity Management Holdings (PTY) LTD</t>
        </is>
      </c>
      <c r="B15140" s="4" t="n">
        <v>45138</v>
      </c>
      <c r="C15140" s="3" t="inlineStr">
        <is>
          <t>Expenses</t>
        </is>
      </c>
      <c r="D15140" s="3" t="inlineStr">
        <is>
          <t>4740/000</t>
        </is>
      </c>
      <c r="E15140" s="3" t="inlineStr">
        <is>
          <t>UIF Company Contribution</t>
        </is>
      </c>
      <c r="F15140" s="3" t="n">
        <v>1594.8</v>
      </c>
      <c r="G15140" s="3" t="n">
        <v>18483.45</v>
      </c>
    </row>
    <row r="15141">
      <c r="A15141" s="3" t="inlineStr">
        <is>
          <t>Opportunity Management Holdings (PTY) LTD</t>
        </is>
      </c>
      <c r="B15141" s="4" t="n">
        <v>45138</v>
      </c>
      <c r="C15141" s="3" t="inlineStr">
        <is>
          <t>Expenses</t>
        </is>
      </c>
      <c r="D15141" s="3" t="inlineStr">
        <is>
          <t>4741/000</t>
        </is>
      </c>
      <c r="E15141" s="3" t="inlineStr">
        <is>
          <t>UIF Employee Contribution</t>
        </is>
      </c>
      <c r="F15141" s="3" t="n">
        <v>1594.8</v>
      </c>
      <c r="G15141" s="3" t="n">
        <v>18483.45</v>
      </c>
    </row>
    <row r="15142">
      <c r="A15142" s="3" t="inlineStr">
        <is>
          <t>Opportunity Management Holdings (PTY) LTD</t>
        </is>
      </c>
      <c r="B15142" s="4" t="n">
        <v>45138</v>
      </c>
      <c r="C15142" s="3" t="inlineStr">
        <is>
          <t>Expenses</t>
        </is>
      </c>
      <c r="D15142" s="3" t="inlineStr">
        <is>
          <t>4750/000</t>
        </is>
      </c>
      <c r="E15142" s="3" t="inlineStr">
        <is>
          <t>SDL Contribution</t>
        </is>
      </c>
      <c r="F15142" s="3" t="n">
        <v>2464.2</v>
      </c>
      <c r="G15142" s="3" t="n">
        <v>30015.41</v>
      </c>
    </row>
    <row r="15143">
      <c r="A15143" s="3" t="inlineStr">
        <is>
          <t>Noble Shield (Pty) Ltd ta Go Letting</t>
        </is>
      </c>
      <c r="B15143" s="4" t="n">
        <v>45138</v>
      </c>
      <c r="C15143" s="3" t="inlineStr">
        <is>
          <t>Equity</t>
        </is>
      </c>
      <c r="D15143" s="3" t="inlineStr">
        <is>
          <t>5100/000</t>
        </is>
      </c>
      <c r="E15143" s="3" t="inlineStr">
        <is>
          <t>Share Capital</t>
        </is>
      </c>
      <c r="F15143" s="3" t="n">
        <v>0</v>
      </c>
      <c r="G15143" s="3" t="n">
        <v>-1</v>
      </c>
    </row>
    <row r="15144">
      <c r="A15144" s="3" t="inlineStr">
        <is>
          <t>Opportunity Management Holdings (PTY) LTD</t>
        </is>
      </c>
      <c r="B15144" s="4" t="n">
        <v>45138</v>
      </c>
      <c r="C15144" s="3" t="inlineStr">
        <is>
          <t>Equity</t>
        </is>
      </c>
      <c r="D15144" s="3" t="inlineStr">
        <is>
          <t>5100/000</t>
        </is>
      </c>
      <c r="E15144" s="3" t="inlineStr">
        <is>
          <t>Share Capital / Members Contribution</t>
        </is>
      </c>
      <c r="F15144" s="3" t="n">
        <v>0</v>
      </c>
      <c r="G15144" s="3" t="n">
        <v>-120</v>
      </c>
    </row>
    <row r="15145">
      <c r="A15145" s="3" t="inlineStr">
        <is>
          <t>Quinate Consulting (Pty) Ltd</t>
        </is>
      </c>
      <c r="B15145" s="4" t="n">
        <v>45138</v>
      </c>
      <c r="C15145" s="3" t="inlineStr">
        <is>
          <t>Equity</t>
        </is>
      </c>
      <c r="D15145" s="3" t="inlineStr">
        <is>
          <t>5100/000</t>
        </is>
      </c>
      <c r="E15145" s="3" t="inlineStr">
        <is>
          <t>Share Capital / Members Contribution</t>
        </is>
      </c>
      <c r="F15145" s="3" t="n">
        <v>0</v>
      </c>
      <c r="G15145" s="3" t="n">
        <v>-120</v>
      </c>
    </row>
    <row r="15146">
      <c r="A15146" s="3" t="inlineStr">
        <is>
          <t>Trademark Holdings (Pty) Ltd</t>
        </is>
      </c>
      <c r="B15146" s="4" t="n">
        <v>45138</v>
      </c>
      <c r="C15146" s="3" t="inlineStr">
        <is>
          <t>Equity</t>
        </is>
      </c>
      <c r="D15146" s="3" t="inlineStr">
        <is>
          <t>5100/001</t>
        </is>
      </c>
      <c r="E15146" s="3" t="inlineStr">
        <is>
          <t>Share Capital - GFY Investments</t>
        </is>
      </c>
      <c r="F15146" s="3" t="n">
        <v>0</v>
      </c>
      <c r="G15146" s="3" t="n">
        <v>-60</v>
      </c>
    </row>
    <row r="15147">
      <c r="A15147" s="3" t="inlineStr">
        <is>
          <t>Trademark Holdings (Pty) Ltd</t>
        </is>
      </c>
      <c r="B15147" s="4" t="n">
        <v>45138</v>
      </c>
      <c r="C15147" s="3" t="inlineStr">
        <is>
          <t>Equity</t>
        </is>
      </c>
      <c r="D15147" s="3" t="inlineStr">
        <is>
          <t>5100/002</t>
        </is>
      </c>
      <c r="E15147" s="3" t="inlineStr">
        <is>
          <t>Share Capital - Zak Trust</t>
        </is>
      </c>
      <c r="F15147" s="3" t="n">
        <v>0</v>
      </c>
      <c r="G15147" s="3" t="n">
        <v>-60</v>
      </c>
    </row>
    <row r="15148">
      <c r="A15148" s="3" t="inlineStr">
        <is>
          <t>Opportunity Global Investment (PTY) LTD</t>
        </is>
      </c>
      <c r="B15148" s="4" t="n">
        <v>45138</v>
      </c>
      <c r="C15148" s="3" t="inlineStr">
        <is>
          <t>Equity</t>
        </is>
      </c>
      <c r="D15148" s="3" t="inlineStr">
        <is>
          <t>5101/000</t>
        </is>
      </c>
      <c r="E15148" s="3" t="inlineStr">
        <is>
          <t>Share Capital - Ordinary Type A</t>
        </is>
      </c>
      <c r="F15148" s="3" t="n">
        <v>0</v>
      </c>
      <c r="G15148" s="3" t="n">
        <v>-70</v>
      </c>
    </row>
    <row r="15149">
      <c r="A15149" s="3" t="inlineStr">
        <is>
          <t>Opportunity Global Investment (PTY) LTD</t>
        </is>
      </c>
      <c r="B15149" s="4" t="n">
        <v>45138</v>
      </c>
      <c r="C15149" s="3" t="inlineStr">
        <is>
          <t>Equity</t>
        </is>
      </c>
      <c r="D15149" s="3" t="inlineStr">
        <is>
          <t>5102/000</t>
        </is>
      </c>
      <c r="E15149" s="3" t="inlineStr">
        <is>
          <t>Share Capital - Ordinary Type B</t>
        </is>
      </c>
      <c r="F15149" s="3" t="n">
        <v>0</v>
      </c>
      <c r="G15149" s="3" t="n">
        <v>-30</v>
      </c>
    </row>
    <row r="15150">
      <c r="A15150" s="3" t="inlineStr">
        <is>
          <t>Endulini (Pty) Ltd</t>
        </is>
      </c>
      <c r="B15150" s="4" t="n">
        <v>45138</v>
      </c>
      <c r="C15150" s="3" t="inlineStr">
        <is>
          <t>Equity</t>
        </is>
      </c>
      <c r="D15150" s="3" t="inlineStr">
        <is>
          <t>5200/000</t>
        </is>
      </c>
      <c r="E15150" s="3" t="inlineStr">
        <is>
          <t>Retained Earnings / Loss</t>
        </is>
      </c>
      <c r="F15150" s="3" t="n">
        <v>0</v>
      </c>
      <c r="G15150" s="3" t="n">
        <v>-6017232.05</v>
      </c>
    </row>
    <row r="15151">
      <c r="A15151" s="3" t="inlineStr">
        <is>
          <t>Noble Shield (Pty) Ltd ta Go Letting</t>
        </is>
      </c>
      <c r="B15151" s="4" t="n">
        <v>45138</v>
      </c>
      <c r="C15151" s="3" t="inlineStr">
        <is>
          <t>Equity</t>
        </is>
      </c>
      <c r="D15151" s="3" t="inlineStr">
        <is>
          <t>5200/000</t>
        </is>
      </c>
      <c r="E15151" s="3" t="inlineStr">
        <is>
          <t>Retained Earnings / Loss</t>
        </is>
      </c>
      <c r="F15151" s="3" t="n">
        <v>0</v>
      </c>
      <c r="G15151" s="3" t="n">
        <v>-64792.67</v>
      </c>
    </row>
    <row r="15152">
      <c r="A15152" s="3" t="inlineStr">
        <is>
          <t>Opportunity Global Investment (PTY) LTD</t>
        </is>
      </c>
      <c r="B15152" s="4" t="n">
        <v>45138</v>
      </c>
      <c r="C15152" s="3" t="inlineStr">
        <is>
          <t>Equity</t>
        </is>
      </c>
      <c r="D15152" s="3" t="inlineStr">
        <is>
          <t>5200/000</t>
        </is>
      </c>
      <c r="E15152" s="3" t="inlineStr">
        <is>
          <t>Retained Earnings / Loss</t>
        </is>
      </c>
      <c r="F15152" s="3" t="n">
        <v>0</v>
      </c>
      <c r="G15152" s="3" t="n">
        <v>2134849.73</v>
      </c>
    </row>
    <row r="15153">
      <c r="A15153" s="3" t="inlineStr">
        <is>
          <t>Opportunity Global Sales (PTY) LTD</t>
        </is>
      </c>
      <c r="B15153" s="4" t="n">
        <v>45138</v>
      </c>
      <c r="C15153" s="3" t="inlineStr">
        <is>
          <t>Equity</t>
        </is>
      </c>
      <c r="D15153" s="3" t="inlineStr">
        <is>
          <t>5200/000</t>
        </is>
      </c>
      <c r="E15153" s="3" t="inlineStr">
        <is>
          <t>Retained Earnings / Loss</t>
        </is>
      </c>
      <c r="F15153" s="3" t="n">
        <v>0</v>
      </c>
      <c r="G15153" s="3" t="n">
        <v>-2287097.79</v>
      </c>
    </row>
    <row r="15154">
      <c r="A15154" s="3" t="inlineStr">
        <is>
          <t>Opportunity Management Holdings (PTY) LTD</t>
        </is>
      </c>
      <c r="B15154" s="4" t="n">
        <v>45138</v>
      </c>
      <c r="C15154" s="3" t="inlineStr">
        <is>
          <t>Equity</t>
        </is>
      </c>
      <c r="D15154" s="3" t="inlineStr">
        <is>
          <t>5200/000</t>
        </is>
      </c>
      <c r="E15154" s="3" t="inlineStr">
        <is>
          <t>Retained Earnings / Loss</t>
        </is>
      </c>
      <c r="F15154" s="3" t="n">
        <v>0</v>
      </c>
      <c r="G15154" s="3" t="n">
        <v>1230800.76</v>
      </c>
    </row>
    <row r="15155">
      <c r="A15155" s="3" t="inlineStr">
        <is>
          <t>Quinate Consulting (Pty) Ltd</t>
        </is>
      </c>
      <c r="B15155" s="4" t="n">
        <v>45138</v>
      </c>
      <c r="C15155" s="3" t="inlineStr">
        <is>
          <t>Equity</t>
        </is>
      </c>
      <c r="D15155" s="3" t="inlineStr">
        <is>
          <t>5200/000</t>
        </is>
      </c>
      <c r="E15155" s="3" t="inlineStr">
        <is>
          <t>Retained Earnings / Loss</t>
        </is>
      </c>
      <c r="F15155" s="3" t="n">
        <v>0</v>
      </c>
      <c r="G15155" s="3" t="n">
        <v>1549164.28</v>
      </c>
    </row>
    <row r="15156">
      <c r="A15156" s="3" t="inlineStr">
        <is>
          <t>Trademark Holdings (Pty) Ltd</t>
        </is>
      </c>
      <c r="B15156" s="4" t="n">
        <v>45138</v>
      </c>
      <c r="C15156" s="3" t="inlineStr">
        <is>
          <t>Equity</t>
        </is>
      </c>
      <c r="D15156" s="3" t="inlineStr">
        <is>
          <t>5200/000</t>
        </is>
      </c>
      <c r="E15156" s="3" t="inlineStr">
        <is>
          <t>Retained Earnings / Loss</t>
        </is>
      </c>
      <c r="F15156" s="3" t="n">
        <v>0</v>
      </c>
      <c r="G15156" s="3" t="n">
        <v>-155356.41</v>
      </c>
    </row>
    <row r="15157">
      <c r="A15157" s="3" t="inlineStr">
        <is>
          <t>Quinate Consulting (Pty) Ltd</t>
        </is>
      </c>
      <c r="B15157" s="4" t="n">
        <v>45138</v>
      </c>
      <c r="C15157" s="3" t="inlineStr">
        <is>
          <t>Assets</t>
        </is>
      </c>
      <c r="D15157" s="3" t="inlineStr">
        <is>
          <t>5400/011</t>
        </is>
      </c>
      <c r="E15157" s="3" t="inlineStr">
        <is>
          <t>Members Loan - Nick Morgan</t>
        </is>
      </c>
      <c r="F15157" s="3" t="n">
        <v>0</v>
      </c>
      <c r="G15157" s="3" t="n">
        <v>-85743.69</v>
      </c>
    </row>
    <row r="15158">
      <c r="A15158" s="3" t="inlineStr">
        <is>
          <t>Opportunity Management Holdings (PTY) LTD</t>
        </is>
      </c>
      <c r="B15158" s="4" t="n">
        <v>45138</v>
      </c>
      <c r="C15158" s="3" t="inlineStr">
        <is>
          <t>Assets</t>
        </is>
      </c>
      <c r="D15158" s="3" t="inlineStr">
        <is>
          <t>5400/500</t>
        </is>
      </c>
      <c r="E15158" s="3" t="inlineStr">
        <is>
          <t>Shareholder - Zak Loan</t>
        </is>
      </c>
      <c r="F15158" s="3" t="n">
        <v>0</v>
      </c>
      <c r="G15158" s="3" t="n">
        <v>-171798.21</v>
      </c>
    </row>
    <row r="15159">
      <c r="A15159" s="3" t="inlineStr">
        <is>
          <t>Quinate Consulting (Pty) Ltd</t>
        </is>
      </c>
      <c r="B15159" s="4" t="n">
        <v>45138</v>
      </c>
      <c r="C15159" s="3" t="inlineStr">
        <is>
          <t>Liabilities</t>
        </is>
      </c>
      <c r="D15159" s="3" t="inlineStr">
        <is>
          <t>5500/010</t>
        </is>
      </c>
      <c r="E15159" s="3" t="inlineStr">
        <is>
          <t>Loan - Wynand Haywood</t>
        </is>
      </c>
      <c r="F15159" s="3" t="n">
        <v>0</v>
      </c>
      <c r="G15159" s="3" t="n">
        <v>1928.67</v>
      </c>
    </row>
    <row r="15160">
      <c r="A15160" s="3" t="inlineStr">
        <is>
          <t>Quinate Consulting (Pty) Ltd</t>
        </is>
      </c>
      <c r="B15160" s="4" t="n">
        <v>45138</v>
      </c>
      <c r="C15160" s="3" t="inlineStr">
        <is>
          <t>Liabilities</t>
        </is>
      </c>
      <c r="D15160" s="3" t="inlineStr">
        <is>
          <t>5500/025</t>
        </is>
      </c>
      <c r="E15160" s="3" t="inlineStr">
        <is>
          <t>Loan - Noble Shield 2 Security Trust</t>
        </is>
      </c>
      <c r="F15160" s="3" t="n">
        <v>0</v>
      </c>
      <c r="G15160" s="3" t="n">
        <v>50</v>
      </c>
    </row>
    <row r="15161">
      <c r="A15161" s="3" t="inlineStr">
        <is>
          <t>Quinate Consulting (Pty) Ltd</t>
        </is>
      </c>
      <c r="B15161" s="4" t="n">
        <v>45138</v>
      </c>
      <c r="C15161" s="3" t="inlineStr">
        <is>
          <t>Liabilities</t>
        </is>
      </c>
      <c r="D15161" s="3" t="inlineStr">
        <is>
          <t>5500/030</t>
        </is>
      </c>
      <c r="E15161" s="3" t="inlineStr">
        <is>
          <t>Loan - Heron Projects</t>
        </is>
      </c>
      <c r="F15161" s="3" t="n">
        <v>-5000</v>
      </c>
      <c r="G15161" s="3" t="n">
        <v>11600</v>
      </c>
    </row>
    <row r="15162">
      <c r="A15162" s="3" t="inlineStr">
        <is>
          <t>Opportunity Global Investment (PTY) LTD</t>
        </is>
      </c>
      <c r="B15162" s="4" t="n">
        <v>45138</v>
      </c>
      <c r="C15162" s="3" t="inlineStr">
        <is>
          <t>Liabilities</t>
        </is>
      </c>
      <c r="D15162" s="3" t="inlineStr">
        <is>
          <t>5500/100</t>
        </is>
      </c>
      <c r="E15162" s="3" t="inlineStr">
        <is>
          <t>Loan - Cape Projects Construction</t>
        </is>
      </c>
      <c r="F15162" s="3" t="n">
        <v>0</v>
      </c>
      <c r="G15162" s="3" t="n">
        <v>2261000</v>
      </c>
    </row>
    <row r="15163">
      <c r="A15163" s="3" t="inlineStr">
        <is>
          <t>Noble Shield (Pty) Ltd ta Go Letting</t>
        </is>
      </c>
      <c r="B15163" s="4" t="n">
        <v>45138</v>
      </c>
      <c r="C15163" s="3" t="inlineStr">
        <is>
          <t>Liabilities</t>
        </is>
      </c>
      <c r="D15163" s="3" t="inlineStr">
        <is>
          <t>5500/100</t>
        </is>
      </c>
      <c r="E15163" s="3" t="inlineStr">
        <is>
          <t>Loan - Jupiter Trust</t>
        </is>
      </c>
      <c r="F15163" s="3" t="n">
        <v>0</v>
      </c>
      <c r="G15163" s="3" t="n">
        <v>-100228.75</v>
      </c>
    </row>
    <row r="15164">
      <c r="A15164" s="3" t="inlineStr">
        <is>
          <t>Opportunity Management Holdings (PTY) LTD</t>
        </is>
      </c>
      <c r="B15164" s="4" t="n">
        <v>45138</v>
      </c>
      <c r="C15164" s="3" t="inlineStr">
        <is>
          <t>Liabilities</t>
        </is>
      </c>
      <c r="D15164" s="3" t="inlineStr">
        <is>
          <t>5500/100</t>
        </is>
      </c>
      <c r="E15164" s="3" t="inlineStr">
        <is>
          <t>Loan - Opportunity Global</t>
        </is>
      </c>
      <c r="F15164" s="3" t="n">
        <v>0</v>
      </c>
      <c r="G15164" s="3" t="n">
        <v>-20000</v>
      </c>
    </row>
    <row r="15165">
      <c r="A15165" s="3" t="inlineStr">
        <is>
          <t>Endulini (Pty) Ltd</t>
        </is>
      </c>
      <c r="B15165" s="4" t="n">
        <v>45138</v>
      </c>
      <c r="C15165" s="3" t="inlineStr">
        <is>
          <t>Liabilities</t>
        </is>
      </c>
      <c r="D15165" s="3" t="inlineStr">
        <is>
          <t>5500/100</t>
        </is>
      </c>
      <c r="E15165" s="3" t="inlineStr">
        <is>
          <t>Loan - Quinate Consulting</t>
        </is>
      </c>
      <c r="F15165" s="3" t="n">
        <v>218400</v>
      </c>
      <c r="G15165" s="3" t="n">
        <v>-9231149.1</v>
      </c>
    </row>
    <row r="15166">
      <c r="A15166" s="3" t="inlineStr">
        <is>
          <t>Opportunity Global Investment (PTY) LTD</t>
        </is>
      </c>
      <c r="B15166" s="4" t="n">
        <v>45138</v>
      </c>
      <c r="C15166" s="3" t="inlineStr">
        <is>
          <t>Liabilities</t>
        </is>
      </c>
      <c r="D15166" s="3" t="inlineStr">
        <is>
          <t>5500/112</t>
        </is>
      </c>
      <c r="E15166" s="3" t="inlineStr">
        <is>
          <t>Loan - GFY</t>
        </is>
      </c>
      <c r="F15166" s="3" t="n">
        <v>0</v>
      </c>
      <c r="G15166" s="3" t="n">
        <v>-105000</v>
      </c>
    </row>
    <row r="15167">
      <c r="A15167" s="3" t="inlineStr">
        <is>
          <t>Endulini (Pty) Ltd</t>
        </is>
      </c>
      <c r="B15167" s="4" t="n">
        <v>45138</v>
      </c>
      <c r="C15167" s="3" t="inlineStr">
        <is>
          <t>Liabilities</t>
        </is>
      </c>
      <c r="D15167" s="3" t="inlineStr">
        <is>
          <t>5500/150</t>
        </is>
      </c>
      <c r="E15167" s="3" t="inlineStr">
        <is>
          <t>Loan - Cape Projects Construction</t>
        </is>
      </c>
      <c r="F15167" s="3" t="n">
        <v>-300000</v>
      </c>
      <c r="G15167" s="3" t="n">
        <v>-13638000</v>
      </c>
    </row>
    <row r="15168">
      <c r="A15168" s="3" t="inlineStr">
        <is>
          <t>Quinate Consulting (Pty) Ltd</t>
        </is>
      </c>
      <c r="B15168" s="4" t="n">
        <v>45138</v>
      </c>
      <c r="C15168" s="3" t="inlineStr">
        <is>
          <t>Liabilities</t>
        </is>
      </c>
      <c r="D15168" s="3" t="inlineStr">
        <is>
          <t>5500/160</t>
        </is>
      </c>
      <c r="E15168" s="3" t="inlineStr">
        <is>
          <t>Loan - GFY Investment and Consulting</t>
        </is>
      </c>
      <c r="F15168" s="3" t="n">
        <v>0</v>
      </c>
      <c r="G15168" s="3" t="n">
        <v>-1750249.93</v>
      </c>
    </row>
    <row r="15169">
      <c r="A15169" s="3" t="inlineStr">
        <is>
          <t>Opportunity Management Holdings (PTY) LTD</t>
        </is>
      </c>
      <c r="B15169" s="4" t="n">
        <v>45138</v>
      </c>
      <c r="C15169" s="3" t="inlineStr">
        <is>
          <t>Liabilities</t>
        </is>
      </c>
      <c r="D15169" s="3" t="inlineStr">
        <is>
          <t>5500/200</t>
        </is>
      </c>
      <c r="E15169" s="3" t="inlineStr">
        <is>
          <t>Loan - Cape Projects</t>
        </is>
      </c>
      <c r="F15169" s="3" t="n">
        <v>-30899</v>
      </c>
      <c r="G15169" s="3" t="n">
        <v>22601</v>
      </c>
    </row>
    <row r="15170">
      <c r="A15170" s="3" t="inlineStr">
        <is>
          <t>Trademark Holdings (Pty) Ltd</t>
        </is>
      </c>
      <c r="B15170" s="4" t="n">
        <v>45138</v>
      </c>
      <c r="C15170" s="3" t="inlineStr">
        <is>
          <t>Liabilities</t>
        </is>
      </c>
      <c r="D15170" s="3" t="inlineStr">
        <is>
          <t>5500/250</t>
        </is>
      </c>
      <c r="E15170" s="3" t="inlineStr">
        <is>
          <t>Loan - Noble Shield</t>
        </is>
      </c>
      <c r="F15170" s="3" t="n">
        <v>0</v>
      </c>
      <c r="G15170" s="3" t="n">
        <v>148165.59</v>
      </c>
    </row>
    <row r="15171">
      <c r="A15171" s="3" t="inlineStr">
        <is>
          <t>Opportunity Management Holdings (PTY) LTD</t>
        </is>
      </c>
      <c r="B15171" s="4" t="n">
        <v>45138</v>
      </c>
      <c r="C15171" s="3" t="inlineStr">
        <is>
          <t>Liabilities</t>
        </is>
      </c>
      <c r="D15171" s="3" t="inlineStr">
        <is>
          <t>5500/250</t>
        </is>
      </c>
      <c r="E15171" s="3" t="inlineStr">
        <is>
          <t>Loan - Quinate</t>
        </is>
      </c>
      <c r="F15171" s="3" t="n">
        <v>0</v>
      </c>
      <c r="G15171" s="3" t="n">
        <v>-20000</v>
      </c>
    </row>
    <row r="15172">
      <c r="A15172" s="3" t="inlineStr">
        <is>
          <t>Quinate Consulting (Pty) Ltd</t>
        </is>
      </c>
      <c r="B15172" s="4" t="n">
        <v>45138</v>
      </c>
      <c r="C15172" s="3" t="inlineStr">
        <is>
          <t>Liabilities</t>
        </is>
      </c>
      <c r="D15172" s="3" t="inlineStr">
        <is>
          <t>5500/300</t>
        </is>
      </c>
      <c r="E15172" s="3" t="inlineStr">
        <is>
          <t>Loan - Gengis</t>
        </is>
      </c>
      <c r="F15172" s="3" t="n">
        <v>-3516.18</v>
      </c>
      <c r="G15172" s="3" t="n">
        <v>-322736.99</v>
      </c>
    </row>
    <row r="15173">
      <c r="A15173" s="3" t="inlineStr">
        <is>
          <t>Opportunity Management Holdings (PTY) LTD</t>
        </is>
      </c>
      <c r="B15173" s="4" t="n">
        <v>45138</v>
      </c>
      <c r="C15173" s="3" t="inlineStr">
        <is>
          <t>Liabilities</t>
        </is>
      </c>
      <c r="D15173" s="3" t="inlineStr">
        <is>
          <t>5500/300</t>
        </is>
      </c>
      <c r="E15173" s="3" t="inlineStr">
        <is>
          <t>Loan - Opportunity Prop Management</t>
        </is>
      </c>
      <c r="F15173" s="3" t="n">
        <v>0</v>
      </c>
      <c r="G15173" s="3" t="n">
        <v>-1220204.15</v>
      </c>
    </row>
    <row r="15174">
      <c r="A15174" s="3" t="inlineStr">
        <is>
          <t>Noble Shield (Pty) Ltd ta Go Letting</t>
        </is>
      </c>
      <c r="B15174" s="4" t="n">
        <v>45138</v>
      </c>
      <c r="C15174" s="3" t="inlineStr">
        <is>
          <t>Liabilities</t>
        </is>
      </c>
      <c r="D15174" s="3" t="inlineStr">
        <is>
          <t>5500/300</t>
        </is>
      </c>
      <c r="E15174" s="3" t="inlineStr">
        <is>
          <t>Loan - Trademark Holdings</t>
        </is>
      </c>
      <c r="F15174" s="3" t="n">
        <v>0</v>
      </c>
      <c r="G15174" s="3" t="n">
        <v>-148165.59</v>
      </c>
    </row>
    <row r="15175">
      <c r="A15175" s="3" t="inlineStr">
        <is>
          <t>Opportunity Global Investment (PTY) LTD</t>
        </is>
      </c>
      <c r="B15175" s="4" t="n">
        <v>45138</v>
      </c>
      <c r="C15175" s="3" t="inlineStr">
        <is>
          <t>Liabilities</t>
        </is>
      </c>
      <c r="D15175" s="3" t="inlineStr">
        <is>
          <t>5500/350</t>
        </is>
      </c>
      <c r="E15175" s="3" t="inlineStr">
        <is>
          <t>Loan - Opportunity Management Holdings</t>
        </is>
      </c>
      <c r="F15175" s="3" t="n">
        <v>500</v>
      </c>
      <c r="G15175" s="3" t="n">
        <v>500</v>
      </c>
    </row>
    <row r="15176">
      <c r="A15176" s="3" t="inlineStr">
        <is>
          <t>Trademark Holdings (Pty) Ltd</t>
        </is>
      </c>
      <c r="B15176" s="4" t="n">
        <v>45138</v>
      </c>
      <c r="C15176" s="3" t="inlineStr">
        <is>
          <t>Liabilities</t>
        </is>
      </c>
      <c r="D15176" s="3" t="inlineStr">
        <is>
          <t>5500/375</t>
        </is>
      </c>
      <c r="E15176" s="3" t="inlineStr">
        <is>
          <t>Loan - Opportunity Management Holdings Pty Ltd</t>
        </is>
      </c>
      <c r="F15176" s="3" t="n">
        <v>50000</v>
      </c>
      <c r="G15176" s="3" t="n">
        <v>69000</v>
      </c>
    </row>
    <row r="15177">
      <c r="A15177" s="3" t="inlineStr">
        <is>
          <t>Trademark Holdings (Pty) Ltd</t>
        </is>
      </c>
      <c r="B15177" s="4" t="n">
        <v>45138</v>
      </c>
      <c r="C15177" s="3" t="inlineStr">
        <is>
          <t>Liabilities</t>
        </is>
      </c>
      <c r="D15177" s="3" t="inlineStr">
        <is>
          <t>5500/450</t>
        </is>
      </c>
      <c r="E15177" s="3" t="inlineStr">
        <is>
          <t>Loan - Cape Projects Construction</t>
        </is>
      </c>
      <c r="F15177" s="3" t="n">
        <v>-600</v>
      </c>
      <c r="G15177" s="3" t="n">
        <v>19400</v>
      </c>
    </row>
    <row r="15178">
      <c r="A15178" s="3" t="inlineStr">
        <is>
          <t>Trademark Holdings (Pty) Ltd</t>
        </is>
      </c>
      <c r="B15178" s="4" t="n">
        <v>45138</v>
      </c>
      <c r="C15178" s="3" t="inlineStr">
        <is>
          <t>Liabilities</t>
        </is>
      </c>
      <c r="D15178" s="3" t="inlineStr">
        <is>
          <t>5500/500</t>
        </is>
      </c>
      <c r="E15178" s="3" t="inlineStr">
        <is>
          <t>Go Letting Brand Name</t>
        </is>
      </c>
      <c r="F15178" s="3" t="n">
        <v>0</v>
      </c>
      <c r="G15178" s="3" t="n">
        <v>93420</v>
      </c>
    </row>
    <row r="15179">
      <c r="A15179" s="3" t="inlineStr">
        <is>
          <t>Noble Shield (Pty) Ltd ta Go Letting</t>
        </is>
      </c>
      <c r="B15179" s="4" t="n">
        <v>45138</v>
      </c>
      <c r="C15179" s="3" t="inlineStr">
        <is>
          <t>Liabilities</t>
        </is>
      </c>
      <c r="D15179" s="3" t="inlineStr">
        <is>
          <t>5500/500</t>
        </is>
      </c>
      <c r="E15179" s="3" t="inlineStr">
        <is>
          <t>Loan - Cape Projects Construction</t>
        </is>
      </c>
      <c r="F15179" s="3" t="n">
        <v>-600</v>
      </c>
      <c r="G15179" s="3" t="n">
        <v>19400</v>
      </c>
    </row>
    <row r="15180">
      <c r="A15180" s="3" t="inlineStr">
        <is>
          <t>Quinate Consulting (Pty) Ltd</t>
        </is>
      </c>
      <c r="B15180" s="4" t="n">
        <v>45138</v>
      </c>
      <c r="C15180" s="3" t="inlineStr">
        <is>
          <t>Liabilities</t>
        </is>
      </c>
      <c r="D15180" s="3" t="inlineStr">
        <is>
          <t>5500/500</t>
        </is>
      </c>
      <c r="E15180" s="3" t="inlineStr">
        <is>
          <t>Loan - Opportunity Development Struct.</t>
        </is>
      </c>
      <c r="F15180" s="3" t="n">
        <v>0</v>
      </c>
      <c r="G15180" s="3" t="n">
        <v>-2380000</v>
      </c>
    </row>
    <row r="15181">
      <c r="A15181" s="3" t="inlineStr">
        <is>
          <t>Opportunity Management Holdings (PTY) LTD</t>
        </is>
      </c>
      <c r="B15181" s="4" t="n">
        <v>45138</v>
      </c>
      <c r="C15181" s="3" t="inlineStr">
        <is>
          <t>Liabilities</t>
        </is>
      </c>
      <c r="D15181" s="3" t="inlineStr">
        <is>
          <t>5500/500</t>
        </is>
      </c>
      <c r="E15181" s="3" t="inlineStr">
        <is>
          <t>Loan - Opportunity Tradermark Holdings</t>
        </is>
      </c>
      <c r="F15181" s="3" t="n">
        <v>-50000</v>
      </c>
      <c r="G15181" s="3" t="n">
        <v>-69000</v>
      </c>
    </row>
    <row r="15182">
      <c r="A15182" s="3" t="inlineStr">
        <is>
          <t>Quinate Consulting (Pty) Ltd</t>
        </is>
      </c>
      <c r="B15182" s="4" t="n">
        <v>45138</v>
      </c>
      <c r="C15182" s="3" t="inlineStr">
        <is>
          <t>Liabilities</t>
        </is>
      </c>
      <c r="D15182" s="3" t="inlineStr">
        <is>
          <t>5500/520</t>
        </is>
      </c>
      <c r="E15182" s="3" t="inlineStr">
        <is>
          <t>Loan - Opportunity Management Holdings</t>
        </is>
      </c>
      <c r="F15182" s="3" t="n">
        <v>0</v>
      </c>
      <c r="G15182" s="3" t="n">
        <v>16100</v>
      </c>
    </row>
    <row r="15183">
      <c r="A15183" s="3" t="inlineStr">
        <is>
          <t>Opportunity Management Holdings (PTY) LTD</t>
        </is>
      </c>
      <c r="B15183" s="4" t="n">
        <v>45138</v>
      </c>
      <c r="C15183" s="3" t="inlineStr">
        <is>
          <t>Liabilities</t>
        </is>
      </c>
      <c r="D15183" s="3" t="inlineStr">
        <is>
          <t>5500/550</t>
        </is>
      </c>
      <c r="E15183" s="3" t="inlineStr">
        <is>
          <t>Loan - Heron Projects</t>
        </is>
      </c>
      <c r="F15183" s="3" t="n">
        <v>39900</v>
      </c>
      <c r="G15183" s="3" t="n">
        <v>-35100</v>
      </c>
    </row>
    <row r="15184">
      <c r="A15184" s="3" t="inlineStr">
        <is>
          <t>Noble Shield (Pty) Ltd ta Go Letting</t>
        </is>
      </c>
      <c r="B15184" s="4" t="n">
        <v>45138</v>
      </c>
      <c r="C15184" s="3" t="inlineStr">
        <is>
          <t>Liabilities</t>
        </is>
      </c>
      <c r="D15184" s="3" t="inlineStr">
        <is>
          <t>5500/600</t>
        </is>
      </c>
      <c r="E15184" s="3" t="inlineStr">
        <is>
          <t>Loan - Heron Projects</t>
        </is>
      </c>
      <c r="F15184" s="3" t="n">
        <v>-528</v>
      </c>
      <c r="G15184" s="3" t="n">
        <v>20370.22</v>
      </c>
    </row>
    <row r="15185">
      <c r="A15185" s="3" t="inlineStr">
        <is>
          <t>Opportunity Global Investment (PTY) LTD</t>
        </is>
      </c>
      <c r="B15185" s="4" t="n">
        <v>45138</v>
      </c>
      <c r="C15185" s="3" t="inlineStr">
        <is>
          <t>Liabilities</t>
        </is>
      </c>
      <c r="D15185" s="3" t="inlineStr">
        <is>
          <t>5500/650</t>
        </is>
      </c>
      <c r="E15185" s="3" t="inlineStr">
        <is>
          <t>Loan - Opportunit Global - Sales</t>
        </is>
      </c>
      <c r="F15185" s="3" t="n">
        <v>120041.43</v>
      </c>
      <c r="G15185" s="3" t="n">
        <v>-3182315.31</v>
      </c>
    </row>
    <row r="15186">
      <c r="A15186" s="3" t="inlineStr">
        <is>
          <t>Opportunity Global Sales (PTY) LTD</t>
        </is>
      </c>
      <c r="B15186" s="4" t="n">
        <v>45138</v>
      </c>
      <c r="C15186" s="3" t="inlineStr">
        <is>
          <t>Liabilities</t>
        </is>
      </c>
      <c r="D15186" s="3" t="inlineStr">
        <is>
          <t>5500/650</t>
        </is>
      </c>
      <c r="E15186" s="3" t="inlineStr">
        <is>
          <t>Loan - Opportunity Investments</t>
        </is>
      </c>
      <c r="F15186" s="3" t="n">
        <v>-120041.43</v>
      </c>
      <c r="G15186" s="3" t="n">
        <v>3182315.31</v>
      </c>
    </row>
    <row r="15187">
      <c r="A15187" s="3" t="inlineStr">
        <is>
          <t>Opportunity Management Holdings (PTY) LTD</t>
        </is>
      </c>
      <c r="B15187" s="4" t="n">
        <v>45138</v>
      </c>
      <c r="C15187" s="3" t="inlineStr">
        <is>
          <t>Liabilities</t>
        </is>
      </c>
      <c r="D15187" s="3" t="inlineStr">
        <is>
          <t>5500/700</t>
        </is>
      </c>
      <c r="E15187" s="3" t="inlineStr">
        <is>
          <t>Loan - Go Letting</t>
        </is>
      </c>
      <c r="F15187" s="3" t="n">
        <v>0</v>
      </c>
      <c r="G15187" s="3" t="n">
        <v>-120</v>
      </c>
    </row>
    <row r="15188">
      <c r="A15188" s="3" t="inlineStr">
        <is>
          <t>Opportunity Global Investment (PTY) LTD</t>
        </is>
      </c>
      <c r="B15188" s="4" t="n">
        <v>45138</v>
      </c>
      <c r="C15188" s="3" t="inlineStr">
        <is>
          <t>Liabilities</t>
        </is>
      </c>
      <c r="D15188" s="3" t="inlineStr">
        <is>
          <t>5500/750</t>
        </is>
      </c>
      <c r="E15188" s="3" t="inlineStr">
        <is>
          <t>Loan - Heron Projects</t>
        </is>
      </c>
      <c r="F15188" s="3" t="n">
        <v>-450000</v>
      </c>
      <c r="G15188" s="3" t="n">
        <v>-1442000</v>
      </c>
    </row>
    <row r="15189">
      <c r="A15189" s="3" t="inlineStr">
        <is>
          <t>Opportunity Global Investment (PTY) LTD</t>
        </is>
      </c>
      <c r="B15189" s="4" t="n">
        <v>45138</v>
      </c>
      <c r="C15189" s="3" t="inlineStr">
        <is>
          <t>Liabilities</t>
        </is>
      </c>
      <c r="D15189" s="3" t="inlineStr">
        <is>
          <t>5500/850</t>
        </is>
      </c>
      <c r="E15189" s="3" t="inlineStr">
        <is>
          <t>Loan - Nick Morgan</t>
        </is>
      </c>
      <c r="F15189" s="3" t="n">
        <v>0</v>
      </c>
      <c r="G15189" s="3" t="n">
        <v>6200</v>
      </c>
    </row>
    <row r="15190">
      <c r="A15190" s="3" t="inlineStr">
        <is>
          <t>Opportunity Global Investment (PTY) LTD</t>
        </is>
      </c>
      <c r="B15190" s="4" t="n">
        <v>45138</v>
      </c>
      <c r="C15190" s="3" t="inlineStr">
        <is>
          <t>Liabilities</t>
        </is>
      </c>
      <c r="D15190" s="3" t="inlineStr">
        <is>
          <t>5500/950</t>
        </is>
      </c>
      <c r="E15190" s="3" t="inlineStr">
        <is>
          <t>Loan - Gengis</t>
        </is>
      </c>
      <c r="F15190" s="3" t="n">
        <v>0</v>
      </c>
      <c r="G15190" s="3" t="n">
        <v>-45000</v>
      </c>
    </row>
    <row r="15191">
      <c r="A15191" s="3" t="inlineStr">
        <is>
          <t>Quinate Consulting (Pty) Ltd</t>
        </is>
      </c>
      <c r="B15191" s="4" t="n">
        <v>45138</v>
      </c>
      <c r="C15191" s="3" t="inlineStr">
        <is>
          <t>Liabilities</t>
        </is>
      </c>
      <c r="D15191" s="3" t="inlineStr">
        <is>
          <t>5501/001</t>
        </is>
      </c>
      <c r="E15191" s="3" t="inlineStr">
        <is>
          <t>Loan - Endulini CIP Costs</t>
        </is>
      </c>
      <c r="F15191" s="3" t="n">
        <v>-218400</v>
      </c>
      <c r="G15191" s="3" t="n">
        <v>9231149.1</v>
      </c>
    </row>
    <row r="15192">
      <c r="A15192" s="3" t="inlineStr">
        <is>
          <t>Opportunity Management Holdings (PTY) LTD</t>
        </is>
      </c>
      <c r="B15192" s="4" t="n">
        <v>45138</v>
      </c>
      <c r="C15192" s="3" t="inlineStr">
        <is>
          <t>Liabilities</t>
        </is>
      </c>
      <c r="D15192" s="3" t="inlineStr">
        <is>
          <t>5510/100</t>
        </is>
      </c>
      <c r="E15192" s="3" t="inlineStr">
        <is>
          <t>Staff loan - Debbie Landsberg</t>
        </is>
      </c>
      <c r="F15192" s="3" t="n">
        <v>-2000</v>
      </c>
      <c r="G15192" s="3" t="n">
        <v>400</v>
      </c>
    </row>
    <row r="15193">
      <c r="A15193" s="3" t="inlineStr">
        <is>
          <t>Noble Shield (Pty) Ltd ta Go Letting</t>
        </is>
      </c>
      <c r="B15193" s="4" t="n">
        <v>45138</v>
      </c>
      <c r="C15193" s="3" t="inlineStr">
        <is>
          <t>Assets</t>
        </is>
      </c>
      <c r="D15193" s="3" t="inlineStr">
        <is>
          <t>6250/010</t>
        </is>
      </c>
      <c r="E15193" s="3" t="inlineStr">
        <is>
          <t>Computer Equipment - @ Cost</t>
        </is>
      </c>
      <c r="F15193" s="3" t="n">
        <v>0</v>
      </c>
      <c r="G15193" s="3" t="n">
        <v>20397</v>
      </c>
    </row>
    <row r="15194">
      <c r="A15194" s="3" t="inlineStr">
        <is>
          <t>Opportunity Global Investment (PTY) LTD</t>
        </is>
      </c>
      <c r="B15194" s="4" t="n">
        <v>45138</v>
      </c>
      <c r="C15194" s="3" t="inlineStr">
        <is>
          <t>Assets</t>
        </is>
      </c>
      <c r="D15194" s="3" t="inlineStr">
        <is>
          <t>6250/010</t>
        </is>
      </c>
      <c r="E15194" s="3" t="inlineStr">
        <is>
          <t>Computer Equipment - @ Cost</t>
        </is>
      </c>
      <c r="F15194" s="3" t="n">
        <v>0</v>
      </c>
      <c r="G15194" s="3" t="n">
        <v>31683.04</v>
      </c>
    </row>
    <row r="15195">
      <c r="A15195" s="3" t="inlineStr">
        <is>
          <t>Opportunity Management Holdings (PTY) LTD</t>
        </is>
      </c>
      <c r="B15195" s="4" t="n">
        <v>45138</v>
      </c>
      <c r="C15195" s="3" t="inlineStr">
        <is>
          <t>Assets</t>
        </is>
      </c>
      <c r="D15195" s="3" t="inlineStr">
        <is>
          <t>6250/010</t>
        </is>
      </c>
      <c r="E15195" s="3" t="inlineStr">
        <is>
          <t>Computer Equipment - @ Cost</t>
        </is>
      </c>
      <c r="F15195" s="3" t="n">
        <v>0</v>
      </c>
      <c r="G15195" s="3" t="n">
        <v>52177.85</v>
      </c>
    </row>
    <row r="15196">
      <c r="A15196" s="3" t="inlineStr">
        <is>
          <t>Quinate Consulting (Pty) Ltd</t>
        </is>
      </c>
      <c r="B15196" s="4" t="n">
        <v>45138</v>
      </c>
      <c r="C15196" s="3" t="inlineStr">
        <is>
          <t>Assets</t>
        </is>
      </c>
      <c r="D15196" s="3" t="inlineStr">
        <is>
          <t>6250/010</t>
        </is>
      </c>
      <c r="E15196" s="3" t="inlineStr">
        <is>
          <t>Computer Equipment - @ Cost</t>
        </is>
      </c>
      <c r="F15196" s="3" t="n">
        <v>0</v>
      </c>
      <c r="G15196" s="3" t="n">
        <v>137059.7</v>
      </c>
    </row>
    <row r="15197">
      <c r="A15197" s="3" t="inlineStr">
        <is>
          <t>Noble Shield (Pty) Ltd ta Go Letting</t>
        </is>
      </c>
      <c r="B15197" s="4" t="n">
        <v>45138</v>
      </c>
      <c r="C15197" s="3" t="inlineStr">
        <is>
          <t>Assets</t>
        </is>
      </c>
      <c r="D15197" s="3" t="inlineStr">
        <is>
          <t>6250/020</t>
        </is>
      </c>
      <c r="E15197" s="3" t="inlineStr">
        <is>
          <t>Computer Equipment - Accum Depre</t>
        </is>
      </c>
      <c r="F15197" s="3" t="n">
        <v>0</v>
      </c>
      <c r="G15197" s="3" t="n">
        <v>-12040.89</v>
      </c>
    </row>
    <row r="15198">
      <c r="A15198" s="3" t="inlineStr">
        <is>
          <t>Opportunity Global Investment (PTY) LTD</t>
        </is>
      </c>
      <c r="B15198" s="4" t="n">
        <v>45138</v>
      </c>
      <c r="C15198" s="3" t="inlineStr">
        <is>
          <t>Assets</t>
        </is>
      </c>
      <c r="D15198" s="3" t="inlineStr">
        <is>
          <t>6250/020</t>
        </is>
      </c>
      <c r="E15198" s="3" t="inlineStr">
        <is>
          <t>Computer Equipment - Accum Depre</t>
        </is>
      </c>
      <c r="F15198" s="3" t="n">
        <v>-880.08</v>
      </c>
      <c r="G15198" s="3" t="n">
        <v>-6160.58</v>
      </c>
    </row>
    <row r="15199">
      <c r="A15199" s="3" t="inlineStr">
        <is>
          <t>Opportunity Management Holdings (PTY) LTD</t>
        </is>
      </c>
      <c r="B15199" s="4" t="n">
        <v>45138</v>
      </c>
      <c r="C15199" s="3" t="inlineStr">
        <is>
          <t>Assets</t>
        </is>
      </c>
      <c r="D15199" s="3" t="inlineStr">
        <is>
          <t>6250/020</t>
        </is>
      </c>
      <c r="E15199" s="3" t="inlineStr">
        <is>
          <t>Computer Equipment - Accum Depre</t>
        </is>
      </c>
      <c r="F15199" s="3" t="n">
        <v>-1035.18</v>
      </c>
      <c r="G15199" s="3" t="n">
        <v>-10785.09</v>
      </c>
    </row>
    <row r="15200">
      <c r="A15200" s="3" t="inlineStr">
        <is>
          <t>Quinate Consulting (Pty) Ltd</t>
        </is>
      </c>
      <c r="B15200" s="4" t="n">
        <v>45138</v>
      </c>
      <c r="C15200" s="3" t="inlineStr">
        <is>
          <t>Assets</t>
        </is>
      </c>
      <c r="D15200" s="3" t="inlineStr">
        <is>
          <t>6250/020</t>
        </is>
      </c>
      <c r="E15200" s="3" t="inlineStr">
        <is>
          <t>Computer Equipment - Accum Depre</t>
        </is>
      </c>
      <c r="F15200" s="3" t="n">
        <v>-2331.67</v>
      </c>
      <c r="G15200" s="3" t="n">
        <v>-110032.12</v>
      </c>
    </row>
    <row r="15201">
      <c r="A15201" s="3" t="inlineStr">
        <is>
          <t>Opportunity Management Holdings (PTY) LTD</t>
        </is>
      </c>
      <c r="B15201" s="4" t="n">
        <v>45138</v>
      </c>
      <c r="C15201" s="3" t="inlineStr">
        <is>
          <t>Assets</t>
        </is>
      </c>
      <c r="D15201" s="3" t="inlineStr">
        <is>
          <t>6250/030</t>
        </is>
      </c>
      <c r="E15201" s="3" t="inlineStr">
        <is>
          <t>Acc Depreciation - Computer Equipment</t>
        </is>
      </c>
      <c r="F15201" s="3" t="n">
        <v>0</v>
      </c>
      <c r="G15201" s="3" t="n">
        <v>-9441.25</v>
      </c>
    </row>
    <row r="15202">
      <c r="A15202" s="3" t="inlineStr">
        <is>
          <t>Quinate Consulting (Pty) Ltd</t>
        </is>
      </c>
      <c r="B15202" s="4" t="n">
        <v>45138</v>
      </c>
      <c r="C15202" s="3" t="inlineStr">
        <is>
          <t>Assets</t>
        </is>
      </c>
      <c r="D15202" s="3" t="inlineStr">
        <is>
          <t>6270/010</t>
        </is>
      </c>
      <c r="E15202" s="3" t="inlineStr">
        <is>
          <t>Site Containers - @ Cost</t>
        </is>
      </c>
      <c r="F15202" s="3" t="n">
        <v>0</v>
      </c>
      <c r="G15202" s="3" t="n">
        <v>19130.44</v>
      </c>
    </row>
    <row r="15203">
      <c r="A15203" s="3" t="inlineStr">
        <is>
          <t>Quinate Consulting (Pty) Ltd</t>
        </is>
      </c>
      <c r="B15203" s="4" t="n">
        <v>45138</v>
      </c>
      <c r="C15203" s="3" t="inlineStr">
        <is>
          <t>Assets</t>
        </is>
      </c>
      <c r="D15203" s="3" t="inlineStr">
        <is>
          <t>6270/020</t>
        </is>
      </c>
      <c r="E15203" s="3" t="inlineStr">
        <is>
          <t>Site Containers - Accum Depre</t>
        </is>
      </c>
      <c r="F15203" s="3" t="n">
        <v>-318.84</v>
      </c>
      <c r="G15203" s="3" t="n">
        <v>-9246.379999999999</v>
      </c>
    </row>
    <row r="15204">
      <c r="A15204" s="3" t="inlineStr">
        <is>
          <t>Noble Shield (Pty) Ltd ta Go Letting</t>
        </is>
      </c>
      <c r="B15204" s="4" t="n">
        <v>45138</v>
      </c>
      <c r="C15204" s="3" t="inlineStr">
        <is>
          <t>Assets</t>
        </is>
      </c>
      <c r="D15204" s="3" t="inlineStr">
        <is>
          <t>6350/010</t>
        </is>
      </c>
      <c r="E15204" s="3" t="inlineStr">
        <is>
          <t>Furniture _AND_ Fittings - @ Cost</t>
        </is>
      </c>
      <c r="F15204" s="3" t="n">
        <v>0</v>
      </c>
      <c r="G15204" s="3" t="n">
        <v>2242</v>
      </c>
    </row>
    <row r="15205">
      <c r="A15205" s="3" t="inlineStr">
        <is>
          <t>Opportunity Global Sales (PTY) LTD</t>
        </is>
      </c>
      <c r="B15205" s="4" t="n">
        <v>45138</v>
      </c>
      <c r="C15205" s="3" t="inlineStr">
        <is>
          <t>Assets</t>
        </is>
      </c>
      <c r="D15205" s="3" t="inlineStr">
        <is>
          <t>6350/010</t>
        </is>
      </c>
      <c r="E15205" s="3" t="inlineStr">
        <is>
          <t>Furniture _AND_ Fittings - @ Cost</t>
        </is>
      </c>
      <c r="F15205" s="3" t="n">
        <v>0</v>
      </c>
      <c r="G15205" s="3" t="n">
        <v>29379.7</v>
      </c>
    </row>
    <row r="15206">
      <c r="A15206" s="3" t="inlineStr">
        <is>
          <t>Noble Shield (Pty) Ltd ta Go Letting</t>
        </is>
      </c>
      <c r="B15206" s="4" t="n">
        <v>45138</v>
      </c>
      <c r="C15206" s="3" t="inlineStr">
        <is>
          <t>Assets</t>
        </is>
      </c>
      <c r="D15206" s="3" t="inlineStr">
        <is>
          <t>6350/020</t>
        </is>
      </c>
      <c r="E15206" s="3" t="inlineStr">
        <is>
          <t>Furniture _AND_ Fittings - Accum Depre</t>
        </is>
      </c>
      <c r="F15206" s="3" t="n">
        <v>0</v>
      </c>
      <c r="G15206" s="3" t="n">
        <v>-2239</v>
      </c>
    </row>
    <row r="15207">
      <c r="A15207" s="3" t="inlineStr">
        <is>
          <t>Opportunity Global Sales (PTY) LTD</t>
        </is>
      </c>
      <c r="B15207" s="4" t="n">
        <v>45138</v>
      </c>
      <c r="C15207" s="3" t="inlineStr">
        <is>
          <t>Assets</t>
        </is>
      </c>
      <c r="D15207" s="3" t="inlineStr">
        <is>
          <t>6350/020</t>
        </is>
      </c>
      <c r="E15207" s="3" t="inlineStr">
        <is>
          <t>Furniture _AND_ Fittings - Accum Depre</t>
        </is>
      </c>
      <c r="F15207" s="3" t="n">
        <v>-408.05</v>
      </c>
      <c r="G15207" s="3" t="n">
        <v>-5304.67</v>
      </c>
    </row>
    <row r="15208">
      <c r="A15208" s="3" t="inlineStr">
        <is>
          <t>Opportunity Management Holdings (PTY) LTD</t>
        </is>
      </c>
      <c r="B15208" s="4" t="n">
        <v>45138</v>
      </c>
      <c r="C15208" s="3" t="inlineStr">
        <is>
          <t>Liabilities</t>
        </is>
      </c>
      <c r="D15208" s="3" t="inlineStr">
        <is>
          <t>6500/000</t>
        </is>
      </c>
      <c r="E15208" s="3" t="inlineStr">
        <is>
          <t>Deposits - Held</t>
        </is>
      </c>
      <c r="F15208" s="3" t="n">
        <v>0</v>
      </c>
      <c r="G15208" s="3" t="n">
        <v>-12028.1</v>
      </c>
    </row>
    <row r="15209">
      <c r="A15209" s="3" t="inlineStr">
        <is>
          <t>Opportunity Management Holdings (PTY) LTD</t>
        </is>
      </c>
      <c r="B15209" s="4" t="n">
        <v>45138</v>
      </c>
      <c r="C15209" s="3" t="inlineStr">
        <is>
          <t>Liabilities</t>
        </is>
      </c>
      <c r="D15209" s="3" t="inlineStr">
        <is>
          <t>6510/000</t>
        </is>
      </c>
      <c r="E15209" s="3" t="inlineStr">
        <is>
          <t>Deposits Paid - Anicol Properties</t>
        </is>
      </c>
      <c r="F15209" s="3" t="n">
        <v>0</v>
      </c>
      <c r="G15209" s="3" t="n">
        <v>13755</v>
      </c>
    </row>
    <row r="15210">
      <c r="A15210" s="3" t="inlineStr">
        <is>
          <t>Opportunity Management Holdings (PTY) LTD</t>
        </is>
      </c>
      <c r="B15210" s="4" t="n">
        <v>45138</v>
      </c>
      <c r="C15210" s="3" t="inlineStr">
        <is>
          <t>Liabilities</t>
        </is>
      </c>
      <c r="D15210" s="3" t="inlineStr">
        <is>
          <t>6515/000</t>
        </is>
      </c>
      <c r="E15210" s="3" t="inlineStr">
        <is>
          <t>Deposits Paid</t>
        </is>
      </c>
      <c r="F15210" s="3" t="n">
        <v>0</v>
      </c>
      <c r="G15210" s="3" t="n">
        <v>3852.5</v>
      </c>
    </row>
    <row r="15211">
      <c r="A15211" s="3" t="inlineStr">
        <is>
          <t>Quinate Consulting (Pty) Ltd</t>
        </is>
      </c>
      <c r="B15211" s="4" t="n">
        <v>45138</v>
      </c>
      <c r="C15211" s="3" t="inlineStr">
        <is>
          <t>Assets</t>
        </is>
      </c>
      <c r="D15211" s="3" t="inlineStr">
        <is>
          <t>6600/010</t>
        </is>
      </c>
      <c r="E15211" s="3" t="inlineStr">
        <is>
          <t>Other Fixed Assets - @ Cost</t>
        </is>
      </c>
      <c r="F15211" s="3" t="n">
        <v>0</v>
      </c>
      <c r="G15211" s="3" t="n">
        <v>14442.5</v>
      </c>
    </row>
    <row r="15212">
      <c r="A15212" s="3" t="inlineStr">
        <is>
          <t>Quinate Consulting (Pty) Ltd</t>
        </is>
      </c>
      <c r="B15212" s="4" t="n">
        <v>45138</v>
      </c>
      <c r="C15212" s="3" t="inlineStr">
        <is>
          <t>Assets</t>
        </is>
      </c>
      <c r="D15212" s="3" t="inlineStr">
        <is>
          <t>6600/020</t>
        </is>
      </c>
      <c r="E15212" s="3" t="inlineStr">
        <is>
          <t>Other Fixed Assets - Accum Depre</t>
        </is>
      </c>
      <c r="F15212" s="3" t="n">
        <v>0</v>
      </c>
      <c r="G15212" s="3" t="n">
        <v>-14441.5</v>
      </c>
    </row>
    <row r="15213">
      <c r="A15213" s="3" t="inlineStr">
        <is>
          <t>Noble Shield (Pty) Ltd ta Go Letting</t>
        </is>
      </c>
      <c r="B15213" s="4" t="n">
        <v>45138</v>
      </c>
      <c r="C15213" s="3" t="inlineStr">
        <is>
          <t>Assets</t>
        </is>
      </c>
      <c r="D15213" s="3" t="inlineStr">
        <is>
          <t>7000/100</t>
        </is>
      </c>
      <c r="E15213" s="3" t="inlineStr">
        <is>
          <t>Goodwill - Purchase of Go Letting</t>
        </is>
      </c>
      <c r="F15213" s="3" t="n">
        <v>0</v>
      </c>
      <c r="G15213" s="3" t="n">
        <v>106580</v>
      </c>
    </row>
    <row r="15214">
      <c r="A15214" s="3" t="inlineStr">
        <is>
          <t>Opportunity Management Holdings (PTY) LTD</t>
        </is>
      </c>
      <c r="B15214" s="4" t="n">
        <v>45138</v>
      </c>
      <c r="C15214" s="3" t="inlineStr">
        <is>
          <t>Assets</t>
        </is>
      </c>
      <c r="D15214" s="3" t="inlineStr">
        <is>
          <t>7200/000</t>
        </is>
      </c>
      <c r="E15214" s="3" t="inlineStr">
        <is>
          <t>Shares in Subsidiary Companies</t>
        </is>
      </c>
      <c r="F15214" s="3" t="n">
        <v>0</v>
      </c>
      <c r="G15214" s="3" t="n">
        <v>120</v>
      </c>
    </row>
    <row r="15215">
      <c r="A15215" s="3" t="inlineStr">
        <is>
          <t>Endulini (Pty) Ltd</t>
        </is>
      </c>
      <c r="B15215" s="4" t="n">
        <v>45138</v>
      </c>
      <c r="C15215" s="3" t="inlineStr">
        <is>
          <t>Assets</t>
        </is>
      </c>
      <c r="D15215" s="3" t="inlineStr">
        <is>
          <t>7610/100</t>
        </is>
      </c>
      <c r="E15215" s="3" t="inlineStr">
        <is>
          <t>Endulini Land</t>
        </is>
      </c>
      <c r="F15215" s="3" t="n">
        <v>0</v>
      </c>
      <c r="G15215" s="3" t="n">
        <v>10572851.37</v>
      </c>
    </row>
    <row r="15216">
      <c r="A15216" s="3" t="inlineStr">
        <is>
          <t>Endulini (Pty) Ltd</t>
        </is>
      </c>
      <c r="B15216" s="4" t="n">
        <v>45138</v>
      </c>
      <c r="C15216" s="3" t="inlineStr">
        <is>
          <t>Assets</t>
        </is>
      </c>
      <c r="D15216" s="3" t="inlineStr">
        <is>
          <t>7610/111</t>
        </is>
      </c>
      <c r="E15216" s="3" t="inlineStr">
        <is>
          <t>Endulini Closing Stock February 2021</t>
        </is>
      </c>
      <c r="F15216" s="3" t="n">
        <v>0</v>
      </c>
      <c r="G15216" s="3" t="n">
        <v>14368610.11</v>
      </c>
    </row>
    <row r="15217">
      <c r="A15217" s="3" t="inlineStr">
        <is>
          <t>Endulini (Pty) Ltd</t>
        </is>
      </c>
      <c r="B15217" s="4" t="n">
        <v>45138</v>
      </c>
      <c r="C15217" s="3" t="inlineStr">
        <is>
          <t>Assets</t>
        </is>
      </c>
      <c r="D15217" s="3" t="inlineStr">
        <is>
          <t>7610/180</t>
        </is>
      </c>
      <c r="E15217" s="3" t="inlineStr">
        <is>
          <t>Endulini CIP Architects</t>
        </is>
      </c>
      <c r="F15217" s="3" t="n">
        <v>0</v>
      </c>
      <c r="G15217" s="3" t="n">
        <v>1292111.71</v>
      </c>
    </row>
    <row r="15218">
      <c r="A15218" s="3" t="inlineStr">
        <is>
          <t>Endulini (Pty) Ltd</t>
        </is>
      </c>
      <c r="B15218" s="4" t="n">
        <v>45138</v>
      </c>
      <c r="C15218" s="3" t="inlineStr">
        <is>
          <t>Assets</t>
        </is>
      </c>
      <c r="D15218" s="3" t="inlineStr">
        <is>
          <t>7610/200</t>
        </is>
      </c>
      <c r="E15218" s="3" t="inlineStr">
        <is>
          <t>Endulini CIP CoCT Land Use App</t>
        </is>
      </c>
      <c r="F15218" s="3" t="n">
        <v>0</v>
      </c>
      <c r="G15218" s="3" t="n">
        <v>232891.06</v>
      </c>
    </row>
    <row r="15219">
      <c r="A15219" s="3" t="inlineStr">
        <is>
          <t>Endulini (Pty) Ltd</t>
        </is>
      </c>
      <c r="B15219" s="4" t="n">
        <v>45138</v>
      </c>
      <c r="C15219" s="3" t="inlineStr">
        <is>
          <t>Assets</t>
        </is>
      </c>
      <c r="D15219" s="3" t="inlineStr">
        <is>
          <t>7610/205</t>
        </is>
      </c>
      <c r="E15219" s="3" t="inlineStr">
        <is>
          <t>Endulini CIP Site Establishments</t>
        </is>
      </c>
      <c r="F15219" s="3" t="n">
        <v>0</v>
      </c>
      <c r="G15219" s="3" t="n">
        <v>32428975.01</v>
      </c>
    </row>
    <row r="15220">
      <c r="A15220" s="3" t="inlineStr">
        <is>
          <t>Endulini (Pty) Ltd</t>
        </is>
      </c>
      <c r="B15220" s="4" t="n">
        <v>45138</v>
      </c>
      <c r="C15220" s="3" t="inlineStr">
        <is>
          <t>Assets</t>
        </is>
      </c>
      <c r="D15220" s="3" t="inlineStr">
        <is>
          <t>7610/209</t>
        </is>
      </c>
      <c r="E15220" s="3" t="inlineStr">
        <is>
          <t>Endulini CIP Construction Management</t>
        </is>
      </c>
      <c r="F15220" s="3" t="n">
        <v>0</v>
      </c>
      <c r="G15220" s="3" t="n">
        <v>223375</v>
      </c>
    </row>
    <row r="15221">
      <c r="A15221" s="3" t="inlineStr">
        <is>
          <t>Endulini (Pty) Ltd</t>
        </is>
      </c>
      <c r="B15221" s="4" t="n">
        <v>45138</v>
      </c>
      <c r="C15221" s="3" t="inlineStr">
        <is>
          <t>Assets</t>
        </is>
      </c>
      <c r="D15221" s="3" t="inlineStr">
        <is>
          <t>7610/210</t>
        </is>
      </c>
      <c r="E15221" s="3" t="inlineStr">
        <is>
          <t>Endulini CIP Civil Works</t>
        </is>
      </c>
      <c r="F15221" s="3" t="n">
        <v>0</v>
      </c>
      <c r="G15221" s="3" t="n">
        <v>6295702.14</v>
      </c>
    </row>
    <row r="15222">
      <c r="A15222" s="3" t="inlineStr">
        <is>
          <t>Endulini (Pty) Ltd</t>
        </is>
      </c>
      <c r="B15222" s="4" t="n">
        <v>45138</v>
      </c>
      <c r="C15222" s="3" t="inlineStr">
        <is>
          <t>Assets</t>
        </is>
      </c>
      <c r="D15222" s="3" t="inlineStr">
        <is>
          <t>7610/215</t>
        </is>
      </c>
      <c r="E15222" s="3" t="inlineStr">
        <is>
          <t>Endulini CIP Civil Engineers</t>
        </is>
      </c>
      <c r="F15222" s="3" t="n">
        <v>0</v>
      </c>
      <c r="G15222" s="3" t="n">
        <v>183000</v>
      </c>
    </row>
    <row r="15223">
      <c r="A15223" s="3" t="inlineStr">
        <is>
          <t>Endulini (Pty) Ltd</t>
        </is>
      </c>
      <c r="B15223" s="4" t="n">
        <v>45138</v>
      </c>
      <c r="C15223" s="3" t="inlineStr">
        <is>
          <t>Assets</t>
        </is>
      </c>
      <c r="D15223" s="3" t="inlineStr">
        <is>
          <t>7610/220</t>
        </is>
      </c>
      <c r="E15223" s="3" t="inlineStr">
        <is>
          <t>Endulini CIP Structuring Project Fee Opp Invest</t>
        </is>
      </c>
      <c r="F15223" s="3" t="n">
        <v>0</v>
      </c>
      <c r="G15223" s="3" t="n">
        <v>483735.96</v>
      </c>
    </row>
    <row r="15224">
      <c r="A15224" s="3" t="inlineStr">
        <is>
          <t>Endulini (Pty) Ltd</t>
        </is>
      </c>
      <c r="B15224" s="4" t="n">
        <v>45138</v>
      </c>
      <c r="C15224" s="3" t="inlineStr">
        <is>
          <t>Assets</t>
        </is>
      </c>
      <c r="D15224" s="3" t="inlineStr">
        <is>
          <t>7610/225</t>
        </is>
      </c>
      <c r="E15224" s="3" t="inlineStr">
        <is>
          <t>Endulini CIP Structural engineering fee</t>
        </is>
      </c>
      <c r="F15224" s="3" t="n">
        <v>0</v>
      </c>
      <c r="G15224" s="3" t="n">
        <v>346268.03</v>
      </c>
    </row>
    <row r="15225">
      <c r="A15225" s="3" t="inlineStr">
        <is>
          <t>Endulini (Pty) Ltd</t>
        </is>
      </c>
      <c r="B15225" s="4" t="n">
        <v>45138</v>
      </c>
      <c r="C15225" s="3" t="inlineStr">
        <is>
          <t>Assets</t>
        </is>
      </c>
      <c r="D15225" s="3" t="inlineStr">
        <is>
          <t>7610/230</t>
        </is>
      </c>
      <c r="E15225" s="3" t="inlineStr">
        <is>
          <t>Endulini CIP Mechanical Engineering</t>
        </is>
      </c>
      <c r="F15225" s="3" t="n">
        <v>0</v>
      </c>
      <c r="G15225" s="3" t="n">
        <v>15570</v>
      </c>
    </row>
    <row r="15226">
      <c r="A15226" s="3" t="inlineStr">
        <is>
          <t>Endulini (Pty) Ltd</t>
        </is>
      </c>
      <c r="B15226" s="4" t="n">
        <v>45138</v>
      </c>
      <c r="C15226" s="3" t="inlineStr">
        <is>
          <t>Assets</t>
        </is>
      </c>
      <c r="D15226" s="3" t="inlineStr">
        <is>
          <t>7610/235</t>
        </is>
      </c>
      <c r="E15226" s="3" t="inlineStr">
        <is>
          <t>Endulini CIP Electrical Installation</t>
        </is>
      </c>
      <c r="F15226" s="3" t="n">
        <v>0</v>
      </c>
      <c r="G15226" s="3" t="n">
        <v>1034019.08</v>
      </c>
    </row>
    <row r="15227">
      <c r="A15227" s="3" t="inlineStr">
        <is>
          <t>Endulini (Pty) Ltd</t>
        </is>
      </c>
      <c r="B15227" s="4" t="n">
        <v>45138</v>
      </c>
      <c r="C15227" s="3" t="inlineStr">
        <is>
          <t>Assets</t>
        </is>
      </c>
      <c r="D15227" s="3" t="inlineStr">
        <is>
          <t>7610/250</t>
        </is>
      </c>
      <c r="E15227" s="3" t="inlineStr">
        <is>
          <t>Endulini CIP Boundary Wall</t>
        </is>
      </c>
      <c r="F15227" s="3" t="n">
        <v>0</v>
      </c>
      <c r="G15227" s="3" t="n">
        <v>88400.8</v>
      </c>
    </row>
    <row r="15228">
      <c r="A15228" s="3" t="inlineStr">
        <is>
          <t>Endulini (Pty) Ltd</t>
        </is>
      </c>
      <c r="B15228" s="4" t="n">
        <v>45138</v>
      </c>
      <c r="C15228" s="3" t="inlineStr">
        <is>
          <t>Assets</t>
        </is>
      </c>
      <c r="D15228" s="3" t="inlineStr">
        <is>
          <t>7610/290</t>
        </is>
      </c>
      <c r="E15228" s="3" t="inlineStr">
        <is>
          <t>Endulini CIP Development Management Fees</t>
        </is>
      </c>
      <c r="F15228" s="3" t="n">
        <v>0</v>
      </c>
      <c r="G15228" s="3" t="n">
        <v>237496.62</v>
      </c>
    </row>
    <row r="15229">
      <c r="A15229" s="3" t="inlineStr">
        <is>
          <t>Endulini (Pty) Ltd</t>
        </is>
      </c>
      <c r="B15229" s="4" t="n">
        <v>45138</v>
      </c>
      <c r="C15229" s="3" t="inlineStr">
        <is>
          <t>Assets</t>
        </is>
      </c>
      <c r="D15229" s="3" t="inlineStr">
        <is>
          <t>7610/310</t>
        </is>
      </c>
      <c r="E15229" s="3" t="inlineStr">
        <is>
          <t>Endulini CIP Enviromental consultants</t>
        </is>
      </c>
      <c r="F15229" s="3" t="n">
        <v>0</v>
      </c>
      <c r="G15229" s="3" t="n">
        <v>115730</v>
      </c>
    </row>
    <row r="15230">
      <c r="A15230" s="3" t="inlineStr">
        <is>
          <t>Endulini (Pty) Ltd</t>
        </is>
      </c>
      <c r="B15230" s="4" t="n">
        <v>45138</v>
      </c>
      <c r="C15230" s="3" t="inlineStr">
        <is>
          <t>Assets</t>
        </is>
      </c>
      <c r="D15230" s="3" t="inlineStr">
        <is>
          <t>7610/320</t>
        </is>
      </c>
      <c r="E15230" s="3" t="inlineStr">
        <is>
          <t>Endulini CIP Geotechnical</t>
        </is>
      </c>
      <c r="F15230" s="3" t="n">
        <v>0</v>
      </c>
      <c r="G15230" s="3" t="n">
        <v>13575</v>
      </c>
    </row>
    <row r="15231">
      <c r="A15231" s="3" t="inlineStr">
        <is>
          <t>Endulini (Pty) Ltd</t>
        </is>
      </c>
      <c r="B15231" s="4" t="n">
        <v>45138</v>
      </c>
      <c r="C15231" s="3" t="inlineStr">
        <is>
          <t>Assets</t>
        </is>
      </c>
      <c r="D15231" s="3" t="inlineStr">
        <is>
          <t>7610/330</t>
        </is>
      </c>
      <c r="E15231" s="3" t="inlineStr">
        <is>
          <t>Endulini CIP Health and Safety</t>
        </is>
      </c>
      <c r="F15231" s="3" t="n">
        <v>0</v>
      </c>
      <c r="G15231" s="3" t="n">
        <v>40200</v>
      </c>
    </row>
    <row r="15232">
      <c r="A15232" s="3" t="inlineStr">
        <is>
          <t>Endulini (Pty) Ltd</t>
        </is>
      </c>
      <c r="B15232" s="4" t="n">
        <v>45138</v>
      </c>
      <c r="C15232" s="3" t="inlineStr">
        <is>
          <t>Assets</t>
        </is>
      </c>
      <c r="D15232" s="3" t="inlineStr">
        <is>
          <t>7610/390</t>
        </is>
      </c>
      <c r="E15232" s="3" t="inlineStr">
        <is>
          <t>Endulini CIP Land Surveyor</t>
        </is>
      </c>
      <c r="F15232" s="3" t="n">
        <v>0</v>
      </c>
      <c r="G15232" s="3" t="n">
        <v>186021.2</v>
      </c>
    </row>
    <row r="15233">
      <c r="A15233" s="3" t="inlineStr">
        <is>
          <t>Endulini (Pty) Ltd</t>
        </is>
      </c>
      <c r="B15233" s="4" t="n">
        <v>45138</v>
      </c>
      <c r="C15233" s="3" t="inlineStr">
        <is>
          <t>Assets</t>
        </is>
      </c>
      <c r="D15233" s="3" t="inlineStr">
        <is>
          <t>7610/392</t>
        </is>
      </c>
      <c r="E15233" s="3" t="inlineStr">
        <is>
          <t>Endulini CIP Landscaping</t>
        </is>
      </c>
      <c r="F15233" s="3" t="n">
        <v>0</v>
      </c>
      <c r="G15233" s="3" t="n">
        <v>6100</v>
      </c>
    </row>
    <row r="15234">
      <c r="A15234" s="3" t="inlineStr">
        <is>
          <t>Endulini (Pty) Ltd</t>
        </is>
      </c>
      <c r="B15234" s="4" t="n">
        <v>45138</v>
      </c>
      <c r="C15234" s="3" t="inlineStr">
        <is>
          <t>Assets</t>
        </is>
      </c>
      <c r="D15234" s="3" t="inlineStr">
        <is>
          <t>7610/395</t>
        </is>
      </c>
      <c r="E15234" s="3" t="inlineStr">
        <is>
          <t>Endulini CIP NHBRC</t>
        </is>
      </c>
      <c r="F15234" s="3" t="n">
        <v>0</v>
      </c>
      <c r="G15234" s="3" t="n">
        <v>928847.49</v>
      </c>
    </row>
    <row r="15235">
      <c r="A15235" s="3" t="inlineStr">
        <is>
          <t>Endulini (Pty) Ltd</t>
        </is>
      </c>
      <c r="B15235" s="4" t="n">
        <v>45138</v>
      </c>
      <c r="C15235" s="3" t="inlineStr">
        <is>
          <t>Assets</t>
        </is>
      </c>
      <c r="D15235" s="3" t="inlineStr">
        <is>
          <t>7610/400</t>
        </is>
      </c>
      <c r="E15235" s="3" t="inlineStr">
        <is>
          <t>Endulini CIP Quantity Surveyor</t>
        </is>
      </c>
      <c r="F15235" s="3" t="n">
        <v>0</v>
      </c>
      <c r="G15235" s="3" t="n">
        <v>82136.36</v>
      </c>
    </row>
    <row r="15236">
      <c r="A15236" s="3" t="inlineStr">
        <is>
          <t>Endulini (Pty) Ltd</t>
        </is>
      </c>
      <c r="B15236" s="4" t="n">
        <v>45138</v>
      </c>
      <c r="C15236" s="3" t="inlineStr">
        <is>
          <t>Assets</t>
        </is>
      </c>
      <c r="D15236" s="3" t="inlineStr">
        <is>
          <t>7610/600</t>
        </is>
      </c>
      <c r="E15236" s="3" t="inlineStr">
        <is>
          <t>Endulini CIP Town Planning</t>
        </is>
      </c>
      <c r="F15236" s="3" t="n">
        <v>0</v>
      </c>
      <c r="G15236" s="3" t="n">
        <v>21105</v>
      </c>
    </row>
    <row r="15237">
      <c r="A15237" s="3" t="inlineStr">
        <is>
          <t>Endulini (Pty) Ltd</t>
        </is>
      </c>
      <c r="B15237" s="4" t="n">
        <v>45138</v>
      </c>
      <c r="C15237" s="3" t="inlineStr">
        <is>
          <t>Assets</t>
        </is>
      </c>
      <c r="D15237" s="3" t="inlineStr">
        <is>
          <t>7610/620</t>
        </is>
      </c>
      <c r="E15237" s="3" t="inlineStr">
        <is>
          <t>Endulini CIP Traffic Impact</t>
        </is>
      </c>
      <c r="F15237" s="3" t="n">
        <v>0</v>
      </c>
      <c r="G15237" s="3" t="n">
        <v>24915</v>
      </c>
    </row>
    <row r="15238">
      <c r="A15238" s="3" t="inlineStr">
        <is>
          <t>Endulini (Pty) Ltd</t>
        </is>
      </c>
      <c r="B15238" s="4" t="n">
        <v>45138</v>
      </c>
      <c r="C15238" s="3" t="inlineStr">
        <is>
          <t>Assets</t>
        </is>
      </c>
      <c r="D15238" s="3" t="inlineStr">
        <is>
          <t>7610/630</t>
        </is>
      </c>
      <c r="E15238" s="3" t="inlineStr">
        <is>
          <t>Endulini CIP CoCT Development Contributi</t>
        </is>
      </c>
      <c r="F15238" s="3" t="n">
        <v>0</v>
      </c>
      <c r="G15238" s="3" t="n">
        <v>661860.3100000001</v>
      </c>
    </row>
    <row r="15239">
      <c r="A15239" s="3" t="inlineStr">
        <is>
          <t>Endulini (Pty) Ltd</t>
        </is>
      </c>
      <c r="B15239" s="4" t="n">
        <v>45138</v>
      </c>
      <c r="C15239" s="3" t="inlineStr">
        <is>
          <t>Assets</t>
        </is>
      </c>
      <c r="D15239" s="3" t="inlineStr">
        <is>
          <t>7610/640</t>
        </is>
      </c>
      <c r="E15239" s="3" t="inlineStr">
        <is>
          <t>Endulini CIP CoCT Building plan application</t>
        </is>
      </c>
      <c r="F15239" s="3" t="n">
        <v>0</v>
      </c>
      <c r="G15239" s="3" t="n">
        <v>111203.22</v>
      </c>
    </row>
    <row r="15240">
      <c r="A15240" s="3" t="inlineStr">
        <is>
          <t>Endulini (Pty) Ltd</t>
        </is>
      </c>
      <c r="B15240" s="4" t="n">
        <v>45138</v>
      </c>
      <c r="C15240" s="3" t="inlineStr">
        <is>
          <t>Assets</t>
        </is>
      </c>
      <c r="D15240" s="3" t="inlineStr">
        <is>
          <t>7610/900</t>
        </is>
      </c>
      <c r="E15240" s="3" t="inlineStr">
        <is>
          <t>Endulini CIP Cost of Sales</t>
        </is>
      </c>
      <c r="F15240" s="3" t="n">
        <v>0</v>
      </c>
      <c r="G15240" s="3" t="n">
        <v>-28210981.9</v>
      </c>
    </row>
    <row r="15241">
      <c r="A15241" s="3" t="inlineStr">
        <is>
          <t>Quinate Consulting (Pty) Ltd</t>
        </is>
      </c>
      <c r="B15241" s="4" t="n">
        <v>45138</v>
      </c>
      <c r="C15241" s="3" t="inlineStr">
        <is>
          <t>Assets</t>
        </is>
      </c>
      <c r="D15241" s="3" t="inlineStr">
        <is>
          <t>7800/104</t>
        </is>
      </c>
      <c r="E15241" s="3" t="inlineStr">
        <is>
          <t>Stock - Closing Stock SW - 28 Feb 21</t>
        </is>
      </c>
      <c r="F15241" s="3" t="n">
        <v>0</v>
      </c>
      <c r="G15241" s="3" t="n">
        <v>2874478.88</v>
      </c>
    </row>
    <row r="15242">
      <c r="A15242" s="3" t="inlineStr">
        <is>
          <t>Quinate Consulting (Pty) Ltd</t>
        </is>
      </c>
      <c r="B15242" s="4" t="n">
        <v>45138</v>
      </c>
      <c r="C15242" s="3" t="inlineStr">
        <is>
          <t>Assets</t>
        </is>
      </c>
      <c r="D15242" s="3" t="inlineStr">
        <is>
          <t>7800/105</t>
        </is>
      </c>
      <c r="E15242" s="3" t="inlineStr">
        <is>
          <t>Stock - Closing Stock SH - 28 Feb 21</t>
        </is>
      </c>
      <c r="F15242" s="3" t="n">
        <v>0</v>
      </c>
      <c r="G15242" s="3" t="n">
        <v>2843477.6</v>
      </c>
    </row>
    <row r="15243">
      <c r="A15243" s="3" t="inlineStr">
        <is>
          <t>Endulini (Pty) Ltd</t>
        </is>
      </c>
      <c r="B15243" s="4" t="n">
        <v>45138</v>
      </c>
      <c r="C15243" s="3" t="inlineStr">
        <is>
          <t>Assets</t>
        </is>
      </c>
      <c r="D15243" s="3" t="inlineStr">
        <is>
          <t>8000/000</t>
        </is>
      </c>
      <c r="E15243" s="3" t="inlineStr">
        <is>
          <t>Customer Control Account</t>
        </is>
      </c>
      <c r="F15243" s="3" t="n">
        <v>0</v>
      </c>
      <c r="G15243" s="3" t="n">
        <v>170572.96</v>
      </c>
    </row>
    <row r="15244">
      <c r="A15244" s="3" t="inlineStr">
        <is>
          <t>Noble Shield (Pty) Ltd ta Go Letting</t>
        </is>
      </c>
      <c r="B15244" s="4" t="n">
        <v>45138</v>
      </c>
      <c r="C15244" s="3" t="inlineStr">
        <is>
          <t>Assets</t>
        </is>
      </c>
      <c r="D15244" s="3" t="inlineStr">
        <is>
          <t>8000/000</t>
        </is>
      </c>
      <c r="E15244" s="3" t="inlineStr">
        <is>
          <t>Customer Control Account</t>
        </is>
      </c>
      <c r="F15244" s="3" t="n">
        <v>0</v>
      </c>
      <c r="G15244" s="3" t="n">
        <v>60289.32</v>
      </c>
    </row>
    <row r="15245">
      <c r="A15245" s="3" t="inlineStr">
        <is>
          <t>Opportunity Global Investment (PTY) LTD</t>
        </is>
      </c>
      <c r="B15245" s="4" t="n">
        <v>45138</v>
      </c>
      <c r="C15245" s="3" t="inlineStr">
        <is>
          <t>Assets</t>
        </is>
      </c>
      <c r="D15245" s="3" t="inlineStr">
        <is>
          <t>8000/000</t>
        </is>
      </c>
      <c r="E15245" s="3" t="inlineStr">
        <is>
          <t>Customer Control Account</t>
        </is>
      </c>
      <c r="F15245" s="3" t="n">
        <v>1840.95</v>
      </c>
      <c r="G15245" s="3" t="n">
        <v>8535.35</v>
      </c>
    </row>
    <row r="15246">
      <c r="A15246" s="3" t="inlineStr">
        <is>
          <t>Opportunity Global Sales (PTY) LTD</t>
        </is>
      </c>
      <c r="B15246" s="4" t="n">
        <v>45138</v>
      </c>
      <c r="C15246" s="3" t="inlineStr">
        <is>
          <t>Assets</t>
        </is>
      </c>
      <c r="D15246" s="3" t="inlineStr">
        <is>
          <t>8000/000</t>
        </is>
      </c>
      <c r="E15246" s="3" t="inlineStr">
        <is>
          <t>Customer Control Account</t>
        </is>
      </c>
      <c r="F15246" s="3" t="n">
        <v>32420.87</v>
      </c>
      <c r="G15246" s="3" t="n">
        <v>382521.82</v>
      </c>
    </row>
    <row r="15247">
      <c r="A15247" s="3" t="inlineStr">
        <is>
          <t>Opportunity Management Holdings (PTY) LTD</t>
        </is>
      </c>
      <c r="B15247" s="4" t="n">
        <v>45138</v>
      </c>
      <c r="C15247" s="3" t="inlineStr">
        <is>
          <t>Assets</t>
        </is>
      </c>
      <c r="D15247" s="3" t="inlineStr">
        <is>
          <t>8000/000</t>
        </is>
      </c>
      <c r="E15247" s="3" t="inlineStr">
        <is>
          <t>Customer Control Account</t>
        </is>
      </c>
      <c r="F15247" s="3" t="n">
        <v>-11500</v>
      </c>
      <c r="G15247" s="3" t="n">
        <v>402500</v>
      </c>
    </row>
    <row r="15248">
      <c r="A15248" s="3" t="inlineStr">
        <is>
          <t>Quinate Consulting (Pty) Ltd</t>
        </is>
      </c>
      <c r="B15248" s="4" t="n">
        <v>45138</v>
      </c>
      <c r="C15248" s="3" t="inlineStr">
        <is>
          <t>Assets</t>
        </is>
      </c>
      <c r="D15248" s="3" t="inlineStr">
        <is>
          <t>8000/000</t>
        </is>
      </c>
      <c r="E15248" s="3" t="inlineStr">
        <is>
          <t>Customer Control Account</t>
        </is>
      </c>
      <c r="F15248" s="3" t="n">
        <v>15911.35</v>
      </c>
      <c r="G15248" s="3" t="n">
        <v>8173.53</v>
      </c>
    </row>
    <row r="15249">
      <c r="A15249" s="3" t="inlineStr">
        <is>
          <t>Quinate Consulting (Pty) Ltd</t>
        </is>
      </c>
      <c r="B15249" s="4" t="n">
        <v>45138</v>
      </c>
      <c r="C15249" s="3" t="inlineStr">
        <is>
          <t>Assets</t>
        </is>
      </c>
      <c r="D15249" s="3" t="inlineStr">
        <is>
          <t>8001</t>
        </is>
      </c>
      <c r="E15249" s="3" t="inlineStr">
        <is>
          <t>Customer Control</t>
        </is>
      </c>
      <c r="F15249" s="3" t="n">
        <v>0</v>
      </c>
      <c r="G15249" s="3" t="n">
        <v>29487.49</v>
      </c>
    </row>
    <row r="15250">
      <c r="A15250" s="3" t="inlineStr">
        <is>
          <t>Quinate Consulting (Pty) Ltd</t>
        </is>
      </c>
      <c r="B15250" s="4" t="n">
        <v>45138</v>
      </c>
      <c r="C15250" s="3" t="inlineStr">
        <is>
          <t>Assets</t>
        </is>
      </c>
      <c r="D15250" s="3" t="inlineStr">
        <is>
          <t>8200/010</t>
        </is>
      </c>
      <c r="E15250" s="3" t="inlineStr">
        <is>
          <t>Prepayments / Prepaid Expenses</t>
        </is>
      </c>
      <c r="F15250" s="3" t="n">
        <v>0</v>
      </c>
      <c r="G15250" s="3" t="n">
        <v>109675</v>
      </c>
    </row>
    <row r="15251">
      <c r="A15251" s="3" t="inlineStr">
        <is>
          <t>Opportunity Management Holdings (PTY) LTD</t>
        </is>
      </c>
      <c r="B15251" s="4" t="n">
        <v>45138</v>
      </c>
      <c r="C15251" s="3" t="inlineStr">
        <is>
          <t>Assets</t>
        </is>
      </c>
      <c r="D15251" s="3" t="inlineStr">
        <is>
          <t>8200/020</t>
        </is>
      </c>
      <c r="E15251" s="3" t="inlineStr">
        <is>
          <t>Staff Loan - Nicolene Smit</t>
        </is>
      </c>
      <c r="F15251" s="3" t="n">
        <v>4000</v>
      </c>
      <c r="G15251" s="3" t="n">
        <v>4000</v>
      </c>
    </row>
    <row r="15252">
      <c r="A15252" s="3" t="inlineStr">
        <is>
          <t>Opportunity Global Sales (PTY) LTD</t>
        </is>
      </c>
      <c r="B15252" s="4" t="n">
        <v>45138</v>
      </c>
      <c r="C15252" s="3" t="inlineStr">
        <is>
          <t>Assets</t>
        </is>
      </c>
      <c r="D15252" s="3" t="inlineStr">
        <is>
          <t>8300/200</t>
        </is>
      </c>
      <c r="E15252" s="3" t="inlineStr">
        <is>
          <t>Staff Loan - Mario Stoop</t>
        </is>
      </c>
      <c r="F15252" s="3" t="n">
        <v>-500</v>
      </c>
      <c r="G15252" s="3" t="n">
        <v>3500</v>
      </c>
    </row>
    <row r="15253">
      <c r="A15253" s="3" t="inlineStr">
        <is>
          <t>Opportunity Global Investment (PTY) LTD</t>
        </is>
      </c>
      <c r="B15253" s="4" t="n">
        <v>45138</v>
      </c>
      <c r="C15253" s="3" t="inlineStr">
        <is>
          <t>Assets</t>
        </is>
      </c>
      <c r="D15253" s="3" t="inlineStr">
        <is>
          <t>8400/000</t>
        </is>
      </c>
      <c r="E15253" s="3" t="inlineStr">
        <is>
          <t>FNB 62093491696</t>
        </is>
      </c>
      <c r="F15253" s="3" t="n">
        <v>-22804.58</v>
      </c>
      <c r="G15253" s="3" t="n">
        <v>12775.7</v>
      </c>
    </row>
    <row r="15254">
      <c r="A15254" s="3" t="inlineStr">
        <is>
          <t>Opportunity Global Sales (PTY) LTD</t>
        </is>
      </c>
      <c r="B15254" s="4" t="n">
        <v>45138</v>
      </c>
      <c r="C15254" s="3" t="inlineStr">
        <is>
          <t>Assets</t>
        </is>
      </c>
      <c r="D15254" s="3" t="inlineStr">
        <is>
          <t>8400/000</t>
        </is>
      </c>
      <c r="E15254" s="3" t="inlineStr">
        <is>
          <t>FNB 62835620875</t>
        </is>
      </c>
      <c r="F15254" s="3" t="n">
        <v>78255.58</v>
      </c>
      <c r="G15254" s="3" t="n">
        <v>98648.60000000001</v>
      </c>
    </row>
    <row r="15255">
      <c r="A15255" s="3" t="inlineStr">
        <is>
          <t>Quinate Consulting (Pty) Ltd</t>
        </is>
      </c>
      <c r="B15255" s="4" t="n">
        <v>45138</v>
      </c>
      <c r="C15255" s="3" t="inlineStr">
        <is>
          <t>Assets</t>
        </is>
      </c>
      <c r="D15255" s="3" t="inlineStr">
        <is>
          <t>8400/000</t>
        </is>
      </c>
      <c r="E15255" s="3" t="inlineStr">
        <is>
          <t>RMB - 62736659189 - Call Acc</t>
        </is>
      </c>
      <c r="F15255" s="3" t="n">
        <v>0</v>
      </c>
      <c r="G15255" s="3" t="n">
        <v>157176.49</v>
      </c>
    </row>
    <row r="15256">
      <c r="A15256" s="3" t="inlineStr">
        <is>
          <t>Trademark Holdings (Pty) Ltd</t>
        </is>
      </c>
      <c r="B15256" s="4" t="n">
        <v>45138</v>
      </c>
      <c r="C15256" s="3" t="inlineStr">
        <is>
          <t>Assets</t>
        </is>
      </c>
      <c r="D15256" s="3" t="inlineStr">
        <is>
          <t>8400/000</t>
        </is>
      </c>
      <c r="E15256" s="3" t="inlineStr">
        <is>
          <t>RMB 623 693 03640</t>
        </is>
      </c>
      <c r="F15256" s="3" t="n">
        <v>-41321.82</v>
      </c>
      <c r="G15256" s="3" t="n">
        <v>39402.25</v>
      </c>
    </row>
    <row r="15257">
      <c r="A15257" s="3" t="inlineStr">
        <is>
          <t>Noble Shield (Pty) Ltd ta Go Letting</t>
        </is>
      </c>
      <c r="B15257" s="4" t="n">
        <v>45138</v>
      </c>
      <c r="C15257" s="3" t="inlineStr">
        <is>
          <t>Assets</t>
        </is>
      </c>
      <c r="D15257" s="3" t="inlineStr">
        <is>
          <t>8400/000</t>
        </is>
      </c>
      <c r="E15257" s="3" t="inlineStr">
        <is>
          <t>RMB 6250 573 3833</t>
        </is>
      </c>
      <c r="F15257" s="3" t="n">
        <v>-22843</v>
      </c>
      <c r="G15257" s="3" t="n">
        <v>50623.65</v>
      </c>
    </row>
    <row r="15258">
      <c r="A15258" s="3" t="inlineStr">
        <is>
          <t>Endulini (Pty) Ltd</t>
        </is>
      </c>
      <c r="B15258" s="4" t="n">
        <v>45138</v>
      </c>
      <c r="C15258" s="3" t="inlineStr">
        <is>
          <t>Assets</t>
        </is>
      </c>
      <c r="D15258" s="3" t="inlineStr">
        <is>
          <t>8400/000</t>
        </is>
      </c>
      <c r="E15258" s="3" t="inlineStr">
        <is>
          <t>RMB 62906944576</t>
        </is>
      </c>
      <c r="F15258" s="3" t="n">
        <v>975.88</v>
      </c>
      <c r="G15258" s="3" t="n">
        <v>22801.16</v>
      </c>
    </row>
    <row r="15259">
      <c r="A15259" s="3" t="inlineStr">
        <is>
          <t>Opportunity Management Holdings (PTY) LTD</t>
        </is>
      </c>
      <c r="B15259" s="4" t="n">
        <v>45138</v>
      </c>
      <c r="C15259" s="3" t="inlineStr">
        <is>
          <t>Assets</t>
        </is>
      </c>
      <c r="D15259" s="3" t="inlineStr">
        <is>
          <t>8400/000</t>
        </is>
      </c>
      <c r="E15259" s="3" t="inlineStr">
        <is>
          <t>RMB Cheq - 62312246920</t>
        </is>
      </c>
      <c r="F15259" s="3" t="n">
        <v>70536.77</v>
      </c>
      <c r="G15259" s="3" t="n">
        <v>104499.8</v>
      </c>
    </row>
    <row r="15260">
      <c r="A15260" s="3" t="inlineStr">
        <is>
          <t>Opportunity Global Investment (PTY) LTD</t>
        </is>
      </c>
      <c r="B15260" s="4" t="n">
        <v>45138</v>
      </c>
      <c r="C15260" s="3" t="inlineStr">
        <is>
          <t>Assets</t>
        </is>
      </c>
      <c r="D15260" s="3" t="inlineStr">
        <is>
          <t>8405/000</t>
        </is>
      </c>
      <c r="E15260" s="3" t="inlineStr">
        <is>
          <t>FNB Trust 62762449265</t>
        </is>
      </c>
      <c r="F15260" s="3" t="n">
        <v>0</v>
      </c>
      <c r="G15260" s="3" t="n">
        <v>471.75</v>
      </c>
    </row>
    <row r="15261">
      <c r="A15261" s="3" t="inlineStr">
        <is>
          <t>Endulini (Pty) Ltd</t>
        </is>
      </c>
      <c r="B15261" s="4" t="n">
        <v>45138</v>
      </c>
      <c r="C15261" s="3" t="inlineStr">
        <is>
          <t>Assets</t>
        </is>
      </c>
      <c r="D15261" s="3" t="inlineStr">
        <is>
          <t>8410/000</t>
        </is>
      </c>
      <c r="E15261" s="3" t="inlineStr">
        <is>
          <t>Momentum Investor Account : RU 502229883</t>
        </is>
      </c>
      <c r="F15261" s="3" t="n">
        <v>0</v>
      </c>
      <c r="G15261" s="3" t="n">
        <v>2722.33</v>
      </c>
    </row>
    <row r="15262">
      <c r="A15262" s="3" t="inlineStr">
        <is>
          <t>Opportunity Management Holdings (PTY) LTD</t>
        </is>
      </c>
      <c r="B15262" s="4" t="n">
        <v>45138</v>
      </c>
      <c r="C15262" s="3" t="inlineStr">
        <is>
          <t>Assets</t>
        </is>
      </c>
      <c r="D15262" s="3" t="inlineStr">
        <is>
          <t>8410/000</t>
        </is>
      </c>
      <c r="E15262" s="3" t="inlineStr">
        <is>
          <t>RMB Call Acc - 62312248851</t>
        </is>
      </c>
      <c r="F15262" s="3" t="n">
        <v>0</v>
      </c>
      <c r="G15262" s="3" t="n">
        <v>1430.86</v>
      </c>
    </row>
    <row r="15263">
      <c r="A15263" s="3" t="inlineStr">
        <is>
          <t>Noble Shield (Pty) Ltd ta Go Letting</t>
        </is>
      </c>
      <c r="B15263" s="4" t="n">
        <v>45138</v>
      </c>
      <c r="C15263" s="3" t="inlineStr">
        <is>
          <t>Assets</t>
        </is>
      </c>
      <c r="D15263" s="3" t="inlineStr">
        <is>
          <t>8410/000</t>
        </is>
      </c>
      <c r="E15263" s="3" t="inlineStr">
        <is>
          <t>RMB Trust Acc - 6250 615 1365</t>
        </is>
      </c>
      <c r="F15263" s="3" t="n">
        <v>-64.78</v>
      </c>
      <c r="G15263" s="3" t="n">
        <v>234.92</v>
      </c>
    </row>
    <row r="15264">
      <c r="A15264" s="3" t="inlineStr">
        <is>
          <t>Quinate Consulting (Pty) Ltd</t>
        </is>
      </c>
      <c r="B15264" s="4" t="n">
        <v>45138</v>
      </c>
      <c r="C15264" s="3" t="inlineStr">
        <is>
          <t>Assets</t>
        </is>
      </c>
      <c r="D15264" s="3" t="inlineStr">
        <is>
          <t>8415/000</t>
        </is>
      </c>
      <c r="E15264" s="3" t="inlineStr">
        <is>
          <t>STD Acc 071 958 959 - Facility Acc</t>
        </is>
      </c>
      <c r="F15264" s="3" t="n">
        <v>-170</v>
      </c>
      <c r="G15264" s="3" t="n">
        <v>2956.21</v>
      </c>
    </row>
    <row r="15265">
      <c r="A15265" s="3" t="inlineStr">
        <is>
          <t>Trademark Holdings (Pty) Ltd</t>
        </is>
      </c>
      <c r="B15265" s="4" t="n">
        <v>45138</v>
      </c>
      <c r="C15265" s="3" t="inlineStr">
        <is>
          <t>Assets</t>
        </is>
      </c>
      <c r="D15265" s="3" t="inlineStr">
        <is>
          <t>8420/000</t>
        </is>
      </c>
      <c r="E15265" s="3" t="inlineStr">
        <is>
          <t>FNB Credit Card</t>
        </is>
      </c>
      <c r="F15265" s="3" t="n">
        <v>52</v>
      </c>
      <c r="G15265" s="3" t="n">
        <v>312</v>
      </c>
    </row>
    <row r="15266">
      <c r="A15266" s="3" t="inlineStr">
        <is>
          <t>Quinate Consulting (Pty) Ltd</t>
        </is>
      </c>
      <c r="B15266" s="4" t="n">
        <v>45138</v>
      </c>
      <c r="C15266" s="3" t="inlineStr">
        <is>
          <t>Assets</t>
        </is>
      </c>
      <c r="D15266" s="3" t="inlineStr">
        <is>
          <t>8430/000</t>
        </is>
      </c>
      <c r="E15266" s="3" t="inlineStr">
        <is>
          <t>Momentum Investment Acc - RU502230185</t>
        </is>
      </c>
      <c r="F15266" s="3" t="n">
        <v>0</v>
      </c>
      <c r="G15266" s="3" t="n">
        <v>545.29</v>
      </c>
    </row>
    <row r="15267">
      <c r="A15267" s="3" t="inlineStr">
        <is>
          <t>Opportunity Global Investment (PTY) LTD</t>
        </is>
      </c>
      <c r="B15267" s="4" t="n">
        <v>45138</v>
      </c>
      <c r="C15267" s="3" t="inlineStr">
        <is>
          <t>Assets</t>
        </is>
      </c>
      <c r="D15267" s="3" t="inlineStr">
        <is>
          <t>8440/000</t>
        </is>
      </c>
      <c r="E15267" s="3" t="inlineStr">
        <is>
          <t>FNB - Call 627602764438</t>
        </is>
      </c>
      <c r="F15267" s="3" t="n">
        <v>0</v>
      </c>
      <c r="G15267" s="3" t="n">
        <v>905.13</v>
      </c>
    </row>
    <row r="15268">
      <c r="A15268" s="3" t="inlineStr">
        <is>
          <t>Opportunity Global Investment (PTY) LTD</t>
        </is>
      </c>
      <c r="B15268" s="4" t="n">
        <v>45138</v>
      </c>
      <c r="C15268" s="3" t="inlineStr">
        <is>
          <t>Assets</t>
        </is>
      </c>
      <c r="D15268" s="3" t="inlineStr">
        <is>
          <t>8445/000</t>
        </is>
      </c>
      <c r="E15268" s="3" t="inlineStr">
        <is>
          <t>Momentum RU502230096</t>
        </is>
      </c>
      <c r="F15268" s="3" t="n">
        <v>34.95</v>
      </c>
      <c r="G15268" s="3" t="n">
        <v>4867.88</v>
      </c>
    </row>
    <row r="15269">
      <c r="A15269" s="3" t="inlineStr">
        <is>
          <t>Quinate Consulting (Pty) Ltd</t>
        </is>
      </c>
      <c r="B15269" s="4" t="n">
        <v>45138</v>
      </c>
      <c r="C15269" s="3" t="inlineStr">
        <is>
          <t>Assets</t>
        </is>
      </c>
      <c r="D15269" s="3" t="inlineStr">
        <is>
          <t>8450/000</t>
        </is>
      </c>
      <c r="E15269" s="3" t="inlineStr">
        <is>
          <t>A RMB 62275810820</t>
        </is>
      </c>
      <c r="F15269" s="3" t="n">
        <v>-173402.39</v>
      </c>
      <c r="G15269" s="3" t="n">
        <v>67759.85000000001</v>
      </c>
    </row>
    <row r="15270">
      <c r="A15270" s="3" t="inlineStr">
        <is>
          <t>Opportunity Management Holdings (PTY) LTD</t>
        </is>
      </c>
      <c r="B15270" s="4" t="n">
        <v>45138</v>
      </c>
      <c r="C15270" s="3" t="inlineStr">
        <is>
          <t>Assets</t>
        </is>
      </c>
      <c r="D15270" s="3" t="inlineStr">
        <is>
          <t>8450/000</t>
        </is>
      </c>
      <c r="E15270" s="3" t="inlineStr">
        <is>
          <t>Petty Cash - CT Office</t>
        </is>
      </c>
      <c r="F15270" s="3" t="n">
        <v>999</v>
      </c>
      <c r="G15270" s="3" t="n">
        <v>1016.2</v>
      </c>
    </row>
    <row r="15271">
      <c r="A15271" s="3" t="inlineStr">
        <is>
          <t>Quinate Consulting (Pty) Ltd</t>
        </is>
      </c>
      <c r="B15271" s="4" t="n">
        <v>45138</v>
      </c>
      <c r="C15271" s="3" t="inlineStr">
        <is>
          <t>Liabilities</t>
        </is>
      </c>
      <c r="D15271" s="3" t="inlineStr">
        <is>
          <t>8480/100</t>
        </is>
      </c>
      <c r="E15271" s="3" t="inlineStr">
        <is>
          <t>Bond - SH20 - STD Bank 532010558</t>
        </is>
      </c>
      <c r="F15271" s="3" t="n">
        <v>15115.45</v>
      </c>
      <c r="G15271" s="3" t="n">
        <v>-1327299.32</v>
      </c>
    </row>
    <row r="15272">
      <c r="A15272" s="3" t="inlineStr">
        <is>
          <t>Quinate Consulting (Pty) Ltd</t>
        </is>
      </c>
      <c r="B15272" s="4" t="n">
        <v>45138</v>
      </c>
      <c r="C15272" s="3" t="inlineStr">
        <is>
          <t>Liabilities</t>
        </is>
      </c>
      <c r="D15272" s="3" t="inlineStr">
        <is>
          <t>8480/200</t>
        </is>
      </c>
      <c r="E15272" s="3" t="inlineStr">
        <is>
          <t>Bond - SH23 - STD Bank 532010035</t>
        </is>
      </c>
      <c r="F15272" s="3" t="n">
        <v>15110.36</v>
      </c>
      <c r="G15272" s="3" t="n">
        <v>-1327164.09</v>
      </c>
    </row>
    <row r="15273">
      <c r="A15273" s="3" t="inlineStr">
        <is>
          <t>Quinate Consulting (Pty) Ltd</t>
        </is>
      </c>
      <c r="B15273" s="4" t="n">
        <v>45138</v>
      </c>
      <c r="C15273" s="3" t="inlineStr">
        <is>
          <t>Liabilities</t>
        </is>
      </c>
      <c r="D15273" s="3" t="inlineStr">
        <is>
          <t>8480/300</t>
        </is>
      </c>
      <c r="E15273" s="3" t="inlineStr">
        <is>
          <t>Bond - SH24 - STD Bank 532372662</t>
        </is>
      </c>
      <c r="F15273" s="3" t="n">
        <v>14050.66</v>
      </c>
      <c r="G15273" s="3" t="n">
        <v>-1433140.71</v>
      </c>
    </row>
    <row r="15274">
      <c r="A15274" s="3" t="inlineStr">
        <is>
          <t>Quinate Consulting (Pty) Ltd</t>
        </is>
      </c>
      <c r="B15274" s="4" t="n">
        <v>45138</v>
      </c>
      <c r="C15274" s="3" t="inlineStr">
        <is>
          <t>Liabilities</t>
        </is>
      </c>
      <c r="D15274" s="3" t="inlineStr">
        <is>
          <t>8480/400</t>
        </is>
      </c>
      <c r="E15274" s="3" t="inlineStr">
        <is>
          <t>Bond - SW01 - STD Bank 532920627</t>
        </is>
      </c>
      <c r="F15274" s="3" t="n">
        <v>-47895.68</v>
      </c>
      <c r="G15274" s="3" t="n">
        <v>-1291119.74</v>
      </c>
    </row>
    <row r="15275">
      <c r="A15275" s="3" t="inlineStr">
        <is>
          <t>Quinate Consulting (Pty) Ltd</t>
        </is>
      </c>
      <c r="B15275" s="4" t="n">
        <v>45138</v>
      </c>
      <c r="C15275" s="3" t="inlineStr">
        <is>
          <t>Liabilities</t>
        </is>
      </c>
      <c r="D15275" s="3" t="inlineStr">
        <is>
          <t>8480/401</t>
        </is>
      </c>
      <c r="E15275" s="3" t="inlineStr">
        <is>
          <t>Bond - SW21 - STD Bank 532920597</t>
        </is>
      </c>
      <c r="F15275" s="3" t="n">
        <v>-47914.67</v>
      </c>
      <c r="G15275" s="3" t="n">
        <v>-1291632.03</v>
      </c>
    </row>
    <row r="15276">
      <c r="A15276" s="3" t="inlineStr">
        <is>
          <t>Opportunity Global Investment (PTY) LTD</t>
        </is>
      </c>
      <c r="B15276" s="4" t="n">
        <v>45138</v>
      </c>
      <c r="C15276" s="3" t="inlineStr">
        <is>
          <t>Liabilities</t>
        </is>
      </c>
      <c r="D15276" s="3" t="inlineStr">
        <is>
          <t>860</t>
        </is>
      </c>
      <c r="E15276" s="3" t="inlineStr">
        <is>
          <t>Rounding</t>
        </is>
      </c>
      <c r="F15276" s="3" t="n">
        <v>0</v>
      </c>
      <c r="G15276" s="3" t="n">
        <v>0.01</v>
      </c>
    </row>
    <row r="15277">
      <c r="A15277" s="3" t="inlineStr">
        <is>
          <t>Opportunity Global Sales (PTY) LTD</t>
        </is>
      </c>
      <c r="B15277" s="4" t="n">
        <v>45138</v>
      </c>
      <c r="C15277" s="3" t="inlineStr">
        <is>
          <t>Liabilities</t>
        </is>
      </c>
      <c r="D15277" s="3" t="inlineStr">
        <is>
          <t>860</t>
        </is>
      </c>
      <c r="E15277" s="3" t="inlineStr">
        <is>
          <t>Rounding</t>
        </is>
      </c>
      <c r="F15277" s="3" t="n">
        <v>0</v>
      </c>
      <c r="G15277" s="3" t="n">
        <v>-1</v>
      </c>
    </row>
    <row r="15278">
      <c r="A15278" s="3" t="inlineStr">
        <is>
          <t>Quinate Consulting (Pty) Ltd</t>
        </is>
      </c>
      <c r="B15278" s="4" t="n">
        <v>45138</v>
      </c>
      <c r="C15278" s="3" t="inlineStr">
        <is>
          <t>Liabilities</t>
        </is>
      </c>
      <c r="D15278" s="3" t="inlineStr">
        <is>
          <t>860</t>
        </is>
      </c>
      <c r="E15278" s="3" t="inlineStr">
        <is>
          <t>Rounding</t>
        </is>
      </c>
      <c r="F15278" s="3" t="n">
        <v>-0.51</v>
      </c>
      <c r="G15278" s="3" t="n">
        <v>-4.56</v>
      </c>
    </row>
    <row r="15279">
      <c r="A15279" s="3" t="inlineStr">
        <is>
          <t>Trademark Holdings (Pty) Ltd</t>
        </is>
      </c>
      <c r="B15279" s="4" t="n">
        <v>45138</v>
      </c>
      <c r="C15279" s="3" t="inlineStr">
        <is>
          <t>Liabilities</t>
        </is>
      </c>
      <c r="D15279" s="3" t="inlineStr">
        <is>
          <t>860</t>
        </is>
      </c>
      <c r="E15279" s="3" t="inlineStr">
        <is>
          <t>Rounding</t>
        </is>
      </c>
      <c r="F15279" s="3" t="n">
        <v>0</v>
      </c>
      <c r="G15279" s="3" t="n">
        <v>0.2</v>
      </c>
    </row>
    <row r="15280">
      <c r="A15280" s="3" t="inlineStr">
        <is>
          <t>Endulini (Pty) Ltd</t>
        </is>
      </c>
      <c r="B15280" s="4" t="n">
        <v>45138</v>
      </c>
      <c r="C15280" s="3" t="inlineStr">
        <is>
          <t>Liabilities</t>
        </is>
      </c>
      <c r="D15280" s="3" t="inlineStr">
        <is>
          <t>9000/000</t>
        </is>
      </c>
      <c r="E15280" s="3" t="inlineStr">
        <is>
          <t>Supplier Control Account</t>
        </is>
      </c>
      <c r="F15280" s="3" t="n">
        <v>-6811.71</v>
      </c>
      <c r="G15280" s="3" t="n">
        <v>-8824246.109999999</v>
      </c>
    </row>
    <row r="15281">
      <c r="A15281" s="3" t="inlineStr">
        <is>
          <t>Noble Shield (Pty) Ltd ta Go Letting</t>
        </is>
      </c>
      <c r="B15281" s="4" t="n">
        <v>45138</v>
      </c>
      <c r="C15281" s="3" t="inlineStr">
        <is>
          <t>Liabilities</t>
        </is>
      </c>
      <c r="D15281" s="3" t="inlineStr">
        <is>
          <t>9000/000</t>
        </is>
      </c>
      <c r="E15281" s="3" t="inlineStr">
        <is>
          <t>Supplier Control Account</t>
        </is>
      </c>
      <c r="F15281" s="3" t="n">
        <v>2224.61</v>
      </c>
      <c r="G15281" s="3" t="n">
        <v>-23404.73</v>
      </c>
    </row>
    <row r="15282">
      <c r="A15282" s="3" t="inlineStr">
        <is>
          <t>Opportunity Global Investment (PTY) LTD</t>
        </is>
      </c>
      <c r="B15282" s="4" t="n">
        <v>45138</v>
      </c>
      <c r="C15282" s="3" t="inlineStr">
        <is>
          <t>Liabilities</t>
        </is>
      </c>
      <c r="D15282" s="3" t="inlineStr">
        <is>
          <t>9000/000</t>
        </is>
      </c>
      <c r="E15282" s="3" t="inlineStr">
        <is>
          <t>Supplier Control Account</t>
        </is>
      </c>
      <c r="F15282" s="3" t="n">
        <v>-26381</v>
      </c>
      <c r="G15282" s="3" t="n">
        <v>-67409.21000000001</v>
      </c>
    </row>
    <row r="15283">
      <c r="A15283" s="3" t="inlineStr">
        <is>
          <t>Opportunity Global Sales (PTY) LTD</t>
        </is>
      </c>
      <c r="B15283" s="4" t="n">
        <v>45138</v>
      </c>
      <c r="C15283" s="3" t="inlineStr">
        <is>
          <t>Liabilities</t>
        </is>
      </c>
      <c r="D15283" s="3" t="inlineStr">
        <is>
          <t>9000/000</t>
        </is>
      </c>
      <c r="E15283" s="3" t="inlineStr">
        <is>
          <t>Supplier Control Account</t>
        </is>
      </c>
      <c r="F15283" s="3" t="n">
        <v>18377.57</v>
      </c>
      <c r="G15283" s="3" t="n">
        <v>-4916.31</v>
      </c>
    </row>
    <row r="15284">
      <c r="A15284" s="3" t="inlineStr">
        <is>
          <t>Opportunity Management Holdings (PTY) LTD</t>
        </is>
      </c>
      <c r="B15284" s="4" t="n">
        <v>45138</v>
      </c>
      <c r="C15284" s="3" t="inlineStr">
        <is>
          <t>Liabilities</t>
        </is>
      </c>
      <c r="D15284" s="3" t="inlineStr">
        <is>
          <t>9000/000</t>
        </is>
      </c>
      <c r="E15284" s="3" t="inlineStr">
        <is>
          <t>Supplier Control Account</t>
        </is>
      </c>
      <c r="F15284" s="3" t="n">
        <v>-1808.45</v>
      </c>
      <c r="G15284" s="3" t="n">
        <v>-275983.07</v>
      </c>
    </row>
    <row r="15285">
      <c r="A15285" s="3" t="inlineStr">
        <is>
          <t>Quinate Consulting (Pty) Ltd</t>
        </is>
      </c>
      <c r="B15285" s="4" t="n">
        <v>45138</v>
      </c>
      <c r="C15285" s="3" t="inlineStr">
        <is>
          <t>Liabilities</t>
        </is>
      </c>
      <c r="D15285" s="3" t="inlineStr">
        <is>
          <t>9000/000</t>
        </is>
      </c>
      <c r="E15285" s="3" t="inlineStr">
        <is>
          <t>Supplier Control Account</t>
        </is>
      </c>
      <c r="F15285" s="3" t="n">
        <v>1513.74</v>
      </c>
      <c r="G15285" s="3" t="n">
        <v>466633.37</v>
      </c>
    </row>
    <row r="15286">
      <c r="A15286" s="3" t="inlineStr">
        <is>
          <t>Trademark Holdings (Pty) Ltd</t>
        </is>
      </c>
      <c r="B15286" s="4" t="n">
        <v>45138</v>
      </c>
      <c r="C15286" s="3" t="inlineStr">
        <is>
          <t>Liabilities</t>
        </is>
      </c>
      <c r="D15286" s="3" t="inlineStr">
        <is>
          <t>9000/000</t>
        </is>
      </c>
      <c r="E15286" s="3" t="inlineStr">
        <is>
          <t>Supplier Control Account</t>
        </is>
      </c>
      <c r="F15286" s="3" t="n">
        <v>0</v>
      </c>
      <c r="G15286" s="3" t="n">
        <v>-8099.75</v>
      </c>
    </row>
    <row r="15287">
      <c r="A15287" s="3" t="inlineStr">
        <is>
          <t>Quinate Consulting (Pty) Ltd</t>
        </is>
      </c>
      <c r="B15287" s="4" t="n">
        <v>45138</v>
      </c>
      <c r="C15287" s="3" t="inlineStr">
        <is>
          <t>Liabilities</t>
        </is>
      </c>
      <c r="D15287" s="3" t="inlineStr">
        <is>
          <t>9001</t>
        </is>
      </c>
      <c r="E15287" s="3" t="inlineStr">
        <is>
          <t>Supplier Control</t>
        </is>
      </c>
      <c r="F15287" s="3" t="n">
        <v>0</v>
      </c>
      <c r="G15287" s="3" t="n">
        <v>-347315.41</v>
      </c>
    </row>
    <row r="15288">
      <c r="A15288" s="3" t="inlineStr">
        <is>
          <t>Opportunity Management Holdings (PTY) LTD</t>
        </is>
      </c>
      <c r="B15288" s="4" t="n">
        <v>45138</v>
      </c>
      <c r="C15288" s="3" t="inlineStr">
        <is>
          <t>Liabilities</t>
        </is>
      </c>
      <c r="D15288" s="3" t="inlineStr">
        <is>
          <t>9100/000</t>
        </is>
      </c>
      <c r="E15288" s="3" t="inlineStr">
        <is>
          <t>PAYE/UIF/SDL Accrual - Prior Years ADJ</t>
        </is>
      </c>
      <c r="F15288" s="3" t="n">
        <v>0</v>
      </c>
      <c r="G15288" s="3" t="n">
        <v>-33739.36</v>
      </c>
    </row>
    <row r="15289">
      <c r="A15289" s="3" t="inlineStr">
        <is>
          <t>Opportunity Management Holdings (PTY) LTD</t>
        </is>
      </c>
      <c r="B15289" s="4" t="n">
        <v>45138</v>
      </c>
      <c r="C15289" s="3" t="inlineStr">
        <is>
          <t>Assets</t>
        </is>
      </c>
      <c r="D15289" s="3" t="inlineStr">
        <is>
          <t>9110/000</t>
        </is>
      </c>
      <c r="E15289" s="3" t="inlineStr">
        <is>
          <t>Deposit Received</t>
        </is>
      </c>
      <c r="F15289" s="3" t="n">
        <v>0</v>
      </c>
      <c r="G15289" s="3" t="n">
        <v>-3852.5</v>
      </c>
    </row>
    <row r="15290">
      <c r="A15290" s="3" t="inlineStr">
        <is>
          <t>Opportunity Global Investment (PTY) LTD</t>
        </is>
      </c>
      <c r="B15290" s="4" t="n">
        <v>45138</v>
      </c>
      <c r="C15290" s="3" t="inlineStr">
        <is>
          <t>Liabilities</t>
        </is>
      </c>
      <c r="D15290" s="3" t="inlineStr">
        <is>
          <t>9110/000</t>
        </is>
      </c>
      <c r="E15290" s="3" t="inlineStr">
        <is>
          <t>Taxation B/S</t>
        </is>
      </c>
      <c r="F15290" s="3" t="n">
        <v>9720.969999999999</v>
      </c>
      <c r="G15290" s="3" t="n">
        <v>67163.81</v>
      </c>
    </row>
    <row r="15291">
      <c r="A15291" s="3" t="inlineStr">
        <is>
          <t>Noble Shield (Pty) Ltd ta Go Letting</t>
        </is>
      </c>
      <c r="B15291" s="4" t="n">
        <v>45138</v>
      </c>
      <c r="C15291" s="3" t="inlineStr">
        <is>
          <t>Liabilities</t>
        </is>
      </c>
      <c r="D15291" s="3" t="inlineStr">
        <is>
          <t>9250/010</t>
        </is>
      </c>
      <c r="E15291" s="3" t="inlineStr">
        <is>
          <t>SALARY CONTROL</t>
        </is>
      </c>
      <c r="F15291" s="3" t="n">
        <v>608.5</v>
      </c>
      <c r="G15291" s="3" t="n">
        <v>-16964.85</v>
      </c>
    </row>
    <row r="15292">
      <c r="A15292" s="3" t="inlineStr">
        <is>
          <t>Opportunity Global Investment (PTY) LTD</t>
        </is>
      </c>
      <c r="B15292" s="4" t="n">
        <v>45138</v>
      </c>
      <c r="C15292" s="3" t="inlineStr">
        <is>
          <t>Liabilities</t>
        </is>
      </c>
      <c r="D15292" s="3" t="inlineStr">
        <is>
          <t>9250/010</t>
        </is>
      </c>
      <c r="E15292" s="3" t="inlineStr">
        <is>
          <t>SALARY CONTROL</t>
        </is>
      </c>
      <c r="F15292" s="3" t="n">
        <v>0</v>
      </c>
      <c r="G15292" s="3" t="n">
        <v>5000</v>
      </c>
    </row>
    <row r="15293">
      <c r="A15293" s="3" t="inlineStr">
        <is>
          <t>Opportunity Global Sales (PTY) LTD</t>
        </is>
      </c>
      <c r="B15293" s="4" t="n">
        <v>45138</v>
      </c>
      <c r="C15293" s="3" t="inlineStr">
        <is>
          <t>Liabilities</t>
        </is>
      </c>
      <c r="D15293" s="3" t="inlineStr">
        <is>
          <t>9250/010</t>
        </is>
      </c>
      <c r="E15293" s="3" t="inlineStr">
        <is>
          <t>SALARY CONTROL</t>
        </is>
      </c>
      <c r="F15293" s="3" t="n">
        <v>9232.889999999999</v>
      </c>
      <c r="G15293" s="3" t="n">
        <v>8232.879999999999</v>
      </c>
    </row>
    <row r="15294">
      <c r="A15294" s="3" t="inlineStr">
        <is>
          <t>Trademark Holdings (Pty) Ltd</t>
        </is>
      </c>
      <c r="B15294" s="4" t="n">
        <v>45138</v>
      </c>
      <c r="C15294" s="3" t="inlineStr">
        <is>
          <t>Liabilities</t>
        </is>
      </c>
      <c r="D15294" s="3" t="inlineStr">
        <is>
          <t>9250/010</t>
        </is>
      </c>
      <c r="E15294" s="3" t="inlineStr">
        <is>
          <t>SALARY CONTROL</t>
        </is>
      </c>
      <c r="F15294" s="3" t="n">
        <v>344.71</v>
      </c>
      <c r="G15294" s="3" t="n">
        <v>-18366.65</v>
      </c>
    </row>
    <row r="15295">
      <c r="A15295" s="3" t="inlineStr">
        <is>
          <t>Noble Shield (Pty) Ltd ta Go Letting</t>
        </is>
      </c>
      <c r="B15295" s="4" t="n">
        <v>45138</v>
      </c>
      <c r="C15295" s="3" t="inlineStr">
        <is>
          <t>Liabilities</t>
        </is>
      </c>
      <c r="D15295" s="3" t="inlineStr">
        <is>
          <t>9250/020</t>
        </is>
      </c>
      <c r="E15295" s="3" t="inlineStr">
        <is>
          <t>PAYE, UIF AND SDL CONTROL</t>
        </is>
      </c>
      <c r="F15295" s="3" t="n">
        <v>222</v>
      </c>
      <c r="G15295" s="3" t="n">
        <v>-5491.84</v>
      </c>
    </row>
    <row r="15296">
      <c r="A15296" s="3" t="inlineStr">
        <is>
          <t>Opportunity Global Investment (PTY) LTD</t>
        </is>
      </c>
      <c r="B15296" s="4" t="n">
        <v>45138</v>
      </c>
      <c r="C15296" s="3" t="inlineStr">
        <is>
          <t>Liabilities</t>
        </is>
      </c>
      <c r="D15296" s="3" t="inlineStr">
        <is>
          <t>9250/020</t>
        </is>
      </c>
      <c r="E15296" s="3" t="inlineStr">
        <is>
          <t>PAYE, UIF AND SDL CONTROL</t>
        </is>
      </c>
      <c r="F15296" s="3" t="n">
        <v>-7367.91</v>
      </c>
      <c r="G15296" s="3" t="n">
        <v>-55386.1</v>
      </c>
    </row>
    <row r="15297">
      <c r="A15297" s="3" t="inlineStr">
        <is>
          <t>Opportunity Management Holdings (PTY) LTD</t>
        </is>
      </c>
      <c r="B15297" s="4" t="n">
        <v>45138</v>
      </c>
      <c r="C15297" s="3" t="inlineStr">
        <is>
          <t>Liabilities</t>
        </is>
      </c>
      <c r="D15297" s="3" t="inlineStr">
        <is>
          <t>9250/020</t>
        </is>
      </c>
      <c r="E15297" s="3" t="inlineStr">
        <is>
          <t>PAYE, UIF AND SDL CONTROL</t>
        </is>
      </c>
      <c r="F15297" s="3" t="n">
        <v>0</v>
      </c>
      <c r="G15297" s="3" t="n">
        <v>-45645.9</v>
      </c>
    </row>
    <row r="15298">
      <c r="A15298" s="3" t="inlineStr">
        <is>
          <t>Trademark Holdings (Pty) Ltd</t>
        </is>
      </c>
      <c r="B15298" s="4" t="n">
        <v>45138</v>
      </c>
      <c r="C15298" s="3" t="inlineStr">
        <is>
          <t>Liabilities</t>
        </is>
      </c>
      <c r="D15298" s="3" t="inlineStr">
        <is>
          <t>9250/020</t>
        </is>
      </c>
      <c r="E15298" s="3" t="inlineStr">
        <is>
          <t>PAYE, UIF AND SDL CONTROL</t>
        </is>
      </c>
      <c r="F15298" s="3" t="n">
        <v>125.79</v>
      </c>
      <c r="G15298" s="3" t="n">
        <v>-5189.7</v>
      </c>
    </row>
    <row r="15299">
      <c r="A15299" s="3" t="inlineStr">
        <is>
          <t>Opportunity Global Investment (PTY) LTD</t>
        </is>
      </c>
      <c r="B15299" s="4" t="n">
        <v>45138</v>
      </c>
      <c r="C15299" s="3" t="inlineStr">
        <is>
          <t>Liabilities</t>
        </is>
      </c>
      <c r="D15299" s="3" t="inlineStr">
        <is>
          <t>9400/030</t>
        </is>
      </c>
      <c r="E15299" s="3" t="inlineStr">
        <is>
          <t>Accrued Expenses - PAYE_AND_UIF</t>
        </is>
      </c>
      <c r="F15299" s="3" t="n">
        <v>0</v>
      </c>
      <c r="G15299" s="3" t="n">
        <v>-2</v>
      </c>
    </row>
    <row r="15300">
      <c r="A15300" s="3" t="inlineStr">
        <is>
          <t>Trademark Holdings (Pty) Ltd</t>
        </is>
      </c>
      <c r="B15300" s="4" t="n">
        <v>45138</v>
      </c>
      <c r="C15300" s="3" t="inlineStr">
        <is>
          <t>Liabilities</t>
        </is>
      </c>
      <c r="D15300" s="3" t="inlineStr">
        <is>
          <t>9400/400</t>
        </is>
      </c>
      <c r="E15300" s="3" t="inlineStr">
        <is>
          <t>Deemed Dividend Tax</t>
        </is>
      </c>
      <c r="F15300" s="3" t="n">
        <v>0</v>
      </c>
      <c r="G15300" s="3" t="n">
        <v>-699.13</v>
      </c>
    </row>
    <row r="15301">
      <c r="A15301" s="3" t="inlineStr">
        <is>
          <t>Opportunity Global Investment (PTY) LTD</t>
        </is>
      </c>
      <c r="B15301" s="4" t="n">
        <v>45138</v>
      </c>
      <c r="C15301" s="3" t="inlineStr">
        <is>
          <t>Liabilities</t>
        </is>
      </c>
      <c r="D15301" s="3" t="inlineStr">
        <is>
          <t>9500/000</t>
        </is>
      </c>
      <c r="E15301" s="3" t="inlineStr">
        <is>
          <t>VAT Control Account</t>
        </is>
      </c>
      <c r="F15301" s="3" t="n">
        <v>83272.92</v>
      </c>
      <c r="G15301" s="3" t="n">
        <v>902669.3</v>
      </c>
    </row>
    <row r="15302">
      <c r="A15302" s="3" t="inlineStr">
        <is>
          <t>Opportunity Global Sales (PTY) LTD</t>
        </is>
      </c>
      <c r="B15302" s="4" t="n">
        <v>45138</v>
      </c>
      <c r="C15302" s="3" t="inlineStr">
        <is>
          <t>Liabilities</t>
        </is>
      </c>
      <c r="D15302" s="3" t="inlineStr">
        <is>
          <t>9500/000</t>
        </is>
      </c>
      <c r="E15302" s="3" t="inlineStr">
        <is>
          <t>VAT Control Account</t>
        </is>
      </c>
      <c r="F15302" s="3" t="n">
        <v>-17529.06</v>
      </c>
      <c r="G15302" s="3" t="n">
        <v>-894909.96</v>
      </c>
    </row>
    <row r="15303">
      <c r="A15303" s="3" t="inlineStr">
        <is>
          <t>Opportunity Management Holdings (PTY) LTD</t>
        </is>
      </c>
      <c r="B15303" s="4" t="n">
        <v>45138</v>
      </c>
      <c r="C15303" s="3" t="inlineStr">
        <is>
          <t>Liabilities</t>
        </is>
      </c>
      <c r="D15303" s="3" t="inlineStr">
        <is>
          <t>9500/000</t>
        </is>
      </c>
      <c r="E15303" s="3" t="inlineStr">
        <is>
          <t>VAT Control Account</t>
        </is>
      </c>
      <c r="F15303" s="3" t="n">
        <v>-45790.37</v>
      </c>
      <c r="G15303" s="3" t="n">
        <v>22781.56</v>
      </c>
    </row>
    <row r="15304">
      <c r="A15304" s="3" t="inlineStr">
        <is>
          <t>Endulini (Pty) Ltd</t>
        </is>
      </c>
      <c r="B15304" s="4" t="n">
        <v>45138</v>
      </c>
      <c r="C15304" s="3" t="inlineStr">
        <is>
          <t>Liabilities</t>
        </is>
      </c>
      <c r="D15304" s="3" t="inlineStr">
        <is>
          <t>9500/000</t>
        </is>
      </c>
      <c r="E15304" s="3" t="inlineStr">
        <is>
          <t>Vat / Tax Control Account</t>
        </is>
      </c>
      <c r="F15304" s="3" t="n">
        <v>7498.76</v>
      </c>
      <c r="G15304" s="3" t="n">
        <v>-2401066.16</v>
      </c>
    </row>
    <row r="15305">
      <c r="A15305" s="3" t="inlineStr">
        <is>
          <t>Quinate Consulting (Pty) Ltd</t>
        </is>
      </c>
      <c r="B15305" s="4" t="n">
        <v>45138</v>
      </c>
      <c r="C15305" s="3" t="inlineStr">
        <is>
          <t>Liabilities</t>
        </is>
      </c>
      <c r="D15305" s="3" t="inlineStr">
        <is>
          <t>9500/000</t>
        </is>
      </c>
      <c r="E15305" s="3" t="inlineStr">
        <is>
          <t>Vat Control Account</t>
        </is>
      </c>
      <c r="F15305" s="3" t="n">
        <v>349190.05</v>
      </c>
      <c r="G15305" s="3" t="n">
        <v>2128778.6</v>
      </c>
    </row>
    <row r="15306">
      <c r="A15306" s="3" t="inlineStr">
        <is>
          <t>Opportunity Management Holdings (PTY) LTD</t>
        </is>
      </c>
      <c r="B15306" s="4" t="n">
        <v>45138</v>
      </c>
      <c r="C15306" s="3" t="inlineStr">
        <is>
          <t>Liabilities</t>
        </is>
      </c>
      <c r="D15306" s="3" t="inlineStr">
        <is>
          <t>9501/000</t>
        </is>
      </c>
      <c r="E15306" s="3" t="inlineStr">
        <is>
          <t>Vat Adjustments - C2M</t>
        </is>
      </c>
      <c r="F15306" s="3" t="n">
        <v>0</v>
      </c>
      <c r="G15306" s="3" t="n">
        <v>47274.04</v>
      </c>
    </row>
    <row r="15307">
      <c r="A15307" s="3" t="inlineStr">
        <is>
          <t>Quinate Consulting (Pty) Ltd</t>
        </is>
      </c>
      <c r="B15307" s="4" t="n">
        <v>45138</v>
      </c>
      <c r="C15307" s="3" t="inlineStr">
        <is>
          <t>Liabilities</t>
        </is>
      </c>
      <c r="D15307" s="3" t="inlineStr">
        <is>
          <t>9960/000</t>
        </is>
      </c>
      <c r="E15307" s="3" t="inlineStr">
        <is>
          <t>Deposits - Southwark Rentals</t>
        </is>
      </c>
      <c r="F15307" s="3" t="n">
        <v>-11500</v>
      </c>
      <c r="G15307" s="3" t="n">
        <v>-23000</v>
      </c>
    </row>
    <row r="15308">
      <c r="A15308" s="3" t="inlineStr">
        <is>
          <t>Noble Shield (Pty) Ltd ta Go Letting</t>
        </is>
      </c>
      <c r="B15308" s="4" t="n">
        <v>45138</v>
      </c>
      <c r="C15308" s="3" t="inlineStr">
        <is>
          <t>Expenses</t>
        </is>
      </c>
      <c r="D15308" s="3" t="inlineStr">
        <is>
          <t>ACB Link</t>
        </is>
      </c>
      <c r="E15308" s="3" t="inlineStr">
        <is>
          <t>Subscriptions - TPN</t>
        </is>
      </c>
      <c r="F15308" s="3" t="n">
        <v>2726.08</v>
      </c>
      <c r="G15308" s="3" t="n">
        <v>24749.69</v>
      </c>
    </row>
    <row r="15309">
      <c r="A15309" s="3" t="inlineStr">
        <is>
          <t>Noble Shield (Pty) Ltd ta Go Letting</t>
        </is>
      </c>
      <c r="B15309" s="4" t="n">
        <v>45138</v>
      </c>
      <c r="C15309" s="3" t="inlineStr">
        <is>
          <t>Liabilities</t>
        </is>
      </c>
      <c r="D15309" s="3" t="inlineStr">
        <is>
          <t>B/S</t>
        </is>
      </c>
      <c r="E15309" s="3" t="inlineStr">
        <is>
          <t>Tax Payable</t>
        </is>
      </c>
      <c r="F15309" s="3" t="n">
        <v>0</v>
      </c>
      <c r="G15309" s="3" t="n">
        <v>-5166.4</v>
      </c>
    </row>
    <row r="15310">
      <c r="A15310" s="3" t="inlineStr">
        <is>
          <t>Quinate Consulting (Pty) Ltd</t>
        </is>
      </c>
      <c r="B15310" s="4" t="n">
        <v>45138</v>
      </c>
      <c r="C15310" s="3" t="inlineStr">
        <is>
          <t>Liabilities</t>
        </is>
      </c>
      <c r="D15310" s="3" t="inlineStr">
        <is>
          <t xml:space="preserve">B/S </t>
        </is>
      </c>
      <c r="E15310" s="3" t="inlineStr">
        <is>
          <t>Taxation Payable</t>
        </is>
      </c>
      <c r="F15310" s="3" t="n">
        <v>0</v>
      </c>
      <c r="G15310" s="3" t="n">
        <v>-15486</v>
      </c>
    </row>
    <row r="15311">
      <c r="A15311" s="3" t="inlineStr">
        <is>
          <t>Quinate Consulting (Pty) Ltd</t>
        </is>
      </c>
      <c r="B15311" s="4" t="n">
        <v>45138</v>
      </c>
      <c r="C15311" s="3" t="inlineStr">
        <is>
          <t>Liabilities</t>
        </is>
      </c>
      <c r="D15311" s="3" t="inlineStr">
        <is>
          <t>FV</t>
        </is>
      </c>
      <c r="E15311" s="3" t="inlineStr">
        <is>
          <t>Loan - Cape Projects Constuction</t>
        </is>
      </c>
      <c r="F15311" s="3" t="n">
        <v>0</v>
      </c>
      <c r="G15311" s="3" t="n">
        <v>-7596187.4</v>
      </c>
    </row>
    <row r="15312">
      <c r="A15312" s="3" t="inlineStr">
        <is>
          <t>Quinate Consulting (Pty) Ltd</t>
        </is>
      </c>
      <c r="B15312" s="4" t="n">
        <v>45138</v>
      </c>
      <c r="C15312" s="3" t="inlineStr">
        <is>
          <t>Liabilities</t>
        </is>
      </c>
      <c r="D15312" s="3" t="inlineStr">
        <is>
          <t>Sharehold OppDev</t>
        </is>
      </c>
      <c r="E15312" s="3" t="inlineStr">
        <is>
          <t>Loan - Justine Morgan</t>
        </is>
      </c>
      <c r="F15312" s="3" t="n">
        <v>0</v>
      </c>
      <c r="G15312" s="3" t="n">
        <v>-563766.76</v>
      </c>
    </row>
    <row r="15313">
      <c r="A15313" s="3" t="inlineStr">
        <is>
          <t>Opportunity Global Sales (PTY) LTD</t>
        </is>
      </c>
      <c r="B15313" s="4" t="n">
        <v>45169</v>
      </c>
      <c r="C15313" s="3" t="inlineStr">
        <is>
          <t>Revenue</t>
        </is>
      </c>
      <c r="D15313" s="3" t="inlineStr">
        <is>
          <t>1000/009</t>
        </is>
      </c>
      <c r="E15313" s="3" t="inlineStr">
        <is>
          <t>Sales - Comm on Payprop</t>
        </is>
      </c>
      <c r="F15313" s="3" t="n">
        <v>-14729.27</v>
      </c>
      <c r="G15313" s="3" t="n">
        <v>-92507.67999999999</v>
      </c>
    </row>
    <row r="15314">
      <c r="A15314" s="3" t="inlineStr">
        <is>
          <t>Quinate Consulting (Pty) Ltd</t>
        </is>
      </c>
      <c r="B15314" s="4" t="n">
        <v>45169</v>
      </c>
      <c r="C15314" s="3" t="inlineStr">
        <is>
          <t>Revenue</t>
        </is>
      </c>
      <c r="D15314" s="3" t="inlineStr">
        <is>
          <t>1000/011</t>
        </is>
      </c>
      <c r="E15314" s="3" t="inlineStr">
        <is>
          <t>Rent Received - Soho Unit 23</t>
        </is>
      </c>
      <c r="F15314" s="3" t="n">
        <v>-12500</v>
      </c>
      <c r="G15314" s="3" t="n">
        <v>-75000</v>
      </c>
    </row>
    <row r="15315">
      <c r="A15315" s="3" t="inlineStr">
        <is>
          <t>Quinate Consulting (Pty) Ltd</t>
        </is>
      </c>
      <c r="B15315" s="4" t="n">
        <v>45169</v>
      </c>
      <c r="C15315" s="3" t="inlineStr">
        <is>
          <t>Revenue</t>
        </is>
      </c>
      <c r="D15315" s="3" t="inlineStr">
        <is>
          <t>1000/012</t>
        </is>
      </c>
      <c r="E15315" s="3" t="inlineStr">
        <is>
          <t>Rent Received - Soho Unit 24</t>
        </is>
      </c>
      <c r="F15315" s="3" t="n">
        <v>-14445</v>
      </c>
      <c r="G15315" s="3" t="n">
        <v>-86670</v>
      </c>
    </row>
    <row r="15316">
      <c r="A15316" s="3" t="inlineStr">
        <is>
          <t>Quinate Consulting (Pty) Ltd</t>
        </is>
      </c>
      <c r="B15316" s="4" t="n">
        <v>45169</v>
      </c>
      <c r="C15316" s="3" t="inlineStr">
        <is>
          <t>Revenue</t>
        </is>
      </c>
      <c r="D15316" s="3" t="inlineStr">
        <is>
          <t>1000/013</t>
        </is>
      </c>
      <c r="E15316" s="3" t="inlineStr">
        <is>
          <t>Rent Recieved - Soho Unit 20</t>
        </is>
      </c>
      <c r="F15316" s="3" t="n">
        <v>-12500</v>
      </c>
      <c r="G15316" s="3" t="n">
        <v>-75000</v>
      </c>
    </row>
    <row r="15317">
      <c r="A15317" s="3" t="inlineStr">
        <is>
          <t>Quinate Consulting (Pty) Ltd</t>
        </is>
      </c>
      <c r="B15317" s="4" t="n">
        <v>45169</v>
      </c>
      <c r="C15317" s="3" t="inlineStr">
        <is>
          <t>Revenue</t>
        </is>
      </c>
      <c r="D15317" s="3" t="inlineStr">
        <is>
          <t>1000/015</t>
        </is>
      </c>
      <c r="E15317" s="3" t="inlineStr">
        <is>
          <t>Rent Received - Southwark Unit 1</t>
        </is>
      </c>
      <c r="F15317" s="3" t="n">
        <v>-11500</v>
      </c>
      <c r="G15317" s="3" t="n">
        <v>-23000</v>
      </c>
    </row>
    <row r="15318">
      <c r="A15318" s="3" t="inlineStr">
        <is>
          <t>Quinate Consulting (Pty) Ltd</t>
        </is>
      </c>
      <c r="B15318" s="4" t="n">
        <v>45169</v>
      </c>
      <c r="C15318" s="3" t="inlineStr">
        <is>
          <t>Revenue</t>
        </is>
      </c>
      <c r="D15318" s="3" t="inlineStr">
        <is>
          <t>1000/016</t>
        </is>
      </c>
      <c r="E15318" s="3" t="inlineStr">
        <is>
          <t>Rent Recieved - Southwark Unit 21</t>
        </is>
      </c>
      <c r="F15318" s="3" t="n">
        <v>-10000</v>
      </c>
      <c r="G15318" s="3" t="n">
        <v>-60000</v>
      </c>
    </row>
    <row r="15319">
      <c r="A15319" s="3" t="inlineStr">
        <is>
          <t>Opportunity Global Sales (PTY) LTD</t>
        </is>
      </c>
      <c r="B15319" s="4" t="n">
        <v>45169</v>
      </c>
      <c r="C15319" s="3" t="inlineStr">
        <is>
          <t>Revenue</t>
        </is>
      </c>
      <c r="D15319" s="3" t="inlineStr">
        <is>
          <t>1000/100</t>
        </is>
      </c>
      <c r="E15319" s="3" t="inlineStr">
        <is>
          <t>Sales - Comm on External Sales</t>
        </is>
      </c>
      <c r="F15319" s="3" t="n">
        <v>0</v>
      </c>
      <c r="G15319" s="3" t="n">
        <v>-104782.61</v>
      </c>
    </row>
    <row r="15320">
      <c r="A15320" s="3" t="inlineStr">
        <is>
          <t>Noble Shield (Pty) Ltd ta Go Letting</t>
        </is>
      </c>
      <c r="B15320" s="4" t="n">
        <v>45169</v>
      </c>
      <c r="C15320" s="3" t="inlineStr">
        <is>
          <t>Revenue</t>
        </is>
      </c>
      <c r="D15320" s="3" t="inlineStr">
        <is>
          <t>1000/100</t>
        </is>
      </c>
      <c r="E15320" s="3" t="inlineStr">
        <is>
          <t>Sales - Payprop 328 - Michelle</t>
        </is>
      </c>
      <c r="F15320" s="3" t="n">
        <v>-42860.93</v>
      </c>
      <c r="G15320" s="3" t="n">
        <v>-871105.96</v>
      </c>
    </row>
    <row r="15321">
      <c r="A15321" s="3" t="inlineStr">
        <is>
          <t>Opportunity Global Sales (PTY) LTD</t>
        </is>
      </c>
      <c r="B15321" s="4" t="n">
        <v>45169</v>
      </c>
      <c r="C15321" s="3" t="inlineStr">
        <is>
          <t>Revenue</t>
        </is>
      </c>
      <c r="D15321" s="3" t="inlineStr">
        <is>
          <t>1000/120</t>
        </is>
      </c>
      <c r="E15321" s="3" t="inlineStr">
        <is>
          <t>Sales - Admin Fees on Rental Units</t>
        </is>
      </c>
      <c r="F15321" s="3" t="n">
        <v>-3913.03</v>
      </c>
      <c r="G15321" s="3" t="n">
        <v>-23108.63</v>
      </c>
    </row>
    <row r="15322">
      <c r="A15322" s="3" t="inlineStr">
        <is>
          <t>Opportunity Global Sales (PTY) LTD</t>
        </is>
      </c>
      <c r="B15322" s="4" t="n">
        <v>45169</v>
      </c>
      <c r="C15322" s="3" t="inlineStr">
        <is>
          <t>Revenue</t>
        </is>
      </c>
      <c r="D15322" s="3" t="inlineStr">
        <is>
          <t>1000/121</t>
        </is>
      </c>
      <c r="E15322" s="3" t="inlineStr">
        <is>
          <t>Sales - Admin Fees on Rental Units Endulini</t>
        </is>
      </c>
      <c r="F15322" s="3" t="n">
        <v>0</v>
      </c>
      <c r="G15322" s="3" t="n">
        <v>-434.78</v>
      </c>
    </row>
    <row r="15323">
      <c r="A15323" s="3" t="inlineStr">
        <is>
          <t>Opportunity Global Sales (PTY) LTD</t>
        </is>
      </c>
      <c r="B15323" s="4" t="n">
        <v>45169</v>
      </c>
      <c r="C15323" s="3" t="inlineStr">
        <is>
          <t>Revenue</t>
        </is>
      </c>
      <c r="D15323" s="3" t="inlineStr">
        <is>
          <t>1000/122</t>
        </is>
      </c>
      <c r="E15323" s="3" t="inlineStr">
        <is>
          <t>Sales - Admin Fees on Rental Units Heron Fields</t>
        </is>
      </c>
      <c r="F15323" s="3" t="n">
        <v>-869.5700000000001</v>
      </c>
      <c r="G15323" s="3" t="n">
        <v>-2608.71</v>
      </c>
    </row>
    <row r="15324">
      <c r="A15324" s="3" t="inlineStr">
        <is>
          <t>Opportunity Global Sales (PTY) LTD</t>
        </is>
      </c>
      <c r="B15324" s="4" t="n">
        <v>45169</v>
      </c>
      <c r="C15324" s="3" t="inlineStr">
        <is>
          <t>Revenue</t>
        </is>
      </c>
      <c r="D15324" s="3" t="inlineStr">
        <is>
          <t>1000/150</t>
        </is>
      </c>
      <c r="E15324" s="3" t="inlineStr">
        <is>
          <t>Sales - Comm on External Rental</t>
        </is>
      </c>
      <c r="F15324" s="3" t="n">
        <v>-22478.25</v>
      </c>
      <c r="G15324" s="3" t="n">
        <v>-254665.15</v>
      </c>
    </row>
    <row r="15325">
      <c r="A15325" s="3" t="inlineStr">
        <is>
          <t>Opportunity Global Sales (PTY) LTD</t>
        </is>
      </c>
      <c r="B15325" s="4" t="n">
        <v>45169</v>
      </c>
      <c r="C15325" s="3" t="inlineStr">
        <is>
          <t>Revenue</t>
        </is>
      </c>
      <c r="D15325" s="3" t="inlineStr">
        <is>
          <t>1000/250</t>
        </is>
      </c>
      <c r="E15325" s="3" t="inlineStr">
        <is>
          <t>Sales - Comm on Endulini</t>
        </is>
      </c>
      <c r="F15325" s="3" t="n">
        <v>0</v>
      </c>
      <c r="G15325" s="3" t="n">
        <v>-68256.52</v>
      </c>
    </row>
    <row r="15326">
      <c r="A15326" s="3" t="inlineStr">
        <is>
          <t>Opportunity Global Sales (PTY) LTD</t>
        </is>
      </c>
      <c r="B15326" s="4" t="n">
        <v>45169</v>
      </c>
      <c r="C15326" s="3" t="inlineStr">
        <is>
          <t>Revenue</t>
        </is>
      </c>
      <c r="D15326" s="3" t="inlineStr">
        <is>
          <t>1000/300</t>
        </is>
      </c>
      <c r="E15326" s="3" t="inlineStr">
        <is>
          <t>Sales - Comm on Heron Fields</t>
        </is>
      </c>
      <c r="F15326" s="3" t="n">
        <v>0</v>
      </c>
      <c r="G15326" s="3" t="n">
        <v>-1273956.53</v>
      </c>
    </row>
    <row r="15327">
      <c r="A15327" s="3" t="inlineStr">
        <is>
          <t>Trademark Holdings (Pty) Ltd</t>
        </is>
      </c>
      <c r="B15327" s="4" t="n">
        <v>45169</v>
      </c>
      <c r="C15327" s="3" t="inlineStr">
        <is>
          <t>Revenue</t>
        </is>
      </c>
      <c r="D15327" s="3" t="inlineStr">
        <is>
          <t>1000/300</t>
        </is>
      </c>
      <c r="E15327" s="3" t="inlineStr">
        <is>
          <t>Sales - Payprop - Lara</t>
        </is>
      </c>
      <c r="F15327" s="3" t="n">
        <v>57790.97</v>
      </c>
      <c r="G15327" s="3" t="n">
        <v>-880363.4399999999</v>
      </c>
    </row>
    <row r="15328">
      <c r="A15328" s="3" t="inlineStr">
        <is>
          <t>Opportunity Global Investment (PTY) LTD</t>
        </is>
      </c>
      <c r="B15328" s="4" t="n">
        <v>45169</v>
      </c>
      <c r="C15328" s="3" t="inlineStr">
        <is>
          <t>Revenue</t>
        </is>
      </c>
      <c r="D15328" s="3" t="inlineStr">
        <is>
          <t>1000/360</t>
        </is>
      </c>
      <c r="E15328" s="3" t="inlineStr">
        <is>
          <t>Sales - Investor Management - Heron View</t>
        </is>
      </c>
      <c r="F15328" s="3" t="n">
        <v>0</v>
      </c>
      <c r="G15328" s="3" t="n">
        <v>-1826086.96</v>
      </c>
    </row>
    <row r="15329">
      <c r="A15329" s="3" t="inlineStr">
        <is>
          <t>Opportunity Global Sales (PTY) LTD</t>
        </is>
      </c>
      <c r="B15329" s="4" t="n">
        <v>45169</v>
      </c>
      <c r="C15329" s="3" t="inlineStr">
        <is>
          <t>Revenue</t>
        </is>
      </c>
      <c r="D15329" s="3" t="inlineStr">
        <is>
          <t>1000/400</t>
        </is>
      </c>
      <c r="E15329" s="3" t="inlineStr">
        <is>
          <t>Sales - Commission on Heron View</t>
        </is>
      </c>
      <c r="F15329" s="3" t="n">
        <v>-484317.37</v>
      </c>
      <c r="G15329" s="3" t="n">
        <v>-484317.37</v>
      </c>
    </row>
    <row r="15330">
      <c r="A15330" s="3" t="inlineStr">
        <is>
          <t>Noble Shield (Pty) Ltd ta Go Letting</t>
        </is>
      </c>
      <c r="B15330" s="4" t="n">
        <v>45169</v>
      </c>
      <c r="C15330" s="3" t="inlineStr">
        <is>
          <t>Revenue</t>
        </is>
      </c>
      <c r="D15330" s="3" t="inlineStr">
        <is>
          <t>1000/420</t>
        </is>
      </c>
      <c r="E15330" s="3" t="inlineStr">
        <is>
          <t>Sales - Commission Received - External</t>
        </is>
      </c>
      <c r="F15330" s="3" t="n">
        <v>-80000</v>
      </c>
      <c r="G15330" s="3" t="n">
        <v>-228000</v>
      </c>
    </row>
    <row r="15331">
      <c r="A15331" s="3" t="inlineStr">
        <is>
          <t>Trademark Holdings (Pty) Ltd</t>
        </is>
      </c>
      <c r="B15331" s="4" t="n">
        <v>45169</v>
      </c>
      <c r="C15331" s="3" t="inlineStr">
        <is>
          <t>Revenue</t>
        </is>
      </c>
      <c r="D15331" s="3" t="inlineStr">
        <is>
          <t>1000/500</t>
        </is>
      </c>
      <c r="E15331" s="3" t="inlineStr">
        <is>
          <t>Sales - Commission external sale</t>
        </is>
      </c>
      <c r="F15331" s="3" t="n">
        <v>0</v>
      </c>
      <c r="G15331" s="3" t="n">
        <v>-109950</v>
      </c>
    </row>
    <row r="15332">
      <c r="A15332" s="3" t="inlineStr">
        <is>
          <t>Quinate Consulting (Pty) Ltd</t>
        </is>
      </c>
      <c r="B15332" s="4" t="n">
        <v>45169</v>
      </c>
      <c r="C15332" s="3" t="inlineStr">
        <is>
          <t>Revenue</t>
        </is>
      </c>
      <c r="D15332" s="3" t="inlineStr">
        <is>
          <t>1004/000</t>
        </is>
      </c>
      <c r="E15332" s="3" t="inlineStr">
        <is>
          <t>Interest received</t>
        </is>
      </c>
      <c r="F15332" s="3" t="n">
        <v>0</v>
      </c>
      <c r="G15332" s="3" t="n">
        <v>-2364.24</v>
      </c>
    </row>
    <row r="15333">
      <c r="A15333" s="3" t="inlineStr">
        <is>
          <t>Quinate Consulting (Pty) Ltd</t>
        </is>
      </c>
      <c r="B15333" s="4" t="n">
        <v>45169</v>
      </c>
      <c r="C15333" s="3" t="inlineStr">
        <is>
          <t>Revenue</t>
        </is>
      </c>
      <c r="D15333" s="3" t="inlineStr">
        <is>
          <t>1006/100</t>
        </is>
      </c>
      <c r="E15333" s="3" t="inlineStr">
        <is>
          <t>Rental income - Payprop</t>
        </is>
      </c>
      <c r="F15333" s="3" t="n">
        <v>291060.79</v>
      </c>
      <c r="G15333" s="3" t="n">
        <v>-63222.07</v>
      </c>
    </row>
    <row r="15334">
      <c r="A15334" s="3" t="inlineStr">
        <is>
          <t>Quinate Consulting (Pty) Ltd</t>
        </is>
      </c>
      <c r="B15334" s="4" t="n">
        <v>45169</v>
      </c>
      <c r="C15334" s="3" t="inlineStr">
        <is>
          <t>Revenue</t>
        </is>
      </c>
      <c r="D15334" s="3" t="inlineStr">
        <is>
          <t>1006/110</t>
        </is>
      </c>
      <c r="E15334" s="3" t="inlineStr">
        <is>
          <t>Rental Income - E201</t>
        </is>
      </c>
      <c r="F15334" s="3" t="n">
        <v>-59000</v>
      </c>
      <c r="G15334" s="3" t="n">
        <v>-59000</v>
      </c>
    </row>
    <row r="15335">
      <c r="A15335" s="3" t="inlineStr">
        <is>
          <t>Quinate Consulting (Pty) Ltd</t>
        </is>
      </c>
      <c r="B15335" s="4" t="n">
        <v>45169</v>
      </c>
      <c r="C15335" s="3" t="inlineStr">
        <is>
          <t>Revenue</t>
        </is>
      </c>
      <c r="D15335" s="3" t="inlineStr">
        <is>
          <t>1006/120</t>
        </is>
      </c>
      <c r="E15335" s="3" t="inlineStr">
        <is>
          <t>Rental Income - D203</t>
        </is>
      </c>
      <c r="F15335" s="3" t="n">
        <v>-38000</v>
      </c>
      <c r="G15335" s="3" t="n">
        <v>-46000</v>
      </c>
    </row>
    <row r="15336">
      <c r="A15336" s="3" t="inlineStr">
        <is>
          <t>Quinate Consulting (Pty) Ltd</t>
        </is>
      </c>
      <c r="B15336" s="4" t="n">
        <v>45169</v>
      </c>
      <c r="C15336" s="3" t="inlineStr">
        <is>
          <t>Revenue</t>
        </is>
      </c>
      <c r="D15336" s="3" t="inlineStr">
        <is>
          <t>1006/130</t>
        </is>
      </c>
      <c r="E15336" s="3" t="inlineStr">
        <is>
          <t>Rental Income - C301</t>
        </is>
      </c>
      <c r="F15336" s="3" t="n">
        <v>-19000</v>
      </c>
      <c r="G15336" s="3" t="n">
        <v>-19000</v>
      </c>
    </row>
    <row r="15337">
      <c r="A15337" s="3" t="inlineStr">
        <is>
          <t>Quinate Consulting (Pty) Ltd</t>
        </is>
      </c>
      <c r="B15337" s="4" t="n">
        <v>45169</v>
      </c>
      <c r="C15337" s="3" t="inlineStr">
        <is>
          <t>Revenue</t>
        </is>
      </c>
      <c r="D15337" s="3" t="inlineStr">
        <is>
          <t>1006/140</t>
        </is>
      </c>
      <c r="E15337" s="3" t="inlineStr">
        <is>
          <t>Rental Income - A108</t>
        </is>
      </c>
      <c r="F15337" s="3" t="n">
        <v>-61000</v>
      </c>
      <c r="G15337" s="3" t="n">
        <v>-61000</v>
      </c>
    </row>
    <row r="15338">
      <c r="A15338" s="3" t="inlineStr">
        <is>
          <t>Quinate Consulting (Pty) Ltd</t>
        </is>
      </c>
      <c r="B15338" s="4" t="n">
        <v>45169</v>
      </c>
      <c r="C15338" s="3" t="inlineStr">
        <is>
          <t>Revenue</t>
        </is>
      </c>
      <c r="D15338" s="3" t="inlineStr">
        <is>
          <t>1006/150</t>
        </is>
      </c>
      <c r="E15338" s="3" t="inlineStr">
        <is>
          <t>Rental Income - A303</t>
        </is>
      </c>
      <c r="F15338" s="3" t="n">
        <v>-18500</v>
      </c>
      <c r="G15338" s="3" t="n">
        <v>-18500</v>
      </c>
    </row>
    <row r="15339">
      <c r="A15339" s="3" t="inlineStr">
        <is>
          <t>Quinate Consulting (Pty) Ltd</t>
        </is>
      </c>
      <c r="B15339" s="4" t="n">
        <v>45169</v>
      </c>
      <c r="C15339" s="3" t="inlineStr">
        <is>
          <t>Revenue</t>
        </is>
      </c>
      <c r="D15339" s="3" t="inlineStr">
        <is>
          <t>1006/160</t>
        </is>
      </c>
      <c r="E15339" s="3" t="inlineStr">
        <is>
          <t>Rental Income - A306</t>
        </is>
      </c>
      <c r="F15339" s="3" t="n">
        <v>-19030</v>
      </c>
      <c r="G15339" s="3" t="n">
        <v>-19030</v>
      </c>
    </row>
    <row r="15340">
      <c r="A15340" s="3" t="inlineStr">
        <is>
          <t>Quinate Consulting (Pty) Ltd</t>
        </is>
      </c>
      <c r="B15340" s="4" t="n">
        <v>45169</v>
      </c>
      <c r="C15340" s="3" t="inlineStr">
        <is>
          <t>Revenue</t>
        </is>
      </c>
      <c r="D15340" s="3" t="inlineStr">
        <is>
          <t>1006/170</t>
        </is>
      </c>
      <c r="E15340" s="3" t="inlineStr">
        <is>
          <t>Rental Income - C102</t>
        </is>
      </c>
      <c r="F15340" s="3" t="n">
        <v>-46000</v>
      </c>
      <c r="G15340" s="3" t="n">
        <v>-46000</v>
      </c>
    </row>
    <row r="15341">
      <c r="A15341" s="3" t="inlineStr">
        <is>
          <t>Quinate Consulting (Pty) Ltd</t>
        </is>
      </c>
      <c r="B15341" s="4" t="n">
        <v>45169</v>
      </c>
      <c r="C15341" s="3" t="inlineStr">
        <is>
          <t>Revenue</t>
        </is>
      </c>
      <c r="D15341" s="3" t="inlineStr">
        <is>
          <t>1006/180</t>
        </is>
      </c>
      <c r="E15341" s="3" t="inlineStr">
        <is>
          <t>Rental Income - A307</t>
        </is>
      </c>
      <c r="F15341" s="3" t="n">
        <v>-37000</v>
      </c>
      <c r="G15341" s="3" t="n">
        <v>-37000</v>
      </c>
    </row>
    <row r="15342">
      <c r="A15342" s="3" t="inlineStr">
        <is>
          <t>Quinate Consulting (Pty) Ltd</t>
        </is>
      </c>
      <c r="B15342" s="4" t="n">
        <v>45169</v>
      </c>
      <c r="C15342" s="3" t="inlineStr">
        <is>
          <t>Revenue</t>
        </is>
      </c>
      <c r="D15342" s="3" t="inlineStr">
        <is>
          <t>1006/190</t>
        </is>
      </c>
      <c r="E15342" s="3" t="inlineStr">
        <is>
          <t>Rental Income - A209</t>
        </is>
      </c>
      <c r="F15342" s="3" t="n">
        <v>-55239.12</v>
      </c>
      <c r="G15342" s="3" t="n">
        <v>-55239.12</v>
      </c>
    </row>
    <row r="15343">
      <c r="A15343" s="3" t="inlineStr">
        <is>
          <t>Endulini (Pty) Ltd</t>
        </is>
      </c>
      <c r="B15343" s="4" t="n">
        <v>45169</v>
      </c>
      <c r="C15343" s="3" t="inlineStr">
        <is>
          <t>Revenue</t>
        </is>
      </c>
      <c r="D15343" s="3" t="inlineStr">
        <is>
          <t>1100/000</t>
        </is>
      </c>
      <c r="E15343" s="3" t="inlineStr">
        <is>
          <t>Sales - Endulini</t>
        </is>
      </c>
      <c r="F15343" s="3" t="n">
        <v>0</v>
      </c>
      <c r="G15343" s="3" t="n">
        <v>-2721565.21</v>
      </c>
    </row>
    <row r="15344">
      <c r="A15344" s="3" t="inlineStr">
        <is>
          <t>Opportunity Management Holdings (PTY) LTD</t>
        </is>
      </c>
      <c r="B15344" s="4" t="n">
        <v>45169</v>
      </c>
      <c r="C15344" s="3" t="inlineStr">
        <is>
          <t>Revenue</t>
        </is>
      </c>
      <c r="D15344" s="3" t="inlineStr">
        <is>
          <t>1100/001</t>
        </is>
      </c>
      <c r="E15344" s="3" t="inlineStr">
        <is>
          <t>Salary Recharges</t>
        </is>
      </c>
      <c r="F15344" s="3" t="n">
        <v>-339720</v>
      </c>
      <c r="G15344" s="3" t="n">
        <v>-4203549.06</v>
      </c>
    </row>
    <row r="15345">
      <c r="A15345" s="3" t="inlineStr">
        <is>
          <t>Endulini (Pty) Ltd</t>
        </is>
      </c>
      <c r="B15345" s="4" t="n">
        <v>45169</v>
      </c>
      <c r="C15345" s="3" t="inlineStr">
        <is>
          <t>Revenue</t>
        </is>
      </c>
      <c r="D15345" s="3" t="inlineStr">
        <is>
          <t>1100/200</t>
        </is>
      </c>
      <c r="E15345" s="3" t="inlineStr">
        <is>
          <t>Sales - Endulini occupational rent</t>
        </is>
      </c>
      <c r="F15345" s="3" t="n">
        <v>0</v>
      </c>
      <c r="G15345" s="3" t="n">
        <v>3303.6</v>
      </c>
    </row>
    <row r="15346">
      <c r="A15346" s="3" t="inlineStr">
        <is>
          <t>Opportunity Management Holdings (PTY) LTD</t>
        </is>
      </c>
      <c r="B15346" s="4" t="n">
        <v>45169</v>
      </c>
      <c r="C15346" s="3" t="inlineStr">
        <is>
          <t>Revenue</t>
        </is>
      </c>
      <c r="D15346" s="3" t="inlineStr">
        <is>
          <t>1200/300</t>
        </is>
      </c>
      <c r="E15346" s="3" t="inlineStr">
        <is>
          <t>Management Fees - Heron View</t>
        </is>
      </c>
      <c r="F15346" s="3" t="n">
        <v>-50000</v>
      </c>
      <c r="G15346" s="3" t="n">
        <v>-400000</v>
      </c>
    </row>
    <row r="15347">
      <c r="A15347" s="3" t="inlineStr">
        <is>
          <t>Endulini (Pty) Ltd</t>
        </is>
      </c>
      <c r="B15347" s="4" t="n">
        <v>45169</v>
      </c>
      <c r="C15347" s="3" t="inlineStr">
        <is>
          <t>Expenses</t>
        </is>
      </c>
      <c r="D15347" s="3" t="inlineStr">
        <is>
          <t>2000/001</t>
        </is>
      </c>
      <c r="E15347" s="3" t="inlineStr">
        <is>
          <t>COS - CIP Construction</t>
        </is>
      </c>
      <c r="F15347" s="3" t="n">
        <v>0</v>
      </c>
      <c r="G15347" s="3" t="n">
        <v>2000</v>
      </c>
    </row>
    <row r="15348">
      <c r="A15348" s="3" t="inlineStr">
        <is>
          <t>Opportunity Global Sales (PTY) LTD</t>
        </is>
      </c>
      <c r="B15348" s="4" t="n">
        <v>45169</v>
      </c>
      <c r="C15348" s="3" t="inlineStr">
        <is>
          <t>Expenses</t>
        </is>
      </c>
      <c r="D15348" s="3" t="inlineStr">
        <is>
          <t>2000/010</t>
        </is>
      </c>
      <c r="E15348" s="3" t="inlineStr">
        <is>
          <t>COS - PAYE on Commission</t>
        </is>
      </c>
      <c r="F15348" s="3" t="n">
        <v>32435.4</v>
      </c>
      <c r="G15348" s="3" t="n">
        <v>151559.33</v>
      </c>
    </row>
    <row r="15349">
      <c r="A15349" s="3" t="inlineStr">
        <is>
          <t>Quinate Consulting (Pty) Ltd</t>
        </is>
      </c>
      <c r="B15349" s="4" t="n">
        <v>45169</v>
      </c>
      <c r="C15349" s="3" t="inlineStr">
        <is>
          <t>Expenses</t>
        </is>
      </c>
      <c r="D15349" s="3" t="inlineStr">
        <is>
          <t>2000/060</t>
        </is>
      </c>
      <c r="E15349" s="3" t="inlineStr">
        <is>
          <t>COS - Commission Endulini</t>
        </is>
      </c>
      <c r="F15349" s="3" t="n">
        <v>10256.53</v>
      </c>
      <c r="G15349" s="3" t="n">
        <v>10256.53</v>
      </c>
    </row>
    <row r="15350">
      <c r="A15350" s="3" t="inlineStr">
        <is>
          <t>Endulini (Pty) Ltd</t>
        </is>
      </c>
      <c r="B15350" s="4" t="n">
        <v>45169</v>
      </c>
      <c r="C15350" s="3" t="inlineStr">
        <is>
          <t>Expenses</t>
        </is>
      </c>
      <c r="D15350" s="3" t="inlineStr">
        <is>
          <t>2000/100</t>
        </is>
      </c>
      <c r="E15350" s="3" t="inlineStr">
        <is>
          <t>COS - Commission Endulini</t>
        </is>
      </c>
      <c r="F15350" s="3" t="n">
        <v>0</v>
      </c>
      <c r="G15350" s="3" t="n">
        <v>136078.26</v>
      </c>
    </row>
    <row r="15351">
      <c r="A15351" s="3" t="inlineStr">
        <is>
          <t>Noble Shield (Pty) Ltd ta Go Letting</t>
        </is>
      </c>
      <c r="B15351" s="4" t="n">
        <v>45169</v>
      </c>
      <c r="C15351" s="3" t="inlineStr">
        <is>
          <t>Expenses</t>
        </is>
      </c>
      <c r="D15351" s="3" t="inlineStr">
        <is>
          <t>2000/100</t>
        </is>
      </c>
      <c r="E15351" s="3" t="inlineStr">
        <is>
          <t>COS - Commission Paid</t>
        </is>
      </c>
      <c r="F15351" s="3" t="n">
        <v>15213.1</v>
      </c>
      <c r="G15351" s="3" t="n">
        <v>261283.18</v>
      </c>
    </row>
    <row r="15352">
      <c r="A15352" s="3" t="inlineStr">
        <is>
          <t>Opportunity Global Sales (PTY) LTD</t>
        </is>
      </c>
      <c r="B15352" s="4" t="n">
        <v>45169</v>
      </c>
      <c r="C15352" s="3" t="inlineStr">
        <is>
          <t>Expenses</t>
        </is>
      </c>
      <c r="D15352" s="3" t="inlineStr">
        <is>
          <t>2000/125</t>
        </is>
      </c>
      <c r="E15352" s="3" t="inlineStr">
        <is>
          <t>Commission Paid - Referal commission</t>
        </is>
      </c>
      <c r="F15352" s="3" t="n">
        <v>0</v>
      </c>
      <c r="G15352" s="3" t="n">
        <v>74342.61</v>
      </c>
    </row>
    <row r="15353">
      <c r="A15353" s="3" t="inlineStr">
        <is>
          <t>Opportunity Global Sales (PTY) LTD</t>
        </is>
      </c>
      <c r="B15353" s="4" t="n">
        <v>45169</v>
      </c>
      <c r="C15353" s="3" t="inlineStr">
        <is>
          <t>Expenses</t>
        </is>
      </c>
      <c r="D15353" s="3" t="inlineStr">
        <is>
          <t>2000/135</t>
        </is>
      </c>
      <c r="E15353" s="3" t="inlineStr">
        <is>
          <t>COS - Sales Comm External - Minette</t>
        </is>
      </c>
      <c r="F15353" s="3" t="n">
        <v>0</v>
      </c>
      <c r="G15353" s="3" t="n">
        <v>41739.13</v>
      </c>
    </row>
    <row r="15354">
      <c r="A15354" s="3" t="inlineStr">
        <is>
          <t>Opportunity Global Investment (PTY) LTD</t>
        </is>
      </c>
      <c r="B15354" s="4" t="n">
        <v>45169</v>
      </c>
      <c r="C15354" s="3" t="inlineStr">
        <is>
          <t>Expenses</t>
        </is>
      </c>
      <c r="D15354" s="3" t="inlineStr">
        <is>
          <t>2000/135</t>
        </is>
      </c>
      <c r="E15354" s="3" t="inlineStr">
        <is>
          <t>Referral commission - Heron View</t>
        </is>
      </c>
      <c r="F15354" s="3" t="n">
        <v>0</v>
      </c>
      <c r="G15354" s="3" t="n">
        <v>8731.209999999999</v>
      </c>
    </row>
    <row r="15355">
      <c r="A15355" s="3" t="inlineStr">
        <is>
          <t>Opportunity Global Sales (PTY) LTD</t>
        </is>
      </c>
      <c r="B15355" s="4" t="n">
        <v>45169</v>
      </c>
      <c r="C15355" s="3" t="inlineStr">
        <is>
          <t>Expenses</t>
        </is>
      </c>
      <c r="D15355" s="3" t="inlineStr">
        <is>
          <t>2000/137</t>
        </is>
      </c>
      <c r="E15355" s="3" t="inlineStr">
        <is>
          <t>COS - Rental Comm External - Minette</t>
        </is>
      </c>
      <c r="F15355" s="3" t="n">
        <v>12635.84</v>
      </c>
      <c r="G15355" s="3" t="n">
        <v>105773.48</v>
      </c>
    </row>
    <row r="15356">
      <c r="A15356" s="3" t="inlineStr">
        <is>
          <t>Opportunity Global Sales (PTY) LTD</t>
        </is>
      </c>
      <c r="B15356" s="4" t="n">
        <v>45169</v>
      </c>
      <c r="C15356" s="3" t="inlineStr">
        <is>
          <t>Expenses</t>
        </is>
      </c>
      <c r="D15356" s="3" t="inlineStr">
        <is>
          <t>2000/139</t>
        </is>
      </c>
      <c r="E15356" s="3" t="inlineStr">
        <is>
          <t>COS - Sales Comm Heron Fields - Minette</t>
        </is>
      </c>
      <c r="F15356" s="3" t="n">
        <v>0</v>
      </c>
      <c r="G15356" s="3" t="n">
        <v>68099.48</v>
      </c>
    </row>
    <row r="15357">
      <c r="A15357" s="3" t="inlineStr">
        <is>
          <t>Opportunity Global Investment (PTY) LTD</t>
        </is>
      </c>
      <c r="B15357" s="4" t="n">
        <v>45169</v>
      </c>
      <c r="C15357" s="3" t="inlineStr">
        <is>
          <t>Expenses</t>
        </is>
      </c>
      <c r="D15357" s="3" t="inlineStr">
        <is>
          <t>2000/140</t>
        </is>
      </c>
      <c r="E15357" s="3" t="inlineStr">
        <is>
          <t>Referral commission - F Geldenhuys</t>
        </is>
      </c>
      <c r="F15357" s="3" t="n">
        <v>0</v>
      </c>
      <c r="G15357" s="3" t="n">
        <v>66600</v>
      </c>
    </row>
    <row r="15358">
      <c r="A15358" s="3" t="inlineStr">
        <is>
          <t>Opportunity Global Investment (PTY) LTD</t>
        </is>
      </c>
      <c r="B15358" s="4" t="n">
        <v>45169</v>
      </c>
      <c r="C15358" s="3" t="inlineStr">
        <is>
          <t>Expenses</t>
        </is>
      </c>
      <c r="D15358" s="3" t="inlineStr">
        <is>
          <t>2000/145</t>
        </is>
      </c>
      <c r="E15358" s="3" t="inlineStr">
        <is>
          <t>Referral commission - W Thomason</t>
        </is>
      </c>
      <c r="F15358" s="3" t="n">
        <v>0</v>
      </c>
      <c r="G15358" s="3" t="n">
        <v>12000</v>
      </c>
    </row>
    <row r="15359">
      <c r="A15359" s="3" t="inlineStr">
        <is>
          <t>Opportunity Global Sales (PTY) LTD</t>
        </is>
      </c>
      <c r="B15359" s="4" t="n">
        <v>45169</v>
      </c>
      <c r="C15359" s="3" t="inlineStr">
        <is>
          <t>Expenses</t>
        </is>
      </c>
      <c r="D15359" s="3" t="inlineStr">
        <is>
          <t>2000/147</t>
        </is>
      </c>
      <c r="E15359" s="3" t="inlineStr">
        <is>
          <t>COS - Sales Comm Heron Fields - Yvette</t>
        </is>
      </c>
      <c r="F15359" s="3" t="n">
        <v>10195.81</v>
      </c>
      <c r="G15359" s="3" t="n">
        <v>175460.67</v>
      </c>
    </row>
    <row r="15360">
      <c r="A15360" s="3" t="inlineStr">
        <is>
          <t>Trademark Holdings (Pty) Ltd</t>
        </is>
      </c>
      <c r="B15360" s="4" t="n">
        <v>45169</v>
      </c>
      <c r="C15360" s="3" t="inlineStr">
        <is>
          <t>Expenses</t>
        </is>
      </c>
      <c r="D15360" s="3" t="inlineStr">
        <is>
          <t>2000/150</t>
        </is>
      </c>
      <c r="E15360" s="3" t="inlineStr">
        <is>
          <t>COS - Direct Marketing</t>
        </is>
      </c>
      <c r="F15360" s="3" t="n">
        <v>24995.44</v>
      </c>
      <c r="G15360" s="3" t="n">
        <v>24995.44</v>
      </c>
    </row>
    <row r="15361">
      <c r="A15361" s="3" t="inlineStr">
        <is>
          <t>Endulini (Pty) Ltd</t>
        </is>
      </c>
      <c r="B15361" s="4" t="n">
        <v>45169</v>
      </c>
      <c r="C15361" s="3" t="inlineStr">
        <is>
          <t>Expenses</t>
        </is>
      </c>
      <c r="D15361" s="3" t="inlineStr">
        <is>
          <t>2000/150</t>
        </is>
      </c>
      <c r="E15361" s="3" t="inlineStr">
        <is>
          <t>COS - Levies special agreement</t>
        </is>
      </c>
      <c r="F15361" s="3" t="n">
        <v>7816.65</v>
      </c>
      <c r="G15361" s="3" t="n">
        <v>45660.36</v>
      </c>
    </row>
    <row r="15362">
      <c r="A15362" s="3" t="inlineStr">
        <is>
          <t>Opportunity Global Sales (PTY) LTD</t>
        </is>
      </c>
      <c r="B15362" s="4" t="n">
        <v>45169</v>
      </c>
      <c r="C15362" s="3" t="inlineStr">
        <is>
          <t>Expenses</t>
        </is>
      </c>
      <c r="D15362" s="3" t="inlineStr">
        <is>
          <t>2000/160</t>
        </is>
      </c>
      <c r="E15362" s="3" t="inlineStr">
        <is>
          <t>COS - Sales Comm Heron View - Minette</t>
        </is>
      </c>
      <c r="F15362" s="3" t="n">
        <v>64969.72</v>
      </c>
      <c r="G15362" s="3" t="n">
        <v>176267.12</v>
      </c>
    </row>
    <row r="15363">
      <c r="A15363" s="3" t="inlineStr">
        <is>
          <t>Opportunity Global Sales (PTY) LTD</t>
        </is>
      </c>
      <c r="B15363" s="4" t="n">
        <v>45169</v>
      </c>
      <c r="C15363" s="3" t="inlineStr">
        <is>
          <t>Expenses</t>
        </is>
      </c>
      <c r="D15363" s="3" t="inlineStr">
        <is>
          <t>2000/162</t>
        </is>
      </c>
      <c r="E15363" s="3" t="inlineStr">
        <is>
          <t>COS - Sales Comm Heron View - Yvette</t>
        </is>
      </c>
      <c r="F15363" s="3" t="n">
        <v>48270.19</v>
      </c>
      <c r="G15363" s="3" t="n">
        <v>60890.35</v>
      </c>
    </row>
    <row r="15364">
      <c r="A15364" s="3" t="inlineStr">
        <is>
          <t>Trademark Holdings (Pty) Ltd</t>
        </is>
      </c>
      <c r="B15364" s="4" t="n">
        <v>45169</v>
      </c>
      <c r="C15364" s="3" t="inlineStr">
        <is>
          <t>Expenses</t>
        </is>
      </c>
      <c r="D15364" s="3" t="inlineStr">
        <is>
          <t>2000/180</t>
        </is>
      </c>
      <c r="E15364" s="3" t="inlineStr">
        <is>
          <t>COS - Supplier Management</t>
        </is>
      </c>
      <c r="F15364" s="3" t="n">
        <v>25115.52</v>
      </c>
      <c r="G15364" s="3" t="n">
        <v>25115.52</v>
      </c>
    </row>
    <row r="15365">
      <c r="A15365" s="3" t="inlineStr">
        <is>
          <t>Noble Shield (Pty) Ltd ta Go Letting</t>
        </is>
      </c>
      <c r="B15365" s="4" t="n">
        <v>45169</v>
      </c>
      <c r="C15365" s="3" t="inlineStr">
        <is>
          <t>Expenses</t>
        </is>
      </c>
      <c r="D15365" s="3" t="inlineStr">
        <is>
          <t>2000/200</t>
        </is>
      </c>
      <c r="E15365" s="3" t="inlineStr">
        <is>
          <t>COS - Commission on external sales</t>
        </is>
      </c>
      <c r="F15365" s="3" t="n">
        <v>48000</v>
      </c>
      <c r="G15365" s="3" t="n">
        <v>136800</v>
      </c>
    </row>
    <row r="15366">
      <c r="A15366" s="3" t="inlineStr">
        <is>
          <t>Endulini (Pty) Ltd</t>
        </is>
      </c>
      <c r="B15366" s="4" t="n">
        <v>45169</v>
      </c>
      <c r="C15366" s="3" t="inlineStr">
        <is>
          <t>Expenses</t>
        </is>
      </c>
      <c r="D15366" s="3" t="inlineStr">
        <is>
          <t>2000/200</t>
        </is>
      </c>
      <c r="E15366" s="3" t="inlineStr">
        <is>
          <t>COS - Rates clearance</t>
        </is>
      </c>
      <c r="F15366" s="3" t="n">
        <v>2000</v>
      </c>
      <c r="G15366" s="3" t="n">
        <v>38025</v>
      </c>
    </row>
    <row r="15367">
      <c r="A15367" s="3" t="inlineStr">
        <is>
          <t>Opportunity Global Sales (PTY) LTD</t>
        </is>
      </c>
      <c r="B15367" s="4" t="n">
        <v>45169</v>
      </c>
      <c r="C15367" s="3" t="inlineStr">
        <is>
          <t>Expenses</t>
        </is>
      </c>
      <c r="D15367" s="3" t="inlineStr">
        <is>
          <t>2000/270</t>
        </is>
      </c>
      <c r="E15367" s="3" t="inlineStr">
        <is>
          <t>COS - Comm Rentals - Mario - External</t>
        </is>
      </c>
      <c r="F15367" s="3" t="n">
        <v>299</v>
      </c>
      <c r="G15367" s="3" t="n">
        <v>1397</v>
      </c>
    </row>
    <row r="15368">
      <c r="A15368" s="3" t="inlineStr">
        <is>
          <t>Opportunity Global Sales (PTY) LTD</t>
        </is>
      </c>
      <c r="B15368" s="4" t="n">
        <v>45169</v>
      </c>
      <c r="C15368" s="3" t="inlineStr">
        <is>
          <t>Expenses</t>
        </is>
      </c>
      <c r="D15368" s="3" t="inlineStr">
        <is>
          <t>2000/275</t>
        </is>
      </c>
      <c r="E15368" s="3" t="inlineStr">
        <is>
          <t>COS - Comm Rentals - Mario - Endulini</t>
        </is>
      </c>
      <c r="F15368" s="3" t="n">
        <v>2705</v>
      </c>
      <c r="G15368" s="3" t="n">
        <v>9650</v>
      </c>
    </row>
    <row r="15369">
      <c r="A15369" s="3" t="inlineStr">
        <is>
          <t>Opportunity Global Sales (PTY) LTD</t>
        </is>
      </c>
      <c r="B15369" s="4" t="n">
        <v>45169</v>
      </c>
      <c r="C15369" s="3" t="inlineStr">
        <is>
          <t>Expenses</t>
        </is>
      </c>
      <c r="D15369" s="3" t="inlineStr">
        <is>
          <t>2000/280</t>
        </is>
      </c>
      <c r="E15369" s="3" t="inlineStr">
        <is>
          <t>COS - Comm Rentals - Mario - Heron Fields</t>
        </is>
      </c>
      <c r="F15369" s="3" t="n">
        <v>2500</v>
      </c>
      <c r="G15369" s="3" t="n">
        <v>9820</v>
      </c>
    </row>
    <row r="15370">
      <c r="A15370" s="3" t="inlineStr">
        <is>
          <t>Trademark Holdings (Pty) Ltd</t>
        </is>
      </c>
      <c r="B15370" s="4" t="n">
        <v>45169</v>
      </c>
      <c r="C15370" s="3" t="inlineStr">
        <is>
          <t>Expenses</t>
        </is>
      </c>
      <c r="D15370" s="3" t="inlineStr">
        <is>
          <t>2000/300</t>
        </is>
      </c>
      <c r="E15370" s="3" t="inlineStr">
        <is>
          <t>COS - Commission Paid</t>
        </is>
      </c>
      <c r="F15370" s="3" t="n">
        <v>15569.97</v>
      </c>
      <c r="G15370" s="3" t="n">
        <v>191150.05</v>
      </c>
    </row>
    <row r="15371">
      <c r="A15371" s="3" t="inlineStr">
        <is>
          <t>Opportunity Global Sales (PTY) LTD</t>
        </is>
      </c>
      <c r="B15371" s="4" t="n">
        <v>45169</v>
      </c>
      <c r="C15371" s="3" t="inlineStr">
        <is>
          <t>Expenses</t>
        </is>
      </c>
      <c r="D15371" s="3" t="inlineStr">
        <is>
          <t>2000/380</t>
        </is>
      </c>
      <c r="E15371" s="3" t="inlineStr">
        <is>
          <t>COS - Overrider Comm Heron Fields - Morne</t>
        </is>
      </c>
      <c r="F15371" s="3" t="n">
        <v>1878.13</v>
      </c>
      <c r="G15371" s="3" t="n">
        <v>29690.16</v>
      </c>
    </row>
    <row r="15372">
      <c r="A15372" s="3" t="inlineStr">
        <is>
          <t>Opportunity Global Sales (PTY) LTD</t>
        </is>
      </c>
      <c r="B15372" s="4" t="n">
        <v>45169</v>
      </c>
      <c r="C15372" s="3" t="inlineStr">
        <is>
          <t>Expenses</t>
        </is>
      </c>
      <c r="D15372" s="3" t="inlineStr">
        <is>
          <t>2000/383</t>
        </is>
      </c>
      <c r="E15372" s="3" t="inlineStr">
        <is>
          <t>COS - Overrider Comm Heron View - Morne</t>
        </is>
      </c>
      <c r="F15372" s="3" t="n">
        <v>0</v>
      </c>
      <c r="G15372" s="3" t="n">
        <v>11679.72</v>
      </c>
    </row>
    <row r="15373">
      <c r="A15373" s="3" t="inlineStr">
        <is>
          <t>Opportunity Global Sales (PTY) LTD</t>
        </is>
      </c>
      <c r="B15373" s="4" t="n">
        <v>45169</v>
      </c>
      <c r="C15373" s="3" t="inlineStr">
        <is>
          <t>Expenses</t>
        </is>
      </c>
      <c r="D15373" s="3" t="inlineStr">
        <is>
          <t>2000/390</t>
        </is>
      </c>
      <c r="E15373" s="3" t="inlineStr">
        <is>
          <t>COS - Overrider Comm External Sales - Morne</t>
        </is>
      </c>
      <c r="F15373" s="3" t="n">
        <v>2834.35</v>
      </c>
      <c r="G15373" s="3" t="n">
        <v>9915</v>
      </c>
    </row>
    <row r="15374">
      <c r="A15374" s="3" t="inlineStr">
        <is>
          <t>Trademark Holdings (Pty) Ltd</t>
        </is>
      </c>
      <c r="B15374" s="4" t="n">
        <v>45169</v>
      </c>
      <c r="C15374" s="3" t="inlineStr">
        <is>
          <t>Expenses</t>
        </is>
      </c>
      <c r="D15374" s="3" t="inlineStr">
        <is>
          <t>2000/400</t>
        </is>
      </c>
      <c r="E15374" s="3" t="inlineStr">
        <is>
          <t>COS - Commission on external sales</t>
        </is>
      </c>
      <c r="F15374" s="3" t="n">
        <v>0</v>
      </c>
      <c r="G15374" s="3" t="n">
        <v>65970</v>
      </c>
    </row>
    <row r="15375">
      <c r="A15375" s="3" t="inlineStr">
        <is>
          <t>Opportunity Global Sales (PTY) LTD</t>
        </is>
      </c>
      <c r="B15375" s="4" t="n">
        <v>45169</v>
      </c>
      <c r="C15375" s="3" t="inlineStr">
        <is>
          <t>Expenses</t>
        </is>
      </c>
      <c r="D15375" s="3" t="inlineStr">
        <is>
          <t>2000/550</t>
        </is>
      </c>
      <c r="E15375" s="3" t="inlineStr">
        <is>
          <t>COS - Electricity Costs Heron Fields</t>
        </is>
      </c>
      <c r="F15375" s="3" t="n">
        <v>0</v>
      </c>
      <c r="G15375" s="3" t="n">
        <v>447.83</v>
      </c>
    </row>
    <row r="15376">
      <c r="A15376" s="3" t="inlineStr">
        <is>
          <t>Opportunity Global Sales (PTY) LTD</t>
        </is>
      </c>
      <c r="B15376" s="4" t="n">
        <v>45169</v>
      </c>
      <c r="C15376" s="3" t="inlineStr">
        <is>
          <t>Expenses</t>
        </is>
      </c>
      <c r="D15376" s="3" t="inlineStr">
        <is>
          <t>2000/600</t>
        </is>
      </c>
      <c r="E15376" s="3" t="inlineStr">
        <is>
          <t>COS - Heron Fields Show House</t>
        </is>
      </c>
      <c r="F15376" s="3" t="n">
        <v>0</v>
      </c>
      <c r="G15376" s="3" t="n">
        <v>201.97</v>
      </c>
    </row>
    <row r="15377">
      <c r="A15377" s="3" t="inlineStr">
        <is>
          <t>Endulini (Pty) Ltd</t>
        </is>
      </c>
      <c r="B15377" s="4" t="n">
        <v>45169</v>
      </c>
      <c r="C15377" s="3" t="inlineStr">
        <is>
          <t>Expenses</t>
        </is>
      </c>
      <c r="D15377" s="3" t="inlineStr">
        <is>
          <t>2000/600</t>
        </is>
      </c>
      <c r="E15377" s="3" t="inlineStr">
        <is>
          <t>COS - Legal fees</t>
        </is>
      </c>
      <c r="F15377" s="3" t="n">
        <v>0</v>
      </c>
      <c r="G15377" s="3" t="n">
        <v>71531.39999999999</v>
      </c>
    </row>
    <row r="15378">
      <c r="A15378" s="3" t="inlineStr">
        <is>
          <t>Quinate Consulting (Pty) Ltd</t>
        </is>
      </c>
      <c r="B15378" s="4" t="n">
        <v>45169</v>
      </c>
      <c r="C15378" s="3" t="inlineStr">
        <is>
          <t>Expenses</t>
        </is>
      </c>
      <c r="D15378" s="3" t="inlineStr">
        <is>
          <t>2001/120</t>
        </is>
      </c>
      <c r="E15378" s="3" t="inlineStr">
        <is>
          <t>COS - Commission - South Wark</t>
        </is>
      </c>
      <c r="F15378" s="3" t="n">
        <v>0</v>
      </c>
      <c r="G15378" s="3" t="n">
        <v>-869.5700000000001</v>
      </c>
    </row>
    <row r="15379">
      <c r="A15379" s="3" t="inlineStr">
        <is>
          <t>Quinate Consulting (Pty) Ltd</t>
        </is>
      </c>
      <c r="B15379" s="4" t="n">
        <v>45169</v>
      </c>
      <c r="C15379" s="3" t="inlineStr">
        <is>
          <t>Expenses</t>
        </is>
      </c>
      <c r="D15379" s="3" t="inlineStr">
        <is>
          <t>2001/210</t>
        </is>
      </c>
      <c r="E15379" s="3" t="inlineStr">
        <is>
          <t>COS - NHBRC</t>
        </is>
      </c>
      <c r="F15379" s="3" t="n">
        <v>0</v>
      </c>
      <c r="G15379" s="3" t="n">
        <v>457.67</v>
      </c>
    </row>
    <row r="15380">
      <c r="A15380" s="3" t="inlineStr">
        <is>
          <t>Quinate Consulting (Pty) Ltd</t>
        </is>
      </c>
      <c r="B15380" s="4" t="n">
        <v>45169</v>
      </c>
      <c r="C15380" s="3" t="inlineStr">
        <is>
          <t>Revenue</t>
        </is>
      </c>
      <c r="D15380" s="3" t="inlineStr">
        <is>
          <t>2400/200</t>
        </is>
      </c>
      <c r="E15380" s="3" t="inlineStr">
        <is>
          <t>Recovery Acc - Electricity SH</t>
        </is>
      </c>
      <c r="F15380" s="3" t="n">
        <v>-35889.91</v>
      </c>
      <c r="G15380" s="3" t="n">
        <v>-156968.2</v>
      </c>
    </row>
    <row r="15381">
      <c r="A15381" s="3" t="inlineStr">
        <is>
          <t>Quinate Consulting (Pty) Ltd</t>
        </is>
      </c>
      <c r="B15381" s="4" t="n">
        <v>45169</v>
      </c>
      <c r="C15381" s="3" t="inlineStr">
        <is>
          <t>Revenue</t>
        </is>
      </c>
      <c r="D15381" s="3" t="inlineStr">
        <is>
          <t>2400/300</t>
        </is>
      </c>
      <c r="E15381" s="3" t="inlineStr">
        <is>
          <t>Recovery Account - Electricity SW</t>
        </is>
      </c>
      <c r="F15381" s="3" t="n">
        <v>-31649.39</v>
      </c>
      <c r="G15381" s="3" t="n">
        <v>-139824.89</v>
      </c>
    </row>
    <row r="15382">
      <c r="A15382" s="3" t="inlineStr">
        <is>
          <t>Endulini (Pty) Ltd</t>
        </is>
      </c>
      <c r="B15382" s="4" t="n">
        <v>45169</v>
      </c>
      <c r="C15382" s="3" t="inlineStr">
        <is>
          <t>Revenue</t>
        </is>
      </c>
      <c r="D15382" s="3" t="inlineStr">
        <is>
          <t>2750/000</t>
        </is>
      </c>
      <c r="E15382" s="3" t="inlineStr">
        <is>
          <t>Interest Received</t>
        </is>
      </c>
      <c r="F15382" s="3" t="n">
        <v>0</v>
      </c>
      <c r="G15382" s="3" t="n">
        <v>-578.91</v>
      </c>
    </row>
    <row r="15383">
      <c r="A15383" s="3" t="inlineStr">
        <is>
          <t>Opportunity Management Holdings (PTY) LTD</t>
        </is>
      </c>
      <c r="B15383" s="4" t="n">
        <v>45169</v>
      </c>
      <c r="C15383" s="3" t="inlineStr">
        <is>
          <t>Revenue</t>
        </is>
      </c>
      <c r="D15383" s="3" t="inlineStr">
        <is>
          <t>2750/000</t>
        </is>
      </c>
      <c r="E15383" s="3" t="inlineStr">
        <is>
          <t>Interest Received</t>
        </is>
      </c>
      <c r="F15383" s="3" t="n">
        <v>-17.62</v>
      </c>
      <c r="G15383" s="3" t="n">
        <v>-408.77</v>
      </c>
    </row>
    <row r="15384">
      <c r="A15384" s="3" t="inlineStr">
        <is>
          <t>Opportunity Global Investment (PTY) LTD</t>
        </is>
      </c>
      <c r="B15384" s="4" t="n">
        <v>45169</v>
      </c>
      <c r="C15384" s="3" t="inlineStr">
        <is>
          <t>Revenue</t>
        </is>
      </c>
      <c r="D15384" s="3" t="inlineStr">
        <is>
          <t>2750/000</t>
        </is>
      </c>
      <c r="E15384" s="3" t="inlineStr">
        <is>
          <t>Interest Received - Bank</t>
        </is>
      </c>
      <c r="F15384" s="3" t="n">
        <v>0</v>
      </c>
      <c r="G15384" s="3" t="n">
        <v>-355.23</v>
      </c>
    </row>
    <row r="15385">
      <c r="A15385" s="3" t="inlineStr">
        <is>
          <t>Opportunity Global Sales (PTY) LTD</t>
        </is>
      </c>
      <c r="B15385" s="4" t="n">
        <v>45169</v>
      </c>
      <c r="C15385" s="3" t="inlineStr">
        <is>
          <t>Revenue</t>
        </is>
      </c>
      <c r="D15385" s="3" t="inlineStr">
        <is>
          <t>2750/000</t>
        </is>
      </c>
      <c r="E15385" s="3" t="inlineStr">
        <is>
          <t>Interest Received - Bank</t>
        </is>
      </c>
      <c r="F15385" s="3" t="n">
        <v>0</v>
      </c>
      <c r="G15385" s="3" t="n">
        <v>-18.82</v>
      </c>
    </row>
    <row r="15386">
      <c r="A15386" s="3" t="inlineStr">
        <is>
          <t>Noble Shield (Pty) Ltd ta Go Letting</t>
        </is>
      </c>
      <c r="B15386" s="4" t="n">
        <v>45169</v>
      </c>
      <c r="C15386" s="3" t="inlineStr">
        <is>
          <t>Revenue</t>
        </is>
      </c>
      <c r="D15386" s="3" t="inlineStr">
        <is>
          <t>2750/100</t>
        </is>
      </c>
      <c r="E15386" s="3" t="inlineStr">
        <is>
          <t>Interest Received - bank</t>
        </is>
      </c>
      <c r="F15386" s="3" t="n">
        <v>-0.15</v>
      </c>
      <c r="G15386" s="3" t="n">
        <v>-1.19</v>
      </c>
    </row>
    <row r="15387">
      <c r="A15387" s="3" t="inlineStr">
        <is>
          <t>Quinate Consulting (Pty) Ltd</t>
        </is>
      </c>
      <c r="B15387" s="4" t="n">
        <v>45169</v>
      </c>
      <c r="C15387" s="3" t="inlineStr">
        <is>
          <t>Revenue</t>
        </is>
      </c>
      <c r="D15387" s="3" t="inlineStr">
        <is>
          <t>2751/000</t>
        </is>
      </c>
      <c r="E15387" s="3" t="inlineStr">
        <is>
          <t>Interest Received - Bank</t>
        </is>
      </c>
      <c r="F15387" s="3" t="n">
        <v>-2649.15</v>
      </c>
      <c r="G15387" s="3" t="n">
        <v>-2649.15</v>
      </c>
    </row>
    <row r="15388">
      <c r="A15388" s="3" t="inlineStr">
        <is>
          <t>Opportunity Global Investment (PTY) LTD</t>
        </is>
      </c>
      <c r="B15388" s="4" t="n">
        <v>45169</v>
      </c>
      <c r="C15388" s="3" t="inlineStr">
        <is>
          <t>Revenue</t>
        </is>
      </c>
      <c r="D15388" s="3" t="inlineStr">
        <is>
          <t>2753/000</t>
        </is>
      </c>
      <c r="E15388" s="3" t="inlineStr">
        <is>
          <t>Interest received - Momentum</t>
        </is>
      </c>
      <c r="F15388" s="3" t="n">
        <v>-35.12</v>
      </c>
      <c r="G15388" s="3" t="n">
        <v>-226.88</v>
      </c>
    </row>
    <row r="15389">
      <c r="A15389" s="3" t="inlineStr">
        <is>
          <t>Endulini (Pty) Ltd</t>
        </is>
      </c>
      <c r="B15389" s="4" t="n">
        <v>45169</v>
      </c>
      <c r="C15389" s="3" t="inlineStr">
        <is>
          <t>Revenue</t>
        </is>
      </c>
      <c r="D15389" s="3" t="inlineStr">
        <is>
          <t>2755/001</t>
        </is>
      </c>
      <c r="E15389" s="3" t="inlineStr">
        <is>
          <t>Interest Received - Momentum</t>
        </is>
      </c>
      <c r="F15389" s="3" t="n">
        <v>-58.64</v>
      </c>
      <c r="G15389" s="3" t="n">
        <v>-112.96</v>
      </c>
    </row>
    <row r="15390">
      <c r="A15390" s="3" t="inlineStr">
        <is>
          <t>Quinate Consulting (Pty) Ltd</t>
        </is>
      </c>
      <c r="B15390" s="4" t="n">
        <v>45169</v>
      </c>
      <c r="C15390" s="3" t="inlineStr">
        <is>
          <t>Revenue</t>
        </is>
      </c>
      <c r="D15390" s="3" t="inlineStr">
        <is>
          <t>2755/001</t>
        </is>
      </c>
      <c r="E15390" s="3" t="inlineStr">
        <is>
          <t>Interest Received - Momentum</t>
        </is>
      </c>
      <c r="F15390" s="3" t="n">
        <v>-11.75</v>
      </c>
      <c r="G15390" s="3" t="n">
        <v>-22.64</v>
      </c>
    </row>
    <row r="15391">
      <c r="A15391" s="3" t="inlineStr">
        <is>
          <t>Opportunity Global Investment (PTY) LTD</t>
        </is>
      </c>
      <c r="B15391" s="4" t="n">
        <v>45169</v>
      </c>
      <c r="C15391" s="3" t="inlineStr">
        <is>
          <t>Expenses</t>
        </is>
      </c>
      <c r="D15391" s="3" t="inlineStr">
        <is>
          <t>3000/100</t>
        </is>
      </c>
      <c r="E15391" s="3" t="inlineStr">
        <is>
          <t>Accounting Fees - Secretarial</t>
        </is>
      </c>
      <c r="F15391" s="3" t="n">
        <v>0</v>
      </c>
      <c r="G15391" s="3" t="n">
        <v>890</v>
      </c>
    </row>
    <row r="15392">
      <c r="A15392" s="3" t="inlineStr">
        <is>
          <t>Opportunity Global Investment (PTY) LTD</t>
        </is>
      </c>
      <c r="B15392" s="4" t="n">
        <v>45169</v>
      </c>
      <c r="C15392" s="3" t="inlineStr">
        <is>
          <t>Expenses</t>
        </is>
      </c>
      <c r="D15392" s="3" t="inlineStr">
        <is>
          <t>3000/150</t>
        </is>
      </c>
      <c r="E15392" s="3" t="inlineStr">
        <is>
          <t>Accounting Fees - Audit</t>
        </is>
      </c>
      <c r="F15392" s="3" t="n">
        <v>0</v>
      </c>
      <c r="G15392" s="3" t="n">
        <v>10650</v>
      </c>
    </row>
    <row r="15393">
      <c r="A15393" s="3" t="inlineStr">
        <is>
          <t>Noble Shield (Pty) Ltd ta Go Letting</t>
        </is>
      </c>
      <c r="B15393" s="4" t="n">
        <v>45169</v>
      </c>
      <c r="C15393" s="3" t="inlineStr">
        <is>
          <t>Expenses</t>
        </is>
      </c>
      <c r="D15393" s="3" t="inlineStr">
        <is>
          <t>3000/300</t>
        </is>
      </c>
      <c r="E15393" s="3" t="inlineStr">
        <is>
          <t>Accounting Fees - Audit</t>
        </is>
      </c>
      <c r="F15393" s="3" t="n">
        <v>0</v>
      </c>
      <c r="G15393" s="3" t="n">
        <v>22367.5</v>
      </c>
    </row>
    <row r="15394">
      <c r="A15394" s="3" t="inlineStr">
        <is>
          <t>Trademark Holdings (Pty) Ltd</t>
        </is>
      </c>
      <c r="B15394" s="4" t="n">
        <v>45169</v>
      </c>
      <c r="C15394" s="3" t="inlineStr">
        <is>
          <t>Expenses</t>
        </is>
      </c>
      <c r="D15394" s="3" t="inlineStr">
        <is>
          <t>3000/300</t>
        </is>
      </c>
      <c r="E15394" s="3" t="inlineStr">
        <is>
          <t>Accounting Fees - Audit</t>
        </is>
      </c>
      <c r="F15394" s="3" t="n">
        <v>0</v>
      </c>
      <c r="G15394" s="3" t="n">
        <v>22367.5</v>
      </c>
    </row>
    <row r="15395">
      <c r="A15395" s="3" t="inlineStr">
        <is>
          <t>Noble Shield (Pty) Ltd ta Go Letting</t>
        </is>
      </c>
      <c r="B15395" s="4" t="n">
        <v>45169</v>
      </c>
      <c r="C15395" s="3" t="inlineStr">
        <is>
          <t>Expenses</t>
        </is>
      </c>
      <c r="D15395" s="3" t="inlineStr">
        <is>
          <t>3000/400</t>
        </is>
      </c>
      <c r="E15395" s="3" t="inlineStr">
        <is>
          <t>Accounting Fees - CipC</t>
        </is>
      </c>
      <c r="F15395" s="3" t="n">
        <v>0</v>
      </c>
      <c r="G15395" s="3" t="n">
        <v>200</v>
      </c>
    </row>
    <row r="15396">
      <c r="A15396" s="3" t="inlineStr">
        <is>
          <t>Quinate Consulting (Pty) Ltd</t>
        </is>
      </c>
      <c r="B15396" s="4" t="n">
        <v>45169</v>
      </c>
      <c r="C15396" s="3" t="inlineStr">
        <is>
          <t>Expenses</t>
        </is>
      </c>
      <c r="D15396" s="3" t="inlineStr">
        <is>
          <t>3001/000</t>
        </is>
      </c>
      <c r="E15396" s="3" t="inlineStr">
        <is>
          <t>Accounting fees - Other</t>
        </is>
      </c>
      <c r="F15396" s="3" t="n">
        <v>0</v>
      </c>
      <c r="G15396" s="3" t="n">
        <v>6000</v>
      </c>
    </row>
    <row r="15397">
      <c r="A15397" s="3" t="inlineStr">
        <is>
          <t>Quinate Consulting (Pty) Ltd</t>
        </is>
      </c>
      <c r="B15397" s="4" t="n">
        <v>45169</v>
      </c>
      <c r="C15397" s="3" t="inlineStr">
        <is>
          <t>Expenses</t>
        </is>
      </c>
      <c r="D15397" s="3" t="inlineStr">
        <is>
          <t>3002/000</t>
        </is>
      </c>
      <c r="E15397" s="3" t="inlineStr">
        <is>
          <t>Accounting Fees - Tax Dept.</t>
        </is>
      </c>
      <c r="F15397" s="3" t="n">
        <v>0</v>
      </c>
      <c r="G15397" s="3" t="n">
        <v>540</v>
      </c>
    </row>
    <row r="15398">
      <c r="A15398" s="3" t="inlineStr">
        <is>
          <t>Opportunity Management Holdings (PTY) LTD</t>
        </is>
      </c>
      <c r="B15398" s="4" t="n">
        <v>45169</v>
      </c>
      <c r="C15398" s="3" t="inlineStr">
        <is>
          <t>Expenses</t>
        </is>
      </c>
      <c r="D15398" s="3" t="inlineStr">
        <is>
          <t>3004/000</t>
        </is>
      </c>
      <c r="E15398" s="3" t="inlineStr">
        <is>
          <t>Accounting fees - Janine Theart</t>
        </is>
      </c>
      <c r="F15398" s="3" t="n">
        <v>0</v>
      </c>
      <c r="G15398" s="3" t="n">
        <v>73432.16</v>
      </c>
    </row>
    <row r="15399">
      <c r="A15399" s="3" t="inlineStr">
        <is>
          <t>Opportunity Management Holdings (PTY) LTD</t>
        </is>
      </c>
      <c r="B15399" s="4" t="n">
        <v>45169</v>
      </c>
      <c r="C15399" s="3" t="inlineStr">
        <is>
          <t>Expenses</t>
        </is>
      </c>
      <c r="D15399" s="3" t="inlineStr">
        <is>
          <t>3005/000</t>
        </is>
      </c>
      <c r="E15399" s="3" t="inlineStr">
        <is>
          <t>Accounting fees - Deric Dudley</t>
        </is>
      </c>
      <c r="F15399" s="3" t="n">
        <v>56000</v>
      </c>
      <c r="G15399" s="3" t="n">
        <v>384000</v>
      </c>
    </row>
    <row r="15400">
      <c r="A15400" s="3" t="inlineStr">
        <is>
          <t>Opportunity Management Holdings (PTY) LTD</t>
        </is>
      </c>
      <c r="B15400" s="4" t="n">
        <v>45169</v>
      </c>
      <c r="C15400" s="3" t="inlineStr">
        <is>
          <t>Expenses</t>
        </is>
      </c>
      <c r="D15400" s="3" t="inlineStr">
        <is>
          <t>3006/000</t>
        </is>
      </c>
      <c r="E15400" s="3" t="inlineStr">
        <is>
          <t>Accounting fees - CIPC</t>
        </is>
      </c>
      <c r="F15400" s="3" t="n">
        <v>0</v>
      </c>
      <c r="G15400" s="3" t="n">
        <v>1850</v>
      </c>
    </row>
    <row r="15401">
      <c r="A15401" s="3" t="inlineStr">
        <is>
          <t>Opportunity Management Holdings (PTY) LTD</t>
        </is>
      </c>
      <c r="B15401" s="4" t="n">
        <v>45169</v>
      </c>
      <c r="C15401" s="3" t="inlineStr">
        <is>
          <t>Expenses</t>
        </is>
      </c>
      <c r="D15401" s="3" t="inlineStr">
        <is>
          <t>3007/000</t>
        </is>
      </c>
      <c r="E15401" s="3" t="inlineStr">
        <is>
          <t>Accounting fees - Warwick</t>
        </is>
      </c>
      <c r="F15401" s="3" t="n">
        <v>0</v>
      </c>
      <c r="G15401" s="3" t="n">
        <v>54000</v>
      </c>
    </row>
    <row r="15402">
      <c r="A15402" s="3" t="inlineStr">
        <is>
          <t>Endulini (Pty) Ltd</t>
        </is>
      </c>
      <c r="B15402" s="4" t="n">
        <v>45169</v>
      </c>
      <c r="C15402" s="3" t="inlineStr">
        <is>
          <t>Expenses</t>
        </is>
      </c>
      <c r="D15402" s="3" t="inlineStr">
        <is>
          <t>3050/000</t>
        </is>
      </c>
      <c r="E15402" s="3" t="inlineStr">
        <is>
          <t>Advertising _AND_ Promotions</t>
        </is>
      </c>
      <c r="F15402" s="3" t="n">
        <v>0</v>
      </c>
      <c r="G15402" s="3" t="n">
        <v>4180</v>
      </c>
    </row>
    <row r="15403">
      <c r="A15403" s="3" t="inlineStr">
        <is>
          <t>Noble Shield (Pty) Ltd ta Go Letting</t>
        </is>
      </c>
      <c r="B15403" s="4" t="n">
        <v>45169</v>
      </c>
      <c r="C15403" s="3" t="inlineStr">
        <is>
          <t>Expenses</t>
        </is>
      </c>
      <c r="D15403" s="3" t="inlineStr">
        <is>
          <t>3050/000</t>
        </is>
      </c>
      <c r="E15403" s="3" t="inlineStr">
        <is>
          <t>Advertising _AND_ Promotions</t>
        </is>
      </c>
      <c r="F15403" s="3" t="n">
        <v>0</v>
      </c>
      <c r="G15403" s="3" t="n">
        <v>2394.99</v>
      </c>
    </row>
    <row r="15404">
      <c r="A15404" s="3" t="inlineStr">
        <is>
          <t>Opportunity Management Holdings (PTY) LTD</t>
        </is>
      </c>
      <c r="B15404" s="4" t="n">
        <v>45169</v>
      </c>
      <c r="C15404" s="3" t="inlineStr">
        <is>
          <t>Expenses</t>
        </is>
      </c>
      <c r="D15404" s="3" t="inlineStr">
        <is>
          <t>3050/000</t>
        </is>
      </c>
      <c r="E15404" s="3" t="inlineStr">
        <is>
          <t>Advertising _AND_ Promotions</t>
        </is>
      </c>
      <c r="F15404" s="3" t="n">
        <v>0</v>
      </c>
      <c r="G15404" s="3" t="n">
        <v>500</v>
      </c>
    </row>
    <row r="15405">
      <c r="A15405" s="3" t="inlineStr">
        <is>
          <t>Trademark Holdings (Pty) Ltd</t>
        </is>
      </c>
      <c r="B15405" s="4" t="n">
        <v>45169</v>
      </c>
      <c r="C15405" s="3" t="inlineStr">
        <is>
          <t>Expenses</t>
        </is>
      </c>
      <c r="D15405" s="3" t="inlineStr">
        <is>
          <t>3050/000</t>
        </is>
      </c>
      <c r="E15405" s="3" t="inlineStr">
        <is>
          <t>Advertising _AND_ Promotions</t>
        </is>
      </c>
      <c r="F15405" s="3" t="n">
        <v>0</v>
      </c>
      <c r="G15405" s="3" t="n">
        <v>6852.5</v>
      </c>
    </row>
    <row r="15406">
      <c r="A15406" s="3" t="inlineStr">
        <is>
          <t>Opportunity Global Investment (PTY) LTD</t>
        </is>
      </c>
      <c r="B15406" s="4" t="n">
        <v>45169</v>
      </c>
      <c r="C15406" s="3" t="inlineStr">
        <is>
          <t>Expenses</t>
        </is>
      </c>
      <c r="D15406" s="3" t="inlineStr">
        <is>
          <t>3050/000</t>
        </is>
      </c>
      <c r="E15406" s="3" t="inlineStr">
        <is>
          <t>Advertising and Promotions</t>
        </is>
      </c>
      <c r="F15406" s="3" t="n">
        <v>1095.64</v>
      </c>
      <c r="G15406" s="3" t="n">
        <v>3032.56</v>
      </c>
    </row>
    <row r="15407">
      <c r="A15407" s="3" t="inlineStr">
        <is>
          <t>Opportunity Global Sales (PTY) LTD</t>
        </is>
      </c>
      <c r="B15407" s="4" t="n">
        <v>45169</v>
      </c>
      <c r="C15407" s="3" t="inlineStr">
        <is>
          <t>Expenses</t>
        </is>
      </c>
      <c r="D15407" s="3" t="inlineStr">
        <is>
          <t>3050/000</t>
        </is>
      </c>
      <c r="E15407" s="3" t="inlineStr">
        <is>
          <t>Advertising and Promotions</t>
        </is>
      </c>
      <c r="F15407" s="3" t="n">
        <v>0</v>
      </c>
      <c r="G15407" s="3" t="n">
        <v>18164.18</v>
      </c>
    </row>
    <row r="15408">
      <c r="A15408" s="3" t="inlineStr">
        <is>
          <t>Endulini (Pty) Ltd</t>
        </is>
      </c>
      <c r="B15408" s="4" t="n">
        <v>45169</v>
      </c>
      <c r="C15408" s="3" t="inlineStr">
        <is>
          <t>Expenses</t>
        </is>
      </c>
      <c r="D15408" s="3" t="inlineStr">
        <is>
          <t>3050/001</t>
        </is>
      </c>
      <c r="E15408" s="3" t="inlineStr">
        <is>
          <t>Advertising _AND_ Promotions - Media Agenda</t>
        </is>
      </c>
      <c r="F15408" s="3" t="n">
        <v>0</v>
      </c>
      <c r="G15408" s="3" t="n">
        <v>4312.5</v>
      </c>
    </row>
    <row r="15409">
      <c r="A15409" s="3" t="inlineStr">
        <is>
          <t>Noble Shield (Pty) Ltd ta Go Letting</t>
        </is>
      </c>
      <c r="B15409" s="4" t="n">
        <v>45169</v>
      </c>
      <c r="C15409" s="3" t="inlineStr">
        <is>
          <t>Expenses</t>
        </is>
      </c>
      <c r="D15409" s="3" t="inlineStr">
        <is>
          <t>3050/038</t>
        </is>
      </c>
      <c r="E15409" s="3" t="inlineStr">
        <is>
          <t>Advertsing - Show Boards</t>
        </is>
      </c>
      <c r="F15409" s="3" t="n">
        <v>0</v>
      </c>
      <c r="G15409" s="3" t="n">
        <v>5520</v>
      </c>
    </row>
    <row r="15410">
      <c r="A15410" s="3" t="inlineStr">
        <is>
          <t>Noble Shield (Pty) Ltd ta Go Letting</t>
        </is>
      </c>
      <c r="B15410" s="4" t="n">
        <v>45169</v>
      </c>
      <c r="C15410" s="3" t="inlineStr">
        <is>
          <t>Expenses</t>
        </is>
      </c>
      <c r="D15410" s="3" t="inlineStr">
        <is>
          <t>3050/050</t>
        </is>
      </c>
      <c r="E15410" s="3" t="inlineStr">
        <is>
          <t>Advertising - Prop 24</t>
        </is>
      </c>
      <c r="F15410" s="3" t="n">
        <v>3336.15</v>
      </c>
      <c r="G15410" s="3" t="n">
        <v>39980.9</v>
      </c>
    </row>
    <row r="15411">
      <c r="A15411" s="3" t="inlineStr">
        <is>
          <t>Opportunity Global Sales (PTY) LTD</t>
        </is>
      </c>
      <c r="B15411" s="4" t="n">
        <v>45169</v>
      </c>
      <c r="C15411" s="3" t="inlineStr">
        <is>
          <t>Expenses</t>
        </is>
      </c>
      <c r="D15411" s="3" t="inlineStr">
        <is>
          <t>3050/100</t>
        </is>
      </c>
      <c r="E15411" s="3" t="inlineStr">
        <is>
          <t>Advertising - Facebook</t>
        </is>
      </c>
      <c r="F15411" s="3" t="n">
        <v>0</v>
      </c>
      <c r="G15411" s="3" t="n">
        <v>2279.78</v>
      </c>
    </row>
    <row r="15412">
      <c r="A15412" s="3" t="inlineStr">
        <is>
          <t>Opportunity Global Sales (PTY) LTD</t>
        </is>
      </c>
      <c r="B15412" s="4" t="n">
        <v>45169</v>
      </c>
      <c r="C15412" s="3" t="inlineStr">
        <is>
          <t>Expenses</t>
        </is>
      </c>
      <c r="D15412" s="3" t="inlineStr">
        <is>
          <t>3050/140</t>
        </is>
      </c>
      <c r="E15412" s="3" t="inlineStr">
        <is>
          <t>Advertising - Media Agenda</t>
        </is>
      </c>
      <c r="F15412" s="3" t="n">
        <v>3000</v>
      </c>
      <c r="G15412" s="3" t="n">
        <v>13912.5</v>
      </c>
    </row>
    <row r="15413">
      <c r="A15413" s="3" t="inlineStr">
        <is>
          <t>Opportunity Global Sales (PTY) LTD</t>
        </is>
      </c>
      <c r="B15413" s="4" t="n">
        <v>45169</v>
      </c>
      <c r="C15413" s="3" t="inlineStr">
        <is>
          <t>Expenses</t>
        </is>
      </c>
      <c r="D15413" s="3" t="inlineStr">
        <is>
          <t>3050/200</t>
        </is>
      </c>
      <c r="E15413" s="3" t="inlineStr">
        <is>
          <t>Advertising - Design</t>
        </is>
      </c>
      <c r="F15413" s="3" t="n">
        <v>0</v>
      </c>
      <c r="G15413" s="3" t="n">
        <v>35000</v>
      </c>
    </row>
    <row r="15414">
      <c r="A15414" s="3" t="inlineStr">
        <is>
          <t>Opportunity Global Investment (PTY) LTD</t>
        </is>
      </c>
      <c r="B15414" s="4" t="n">
        <v>45169</v>
      </c>
      <c r="C15414" s="3" t="inlineStr">
        <is>
          <t>Expenses</t>
        </is>
      </c>
      <c r="D15414" s="3" t="inlineStr">
        <is>
          <t>3050/230</t>
        </is>
      </c>
      <c r="E15414" s="3" t="inlineStr">
        <is>
          <t>Advertising - Link on Advertising</t>
        </is>
      </c>
      <c r="F15414" s="3" t="n">
        <v>395</v>
      </c>
      <c r="G15414" s="3" t="n">
        <v>395</v>
      </c>
    </row>
    <row r="15415">
      <c r="A15415" s="3" t="inlineStr">
        <is>
          <t>Opportunity Global Investment (PTY) LTD</t>
        </is>
      </c>
      <c r="B15415" s="4" t="n">
        <v>45169</v>
      </c>
      <c r="C15415" s="3" t="inlineStr">
        <is>
          <t>Expenses</t>
        </is>
      </c>
      <c r="D15415" s="3" t="inlineStr">
        <is>
          <t>3050/240</t>
        </is>
      </c>
      <c r="E15415" s="3" t="inlineStr">
        <is>
          <t>Advertising - Realmarketing</t>
        </is>
      </c>
      <c r="F15415" s="3" t="n">
        <v>7000</v>
      </c>
      <c r="G15415" s="3" t="n">
        <v>53000</v>
      </c>
    </row>
    <row r="15416">
      <c r="A15416" s="3" t="inlineStr">
        <is>
          <t>Opportunity Global Investment (PTY) LTD</t>
        </is>
      </c>
      <c r="B15416" s="4" t="n">
        <v>45169</v>
      </c>
      <c r="C15416" s="3" t="inlineStr">
        <is>
          <t>Expenses</t>
        </is>
      </c>
      <c r="D15416" s="3" t="inlineStr">
        <is>
          <t>3050/250</t>
        </is>
      </c>
      <c r="E15416" s="3" t="inlineStr">
        <is>
          <t>Advertising - General</t>
        </is>
      </c>
      <c r="F15416" s="3" t="n">
        <v>1740</v>
      </c>
      <c r="G15416" s="3" t="n">
        <v>52599.6</v>
      </c>
    </row>
    <row r="15417">
      <c r="A15417" s="3" t="inlineStr">
        <is>
          <t>Opportunity Global Sales (PTY) LTD</t>
        </is>
      </c>
      <c r="B15417" s="4" t="n">
        <v>45169</v>
      </c>
      <c r="C15417" s="3" t="inlineStr">
        <is>
          <t>Expenses</t>
        </is>
      </c>
      <c r="D15417" s="3" t="inlineStr">
        <is>
          <t>3050/250</t>
        </is>
      </c>
      <c r="E15417" s="3" t="inlineStr">
        <is>
          <t>Advertising - General</t>
        </is>
      </c>
      <c r="F15417" s="3" t="n">
        <v>0</v>
      </c>
      <c r="G15417" s="3" t="n">
        <v>3799.94</v>
      </c>
    </row>
    <row r="15418">
      <c r="A15418" s="3" t="inlineStr">
        <is>
          <t>Opportunity Global Investment (PTY) LTD</t>
        </is>
      </c>
      <c r="B15418" s="4" t="n">
        <v>45169</v>
      </c>
      <c r="C15418" s="3" t="inlineStr">
        <is>
          <t>Expenses</t>
        </is>
      </c>
      <c r="D15418" s="3" t="inlineStr">
        <is>
          <t>3050/270</t>
        </is>
      </c>
      <c r="E15418" s="3" t="inlineStr">
        <is>
          <t>Advertising - Radia and TV Interviews</t>
        </is>
      </c>
      <c r="F15418" s="3" t="n">
        <v>0</v>
      </c>
      <c r="G15418" s="3" t="n">
        <v>78797.5</v>
      </c>
    </row>
    <row r="15419">
      <c r="A15419" s="3" t="inlineStr">
        <is>
          <t>Opportunity Global Investment (PTY) LTD</t>
        </is>
      </c>
      <c r="B15419" s="4" t="n">
        <v>45169</v>
      </c>
      <c r="C15419" s="3" t="inlineStr">
        <is>
          <t>Expenses</t>
        </is>
      </c>
      <c r="D15419" s="3" t="inlineStr">
        <is>
          <t>3050/290</t>
        </is>
      </c>
      <c r="E15419" s="3" t="inlineStr">
        <is>
          <t>Advertising - Serene Living</t>
        </is>
      </c>
      <c r="F15419" s="3" t="n">
        <v>65086</v>
      </c>
      <c r="G15419" s="3" t="n">
        <v>390516</v>
      </c>
    </row>
    <row r="15420">
      <c r="A15420" s="3" t="inlineStr">
        <is>
          <t>Opportunity Global Investment (PTY) LTD</t>
        </is>
      </c>
      <c r="B15420" s="4" t="n">
        <v>45169</v>
      </c>
      <c r="C15420" s="3" t="inlineStr">
        <is>
          <t>Expenses</t>
        </is>
      </c>
      <c r="D15420" s="3" t="inlineStr">
        <is>
          <t>3050/295</t>
        </is>
      </c>
      <c r="E15420" s="3" t="inlineStr">
        <is>
          <t>Advertising - Reale Activation</t>
        </is>
      </c>
      <c r="F15420" s="3" t="n">
        <v>0</v>
      </c>
      <c r="G15420" s="3" t="n">
        <v>30397.22</v>
      </c>
    </row>
    <row r="15421">
      <c r="A15421" s="3" t="inlineStr">
        <is>
          <t>Opportunity Global Investment (PTY) LTD</t>
        </is>
      </c>
      <c r="B15421" s="4" t="n">
        <v>45169</v>
      </c>
      <c r="C15421" s="3" t="inlineStr">
        <is>
          <t>Expenses</t>
        </is>
      </c>
      <c r="D15421" s="3" t="inlineStr">
        <is>
          <t>3050/300</t>
        </is>
      </c>
      <c r="E15421" s="3" t="inlineStr">
        <is>
          <t>Advertising - Design</t>
        </is>
      </c>
      <c r="F15421" s="3" t="n">
        <v>0</v>
      </c>
      <c r="G15421" s="3" t="n">
        <v>5850</v>
      </c>
    </row>
    <row r="15422">
      <c r="A15422" s="3" t="inlineStr">
        <is>
          <t>Endulini (Pty) Ltd</t>
        </is>
      </c>
      <c r="B15422" s="4" t="n">
        <v>45169</v>
      </c>
      <c r="C15422" s="3" t="inlineStr">
        <is>
          <t>Expenses</t>
        </is>
      </c>
      <c r="D15422" s="3" t="inlineStr">
        <is>
          <t>3050/300</t>
        </is>
      </c>
      <c r="E15422" s="3" t="inlineStr">
        <is>
          <t>Advertiving - Real Marketing</t>
        </is>
      </c>
      <c r="F15422" s="3" t="n">
        <v>10250</v>
      </c>
      <c r="G15422" s="3" t="n">
        <v>10250</v>
      </c>
    </row>
    <row r="15423">
      <c r="A15423" s="3" t="inlineStr">
        <is>
          <t>Quinate Consulting (Pty) Ltd</t>
        </is>
      </c>
      <c r="B15423" s="4" t="n">
        <v>45169</v>
      </c>
      <c r="C15423" s="3" t="inlineStr">
        <is>
          <t>Expenses</t>
        </is>
      </c>
      <c r="D15423" s="3" t="inlineStr">
        <is>
          <t>3050/400</t>
        </is>
      </c>
      <c r="E15423" s="3" t="inlineStr">
        <is>
          <t>Advertising - Prop24</t>
        </is>
      </c>
      <c r="F15423" s="3" t="n">
        <v>11241</v>
      </c>
      <c r="G15423" s="3" t="n">
        <v>67754.5</v>
      </c>
    </row>
    <row r="15424">
      <c r="A15424" s="3" t="inlineStr">
        <is>
          <t>Opportunity Global Sales (PTY) LTD</t>
        </is>
      </c>
      <c r="B15424" s="4" t="n">
        <v>45169</v>
      </c>
      <c r="C15424" s="3" t="inlineStr">
        <is>
          <t>Expenses</t>
        </is>
      </c>
      <c r="D15424" s="3" t="inlineStr">
        <is>
          <t>3050/400</t>
        </is>
      </c>
      <c r="E15424" s="3" t="inlineStr">
        <is>
          <t>Repairs &amp; Maintenance Heron sales office</t>
        </is>
      </c>
      <c r="F15424" s="3" t="n">
        <v>196.5</v>
      </c>
      <c r="G15424" s="3" t="n">
        <v>196.5</v>
      </c>
    </row>
    <row r="15425">
      <c r="A15425" s="3" t="inlineStr">
        <is>
          <t>Quinate Consulting (Pty) Ltd</t>
        </is>
      </c>
      <c r="B15425" s="4" t="n">
        <v>45169</v>
      </c>
      <c r="C15425" s="3" t="inlineStr">
        <is>
          <t>Expenses</t>
        </is>
      </c>
      <c r="D15425" s="3" t="inlineStr">
        <is>
          <t>3050/450</t>
        </is>
      </c>
      <c r="E15425" s="3" t="inlineStr">
        <is>
          <t>Advertising - Facebook</t>
        </is>
      </c>
      <c r="F15425" s="3" t="n">
        <v>2934.67</v>
      </c>
      <c r="G15425" s="3" t="n">
        <v>51955.16</v>
      </c>
    </row>
    <row r="15426">
      <c r="A15426" s="3" t="inlineStr">
        <is>
          <t>Opportunity Global Investment (PTY) LTD</t>
        </is>
      </c>
      <c r="B15426" s="4" t="n">
        <v>45169</v>
      </c>
      <c r="C15426" s="3" t="inlineStr">
        <is>
          <t>Expenses</t>
        </is>
      </c>
      <c r="D15426" s="3" t="inlineStr">
        <is>
          <t>3051/000</t>
        </is>
      </c>
      <c r="E15426" s="3" t="inlineStr">
        <is>
          <t>Advertising - Facebook</t>
        </is>
      </c>
      <c r="F15426" s="3" t="n">
        <v>12565.01</v>
      </c>
      <c r="G15426" s="3" t="n">
        <v>96697.31</v>
      </c>
    </row>
    <row r="15427">
      <c r="A15427" s="3" t="inlineStr">
        <is>
          <t>Opportunity Management Holdings (PTY) LTD</t>
        </is>
      </c>
      <c r="B15427" s="4" t="n">
        <v>45169</v>
      </c>
      <c r="C15427" s="3" t="inlineStr">
        <is>
          <t>Expenses</t>
        </is>
      </c>
      <c r="D15427" s="3" t="inlineStr">
        <is>
          <t>3052/000</t>
        </is>
      </c>
      <c r="E15427" s="3" t="inlineStr">
        <is>
          <t>Advertsing _AND_ Marketing - Website</t>
        </is>
      </c>
      <c r="F15427" s="3" t="n">
        <v>0</v>
      </c>
      <c r="G15427" s="3" t="n">
        <v>287.5</v>
      </c>
    </row>
    <row r="15428">
      <c r="A15428" s="3" t="inlineStr">
        <is>
          <t>Opportunity Global Investment (PTY) LTD</t>
        </is>
      </c>
      <c r="B15428" s="4" t="n">
        <v>45169</v>
      </c>
      <c r="C15428" s="3" t="inlineStr">
        <is>
          <t>Expenses</t>
        </is>
      </c>
      <c r="D15428" s="3" t="inlineStr">
        <is>
          <t>3053/000</t>
        </is>
      </c>
      <c r="E15428" s="3" t="inlineStr">
        <is>
          <t>Advertising - Google Ads</t>
        </is>
      </c>
      <c r="F15428" s="3" t="n">
        <v>915.8200000000001</v>
      </c>
      <c r="G15428" s="3" t="n">
        <v>6503.35</v>
      </c>
    </row>
    <row r="15429">
      <c r="A15429" s="3" t="inlineStr">
        <is>
          <t>Endulini (Pty) Ltd</t>
        </is>
      </c>
      <c r="B15429" s="4" t="n">
        <v>45169</v>
      </c>
      <c r="C15429" s="3" t="inlineStr">
        <is>
          <t>Expenses</t>
        </is>
      </c>
      <c r="D15429" s="3" t="inlineStr">
        <is>
          <t>3200/000</t>
        </is>
      </c>
      <c r="E15429" s="3" t="inlineStr">
        <is>
          <t>Bank Charges</t>
        </is>
      </c>
      <c r="F15429" s="3" t="n">
        <v>119.02</v>
      </c>
      <c r="G15429" s="3" t="n">
        <v>1331.96</v>
      </c>
    </row>
    <row r="15430">
      <c r="A15430" s="3" t="inlineStr">
        <is>
          <t>Noble Shield (Pty) Ltd ta Go Letting</t>
        </is>
      </c>
      <c r="B15430" s="4" t="n">
        <v>45169</v>
      </c>
      <c r="C15430" s="3" t="inlineStr">
        <is>
          <t>Expenses</t>
        </is>
      </c>
      <c r="D15430" s="3" t="inlineStr">
        <is>
          <t>3200/000</t>
        </is>
      </c>
      <c r="E15430" s="3" t="inlineStr">
        <is>
          <t>Bank Charges</t>
        </is>
      </c>
      <c r="F15430" s="3" t="n">
        <v>701.85</v>
      </c>
      <c r="G15430" s="3" t="n">
        <v>7787.5</v>
      </c>
    </row>
    <row r="15431">
      <c r="A15431" s="3" t="inlineStr">
        <is>
          <t>Opportunity Global Investment (PTY) LTD</t>
        </is>
      </c>
      <c r="B15431" s="4" t="n">
        <v>45169</v>
      </c>
      <c r="C15431" s="3" t="inlineStr">
        <is>
          <t>Expenses</t>
        </is>
      </c>
      <c r="D15431" s="3" t="inlineStr">
        <is>
          <t>3200/000</t>
        </is>
      </c>
      <c r="E15431" s="3" t="inlineStr">
        <is>
          <t>Bank Charges</t>
        </is>
      </c>
      <c r="F15431" s="3" t="n">
        <v>629.95</v>
      </c>
      <c r="G15431" s="3" t="n">
        <v>2789.83</v>
      </c>
    </row>
    <row r="15432">
      <c r="A15432" s="3" t="inlineStr">
        <is>
          <t>Opportunity Global Sales (PTY) LTD</t>
        </is>
      </c>
      <c r="B15432" s="4" t="n">
        <v>45169</v>
      </c>
      <c r="C15432" s="3" t="inlineStr">
        <is>
          <t>Expenses</t>
        </is>
      </c>
      <c r="D15432" s="3" t="inlineStr">
        <is>
          <t>3200/000</t>
        </is>
      </c>
      <c r="E15432" s="3" t="inlineStr">
        <is>
          <t>Bank Charges</t>
        </is>
      </c>
      <c r="F15432" s="3" t="n">
        <v>359.6</v>
      </c>
      <c r="G15432" s="3" t="n">
        <v>2763.1</v>
      </c>
    </row>
    <row r="15433">
      <c r="A15433" s="3" t="inlineStr">
        <is>
          <t>Opportunity Management Holdings (PTY) LTD</t>
        </is>
      </c>
      <c r="B15433" s="4" t="n">
        <v>45169</v>
      </c>
      <c r="C15433" s="3" t="inlineStr">
        <is>
          <t>Expenses</t>
        </is>
      </c>
      <c r="D15433" s="3" t="inlineStr">
        <is>
          <t>3200/000</t>
        </is>
      </c>
      <c r="E15433" s="3" t="inlineStr">
        <is>
          <t>Bank Charges</t>
        </is>
      </c>
      <c r="F15433" s="3" t="n">
        <v>905.23</v>
      </c>
      <c r="G15433" s="3" t="n">
        <v>9611.08</v>
      </c>
    </row>
    <row r="15434">
      <c r="A15434" s="3" t="inlineStr">
        <is>
          <t>Quinate Consulting (Pty) Ltd</t>
        </is>
      </c>
      <c r="B15434" s="4" t="n">
        <v>45169</v>
      </c>
      <c r="C15434" s="3" t="inlineStr">
        <is>
          <t>Expenses</t>
        </is>
      </c>
      <c r="D15434" s="3" t="inlineStr">
        <is>
          <t>3200/000</t>
        </is>
      </c>
      <c r="E15434" s="3" t="inlineStr">
        <is>
          <t>Bank Charges</t>
        </is>
      </c>
      <c r="F15434" s="3" t="n">
        <v>485.39</v>
      </c>
      <c r="G15434" s="3" t="n">
        <v>5284.26</v>
      </c>
    </row>
    <row r="15435">
      <c r="A15435" s="3" t="inlineStr">
        <is>
          <t>Trademark Holdings (Pty) Ltd</t>
        </is>
      </c>
      <c r="B15435" s="4" t="n">
        <v>45169</v>
      </c>
      <c r="C15435" s="3" t="inlineStr">
        <is>
          <t>Expenses</t>
        </is>
      </c>
      <c r="D15435" s="3" t="inlineStr">
        <is>
          <t>3200/000</t>
        </is>
      </c>
      <c r="E15435" s="3" t="inlineStr">
        <is>
          <t>Bank Charges</t>
        </is>
      </c>
      <c r="F15435" s="3" t="n">
        <v>422.77</v>
      </c>
      <c r="G15435" s="3" t="n">
        <v>4345.91</v>
      </c>
    </row>
    <row r="15436">
      <c r="A15436" s="3" t="inlineStr">
        <is>
          <t>Quinate Consulting (Pty) Ltd</t>
        </is>
      </c>
      <c r="B15436" s="4" t="n">
        <v>45169</v>
      </c>
      <c r="C15436" s="3" t="inlineStr">
        <is>
          <t>Expenses</t>
        </is>
      </c>
      <c r="D15436" s="3" t="inlineStr">
        <is>
          <t>3220/000</t>
        </is>
      </c>
      <c r="E15436" s="3" t="inlineStr">
        <is>
          <t>Bank Charges - Bond Fees</t>
        </is>
      </c>
      <c r="F15436" s="3" t="n">
        <v>1191.32</v>
      </c>
      <c r="G15436" s="3" t="n">
        <v>6704.46</v>
      </c>
    </row>
    <row r="15437">
      <c r="A15437" s="3" t="inlineStr">
        <is>
          <t>Noble Shield (Pty) Ltd ta Go Letting</t>
        </is>
      </c>
      <c r="B15437" s="4" t="n">
        <v>45169</v>
      </c>
      <c r="C15437" s="3" t="inlineStr">
        <is>
          <t>Expenses</t>
        </is>
      </c>
      <c r="D15437" s="3" t="inlineStr">
        <is>
          <t>3230/000</t>
        </is>
      </c>
      <c r="E15437" s="3" t="inlineStr">
        <is>
          <t>Cell Phone - NM</t>
        </is>
      </c>
      <c r="F15437" s="3" t="n">
        <v>-24503.33</v>
      </c>
      <c r="G15437" s="3" t="n">
        <v>0</v>
      </c>
    </row>
    <row r="15438">
      <c r="A15438" s="3" t="inlineStr">
        <is>
          <t>Noble Shield (Pty) Ltd ta Go Letting</t>
        </is>
      </c>
      <c r="B15438" s="4" t="n">
        <v>45169</v>
      </c>
      <c r="C15438" s="3" t="inlineStr">
        <is>
          <t>Expenses</t>
        </is>
      </c>
      <c r="D15438" s="3" t="inlineStr">
        <is>
          <t>3233/000</t>
        </is>
      </c>
      <c r="E15438" s="3" t="inlineStr">
        <is>
          <t>Cell Data - Other</t>
        </is>
      </c>
      <c r="F15438" s="3" t="n">
        <v>0</v>
      </c>
      <c r="G15438" s="3" t="n">
        <v>2189</v>
      </c>
    </row>
    <row r="15439">
      <c r="A15439" s="3" t="inlineStr">
        <is>
          <t>Noble Shield (Pty) Ltd ta Go Letting</t>
        </is>
      </c>
      <c r="B15439" s="4" t="n">
        <v>45169</v>
      </c>
      <c r="C15439" s="3" t="inlineStr">
        <is>
          <t>Expenses</t>
        </is>
      </c>
      <c r="D15439" s="3" t="inlineStr">
        <is>
          <t>3233/100</t>
        </is>
      </c>
      <c r="E15439" s="3" t="inlineStr">
        <is>
          <t>Cell Data - Sales office Wifi</t>
        </is>
      </c>
      <c r="F15439" s="3" t="n">
        <v>-4123</v>
      </c>
      <c r="G15439" s="3" t="n">
        <v>0</v>
      </c>
    </row>
    <row r="15440">
      <c r="A15440" s="3" t="inlineStr">
        <is>
          <t>Noble Shield (Pty) Ltd ta Go Letting</t>
        </is>
      </c>
      <c r="B15440" s="4" t="n">
        <v>45169</v>
      </c>
      <c r="C15440" s="3" t="inlineStr">
        <is>
          <t>Expenses</t>
        </is>
      </c>
      <c r="D15440" s="3" t="inlineStr">
        <is>
          <t>3250/000</t>
        </is>
      </c>
      <c r="E15440" s="3" t="inlineStr">
        <is>
          <t>Cleaning</t>
        </is>
      </c>
      <c r="F15440" s="3" t="n">
        <v>0</v>
      </c>
      <c r="G15440" s="3" t="n">
        <v>289.4</v>
      </c>
    </row>
    <row r="15441">
      <c r="A15441" s="3" t="inlineStr">
        <is>
          <t>Opportunity Global Investment (PTY) LTD</t>
        </is>
      </c>
      <c r="B15441" s="4" t="n">
        <v>45169</v>
      </c>
      <c r="C15441" s="3" t="inlineStr">
        <is>
          <t>Expenses</t>
        </is>
      </c>
      <c r="D15441" s="3" t="inlineStr">
        <is>
          <t>3250/000</t>
        </is>
      </c>
      <c r="E15441" s="3" t="inlineStr">
        <is>
          <t>Cleaning</t>
        </is>
      </c>
      <c r="F15441" s="3" t="n">
        <v>2700</v>
      </c>
      <c r="G15441" s="3" t="n">
        <v>16200</v>
      </c>
    </row>
    <row r="15442">
      <c r="A15442" s="3" t="inlineStr">
        <is>
          <t>Opportunity Management Holdings (PTY) LTD</t>
        </is>
      </c>
      <c r="B15442" s="4" t="n">
        <v>45169</v>
      </c>
      <c r="C15442" s="3" t="inlineStr">
        <is>
          <t>Expenses</t>
        </is>
      </c>
      <c r="D15442" s="3" t="inlineStr">
        <is>
          <t>3250/000</t>
        </is>
      </c>
      <c r="E15442" s="3" t="inlineStr">
        <is>
          <t>Cleaning</t>
        </is>
      </c>
      <c r="F15442" s="3" t="n">
        <v>2555.64</v>
      </c>
      <c r="G15442" s="3" t="n">
        <v>28576.35</v>
      </c>
    </row>
    <row r="15443">
      <c r="A15443" s="3" t="inlineStr">
        <is>
          <t>Trademark Holdings (Pty) Ltd</t>
        </is>
      </c>
      <c r="B15443" s="4" t="n">
        <v>45169</v>
      </c>
      <c r="C15443" s="3" t="inlineStr">
        <is>
          <t>Expenses</t>
        </is>
      </c>
      <c r="D15443" s="3" t="inlineStr">
        <is>
          <t>3250/000</t>
        </is>
      </c>
      <c r="E15443" s="3" t="inlineStr">
        <is>
          <t>Cleaning</t>
        </is>
      </c>
      <c r="F15443" s="3" t="n">
        <v>1144</v>
      </c>
      <c r="G15443" s="3" t="n">
        <v>12298</v>
      </c>
    </row>
    <row r="15444">
      <c r="A15444" s="3" t="inlineStr">
        <is>
          <t>Noble Shield (Pty) Ltd ta Go Letting</t>
        </is>
      </c>
      <c r="B15444" s="4" t="n">
        <v>45169</v>
      </c>
      <c r="C15444" s="3" t="inlineStr">
        <is>
          <t>Expenses</t>
        </is>
      </c>
      <c r="D15444" s="3" t="inlineStr">
        <is>
          <t>3300/000</t>
        </is>
      </c>
      <c r="E15444" s="3" t="inlineStr">
        <is>
          <t>Computer Expenses</t>
        </is>
      </c>
      <c r="F15444" s="3" t="n">
        <v>0</v>
      </c>
      <c r="G15444" s="3" t="n">
        <v>1300</v>
      </c>
    </row>
    <row r="15445">
      <c r="A15445" s="3" t="inlineStr">
        <is>
          <t>Opportunity Global Investment (PTY) LTD</t>
        </is>
      </c>
      <c r="B15445" s="4" t="n">
        <v>45169</v>
      </c>
      <c r="C15445" s="3" t="inlineStr">
        <is>
          <t>Expenses</t>
        </is>
      </c>
      <c r="D15445" s="3" t="inlineStr">
        <is>
          <t>3300/000</t>
        </is>
      </c>
      <c r="E15445" s="3" t="inlineStr">
        <is>
          <t>Computer Expenses</t>
        </is>
      </c>
      <c r="F15445" s="3" t="n">
        <v>0</v>
      </c>
      <c r="G15445" s="3" t="n">
        <v>1350</v>
      </c>
    </row>
    <row r="15446">
      <c r="A15446" s="3" t="inlineStr">
        <is>
          <t>Opportunity Management Holdings (PTY) LTD</t>
        </is>
      </c>
      <c r="B15446" s="4" t="n">
        <v>45169</v>
      </c>
      <c r="C15446" s="3" t="inlineStr">
        <is>
          <t>Expenses</t>
        </is>
      </c>
      <c r="D15446" s="3" t="inlineStr">
        <is>
          <t>3300/000</t>
        </is>
      </c>
      <c r="E15446" s="3" t="inlineStr">
        <is>
          <t>Computer Expenses</t>
        </is>
      </c>
      <c r="F15446" s="3" t="n">
        <v>1629.82</v>
      </c>
      <c r="G15446" s="3" t="n">
        <v>9461.73</v>
      </c>
    </row>
    <row r="15447">
      <c r="A15447" s="3" t="inlineStr">
        <is>
          <t>Noble Shield (Pty) Ltd ta Go Letting</t>
        </is>
      </c>
      <c r="B15447" s="4" t="n">
        <v>45169</v>
      </c>
      <c r="C15447" s="3" t="inlineStr">
        <is>
          <t>Expenses</t>
        </is>
      </c>
      <c r="D15447" s="3" t="inlineStr">
        <is>
          <t>3300/100</t>
        </is>
      </c>
      <c r="E15447" s="3" t="inlineStr">
        <is>
          <t>Computer - Maintenance</t>
        </is>
      </c>
      <c r="F15447" s="3" t="n">
        <v>0</v>
      </c>
      <c r="G15447" s="3" t="n">
        <v>2395</v>
      </c>
    </row>
    <row r="15448">
      <c r="A15448" s="3" t="inlineStr">
        <is>
          <t>Noble Shield (Pty) Ltd ta Go Letting</t>
        </is>
      </c>
      <c r="B15448" s="4" t="n">
        <v>45169</v>
      </c>
      <c r="C15448" s="3" t="inlineStr">
        <is>
          <t>Expenses</t>
        </is>
      </c>
      <c r="D15448" s="3" t="inlineStr">
        <is>
          <t>3300/120</t>
        </is>
      </c>
      <c r="E15448" s="3" t="inlineStr">
        <is>
          <t>Computer IT - Software Propworx</t>
        </is>
      </c>
      <c r="F15448" s="3" t="n">
        <v>-23764.75</v>
      </c>
      <c r="G15448" s="3" t="n">
        <v>0</v>
      </c>
    </row>
    <row r="15449">
      <c r="A15449" s="3" t="inlineStr">
        <is>
          <t>Trademark Holdings (Pty) Ltd</t>
        </is>
      </c>
      <c r="B15449" s="4" t="n">
        <v>45169</v>
      </c>
      <c r="C15449" s="3" t="inlineStr">
        <is>
          <t>Expenses</t>
        </is>
      </c>
      <c r="D15449" s="3" t="inlineStr">
        <is>
          <t>3300/130</t>
        </is>
      </c>
      <c r="E15449" s="3" t="inlineStr">
        <is>
          <t>Computer IT - Internet/Hosting Fees</t>
        </is>
      </c>
      <c r="F15449" s="3" t="n">
        <v>0</v>
      </c>
      <c r="G15449" s="3" t="n">
        <v>-3599.5</v>
      </c>
    </row>
    <row r="15450">
      <c r="A15450" s="3" t="inlineStr">
        <is>
          <t>Opportunity Management Holdings (PTY) LTD</t>
        </is>
      </c>
      <c r="B15450" s="4" t="n">
        <v>45169</v>
      </c>
      <c r="C15450" s="3" t="inlineStr">
        <is>
          <t>Expenses</t>
        </is>
      </c>
      <c r="D15450" s="3" t="inlineStr">
        <is>
          <t>3300/140</t>
        </is>
      </c>
      <c r="E15450" s="3" t="inlineStr">
        <is>
          <t>Computer IT</t>
        </is>
      </c>
      <c r="F15450" s="3" t="n">
        <v>0</v>
      </c>
      <c r="G15450" s="3" t="n">
        <v>22364.04</v>
      </c>
    </row>
    <row r="15451">
      <c r="A15451" s="3" t="inlineStr">
        <is>
          <t>Trademark Holdings (Pty) Ltd</t>
        </is>
      </c>
      <c r="B15451" s="4" t="n">
        <v>45169</v>
      </c>
      <c r="C15451" s="3" t="inlineStr">
        <is>
          <t>Expenses</t>
        </is>
      </c>
      <c r="D15451" s="3" t="inlineStr">
        <is>
          <t>3300/145</t>
        </is>
      </c>
      <c r="E15451" s="3" t="inlineStr">
        <is>
          <t>Computer IT - Cloud Solve</t>
        </is>
      </c>
      <c r="F15451" s="3" t="n">
        <v>0</v>
      </c>
      <c r="G15451" s="3" t="n">
        <v>6313.5</v>
      </c>
    </row>
    <row r="15452">
      <c r="A15452" s="3" t="inlineStr">
        <is>
          <t>Noble Shield (Pty) Ltd ta Go Letting</t>
        </is>
      </c>
      <c r="B15452" s="4" t="n">
        <v>45169</v>
      </c>
      <c r="C15452" s="3" t="inlineStr">
        <is>
          <t>Expenses</t>
        </is>
      </c>
      <c r="D15452" s="3" t="inlineStr">
        <is>
          <t>3300/170</t>
        </is>
      </c>
      <c r="E15452" s="3" t="inlineStr">
        <is>
          <t>Computer IT - VDB office Fibre</t>
        </is>
      </c>
      <c r="F15452" s="3" t="n">
        <v>790</v>
      </c>
      <c r="G15452" s="3" t="n">
        <v>9480</v>
      </c>
    </row>
    <row r="15453">
      <c r="A15453" s="3" t="inlineStr">
        <is>
          <t>Trademark Holdings (Pty) Ltd</t>
        </is>
      </c>
      <c r="B15453" s="4" t="n">
        <v>45169</v>
      </c>
      <c r="C15453" s="3" t="inlineStr">
        <is>
          <t>Expenses</t>
        </is>
      </c>
      <c r="D15453" s="3" t="inlineStr">
        <is>
          <t>3350/000</t>
        </is>
      </c>
      <c r="E15453" s="3" t="inlineStr">
        <is>
          <t>Consulting Fees</t>
        </is>
      </c>
      <c r="F15453" s="3" t="n">
        <v>22200</v>
      </c>
      <c r="G15453" s="3" t="n">
        <v>301200</v>
      </c>
    </row>
    <row r="15454">
      <c r="A15454" s="3" t="inlineStr">
        <is>
          <t>Opportunity Management Holdings (PTY) LTD</t>
        </is>
      </c>
      <c r="B15454" s="4" t="n">
        <v>45169</v>
      </c>
      <c r="C15454" s="3" t="inlineStr">
        <is>
          <t>Expenses</t>
        </is>
      </c>
      <c r="D15454" s="3" t="inlineStr">
        <is>
          <t>3350/100</t>
        </is>
      </c>
      <c r="E15454" s="3" t="inlineStr">
        <is>
          <t>Consulting Fee - Dirk Coetzee</t>
        </is>
      </c>
      <c r="F15454" s="3" t="n">
        <v>17000</v>
      </c>
      <c r="G15454" s="3" t="n">
        <v>126000</v>
      </c>
    </row>
    <row r="15455">
      <c r="A15455" s="3" t="inlineStr">
        <is>
          <t>Endulini (Pty) Ltd</t>
        </is>
      </c>
      <c r="B15455" s="4" t="n">
        <v>45169</v>
      </c>
      <c r="C15455" s="3" t="inlineStr">
        <is>
          <t>Expenses</t>
        </is>
      </c>
      <c r="D15455" s="3" t="inlineStr">
        <is>
          <t>3350/100</t>
        </is>
      </c>
      <c r="E15455" s="3" t="inlineStr">
        <is>
          <t>Consulting Fees - Admin and Finance</t>
        </is>
      </c>
      <c r="F15455" s="3" t="n">
        <v>40230</v>
      </c>
      <c r="G15455" s="3" t="n">
        <v>271077.57</v>
      </c>
    </row>
    <row r="15456">
      <c r="A15456" s="3" t="inlineStr">
        <is>
          <t>Opportunity Global Investment (PTY) LTD</t>
        </is>
      </c>
      <c r="B15456" s="4" t="n">
        <v>45169</v>
      </c>
      <c r="C15456" s="3" t="inlineStr">
        <is>
          <t>Expenses</t>
        </is>
      </c>
      <c r="D15456" s="3" t="inlineStr">
        <is>
          <t>3350/100</t>
        </is>
      </c>
      <c r="E15456" s="3" t="inlineStr">
        <is>
          <t>Consulting Fees - Admin and Finance</t>
        </is>
      </c>
      <c r="F15456" s="3" t="n">
        <v>13655</v>
      </c>
      <c r="G15456" s="3" t="n">
        <v>97188.8</v>
      </c>
    </row>
    <row r="15457">
      <c r="A15457" s="3" t="inlineStr">
        <is>
          <t>Opportunity Global Sales (PTY) LTD</t>
        </is>
      </c>
      <c r="B15457" s="4" t="n">
        <v>45169</v>
      </c>
      <c r="C15457" s="3" t="inlineStr">
        <is>
          <t>Expenses</t>
        </is>
      </c>
      <c r="D15457" s="3" t="inlineStr">
        <is>
          <t>3350/100</t>
        </is>
      </c>
      <c r="E15457" s="3" t="inlineStr">
        <is>
          <t>Consulting Fees - Admin and Finance</t>
        </is>
      </c>
      <c r="F15457" s="3" t="n">
        <v>15455</v>
      </c>
      <c r="G15457" s="3" t="n">
        <v>92852</v>
      </c>
    </row>
    <row r="15458">
      <c r="A15458" s="3" t="inlineStr">
        <is>
          <t>Opportunity Management Holdings (PTY) LTD</t>
        </is>
      </c>
      <c r="B15458" s="4" t="n">
        <v>45169</v>
      </c>
      <c r="C15458" s="3" t="inlineStr">
        <is>
          <t>Expenses</t>
        </is>
      </c>
      <c r="D15458" s="3" t="inlineStr">
        <is>
          <t>3350/200</t>
        </is>
      </c>
      <c r="E15458" s="3" t="inlineStr">
        <is>
          <t>Consulting Fee - Staff recruitment</t>
        </is>
      </c>
      <c r="F15458" s="3" t="n">
        <v>0</v>
      </c>
      <c r="G15458" s="3" t="n">
        <v>18240</v>
      </c>
    </row>
    <row r="15459">
      <c r="A15459" s="3" t="inlineStr">
        <is>
          <t>Opportunity Global Sales (PTY) LTD</t>
        </is>
      </c>
      <c r="B15459" s="4" t="n">
        <v>45169</v>
      </c>
      <c r="C15459" s="3" t="inlineStr">
        <is>
          <t>Expenses</t>
        </is>
      </c>
      <c r="D15459" s="3" t="inlineStr">
        <is>
          <t>3350/200</t>
        </is>
      </c>
      <c r="E15459" s="3" t="inlineStr">
        <is>
          <t>Consulting Fees - Agent Karien Muller</t>
        </is>
      </c>
      <c r="F15459" s="3" t="n">
        <v>0</v>
      </c>
      <c r="G15459" s="3" t="n">
        <v>10000</v>
      </c>
    </row>
    <row r="15460">
      <c r="A15460" s="3" t="inlineStr">
        <is>
          <t>Opportunity Global Investment (PTY) LTD</t>
        </is>
      </c>
      <c r="B15460" s="4" t="n">
        <v>45169</v>
      </c>
      <c r="C15460" s="3" t="inlineStr">
        <is>
          <t>Expenses</t>
        </is>
      </c>
      <c r="D15460" s="3" t="inlineStr">
        <is>
          <t>3350/200</t>
        </is>
      </c>
      <c r="E15460" s="3" t="inlineStr">
        <is>
          <t>Consulting Fees - Rockfin</t>
        </is>
      </c>
      <c r="F15460" s="3" t="n">
        <v>10000</v>
      </c>
      <c r="G15460" s="3" t="n">
        <v>60000</v>
      </c>
    </row>
    <row r="15461">
      <c r="A15461" s="3" t="inlineStr">
        <is>
          <t>Opportunity Management Holdings (PTY) LTD</t>
        </is>
      </c>
      <c r="B15461" s="4" t="n">
        <v>45169</v>
      </c>
      <c r="C15461" s="3" t="inlineStr">
        <is>
          <t>Expenses</t>
        </is>
      </c>
      <c r="D15461" s="3" t="inlineStr">
        <is>
          <t>3350/300</t>
        </is>
      </c>
      <c r="E15461" s="3" t="inlineStr">
        <is>
          <t>Consulting Fee - HR Joblaw</t>
        </is>
      </c>
      <c r="F15461" s="3" t="n">
        <v>1600.83</v>
      </c>
      <c r="G15461" s="3" t="n">
        <v>9022.860000000001</v>
      </c>
    </row>
    <row r="15462">
      <c r="A15462" s="3" t="inlineStr">
        <is>
          <t>Quinate Consulting (Pty) Ltd</t>
        </is>
      </c>
      <c r="B15462" s="4" t="n">
        <v>45169</v>
      </c>
      <c r="C15462" s="3" t="inlineStr">
        <is>
          <t>Expenses</t>
        </is>
      </c>
      <c r="D15462" s="3" t="inlineStr">
        <is>
          <t>3350/300</t>
        </is>
      </c>
      <c r="E15462" s="3" t="inlineStr">
        <is>
          <t>Consulting Fees - Admin and Finance</t>
        </is>
      </c>
      <c r="F15462" s="3" t="n">
        <v>2100</v>
      </c>
      <c r="G15462" s="3" t="n">
        <v>12500</v>
      </c>
    </row>
    <row r="15463">
      <c r="A15463" s="3" t="inlineStr">
        <is>
          <t>Opportunity Global Investment (PTY) LTD</t>
        </is>
      </c>
      <c r="B15463" s="4" t="n">
        <v>45169</v>
      </c>
      <c r="C15463" s="3" t="inlineStr">
        <is>
          <t>Expenses</t>
        </is>
      </c>
      <c r="D15463" s="3" t="inlineStr">
        <is>
          <t>3350/300</t>
        </is>
      </c>
      <c r="E15463" s="3" t="inlineStr">
        <is>
          <t>Consulting Fees - BLCS</t>
        </is>
      </c>
      <c r="F15463" s="3" t="n">
        <v>10000</v>
      </c>
      <c r="G15463" s="3" t="n">
        <v>10000</v>
      </c>
    </row>
    <row r="15464">
      <c r="A15464" s="3" t="inlineStr">
        <is>
          <t>Quinate Consulting (Pty) Ltd</t>
        </is>
      </c>
      <c r="B15464" s="4" t="n">
        <v>45169</v>
      </c>
      <c r="C15464" s="3" t="inlineStr">
        <is>
          <t>Expenses</t>
        </is>
      </c>
      <c r="D15464" s="3" t="inlineStr">
        <is>
          <t>3351/000</t>
        </is>
      </c>
      <c r="E15464" s="3" t="inlineStr">
        <is>
          <t>Consulting fees - Trustees</t>
        </is>
      </c>
      <c r="F15464" s="3" t="n">
        <v>8400</v>
      </c>
      <c r="G15464" s="3" t="n">
        <v>49600</v>
      </c>
    </row>
    <row r="15465">
      <c r="A15465" s="3" t="inlineStr">
        <is>
          <t>Quinate Consulting (Pty) Ltd</t>
        </is>
      </c>
      <c r="B15465" s="4" t="n">
        <v>45169</v>
      </c>
      <c r="C15465" s="3" t="inlineStr">
        <is>
          <t>Expenses</t>
        </is>
      </c>
      <c r="D15465" s="3" t="inlineStr">
        <is>
          <t>3450/001</t>
        </is>
      </c>
      <c r="E15465" s="3" t="inlineStr">
        <is>
          <t>Depreciation - Computer Equipment</t>
        </is>
      </c>
      <c r="F15465" s="3" t="n">
        <v>2331.64</v>
      </c>
      <c r="G15465" s="3" t="n">
        <v>13989.94</v>
      </c>
    </row>
    <row r="15466">
      <c r="A15466" s="3" t="inlineStr">
        <is>
          <t>Opportunity Global Investment (PTY) LTD</t>
        </is>
      </c>
      <c r="B15466" s="4" t="n">
        <v>45169</v>
      </c>
      <c r="C15466" s="3" t="inlineStr">
        <is>
          <t>Expenses</t>
        </is>
      </c>
      <c r="D15466" s="3" t="inlineStr">
        <is>
          <t>3450/001</t>
        </is>
      </c>
      <c r="E15466" s="3" t="inlineStr">
        <is>
          <t>Depreciation - Computer equipment</t>
        </is>
      </c>
      <c r="F15466" s="3" t="n">
        <v>880.08</v>
      </c>
      <c r="G15466" s="3" t="n">
        <v>5280.5</v>
      </c>
    </row>
    <row r="15467">
      <c r="A15467" s="3" t="inlineStr">
        <is>
          <t>Quinate Consulting (Pty) Ltd</t>
        </is>
      </c>
      <c r="B15467" s="4" t="n">
        <v>45169</v>
      </c>
      <c r="C15467" s="3" t="inlineStr">
        <is>
          <t>Expenses</t>
        </is>
      </c>
      <c r="D15467" s="3" t="inlineStr">
        <is>
          <t>3450/002</t>
        </is>
      </c>
      <c r="E15467" s="3" t="inlineStr">
        <is>
          <t>Depreciation - Site Containers</t>
        </is>
      </c>
      <c r="F15467" s="3" t="n">
        <v>318.84</v>
      </c>
      <c r="G15467" s="3" t="n">
        <v>1913.04</v>
      </c>
    </row>
    <row r="15468">
      <c r="A15468" s="3" t="inlineStr">
        <is>
          <t>Opportunity Global Sales (PTY) LTD</t>
        </is>
      </c>
      <c r="B15468" s="4" t="n">
        <v>45169</v>
      </c>
      <c r="C15468" s="3" t="inlineStr">
        <is>
          <t>Expenses</t>
        </is>
      </c>
      <c r="D15468" s="3" t="inlineStr">
        <is>
          <t>3450/030</t>
        </is>
      </c>
      <c r="E15468" s="3" t="inlineStr">
        <is>
          <t>Depreciation - Furniture and Fittings</t>
        </is>
      </c>
      <c r="F15468" s="3" t="n">
        <v>408.05</v>
      </c>
      <c r="G15468" s="3" t="n">
        <v>2448.31</v>
      </c>
    </row>
    <row r="15469">
      <c r="A15469" s="3" t="inlineStr">
        <is>
          <t>Opportunity Management Holdings (PTY) LTD</t>
        </is>
      </c>
      <c r="B15469" s="4" t="n">
        <v>45169</v>
      </c>
      <c r="C15469" s="3" t="inlineStr">
        <is>
          <t>Expenses</t>
        </is>
      </c>
      <c r="D15469" s="3" t="inlineStr">
        <is>
          <t>3451/000</t>
        </is>
      </c>
      <c r="E15469" s="3" t="inlineStr">
        <is>
          <t>Depreciation - Computer Equipment</t>
        </is>
      </c>
      <c r="F15469" s="3" t="n">
        <v>1035.18</v>
      </c>
      <c r="G15469" s="3" t="n">
        <v>10588.82</v>
      </c>
    </row>
    <row r="15470">
      <c r="A15470" s="3" t="inlineStr">
        <is>
          <t>Quinate Consulting (Pty) Ltd</t>
        </is>
      </c>
      <c r="B15470" s="4" t="n">
        <v>45169</v>
      </c>
      <c r="C15470" s="3" t="inlineStr">
        <is>
          <t>Expenses</t>
        </is>
      </c>
      <c r="D15470" s="3" t="inlineStr">
        <is>
          <t>3600/000</t>
        </is>
      </c>
      <c r="E15470" s="3" t="inlineStr">
        <is>
          <t>Donations</t>
        </is>
      </c>
      <c r="F15470" s="3" t="n">
        <v>572.45</v>
      </c>
      <c r="G15470" s="3" t="n">
        <v>3434.7</v>
      </c>
    </row>
    <row r="15471">
      <c r="A15471" s="3" t="inlineStr">
        <is>
          <t>Noble Shield (Pty) Ltd ta Go Letting</t>
        </is>
      </c>
      <c r="B15471" s="4" t="n">
        <v>45169</v>
      </c>
      <c r="C15471" s="3" t="inlineStr">
        <is>
          <t>Expenses</t>
        </is>
      </c>
      <c r="D15471" s="3" t="inlineStr">
        <is>
          <t>3650/000</t>
        </is>
      </c>
      <c r="E15471" s="3" t="inlineStr">
        <is>
          <t>Electricity _AND_ Water</t>
        </is>
      </c>
      <c r="F15471" s="3" t="n">
        <v>0</v>
      </c>
      <c r="G15471" s="3" t="n">
        <v>2500</v>
      </c>
    </row>
    <row r="15472">
      <c r="A15472" s="3" t="inlineStr">
        <is>
          <t>Opportunity Global Investment (PTY) LTD</t>
        </is>
      </c>
      <c r="B15472" s="4" t="n">
        <v>45169</v>
      </c>
      <c r="C15472" s="3" t="inlineStr">
        <is>
          <t>Expenses</t>
        </is>
      </c>
      <c r="D15472" s="3" t="inlineStr">
        <is>
          <t>3650/000</t>
        </is>
      </c>
      <c r="E15472" s="3" t="inlineStr">
        <is>
          <t>Electricity _AND_ Water</t>
        </is>
      </c>
      <c r="F15472" s="3" t="n">
        <v>2950</v>
      </c>
      <c r="G15472" s="3" t="n">
        <v>17700</v>
      </c>
    </row>
    <row r="15473">
      <c r="A15473" s="3" t="inlineStr">
        <is>
          <t>Noble Shield (Pty) Ltd ta Go Letting</t>
        </is>
      </c>
      <c r="B15473" s="4" t="n">
        <v>45169</v>
      </c>
      <c r="C15473" s="3" t="inlineStr">
        <is>
          <t>Expenses</t>
        </is>
      </c>
      <c r="D15473" s="3" t="inlineStr">
        <is>
          <t>3651/000</t>
        </is>
      </c>
      <c r="E15473" s="3" t="inlineStr">
        <is>
          <t>Electricity _AND_ Water - Rentals</t>
        </is>
      </c>
      <c r="F15473" s="3" t="n">
        <v>-1000</v>
      </c>
      <c r="G15473" s="3" t="n">
        <v>-1000</v>
      </c>
    </row>
    <row r="15474">
      <c r="A15474" s="3" t="inlineStr">
        <is>
          <t>Quinate Consulting (Pty) Ltd</t>
        </is>
      </c>
      <c r="B15474" s="4" t="n">
        <v>45169</v>
      </c>
      <c r="C15474" s="3" t="inlineStr">
        <is>
          <t>Expenses</t>
        </is>
      </c>
      <c r="D15474" s="3" t="inlineStr">
        <is>
          <t>3651/000</t>
        </is>
      </c>
      <c r="E15474" s="3" t="inlineStr">
        <is>
          <t>Electricity _AND_ Water - Southwark</t>
        </is>
      </c>
      <c r="F15474" s="3" t="n">
        <v>46021.53</v>
      </c>
      <c r="G15474" s="3" t="n">
        <v>188399.66</v>
      </c>
    </row>
    <row r="15475">
      <c r="A15475" s="3" t="inlineStr">
        <is>
          <t>Quinate Consulting (Pty) Ltd</t>
        </is>
      </c>
      <c r="B15475" s="4" t="n">
        <v>45169</v>
      </c>
      <c r="C15475" s="3" t="inlineStr">
        <is>
          <t>Expenses</t>
        </is>
      </c>
      <c r="D15475" s="3" t="inlineStr">
        <is>
          <t>3652/000</t>
        </is>
      </c>
      <c r="E15475" s="3" t="inlineStr">
        <is>
          <t>Electricity _AND_ Water - Soho</t>
        </is>
      </c>
      <c r="F15475" s="3" t="n">
        <v>37436.37</v>
      </c>
      <c r="G15475" s="3" t="n">
        <v>168244.07</v>
      </c>
    </row>
    <row r="15476">
      <c r="A15476" s="3" t="inlineStr">
        <is>
          <t>Quinate Consulting (Pty) Ltd</t>
        </is>
      </c>
      <c r="B15476" s="4" t="n">
        <v>45169</v>
      </c>
      <c r="C15476" s="3" t="inlineStr">
        <is>
          <t>Expenses</t>
        </is>
      </c>
      <c r="D15476" s="3" t="inlineStr">
        <is>
          <t>3653/000</t>
        </is>
      </c>
      <c r="E15476" s="3" t="inlineStr">
        <is>
          <t>Electricity _AND_ Water - Endulini</t>
        </is>
      </c>
      <c r="F15476" s="3" t="n">
        <v>-842.1900000000001</v>
      </c>
      <c r="G15476" s="3" t="n">
        <v>-1357.97</v>
      </c>
    </row>
    <row r="15477">
      <c r="A15477" s="3" t="inlineStr">
        <is>
          <t>Noble Shield (Pty) Ltd ta Go Letting</t>
        </is>
      </c>
      <c r="B15477" s="4" t="n">
        <v>45169</v>
      </c>
      <c r="C15477" s="3" t="inlineStr">
        <is>
          <t>Expenses</t>
        </is>
      </c>
      <c r="D15477" s="3" t="inlineStr">
        <is>
          <t>3700/000</t>
        </is>
      </c>
      <c r="E15477" s="3" t="inlineStr">
        <is>
          <t>Entertainment Expenses</t>
        </is>
      </c>
      <c r="F15477" s="3" t="n">
        <v>0</v>
      </c>
      <c r="G15477" s="3" t="n">
        <v>1960</v>
      </c>
    </row>
    <row r="15478">
      <c r="A15478" s="3" t="inlineStr">
        <is>
          <t>Opportunity Global Investment (PTY) LTD</t>
        </is>
      </c>
      <c r="B15478" s="4" t="n">
        <v>45169</v>
      </c>
      <c r="C15478" s="3" t="inlineStr">
        <is>
          <t>Expenses</t>
        </is>
      </c>
      <c r="D15478" s="3" t="inlineStr">
        <is>
          <t>3700/000</t>
        </is>
      </c>
      <c r="E15478" s="3" t="inlineStr">
        <is>
          <t>Entertainment Expenses</t>
        </is>
      </c>
      <c r="F15478" s="3" t="n">
        <v>0</v>
      </c>
      <c r="G15478" s="3" t="n">
        <v>3373.31</v>
      </c>
    </row>
    <row r="15479">
      <c r="A15479" s="3" t="inlineStr">
        <is>
          <t>Opportunity Global Sales (PTY) LTD</t>
        </is>
      </c>
      <c r="B15479" s="4" t="n">
        <v>45169</v>
      </c>
      <c r="C15479" s="3" t="inlineStr">
        <is>
          <t>Expenses</t>
        </is>
      </c>
      <c r="D15479" s="3" t="inlineStr">
        <is>
          <t>3700/000</t>
        </is>
      </c>
      <c r="E15479" s="3" t="inlineStr">
        <is>
          <t>Entertainment Expenses</t>
        </is>
      </c>
      <c r="F15479" s="3" t="n">
        <v>0</v>
      </c>
      <c r="G15479" s="3" t="n">
        <v>1880</v>
      </c>
    </row>
    <row r="15480">
      <c r="A15480" s="3" t="inlineStr">
        <is>
          <t>Opportunity Management Holdings (PTY) LTD</t>
        </is>
      </c>
      <c r="B15480" s="4" t="n">
        <v>45169</v>
      </c>
      <c r="C15480" s="3" t="inlineStr">
        <is>
          <t>Expenses</t>
        </is>
      </c>
      <c r="D15480" s="3" t="inlineStr">
        <is>
          <t>3700/000</t>
        </is>
      </c>
      <c r="E15480" s="3" t="inlineStr">
        <is>
          <t>Entertainment Expenses</t>
        </is>
      </c>
      <c r="F15480" s="3" t="n">
        <v>348.78</v>
      </c>
      <c r="G15480" s="3" t="n">
        <v>2198.16</v>
      </c>
    </row>
    <row r="15481">
      <c r="A15481" s="3" t="inlineStr">
        <is>
          <t>Quinate Consulting (Pty) Ltd</t>
        </is>
      </c>
      <c r="B15481" s="4" t="n">
        <v>45169</v>
      </c>
      <c r="C15481" s="3" t="inlineStr">
        <is>
          <t>Expenses</t>
        </is>
      </c>
      <c r="D15481" s="3" t="inlineStr">
        <is>
          <t>3700/000</t>
        </is>
      </c>
      <c r="E15481" s="3" t="inlineStr">
        <is>
          <t>Entertainment Expenses</t>
        </is>
      </c>
      <c r="F15481" s="3" t="n">
        <v>0</v>
      </c>
      <c r="G15481" s="3" t="n">
        <v>5266.15</v>
      </c>
    </row>
    <row r="15482">
      <c r="A15482" s="3" t="inlineStr">
        <is>
          <t>Opportunity Management Holdings (PTY) LTD</t>
        </is>
      </c>
      <c r="B15482" s="4" t="n">
        <v>45169</v>
      </c>
      <c r="C15482" s="3" t="inlineStr">
        <is>
          <t>Expenses</t>
        </is>
      </c>
      <c r="D15482" s="3" t="inlineStr">
        <is>
          <t>3800/000</t>
        </is>
      </c>
      <c r="E15482" s="3" t="inlineStr">
        <is>
          <t>General Expenses</t>
        </is>
      </c>
      <c r="F15482" s="3" t="n">
        <v>263.35</v>
      </c>
      <c r="G15482" s="3" t="n">
        <v>354.63</v>
      </c>
    </row>
    <row r="15483">
      <c r="A15483" s="3" t="inlineStr">
        <is>
          <t>Opportunity Global Investment (PTY) LTD</t>
        </is>
      </c>
      <c r="B15483" s="4" t="n">
        <v>45169</v>
      </c>
      <c r="C15483" s="3" t="inlineStr">
        <is>
          <t>Expenses</t>
        </is>
      </c>
      <c r="D15483" s="3" t="inlineStr">
        <is>
          <t>3800/010</t>
        </is>
      </c>
      <c r="E15483" s="3" t="inlineStr">
        <is>
          <t>General Expences - Gifts</t>
        </is>
      </c>
      <c r="F15483" s="3" t="n">
        <v>0</v>
      </c>
      <c r="G15483" s="3" t="n">
        <v>5651.3</v>
      </c>
    </row>
    <row r="15484">
      <c r="A15484" s="3" t="inlineStr">
        <is>
          <t>Opportunity Global Sales (PTY) LTD</t>
        </is>
      </c>
      <c r="B15484" s="4" t="n">
        <v>45169</v>
      </c>
      <c r="C15484" s="3" t="inlineStr">
        <is>
          <t>Expenses</t>
        </is>
      </c>
      <c r="D15484" s="3" t="inlineStr">
        <is>
          <t>3800/010</t>
        </is>
      </c>
      <c r="E15484" s="3" t="inlineStr">
        <is>
          <t>General Expences - Gifts</t>
        </is>
      </c>
      <c r="F15484" s="3" t="n">
        <v>0</v>
      </c>
      <c r="G15484" s="3" t="n">
        <v>729.85</v>
      </c>
    </row>
    <row r="15485">
      <c r="A15485" s="3" t="inlineStr">
        <is>
          <t>Opportunity Management Holdings (PTY) LTD</t>
        </is>
      </c>
      <c r="B15485" s="4" t="n">
        <v>45169</v>
      </c>
      <c r="C15485" s="3" t="inlineStr">
        <is>
          <t>Expenses</t>
        </is>
      </c>
      <c r="D15485" s="3" t="inlineStr">
        <is>
          <t>3800/030</t>
        </is>
      </c>
      <c r="E15485" s="3" t="inlineStr">
        <is>
          <t>General Expenses: Showhouse Heron View</t>
        </is>
      </c>
      <c r="F15485" s="3" t="n">
        <v>1811.21</v>
      </c>
      <c r="G15485" s="3" t="n">
        <v>1811.21</v>
      </c>
    </row>
    <row r="15486">
      <c r="A15486" s="3" t="inlineStr">
        <is>
          <t>Opportunity Management Holdings (PTY) LTD</t>
        </is>
      </c>
      <c r="B15486" s="4" t="n">
        <v>45169</v>
      </c>
      <c r="C15486" s="3" t="inlineStr">
        <is>
          <t>Expenses</t>
        </is>
      </c>
      <c r="D15486" s="3" t="inlineStr">
        <is>
          <t>3850/000</t>
        </is>
      </c>
      <c r="E15486" s="3" t="inlineStr">
        <is>
          <t>Insurance - Momentum</t>
        </is>
      </c>
      <c r="F15486" s="3" t="n">
        <v>1696.06</v>
      </c>
      <c r="G15486" s="3" t="n">
        <v>19446.52</v>
      </c>
    </row>
    <row r="15487">
      <c r="A15487" s="3" t="inlineStr">
        <is>
          <t>Noble Shield (Pty) Ltd ta Go Letting</t>
        </is>
      </c>
      <c r="B15487" s="4" t="n">
        <v>45169</v>
      </c>
      <c r="C15487" s="3" t="inlineStr">
        <is>
          <t>Expenses</t>
        </is>
      </c>
      <c r="D15487" s="3" t="inlineStr">
        <is>
          <t>3850/100</t>
        </is>
      </c>
      <c r="E15487" s="3" t="inlineStr">
        <is>
          <t>Insurance - Santam</t>
        </is>
      </c>
      <c r="F15487" s="3" t="n">
        <v>4249.42</v>
      </c>
      <c r="G15487" s="3" t="n">
        <v>46755.11</v>
      </c>
    </row>
    <row r="15488">
      <c r="A15488" s="3" t="inlineStr">
        <is>
          <t>Noble Shield (Pty) Ltd ta Go Letting</t>
        </is>
      </c>
      <c r="B15488" s="4" t="n">
        <v>45169</v>
      </c>
      <c r="C15488" s="3" t="inlineStr">
        <is>
          <t>Expenses</t>
        </is>
      </c>
      <c r="D15488" s="3" t="inlineStr">
        <is>
          <t>3850/200</t>
        </is>
      </c>
      <c r="E15488" s="3" t="inlineStr">
        <is>
          <t>Insurance - A_AND_G</t>
        </is>
      </c>
      <c r="F15488" s="3" t="n">
        <v>-21998.3</v>
      </c>
      <c r="G15488" s="3" t="n">
        <v>0</v>
      </c>
    </row>
    <row r="15489">
      <c r="A15489" s="3" t="inlineStr">
        <is>
          <t>Quinate Consulting (Pty) Ltd</t>
        </is>
      </c>
      <c r="B15489" s="4" t="n">
        <v>45169</v>
      </c>
      <c r="C15489" s="3" t="inlineStr">
        <is>
          <t>Expenses</t>
        </is>
      </c>
      <c r="D15489" s="3" t="inlineStr">
        <is>
          <t>3851/000</t>
        </is>
      </c>
      <c r="E15489" s="3" t="inlineStr">
        <is>
          <t>Insurance - Momentum</t>
        </is>
      </c>
      <c r="F15489" s="3" t="n">
        <v>7990.64</v>
      </c>
      <c r="G15489" s="3" t="n">
        <v>47943.84</v>
      </c>
    </row>
    <row r="15490">
      <c r="A15490" s="3" t="inlineStr">
        <is>
          <t>Quinate Consulting (Pty) Ltd</t>
        </is>
      </c>
      <c r="B15490" s="4" t="n">
        <v>45169</v>
      </c>
      <c r="C15490" s="3" t="inlineStr">
        <is>
          <t>Expenses</t>
        </is>
      </c>
      <c r="D15490" s="3" t="inlineStr">
        <is>
          <t>3900/000</t>
        </is>
      </c>
      <c r="E15490" s="3" t="inlineStr">
        <is>
          <t>Interest Paid</t>
        </is>
      </c>
      <c r="F15490" s="3" t="n">
        <v>769.33</v>
      </c>
      <c r="G15490" s="3" t="n">
        <v>1307.76</v>
      </c>
    </row>
    <row r="15491">
      <c r="A15491" s="3" t="inlineStr">
        <is>
          <t>Quinate Consulting (Pty) Ltd</t>
        </is>
      </c>
      <c r="B15491" s="4" t="n">
        <v>45169</v>
      </c>
      <c r="C15491" s="3" t="inlineStr">
        <is>
          <t>Expenses</t>
        </is>
      </c>
      <c r="D15491" s="3" t="inlineStr">
        <is>
          <t>3900/050</t>
        </is>
      </c>
      <c r="E15491" s="3" t="inlineStr">
        <is>
          <t>Interest Paid - STD Bond Accounts</t>
        </is>
      </c>
      <c r="F15491" s="3" t="n">
        <v>109687.53</v>
      </c>
      <c r="G15491" s="3" t="n">
        <v>391739.29</v>
      </c>
    </row>
    <row r="15492">
      <c r="A15492" s="3" t="inlineStr">
        <is>
          <t>Endulini (Pty) Ltd</t>
        </is>
      </c>
      <c r="B15492" s="4" t="n">
        <v>45169</v>
      </c>
      <c r="C15492" s="3" t="inlineStr">
        <is>
          <t>Expenses</t>
        </is>
      </c>
      <c r="D15492" s="3" t="inlineStr">
        <is>
          <t>3900/112</t>
        </is>
      </c>
      <c r="E15492" s="3" t="inlineStr">
        <is>
          <t>Interest Paid - Investors @ 6.5%</t>
        </is>
      </c>
      <c r="F15492" s="3" t="n">
        <v>0</v>
      </c>
      <c r="G15492" s="3" t="n">
        <v>605.49</v>
      </c>
    </row>
    <row r="15493">
      <c r="A15493" s="3" t="inlineStr">
        <is>
          <t>Endulini (Pty) Ltd</t>
        </is>
      </c>
      <c r="B15493" s="4" t="n">
        <v>45169</v>
      </c>
      <c r="C15493" s="3" t="inlineStr">
        <is>
          <t>Expenses</t>
        </is>
      </c>
      <c r="D15493" s="3" t="inlineStr">
        <is>
          <t>3900/113</t>
        </is>
      </c>
      <c r="E15493" s="3" t="inlineStr">
        <is>
          <t>Interest Paid - Investors @ 6.75%</t>
        </is>
      </c>
      <c r="F15493" s="3" t="n">
        <v>0</v>
      </c>
      <c r="G15493" s="3" t="n">
        <v>3532.19</v>
      </c>
    </row>
    <row r="15494">
      <c r="A15494" s="3" t="inlineStr">
        <is>
          <t>Endulini (Pty) Ltd</t>
        </is>
      </c>
      <c r="B15494" s="4" t="n">
        <v>45169</v>
      </c>
      <c r="C15494" s="3" t="inlineStr">
        <is>
          <t>Expenses</t>
        </is>
      </c>
      <c r="D15494" s="3" t="inlineStr">
        <is>
          <t>3900/120</t>
        </is>
      </c>
      <c r="E15494" s="3" t="inlineStr">
        <is>
          <t>Interest Paid - Investors @ 7%</t>
        </is>
      </c>
      <c r="F15494" s="3" t="n">
        <v>0</v>
      </c>
      <c r="G15494" s="3" t="n">
        <v>2794.72</v>
      </c>
    </row>
    <row r="15495">
      <c r="A15495" s="3" t="inlineStr">
        <is>
          <t>Endulini (Pty) Ltd</t>
        </is>
      </c>
      <c r="B15495" s="4" t="n">
        <v>45169</v>
      </c>
      <c r="C15495" s="3" t="inlineStr">
        <is>
          <t>Expenses</t>
        </is>
      </c>
      <c r="D15495" s="3" t="inlineStr">
        <is>
          <t>3900/122</t>
        </is>
      </c>
      <c r="E15495" s="3" t="inlineStr">
        <is>
          <t>Interest Paid - Investors @ 7.5%</t>
        </is>
      </c>
      <c r="F15495" s="3" t="n">
        <v>0</v>
      </c>
      <c r="G15495" s="3" t="n">
        <v>45.53</v>
      </c>
    </row>
    <row r="15496">
      <c r="A15496" s="3" t="inlineStr">
        <is>
          <t>Quinate Consulting (Pty) Ltd</t>
        </is>
      </c>
      <c r="B15496" s="4" t="n">
        <v>45169</v>
      </c>
      <c r="C15496" s="3" t="inlineStr">
        <is>
          <t>Expenses</t>
        </is>
      </c>
      <c r="D15496" s="3" t="inlineStr">
        <is>
          <t>3900/152</t>
        </is>
      </c>
      <c r="E15496" s="3" t="inlineStr">
        <is>
          <t>Interest Paid - Gengis</t>
        </is>
      </c>
      <c r="F15496" s="3" t="n">
        <v>3516.16</v>
      </c>
      <c r="G15496" s="3" t="n">
        <v>20870.14</v>
      </c>
    </row>
    <row r="15497">
      <c r="A15497" s="3" t="inlineStr">
        <is>
          <t>Endulini (Pty) Ltd</t>
        </is>
      </c>
      <c r="B15497" s="4" t="n">
        <v>45169</v>
      </c>
      <c r="C15497" s="3" t="inlineStr">
        <is>
          <t>Expenses</t>
        </is>
      </c>
      <c r="D15497" s="3" t="inlineStr">
        <is>
          <t>3900/190</t>
        </is>
      </c>
      <c r="E15497" s="3" t="inlineStr">
        <is>
          <t>Interest Paid - Investors @ 14%</t>
        </is>
      </c>
      <c r="F15497" s="3" t="n">
        <v>0</v>
      </c>
      <c r="G15497" s="3" t="n">
        <v>177783.07</v>
      </c>
    </row>
    <row r="15498">
      <c r="A15498" s="3" t="inlineStr">
        <is>
          <t>Endulini (Pty) Ltd</t>
        </is>
      </c>
      <c r="B15498" s="4" t="n">
        <v>45169</v>
      </c>
      <c r="C15498" s="3" t="inlineStr">
        <is>
          <t>Expenses</t>
        </is>
      </c>
      <c r="D15498" s="3" t="inlineStr">
        <is>
          <t>3900/210</t>
        </is>
      </c>
      <c r="E15498" s="3" t="inlineStr">
        <is>
          <t>Interest Paid - Investors @ 16%</t>
        </is>
      </c>
      <c r="F15498" s="3" t="n">
        <v>0</v>
      </c>
      <c r="G15498" s="3" t="n">
        <v>47736.98</v>
      </c>
    </row>
    <row r="15499">
      <c r="A15499" s="3" t="inlineStr">
        <is>
          <t>Endulini (Pty) Ltd</t>
        </is>
      </c>
      <c r="B15499" s="4" t="n">
        <v>45169</v>
      </c>
      <c r="C15499" s="3" t="inlineStr">
        <is>
          <t>Expenses</t>
        </is>
      </c>
      <c r="D15499" s="3" t="inlineStr">
        <is>
          <t>3900/230</t>
        </is>
      </c>
      <c r="E15499" s="3" t="inlineStr">
        <is>
          <t>Interest Paid - Investors @ 18%</t>
        </is>
      </c>
      <c r="F15499" s="3" t="n">
        <v>0</v>
      </c>
      <c r="G15499" s="3" t="n">
        <v>64356.16</v>
      </c>
    </row>
    <row r="15500">
      <c r="A15500" s="3" t="inlineStr">
        <is>
          <t>Opportunity Management Holdings (PTY) LTD</t>
        </is>
      </c>
      <c r="B15500" s="4" t="n">
        <v>45169</v>
      </c>
      <c r="C15500" s="3" t="inlineStr">
        <is>
          <t>Expenses</t>
        </is>
      </c>
      <c r="D15500" s="3" t="inlineStr">
        <is>
          <t>3960/000</t>
        </is>
      </c>
      <c r="E15500" s="3" t="inlineStr">
        <is>
          <t>Internet Fees</t>
        </is>
      </c>
      <c r="F15500" s="3" t="n">
        <v>616.63</v>
      </c>
      <c r="G15500" s="3" t="n">
        <v>7164.23</v>
      </c>
    </row>
    <row r="15501">
      <c r="A15501" s="3" t="inlineStr">
        <is>
          <t>Quinate Consulting (Pty) Ltd</t>
        </is>
      </c>
      <c r="B15501" s="4" t="n">
        <v>45169</v>
      </c>
      <c r="C15501" s="3" t="inlineStr">
        <is>
          <t>Expenses</t>
        </is>
      </c>
      <c r="D15501" s="3" t="inlineStr">
        <is>
          <t>4000/000</t>
        </is>
      </c>
      <c r="E15501" s="3" t="inlineStr">
        <is>
          <t>Legal Fees</t>
        </is>
      </c>
      <c r="F15501" s="3" t="n">
        <v>126</v>
      </c>
      <c r="G15501" s="3" t="n">
        <v>32576</v>
      </c>
    </row>
    <row r="15502">
      <c r="A15502" s="3" t="inlineStr">
        <is>
          <t>Quinate Consulting (Pty) Ltd</t>
        </is>
      </c>
      <c r="B15502" s="4" t="n">
        <v>45169</v>
      </c>
      <c r="C15502" s="3" t="inlineStr">
        <is>
          <t>Expenses</t>
        </is>
      </c>
      <c r="D15502" s="3" t="inlineStr">
        <is>
          <t>4065/000</t>
        </is>
      </c>
      <c r="E15502" s="3" t="inlineStr">
        <is>
          <t>Levies - SoHo</t>
        </is>
      </c>
      <c r="F15502" s="3" t="n">
        <v>12537.01</v>
      </c>
      <c r="G15502" s="3" t="n">
        <v>46394.36</v>
      </c>
    </row>
    <row r="15503">
      <c r="A15503" s="3" t="inlineStr">
        <is>
          <t>Quinate Consulting (Pty) Ltd</t>
        </is>
      </c>
      <c r="B15503" s="4" t="n">
        <v>45169</v>
      </c>
      <c r="C15503" s="3" t="inlineStr">
        <is>
          <t>Expenses</t>
        </is>
      </c>
      <c r="D15503" s="3" t="inlineStr">
        <is>
          <t>4066/000</t>
        </is>
      </c>
      <c r="E15503" s="3" t="inlineStr">
        <is>
          <t>Levies - Southwark</t>
        </is>
      </c>
      <c r="F15503" s="3" t="n">
        <v>3422.18</v>
      </c>
      <c r="G15503" s="3" t="n">
        <v>20533.08</v>
      </c>
    </row>
    <row r="15504">
      <c r="A15504" s="3" t="inlineStr">
        <is>
          <t>Quinate Consulting (Pty) Ltd</t>
        </is>
      </c>
      <c r="B15504" s="4" t="n">
        <v>45169</v>
      </c>
      <c r="C15504" s="3" t="inlineStr">
        <is>
          <t>Expenses</t>
        </is>
      </c>
      <c r="D15504" s="3" t="inlineStr">
        <is>
          <t>4067/000</t>
        </is>
      </c>
      <c r="E15504" s="3" t="inlineStr">
        <is>
          <t>Levies - C4 Property</t>
        </is>
      </c>
      <c r="F15504" s="3" t="n">
        <v>6741.33</v>
      </c>
      <c r="G15504" s="3" t="n">
        <v>53879.64</v>
      </c>
    </row>
    <row r="15505">
      <c r="A15505" s="3" t="inlineStr">
        <is>
          <t>Quinate Consulting (Pty) Ltd</t>
        </is>
      </c>
      <c r="B15505" s="4" t="n">
        <v>45169</v>
      </c>
      <c r="C15505" s="3" t="inlineStr">
        <is>
          <t>Expenses</t>
        </is>
      </c>
      <c r="D15505" s="3" t="inlineStr">
        <is>
          <t>4068/000</t>
        </is>
      </c>
      <c r="E15505" s="3" t="inlineStr">
        <is>
          <t>Levies Endulini</t>
        </is>
      </c>
      <c r="F15505" s="3" t="n">
        <v>5049.3</v>
      </c>
      <c r="G15505" s="3" t="n">
        <v>5049.3</v>
      </c>
    </row>
    <row r="15506">
      <c r="A15506" s="3" t="inlineStr">
        <is>
          <t>Endulini (Pty) Ltd</t>
        </is>
      </c>
      <c r="B15506" s="4" t="n">
        <v>45169</v>
      </c>
      <c r="C15506" s="3" t="inlineStr">
        <is>
          <t>Expenses</t>
        </is>
      </c>
      <c r="D15506" s="3" t="inlineStr">
        <is>
          <t>4100/001</t>
        </is>
      </c>
      <c r="E15506" s="3" t="inlineStr">
        <is>
          <t>Momentum Admin Fee</t>
        </is>
      </c>
      <c r="F15506" s="3" t="n">
        <v>3.41</v>
      </c>
      <c r="G15506" s="3" t="n">
        <v>6.65</v>
      </c>
    </row>
    <row r="15507">
      <c r="A15507" s="3" t="inlineStr">
        <is>
          <t>Quinate Consulting (Pty) Ltd</t>
        </is>
      </c>
      <c r="B15507" s="4" t="n">
        <v>45169</v>
      </c>
      <c r="C15507" s="3" t="inlineStr">
        <is>
          <t>Expenses</t>
        </is>
      </c>
      <c r="D15507" s="3" t="inlineStr">
        <is>
          <t>4100/001</t>
        </is>
      </c>
      <c r="E15507" s="3" t="inlineStr">
        <is>
          <t>Momentum Advise Fee</t>
        </is>
      </c>
      <c r="F15507" s="3" t="n">
        <v>0.68</v>
      </c>
      <c r="G15507" s="3" t="n">
        <v>1.34</v>
      </c>
    </row>
    <row r="15508">
      <c r="A15508" s="3" t="inlineStr">
        <is>
          <t>Opportunity Global Investment (PTY) LTD</t>
        </is>
      </c>
      <c r="B15508" s="4" t="n">
        <v>45169</v>
      </c>
      <c r="C15508" s="3" t="inlineStr">
        <is>
          <t>Expenses</t>
        </is>
      </c>
      <c r="D15508" s="3" t="inlineStr">
        <is>
          <t>4100/100</t>
        </is>
      </c>
      <c r="E15508" s="3" t="inlineStr">
        <is>
          <t>Members Salaries - Nick Morgan</t>
        </is>
      </c>
      <c r="F15508" s="3" t="n">
        <v>41251.61</v>
      </c>
      <c r="G15508" s="3" t="n">
        <v>247509.68</v>
      </c>
    </row>
    <row r="15509">
      <c r="A15509" s="3" t="inlineStr">
        <is>
          <t>Opportunity Management Holdings (PTY) LTD</t>
        </is>
      </c>
      <c r="B15509" s="4" t="n">
        <v>45169</v>
      </c>
      <c r="C15509" s="3" t="inlineStr">
        <is>
          <t>Expenses</t>
        </is>
      </c>
      <c r="D15509" s="3" t="inlineStr">
        <is>
          <t>4150/020</t>
        </is>
      </c>
      <c r="E15509" s="3" t="inlineStr">
        <is>
          <t>Motor Vehicle - Repairs _AND_ Maint.</t>
        </is>
      </c>
      <c r="F15509" s="3" t="n">
        <v>0</v>
      </c>
      <c r="G15509" s="3" t="n">
        <v>260</v>
      </c>
    </row>
    <row r="15510">
      <c r="A15510" s="3" t="inlineStr">
        <is>
          <t>Noble Shield (Pty) Ltd ta Go Letting</t>
        </is>
      </c>
      <c r="B15510" s="4" t="n">
        <v>45169</v>
      </c>
      <c r="C15510" s="3" t="inlineStr">
        <is>
          <t>Expenses</t>
        </is>
      </c>
      <c r="D15510" s="3" t="inlineStr">
        <is>
          <t>4200/000</t>
        </is>
      </c>
      <c r="E15510" s="3" t="inlineStr">
        <is>
          <t>Printing _AND_ Stationery</t>
        </is>
      </c>
      <c r="F15510" s="3" t="n">
        <v>179.98</v>
      </c>
      <c r="G15510" s="3" t="n">
        <v>1214.98</v>
      </c>
    </row>
    <row r="15511">
      <c r="A15511" s="3" t="inlineStr">
        <is>
          <t>Opportunity Global Investment (PTY) LTD</t>
        </is>
      </c>
      <c r="B15511" s="4" t="n">
        <v>45169</v>
      </c>
      <c r="C15511" s="3" t="inlineStr">
        <is>
          <t>Expenses</t>
        </is>
      </c>
      <c r="D15511" s="3" t="inlineStr">
        <is>
          <t>4200/000</t>
        </is>
      </c>
      <c r="E15511" s="3" t="inlineStr">
        <is>
          <t>Printing _AND_ Stationery</t>
        </is>
      </c>
      <c r="F15511" s="3" t="n">
        <v>2367</v>
      </c>
      <c r="G15511" s="3" t="n">
        <v>14202</v>
      </c>
    </row>
    <row r="15512">
      <c r="A15512" s="3" t="inlineStr">
        <is>
          <t>Opportunity Global Sales (PTY) LTD</t>
        </is>
      </c>
      <c r="B15512" s="4" t="n">
        <v>45169</v>
      </c>
      <c r="C15512" s="3" t="inlineStr">
        <is>
          <t>Expenses</t>
        </is>
      </c>
      <c r="D15512" s="3" t="inlineStr">
        <is>
          <t>4200/000</t>
        </is>
      </c>
      <c r="E15512" s="3" t="inlineStr">
        <is>
          <t>Printing _AND_ Stationery</t>
        </is>
      </c>
      <c r="F15512" s="3" t="n">
        <v>0</v>
      </c>
      <c r="G15512" s="3" t="n">
        <v>286.96</v>
      </c>
    </row>
    <row r="15513">
      <c r="A15513" s="3" t="inlineStr">
        <is>
          <t>Opportunity Management Holdings (PTY) LTD</t>
        </is>
      </c>
      <c r="B15513" s="4" t="n">
        <v>45169</v>
      </c>
      <c r="C15513" s="3" t="inlineStr">
        <is>
          <t>Expenses</t>
        </is>
      </c>
      <c r="D15513" s="3" t="inlineStr">
        <is>
          <t>4200/000</t>
        </is>
      </c>
      <c r="E15513" s="3" t="inlineStr">
        <is>
          <t>Printing _AND_ Stationery</t>
        </is>
      </c>
      <c r="F15513" s="3" t="n">
        <v>90.42</v>
      </c>
      <c r="G15513" s="3" t="n">
        <v>26302.04</v>
      </c>
    </row>
    <row r="15514">
      <c r="A15514" s="3" t="inlineStr">
        <is>
          <t>Noble Shield (Pty) Ltd ta Go Letting</t>
        </is>
      </c>
      <c r="B15514" s="4" t="n">
        <v>45169</v>
      </c>
      <c r="C15514" s="3" t="inlineStr">
        <is>
          <t>Expenses</t>
        </is>
      </c>
      <c r="D15514" s="3" t="inlineStr">
        <is>
          <t>4200/100</t>
        </is>
      </c>
      <c r="E15514" s="3" t="inlineStr">
        <is>
          <t>Printing - Merchant West- Printer Rental</t>
        </is>
      </c>
      <c r="F15514" s="3" t="n">
        <v>1631.51</v>
      </c>
      <c r="G15514" s="3" t="n">
        <v>19550.29</v>
      </c>
    </row>
    <row r="15515">
      <c r="A15515" s="3" t="inlineStr">
        <is>
          <t>Noble Shield (Pty) Ltd ta Go Letting</t>
        </is>
      </c>
      <c r="B15515" s="4" t="n">
        <v>45169</v>
      </c>
      <c r="C15515" s="3" t="inlineStr">
        <is>
          <t>Expenses</t>
        </is>
      </c>
      <c r="D15515" s="3" t="inlineStr">
        <is>
          <t>4200/120</t>
        </is>
      </c>
      <c r="E15515" s="3" t="inlineStr">
        <is>
          <t>Printing - Ivy Line - Prints</t>
        </is>
      </c>
      <c r="F15515" s="3" t="n">
        <v>995.73</v>
      </c>
      <c r="G15515" s="3" t="n">
        <v>11469.28</v>
      </c>
    </row>
    <row r="15516">
      <c r="A15516" s="3" t="inlineStr">
        <is>
          <t>Noble Shield (Pty) Ltd ta Go Letting</t>
        </is>
      </c>
      <c r="B15516" s="4" t="n">
        <v>45169</v>
      </c>
      <c r="C15516" s="3" t="inlineStr">
        <is>
          <t>Expenses</t>
        </is>
      </c>
      <c r="D15516" s="3" t="inlineStr">
        <is>
          <t>4200/180</t>
        </is>
      </c>
      <c r="E15516" s="3" t="inlineStr">
        <is>
          <t>Printing - Ikon</t>
        </is>
      </c>
      <c r="F15516" s="3" t="n">
        <v>-1765.44</v>
      </c>
      <c r="G15516" s="3" t="n">
        <v>0</v>
      </c>
    </row>
    <row r="15517">
      <c r="A15517" s="3" t="inlineStr">
        <is>
          <t>Noble Shield (Pty) Ltd ta Go Letting</t>
        </is>
      </c>
      <c r="B15517" s="4" t="n">
        <v>45169</v>
      </c>
      <c r="C15517" s="3" t="inlineStr">
        <is>
          <t>Expenses</t>
        </is>
      </c>
      <c r="D15517" s="3" t="inlineStr">
        <is>
          <t>4200/190</t>
        </is>
      </c>
      <c r="E15517" s="3" t="inlineStr">
        <is>
          <t>Printing - Centrafin printer rental</t>
        </is>
      </c>
      <c r="F15517" s="3" t="n">
        <v>2919.25</v>
      </c>
      <c r="G15517" s="3" t="n">
        <v>33427.34</v>
      </c>
    </row>
    <row r="15518">
      <c r="A15518" s="3" t="inlineStr">
        <is>
          <t>Noble Shield (Pty) Ltd ta Go Letting</t>
        </is>
      </c>
      <c r="B15518" s="4" t="n">
        <v>45169</v>
      </c>
      <c r="C15518" s="3" t="inlineStr">
        <is>
          <t>Expenses</t>
        </is>
      </c>
      <c r="D15518" s="3" t="inlineStr">
        <is>
          <t>4200/200</t>
        </is>
      </c>
      <c r="E15518" s="3" t="inlineStr">
        <is>
          <t>Printing - General Stationery VDB Office</t>
        </is>
      </c>
      <c r="F15518" s="3" t="n">
        <v>0</v>
      </c>
      <c r="G15518" s="3" t="n">
        <v>8755.25</v>
      </c>
    </row>
    <row r="15519">
      <c r="A15519" s="3" t="inlineStr">
        <is>
          <t>Opportunity Global Investment (PTY) LTD</t>
        </is>
      </c>
      <c r="B15519" s="4" t="n">
        <v>45169</v>
      </c>
      <c r="C15519" s="3" t="inlineStr">
        <is>
          <t>Expenses</t>
        </is>
      </c>
      <c r="D15519" s="3" t="inlineStr">
        <is>
          <t>4220/000</t>
        </is>
      </c>
      <c r="E15519" s="3" t="inlineStr">
        <is>
          <t>Motor Vehicle Expenses - Petrol _AND_ Oil</t>
        </is>
      </c>
      <c r="F15519" s="3" t="n">
        <v>1989.57</v>
      </c>
      <c r="G15519" s="3" t="n">
        <v>11304.85</v>
      </c>
    </row>
    <row r="15520">
      <c r="A15520" s="3" t="inlineStr">
        <is>
          <t>Noble Shield (Pty) Ltd ta Go Letting</t>
        </is>
      </c>
      <c r="B15520" s="4" t="n">
        <v>45169</v>
      </c>
      <c r="C15520" s="3" t="inlineStr">
        <is>
          <t>Expenses</t>
        </is>
      </c>
      <c r="D15520" s="3" t="inlineStr">
        <is>
          <t>4290/000</t>
        </is>
      </c>
      <c r="E15520" s="3" t="inlineStr">
        <is>
          <t>Refreshments - CT Office</t>
        </is>
      </c>
      <c r="F15520" s="3" t="n">
        <v>-11332.92</v>
      </c>
      <c r="G15520" s="3" t="n">
        <v>0</v>
      </c>
    </row>
    <row r="15521">
      <c r="A15521" s="3" t="inlineStr">
        <is>
          <t>Opportunity Global Investment (PTY) LTD</t>
        </is>
      </c>
      <c r="B15521" s="4" t="n">
        <v>45169</v>
      </c>
      <c r="C15521" s="3" t="inlineStr">
        <is>
          <t>Expenses</t>
        </is>
      </c>
      <c r="D15521" s="3" t="inlineStr">
        <is>
          <t>4290/000</t>
        </is>
      </c>
      <c r="E15521" s="3" t="inlineStr">
        <is>
          <t>Rent</t>
        </is>
      </c>
      <c r="F15521" s="3" t="n">
        <v>8770</v>
      </c>
      <c r="G15521" s="3" t="n">
        <v>52620</v>
      </c>
    </row>
    <row r="15522">
      <c r="A15522" s="3" t="inlineStr">
        <is>
          <t>Noble Shield (Pty) Ltd ta Go Letting</t>
        </is>
      </c>
      <c r="B15522" s="4" t="n">
        <v>45169</v>
      </c>
      <c r="C15522" s="3" t="inlineStr">
        <is>
          <t>Expenses</t>
        </is>
      </c>
      <c r="D15522" s="3" t="inlineStr">
        <is>
          <t>4291/000</t>
        </is>
      </c>
      <c r="E15522" s="3" t="inlineStr">
        <is>
          <t>Refreshments - VDB Office</t>
        </is>
      </c>
      <c r="F15522" s="3" t="n">
        <v>758.1799999999999</v>
      </c>
      <c r="G15522" s="3" t="n">
        <v>5494.82</v>
      </c>
    </row>
    <row r="15523">
      <c r="A15523" s="3" t="inlineStr">
        <is>
          <t>Trademark Holdings (Pty) Ltd</t>
        </is>
      </c>
      <c r="B15523" s="4" t="n">
        <v>45169</v>
      </c>
      <c r="C15523" s="3" t="inlineStr">
        <is>
          <t>Expenses</t>
        </is>
      </c>
      <c r="D15523" s="3" t="inlineStr">
        <is>
          <t>4300/000</t>
        </is>
      </c>
      <c r="E15523" s="3" t="inlineStr">
        <is>
          <t>Rent Paid</t>
        </is>
      </c>
      <c r="F15523" s="3" t="n">
        <v>6840</v>
      </c>
      <c r="G15523" s="3" t="n">
        <v>78776.57000000001</v>
      </c>
    </row>
    <row r="15524">
      <c r="A15524" s="3" t="inlineStr">
        <is>
          <t>Opportunity Global Investment (PTY) LTD</t>
        </is>
      </c>
      <c r="B15524" s="4" t="n">
        <v>45169</v>
      </c>
      <c r="C15524" s="3" t="inlineStr">
        <is>
          <t>Expenses</t>
        </is>
      </c>
      <c r="D15524" s="3" t="inlineStr">
        <is>
          <t>4310/000</t>
        </is>
      </c>
      <c r="E15524" s="3" t="inlineStr">
        <is>
          <t>Refreshments</t>
        </is>
      </c>
      <c r="F15524" s="3" t="n">
        <v>2521</v>
      </c>
      <c r="G15524" s="3" t="n">
        <v>15126</v>
      </c>
    </row>
    <row r="15525">
      <c r="A15525" s="3" t="inlineStr">
        <is>
          <t>Opportunity Management Holdings (PTY) LTD</t>
        </is>
      </c>
      <c r="B15525" s="4" t="n">
        <v>45169</v>
      </c>
      <c r="C15525" s="3" t="inlineStr">
        <is>
          <t>Expenses</t>
        </is>
      </c>
      <c r="D15525" s="3" t="inlineStr">
        <is>
          <t>4310/000</t>
        </is>
      </c>
      <c r="E15525" s="3" t="inlineStr">
        <is>
          <t>Refreshments</t>
        </is>
      </c>
      <c r="F15525" s="3" t="n">
        <v>11890.57</v>
      </c>
      <c r="G15525" s="3" t="n">
        <v>37805.96</v>
      </c>
    </row>
    <row r="15526">
      <c r="A15526" s="3" t="inlineStr">
        <is>
          <t>Quinate Consulting (Pty) Ltd</t>
        </is>
      </c>
      <c r="B15526" s="4" t="n">
        <v>45169</v>
      </c>
      <c r="C15526" s="3" t="inlineStr">
        <is>
          <t>Expenses</t>
        </is>
      </c>
      <c r="D15526" s="3" t="inlineStr">
        <is>
          <t>4312/000</t>
        </is>
      </c>
      <c r="E15526" s="3" t="inlineStr">
        <is>
          <t>Rates - SoHo Units</t>
        </is>
      </c>
      <c r="F15526" s="3" t="n">
        <v>2677.65</v>
      </c>
      <c r="G15526" s="3" t="n">
        <v>15307.24</v>
      </c>
    </row>
    <row r="15527">
      <c r="A15527" s="3" t="inlineStr">
        <is>
          <t>Endulini (Pty) Ltd</t>
        </is>
      </c>
      <c r="B15527" s="4" t="n">
        <v>45169</v>
      </c>
      <c r="C15527" s="3" t="inlineStr">
        <is>
          <t>Expenses</t>
        </is>
      </c>
      <c r="D15527" s="3" t="inlineStr">
        <is>
          <t>4350/000</t>
        </is>
      </c>
      <c r="E15527" s="3" t="inlineStr">
        <is>
          <t>Repairs _AND_ Maintenance</t>
        </is>
      </c>
      <c r="F15527" s="3" t="n">
        <v>0</v>
      </c>
      <c r="G15527" s="3" t="n">
        <v>24971.44</v>
      </c>
    </row>
    <row r="15528">
      <c r="A15528" s="3" t="inlineStr">
        <is>
          <t>Noble Shield (Pty) Ltd ta Go Letting</t>
        </is>
      </c>
      <c r="B15528" s="4" t="n">
        <v>45169</v>
      </c>
      <c r="C15528" s="3" t="inlineStr">
        <is>
          <t>Expenses</t>
        </is>
      </c>
      <c r="D15528" s="3" t="inlineStr">
        <is>
          <t>4350/000</t>
        </is>
      </c>
      <c r="E15528" s="3" t="inlineStr">
        <is>
          <t>Repairs _AND_ Maintenance</t>
        </is>
      </c>
      <c r="F15528" s="3" t="n">
        <v>0</v>
      </c>
      <c r="G15528" s="3" t="n">
        <v>1930.01</v>
      </c>
    </row>
    <row r="15529">
      <c r="A15529" s="3" t="inlineStr">
        <is>
          <t>Opportunity Management Holdings (PTY) LTD</t>
        </is>
      </c>
      <c r="B15529" s="4" t="n">
        <v>45169</v>
      </c>
      <c r="C15529" s="3" t="inlineStr">
        <is>
          <t>Expenses</t>
        </is>
      </c>
      <c r="D15529" s="3" t="inlineStr">
        <is>
          <t>4350/000</t>
        </is>
      </c>
      <c r="E15529" s="3" t="inlineStr">
        <is>
          <t>Repairs _AND_ Maintenance</t>
        </is>
      </c>
      <c r="F15529" s="3" t="n">
        <v>268.7</v>
      </c>
      <c r="G15529" s="3" t="n">
        <v>4224.11</v>
      </c>
    </row>
    <row r="15530">
      <c r="A15530" s="3" t="inlineStr">
        <is>
          <t>Quinate Consulting (Pty) Ltd</t>
        </is>
      </c>
      <c r="B15530" s="4" t="n">
        <v>45169</v>
      </c>
      <c r="C15530" s="3" t="inlineStr">
        <is>
          <t>Expenses</t>
        </is>
      </c>
      <c r="D15530" s="3" t="inlineStr">
        <is>
          <t>4350/000</t>
        </is>
      </c>
      <c r="E15530" s="3" t="inlineStr">
        <is>
          <t>Repairs and Maintenance - Southwark Units</t>
        </is>
      </c>
      <c r="F15530" s="3" t="n">
        <v>395</v>
      </c>
      <c r="G15530" s="3" t="n">
        <v>3545</v>
      </c>
    </row>
    <row r="15531">
      <c r="A15531" s="3" t="inlineStr">
        <is>
          <t>Endulini (Pty) Ltd</t>
        </is>
      </c>
      <c r="B15531" s="4" t="n">
        <v>45169</v>
      </c>
      <c r="C15531" s="3" t="inlineStr">
        <is>
          <t>Expenses</t>
        </is>
      </c>
      <c r="D15531" s="3" t="inlineStr">
        <is>
          <t>4351/000</t>
        </is>
      </c>
      <c r="E15531" s="3" t="inlineStr">
        <is>
          <t>Repair &amp; Maintenance - Rentals</t>
        </is>
      </c>
      <c r="F15531" s="3" t="n">
        <v>0</v>
      </c>
      <c r="G15531" s="3" t="n">
        <v>1913.04</v>
      </c>
    </row>
    <row r="15532">
      <c r="A15532" s="3" t="inlineStr">
        <is>
          <t>Noble Shield (Pty) Ltd ta Go Letting</t>
        </is>
      </c>
      <c r="B15532" s="4" t="n">
        <v>45169</v>
      </c>
      <c r="C15532" s="3" t="inlineStr">
        <is>
          <t>Expenses</t>
        </is>
      </c>
      <c r="D15532" s="3" t="inlineStr">
        <is>
          <t>4351/000</t>
        </is>
      </c>
      <c r="E15532" s="3" t="inlineStr">
        <is>
          <t>Repairs _AND_ Maintanence - Rentals</t>
        </is>
      </c>
      <c r="F15532" s="3" t="n">
        <v>0</v>
      </c>
      <c r="G15532" s="3" t="n">
        <v>317.98</v>
      </c>
    </row>
    <row r="15533">
      <c r="A15533" s="3" t="inlineStr">
        <is>
          <t>Quinate Consulting (Pty) Ltd</t>
        </is>
      </c>
      <c r="B15533" s="4" t="n">
        <v>45169</v>
      </c>
      <c r="C15533" s="3" t="inlineStr">
        <is>
          <t>Expenses</t>
        </is>
      </c>
      <c r="D15533" s="3" t="inlineStr">
        <is>
          <t>4351/100</t>
        </is>
      </c>
      <c r="E15533" s="3" t="inlineStr">
        <is>
          <t>Repairs and Maintenance -  Soho Units</t>
        </is>
      </c>
      <c r="F15533" s="3" t="n">
        <v>0</v>
      </c>
      <c r="G15533" s="3" t="n">
        <v>2400</v>
      </c>
    </row>
    <row r="15534">
      <c r="A15534" s="3" t="inlineStr">
        <is>
          <t>Opportunity Global Investment (PTY) LTD</t>
        </is>
      </c>
      <c r="B15534" s="4" t="n">
        <v>45169</v>
      </c>
      <c r="C15534" s="3" t="inlineStr">
        <is>
          <t>Expenses</t>
        </is>
      </c>
      <c r="D15534" s="3" t="inlineStr">
        <is>
          <t>4360/000</t>
        </is>
      </c>
      <c r="E15534" s="3" t="inlineStr">
        <is>
          <t>Secretarial - CIPC</t>
        </is>
      </c>
      <c r="F15534" s="3" t="n">
        <v>0</v>
      </c>
      <c r="G15534" s="3" t="n">
        <v>800</v>
      </c>
    </row>
    <row r="15535">
      <c r="A15535" s="3" t="inlineStr">
        <is>
          <t>Opportunity Global Sales (PTY) LTD</t>
        </is>
      </c>
      <c r="B15535" s="4" t="n">
        <v>45169</v>
      </c>
      <c r="C15535" s="3" t="inlineStr">
        <is>
          <t>Expenses</t>
        </is>
      </c>
      <c r="D15535" s="3" t="inlineStr">
        <is>
          <t>4390/000</t>
        </is>
      </c>
      <c r="E15535" s="3" t="inlineStr">
        <is>
          <t>Small Assets</t>
        </is>
      </c>
      <c r="F15535" s="3" t="n">
        <v>0</v>
      </c>
      <c r="G15535" s="3" t="n">
        <v>1477.39</v>
      </c>
    </row>
    <row r="15536">
      <c r="A15536" s="3" t="inlineStr">
        <is>
          <t>Opportunity Management Holdings (PTY) LTD</t>
        </is>
      </c>
      <c r="B15536" s="4" t="n">
        <v>45169</v>
      </c>
      <c r="C15536" s="3" t="inlineStr">
        <is>
          <t>Expenses</t>
        </is>
      </c>
      <c r="D15536" s="3" t="inlineStr">
        <is>
          <t>4390/000</t>
        </is>
      </c>
      <c r="E15536" s="3" t="inlineStr">
        <is>
          <t>Small Assets</t>
        </is>
      </c>
      <c r="F15536" s="3" t="n">
        <v>0</v>
      </c>
      <c r="G15536" s="3" t="n">
        <v>27383.47</v>
      </c>
    </row>
    <row r="15537">
      <c r="A15537" s="3" t="inlineStr">
        <is>
          <t>Noble Shield (Pty) Ltd ta Go Letting</t>
        </is>
      </c>
      <c r="B15537" s="4" t="n">
        <v>45169</v>
      </c>
      <c r="C15537" s="3" t="inlineStr">
        <is>
          <t>Expenses</t>
        </is>
      </c>
      <c r="D15537" s="3" t="inlineStr">
        <is>
          <t>4400/000</t>
        </is>
      </c>
      <c r="E15537" s="3" t="inlineStr">
        <is>
          <t>Salaries _AND_ Wages</t>
        </is>
      </c>
      <c r="F15537" s="3" t="n">
        <v>26915.7</v>
      </c>
      <c r="G15537" s="3" t="n">
        <v>322583.42</v>
      </c>
    </row>
    <row r="15538">
      <c r="A15538" s="3" t="inlineStr">
        <is>
          <t>Opportunity Global Sales (PTY) LTD</t>
        </is>
      </c>
      <c r="B15538" s="4" t="n">
        <v>45169</v>
      </c>
      <c r="C15538" s="3" t="inlineStr">
        <is>
          <t>Expenses</t>
        </is>
      </c>
      <c r="D15538" s="3" t="inlineStr">
        <is>
          <t>4400/000</t>
        </is>
      </c>
      <c r="E15538" s="3" t="inlineStr">
        <is>
          <t>Salaries _AND_ Wages</t>
        </is>
      </c>
      <c r="F15538" s="3" t="n">
        <v>55267.05</v>
      </c>
      <c r="G15538" s="3" t="n">
        <v>326002.28</v>
      </c>
    </row>
    <row r="15539">
      <c r="A15539" s="3" t="inlineStr">
        <is>
          <t>Opportunity Management Holdings (PTY) LTD</t>
        </is>
      </c>
      <c r="B15539" s="4" t="n">
        <v>45169</v>
      </c>
      <c r="C15539" s="3" t="inlineStr">
        <is>
          <t>Expenses</t>
        </is>
      </c>
      <c r="D15539" s="3" t="inlineStr">
        <is>
          <t>4400/000</t>
        </is>
      </c>
      <c r="E15539" s="3" t="inlineStr">
        <is>
          <t>Salaries _AND_ Wages</t>
        </is>
      </c>
      <c r="F15539" s="3" t="n">
        <v>200480.18</v>
      </c>
      <c r="G15539" s="3" t="n">
        <v>2960136.93</v>
      </c>
    </row>
    <row r="15540">
      <c r="A15540" s="3" t="inlineStr">
        <is>
          <t>Trademark Holdings (Pty) Ltd</t>
        </is>
      </c>
      <c r="B15540" s="4" t="n">
        <v>45169</v>
      </c>
      <c r="C15540" s="3" t="inlineStr">
        <is>
          <t>Expenses</t>
        </is>
      </c>
      <c r="D15540" s="3" t="inlineStr">
        <is>
          <t>4400/000</t>
        </is>
      </c>
      <c r="E15540" s="3" t="inlineStr">
        <is>
          <t>Salaries _AND_ Wages</t>
        </is>
      </c>
      <c r="F15540" s="3" t="n">
        <v>12429.45</v>
      </c>
      <c r="G15540" s="3" t="n">
        <v>149153.4</v>
      </c>
    </row>
    <row r="15541">
      <c r="A15541" s="3" t="inlineStr">
        <is>
          <t>Opportunity Management Holdings (PTY) LTD</t>
        </is>
      </c>
      <c r="B15541" s="4" t="n">
        <v>45169</v>
      </c>
      <c r="C15541" s="3" t="inlineStr">
        <is>
          <t>Expenses</t>
        </is>
      </c>
      <c r="D15541" s="3" t="inlineStr">
        <is>
          <t>4410/000</t>
        </is>
      </c>
      <c r="E15541" s="3" t="inlineStr">
        <is>
          <t>Salaries _AND_ Wages - WCA</t>
        </is>
      </c>
      <c r="F15541" s="3" t="n">
        <v>400</v>
      </c>
      <c r="G15541" s="3" t="n">
        <v>2400</v>
      </c>
    </row>
    <row r="15542">
      <c r="A15542" s="3" t="inlineStr">
        <is>
          <t>Trademark Holdings (Pty) Ltd</t>
        </is>
      </c>
      <c r="B15542" s="4" t="n">
        <v>45169</v>
      </c>
      <c r="C15542" s="3" t="inlineStr">
        <is>
          <t>Expenses</t>
        </is>
      </c>
      <c r="D15542" s="3" t="inlineStr">
        <is>
          <t>4410/000</t>
        </is>
      </c>
      <c r="E15542" s="3" t="inlineStr">
        <is>
          <t>Salaries _AND_ Wages - WCA</t>
        </is>
      </c>
      <c r="F15542" s="3" t="n">
        <v>0</v>
      </c>
      <c r="G15542" s="3" t="n">
        <v>1397.74</v>
      </c>
    </row>
    <row r="15543">
      <c r="A15543" s="3" t="inlineStr">
        <is>
          <t>Trademark Holdings (Pty) Ltd</t>
        </is>
      </c>
      <c r="B15543" s="4" t="n">
        <v>45169</v>
      </c>
      <c r="C15543" s="3" t="inlineStr">
        <is>
          <t>Expenses</t>
        </is>
      </c>
      <c r="D15543" s="3" t="inlineStr">
        <is>
          <t>4430/000</t>
        </is>
      </c>
      <c r="E15543" s="3" t="inlineStr">
        <is>
          <t>Secretarial fees - CIPC</t>
        </is>
      </c>
      <c r="F15543" s="3" t="n">
        <v>0</v>
      </c>
      <c r="G15543" s="3" t="n">
        <v>200</v>
      </c>
    </row>
    <row r="15544">
      <c r="A15544" s="3" t="inlineStr">
        <is>
          <t>Opportunity Global Investment (PTY) LTD</t>
        </is>
      </c>
      <c r="B15544" s="4" t="n">
        <v>45169</v>
      </c>
      <c r="C15544" s="3" t="inlineStr">
        <is>
          <t>Expenses</t>
        </is>
      </c>
      <c r="D15544" s="3" t="inlineStr">
        <is>
          <t>4450/000</t>
        </is>
      </c>
      <c r="E15544" s="3" t="inlineStr">
        <is>
          <t>Staff Training</t>
        </is>
      </c>
      <c r="F15544" s="3" t="n">
        <v>0</v>
      </c>
      <c r="G15544" s="3" t="n">
        <v>5495.66</v>
      </c>
    </row>
    <row r="15545">
      <c r="A15545" s="3" t="inlineStr">
        <is>
          <t>Opportunity Global Sales (PTY) LTD</t>
        </is>
      </c>
      <c r="B15545" s="4" t="n">
        <v>45169</v>
      </c>
      <c r="C15545" s="3" t="inlineStr">
        <is>
          <t>Expenses</t>
        </is>
      </c>
      <c r="D15545" s="3" t="inlineStr">
        <is>
          <t>4450/000</t>
        </is>
      </c>
      <c r="E15545" s="3" t="inlineStr">
        <is>
          <t>Staff Training</t>
        </is>
      </c>
      <c r="F15545" s="3" t="n">
        <v>695.65</v>
      </c>
      <c r="G15545" s="3" t="n">
        <v>695.65</v>
      </c>
    </row>
    <row r="15546">
      <c r="A15546" s="3" t="inlineStr">
        <is>
          <t>Opportunity Management Holdings (PTY) LTD</t>
        </is>
      </c>
      <c r="B15546" s="4" t="n">
        <v>45169</v>
      </c>
      <c r="C15546" s="3" t="inlineStr">
        <is>
          <t>Expenses</t>
        </is>
      </c>
      <c r="D15546" s="3" t="inlineStr">
        <is>
          <t>4450/000</t>
        </is>
      </c>
      <c r="E15546" s="3" t="inlineStr">
        <is>
          <t>Staff Training</t>
        </is>
      </c>
      <c r="F15546" s="3" t="n">
        <v>0</v>
      </c>
      <c r="G15546" s="3" t="n">
        <v>2001.78</v>
      </c>
    </row>
    <row r="15547">
      <c r="A15547" s="3" t="inlineStr">
        <is>
          <t>Noble Shield (Pty) Ltd ta Go Letting</t>
        </is>
      </c>
      <c r="B15547" s="4" t="n">
        <v>45169</v>
      </c>
      <c r="C15547" s="3" t="inlineStr">
        <is>
          <t>Expenses</t>
        </is>
      </c>
      <c r="D15547" s="3" t="inlineStr">
        <is>
          <t>4500/000</t>
        </is>
      </c>
      <c r="E15547" s="3" t="inlineStr">
        <is>
          <t>Staff Welfare</t>
        </is>
      </c>
      <c r="F15547" s="3" t="n">
        <v>0</v>
      </c>
      <c r="G15547" s="3" t="n">
        <v>6697.18</v>
      </c>
    </row>
    <row r="15548">
      <c r="A15548" s="3" t="inlineStr">
        <is>
          <t>Opportunity Global Investment (PTY) LTD</t>
        </is>
      </c>
      <c r="B15548" s="4" t="n">
        <v>45169</v>
      </c>
      <c r="C15548" s="3" t="inlineStr">
        <is>
          <t>Expenses</t>
        </is>
      </c>
      <c r="D15548" s="3" t="inlineStr">
        <is>
          <t>4500/000</t>
        </is>
      </c>
      <c r="E15548" s="3" t="inlineStr">
        <is>
          <t>Staff Welfare</t>
        </is>
      </c>
      <c r="F15548" s="3" t="n">
        <v>0</v>
      </c>
      <c r="G15548" s="3" t="n">
        <v>244.15</v>
      </c>
    </row>
    <row r="15549">
      <c r="A15549" s="3" t="inlineStr">
        <is>
          <t>Opportunity Global Sales (PTY) LTD</t>
        </is>
      </c>
      <c r="B15549" s="4" t="n">
        <v>45169</v>
      </c>
      <c r="C15549" s="3" t="inlineStr">
        <is>
          <t>Expenses</t>
        </is>
      </c>
      <c r="D15549" s="3" t="inlineStr">
        <is>
          <t>4500/000</t>
        </is>
      </c>
      <c r="E15549" s="3" t="inlineStr">
        <is>
          <t>Staff Welfare</t>
        </is>
      </c>
      <c r="F15549" s="3" t="n">
        <v>0</v>
      </c>
      <c r="G15549" s="3" t="n">
        <v>1142.17</v>
      </c>
    </row>
    <row r="15550">
      <c r="A15550" s="3" t="inlineStr">
        <is>
          <t>Opportunity Management Holdings (PTY) LTD</t>
        </is>
      </c>
      <c r="B15550" s="4" t="n">
        <v>45169</v>
      </c>
      <c r="C15550" s="3" t="inlineStr">
        <is>
          <t>Expenses</t>
        </is>
      </c>
      <c r="D15550" s="3" t="inlineStr">
        <is>
          <t>4500/000</t>
        </is>
      </c>
      <c r="E15550" s="3" t="inlineStr">
        <is>
          <t>Staff Welfare</t>
        </is>
      </c>
      <c r="F15550" s="3" t="n">
        <v>8685.43</v>
      </c>
      <c r="G15550" s="3" t="n">
        <v>71916.09</v>
      </c>
    </row>
    <row r="15551">
      <c r="A15551" s="3" t="inlineStr">
        <is>
          <t>Quinate Consulting (Pty) Ltd</t>
        </is>
      </c>
      <c r="B15551" s="4" t="n">
        <v>45169</v>
      </c>
      <c r="C15551" s="3" t="inlineStr">
        <is>
          <t>Expenses</t>
        </is>
      </c>
      <c r="D15551" s="3" t="inlineStr">
        <is>
          <t>4500/000</t>
        </is>
      </c>
      <c r="E15551" s="3" t="inlineStr">
        <is>
          <t>Staff Welfare</t>
        </is>
      </c>
      <c r="F15551" s="3" t="n">
        <v>0</v>
      </c>
      <c r="G15551" s="3" t="n">
        <v>1263</v>
      </c>
    </row>
    <row r="15552">
      <c r="A15552" s="3" t="inlineStr">
        <is>
          <t>Trademark Holdings (Pty) Ltd</t>
        </is>
      </c>
      <c r="B15552" s="4" t="n">
        <v>45169</v>
      </c>
      <c r="C15552" s="3" t="inlineStr">
        <is>
          <t>Expenses</t>
        </is>
      </c>
      <c r="D15552" s="3" t="inlineStr">
        <is>
          <t>4500/000</t>
        </is>
      </c>
      <c r="E15552" s="3" t="inlineStr">
        <is>
          <t>Staff Welfare _AND_ Refreshments</t>
        </is>
      </c>
      <c r="F15552" s="3" t="n">
        <v>0</v>
      </c>
      <c r="G15552" s="3" t="n">
        <v>4500</v>
      </c>
    </row>
    <row r="15553">
      <c r="A15553" s="3" t="inlineStr">
        <is>
          <t>Noble Shield (Pty) Ltd ta Go Letting</t>
        </is>
      </c>
      <c r="B15553" s="4" t="n">
        <v>45169</v>
      </c>
      <c r="C15553" s="3" t="inlineStr">
        <is>
          <t>Expenses</t>
        </is>
      </c>
      <c r="D15553" s="3" t="inlineStr">
        <is>
          <t>4520/000</t>
        </is>
      </c>
      <c r="E15553" s="3" t="inlineStr">
        <is>
          <t>Security</t>
        </is>
      </c>
      <c r="F15553" s="3" t="n">
        <v>-9701.440000000001</v>
      </c>
      <c r="G15553" s="3" t="n">
        <v>0</v>
      </c>
    </row>
    <row r="15554">
      <c r="A15554" s="3" t="inlineStr">
        <is>
          <t>Opportunity Global Investment (PTY) LTD</t>
        </is>
      </c>
      <c r="B15554" s="4" t="n">
        <v>45169</v>
      </c>
      <c r="C15554" s="3" t="inlineStr">
        <is>
          <t>Expenses</t>
        </is>
      </c>
      <c r="D15554" s="3" t="inlineStr">
        <is>
          <t>4550/000</t>
        </is>
      </c>
      <c r="E15554" s="3" t="inlineStr">
        <is>
          <t>Subscriptions</t>
        </is>
      </c>
      <c r="F15554" s="3" t="n">
        <v>0</v>
      </c>
      <c r="G15554" s="3" t="n">
        <v>4623.48</v>
      </c>
    </row>
    <row r="15555">
      <c r="A15555" s="3" t="inlineStr">
        <is>
          <t>Quinate Consulting (Pty) Ltd</t>
        </is>
      </c>
      <c r="B15555" s="4" t="n">
        <v>45169</v>
      </c>
      <c r="C15555" s="3" t="inlineStr">
        <is>
          <t>Expenses</t>
        </is>
      </c>
      <c r="D15555" s="3" t="inlineStr">
        <is>
          <t>4550/000</t>
        </is>
      </c>
      <c r="E15555" s="3" t="inlineStr">
        <is>
          <t>Subscriptions / Licenses</t>
        </is>
      </c>
      <c r="F15555" s="3" t="n">
        <v>11609.93</v>
      </c>
      <c r="G15555" s="3" t="n">
        <v>70401.36</v>
      </c>
    </row>
    <row r="15556">
      <c r="A15556" s="3" t="inlineStr">
        <is>
          <t>Opportunity Management Holdings (PTY) LTD</t>
        </is>
      </c>
      <c r="B15556" s="4" t="n">
        <v>45169</v>
      </c>
      <c r="C15556" s="3" t="inlineStr">
        <is>
          <t>Expenses</t>
        </is>
      </c>
      <c r="D15556" s="3" t="inlineStr">
        <is>
          <t>4550/000</t>
        </is>
      </c>
      <c r="E15556" s="3" t="inlineStr">
        <is>
          <t>Subscriptions _AND_ Lisences</t>
        </is>
      </c>
      <c r="F15556" s="3" t="n">
        <v>4419.1</v>
      </c>
      <c r="G15556" s="3" t="n">
        <v>53969.92</v>
      </c>
    </row>
    <row r="15557">
      <c r="A15557" s="3" t="inlineStr">
        <is>
          <t>Noble Shield (Pty) Ltd ta Go Letting</t>
        </is>
      </c>
      <c r="B15557" s="4" t="n">
        <v>45169</v>
      </c>
      <c r="C15557" s="3" t="inlineStr">
        <is>
          <t>Expenses</t>
        </is>
      </c>
      <c r="D15557" s="3" t="inlineStr">
        <is>
          <t>4550/100</t>
        </is>
      </c>
      <c r="E15557" s="3" t="inlineStr">
        <is>
          <t>Subscriptions - EAAB</t>
        </is>
      </c>
      <c r="F15557" s="3" t="n">
        <v>0</v>
      </c>
      <c r="G15557" s="3" t="n">
        <v>2340</v>
      </c>
    </row>
    <row r="15558">
      <c r="A15558" s="3" t="inlineStr">
        <is>
          <t>Trademark Holdings (Pty) Ltd</t>
        </is>
      </c>
      <c r="B15558" s="4" t="n">
        <v>45169</v>
      </c>
      <c r="C15558" s="3" t="inlineStr">
        <is>
          <t>Expenses</t>
        </is>
      </c>
      <c r="D15558" s="3" t="inlineStr">
        <is>
          <t>4550/100</t>
        </is>
      </c>
      <c r="E15558" s="3" t="inlineStr">
        <is>
          <t>Subscriptions - EAAB</t>
        </is>
      </c>
      <c r="F15558" s="3" t="n">
        <v>0</v>
      </c>
      <c r="G15558" s="3" t="n">
        <v>2340</v>
      </c>
    </row>
    <row r="15559">
      <c r="A15559" s="3" t="inlineStr">
        <is>
          <t>Opportunity Global Investment (PTY) LTD</t>
        </is>
      </c>
      <c r="B15559" s="4" t="n">
        <v>45169</v>
      </c>
      <c r="C15559" s="3" t="inlineStr">
        <is>
          <t>Expenses</t>
        </is>
      </c>
      <c r="D15559" s="3" t="inlineStr">
        <is>
          <t>4550/100</t>
        </is>
      </c>
      <c r="E15559" s="3" t="inlineStr">
        <is>
          <t>Subscriptions - Zoho</t>
        </is>
      </c>
      <c r="F15559" s="3" t="n">
        <v>1125</v>
      </c>
      <c r="G15559" s="3" t="n">
        <v>6750</v>
      </c>
    </row>
    <row r="15560">
      <c r="A15560" s="3" t="inlineStr">
        <is>
          <t>Opportunity Global Sales (PTY) LTD</t>
        </is>
      </c>
      <c r="B15560" s="4" t="n">
        <v>45169</v>
      </c>
      <c r="C15560" s="3" t="inlineStr">
        <is>
          <t>Expenses</t>
        </is>
      </c>
      <c r="D15560" s="3" t="inlineStr">
        <is>
          <t>4550/150</t>
        </is>
      </c>
      <c r="E15560" s="3" t="inlineStr">
        <is>
          <t>Subscription - Webbox</t>
        </is>
      </c>
      <c r="F15560" s="3" t="n">
        <v>0</v>
      </c>
      <c r="G15560" s="3" t="n">
        <v>6743</v>
      </c>
    </row>
    <row r="15561">
      <c r="A15561" s="3" t="inlineStr">
        <is>
          <t>Opportunity Global Investment (PTY) LTD</t>
        </is>
      </c>
      <c r="B15561" s="4" t="n">
        <v>45169</v>
      </c>
      <c r="C15561" s="3" t="inlineStr">
        <is>
          <t>Expenses</t>
        </is>
      </c>
      <c r="D15561" s="3" t="inlineStr">
        <is>
          <t>4550/250</t>
        </is>
      </c>
      <c r="E15561" s="3" t="inlineStr">
        <is>
          <t>Subscriptions - LinkedIn</t>
        </is>
      </c>
      <c r="F15561" s="3" t="n">
        <v>1000.49</v>
      </c>
      <c r="G15561" s="3" t="n">
        <v>7003.43</v>
      </c>
    </row>
    <row r="15562">
      <c r="A15562" s="3" t="inlineStr">
        <is>
          <t>Opportunity Global Investment (PTY) LTD</t>
        </is>
      </c>
      <c r="B15562" s="4" t="n">
        <v>45169</v>
      </c>
      <c r="C15562" s="3" t="inlineStr">
        <is>
          <t>Expenses</t>
        </is>
      </c>
      <c r="D15562" s="3" t="inlineStr">
        <is>
          <t>4550/350</t>
        </is>
      </c>
      <c r="E15562" s="3" t="inlineStr">
        <is>
          <t>Subscriptions - Xero</t>
        </is>
      </c>
      <c r="F15562" s="3" t="n">
        <v>600</v>
      </c>
      <c r="G15562" s="3" t="n">
        <v>3600</v>
      </c>
    </row>
    <row r="15563">
      <c r="A15563" s="3" t="inlineStr">
        <is>
          <t>Opportunity Global Investment (PTY) LTD</t>
        </is>
      </c>
      <c r="B15563" s="4" t="n">
        <v>45169</v>
      </c>
      <c r="C15563" s="3" t="inlineStr">
        <is>
          <t>Expenses</t>
        </is>
      </c>
      <c r="D15563" s="3" t="inlineStr">
        <is>
          <t>4550/400</t>
        </is>
      </c>
      <c r="E15563" s="3" t="inlineStr">
        <is>
          <t>Subscriptions - Moneyweb</t>
        </is>
      </c>
      <c r="F15563" s="3" t="n">
        <v>60.87</v>
      </c>
      <c r="G15563" s="3" t="n">
        <v>353.04</v>
      </c>
    </row>
    <row r="15564">
      <c r="A15564" s="3" t="inlineStr">
        <is>
          <t>Trademark Holdings (Pty) Ltd</t>
        </is>
      </c>
      <c r="B15564" s="4" t="n">
        <v>45169</v>
      </c>
      <c r="C15564" s="3" t="inlineStr">
        <is>
          <t>Expenses</t>
        </is>
      </c>
      <c r="D15564" s="3" t="inlineStr">
        <is>
          <t>4550/400</t>
        </is>
      </c>
      <c r="E15564" s="3" t="inlineStr">
        <is>
          <t>Subscriptions - Xero</t>
        </is>
      </c>
      <c r="F15564" s="3" t="n">
        <v>600</v>
      </c>
      <c r="G15564" s="3" t="n">
        <v>7200</v>
      </c>
    </row>
    <row r="15565">
      <c r="A15565" s="3" t="inlineStr">
        <is>
          <t>Opportunity Global Investment (PTY) LTD</t>
        </is>
      </c>
      <c r="B15565" s="4" t="n">
        <v>45169</v>
      </c>
      <c r="C15565" s="3" t="inlineStr">
        <is>
          <t>Expenses</t>
        </is>
      </c>
      <c r="D15565" s="3" t="inlineStr">
        <is>
          <t>4550/450</t>
        </is>
      </c>
      <c r="E15565" s="3" t="inlineStr">
        <is>
          <t>Subscriptions - Adobe</t>
        </is>
      </c>
      <c r="F15565" s="3" t="n">
        <v>610.1</v>
      </c>
      <c r="G15565" s="3" t="n">
        <v>3603.46</v>
      </c>
    </row>
    <row r="15566">
      <c r="A15566" s="3" t="inlineStr">
        <is>
          <t>Opportunity Global Investment (PTY) LTD</t>
        </is>
      </c>
      <c r="B15566" s="4" t="n">
        <v>45169</v>
      </c>
      <c r="C15566" s="3" t="inlineStr">
        <is>
          <t>Expenses</t>
        </is>
      </c>
      <c r="D15566" s="3" t="inlineStr">
        <is>
          <t>4550/500</t>
        </is>
      </c>
      <c r="E15566" s="3" t="inlineStr">
        <is>
          <t>Subscriptions - Pandadoc</t>
        </is>
      </c>
      <c r="F15566" s="3" t="n">
        <v>562.3200000000001</v>
      </c>
      <c r="G15566" s="3" t="n">
        <v>3336.07</v>
      </c>
    </row>
    <row r="15567">
      <c r="A15567" s="3" t="inlineStr">
        <is>
          <t>Noble Shield (Pty) Ltd ta Go Letting</t>
        </is>
      </c>
      <c r="B15567" s="4" t="n">
        <v>45169</v>
      </c>
      <c r="C15567" s="3" t="inlineStr">
        <is>
          <t>Expenses</t>
        </is>
      </c>
      <c r="D15567" s="3" t="inlineStr">
        <is>
          <t>4550/600</t>
        </is>
      </c>
      <c r="E15567" s="3" t="inlineStr">
        <is>
          <t>Subscriptions - Webbox</t>
        </is>
      </c>
      <c r="F15567" s="3" t="n">
        <v>1450.15</v>
      </c>
      <c r="G15567" s="3" t="n">
        <v>16596.8</v>
      </c>
    </row>
    <row r="15568">
      <c r="A15568" s="3" t="inlineStr">
        <is>
          <t>Noble Shield (Pty) Ltd ta Go Letting</t>
        </is>
      </c>
      <c r="B15568" s="4" t="n">
        <v>45169</v>
      </c>
      <c r="C15568" s="3" t="inlineStr">
        <is>
          <t>Expenses</t>
        </is>
      </c>
      <c r="D15568" s="3" t="inlineStr">
        <is>
          <t>4550/650</t>
        </is>
      </c>
      <c r="E15568" s="3" t="inlineStr">
        <is>
          <t>Subscriptions - Xero</t>
        </is>
      </c>
      <c r="F15568" s="3" t="n">
        <v>600</v>
      </c>
      <c r="G15568" s="3" t="n">
        <v>7200</v>
      </c>
    </row>
    <row r="15569">
      <c r="A15569" s="3" t="inlineStr">
        <is>
          <t>Noble Shield (Pty) Ltd ta Go Letting</t>
        </is>
      </c>
      <c r="B15569" s="4" t="n">
        <v>45169</v>
      </c>
      <c r="C15569" s="3" t="inlineStr">
        <is>
          <t>Expenses</t>
        </is>
      </c>
      <c r="D15569" s="3" t="inlineStr">
        <is>
          <t>4550/700</t>
        </is>
      </c>
      <c r="E15569" s="3" t="inlineStr">
        <is>
          <t>Subscriptions - Domain renewals</t>
        </is>
      </c>
      <c r="F15569" s="3" t="n">
        <v>1842.3</v>
      </c>
      <c r="G15569" s="3" t="n">
        <v>2282.75</v>
      </c>
    </row>
    <row r="15570">
      <c r="A15570" s="3" t="inlineStr">
        <is>
          <t>Noble Shield (Pty) Ltd ta Go Letting</t>
        </is>
      </c>
      <c r="B15570" s="4" t="n">
        <v>45169</v>
      </c>
      <c r="C15570" s="3" t="inlineStr">
        <is>
          <t>Expenses</t>
        </is>
      </c>
      <c r="D15570" s="3" t="inlineStr">
        <is>
          <t>4550/800</t>
        </is>
      </c>
      <c r="E15570" s="3" t="inlineStr">
        <is>
          <t>Subscriptions - Adobe</t>
        </is>
      </c>
      <c r="F15570" s="3" t="n">
        <v>-4058.75</v>
      </c>
      <c r="G15570" s="3" t="n">
        <v>0</v>
      </c>
    </row>
    <row r="15571">
      <c r="A15571" s="3" t="inlineStr">
        <is>
          <t>Opportunity Global Sales (PTY) LTD</t>
        </is>
      </c>
      <c r="B15571" s="4" t="n">
        <v>45169</v>
      </c>
      <c r="C15571" s="3" t="inlineStr">
        <is>
          <t>Expenses</t>
        </is>
      </c>
      <c r="D15571" s="3" t="inlineStr">
        <is>
          <t>4551/000</t>
        </is>
      </c>
      <c r="E15571" s="3" t="inlineStr">
        <is>
          <t>Subscriptions - Payprop</t>
        </is>
      </c>
      <c r="F15571" s="3" t="n">
        <v>2295.3</v>
      </c>
      <c r="G15571" s="3" t="n">
        <v>6436.41</v>
      </c>
    </row>
    <row r="15572">
      <c r="A15572" s="3" t="inlineStr">
        <is>
          <t>Quinate Consulting (Pty) Ltd</t>
        </is>
      </c>
      <c r="B15572" s="4" t="n">
        <v>45169</v>
      </c>
      <c r="C15572" s="3" t="inlineStr">
        <is>
          <t>Expenses</t>
        </is>
      </c>
      <c r="D15572" s="3" t="inlineStr">
        <is>
          <t>4552/000</t>
        </is>
      </c>
      <c r="E15572" s="3" t="inlineStr">
        <is>
          <t>Subscriptions - CIPC</t>
        </is>
      </c>
      <c r="F15572" s="3" t="n">
        <v>3750</v>
      </c>
      <c r="G15572" s="3" t="n">
        <v>4050</v>
      </c>
    </row>
    <row r="15573">
      <c r="A15573" s="3" t="inlineStr">
        <is>
          <t>Endulini (Pty) Ltd</t>
        </is>
      </c>
      <c r="B15573" s="4" t="n">
        <v>45169</v>
      </c>
      <c r="C15573" s="3" t="inlineStr">
        <is>
          <t>Expenses</t>
        </is>
      </c>
      <c r="D15573" s="3" t="inlineStr">
        <is>
          <t>4552/000</t>
        </is>
      </c>
      <c r="E15573" s="3" t="inlineStr">
        <is>
          <t>Subscriptions - Xero</t>
        </is>
      </c>
      <c r="F15573" s="3" t="n">
        <v>600</v>
      </c>
      <c r="G15573" s="3" t="n">
        <v>3600</v>
      </c>
    </row>
    <row r="15574">
      <c r="A15574" s="3" t="inlineStr">
        <is>
          <t>Opportunity Global Sales (PTY) LTD</t>
        </is>
      </c>
      <c r="B15574" s="4" t="n">
        <v>45169</v>
      </c>
      <c r="C15574" s="3" t="inlineStr">
        <is>
          <t>Expenses</t>
        </is>
      </c>
      <c r="D15574" s="3" t="inlineStr">
        <is>
          <t>4552/000</t>
        </is>
      </c>
      <c r="E15574" s="3" t="inlineStr">
        <is>
          <t>Subscriptions - Xero</t>
        </is>
      </c>
      <c r="F15574" s="3" t="n">
        <v>600</v>
      </c>
      <c r="G15574" s="3" t="n">
        <v>3600</v>
      </c>
    </row>
    <row r="15575">
      <c r="A15575" s="3" t="inlineStr">
        <is>
          <t>Opportunity Management Holdings (PTY) LTD</t>
        </is>
      </c>
      <c r="B15575" s="4" t="n">
        <v>45169</v>
      </c>
      <c r="C15575" s="3" t="inlineStr">
        <is>
          <t>Expenses</t>
        </is>
      </c>
      <c r="D15575" s="3" t="inlineStr">
        <is>
          <t>4552/000</t>
        </is>
      </c>
      <c r="E15575" s="3" t="inlineStr">
        <is>
          <t>Subscriptions - Xero</t>
        </is>
      </c>
      <c r="F15575" s="3" t="n">
        <v>600</v>
      </c>
      <c r="G15575" s="3" t="n">
        <v>7200</v>
      </c>
    </row>
    <row r="15576">
      <c r="A15576" s="3" t="inlineStr">
        <is>
          <t>Opportunity Global Sales (PTY) LTD</t>
        </is>
      </c>
      <c r="B15576" s="4" t="n">
        <v>45169</v>
      </c>
      <c r="C15576" s="3" t="inlineStr">
        <is>
          <t>Expenses</t>
        </is>
      </c>
      <c r="D15576" s="3" t="inlineStr">
        <is>
          <t>4553/000</t>
        </is>
      </c>
      <c r="E15576" s="3" t="inlineStr">
        <is>
          <t>Subscriptions - CMA</t>
        </is>
      </c>
      <c r="F15576" s="3" t="n">
        <v>680</v>
      </c>
      <c r="G15576" s="3" t="n">
        <v>4080</v>
      </c>
    </row>
    <row r="15577">
      <c r="A15577" s="3" t="inlineStr">
        <is>
          <t>Quinate Consulting (Pty) Ltd</t>
        </is>
      </c>
      <c r="B15577" s="4" t="n">
        <v>45169</v>
      </c>
      <c r="C15577" s="3" t="inlineStr">
        <is>
          <t>Expenses</t>
        </is>
      </c>
      <c r="D15577" s="3" t="inlineStr">
        <is>
          <t>4554/000</t>
        </is>
      </c>
      <c r="E15577" s="3" t="inlineStr">
        <is>
          <t>Subscriptions - Xero</t>
        </is>
      </c>
      <c r="F15577" s="3" t="n">
        <v>600</v>
      </c>
      <c r="G15577" s="3" t="n">
        <v>3600</v>
      </c>
    </row>
    <row r="15578">
      <c r="A15578" s="3" t="inlineStr">
        <is>
          <t>Opportunity Global Sales (PTY) LTD</t>
        </is>
      </c>
      <c r="B15578" s="4" t="n">
        <v>45169</v>
      </c>
      <c r="C15578" s="3" t="inlineStr">
        <is>
          <t>Expenses</t>
        </is>
      </c>
      <c r="D15578" s="3" t="inlineStr">
        <is>
          <t>4554/000</t>
        </is>
      </c>
      <c r="E15578" s="3" t="inlineStr">
        <is>
          <t>Subscriptions - Zoho</t>
        </is>
      </c>
      <c r="F15578" s="3" t="n">
        <v>750</v>
      </c>
      <c r="G15578" s="3" t="n">
        <v>4500</v>
      </c>
    </row>
    <row r="15579">
      <c r="A15579" s="3" t="inlineStr">
        <is>
          <t>Quinate Consulting (Pty) Ltd</t>
        </is>
      </c>
      <c r="B15579" s="4" t="n">
        <v>45169</v>
      </c>
      <c r="C15579" s="3" t="inlineStr">
        <is>
          <t>Expenses</t>
        </is>
      </c>
      <c r="D15579" s="3" t="inlineStr">
        <is>
          <t>4555/000</t>
        </is>
      </c>
      <c r="E15579" s="3" t="inlineStr">
        <is>
          <t>Subscriptions - OUMS</t>
        </is>
      </c>
      <c r="F15579" s="3" t="n">
        <v>7636.17</v>
      </c>
      <c r="G15579" s="3" t="n">
        <v>45817.02</v>
      </c>
    </row>
    <row r="15580">
      <c r="A15580" s="3" t="inlineStr">
        <is>
          <t>Opportunity Global Sales (PTY) LTD</t>
        </is>
      </c>
      <c r="B15580" s="4" t="n">
        <v>45169</v>
      </c>
      <c r="C15580" s="3" t="inlineStr">
        <is>
          <t>Expenses</t>
        </is>
      </c>
      <c r="D15580" s="3" t="inlineStr">
        <is>
          <t>4556/000</t>
        </is>
      </c>
      <c r="E15580" s="3" t="inlineStr">
        <is>
          <t>Subscription: Sjoon</t>
        </is>
      </c>
      <c r="F15580" s="3" t="n">
        <v>321.74</v>
      </c>
      <c r="G15580" s="3" t="n">
        <v>321.74</v>
      </c>
    </row>
    <row r="15581">
      <c r="A15581" s="3" t="inlineStr">
        <is>
          <t>Opportunity Global Investment (PTY) LTD</t>
        </is>
      </c>
      <c r="B15581" s="4" t="n">
        <v>45169</v>
      </c>
      <c r="C15581" s="3" t="inlineStr">
        <is>
          <t>Expenses</t>
        </is>
      </c>
      <c r="D15581" s="3" t="inlineStr">
        <is>
          <t>4600/000</t>
        </is>
      </c>
      <c r="E15581" s="3" t="inlineStr">
        <is>
          <t>Telephone _AND_ Fax</t>
        </is>
      </c>
      <c r="F15581" s="3" t="n">
        <v>3355</v>
      </c>
      <c r="G15581" s="3" t="n">
        <v>20130</v>
      </c>
    </row>
    <row r="15582">
      <c r="A15582" s="3" t="inlineStr">
        <is>
          <t>Trademark Holdings (Pty) Ltd</t>
        </is>
      </c>
      <c r="B15582" s="4" t="n">
        <v>45169</v>
      </c>
      <c r="C15582" s="3" t="inlineStr">
        <is>
          <t>Expenses</t>
        </is>
      </c>
      <c r="D15582" s="3" t="inlineStr">
        <is>
          <t>4600/000</t>
        </is>
      </c>
      <c r="E15582" s="3" t="inlineStr">
        <is>
          <t>Telephone _AND_ Fax</t>
        </is>
      </c>
      <c r="F15582" s="3" t="n">
        <v>1221.26</v>
      </c>
      <c r="G15582" s="3" t="n">
        <v>15470.2</v>
      </c>
    </row>
    <row r="15583">
      <c r="A15583" s="3" t="inlineStr">
        <is>
          <t>Noble Shield (Pty) Ltd ta Go Letting</t>
        </is>
      </c>
      <c r="B15583" s="4" t="n">
        <v>45169</v>
      </c>
      <c r="C15583" s="3" t="inlineStr">
        <is>
          <t>Expenses</t>
        </is>
      </c>
      <c r="D15583" s="3" t="inlineStr">
        <is>
          <t>4610/000</t>
        </is>
      </c>
      <c r="E15583" s="3" t="inlineStr">
        <is>
          <t>Telephone - CT Office</t>
        </is>
      </c>
      <c r="F15583" s="3" t="n">
        <v>-10729.98</v>
      </c>
      <c r="G15583" s="3" t="n">
        <v>0</v>
      </c>
    </row>
    <row r="15584">
      <c r="A15584" s="3" t="inlineStr">
        <is>
          <t>Noble Shield (Pty) Ltd ta Go Letting</t>
        </is>
      </c>
      <c r="B15584" s="4" t="n">
        <v>45169</v>
      </c>
      <c r="C15584" s="3" t="inlineStr">
        <is>
          <t>Expenses</t>
        </is>
      </c>
      <c r="D15584" s="3" t="inlineStr">
        <is>
          <t>4650/000</t>
        </is>
      </c>
      <c r="E15584" s="3" t="inlineStr">
        <is>
          <t>Travel _AND_ Accommodation</t>
        </is>
      </c>
      <c r="F15584" s="3" t="n">
        <v>0</v>
      </c>
      <c r="G15584" s="3" t="n">
        <v>500</v>
      </c>
    </row>
    <row r="15585">
      <c r="A15585" s="3" t="inlineStr">
        <is>
          <t>Opportunity Management Holdings (PTY) LTD</t>
        </is>
      </c>
      <c r="B15585" s="4" t="n">
        <v>45169</v>
      </c>
      <c r="C15585" s="3" t="inlineStr">
        <is>
          <t>Expenses</t>
        </is>
      </c>
      <c r="D15585" s="3" t="inlineStr">
        <is>
          <t>4650/000</t>
        </is>
      </c>
      <c r="E15585" s="3" t="inlineStr">
        <is>
          <t>Travel _AND_ Accommodation</t>
        </is>
      </c>
      <c r="F15585" s="3" t="n">
        <v>0</v>
      </c>
      <c r="G15585" s="3" t="n">
        <v>1132.44</v>
      </c>
    </row>
    <row r="15586">
      <c r="A15586" s="3" t="inlineStr">
        <is>
          <t>Quinate Consulting (Pty) Ltd</t>
        </is>
      </c>
      <c r="B15586" s="4" t="n">
        <v>45169</v>
      </c>
      <c r="C15586" s="3" t="inlineStr">
        <is>
          <t>Expenses</t>
        </is>
      </c>
      <c r="D15586" s="3" t="inlineStr">
        <is>
          <t>4650/010</t>
        </is>
      </c>
      <c r="E15586" s="3" t="inlineStr">
        <is>
          <t>Travel - Local Flights</t>
        </is>
      </c>
      <c r="F15586" s="3" t="n">
        <v>0</v>
      </c>
      <c r="G15586" s="3" t="n">
        <v>6253.04</v>
      </c>
    </row>
    <row r="15587">
      <c r="A15587" s="3" t="inlineStr">
        <is>
          <t>Quinate Consulting (Pty) Ltd</t>
        </is>
      </c>
      <c r="B15587" s="4" t="n">
        <v>45169</v>
      </c>
      <c r="C15587" s="3" t="inlineStr">
        <is>
          <t>Expenses</t>
        </is>
      </c>
      <c r="D15587" s="3" t="inlineStr">
        <is>
          <t>4650/020</t>
        </is>
      </c>
      <c r="E15587" s="3" t="inlineStr">
        <is>
          <t>Travel - Local Accomodation - B_AND_B</t>
        </is>
      </c>
      <c r="F15587" s="3" t="n">
        <v>0</v>
      </c>
      <c r="G15587" s="3" t="n">
        <v>6998.26</v>
      </c>
    </row>
    <row r="15588">
      <c r="A15588" s="3" t="inlineStr">
        <is>
          <t>Opportunity Global Investment (PTY) LTD</t>
        </is>
      </c>
      <c r="B15588" s="4" t="n">
        <v>45169</v>
      </c>
      <c r="C15588" s="3" t="inlineStr">
        <is>
          <t>Expenses</t>
        </is>
      </c>
      <c r="D15588" s="3" t="inlineStr">
        <is>
          <t>4650/020</t>
        </is>
      </c>
      <c r="E15588" s="3" t="inlineStr">
        <is>
          <t>Travel Accomodation - Car Hire</t>
        </is>
      </c>
      <c r="F15588" s="3" t="n">
        <v>0</v>
      </c>
      <c r="G15588" s="3" t="n">
        <v>1581.74</v>
      </c>
    </row>
    <row r="15589">
      <c r="A15589" s="3" t="inlineStr">
        <is>
          <t>Opportunity Global Investment (PTY) LTD</t>
        </is>
      </c>
      <c r="B15589" s="4" t="n">
        <v>45169</v>
      </c>
      <c r="C15589" s="3" t="inlineStr">
        <is>
          <t>Expenses</t>
        </is>
      </c>
      <c r="D15589" s="3" t="inlineStr">
        <is>
          <t>4650/030</t>
        </is>
      </c>
      <c r="E15589" s="3" t="inlineStr">
        <is>
          <t>Travel _AND_ Accomodation - Local Accom</t>
        </is>
      </c>
      <c r="F15589" s="3" t="n">
        <v>0</v>
      </c>
      <c r="G15589" s="3" t="n">
        <v>34.78</v>
      </c>
    </row>
    <row r="15590">
      <c r="A15590" s="3" t="inlineStr">
        <is>
          <t>Quinate Consulting (Pty) Ltd</t>
        </is>
      </c>
      <c r="B15590" s="4" t="n">
        <v>45169</v>
      </c>
      <c r="C15590" s="3" t="inlineStr">
        <is>
          <t>Expenses</t>
        </is>
      </c>
      <c r="D15590" s="3" t="inlineStr">
        <is>
          <t>4650/040</t>
        </is>
      </c>
      <c r="E15590" s="3" t="inlineStr">
        <is>
          <t>Travel - Local Car Hire</t>
        </is>
      </c>
      <c r="F15590" s="3" t="n">
        <v>0</v>
      </c>
      <c r="G15590" s="3" t="n">
        <v>510.6</v>
      </c>
    </row>
    <row r="15591">
      <c r="A15591" s="3" t="inlineStr">
        <is>
          <t>Noble Shield (Pty) Ltd ta Go Letting</t>
        </is>
      </c>
      <c r="B15591" s="4" t="n">
        <v>45169</v>
      </c>
      <c r="C15591" s="3" t="inlineStr">
        <is>
          <t>Expenses</t>
        </is>
      </c>
      <c r="D15591" s="3" t="inlineStr">
        <is>
          <t>4650/050</t>
        </is>
      </c>
      <c r="E15591" s="3" t="inlineStr">
        <is>
          <t>Travel - Parking</t>
        </is>
      </c>
      <c r="F15591" s="3" t="n">
        <v>0</v>
      </c>
      <c r="G15591" s="3" t="n">
        <v>16</v>
      </c>
    </row>
    <row r="15592">
      <c r="A15592" s="3" t="inlineStr">
        <is>
          <t>Opportunity Global Investment (PTY) LTD</t>
        </is>
      </c>
      <c r="B15592" s="4" t="n">
        <v>45169</v>
      </c>
      <c r="C15592" s="3" t="inlineStr">
        <is>
          <t>Expenses</t>
        </is>
      </c>
      <c r="D15592" s="3" t="inlineStr">
        <is>
          <t>4650/090</t>
        </is>
      </c>
      <c r="E15592" s="3" t="inlineStr">
        <is>
          <t>Travel &amp; Accom - Fuel</t>
        </is>
      </c>
      <c r="F15592" s="3" t="n">
        <v>982.45</v>
      </c>
      <c r="G15592" s="3" t="n">
        <v>5643.5</v>
      </c>
    </row>
    <row r="15593">
      <c r="A15593" s="3" t="inlineStr">
        <is>
          <t>Noble Shield (Pty) Ltd ta Go Letting</t>
        </is>
      </c>
      <c r="B15593" s="4" t="n">
        <v>45169</v>
      </c>
      <c r="C15593" s="3" t="inlineStr">
        <is>
          <t>Expenses</t>
        </is>
      </c>
      <c r="D15593" s="3" t="inlineStr">
        <is>
          <t>4700/000</t>
        </is>
      </c>
      <c r="E15593" s="3" t="inlineStr">
        <is>
          <t>PAYE Contributions</t>
        </is>
      </c>
      <c r="F15593" s="3" t="n">
        <v>4978.49</v>
      </c>
      <c r="G15593" s="3" t="n">
        <v>57259.24</v>
      </c>
    </row>
    <row r="15594">
      <c r="A15594" s="3" t="inlineStr">
        <is>
          <t>Trademark Holdings (Pty) Ltd</t>
        </is>
      </c>
      <c r="B15594" s="4" t="n">
        <v>45169</v>
      </c>
      <c r="C15594" s="3" t="inlineStr">
        <is>
          <t>Expenses</t>
        </is>
      </c>
      <c r="D15594" s="3" t="inlineStr">
        <is>
          <t>4700/000</t>
        </is>
      </c>
      <c r="E15594" s="3" t="inlineStr">
        <is>
          <t>PAYE Contributions</t>
        </is>
      </c>
      <c r="F15594" s="3" t="n">
        <v>4740.14</v>
      </c>
      <c r="G15594" s="3" t="n">
        <v>60015.96</v>
      </c>
    </row>
    <row r="15595">
      <c r="A15595" s="3" t="inlineStr">
        <is>
          <t>Opportunity Global Investment (PTY) LTD</t>
        </is>
      </c>
      <c r="B15595" s="4" t="n">
        <v>45169</v>
      </c>
      <c r="C15595" s="3" t="inlineStr">
        <is>
          <t>Expenses</t>
        </is>
      </c>
      <c r="D15595" s="3" t="inlineStr">
        <is>
          <t>4700/000</t>
        </is>
      </c>
      <c r="E15595" s="3" t="inlineStr">
        <is>
          <t>UIF Contributions</t>
        </is>
      </c>
      <c r="F15595" s="3" t="n">
        <v>177.12</v>
      </c>
      <c r="G15595" s="3" t="n">
        <v>1062.72</v>
      </c>
    </row>
    <row r="15596">
      <c r="A15596" s="3" t="inlineStr">
        <is>
          <t>Opportunity Global Sales (PTY) LTD</t>
        </is>
      </c>
      <c r="B15596" s="4" t="n">
        <v>45169</v>
      </c>
      <c r="C15596" s="3" t="inlineStr">
        <is>
          <t>Expenses</t>
        </is>
      </c>
      <c r="D15596" s="3" t="inlineStr">
        <is>
          <t>4700/000</t>
        </is>
      </c>
      <c r="E15596" s="3" t="inlineStr">
        <is>
          <t>UIF Contributions</t>
        </is>
      </c>
      <c r="F15596" s="3" t="n">
        <v>312.12</v>
      </c>
      <c r="G15596" s="3" t="n">
        <v>1872.72</v>
      </c>
    </row>
    <row r="15597">
      <c r="A15597" s="3" t="inlineStr">
        <is>
          <t>Opportunity Global Sales (PTY) LTD</t>
        </is>
      </c>
      <c r="B15597" s="4" t="n">
        <v>45169</v>
      </c>
      <c r="C15597" s="3" t="inlineStr">
        <is>
          <t>Expenses</t>
        </is>
      </c>
      <c r="D15597" s="3" t="inlineStr">
        <is>
          <t>4701/000</t>
        </is>
      </c>
      <c r="E15597" s="3" t="inlineStr">
        <is>
          <t>UIF Employee Contribution</t>
        </is>
      </c>
      <c r="F15597" s="3" t="n">
        <v>312.12</v>
      </c>
      <c r="G15597" s="3" t="n">
        <v>1872.72</v>
      </c>
    </row>
    <row r="15598">
      <c r="A15598" s="3" t="inlineStr">
        <is>
          <t>Opportunity Global Investment (PTY) LTD</t>
        </is>
      </c>
      <c r="B15598" s="4" t="n">
        <v>45169</v>
      </c>
      <c r="C15598" s="3" t="inlineStr">
        <is>
          <t>Expenses</t>
        </is>
      </c>
      <c r="D15598" s="3" t="inlineStr">
        <is>
          <t>4701/000</t>
        </is>
      </c>
      <c r="E15598" s="3" t="inlineStr">
        <is>
          <t>UIF Employee Contributions</t>
        </is>
      </c>
      <c r="F15598" s="3" t="n">
        <v>177.12</v>
      </c>
      <c r="G15598" s="3" t="n">
        <v>1062.72</v>
      </c>
    </row>
    <row r="15599">
      <c r="A15599" s="3" t="inlineStr">
        <is>
          <t>Noble Shield (Pty) Ltd ta Go Letting</t>
        </is>
      </c>
      <c r="B15599" s="4" t="n">
        <v>45169</v>
      </c>
      <c r="C15599" s="3" t="inlineStr">
        <is>
          <t>Expenses</t>
        </is>
      </c>
      <c r="D15599" s="3" t="inlineStr">
        <is>
          <t>4710/000</t>
        </is>
      </c>
      <c r="E15599" s="3" t="inlineStr">
        <is>
          <t>UIF Company Contributions</t>
        </is>
      </c>
      <c r="F15599" s="3" t="n">
        <v>245.25</v>
      </c>
      <c r="G15599" s="3" t="n">
        <v>2943</v>
      </c>
    </row>
    <row r="15600">
      <c r="A15600" s="3" t="inlineStr">
        <is>
          <t>Trademark Holdings (Pty) Ltd</t>
        </is>
      </c>
      <c r="B15600" s="4" t="n">
        <v>45169</v>
      </c>
      <c r="C15600" s="3" t="inlineStr">
        <is>
          <t>Expenses</t>
        </is>
      </c>
      <c r="D15600" s="3" t="inlineStr">
        <is>
          <t>4710/000</t>
        </is>
      </c>
      <c r="E15600" s="3" t="inlineStr">
        <is>
          <t>UIF Company Contributions</t>
        </is>
      </c>
      <c r="F15600" s="3" t="n">
        <v>95.25</v>
      </c>
      <c r="G15600" s="3" t="n">
        <v>1143</v>
      </c>
    </row>
    <row r="15601">
      <c r="A15601" s="3" t="inlineStr">
        <is>
          <t>Noble Shield (Pty) Ltd ta Go Letting</t>
        </is>
      </c>
      <c r="B15601" s="4" t="n">
        <v>45169</v>
      </c>
      <c r="C15601" s="3" t="inlineStr">
        <is>
          <t>Expenses</t>
        </is>
      </c>
      <c r="D15601" s="3" t="inlineStr">
        <is>
          <t>4711/000</t>
        </is>
      </c>
      <c r="E15601" s="3" t="inlineStr">
        <is>
          <t>UIF Employee Contribution</t>
        </is>
      </c>
      <c r="F15601" s="3" t="n">
        <v>245.25</v>
      </c>
      <c r="G15601" s="3" t="n">
        <v>2943</v>
      </c>
    </row>
    <row r="15602">
      <c r="A15602" s="3" t="inlineStr">
        <is>
          <t>Trademark Holdings (Pty) Ltd</t>
        </is>
      </c>
      <c r="B15602" s="4" t="n">
        <v>45169</v>
      </c>
      <c r="C15602" s="3" t="inlineStr">
        <is>
          <t>Expenses</t>
        </is>
      </c>
      <c r="D15602" s="3" t="inlineStr">
        <is>
          <t>4711/000</t>
        </is>
      </c>
      <c r="E15602" s="3" t="inlineStr">
        <is>
          <t>UIF Employee Contributions</t>
        </is>
      </c>
      <c r="F15602" s="3" t="n">
        <v>95.25</v>
      </c>
      <c r="G15602" s="3" t="n">
        <v>1143</v>
      </c>
    </row>
    <row r="15603">
      <c r="A15603" s="3" t="inlineStr">
        <is>
          <t>Noble Shield (Pty) Ltd ta Go Letting</t>
        </is>
      </c>
      <c r="B15603" s="4" t="n">
        <v>45169</v>
      </c>
      <c r="C15603" s="3" t="inlineStr">
        <is>
          <t>Expenses</t>
        </is>
      </c>
      <c r="D15603" s="3" t="inlineStr">
        <is>
          <t>4720/000</t>
        </is>
      </c>
      <c r="E15603" s="3" t="inlineStr">
        <is>
          <t>SDL Contributions</t>
        </is>
      </c>
      <c r="F15603" s="3" t="n">
        <v>443.52</v>
      </c>
      <c r="G15603" s="3" t="n">
        <v>5178.59</v>
      </c>
    </row>
    <row r="15604">
      <c r="A15604" s="3" t="inlineStr">
        <is>
          <t>Trademark Holdings (Pty) Ltd</t>
        </is>
      </c>
      <c r="B15604" s="4" t="n">
        <v>45169</v>
      </c>
      <c r="C15604" s="3" t="inlineStr">
        <is>
          <t>Expenses</t>
        </is>
      </c>
      <c r="D15604" s="3" t="inlineStr">
        <is>
          <t>4720/000</t>
        </is>
      </c>
      <c r="E15604" s="3" t="inlineStr">
        <is>
          <t>SDL Contributions</t>
        </is>
      </c>
      <c r="F15604" s="3" t="n">
        <v>298.35</v>
      </c>
      <c r="G15604" s="3" t="n">
        <v>3654.62</v>
      </c>
    </row>
    <row r="15605">
      <c r="A15605" s="3" t="inlineStr">
        <is>
          <t>Opportunity Global Investment (PTY) LTD</t>
        </is>
      </c>
      <c r="B15605" s="4" t="n">
        <v>45169</v>
      </c>
      <c r="C15605" s="3" t="inlineStr">
        <is>
          <t>Expenses</t>
        </is>
      </c>
      <c r="D15605" s="3" t="inlineStr">
        <is>
          <t>4730/000</t>
        </is>
      </c>
      <c r="E15605" s="3" t="inlineStr">
        <is>
          <t>PAYE Contributions</t>
        </is>
      </c>
      <c r="F15605" s="3" t="n">
        <v>8822.27</v>
      </c>
      <c r="G15605" s="3" t="n">
        <v>52933.6</v>
      </c>
    </row>
    <row r="15606">
      <c r="A15606" s="3" t="inlineStr">
        <is>
          <t>Opportunity Global Sales (PTY) LTD</t>
        </is>
      </c>
      <c r="B15606" s="4" t="n">
        <v>45169</v>
      </c>
      <c r="C15606" s="3" t="inlineStr">
        <is>
          <t>Expenses</t>
        </is>
      </c>
      <c r="D15606" s="3" t="inlineStr">
        <is>
          <t>4730/000</t>
        </is>
      </c>
      <c r="E15606" s="3" t="inlineStr">
        <is>
          <t>PAYE Contributions</t>
        </is>
      </c>
      <c r="F15606" s="3" t="n">
        <v>9220.83</v>
      </c>
      <c r="G15606" s="3" t="n">
        <v>55325</v>
      </c>
    </row>
    <row r="15607">
      <c r="A15607" s="3" t="inlineStr">
        <is>
          <t>Opportunity Management Holdings (PTY) LTD</t>
        </is>
      </c>
      <c r="B15607" s="4" t="n">
        <v>45169</v>
      </c>
      <c r="C15607" s="3" t="inlineStr">
        <is>
          <t>Expenses</t>
        </is>
      </c>
      <c r="D15607" s="3" t="inlineStr">
        <is>
          <t>4730/000</t>
        </is>
      </c>
      <c r="E15607" s="3" t="inlineStr">
        <is>
          <t>PAYE Contributions</t>
        </is>
      </c>
      <c r="F15607" s="3" t="n">
        <v>36815.02</v>
      </c>
      <c r="G15607" s="3" t="n">
        <v>543316.08</v>
      </c>
    </row>
    <row r="15608">
      <c r="A15608" s="3" t="inlineStr">
        <is>
          <t>Noble Shield (Pty) Ltd ta Go Letting</t>
        </is>
      </c>
      <c r="B15608" s="4" t="n">
        <v>45169</v>
      </c>
      <c r="C15608" s="3" t="inlineStr">
        <is>
          <t>Expenses</t>
        </is>
      </c>
      <c r="D15608" s="3" t="inlineStr">
        <is>
          <t>4730/000</t>
        </is>
      </c>
      <c r="E15608" s="3" t="inlineStr">
        <is>
          <t>Workmans Compensation</t>
        </is>
      </c>
      <c r="F15608" s="3" t="n">
        <v>0</v>
      </c>
      <c r="G15608" s="3" t="n">
        <v>1470.4</v>
      </c>
    </row>
    <row r="15609">
      <c r="A15609" s="3" t="inlineStr">
        <is>
          <t>Opportunity Global Investment (PTY) LTD</t>
        </is>
      </c>
      <c r="B15609" s="4" t="n">
        <v>45169</v>
      </c>
      <c r="C15609" s="3" t="inlineStr">
        <is>
          <t>Expenses</t>
        </is>
      </c>
      <c r="D15609" s="3" t="inlineStr">
        <is>
          <t>4740/000</t>
        </is>
      </c>
      <c r="E15609" s="3" t="inlineStr">
        <is>
          <t>SDL Contributions</t>
        </is>
      </c>
      <c r="F15609" s="3" t="n">
        <v>431.1</v>
      </c>
      <c r="G15609" s="3" t="n">
        <v>2586.6</v>
      </c>
    </row>
    <row r="15610">
      <c r="A15610" s="3" t="inlineStr">
        <is>
          <t>Opportunity Global Sales (PTY) LTD</t>
        </is>
      </c>
      <c r="B15610" s="4" t="n">
        <v>45169</v>
      </c>
      <c r="C15610" s="3" t="inlineStr">
        <is>
          <t>Expenses</t>
        </is>
      </c>
      <c r="D15610" s="3" t="inlineStr">
        <is>
          <t>4740/000</t>
        </is>
      </c>
      <c r="E15610" s="3" t="inlineStr">
        <is>
          <t>SDL Contributions</t>
        </is>
      </c>
      <c r="F15610" s="3" t="n">
        <v>2312.07</v>
      </c>
      <c r="G15610" s="3" t="n">
        <v>11574.15</v>
      </c>
    </row>
    <row r="15611">
      <c r="A15611" s="3" t="inlineStr">
        <is>
          <t>Opportunity Management Holdings (PTY) LTD</t>
        </is>
      </c>
      <c r="B15611" s="4" t="n">
        <v>45169</v>
      </c>
      <c r="C15611" s="3" t="inlineStr">
        <is>
          <t>Expenses</t>
        </is>
      </c>
      <c r="D15611" s="3" t="inlineStr">
        <is>
          <t>4740/000</t>
        </is>
      </c>
      <c r="E15611" s="3" t="inlineStr">
        <is>
          <t>UIF Company Contribution</t>
        </is>
      </c>
      <c r="F15611" s="3" t="n">
        <v>1424.8</v>
      </c>
      <c r="G15611" s="3" t="n">
        <v>19908.25</v>
      </c>
    </row>
    <row r="15612">
      <c r="A15612" s="3" t="inlineStr">
        <is>
          <t>Opportunity Management Holdings (PTY) LTD</t>
        </is>
      </c>
      <c r="B15612" s="4" t="n">
        <v>45169</v>
      </c>
      <c r="C15612" s="3" t="inlineStr">
        <is>
          <t>Expenses</t>
        </is>
      </c>
      <c r="D15612" s="3" t="inlineStr">
        <is>
          <t>4741/000</t>
        </is>
      </c>
      <c r="E15612" s="3" t="inlineStr">
        <is>
          <t>UIF Employee Contribution</t>
        </is>
      </c>
      <c r="F15612" s="3" t="n">
        <v>1424.8</v>
      </c>
      <c r="G15612" s="3" t="n">
        <v>19908.25</v>
      </c>
    </row>
    <row r="15613">
      <c r="A15613" s="3" t="inlineStr">
        <is>
          <t>Opportunity Management Holdings (PTY) LTD</t>
        </is>
      </c>
      <c r="B15613" s="4" t="n">
        <v>45169</v>
      </c>
      <c r="C15613" s="3" t="inlineStr">
        <is>
          <t>Expenses</t>
        </is>
      </c>
      <c r="D15613" s="3" t="inlineStr">
        <is>
          <t>4750/000</t>
        </is>
      </c>
      <c r="E15613" s="3" t="inlineStr">
        <is>
          <t>SDL Contribution</t>
        </is>
      </c>
      <c r="F15613" s="3" t="n">
        <v>2231.2</v>
      </c>
      <c r="G15613" s="3" t="n">
        <v>32246.61</v>
      </c>
    </row>
    <row r="15614">
      <c r="A15614" s="3" t="inlineStr">
        <is>
          <t>Noble Shield (Pty) Ltd ta Go Letting</t>
        </is>
      </c>
      <c r="B15614" s="4" t="n">
        <v>45169</v>
      </c>
      <c r="C15614" s="3" t="inlineStr">
        <is>
          <t>Equity</t>
        </is>
      </c>
      <c r="D15614" s="3" t="inlineStr">
        <is>
          <t>5100/000</t>
        </is>
      </c>
      <c r="E15614" s="3" t="inlineStr">
        <is>
          <t>Share Capital</t>
        </is>
      </c>
      <c r="F15614" s="3" t="n">
        <v>0</v>
      </c>
      <c r="G15614" s="3" t="n">
        <v>-1</v>
      </c>
    </row>
    <row r="15615">
      <c r="A15615" s="3" t="inlineStr">
        <is>
          <t>Opportunity Management Holdings (PTY) LTD</t>
        </is>
      </c>
      <c r="B15615" s="4" t="n">
        <v>45169</v>
      </c>
      <c r="C15615" s="3" t="inlineStr">
        <is>
          <t>Equity</t>
        </is>
      </c>
      <c r="D15615" s="3" t="inlineStr">
        <is>
          <t>5100/000</t>
        </is>
      </c>
      <c r="E15615" s="3" t="inlineStr">
        <is>
          <t>Share Capital / Members Contribution</t>
        </is>
      </c>
      <c r="F15615" s="3" t="n">
        <v>0</v>
      </c>
      <c r="G15615" s="3" t="n">
        <v>-120</v>
      </c>
    </row>
    <row r="15616">
      <c r="A15616" s="3" t="inlineStr">
        <is>
          <t>Quinate Consulting (Pty) Ltd</t>
        </is>
      </c>
      <c r="B15616" s="4" t="n">
        <v>45169</v>
      </c>
      <c r="C15616" s="3" t="inlineStr">
        <is>
          <t>Equity</t>
        </is>
      </c>
      <c r="D15616" s="3" t="inlineStr">
        <is>
          <t>5100/000</t>
        </is>
      </c>
      <c r="E15616" s="3" t="inlineStr">
        <is>
          <t>Share Capital / Members Contribution</t>
        </is>
      </c>
      <c r="F15616" s="3" t="n">
        <v>0</v>
      </c>
      <c r="G15616" s="3" t="n">
        <v>-120</v>
      </c>
    </row>
    <row r="15617">
      <c r="A15617" s="3" t="inlineStr">
        <is>
          <t>Trademark Holdings (Pty) Ltd</t>
        </is>
      </c>
      <c r="B15617" s="4" t="n">
        <v>45169</v>
      </c>
      <c r="C15617" s="3" t="inlineStr">
        <is>
          <t>Equity</t>
        </is>
      </c>
      <c r="D15617" s="3" t="inlineStr">
        <is>
          <t>5100/001</t>
        </is>
      </c>
      <c r="E15617" s="3" t="inlineStr">
        <is>
          <t>Share Capital - GFY Investments</t>
        </is>
      </c>
      <c r="F15617" s="3" t="n">
        <v>0</v>
      </c>
      <c r="G15617" s="3" t="n">
        <v>-60</v>
      </c>
    </row>
    <row r="15618">
      <c r="A15618" s="3" t="inlineStr">
        <is>
          <t>Trademark Holdings (Pty) Ltd</t>
        </is>
      </c>
      <c r="B15618" s="4" t="n">
        <v>45169</v>
      </c>
      <c r="C15618" s="3" t="inlineStr">
        <is>
          <t>Equity</t>
        </is>
      </c>
      <c r="D15618" s="3" t="inlineStr">
        <is>
          <t>5100/002</t>
        </is>
      </c>
      <c r="E15618" s="3" t="inlineStr">
        <is>
          <t>Share Capital - Zak Trust</t>
        </is>
      </c>
      <c r="F15618" s="3" t="n">
        <v>0</v>
      </c>
      <c r="G15618" s="3" t="n">
        <v>-60</v>
      </c>
    </row>
    <row r="15619">
      <c r="A15619" s="3" t="inlineStr">
        <is>
          <t>Opportunity Global Investment (PTY) LTD</t>
        </is>
      </c>
      <c r="B15619" s="4" t="n">
        <v>45169</v>
      </c>
      <c r="C15619" s="3" t="inlineStr">
        <is>
          <t>Equity</t>
        </is>
      </c>
      <c r="D15619" s="3" t="inlineStr">
        <is>
          <t>5101/000</t>
        </is>
      </c>
      <c r="E15619" s="3" t="inlineStr">
        <is>
          <t>Share Capital - Ordinary Type A</t>
        </is>
      </c>
      <c r="F15619" s="3" t="n">
        <v>0</v>
      </c>
      <c r="G15619" s="3" t="n">
        <v>-70</v>
      </c>
    </row>
    <row r="15620">
      <c r="A15620" s="3" t="inlineStr">
        <is>
          <t>Opportunity Global Investment (PTY) LTD</t>
        </is>
      </c>
      <c r="B15620" s="4" t="n">
        <v>45169</v>
      </c>
      <c r="C15620" s="3" t="inlineStr">
        <is>
          <t>Equity</t>
        </is>
      </c>
      <c r="D15620" s="3" t="inlineStr">
        <is>
          <t>5102/000</t>
        </is>
      </c>
      <c r="E15620" s="3" t="inlineStr">
        <is>
          <t>Share Capital - Ordinary Type B</t>
        </is>
      </c>
      <c r="F15620" s="3" t="n">
        <v>0</v>
      </c>
      <c r="G15620" s="3" t="n">
        <v>-30</v>
      </c>
    </row>
    <row r="15621">
      <c r="A15621" s="3" t="inlineStr">
        <is>
          <t>Endulini (Pty) Ltd</t>
        </is>
      </c>
      <c r="B15621" s="4" t="n">
        <v>45169</v>
      </c>
      <c r="C15621" s="3" t="inlineStr">
        <is>
          <t>Equity</t>
        </is>
      </c>
      <c r="D15621" s="3" t="inlineStr">
        <is>
          <t>5200/000</t>
        </is>
      </c>
      <c r="E15621" s="3" t="inlineStr">
        <is>
          <t>Retained Earnings / Loss</t>
        </is>
      </c>
      <c r="F15621" s="3" t="n">
        <v>0</v>
      </c>
      <c r="G15621" s="3" t="n">
        <v>-6017232.05</v>
      </c>
    </row>
    <row r="15622">
      <c r="A15622" s="3" t="inlineStr">
        <is>
          <t>Noble Shield (Pty) Ltd ta Go Letting</t>
        </is>
      </c>
      <c r="B15622" s="4" t="n">
        <v>45169</v>
      </c>
      <c r="C15622" s="3" t="inlineStr">
        <is>
          <t>Equity</t>
        </is>
      </c>
      <c r="D15622" s="3" t="inlineStr">
        <is>
          <t>5200/000</t>
        </is>
      </c>
      <c r="E15622" s="3" t="inlineStr">
        <is>
          <t>Retained Earnings / Loss</t>
        </is>
      </c>
      <c r="F15622" s="3" t="n">
        <v>0</v>
      </c>
      <c r="G15622" s="3" t="n">
        <v>-64792.67</v>
      </c>
    </row>
    <row r="15623">
      <c r="A15623" s="3" t="inlineStr">
        <is>
          <t>Opportunity Global Investment (PTY) LTD</t>
        </is>
      </c>
      <c r="B15623" s="4" t="n">
        <v>45169</v>
      </c>
      <c r="C15623" s="3" t="inlineStr">
        <is>
          <t>Equity</t>
        </is>
      </c>
      <c r="D15623" s="3" t="inlineStr">
        <is>
          <t>5200/000</t>
        </is>
      </c>
      <c r="E15623" s="3" t="inlineStr">
        <is>
          <t>Retained Earnings / Loss</t>
        </is>
      </c>
      <c r="F15623" s="3" t="n">
        <v>0</v>
      </c>
      <c r="G15623" s="3" t="n">
        <v>2134849.73</v>
      </c>
    </row>
    <row r="15624">
      <c r="A15624" s="3" t="inlineStr">
        <is>
          <t>Opportunity Global Sales (PTY) LTD</t>
        </is>
      </c>
      <c r="B15624" s="4" t="n">
        <v>45169</v>
      </c>
      <c r="C15624" s="3" t="inlineStr">
        <is>
          <t>Equity</t>
        </is>
      </c>
      <c r="D15624" s="3" t="inlineStr">
        <is>
          <t>5200/000</t>
        </is>
      </c>
      <c r="E15624" s="3" t="inlineStr">
        <is>
          <t>Retained Earnings / Loss</t>
        </is>
      </c>
      <c r="F15624" s="3" t="n">
        <v>0</v>
      </c>
      <c r="G15624" s="3" t="n">
        <v>-2287097.79</v>
      </c>
    </row>
    <row r="15625">
      <c r="A15625" s="3" t="inlineStr">
        <is>
          <t>Opportunity Management Holdings (PTY) LTD</t>
        </is>
      </c>
      <c r="B15625" s="4" t="n">
        <v>45169</v>
      </c>
      <c r="C15625" s="3" t="inlineStr">
        <is>
          <t>Equity</t>
        </is>
      </c>
      <c r="D15625" s="3" t="inlineStr">
        <is>
          <t>5200/000</t>
        </is>
      </c>
      <c r="E15625" s="3" t="inlineStr">
        <is>
          <t>Retained Earnings / Loss</t>
        </is>
      </c>
      <c r="F15625" s="3" t="n">
        <v>0</v>
      </c>
      <c r="G15625" s="3" t="n">
        <v>1230800.76</v>
      </c>
    </row>
    <row r="15626">
      <c r="A15626" s="3" t="inlineStr">
        <is>
          <t>Quinate Consulting (Pty) Ltd</t>
        </is>
      </c>
      <c r="B15626" s="4" t="n">
        <v>45169</v>
      </c>
      <c r="C15626" s="3" t="inlineStr">
        <is>
          <t>Equity</t>
        </is>
      </c>
      <c r="D15626" s="3" t="inlineStr">
        <is>
          <t>5200/000</t>
        </is>
      </c>
      <c r="E15626" s="3" t="inlineStr">
        <is>
          <t>Retained Earnings / Loss</t>
        </is>
      </c>
      <c r="F15626" s="3" t="n">
        <v>0</v>
      </c>
      <c r="G15626" s="3" t="n">
        <v>1549164.28</v>
      </c>
    </row>
    <row r="15627">
      <c r="A15627" s="3" t="inlineStr">
        <is>
          <t>Trademark Holdings (Pty) Ltd</t>
        </is>
      </c>
      <c r="B15627" s="4" t="n">
        <v>45169</v>
      </c>
      <c r="C15627" s="3" t="inlineStr">
        <is>
          <t>Equity</t>
        </is>
      </c>
      <c r="D15627" s="3" t="inlineStr">
        <is>
          <t>5200/000</t>
        </is>
      </c>
      <c r="E15627" s="3" t="inlineStr">
        <is>
          <t>Retained Earnings / Loss</t>
        </is>
      </c>
      <c r="F15627" s="3" t="n">
        <v>0</v>
      </c>
      <c r="G15627" s="3" t="n">
        <v>-155356.41</v>
      </c>
    </row>
    <row r="15628">
      <c r="A15628" s="3" t="inlineStr">
        <is>
          <t>Quinate Consulting (Pty) Ltd</t>
        </is>
      </c>
      <c r="B15628" s="4" t="n">
        <v>45169</v>
      </c>
      <c r="C15628" s="3" t="inlineStr">
        <is>
          <t>Assets</t>
        </is>
      </c>
      <c r="D15628" s="3" t="inlineStr">
        <is>
          <t>5400/011</t>
        </is>
      </c>
      <c r="E15628" s="3" t="inlineStr">
        <is>
          <t>Members Loan - Nick Morgan</t>
        </is>
      </c>
      <c r="F15628" s="3" t="n">
        <v>0</v>
      </c>
      <c r="G15628" s="3" t="n">
        <v>-85743.69</v>
      </c>
    </row>
    <row r="15629">
      <c r="A15629" s="3" t="inlineStr">
        <is>
          <t>Opportunity Management Holdings (PTY) LTD</t>
        </is>
      </c>
      <c r="B15629" s="4" t="n">
        <v>45169</v>
      </c>
      <c r="C15629" s="3" t="inlineStr">
        <is>
          <t>Assets</t>
        </is>
      </c>
      <c r="D15629" s="3" t="inlineStr">
        <is>
          <t>5400/500</t>
        </is>
      </c>
      <c r="E15629" s="3" t="inlineStr">
        <is>
          <t>Shareholder - Zak Loan</t>
        </is>
      </c>
      <c r="F15629" s="3" t="n">
        <v>0</v>
      </c>
      <c r="G15629" s="3" t="n">
        <v>-171798.21</v>
      </c>
    </row>
    <row r="15630">
      <c r="A15630" s="3" t="inlineStr">
        <is>
          <t>Quinate Consulting (Pty) Ltd</t>
        </is>
      </c>
      <c r="B15630" s="4" t="n">
        <v>45169</v>
      </c>
      <c r="C15630" s="3" t="inlineStr">
        <is>
          <t>Liabilities</t>
        </is>
      </c>
      <c r="D15630" s="3" t="inlineStr">
        <is>
          <t>5500/010</t>
        </is>
      </c>
      <c r="E15630" s="3" t="inlineStr">
        <is>
          <t>Loan - Wynand Haywood</t>
        </is>
      </c>
      <c r="F15630" s="3" t="n">
        <v>0</v>
      </c>
      <c r="G15630" s="3" t="n">
        <v>1928.67</v>
      </c>
    </row>
    <row r="15631">
      <c r="A15631" s="3" t="inlineStr">
        <is>
          <t>Quinate Consulting (Pty) Ltd</t>
        </is>
      </c>
      <c r="B15631" s="4" t="n">
        <v>45169</v>
      </c>
      <c r="C15631" s="3" t="inlineStr">
        <is>
          <t>Liabilities</t>
        </is>
      </c>
      <c r="D15631" s="3" t="inlineStr">
        <is>
          <t>5500/025</t>
        </is>
      </c>
      <c r="E15631" s="3" t="inlineStr">
        <is>
          <t>Loan - Noble Shield 2 Security Trust</t>
        </is>
      </c>
      <c r="F15631" s="3" t="n">
        <v>0</v>
      </c>
      <c r="G15631" s="3" t="n">
        <v>50</v>
      </c>
    </row>
    <row r="15632">
      <c r="A15632" s="3" t="inlineStr">
        <is>
          <t>Quinate Consulting (Pty) Ltd</t>
        </is>
      </c>
      <c r="B15632" s="4" t="n">
        <v>45169</v>
      </c>
      <c r="C15632" s="3" t="inlineStr">
        <is>
          <t>Liabilities</t>
        </is>
      </c>
      <c r="D15632" s="3" t="inlineStr">
        <is>
          <t>5500/030</t>
        </is>
      </c>
      <c r="E15632" s="3" t="inlineStr">
        <is>
          <t>Loan - Heron Projects</t>
        </is>
      </c>
      <c r="F15632" s="3" t="n">
        <v>4200</v>
      </c>
      <c r="G15632" s="3" t="n">
        <v>15800</v>
      </c>
    </row>
    <row r="15633">
      <c r="A15633" s="3" t="inlineStr">
        <is>
          <t>Opportunity Global Investment (PTY) LTD</t>
        </is>
      </c>
      <c r="B15633" s="4" t="n">
        <v>45169</v>
      </c>
      <c r="C15633" s="3" t="inlineStr">
        <is>
          <t>Liabilities</t>
        </is>
      </c>
      <c r="D15633" s="3" t="inlineStr">
        <is>
          <t>5500/100</t>
        </is>
      </c>
      <c r="E15633" s="3" t="inlineStr">
        <is>
          <t>Loan - Cape Projects Construction</t>
        </is>
      </c>
      <c r="F15633" s="3" t="n">
        <v>0</v>
      </c>
      <c r="G15633" s="3" t="n">
        <v>2261000</v>
      </c>
    </row>
    <row r="15634">
      <c r="A15634" s="3" t="inlineStr">
        <is>
          <t>Noble Shield (Pty) Ltd ta Go Letting</t>
        </is>
      </c>
      <c r="B15634" s="4" t="n">
        <v>45169</v>
      </c>
      <c r="C15634" s="3" t="inlineStr">
        <is>
          <t>Liabilities</t>
        </is>
      </c>
      <c r="D15634" s="3" t="inlineStr">
        <is>
          <t>5500/100</t>
        </is>
      </c>
      <c r="E15634" s="3" t="inlineStr">
        <is>
          <t>Loan - Jupiter Trust</t>
        </is>
      </c>
      <c r="F15634" s="3" t="n">
        <v>0</v>
      </c>
      <c r="G15634" s="3" t="n">
        <v>-100228.75</v>
      </c>
    </row>
    <row r="15635">
      <c r="A15635" s="3" t="inlineStr">
        <is>
          <t>Opportunity Management Holdings (PTY) LTD</t>
        </is>
      </c>
      <c r="B15635" s="4" t="n">
        <v>45169</v>
      </c>
      <c r="C15635" s="3" t="inlineStr">
        <is>
          <t>Liabilities</t>
        </is>
      </c>
      <c r="D15635" s="3" t="inlineStr">
        <is>
          <t>5500/100</t>
        </is>
      </c>
      <c r="E15635" s="3" t="inlineStr">
        <is>
          <t>Loan - Opportunity Global</t>
        </is>
      </c>
      <c r="F15635" s="3" t="n">
        <v>0</v>
      </c>
      <c r="G15635" s="3" t="n">
        <v>-20000</v>
      </c>
    </row>
    <row r="15636">
      <c r="A15636" s="3" t="inlineStr">
        <is>
          <t>Endulini (Pty) Ltd</t>
        </is>
      </c>
      <c r="B15636" s="4" t="n">
        <v>45169</v>
      </c>
      <c r="C15636" s="3" t="inlineStr">
        <is>
          <t>Liabilities</t>
        </is>
      </c>
      <c r="D15636" s="3" t="inlineStr">
        <is>
          <t>5500/100</t>
        </is>
      </c>
      <c r="E15636" s="3" t="inlineStr">
        <is>
          <t>Loan - Quinate Consulting</t>
        </is>
      </c>
      <c r="F15636" s="3" t="n">
        <v>-19600</v>
      </c>
      <c r="G15636" s="3" t="n">
        <v>-9250749.1</v>
      </c>
    </row>
    <row r="15637">
      <c r="A15637" s="3" t="inlineStr">
        <is>
          <t>Opportunity Global Investment (PTY) LTD</t>
        </is>
      </c>
      <c r="B15637" s="4" t="n">
        <v>45169</v>
      </c>
      <c r="C15637" s="3" t="inlineStr">
        <is>
          <t>Liabilities</t>
        </is>
      </c>
      <c r="D15637" s="3" t="inlineStr">
        <is>
          <t>5500/112</t>
        </is>
      </c>
      <c r="E15637" s="3" t="inlineStr">
        <is>
          <t>Loan - GFY</t>
        </is>
      </c>
      <c r="F15637" s="3" t="n">
        <v>0</v>
      </c>
      <c r="G15637" s="3" t="n">
        <v>-105000</v>
      </c>
    </row>
    <row r="15638">
      <c r="A15638" s="3" t="inlineStr">
        <is>
          <t>Endulini (Pty) Ltd</t>
        </is>
      </c>
      <c r="B15638" s="4" t="n">
        <v>45169</v>
      </c>
      <c r="C15638" s="3" t="inlineStr">
        <is>
          <t>Liabilities</t>
        </is>
      </c>
      <c r="D15638" s="3" t="inlineStr">
        <is>
          <t>5500/150</t>
        </is>
      </c>
      <c r="E15638" s="3" t="inlineStr">
        <is>
          <t>Loan - Cape Projects Construction</t>
        </is>
      </c>
      <c r="F15638" s="3" t="n">
        <v>-1095000</v>
      </c>
      <c r="G15638" s="3" t="n">
        <v>-14733000</v>
      </c>
    </row>
    <row r="15639">
      <c r="A15639" s="3" t="inlineStr">
        <is>
          <t>Quinate Consulting (Pty) Ltd</t>
        </is>
      </c>
      <c r="B15639" s="4" t="n">
        <v>45169</v>
      </c>
      <c r="C15639" s="3" t="inlineStr">
        <is>
          <t>Liabilities</t>
        </is>
      </c>
      <c r="D15639" s="3" t="inlineStr">
        <is>
          <t>5500/160</t>
        </is>
      </c>
      <c r="E15639" s="3" t="inlineStr">
        <is>
          <t>Loan - GFY Investment and Consulting</t>
        </is>
      </c>
      <c r="F15639" s="3" t="n">
        <v>0</v>
      </c>
      <c r="G15639" s="3" t="n">
        <v>-1750249.93</v>
      </c>
    </row>
    <row r="15640">
      <c r="A15640" s="3" t="inlineStr">
        <is>
          <t>Opportunity Management Holdings (PTY) LTD</t>
        </is>
      </c>
      <c r="B15640" s="4" t="n">
        <v>45169</v>
      </c>
      <c r="C15640" s="3" t="inlineStr">
        <is>
          <t>Liabilities</t>
        </is>
      </c>
      <c r="D15640" s="3" t="inlineStr">
        <is>
          <t>5500/200</t>
        </is>
      </c>
      <c r="E15640" s="3" t="inlineStr">
        <is>
          <t>Loan - Cape Projects</t>
        </is>
      </c>
      <c r="F15640" s="3" t="n">
        <v>0</v>
      </c>
      <c r="G15640" s="3" t="n">
        <v>22601</v>
      </c>
    </row>
    <row r="15641">
      <c r="A15641" s="3" t="inlineStr">
        <is>
          <t>Trademark Holdings (Pty) Ltd</t>
        </is>
      </c>
      <c r="B15641" s="4" t="n">
        <v>45169</v>
      </c>
      <c r="C15641" s="3" t="inlineStr">
        <is>
          <t>Liabilities</t>
        </is>
      </c>
      <c r="D15641" s="3" t="inlineStr">
        <is>
          <t>5500/250</t>
        </is>
      </c>
      <c r="E15641" s="3" t="inlineStr">
        <is>
          <t>Loan - Noble Shield</t>
        </is>
      </c>
      <c r="F15641" s="3" t="n">
        <v>-33000</v>
      </c>
      <c r="G15641" s="3" t="n">
        <v>115165.59</v>
      </c>
    </row>
    <row r="15642">
      <c r="A15642" s="3" t="inlineStr">
        <is>
          <t>Opportunity Management Holdings (PTY) LTD</t>
        </is>
      </c>
      <c r="B15642" s="4" t="n">
        <v>45169</v>
      </c>
      <c r="C15642" s="3" t="inlineStr">
        <is>
          <t>Liabilities</t>
        </is>
      </c>
      <c r="D15642" s="3" t="inlineStr">
        <is>
          <t>5500/250</t>
        </is>
      </c>
      <c r="E15642" s="3" t="inlineStr">
        <is>
          <t>Loan - Quinate</t>
        </is>
      </c>
      <c r="F15642" s="3" t="n">
        <v>0</v>
      </c>
      <c r="G15642" s="3" t="n">
        <v>-20000</v>
      </c>
    </row>
    <row r="15643">
      <c r="A15643" s="3" t="inlineStr">
        <is>
          <t>Quinate Consulting (Pty) Ltd</t>
        </is>
      </c>
      <c r="B15643" s="4" t="n">
        <v>45169</v>
      </c>
      <c r="C15643" s="3" t="inlineStr">
        <is>
          <t>Liabilities</t>
        </is>
      </c>
      <c r="D15643" s="3" t="inlineStr">
        <is>
          <t>5500/300</t>
        </is>
      </c>
      <c r="E15643" s="3" t="inlineStr">
        <is>
          <t>Loan - Gengis</t>
        </is>
      </c>
      <c r="F15643" s="3" t="n">
        <v>-3516.16</v>
      </c>
      <c r="G15643" s="3" t="n">
        <v>-326253.15</v>
      </c>
    </row>
    <row r="15644">
      <c r="A15644" s="3" t="inlineStr">
        <is>
          <t>Opportunity Management Holdings (PTY) LTD</t>
        </is>
      </c>
      <c r="B15644" s="4" t="n">
        <v>45169</v>
      </c>
      <c r="C15644" s="3" t="inlineStr">
        <is>
          <t>Liabilities</t>
        </is>
      </c>
      <c r="D15644" s="3" t="inlineStr">
        <is>
          <t>5500/300</t>
        </is>
      </c>
      <c r="E15644" s="3" t="inlineStr">
        <is>
          <t>Loan - Opportunity Prop Management</t>
        </is>
      </c>
      <c r="F15644" s="3" t="n">
        <v>0</v>
      </c>
      <c r="G15644" s="3" t="n">
        <v>-1220204.15</v>
      </c>
    </row>
    <row r="15645">
      <c r="A15645" s="3" t="inlineStr">
        <is>
          <t>Noble Shield (Pty) Ltd ta Go Letting</t>
        </is>
      </c>
      <c r="B15645" s="4" t="n">
        <v>45169</v>
      </c>
      <c r="C15645" s="3" t="inlineStr">
        <is>
          <t>Liabilities</t>
        </is>
      </c>
      <c r="D15645" s="3" t="inlineStr">
        <is>
          <t>5500/300</t>
        </is>
      </c>
      <c r="E15645" s="3" t="inlineStr">
        <is>
          <t>Loan - Trademark Holdings</t>
        </is>
      </c>
      <c r="F15645" s="3" t="n">
        <v>33000</v>
      </c>
      <c r="G15645" s="3" t="n">
        <v>-115165.59</v>
      </c>
    </row>
    <row r="15646">
      <c r="A15646" s="3" t="inlineStr">
        <is>
          <t>Opportunity Global Investment (PTY) LTD</t>
        </is>
      </c>
      <c r="B15646" s="4" t="n">
        <v>45169</v>
      </c>
      <c r="C15646" s="3" t="inlineStr">
        <is>
          <t>Liabilities</t>
        </is>
      </c>
      <c r="D15646" s="3" t="inlineStr">
        <is>
          <t>5500/350</t>
        </is>
      </c>
      <c r="E15646" s="3" t="inlineStr">
        <is>
          <t>Loan - Opportunity Management Holdings</t>
        </is>
      </c>
      <c r="F15646" s="3" t="n">
        <v>0</v>
      </c>
      <c r="G15646" s="3" t="n">
        <v>500</v>
      </c>
    </row>
    <row r="15647">
      <c r="A15647" s="3" t="inlineStr">
        <is>
          <t>Trademark Holdings (Pty) Ltd</t>
        </is>
      </c>
      <c r="B15647" s="4" t="n">
        <v>45169</v>
      </c>
      <c r="C15647" s="3" t="inlineStr">
        <is>
          <t>Liabilities</t>
        </is>
      </c>
      <c r="D15647" s="3" t="inlineStr">
        <is>
          <t>5500/375</t>
        </is>
      </c>
      <c r="E15647" s="3" t="inlineStr">
        <is>
          <t>Loan - Opportunity Management Holdings Pty Ltd</t>
        </is>
      </c>
      <c r="F15647" s="3" t="n">
        <v>0</v>
      </c>
      <c r="G15647" s="3" t="n">
        <v>69000</v>
      </c>
    </row>
    <row r="15648">
      <c r="A15648" s="3" t="inlineStr">
        <is>
          <t>Trademark Holdings (Pty) Ltd</t>
        </is>
      </c>
      <c r="B15648" s="4" t="n">
        <v>45169</v>
      </c>
      <c r="C15648" s="3" t="inlineStr">
        <is>
          <t>Liabilities</t>
        </is>
      </c>
      <c r="D15648" s="3" t="inlineStr">
        <is>
          <t>5500/450</t>
        </is>
      </c>
      <c r="E15648" s="3" t="inlineStr">
        <is>
          <t>Loan - Cape Projects Construction</t>
        </is>
      </c>
      <c r="F15648" s="3" t="n">
        <v>-55600</v>
      </c>
      <c r="G15648" s="3" t="n">
        <v>-36200</v>
      </c>
    </row>
    <row r="15649">
      <c r="A15649" s="3" t="inlineStr">
        <is>
          <t>Trademark Holdings (Pty) Ltd</t>
        </is>
      </c>
      <c r="B15649" s="4" t="n">
        <v>45169</v>
      </c>
      <c r="C15649" s="3" t="inlineStr">
        <is>
          <t>Liabilities</t>
        </is>
      </c>
      <c r="D15649" s="3" t="inlineStr">
        <is>
          <t>5500/500</t>
        </is>
      </c>
      <c r="E15649" s="3" t="inlineStr">
        <is>
          <t>Go Letting Brand Name</t>
        </is>
      </c>
      <c r="F15649" s="3" t="n">
        <v>0</v>
      </c>
      <c r="G15649" s="3" t="n">
        <v>93420</v>
      </c>
    </row>
    <row r="15650">
      <c r="A15650" s="3" t="inlineStr">
        <is>
          <t>Noble Shield (Pty) Ltd ta Go Letting</t>
        </is>
      </c>
      <c r="B15650" s="4" t="n">
        <v>45169</v>
      </c>
      <c r="C15650" s="3" t="inlineStr">
        <is>
          <t>Liabilities</t>
        </is>
      </c>
      <c r="D15650" s="3" t="inlineStr">
        <is>
          <t>5500/500</t>
        </is>
      </c>
      <c r="E15650" s="3" t="inlineStr">
        <is>
          <t>Loan - Cape Projects Construction</t>
        </is>
      </c>
      <c r="F15650" s="3" t="n">
        <v>96989.44</v>
      </c>
      <c r="G15650" s="3" t="n">
        <v>116389.44</v>
      </c>
    </row>
    <row r="15651">
      <c r="A15651" s="3" t="inlineStr">
        <is>
          <t>Quinate Consulting (Pty) Ltd</t>
        </is>
      </c>
      <c r="B15651" s="4" t="n">
        <v>45169</v>
      </c>
      <c r="C15651" s="3" t="inlineStr">
        <is>
          <t>Liabilities</t>
        </is>
      </c>
      <c r="D15651" s="3" t="inlineStr">
        <is>
          <t>5500/500</t>
        </is>
      </c>
      <c r="E15651" s="3" t="inlineStr">
        <is>
          <t>Loan - Opportunity Development Struct.</t>
        </is>
      </c>
      <c r="F15651" s="3" t="n">
        <v>0</v>
      </c>
      <c r="G15651" s="3" t="n">
        <v>-2380000</v>
      </c>
    </row>
    <row r="15652">
      <c r="A15652" s="3" t="inlineStr">
        <is>
          <t>Opportunity Management Holdings (PTY) LTD</t>
        </is>
      </c>
      <c r="B15652" s="4" t="n">
        <v>45169</v>
      </c>
      <c r="C15652" s="3" t="inlineStr">
        <is>
          <t>Liabilities</t>
        </is>
      </c>
      <c r="D15652" s="3" t="inlineStr">
        <is>
          <t>5500/500</t>
        </is>
      </c>
      <c r="E15652" s="3" t="inlineStr">
        <is>
          <t>Loan - Opportunity Tradermark Holdings</t>
        </is>
      </c>
      <c r="F15652" s="3" t="n">
        <v>0</v>
      </c>
      <c r="G15652" s="3" t="n">
        <v>-69000</v>
      </c>
    </row>
    <row r="15653">
      <c r="A15653" s="3" t="inlineStr">
        <is>
          <t>Quinate Consulting (Pty) Ltd</t>
        </is>
      </c>
      <c r="B15653" s="4" t="n">
        <v>45169</v>
      </c>
      <c r="C15653" s="3" t="inlineStr">
        <is>
          <t>Liabilities</t>
        </is>
      </c>
      <c r="D15653" s="3" t="inlineStr">
        <is>
          <t>5500/520</t>
        </is>
      </c>
      <c r="E15653" s="3" t="inlineStr">
        <is>
          <t>Loan - Opportunity Management Holdings</t>
        </is>
      </c>
      <c r="F15653" s="3" t="n">
        <v>0</v>
      </c>
      <c r="G15653" s="3" t="n">
        <v>16100</v>
      </c>
    </row>
    <row r="15654">
      <c r="A15654" s="3" t="inlineStr">
        <is>
          <t>Opportunity Management Holdings (PTY) LTD</t>
        </is>
      </c>
      <c r="B15654" s="4" t="n">
        <v>45169</v>
      </c>
      <c r="C15654" s="3" t="inlineStr">
        <is>
          <t>Liabilities</t>
        </is>
      </c>
      <c r="D15654" s="3" t="inlineStr">
        <is>
          <t>5500/550</t>
        </is>
      </c>
      <c r="E15654" s="3" t="inlineStr">
        <is>
          <t>Loan - Heron Projects</t>
        </is>
      </c>
      <c r="F15654" s="3" t="n">
        <v>-50000</v>
      </c>
      <c r="G15654" s="3" t="n">
        <v>-85100</v>
      </c>
    </row>
    <row r="15655">
      <c r="A15655" s="3" t="inlineStr">
        <is>
          <t>Noble Shield (Pty) Ltd ta Go Letting</t>
        </is>
      </c>
      <c r="B15655" s="4" t="n">
        <v>45169</v>
      </c>
      <c r="C15655" s="3" t="inlineStr">
        <is>
          <t>Liabilities</t>
        </is>
      </c>
      <c r="D15655" s="3" t="inlineStr">
        <is>
          <t>5500/600</t>
        </is>
      </c>
      <c r="E15655" s="3" t="inlineStr">
        <is>
          <t>Loan - Heron Projects</t>
        </is>
      </c>
      <c r="F15655" s="3" t="n">
        <v>0</v>
      </c>
      <c r="G15655" s="3" t="n">
        <v>20370.22</v>
      </c>
    </row>
    <row r="15656">
      <c r="A15656" s="3" t="inlineStr">
        <is>
          <t>Opportunity Global Investment (PTY) LTD</t>
        </is>
      </c>
      <c r="B15656" s="4" t="n">
        <v>45169</v>
      </c>
      <c r="C15656" s="3" t="inlineStr">
        <is>
          <t>Liabilities</t>
        </is>
      </c>
      <c r="D15656" s="3" t="inlineStr">
        <is>
          <t>5500/650</t>
        </is>
      </c>
      <c r="E15656" s="3" t="inlineStr">
        <is>
          <t>Loan - Opportunit Global - Sales</t>
        </is>
      </c>
      <c r="F15656" s="3" t="n">
        <v>-39894.42</v>
      </c>
      <c r="G15656" s="3" t="n">
        <v>-3222209.73</v>
      </c>
    </row>
    <row r="15657">
      <c r="A15657" s="3" t="inlineStr">
        <is>
          <t>Opportunity Global Sales (PTY) LTD</t>
        </is>
      </c>
      <c r="B15657" s="4" t="n">
        <v>45169</v>
      </c>
      <c r="C15657" s="3" t="inlineStr">
        <is>
          <t>Liabilities</t>
        </is>
      </c>
      <c r="D15657" s="3" t="inlineStr">
        <is>
          <t>5500/650</t>
        </is>
      </c>
      <c r="E15657" s="3" t="inlineStr">
        <is>
          <t>Loan - Opportunity Investments</t>
        </is>
      </c>
      <c r="F15657" s="3" t="n">
        <v>39894.42</v>
      </c>
      <c r="G15657" s="3" t="n">
        <v>3222209.73</v>
      </c>
    </row>
    <row r="15658">
      <c r="A15658" s="3" t="inlineStr">
        <is>
          <t>Opportunity Management Holdings (PTY) LTD</t>
        </is>
      </c>
      <c r="B15658" s="4" t="n">
        <v>45169</v>
      </c>
      <c r="C15658" s="3" t="inlineStr">
        <is>
          <t>Liabilities</t>
        </is>
      </c>
      <c r="D15658" s="3" t="inlineStr">
        <is>
          <t>5500/700</t>
        </is>
      </c>
      <c r="E15658" s="3" t="inlineStr">
        <is>
          <t>Loan - Go Letting</t>
        </is>
      </c>
      <c r="F15658" s="3" t="n">
        <v>0</v>
      </c>
      <c r="G15658" s="3" t="n">
        <v>-120</v>
      </c>
    </row>
    <row r="15659">
      <c r="A15659" s="3" t="inlineStr">
        <is>
          <t>Opportunity Global Investment (PTY) LTD</t>
        </is>
      </c>
      <c r="B15659" s="4" t="n">
        <v>45169</v>
      </c>
      <c r="C15659" s="3" t="inlineStr">
        <is>
          <t>Liabilities</t>
        </is>
      </c>
      <c r="D15659" s="3" t="inlineStr">
        <is>
          <t>5500/750</t>
        </is>
      </c>
      <c r="E15659" s="3" t="inlineStr">
        <is>
          <t>Loan - Heron Projects</t>
        </is>
      </c>
      <c r="F15659" s="3" t="n">
        <v>-160000</v>
      </c>
      <c r="G15659" s="3" t="n">
        <v>-1602000</v>
      </c>
    </row>
    <row r="15660">
      <c r="A15660" s="3" t="inlineStr">
        <is>
          <t>Opportunity Global Investment (PTY) LTD</t>
        </is>
      </c>
      <c r="B15660" s="4" t="n">
        <v>45169</v>
      </c>
      <c r="C15660" s="3" t="inlineStr">
        <is>
          <t>Liabilities</t>
        </is>
      </c>
      <c r="D15660" s="3" t="inlineStr">
        <is>
          <t>5500/850</t>
        </is>
      </c>
      <c r="E15660" s="3" t="inlineStr">
        <is>
          <t>Loan - Nick Morgan</t>
        </is>
      </c>
      <c r="F15660" s="3" t="n">
        <v>0</v>
      </c>
      <c r="G15660" s="3" t="n">
        <v>6200</v>
      </c>
    </row>
    <row r="15661">
      <c r="A15661" s="3" t="inlineStr">
        <is>
          <t>Opportunity Global Investment (PTY) LTD</t>
        </is>
      </c>
      <c r="B15661" s="4" t="n">
        <v>45169</v>
      </c>
      <c r="C15661" s="3" t="inlineStr">
        <is>
          <t>Liabilities</t>
        </is>
      </c>
      <c r="D15661" s="3" t="inlineStr">
        <is>
          <t>5500/950</t>
        </is>
      </c>
      <c r="E15661" s="3" t="inlineStr">
        <is>
          <t>Loan - Gengis</t>
        </is>
      </c>
      <c r="F15661" s="3" t="n">
        <v>0</v>
      </c>
      <c r="G15661" s="3" t="n">
        <v>-45000</v>
      </c>
    </row>
    <row r="15662">
      <c r="A15662" s="3" t="inlineStr">
        <is>
          <t>Quinate Consulting (Pty) Ltd</t>
        </is>
      </c>
      <c r="B15662" s="4" t="n">
        <v>45169</v>
      </c>
      <c r="C15662" s="3" t="inlineStr">
        <is>
          <t>Liabilities</t>
        </is>
      </c>
      <c r="D15662" s="3" t="inlineStr">
        <is>
          <t>5501/001</t>
        </is>
      </c>
      <c r="E15662" s="3" t="inlineStr">
        <is>
          <t>Loan - Endulini CIP Costs</t>
        </is>
      </c>
      <c r="F15662" s="3" t="n">
        <v>19600</v>
      </c>
      <c r="G15662" s="3" t="n">
        <v>9250749.1</v>
      </c>
    </row>
    <row r="15663">
      <c r="A15663" s="3" t="inlineStr">
        <is>
          <t>Opportunity Management Holdings (PTY) LTD</t>
        </is>
      </c>
      <c r="B15663" s="4" t="n">
        <v>45169</v>
      </c>
      <c r="C15663" s="3" t="inlineStr">
        <is>
          <t>Liabilities</t>
        </is>
      </c>
      <c r="D15663" s="3" t="inlineStr">
        <is>
          <t>5510/100</t>
        </is>
      </c>
      <c r="E15663" s="3" t="inlineStr">
        <is>
          <t>Staff loan - Debbie Landsberg</t>
        </is>
      </c>
      <c r="F15663" s="3" t="n">
        <v>-400</v>
      </c>
      <c r="G15663" s="3" t="n">
        <v>0</v>
      </c>
    </row>
    <row r="15664">
      <c r="A15664" s="3" t="inlineStr">
        <is>
          <t>Noble Shield (Pty) Ltd ta Go Letting</t>
        </is>
      </c>
      <c r="B15664" s="4" t="n">
        <v>45169</v>
      </c>
      <c r="C15664" s="3" t="inlineStr">
        <is>
          <t>Assets</t>
        </is>
      </c>
      <c r="D15664" s="3" t="inlineStr">
        <is>
          <t>6250/010</t>
        </is>
      </c>
      <c r="E15664" s="3" t="inlineStr">
        <is>
          <t>Computer Equipment - @ Cost</t>
        </is>
      </c>
      <c r="F15664" s="3" t="n">
        <v>0</v>
      </c>
      <c r="G15664" s="3" t="n">
        <v>20397</v>
      </c>
    </row>
    <row r="15665">
      <c r="A15665" s="3" t="inlineStr">
        <is>
          <t>Opportunity Global Investment (PTY) LTD</t>
        </is>
      </c>
      <c r="B15665" s="4" t="n">
        <v>45169</v>
      </c>
      <c r="C15665" s="3" t="inlineStr">
        <is>
          <t>Assets</t>
        </is>
      </c>
      <c r="D15665" s="3" t="inlineStr">
        <is>
          <t>6250/010</t>
        </is>
      </c>
      <c r="E15665" s="3" t="inlineStr">
        <is>
          <t>Computer Equipment - @ Cost</t>
        </is>
      </c>
      <c r="F15665" s="3" t="n">
        <v>0</v>
      </c>
      <c r="G15665" s="3" t="n">
        <v>31683.04</v>
      </c>
    </row>
    <row r="15666">
      <c r="A15666" s="3" t="inlineStr">
        <is>
          <t>Opportunity Management Holdings (PTY) LTD</t>
        </is>
      </c>
      <c r="B15666" s="4" t="n">
        <v>45169</v>
      </c>
      <c r="C15666" s="3" t="inlineStr">
        <is>
          <t>Assets</t>
        </is>
      </c>
      <c r="D15666" s="3" t="inlineStr">
        <is>
          <t>6250/010</t>
        </is>
      </c>
      <c r="E15666" s="3" t="inlineStr">
        <is>
          <t>Computer Equipment - @ Cost</t>
        </is>
      </c>
      <c r="F15666" s="3" t="n">
        <v>0</v>
      </c>
      <c r="G15666" s="3" t="n">
        <v>52177.85</v>
      </c>
    </row>
    <row r="15667">
      <c r="A15667" s="3" t="inlineStr">
        <is>
          <t>Quinate Consulting (Pty) Ltd</t>
        </is>
      </c>
      <c r="B15667" s="4" t="n">
        <v>45169</v>
      </c>
      <c r="C15667" s="3" t="inlineStr">
        <is>
          <t>Assets</t>
        </is>
      </c>
      <c r="D15667" s="3" t="inlineStr">
        <is>
          <t>6250/010</t>
        </is>
      </c>
      <c r="E15667" s="3" t="inlineStr">
        <is>
          <t>Computer Equipment - @ Cost</t>
        </is>
      </c>
      <c r="F15667" s="3" t="n">
        <v>0</v>
      </c>
      <c r="G15667" s="3" t="n">
        <v>137059.7</v>
      </c>
    </row>
    <row r="15668">
      <c r="A15668" s="3" t="inlineStr">
        <is>
          <t>Noble Shield (Pty) Ltd ta Go Letting</t>
        </is>
      </c>
      <c r="B15668" s="4" t="n">
        <v>45169</v>
      </c>
      <c r="C15668" s="3" t="inlineStr">
        <is>
          <t>Assets</t>
        </is>
      </c>
      <c r="D15668" s="3" t="inlineStr">
        <is>
          <t>6250/020</t>
        </is>
      </c>
      <c r="E15668" s="3" t="inlineStr">
        <is>
          <t>Computer Equipment - Accum Depre</t>
        </is>
      </c>
      <c r="F15668" s="3" t="n">
        <v>0</v>
      </c>
      <c r="G15668" s="3" t="n">
        <v>-12040.89</v>
      </c>
    </row>
    <row r="15669">
      <c r="A15669" s="3" t="inlineStr">
        <is>
          <t>Opportunity Global Investment (PTY) LTD</t>
        </is>
      </c>
      <c r="B15669" s="4" t="n">
        <v>45169</v>
      </c>
      <c r="C15669" s="3" t="inlineStr">
        <is>
          <t>Assets</t>
        </is>
      </c>
      <c r="D15669" s="3" t="inlineStr">
        <is>
          <t>6250/020</t>
        </is>
      </c>
      <c r="E15669" s="3" t="inlineStr">
        <is>
          <t>Computer Equipment - Accum Depre</t>
        </is>
      </c>
      <c r="F15669" s="3" t="n">
        <v>-880.08</v>
      </c>
      <c r="G15669" s="3" t="n">
        <v>-7040.66</v>
      </c>
    </row>
    <row r="15670">
      <c r="A15670" s="3" t="inlineStr">
        <is>
          <t>Opportunity Management Holdings (PTY) LTD</t>
        </is>
      </c>
      <c r="B15670" s="4" t="n">
        <v>45169</v>
      </c>
      <c r="C15670" s="3" t="inlineStr">
        <is>
          <t>Assets</t>
        </is>
      </c>
      <c r="D15670" s="3" t="inlineStr">
        <is>
          <t>6250/020</t>
        </is>
      </c>
      <c r="E15670" s="3" t="inlineStr">
        <is>
          <t>Computer Equipment - Accum Depre</t>
        </is>
      </c>
      <c r="F15670" s="3" t="n">
        <v>-1035.18</v>
      </c>
      <c r="G15670" s="3" t="n">
        <v>-11820.27</v>
      </c>
    </row>
    <row r="15671">
      <c r="A15671" s="3" t="inlineStr">
        <is>
          <t>Quinate Consulting (Pty) Ltd</t>
        </is>
      </c>
      <c r="B15671" s="4" t="n">
        <v>45169</v>
      </c>
      <c r="C15671" s="3" t="inlineStr">
        <is>
          <t>Assets</t>
        </is>
      </c>
      <c r="D15671" s="3" t="inlineStr">
        <is>
          <t>6250/020</t>
        </is>
      </c>
      <c r="E15671" s="3" t="inlineStr">
        <is>
          <t>Computer Equipment - Accum Depre</t>
        </is>
      </c>
      <c r="F15671" s="3" t="n">
        <v>-2331.64</v>
      </c>
      <c r="G15671" s="3" t="n">
        <v>-112363.76</v>
      </c>
    </row>
    <row r="15672">
      <c r="A15672" s="3" t="inlineStr">
        <is>
          <t>Opportunity Management Holdings (PTY) LTD</t>
        </is>
      </c>
      <c r="B15672" s="4" t="n">
        <v>45169</v>
      </c>
      <c r="C15672" s="3" t="inlineStr">
        <is>
          <t>Assets</t>
        </is>
      </c>
      <c r="D15672" s="3" t="inlineStr">
        <is>
          <t>6250/030</t>
        </is>
      </c>
      <c r="E15672" s="3" t="inlineStr">
        <is>
          <t>Acc Depreciation - Computer Equipment</t>
        </is>
      </c>
      <c r="F15672" s="3" t="n">
        <v>0</v>
      </c>
      <c r="G15672" s="3" t="n">
        <v>-9441.25</v>
      </c>
    </row>
    <row r="15673">
      <c r="A15673" s="3" t="inlineStr">
        <is>
          <t>Quinate Consulting (Pty) Ltd</t>
        </is>
      </c>
      <c r="B15673" s="4" t="n">
        <v>45169</v>
      </c>
      <c r="C15673" s="3" t="inlineStr">
        <is>
          <t>Assets</t>
        </is>
      </c>
      <c r="D15673" s="3" t="inlineStr">
        <is>
          <t>6270/010</t>
        </is>
      </c>
      <c r="E15673" s="3" t="inlineStr">
        <is>
          <t>Site Containers - @ Cost</t>
        </is>
      </c>
      <c r="F15673" s="3" t="n">
        <v>0</v>
      </c>
      <c r="G15673" s="3" t="n">
        <v>19130.44</v>
      </c>
    </row>
    <row r="15674">
      <c r="A15674" s="3" t="inlineStr">
        <is>
          <t>Quinate Consulting (Pty) Ltd</t>
        </is>
      </c>
      <c r="B15674" s="4" t="n">
        <v>45169</v>
      </c>
      <c r="C15674" s="3" t="inlineStr">
        <is>
          <t>Assets</t>
        </is>
      </c>
      <c r="D15674" s="3" t="inlineStr">
        <is>
          <t>6270/020</t>
        </is>
      </c>
      <c r="E15674" s="3" t="inlineStr">
        <is>
          <t>Site Containers - Accum Depre</t>
        </is>
      </c>
      <c r="F15674" s="3" t="n">
        <v>-318.84</v>
      </c>
      <c r="G15674" s="3" t="n">
        <v>-9565.219999999999</v>
      </c>
    </row>
    <row r="15675">
      <c r="A15675" s="3" t="inlineStr">
        <is>
          <t>Noble Shield (Pty) Ltd ta Go Letting</t>
        </is>
      </c>
      <c r="B15675" s="4" t="n">
        <v>45169</v>
      </c>
      <c r="C15675" s="3" t="inlineStr">
        <is>
          <t>Assets</t>
        </is>
      </c>
      <c r="D15675" s="3" t="inlineStr">
        <is>
          <t>6350/010</t>
        </is>
      </c>
      <c r="E15675" s="3" t="inlineStr">
        <is>
          <t>Furniture _AND_ Fittings - @ Cost</t>
        </is>
      </c>
      <c r="F15675" s="3" t="n">
        <v>0</v>
      </c>
      <c r="G15675" s="3" t="n">
        <v>2242</v>
      </c>
    </row>
    <row r="15676">
      <c r="A15676" s="3" t="inlineStr">
        <is>
          <t>Opportunity Global Sales (PTY) LTD</t>
        </is>
      </c>
      <c r="B15676" s="4" t="n">
        <v>45169</v>
      </c>
      <c r="C15676" s="3" t="inlineStr">
        <is>
          <t>Assets</t>
        </is>
      </c>
      <c r="D15676" s="3" t="inlineStr">
        <is>
          <t>6350/010</t>
        </is>
      </c>
      <c r="E15676" s="3" t="inlineStr">
        <is>
          <t>Furniture _AND_ Fittings - @ Cost</t>
        </is>
      </c>
      <c r="F15676" s="3" t="n">
        <v>0</v>
      </c>
      <c r="G15676" s="3" t="n">
        <v>29379.7</v>
      </c>
    </row>
    <row r="15677">
      <c r="A15677" s="3" t="inlineStr">
        <is>
          <t>Noble Shield (Pty) Ltd ta Go Letting</t>
        </is>
      </c>
      <c r="B15677" s="4" t="n">
        <v>45169</v>
      </c>
      <c r="C15677" s="3" t="inlineStr">
        <is>
          <t>Assets</t>
        </is>
      </c>
      <c r="D15677" s="3" t="inlineStr">
        <is>
          <t>6350/020</t>
        </is>
      </c>
      <c r="E15677" s="3" t="inlineStr">
        <is>
          <t>Furniture _AND_ Fittings - Accum Depre</t>
        </is>
      </c>
      <c r="F15677" s="3" t="n">
        <v>0</v>
      </c>
      <c r="G15677" s="3" t="n">
        <v>-2239</v>
      </c>
    </row>
    <row r="15678">
      <c r="A15678" s="3" t="inlineStr">
        <is>
          <t>Opportunity Global Sales (PTY) LTD</t>
        </is>
      </c>
      <c r="B15678" s="4" t="n">
        <v>45169</v>
      </c>
      <c r="C15678" s="3" t="inlineStr">
        <is>
          <t>Assets</t>
        </is>
      </c>
      <c r="D15678" s="3" t="inlineStr">
        <is>
          <t>6350/020</t>
        </is>
      </c>
      <c r="E15678" s="3" t="inlineStr">
        <is>
          <t>Furniture _AND_ Fittings - Accum Depre</t>
        </is>
      </c>
      <c r="F15678" s="3" t="n">
        <v>-408.05</v>
      </c>
      <c r="G15678" s="3" t="n">
        <v>-5712.72</v>
      </c>
    </row>
    <row r="15679">
      <c r="A15679" s="3" t="inlineStr">
        <is>
          <t>Opportunity Management Holdings (PTY) LTD</t>
        </is>
      </c>
      <c r="B15679" s="4" t="n">
        <v>45169</v>
      </c>
      <c r="C15679" s="3" t="inlineStr">
        <is>
          <t>Liabilities</t>
        </is>
      </c>
      <c r="D15679" s="3" t="inlineStr">
        <is>
          <t>6500/000</t>
        </is>
      </c>
      <c r="E15679" s="3" t="inlineStr">
        <is>
          <t>Deposits - Held</t>
        </is>
      </c>
      <c r="F15679" s="3" t="n">
        <v>0</v>
      </c>
      <c r="G15679" s="3" t="n">
        <v>-12028.1</v>
      </c>
    </row>
    <row r="15680">
      <c r="A15680" s="3" t="inlineStr">
        <is>
          <t>Opportunity Management Holdings (PTY) LTD</t>
        </is>
      </c>
      <c r="B15680" s="4" t="n">
        <v>45169</v>
      </c>
      <c r="C15680" s="3" t="inlineStr">
        <is>
          <t>Liabilities</t>
        </is>
      </c>
      <c r="D15680" s="3" t="inlineStr">
        <is>
          <t>6510/000</t>
        </is>
      </c>
      <c r="E15680" s="3" t="inlineStr">
        <is>
          <t>Deposits Paid - Anicol Properties</t>
        </is>
      </c>
      <c r="F15680" s="3" t="n">
        <v>0</v>
      </c>
      <c r="G15680" s="3" t="n">
        <v>13755</v>
      </c>
    </row>
    <row r="15681">
      <c r="A15681" s="3" t="inlineStr">
        <is>
          <t>Opportunity Management Holdings (PTY) LTD</t>
        </is>
      </c>
      <c r="B15681" s="4" t="n">
        <v>45169</v>
      </c>
      <c r="C15681" s="3" t="inlineStr">
        <is>
          <t>Liabilities</t>
        </is>
      </c>
      <c r="D15681" s="3" t="inlineStr">
        <is>
          <t>6515/000</t>
        </is>
      </c>
      <c r="E15681" s="3" t="inlineStr">
        <is>
          <t>Deposits Paid</t>
        </is>
      </c>
      <c r="F15681" s="3" t="n">
        <v>0</v>
      </c>
      <c r="G15681" s="3" t="n">
        <v>3852.5</v>
      </c>
    </row>
    <row r="15682">
      <c r="A15682" s="3" t="inlineStr">
        <is>
          <t>Quinate Consulting (Pty) Ltd</t>
        </is>
      </c>
      <c r="B15682" s="4" t="n">
        <v>45169</v>
      </c>
      <c r="C15682" s="3" t="inlineStr">
        <is>
          <t>Assets</t>
        </is>
      </c>
      <c r="D15682" s="3" t="inlineStr">
        <is>
          <t>6600/010</t>
        </is>
      </c>
      <c r="E15682" s="3" t="inlineStr">
        <is>
          <t>Other Fixed Assets - @ Cost</t>
        </is>
      </c>
      <c r="F15682" s="3" t="n">
        <v>0</v>
      </c>
      <c r="G15682" s="3" t="n">
        <v>14442.5</v>
      </c>
    </row>
    <row r="15683">
      <c r="A15683" s="3" t="inlineStr">
        <is>
          <t>Quinate Consulting (Pty) Ltd</t>
        </is>
      </c>
      <c r="B15683" s="4" t="n">
        <v>45169</v>
      </c>
      <c r="C15683" s="3" t="inlineStr">
        <is>
          <t>Assets</t>
        </is>
      </c>
      <c r="D15683" s="3" t="inlineStr">
        <is>
          <t>6600/020</t>
        </is>
      </c>
      <c r="E15683" s="3" t="inlineStr">
        <is>
          <t>Other Fixed Assets - Accum Depre</t>
        </is>
      </c>
      <c r="F15683" s="3" t="n">
        <v>0</v>
      </c>
      <c r="G15683" s="3" t="n">
        <v>-14441.5</v>
      </c>
    </row>
    <row r="15684">
      <c r="A15684" s="3" t="inlineStr">
        <is>
          <t>Noble Shield (Pty) Ltd ta Go Letting</t>
        </is>
      </c>
      <c r="B15684" s="4" t="n">
        <v>45169</v>
      </c>
      <c r="C15684" s="3" t="inlineStr">
        <is>
          <t>Assets</t>
        </is>
      </c>
      <c r="D15684" s="3" t="inlineStr">
        <is>
          <t>7000/100</t>
        </is>
      </c>
      <c r="E15684" s="3" t="inlineStr">
        <is>
          <t>Goodwill - Purchase of Go Letting</t>
        </is>
      </c>
      <c r="F15684" s="3" t="n">
        <v>0</v>
      </c>
      <c r="G15684" s="3" t="n">
        <v>106580</v>
      </c>
    </row>
    <row r="15685">
      <c r="A15685" s="3" t="inlineStr">
        <is>
          <t>Opportunity Management Holdings (PTY) LTD</t>
        </is>
      </c>
      <c r="B15685" s="4" t="n">
        <v>45169</v>
      </c>
      <c r="C15685" s="3" t="inlineStr">
        <is>
          <t>Assets</t>
        </is>
      </c>
      <c r="D15685" s="3" t="inlineStr">
        <is>
          <t>7200/000</t>
        </is>
      </c>
      <c r="E15685" s="3" t="inlineStr">
        <is>
          <t>Shares in Subsidiary Companies</t>
        </is>
      </c>
      <c r="F15685" s="3" t="n">
        <v>0</v>
      </c>
      <c r="G15685" s="3" t="n">
        <v>120</v>
      </c>
    </row>
    <row r="15686">
      <c r="A15686" s="3" t="inlineStr">
        <is>
          <t>Endulini (Pty) Ltd</t>
        </is>
      </c>
      <c r="B15686" s="4" t="n">
        <v>45169</v>
      </c>
      <c r="C15686" s="3" t="inlineStr">
        <is>
          <t>Assets</t>
        </is>
      </c>
      <c r="D15686" s="3" t="inlineStr">
        <is>
          <t>7610/100</t>
        </is>
      </c>
      <c r="E15686" s="3" t="inlineStr">
        <is>
          <t>Endulini Land</t>
        </is>
      </c>
      <c r="F15686" s="3" t="n">
        <v>0</v>
      </c>
      <c r="G15686" s="3" t="n">
        <v>10572851.37</v>
      </c>
    </row>
    <row r="15687">
      <c r="A15687" s="3" t="inlineStr">
        <is>
          <t>Endulini (Pty) Ltd</t>
        </is>
      </c>
      <c r="B15687" s="4" t="n">
        <v>45169</v>
      </c>
      <c r="C15687" s="3" t="inlineStr">
        <is>
          <t>Assets</t>
        </is>
      </c>
      <c r="D15687" s="3" t="inlineStr">
        <is>
          <t>7610/111</t>
        </is>
      </c>
      <c r="E15687" s="3" t="inlineStr">
        <is>
          <t>Endulini Closing Stock February 2021</t>
        </is>
      </c>
      <c r="F15687" s="3" t="n">
        <v>0</v>
      </c>
      <c r="G15687" s="3" t="n">
        <v>14368610.11</v>
      </c>
    </row>
    <row r="15688">
      <c r="A15688" s="3" t="inlineStr">
        <is>
          <t>Endulini (Pty) Ltd</t>
        </is>
      </c>
      <c r="B15688" s="4" t="n">
        <v>45169</v>
      </c>
      <c r="C15688" s="3" t="inlineStr">
        <is>
          <t>Assets</t>
        </is>
      </c>
      <c r="D15688" s="3" t="inlineStr">
        <is>
          <t>7610/180</t>
        </is>
      </c>
      <c r="E15688" s="3" t="inlineStr">
        <is>
          <t>Endulini CIP Architects</t>
        </is>
      </c>
      <c r="F15688" s="3" t="n">
        <v>0</v>
      </c>
      <c r="G15688" s="3" t="n">
        <v>1292111.71</v>
      </c>
    </row>
    <row r="15689">
      <c r="A15689" s="3" t="inlineStr">
        <is>
          <t>Endulini (Pty) Ltd</t>
        </is>
      </c>
      <c r="B15689" s="4" t="n">
        <v>45169</v>
      </c>
      <c r="C15689" s="3" t="inlineStr">
        <is>
          <t>Assets</t>
        </is>
      </c>
      <c r="D15689" s="3" t="inlineStr">
        <is>
          <t>7610/200</t>
        </is>
      </c>
      <c r="E15689" s="3" t="inlineStr">
        <is>
          <t>Endulini CIP CoCT Land Use App</t>
        </is>
      </c>
      <c r="F15689" s="3" t="n">
        <v>0</v>
      </c>
      <c r="G15689" s="3" t="n">
        <v>232891.06</v>
      </c>
    </row>
    <row r="15690">
      <c r="A15690" s="3" t="inlineStr">
        <is>
          <t>Endulini (Pty) Ltd</t>
        </is>
      </c>
      <c r="B15690" s="4" t="n">
        <v>45169</v>
      </c>
      <c r="C15690" s="3" t="inlineStr">
        <is>
          <t>Assets</t>
        </is>
      </c>
      <c r="D15690" s="3" t="inlineStr">
        <is>
          <t>7610/205</t>
        </is>
      </c>
      <c r="E15690" s="3" t="inlineStr">
        <is>
          <t>Endulini CIP Site Establishments</t>
        </is>
      </c>
      <c r="F15690" s="3" t="n">
        <v>0</v>
      </c>
      <c r="G15690" s="3" t="n">
        <v>32428975.01</v>
      </c>
    </row>
    <row r="15691">
      <c r="A15691" s="3" t="inlineStr">
        <is>
          <t>Endulini (Pty) Ltd</t>
        </is>
      </c>
      <c r="B15691" s="4" t="n">
        <v>45169</v>
      </c>
      <c r="C15691" s="3" t="inlineStr">
        <is>
          <t>Assets</t>
        </is>
      </c>
      <c r="D15691" s="3" t="inlineStr">
        <is>
          <t>7610/209</t>
        </is>
      </c>
      <c r="E15691" s="3" t="inlineStr">
        <is>
          <t>Endulini CIP Construction Management</t>
        </is>
      </c>
      <c r="F15691" s="3" t="n">
        <v>0</v>
      </c>
      <c r="G15691" s="3" t="n">
        <v>223375</v>
      </c>
    </row>
    <row r="15692">
      <c r="A15692" s="3" t="inlineStr">
        <is>
          <t>Endulini (Pty) Ltd</t>
        </is>
      </c>
      <c r="B15692" s="4" t="n">
        <v>45169</v>
      </c>
      <c r="C15692" s="3" t="inlineStr">
        <is>
          <t>Assets</t>
        </is>
      </c>
      <c r="D15692" s="3" t="inlineStr">
        <is>
          <t>7610/210</t>
        </is>
      </c>
      <c r="E15692" s="3" t="inlineStr">
        <is>
          <t>Endulini CIP Civil Works</t>
        </is>
      </c>
      <c r="F15692" s="3" t="n">
        <v>0</v>
      </c>
      <c r="G15692" s="3" t="n">
        <v>6295702.14</v>
      </c>
    </row>
    <row r="15693">
      <c r="A15693" s="3" t="inlineStr">
        <is>
          <t>Endulini (Pty) Ltd</t>
        </is>
      </c>
      <c r="B15693" s="4" t="n">
        <v>45169</v>
      </c>
      <c r="C15693" s="3" t="inlineStr">
        <is>
          <t>Assets</t>
        </is>
      </c>
      <c r="D15693" s="3" t="inlineStr">
        <is>
          <t>7610/215</t>
        </is>
      </c>
      <c r="E15693" s="3" t="inlineStr">
        <is>
          <t>Endulini CIP Civil Engineers</t>
        </is>
      </c>
      <c r="F15693" s="3" t="n">
        <v>0</v>
      </c>
      <c r="G15693" s="3" t="n">
        <v>183000</v>
      </c>
    </row>
    <row r="15694">
      <c r="A15694" s="3" t="inlineStr">
        <is>
          <t>Endulini (Pty) Ltd</t>
        </is>
      </c>
      <c r="B15694" s="4" t="n">
        <v>45169</v>
      </c>
      <c r="C15694" s="3" t="inlineStr">
        <is>
          <t>Assets</t>
        </is>
      </c>
      <c r="D15694" s="3" t="inlineStr">
        <is>
          <t>7610/220</t>
        </is>
      </c>
      <c r="E15694" s="3" t="inlineStr">
        <is>
          <t>Endulini CIP Structuring Project Fee Opp Invest</t>
        </is>
      </c>
      <c r="F15694" s="3" t="n">
        <v>0</v>
      </c>
      <c r="G15694" s="3" t="n">
        <v>483735.96</v>
      </c>
    </row>
    <row r="15695">
      <c r="A15695" s="3" t="inlineStr">
        <is>
          <t>Endulini (Pty) Ltd</t>
        </is>
      </c>
      <c r="B15695" s="4" t="n">
        <v>45169</v>
      </c>
      <c r="C15695" s="3" t="inlineStr">
        <is>
          <t>Assets</t>
        </is>
      </c>
      <c r="D15695" s="3" t="inlineStr">
        <is>
          <t>7610/225</t>
        </is>
      </c>
      <c r="E15695" s="3" t="inlineStr">
        <is>
          <t>Endulini CIP Structural engineering fee</t>
        </is>
      </c>
      <c r="F15695" s="3" t="n">
        <v>0</v>
      </c>
      <c r="G15695" s="3" t="n">
        <v>346268.03</v>
      </c>
    </row>
    <row r="15696">
      <c r="A15696" s="3" t="inlineStr">
        <is>
          <t>Endulini (Pty) Ltd</t>
        </is>
      </c>
      <c r="B15696" s="4" t="n">
        <v>45169</v>
      </c>
      <c r="C15696" s="3" t="inlineStr">
        <is>
          <t>Assets</t>
        </is>
      </c>
      <c r="D15696" s="3" t="inlineStr">
        <is>
          <t>7610/230</t>
        </is>
      </c>
      <c r="E15696" s="3" t="inlineStr">
        <is>
          <t>Endulini CIP Mechanical Engineering</t>
        </is>
      </c>
      <c r="F15696" s="3" t="n">
        <v>0</v>
      </c>
      <c r="G15696" s="3" t="n">
        <v>15570</v>
      </c>
    </row>
    <row r="15697">
      <c r="A15697" s="3" t="inlineStr">
        <is>
          <t>Endulini (Pty) Ltd</t>
        </is>
      </c>
      <c r="B15697" s="4" t="n">
        <v>45169</v>
      </c>
      <c r="C15697" s="3" t="inlineStr">
        <is>
          <t>Assets</t>
        </is>
      </c>
      <c r="D15697" s="3" t="inlineStr">
        <is>
          <t>7610/235</t>
        </is>
      </c>
      <c r="E15697" s="3" t="inlineStr">
        <is>
          <t>Endulini CIP Electrical Installation</t>
        </is>
      </c>
      <c r="F15697" s="3" t="n">
        <v>0</v>
      </c>
      <c r="G15697" s="3" t="n">
        <v>1034019.08</v>
      </c>
    </row>
    <row r="15698">
      <c r="A15698" s="3" t="inlineStr">
        <is>
          <t>Endulini (Pty) Ltd</t>
        </is>
      </c>
      <c r="B15698" s="4" t="n">
        <v>45169</v>
      </c>
      <c r="C15698" s="3" t="inlineStr">
        <is>
          <t>Assets</t>
        </is>
      </c>
      <c r="D15698" s="3" t="inlineStr">
        <is>
          <t>7610/250</t>
        </is>
      </c>
      <c r="E15698" s="3" t="inlineStr">
        <is>
          <t>Endulini CIP Boundary Wall</t>
        </is>
      </c>
      <c r="F15698" s="3" t="n">
        <v>0</v>
      </c>
      <c r="G15698" s="3" t="n">
        <v>88400.8</v>
      </c>
    </row>
    <row r="15699">
      <c r="A15699" s="3" t="inlineStr">
        <is>
          <t>Endulini (Pty) Ltd</t>
        </is>
      </c>
      <c r="B15699" s="4" t="n">
        <v>45169</v>
      </c>
      <c r="C15699" s="3" t="inlineStr">
        <is>
          <t>Assets</t>
        </is>
      </c>
      <c r="D15699" s="3" t="inlineStr">
        <is>
          <t>7610/290</t>
        </is>
      </c>
      <c r="E15699" s="3" t="inlineStr">
        <is>
          <t>Endulini CIP Development Management Fees</t>
        </is>
      </c>
      <c r="F15699" s="3" t="n">
        <v>0</v>
      </c>
      <c r="G15699" s="3" t="n">
        <v>237496.62</v>
      </c>
    </row>
    <row r="15700">
      <c r="A15700" s="3" t="inlineStr">
        <is>
          <t>Endulini (Pty) Ltd</t>
        </is>
      </c>
      <c r="B15700" s="4" t="n">
        <v>45169</v>
      </c>
      <c r="C15700" s="3" t="inlineStr">
        <is>
          <t>Assets</t>
        </is>
      </c>
      <c r="D15700" s="3" t="inlineStr">
        <is>
          <t>7610/310</t>
        </is>
      </c>
      <c r="E15700" s="3" t="inlineStr">
        <is>
          <t>Endulini CIP Enviromental consultants</t>
        </is>
      </c>
      <c r="F15700" s="3" t="n">
        <v>0</v>
      </c>
      <c r="G15700" s="3" t="n">
        <v>115730</v>
      </c>
    </row>
    <row r="15701">
      <c r="A15701" s="3" t="inlineStr">
        <is>
          <t>Endulini (Pty) Ltd</t>
        </is>
      </c>
      <c r="B15701" s="4" t="n">
        <v>45169</v>
      </c>
      <c r="C15701" s="3" t="inlineStr">
        <is>
          <t>Assets</t>
        </is>
      </c>
      <c r="D15701" s="3" t="inlineStr">
        <is>
          <t>7610/320</t>
        </is>
      </c>
      <c r="E15701" s="3" t="inlineStr">
        <is>
          <t>Endulini CIP Geotechnical</t>
        </is>
      </c>
      <c r="F15701" s="3" t="n">
        <v>0</v>
      </c>
      <c r="G15701" s="3" t="n">
        <v>13575</v>
      </c>
    </row>
    <row r="15702">
      <c r="A15702" s="3" t="inlineStr">
        <is>
          <t>Endulini (Pty) Ltd</t>
        </is>
      </c>
      <c r="B15702" s="4" t="n">
        <v>45169</v>
      </c>
      <c r="C15702" s="3" t="inlineStr">
        <is>
          <t>Assets</t>
        </is>
      </c>
      <c r="D15702" s="3" t="inlineStr">
        <is>
          <t>7610/330</t>
        </is>
      </c>
      <c r="E15702" s="3" t="inlineStr">
        <is>
          <t>Endulini CIP Health and Safety</t>
        </is>
      </c>
      <c r="F15702" s="3" t="n">
        <v>0</v>
      </c>
      <c r="G15702" s="3" t="n">
        <v>40200</v>
      </c>
    </row>
    <row r="15703">
      <c r="A15703" s="3" t="inlineStr">
        <is>
          <t>Endulini (Pty) Ltd</t>
        </is>
      </c>
      <c r="B15703" s="4" t="n">
        <v>45169</v>
      </c>
      <c r="C15703" s="3" t="inlineStr">
        <is>
          <t>Assets</t>
        </is>
      </c>
      <c r="D15703" s="3" t="inlineStr">
        <is>
          <t>7610/390</t>
        </is>
      </c>
      <c r="E15703" s="3" t="inlineStr">
        <is>
          <t>Endulini CIP Land Surveyor</t>
        </is>
      </c>
      <c r="F15703" s="3" t="n">
        <v>0</v>
      </c>
      <c r="G15703" s="3" t="n">
        <v>186021.2</v>
      </c>
    </row>
    <row r="15704">
      <c r="A15704" s="3" t="inlineStr">
        <is>
          <t>Endulini (Pty) Ltd</t>
        </is>
      </c>
      <c r="B15704" s="4" t="n">
        <v>45169</v>
      </c>
      <c r="C15704" s="3" t="inlineStr">
        <is>
          <t>Assets</t>
        </is>
      </c>
      <c r="D15704" s="3" t="inlineStr">
        <is>
          <t>7610/392</t>
        </is>
      </c>
      <c r="E15704" s="3" t="inlineStr">
        <is>
          <t>Endulini CIP Landscaping</t>
        </is>
      </c>
      <c r="F15704" s="3" t="n">
        <v>0</v>
      </c>
      <c r="G15704" s="3" t="n">
        <v>6100</v>
      </c>
    </row>
    <row r="15705">
      <c r="A15705" s="3" t="inlineStr">
        <is>
          <t>Endulini (Pty) Ltd</t>
        </is>
      </c>
      <c r="B15705" s="4" t="n">
        <v>45169</v>
      </c>
      <c r="C15705" s="3" t="inlineStr">
        <is>
          <t>Assets</t>
        </is>
      </c>
      <c r="D15705" s="3" t="inlineStr">
        <is>
          <t>7610/395</t>
        </is>
      </c>
      <c r="E15705" s="3" t="inlineStr">
        <is>
          <t>Endulini CIP NHBRC</t>
        </is>
      </c>
      <c r="F15705" s="3" t="n">
        <v>0</v>
      </c>
      <c r="G15705" s="3" t="n">
        <v>928847.49</v>
      </c>
    </row>
    <row r="15706">
      <c r="A15706" s="3" t="inlineStr">
        <is>
          <t>Endulini (Pty) Ltd</t>
        </is>
      </c>
      <c r="B15706" s="4" t="n">
        <v>45169</v>
      </c>
      <c r="C15706" s="3" t="inlineStr">
        <is>
          <t>Assets</t>
        </is>
      </c>
      <c r="D15706" s="3" t="inlineStr">
        <is>
          <t>7610/400</t>
        </is>
      </c>
      <c r="E15706" s="3" t="inlineStr">
        <is>
          <t>Endulini CIP Quantity Surveyor</t>
        </is>
      </c>
      <c r="F15706" s="3" t="n">
        <v>0</v>
      </c>
      <c r="G15706" s="3" t="n">
        <v>82136.36</v>
      </c>
    </row>
    <row r="15707">
      <c r="A15707" s="3" t="inlineStr">
        <is>
          <t>Endulini (Pty) Ltd</t>
        </is>
      </c>
      <c r="B15707" s="4" t="n">
        <v>45169</v>
      </c>
      <c r="C15707" s="3" t="inlineStr">
        <is>
          <t>Assets</t>
        </is>
      </c>
      <c r="D15707" s="3" t="inlineStr">
        <is>
          <t>7610/600</t>
        </is>
      </c>
      <c r="E15707" s="3" t="inlineStr">
        <is>
          <t>Endulini CIP Town Planning</t>
        </is>
      </c>
      <c r="F15707" s="3" t="n">
        <v>0</v>
      </c>
      <c r="G15707" s="3" t="n">
        <v>21105</v>
      </c>
    </row>
    <row r="15708">
      <c r="A15708" s="3" t="inlineStr">
        <is>
          <t>Endulini (Pty) Ltd</t>
        </is>
      </c>
      <c r="B15708" s="4" t="n">
        <v>45169</v>
      </c>
      <c r="C15708" s="3" t="inlineStr">
        <is>
          <t>Assets</t>
        </is>
      </c>
      <c r="D15708" s="3" t="inlineStr">
        <is>
          <t>7610/620</t>
        </is>
      </c>
      <c r="E15708" s="3" t="inlineStr">
        <is>
          <t>Endulini CIP Traffic Impact</t>
        </is>
      </c>
      <c r="F15708" s="3" t="n">
        <v>0</v>
      </c>
      <c r="G15708" s="3" t="n">
        <v>24915</v>
      </c>
    </row>
    <row r="15709">
      <c r="A15709" s="3" t="inlineStr">
        <is>
          <t>Endulini (Pty) Ltd</t>
        </is>
      </c>
      <c r="B15709" s="4" t="n">
        <v>45169</v>
      </c>
      <c r="C15709" s="3" t="inlineStr">
        <is>
          <t>Assets</t>
        </is>
      </c>
      <c r="D15709" s="3" t="inlineStr">
        <is>
          <t>7610/630</t>
        </is>
      </c>
      <c r="E15709" s="3" t="inlineStr">
        <is>
          <t>Endulini CIP CoCT Development Contributi</t>
        </is>
      </c>
      <c r="F15709" s="3" t="n">
        <v>0</v>
      </c>
      <c r="G15709" s="3" t="n">
        <v>661860.3100000001</v>
      </c>
    </row>
    <row r="15710">
      <c r="A15710" s="3" t="inlineStr">
        <is>
          <t>Endulini (Pty) Ltd</t>
        </is>
      </c>
      <c r="B15710" s="4" t="n">
        <v>45169</v>
      </c>
      <c r="C15710" s="3" t="inlineStr">
        <is>
          <t>Assets</t>
        </is>
      </c>
      <c r="D15710" s="3" t="inlineStr">
        <is>
          <t>7610/640</t>
        </is>
      </c>
      <c r="E15710" s="3" t="inlineStr">
        <is>
          <t>Endulini CIP CoCT Building plan application</t>
        </is>
      </c>
      <c r="F15710" s="3" t="n">
        <v>0</v>
      </c>
      <c r="G15710" s="3" t="n">
        <v>111203.22</v>
      </c>
    </row>
    <row r="15711">
      <c r="A15711" s="3" t="inlineStr">
        <is>
          <t>Endulini (Pty) Ltd</t>
        </is>
      </c>
      <c r="B15711" s="4" t="n">
        <v>45169</v>
      </c>
      <c r="C15711" s="3" t="inlineStr">
        <is>
          <t>Assets</t>
        </is>
      </c>
      <c r="D15711" s="3" t="inlineStr">
        <is>
          <t>7610/900</t>
        </is>
      </c>
      <c r="E15711" s="3" t="inlineStr">
        <is>
          <t>Endulini CIP Cost of Sales</t>
        </is>
      </c>
      <c r="F15711" s="3" t="n">
        <v>0</v>
      </c>
      <c r="G15711" s="3" t="n">
        <v>-28210981.9</v>
      </c>
    </row>
    <row r="15712">
      <c r="A15712" s="3" t="inlineStr">
        <is>
          <t>Quinate Consulting (Pty) Ltd</t>
        </is>
      </c>
      <c r="B15712" s="4" t="n">
        <v>45169</v>
      </c>
      <c r="C15712" s="3" t="inlineStr">
        <is>
          <t>Assets</t>
        </is>
      </c>
      <c r="D15712" s="3" t="inlineStr">
        <is>
          <t>7800/104</t>
        </is>
      </c>
      <c r="E15712" s="3" t="inlineStr">
        <is>
          <t>Stock - Closing Stock SW - 28 Feb 21</t>
        </is>
      </c>
      <c r="F15712" s="3" t="n">
        <v>0</v>
      </c>
      <c r="G15712" s="3" t="n">
        <v>2874478.88</v>
      </c>
    </row>
    <row r="15713">
      <c r="A15713" s="3" t="inlineStr">
        <is>
          <t>Quinate Consulting (Pty) Ltd</t>
        </is>
      </c>
      <c r="B15713" s="4" t="n">
        <v>45169</v>
      </c>
      <c r="C15713" s="3" t="inlineStr">
        <is>
          <t>Assets</t>
        </is>
      </c>
      <c r="D15713" s="3" t="inlineStr">
        <is>
          <t>7800/105</t>
        </is>
      </c>
      <c r="E15713" s="3" t="inlineStr">
        <is>
          <t>Stock - Closing Stock SH - 28 Feb 21</t>
        </is>
      </c>
      <c r="F15713" s="3" t="n">
        <v>0</v>
      </c>
      <c r="G15713" s="3" t="n">
        <v>2843477.6</v>
      </c>
    </row>
    <row r="15714">
      <c r="A15714" s="3" t="inlineStr">
        <is>
          <t>Endulini (Pty) Ltd</t>
        </is>
      </c>
      <c r="B15714" s="4" t="n">
        <v>45169</v>
      </c>
      <c r="C15714" s="3" t="inlineStr">
        <is>
          <t>Assets</t>
        </is>
      </c>
      <c r="D15714" s="3" t="inlineStr">
        <is>
          <t>8000/000</t>
        </is>
      </c>
      <c r="E15714" s="3" t="inlineStr">
        <is>
          <t>Customer Control Account</t>
        </is>
      </c>
      <c r="F15714" s="3" t="n">
        <v>0</v>
      </c>
      <c r="G15714" s="3" t="n">
        <v>170572.96</v>
      </c>
    </row>
    <row r="15715">
      <c r="A15715" s="3" t="inlineStr">
        <is>
          <t>Noble Shield (Pty) Ltd ta Go Letting</t>
        </is>
      </c>
      <c r="B15715" s="4" t="n">
        <v>45169</v>
      </c>
      <c r="C15715" s="3" t="inlineStr">
        <is>
          <t>Assets</t>
        </is>
      </c>
      <c r="D15715" s="3" t="inlineStr">
        <is>
          <t>8000/000</t>
        </is>
      </c>
      <c r="E15715" s="3" t="inlineStr">
        <is>
          <t>Customer Control Account</t>
        </is>
      </c>
      <c r="F15715" s="3" t="n">
        <v>0</v>
      </c>
      <c r="G15715" s="3" t="n">
        <v>60289.32</v>
      </c>
    </row>
    <row r="15716">
      <c r="A15716" s="3" t="inlineStr">
        <is>
          <t>Opportunity Global Investment (PTY) LTD</t>
        </is>
      </c>
      <c r="B15716" s="4" t="n">
        <v>45169</v>
      </c>
      <c r="C15716" s="3" t="inlineStr">
        <is>
          <t>Assets</t>
        </is>
      </c>
      <c r="D15716" s="3" t="inlineStr">
        <is>
          <t>8000/000</t>
        </is>
      </c>
      <c r="E15716" s="3" t="inlineStr">
        <is>
          <t>Customer Control Account</t>
        </is>
      </c>
      <c r="F15716" s="3" t="n">
        <v>46690.95</v>
      </c>
      <c r="G15716" s="3" t="n">
        <v>55226.3</v>
      </c>
    </row>
    <row r="15717">
      <c r="A15717" s="3" t="inlineStr">
        <is>
          <t>Opportunity Global Sales (PTY) LTD</t>
        </is>
      </c>
      <c r="B15717" s="4" t="n">
        <v>45169</v>
      </c>
      <c r="C15717" s="3" t="inlineStr">
        <is>
          <t>Assets</t>
        </is>
      </c>
      <c r="D15717" s="3" t="inlineStr">
        <is>
          <t>8000/000</t>
        </is>
      </c>
      <c r="E15717" s="3" t="inlineStr">
        <is>
          <t>Customer Control Account</t>
        </is>
      </c>
      <c r="F15717" s="3" t="n">
        <v>163403.26</v>
      </c>
      <c r="G15717" s="3" t="n">
        <v>545925.08</v>
      </c>
    </row>
    <row r="15718">
      <c r="A15718" s="3" t="inlineStr">
        <is>
          <t>Opportunity Management Holdings (PTY) LTD</t>
        </is>
      </c>
      <c r="B15718" s="4" t="n">
        <v>45169</v>
      </c>
      <c r="C15718" s="3" t="inlineStr">
        <is>
          <t>Assets</t>
        </is>
      </c>
      <c r="D15718" s="3" t="inlineStr">
        <is>
          <t>8000/000</t>
        </is>
      </c>
      <c r="E15718" s="3" t="inlineStr">
        <is>
          <t>Customer Control Account</t>
        </is>
      </c>
      <c r="F15718" s="3" t="n">
        <v>57499.7</v>
      </c>
      <c r="G15718" s="3" t="n">
        <v>459999.7</v>
      </c>
    </row>
    <row r="15719">
      <c r="A15719" s="3" t="inlineStr">
        <is>
          <t>Quinate Consulting (Pty) Ltd</t>
        </is>
      </c>
      <c r="B15719" s="4" t="n">
        <v>45169</v>
      </c>
      <c r="C15719" s="3" t="inlineStr">
        <is>
          <t>Assets</t>
        </is>
      </c>
      <c r="D15719" s="3" t="inlineStr">
        <is>
          <t>8000/000</t>
        </is>
      </c>
      <c r="E15719" s="3" t="inlineStr">
        <is>
          <t>Customer Control Account</t>
        </is>
      </c>
      <c r="F15719" s="3" t="n">
        <v>10139.72</v>
      </c>
      <c r="G15719" s="3" t="n">
        <v>18313.25</v>
      </c>
    </row>
    <row r="15720">
      <c r="A15720" s="3" t="inlineStr">
        <is>
          <t>Quinate Consulting (Pty) Ltd</t>
        </is>
      </c>
      <c r="B15720" s="4" t="n">
        <v>45169</v>
      </c>
      <c r="C15720" s="3" t="inlineStr">
        <is>
          <t>Assets</t>
        </is>
      </c>
      <c r="D15720" s="3" t="inlineStr">
        <is>
          <t>8001</t>
        </is>
      </c>
      <c r="E15720" s="3" t="inlineStr">
        <is>
          <t>Customer Control</t>
        </is>
      </c>
      <c r="F15720" s="3" t="n">
        <v>0</v>
      </c>
      <c r="G15720" s="3" t="n">
        <v>29487.49</v>
      </c>
    </row>
    <row r="15721">
      <c r="A15721" s="3" t="inlineStr">
        <is>
          <t>Quinate Consulting (Pty) Ltd</t>
        </is>
      </c>
      <c r="B15721" s="4" t="n">
        <v>45169</v>
      </c>
      <c r="C15721" s="3" t="inlineStr">
        <is>
          <t>Assets</t>
        </is>
      </c>
      <c r="D15721" s="3" t="inlineStr">
        <is>
          <t>8200/010</t>
        </is>
      </c>
      <c r="E15721" s="3" t="inlineStr">
        <is>
          <t>Prepayments / Prepaid Expenses</t>
        </is>
      </c>
      <c r="F15721" s="3" t="n">
        <v>0</v>
      </c>
      <c r="G15721" s="3" t="n">
        <v>109675</v>
      </c>
    </row>
    <row r="15722">
      <c r="A15722" s="3" t="inlineStr">
        <is>
          <t>Opportunity Management Holdings (PTY) LTD</t>
        </is>
      </c>
      <c r="B15722" s="4" t="n">
        <v>45169</v>
      </c>
      <c r="C15722" s="3" t="inlineStr">
        <is>
          <t>Assets</t>
        </is>
      </c>
      <c r="D15722" s="3" t="inlineStr">
        <is>
          <t>8200/020</t>
        </is>
      </c>
      <c r="E15722" s="3" t="inlineStr">
        <is>
          <t>Staff Loan - Nicolene Smit</t>
        </is>
      </c>
      <c r="F15722" s="3" t="n">
        <v>-500</v>
      </c>
      <c r="G15722" s="3" t="n">
        <v>3500</v>
      </c>
    </row>
    <row r="15723">
      <c r="A15723" s="3" t="inlineStr">
        <is>
          <t>Opportunity Global Sales (PTY) LTD</t>
        </is>
      </c>
      <c r="B15723" s="4" t="n">
        <v>45169</v>
      </c>
      <c r="C15723" s="3" t="inlineStr">
        <is>
          <t>Assets</t>
        </is>
      </c>
      <c r="D15723" s="3" t="inlineStr">
        <is>
          <t>8300/200</t>
        </is>
      </c>
      <c r="E15723" s="3" t="inlineStr">
        <is>
          <t>Staff Loan - Mario Stoop</t>
        </is>
      </c>
      <c r="F15723" s="3" t="n">
        <v>8500</v>
      </c>
      <c r="G15723" s="3" t="n">
        <v>12000</v>
      </c>
    </row>
    <row r="15724">
      <c r="A15724" s="3" t="inlineStr">
        <is>
          <t>Opportunity Global Investment (PTY) LTD</t>
        </is>
      </c>
      <c r="B15724" s="4" t="n">
        <v>45169</v>
      </c>
      <c r="C15724" s="3" t="inlineStr">
        <is>
          <t>Assets</t>
        </is>
      </c>
      <c r="D15724" s="3" t="inlineStr">
        <is>
          <t>8400/000</t>
        </is>
      </c>
      <c r="E15724" s="3" t="inlineStr">
        <is>
          <t>FNB 62093491696</t>
        </is>
      </c>
      <c r="F15724" s="3" t="n">
        <v>10134.98</v>
      </c>
      <c r="G15724" s="3" t="n">
        <v>22910.68</v>
      </c>
    </row>
    <row r="15725">
      <c r="A15725" s="3" t="inlineStr">
        <is>
          <t>Opportunity Global Sales (PTY) LTD</t>
        </is>
      </c>
      <c r="B15725" s="4" t="n">
        <v>45169</v>
      </c>
      <c r="C15725" s="3" t="inlineStr">
        <is>
          <t>Assets</t>
        </is>
      </c>
      <c r="D15725" s="3" t="inlineStr">
        <is>
          <t>8400/000</t>
        </is>
      </c>
      <c r="E15725" s="3" t="inlineStr">
        <is>
          <t>FNB 62835620875</t>
        </is>
      </c>
      <c r="F15725" s="3" t="n">
        <v>129931.9</v>
      </c>
      <c r="G15725" s="3" t="n">
        <v>228580.5</v>
      </c>
    </row>
    <row r="15726">
      <c r="A15726" s="3" t="inlineStr">
        <is>
          <t>Quinate Consulting (Pty) Ltd</t>
        </is>
      </c>
      <c r="B15726" s="4" t="n">
        <v>45169</v>
      </c>
      <c r="C15726" s="3" t="inlineStr">
        <is>
          <t>Assets</t>
        </is>
      </c>
      <c r="D15726" s="3" t="inlineStr">
        <is>
          <t>8400/000</t>
        </is>
      </c>
      <c r="E15726" s="3" t="inlineStr">
        <is>
          <t>RMB - 62736659189 - Call Acc</t>
        </is>
      </c>
      <c r="F15726" s="3" t="n">
        <v>2631.77</v>
      </c>
      <c r="G15726" s="3" t="n">
        <v>159808.26</v>
      </c>
    </row>
    <row r="15727">
      <c r="A15727" s="3" t="inlineStr">
        <is>
          <t>Trademark Holdings (Pty) Ltd</t>
        </is>
      </c>
      <c r="B15727" s="4" t="n">
        <v>45169</v>
      </c>
      <c r="C15727" s="3" t="inlineStr">
        <is>
          <t>Assets</t>
        </is>
      </c>
      <c r="D15727" s="3" t="inlineStr">
        <is>
          <t>8400/000</t>
        </is>
      </c>
      <c r="E15727" s="3" t="inlineStr">
        <is>
          <t>RMB 623 693 03640</t>
        </is>
      </c>
      <c r="F15727" s="3" t="n">
        <v>-29330.5</v>
      </c>
      <c r="G15727" s="3" t="n">
        <v>10071.75</v>
      </c>
    </row>
    <row r="15728">
      <c r="A15728" s="3" t="inlineStr">
        <is>
          <t>Noble Shield (Pty) Ltd ta Go Letting</t>
        </is>
      </c>
      <c r="B15728" s="4" t="n">
        <v>45169</v>
      </c>
      <c r="C15728" s="3" t="inlineStr">
        <is>
          <t>Assets</t>
        </is>
      </c>
      <c r="D15728" s="3" t="inlineStr">
        <is>
          <t>8400/000</t>
        </is>
      </c>
      <c r="E15728" s="3" t="inlineStr">
        <is>
          <t>RMB 6250 573 3833</t>
        </is>
      </c>
      <c r="F15728" s="3" t="n">
        <v>-9765.790000000001</v>
      </c>
      <c r="G15728" s="3" t="n">
        <v>40857.86</v>
      </c>
    </row>
    <row r="15729">
      <c r="A15729" s="3" t="inlineStr">
        <is>
          <t>Endulini (Pty) Ltd</t>
        </is>
      </c>
      <c r="B15729" s="4" t="n">
        <v>45169</v>
      </c>
      <c r="C15729" s="3" t="inlineStr">
        <is>
          <t>Assets</t>
        </is>
      </c>
      <c r="D15729" s="3" t="inlineStr">
        <is>
          <t>8400/000</t>
        </is>
      </c>
      <c r="E15729" s="3" t="inlineStr">
        <is>
          <t>RMB 62906944576</t>
        </is>
      </c>
      <c r="F15729" s="3" t="n">
        <v>5465.74</v>
      </c>
      <c r="G15729" s="3" t="n">
        <v>28266.9</v>
      </c>
    </row>
    <row r="15730">
      <c r="A15730" s="3" t="inlineStr">
        <is>
          <t>Opportunity Management Holdings (PTY) LTD</t>
        </is>
      </c>
      <c r="B15730" s="4" t="n">
        <v>45169</v>
      </c>
      <c r="C15730" s="3" t="inlineStr">
        <is>
          <t>Assets</t>
        </is>
      </c>
      <c r="D15730" s="3" t="inlineStr">
        <is>
          <t>8400/000</t>
        </is>
      </c>
      <c r="E15730" s="3" t="inlineStr">
        <is>
          <t>RMB Cheq - 62312246920</t>
        </is>
      </c>
      <c r="F15730" s="3" t="n">
        <v>-62405.17</v>
      </c>
      <c r="G15730" s="3" t="n">
        <v>42094.63</v>
      </c>
    </row>
    <row r="15731">
      <c r="A15731" s="3" t="inlineStr">
        <is>
          <t>Opportunity Global Investment (PTY) LTD</t>
        </is>
      </c>
      <c r="B15731" s="4" t="n">
        <v>45169</v>
      </c>
      <c r="C15731" s="3" t="inlineStr">
        <is>
          <t>Assets</t>
        </is>
      </c>
      <c r="D15731" s="3" t="inlineStr">
        <is>
          <t>8405/000</t>
        </is>
      </c>
      <c r="E15731" s="3" t="inlineStr">
        <is>
          <t>FNB Trust 62762449265</t>
        </is>
      </c>
      <c r="F15731" s="3" t="n">
        <v>-230.65</v>
      </c>
      <c r="G15731" s="3" t="n">
        <v>241.1</v>
      </c>
    </row>
    <row r="15732">
      <c r="A15732" s="3" t="inlineStr">
        <is>
          <t>Endulini (Pty) Ltd</t>
        </is>
      </c>
      <c r="B15732" s="4" t="n">
        <v>45169</v>
      </c>
      <c r="C15732" s="3" t="inlineStr">
        <is>
          <t>Assets</t>
        </is>
      </c>
      <c r="D15732" s="3" t="inlineStr">
        <is>
          <t>8410/000</t>
        </is>
      </c>
      <c r="E15732" s="3" t="inlineStr">
        <is>
          <t>Momentum Investor Account : RU 502229883</t>
        </is>
      </c>
      <c r="F15732" s="3" t="n">
        <v>54.72</v>
      </c>
      <c r="G15732" s="3" t="n">
        <v>2777.05</v>
      </c>
    </row>
    <row r="15733">
      <c r="A15733" s="3" t="inlineStr">
        <is>
          <t>Opportunity Management Holdings (PTY) LTD</t>
        </is>
      </c>
      <c r="B15733" s="4" t="n">
        <v>45169</v>
      </c>
      <c r="C15733" s="3" t="inlineStr">
        <is>
          <t>Assets</t>
        </is>
      </c>
      <c r="D15733" s="3" t="inlineStr">
        <is>
          <t>8410/000</t>
        </is>
      </c>
      <c r="E15733" s="3" t="inlineStr">
        <is>
          <t>RMB Call Acc - 62312248851</t>
        </is>
      </c>
      <c r="F15733" s="3" t="n">
        <v>1.48</v>
      </c>
      <c r="G15733" s="3" t="n">
        <v>1432.34</v>
      </c>
    </row>
    <row r="15734">
      <c r="A15734" s="3" t="inlineStr">
        <is>
          <t>Noble Shield (Pty) Ltd ta Go Letting</t>
        </is>
      </c>
      <c r="B15734" s="4" t="n">
        <v>45169</v>
      </c>
      <c r="C15734" s="3" t="inlineStr">
        <is>
          <t>Assets</t>
        </is>
      </c>
      <c r="D15734" s="3" t="inlineStr">
        <is>
          <t>8410/000</t>
        </is>
      </c>
      <c r="E15734" s="3" t="inlineStr">
        <is>
          <t>RMB Trust Acc - 6250 615 1365</t>
        </is>
      </c>
      <c r="F15734" s="3" t="n">
        <v>-159.94</v>
      </c>
      <c r="G15734" s="3" t="n">
        <v>74.98</v>
      </c>
    </row>
    <row r="15735">
      <c r="A15735" s="3" t="inlineStr">
        <is>
          <t>Quinate Consulting (Pty) Ltd</t>
        </is>
      </c>
      <c r="B15735" s="4" t="n">
        <v>45169</v>
      </c>
      <c r="C15735" s="3" t="inlineStr">
        <is>
          <t>Assets</t>
        </is>
      </c>
      <c r="D15735" s="3" t="inlineStr">
        <is>
          <t>8415/000</t>
        </is>
      </c>
      <c r="E15735" s="3" t="inlineStr">
        <is>
          <t>STD Acc 071 958 959 - Facility Acc</t>
        </is>
      </c>
      <c r="F15735" s="3" t="n">
        <v>-170</v>
      </c>
      <c r="G15735" s="3" t="n">
        <v>2786.21</v>
      </c>
    </row>
    <row r="15736">
      <c r="A15736" s="3" t="inlineStr">
        <is>
          <t>Trademark Holdings (Pty) Ltd</t>
        </is>
      </c>
      <c r="B15736" s="4" t="n">
        <v>45169</v>
      </c>
      <c r="C15736" s="3" t="inlineStr">
        <is>
          <t>Assets</t>
        </is>
      </c>
      <c r="D15736" s="3" t="inlineStr">
        <is>
          <t>8420/000</t>
        </is>
      </c>
      <c r="E15736" s="3" t="inlineStr">
        <is>
          <t>FNB Credit Card</t>
        </is>
      </c>
      <c r="F15736" s="3" t="n">
        <v>52</v>
      </c>
      <c r="G15736" s="3" t="n">
        <v>364</v>
      </c>
    </row>
    <row r="15737">
      <c r="A15737" s="3" t="inlineStr">
        <is>
          <t>Quinate Consulting (Pty) Ltd</t>
        </is>
      </c>
      <c r="B15737" s="4" t="n">
        <v>45169</v>
      </c>
      <c r="C15737" s="3" t="inlineStr">
        <is>
          <t>Assets</t>
        </is>
      </c>
      <c r="D15737" s="3" t="inlineStr">
        <is>
          <t>8430/000</t>
        </is>
      </c>
      <c r="E15737" s="3" t="inlineStr">
        <is>
          <t>Momentum Investment Acc - RU502230185</t>
        </is>
      </c>
      <c r="F15737" s="3" t="n">
        <v>10.97</v>
      </c>
      <c r="G15737" s="3" t="n">
        <v>556.26</v>
      </c>
    </row>
    <row r="15738">
      <c r="A15738" s="3" t="inlineStr">
        <is>
          <t>Opportunity Global Investment (PTY) LTD</t>
        </is>
      </c>
      <c r="B15738" s="4" t="n">
        <v>45169</v>
      </c>
      <c r="C15738" s="3" t="inlineStr">
        <is>
          <t>Assets</t>
        </is>
      </c>
      <c r="D15738" s="3" t="inlineStr">
        <is>
          <t>8440/000</t>
        </is>
      </c>
      <c r="E15738" s="3" t="inlineStr">
        <is>
          <t>FNB - Call 627602764438</t>
        </is>
      </c>
      <c r="F15738" s="3" t="n">
        <v>-26.86</v>
      </c>
      <c r="G15738" s="3" t="n">
        <v>878.27</v>
      </c>
    </row>
    <row r="15739">
      <c r="A15739" s="3" t="inlineStr">
        <is>
          <t>Opportunity Global Investment (PTY) LTD</t>
        </is>
      </c>
      <c r="B15739" s="4" t="n">
        <v>45169</v>
      </c>
      <c r="C15739" s="3" t="inlineStr">
        <is>
          <t>Assets</t>
        </is>
      </c>
      <c r="D15739" s="3" t="inlineStr">
        <is>
          <t>8445/000</t>
        </is>
      </c>
      <c r="E15739" s="3" t="inlineStr">
        <is>
          <t>Momentum RU502230096</t>
        </is>
      </c>
      <c r="F15739" s="3" t="n">
        <v>35.12</v>
      </c>
      <c r="G15739" s="3" t="n">
        <v>4903</v>
      </c>
    </row>
    <row r="15740">
      <c r="A15740" s="3" t="inlineStr">
        <is>
          <t>Quinate Consulting (Pty) Ltd</t>
        </is>
      </c>
      <c r="B15740" s="4" t="n">
        <v>45169</v>
      </c>
      <c r="C15740" s="3" t="inlineStr">
        <is>
          <t>Assets</t>
        </is>
      </c>
      <c r="D15740" s="3" t="inlineStr">
        <is>
          <t>8450/000</t>
        </is>
      </c>
      <c r="E15740" s="3" t="inlineStr">
        <is>
          <t>A RMB 62275810820</t>
        </is>
      </c>
      <c r="F15740" s="3" t="n">
        <v>-13748.64</v>
      </c>
      <c r="G15740" s="3" t="n">
        <v>54011.21</v>
      </c>
    </row>
    <row r="15741">
      <c r="A15741" s="3" t="inlineStr">
        <is>
          <t>Opportunity Management Holdings (PTY) LTD</t>
        </is>
      </c>
      <c r="B15741" s="4" t="n">
        <v>45169</v>
      </c>
      <c r="C15741" s="3" t="inlineStr">
        <is>
          <t>Assets</t>
        </is>
      </c>
      <c r="D15741" s="3" t="inlineStr">
        <is>
          <t>8450/000</t>
        </is>
      </c>
      <c r="E15741" s="3" t="inlineStr">
        <is>
          <t>Petty Cash - CT Office</t>
        </is>
      </c>
      <c r="F15741" s="3" t="n">
        <v>0</v>
      </c>
      <c r="G15741" s="3" t="n">
        <v>1016.2</v>
      </c>
    </row>
    <row r="15742">
      <c r="A15742" s="3" t="inlineStr">
        <is>
          <t>Quinate Consulting (Pty) Ltd</t>
        </is>
      </c>
      <c r="B15742" s="4" t="n">
        <v>45169</v>
      </c>
      <c r="C15742" s="3" t="inlineStr">
        <is>
          <t>Liabilities</t>
        </is>
      </c>
      <c r="D15742" s="3" t="inlineStr">
        <is>
          <t>8480/100</t>
        </is>
      </c>
      <c r="E15742" s="3" t="inlineStr">
        <is>
          <t>Bond - SH20 - STD Bank 532010558</t>
        </is>
      </c>
      <c r="F15742" s="3" t="n">
        <v>-11134.15</v>
      </c>
      <c r="G15742" s="3" t="n">
        <v>-1338433.47</v>
      </c>
    </row>
    <row r="15743">
      <c r="A15743" s="3" t="inlineStr">
        <is>
          <t>Quinate Consulting (Pty) Ltd</t>
        </is>
      </c>
      <c r="B15743" s="4" t="n">
        <v>45169</v>
      </c>
      <c r="C15743" s="3" t="inlineStr">
        <is>
          <t>Liabilities</t>
        </is>
      </c>
      <c r="D15743" s="3" t="inlineStr">
        <is>
          <t>8480/200</t>
        </is>
      </c>
      <c r="E15743" s="3" t="inlineStr">
        <is>
          <t>Bond - SH23 - STD Bank 532010035</t>
        </is>
      </c>
      <c r="F15743" s="3" t="n">
        <v>-11136.4</v>
      </c>
      <c r="G15743" s="3" t="n">
        <v>-1338300.49</v>
      </c>
    </row>
    <row r="15744">
      <c r="A15744" s="3" t="inlineStr">
        <is>
          <t>Quinate Consulting (Pty) Ltd</t>
        </is>
      </c>
      <c r="B15744" s="4" t="n">
        <v>45169</v>
      </c>
      <c r="C15744" s="3" t="inlineStr">
        <is>
          <t>Liabilities</t>
        </is>
      </c>
      <c r="D15744" s="3" t="inlineStr">
        <is>
          <t>8480/300</t>
        </is>
      </c>
      <c r="E15744" s="3" t="inlineStr">
        <is>
          <t>Bond - SH24 - STD Bank 532372662</t>
        </is>
      </c>
      <c r="F15744" s="3" t="n">
        <v>-13543.82</v>
      </c>
      <c r="G15744" s="3" t="n">
        <v>-1446684.53</v>
      </c>
    </row>
    <row r="15745">
      <c r="A15745" s="3" t="inlineStr">
        <is>
          <t>Quinate Consulting (Pty) Ltd</t>
        </is>
      </c>
      <c r="B15745" s="4" t="n">
        <v>45169</v>
      </c>
      <c r="C15745" s="3" t="inlineStr">
        <is>
          <t>Liabilities</t>
        </is>
      </c>
      <c r="D15745" s="3" t="inlineStr">
        <is>
          <t>8480/400</t>
        </is>
      </c>
      <c r="E15745" s="3" t="inlineStr">
        <is>
          <t>Bond - SW01 - STD Bank 532920627</t>
        </is>
      </c>
      <c r="F15745" s="3" t="n">
        <v>410.38</v>
      </c>
      <c r="G15745" s="3" t="n">
        <v>-1290709.36</v>
      </c>
    </row>
    <row r="15746">
      <c r="A15746" s="3" t="inlineStr">
        <is>
          <t>Quinate Consulting (Pty) Ltd</t>
        </is>
      </c>
      <c r="B15746" s="4" t="n">
        <v>45169</v>
      </c>
      <c r="C15746" s="3" t="inlineStr">
        <is>
          <t>Liabilities</t>
        </is>
      </c>
      <c r="D15746" s="3" t="inlineStr">
        <is>
          <t>8480/401</t>
        </is>
      </c>
      <c r="E15746" s="3" t="inlineStr">
        <is>
          <t>Bond - SW21 - STD Bank 532920597</t>
        </is>
      </c>
      <c r="F15746" s="3" t="n">
        <v>410.54</v>
      </c>
      <c r="G15746" s="3" t="n">
        <v>-1291221.49</v>
      </c>
    </row>
    <row r="15747">
      <c r="A15747" s="3" t="inlineStr">
        <is>
          <t>Opportunity Global Investment (PTY) LTD</t>
        </is>
      </c>
      <c r="B15747" s="4" t="n">
        <v>45169</v>
      </c>
      <c r="C15747" s="3" t="inlineStr">
        <is>
          <t>Liabilities</t>
        </is>
      </c>
      <c r="D15747" s="3" t="inlineStr">
        <is>
          <t>860</t>
        </is>
      </c>
      <c r="E15747" s="3" t="inlineStr">
        <is>
          <t>Rounding</t>
        </is>
      </c>
      <c r="F15747" s="3" t="n">
        <v>0</v>
      </c>
      <c r="G15747" s="3" t="n">
        <v>0.01</v>
      </c>
    </row>
    <row r="15748">
      <c r="A15748" s="3" t="inlineStr">
        <is>
          <t>Opportunity Global Sales (PTY) LTD</t>
        </is>
      </c>
      <c r="B15748" s="4" t="n">
        <v>45169</v>
      </c>
      <c r="C15748" s="3" t="inlineStr">
        <is>
          <t>Liabilities</t>
        </is>
      </c>
      <c r="D15748" s="3" t="inlineStr">
        <is>
          <t>860</t>
        </is>
      </c>
      <c r="E15748" s="3" t="inlineStr">
        <is>
          <t>Rounding</t>
        </is>
      </c>
      <c r="F15748" s="3" t="n">
        <v>0.01</v>
      </c>
      <c r="G15748" s="3" t="n">
        <v>-0.99</v>
      </c>
    </row>
    <row r="15749">
      <c r="A15749" s="3" t="inlineStr">
        <is>
          <t>Opportunity Management Holdings (PTY) LTD</t>
        </is>
      </c>
      <c r="B15749" s="4" t="n">
        <v>45169</v>
      </c>
      <c r="C15749" s="3" t="inlineStr">
        <is>
          <t>Liabilities</t>
        </is>
      </c>
      <c r="D15749" s="3" t="inlineStr">
        <is>
          <t>860</t>
        </is>
      </c>
      <c r="E15749" s="3" t="inlineStr">
        <is>
          <t>Rounding</t>
        </is>
      </c>
      <c r="F15749" s="3" t="n">
        <v>-0.01</v>
      </c>
      <c r="G15749" s="3" t="n">
        <v>-0.01</v>
      </c>
    </row>
    <row r="15750">
      <c r="A15750" s="3" t="inlineStr">
        <is>
          <t>Quinate Consulting (Pty) Ltd</t>
        </is>
      </c>
      <c r="B15750" s="4" t="n">
        <v>45169</v>
      </c>
      <c r="C15750" s="3" t="inlineStr">
        <is>
          <t>Liabilities</t>
        </is>
      </c>
      <c r="D15750" s="3" t="inlineStr">
        <is>
          <t>860</t>
        </is>
      </c>
      <c r="E15750" s="3" t="inlineStr">
        <is>
          <t>Rounding</t>
        </is>
      </c>
      <c r="F15750" s="3" t="n">
        <v>-0.01</v>
      </c>
      <c r="G15750" s="3" t="n">
        <v>-4.57</v>
      </c>
    </row>
    <row r="15751">
      <c r="A15751" s="3" t="inlineStr">
        <is>
          <t>Trademark Holdings (Pty) Ltd</t>
        </is>
      </c>
      <c r="B15751" s="4" t="n">
        <v>45169</v>
      </c>
      <c r="C15751" s="3" t="inlineStr">
        <is>
          <t>Liabilities</t>
        </is>
      </c>
      <c r="D15751" s="3" t="inlineStr">
        <is>
          <t>860</t>
        </is>
      </c>
      <c r="E15751" s="3" t="inlineStr">
        <is>
          <t>Rounding</t>
        </is>
      </c>
      <c r="F15751" s="3" t="n">
        <v>0</v>
      </c>
      <c r="G15751" s="3" t="n">
        <v>0.2</v>
      </c>
    </row>
    <row r="15752">
      <c r="A15752" s="3" t="inlineStr">
        <is>
          <t>Endulini (Pty) Ltd</t>
        </is>
      </c>
      <c r="B15752" s="4" t="n">
        <v>45169</v>
      </c>
      <c r="C15752" s="3" t="inlineStr">
        <is>
          <t>Liabilities</t>
        </is>
      </c>
      <c r="D15752" s="3" t="inlineStr">
        <is>
          <t>9000/000</t>
        </is>
      </c>
      <c r="E15752" s="3" t="inlineStr">
        <is>
          <t>Supplier Control Account</t>
        </is>
      </c>
      <c r="F15752" s="3" t="n">
        <v>1040528.73</v>
      </c>
      <c r="G15752" s="3" t="n">
        <v>-7783717.38</v>
      </c>
    </row>
    <row r="15753">
      <c r="A15753" s="3" t="inlineStr">
        <is>
          <t>Noble Shield (Pty) Ltd ta Go Letting</t>
        </is>
      </c>
      <c r="B15753" s="4" t="n">
        <v>45169</v>
      </c>
      <c r="C15753" s="3" t="inlineStr">
        <is>
          <t>Liabilities</t>
        </is>
      </c>
      <c r="D15753" s="3" t="inlineStr">
        <is>
          <t>9000/000</t>
        </is>
      </c>
      <c r="E15753" s="3" t="inlineStr">
        <is>
          <t>Supplier Control Account</t>
        </is>
      </c>
      <c r="F15753" s="3" t="n">
        <v>409.44</v>
      </c>
      <c r="G15753" s="3" t="n">
        <v>-22995.29</v>
      </c>
    </row>
    <row r="15754">
      <c r="A15754" s="3" t="inlineStr">
        <is>
          <t>Opportunity Global Investment (PTY) LTD</t>
        </is>
      </c>
      <c r="B15754" s="4" t="n">
        <v>45169</v>
      </c>
      <c r="C15754" s="3" t="inlineStr">
        <is>
          <t>Liabilities</t>
        </is>
      </c>
      <c r="D15754" s="3" t="inlineStr">
        <is>
          <t>9000/000</t>
        </is>
      </c>
      <c r="E15754" s="3" t="inlineStr">
        <is>
          <t>Supplier Control Account</t>
        </is>
      </c>
      <c r="F15754" s="3" t="n">
        <v>-41278.95</v>
      </c>
      <c r="G15754" s="3" t="n">
        <v>-108688.16</v>
      </c>
    </row>
    <row r="15755">
      <c r="A15755" s="3" t="inlineStr">
        <is>
          <t>Opportunity Global Sales (PTY) LTD</t>
        </is>
      </c>
      <c r="B15755" s="4" t="n">
        <v>45169</v>
      </c>
      <c r="C15755" s="3" t="inlineStr">
        <is>
          <t>Liabilities</t>
        </is>
      </c>
      <c r="D15755" s="3" t="inlineStr">
        <is>
          <t>9000/000</t>
        </is>
      </c>
      <c r="E15755" s="3" t="inlineStr">
        <is>
          <t>Supplier Control Account</t>
        </is>
      </c>
      <c r="F15755" s="3" t="n">
        <v>4174.07</v>
      </c>
      <c r="G15755" s="3" t="n">
        <v>-742.24</v>
      </c>
    </row>
    <row r="15756">
      <c r="A15756" s="3" t="inlineStr">
        <is>
          <t>Opportunity Management Holdings (PTY) LTD</t>
        </is>
      </c>
      <c r="B15756" s="4" t="n">
        <v>45169</v>
      </c>
      <c r="C15756" s="3" t="inlineStr">
        <is>
          <t>Liabilities</t>
        </is>
      </c>
      <c r="D15756" s="3" t="inlineStr">
        <is>
          <t>9000/000</t>
        </is>
      </c>
      <c r="E15756" s="3" t="inlineStr">
        <is>
          <t>Supplier Control Account</t>
        </is>
      </c>
      <c r="F15756" s="3" t="n">
        <v>-1240.95</v>
      </c>
      <c r="G15756" s="3" t="n">
        <v>-277224.02</v>
      </c>
    </row>
    <row r="15757">
      <c r="A15757" s="3" t="inlineStr">
        <is>
          <t>Quinate Consulting (Pty) Ltd</t>
        </is>
      </c>
      <c r="B15757" s="4" t="n">
        <v>45169</v>
      </c>
      <c r="C15757" s="3" t="inlineStr">
        <is>
          <t>Liabilities</t>
        </is>
      </c>
      <c r="D15757" s="3" t="inlineStr">
        <is>
          <t>9000/000</t>
        </is>
      </c>
      <c r="E15757" s="3" t="inlineStr">
        <is>
          <t>Supplier Control Account</t>
        </is>
      </c>
      <c r="F15757" s="3" t="n">
        <v>-67217.25999999999</v>
      </c>
      <c r="G15757" s="3" t="n">
        <v>399416.11</v>
      </c>
    </row>
    <row r="15758">
      <c r="A15758" s="3" t="inlineStr">
        <is>
          <t>Trademark Holdings (Pty) Ltd</t>
        </is>
      </c>
      <c r="B15758" s="4" t="n">
        <v>45169</v>
      </c>
      <c r="C15758" s="3" t="inlineStr">
        <is>
          <t>Liabilities</t>
        </is>
      </c>
      <c r="D15758" s="3" t="inlineStr">
        <is>
          <t>9000/000</t>
        </is>
      </c>
      <c r="E15758" s="3" t="inlineStr">
        <is>
          <t>Supplier Control Account</t>
        </is>
      </c>
      <c r="F15758" s="3" t="n">
        <v>-57254.96</v>
      </c>
      <c r="G15758" s="3" t="n">
        <v>-65354.71</v>
      </c>
    </row>
    <row r="15759">
      <c r="A15759" s="3" t="inlineStr">
        <is>
          <t>Quinate Consulting (Pty) Ltd</t>
        </is>
      </c>
      <c r="B15759" s="4" t="n">
        <v>45169</v>
      </c>
      <c r="C15759" s="3" t="inlineStr">
        <is>
          <t>Liabilities</t>
        </is>
      </c>
      <c r="D15759" s="3" t="inlineStr">
        <is>
          <t>9001</t>
        </is>
      </c>
      <c r="E15759" s="3" t="inlineStr">
        <is>
          <t>Supplier Control</t>
        </is>
      </c>
      <c r="F15759" s="3" t="n">
        <v>0</v>
      </c>
      <c r="G15759" s="3" t="n">
        <v>-347315.41</v>
      </c>
    </row>
    <row r="15760">
      <c r="A15760" s="3" t="inlineStr">
        <is>
          <t>Opportunity Management Holdings (PTY) LTD</t>
        </is>
      </c>
      <c r="B15760" s="4" t="n">
        <v>45169</v>
      </c>
      <c r="C15760" s="3" t="inlineStr">
        <is>
          <t>Liabilities</t>
        </is>
      </c>
      <c r="D15760" s="3" t="inlineStr">
        <is>
          <t>9100/000</t>
        </is>
      </c>
      <c r="E15760" s="3" t="inlineStr">
        <is>
          <t>PAYE/UIF/SDL Accrual - Prior Years ADJ</t>
        </is>
      </c>
      <c r="F15760" s="3" t="n">
        <v>0</v>
      </c>
      <c r="G15760" s="3" t="n">
        <v>-33739.36</v>
      </c>
    </row>
    <row r="15761">
      <c r="A15761" s="3" t="inlineStr">
        <is>
          <t>Opportunity Management Holdings (PTY) LTD</t>
        </is>
      </c>
      <c r="B15761" s="4" t="n">
        <v>45169</v>
      </c>
      <c r="C15761" s="3" t="inlineStr">
        <is>
          <t>Assets</t>
        </is>
      </c>
      <c r="D15761" s="3" t="inlineStr">
        <is>
          <t>9110/000</t>
        </is>
      </c>
      <c r="E15761" s="3" t="inlineStr">
        <is>
          <t>Deposit Received</t>
        </is>
      </c>
      <c r="F15761" s="3" t="n">
        <v>0</v>
      </c>
      <c r="G15761" s="3" t="n">
        <v>-3852.5</v>
      </c>
    </row>
    <row r="15762">
      <c r="A15762" s="3" t="inlineStr">
        <is>
          <t>Opportunity Global Investment (PTY) LTD</t>
        </is>
      </c>
      <c r="B15762" s="4" t="n">
        <v>45169</v>
      </c>
      <c r="C15762" s="3" t="inlineStr">
        <is>
          <t>Liabilities</t>
        </is>
      </c>
      <c r="D15762" s="3" t="inlineStr">
        <is>
          <t>9110/000</t>
        </is>
      </c>
      <c r="E15762" s="3" t="inlineStr">
        <is>
          <t>Taxation B/S</t>
        </is>
      </c>
      <c r="F15762" s="3" t="n">
        <v>0</v>
      </c>
      <c r="G15762" s="3" t="n">
        <v>67163.81</v>
      </c>
    </row>
    <row r="15763">
      <c r="A15763" s="3" t="inlineStr">
        <is>
          <t>Noble Shield (Pty) Ltd ta Go Letting</t>
        </is>
      </c>
      <c r="B15763" s="4" t="n">
        <v>45169</v>
      </c>
      <c r="C15763" s="3" t="inlineStr">
        <is>
          <t>Liabilities</t>
        </is>
      </c>
      <c r="D15763" s="3" t="inlineStr">
        <is>
          <t>9250/010</t>
        </is>
      </c>
      <c r="E15763" s="3" t="inlineStr">
        <is>
          <t>SALARY CONTROL</t>
        </is>
      </c>
      <c r="F15763" s="3" t="n">
        <v>-1153</v>
      </c>
      <c r="G15763" s="3" t="n">
        <v>-18117.85</v>
      </c>
    </row>
    <row r="15764">
      <c r="A15764" s="3" t="inlineStr">
        <is>
          <t>Opportunity Global Investment (PTY) LTD</t>
        </is>
      </c>
      <c r="B15764" s="4" t="n">
        <v>45169</v>
      </c>
      <c r="C15764" s="3" t="inlineStr">
        <is>
          <t>Liabilities</t>
        </is>
      </c>
      <c r="D15764" s="3" t="inlineStr">
        <is>
          <t>9250/010</t>
        </is>
      </c>
      <c r="E15764" s="3" t="inlineStr">
        <is>
          <t>SALARY CONTROL</t>
        </is>
      </c>
      <c r="F15764" s="3" t="n">
        <v>0</v>
      </c>
      <c r="G15764" s="3" t="n">
        <v>5000</v>
      </c>
    </row>
    <row r="15765">
      <c r="A15765" s="3" t="inlineStr">
        <is>
          <t>Opportunity Global Sales (PTY) LTD</t>
        </is>
      </c>
      <c r="B15765" s="4" t="n">
        <v>45169</v>
      </c>
      <c r="C15765" s="3" t="inlineStr">
        <is>
          <t>Liabilities</t>
        </is>
      </c>
      <c r="D15765" s="3" t="inlineStr">
        <is>
          <t>9250/010</t>
        </is>
      </c>
      <c r="E15765" s="3" t="inlineStr">
        <is>
          <t>SALARY CONTROL</t>
        </is>
      </c>
      <c r="F15765" s="3" t="n">
        <v>-14264.5</v>
      </c>
      <c r="G15765" s="3" t="n">
        <v>-6031.62</v>
      </c>
    </row>
    <row r="15766">
      <c r="A15766" s="3" t="inlineStr">
        <is>
          <t>Trademark Holdings (Pty) Ltd</t>
        </is>
      </c>
      <c r="B15766" s="4" t="n">
        <v>45169</v>
      </c>
      <c r="C15766" s="3" t="inlineStr">
        <is>
          <t>Liabilities</t>
        </is>
      </c>
      <c r="D15766" s="3" t="inlineStr">
        <is>
          <t>9250/010</t>
        </is>
      </c>
      <c r="E15766" s="3" t="inlineStr">
        <is>
          <t>SALARY CONTROL</t>
        </is>
      </c>
      <c r="F15766" s="3" t="n">
        <v>-107.62</v>
      </c>
      <c r="G15766" s="3" t="n">
        <v>-18474.27</v>
      </c>
    </row>
    <row r="15767">
      <c r="A15767" s="3" t="inlineStr">
        <is>
          <t>Noble Shield (Pty) Ltd ta Go Letting</t>
        </is>
      </c>
      <c r="B15767" s="4" t="n">
        <v>45169</v>
      </c>
      <c r="C15767" s="3" t="inlineStr">
        <is>
          <t>Liabilities</t>
        </is>
      </c>
      <c r="D15767" s="3" t="inlineStr">
        <is>
          <t>9250/020</t>
        </is>
      </c>
      <c r="E15767" s="3" t="inlineStr">
        <is>
          <t>PAYE, UIF AND SDL CONTROL</t>
        </is>
      </c>
      <c r="F15767" s="3" t="n">
        <v>-420.67</v>
      </c>
      <c r="G15767" s="3" t="n">
        <v>-5912.51</v>
      </c>
    </row>
    <row r="15768">
      <c r="A15768" s="3" t="inlineStr">
        <is>
          <t>Opportunity Global Investment (PTY) LTD</t>
        </is>
      </c>
      <c r="B15768" s="4" t="n">
        <v>45169</v>
      </c>
      <c r="C15768" s="3" t="inlineStr">
        <is>
          <t>Liabilities</t>
        </is>
      </c>
      <c r="D15768" s="3" t="inlineStr">
        <is>
          <t>9250/020</t>
        </is>
      </c>
      <c r="E15768" s="3" t="inlineStr">
        <is>
          <t>PAYE, UIF AND SDL CONTROL</t>
        </is>
      </c>
      <c r="F15768" s="3" t="n">
        <v>-26727.77</v>
      </c>
      <c r="G15768" s="3" t="n">
        <v>-82113.87</v>
      </c>
    </row>
    <row r="15769">
      <c r="A15769" s="3" t="inlineStr">
        <is>
          <t>Opportunity Management Holdings (PTY) LTD</t>
        </is>
      </c>
      <c r="B15769" s="4" t="n">
        <v>45169</v>
      </c>
      <c r="C15769" s="3" t="inlineStr">
        <is>
          <t>Liabilities</t>
        </is>
      </c>
      <c r="D15769" s="3" t="inlineStr">
        <is>
          <t>9250/020</t>
        </is>
      </c>
      <c r="E15769" s="3" t="inlineStr">
        <is>
          <t>PAYE, UIF AND SDL CONTROL</t>
        </is>
      </c>
      <c r="F15769" s="3" t="n">
        <v>3750.08</v>
      </c>
      <c r="G15769" s="3" t="n">
        <v>-41895.82</v>
      </c>
    </row>
    <row r="15770">
      <c r="A15770" s="3" t="inlineStr">
        <is>
          <t>Trademark Holdings (Pty) Ltd</t>
        </is>
      </c>
      <c r="B15770" s="4" t="n">
        <v>45169</v>
      </c>
      <c r="C15770" s="3" t="inlineStr">
        <is>
          <t>Liabilities</t>
        </is>
      </c>
      <c r="D15770" s="3" t="inlineStr">
        <is>
          <t>9250/020</t>
        </is>
      </c>
      <c r="E15770" s="3" t="inlineStr">
        <is>
          <t>PAYE, UIF AND SDL CONTROL</t>
        </is>
      </c>
      <c r="F15770" s="3" t="n">
        <v>-39.29</v>
      </c>
      <c r="G15770" s="3" t="n">
        <v>-5228.99</v>
      </c>
    </row>
    <row r="15771">
      <c r="A15771" s="3" t="inlineStr">
        <is>
          <t>Opportunity Global Investment (PTY) LTD</t>
        </is>
      </c>
      <c r="B15771" s="4" t="n">
        <v>45169</v>
      </c>
      <c r="C15771" s="3" t="inlineStr">
        <is>
          <t>Liabilities</t>
        </is>
      </c>
      <c r="D15771" s="3" t="inlineStr">
        <is>
          <t>9400/030</t>
        </is>
      </c>
      <c r="E15771" s="3" t="inlineStr">
        <is>
          <t>Accrued Expenses - PAYE_AND_UIF</t>
        </is>
      </c>
      <c r="F15771" s="3" t="n">
        <v>0</v>
      </c>
      <c r="G15771" s="3" t="n">
        <v>-2</v>
      </c>
    </row>
    <row r="15772">
      <c r="A15772" s="3" t="inlineStr">
        <is>
          <t>Trademark Holdings (Pty) Ltd</t>
        </is>
      </c>
      <c r="B15772" s="4" t="n">
        <v>45169</v>
      </c>
      <c r="C15772" s="3" t="inlineStr">
        <is>
          <t>Liabilities</t>
        </is>
      </c>
      <c r="D15772" s="3" t="inlineStr">
        <is>
          <t>9400/400</t>
        </is>
      </c>
      <c r="E15772" s="3" t="inlineStr">
        <is>
          <t>Deemed Dividend Tax</t>
        </is>
      </c>
      <c r="F15772" s="3" t="n">
        <v>0</v>
      </c>
      <c r="G15772" s="3" t="n">
        <v>-699.13</v>
      </c>
    </row>
    <row r="15773">
      <c r="A15773" s="3" t="inlineStr">
        <is>
          <t>Opportunity Global Investment (PTY) LTD</t>
        </is>
      </c>
      <c r="B15773" s="4" t="n">
        <v>45169</v>
      </c>
      <c r="C15773" s="3" t="inlineStr">
        <is>
          <t>Liabilities</t>
        </is>
      </c>
      <c r="D15773" s="3" t="inlineStr">
        <is>
          <t>9500/000</t>
        </is>
      </c>
      <c r="E15773" s="3" t="inlineStr">
        <is>
          <t>VAT Control Account</t>
        </is>
      </c>
      <c r="F15773" s="3" t="n">
        <v>7797.28</v>
      </c>
      <c r="G15773" s="3" t="n">
        <v>910466.58</v>
      </c>
    </row>
    <row r="15774">
      <c r="A15774" s="3" t="inlineStr">
        <is>
          <t>Opportunity Global Sales (PTY) LTD</t>
        </is>
      </c>
      <c r="B15774" s="4" t="n">
        <v>45169</v>
      </c>
      <c r="C15774" s="3" t="inlineStr">
        <is>
          <t>Liabilities</t>
        </is>
      </c>
      <c r="D15774" s="3" t="inlineStr">
        <is>
          <t>9500/000</t>
        </is>
      </c>
      <c r="E15774" s="3" t="inlineStr">
        <is>
          <t>VAT Control Account</t>
        </is>
      </c>
      <c r="F15774" s="3" t="n">
        <v>-75833.09</v>
      </c>
      <c r="G15774" s="3" t="n">
        <v>-970743.05</v>
      </c>
    </row>
    <row r="15775">
      <c r="A15775" s="3" t="inlineStr">
        <is>
          <t>Opportunity Management Holdings (PTY) LTD</t>
        </is>
      </c>
      <c r="B15775" s="4" t="n">
        <v>45169</v>
      </c>
      <c r="C15775" s="3" t="inlineStr">
        <is>
          <t>Liabilities</t>
        </is>
      </c>
      <c r="D15775" s="3" t="inlineStr">
        <is>
          <t>9500/000</t>
        </is>
      </c>
      <c r="E15775" s="3" t="inlineStr">
        <is>
          <t>VAT Control Account</t>
        </is>
      </c>
      <c r="F15775" s="3" t="n">
        <v>89874.72</v>
      </c>
      <c r="G15775" s="3" t="n">
        <v>112656.28</v>
      </c>
    </row>
    <row r="15776">
      <c r="A15776" s="3" t="inlineStr">
        <is>
          <t>Endulini (Pty) Ltd</t>
        </is>
      </c>
      <c r="B15776" s="4" t="n">
        <v>45169</v>
      </c>
      <c r="C15776" s="3" t="inlineStr">
        <is>
          <t>Liabilities</t>
        </is>
      </c>
      <c r="D15776" s="3" t="inlineStr">
        <is>
          <t>9500/000</t>
        </is>
      </c>
      <c r="E15776" s="3" t="inlineStr">
        <is>
          <t>Vat / Tax Control Account</t>
        </is>
      </c>
      <c r="F15776" s="3" t="n">
        <v>7590.37</v>
      </c>
      <c r="G15776" s="3" t="n">
        <v>-2393475.79</v>
      </c>
    </row>
    <row r="15777">
      <c r="A15777" s="3" t="inlineStr">
        <is>
          <t>Noble Shield (Pty) Ltd ta Go Letting</t>
        </is>
      </c>
      <c r="B15777" s="4" t="n">
        <v>45169</v>
      </c>
      <c r="C15777" s="3" t="inlineStr">
        <is>
          <t>Liabilities</t>
        </is>
      </c>
      <c r="D15777" s="3" t="inlineStr">
        <is>
          <t>9500/000</t>
        </is>
      </c>
      <c r="E15777" s="3" t="inlineStr">
        <is>
          <t>Vat / Tax Control Account</t>
        </is>
      </c>
      <c r="F15777" s="3" t="n">
        <v>1443.68</v>
      </c>
      <c r="G15777" s="3" t="n">
        <v>1443.68</v>
      </c>
    </row>
    <row r="15778">
      <c r="A15778" s="3" t="inlineStr">
        <is>
          <t>Quinate Consulting (Pty) Ltd</t>
        </is>
      </c>
      <c r="B15778" s="4" t="n">
        <v>45169</v>
      </c>
      <c r="C15778" s="3" t="inlineStr">
        <is>
          <t>Liabilities</t>
        </is>
      </c>
      <c r="D15778" s="3" t="inlineStr">
        <is>
          <t>9500/000</t>
        </is>
      </c>
      <c r="E15778" s="3" t="inlineStr">
        <is>
          <t>Vat Control Account</t>
        </is>
      </c>
      <c r="F15778" s="3" t="n">
        <v>19610.61</v>
      </c>
      <c r="G15778" s="3" t="n">
        <v>2148389.21</v>
      </c>
    </row>
    <row r="15779">
      <c r="A15779" s="3" t="inlineStr">
        <is>
          <t>Opportunity Management Holdings (PTY) LTD</t>
        </is>
      </c>
      <c r="B15779" s="4" t="n">
        <v>45169</v>
      </c>
      <c r="C15779" s="3" t="inlineStr">
        <is>
          <t>Liabilities</t>
        </is>
      </c>
      <c r="D15779" s="3" t="inlineStr">
        <is>
          <t>9501/000</t>
        </is>
      </c>
      <c r="E15779" s="3" t="inlineStr">
        <is>
          <t>Vat Adjustments - C2M</t>
        </is>
      </c>
      <c r="F15779" s="3" t="n">
        <v>0</v>
      </c>
      <c r="G15779" s="3" t="n">
        <v>47274.04</v>
      </c>
    </row>
    <row r="15780">
      <c r="A15780" s="3" t="inlineStr">
        <is>
          <t>Quinate Consulting (Pty) Ltd</t>
        </is>
      </c>
      <c r="B15780" s="4" t="n">
        <v>45169</v>
      </c>
      <c r="C15780" s="3" t="inlineStr">
        <is>
          <t>Liabilities</t>
        </is>
      </c>
      <c r="D15780" s="3" t="inlineStr">
        <is>
          <t>9960/000</t>
        </is>
      </c>
      <c r="E15780" s="3" t="inlineStr">
        <is>
          <t>Deposits - Southwark Rentals</t>
        </is>
      </c>
      <c r="F15780" s="3" t="n">
        <v>0</v>
      </c>
      <c r="G15780" s="3" t="n">
        <v>-23000</v>
      </c>
    </row>
    <row r="15781">
      <c r="A15781" s="3" t="inlineStr">
        <is>
          <t>Noble Shield (Pty) Ltd ta Go Letting</t>
        </is>
      </c>
      <c r="B15781" s="4" t="n">
        <v>45169</v>
      </c>
      <c r="C15781" s="3" t="inlineStr">
        <is>
          <t>Expenses</t>
        </is>
      </c>
      <c r="D15781" s="3" t="inlineStr">
        <is>
          <t>ACB Link</t>
        </is>
      </c>
      <c r="E15781" s="3" t="inlineStr">
        <is>
          <t>Subscriptions - TPN</t>
        </is>
      </c>
      <c r="F15781" s="3" t="n">
        <v>0</v>
      </c>
      <c r="G15781" s="3" t="n">
        <v>24749.69</v>
      </c>
    </row>
    <row r="15782">
      <c r="A15782" s="3" t="inlineStr">
        <is>
          <t>Noble Shield (Pty) Ltd ta Go Letting</t>
        </is>
      </c>
      <c r="B15782" s="4" t="n">
        <v>45169</v>
      </c>
      <c r="C15782" s="3" t="inlineStr">
        <is>
          <t>Liabilities</t>
        </is>
      </c>
      <c r="D15782" s="3" t="inlineStr">
        <is>
          <t>B/S</t>
        </is>
      </c>
      <c r="E15782" s="3" t="inlineStr">
        <is>
          <t>Tax Payable</t>
        </is>
      </c>
      <c r="F15782" s="3" t="n">
        <v>5166.4</v>
      </c>
      <c r="G15782" s="3" t="n">
        <v>0</v>
      </c>
    </row>
    <row r="15783">
      <c r="A15783" s="3" t="inlineStr">
        <is>
          <t>Trademark Holdings (Pty) Ltd</t>
        </is>
      </c>
      <c r="B15783" s="4" t="n">
        <v>45169</v>
      </c>
      <c r="C15783" s="3" t="inlineStr">
        <is>
          <t>Liabilities</t>
        </is>
      </c>
      <c r="D15783" s="3" t="inlineStr">
        <is>
          <t>B/S</t>
        </is>
      </c>
      <c r="E15783" s="3" t="inlineStr">
        <is>
          <t>Taxation Payable</t>
        </is>
      </c>
      <c r="F15783" s="3" t="n">
        <v>1722</v>
      </c>
      <c r="G15783" s="3" t="n">
        <v>1722</v>
      </c>
    </row>
    <row r="15784">
      <c r="A15784" s="3" t="inlineStr">
        <is>
          <t>Quinate Consulting (Pty) Ltd</t>
        </is>
      </c>
      <c r="B15784" s="4" t="n">
        <v>45169</v>
      </c>
      <c r="C15784" s="3" t="inlineStr">
        <is>
          <t>Liabilities</t>
        </is>
      </c>
      <c r="D15784" s="3" t="inlineStr">
        <is>
          <t xml:space="preserve">B/S </t>
        </is>
      </c>
      <c r="E15784" s="3" t="inlineStr">
        <is>
          <t>Taxation Payable</t>
        </is>
      </c>
      <c r="F15784" s="3" t="n">
        <v>0</v>
      </c>
      <c r="G15784" s="3" t="n">
        <v>-15486</v>
      </c>
    </row>
    <row r="15785">
      <c r="A15785" s="3" t="inlineStr">
        <is>
          <t>Quinate Consulting (Pty) Ltd</t>
        </is>
      </c>
      <c r="B15785" s="4" t="n">
        <v>45169</v>
      </c>
      <c r="C15785" s="3" t="inlineStr">
        <is>
          <t>Liabilities</t>
        </is>
      </c>
      <c r="D15785" s="3" t="inlineStr">
        <is>
          <t>FV</t>
        </is>
      </c>
      <c r="E15785" s="3" t="inlineStr">
        <is>
          <t>Loan - Cape Projects Constuction</t>
        </is>
      </c>
      <c r="F15785" s="3" t="n">
        <v>-40000</v>
      </c>
      <c r="G15785" s="3" t="n">
        <v>-7636187.4</v>
      </c>
    </row>
    <row r="15786">
      <c r="A15786" s="3" t="inlineStr">
        <is>
          <t>Noble Shield (Pty) Ltd ta Go Letting</t>
        </is>
      </c>
      <c r="B15786" s="4" t="n">
        <v>45169</v>
      </c>
      <c r="C15786" s="3" t="inlineStr">
        <is>
          <t>Expenses</t>
        </is>
      </c>
      <c r="D15786" s="3" t="inlineStr">
        <is>
          <t>I/S</t>
        </is>
      </c>
      <c r="E15786" s="3" t="inlineStr">
        <is>
          <t>Income Tax Prior Year</t>
        </is>
      </c>
      <c r="F15786" s="3" t="n">
        <v>-5166.4</v>
      </c>
      <c r="G15786" s="3" t="n">
        <v>-5166.4</v>
      </c>
    </row>
    <row r="15787">
      <c r="A15787" s="3" t="inlineStr">
        <is>
          <t>Quinate Consulting (Pty) Ltd</t>
        </is>
      </c>
      <c r="B15787" s="4" t="n">
        <v>45169</v>
      </c>
      <c r="C15787" s="3" t="inlineStr">
        <is>
          <t>Liabilities</t>
        </is>
      </c>
      <c r="D15787" s="3" t="inlineStr">
        <is>
          <t>Sharehold OppDev</t>
        </is>
      </c>
      <c r="E15787" s="3" t="inlineStr">
        <is>
          <t>Loan - Justine Morgan</t>
        </is>
      </c>
      <c r="F15787" s="3" t="n">
        <v>0</v>
      </c>
      <c r="G15787" s="3" t="n">
        <v>-563766.76</v>
      </c>
    </row>
    <row r="15788">
      <c r="A15788" s="3" t="inlineStr">
        <is>
          <t>Opportunity Global Sales (PTY) LTD</t>
        </is>
      </c>
      <c r="B15788" s="4" t="n">
        <v>45199</v>
      </c>
      <c r="C15788" s="3" t="inlineStr">
        <is>
          <t>Revenue</t>
        </is>
      </c>
      <c r="D15788" s="3" t="inlineStr">
        <is>
          <t>1000/009</t>
        </is>
      </c>
      <c r="E15788" s="3" t="inlineStr">
        <is>
          <t>Sales - Comm on Payprop</t>
        </is>
      </c>
      <c r="F15788" s="3" t="n">
        <v>-3271.05</v>
      </c>
      <c r="G15788" s="3" t="n">
        <v>-95778.73</v>
      </c>
    </row>
    <row r="15789">
      <c r="A15789" s="3" t="inlineStr">
        <is>
          <t>Quinate Consulting (Pty) Ltd</t>
        </is>
      </c>
      <c r="B15789" s="4" t="n">
        <v>45199</v>
      </c>
      <c r="C15789" s="3" t="inlineStr">
        <is>
          <t>Revenue</t>
        </is>
      </c>
      <c r="D15789" s="3" t="inlineStr">
        <is>
          <t>1000/011</t>
        </is>
      </c>
      <c r="E15789" s="3" t="inlineStr">
        <is>
          <t>Rent Received - Soho Unit 23</t>
        </is>
      </c>
      <c r="F15789" s="3" t="n">
        <v>-12500</v>
      </c>
      <c r="G15789" s="3" t="n">
        <v>-87500</v>
      </c>
    </row>
    <row r="15790">
      <c r="A15790" s="3" t="inlineStr">
        <is>
          <t>Quinate Consulting (Pty) Ltd</t>
        </is>
      </c>
      <c r="B15790" s="4" t="n">
        <v>45199</v>
      </c>
      <c r="C15790" s="3" t="inlineStr">
        <is>
          <t>Revenue</t>
        </is>
      </c>
      <c r="D15790" s="3" t="inlineStr">
        <is>
          <t>1000/012</t>
        </is>
      </c>
      <c r="E15790" s="3" t="inlineStr">
        <is>
          <t>Rent Received - Soho Unit 24</t>
        </is>
      </c>
      <c r="F15790" s="3" t="n">
        <v>-14445</v>
      </c>
      <c r="G15790" s="3" t="n">
        <v>-101115</v>
      </c>
    </row>
    <row r="15791">
      <c r="A15791" s="3" t="inlineStr">
        <is>
          <t>Quinate Consulting (Pty) Ltd</t>
        </is>
      </c>
      <c r="B15791" s="4" t="n">
        <v>45199</v>
      </c>
      <c r="C15791" s="3" t="inlineStr">
        <is>
          <t>Revenue</t>
        </is>
      </c>
      <c r="D15791" s="3" t="inlineStr">
        <is>
          <t>1000/013</t>
        </is>
      </c>
      <c r="E15791" s="3" t="inlineStr">
        <is>
          <t>Rent Recieved - Soho Unit 20</t>
        </is>
      </c>
      <c r="F15791" s="3" t="n">
        <v>-12500</v>
      </c>
      <c r="G15791" s="3" t="n">
        <v>-87500</v>
      </c>
    </row>
    <row r="15792">
      <c r="A15792" s="3" t="inlineStr">
        <is>
          <t>Quinate Consulting (Pty) Ltd</t>
        </is>
      </c>
      <c r="B15792" s="4" t="n">
        <v>45199</v>
      </c>
      <c r="C15792" s="3" t="inlineStr">
        <is>
          <t>Revenue</t>
        </is>
      </c>
      <c r="D15792" s="3" t="inlineStr">
        <is>
          <t>1000/015</t>
        </is>
      </c>
      <c r="E15792" s="3" t="inlineStr">
        <is>
          <t>Rent Received - Southwark Unit 1</t>
        </is>
      </c>
      <c r="F15792" s="3" t="n">
        <v>-11500</v>
      </c>
      <c r="G15792" s="3" t="n">
        <v>-34500</v>
      </c>
    </row>
    <row r="15793">
      <c r="A15793" s="3" t="inlineStr">
        <is>
          <t>Quinate Consulting (Pty) Ltd</t>
        </is>
      </c>
      <c r="B15793" s="4" t="n">
        <v>45199</v>
      </c>
      <c r="C15793" s="3" t="inlineStr">
        <is>
          <t>Revenue</t>
        </is>
      </c>
      <c r="D15793" s="3" t="inlineStr">
        <is>
          <t>1000/016</t>
        </is>
      </c>
      <c r="E15793" s="3" t="inlineStr">
        <is>
          <t>Rent Recieved - Southwark Unit 21</t>
        </is>
      </c>
      <c r="F15793" s="3" t="n">
        <v>-11000</v>
      </c>
      <c r="G15793" s="3" t="n">
        <v>-71000</v>
      </c>
    </row>
    <row r="15794">
      <c r="A15794" s="3" t="inlineStr">
        <is>
          <t>Opportunity Global Sales (PTY) LTD</t>
        </is>
      </c>
      <c r="B15794" s="4" t="n">
        <v>45199</v>
      </c>
      <c r="C15794" s="3" t="inlineStr">
        <is>
          <t>Revenue</t>
        </is>
      </c>
      <c r="D15794" s="3" t="inlineStr">
        <is>
          <t>1000/100</t>
        </is>
      </c>
      <c r="E15794" s="3" t="inlineStr">
        <is>
          <t>Sales - Comm on External Sales</t>
        </is>
      </c>
      <c r="F15794" s="3" t="n">
        <v>0</v>
      </c>
      <c r="G15794" s="3" t="n">
        <v>-104782.61</v>
      </c>
    </row>
    <row r="15795">
      <c r="A15795" s="3" t="inlineStr">
        <is>
          <t>Noble Shield (Pty) Ltd ta Go Letting</t>
        </is>
      </c>
      <c r="B15795" s="4" t="n">
        <v>45199</v>
      </c>
      <c r="C15795" s="3" t="inlineStr">
        <is>
          <t>Revenue</t>
        </is>
      </c>
      <c r="D15795" s="3" t="inlineStr">
        <is>
          <t>1000/100</t>
        </is>
      </c>
      <c r="E15795" s="3" t="inlineStr">
        <is>
          <t>Sales - Payprop 328 - Michelle</t>
        </is>
      </c>
      <c r="F15795" s="3" t="n">
        <v>-183168.03</v>
      </c>
      <c r="G15795" s="3" t="n">
        <v>-183168.03</v>
      </c>
    </row>
    <row r="15796">
      <c r="A15796" s="3" t="inlineStr">
        <is>
          <t>Opportunity Global Sales (PTY) LTD</t>
        </is>
      </c>
      <c r="B15796" s="4" t="n">
        <v>45199</v>
      </c>
      <c r="C15796" s="3" t="inlineStr">
        <is>
          <t>Revenue</t>
        </is>
      </c>
      <c r="D15796" s="3" t="inlineStr">
        <is>
          <t>1000/120</t>
        </is>
      </c>
      <c r="E15796" s="3" t="inlineStr">
        <is>
          <t>Sales - Admin Fees on Rental Units</t>
        </is>
      </c>
      <c r="F15796" s="3" t="n">
        <v>-10869.57</v>
      </c>
      <c r="G15796" s="3" t="n">
        <v>-33978.2</v>
      </c>
    </row>
    <row r="15797">
      <c r="A15797" s="3" t="inlineStr">
        <is>
          <t>Opportunity Global Sales (PTY) LTD</t>
        </is>
      </c>
      <c r="B15797" s="4" t="n">
        <v>45199</v>
      </c>
      <c r="C15797" s="3" t="inlineStr">
        <is>
          <t>Revenue</t>
        </is>
      </c>
      <c r="D15797" s="3" t="inlineStr">
        <is>
          <t>1000/121</t>
        </is>
      </c>
      <c r="E15797" s="3" t="inlineStr">
        <is>
          <t>Sales - Admin Fees on Rental Units Endulini</t>
        </is>
      </c>
      <c r="F15797" s="3" t="n">
        <v>0</v>
      </c>
      <c r="G15797" s="3" t="n">
        <v>-434.78</v>
      </c>
    </row>
    <row r="15798">
      <c r="A15798" s="3" t="inlineStr">
        <is>
          <t>Opportunity Global Sales (PTY) LTD</t>
        </is>
      </c>
      <c r="B15798" s="4" t="n">
        <v>45199</v>
      </c>
      <c r="C15798" s="3" t="inlineStr">
        <is>
          <t>Revenue</t>
        </is>
      </c>
      <c r="D15798" s="3" t="inlineStr">
        <is>
          <t>1000/122</t>
        </is>
      </c>
      <c r="E15798" s="3" t="inlineStr">
        <is>
          <t>Sales - Admin Fees on Rental Units Heron Fields</t>
        </is>
      </c>
      <c r="F15798" s="3" t="n">
        <v>-3043.49</v>
      </c>
      <c r="G15798" s="3" t="n">
        <v>-5652.2</v>
      </c>
    </row>
    <row r="15799">
      <c r="A15799" s="3" t="inlineStr">
        <is>
          <t>Opportunity Global Sales (PTY) LTD</t>
        </is>
      </c>
      <c r="B15799" s="4" t="n">
        <v>45199</v>
      </c>
      <c r="C15799" s="3" t="inlineStr">
        <is>
          <t>Revenue</t>
        </is>
      </c>
      <c r="D15799" s="3" t="inlineStr">
        <is>
          <t>1000/150</t>
        </is>
      </c>
      <c r="E15799" s="3" t="inlineStr">
        <is>
          <t>Sales - Comm on External Rental</t>
        </is>
      </c>
      <c r="F15799" s="3" t="n">
        <v>-58521.72</v>
      </c>
      <c r="G15799" s="3" t="n">
        <v>-313186.87</v>
      </c>
    </row>
    <row r="15800">
      <c r="A15800" s="3" t="inlineStr">
        <is>
          <t>Opportunity Global Sales (PTY) LTD</t>
        </is>
      </c>
      <c r="B15800" s="4" t="n">
        <v>45199</v>
      </c>
      <c r="C15800" s="3" t="inlineStr">
        <is>
          <t>Revenue</t>
        </is>
      </c>
      <c r="D15800" s="3" t="inlineStr">
        <is>
          <t>1000/250</t>
        </is>
      </c>
      <c r="E15800" s="3" t="inlineStr">
        <is>
          <t>Sales - Comm on Endulini</t>
        </is>
      </c>
      <c r="F15800" s="3" t="n">
        <v>0</v>
      </c>
      <c r="G15800" s="3" t="n">
        <v>-68256.52</v>
      </c>
    </row>
    <row r="15801">
      <c r="A15801" s="3" t="inlineStr">
        <is>
          <t>Opportunity Global Sales (PTY) LTD</t>
        </is>
      </c>
      <c r="B15801" s="4" t="n">
        <v>45199</v>
      </c>
      <c r="C15801" s="3" t="inlineStr">
        <is>
          <t>Revenue</t>
        </is>
      </c>
      <c r="D15801" s="3" t="inlineStr">
        <is>
          <t>1000/300</t>
        </is>
      </c>
      <c r="E15801" s="3" t="inlineStr">
        <is>
          <t>Sales - Comm on Heron Fields</t>
        </is>
      </c>
      <c r="F15801" s="3" t="n">
        <v>0</v>
      </c>
      <c r="G15801" s="3" t="n">
        <v>-1273956.53</v>
      </c>
    </row>
    <row r="15802">
      <c r="A15802" s="3" t="inlineStr">
        <is>
          <t>Trademark Holdings (Pty) Ltd</t>
        </is>
      </c>
      <c r="B15802" s="4" t="n">
        <v>45199</v>
      </c>
      <c r="C15802" s="3" t="inlineStr">
        <is>
          <t>Revenue</t>
        </is>
      </c>
      <c r="D15802" s="3" t="inlineStr">
        <is>
          <t>1000/300</t>
        </is>
      </c>
      <c r="E15802" s="3" t="inlineStr">
        <is>
          <t>Sales - Payprop - Lara</t>
        </is>
      </c>
      <c r="F15802" s="3" t="n">
        <v>-219711.59</v>
      </c>
      <c r="G15802" s="3" t="n">
        <v>-219711.59</v>
      </c>
    </row>
    <row r="15803">
      <c r="A15803" s="3" t="inlineStr">
        <is>
          <t>Opportunity Global Investment (PTY) LTD</t>
        </is>
      </c>
      <c r="B15803" s="4" t="n">
        <v>45199</v>
      </c>
      <c r="C15803" s="3" t="inlineStr">
        <is>
          <t>Revenue</t>
        </is>
      </c>
      <c r="D15803" s="3" t="inlineStr">
        <is>
          <t>1000/360</t>
        </is>
      </c>
      <c r="E15803" s="3" t="inlineStr">
        <is>
          <t>Sales - Investor Management - Heron View</t>
        </is>
      </c>
      <c r="F15803" s="3" t="n">
        <v>0</v>
      </c>
      <c r="G15803" s="3" t="n">
        <v>-1826086.96</v>
      </c>
    </row>
    <row r="15804">
      <c r="A15804" s="3" t="inlineStr">
        <is>
          <t>Opportunity Global Sales (PTY) LTD</t>
        </is>
      </c>
      <c r="B15804" s="4" t="n">
        <v>45199</v>
      </c>
      <c r="C15804" s="3" t="inlineStr">
        <is>
          <t>Revenue</t>
        </is>
      </c>
      <c r="D15804" s="3" t="inlineStr">
        <is>
          <t>1000/400</t>
        </is>
      </c>
      <c r="E15804" s="3" t="inlineStr">
        <is>
          <t>Sales - Commission on Heron View</t>
        </is>
      </c>
      <c r="F15804" s="3" t="n">
        <v>-513447.81</v>
      </c>
      <c r="G15804" s="3" t="n">
        <v>-997765.1800000001</v>
      </c>
    </row>
    <row r="15805">
      <c r="A15805" s="3" t="inlineStr">
        <is>
          <t>Quinate Consulting (Pty) Ltd</t>
        </is>
      </c>
      <c r="B15805" s="4" t="n">
        <v>45199</v>
      </c>
      <c r="C15805" s="3" t="inlineStr">
        <is>
          <t>Revenue</t>
        </is>
      </c>
      <c r="D15805" s="3" t="inlineStr">
        <is>
          <t>1004/000</t>
        </is>
      </c>
      <c r="E15805" s="3" t="inlineStr">
        <is>
          <t>Interest received</t>
        </is>
      </c>
      <c r="F15805" s="3" t="n">
        <v>0</v>
      </c>
      <c r="G15805" s="3" t="n">
        <v>-2364.24</v>
      </c>
    </row>
    <row r="15806">
      <c r="A15806" s="3" t="inlineStr">
        <is>
          <t>Quinate Consulting (Pty) Ltd</t>
        </is>
      </c>
      <c r="B15806" s="4" t="n">
        <v>45199</v>
      </c>
      <c r="C15806" s="3" t="inlineStr">
        <is>
          <t>Revenue</t>
        </is>
      </c>
      <c r="D15806" s="3" t="inlineStr">
        <is>
          <t>1006/100</t>
        </is>
      </c>
      <c r="E15806" s="3" t="inlineStr">
        <is>
          <t>Rental income - Payprop</t>
        </is>
      </c>
      <c r="F15806" s="3" t="n">
        <v>-44391.63</v>
      </c>
      <c r="G15806" s="3" t="n">
        <v>-107613.7</v>
      </c>
    </row>
    <row r="15807">
      <c r="A15807" s="3" t="inlineStr">
        <is>
          <t>Quinate Consulting (Pty) Ltd</t>
        </is>
      </c>
      <c r="B15807" s="4" t="n">
        <v>45199</v>
      </c>
      <c r="C15807" s="3" t="inlineStr">
        <is>
          <t>Revenue</t>
        </is>
      </c>
      <c r="D15807" s="3" t="inlineStr">
        <is>
          <t>1006/110</t>
        </is>
      </c>
      <c r="E15807" s="3" t="inlineStr">
        <is>
          <t>Rental Income - E201</t>
        </is>
      </c>
      <c r="F15807" s="3" t="n">
        <v>0</v>
      </c>
      <c r="G15807" s="3" t="n">
        <v>-59000</v>
      </c>
    </row>
    <row r="15808">
      <c r="A15808" s="3" t="inlineStr">
        <is>
          <t>Quinate Consulting (Pty) Ltd</t>
        </is>
      </c>
      <c r="B15808" s="4" t="n">
        <v>45199</v>
      </c>
      <c r="C15808" s="3" t="inlineStr">
        <is>
          <t>Revenue</t>
        </is>
      </c>
      <c r="D15808" s="3" t="inlineStr">
        <is>
          <t>1006/120</t>
        </is>
      </c>
      <c r="E15808" s="3" t="inlineStr">
        <is>
          <t>Rental Income - D203</t>
        </is>
      </c>
      <c r="F15808" s="3" t="n">
        <v>-9500</v>
      </c>
      <c r="G15808" s="3" t="n">
        <v>-55500</v>
      </c>
    </row>
    <row r="15809">
      <c r="A15809" s="3" t="inlineStr">
        <is>
          <t>Quinate Consulting (Pty) Ltd</t>
        </is>
      </c>
      <c r="B15809" s="4" t="n">
        <v>45199</v>
      </c>
      <c r="C15809" s="3" t="inlineStr">
        <is>
          <t>Revenue</t>
        </is>
      </c>
      <c r="D15809" s="3" t="inlineStr">
        <is>
          <t>1006/130</t>
        </is>
      </c>
      <c r="E15809" s="3" t="inlineStr">
        <is>
          <t>Rental Income - C301</t>
        </is>
      </c>
      <c r="F15809" s="3" t="n">
        <v>0</v>
      </c>
      <c r="G15809" s="3" t="n">
        <v>-19000</v>
      </c>
    </row>
    <row r="15810">
      <c r="A15810" s="3" t="inlineStr">
        <is>
          <t>Quinate Consulting (Pty) Ltd</t>
        </is>
      </c>
      <c r="B15810" s="4" t="n">
        <v>45199</v>
      </c>
      <c r="C15810" s="3" t="inlineStr">
        <is>
          <t>Revenue</t>
        </is>
      </c>
      <c r="D15810" s="3" t="inlineStr">
        <is>
          <t>1006/140</t>
        </is>
      </c>
      <c r="E15810" s="3" t="inlineStr">
        <is>
          <t>Rental Income - A108</t>
        </is>
      </c>
      <c r="F15810" s="3" t="n">
        <v>-11000</v>
      </c>
      <c r="G15810" s="3" t="n">
        <v>-72000</v>
      </c>
    </row>
    <row r="15811">
      <c r="A15811" s="3" t="inlineStr">
        <is>
          <t>Quinate Consulting (Pty) Ltd</t>
        </is>
      </c>
      <c r="B15811" s="4" t="n">
        <v>45199</v>
      </c>
      <c r="C15811" s="3" t="inlineStr">
        <is>
          <t>Revenue</t>
        </is>
      </c>
      <c r="D15811" s="3" t="inlineStr">
        <is>
          <t>1006/150</t>
        </is>
      </c>
      <c r="E15811" s="3" t="inlineStr">
        <is>
          <t>Rental Income - A303</t>
        </is>
      </c>
      <c r="F15811" s="3" t="n">
        <v>0</v>
      </c>
      <c r="G15811" s="3" t="n">
        <v>-18500</v>
      </c>
    </row>
    <row r="15812">
      <c r="A15812" s="3" t="inlineStr">
        <is>
          <t>Quinate Consulting (Pty) Ltd</t>
        </is>
      </c>
      <c r="B15812" s="4" t="n">
        <v>45199</v>
      </c>
      <c r="C15812" s="3" t="inlineStr">
        <is>
          <t>Revenue</t>
        </is>
      </c>
      <c r="D15812" s="3" t="inlineStr">
        <is>
          <t>1006/160</t>
        </is>
      </c>
      <c r="E15812" s="3" t="inlineStr">
        <is>
          <t>Rental Income - A306</t>
        </is>
      </c>
      <c r="F15812" s="3" t="n">
        <v>0</v>
      </c>
      <c r="G15812" s="3" t="n">
        <v>-19030</v>
      </c>
    </row>
    <row r="15813">
      <c r="A15813" s="3" t="inlineStr">
        <is>
          <t>Quinate Consulting (Pty) Ltd</t>
        </is>
      </c>
      <c r="B15813" s="4" t="n">
        <v>45199</v>
      </c>
      <c r="C15813" s="3" t="inlineStr">
        <is>
          <t>Revenue</t>
        </is>
      </c>
      <c r="D15813" s="3" t="inlineStr">
        <is>
          <t>1006/170</t>
        </is>
      </c>
      <c r="E15813" s="3" t="inlineStr">
        <is>
          <t>Rental Income - C102</t>
        </is>
      </c>
      <c r="F15813" s="3" t="n">
        <v>0</v>
      </c>
      <c r="G15813" s="3" t="n">
        <v>-46000</v>
      </c>
    </row>
    <row r="15814">
      <c r="A15814" s="3" t="inlineStr">
        <is>
          <t>Quinate Consulting (Pty) Ltd</t>
        </is>
      </c>
      <c r="B15814" s="4" t="n">
        <v>45199</v>
      </c>
      <c r="C15814" s="3" t="inlineStr">
        <is>
          <t>Revenue</t>
        </is>
      </c>
      <c r="D15814" s="3" t="inlineStr">
        <is>
          <t>1006/180</t>
        </is>
      </c>
      <c r="E15814" s="3" t="inlineStr">
        <is>
          <t>Rental Income - A307</t>
        </is>
      </c>
      <c r="F15814" s="3" t="n">
        <v>0</v>
      </c>
      <c r="G15814" s="3" t="n">
        <v>-37000</v>
      </c>
    </row>
    <row r="15815">
      <c r="A15815" s="3" t="inlineStr">
        <is>
          <t>Quinate Consulting (Pty) Ltd</t>
        </is>
      </c>
      <c r="B15815" s="4" t="n">
        <v>45199</v>
      </c>
      <c r="C15815" s="3" t="inlineStr">
        <is>
          <t>Revenue</t>
        </is>
      </c>
      <c r="D15815" s="3" t="inlineStr">
        <is>
          <t>1006/190</t>
        </is>
      </c>
      <c r="E15815" s="3" t="inlineStr">
        <is>
          <t>Rental Income - A209</t>
        </is>
      </c>
      <c r="F15815" s="3" t="n">
        <v>-9250</v>
      </c>
      <c r="G15815" s="3" t="n">
        <v>-64489.12</v>
      </c>
    </row>
    <row r="15816">
      <c r="A15816" s="3" t="inlineStr">
        <is>
          <t>Endulini (Pty) Ltd</t>
        </is>
      </c>
      <c r="B15816" s="4" t="n">
        <v>45199</v>
      </c>
      <c r="C15816" s="3" t="inlineStr">
        <is>
          <t>Revenue</t>
        </is>
      </c>
      <c r="D15816" s="3" t="inlineStr">
        <is>
          <t>1100/000</t>
        </is>
      </c>
      <c r="E15816" s="3" t="inlineStr">
        <is>
          <t>Sales - Endulini</t>
        </is>
      </c>
      <c r="F15816" s="3" t="n">
        <v>0</v>
      </c>
      <c r="G15816" s="3" t="n">
        <v>-2721565.21</v>
      </c>
    </row>
    <row r="15817">
      <c r="A15817" s="3" t="inlineStr">
        <is>
          <t>Opportunity Management Holdings (PTY) LTD</t>
        </is>
      </c>
      <c r="B15817" s="4" t="n">
        <v>45199</v>
      </c>
      <c r="C15817" s="3" t="inlineStr">
        <is>
          <t>Revenue</t>
        </is>
      </c>
      <c r="D15817" s="3" t="inlineStr">
        <is>
          <t>1100/001</t>
        </is>
      </c>
      <c r="E15817" s="3" t="inlineStr">
        <is>
          <t>Salary Recharges</t>
        </is>
      </c>
      <c r="F15817" s="3" t="n">
        <v>-354720.26</v>
      </c>
      <c r="G15817" s="3" t="n">
        <v>-354720.26</v>
      </c>
    </row>
    <row r="15818">
      <c r="A15818" s="3" t="inlineStr">
        <is>
          <t>Endulini (Pty) Ltd</t>
        </is>
      </c>
      <c r="B15818" s="4" t="n">
        <v>45199</v>
      </c>
      <c r="C15818" s="3" t="inlineStr">
        <is>
          <t>Revenue</t>
        </is>
      </c>
      <c r="D15818" s="3" t="inlineStr">
        <is>
          <t>1100/200</t>
        </is>
      </c>
      <c r="E15818" s="3" t="inlineStr">
        <is>
          <t>Sales - Endulini occupational rent</t>
        </is>
      </c>
      <c r="F15818" s="3" t="n">
        <v>0</v>
      </c>
      <c r="G15818" s="3" t="n">
        <v>3303.6</v>
      </c>
    </row>
    <row r="15819">
      <c r="A15819" s="3" t="inlineStr">
        <is>
          <t>Endulini (Pty) Ltd</t>
        </is>
      </c>
      <c r="B15819" s="4" t="n">
        <v>45199</v>
      </c>
      <c r="C15819" s="3" t="inlineStr">
        <is>
          <t>Expenses</t>
        </is>
      </c>
      <c r="D15819" s="3" t="inlineStr">
        <is>
          <t>2000/001</t>
        </is>
      </c>
      <c r="E15819" s="3" t="inlineStr">
        <is>
          <t>COS - CIP Construction</t>
        </is>
      </c>
      <c r="F15819" s="3" t="n">
        <v>0</v>
      </c>
      <c r="G15819" s="3" t="n">
        <v>2000</v>
      </c>
    </row>
    <row r="15820">
      <c r="A15820" s="3" t="inlineStr">
        <is>
          <t>Quinate Consulting (Pty) Ltd</t>
        </is>
      </c>
      <c r="B15820" s="4" t="n">
        <v>45199</v>
      </c>
      <c r="C15820" s="3" t="inlineStr">
        <is>
          <t>Expenses</t>
        </is>
      </c>
      <c r="D15820" s="3" t="inlineStr">
        <is>
          <t>2000/009</t>
        </is>
      </c>
      <c r="E15820" s="3" t="inlineStr">
        <is>
          <t>COS - Admin fees</t>
        </is>
      </c>
      <c r="F15820" s="3" t="n">
        <v>869.5700000000001</v>
      </c>
      <c r="G15820" s="3" t="n">
        <v>869.5700000000001</v>
      </c>
    </row>
    <row r="15821">
      <c r="A15821" s="3" t="inlineStr">
        <is>
          <t>Opportunity Global Sales (PTY) LTD</t>
        </is>
      </c>
      <c r="B15821" s="4" t="n">
        <v>45199</v>
      </c>
      <c r="C15821" s="3" t="inlineStr">
        <is>
          <t>Expenses</t>
        </is>
      </c>
      <c r="D15821" s="3" t="inlineStr">
        <is>
          <t>2000/010</t>
        </is>
      </c>
      <c r="E15821" s="3" t="inlineStr">
        <is>
          <t>COS - PAYE on Commission</t>
        </is>
      </c>
      <c r="F15821" s="3" t="n">
        <v>40727.4</v>
      </c>
      <c r="G15821" s="3" t="n">
        <v>192286.73</v>
      </c>
    </row>
    <row r="15822">
      <c r="A15822" s="3" t="inlineStr">
        <is>
          <t>Quinate Consulting (Pty) Ltd</t>
        </is>
      </c>
      <c r="B15822" s="4" t="n">
        <v>45199</v>
      </c>
      <c r="C15822" s="3" t="inlineStr">
        <is>
          <t>Expenses</t>
        </is>
      </c>
      <c r="D15822" s="3" t="inlineStr">
        <is>
          <t>2000/060</t>
        </is>
      </c>
      <c r="E15822" s="3" t="inlineStr">
        <is>
          <t>COS - Commission Endulini</t>
        </is>
      </c>
      <c r="F15822" s="3" t="n">
        <v>0</v>
      </c>
      <c r="G15822" s="3" t="n">
        <v>10256.53</v>
      </c>
    </row>
    <row r="15823">
      <c r="A15823" s="3" t="inlineStr">
        <is>
          <t>Endulini (Pty) Ltd</t>
        </is>
      </c>
      <c r="B15823" s="4" t="n">
        <v>45199</v>
      </c>
      <c r="C15823" s="3" t="inlineStr">
        <is>
          <t>Expenses</t>
        </is>
      </c>
      <c r="D15823" s="3" t="inlineStr">
        <is>
          <t>2000/100</t>
        </is>
      </c>
      <c r="E15823" s="3" t="inlineStr">
        <is>
          <t>COS - Commission Endulini</t>
        </is>
      </c>
      <c r="F15823" s="3" t="n">
        <v>0</v>
      </c>
      <c r="G15823" s="3" t="n">
        <v>136078.26</v>
      </c>
    </row>
    <row r="15824">
      <c r="A15824" s="3" t="inlineStr">
        <is>
          <t>Noble Shield (Pty) Ltd ta Go Letting</t>
        </is>
      </c>
      <c r="B15824" s="4" t="n">
        <v>45199</v>
      </c>
      <c r="C15824" s="3" t="inlineStr">
        <is>
          <t>Expenses</t>
        </is>
      </c>
      <c r="D15824" s="3" t="inlineStr">
        <is>
          <t>2000/100</t>
        </is>
      </c>
      <c r="E15824" s="3" t="inlineStr">
        <is>
          <t>COS - Commission Paid</t>
        </is>
      </c>
      <c r="F15824" s="3" t="n">
        <v>14275.01</v>
      </c>
      <c r="G15824" s="3" t="n">
        <v>14275.01</v>
      </c>
    </row>
    <row r="15825">
      <c r="A15825" s="3" t="inlineStr">
        <is>
          <t>Opportunity Global Sales (PTY) LTD</t>
        </is>
      </c>
      <c r="B15825" s="4" t="n">
        <v>45199</v>
      </c>
      <c r="C15825" s="3" t="inlineStr">
        <is>
          <t>Expenses</t>
        </is>
      </c>
      <c r="D15825" s="3" t="inlineStr">
        <is>
          <t>2000/125</t>
        </is>
      </c>
      <c r="E15825" s="3" t="inlineStr">
        <is>
          <t>Commission Paid - Referal commission</t>
        </is>
      </c>
      <c r="F15825" s="3" t="n">
        <v>0</v>
      </c>
      <c r="G15825" s="3" t="n">
        <v>74342.61</v>
      </c>
    </row>
    <row r="15826">
      <c r="A15826" s="3" t="inlineStr">
        <is>
          <t>Opportunity Global Sales (PTY) LTD</t>
        </is>
      </c>
      <c r="B15826" s="4" t="n">
        <v>45199</v>
      </c>
      <c r="C15826" s="3" t="inlineStr">
        <is>
          <t>Expenses</t>
        </is>
      </c>
      <c r="D15826" s="3" t="inlineStr">
        <is>
          <t>2000/135</t>
        </is>
      </c>
      <c r="E15826" s="3" t="inlineStr">
        <is>
          <t>COS - Sales Comm External - Minette</t>
        </is>
      </c>
      <c r="F15826" s="3" t="n">
        <v>0</v>
      </c>
      <c r="G15826" s="3" t="n">
        <v>41739.13</v>
      </c>
    </row>
    <row r="15827">
      <c r="A15827" s="3" t="inlineStr">
        <is>
          <t>Opportunity Global Investment (PTY) LTD</t>
        </is>
      </c>
      <c r="B15827" s="4" t="n">
        <v>45199</v>
      </c>
      <c r="C15827" s="3" t="inlineStr">
        <is>
          <t>Expenses</t>
        </is>
      </c>
      <c r="D15827" s="3" t="inlineStr">
        <is>
          <t>2000/135</t>
        </is>
      </c>
      <c r="E15827" s="3" t="inlineStr">
        <is>
          <t>Referral commission - Heron View</t>
        </is>
      </c>
      <c r="F15827" s="3" t="n">
        <v>0</v>
      </c>
      <c r="G15827" s="3" t="n">
        <v>8731.209999999999</v>
      </c>
    </row>
    <row r="15828">
      <c r="A15828" s="3" t="inlineStr">
        <is>
          <t>Opportunity Global Sales (PTY) LTD</t>
        </is>
      </c>
      <c r="B15828" s="4" t="n">
        <v>45199</v>
      </c>
      <c r="C15828" s="3" t="inlineStr">
        <is>
          <t>Expenses</t>
        </is>
      </c>
      <c r="D15828" s="3" t="inlineStr">
        <is>
          <t>2000/137</t>
        </is>
      </c>
      <c r="E15828" s="3" t="inlineStr">
        <is>
          <t>COS - Rental Comm External - Minette</t>
        </is>
      </c>
      <c r="F15828" s="3" t="n">
        <v>17860.88</v>
      </c>
      <c r="G15828" s="3" t="n">
        <v>123634.36</v>
      </c>
    </row>
    <row r="15829">
      <c r="A15829" s="3" t="inlineStr">
        <is>
          <t>Opportunity Global Sales (PTY) LTD</t>
        </is>
      </c>
      <c r="B15829" s="4" t="n">
        <v>45199</v>
      </c>
      <c r="C15829" s="3" t="inlineStr">
        <is>
          <t>Expenses</t>
        </is>
      </c>
      <c r="D15829" s="3" t="inlineStr">
        <is>
          <t>2000/139</t>
        </is>
      </c>
      <c r="E15829" s="3" t="inlineStr">
        <is>
          <t>COS - Sales Comm Heron Fields - Minette</t>
        </is>
      </c>
      <c r="F15829" s="3" t="n">
        <v>0</v>
      </c>
      <c r="G15829" s="3" t="n">
        <v>68099.48</v>
      </c>
    </row>
    <row r="15830">
      <c r="A15830" s="3" t="inlineStr">
        <is>
          <t>Opportunity Global Investment (PTY) LTD</t>
        </is>
      </c>
      <c r="B15830" s="4" t="n">
        <v>45199</v>
      </c>
      <c r="C15830" s="3" t="inlineStr">
        <is>
          <t>Expenses</t>
        </is>
      </c>
      <c r="D15830" s="3" t="inlineStr">
        <is>
          <t>2000/140</t>
        </is>
      </c>
      <c r="E15830" s="3" t="inlineStr">
        <is>
          <t>Referral commission - F Geldenhuys</t>
        </is>
      </c>
      <c r="F15830" s="3" t="n">
        <v>0</v>
      </c>
      <c r="G15830" s="3" t="n">
        <v>66600</v>
      </c>
    </row>
    <row r="15831">
      <c r="A15831" s="3" t="inlineStr">
        <is>
          <t>Opportunity Global Investment (PTY) LTD</t>
        </is>
      </c>
      <c r="B15831" s="4" t="n">
        <v>45199</v>
      </c>
      <c r="C15831" s="3" t="inlineStr">
        <is>
          <t>Expenses</t>
        </is>
      </c>
      <c r="D15831" s="3" t="inlineStr">
        <is>
          <t>2000/145</t>
        </is>
      </c>
      <c r="E15831" s="3" t="inlineStr">
        <is>
          <t>Referral commission - W Thomason</t>
        </is>
      </c>
      <c r="F15831" s="3" t="n">
        <v>0</v>
      </c>
      <c r="G15831" s="3" t="n">
        <v>12000</v>
      </c>
    </row>
    <row r="15832">
      <c r="A15832" s="3" t="inlineStr">
        <is>
          <t>Opportunity Global Sales (PTY) LTD</t>
        </is>
      </c>
      <c r="B15832" s="4" t="n">
        <v>45199</v>
      </c>
      <c r="C15832" s="3" t="inlineStr">
        <is>
          <t>Expenses</t>
        </is>
      </c>
      <c r="D15832" s="3" t="inlineStr">
        <is>
          <t>2000/147</t>
        </is>
      </c>
      <c r="E15832" s="3" t="inlineStr">
        <is>
          <t>COS - Sales Comm Heron Fields - Yvette</t>
        </is>
      </c>
      <c r="F15832" s="3" t="n">
        <v>0</v>
      </c>
      <c r="G15832" s="3" t="n">
        <v>175460.67</v>
      </c>
    </row>
    <row r="15833">
      <c r="A15833" s="3" t="inlineStr">
        <is>
          <t>Endulini (Pty) Ltd</t>
        </is>
      </c>
      <c r="B15833" s="4" t="n">
        <v>45199</v>
      </c>
      <c r="C15833" s="3" t="inlineStr">
        <is>
          <t>Expenses</t>
        </is>
      </c>
      <c r="D15833" s="3" t="inlineStr">
        <is>
          <t>2000/150</t>
        </is>
      </c>
      <c r="E15833" s="3" t="inlineStr">
        <is>
          <t>COS - Levies special agreement</t>
        </is>
      </c>
      <c r="F15833" s="3" t="n">
        <v>8821.59</v>
      </c>
      <c r="G15833" s="3" t="n">
        <v>54481.95</v>
      </c>
    </row>
    <row r="15834">
      <c r="A15834" s="3" t="inlineStr">
        <is>
          <t>Opportunity Global Sales (PTY) LTD</t>
        </is>
      </c>
      <c r="B15834" s="4" t="n">
        <v>45199</v>
      </c>
      <c r="C15834" s="3" t="inlineStr">
        <is>
          <t>Expenses</t>
        </is>
      </c>
      <c r="D15834" s="3" t="inlineStr">
        <is>
          <t>2000/160</t>
        </is>
      </c>
      <c r="E15834" s="3" t="inlineStr">
        <is>
          <t>COS - Sales Comm Heron View - Minette</t>
        </is>
      </c>
      <c r="F15834" s="3" t="n">
        <v>90220.52</v>
      </c>
      <c r="G15834" s="3" t="n">
        <v>266487.64</v>
      </c>
    </row>
    <row r="15835">
      <c r="A15835" s="3" t="inlineStr">
        <is>
          <t>Opportunity Global Sales (PTY) LTD</t>
        </is>
      </c>
      <c r="B15835" s="4" t="n">
        <v>45199</v>
      </c>
      <c r="C15835" s="3" t="inlineStr">
        <is>
          <t>Expenses</t>
        </is>
      </c>
      <c r="D15835" s="3" t="inlineStr">
        <is>
          <t>2000/162</t>
        </is>
      </c>
      <c r="E15835" s="3" t="inlineStr">
        <is>
          <t>COS - Sales Comm Heron View - Yvette</t>
        </is>
      </c>
      <c r="F15835" s="3" t="n">
        <v>61532.08</v>
      </c>
      <c r="G15835" s="3" t="n">
        <v>122422.43</v>
      </c>
    </row>
    <row r="15836">
      <c r="A15836" s="3" t="inlineStr">
        <is>
          <t>Noble Shield (Pty) Ltd ta Go Letting</t>
        </is>
      </c>
      <c r="B15836" s="4" t="n">
        <v>45199</v>
      </c>
      <c r="C15836" s="3" t="inlineStr">
        <is>
          <t>Expenses</t>
        </is>
      </c>
      <c r="D15836" s="3" t="inlineStr">
        <is>
          <t>2000/200</t>
        </is>
      </c>
      <c r="E15836" s="3" t="inlineStr">
        <is>
          <t>COS - Commission on external sales</t>
        </is>
      </c>
      <c r="F15836" s="3" t="n">
        <v>35000</v>
      </c>
      <c r="G15836" s="3" t="n">
        <v>35000</v>
      </c>
    </row>
    <row r="15837">
      <c r="A15837" s="3" t="inlineStr">
        <is>
          <t>Endulini (Pty) Ltd</t>
        </is>
      </c>
      <c r="B15837" s="4" t="n">
        <v>45199</v>
      </c>
      <c r="C15837" s="3" t="inlineStr">
        <is>
          <t>Expenses</t>
        </is>
      </c>
      <c r="D15837" s="3" t="inlineStr">
        <is>
          <t>2000/200</t>
        </is>
      </c>
      <c r="E15837" s="3" t="inlineStr">
        <is>
          <t>COS - Rates clearance</t>
        </is>
      </c>
      <c r="F15837" s="3" t="n">
        <v>0</v>
      </c>
      <c r="G15837" s="3" t="n">
        <v>38025</v>
      </c>
    </row>
    <row r="15838">
      <c r="A15838" s="3" t="inlineStr">
        <is>
          <t>Opportunity Global Sales (PTY) LTD</t>
        </is>
      </c>
      <c r="B15838" s="4" t="n">
        <v>45199</v>
      </c>
      <c r="C15838" s="3" t="inlineStr">
        <is>
          <t>Expenses</t>
        </is>
      </c>
      <c r="D15838" s="3" t="inlineStr">
        <is>
          <t>2000/270</t>
        </is>
      </c>
      <c r="E15838" s="3" t="inlineStr">
        <is>
          <t>COS - Comm Rentals - Mario - External</t>
        </is>
      </c>
      <c r="F15838" s="3" t="n">
        <v>1130</v>
      </c>
      <c r="G15838" s="3" t="n">
        <v>2527</v>
      </c>
    </row>
    <row r="15839">
      <c r="A15839" s="3" t="inlineStr">
        <is>
          <t>Opportunity Global Sales (PTY) LTD</t>
        </is>
      </c>
      <c r="B15839" s="4" t="n">
        <v>45199</v>
      </c>
      <c r="C15839" s="3" t="inlineStr">
        <is>
          <t>Expenses</t>
        </is>
      </c>
      <c r="D15839" s="3" t="inlineStr">
        <is>
          <t>2000/275</t>
        </is>
      </c>
      <c r="E15839" s="3" t="inlineStr">
        <is>
          <t>COS - Comm Rentals - Mario - Endulini</t>
        </is>
      </c>
      <c r="F15839" s="3" t="n">
        <v>2519.2</v>
      </c>
      <c r="G15839" s="3" t="n">
        <v>12169.2</v>
      </c>
    </row>
    <row r="15840">
      <c r="A15840" s="3" t="inlineStr">
        <is>
          <t>Opportunity Global Sales (PTY) LTD</t>
        </is>
      </c>
      <c r="B15840" s="4" t="n">
        <v>45199</v>
      </c>
      <c r="C15840" s="3" t="inlineStr">
        <is>
          <t>Expenses</t>
        </is>
      </c>
      <c r="D15840" s="3" t="inlineStr">
        <is>
          <t>2000/280</t>
        </is>
      </c>
      <c r="E15840" s="3" t="inlineStr">
        <is>
          <t>COS - Comm Rentals - Mario - Heron Fields</t>
        </is>
      </c>
      <c r="F15840" s="3" t="n">
        <v>2500</v>
      </c>
      <c r="G15840" s="3" t="n">
        <v>12320</v>
      </c>
    </row>
    <row r="15841">
      <c r="A15841" s="3" t="inlineStr">
        <is>
          <t>Trademark Holdings (Pty) Ltd</t>
        </is>
      </c>
      <c r="B15841" s="4" t="n">
        <v>45199</v>
      </c>
      <c r="C15841" s="3" t="inlineStr">
        <is>
          <t>Expenses</t>
        </is>
      </c>
      <c r="D15841" s="3" t="inlineStr">
        <is>
          <t>2000/300</t>
        </is>
      </c>
      <c r="E15841" s="3" t="inlineStr">
        <is>
          <t>COS - Commission Paid</t>
        </is>
      </c>
      <c r="F15841" s="3" t="n">
        <v>16491.14</v>
      </c>
      <c r="G15841" s="3" t="n">
        <v>16491.14</v>
      </c>
    </row>
    <row r="15842">
      <c r="A15842" s="3" t="inlineStr">
        <is>
          <t>Opportunity Global Sales (PTY) LTD</t>
        </is>
      </c>
      <c r="B15842" s="4" t="n">
        <v>45199</v>
      </c>
      <c r="C15842" s="3" t="inlineStr">
        <is>
          <t>Expenses</t>
        </is>
      </c>
      <c r="D15842" s="3" t="inlineStr">
        <is>
          <t>2000/380</t>
        </is>
      </c>
      <c r="E15842" s="3" t="inlineStr">
        <is>
          <t>COS - Overrider Comm Heron Fields - Morne</t>
        </is>
      </c>
      <c r="F15842" s="3" t="n">
        <v>932.54</v>
      </c>
      <c r="G15842" s="3" t="n">
        <v>30622.7</v>
      </c>
    </row>
    <row r="15843">
      <c r="A15843" s="3" t="inlineStr">
        <is>
          <t>Opportunity Global Sales (PTY) LTD</t>
        </is>
      </c>
      <c r="B15843" s="4" t="n">
        <v>45199</v>
      </c>
      <c r="C15843" s="3" t="inlineStr">
        <is>
          <t>Expenses</t>
        </is>
      </c>
      <c r="D15843" s="3" t="inlineStr">
        <is>
          <t>2000/383</t>
        </is>
      </c>
      <c r="E15843" s="3" t="inlineStr">
        <is>
          <t>COS - Overrider Comm Heron View - Morne</t>
        </is>
      </c>
      <c r="F15843" s="3" t="n">
        <v>18214.1</v>
      </c>
      <c r="G15843" s="3" t="n">
        <v>29893.82</v>
      </c>
    </row>
    <row r="15844">
      <c r="A15844" s="3" t="inlineStr">
        <is>
          <t>Opportunity Global Sales (PTY) LTD</t>
        </is>
      </c>
      <c r="B15844" s="4" t="n">
        <v>45199</v>
      </c>
      <c r="C15844" s="3" t="inlineStr">
        <is>
          <t>Expenses</t>
        </is>
      </c>
      <c r="D15844" s="3" t="inlineStr">
        <is>
          <t>2000/390</t>
        </is>
      </c>
      <c r="E15844" s="3" t="inlineStr">
        <is>
          <t>COS - Overrider Comm External Sales - Morne</t>
        </is>
      </c>
      <c r="F15844" s="3" t="n">
        <v>0</v>
      </c>
      <c r="G15844" s="3" t="n">
        <v>9915</v>
      </c>
    </row>
    <row r="15845">
      <c r="A15845" s="3" t="inlineStr">
        <is>
          <t>Trademark Holdings (Pty) Ltd</t>
        </is>
      </c>
      <c r="B15845" s="4" t="n">
        <v>45199</v>
      </c>
      <c r="C15845" s="3" t="inlineStr">
        <is>
          <t>Expenses</t>
        </is>
      </c>
      <c r="D15845" s="3" t="inlineStr">
        <is>
          <t>2000/400</t>
        </is>
      </c>
      <c r="E15845" s="3" t="inlineStr">
        <is>
          <t>COS - Commission on external sales</t>
        </is>
      </c>
      <c r="F15845" s="3" t="n">
        <v>75000</v>
      </c>
      <c r="G15845" s="3" t="n">
        <v>75000</v>
      </c>
    </row>
    <row r="15846">
      <c r="A15846" s="3" t="inlineStr">
        <is>
          <t>Opportunity Global Sales (PTY) LTD</t>
        </is>
      </c>
      <c r="B15846" s="4" t="n">
        <v>45199</v>
      </c>
      <c r="C15846" s="3" t="inlineStr">
        <is>
          <t>Expenses</t>
        </is>
      </c>
      <c r="D15846" s="3" t="inlineStr">
        <is>
          <t>2000/550</t>
        </is>
      </c>
      <c r="E15846" s="3" t="inlineStr">
        <is>
          <t>COS - Electricity Costs Heron Fields</t>
        </is>
      </c>
      <c r="F15846" s="3" t="n">
        <v>0</v>
      </c>
      <c r="G15846" s="3" t="n">
        <v>447.83</v>
      </c>
    </row>
    <row r="15847">
      <c r="A15847" s="3" t="inlineStr">
        <is>
          <t>Opportunity Global Sales (PTY) LTD</t>
        </is>
      </c>
      <c r="B15847" s="4" t="n">
        <v>45199</v>
      </c>
      <c r="C15847" s="3" t="inlineStr">
        <is>
          <t>Expenses</t>
        </is>
      </c>
      <c r="D15847" s="3" t="inlineStr">
        <is>
          <t>2000/600</t>
        </is>
      </c>
      <c r="E15847" s="3" t="inlineStr">
        <is>
          <t>COS - Heron Fields Show House</t>
        </is>
      </c>
      <c r="F15847" s="3" t="n">
        <v>0</v>
      </c>
      <c r="G15847" s="3" t="n">
        <v>201.97</v>
      </c>
    </row>
    <row r="15848">
      <c r="A15848" s="3" t="inlineStr">
        <is>
          <t>Endulini (Pty) Ltd</t>
        </is>
      </c>
      <c r="B15848" s="4" t="n">
        <v>45199</v>
      </c>
      <c r="C15848" s="3" t="inlineStr">
        <is>
          <t>Expenses</t>
        </is>
      </c>
      <c r="D15848" s="3" t="inlineStr">
        <is>
          <t>2000/600</t>
        </is>
      </c>
      <c r="E15848" s="3" t="inlineStr">
        <is>
          <t>COS - Legal fees</t>
        </is>
      </c>
      <c r="F15848" s="3" t="n">
        <v>0</v>
      </c>
      <c r="G15848" s="3" t="n">
        <v>71531.39999999999</v>
      </c>
    </row>
    <row r="15849">
      <c r="A15849" s="3" t="inlineStr">
        <is>
          <t>Quinate Consulting (Pty) Ltd</t>
        </is>
      </c>
      <c r="B15849" s="4" t="n">
        <v>45199</v>
      </c>
      <c r="C15849" s="3" t="inlineStr">
        <is>
          <t>Expenses</t>
        </is>
      </c>
      <c r="D15849" s="3" t="inlineStr">
        <is>
          <t>2001/120</t>
        </is>
      </c>
      <c r="E15849" s="3" t="inlineStr">
        <is>
          <t>COS - Commission - South Wark</t>
        </is>
      </c>
      <c r="F15849" s="3" t="n">
        <v>0</v>
      </c>
      <c r="G15849" s="3" t="n">
        <v>-869.5700000000001</v>
      </c>
    </row>
    <row r="15850">
      <c r="A15850" s="3" t="inlineStr">
        <is>
          <t>Quinate Consulting (Pty) Ltd</t>
        </is>
      </c>
      <c r="B15850" s="4" t="n">
        <v>45199</v>
      </c>
      <c r="C15850" s="3" t="inlineStr">
        <is>
          <t>Expenses</t>
        </is>
      </c>
      <c r="D15850" s="3" t="inlineStr">
        <is>
          <t>2001/210</t>
        </is>
      </c>
      <c r="E15850" s="3" t="inlineStr">
        <is>
          <t>COS - NHBRC</t>
        </is>
      </c>
      <c r="F15850" s="3" t="n">
        <v>0</v>
      </c>
      <c r="G15850" s="3" t="n">
        <v>457.67</v>
      </c>
    </row>
    <row r="15851">
      <c r="A15851" s="3" t="inlineStr">
        <is>
          <t>Quinate Consulting (Pty) Ltd</t>
        </is>
      </c>
      <c r="B15851" s="4" t="n">
        <v>45199</v>
      </c>
      <c r="C15851" s="3" t="inlineStr">
        <is>
          <t>Revenue</t>
        </is>
      </c>
      <c r="D15851" s="3" t="inlineStr">
        <is>
          <t>2400/200</t>
        </is>
      </c>
      <c r="E15851" s="3" t="inlineStr">
        <is>
          <t>Recovery Acc - Electricity SH</t>
        </is>
      </c>
      <c r="F15851" s="3" t="n">
        <v>-32042.74</v>
      </c>
      <c r="G15851" s="3" t="n">
        <v>-189010.94</v>
      </c>
    </row>
    <row r="15852">
      <c r="A15852" s="3" t="inlineStr">
        <is>
          <t>Quinate Consulting (Pty) Ltd</t>
        </is>
      </c>
      <c r="B15852" s="4" t="n">
        <v>45199</v>
      </c>
      <c r="C15852" s="3" t="inlineStr">
        <is>
          <t>Revenue</t>
        </is>
      </c>
      <c r="D15852" s="3" t="inlineStr">
        <is>
          <t>2400/300</t>
        </is>
      </c>
      <c r="E15852" s="3" t="inlineStr">
        <is>
          <t>Recovery Account - Electricity SW</t>
        </is>
      </c>
      <c r="F15852" s="3" t="n">
        <v>-29045.56</v>
      </c>
      <c r="G15852" s="3" t="n">
        <v>-168870.45</v>
      </c>
    </row>
    <row r="15853">
      <c r="A15853" s="3" t="inlineStr">
        <is>
          <t>Endulini (Pty) Ltd</t>
        </is>
      </c>
      <c r="B15853" s="4" t="n">
        <v>45199</v>
      </c>
      <c r="C15853" s="3" t="inlineStr">
        <is>
          <t>Revenue</t>
        </is>
      </c>
      <c r="D15853" s="3" t="inlineStr">
        <is>
          <t>2750/000</t>
        </is>
      </c>
      <c r="E15853" s="3" t="inlineStr">
        <is>
          <t>Interest Received</t>
        </is>
      </c>
      <c r="F15853" s="3" t="n">
        <v>0</v>
      </c>
      <c r="G15853" s="3" t="n">
        <v>-578.91</v>
      </c>
    </row>
    <row r="15854">
      <c r="A15854" s="3" t="inlineStr">
        <is>
          <t>Opportunity Global Investment (PTY) LTD</t>
        </is>
      </c>
      <c r="B15854" s="4" t="n">
        <v>45199</v>
      </c>
      <c r="C15854" s="3" t="inlineStr">
        <is>
          <t>Revenue</t>
        </is>
      </c>
      <c r="D15854" s="3" t="inlineStr">
        <is>
          <t>2750/000</t>
        </is>
      </c>
      <c r="E15854" s="3" t="inlineStr">
        <is>
          <t>Interest Received - Bank</t>
        </is>
      </c>
      <c r="F15854" s="3" t="n">
        <v>0</v>
      </c>
      <c r="G15854" s="3" t="n">
        <v>-355.23</v>
      </c>
    </row>
    <row r="15855">
      <c r="A15855" s="3" t="inlineStr">
        <is>
          <t>Opportunity Global Sales (PTY) LTD</t>
        </is>
      </c>
      <c r="B15855" s="4" t="n">
        <v>45199</v>
      </c>
      <c r="C15855" s="3" t="inlineStr">
        <is>
          <t>Revenue</t>
        </is>
      </c>
      <c r="D15855" s="3" t="inlineStr">
        <is>
          <t>2750/000</t>
        </is>
      </c>
      <c r="E15855" s="3" t="inlineStr">
        <is>
          <t>Interest Received - Bank</t>
        </is>
      </c>
      <c r="F15855" s="3" t="n">
        <v>0</v>
      </c>
      <c r="G15855" s="3" t="n">
        <v>-18.82</v>
      </c>
    </row>
    <row r="15856">
      <c r="A15856" s="3" t="inlineStr">
        <is>
          <t>Noble Shield (Pty) Ltd ta Go Letting</t>
        </is>
      </c>
      <c r="B15856" s="4" t="n">
        <v>45199</v>
      </c>
      <c r="C15856" s="3" t="inlineStr">
        <is>
          <t>Revenue</t>
        </is>
      </c>
      <c r="D15856" s="3" t="inlineStr">
        <is>
          <t>2750/100</t>
        </is>
      </c>
      <c r="E15856" s="3" t="inlineStr">
        <is>
          <t>Interest Received - bank</t>
        </is>
      </c>
      <c r="F15856" s="3" t="n">
        <v>-0.07000000000000001</v>
      </c>
      <c r="G15856" s="3" t="n">
        <v>-0.07000000000000001</v>
      </c>
    </row>
    <row r="15857">
      <c r="A15857" s="3" t="inlineStr">
        <is>
          <t>Quinate Consulting (Pty) Ltd</t>
        </is>
      </c>
      <c r="B15857" s="4" t="n">
        <v>45199</v>
      </c>
      <c r="C15857" s="3" t="inlineStr">
        <is>
          <t>Revenue</t>
        </is>
      </c>
      <c r="D15857" s="3" t="inlineStr">
        <is>
          <t>2751/000</t>
        </is>
      </c>
      <c r="E15857" s="3" t="inlineStr">
        <is>
          <t>Interest Received - Bank</t>
        </is>
      </c>
      <c r="F15857" s="3" t="n">
        <v>-871.05</v>
      </c>
      <c r="G15857" s="3" t="n">
        <v>-3520.2</v>
      </c>
    </row>
    <row r="15858">
      <c r="A15858" s="3" t="inlineStr">
        <is>
          <t>Opportunity Global Investment (PTY) LTD</t>
        </is>
      </c>
      <c r="B15858" s="4" t="n">
        <v>45199</v>
      </c>
      <c r="C15858" s="3" t="inlineStr">
        <is>
          <t>Revenue</t>
        </is>
      </c>
      <c r="D15858" s="3" t="inlineStr">
        <is>
          <t>2753/000</t>
        </is>
      </c>
      <c r="E15858" s="3" t="inlineStr">
        <is>
          <t>Interest received - Momentum</t>
        </is>
      </c>
      <c r="F15858" s="3" t="n">
        <v>-34.81</v>
      </c>
      <c r="G15858" s="3" t="n">
        <v>-261.69</v>
      </c>
    </row>
    <row r="15859">
      <c r="A15859" s="3" t="inlineStr">
        <is>
          <t>Endulini (Pty) Ltd</t>
        </is>
      </c>
      <c r="B15859" s="4" t="n">
        <v>45199</v>
      </c>
      <c r="C15859" s="3" t="inlineStr">
        <is>
          <t>Revenue</t>
        </is>
      </c>
      <c r="D15859" s="3" t="inlineStr">
        <is>
          <t>2755/001</t>
        </is>
      </c>
      <c r="E15859" s="3" t="inlineStr">
        <is>
          <t>Interest Received - Momentum</t>
        </is>
      </c>
      <c r="F15859" s="3" t="n">
        <v>0</v>
      </c>
      <c r="G15859" s="3" t="n">
        <v>-112.96</v>
      </c>
    </row>
    <row r="15860">
      <c r="A15860" s="3" t="inlineStr">
        <is>
          <t>Quinate Consulting (Pty) Ltd</t>
        </is>
      </c>
      <c r="B15860" s="4" t="n">
        <v>45199</v>
      </c>
      <c r="C15860" s="3" t="inlineStr">
        <is>
          <t>Revenue</t>
        </is>
      </c>
      <c r="D15860" s="3" t="inlineStr">
        <is>
          <t>2755/001</t>
        </is>
      </c>
      <c r="E15860" s="3" t="inlineStr">
        <is>
          <t>Interest Received - Momentum</t>
        </is>
      </c>
      <c r="F15860" s="3" t="n">
        <v>0</v>
      </c>
      <c r="G15860" s="3" t="n">
        <v>-22.64</v>
      </c>
    </row>
    <row r="15861">
      <c r="A15861" s="3" t="inlineStr">
        <is>
          <t>Opportunity Global Investment (PTY) LTD</t>
        </is>
      </c>
      <c r="B15861" s="4" t="n">
        <v>45199</v>
      </c>
      <c r="C15861" s="3" t="inlineStr">
        <is>
          <t>Expenses</t>
        </is>
      </c>
      <c r="D15861" s="3" t="inlineStr">
        <is>
          <t>3000/100</t>
        </is>
      </c>
      <c r="E15861" s="3" t="inlineStr">
        <is>
          <t>Accounting Fees - Secretarial</t>
        </is>
      </c>
      <c r="F15861" s="3" t="n">
        <v>0</v>
      </c>
      <c r="G15861" s="3" t="n">
        <v>890</v>
      </c>
    </row>
    <row r="15862">
      <c r="A15862" s="3" t="inlineStr">
        <is>
          <t>Opportunity Global Investment (PTY) LTD</t>
        </is>
      </c>
      <c r="B15862" s="4" t="n">
        <v>45199</v>
      </c>
      <c r="C15862" s="3" t="inlineStr">
        <is>
          <t>Expenses</t>
        </is>
      </c>
      <c r="D15862" s="3" t="inlineStr">
        <is>
          <t>3000/150</t>
        </is>
      </c>
      <c r="E15862" s="3" t="inlineStr">
        <is>
          <t>Accounting Fees - Audit</t>
        </is>
      </c>
      <c r="F15862" s="3" t="n">
        <v>1567.01</v>
      </c>
      <c r="G15862" s="3" t="n">
        <v>12217.01</v>
      </c>
    </row>
    <row r="15863">
      <c r="A15863" s="3" t="inlineStr">
        <is>
          <t>Quinate Consulting (Pty) Ltd</t>
        </is>
      </c>
      <c r="B15863" s="4" t="n">
        <v>45199</v>
      </c>
      <c r="C15863" s="3" t="inlineStr">
        <is>
          <t>Expenses</t>
        </is>
      </c>
      <c r="D15863" s="3" t="inlineStr">
        <is>
          <t>3001/000</t>
        </is>
      </c>
      <c r="E15863" s="3" t="inlineStr">
        <is>
          <t>Accounting fees - Other</t>
        </is>
      </c>
      <c r="F15863" s="3" t="n">
        <v>0</v>
      </c>
      <c r="G15863" s="3" t="n">
        <v>6000</v>
      </c>
    </row>
    <row r="15864">
      <c r="A15864" s="3" t="inlineStr">
        <is>
          <t>Quinate Consulting (Pty) Ltd</t>
        </is>
      </c>
      <c r="B15864" s="4" t="n">
        <v>45199</v>
      </c>
      <c r="C15864" s="3" t="inlineStr">
        <is>
          <t>Expenses</t>
        </is>
      </c>
      <c r="D15864" s="3" t="inlineStr">
        <is>
          <t>3002/000</t>
        </is>
      </c>
      <c r="E15864" s="3" t="inlineStr">
        <is>
          <t>Accounting Fees - Tax Dept.</t>
        </is>
      </c>
      <c r="F15864" s="3" t="n">
        <v>0</v>
      </c>
      <c r="G15864" s="3" t="n">
        <v>540</v>
      </c>
    </row>
    <row r="15865">
      <c r="A15865" s="3" t="inlineStr">
        <is>
          <t>Opportunity Management Holdings (PTY) LTD</t>
        </is>
      </c>
      <c r="B15865" s="4" t="n">
        <v>45199</v>
      </c>
      <c r="C15865" s="3" t="inlineStr">
        <is>
          <t>Expenses</t>
        </is>
      </c>
      <c r="D15865" s="3" t="inlineStr">
        <is>
          <t>3005/000</t>
        </is>
      </c>
      <c r="E15865" s="3" t="inlineStr">
        <is>
          <t>Accounting fees - Deric Dudley</t>
        </is>
      </c>
      <c r="F15865" s="3" t="n">
        <v>56000</v>
      </c>
      <c r="G15865" s="3" t="n">
        <v>56000</v>
      </c>
    </row>
    <row r="15866">
      <c r="A15866" s="3" t="inlineStr">
        <is>
          <t>Endulini (Pty) Ltd</t>
        </is>
      </c>
      <c r="B15866" s="4" t="n">
        <v>45199</v>
      </c>
      <c r="C15866" s="3" t="inlineStr">
        <is>
          <t>Expenses</t>
        </is>
      </c>
      <c r="D15866" s="3" t="inlineStr">
        <is>
          <t>3050/000</t>
        </is>
      </c>
      <c r="E15866" s="3" t="inlineStr">
        <is>
          <t>Advertising _AND_ Promotions</t>
        </is>
      </c>
      <c r="F15866" s="3" t="n">
        <v>0</v>
      </c>
      <c r="G15866" s="3" t="n">
        <v>4180</v>
      </c>
    </row>
    <row r="15867">
      <c r="A15867" s="3" t="inlineStr">
        <is>
          <t>Opportunity Management Holdings (PTY) LTD</t>
        </is>
      </c>
      <c r="B15867" s="4" t="n">
        <v>45199</v>
      </c>
      <c r="C15867" s="3" t="inlineStr">
        <is>
          <t>Expenses</t>
        </is>
      </c>
      <c r="D15867" s="3" t="inlineStr">
        <is>
          <t>3050/000</t>
        </is>
      </c>
      <c r="E15867" s="3" t="inlineStr">
        <is>
          <t>Advertising _AND_ Promotions</t>
        </is>
      </c>
      <c r="F15867" s="3" t="n">
        <v>287.5</v>
      </c>
      <c r="G15867" s="3" t="n">
        <v>287.5</v>
      </c>
    </row>
    <row r="15868">
      <c r="A15868" s="3" t="inlineStr">
        <is>
          <t>Opportunity Global Investment (PTY) LTD</t>
        </is>
      </c>
      <c r="B15868" s="4" t="n">
        <v>45199</v>
      </c>
      <c r="C15868" s="3" t="inlineStr">
        <is>
          <t>Expenses</t>
        </is>
      </c>
      <c r="D15868" s="3" t="inlineStr">
        <is>
          <t>3050/000</t>
        </is>
      </c>
      <c r="E15868" s="3" t="inlineStr">
        <is>
          <t>Advertising and Promotions</t>
        </is>
      </c>
      <c r="F15868" s="3" t="n">
        <v>95.64</v>
      </c>
      <c r="G15868" s="3" t="n">
        <v>3128.2</v>
      </c>
    </row>
    <row r="15869">
      <c r="A15869" s="3" t="inlineStr">
        <is>
          <t>Opportunity Global Sales (PTY) LTD</t>
        </is>
      </c>
      <c r="B15869" s="4" t="n">
        <v>45199</v>
      </c>
      <c r="C15869" s="3" t="inlineStr">
        <is>
          <t>Expenses</t>
        </is>
      </c>
      <c r="D15869" s="3" t="inlineStr">
        <is>
          <t>3050/000</t>
        </is>
      </c>
      <c r="E15869" s="3" t="inlineStr">
        <is>
          <t>Advertising and Promotions</t>
        </is>
      </c>
      <c r="F15869" s="3" t="n">
        <v>0</v>
      </c>
      <c r="G15869" s="3" t="n">
        <v>18164.18</v>
      </c>
    </row>
    <row r="15870">
      <c r="A15870" s="3" t="inlineStr">
        <is>
          <t>Endulini (Pty) Ltd</t>
        </is>
      </c>
      <c r="B15870" s="4" t="n">
        <v>45199</v>
      </c>
      <c r="C15870" s="3" t="inlineStr">
        <is>
          <t>Expenses</t>
        </is>
      </c>
      <c r="D15870" s="3" t="inlineStr">
        <is>
          <t>3050/001</t>
        </is>
      </c>
      <c r="E15870" s="3" t="inlineStr">
        <is>
          <t>Advertising _AND_ Promotions - Media Agenda</t>
        </is>
      </c>
      <c r="F15870" s="3" t="n">
        <v>0</v>
      </c>
      <c r="G15870" s="3" t="n">
        <v>4312.5</v>
      </c>
    </row>
    <row r="15871">
      <c r="A15871" s="3" t="inlineStr">
        <is>
          <t>Noble Shield (Pty) Ltd ta Go Letting</t>
        </is>
      </c>
      <c r="B15871" s="4" t="n">
        <v>45199</v>
      </c>
      <c r="C15871" s="3" t="inlineStr">
        <is>
          <t>Expenses</t>
        </is>
      </c>
      <c r="D15871" s="3" t="inlineStr">
        <is>
          <t>3050/020</t>
        </is>
      </c>
      <c r="E15871" s="3" t="inlineStr">
        <is>
          <t>Adverting &amp; Marketing - Other</t>
        </is>
      </c>
      <c r="F15871" s="3" t="n">
        <v>134.9</v>
      </c>
      <c r="G15871" s="3" t="n">
        <v>134.9</v>
      </c>
    </row>
    <row r="15872">
      <c r="A15872" s="3" t="inlineStr">
        <is>
          <t>Noble Shield (Pty) Ltd ta Go Letting</t>
        </is>
      </c>
      <c r="B15872" s="4" t="n">
        <v>45199</v>
      </c>
      <c r="C15872" s="3" t="inlineStr">
        <is>
          <t>Expenses</t>
        </is>
      </c>
      <c r="D15872" s="3" t="inlineStr">
        <is>
          <t>3050/050</t>
        </is>
      </c>
      <c r="E15872" s="3" t="inlineStr">
        <is>
          <t>Advertising - Prop 24</t>
        </is>
      </c>
      <c r="F15872" s="3" t="n">
        <v>3336.15</v>
      </c>
      <c r="G15872" s="3" t="n">
        <v>3336.15</v>
      </c>
    </row>
    <row r="15873">
      <c r="A15873" s="3" t="inlineStr">
        <is>
          <t>Opportunity Global Sales (PTY) LTD</t>
        </is>
      </c>
      <c r="B15873" s="4" t="n">
        <v>45199</v>
      </c>
      <c r="C15873" s="3" t="inlineStr">
        <is>
          <t>Expenses</t>
        </is>
      </c>
      <c r="D15873" s="3" t="inlineStr">
        <is>
          <t>3050/100</t>
        </is>
      </c>
      <c r="E15873" s="3" t="inlineStr">
        <is>
          <t>Advertising - Facebook</t>
        </is>
      </c>
      <c r="F15873" s="3" t="n">
        <v>0</v>
      </c>
      <c r="G15873" s="3" t="n">
        <v>2279.78</v>
      </c>
    </row>
    <row r="15874">
      <c r="A15874" s="3" t="inlineStr">
        <is>
          <t>Opportunity Global Sales (PTY) LTD</t>
        </is>
      </c>
      <c r="B15874" s="4" t="n">
        <v>45199</v>
      </c>
      <c r="C15874" s="3" t="inlineStr">
        <is>
          <t>Expenses</t>
        </is>
      </c>
      <c r="D15874" s="3" t="inlineStr">
        <is>
          <t>3050/140</t>
        </is>
      </c>
      <c r="E15874" s="3" t="inlineStr">
        <is>
          <t>Advertising - Media Agenda</t>
        </is>
      </c>
      <c r="F15874" s="3" t="n">
        <v>575</v>
      </c>
      <c r="G15874" s="3" t="n">
        <v>14487.5</v>
      </c>
    </row>
    <row r="15875">
      <c r="A15875" s="3" t="inlineStr">
        <is>
          <t>Opportunity Global Sales (PTY) LTD</t>
        </is>
      </c>
      <c r="B15875" s="4" t="n">
        <v>45199</v>
      </c>
      <c r="C15875" s="3" t="inlineStr">
        <is>
          <t>Expenses</t>
        </is>
      </c>
      <c r="D15875" s="3" t="inlineStr">
        <is>
          <t>3050/200</t>
        </is>
      </c>
      <c r="E15875" s="3" t="inlineStr">
        <is>
          <t>Advertising - Design</t>
        </is>
      </c>
      <c r="F15875" s="3" t="n">
        <v>0</v>
      </c>
      <c r="G15875" s="3" t="n">
        <v>35000</v>
      </c>
    </row>
    <row r="15876">
      <c r="A15876" s="3" t="inlineStr">
        <is>
          <t>Opportunity Global Investment (PTY) LTD</t>
        </is>
      </c>
      <c r="B15876" s="4" t="n">
        <v>45199</v>
      </c>
      <c r="C15876" s="3" t="inlineStr">
        <is>
          <t>Expenses</t>
        </is>
      </c>
      <c r="D15876" s="3" t="inlineStr">
        <is>
          <t>3050/230</t>
        </is>
      </c>
      <c r="E15876" s="3" t="inlineStr">
        <is>
          <t>Advertising - Link on Advertising</t>
        </is>
      </c>
      <c r="F15876" s="3" t="n">
        <v>395</v>
      </c>
      <c r="G15876" s="3" t="n">
        <v>790</v>
      </c>
    </row>
    <row r="15877">
      <c r="A15877" s="3" t="inlineStr">
        <is>
          <t>Opportunity Global Investment (PTY) LTD</t>
        </is>
      </c>
      <c r="B15877" s="4" t="n">
        <v>45199</v>
      </c>
      <c r="C15877" s="3" t="inlineStr">
        <is>
          <t>Expenses</t>
        </is>
      </c>
      <c r="D15877" s="3" t="inlineStr">
        <is>
          <t>3050/240</t>
        </is>
      </c>
      <c r="E15877" s="3" t="inlineStr">
        <is>
          <t>Advertising - Realmarketing</t>
        </is>
      </c>
      <c r="F15877" s="3" t="n">
        <v>0</v>
      </c>
      <c r="G15877" s="3" t="n">
        <v>53000</v>
      </c>
    </row>
    <row r="15878">
      <c r="A15878" s="3" t="inlineStr">
        <is>
          <t>Opportunity Global Investment (PTY) LTD</t>
        </is>
      </c>
      <c r="B15878" s="4" t="n">
        <v>45199</v>
      </c>
      <c r="C15878" s="3" t="inlineStr">
        <is>
          <t>Expenses</t>
        </is>
      </c>
      <c r="D15878" s="3" t="inlineStr">
        <is>
          <t>3050/250</t>
        </is>
      </c>
      <c r="E15878" s="3" t="inlineStr">
        <is>
          <t>Advertising - General</t>
        </is>
      </c>
      <c r="F15878" s="3" t="n">
        <v>0</v>
      </c>
      <c r="G15878" s="3" t="n">
        <v>52599.6</v>
      </c>
    </row>
    <row r="15879">
      <c r="A15879" s="3" t="inlineStr">
        <is>
          <t>Opportunity Global Sales (PTY) LTD</t>
        </is>
      </c>
      <c r="B15879" s="4" t="n">
        <v>45199</v>
      </c>
      <c r="C15879" s="3" t="inlineStr">
        <is>
          <t>Expenses</t>
        </is>
      </c>
      <c r="D15879" s="3" t="inlineStr">
        <is>
          <t>3050/250</t>
        </is>
      </c>
      <c r="E15879" s="3" t="inlineStr">
        <is>
          <t>Advertising - General</t>
        </is>
      </c>
      <c r="F15879" s="3" t="n">
        <v>61947.68</v>
      </c>
      <c r="G15879" s="3" t="n">
        <v>65747.62</v>
      </c>
    </row>
    <row r="15880">
      <c r="A15880" s="3" t="inlineStr">
        <is>
          <t>Opportunity Global Investment (PTY) LTD</t>
        </is>
      </c>
      <c r="B15880" s="4" t="n">
        <v>45199</v>
      </c>
      <c r="C15880" s="3" t="inlineStr">
        <is>
          <t>Expenses</t>
        </is>
      </c>
      <c r="D15880" s="3" t="inlineStr">
        <is>
          <t>3050/270</t>
        </is>
      </c>
      <c r="E15880" s="3" t="inlineStr">
        <is>
          <t>Advertising - Radia and TV Interviews</t>
        </is>
      </c>
      <c r="F15880" s="3" t="n">
        <v>31050</v>
      </c>
      <c r="G15880" s="3" t="n">
        <v>109847.5</v>
      </c>
    </row>
    <row r="15881">
      <c r="A15881" s="3" t="inlineStr">
        <is>
          <t>Opportunity Global Investment (PTY) LTD</t>
        </is>
      </c>
      <c r="B15881" s="4" t="n">
        <v>45199</v>
      </c>
      <c r="C15881" s="3" t="inlineStr">
        <is>
          <t>Expenses</t>
        </is>
      </c>
      <c r="D15881" s="3" t="inlineStr">
        <is>
          <t>3050/290</t>
        </is>
      </c>
      <c r="E15881" s="3" t="inlineStr">
        <is>
          <t>Advertising - Serene Living</t>
        </is>
      </c>
      <c r="F15881" s="3" t="n">
        <v>65086</v>
      </c>
      <c r="G15881" s="3" t="n">
        <v>455602</v>
      </c>
    </row>
    <row r="15882">
      <c r="A15882" s="3" t="inlineStr">
        <is>
          <t>Opportunity Global Investment (PTY) LTD</t>
        </is>
      </c>
      <c r="B15882" s="4" t="n">
        <v>45199</v>
      </c>
      <c r="C15882" s="3" t="inlineStr">
        <is>
          <t>Expenses</t>
        </is>
      </c>
      <c r="D15882" s="3" t="inlineStr">
        <is>
          <t>3050/295</t>
        </is>
      </c>
      <c r="E15882" s="3" t="inlineStr">
        <is>
          <t>Advertising - Reale Activation</t>
        </is>
      </c>
      <c r="F15882" s="3" t="n">
        <v>0</v>
      </c>
      <c r="G15882" s="3" t="n">
        <v>30397.22</v>
      </c>
    </row>
    <row r="15883">
      <c r="A15883" s="3" t="inlineStr">
        <is>
          <t>Opportunity Global Investment (PTY) LTD</t>
        </is>
      </c>
      <c r="B15883" s="4" t="n">
        <v>45199</v>
      </c>
      <c r="C15883" s="3" t="inlineStr">
        <is>
          <t>Expenses</t>
        </is>
      </c>
      <c r="D15883" s="3" t="inlineStr">
        <is>
          <t>3050/300</t>
        </is>
      </c>
      <c r="E15883" s="3" t="inlineStr">
        <is>
          <t>Advertising - Design</t>
        </is>
      </c>
      <c r="F15883" s="3" t="n">
        <v>1000</v>
      </c>
      <c r="G15883" s="3" t="n">
        <v>6850</v>
      </c>
    </row>
    <row r="15884">
      <c r="A15884" s="3" t="inlineStr">
        <is>
          <t>Endulini (Pty) Ltd</t>
        </is>
      </c>
      <c r="B15884" s="4" t="n">
        <v>45199</v>
      </c>
      <c r="C15884" s="3" t="inlineStr">
        <is>
          <t>Expenses</t>
        </is>
      </c>
      <c r="D15884" s="3" t="inlineStr">
        <is>
          <t>3050/300</t>
        </is>
      </c>
      <c r="E15884" s="3" t="inlineStr">
        <is>
          <t>Advertiving - Real Marketing</t>
        </is>
      </c>
      <c r="F15884" s="3" t="n">
        <v>0</v>
      </c>
      <c r="G15884" s="3" t="n">
        <v>10250</v>
      </c>
    </row>
    <row r="15885">
      <c r="A15885" s="3" t="inlineStr">
        <is>
          <t>Quinate Consulting (Pty) Ltd</t>
        </is>
      </c>
      <c r="B15885" s="4" t="n">
        <v>45199</v>
      </c>
      <c r="C15885" s="3" t="inlineStr">
        <is>
          <t>Expenses</t>
        </is>
      </c>
      <c r="D15885" s="3" t="inlineStr">
        <is>
          <t>3050/400</t>
        </is>
      </c>
      <c r="E15885" s="3" t="inlineStr">
        <is>
          <t>Advertising - Prop24</t>
        </is>
      </c>
      <c r="F15885" s="3" t="n">
        <v>10236</v>
      </c>
      <c r="G15885" s="3" t="n">
        <v>77990.5</v>
      </c>
    </row>
    <row r="15886">
      <c r="A15886" s="3" t="inlineStr">
        <is>
          <t>Opportunity Global Sales (PTY) LTD</t>
        </is>
      </c>
      <c r="B15886" s="4" t="n">
        <v>45199</v>
      </c>
      <c r="C15886" s="3" t="inlineStr">
        <is>
          <t>Expenses</t>
        </is>
      </c>
      <c r="D15886" s="3" t="inlineStr">
        <is>
          <t>3050/400</t>
        </is>
      </c>
      <c r="E15886" s="3" t="inlineStr">
        <is>
          <t>Repairs &amp; Maintenance Heron sales office</t>
        </is>
      </c>
      <c r="F15886" s="3" t="n">
        <v>0</v>
      </c>
      <c r="G15886" s="3" t="n">
        <v>196.5</v>
      </c>
    </row>
    <row r="15887">
      <c r="A15887" s="3" t="inlineStr">
        <is>
          <t>Quinate Consulting (Pty) Ltd</t>
        </is>
      </c>
      <c r="B15887" s="4" t="n">
        <v>45199</v>
      </c>
      <c r="C15887" s="3" t="inlineStr">
        <is>
          <t>Expenses</t>
        </is>
      </c>
      <c r="D15887" s="3" t="inlineStr">
        <is>
          <t>3050/450</t>
        </is>
      </c>
      <c r="E15887" s="3" t="inlineStr">
        <is>
          <t>Advertising - Facebook</t>
        </is>
      </c>
      <c r="F15887" s="3" t="n">
        <v>0</v>
      </c>
      <c r="G15887" s="3" t="n">
        <v>51955.16</v>
      </c>
    </row>
    <row r="15888">
      <c r="A15888" s="3" t="inlineStr">
        <is>
          <t>Opportunity Global Investment (PTY) LTD</t>
        </is>
      </c>
      <c r="B15888" s="4" t="n">
        <v>45199</v>
      </c>
      <c r="C15888" s="3" t="inlineStr">
        <is>
          <t>Expenses</t>
        </is>
      </c>
      <c r="D15888" s="3" t="inlineStr">
        <is>
          <t>3051/000</t>
        </is>
      </c>
      <c r="E15888" s="3" t="inlineStr">
        <is>
          <t>Advertising - Facebook</t>
        </is>
      </c>
      <c r="F15888" s="3" t="n">
        <v>18810.28</v>
      </c>
      <c r="G15888" s="3" t="n">
        <v>115507.59</v>
      </c>
    </row>
    <row r="15889">
      <c r="A15889" s="3" t="inlineStr">
        <is>
          <t>Opportunity Global Investment (PTY) LTD</t>
        </is>
      </c>
      <c r="B15889" s="4" t="n">
        <v>45199</v>
      </c>
      <c r="C15889" s="3" t="inlineStr">
        <is>
          <t>Expenses</t>
        </is>
      </c>
      <c r="D15889" s="3" t="inlineStr">
        <is>
          <t>3053/000</t>
        </is>
      </c>
      <c r="E15889" s="3" t="inlineStr">
        <is>
          <t>Advertising - Google Ads</t>
        </is>
      </c>
      <c r="F15889" s="3" t="n">
        <v>77.73999999999999</v>
      </c>
      <c r="G15889" s="3" t="n">
        <v>6581.09</v>
      </c>
    </row>
    <row r="15890">
      <c r="A15890" s="3" t="inlineStr">
        <is>
          <t>Endulini (Pty) Ltd</t>
        </is>
      </c>
      <c r="B15890" s="4" t="n">
        <v>45199</v>
      </c>
      <c r="C15890" s="3" t="inlineStr">
        <is>
          <t>Expenses</t>
        </is>
      </c>
      <c r="D15890" s="3" t="inlineStr">
        <is>
          <t>3200/000</t>
        </is>
      </c>
      <c r="E15890" s="3" t="inlineStr">
        <is>
          <t>Bank Charges</t>
        </is>
      </c>
      <c r="F15890" s="3" t="n">
        <v>140.02</v>
      </c>
      <c r="G15890" s="3" t="n">
        <v>1471.98</v>
      </c>
    </row>
    <row r="15891">
      <c r="A15891" s="3" t="inlineStr">
        <is>
          <t>Noble Shield (Pty) Ltd ta Go Letting</t>
        </is>
      </c>
      <c r="B15891" s="4" t="n">
        <v>45199</v>
      </c>
      <c r="C15891" s="3" t="inlineStr">
        <is>
          <t>Expenses</t>
        </is>
      </c>
      <c r="D15891" s="3" t="inlineStr">
        <is>
          <t>3200/000</t>
        </is>
      </c>
      <c r="E15891" s="3" t="inlineStr">
        <is>
          <t>Bank Charges</t>
        </is>
      </c>
      <c r="F15891" s="3" t="n">
        <v>622.74</v>
      </c>
      <c r="G15891" s="3" t="n">
        <v>622.74</v>
      </c>
    </row>
    <row r="15892">
      <c r="A15892" s="3" t="inlineStr">
        <is>
          <t>Opportunity Global Investment (PTY) LTD</t>
        </is>
      </c>
      <c r="B15892" s="4" t="n">
        <v>45199</v>
      </c>
      <c r="C15892" s="3" t="inlineStr">
        <is>
          <t>Expenses</t>
        </is>
      </c>
      <c r="D15892" s="3" t="inlineStr">
        <is>
          <t>3200/000</t>
        </is>
      </c>
      <c r="E15892" s="3" t="inlineStr">
        <is>
          <t>Bank Charges</t>
        </is>
      </c>
      <c r="F15892" s="3" t="n">
        <v>335.93</v>
      </c>
      <c r="G15892" s="3" t="n">
        <v>3125.76</v>
      </c>
    </row>
    <row r="15893">
      <c r="A15893" s="3" t="inlineStr">
        <is>
          <t>Opportunity Global Sales (PTY) LTD</t>
        </is>
      </c>
      <c r="B15893" s="4" t="n">
        <v>45199</v>
      </c>
      <c r="C15893" s="3" t="inlineStr">
        <is>
          <t>Expenses</t>
        </is>
      </c>
      <c r="D15893" s="3" t="inlineStr">
        <is>
          <t>3200/000</t>
        </is>
      </c>
      <c r="E15893" s="3" t="inlineStr">
        <is>
          <t>Bank Charges</t>
        </is>
      </c>
      <c r="F15893" s="3" t="n">
        <v>537.84</v>
      </c>
      <c r="G15893" s="3" t="n">
        <v>3300.94</v>
      </c>
    </row>
    <row r="15894">
      <c r="A15894" s="3" t="inlineStr">
        <is>
          <t>Opportunity Management Holdings (PTY) LTD</t>
        </is>
      </c>
      <c r="B15894" s="4" t="n">
        <v>45199</v>
      </c>
      <c r="C15894" s="3" t="inlineStr">
        <is>
          <t>Expenses</t>
        </is>
      </c>
      <c r="D15894" s="3" t="inlineStr">
        <is>
          <t>3200/000</t>
        </is>
      </c>
      <c r="E15894" s="3" t="inlineStr">
        <is>
          <t>Bank Charges</t>
        </is>
      </c>
      <c r="F15894" s="3" t="n">
        <v>880.52</v>
      </c>
      <c r="G15894" s="3" t="n">
        <v>880.52</v>
      </c>
    </row>
    <row r="15895">
      <c r="A15895" s="3" t="inlineStr">
        <is>
          <t>Quinate Consulting (Pty) Ltd</t>
        </is>
      </c>
      <c r="B15895" s="4" t="n">
        <v>45199</v>
      </c>
      <c r="C15895" s="3" t="inlineStr">
        <is>
          <t>Expenses</t>
        </is>
      </c>
      <c r="D15895" s="3" t="inlineStr">
        <is>
          <t>3200/000</t>
        </is>
      </c>
      <c r="E15895" s="3" t="inlineStr">
        <is>
          <t>Bank Charges</t>
        </is>
      </c>
      <c r="F15895" s="3" t="n">
        <v>1207.51</v>
      </c>
      <c r="G15895" s="3" t="n">
        <v>6491.77</v>
      </c>
    </row>
    <row r="15896">
      <c r="A15896" s="3" t="inlineStr">
        <is>
          <t>Trademark Holdings (Pty) Ltd</t>
        </is>
      </c>
      <c r="B15896" s="4" t="n">
        <v>45199</v>
      </c>
      <c r="C15896" s="3" t="inlineStr">
        <is>
          <t>Expenses</t>
        </is>
      </c>
      <c r="D15896" s="3" t="inlineStr">
        <is>
          <t>3200/000</t>
        </is>
      </c>
      <c r="E15896" s="3" t="inlineStr">
        <is>
          <t>Bank Charges</t>
        </is>
      </c>
      <c r="F15896" s="3" t="n">
        <v>348.36</v>
      </c>
      <c r="G15896" s="3" t="n">
        <v>348.36</v>
      </c>
    </row>
    <row r="15897">
      <c r="A15897" s="3" t="inlineStr">
        <is>
          <t>Quinate Consulting (Pty) Ltd</t>
        </is>
      </c>
      <c r="B15897" s="4" t="n">
        <v>45199</v>
      </c>
      <c r="C15897" s="3" t="inlineStr">
        <is>
          <t>Expenses</t>
        </is>
      </c>
      <c r="D15897" s="3" t="inlineStr">
        <is>
          <t>3220/000</t>
        </is>
      </c>
      <c r="E15897" s="3" t="inlineStr">
        <is>
          <t>Bank Charges - Bond Fees</t>
        </is>
      </c>
      <c r="F15897" s="3" t="n">
        <v>1117.41</v>
      </c>
      <c r="G15897" s="3" t="n">
        <v>7821.87</v>
      </c>
    </row>
    <row r="15898">
      <c r="A15898" s="3" t="inlineStr">
        <is>
          <t>Noble Shield (Pty) Ltd ta Go Letting</t>
        </is>
      </c>
      <c r="B15898" s="4" t="n">
        <v>45199</v>
      </c>
      <c r="C15898" s="3" t="inlineStr">
        <is>
          <t>Expenses</t>
        </is>
      </c>
      <c r="D15898" s="3" t="inlineStr">
        <is>
          <t>3230/000</t>
        </is>
      </c>
      <c r="E15898" s="3" t="inlineStr">
        <is>
          <t>Cell Phone - NM</t>
        </is>
      </c>
      <c r="F15898" s="3" t="n">
        <v>2276.34</v>
      </c>
      <c r="G15898" s="3" t="n">
        <v>2276.34</v>
      </c>
    </row>
    <row r="15899">
      <c r="A15899" s="3" t="inlineStr">
        <is>
          <t>Noble Shield (Pty) Ltd ta Go Letting</t>
        </is>
      </c>
      <c r="B15899" s="4" t="n">
        <v>45199</v>
      </c>
      <c r="C15899" s="3" t="inlineStr">
        <is>
          <t>Expenses</t>
        </is>
      </c>
      <c r="D15899" s="3" t="inlineStr">
        <is>
          <t>3233/000</t>
        </is>
      </c>
      <c r="E15899" s="3" t="inlineStr">
        <is>
          <t>Cell Data - Other</t>
        </is>
      </c>
      <c r="F15899" s="3" t="n">
        <v>199</v>
      </c>
      <c r="G15899" s="3" t="n">
        <v>199</v>
      </c>
    </row>
    <row r="15900">
      <c r="A15900" s="3" t="inlineStr">
        <is>
          <t>Noble Shield (Pty) Ltd ta Go Letting</t>
        </is>
      </c>
      <c r="B15900" s="4" t="n">
        <v>45199</v>
      </c>
      <c r="C15900" s="3" t="inlineStr">
        <is>
          <t>Expenses</t>
        </is>
      </c>
      <c r="D15900" s="3" t="inlineStr">
        <is>
          <t>3233/100</t>
        </is>
      </c>
      <c r="E15900" s="3" t="inlineStr">
        <is>
          <t>Cell Data - Sales office Wifi</t>
        </is>
      </c>
      <c r="F15900" s="3" t="n">
        <v>385</v>
      </c>
      <c r="G15900" s="3" t="n">
        <v>385</v>
      </c>
    </row>
    <row r="15901">
      <c r="A15901" s="3" t="inlineStr">
        <is>
          <t>Opportunity Global Investment (PTY) LTD</t>
        </is>
      </c>
      <c r="B15901" s="4" t="n">
        <v>45199</v>
      </c>
      <c r="C15901" s="3" t="inlineStr">
        <is>
          <t>Expenses</t>
        </is>
      </c>
      <c r="D15901" s="3" t="inlineStr">
        <is>
          <t>3250/000</t>
        </is>
      </c>
      <c r="E15901" s="3" t="inlineStr">
        <is>
          <t>Cleaning</t>
        </is>
      </c>
      <c r="F15901" s="3" t="n">
        <v>2700</v>
      </c>
      <c r="G15901" s="3" t="n">
        <v>18900</v>
      </c>
    </row>
    <row r="15902">
      <c r="A15902" s="3" t="inlineStr">
        <is>
          <t>Opportunity Global Sales (PTY) LTD</t>
        </is>
      </c>
      <c r="B15902" s="4" t="n">
        <v>45199</v>
      </c>
      <c r="C15902" s="3" t="inlineStr">
        <is>
          <t>Expenses</t>
        </is>
      </c>
      <c r="D15902" s="3" t="inlineStr">
        <is>
          <t>3250/000</t>
        </is>
      </c>
      <c r="E15902" s="3" t="inlineStr">
        <is>
          <t>Cleaning</t>
        </is>
      </c>
      <c r="F15902" s="3" t="n">
        <v>6000</v>
      </c>
      <c r="G15902" s="3" t="n">
        <v>6000</v>
      </c>
    </row>
    <row r="15903">
      <c r="A15903" s="3" t="inlineStr">
        <is>
          <t>Opportunity Management Holdings (PTY) LTD</t>
        </is>
      </c>
      <c r="B15903" s="4" t="n">
        <v>45199</v>
      </c>
      <c r="C15903" s="3" t="inlineStr">
        <is>
          <t>Expenses</t>
        </is>
      </c>
      <c r="D15903" s="3" t="inlineStr">
        <is>
          <t>3250/000</t>
        </is>
      </c>
      <c r="E15903" s="3" t="inlineStr">
        <is>
          <t>Cleaning</t>
        </is>
      </c>
      <c r="F15903" s="3" t="n">
        <v>3505.86</v>
      </c>
      <c r="G15903" s="3" t="n">
        <v>3505.86</v>
      </c>
    </row>
    <row r="15904">
      <c r="A15904" s="3" t="inlineStr">
        <is>
          <t>Trademark Holdings (Pty) Ltd</t>
        </is>
      </c>
      <c r="B15904" s="4" t="n">
        <v>45199</v>
      </c>
      <c r="C15904" s="3" t="inlineStr">
        <is>
          <t>Expenses</t>
        </is>
      </c>
      <c r="D15904" s="3" t="inlineStr">
        <is>
          <t>3250/000</t>
        </is>
      </c>
      <c r="E15904" s="3" t="inlineStr">
        <is>
          <t>Cleaning</t>
        </is>
      </c>
      <c r="F15904" s="3" t="n">
        <v>858</v>
      </c>
      <c r="G15904" s="3" t="n">
        <v>858</v>
      </c>
    </row>
    <row r="15905">
      <c r="A15905" s="3" t="inlineStr">
        <is>
          <t>Opportunity Global Investment (PTY) LTD</t>
        </is>
      </c>
      <c r="B15905" s="4" t="n">
        <v>45199</v>
      </c>
      <c r="C15905" s="3" t="inlineStr">
        <is>
          <t>Expenses</t>
        </is>
      </c>
      <c r="D15905" s="3" t="inlineStr">
        <is>
          <t>3300/000</t>
        </is>
      </c>
      <c r="E15905" s="3" t="inlineStr">
        <is>
          <t>Computer Expenses</t>
        </is>
      </c>
      <c r="F15905" s="3" t="n">
        <v>0</v>
      </c>
      <c r="G15905" s="3" t="n">
        <v>1350</v>
      </c>
    </row>
    <row r="15906">
      <c r="A15906" s="3" t="inlineStr">
        <is>
          <t>Noble Shield (Pty) Ltd ta Go Letting</t>
        </is>
      </c>
      <c r="B15906" s="4" t="n">
        <v>45199</v>
      </c>
      <c r="C15906" s="3" t="inlineStr">
        <is>
          <t>Expenses</t>
        </is>
      </c>
      <c r="D15906" s="3" t="inlineStr">
        <is>
          <t>3300/120</t>
        </is>
      </c>
      <c r="E15906" s="3" t="inlineStr">
        <is>
          <t>Computer IT - Software Propworx</t>
        </is>
      </c>
      <c r="F15906" s="3" t="n">
        <v>2576</v>
      </c>
      <c r="G15906" s="3" t="n">
        <v>2576</v>
      </c>
    </row>
    <row r="15907">
      <c r="A15907" s="3" t="inlineStr">
        <is>
          <t>Noble Shield (Pty) Ltd ta Go Letting</t>
        </is>
      </c>
      <c r="B15907" s="4" t="n">
        <v>45199</v>
      </c>
      <c r="C15907" s="3" t="inlineStr">
        <is>
          <t>Expenses</t>
        </is>
      </c>
      <c r="D15907" s="3" t="inlineStr">
        <is>
          <t>3300/170</t>
        </is>
      </c>
      <c r="E15907" s="3" t="inlineStr">
        <is>
          <t>Computer IT - VDB office Fibre</t>
        </is>
      </c>
      <c r="F15907" s="3" t="n">
        <v>790</v>
      </c>
      <c r="G15907" s="3" t="n">
        <v>790</v>
      </c>
    </row>
    <row r="15908">
      <c r="A15908" s="3" t="inlineStr">
        <is>
          <t>Trademark Holdings (Pty) Ltd</t>
        </is>
      </c>
      <c r="B15908" s="4" t="n">
        <v>45199</v>
      </c>
      <c r="C15908" s="3" t="inlineStr">
        <is>
          <t>Expenses</t>
        </is>
      </c>
      <c r="D15908" s="3" t="inlineStr">
        <is>
          <t>3350/000</t>
        </is>
      </c>
      <c r="E15908" s="3" t="inlineStr">
        <is>
          <t>Consulting Fees</t>
        </is>
      </c>
      <c r="F15908" s="3" t="n">
        <v>22200</v>
      </c>
      <c r="G15908" s="3" t="n">
        <v>22200</v>
      </c>
    </row>
    <row r="15909">
      <c r="A15909" s="3" t="inlineStr">
        <is>
          <t>Opportunity Management Holdings (PTY) LTD</t>
        </is>
      </c>
      <c r="B15909" s="4" t="n">
        <v>45199</v>
      </c>
      <c r="C15909" s="3" t="inlineStr">
        <is>
          <t>Expenses</t>
        </is>
      </c>
      <c r="D15909" s="3" t="inlineStr">
        <is>
          <t>3350/100</t>
        </is>
      </c>
      <c r="E15909" s="3" t="inlineStr">
        <is>
          <t>Consulting Fee - Dirk Coetzee</t>
        </is>
      </c>
      <c r="F15909" s="3" t="n">
        <v>17000</v>
      </c>
      <c r="G15909" s="3" t="n">
        <v>17000</v>
      </c>
    </row>
    <row r="15910">
      <c r="A15910" s="3" t="inlineStr">
        <is>
          <t>Endulini (Pty) Ltd</t>
        </is>
      </c>
      <c r="B15910" s="4" t="n">
        <v>45199</v>
      </c>
      <c r="C15910" s="3" t="inlineStr">
        <is>
          <t>Expenses</t>
        </is>
      </c>
      <c r="D15910" s="3" t="inlineStr">
        <is>
          <t>3350/100</t>
        </is>
      </c>
      <c r="E15910" s="3" t="inlineStr">
        <is>
          <t>Consulting Fees - Admin and Finance</t>
        </is>
      </c>
      <c r="F15910" s="3" t="n">
        <v>42480</v>
      </c>
      <c r="G15910" s="3" t="n">
        <v>313557.57</v>
      </c>
    </row>
    <row r="15911">
      <c r="A15911" s="3" t="inlineStr">
        <is>
          <t>Opportunity Global Investment (PTY) LTD</t>
        </is>
      </c>
      <c r="B15911" s="4" t="n">
        <v>45199</v>
      </c>
      <c r="C15911" s="3" t="inlineStr">
        <is>
          <t>Expenses</t>
        </is>
      </c>
      <c r="D15911" s="3" t="inlineStr">
        <is>
          <t>3350/100</t>
        </is>
      </c>
      <c r="E15911" s="3" t="inlineStr">
        <is>
          <t>Consulting Fees - Admin and Finance</t>
        </is>
      </c>
      <c r="F15911" s="3" t="n">
        <v>13655.26</v>
      </c>
      <c r="G15911" s="3" t="n">
        <v>110844.06</v>
      </c>
    </row>
    <row r="15912">
      <c r="A15912" s="3" t="inlineStr">
        <is>
          <t>Opportunity Global Sales (PTY) LTD</t>
        </is>
      </c>
      <c r="B15912" s="4" t="n">
        <v>45199</v>
      </c>
      <c r="C15912" s="3" t="inlineStr">
        <is>
          <t>Expenses</t>
        </is>
      </c>
      <c r="D15912" s="3" t="inlineStr">
        <is>
          <t>3350/100</t>
        </is>
      </c>
      <c r="E15912" s="3" t="inlineStr">
        <is>
          <t>Consulting Fees - Admin and Finance</t>
        </is>
      </c>
      <c r="F15912" s="3" t="n">
        <v>15455</v>
      </c>
      <c r="G15912" s="3" t="n">
        <v>108307</v>
      </c>
    </row>
    <row r="15913">
      <c r="A15913" s="3" t="inlineStr">
        <is>
          <t>Opportunity Global Sales (PTY) LTD</t>
        </is>
      </c>
      <c r="B15913" s="4" t="n">
        <v>45199</v>
      </c>
      <c r="C15913" s="3" t="inlineStr">
        <is>
          <t>Expenses</t>
        </is>
      </c>
      <c r="D15913" s="3" t="inlineStr">
        <is>
          <t>3350/200</t>
        </is>
      </c>
      <c r="E15913" s="3" t="inlineStr">
        <is>
          <t>Consulting Fees - Agent Karien Muller</t>
        </is>
      </c>
      <c r="F15913" s="3" t="n">
        <v>0</v>
      </c>
      <c r="G15913" s="3" t="n">
        <v>10000</v>
      </c>
    </row>
    <row r="15914">
      <c r="A15914" s="3" t="inlineStr">
        <is>
          <t>Opportunity Global Investment (PTY) LTD</t>
        </is>
      </c>
      <c r="B15914" s="4" t="n">
        <v>45199</v>
      </c>
      <c r="C15914" s="3" t="inlineStr">
        <is>
          <t>Expenses</t>
        </is>
      </c>
      <c r="D15914" s="3" t="inlineStr">
        <is>
          <t>3350/200</t>
        </is>
      </c>
      <c r="E15914" s="3" t="inlineStr">
        <is>
          <t>Consulting Fees - Rockfin</t>
        </is>
      </c>
      <c r="F15914" s="3" t="n">
        <v>10000</v>
      </c>
      <c r="G15914" s="3" t="n">
        <v>70000</v>
      </c>
    </row>
    <row r="15915">
      <c r="A15915" s="3" t="inlineStr">
        <is>
          <t>Opportunity Management Holdings (PTY) LTD</t>
        </is>
      </c>
      <c r="B15915" s="4" t="n">
        <v>45199</v>
      </c>
      <c r="C15915" s="3" t="inlineStr">
        <is>
          <t>Expenses</t>
        </is>
      </c>
      <c r="D15915" s="3" t="inlineStr">
        <is>
          <t>3350/300</t>
        </is>
      </c>
      <c r="E15915" s="3" t="inlineStr">
        <is>
          <t>Consulting Fee - HR Joblaw</t>
        </is>
      </c>
      <c r="F15915" s="3" t="n">
        <v>1600.83</v>
      </c>
      <c r="G15915" s="3" t="n">
        <v>1600.83</v>
      </c>
    </row>
    <row r="15916">
      <c r="A15916" s="3" t="inlineStr">
        <is>
          <t>Quinate Consulting (Pty) Ltd</t>
        </is>
      </c>
      <c r="B15916" s="4" t="n">
        <v>45199</v>
      </c>
      <c r="C15916" s="3" t="inlineStr">
        <is>
          <t>Expenses</t>
        </is>
      </c>
      <c r="D15916" s="3" t="inlineStr">
        <is>
          <t>3350/300</t>
        </is>
      </c>
      <c r="E15916" s="3" t="inlineStr">
        <is>
          <t>Consulting Fees - Admin and Finance</t>
        </is>
      </c>
      <c r="F15916" s="3" t="n">
        <v>17425</v>
      </c>
      <c r="G15916" s="3" t="n">
        <v>29925</v>
      </c>
    </row>
    <row r="15917">
      <c r="A15917" s="3" t="inlineStr">
        <is>
          <t>Opportunity Global Investment (PTY) LTD</t>
        </is>
      </c>
      <c r="B15917" s="4" t="n">
        <v>45199</v>
      </c>
      <c r="C15917" s="3" t="inlineStr">
        <is>
          <t>Expenses</t>
        </is>
      </c>
      <c r="D15917" s="3" t="inlineStr">
        <is>
          <t>3350/300</t>
        </is>
      </c>
      <c r="E15917" s="3" t="inlineStr">
        <is>
          <t>Consulting Fees - BLCS</t>
        </is>
      </c>
      <c r="F15917" s="3" t="n">
        <v>4000</v>
      </c>
      <c r="G15917" s="3" t="n">
        <v>14000</v>
      </c>
    </row>
    <row r="15918">
      <c r="A15918" s="3" t="inlineStr">
        <is>
          <t>Opportunity Global Investment (PTY) LTD</t>
        </is>
      </c>
      <c r="B15918" s="4" t="n">
        <v>45199</v>
      </c>
      <c r="C15918" s="3" t="inlineStr">
        <is>
          <t>Expenses</t>
        </is>
      </c>
      <c r="D15918" s="3" t="inlineStr">
        <is>
          <t>3350/400</t>
        </is>
      </c>
      <c r="E15918" s="3" t="inlineStr">
        <is>
          <t>Consulting Fees: Solaris Law</t>
        </is>
      </c>
      <c r="F15918" s="3" t="n">
        <v>10000</v>
      </c>
      <c r="G15918" s="3" t="n">
        <v>10000</v>
      </c>
    </row>
    <row r="15919">
      <c r="A15919" s="3" t="inlineStr">
        <is>
          <t>Quinate Consulting (Pty) Ltd</t>
        </is>
      </c>
      <c r="B15919" s="4" t="n">
        <v>45199</v>
      </c>
      <c r="C15919" s="3" t="inlineStr">
        <is>
          <t>Expenses</t>
        </is>
      </c>
      <c r="D15919" s="3" t="inlineStr">
        <is>
          <t>3351/000</t>
        </is>
      </c>
      <c r="E15919" s="3" t="inlineStr">
        <is>
          <t>Consulting fees - Trustees</t>
        </is>
      </c>
      <c r="F15919" s="3" t="n">
        <v>8400</v>
      </c>
      <c r="G15919" s="3" t="n">
        <v>58000</v>
      </c>
    </row>
    <row r="15920">
      <c r="A15920" s="3" t="inlineStr">
        <is>
          <t>Opportunity Global Investment (PTY) LTD</t>
        </is>
      </c>
      <c r="B15920" s="4" t="n">
        <v>45199</v>
      </c>
      <c r="C15920" s="3" t="inlineStr">
        <is>
          <t>Expenses</t>
        </is>
      </c>
      <c r="D15920" s="3" t="inlineStr">
        <is>
          <t>3354/000</t>
        </is>
      </c>
      <c r="E15920" s="3" t="inlineStr">
        <is>
          <t>Consulting Fees - Karien Muller</t>
        </is>
      </c>
      <c r="F15920" s="3" t="n">
        <v>12500</v>
      </c>
      <c r="G15920" s="3" t="n">
        <v>12500</v>
      </c>
    </row>
    <row r="15921">
      <c r="A15921" s="3" t="inlineStr">
        <is>
          <t>Opportunity Management Holdings (PTY) LTD</t>
        </is>
      </c>
      <c r="B15921" s="4" t="n">
        <v>45199</v>
      </c>
      <c r="C15921" s="3" t="inlineStr">
        <is>
          <t>Expenses</t>
        </is>
      </c>
      <c r="D15921" s="3" t="inlineStr">
        <is>
          <t>3400/000</t>
        </is>
      </c>
      <c r="E15921" s="3" t="inlineStr">
        <is>
          <t>Courier _AND_ Postage</t>
        </is>
      </c>
      <c r="F15921" s="3" t="n">
        <v>664.3200000000001</v>
      </c>
      <c r="G15921" s="3" t="n">
        <v>664.3200000000001</v>
      </c>
    </row>
    <row r="15922">
      <c r="A15922" s="3" t="inlineStr">
        <is>
          <t>Quinate Consulting (Pty) Ltd</t>
        </is>
      </c>
      <c r="B15922" s="4" t="n">
        <v>45199</v>
      </c>
      <c r="C15922" s="3" t="inlineStr">
        <is>
          <t>Expenses</t>
        </is>
      </c>
      <c r="D15922" s="3" t="inlineStr">
        <is>
          <t>3450/001</t>
        </is>
      </c>
      <c r="E15922" s="3" t="inlineStr">
        <is>
          <t>Depreciation - Computer Equipment</t>
        </is>
      </c>
      <c r="F15922" s="3" t="n">
        <v>2331.67</v>
      </c>
      <c r="G15922" s="3" t="n">
        <v>16321.61</v>
      </c>
    </row>
    <row r="15923">
      <c r="A15923" s="3" t="inlineStr">
        <is>
          <t>Opportunity Global Investment (PTY) LTD</t>
        </is>
      </c>
      <c r="B15923" s="4" t="n">
        <v>45199</v>
      </c>
      <c r="C15923" s="3" t="inlineStr">
        <is>
          <t>Expenses</t>
        </is>
      </c>
      <c r="D15923" s="3" t="inlineStr">
        <is>
          <t>3450/001</t>
        </is>
      </c>
      <c r="E15923" s="3" t="inlineStr">
        <is>
          <t>Depreciation - Computer equipment</t>
        </is>
      </c>
      <c r="F15923" s="3" t="n">
        <v>880.1</v>
      </c>
      <c r="G15923" s="3" t="n">
        <v>6160.6</v>
      </c>
    </row>
    <row r="15924">
      <c r="A15924" s="3" t="inlineStr">
        <is>
          <t>Quinate Consulting (Pty) Ltd</t>
        </is>
      </c>
      <c r="B15924" s="4" t="n">
        <v>45199</v>
      </c>
      <c r="C15924" s="3" t="inlineStr">
        <is>
          <t>Expenses</t>
        </is>
      </c>
      <c r="D15924" s="3" t="inlineStr">
        <is>
          <t>3450/002</t>
        </is>
      </c>
      <c r="E15924" s="3" t="inlineStr">
        <is>
          <t>Depreciation - Site Containers</t>
        </is>
      </c>
      <c r="F15924" s="3" t="n">
        <v>318.84</v>
      </c>
      <c r="G15924" s="3" t="n">
        <v>2231.88</v>
      </c>
    </row>
    <row r="15925">
      <c r="A15925" s="3" t="inlineStr">
        <is>
          <t>Opportunity Global Sales (PTY) LTD</t>
        </is>
      </c>
      <c r="B15925" s="4" t="n">
        <v>45199</v>
      </c>
      <c r="C15925" s="3" t="inlineStr">
        <is>
          <t>Expenses</t>
        </is>
      </c>
      <c r="D15925" s="3" t="inlineStr">
        <is>
          <t>3450/030</t>
        </is>
      </c>
      <c r="E15925" s="3" t="inlineStr">
        <is>
          <t>Depreciation - Furniture and Fittings</t>
        </is>
      </c>
      <c r="F15925" s="3" t="n">
        <v>408.05</v>
      </c>
      <c r="G15925" s="3" t="n">
        <v>2856.36</v>
      </c>
    </row>
    <row r="15926">
      <c r="A15926" s="3" t="inlineStr">
        <is>
          <t>Opportunity Management Holdings (PTY) LTD</t>
        </is>
      </c>
      <c r="B15926" s="4" t="n">
        <v>45199</v>
      </c>
      <c r="C15926" s="3" t="inlineStr">
        <is>
          <t>Expenses</t>
        </is>
      </c>
      <c r="D15926" s="3" t="inlineStr">
        <is>
          <t>3451/000</t>
        </is>
      </c>
      <c r="E15926" s="3" t="inlineStr">
        <is>
          <t>Depreciation - Computer Equipment</t>
        </is>
      </c>
      <c r="F15926" s="3" t="n">
        <v>1035.18</v>
      </c>
      <c r="G15926" s="3" t="n">
        <v>1035.18</v>
      </c>
    </row>
    <row r="15927">
      <c r="A15927" s="3" t="inlineStr">
        <is>
          <t>Quinate Consulting (Pty) Ltd</t>
        </is>
      </c>
      <c r="B15927" s="4" t="n">
        <v>45199</v>
      </c>
      <c r="C15927" s="3" t="inlineStr">
        <is>
          <t>Expenses</t>
        </is>
      </c>
      <c r="D15927" s="3" t="inlineStr">
        <is>
          <t>3600/000</t>
        </is>
      </c>
      <c r="E15927" s="3" t="inlineStr">
        <is>
          <t>Donations</t>
        </is>
      </c>
      <c r="F15927" s="3" t="n">
        <v>572.45</v>
      </c>
      <c r="G15927" s="3" t="n">
        <v>4007.15</v>
      </c>
    </row>
    <row r="15928">
      <c r="A15928" s="3" t="inlineStr">
        <is>
          <t>Opportunity Global Investment (PTY) LTD</t>
        </is>
      </c>
      <c r="B15928" s="4" t="n">
        <v>45199</v>
      </c>
      <c r="C15928" s="3" t="inlineStr">
        <is>
          <t>Expenses</t>
        </is>
      </c>
      <c r="D15928" s="3" t="inlineStr">
        <is>
          <t>3650/000</t>
        </is>
      </c>
      <c r="E15928" s="3" t="inlineStr">
        <is>
          <t>Electricity _AND_ Water</t>
        </is>
      </c>
      <c r="F15928" s="3" t="n">
        <v>2950</v>
      </c>
      <c r="G15928" s="3" t="n">
        <v>20650</v>
      </c>
    </row>
    <row r="15929">
      <c r="A15929" s="3" t="inlineStr">
        <is>
          <t>Noble Shield (Pty) Ltd ta Go Letting</t>
        </is>
      </c>
      <c r="B15929" s="4" t="n">
        <v>45199</v>
      </c>
      <c r="C15929" s="3" t="inlineStr">
        <is>
          <t>Expenses</t>
        </is>
      </c>
      <c r="D15929" s="3" t="inlineStr">
        <is>
          <t>3651/000</t>
        </is>
      </c>
      <c r="E15929" s="3" t="inlineStr">
        <is>
          <t>Electricity _AND_ Water - Rentals</t>
        </is>
      </c>
      <c r="F15929" s="3" t="n">
        <v>1000</v>
      </c>
      <c r="G15929" s="3" t="n">
        <v>1000</v>
      </c>
    </row>
    <row r="15930">
      <c r="A15930" s="3" t="inlineStr">
        <is>
          <t>Quinate Consulting (Pty) Ltd</t>
        </is>
      </c>
      <c r="B15930" s="4" t="n">
        <v>45199</v>
      </c>
      <c r="C15930" s="3" t="inlineStr">
        <is>
          <t>Expenses</t>
        </is>
      </c>
      <c r="D15930" s="3" t="inlineStr">
        <is>
          <t>3651/000</t>
        </is>
      </c>
      <c r="E15930" s="3" t="inlineStr">
        <is>
          <t>Electricity _AND_ Water - Southwark</t>
        </is>
      </c>
      <c r="F15930" s="3" t="n">
        <v>4551.36</v>
      </c>
      <c r="G15930" s="3" t="n">
        <v>192951.02</v>
      </c>
    </row>
    <row r="15931">
      <c r="A15931" s="3" t="inlineStr">
        <is>
          <t>Quinate Consulting (Pty) Ltd</t>
        </is>
      </c>
      <c r="B15931" s="4" t="n">
        <v>45199</v>
      </c>
      <c r="C15931" s="3" t="inlineStr">
        <is>
          <t>Expenses</t>
        </is>
      </c>
      <c r="D15931" s="3" t="inlineStr">
        <is>
          <t>3652/000</t>
        </is>
      </c>
      <c r="E15931" s="3" t="inlineStr">
        <is>
          <t>Electricity _AND_ Water - Soho</t>
        </is>
      </c>
      <c r="F15931" s="3" t="n">
        <v>34252.21</v>
      </c>
      <c r="G15931" s="3" t="n">
        <v>202496.28</v>
      </c>
    </row>
    <row r="15932">
      <c r="A15932" s="3" t="inlineStr">
        <is>
          <t>Quinate Consulting (Pty) Ltd</t>
        </is>
      </c>
      <c r="B15932" s="4" t="n">
        <v>45199</v>
      </c>
      <c r="C15932" s="3" t="inlineStr">
        <is>
          <t>Expenses</t>
        </is>
      </c>
      <c r="D15932" s="3" t="inlineStr">
        <is>
          <t>3653/000</t>
        </is>
      </c>
      <c r="E15932" s="3" t="inlineStr">
        <is>
          <t>Electricity _AND_ Water - Endulini</t>
        </is>
      </c>
      <c r="F15932" s="3" t="n">
        <v>-1374.46</v>
      </c>
      <c r="G15932" s="3" t="n">
        <v>-2732.43</v>
      </c>
    </row>
    <row r="15933">
      <c r="A15933" s="3" t="inlineStr">
        <is>
          <t>Opportunity Global Investment (PTY) LTD</t>
        </is>
      </c>
      <c r="B15933" s="4" t="n">
        <v>45199</v>
      </c>
      <c r="C15933" s="3" t="inlineStr">
        <is>
          <t>Expenses</t>
        </is>
      </c>
      <c r="D15933" s="3" t="inlineStr">
        <is>
          <t>3700/000</t>
        </is>
      </c>
      <c r="E15933" s="3" t="inlineStr">
        <is>
          <t>Entertainment Expenses</t>
        </is>
      </c>
      <c r="F15933" s="3" t="n">
        <v>573.91</v>
      </c>
      <c r="G15933" s="3" t="n">
        <v>3947.22</v>
      </c>
    </row>
    <row r="15934">
      <c r="A15934" s="3" t="inlineStr">
        <is>
          <t>Opportunity Global Sales (PTY) LTD</t>
        </is>
      </c>
      <c r="B15934" s="4" t="n">
        <v>45199</v>
      </c>
      <c r="C15934" s="3" t="inlineStr">
        <is>
          <t>Expenses</t>
        </is>
      </c>
      <c r="D15934" s="3" t="inlineStr">
        <is>
          <t>3700/000</t>
        </is>
      </c>
      <c r="E15934" s="3" t="inlineStr">
        <is>
          <t>Entertainment Expenses</t>
        </is>
      </c>
      <c r="F15934" s="3" t="n">
        <v>0</v>
      </c>
      <c r="G15934" s="3" t="n">
        <v>1880</v>
      </c>
    </row>
    <row r="15935">
      <c r="A15935" s="3" t="inlineStr">
        <is>
          <t>Quinate Consulting (Pty) Ltd</t>
        </is>
      </c>
      <c r="B15935" s="4" t="n">
        <v>45199</v>
      </c>
      <c r="C15935" s="3" t="inlineStr">
        <is>
          <t>Expenses</t>
        </is>
      </c>
      <c r="D15935" s="3" t="inlineStr">
        <is>
          <t>3700/000</t>
        </is>
      </c>
      <c r="E15935" s="3" t="inlineStr">
        <is>
          <t>Entertainment Expenses</t>
        </is>
      </c>
      <c r="F15935" s="3" t="n">
        <v>6478.9</v>
      </c>
      <c r="G15935" s="3" t="n">
        <v>11745.05</v>
      </c>
    </row>
    <row r="15936">
      <c r="A15936" s="3" t="inlineStr">
        <is>
          <t>Opportunity Management Holdings (PTY) LTD</t>
        </is>
      </c>
      <c r="B15936" s="4" t="n">
        <v>45199</v>
      </c>
      <c r="C15936" s="3" t="inlineStr">
        <is>
          <t>Expenses</t>
        </is>
      </c>
      <c r="D15936" s="3" t="inlineStr">
        <is>
          <t>3800/000</t>
        </is>
      </c>
      <c r="E15936" s="3" t="inlineStr">
        <is>
          <t>General Expenses</t>
        </is>
      </c>
      <c r="F15936" s="3" t="n">
        <v>418.94</v>
      </c>
      <c r="G15936" s="3" t="n">
        <v>418.94</v>
      </c>
    </row>
    <row r="15937">
      <c r="A15937" s="3" t="inlineStr">
        <is>
          <t>Opportunity Global Investment (PTY) LTD</t>
        </is>
      </c>
      <c r="B15937" s="4" t="n">
        <v>45199</v>
      </c>
      <c r="C15937" s="3" t="inlineStr">
        <is>
          <t>Expenses</t>
        </is>
      </c>
      <c r="D15937" s="3" t="inlineStr">
        <is>
          <t>3800/010</t>
        </is>
      </c>
      <c r="E15937" s="3" t="inlineStr">
        <is>
          <t>General Expences - Gifts</t>
        </is>
      </c>
      <c r="F15937" s="3" t="n">
        <v>0</v>
      </c>
      <c r="G15937" s="3" t="n">
        <v>5651.3</v>
      </c>
    </row>
    <row r="15938">
      <c r="A15938" s="3" t="inlineStr">
        <is>
          <t>Opportunity Global Sales (PTY) LTD</t>
        </is>
      </c>
      <c r="B15938" s="4" t="n">
        <v>45199</v>
      </c>
      <c r="C15938" s="3" t="inlineStr">
        <is>
          <t>Expenses</t>
        </is>
      </c>
      <c r="D15938" s="3" t="inlineStr">
        <is>
          <t>3800/010</t>
        </is>
      </c>
      <c r="E15938" s="3" t="inlineStr">
        <is>
          <t>General Expences - Gifts</t>
        </is>
      </c>
      <c r="F15938" s="3" t="n">
        <v>0</v>
      </c>
      <c r="G15938" s="3" t="n">
        <v>729.85</v>
      </c>
    </row>
    <row r="15939">
      <c r="A15939" s="3" t="inlineStr">
        <is>
          <t>Opportunity Management Holdings (PTY) LTD</t>
        </is>
      </c>
      <c r="B15939" s="4" t="n">
        <v>45199</v>
      </c>
      <c r="C15939" s="3" t="inlineStr">
        <is>
          <t>Expenses</t>
        </is>
      </c>
      <c r="D15939" s="3" t="inlineStr">
        <is>
          <t>3800/030</t>
        </is>
      </c>
      <c r="E15939" s="3" t="inlineStr">
        <is>
          <t>General Expenses: Showhouse Heron View</t>
        </is>
      </c>
      <c r="F15939" s="3" t="n">
        <v>987.72</v>
      </c>
      <c r="G15939" s="3" t="n">
        <v>987.72</v>
      </c>
    </row>
    <row r="15940">
      <c r="A15940" s="3" t="inlineStr">
        <is>
          <t>Opportunity Management Holdings (PTY) LTD</t>
        </is>
      </c>
      <c r="B15940" s="4" t="n">
        <v>45199</v>
      </c>
      <c r="C15940" s="3" t="inlineStr">
        <is>
          <t>Expenses</t>
        </is>
      </c>
      <c r="D15940" s="3" t="inlineStr">
        <is>
          <t>3850/000</t>
        </is>
      </c>
      <c r="E15940" s="3" t="inlineStr">
        <is>
          <t>Insurance - Momentum</t>
        </is>
      </c>
      <c r="F15940" s="3" t="n">
        <v>1696.06</v>
      </c>
      <c r="G15940" s="3" t="n">
        <v>1696.06</v>
      </c>
    </row>
    <row r="15941">
      <c r="A15941" s="3" t="inlineStr">
        <is>
          <t>Noble Shield (Pty) Ltd ta Go Letting</t>
        </is>
      </c>
      <c r="B15941" s="4" t="n">
        <v>45199</v>
      </c>
      <c r="C15941" s="3" t="inlineStr">
        <is>
          <t>Expenses</t>
        </is>
      </c>
      <c r="D15941" s="3" t="inlineStr">
        <is>
          <t>3850/100</t>
        </is>
      </c>
      <c r="E15941" s="3" t="inlineStr">
        <is>
          <t>Insurance - Santam</t>
        </is>
      </c>
      <c r="F15941" s="3" t="n">
        <v>4249.41</v>
      </c>
      <c r="G15941" s="3" t="n">
        <v>4249.41</v>
      </c>
    </row>
    <row r="15942">
      <c r="A15942" s="3" t="inlineStr">
        <is>
          <t>Noble Shield (Pty) Ltd ta Go Letting</t>
        </is>
      </c>
      <c r="B15942" s="4" t="n">
        <v>45199</v>
      </c>
      <c r="C15942" s="3" t="inlineStr">
        <is>
          <t>Expenses</t>
        </is>
      </c>
      <c r="D15942" s="3" t="inlineStr">
        <is>
          <t>3850/200</t>
        </is>
      </c>
      <c r="E15942" s="3" t="inlineStr">
        <is>
          <t>Insurance - A_AND_G</t>
        </is>
      </c>
      <c r="F15942" s="3" t="n">
        <v>4488.92</v>
      </c>
      <c r="G15942" s="3" t="n">
        <v>4488.92</v>
      </c>
    </row>
    <row r="15943">
      <c r="A15943" s="3" t="inlineStr">
        <is>
          <t>Quinate Consulting (Pty) Ltd</t>
        </is>
      </c>
      <c r="B15943" s="4" t="n">
        <v>45199</v>
      </c>
      <c r="C15943" s="3" t="inlineStr">
        <is>
          <t>Expenses</t>
        </is>
      </c>
      <c r="D15943" s="3" t="inlineStr">
        <is>
          <t>3851/000</t>
        </is>
      </c>
      <c r="E15943" s="3" t="inlineStr">
        <is>
          <t>Insurance - Momentum</t>
        </is>
      </c>
      <c r="F15943" s="3" t="n">
        <v>7990.64</v>
      </c>
      <c r="G15943" s="3" t="n">
        <v>55934.48</v>
      </c>
    </row>
    <row r="15944">
      <c r="A15944" s="3" t="inlineStr">
        <is>
          <t>Quinate Consulting (Pty) Ltd</t>
        </is>
      </c>
      <c r="B15944" s="4" t="n">
        <v>45199</v>
      </c>
      <c r="C15944" s="3" t="inlineStr">
        <is>
          <t>Expenses</t>
        </is>
      </c>
      <c r="D15944" s="3" t="inlineStr">
        <is>
          <t>3900/000</t>
        </is>
      </c>
      <c r="E15944" s="3" t="inlineStr">
        <is>
          <t>Interest Paid</t>
        </is>
      </c>
      <c r="F15944" s="3" t="n">
        <v>0</v>
      </c>
      <c r="G15944" s="3" t="n">
        <v>1307.76</v>
      </c>
    </row>
    <row r="15945">
      <c r="A15945" s="3" t="inlineStr">
        <is>
          <t>Quinate Consulting (Pty) Ltd</t>
        </is>
      </c>
      <c r="B15945" s="4" t="n">
        <v>45199</v>
      </c>
      <c r="C15945" s="3" t="inlineStr">
        <is>
          <t>Expenses</t>
        </is>
      </c>
      <c r="D15945" s="3" t="inlineStr">
        <is>
          <t>3900/050</t>
        </is>
      </c>
      <c r="E15945" s="3" t="inlineStr">
        <is>
          <t>Interest Paid - STD Bond Accounts</t>
        </is>
      </c>
      <c r="F15945" s="3" t="n">
        <v>66167.75</v>
      </c>
      <c r="G15945" s="3" t="n">
        <v>457907.04</v>
      </c>
    </row>
    <row r="15946">
      <c r="A15946" s="3" t="inlineStr">
        <is>
          <t>Endulini (Pty) Ltd</t>
        </is>
      </c>
      <c r="B15946" s="4" t="n">
        <v>45199</v>
      </c>
      <c r="C15946" s="3" t="inlineStr">
        <is>
          <t>Expenses</t>
        </is>
      </c>
      <c r="D15946" s="3" t="inlineStr">
        <is>
          <t>3900/112</t>
        </is>
      </c>
      <c r="E15946" s="3" t="inlineStr">
        <is>
          <t>Interest Paid - Investors @ 6.5%</t>
        </is>
      </c>
      <c r="F15946" s="3" t="n">
        <v>0</v>
      </c>
      <c r="G15946" s="3" t="n">
        <v>605.49</v>
      </c>
    </row>
    <row r="15947">
      <c r="A15947" s="3" t="inlineStr">
        <is>
          <t>Endulini (Pty) Ltd</t>
        </is>
      </c>
      <c r="B15947" s="4" t="n">
        <v>45199</v>
      </c>
      <c r="C15947" s="3" t="inlineStr">
        <is>
          <t>Expenses</t>
        </is>
      </c>
      <c r="D15947" s="3" t="inlineStr">
        <is>
          <t>3900/113</t>
        </is>
      </c>
      <c r="E15947" s="3" t="inlineStr">
        <is>
          <t>Interest Paid - Investors @ 6.75%</t>
        </is>
      </c>
      <c r="F15947" s="3" t="n">
        <v>0</v>
      </c>
      <c r="G15947" s="3" t="n">
        <v>3532.19</v>
      </c>
    </row>
    <row r="15948">
      <c r="A15948" s="3" t="inlineStr">
        <is>
          <t>Endulini (Pty) Ltd</t>
        </is>
      </c>
      <c r="B15948" s="4" t="n">
        <v>45199</v>
      </c>
      <c r="C15948" s="3" t="inlineStr">
        <is>
          <t>Expenses</t>
        </is>
      </c>
      <c r="D15948" s="3" t="inlineStr">
        <is>
          <t>3900/120</t>
        </is>
      </c>
      <c r="E15948" s="3" t="inlineStr">
        <is>
          <t>Interest Paid - Investors @ 7%</t>
        </is>
      </c>
      <c r="F15948" s="3" t="n">
        <v>0</v>
      </c>
      <c r="G15948" s="3" t="n">
        <v>2794.72</v>
      </c>
    </row>
    <row r="15949">
      <c r="A15949" s="3" t="inlineStr">
        <is>
          <t>Endulini (Pty) Ltd</t>
        </is>
      </c>
      <c r="B15949" s="4" t="n">
        <v>45199</v>
      </c>
      <c r="C15949" s="3" t="inlineStr">
        <is>
          <t>Expenses</t>
        </is>
      </c>
      <c r="D15949" s="3" t="inlineStr">
        <is>
          <t>3900/122</t>
        </is>
      </c>
      <c r="E15949" s="3" t="inlineStr">
        <is>
          <t>Interest Paid - Investors @ 7.5%</t>
        </is>
      </c>
      <c r="F15949" s="3" t="n">
        <v>0</v>
      </c>
      <c r="G15949" s="3" t="n">
        <v>45.53</v>
      </c>
    </row>
    <row r="15950">
      <c r="A15950" s="3" t="inlineStr">
        <is>
          <t>Quinate Consulting (Pty) Ltd</t>
        </is>
      </c>
      <c r="B15950" s="4" t="n">
        <v>45199</v>
      </c>
      <c r="C15950" s="3" t="inlineStr">
        <is>
          <t>Expenses</t>
        </is>
      </c>
      <c r="D15950" s="3" t="inlineStr">
        <is>
          <t>3900/152</t>
        </is>
      </c>
      <c r="E15950" s="3" t="inlineStr">
        <is>
          <t>Interest Paid - Gengis</t>
        </is>
      </c>
      <c r="F15950" s="3" t="n">
        <v>3402.74</v>
      </c>
      <c r="G15950" s="3" t="n">
        <v>24272.88</v>
      </c>
    </row>
    <row r="15951">
      <c r="A15951" s="3" t="inlineStr">
        <is>
          <t>Endulini (Pty) Ltd</t>
        </is>
      </c>
      <c r="B15951" s="4" t="n">
        <v>45199</v>
      </c>
      <c r="C15951" s="3" t="inlineStr">
        <is>
          <t>Expenses</t>
        </is>
      </c>
      <c r="D15951" s="3" t="inlineStr">
        <is>
          <t>3900/190</t>
        </is>
      </c>
      <c r="E15951" s="3" t="inlineStr">
        <is>
          <t>Interest Paid - Investors @ 14%</t>
        </is>
      </c>
      <c r="F15951" s="3" t="n">
        <v>0</v>
      </c>
      <c r="G15951" s="3" t="n">
        <v>177783.07</v>
      </c>
    </row>
    <row r="15952">
      <c r="A15952" s="3" t="inlineStr">
        <is>
          <t>Endulini (Pty) Ltd</t>
        </is>
      </c>
      <c r="B15952" s="4" t="n">
        <v>45199</v>
      </c>
      <c r="C15952" s="3" t="inlineStr">
        <is>
          <t>Expenses</t>
        </is>
      </c>
      <c r="D15952" s="3" t="inlineStr">
        <is>
          <t>3900/210</t>
        </is>
      </c>
      <c r="E15952" s="3" t="inlineStr">
        <is>
          <t>Interest Paid - Investors @ 16%</t>
        </is>
      </c>
      <c r="F15952" s="3" t="n">
        <v>0</v>
      </c>
      <c r="G15952" s="3" t="n">
        <v>47736.98</v>
      </c>
    </row>
    <row r="15953">
      <c r="A15953" s="3" t="inlineStr">
        <is>
          <t>Endulini (Pty) Ltd</t>
        </is>
      </c>
      <c r="B15953" s="4" t="n">
        <v>45199</v>
      </c>
      <c r="C15953" s="3" t="inlineStr">
        <is>
          <t>Expenses</t>
        </is>
      </c>
      <c r="D15953" s="3" t="inlineStr">
        <is>
          <t>3900/230</t>
        </is>
      </c>
      <c r="E15953" s="3" t="inlineStr">
        <is>
          <t>Interest Paid - Investors @ 18%</t>
        </is>
      </c>
      <c r="F15953" s="3" t="n">
        <v>0</v>
      </c>
      <c r="G15953" s="3" t="n">
        <v>64356.16</v>
      </c>
    </row>
    <row r="15954">
      <c r="A15954" s="3" t="inlineStr">
        <is>
          <t>Opportunity Management Holdings (PTY) LTD</t>
        </is>
      </c>
      <c r="B15954" s="4" t="n">
        <v>45199</v>
      </c>
      <c r="C15954" s="3" t="inlineStr">
        <is>
          <t>Expenses</t>
        </is>
      </c>
      <c r="D15954" s="3" t="inlineStr">
        <is>
          <t>3960/000</t>
        </is>
      </c>
      <c r="E15954" s="3" t="inlineStr">
        <is>
          <t>Internet Fees</t>
        </is>
      </c>
      <c r="F15954" s="3" t="n">
        <v>611.5</v>
      </c>
      <c r="G15954" s="3" t="n">
        <v>611.5</v>
      </c>
    </row>
    <row r="15955">
      <c r="A15955" s="3" t="inlineStr">
        <is>
          <t>Quinate Consulting (Pty) Ltd</t>
        </is>
      </c>
      <c r="B15955" s="4" t="n">
        <v>45199</v>
      </c>
      <c r="C15955" s="3" t="inlineStr">
        <is>
          <t>Expenses</t>
        </is>
      </c>
      <c r="D15955" s="3" t="inlineStr">
        <is>
          <t>4000/000</t>
        </is>
      </c>
      <c r="E15955" s="3" t="inlineStr">
        <is>
          <t>Legal Fees</t>
        </is>
      </c>
      <c r="F15955" s="3" t="n">
        <v>0</v>
      </c>
      <c r="G15955" s="3" t="n">
        <v>32576</v>
      </c>
    </row>
    <row r="15956">
      <c r="A15956" s="3" t="inlineStr">
        <is>
          <t>Quinate Consulting (Pty) Ltd</t>
        </is>
      </c>
      <c r="B15956" s="4" t="n">
        <v>45199</v>
      </c>
      <c r="C15956" s="3" t="inlineStr">
        <is>
          <t>Expenses</t>
        </is>
      </c>
      <c r="D15956" s="3" t="inlineStr">
        <is>
          <t>4065/000</t>
        </is>
      </c>
      <c r="E15956" s="3" t="inlineStr">
        <is>
          <t>Levies - SoHo</t>
        </is>
      </c>
      <c r="F15956" s="3" t="n">
        <v>6804.15</v>
      </c>
      <c r="G15956" s="3" t="n">
        <v>53198.51</v>
      </c>
    </row>
    <row r="15957">
      <c r="A15957" s="3" t="inlineStr">
        <is>
          <t>Quinate Consulting (Pty) Ltd</t>
        </is>
      </c>
      <c r="B15957" s="4" t="n">
        <v>45199</v>
      </c>
      <c r="C15957" s="3" t="inlineStr">
        <is>
          <t>Expenses</t>
        </is>
      </c>
      <c r="D15957" s="3" t="inlineStr">
        <is>
          <t>4066/000</t>
        </is>
      </c>
      <c r="E15957" s="3" t="inlineStr">
        <is>
          <t>Levies - Southwark</t>
        </is>
      </c>
      <c r="F15957" s="3" t="n">
        <v>3422.18</v>
      </c>
      <c r="G15957" s="3" t="n">
        <v>23955.26</v>
      </c>
    </row>
    <row r="15958">
      <c r="A15958" s="3" t="inlineStr">
        <is>
          <t>Quinate Consulting (Pty) Ltd</t>
        </is>
      </c>
      <c r="B15958" s="4" t="n">
        <v>45199</v>
      </c>
      <c r="C15958" s="3" t="inlineStr">
        <is>
          <t>Expenses</t>
        </is>
      </c>
      <c r="D15958" s="3" t="inlineStr">
        <is>
          <t>4067/000</t>
        </is>
      </c>
      <c r="E15958" s="3" t="inlineStr">
        <is>
          <t>Levies - C4 Property</t>
        </is>
      </c>
      <c r="F15958" s="3" t="n">
        <v>5795.04</v>
      </c>
      <c r="G15958" s="3" t="n">
        <v>59674.68</v>
      </c>
    </row>
    <row r="15959">
      <c r="A15959" s="3" t="inlineStr">
        <is>
          <t>Quinate Consulting (Pty) Ltd</t>
        </is>
      </c>
      <c r="B15959" s="4" t="n">
        <v>45199</v>
      </c>
      <c r="C15959" s="3" t="inlineStr">
        <is>
          <t>Expenses</t>
        </is>
      </c>
      <c r="D15959" s="3" t="inlineStr">
        <is>
          <t>4068/000</t>
        </is>
      </c>
      <c r="E15959" s="3" t="inlineStr">
        <is>
          <t>Levies Endulini</t>
        </is>
      </c>
      <c r="F15959" s="3" t="n">
        <v>0.01</v>
      </c>
      <c r="G15959" s="3" t="n">
        <v>5049.31</v>
      </c>
    </row>
    <row r="15960">
      <c r="A15960" s="3" t="inlineStr">
        <is>
          <t>Endulini (Pty) Ltd</t>
        </is>
      </c>
      <c r="B15960" s="4" t="n">
        <v>45199</v>
      </c>
      <c r="C15960" s="3" t="inlineStr">
        <is>
          <t>Expenses</t>
        </is>
      </c>
      <c r="D15960" s="3" t="inlineStr">
        <is>
          <t>4100/001</t>
        </is>
      </c>
      <c r="E15960" s="3" t="inlineStr">
        <is>
          <t>Momentum Admin Fee</t>
        </is>
      </c>
      <c r="F15960" s="3" t="n">
        <v>0</v>
      </c>
      <c r="G15960" s="3" t="n">
        <v>6.65</v>
      </c>
    </row>
    <row r="15961">
      <c r="A15961" s="3" t="inlineStr">
        <is>
          <t>Quinate Consulting (Pty) Ltd</t>
        </is>
      </c>
      <c r="B15961" s="4" t="n">
        <v>45199</v>
      </c>
      <c r="C15961" s="3" t="inlineStr">
        <is>
          <t>Expenses</t>
        </is>
      </c>
      <c r="D15961" s="3" t="inlineStr">
        <is>
          <t>4100/001</t>
        </is>
      </c>
      <c r="E15961" s="3" t="inlineStr">
        <is>
          <t>Momentum Advise Fee</t>
        </is>
      </c>
      <c r="F15961" s="3" t="n">
        <v>0</v>
      </c>
      <c r="G15961" s="3" t="n">
        <v>1.34</v>
      </c>
    </row>
    <row r="15962">
      <c r="A15962" s="3" t="inlineStr">
        <is>
          <t>Opportunity Global Investment (PTY) LTD</t>
        </is>
      </c>
      <c r="B15962" s="4" t="n">
        <v>45199</v>
      </c>
      <c r="C15962" s="3" t="inlineStr">
        <is>
          <t>Expenses</t>
        </is>
      </c>
      <c r="D15962" s="3" t="inlineStr">
        <is>
          <t>4100/100</t>
        </is>
      </c>
      <c r="E15962" s="3" t="inlineStr">
        <is>
          <t>Members Salaries - Nick Morgan</t>
        </is>
      </c>
      <c r="F15962" s="3" t="n">
        <v>41251.61</v>
      </c>
      <c r="G15962" s="3" t="n">
        <v>288761.29</v>
      </c>
    </row>
    <row r="15963">
      <c r="A15963" s="3" t="inlineStr">
        <is>
          <t>Opportunity Global Investment (PTY) LTD</t>
        </is>
      </c>
      <c r="B15963" s="4" t="n">
        <v>45199</v>
      </c>
      <c r="C15963" s="3" t="inlineStr">
        <is>
          <t>Expenses</t>
        </is>
      </c>
      <c r="D15963" s="3" t="inlineStr">
        <is>
          <t>4200/000</t>
        </is>
      </c>
      <c r="E15963" s="3" t="inlineStr">
        <is>
          <t>Printing _AND_ Stationery</t>
        </is>
      </c>
      <c r="F15963" s="3" t="n">
        <v>2367</v>
      </c>
      <c r="G15963" s="3" t="n">
        <v>16569</v>
      </c>
    </row>
    <row r="15964">
      <c r="A15964" s="3" t="inlineStr">
        <is>
          <t>Opportunity Global Sales (PTY) LTD</t>
        </is>
      </c>
      <c r="B15964" s="4" t="n">
        <v>45199</v>
      </c>
      <c r="C15964" s="3" t="inlineStr">
        <is>
          <t>Expenses</t>
        </is>
      </c>
      <c r="D15964" s="3" t="inlineStr">
        <is>
          <t>4200/000</t>
        </is>
      </c>
      <c r="E15964" s="3" t="inlineStr">
        <is>
          <t>Printing _AND_ Stationery</t>
        </is>
      </c>
      <c r="F15964" s="3" t="n">
        <v>0</v>
      </c>
      <c r="G15964" s="3" t="n">
        <v>286.96</v>
      </c>
    </row>
    <row r="15965">
      <c r="A15965" s="3" t="inlineStr">
        <is>
          <t>Quinate Consulting (Pty) Ltd</t>
        </is>
      </c>
      <c r="B15965" s="4" t="n">
        <v>45199</v>
      </c>
      <c r="C15965" s="3" t="inlineStr">
        <is>
          <t>Expenses</t>
        </is>
      </c>
      <c r="D15965" s="3" t="inlineStr">
        <is>
          <t>4200/000</t>
        </is>
      </c>
      <c r="E15965" s="3" t="inlineStr">
        <is>
          <t>Printing _AND_ Stationery</t>
        </is>
      </c>
      <c r="F15965" s="3" t="n">
        <v>62.61</v>
      </c>
      <c r="G15965" s="3" t="n">
        <v>62.61</v>
      </c>
    </row>
    <row r="15966">
      <c r="A15966" s="3" t="inlineStr">
        <is>
          <t>Noble Shield (Pty) Ltd ta Go Letting</t>
        </is>
      </c>
      <c r="B15966" s="4" t="n">
        <v>45199</v>
      </c>
      <c r="C15966" s="3" t="inlineStr">
        <is>
          <t>Expenses</t>
        </is>
      </c>
      <c r="D15966" s="3" t="inlineStr">
        <is>
          <t>4200/100</t>
        </is>
      </c>
      <c r="E15966" s="3" t="inlineStr">
        <is>
          <t>Printing - Merchant West- Printer Rental</t>
        </is>
      </c>
      <c r="F15966" s="3" t="n">
        <v>1631.51</v>
      </c>
      <c r="G15966" s="3" t="n">
        <v>1631.51</v>
      </c>
    </row>
    <row r="15967">
      <c r="A15967" s="3" t="inlineStr">
        <is>
          <t>Noble Shield (Pty) Ltd ta Go Letting</t>
        </is>
      </c>
      <c r="B15967" s="4" t="n">
        <v>45199</v>
      </c>
      <c r="C15967" s="3" t="inlineStr">
        <is>
          <t>Expenses</t>
        </is>
      </c>
      <c r="D15967" s="3" t="inlineStr">
        <is>
          <t>4200/120</t>
        </is>
      </c>
      <c r="E15967" s="3" t="inlineStr">
        <is>
          <t>Printing - Ivy Line - Prints</t>
        </is>
      </c>
      <c r="F15967" s="3" t="n">
        <v>1252.7</v>
      </c>
      <c r="G15967" s="3" t="n">
        <v>1252.7</v>
      </c>
    </row>
    <row r="15968">
      <c r="A15968" s="3" t="inlineStr">
        <is>
          <t>Noble Shield (Pty) Ltd ta Go Letting</t>
        </is>
      </c>
      <c r="B15968" s="4" t="n">
        <v>45199</v>
      </c>
      <c r="C15968" s="3" t="inlineStr">
        <is>
          <t>Expenses</t>
        </is>
      </c>
      <c r="D15968" s="3" t="inlineStr">
        <is>
          <t>4200/180</t>
        </is>
      </c>
      <c r="E15968" s="3" t="inlineStr">
        <is>
          <t>Printing - Ikon</t>
        </is>
      </c>
      <c r="F15968" s="3" t="n">
        <v>277.61</v>
      </c>
      <c r="G15968" s="3" t="n">
        <v>277.61</v>
      </c>
    </row>
    <row r="15969">
      <c r="A15969" s="3" t="inlineStr">
        <is>
          <t>Noble Shield (Pty) Ltd ta Go Letting</t>
        </is>
      </c>
      <c r="B15969" s="4" t="n">
        <v>45199</v>
      </c>
      <c r="C15969" s="3" t="inlineStr">
        <is>
          <t>Expenses</t>
        </is>
      </c>
      <c r="D15969" s="3" t="inlineStr">
        <is>
          <t>4200/190</t>
        </is>
      </c>
      <c r="E15969" s="3" t="inlineStr">
        <is>
          <t>Printing - Centrafin printer rental</t>
        </is>
      </c>
      <c r="F15969" s="3" t="n">
        <v>2919.25</v>
      </c>
      <c r="G15969" s="3" t="n">
        <v>2919.25</v>
      </c>
    </row>
    <row r="15970">
      <c r="A15970" s="3" t="inlineStr">
        <is>
          <t>Opportunity Global Investment (PTY) LTD</t>
        </is>
      </c>
      <c r="B15970" s="4" t="n">
        <v>45199</v>
      </c>
      <c r="C15970" s="3" t="inlineStr">
        <is>
          <t>Expenses</t>
        </is>
      </c>
      <c r="D15970" s="3" t="inlineStr">
        <is>
          <t>4220/000</t>
        </is>
      </c>
      <c r="E15970" s="3" t="inlineStr">
        <is>
          <t>Motor Vehicle Expenses - Petrol _AND_ Oil</t>
        </is>
      </c>
      <c r="F15970" s="3" t="n">
        <v>2491.74</v>
      </c>
      <c r="G15970" s="3" t="n">
        <v>13796.59</v>
      </c>
    </row>
    <row r="15971">
      <c r="A15971" s="3" t="inlineStr">
        <is>
          <t>Noble Shield (Pty) Ltd ta Go Letting</t>
        </is>
      </c>
      <c r="B15971" s="4" t="n">
        <v>45199</v>
      </c>
      <c r="C15971" s="3" t="inlineStr">
        <is>
          <t>Expenses</t>
        </is>
      </c>
      <c r="D15971" s="3" t="inlineStr">
        <is>
          <t>4290/000</t>
        </is>
      </c>
      <c r="E15971" s="3" t="inlineStr">
        <is>
          <t>Refreshments - CT Office</t>
        </is>
      </c>
      <c r="F15971" s="3" t="n">
        <v>1509.16</v>
      </c>
      <c r="G15971" s="3" t="n">
        <v>1509.16</v>
      </c>
    </row>
    <row r="15972">
      <c r="A15972" s="3" t="inlineStr">
        <is>
          <t>Opportunity Global Investment (PTY) LTD</t>
        </is>
      </c>
      <c r="B15972" s="4" t="n">
        <v>45199</v>
      </c>
      <c r="C15972" s="3" t="inlineStr">
        <is>
          <t>Expenses</t>
        </is>
      </c>
      <c r="D15972" s="3" t="inlineStr">
        <is>
          <t>4290/000</t>
        </is>
      </c>
      <c r="E15972" s="3" t="inlineStr">
        <is>
          <t>Rent</t>
        </is>
      </c>
      <c r="F15972" s="3" t="n">
        <v>8770</v>
      </c>
      <c r="G15972" s="3" t="n">
        <v>61390</v>
      </c>
    </row>
    <row r="15973">
      <c r="A15973" s="3" t="inlineStr">
        <is>
          <t>Noble Shield (Pty) Ltd ta Go Letting</t>
        </is>
      </c>
      <c r="B15973" s="4" t="n">
        <v>45199</v>
      </c>
      <c r="C15973" s="3" t="inlineStr">
        <is>
          <t>Expenses</t>
        </is>
      </c>
      <c r="D15973" s="3" t="inlineStr">
        <is>
          <t>4291/000</t>
        </is>
      </c>
      <c r="E15973" s="3" t="inlineStr">
        <is>
          <t>Refreshments - VDB Office</t>
        </is>
      </c>
      <c r="F15973" s="3" t="n">
        <v>627.9400000000001</v>
      </c>
      <c r="G15973" s="3" t="n">
        <v>627.9400000000001</v>
      </c>
    </row>
    <row r="15974">
      <c r="A15974" s="3" t="inlineStr">
        <is>
          <t>Trademark Holdings (Pty) Ltd</t>
        </is>
      </c>
      <c r="B15974" s="4" t="n">
        <v>45199</v>
      </c>
      <c r="C15974" s="3" t="inlineStr">
        <is>
          <t>Expenses</t>
        </is>
      </c>
      <c r="D15974" s="3" t="inlineStr">
        <is>
          <t>4300/000</t>
        </is>
      </c>
      <c r="E15974" s="3" t="inlineStr">
        <is>
          <t>Rent Paid</t>
        </is>
      </c>
      <c r="F15974" s="3" t="n">
        <v>6840</v>
      </c>
      <c r="G15974" s="3" t="n">
        <v>6840</v>
      </c>
    </row>
    <row r="15975">
      <c r="A15975" s="3" t="inlineStr">
        <is>
          <t>Opportunity Global Investment (PTY) LTD</t>
        </is>
      </c>
      <c r="B15975" s="4" t="n">
        <v>45199</v>
      </c>
      <c r="C15975" s="3" t="inlineStr">
        <is>
          <t>Expenses</t>
        </is>
      </c>
      <c r="D15975" s="3" t="inlineStr">
        <is>
          <t>4310/000</t>
        </is>
      </c>
      <c r="E15975" s="3" t="inlineStr">
        <is>
          <t>Refreshments</t>
        </is>
      </c>
      <c r="F15975" s="3" t="n">
        <v>2569.26</v>
      </c>
      <c r="G15975" s="3" t="n">
        <v>17695.26</v>
      </c>
    </row>
    <row r="15976">
      <c r="A15976" s="3" t="inlineStr">
        <is>
          <t>Opportunity Management Holdings (PTY) LTD</t>
        </is>
      </c>
      <c r="B15976" s="4" t="n">
        <v>45199</v>
      </c>
      <c r="C15976" s="3" t="inlineStr">
        <is>
          <t>Expenses</t>
        </is>
      </c>
      <c r="D15976" s="3" t="inlineStr">
        <is>
          <t>4310/000</t>
        </is>
      </c>
      <c r="E15976" s="3" t="inlineStr">
        <is>
          <t>Refreshments</t>
        </is>
      </c>
      <c r="F15976" s="3" t="n">
        <v>10844.89</v>
      </c>
      <c r="G15976" s="3" t="n">
        <v>10844.89</v>
      </c>
    </row>
    <row r="15977">
      <c r="A15977" s="3" t="inlineStr">
        <is>
          <t>Quinate Consulting (Pty) Ltd</t>
        </is>
      </c>
      <c r="B15977" s="4" t="n">
        <v>45199</v>
      </c>
      <c r="C15977" s="3" t="inlineStr">
        <is>
          <t>Expenses</t>
        </is>
      </c>
      <c r="D15977" s="3" t="inlineStr">
        <is>
          <t>4312/000</t>
        </is>
      </c>
      <c r="E15977" s="3" t="inlineStr">
        <is>
          <t>Rates - SoHo Units</t>
        </is>
      </c>
      <c r="F15977" s="3" t="n">
        <v>2975.91</v>
      </c>
      <c r="G15977" s="3" t="n">
        <v>18283.15</v>
      </c>
    </row>
    <row r="15978">
      <c r="A15978" s="3" t="inlineStr">
        <is>
          <t>Endulini (Pty) Ltd</t>
        </is>
      </c>
      <c r="B15978" s="4" t="n">
        <v>45199</v>
      </c>
      <c r="C15978" s="3" t="inlineStr">
        <is>
          <t>Expenses</t>
        </is>
      </c>
      <c r="D15978" s="3" t="inlineStr">
        <is>
          <t>4350/000</t>
        </is>
      </c>
      <c r="E15978" s="3" t="inlineStr">
        <is>
          <t>Repairs _AND_ Maintenance</t>
        </is>
      </c>
      <c r="F15978" s="3" t="n">
        <v>4539.88</v>
      </c>
      <c r="G15978" s="3" t="n">
        <v>29511.32</v>
      </c>
    </row>
    <row r="15979">
      <c r="A15979" s="3" t="inlineStr">
        <is>
          <t>Quinate Consulting (Pty) Ltd</t>
        </is>
      </c>
      <c r="B15979" s="4" t="n">
        <v>45199</v>
      </c>
      <c r="C15979" s="3" t="inlineStr">
        <is>
          <t>Expenses</t>
        </is>
      </c>
      <c r="D15979" s="3" t="inlineStr">
        <is>
          <t>4350/000</t>
        </is>
      </c>
      <c r="E15979" s="3" t="inlineStr">
        <is>
          <t>Repairs and Maintenance - Southwark Units</t>
        </is>
      </c>
      <c r="F15979" s="3" t="n">
        <v>1215.7</v>
      </c>
      <c r="G15979" s="3" t="n">
        <v>4760.7</v>
      </c>
    </row>
    <row r="15980">
      <c r="A15980" s="3" t="inlineStr">
        <is>
          <t>Endulini (Pty) Ltd</t>
        </is>
      </c>
      <c r="B15980" s="4" t="n">
        <v>45199</v>
      </c>
      <c r="C15980" s="3" t="inlineStr">
        <is>
          <t>Expenses</t>
        </is>
      </c>
      <c r="D15980" s="3" t="inlineStr">
        <is>
          <t>4351/000</t>
        </is>
      </c>
      <c r="E15980" s="3" t="inlineStr">
        <is>
          <t>Repair &amp; Maintenance - Rentals</t>
        </is>
      </c>
      <c r="F15980" s="3" t="n">
        <v>0</v>
      </c>
      <c r="G15980" s="3" t="n">
        <v>1913.04</v>
      </c>
    </row>
    <row r="15981">
      <c r="A15981" s="3" t="inlineStr">
        <is>
          <t>Quinate Consulting (Pty) Ltd</t>
        </is>
      </c>
      <c r="B15981" s="4" t="n">
        <v>45199</v>
      </c>
      <c r="C15981" s="3" t="inlineStr">
        <is>
          <t>Expenses</t>
        </is>
      </c>
      <c r="D15981" s="3" t="inlineStr">
        <is>
          <t>4351/100</t>
        </is>
      </c>
      <c r="E15981" s="3" t="inlineStr">
        <is>
          <t>Repairs and Maintenance -  Soho Units</t>
        </is>
      </c>
      <c r="F15981" s="3" t="n">
        <v>0</v>
      </c>
      <c r="G15981" s="3" t="n">
        <v>2400</v>
      </c>
    </row>
    <row r="15982">
      <c r="A15982" s="3" t="inlineStr">
        <is>
          <t>Opportunity Global Investment (PTY) LTD</t>
        </is>
      </c>
      <c r="B15982" s="4" t="n">
        <v>45199</v>
      </c>
      <c r="C15982" s="3" t="inlineStr">
        <is>
          <t>Expenses</t>
        </is>
      </c>
      <c r="D15982" s="3" t="inlineStr">
        <is>
          <t>4360/000</t>
        </is>
      </c>
      <c r="E15982" s="3" t="inlineStr">
        <is>
          <t>Secretarial - CIPC</t>
        </is>
      </c>
      <c r="F15982" s="3" t="n">
        <v>0</v>
      </c>
      <c r="G15982" s="3" t="n">
        <v>800</v>
      </c>
    </row>
    <row r="15983">
      <c r="A15983" s="3" t="inlineStr">
        <is>
          <t>Opportunity Global Sales (PTY) LTD</t>
        </is>
      </c>
      <c r="B15983" s="4" t="n">
        <v>45199</v>
      </c>
      <c r="C15983" s="3" t="inlineStr">
        <is>
          <t>Expenses</t>
        </is>
      </c>
      <c r="D15983" s="3" t="inlineStr">
        <is>
          <t>4390/000</t>
        </is>
      </c>
      <c r="E15983" s="3" t="inlineStr">
        <is>
          <t>Small Assets</t>
        </is>
      </c>
      <c r="F15983" s="3" t="n">
        <v>0</v>
      </c>
      <c r="G15983" s="3" t="n">
        <v>1477.39</v>
      </c>
    </row>
    <row r="15984">
      <c r="A15984" s="3" t="inlineStr">
        <is>
          <t>Opportunity Management Holdings (PTY) LTD</t>
        </is>
      </c>
      <c r="B15984" s="4" t="n">
        <v>45199</v>
      </c>
      <c r="C15984" s="3" t="inlineStr">
        <is>
          <t>Expenses</t>
        </is>
      </c>
      <c r="D15984" s="3" t="inlineStr">
        <is>
          <t>4390/000</t>
        </is>
      </c>
      <c r="E15984" s="3" t="inlineStr">
        <is>
          <t>Small Assets</t>
        </is>
      </c>
      <c r="F15984" s="3" t="n">
        <v>1636.52</v>
      </c>
      <c r="G15984" s="3" t="n">
        <v>1636.52</v>
      </c>
    </row>
    <row r="15985">
      <c r="A15985" s="3" t="inlineStr">
        <is>
          <t>Noble Shield (Pty) Ltd ta Go Letting</t>
        </is>
      </c>
      <c r="B15985" s="4" t="n">
        <v>45199</v>
      </c>
      <c r="C15985" s="3" t="inlineStr">
        <is>
          <t>Expenses</t>
        </is>
      </c>
      <c r="D15985" s="3" t="inlineStr">
        <is>
          <t>4400/000</t>
        </is>
      </c>
      <c r="E15985" s="3" t="inlineStr">
        <is>
          <t>Salaries _AND_ Wages</t>
        </is>
      </c>
      <c r="F15985" s="3" t="n">
        <v>26915.7</v>
      </c>
      <c r="G15985" s="3" t="n">
        <v>26915.7</v>
      </c>
    </row>
    <row r="15986">
      <c r="A15986" s="3" t="inlineStr">
        <is>
          <t>Opportunity Global Sales (PTY) LTD</t>
        </is>
      </c>
      <c r="B15986" s="4" t="n">
        <v>45199</v>
      </c>
      <c r="C15986" s="3" t="inlineStr">
        <is>
          <t>Expenses</t>
        </is>
      </c>
      <c r="D15986" s="3" t="inlineStr">
        <is>
          <t>4400/000</t>
        </is>
      </c>
      <c r="E15986" s="3" t="inlineStr">
        <is>
          <t>Salaries _AND_ Wages</t>
        </is>
      </c>
      <c r="F15986" s="3" t="n">
        <v>55267.05</v>
      </c>
      <c r="G15986" s="3" t="n">
        <v>381269.33</v>
      </c>
    </row>
    <row r="15987">
      <c r="A15987" s="3" t="inlineStr">
        <is>
          <t>Opportunity Management Holdings (PTY) LTD</t>
        </is>
      </c>
      <c r="B15987" s="4" t="n">
        <v>45199</v>
      </c>
      <c r="C15987" s="3" t="inlineStr">
        <is>
          <t>Expenses</t>
        </is>
      </c>
      <c r="D15987" s="3" t="inlineStr">
        <is>
          <t>4400/000</t>
        </is>
      </c>
      <c r="E15987" s="3" t="inlineStr">
        <is>
          <t>Salaries _AND_ Wages</t>
        </is>
      </c>
      <c r="F15987" s="3" t="n">
        <v>211749.72</v>
      </c>
      <c r="G15987" s="3" t="n">
        <v>211749.72</v>
      </c>
    </row>
    <row r="15988">
      <c r="A15988" s="3" t="inlineStr">
        <is>
          <t>Trademark Holdings (Pty) Ltd</t>
        </is>
      </c>
      <c r="B15988" s="4" t="n">
        <v>45199</v>
      </c>
      <c r="C15988" s="3" t="inlineStr">
        <is>
          <t>Expenses</t>
        </is>
      </c>
      <c r="D15988" s="3" t="inlineStr">
        <is>
          <t>4400/000</t>
        </is>
      </c>
      <c r="E15988" s="3" t="inlineStr">
        <is>
          <t>Salaries _AND_ Wages</t>
        </is>
      </c>
      <c r="F15988" s="3" t="n">
        <v>12429.45</v>
      </c>
      <c r="G15988" s="3" t="n">
        <v>12429.45</v>
      </c>
    </row>
    <row r="15989">
      <c r="A15989" s="3" t="inlineStr">
        <is>
          <t>Opportunity Global Investment (PTY) LTD</t>
        </is>
      </c>
      <c r="B15989" s="4" t="n">
        <v>45199</v>
      </c>
      <c r="C15989" s="3" t="inlineStr">
        <is>
          <t>Expenses</t>
        </is>
      </c>
      <c r="D15989" s="3" t="inlineStr">
        <is>
          <t>4450/000</t>
        </is>
      </c>
      <c r="E15989" s="3" t="inlineStr">
        <is>
          <t>Staff Training</t>
        </is>
      </c>
      <c r="F15989" s="3" t="n">
        <v>0</v>
      </c>
      <c r="G15989" s="3" t="n">
        <v>5495.66</v>
      </c>
    </row>
    <row r="15990">
      <c r="A15990" s="3" t="inlineStr">
        <is>
          <t>Opportunity Global Sales (PTY) LTD</t>
        </is>
      </c>
      <c r="B15990" s="4" t="n">
        <v>45199</v>
      </c>
      <c r="C15990" s="3" t="inlineStr">
        <is>
          <t>Expenses</t>
        </is>
      </c>
      <c r="D15990" s="3" t="inlineStr">
        <is>
          <t>4450/000</t>
        </is>
      </c>
      <c r="E15990" s="3" t="inlineStr">
        <is>
          <t>Staff Training</t>
        </is>
      </c>
      <c r="F15990" s="3" t="n">
        <v>0</v>
      </c>
      <c r="G15990" s="3" t="n">
        <v>695.65</v>
      </c>
    </row>
    <row r="15991">
      <c r="A15991" s="3" t="inlineStr">
        <is>
          <t>Opportunity Global Investment (PTY) LTD</t>
        </is>
      </c>
      <c r="B15991" s="4" t="n">
        <v>45199</v>
      </c>
      <c r="C15991" s="3" t="inlineStr">
        <is>
          <t>Expenses</t>
        </is>
      </c>
      <c r="D15991" s="3" t="inlineStr">
        <is>
          <t>4500/000</t>
        </is>
      </c>
      <c r="E15991" s="3" t="inlineStr">
        <is>
          <t>Staff Welfare</t>
        </is>
      </c>
      <c r="F15991" s="3" t="n">
        <v>588.3200000000001</v>
      </c>
      <c r="G15991" s="3" t="n">
        <v>832.47</v>
      </c>
    </row>
    <row r="15992">
      <c r="A15992" s="3" t="inlineStr">
        <is>
          <t>Opportunity Global Sales (PTY) LTD</t>
        </is>
      </c>
      <c r="B15992" s="4" t="n">
        <v>45199</v>
      </c>
      <c r="C15992" s="3" t="inlineStr">
        <is>
          <t>Expenses</t>
        </is>
      </c>
      <c r="D15992" s="3" t="inlineStr">
        <is>
          <t>4500/000</t>
        </is>
      </c>
      <c r="E15992" s="3" t="inlineStr">
        <is>
          <t>Staff Welfare</t>
        </is>
      </c>
      <c r="F15992" s="3" t="n">
        <v>0</v>
      </c>
      <c r="G15992" s="3" t="n">
        <v>1142.17</v>
      </c>
    </row>
    <row r="15993">
      <c r="A15993" s="3" t="inlineStr">
        <is>
          <t>Quinate Consulting (Pty) Ltd</t>
        </is>
      </c>
      <c r="B15993" s="4" t="n">
        <v>45199</v>
      </c>
      <c r="C15993" s="3" t="inlineStr">
        <is>
          <t>Expenses</t>
        </is>
      </c>
      <c r="D15993" s="3" t="inlineStr">
        <is>
          <t>4500/000</t>
        </is>
      </c>
      <c r="E15993" s="3" t="inlineStr">
        <is>
          <t>Staff Welfare</t>
        </is>
      </c>
      <c r="F15993" s="3" t="n">
        <v>200.8</v>
      </c>
      <c r="G15993" s="3" t="n">
        <v>1463.8</v>
      </c>
    </row>
    <row r="15994">
      <c r="A15994" s="3" t="inlineStr">
        <is>
          <t>Noble Shield (Pty) Ltd ta Go Letting</t>
        </is>
      </c>
      <c r="B15994" s="4" t="n">
        <v>45199</v>
      </c>
      <c r="C15994" s="3" t="inlineStr">
        <is>
          <t>Expenses</t>
        </is>
      </c>
      <c r="D15994" s="3" t="inlineStr">
        <is>
          <t>4520/000</t>
        </is>
      </c>
      <c r="E15994" s="3" t="inlineStr">
        <is>
          <t>Security</t>
        </is>
      </c>
      <c r="F15994" s="3" t="n">
        <v>1246.44</v>
      </c>
      <c r="G15994" s="3" t="n">
        <v>1246.44</v>
      </c>
    </row>
    <row r="15995">
      <c r="A15995" s="3" t="inlineStr">
        <is>
          <t>Opportunity Global Investment (PTY) LTD</t>
        </is>
      </c>
      <c r="B15995" s="4" t="n">
        <v>45199</v>
      </c>
      <c r="C15995" s="3" t="inlineStr">
        <is>
          <t>Expenses</t>
        </is>
      </c>
      <c r="D15995" s="3" t="inlineStr">
        <is>
          <t>4550/000</t>
        </is>
      </c>
      <c r="E15995" s="3" t="inlineStr">
        <is>
          <t>Subscriptions</t>
        </is>
      </c>
      <c r="F15995" s="3" t="n">
        <v>828.53</v>
      </c>
      <c r="G15995" s="3" t="n">
        <v>5452.01</v>
      </c>
    </row>
    <row r="15996">
      <c r="A15996" s="3" t="inlineStr">
        <is>
          <t>Quinate Consulting (Pty) Ltd</t>
        </is>
      </c>
      <c r="B15996" s="4" t="n">
        <v>45199</v>
      </c>
      <c r="C15996" s="3" t="inlineStr">
        <is>
          <t>Expenses</t>
        </is>
      </c>
      <c r="D15996" s="3" t="inlineStr">
        <is>
          <t>4550/000</t>
        </is>
      </c>
      <c r="E15996" s="3" t="inlineStr">
        <is>
          <t>Subscriptions / Licenses</t>
        </is>
      </c>
      <c r="F15996" s="3" t="n">
        <v>12073.75</v>
      </c>
      <c r="G15996" s="3" t="n">
        <v>82475.11</v>
      </c>
    </row>
    <row r="15997">
      <c r="A15997" s="3" t="inlineStr">
        <is>
          <t>Opportunity Management Holdings (PTY) LTD</t>
        </is>
      </c>
      <c r="B15997" s="4" t="n">
        <v>45199</v>
      </c>
      <c r="C15997" s="3" t="inlineStr">
        <is>
          <t>Expenses</t>
        </is>
      </c>
      <c r="D15997" s="3" t="inlineStr">
        <is>
          <t>4550/000</t>
        </is>
      </c>
      <c r="E15997" s="3" t="inlineStr">
        <is>
          <t>Subscriptions _AND_ Lisences</t>
        </is>
      </c>
      <c r="F15997" s="3" t="n">
        <v>2594.16</v>
      </c>
      <c r="G15997" s="3" t="n">
        <v>2594.16</v>
      </c>
    </row>
    <row r="15998">
      <c r="A15998" s="3" t="inlineStr">
        <is>
          <t>Opportunity Global Investment (PTY) LTD</t>
        </is>
      </c>
      <c r="B15998" s="4" t="n">
        <v>45199</v>
      </c>
      <c r="C15998" s="3" t="inlineStr">
        <is>
          <t>Expenses</t>
        </is>
      </c>
      <c r="D15998" s="3" t="inlineStr">
        <is>
          <t>4550/100</t>
        </is>
      </c>
      <c r="E15998" s="3" t="inlineStr">
        <is>
          <t>Subscriptions - Zoho</t>
        </is>
      </c>
      <c r="F15998" s="3" t="n">
        <v>1125</v>
      </c>
      <c r="G15998" s="3" t="n">
        <v>7875</v>
      </c>
    </row>
    <row r="15999">
      <c r="A15999" s="3" t="inlineStr">
        <is>
          <t>Opportunity Global Sales (PTY) LTD</t>
        </is>
      </c>
      <c r="B15999" s="4" t="n">
        <v>45199</v>
      </c>
      <c r="C15999" s="3" t="inlineStr">
        <is>
          <t>Expenses</t>
        </is>
      </c>
      <c r="D15999" s="3" t="inlineStr">
        <is>
          <t>4550/150</t>
        </is>
      </c>
      <c r="E15999" s="3" t="inlineStr">
        <is>
          <t>Subscription - Webbox</t>
        </is>
      </c>
      <c r="F15999" s="3" t="n">
        <v>0</v>
      </c>
      <c r="G15999" s="3" t="n">
        <v>6743</v>
      </c>
    </row>
    <row r="16000">
      <c r="A16000" s="3" t="inlineStr">
        <is>
          <t>Opportunity Global Investment (PTY) LTD</t>
        </is>
      </c>
      <c r="B16000" s="4" t="n">
        <v>45199</v>
      </c>
      <c r="C16000" s="3" t="inlineStr">
        <is>
          <t>Expenses</t>
        </is>
      </c>
      <c r="D16000" s="3" t="inlineStr">
        <is>
          <t>4550/250</t>
        </is>
      </c>
      <c r="E16000" s="3" t="inlineStr">
        <is>
          <t>Subscriptions - LinkedIn</t>
        </is>
      </c>
      <c r="F16000" s="3" t="n">
        <v>1000.49</v>
      </c>
      <c r="G16000" s="3" t="n">
        <v>8003.92</v>
      </c>
    </row>
    <row r="16001">
      <c r="A16001" s="3" t="inlineStr">
        <is>
          <t>Opportunity Global Investment (PTY) LTD</t>
        </is>
      </c>
      <c r="B16001" s="4" t="n">
        <v>45199</v>
      </c>
      <c r="C16001" s="3" t="inlineStr">
        <is>
          <t>Expenses</t>
        </is>
      </c>
      <c r="D16001" s="3" t="inlineStr">
        <is>
          <t>4550/350</t>
        </is>
      </c>
      <c r="E16001" s="3" t="inlineStr">
        <is>
          <t>Subscriptions - Xero</t>
        </is>
      </c>
      <c r="F16001" s="3" t="n">
        <v>600</v>
      </c>
      <c r="G16001" s="3" t="n">
        <v>4200</v>
      </c>
    </row>
    <row r="16002">
      <c r="A16002" s="3" t="inlineStr">
        <is>
          <t>Opportunity Global Investment (PTY) LTD</t>
        </is>
      </c>
      <c r="B16002" s="4" t="n">
        <v>45199</v>
      </c>
      <c r="C16002" s="3" t="inlineStr">
        <is>
          <t>Expenses</t>
        </is>
      </c>
      <c r="D16002" s="3" t="inlineStr">
        <is>
          <t>4550/400</t>
        </is>
      </c>
      <c r="E16002" s="3" t="inlineStr">
        <is>
          <t>Subscriptions - Moneyweb</t>
        </is>
      </c>
      <c r="F16002" s="3" t="n">
        <v>60.87</v>
      </c>
      <c r="G16002" s="3" t="n">
        <v>413.91</v>
      </c>
    </row>
    <row r="16003">
      <c r="A16003" s="3" t="inlineStr">
        <is>
          <t>Trademark Holdings (Pty) Ltd</t>
        </is>
      </c>
      <c r="B16003" s="4" t="n">
        <v>45199</v>
      </c>
      <c r="C16003" s="3" t="inlineStr">
        <is>
          <t>Expenses</t>
        </is>
      </c>
      <c r="D16003" s="3" t="inlineStr">
        <is>
          <t>4550/400</t>
        </is>
      </c>
      <c r="E16003" s="3" t="inlineStr">
        <is>
          <t>Subscriptions - Xero</t>
        </is>
      </c>
      <c r="F16003" s="3" t="n">
        <v>600</v>
      </c>
      <c r="G16003" s="3" t="n">
        <v>600</v>
      </c>
    </row>
    <row r="16004">
      <c r="A16004" s="3" t="inlineStr">
        <is>
          <t>Opportunity Global Investment (PTY) LTD</t>
        </is>
      </c>
      <c r="B16004" s="4" t="n">
        <v>45199</v>
      </c>
      <c r="C16004" s="3" t="inlineStr">
        <is>
          <t>Expenses</t>
        </is>
      </c>
      <c r="D16004" s="3" t="inlineStr">
        <is>
          <t>4550/450</t>
        </is>
      </c>
      <c r="E16004" s="3" t="inlineStr">
        <is>
          <t>Subscriptions - Adobe</t>
        </is>
      </c>
      <c r="F16004" s="3" t="n">
        <v>610.11</v>
      </c>
      <c r="G16004" s="3" t="n">
        <v>4213.57</v>
      </c>
    </row>
    <row r="16005">
      <c r="A16005" s="3" t="inlineStr">
        <is>
          <t>Opportunity Global Investment (PTY) LTD</t>
        </is>
      </c>
      <c r="B16005" s="4" t="n">
        <v>45199</v>
      </c>
      <c r="C16005" s="3" t="inlineStr">
        <is>
          <t>Expenses</t>
        </is>
      </c>
      <c r="D16005" s="3" t="inlineStr">
        <is>
          <t>4550/500</t>
        </is>
      </c>
      <c r="E16005" s="3" t="inlineStr">
        <is>
          <t>Subscriptions - Pandadoc</t>
        </is>
      </c>
      <c r="F16005" s="3" t="n">
        <v>568.23</v>
      </c>
      <c r="G16005" s="3" t="n">
        <v>3904.3</v>
      </c>
    </row>
    <row r="16006">
      <c r="A16006" s="3" t="inlineStr">
        <is>
          <t>Noble Shield (Pty) Ltd ta Go Letting</t>
        </is>
      </c>
      <c r="B16006" s="4" t="n">
        <v>45199</v>
      </c>
      <c r="C16006" s="3" t="inlineStr">
        <is>
          <t>Expenses</t>
        </is>
      </c>
      <c r="D16006" s="3" t="inlineStr">
        <is>
          <t>4550/600</t>
        </is>
      </c>
      <c r="E16006" s="3" t="inlineStr">
        <is>
          <t>Subscriptions - Webbox</t>
        </is>
      </c>
      <c r="F16006" s="3" t="n">
        <v>1710.05</v>
      </c>
      <c r="G16006" s="3" t="n">
        <v>1710.05</v>
      </c>
    </row>
    <row r="16007">
      <c r="A16007" s="3" t="inlineStr">
        <is>
          <t>Noble Shield (Pty) Ltd ta Go Letting</t>
        </is>
      </c>
      <c r="B16007" s="4" t="n">
        <v>45199</v>
      </c>
      <c r="C16007" s="3" t="inlineStr">
        <is>
          <t>Expenses</t>
        </is>
      </c>
      <c r="D16007" s="3" t="inlineStr">
        <is>
          <t>4550/650</t>
        </is>
      </c>
      <c r="E16007" s="3" t="inlineStr">
        <is>
          <t>Subscriptions - Xero</t>
        </is>
      </c>
      <c r="F16007" s="3" t="n">
        <v>600</v>
      </c>
      <c r="G16007" s="3" t="n">
        <v>600</v>
      </c>
    </row>
    <row r="16008">
      <c r="A16008" s="3" t="inlineStr">
        <is>
          <t>Noble Shield (Pty) Ltd ta Go Letting</t>
        </is>
      </c>
      <c r="B16008" s="4" t="n">
        <v>45199</v>
      </c>
      <c r="C16008" s="3" t="inlineStr">
        <is>
          <t>Expenses</t>
        </is>
      </c>
      <c r="D16008" s="3" t="inlineStr">
        <is>
          <t>4550/800</t>
        </is>
      </c>
      <c r="E16008" s="3" t="inlineStr">
        <is>
          <t>Subscriptions - Adobe</t>
        </is>
      </c>
      <c r="F16008" s="3" t="n">
        <v>453.75</v>
      </c>
      <c r="G16008" s="3" t="n">
        <v>453.75</v>
      </c>
    </row>
    <row r="16009">
      <c r="A16009" s="3" t="inlineStr">
        <is>
          <t>Opportunity Global Sales (PTY) LTD</t>
        </is>
      </c>
      <c r="B16009" s="4" t="n">
        <v>45199</v>
      </c>
      <c r="C16009" s="3" t="inlineStr">
        <is>
          <t>Expenses</t>
        </is>
      </c>
      <c r="D16009" s="3" t="inlineStr">
        <is>
          <t>4551/000</t>
        </is>
      </c>
      <c r="E16009" s="3" t="inlineStr">
        <is>
          <t>Subscriptions - Payprop</t>
        </is>
      </c>
      <c r="F16009" s="3" t="n">
        <v>1529.32</v>
      </c>
      <c r="G16009" s="3" t="n">
        <v>7965.73</v>
      </c>
    </row>
    <row r="16010">
      <c r="A16010" s="3" t="inlineStr">
        <is>
          <t>Quinate Consulting (Pty) Ltd</t>
        </is>
      </c>
      <c r="B16010" s="4" t="n">
        <v>45199</v>
      </c>
      <c r="C16010" s="3" t="inlineStr">
        <is>
          <t>Expenses</t>
        </is>
      </c>
      <c r="D16010" s="3" t="inlineStr">
        <is>
          <t>4552/000</t>
        </is>
      </c>
      <c r="E16010" s="3" t="inlineStr">
        <is>
          <t>Subscriptions - CIPC</t>
        </is>
      </c>
      <c r="F16010" s="3" t="n">
        <v>0</v>
      </c>
      <c r="G16010" s="3" t="n">
        <v>4050</v>
      </c>
    </row>
    <row r="16011">
      <c r="A16011" s="3" t="inlineStr">
        <is>
          <t>Endulini (Pty) Ltd</t>
        </is>
      </c>
      <c r="B16011" s="4" t="n">
        <v>45199</v>
      </c>
      <c r="C16011" s="3" t="inlineStr">
        <is>
          <t>Expenses</t>
        </is>
      </c>
      <c r="D16011" s="3" t="inlineStr">
        <is>
          <t>4552/000</t>
        </is>
      </c>
      <c r="E16011" s="3" t="inlineStr">
        <is>
          <t>Subscriptions - Xero</t>
        </is>
      </c>
      <c r="F16011" s="3" t="n">
        <v>600</v>
      </c>
      <c r="G16011" s="3" t="n">
        <v>4200</v>
      </c>
    </row>
    <row r="16012">
      <c r="A16012" s="3" t="inlineStr">
        <is>
          <t>Opportunity Global Sales (PTY) LTD</t>
        </is>
      </c>
      <c r="B16012" s="4" t="n">
        <v>45199</v>
      </c>
      <c r="C16012" s="3" t="inlineStr">
        <is>
          <t>Expenses</t>
        </is>
      </c>
      <c r="D16012" s="3" t="inlineStr">
        <is>
          <t>4552/000</t>
        </is>
      </c>
      <c r="E16012" s="3" t="inlineStr">
        <is>
          <t>Subscriptions - Xero</t>
        </is>
      </c>
      <c r="F16012" s="3" t="n">
        <v>600</v>
      </c>
      <c r="G16012" s="3" t="n">
        <v>4200</v>
      </c>
    </row>
    <row r="16013">
      <c r="A16013" s="3" t="inlineStr">
        <is>
          <t>Opportunity Management Holdings (PTY) LTD</t>
        </is>
      </c>
      <c r="B16013" s="4" t="n">
        <v>45199</v>
      </c>
      <c r="C16013" s="3" t="inlineStr">
        <is>
          <t>Expenses</t>
        </is>
      </c>
      <c r="D16013" s="3" t="inlineStr">
        <is>
          <t>4552/000</t>
        </is>
      </c>
      <c r="E16013" s="3" t="inlineStr">
        <is>
          <t>Subscriptions - Xero</t>
        </is>
      </c>
      <c r="F16013" s="3" t="n">
        <v>600</v>
      </c>
      <c r="G16013" s="3" t="n">
        <v>600</v>
      </c>
    </row>
    <row r="16014">
      <c r="A16014" s="3" t="inlineStr">
        <is>
          <t>Opportunity Global Sales (PTY) LTD</t>
        </is>
      </c>
      <c r="B16014" s="4" t="n">
        <v>45199</v>
      </c>
      <c r="C16014" s="3" t="inlineStr">
        <is>
          <t>Expenses</t>
        </is>
      </c>
      <c r="D16014" s="3" t="inlineStr">
        <is>
          <t>4553/000</t>
        </is>
      </c>
      <c r="E16014" s="3" t="inlineStr">
        <is>
          <t>Subscriptions - CMA</t>
        </is>
      </c>
      <c r="F16014" s="3" t="n">
        <v>680</v>
      </c>
      <c r="G16014" s="3" t="n">
        <v>4760</v>
      </c>
    </row>
    <row r="16015">
      <c r="A16015" s="3" t="inlineStr">
        <is>
          <t>Quinate Consulting (Pty) Ltd</t>
        </is>
      </c>
      <c r="B16015" s="4" t="n">
        <v>45199</v>
      </c>
      <c r="C16015" s="3" t="inlineStr">
        <is>
          <t>Expenses</t>
        </is>
      </c>
      <c r="D16015" s="3" t="inlineStr">
        <is>
          <t>4554/000</t>
        </is>
      </c>
      <c r="E16015" s="3" t="inlineStr">
        <is>
          <t>Subscriptions - Xero</t>
        </is>
      </c>
      <c r="F16015" s="3" t="n">
        <v>600</v>
      </c>
      <c r="G16015" s="3" t="n">
        <v>4200</v>
      </c>
    </row>
    <row r="16016">
      <c r="A16016" s="3" t="inlineStr">
        <is>
          <t>Opportunity Global Sales (PTY) LTD</t>
        </is>
      </c>
      <c r="B16016" s="4" t="n">
        <v>45199</v>
      </c>
      <c r="C16016" s="3" t="inlineStr">
        <is>
          <t>Expenses</t>
        </is>
      </c>
      <c r="D16016" s="3" t="inlineStr">
        <is>
          <t>4554/000</t>
        </is>
      </c>
      <c r="E16016" s="3" t="inlineStr">
        <is>
          <t>Subscriptions - Zoho</t>
        </is>
      </c>
      <c r="F16016" s="3" t="n">
        <v>750</v>
      </c>
      <c r="G16016" s="3" t="n">
        <v>5250</v>
      </c>
    </row>
    <row r="16017">
      <c r="A16017" s="3" t="inlineStr">
        <is>
          <t>Quinate Consulting (Pty) Ltd</t>
        </is>
      </c>
      <c r="B16017" s="4" t="n">
        <v>45199</v>
      </c>
      <c r="C16017" s="3" t="inlineStr">
        <is>
          <t>Expenses</t>
        </is>
      </c>
      <c r="D16017" s="3" t="inlineStr">
        <is>
          <t>4555/000</t>
        </is>
      </c>
      <c r="E16017" s="3" t="inlineStr">
        <is>
          <t>Subscriptions - OUMS</t>
        </is>
      </c>
      <c r="F16017" s="3" t="n">
        <v>7636.17</v>
      </c>
      <c r="G16017" s="3" t="n">
        <v>53453.19</v>
      </c>
    </row>
    <row r="16018">
      <c r="A16018" s="3" t="inlineStr">
        <is>
          <t>Opportunity Global Sales (PTY) LTD</t>
        </is>
      </c>
      <c r="B16018" s="4" t="n">
        <v>45199</v>
      </c>
      <c r="C16018" s="3" t="inlineStr">
        <is>
          <t>Expenses</t>
        </is>
      </c>
      <c r="D16018" s="3" t="inlineStr">
        <is>
          <t>4556/000</t>
        </is>
      </c>
      <c r="E16018" s="3" t="inlineStr">
        <is>
          <t>Subscription: Sjoon</t>
        </is>
      </c>
      <c r="F16018" s="3" t="n">
        <v>217.39</v>
      </c>
      <c r="G16018" s="3" t="n">
        <v>539.13</v>
      </c>
    </row>
    <row r="16019">
      <c r="A16019" s="3" t="inlineStr">
        <is>
          <t>Opportunity Global Investment (PTY) LTD</t>
        </is>
      </c>
      <c r="B16019" s="4" t="n">
        <v>45199</v>
      </c>
      <c r="C16019" s="3" t="inlineStr">
        <is>
          <t>Expenses</t>
        </is>
      </c>
      <c r="D16019" s="3" t="inlineStr">
        <is>
          <t>4600/000</t>
        </is>
      </c>
      <c r="E16019" s="3" t="inlineStr">
        <is>
          <t>Telephone _AND_ Fax</t>
        </is>
      </c>
      <c r="F16019" s="3" t="n">
        <v>3355</v>
      </c>
      <c r="G16019" s="3" t="n">
        <v>23485</v>
      </c>
    </row>
    <row r="16020">
      <c r="A16020" s="3" t="inlineStr">
        <is>
          <t>Trademark Holdings (Pty) Ltd</t>
        </is>
      </c>
      <c r="B16020" s="4" t="n">
        <v>45199</v>
      </c>
      <c r="C16020" s="3" t="inlineStr">
        <is>
          <t>Expenses</t>
        </is>
      </c>
      <c r="D16020" s="3" t="inlineStr">
        <is>
          <t>4600/000</t>
        </is>
      </c>
      <c r="E16020" s="3" t="inlineStr">
        <is>
          <t>Telephone _AND_ Fax</t>
        </is>
      </c>
      <c r="F16020" s="3" t="n">
        <v>1178.49</v>
      </c>
      <c r="G16020" s="3" t="n">
        <v>1178.49</v>
      </c>
    </row>
    <row r="16021">
      <c r="A16021" s="3" t="inlineStr">
        <is>
          <t>Noble Shield (Pty) Ltd ta Go Letting</t>
        </is>
      </c>
      <c r="B16021" s="4" t="n">
        <v>45199</v>
      </c>
      <c r="C16021" s="3" t="inlineStr">
        <is>
          <t>Expenses</t>
        </is>
      </c>
      <c r="D16021" s="3" t="inlineStr">
        <is>
          <t>4610/000</t>
        </is>
      </c>
      <c r="E16021" s="3" t="inlineStr">
        <is>
          <t>Telephone - CT Office</t>
        </is>
      </c>
      <c r="F16021" s="3" t="n">
        <v>775.29</v>
      </c>
      <c r="G16021" s="3" t="n">
        <v>775.29</v>
      </c>
    </row>
    <row r="16022">
      <c r="A16022" s="3" t="inlineStr">
        <is>
          <t>Opportunity Global Investment (PTY) LTD</t>
        </is>
      </c>
      <c r="B16022" s="4" t="n">
        <v>45199</v>
      </c>
      <c r="C16022" s="3" t="inlineStr">
        <is>
          <t>Expenses</t>
        </is>
      </c>
      <c r="D16022" s="3" t="inlineStr">
        <is>
          <t>4650/000</t>
        </is>
      </c>
      <c r="E16022" s="3" t="inlineStr">
        <is>
          <t>Travel _AND_ Accommodation</t>
        </is>
      </c>
      <c r="F16022" s="3" t="n">
        <v>3435.65</v>
      </c>
      <c r="G16022" s="3" t="n">
        <v>3435.65</v>
      </c>
    </row>
    <row r="16023">
      <c r="A16023" s="3" t="inlineStr">
        <is>
          <t>Quinate Consulting (Pty) Ltd</t>
        </is>
      </c>
      <c r="B16023" s="4" t="n">
        <v>45199</v>
      </c>
      <c r="C16023" s="3" t="inlineStr">
        <is>
          <t>Expenses</t>
        </is>
      </c>
      <c r="D16023" s="3" t="inlineStr">
        <is>
          <t>4650/010</t>
        </is>
      </c>
      <c r="E16023" s="3" t="inlineStr">
        <is>
          <t>Travel - Local Flights</t>
        </is>
      </c>
      <c r="F16023" s="3" t="n">
        <v>0</v>
      </c>
      <c r="G16023" s="3" t="n">
        <v>6253.04</v>
      </c>
    </row>
    <row r="16024">
      <c r="A16024" s="3" t="inlineStr">
        <is>
          <t>Quinate Consulting (Pty) Ltd</t>
        </is>
      </c>
      <c r="B16024" s="4" t="n">
        <v>45199</v>
      </c>
      <c r="C16024" s="3" t="inlineStr">
        <is>
          <t>Expenses</t>
        </is>
      </c>
      <c r="D16024" s="3" t="inlineStr">
        <is>
          <t>4650/020</t>
        </is>
      </c>
      <c r="E16024" s="3" t="inlineStr">
        <is>
          <t>Travel - Local Accomodation - B_AND_B</t>
        </is>
      </c>
      <c r="F16024" s="3" t="n">
        <v>0</v>
      </c>
      <c r="G16024" s="3" t="n">
        <v>6998.26</v>
      </c>
    </row>
    <row r="16025">
      <c r="A16025" s="3" t="inlineStr">
        <is>
          <t>Opportunity Global Investment (PTY) LTD</t>
        </is>
      </c>
      <c r="B16025" s="4" t="n">
        <v>45199</v>
      </c>
      <c r="C16025" s="3" t="inlineStr">
        <is>
          <t>Expenses</t>
        </is>
      </c>
      <c r="D16025" s="3" t="inlineStr">
        <is>
          <t>4650/020</t>
        </is>
      </c>
      <c r="E16025" s="3" t="inlineStr">
        <is>
          <t>Travel Accomodation - Car Hire</t>
        </is>
      </c>
      <c r="F16025" s="3" t="n">
        <v>0</v>
      </c>
      <c r="G16025" s="3" t="n">
        <v>1581.74</v>
      </c>
    </row>
    <row r="16026">
      <c r="A16026" s="3" t="inlineStr">
        <is>
          <t>Quinate Consulting (Pty) Ltd</t>
        </is>
      </c>
      <c r="B16026" s="4" t="n">
        <v>45199</v>
      </c>
      <c r="C16026" s="3" t="inlineStr">
        <is>
          <t>Expenses</t>
        </is>
      </c>
      <c r="D16026" s="3" t="inlineStr">
        <is>
          <t>4650/030</t>
        </is>
      </c>
      <c r="E16026" s="3" t="inlineStr">
        <is>
          <t>Travel - Parking</t>
        </is>
      </c>
      <c r="F16026" s="3" t="n">
        <v>10</v>
      </c>
      <c r="G16026" s="3" t="n">
        <v>10</v>
      </c>
    </row>
    <row r="16027">
      <c r="A16027" s="3" t="inlineStr">
        <is>
          <t>Opportunity Global Investment (PTY) LTD</t>
        </is>
      </c>
      <c r="B16027" s="4" t="n">
        <v>45199</v>
      </c>
      <c r="C16027" s="3" t="inlineStr">
        <is>
          <t>Expenses</t>
        </is>
      </c>
      <c r="D16027" s="3" t="inlineStr">
        <is>
          <t>4650/030</t>
        </is>
      </c>
      <c r="E16027" s="3" t="inlineStr">
        <is>
          <t>Travel _AND_ Accomodation - Local Accom</t>
        </is>
      </c>
      <c r="F16027" s="3" t="n">
        <v>1247.82</v>
      </c>
      <c r="G16027" s="3" t="n">
        <v>1282.6</v>
      </c>
    </row>
    <row r="16028">
      <c r="A16028" s="3" t="inlineStr">
        <is>
          <t>Quinate Consulting (Pty) Ltd</t>
        </is>
      </c>
      <c r="B16028" s="4" t="n">
        <v>45199</v>
      </c>
      <c r="C16028" s="3" t="inlineStr">
        <is>
          <t>Expenses</t>
        </is>
      </c>
      <c r="D16028" s="3" t="inlineStr">
        <is>
          <t>4650/040</t>
        </is>
      </c>
      <c r="E16028" s="3" t="inlineStr">
        <is>
          <t>Travel - Local Car Hire</t>
        </is>
      </c>
      <c r="F16028" s="3" t="n">
        <v>0</v>
      </c>
      <c r="G16028" s="3" t="n">
        <v>510.6</v>
      </c>
    </row>
    <row r="16029">
      <c r="A16029" s="3" t="inlineStr">
        <is>
          <t>Opportunity Global Investment (PTY) LTD</t>
        </is>
      </c>
      <c r="B16029" s="4" t="n">
        <v>45199</v>
      </c>
      <c r="C16029" s="3" t="inlineStr">
        <is>
          <t>Expenses</t>
        </is>
      </c>
      <c r="D16029" s="3" t="inlineStr">
        <is>
          <t>4650/090</t>
        </is>
      </c>
      <c r="E16029" s="3" t="inlineStr">
        <is>
          <t>Travel &amp; Accom - Fuel</t>
        </is>
      </c>
      <c r="F16029" s="3" t="n">
        <v>0</v>
      </c>
      <c r="G16029" s="3" t="n">
        <v>5643.5</v>
      </c>
    </row>
    <row r="16030">
      <c r="A16030" s="3" t="inlineStr">
        <is>
          <t>Opportunity Global Investment (PTY) LTD</t>
        </is>
      </c>
      <c r="B16030" s="4" t="n">
        <v>45199</v>
      </c>
      <c r="C16030" s="3" t="inlineStr">
        <is>
          <t>Expenses</t>
        </is>
      </c>
      <c r="D16030" s="3" t="inlineStr">
        <is>
          <t>4650/100</t>
        </is>
      </c>
      <c r="E16030" s="3" t="inlineStr">
        <is>
          <t>Travel &amp; Accomodation: Uber</t>
        </is>
      </c>
      <c r="F16030" s="3" t="n">
        <v>1609</v>
      </c>
      <c r="G16030" s="3" t="n">
        <v>1609</v>
      </c>
    </row>
    <row r="16031">
      <c r="A16031" s="3" t="inlineStr">
        <is>
          <t>Noble Shield (Pty) Ltd ta Go Letting</t>
        </is>
      </c>
      <c r="B16031" s="4" t="n">
        <v>45199</v>
      </c>
      <c r="C16031" s="3" t="inlineStr">
        <is>
          <t>Expenses</t>
        </is>
      </c>
      <c r="D16031" s="3" t="inlineStr">
        <is>
          <t>4700/000</t>
        </is>
      </c>
      <c r="E16031" s="3" t="inlineStr">
        <is>
          <t>PAYE Contributions</t>
        </is>
      </c>
      <c r="F16031" s="3" t="n">
        <v>4648.9</v>
      </c>
      <c r="G16031" s="3" t="n">
        <v>4648.9</v>
      </c>
    </row>
    <row r="16032">
      <c r="A16032" s="3" t="inlineStr">
        <is>
          <t>Trademark Holdings (Pty) Ltd</t>
        </is>
      </c>
      <c r="B16032" s="4" t="n">
        <v>45199</v>
      </c>
      <c r="C16032" s="3" t="inlineStr">
        <is>
          <t>Expenses</t>
        </is>
      </c>
      <c r="D16032" s="3" t="inlineStr">
        <is>
          <t>4700/000</t>
        </is>
      </c>
      <c r="E16032" s="3" t="inlineStr">
        <is>
          <t>PAYE Contributions</t>
        </is>
      </c>
      <c r="F16032" s="3" t="n">
        <v>5063.78</v>
      </c>
      <c r="G16032" s="3" t="n">
        <v>5063.78</v>
      </c>
    </row>
    <row r="16033">
      <c r="A16033" s="3" t="inlineStr">
        <is>
          <t>Opportunity Global Investment (PTY) LTD</t>
        </is>
      </c>
      <c r="B16033" s="4" t="n">
        <v>45199</v>
      </c>
      <c r="C16033" s="3" t="inlineStr">
        <is>
          <t>Expenses</t>
        </is>
      </c>
      <c r="D16033" s="3" t="inlineStr">
        <is>
          <t>4700/000</t>
        </is>
      </c>
      <c r="E16033" s="3" t="inlineStr">
        <is>
          <t>UIF Contributions</t>
        </is>
      </c>
      <c r="F16033" s="3" t="n">
        <v>177.12</v>
      </c>
      <c r="G16033" s="3" t="n">
        <v>1239.84</v>
      </c>
    </row>
    <row r="16034">
      <c r="A16034" s="3" t="inlineStr">
        <is>
          <t>Opportunity Global Sales (PTY) LTD</t>
        </is>
      </c>
      <c r="B16034" s="4" t="n">
        <v>45199</v>
      </c>
      <c r="C16034" s="3" t="inlineStr">
        <is>
          <t>Expenses</t>
        </is>
      </c>
      <c r="D16034" s="3" t="inlineStr">
        <is>
          <t>4700/000</t>
        </is>
      </c>
      <c r="E16034" s="3" t="inlineStr">
        <is>
          <t>UIF Contributions</t>
        </is>
      </c>
      <c r="F16034" s="3" t="n">
        <v>312.12</v>
      </c>
      <c r="G16034" s="3" t="n">
        <v>2184.84</v>
      </c>
    </row>
    <row r="16035">
      <c r="A16035" s="3" t="inlineStr">
        <is>
          <t>Opportunity Global Sales (PTY) LTD</t>
        </is>
      </c>
      <c r="B16035" s="4" t="n">
        <v>45199</v>
      </c>
      <c r="C16035" s="3" t="inlineStr">
        <is>
          <t>Expenses</t>
        </is>
      </c>
      <c r="D16035" s="3" t="inlineStr">
        <is>
          <t>4701/000</t>
        </is>
      </c>
      <c r="E16035" s="3" t="inlineStr">
        <is>
          <t>UIF Employee Contribution</t>
        </is>
      </c>
      <c r="F16035" s="3" t="n">
        <v>312.12</v>
      </c>
      <c r="G16035" s="3" t="n">
        <v>2184.84</v>
      </c>
    </row>
    <row r="16036">
      <c r="A16036" s="3" t="inlineStr">
        <is>
          <t>Opportunity Global Investment (PTY) LTD</t>
        </is>
      </c>
      <c r="B16036" s="4" t="n">
        <v>45199</v>
      </c>
      <c r="C16036" s="3" t="inlineStr">
        <is>
          <t>Expenses</t>
        </is>
      </c>
      <c r="D16036" s="3" t="inlineStr">
        <is>
          <t>4701/000</t>
        </is>
      </c>
      <c r="E16036" s="3" t="inlineStr">
        <is>
          <t>UIF Employee Contributions</t>
        </is>
      </c>
      <c r="F16036" s="3" t="n">
        <v>177.12</v>
      </c>
      <c r="G16036" s="3" t="n">
        <v>1239.84</v>
      </c>
    </row>
    <row r="16037">
      <c r="A16037" s="3" t="inlineStr">
        <is>
          <t>Noble Shield (Pty) Ltd ta Go Letting</t>
        </is>
      </c>
      <c r="B16037" s="4" t="n">
        <v>45199</v>
      </c>
      <c r="C16037" s="3" t="inlineStr">
        <is>
          <t>Expenses</t>
        </is>
      </c>
      <c r="D16037" s="3" t="inlineStr">
        <is>
          <t>4710/000</t>
        </is>
      </c>
      <c r="E16037" s="3" t="inlineStr">
        <is>
          <t>UIF Company Contributions</t>
        </is>
      </c>
      <c r="F16037" s="3" t="n">
        <v>245.25</v>
      </c>
      <c r="G16037" s="3" t="n">
        <v>245.25</v>
      </c>
    </row>
    <row r="16038">
      <c r="A16038" s="3" t="inlineStr">
        <is>
          <t>Trademark Holdings (Pty) Ltd</t>
        </is>
      </c>
      <c r="B16038" s="4" t="n">
        <v>45199</v>
      </c>
      <c r="C16038" s="3" t="inlineStr">
        <is>
          <t>Expenses</t>
        </is>
      </c>
      <c r="D16038" s="3" t="inlineStr">
        <is>
          <t>4710/000</t>
        </is>
      </c>
      <c r="E16038" s="3" t="inlineStr">
        <is>
          <t>UIF Company Contributions</t>
        </is>
      </c>
      <c r="F16038" s="3" t="n">
        <v>95.25</v>
      </c>
      <c r="G16038" s="3" t="n">
        <v>95.25</v>
      </c>
    </row>
    <row r="16039">
      <c r="A16039" s="3" t="inlineStr">
        <is>
          <t>Noble Shield (Pty) Ltd ta Go Letting</t>
        </is>
      </c>
      <c r="B16039" s="4" t="n">
        <v>45199</v>
      </c>
      <c r="C16039" s="3" t="inlineStr">
        <is>
          <t>Expenses</t>
        </is>
      </c>
      <c r="D16039" s="3" t="inlineStr">
        <is>
          <t>4711/000</t>
        </is>
      </c>
      <c r="E16039" s="3" t="inlineStr">
        <is>
          <t>UIF Employee Contribution</t>
        </is>
      </c>
      <c r="F16039" s="3" t="n">
        <v>245.25</v>
      </c>
      <c r="G16039" s="3" t="n">
        <v>245.25</v>
      </c>
    </row>
    <row r="16040">
      <c r="A16040" s="3" t="inlineStr">
        <is>
          <t>Trademark Holdings (Pty) Ltd</t>
        </is>
      </c>
      <c r="B16040" s="4" t="n">
        <v>45199</v>
      </c>
      <c r="C16040" s="3" t="inlineStr">
        <is>
          <t>Expenses</t>
        </is>
      </c>
      <c r="D16040" s="3" t="inlineStr">
        <is>
          <t>4711/000</t>
        </is>
      </c>
      <c r="E16040" s="3" t="inlineStr">
        <is>
          <t>UIF Employee Contributions</t>
        </is>
      </c>
      <c r="F16040" s="3" t="n">
        <v>95.25</v>
      </c>
      <c r="G16040" s="3" t="n">
        <v>95.25</v>
      </c>
    </row>
    <row r="16041">
      <c r="A16041" s="3" t="inlineStr">
        <is>
          <t>Noble Shield (Pty) Ltd ta Go Letting</t>
        </is>
      </c>
      <c r="B16041" s="4" t="n">
        <v>45199</v>
      </c>
      <c r="C16041" s="3" t="inlineStr">
        <is>
          <t>Expenses</t>
        </is>
      </c>
      <c r="D16041" s="3" t="inlineStr">
        <is>
          <t>4720/000</t>
        </is>
      </c>
      <c r="E16041" s="3" t="inlineStr">
        <is>
          <t>SDL Contributions</t>
        </is>
      </c>
      <c r="F16041" s="3" t="n">
        <v>430.85</v>
      </c>
      <c r="G16041" s="3" t="n">
        <v>430.85</v>
      </c>
    </row>
    <row r="16042">
      <c r="A16042" s="3" t="inlineStr">
        <is>
          <t>Trademark Holdings (Pty) Ltd</t>
        </is>
      </c>
      <c r="B16042" s="4" t="n">
        <v>45199</v>
      </c>
      <c r="C16042" s="3" t="inlineStr">
        <is>
          <t>Expenses</t>
        </is>
      </c>
      <c r="D16042" s="3" t="inlineStr">
        <is>
          <t>4720/000</t>
        </is>
      </c>
      <c r="E16042" s="3" t="inlineStr">
        <is>
          <t>SDL Contributions</t>
        </is>
      </c>
      <c r="F16042" s="3" t="n">
        <v>310.8</v>
      </c>
      <c r="G16042" s="3" t="n">
        <v>310.8</v>
      </c>
    </row>
    <row r="16043">
      <c r="A16043" s="3" t="inlineStr">
        <is>
          <t>Opportunity Global Investment (PTY) LTD</t>
        </is>
      </c>
      <c r="B16043" s="4" t="n">
        <v>45199</v>
      </c>
      <c r="C16043" s="3" t="inlineStr">
        <is>
          <t>Expenses</t>
        </is>
      </c>
      <c r="D16043" s="3" t="inlineStr">
        <is>
          <t>4730/000</t>
        </is>
      </c>
      <c r="E16043" s="3" t="inlineStr">
        <is>
          <t>PAYE Contributions</t>
        </is>
      </c>
      <c r="F16043" s="3" t="n">
        <v>8822.27</v>
      </c>
      <c r="G16043" s="3" t="n">
        <v>61755.87</v>
      </c>
    </row>
    <row r="16044">
      <c r="A16044" s="3" t="inlineStr">
        <is>
          <t>Opportunity Global Sales (PTY) LTD</t>
        </is>
      </c>
      <c r="B16044" s="4" t="n">
        <v>45199</v>
      </c>
      <c r="C16044" s="3" t="inlineStr">
        <is>
          <t>Expenses</t>
        </is>
      </c>
      <c r="D16044" s="3" t="inlineStr">
        <is>
          <t>4730/000</t>
        </is>
      </c>
      <c r="E16044" s="3" t="inlineStr">
        <is>
          <t>PAYE Contributions</t>
        </is>
      </c>
      <c r="F16044" s="3" t="n">
        <v>9220.83</v>
      </c>
      <c r="G16044" s="3" t="n">
        <v>64545.83</v>
      </c>
    </row>
    <row r="16045">
      <c r="A16045" s="3" t="inlineStr">
        <is>
          <t>Opportunity Management Holdings (PTY) LTD</t>
        </is>
      </c>
      <c r="B16045" s="4" t="n">
        <v>45199</v>
      </c>
      <c r="C16045" s="3" t="inlineStr">
        <is>
          <t>Expenses</t>
        </is>
      </c>
      <c r="D16045" s="3" t="inlineStr">
        <is>
          <t>4730/000</t>
        </is>
      </c>
      <c r="E16045" s="3" t="inlineStr">
        <is>
          <t>PAYE Contributions</t>
        </is>
      </c>
      <c r="F16045" s="3" t="n">
        <v>37880.5</v>
      </c>
      <c r="G16045" s="3" t="n">
        <v>37880.5</v>
      </c>
    </row>
    <row r="16046">
      <c r="A16046" s="3" t="inlineStr">
        <is>
          <t>Opportunity Global Investment (PTY) LTD</t>
        </is>
      </c>
      <c r="B16046" s="4" t="n">
        <v>45199</v>
      </c>
      <c r="C16046" s="3" t="inlineStr">
        <is>
          <t>Expenses</t>
        </is>
      </c>
      <c r="D16046" s="3" t="inlineStr">
        <is>
          <t>4740/000</t>
        </is>
      </c>
      <c r="E16046" s="3" t="inlineStr">
        <is>
          <t>SDL Contributions</t>
        </is>
      </c>
      <c r="F16046" s="3" t="n">
        <v>431.1</v>
      </c>
      <c r="G16046" s="3" t="n">
        <v>3017.7</v>
      </c>
    </row>
    <row r="16047">
      <c r="A16047" s="3" t="inlineStr">
        <is>
          <t>Opportunity Global Sales (PTY) LTD</t>
        </is>
      </c>
      <c r="B16047" s="4" t="n">
        <v>45199</v>
      </c>
      <c r="C16047" s="3" t="inlineStr">
        <is>
          <t>Expenses</t>
        </is>
      </c>
      <c r="D16047" s="3" t="inlineStr">
        <is>
          <t>4740/000</t>
        </is>
      </c>
      <c r="E16047" s="3" t="inlineStr">
        <is>
          <t>SDL Contributions</t>
        </is>
      </c>
      <c r="F16047" s="3" t="n">
        <v>2730.41</v>
      </c>
      <c r="G16047" s="3" t="n">
        <v>14304.56</v>
      </c>
    </row>
    <row r="16048">
      <c r="A16048" s="3" t="inlineStr">
        <is>
          <t>Opportunity Management Holdings (PTY) LTD</t>
        </is>
      </c>
      <c r="B16048" s="4" t="n">
        <v>45199</v>
      </c>
      <c r="C16048" s="3" t="inlineStr">
        <is>
          <t>Expenses</t>
        </is>
      </c>
      <c r="D16048" s="3" t="inlineStr">
        <is>
          <t>4740/000</t>
        </is>
      </c>
      <c r="E16048" s="3" t="inlineStr">
        <is>
          <t>UIF Company Contribution</t>
        </is>
      </c>
      <c r="F16048" s="3" t="n">
        <v>1549.4</v>
      </c>
      <c r="G16048" s="3" t="n">
        <v>1549.4</v>
      </c>
    </row>
    <row r="16049">
      <c r="A16049" s="3" t="inlineStr">
        <is>
          <t>Opportunity Management Holdings (PTY) LTD</t>
        </is>
      </c>
      <c r="B16049" s="4" t="n">
        <v>45199</v>
      </c>
      <c r="C16049" s="3" t="inlineStr">
        <is>
          <t>Expenses</t>
        </is>
      </c>
      <c r="D16049" s="3" t="inlineStr">
        <is>
          <t>4741/000</t>
        </is>
      </c>
      <c r="E16049" s="3" t="inlineStr">
        <is>
          <t>UIF Employee Contribution</t>
        </is>
      </c>
      <c r="F16049" s="3" t="n">
        <v>1549.4</v>
      </c>
      <c r="G16049" s="3" t="n">
        <v>1549.4</v>
      </c>
    </row>
    <row r="16050">
      <c r="A16050" s="3" t="inlineStr">
        <is>
          <t>Opportunity Management Holdings (PTY) LTD</t>
        </is>
      </c>
      <c r="B16050" s="4" t="n">
        <v>45199</v>
      </c>
      <c r="C16050" s="3" t="inlineStr">
        <is>
          <t>Expenses</t>
        </is>
      </c>
      <c r="D16050" s="3" t="inlineStr">
        <is>
          <t>4750/000</t>
        </is>
      </c>
      <c r="E16050" s="3" t="inlineStr">
        <is>
          <t>SDL Contribution</t>
        </is>
      </c>
      <c r="F16050" s="3" t="n">
        <v>2355.8</v>
      </c>
      <c r="G16050" s="3" t="n">
        <v>2355.8</v>
      </c>
    </row>
    <row r="16051">
      <c r="A16051" s="3" t="inlineStr">
        <is>
          <t>Noble Shield (Pty) Ltd ta Go Letting</t>
        </is>
      </c>
      <c r="B16051" s="4" t="n">
        <v>45199</v>
      </c>
      <c r="C16051" s="3" t="inlineStr">
        <is>
          <t>Equity</t>
        </is>
      </c>
      <c r="D16051" s="3" t="inlineStr">
        <is>
          <t>5100/000</t>
        </is>
      </c>
      <c r="E16051" s="3" t="inlineStr">
        <is>
          <t>Share Capital</t>
        </is>
      </c>
      <c r="F16051" s="3" t="n">
        <v>0</v>
      </c>
      <c r="G16051" s="3" t="n">
        <v>-1</v>
      </c>
    </row>
    <row r="16052">
      <c r="A16052" s="3" t="inlineStr">
        <is>
          <t>Opportunity Management Holdings (PTY) LTD</t>
        </is>
      </c>
      <c r="B16052" s="4" t="n">
        <v>45199</v>
      </c>
      <c r="C16052" s="3" t="inlineStr">
        <is>
          <t>Equity</t>
        </is>
      </c>
      <c r="D16052" s="3" t="inlineStr">
        <is>
          <t>5100/000</t>
        </is>
      </c>
      <c r="E16052" s="3" t="inlineStr">
        <is>
          <t>Share Capital / Members Contribution</t>
        </is>
      </c>
      <c r="F16052" s="3" t="n">
        <v>0</v>
      </c>
      <c r="G16052" s="3" t="n">
        <v>-120</v>
      </c>
    </row>
    <row r="16053">
      <c r="A16053" s="3" t="inlineStr">
        <is>
          <t>Quinate Consulting (Pty) Ltd</t>
        </is>
      </c>
      <c r="B16053" s="4" t="n">
        <v>45199</v>
      </c>
      <c r="C16053" s="3" t="inlineStr">
        <is>
          <t>Equity</t>
        </is>
      </c>
      <c r="D16053" s="3" t="inlineStr">
        <is>
          <t>5100/000</t>
        </is>
      </c>
      <c r="E16053" s="3" t="inlineStr">
        <is>
          <t>Share Capital / Members Contribution</t>
        </is>
      </c>
      <c r="F16053" s="3" t="n">
        <v>0</v>
      </c>
      <c r="G16053" s="3" t="n">
        <v>-120</v>
      </c>
    </row>
    <row r="16054">
      <c r="A16054" s="3" t="inlineStr">
        <is>
          <t>Trademark Holdings (Pty) Ltd</t>
        </is>
      </c>
      <c r="B16054" s="4" t="n">
        <v>45199</v>
      </c>
      <c r="C16054" s="3" t="inlineStr">
        <is>
          <t>Equity</t>
        </is>
      </c>
      <c r="D16054" s="3" t="inlineStr">
        <is>
          <t>5100/001</t>
        </is>
      </c>
      <c r="E16054" s="3" t="inlineStr">
        <is>
          <t>Share Capital - GFY Investments</t>
        </is>
      </c>
      <c r="F16054" s="3" t="n">
        <v>0</v>
      </c>
      <c r="G16054" s="3" t="n">
        <v>-60</v>
      </c>
    </row>
    <row r="16055">
      <c r="A16055" s="3" t="inlineStr">
        <is>
          <t>Trademark Holdings (Pty) Ltd</t>
        </is>
      </c>
      <c r="B16055" s="4" t="n">
        <v>45199</v>
      </c>
      <c r="C16055" s="3" t="inlineStr">
        <is>
          <t>Equity</t>
        </is>
      </c>
      <c r="D16055" s="3" t="inlineStr">
        <is>
          <t>5100/002</t>
        </is>
      </c>
      <c r="E16055" s="3" t="inlineStr">
        <is>
          <t>Share Capital - Zak Trust</t>
        </is>
      </c>
      <c r="F16055" s="3" t="n">
        <v>0</v>
      </c>
      <c r="G16055" s="3" t="n">
        <v>-60</v>
      </c>
    </row>
    <row r="16056">
      <c r="A16056" s="3" t="inlineStr">
        <is>
          <t>Opportunity Global Investment (PTY) LTD</t>
        </is>
      </c>
      <c r="B16056" s="4" t="n">
        <v>45199</v>
      </c>
      <c r="C16056" s="3" t="inlineStr">
        <is>
          <t>Equity</t>
        </is>
      </c>
      <c r="D16056" s="3" t="inlineStr">
        <is>
          <t>5101/000</t>
        </is>
      </c>
      <c r="E16056" s="3" t="inlineStr">
        <is>
          <t>Share Capital - Ordinary Type A</t>
        </is>
      </c>
      <c r="F16056" s="3" t="n">
        <v>0</v>
      </c>
      <c r="G16056" s="3" t="n">
        <v>-70</v>
      </c>
    </row>
    <row r="16057">
      <c r="A16057" s="3" t="inlineStr">
        <is>
          <t>Opportunity Global Investment (PTY) LTD</t>
        </is>
      </c>
      <c r="B16057" s="4" t="n">
        <v>45199</v>
      </c>
      <c r="C16057" s="3" t="inlineStr">
        <is>
          <t>Equity</t>
        </is>
      </c>
      <c r="D16057" s="3" t="inlineStr">
        <is>
          <t>5102/000</t>
        </is>
      </c>
      <c r="E16057" s="3" t="inlineStr">
        <is>
          <t>Share Capital - Ordinary Type B</t>
        </is>
      </c>
      <c r="F16057" s="3" t="n">
        <v>0</v>
      </c>
      <c r="G16057" s="3" t="n">
        <v>-30</v>
      </c>
    </row>
    <row r="16058">
      <c r="A16058" s="3" t="inlineStr">
        <is>
          <t>Endulini (Pty) Ltd</t>
        </is>
      </c>
      <c r="B16058" s="4" t="n">
        <v>45199</v>
      </c>
      <c r="C16058" s="3" t="inlineStr">
        <is>
          <t>Equity</t>
        </is>
      </c>
      <c r="D16058" s="3" t="inlineStr">
        <is>
          <t>5200/000</t>
        </is>
      </c>
      <c r="E16058" s="3" t="inlineStr">
        <is>
          <t>Retained Earnings / Loss</t>
        </is>
      </c>
      <c r="F16058" s="3" t="n">
        <v>0</v>
      </c>
      <c r="G16058" s="3" t="n">
        <v>-6017232.05</v>
      </c>
    </row>
    <row r="16059">
      <c r="A16059" s="3" t="inlineStr">
        <is>
          <t>Noble Shield (Pty) Ltd ta Go Letting</t>
        </is>
      </c>
      <c r="B16059" s="4" t="n">
        <v>45199</v>
      </c>
      <c r="C16059" s="3" t="inlineStr">
        <is>
          <t>Equity</t>
        </is>
      </c>
      <c r="D16059" s="3" t="inlineStr">
        <is>
          <t>5200/000</t>
        </is>
      </c>
      <c r="E16059" s="3" t="inlineStr">
        <is>
          <t>Retained Earnings / Loss</t>
        </is>
      </c>
      <c r="F16059" s="3" t="n">
        <v>0</v>
      </c>
      <c r="G16059" s="3" t="n">
        <v>-91943.62</v>
      </c>
    </row>
    <row r="16060">
      <c r="A16060" s="3" t="inlineStr">
        <is>
          <t>Opportunity Global Investment (PTY) LTD</t>
        </is>
      </c>
      <c r="B16060" s="4" t="n">
        <v>45199</v>
      </c>
      <c r="C16060" s="3" t="inlineStr">
        <is>
          <t>Equity</t>
        </is>
      </c>
      <c r="D16060" s="3" t="inlineStr">
        <is>
          <t>5200/000</t>
        </is>
      </c>
      <c r="E16060" s="3" t="inlineStr">
        <is>
          <t>Retained Earnings / Loss</t>
        </is>
      </c>
      <c r="F16060" s="3" t="n">
        <v>0</v>
      </c>
      <c r="G16060" s="3" t="n">
        <v>2134849.73</v>
      </c>
    </row>
    <row r="16061">
      <c r="A16061" s="3" t="inlineStr">
        <is>
          <t>Opportunity Global Sales (PTY) LTD</t>
        </is>
      </c>
      <c r="B16061" s="4" t="n">
        <v>45199</v>
      </c>
      <c r="C16061" s="3" t="inlineStr">
        <is>
          <t>Equity</t>
        </is>
      </c>
      <c r="D16061" s="3" t="inlineStr">
        <is>
          <t>5200/000</t>
        </is>
      </c>
      <c r="E16061" s="3" t="inlineStr">
        <is>
          <t>Retained Earnings / Loss</t>
        </is>
      </c>
      <c r="F16061" s="3" t="n">
        <v>0</v>
      </c>
      <c r="G16061" s="3" t="n">
        <v>-2287097.79</v>
      </c>
    </row>
    <row r="16062">
      <c r="A16062" s="3" t="inlineStr">
        <is>
          <t>Opportunity Management Holdings (PTY) LTD</t>
        </is>
      </c>
      <c r="B16062" s="4" t="n">
        <v>45199</v>
      </c>
      <c r="C16062" s="3" t="inlineStr">
        <is>
          <t>Equity</t>
        </is>
      </c>
      <c r="D16062" s="3" t="inlineStr">
        <is>
          <t>5200/000</t>
        </is>
      </c>
      <c r="E16062" s="3" t="inlineStr">
        <is>
          <t>Retained Earnings / Loss</t>
        </is>
      </c>
      <c r="F16062" s="3" t="n">
        <v>0</v>
      </c>
      <c r="G16062" s="3" t="n">
        <v>1215864.15</v>
      </c>
    </row>
    <row r="16063">
      <c r="A16063" s="3" t="inlineStr">
        <is>
          <t>Quinate Consulting (Pty) Ltd</t>
        </is>
      </c>
      <c r="B16063" s="4" t="n">
        <v>45199</v>
      </c>
      <c r="C16063" s="3" t="inlineStr">
        <is>
          <t>Equity</t>
        </is>
      </c>
      <c r="D16063" s="3" t="inlineStr">
        <is>
          <t>5200/000</t>
        </is>
      </c>
      <c r="E16063" s="3" t="inlineStr">
        <is>
          <t>Retained Earnings / Loss</t>
        </is>
      </c>
      <c r="F16063" s="3" t="n">
        <v>0</v>
      </c>
      <c r="G16063" s="3" t="n">
        <v>1549164.28</v>
      </c>
    </row>
    <row r="16064">
      <c r="A16064" s="3" t="inlineStr">
        <is>
          <t>Trademark Holdings (Pty) Ltd</t>
        </is>
      </c>
      <c r="B16064" s="4" t="n">
        <v>45199</v>
      </c>
      <c r="C16064" s="3" t="inlineStr">
        <is>
          <t>Equity</t>
        </is>
      </c>
      <c r="D16064" s="3" t="inlineStr">
        <is>
          <t>5200/000</t>
        </is>
      </c>
      <c r="E16064" s="3" t="inlineStr">
        <is>
          <t>Retained Earnings / Loss</t>
        </is>
      </c>
      <c r="F16064" s="3" t="n">
        <v>0</v>
      </c>
      <c r="G16064" s="3" t="n">
        <v>-163666.44</v>
      </c>
    </row>
    <row r="16065">
      <c r="A16065" s="3" t="inlineStr">
        <is>
          <t>Quinate Consulting (Pty) Ltd</t>
        </is>
      </c>
      <c r="B16065" s="4" t="n">
        <v>45199</v>
      </c>
      <c r="C16065" s="3" t="inlineStr">
        <is>
          <t>Assets</t>
        </is>
      </c>
      <c r="D16065" s="3" t="inlineStr">
        <is>
          <t>5400/011</t>
        </is>
      </c>
      <c r="E16065" s="3" t="inlineStr">
        <is>
          <t>Members Loan - Nick Morgan</t>
        </is>
      </c>
      <c r="F16065" s="3" t="n">
        <v>0</v>
      </c>
      <c r="G16065" s="3" t="n">
        <v>-85743.69</v>
      </c>
    </row>
    <row r="16066">
      <c r="A16066" s="3" t="inlineStr">
        <is>
          <t>Opportunity Management Holdings (PTY) LTD</t>
        </is>
      </c>
      <c r="B16066" s="4" t="n">
        <v>45199</v>
      </c>
      <c r="C16066" s="3" t="inlineStr">
        <is>
          <t>Assets</t>
        </is>
      </c>
      <c r="D16066" s="3" t="inlineStr">
        <is>
          <t>5400/500</t>
        </is>
      </c>
      <c r="E16066" s="3" t="inlineStr">
        <is>
          <t>Shareholder - Zak Loan</t>
        </is>
      </c>
      <c r="F16066" s="3" t="n">
        <v>0</v>
      </c>
      <c r="G16066" s="3" t="n">
        <v>-171798.21</v>
      </c>
    </row>
    <row r="16067">
      <c r="A16067" s="3" t="inlineStr">
        <is>
          <t>Quinate Consulting (Pty) Ltd</t>
        </is>
      </c>
      <c r="B16067" s="4" t="n">
        <v>45199</v>
      </c>
      <c r="C16067" s="3" t="inlineStr">
        <is>
          <t>Liabilities</t>
        </is>
      </c>
      <c r="D16067" s="3" t="inlineStr">
        <is>
          <t>5500/010</t>
        </is>
      </c>
      <c r="E16067" s="3" t="inlineStr">
        <is>
          <t>Loan - Wynand Haywood</t>
        </is>
      </c>
      <c r="F16067" s="3" t="n">
        <v>0</v>
      </c>
      <c r="G16067" s="3" t="n">
        <v>1928.67</v>
      </c>
    </row>
    <row r="16068">
      <c r="A16068" s="3" t="inlineStr">
        <is>
          <t>Quinate Consulting (Pty) Ltd</t>
        </is>
      </c>
      <c r="B16068" s="4" t="n">
        <v>45199</v>
      </c>
      <c r="C16068" s="3" t="inlineStr">
        <is>
          <t>Liabilities</t>
        </is>
      </c>
      <c r="D16068" s="3" t="inlineStr">
        <is>
          <t>5500/023</t>
        </is>
      </c>
      <c r="E16068" s="3" t="inlineStr">
        <is>
          <t>Loan - Noble Shield 1 Security Trust</t>
        </is>
      </c>
      <c r="F16068" s="3" t="n">
        <v>100</v>
      </c>
      <c r="G16068" s="3" t="n">
        <v>100</v>
      </c>
    </row>
    <row r="16069">
      <c r="A16069" s="3" t="inlineStr">
        <is>
          <t>Quinate Consulting (Pty) Ltd</t>
        </is>
      </c>
      <c r="B16069" s="4" t="n">
        <v>45199</v>
      </c>
      <c r="C16069" s="3" t="inlineStr">
        <is>
          <t>Liabilities</t>
        </is>
      </c>
      <c r="D16069" s="3" t="inlineStr">
        <is>
          <t>5500/025</t>
        </is>
      </c>
      <c r="E16069" s="3" t="inlineStr">
        <is>
          <t>Loan - Noble Shield 2 Security Trust</t>
        </is>
      </c>
      <c r="F16069" s="3" t="n">
        <v>200</v>
      </c>
      <c r="G16069" s="3" t="n">
        <v>250</v>
      </c>
    </row>
    <row r="16070">
      <c r="A16070" s="3" t="inlineStr">
        <is>
          <t>Quinate Consulting (Pty) Ltd</t>
        </is>
      </c>
      <c r="B16070" s="4" t="n">
        <v>45199</v>
      </c>
      <c r="C16070" s="3" t="inlineStr">
        <is>
          <t>Liabilities</t>
        </is>
      </c>
      <c r="D16070" s="3" t="inlineStr">
        <is>
          <t>5500/030</t>
        </is>
      </c>
      <c r="E16070" s="3" t="inlineStr">
        <is>
          <t>Loan - Heron Projects</t>
        </is>
      </c>
      <c r="F16070" s="3" t="n">
        <v>4200</v>
      </c>
      <c r="G16070" s="3" t="n">
        <v>20000</v>
      </c>
    </row>
    <row r="16071">
      <c r="A16071" s="3" t="inlineStr">
        <is>
          <t>Opportunity Global Investment (PTY) LTD</t>
        </is>
      </c>
      <c r="B16071" s="4" t="n">
        <v>45199</v>
      </c>
      <c r="C16071" s="3" t="inlineStr">
        <is>
          <t>Liabilities</t>
        </is>
      </c>
      <c r="D16071" s="3" t="inlineStr">
        <is>
          <t>5500/100</t>
        </is>
      </c>
      <c r="E16071" s="3" t="inlineStr">
        <is>
          <t>Loan - Cape Projects Construction</t>
        </is>
      </c>
      <c r="F16071" s="3" t="n">
        <v>0</v>
      </c>
      <c r="G16071" s="3" t="n">
        <v>2261000</v>
      </c>
    </row>
    <row r="16072">
      <c r="A16072" s="3" t="inlineStr">
        <is>
          <t>Noble Shield (Pty) Ltd ta Go Letting</t>
        </is>
      </c>
      <c r="B16072" s="4" t="n">
        <v>45199</v>
      </c>
      <c r="C16072" s="3" t="inlineStr">
        <is>
          <t>Liabilities</t>
        </is>
      </c>
      <c r="D16072" s="3" t="inlineStr">
        <is>
          <t>5500/100</t>
        </is>
      </c>
      <c r="E16072" s="3" t="inlineStr">
        <is>
          <t>Loan - Jupiter Trust</t>
        </is>
      </c>
      <c r="F16072" s="3" t="n">
        <v>0</v>
      </c>
      <c r="G16072" s="3" t="n">
        <v>-100228.75</v>
      </c>
    </row>
    <row r="16073">
      <c r="A16073" s="3" t="inlineStr">
        <is>
          <t>Opportunity Management Holdings (PTY) LTD</t>
        </is>
      </c>
      <c r="B16073" s="4" t="n">
        <v>45199</v>
      </c>
      <c r="C16073" s="3" t="inlineStr">
        <is>
          <t>Liabilities</t>
        </is>
      </c>
      <c r="D16073" s="3" t="inlineStr">
        <is>
          <t>5500/100</t>
        </is>
      </c>
      <c r="E16073" s="3" t="inlineStr">
        <is>
          <t>Loan - Opportunity Global</t>
        </is>
      </c>
      <c r="F16073" s="3" t="n">
        <v>0</v>
      </c>
      <c r="G16073" s="3" t="n">
        <v>-20000</v>
      </c>
    </row>
    <row r="16074">
      <c r="A16074" s="3" t="inlineStr">
        <is>
          <t>Endulini (Pty) Ltd</t>
        </is>
      </c>
      <c r="B16074" s="4" t="n">
        <v>45199</v>
      </c>
      <c r="C16074" s="3" t="inlineStr">
        <is>
          <t>Liabilities</t>
        </is>
      </c>
      <c r="D16074" s="3" t="inlineStr">
        <is>
          <t>5500/100</t>
        </is>
      </c>
      <c r="E16074" s="3" t="inlineStr">
        <is>
          <t>Loan - Quinate Consulting</t>
        </is>
      </c>
      <c r="F16074" s="3" t="n">
        <v>95156.97</v>
      </c>
      <c r="G16074" s="3" t="n">
        <v>-9155592.130000001</v>
      </c>
    </row>
    <row r="16075">
      <c r="A16075" s="3" t="inlineStr">
        <is>
          <t>Opportunity Global Investment (PTY) LTD</t>
        </is>
      </c>
      <c r="B16075" s="4" t="n">
        <v>45199</v>
      </c>
      <c r="C16075" s="3" t="inlineStr">
        <is>
          <t>Liabilities</t>
        </is>
      </c>
      <c r="D16075" s="3" t="inlineStr">
        <is>
          <t>5500/112</t>
        </is>
      </c>
      <c r="E16075" s="3" t="inlineStr">
        <is>
          <t>Loan - GFY</t>
        </is>
      </c>
      <c r="F16075" s="3" t="n">
        <v>105000</v>
      </c>
      <c r="G16075" s="3" t="n">
        <v>0</v>
      </c>
    </row>
    <row r="16076">
      <c r="A16076" s="3" t="inlineStr">
        <is>
          <t>Endulini (Pty) Ltd</t>
        </is>
      </c>
      <c r="B16076" s="4" t="n">
        <v>45199</v>
      </c>
      <c r="C16076" s="3" t="inlineStr">
        <is>
          <t>Liabilities</t>
        </is>
      </c>
      <c r="D16076" s="3" t="inlineStr">
        <is>
          <t>5500/150</t>
        </is>
      </c>
      <c r="E16076" s="3" t="inlineStr">
        <is>
          <t>Loan - Cape Projects Construction</t>
        </is>
      </c>
      <c r="F16076" s="3" t="n">
        <v>-3228000</v>
      </c>
      <c r="G16076" s="3" t="n">
        <v>-17961000</v>
      </c>
    </row>
    <row r="16077">
      <c r="A16077" s="3" t="inlineStr">
        <is>
          <t>Quinate Consulting (Pty) Ltd</t>
        </is>
      </c>
      <c r="B16077" s="4" t="n">
        <v>45199</v>
      </c>
      <c r="C16077" s="3" t="inlineStr">
        <is>
          <t>Liabilities</t>
        </is>
      </c>
      <c r="D16077" s="3" t="inlineStr">
        <is>
          <t>5500/160</t>
        </is>
      </c>
      <c r="E16077" s="3" t="inlineStr">
        <is>
          <t>Loan - GFY Investment and Consulting</t>
        </is>
      </c>
      <c r="F16077" s="3" t="n">
        <v>0</v>
      </c>
      <c r="G16077" s="3" t="n">
        <v>-1750249.93</v>
      </c>
    </row>
    <row r="16078">
      <c r="A16078" s="3" t="inlineStr">
        <is>
          <t>Opportunity Management Holdings (PTY) LTD</t>
        </is>
      </c>
      <c r="B16078" s="4" t="n">
        <v>45199</v>
      </c>
      <c r="C16078" s="3" t="inlineStr">
        <is>
          <t>Liabilities</t>
        </is>
      </c>
      <c r="D16078" s="3" t="inlineStr">
        <is>
          <t>5500/200</t>
        </is>
      </c>
      <c r="E16078" s="3" t="inlineStr">
        <is>
          <t>Loan - Cape Projects</t>
        </is>
      </c>
      <c r="F16078" s="3" t="n">
        <v>0</v>
      </c>
      <c r="G16078" s="3" t="n">
        <v>22601</v>
      </c>
    </row>
    <row r="16079">
      <c r="A16079" s="3" t="inlineStr">
        <is>
          <t>Trademark Holdings (Pty) Ltd</t>
        </is>
      </c>
      <c r="B16079" s="4" t="n">
        <v>45199</v>
      </c>
      <c r="C16079" s="3" t="inlineStr">
        <is>
          <t>Liabilities</t>
        </is>
      </c>
      <c r="D16079" s="3" t="inlineStr">
        <is>
          <t>5500/250</t>
        </is>
      </c>
      <c r="E16079" s="3" t="inlineStr">
        <is>
          <t>Loan - Noble Shield</t>
        </is>
      </c>
      <c r="F16079" s="3" t="n">
        <v>0</v>
      </c>
      <c r="G16079" s="3" t="n">
        <v>115165.59</v>
      </c>
    </row>
    <row r="16080">
      <c r="A16080" s="3" t="inlineStr">
        <is>
          <t>Opportunity Management Holdings (PTY) LTD</t>
        </is>
      </c>
      <c r="B16080" s="4" t="n">
        <v>45199</v>
      </c>
      <c r="C16080" s="3" t="inlineStr">
        <is>
          <t>Liabilities</t>
        </is>
      </c>
      <c r="D16080" s="3" t="inlineStr">
        <is>
          <t>5500/250</t>
        </is>
      </c>
      <c r="E16080" s="3" t="inlineStr">
        <is>
          <t>Loan - Quinate</t>
        </is>
      </c>
      <c r="F16080" s="3" t="n">
        <v>0</v>
      </c>
      <c r="G16080" s="3" t="n">
        <v>-20000</v>
      </c>
    </row>
    <row r="16081">
      <c r="A16081" s="3" t="inlineStr">
        <is>
          <t>Quinate Consulting (Pty) Ltd</t>
        </is>
      </c>
      <c r="B16081" s="4" t="n">
        <v>45199</v>
      </c>
      <c r="C16081" s="3" t="inlineStr">
        <is>
          <t>Liabilities</t>
        </is>
      </c>
      <c r="D16081" s="3" t="inlineStr">
        <is>
          <t>5500/300</t>
        </is>
      </c>
      <c r="E16081" s="3" t="inlineStr">
        <is>
          <t>Loan - Gengis</t>
        </is>
      </c>
      <c r="F16081" s="3" t="n">
        <v>-3402.74</v>
      </c>
      <c r="G16081" s="3" t="n">
        <v>-329655.89</v>
      </c>
    </row>
    <row r="16082">
      <c r="A16082" s="3" t="inlineStr">
        <is>
          <t>Opportunity Management Holdings (PTY) LTD</t>
        </is>
      </c>
      <c r="B16082" s="4" t="n">
        <v>45199</v>
      </c>
      <c r="C16082" s="3" t="inlineStr">
        <is>
          <t>Liabilities</t>
        </is>
      </c>
      <c r="D16082" s="3" t="inlineStr">
        <is>
          <t>5500/300</t>
        </is>
      </c>
      <c r="E16082" s="3" t="inlineStr">
        <is>
          <t>Loan - Opportunity Prop Management</t>
        </is>
      </c>
      <c r="F16082" s="3" t="n">
        <v>0</v>
      </c>
      <c r="G16082" s="3" t="n">
        <v>-1220204.15</v>
      </c>
    </row>
    <row r="16083">
      <c r="A16083" s="3" t="inlineStr">
        <is>
          <t>Noble Shield (Pty) Ltd ta Go Letting</t>
        </is>
      </c>
      <c r="B16083" s="4" t="n">
        <v>45199</v>
      </c>
      <c r="C16083" s="3" t="inlineStr">
        <is>
          <t>Liabilities</t>
        </is>
      </c>
      <c r="D16083" s="3" t="inlineStr">
        <is>
          <t>5500/300</t>
        </is>
      </c>
      <c r="E16083" s="3" t="inlineStr">
        <is>
          <t>Loan - Trademark Holdings</t>
        </is>
      </c>
      <c r="F16083" s="3" t="n">
        <v>0</v>
      </c>
      <c r="G16083" s="3" t="n">
        <v>-115165.59</v>
      </c>
    </row>
    <row r="16084">
      <c r="A16084" s="3" t="inlineStr">
        <is>
          <t>Opportunity Global Investment (PTY) LTD</t>
        </is>
      </c>
      <c r="B16084" s="4" t="n">
        <v>45199</v>
      </c>
      <c r="C16084" s="3" t="inlineStr">
        <is>
          <t>Liabilities</t>
        </is>
      </c>
      <c r="D16084" s="3" t="inlineStr">
        <is>
          <t>5500/350</t>
        </is>
      </c>
      <c r="E16084" s="3" t="inlineStr">
        <is>
          <t>Loan - Opportunity Management Holdings</t>
        </is>
      </c>
      <c r="F16084" s="3" t="n">
        <v>0</v>
      </c>
      <c r="G16084" s="3" t="n">
        <v>500</v>
      </c>
    </row>
    <row r="16085">
      <c r="A16085" s="3" t="inlineStr">
        <is>
          <t>Trademark Holdings (Pty) Ltd</t>
        </is>
      </c>
      <c r="B16085" s="4" t="n">
        <v>45199</v>
      </c>
      <c r="C16085" s="3" t="inlineStr">
        <is>
          <t>Liabilities</t>
        </is>
      </c>
      <c r="D16085" s="3" t="inlineStr">
        <is>
          <t>5500/375</t>
        </is>
      </c>
      <c r="E16085" s="3" t="inlineStr">
        <is>
          <t>Loan - Opportunity Management Holdings Pty Ltd</t>
        </is>
      </c>
      <c r="F16085" s="3" t="n">
        <v>-30000</v>
      </c>
      <c r="G16085" s="3" t="n">
        <v>39000</v>
      </c>
    </row>
    <row r="16086">
      <c r="A16086" s="3" t="inlineStr">
        <is>
          <t>Trademark Holdings (Pty) Ltd</t>
        </is>
      </c>
      <c r="B16086" s="4" t="n">
        <v>45199</v>
      </c>
      <c r="C16086" s="3" t="inlineStr">
        <is>
          <t>Liabilities</t>
        </is>
      </c>
      <c r="D16086" s="3" t="inlineStr">
        <is>
          <t>5500/450</t>
        </is>
      </c>
      <c r="E16086" s="3" t="inlineStr">
        <is>
          <t>Loan - Cape Projects Construction</t>
        </is>
      </c>
      <c r="F16086" s="3" t="n">
        <v>-600</v>
      </c>
      <c r="G16086" s="3" t="n">
        <v>-36800</v>
      </c>
    </row>
    <row r="16087">
      <c r="A16087" s="3" t="inlineStr">
        <is>
          <t>Trademark Holdings (Pty) Ltd</t>
        </is>
      </c>
      <c r="B16087" s="4" t="n">
        <v>45199</v>
      </c>
      <c r="C16087" s="3" t="inlineStr">
        <is>
          <t>Liabilities</t>
        </is>
      </c>
      <c r="D16087" s="3" t="inlineStr">
        <is>
          <t>5500/500</t>
        </is>
      </c>
      <c r="E16087" s="3" t="inlineStr">
        <is>
          <t>Go Letting Brand Name</t>
        </is>
      </c>
      <c r="F16087" s="3" t="n">
        <v>0</v>
      </c>
      <c r="G16087" s="3" t="n">
        <v>93420</v>
      </c>
    </row>
    <row r="16088">
      <c r="A16088" s="3" t="inlineStr">
        <is>
          <t>Noble Shield (Pty) Ltd ta Go Letting</t>
        </is>
      </c>
      <c r="B16088" s="4" t="n">
        <v>45199</v>
      </c>
      <c r="C16088" s="3" t="inlineStr">
        <is>
          <t>Liabilities</t>
        </is>
      </c>
      <c r="D16088" s="3" t="inlineStr">
        <is>
          <t>5500/500</t>
        </is>
      </c>
      <c r="E16088" s="3" t="inlineStr">
        <is>
          <t>Loan - Cape Projects Construction</t>
        </is>
      </c>
      <c r="F16088" s="3" t="n">
        <v>-10600</v>
      </c>
      <c r="G16088" s="3" t="n">
        <v>105789.44</v>
      </c>
    </row>
    <row r="16089">
      <c r="A16089" s="3" t="inlineStr">
        <is>
          <t>Quinate Consulting (Pty) Ltd</t>
        </is>
      </c>
      <c r="B16089" s="4" t="n">
        <v>45199</v>
      </c>
      <c r="C16089" s="3" t="inlineStr">
        <is>
          <t>Liabilities</t>
        </is>
      </c>
      <c r="D16089" s="3" t="inlineStr">
        <is>
          <t>5500/500</t>
        </is>
      </c>
      <c r="E16089" s="3" t="inlineStr">
        <is>
          <t>Loan - Opportunity Development Struct.</t>
        </is>
      </c>
      <c r="F16089" s="3" t="n">
        <v>0</v>
      </c>
      <c r="G16089" s="3" t="n">
        <v>-2380000</v>
      </c>
    </row>
    <row r="16090">
      <c r="A16090" s="3" t="inlineStr">
        <is>
          <t>Opportunity Management Holdings (PTY) LTD</t>
        </is>
      </c>
      <c r="B16090" s="4" t="n">
        <v>45199</v>
      </c>
      <c r="C16090" s="3" t="inlineStr">
        <is>
          <t>Liabilities</t>
        </is>
      </c>
      <c r="D16090" s="3" t="inlineStr">
        <is>
          <t>5500/500</t>
        </is>
      </c>
      <c r="E16090" s="3" t="inlineStr">
        <is>
          <t>Loan - Opportunity Tradermark Holdings</t>
        </is>
      </c>
      <c r="F16090" s="3" t="n">
        <v>30000</v>
      </c>
      <c r="G16090" s="3" t="n">
        <v>-39000</v>
      </c>
    </row>
    <row r="16091">
      <c r="A16091" s="3" t="inlineStr">
        <is>
          <t>Quinate Consulting (Pty) Ltd</t>
        </is>
      </c>
      <c r="B16091" s="4" t="n">
        <v>45199</v>
      </c>
      <c r="C16091" s="3" t="inlineStr">
        <is>
          <t>Liabilities</t>
        </is>
      </c>
      <c r="D16091" s="3" t="inlineStr">
        <is>
          <t>5500/520</t>
        </is>
      </c>
      <c r="E16091" s="3" t="inlineStr">
        <is>
          <t>Loan - Opportunity Management Holdings</t>
        </is>
      </c>
      <c r="F16091" s="3" t="n">
        <v>0</v>
      </c>
      <c r="G16091" s="3" t="n">
        <v>16100</v>
      </c>
    </row>
    <row r="16092">
      <c r="A16092" s="3" t="inlineStr">
        <is>
          <t>Opportunity Management Holdings (PTY) LTD</t>
        </is>
      </c>
      <c r="B16092" s="4" t="n">
        <v>45199</v>
      </c>
      <c r="C16092" s="3" t="inlineStr">
        <is>
          <t>Liabilities</t>
        </is>
      </c>
      <c r="D16092" s="3" t="inlineStr">
        <is>
          <t>5500/550</t>
        </is>
      </c>
      <c r="E16092" s="3" t="inlineStr">
        <is>
          <t>Loan - Heron Projects</t>
        </is>
      </c>
      <c r="F16092" s="3" t="n">
        <v>20000</v>
      </c>
      <c r="G16092" s="3" t="n">
        <v>-65100</v>
      </c>
    </row>
    <row r="16093">
      <c r="A16093" s="3" t="inlineStr">
        <is>
          <t>Noble Shield (Pty) Ltd ta Go Letting</t>
        </is>
      </c>
      <c r="B16093" s="4" t="n">
        <v>45199</v>
      </c>
      <c r="C16093" s="3" t="inlineStr">
        <is>
          <t>Liabilities</t>
        </is>
      </c>
      <c r="D16093" s="3" t="inlineStr">
        <is>
          <t>5500/600</t>
        </is>
      </c>
      <c r="E16093" s="3" t="inlineStr">
        <is>
          <t>Loan - Heron Projects</t>
        </is>
      </c>
      <c r="F16093" s="3" t="n">
        <v>0</v>
      </c>
      <c r="G16093" s="3" t="n">
        <v>20370.22</v>
      </c>
    </row>
    <row r="16094">
      <c r="A16094" s="3" t="inlineStr">
        <is>
          <t>Opportunity Global Investment (PTY) LTD</t>
        </is>
      </c>
      <c r="B16094" s="4" t="n">
        <v>45199</v>
      </c>
      <c r="C16094" s="3" t="inlineStr">
        <is>
          <t>Liabilities</t>
        </is>
      </c>
      <c r="D16094" s="3" t="inlineStr">
        <is>
          <t>5500/650</t>
        </is>
      </c>
      <c r="E16094" s="3" t="inlineStr">
        <is>
          <t>Loan - Opportunit Global - Sales</t>
        </is>
      </c>
      <c r="F16094" s="3" t="n">
        <v>-511097.12</v>
      </c>
      <c r="G16094" s="3" t="n">
        <v>-3733306.85</v>
      </c>
    </row>
    <row r="16095">
      <c r="A16095" s="3" t="inlineStr">
        <is>
          <t>Opportunity Global Sales (PTY) LTD</t>
        </is>
      </c>
      <c r="B16095" s="4" t="n">
        <v>45199</v>
      </c>
      <c r="C16095" s="3" t="inlineStr">
        <is>
          <t>Liabilities</t>
        </is>
      </c>
      <c r="D16095" s="3" t="inlineStr">
        <is>
          <t>5500/650</t>
        </is>
      </c>
      <c r="E16095" s="3" t="inlineStr">
        <is>
          <t>Loan - Opportunity Investments</t>
        </is>
      </c>
      <c r="F16095" s="3" t="n">
        <v>511097.12</v>
      </c>
      <c r="G16095" s="3" t="n">
        <v>3733306.85</v>
      </c>
    </row>
    <row r="16096">
      <c r="A16096" s="3" t="inlineStr">
        <is>
          <t>Opportunity Management Holdings (PTY) LTD</t>
        </is>
      </c>
      <c r="B16096" s="4" t="n">
        <v>45199</v>
      </c>
      <c r="C16096" s="3" t="inlineStr">
        <is>
          <t>Liabilities</t>
        </is>
      </c>
      <c r="D16096" s="3" t="inlineStr">
        <is>
          <t>5500/700</t>
        </is>
      </c>
      <c r="E16096" s="3" t="inlineStr">
        <is>
          <t>Loan - Go Letting</t>
        </is>
      </c>
      <c r="F16096" s="3" t="n">
        <v>0</v>
      </c>
      <c r="G16096" s="3" t="n">
        <v>-120</v>
      </c>
    </row>
    <row r="16097">
      <c r="A16097" s="3" t="inlineStr">
        <is>
          <t>Opportunity Global Investment (PTY) LTD</t>
        </is>
      </c>
      <c r="B16097" s="4" t="n">
        <v>45199</v>
      </c>
      <c r="C16097" s="3" t="inlineStr">
        <is>
          <t>Liabilities</t>
        </is>
      </c>
      <c r="D16097" s="3" t="inlineStr">
        <is>
          <t>5500/750</t>
        </is>
      </c>
      <c r="E16097" s="3" t="inlineStr">
        <is>
          <t>Loan - Heron Projects</t>
        </is>
      </c>
      <c r="F16097" s="3" t="n">
        <v>-51000</v>
      </c>
      <c r="G16097" s="3" t="n">
        <v>-1653000</v>
      </c>
    </row>
    <row r="16098">
      <c r="A16098" s="3" t="inlineStr">
        <is>
          <t>Opportunity Global Investment (PTY) LTD</t>
        </is>
      </c>
      <c r="B16098" s="4" t="n">
        <v>45199</v>
      </c>
      <c r="C16098" s="3" t="inlineStr">
        <is>
          <t>Liabilities</t>
        </is>
      </c>
      <c r="D16098" s="3" t="inlineStr">
        <is>
          <t>5500/850</t>
        </is>
      </c>
      <c r="E16098" s="3" t="inlineStr">
        <is>
          <t>Loan - Nick Morgan</t>
        </is>
      </c>
      <c r="F16098" s="3" t="n">
        <v>0</v>
      </c>
      <c r="G16098" s="3" t="n">
        <v>6200</v>
      </c>
    </row>
    <row r="16099">
      <c r="A16099" s="3" t="inlineStr">
        <is>
          <t>Opportunity Global Investment (PTY) LTD</t>
        </is>
      </c>
      <c r="B16099" s="4" t="n">
        <v>45199</v>
      </c>
      <c r="C16099" s="3" t="inlineStr">
        <is>
          <t>Liabilities</t>
        </is>
      </c>
      <c r="D16099" s="3" t="inlineStr">
        <is>
          <t>5500/950</t>
        </is>
      </c>
      <c r="E16099" s="3" t="inlineStr">
        <is>
          <t>Loan - Gengis</t>
        </is>
      </c>
      <c r="F16099" s="3" t="n">
        <v>45000</v>
      </c>
      <c r="G16099" s="3" t="n">
        <v>0</v>
      </c>
    </row>
    <row r="16100">
      <c r="A16100" s="3" t="inlineStr">
        <is>
          <t>Quinate Consulting (Pty) Ltd</t>
        </is>
      </c>
      <c r="B16100" s="4" t="n">
        <v>45199</v>
      </c>
      <c r="C16100" s="3" t="inlineStr">
        <is>
          <t>Liabilities</t>
        </is>
      </c>
      <c r="D16100" s="3" t="inlineStr">
        <is>
          <t>5501/000</t>
        </is>
      </c>
      <c r="E16100" s="3" t="inlineStr">
        <is>
          <t>Loan - Endulini Project</t>
        </is>
      </c>
      <c r="F16100" s="3" t="n">
        <v>-2756.97</v>
      </c>
      <c r="G16100" s="3" t="n">
        <v>-2756.97</v>
      </c>
    </row>
    <row r="16101">
      <c r="A16101" s="3" t="inlineStr">
        <is>
          <t>Quinate Consulting (Pty) Ltd</t>
        </is>
      </c>
      <c r="B16101" s="4" t="n">
        <v>45199</v>
      </c>
      <c r="C16101" s="3" t="inlineStr">
        <is>
          <t>Liabilities</t>
        </is>
      </c>
      <c r="D16101" s="3" t="inlineStr">
        <is>
          <t>5501/001</t>
        </is>
      </c>
      <c r="E16101" s="3" t="inlineStr">
        <is>
          <t>Loan - Endulini CIP Costs</t>
        </is>
      </c>
      <c r="F16101" s="3" t="n">
        <v>-92400</v>
      </c>
      <c r="G16101" s="3" t="n">
        <v>9158349.1</v>
      </c>
    </row>
    <row r="16102">
      <c r="A16102" s="3" t="inlineStr">
        <is>
          <t>Noble Shield (Pty) Ltd ta Go Letting</t>
        </is>
      </c>
      <c r="B16102" s="4" t="n">
        <v>45199</v>
      </c>
      <c r="C16102" s="3" t="inlineStr">
        <is>
          <t>Assets</t>
        </is>
      </c>
      <c r="D16102" s="3" t="inlineStr">
        <is>
          <t>6250/010</t>
        </is>
      </c>
      <c r="E16102" s="3" t="inlineStr">
        <is>
          <t>Computer Equipment - @ Cost</t>
        </is>
      </c>
      <c r="F16102" s="3" t="n">
        <v>0</v>
      </c>
      <c r="G16102" s="3" t="n">
        <v>20397</v>
      </c>
    </row>
    <row r="16103">
      <c r="A16103" s="3" t="inlineStr">
        <is>
          <t>Opportunity Global Investment (PTY) LTD</t>
        </is>
      </c>
      <c r="B16103" s="4" t="n">
        <v>45199</v>
      </c>
      <c r="C16103" s="3" t="inlineStr">
        <is>
          <t>Assets</t>
        </is>
      </c>
      <c r="D16103" s="3" t="inlineStr">
        <is>
          <t>6250/010</t>
        </is>
      </c>
      <c r="E16103" s="3" t="inlineStr">
        <is>
          <t>Computer Equipment - @ Cost</t>
        </is>
      </c>
      <c r="F16103" s="3" t="n">
        <v>0</v>
      </c>
      <c r="G16103" s="3" t="n">
        <v>31683.04</v>
      </c>
    </row>
    <row r="16104">
      <c r="A16104" s="3" t="inlineStr">
        <is>
          <t>Opportunity Management Holdings (PTY) LTD</t>
        </is>
      </c>
      <c r="B16104" s="4" t="n">
        <v>45199</v>
      </c>
      <c r="C16104" s="3" t="inlineStr">
        <is>
          <t>Assets</t>
        </is>
      </c>
      <c r="D16104" s="3" t="inlineStr">
        <is>
          <t>6250/010</t>
        </is>
      </c>
      <c r="E16104" s="3" t="inlineStr">
        <is>
          <t>Computer Equipment - @ Cost</t>
        </is>
      </c>
      <c r="F16104" s="3" t="n">
        <v>0</v>
      </c>
      <c r="G16104" s="3" t="n">
        <v>52177.85</v>
      </c>
    </row>
    <row r="16105">
      <c r="A16105" s="3" t="inlineStr">
        <is>
          <t>Quinate Consulting (Pty) Ltd</t>
        </is>
      </c>
      <c r="B16105" s="4" t="n">
        <v>45199</v>
      </c>
      <c r="C16105" s="3" t="inlineStr">
        <is>
          <t>Assets</t>
        </is>
      </c>
      <c r="D16105" s="3" t="inlineStr">
        <is>
          <t>6250/010</t>
        </is>
      </c>
      <c r="E16105" s="3" t="inlineStr">
        <is>
          <t>Computer Equipment - @ Cost</t>
        </is>
      </c>
      <c r="F16105" s="3" t="n">
        <v>0</v>
      </c>
      <c r="G16105" s="3" t="n">
        <v>137059.7</v>
      </c>
    </row>
    <row r="16106">
      <c r="A16106" s="3" t="inlineStr">
        <is>
          <t>Noble Shield (Pty) Ltd ta Go Letting</t>
        </is>
      </c>
      <c r="B16106" s="4" t="n">
        <v>45199</v>
      </c>
      <c r="C16106" s="3" t="inlineStr">
        <is>
          <t>Assets</t>
        </is>
      </c>
      <c r="D16106" s="3" t="inlineStr">
        <is>
          <t>6250/020</t>
        </is>
      </c>
      <c r="E16106" s="3" t="inlineStr">
        <is>
          <t>Computer Equipment - Accum Depre</t>
        </is>
      </c>
      <c r="F16106" s="3" t="n">
        <v>0</v>
      </c>
      <c r="G16106" s="3" t="n">
        <v>-12040.89</v>
      </c>
    </row>
    <row r="16107">
      <c r="A16107" s="3" t="inlineStr">
        <is>
          <t>Opportunity Global Investment (PTY) LTD</t>
        </is>
      </c>
      <c r="B16107" s="4" t="n">
        <v>45199</v>
      </c>
      <c r="C16107" s="3" t="inlineStr">
        <is>
          <t>Assets</t>
        </is>
      </c>
      <c r="D16107" s="3" t="inlineStr">
        <is>
          <t>6250/020</t>
        </is>
      </c>
      <c r="E16107" s="3" t="inlineStr">
        <is>
          <t>Computer Equipment - Accum Depre</t>
        </is>
      </c>
      <c r="F16107" s="3" t="n">
        <v>-880.1</v>
      </c>
      <c r="G16107" s="3" t="n">
        <v>-7920.76</v>
      </c>
    </row>
    <row r="16108">
      <c r="A16108" s="3" t="inlineStr">
        <is>
          <t>Opportunity Management Holdings (PTY) LTD</t>
        </is>
      </c>
      <c r="B16108" s="4" t="n">
        <v>45199</v>
      </c>
      <c r="C16108" s="3" t="inlineStr">
        <is>
          <t>Assets</t>
        </is>
      </c>
      <c r="D16108" s="3" t="inlineStr">
        <is>
          <t>6250/020</t>
        </is>
      </c>
      <c r="E16108" s="3" t="inlineStr">
        <is>
          <t>Computer Equipment - Accum Depre</t>
        </is>
      </c>
      <c r="F16108" s="3" t="n">
        <v>-1035.18</v>
      </c>
      <c r="G16108" s="3" t="n">
        <v>-12855.45</v>
      </c>
    </row>
    <row r="16109">
      <c r="A16109" s="3" t="inlineStr">
        <is>
          <t>Quinate Consulting (Pty) Ltd</t>
        </is>
      </c>
      <c r="B16109" s="4" t="n">
        <v>45199</v>
      </c>
      <c r="C16109" s="3" t="inlineStr">
        <is>
          <t>Assets</t>
        </is>
      </c>
      <c r="D16109" s="3" t="inlineStr">
        <is>
          <t>6250/020</t>
        </is>
      </c>
      <c r="E16109" s="3" t="inlineStr">
        <is>
          <t>Computer Equipment - Accum Depre</t>
        </is>
      </c>
      <c r="F16109" s="3" t="n">
        <v>-2331.67</v>
      </c>
      <c r="G16109" s="3" t="n">
        <v>-114695.43</v>
      </c>
    </row>
    <row r="16110">
      <c r="A16110" s="3" t="inlineStr">
        <is>
          <t>Opportunity Management Holdings (PTY) LTD</t>
        </is>
      </c>
      <c r="B16110" s="4" t="n">
        <v>45199</v>
      </c>
      <c r="C16110" s="3" t="inlineStr">
        <is>
          <t>Assets</t>
        </is>
      </c>
      <c r="D16110" s="3" t="inlineStr">
        <is>
          <t>6250/030</t>
        </is>
      </c>
      <c r="E16110" s="3" t="inlineStr">
        <is>
          <t>Acc Depreciation - Computer Equipment</t>
        </is>
      </c>
      <c r="F16110" s="3" t="n">
        <v>0</v>
      </c>
      <c r="G16110" s="3" t="n">
        <v>-9441.25</v>
      </c>
    </row>
    <row r="16111">
      <c r="A16111" s="3" t="inlineStr">
        <is>
          <t>Quinate Consulting (Pty) Ltd</t>
        </is>
      </c>
      <c r="B16111" s="4" t="n">
        <v>45199</v>
      </c>
      <c r="C16111" s="3" t="inlineStr">
        <is>
          <t>Assets</t>
        </is>
      </c>
      <c r="D16111" s="3" t="inlineStr">
        <is>
          <t>6270/010</t>
        </is>
      </c>
      <c r="E16111" s="3" t="inlineStr">
        <is>
          <t>Site Containers - @ Cost</t>
        </is>
      </c>
      <c r="F16111" s="3" t="n">
        <v>0</v>
      </c>
      <c r="G16111" s="3" t="n">
        <v>19130.44</v>
      </c>
    </row>
    <row r="16112">
      <c r="A16112" s="3" t="inlineStr">
        <is>
          <t>Quinate Consulting (Pty) Ltd</t>
        </is>
      </c>
      <c r="B16112" s="4" t="n">
        <v>45199</v>
      </c>
      <c r="C16112" s="3" t="inlineStr">
        <is>
          <t>Assets</t>
        </is>
      </c>
      <c r="D16112" s="3" t="inlineStr">
        <is>
          <t>6270/020</t>
        </is>
      </c>
      <c r="E16112" s="3" t="inlineStr">
        <is>
          <t>Site Containers - Accum Depre</t>
        </is>
      </c>
      <c r="F16112" s="3" t="n">
        <v>-318.84</v>
      </c>
      <c r="G16112" s="3" t="n">
        <v>-9884.059999999999</v>
      </c>
    </row>
    <row r="16113">
      <c r="A16113" s="3" t="inlineStr">
        <is>
          <t>Noble Shield (Pty) Ltd ta Go Letting</t>
        </is>
      </c>
      <c r="B16113" s="4" t="n">
        <v>45199</v>
      </c>
      <c r="C16113" s="3" t="inlineStr">
        <is>
          <t>Assets</t>
        </is>
      </c>
      <c r="D16113" s="3" t="inlineStr">
        <is>
          <t>6350/010</t>
        </is>
      </c>
      <c r="E16113" s="3" t="inlineStr">
        <is>
          <t>Furniture _AND_ Fittings - @ Cost</t>
        </is>
      </c>
      <c r="F16113" s="3" t="n">
        <v>0</v>
      </c>
      <c r="G16113" s="3" t="n">
        <v>2242</v>
      </c>
    </row>
    <row r="16114">
      <c r="A16114" s="3" t="inlineStr">
        <is>
          <t>Opportunity Global Sales (PTY) LTD</t>
        </is>
      </c>
      <c r="B16114" s="4" t="n">
        <v>45199</v>
      </c>
      <c r="C16114" s="3" t="inlineStr">
        <is>
          <t>Assets</t>
        </is>
      </c>
      <c r="D16114" s="3" t="inlineStr">
        <is>
          <t>6350/010</t>
        </is>
      </c>
      <c r="E16114" s="3" t="inlineStr">
        <is>
          <t>Furniture _AND_ Fittings - @ Cost</t>
        </is>
      </c>
      <c r="F16114" s="3" t="n">
        <v>0</v>
      </c>
      <c r="G16114" s="3" t="n">
        <v>29379.7</v>
      </c>
    </row>
    <row r="16115">
      <c r="A16115" s="3" t="inlineStr">
        <is>
          <t>Noble Shield (Pty) Ltd ta Go Letting</t>
        </is>
      </c>
      <c r="B16115" s="4" t="n">
        <v>45199</v>
      </c>
      <c r="C16115" s="3" t="inlineStr">
        <is>
          <t>Assets</t>
        </is>
      </c>
      <c r="D16115" s="3" t="inlineStr">
        <is>
          <t>6350/020</t>
        </is>
      </c>
      <c r="E16115" s="3" t="inlineStr">
        <is>
          <t>Furniture _AND_ Fittings - Accum Depre</t>
        </is>
      </c>
      <c r="F16115" s="3" t="n">
        <v>0</v>
      </c>
      <c r="G16115" s="3" t="n">
        <v>-2239</v>
      </c>
    </row>
    <row r="16116">
      <c r="A16116" s="3" t="inlineStr">
        <is>
          <t>Opportunity Global Sales (PTY) LTD</t>
        </is>
      </c>
      <c r="B16116" s="4" t="n">
        <v>45199</v>
      </c>
      <c r="C16116" s="3" t="inlineStr">
        <is>
          <t>Assets</t>
        </is>
      </c>
      <c r="D16116" s="3" t="inlineStr">
        <is>
          <t>6350/020</t>
        </is>
      </c>
      <c r="E16116" s="3" t="inlineStr">
        <is>
          <t>Furniture _AND_ Fittings - Accum Depre</t>
        </is>
      </c>
      <c r="F16116" s="3" t="n">
        <v>-408.05</v>
      </c>
      <c r="G16116" s="3" t="n">
        <v>-6120.77</v>
      </c>
    </row>
    <row r="16117">
      <c r="A16117" s="3" t="inlineStr">
        <is>
          <t>Opportunity Management Holdings (PTY) LTD</t>
        </is>
      </c>
      <c r="B16117" s="4" t="n">
        <v>45199</v>
      </c>
      <c r="C16117" s="3" t="inlineStr">
        <is>
          <t>Liabilities</t>
        </is>
      </c>
      <c r="D16117" s="3" t="inlineStr">
        <is>
          <t>6500/000</t>
        </is>
      </c>
      <c r="E16117" s="3" t="inlineStr">
        <is>
          <t>Deposits - Held</t>
        </is>
      </c>
      <c r="F16117" s="3" t="n">
        <v>0</v>
      </c>
      <c r="G16117" s="3" t="n">
        <v>-12028.1</v>
      </c>
    </row>
    <row r="16118">
      <c r="A16118" s="3" t="inlineStr">
        <is>
          <t>Opportunity Management Holdings (PTY) LTD</t>
        </is>
      </c>
      <c r="B16118" s="4" t="n">
        <v>45199</v>
      </c>
      <c r="C16118" s="3" t="inlineStr">
        <is>
          <t>Liabilities</t>
        </is>
      </c>
      <c r="D16118" s="3" t="inlineStr">
        <is>
          <t>6510/000</t>
        </is>
      </c>
      <c r="E16118" s="3" t="inlineStr">
        <is>
          <t>Deposits Paid - Anicol Properties</t>
        </is>
      </c>
      <c r="F16118" s="3" t="n">
        <v>0</v>
      </c>
      <c r="G16118" s="3" t="n">
        <v>13755</v>
      </c>
    </row>
    <row r="16119">
      <c r="A16119" s="3" t="inlineStr">
        <is>
          <t>Opportunity Management Holdings (PTY) LTD</t>
        </is>
      </c>
      <c r="B16119" s="4" t="n">
        <v>45199</v>
      </c>
      <c r="C16119" s="3" t="inlineStr">
        <is>
          <t>Liabilities</t>
        </is>
      </c>
      <c r="D16119" s="3" t="inlineStr">
        <is>
          <t>6515/000</t>
        </is>
      </c>
      <c r="E16119" s="3" t="inlineStr">
        <is>
          <t>Deposits Paid</t>
        </is>
      </c>
      <c r="F16119" s="3" t="n">
        <v>0</v>
      </c>
      <c r="G16119" s="3" t="n">
        <v>3852.5</v>
      </c>
    </row>
    <row r="16120">
      <c r="A16120" s="3" t="inlineStr">
        <is>
          <t>Quinate Consulting (Pty) Ltd</t>
        </is>
      </c>
      <c r="B16120" s="4" t="n">
        <v>45199</v>
      </c>
      <c r="C16120" s="3" t="inlineStr">
        <is>
          <t>Assets</t>
        </is>
      </c>
      <c r="D16120" s="3" t="inlineStr">
        <is>
          <t>6600/010</t>
        </is>
      </c>
      <c r="E16120" s="3" t="inlineStr">
        <is>
          <t>Other Fixed Assets - @ Cost</t>
        </is>
      </c>
      <c r="F16120" s="3" t="n">
        <v>0</v>
      </c>
      <c r="G16120" s="3" t="n">
        <v>14442.5</v>
      </c>
    </row>
    <row r="16121">
      <c r="A16121" s="3" t="inlineStr">
        <is>
          <t>Quinate Consulting (Pty) Ltd</t>
        </is>
      </c>
      <c r="B16121" s="4" t="n">
        <v>45199</v>
      </c>
      <c r="C16121" s="3" t="inlineStr">
        <is>
          <t>Assets</t>
        </is>
      </c>
      <c r="D16121" s="3" t="inlineStr">
        <is>
          <t>6600/020</t>
        </is>
      </c>
      <c r="E16121" s="3" t="inlineStr">
        <is>
          <t>Other Fixed Assets - Accum Depre</t>
        </is>
      </c>
      <c r="F16121" s="3" t="n">
        <v>0</v>
      </c>
      <c r="G16121" s="3" t="n">
        <v>-14441.5</v>
      </c>
    </row>
    <row r="16122">
      <c r="A16122" s="3" t="inlineStr">
        <is>
          <t>Noble Shield (Pty) Ltd ta Go Letting</t>
        </is>
      </c>
      <c r="B16122" s="4" t="n">
        <v>45199</v>
      </c>
      <c r="C16122" s="3" t="inlineStr">
        <is>
          <t>Assets</t>
        </is>
      </c>
      <c r="D16122" s="3" t="inlineStr">
        <is>
          <t>7000/100</t>
        </is>
      </c>
      <c r="E16122" s="3" t="inlineStr">
        <is>
          <t>Goodwill - Purchase of Go Letting</t>
        </is>
      </c>
      <c r="F16122" s="3" t="n">
        <v>0</v>
      </c>
      <c r="G16122" s="3" t="n">
        <v>106580</v>
      </c>
    </row>
    <row r="16123">
      <c r="A16123" s="3" t="inlineStr">
        <is>
          <t>Opportunity Management Holdings (PTY) LTD</t>
        </is>
      </c>
      <c r="B16123" s="4" t="n">
        <v>45199</v>
      </c>
      <c r="C16123" s="3" t="inlineStr">
        <is>
          <t>Assets</t>
        </is>
      </c>
      <c r="D16123" s="3" t="inlineStr">
        <is>
          <t>7200/000</t>
        </is>
      </c>
      <c r="E16123" s="3" t="inlineStr">
        <is>
          <t>Shares in Subsidiary Companies</t>
        </is>
      </c>
      <c r="F16123" s="3" t="n">
        <v>0</v>
      </c>
      <c r="G16123" s="3" t="n">
        <v>120</v>
      </c>
    </row>
    <row r="16124">
      <c r="A16124" s="3" t="inlineStr">
        <is>
          <t>Endulini (Pty) Ltd</t>
        </is>
      </c>
      <c r="B16124" s="4" t="n">
        <v>45199</v>
      </c>
      <c r="C16124" s="3" t="inlineStr">
        <is>
          <t>Assets</t>
        </is>
      </c>
      <c r="D16124" s="3" t="inlineStr">
        <is>
          <t>7610/100</t>
        </is>
      </c>
      <c r="E16124" s="3" t="inlineStr">
        <is>
          <t>Endulini Land</t>
        </is>
      </c>
      <c r="F16124" s="3" t="n">
        <v>0</v>
      </c>
      <c r="G16124" s="3" t="n">
        <v>10572851.37</v>
      </c>
    </row>
    <row r="16125">
      <c r="A16125" s="3" t="inlineStr">
        <is>
          <t>Endulini (Pty) Ltd</t>
        </is>
      </c>
      <c r="B16125" s="4" t="n">
        <v>45199</v>
      </c>
      <c r="C16125" s="3" t="inlineStr">
        <is>
          <t>Assets</t>
        </is>
      </c>
      <c r="D16125" s="3" t="inlineStr">
        <is>
          <t>7610/111</t>
        </is>
      </c>
      <c r="E16125" s="3" t="inlineStr">
        <is>
          <t>Endulini Closing Stock February 2021</t>
        </is>
      </c>
      <c r="F16125" s="3" t="n">
        <v>0</v>
      </c>
      <c r="G16125" s="3" t="n">
        <v>14368610.11</v>
      </c>
    </row>
    <row r="16126">
      <c r="A16126" s="3" t="inlineStr">
        <is>
          <t>Endulini (Pty) Ltd</t>
        </is>
      </c>
      <c r="B16126" s="4" t="n">
        <v>45199</v>
      </c>
      <c r="C16126" s="3" t="inlineStr">
        <is>
          <t>Assets</t>
        </is>
      </c>
      <c r="D16126" s="3" t="inlineStr">
        <is>
          <t>7610/180</t>
        </is>
      </c>
      <c r="E16126" s="3" t="inlineStr">
        <is>
          <t>Endulini CIP Architects</t>
        </is>
      </c>
      <c r="F16126" s="3" t="n">
        <v>0</v>
      </c>
      <c r="G16126" s="3" t="n">
        <v>1292111.71</v>
      </c>
    </row>
    <row r="16127">
      <c r="A16127" s="3" t="inlineStr">
        <is>
          <t>Endulini (Pty) Ltd</t>
        </is>
      </c>
      <c r="B16127" s="4" t="n">
        <v>45199</v>
      </c>
      <c r="C16127" s="3" t="inlineStr">
        <is>
          <t>Assets</t>
        </is>
      </c>
      <c r="D16127" s="3" t="inlineStr">
        <is>
          <t>7610/200</t>
        </is>
      </c>
      <c r="E16127" s="3" t="inlineStr">
        <is>
          <t>Endulini CIP CoCT Land Use App</t>
        </is>
      </c>
      <c r="F16127" s="3" t="n">
        <v>0</v>
      </c>
      <c r="G16127" s="3" t="n">
        <v>232891.06</v>
      </c>
    </row>
    <row r="16128">
      <c r="A16128" s="3" t="inlineStr">
        <is>
          <t>Endulini (Pty) Ltd</t>
        </is>
      </c>
      <c r="B16128" s="4" t="n">
        <v>45199</v>
      </c>
      <c r="C16128" s="3" t="inlineStr">
        <is>
          <t>Assets</t>
        </is>
      </c>
      <c r="D16128" s="3" t="inlineStr">
        <is>
          <t>7610/205</t>
        </is>
      </c>
      <c r="E16128" s="3" t="inlineStr">
        <is>
          <t>Endulini CIP Site Establishments</t>
        </is>
      </c>
      <c r="F16128" s="3" t="n">
        <v>0</v>
      </c>
      <c r="G16128" s="3" t="n">
        <v>32428975.01</v>
      </c>
    </row>
    <row r="16129">
      <c r="A16129" s="3" t="inlineStr">
        <is>
          <t>Endulini (Pty) Ltd</t>
        </is>
      </c>
      <c r="B16129" s="4" t="n">
        <v>45199</v>
      </c>
      <c r="C16129" s="3" t="inlineStr">
        <is>
          <t>Assets</t>
        </is>
      </c>
      <c r="D16129" s="3" t="inlineStr">
        <is>
          <t>7610/209</t>
        </is>
      </c>
      <c r="E16129" s="3" t="inlineStr">
        <is>
          <t>Endulini CIP Construction Management</t>
        </is>
      </c>
      <c r="F16129" s="3" t="n">
        <v>0</v>
      </c>
      <c r="G16129" s="3" t="n">
        <v>223375</v>
      </c>
    </row>
    <row r="16130">
      <c r="A16130" s="3" t="inlineStr">
        <is>
          <t>Endulini (Pty) Ltd</t>
        </is>
      </c>
      <c r="B16130" s="4" t="n">
        <v>45199</v>
      </c>
      <c r="C16130" s="3" t="inlineStr">
        <is>
          <t>Assets</t>
        </is>
      </c>
      <c r="D16130" s="3" t="inlineStr">
        <is>
          <t>7610/210</t>
        </is>
      </c>
      <c r="E16130" s="3" t="inlineStr">
        <is>
          <t>Endulini CIP Civil Works</t>
        </is>
      </c>
      <c r="F16130" s="3" t="n">
        <v>0</v>
      </c>
      <c r="G16130" s="3" t="n">
        <v>6295702.14</v>
      </c>
    </row>
    <row r="16131">
      <c r="A16131" s="3" t="inlineStr">
        <is>
          <t>Endulini (Pty) Ltd</t>
        </is>
      </c>
      <c r="B16131" s="4" t="n">
        <v>45199</v>
      </c>
      <c r="C16131" s="3" t="inlineStr">
        <is>
          <t>Assets</t>
        </is>
      </c>
      <c r="D16131" s="3" t="inlineStr">
        <is>
          <t>7610/215</t>
        </is>
      </c>
      <c r="E16131" s="3" t="inlineStr">
        <is>
          <t>Endulini CIP Civil Engineers</t>
        </is>
      </c>
      <c r="F16131" s="3" t="n">
        <v>0</v>
      </c>
      <c r="G16131" s="3" t="n">
        <v>183000</v>
      </c>
    </row>
    <row r="16132">
      <c r="A16132" s="3" t="inlineStr">
        <is>
          <t>Endulini (Pty) Ltd</t>
        </is>
      </c>
      <c r="B16132" s="4" t="n">
        <v>45199</v>
      </c>
      <c r="C16132" s="3" t="inlineStr">
        <is>
          <t>Assets</t>
        </is>
      </c>
      <c r="D16132" s="3" t="inlineStr">
        <is>
          <t>7610/220</t>
        </is>
      </c>
      <c r="E16132" s="3" t="inlineStr">
        <is>
          <t>Endulini CIP Structuring Project Fee Opp Invest</t>
        </is>
      </c>
      <c r="F16132" s="3" t="n">
        <v>0</v>
      </c>
      <c r="G16132" s="3" t="n">
        <v>483735.96</v>
      </c>
    </row>
    <row r="16133">
      <c r="A16133" s="3" t="inlineStr">
        <is>
          <t>Endulini (Pty) Ltd</t>
        </is>
      </c>
      <c r="B16133" s="4" t="n">
        <v>45199</v>
      </c>
      <c r="C16133" s="3" t="inlineStr">
        <is>
          <t>Assets</t>
        </is>
      </c>
      <c r="D16133" s="3" t="inlineStr">
        <is>
          <t>7610/225</t>
        </is>
      </c>
      <c r="E16133" s="3" t="inlineStr">
        <is>
          <t>Endulini CIP Structural engineering fee</t>
        </is>
      </c>
      <c r="F16133" s="3" t="n">
        <v>0</v>
      </c>
      <c r="G16133" s="3" t="n">
        <v>346268.03</v>
      </c>
    </row>
    <row r="16134">
      <c r="A16134" s="3" t="inlineStr">
        <is>
          <t>Endulini (Pty) Ltd</t>
        </is>
      </c>
      <c r="B16134" s="4" t="n">
        <v>45199</v>
      </c>
      <c r="C16134" s="3" t="inlineStr">
        <is>
          <t>Assets</t>
        </is>
      </c>
      <c r="D16134" s="3" t="inlineStr">
        <is>
          <t>7610/230</t>
        </is>
      </c>
      <c r="E16134" s="3" t="inlineStr">
        <is>
          <t>Endulini CIP Mechanical Engineering</t>
        </is>
      </c>
      <c r="F16134" s="3" t="n">
        <v>0</v>
      </c>
      <c r="G16134" s="3" t="n">
        <v>15570</v>
      </c>
    </row>
    <row r="16135">
      <c r="A16135" s="3" t="inlineStr">
        <is>
          <t>Endulini (Pty) Ltd</t>
        </is>
      </c>
      <c r="B16135" s="4" t="n">
        <v>45199</v>
      </c>
      <c r="C16135" s="3" t="inlineStr">
        <is>
          <t>Assets</t>
        </is>
      </c>
      <c r="D16135" s="3" t="inlineStr">
        <is>
          <t>7610/235</t>
        </is>
      </c>
      <c r="E16135" s="3" t="inlineStr">
        <is>
          <t>Endulini CIP Electrical Installation</t>
        </is>
      </c>
      <c r="F16135" s="3" t="n">
        <v>0</v>
      </c>
      <c r="G16135" s="3" t="n">
        <v>1034019.08</v>
      </c>
    </row>
    <row r="16136">
      <c r="A16136" s="3" t="inlineStr">
        <is>
          <t>Endulini (Pty) Ltd</t>
        </is>
      </c>
      <c r="B16136" s="4" t="n">
        <v>45199</v>
      </c>
      <c r="C16136" s="3" t="inlineStr">
        <is>
          <t>Assets</t>
        </is>
      </c>
      <c r="D16136" s="3" t="inlineStr">
        <is>
          <t>7610/250</t>
        </is>
      </c>
      <c r="E16136" s="3" t="inlineStr">
        <is>
          <t>Endulini CIP Boundary Wall</t>
        </is>
      </c>
      <c r="F16136" s="3" t="n">
        <v>0</v>
      </c>
      <c r="G16136" s="3" t="n">
        <v>88400.8</v>
      </c>
    </row>
    <row r="16137">
      <c r="A16137" s="3" t="inlineStr">
        <is>
          <t>Endulini (Pty) Ltd</t>
        </is>
      </c>
      <c r="B16137" s="4" t="n">
        <v>45199</v>
      </c>
      <c r="C16137" s="3" t="inlineStr">
        <is>
          <t>Assets</t>
        </is>
      </c>
      <c r="D16137" s="3" t="inlineStr">
        <is>
          <t>7610/290</t>
        </is>
      </c>
      <c r="E16137" s="3" t="inlineStr">
        <is>
          <t>Endulini CIP Development Management Fees</t>
        </is>
      </c>
      <c r="F16137" s="3" t="n">
        <v>0</v>
      </c>
      <c r="G16137" s="3" t="n">
        <v>237496.62</v>
      </c>
    </row>
    <row r="16138">
      <c r="A16138" s="3" t="inlineStr">
        <is>
          <t>Endulini (Pty) Ltd</t>
        </is>
      </c>
      <c r="B16138" s="4" t="n">
        <v>45199</v>
      </c>
      <c r="C16138" s="3" t="inlineStr">
        <is>
          <t>Assets</t>
        </is>
      </c>
      <c r="D16138" s="3" t="inlineStr">
        <is>
          <t>7610/310</t>
        </is>
      </c>
      <c r="E16138" s="3" t="inlineStr">
        <is>
          <t>Endulini CIP Enviromental consultants</t>
        </is>
      </c>
      <c r="F16138" s="3" t="n">
        <v>0</v>
      </c>
      <c r="G16138" s="3" t="n">
        <v>115730</v>
      </c>
    </row>
    <row r="16139">
      <c r="A16139" s="3" t="inlineStr">
        <is>
          <t>Endulini (Pty) Ltd</t>
        </is>
      </c>
      <c r="B16139" s="4" t="n">
        <v>45199</v>
      </c>
      <c r="C16139" s="3" t="inlineStr">
        <is>
          <t>Assets</t>
        </is>
      </c>
      <c r="D16139" s="3" t="inlineStr">
        <is>
          <t>7610/320</t>
        </is>
      </c>
      <c r="E16139" s="3" t="inlineStr">
        <is>
          <t>Endulini CIP Geotechnical</t>
        </is>
      </c>
      <c r="F16139" s="3" t="n">
        <v>0</v>
      </c>
      <c r="G16139" s="3" t="n">
        <v>13575</v>
      </c>
    </row>
    <row r="16140">
      <c r="A16140" s="3" t="inlineStr">
        <is>
          <t>Endulini (Pty) Ltd</t>
        </is>
      </c>
      <c r="B16140" s="4" t="n">
        <v>45199</v>
      </c>
      <c r="C16140" s="3" t="inlineStr">
        <is>
          <t>Assets</t>
        </is>
      </c>
      <c r="D16140" s="3" t="inlineStr">
        <is>
          <t>7610/330</t>
        </is>
      </c>
      <c r="E16140" s="3" t="inlineStr">
        <is>
          <t>Endulini CIP Health and Safety</t>
        </is>
      </c>
      <c r="F16140" s="3" t="n">
        <v>0</v>
      </c>
      <c r="G16140" s="3" t="n">
        <v>40200</v>
      </c>
    </row>
    <row r="16141">
      <c r="A16141" s="3" t="inlineStr">
        <is>
          <t>Endulini (Pty) Ltd</t>
        </is>
      </c>
      <c r="B16141" s="4" t="n">
        <v>45199</v>
      </c>
      <c r="C16141" s="3" t="inlineStr">
        <is>
          <t>Assets</t>
        </is>
      </c>
      <c r="D16141" s="3" t="inlineStr">
        <is>
          <t>7610/390</t>
        </is>
      </c>
      <c r="E16141" s="3" t="inlineStr">
        <is>
          <t>Endulini CIP Land Surveyor</t>
        </is>
      </c>
      <c r="F16141" s="3" t="n">
        <v>0</v>
      </c>
      <c r="G16141" s="3" t="n">
        <v>186021.2</v>
      </c>
    </row>
    <row r="16142">
      <c r="A16142" s="3" t="inlineStr">
        <is>
          <t>Endulini (Pty) Ltd</t>
        </is>
      </c>
      <c r="B16142" s="4" t="n">
        <v>45199</v>
      </c>
      <c r="C16142" s="3" t="inlineStr">
        <is>
          <t>Assets</t>
        </is>
      </c>
      <c r="D16142" s="3" t="inlineStr">
        <is>
          <t>7610/392</t>
        </is>
      </c>
      <c r="E16142" s="3" t="inlineStr">
        <is>
          <t>Endulini CIP Landscaping</t>
        </is>
      </c>
      <c r="F16142" s="3" t="n">
        <v>0</v>
      </c>
      <c r="G16142" s="3" t="n">
        <v>6100</v>
      </c>
    </row>
    <row r="16143">
      <c r="A16143" s="3" t="inlineStr">
        <is>
          <t>Endulini (Pty) Ltd</t>
        </is>
      </c>
      <c r="B16143" s="4" t="n">
        <v>45199</v>
      </c>
      <c r="C16143" s="3" t="inlineStr">
        <is>
          <t>Assets</t>
        </is>
      </c>
      <c r="D16143" s="3" t="inlineStr">
        <is>
          <t>7610/395</t>
        </is>
      </c>
      <c r="E16143" s="3" t="inlineStr">
        <is>
          <t>Endulini CIP NHBRC</t>
        </is>
      </c>
      <c r="F16143" s="3" t="n">
        <v>0</v>
      </c>
      <c r="G16143" s="3" t="n">
        <v>928847.49</v>
      </c>
    </row>
    <row r="16144">
      <c r="A16144" s="3" t="inlineStr">
        <is>
          <t>Endulini (Pty) Ltd</t>
        </is>
      </c>
      <c r="B16144" s="4" t="n">
        <v>45199</v>
      </c>
      <c r="C16144" s="3" t="inlineStr">
        <is>
          <t>Assets</t>
        </is>
      </c>
      <c r="D16144" s="3" t="inlineStr">
        <is>
          <t>7610/400</t>
        </is>
      </c>
      <c r="E16144" s="3" t="inlineStr">
        <is>
          <t>Endulini CIP Quantity Surveyor</t>
        </is>
      </c>
      <c r="F16144" s="3" t="n">
        <v>0</v>
      </c>
      <c r="G16144" s="3" t="n">
        <v>82136.36</v>
      </c>
    </row>
    <row r="16145">
      <c r="A16145" s="3" t="inlineStr">
        <is>
          <t>Endulini (Pty) Ltd</t>
        </is>
      </c>
      <c r="B16145" s="4" t="n">
        <v>45199</v>
      </c>
      <c r="C16145" s="3" t="inlineStr">
        <is>
          <t>Assets</t>
        </is>
      </c>
      <c r="D16145" s="3" t="inlineStr">
        <is>
          <t>7610/600</t>
        </is>
      </c>
      <c r="E16145" s="3" t="inlineStr">
        <is>
          <t>Endulini CIP Town Planning</t>
        </is>
      </c>
      <c r="F16145" s="3" t="n">
        <v>0</v>
      </c>
      <c r="G16145" s="3" t="n">
        <v>21105</v>
      </c>
    </row>
    <row r="16146">
      <c r="A16146" s="3" t="inlineStr">
        <is>
          <t>Endulini (Pty) Ltd</t>
        </is>
      </c>
      <c r="B16146" s="4" t="n">
        <v>45199</v>
      </c>
      <c r="C16146" s="3" t="inlineStr">
        <is>
          <t>Assets</t>
        </is>
      </c>
      <c r="D16146" s="3" t="inlineStr">
        <is>
          <t>7610/620</t>
        </is>
      </c>
      <c r="E16146" s="3" t="inlineStr">
        <is>
          <t>Endulini CIP Traffic Impact</t>
        </is>
      </c>
      <c r="F16146" s="3" t="n">
        <v>0</v>
      </c>
      <c r="G16146" s="3" t="n">
        <v>24915</v>
      </c>
    </row>
    <row r="16147">
      <c r="A16147" s="3" t="inlineStr">
        <is>
          <t>Endulini (Pty) Ltd</t>
        </is>
      </c>
      <c r="B16147" s="4" t="n">
        <v>45199</v>
      </c>
      <c r="C16147" s="3" t="inlineStr">
        <is>
          <t>Assets</t>
        </is>
      </c>
      <c r="D16147" s="3" t="inlineStr">
        <is>
          <t>7610/630</t>
        </is>
      </c>
      <c r="E16147" s="3" t="inlineStr">
        <is>
          <t>Endulini CIP CoCT Development Contributi</t>
        </is>
      </c>
      <c r="F16147" s="3" t="n">
        <v>0</v>
      </c>
      <c r="G16147" s="3" t="n">
        <v>661860.3100000001</v>
      </c>
    </row>
    <row r="16148">
      <c r="A16148" s="3" t="inlineStr">
        <is>
          <t>Endulini (Pty) Ltd</t>
        </is>
      </c>
      <c r="B16148" s="4" t="n">
        <v>45199</v>
      </c>
      <c r="C16148" s="3" t="inlineStr">
        <is>
          <t>Assets</t>
        </is>
      </c>
      <c r="D16148" s="3" t="inlineStr">
        <is>
          <t>7610/640</t>
        </is>
      </c>
      <c r="E16148" s="3" t="inlineStr">
        <is>
          <t>Endulini CIP CoCT Building plan application</t>
        </is>
      </c>
      <c r="F16148" s="3" t="n">
        <v>0</v>
      </c>
      <c r="G16148" s="3" t="n">
        <v>111203.22</v>
      </c>
    </row>
    <row r="16149">
      <c r="A16149" s="3" t="inlineStr">
        <is>
          <t>Endulini (Pty) Ltd</t>
        </is>
      </c>
      <c r="B16149" s="4" t="n">
        <v>45199</v>
      </c>
      <c r="C16149" s="3" t="inlineStr">
        <is>
          <t>Assets</t>
        </is>
      </c>
      <c r="D16149" s="3" t="inlineStr">
        <is>
          <t>7610/900</t>
        </is>
      </c>
      <c r="E16149" s="3" t="inlineStr">
        <is>
          <t>Endulini CIP Cost of Sales</t>
        </is>
      </c>
      <c r="F16149" s="3" t="n">
        <v>0</v>
      </c>
      <c r="G16149" s="3" t="n">
        <v>-28210981.9</v>
      </c>
    </row>
    <row r="16150">
      <c r="A16150" s="3" t="inlineStr">
        <is>
          <t>Quinate Consulting (Pty) Ltd</t>
        </is>
      </c>
      <c r="B16150" s="4" t="n">
        <v>45199</v>
      </c>
      <c r="C16150" s="3" t="inlineStr">
        <is>
          <t>Assets</t>
        </is>
      </c>
      <c r="D16150" s="3" t="inlineStr">
        <is>
          <t>7800/104</t>
        </is>
      </c>
      <c r="E16150" s="3" t="inlineStr">
        <is>
          <t>Stock - Closing Stock SW - 28 Feb 21</t>
        </is>
      </c>
      <c r="F16150" s="3" t="n">
        <v>0</v>
      </c>
      <c r="G16150" s="3" t="n">
        <v>2874478.88</v>
      </c>
    </row>
    <row r="16151">
      <c r="A16151" s="3" t="inlineStr">
        <is>
          <t>Quinate Consulting (Pty) Ltd</t>
        </is>
      </c>
      <c r="B16151" s="4" t="n">
        <v>45199</v>
      </c>
      <c r="C16151" s="3" t="inlineStr">
        <is>
          <t>Assets</t>
        </is>
      </c>
      <c r="D16151" s="3" t="inlineStr">
        <is>
          <t>7800/105</t>
        </is>
      </c>
      <c r="E16151" s="3" t="inlineStr">
        <is>
          <t>Stock - Closing Stock SH - 28 Feb 21</t>
        </is>
      </c>
      <c r="F16151" s="3" t="n">
        <v>0</v>
      </c>
      <c r="G16151" s="3" t="n">
        <v>2843477.6</v>
      </c>
    </row>
    <row r="16152">
      <c r="A16152" s="3" t="inlineStr">
        <is>
          <t>Endulini (Pty) Ltd</t>
        </is>
      </c>
      <c r="B16152" s="4" t="n">
        <v>45199</v>
      </c>
      <c r="C16152" s="3" t="inlineStr">
        <is>
          <t>Assets</t>
        </is>
      </c>
      <c r="D16152" s="3" t="inlineStr">
        <is>
          <t>8000/000</t>
        </is>
      </c>
      <c r="E16152" s="3" t="inlineStr">
        <is>
          <t>Customer Control Account</t>
        </is>
      </c>
      <c r="F16152" s="3" t="n">
        <v>0</v>
      </c>
      <c r="G16152" s="3" t="n">
        <v>170572.96</v>
      </c>
    </row>
    <row r="16153">
      <c r="A16153" s="3" t="inlineStr">
        <is>
          <t>Noble Shield (Pty) Ltd ta Go Letting</t>
        </is>
      </c>
      <c r="B16153" s="4" t="n">
        <v>45199</v>
      </c>
      <c r="C16153" s="3" t="inlineStr">
        <is>
          <t>Assets</t>
        </is>
      </c>
      <c r="D16153" s="3" t="inlineStr">
        <is>
          <t>8000/000</t>
        </is>
      </c>
      <c r="E16153" s="3" t="inlineStr">
        <is>
          <t>Customer Control Account</t>
        </is>
      </c>
      <c r="F16153" s="3" t="n">
        <v>0</v>
      </c>
      <c r="G16153" s="3" t="n">
        <v>60289.32</v>
      </c>
    </row>
    <row r="16154">
      <c r="A16154" s="3" t="inlineStr">
        <is>
          <t>Opportunity Global Investment (PTY) LTD</t>
        </is>
      </c>
      <c r="B16154" s="4" t="n">
        <v>45199</v>
      </c>
      <c r="C16154" s="3" t="inlineStr">
        <is>
          <t>Assets</t>
        </is>
      </c>
      <c r="D16154" s="3" t="inlineStr">
        <is>
          <t>8000/000</t>
        </is>
      </c>
      <c r="E16154" s="3" t="inlineStr">
        <is>
          <t>Customer Control Account</t>
        </is>
      </c>
      <c r="F16154" s="3" t="n">
        <v>-43009.05</v>
      </c>
      <c r="G16154" s="3" t="n">
        <v>12217.25</v>
      </c>
    </row>
    <row r="16155">
      <c r="A16155" s="3" t="inlineStr">
        <is>
          <t>Opportunity Global Sales (PTY) LTD</t>
        </is>
      </c>
      <c r="B16155" s="4" t="n">
        <v>45199</v>
      </c>
      <c r="C16155" s="3" t="inlineStr">
        <is>
          <t>Assets</t>
        </is>
      </c>
      <c r="D16155" s="3" t="inlineStr">
        <is>
          <t>8000/000</t>
        </is>
      </c>
      <c r="E16155" s="3" t="inlineStr">
        <is>
          <t>Customer Control Account</t>
        </is>
      </c>
      <c r="F16155" s="3" t="n">
        <v>-28826.75</v>
      </c>
      <c r="G16155" s="3" t="n">
        <v>517098.33</v>
      </c>
    </row>
    <row r="16156">
      <c r="A16156" s="3" t="inlineStr">
        <is>
          <t>Opportunity Management Holdings (PTY) LTD</t>
        </is>
      </c>
      <c r="B16156" s="4" t="n">
        <v>45199</v>
      </c>
      <c r="C16156" s="3" t="inlineStr">
        <is>
          <t>Assets</t>
        </is>
      </c>
      <c r="D16156" s="3" t="inlineStr">
        <is>
          <t>8000/000</t>
        </is>
      </c>
      <c r="E16156" s="3" t="inlineStr">
        <is>
          <t>Customer Control Account</t>
        </is>
      </c>
      <c r="F16156" s="3" t="n">
        <v>0.3</v>
      </c>
      <c r="G16156" s="3" t="n">
        <v>460000</v>
      </c>
    </row>
    <row r="16157">
      <c r="A16157" s="3" t="inlineStr">
        <is>
          <t>Quinate Consulting (Pty) Ltd</t>
        </is>
      </c>
      <c r="B16157" s="4" t="n">
        <v>45199</v>
      </c>
      <c r="C16157" s="3" t="inlineStr">
        <is>
          <t>Assets</t>
        </is>
      </c>
      <c r="D16157" s="3" t="inlineStr">
        <is>
          <t>8000/000</t>
        </is>
      </c>
      <c r="E16157" s="3" t="inlineStr">
        <is>
          <t>Customer Control Account</t>
        </is>
      </c>
      <c r="F16157" s="3" t="n">
        <v>2571.25</v>
      </c>
      <c r="G16157" s="3" t="n">
        <v>20884.5</v>
      </c>
    </row>
    <row r="16158">
      <c r="A16158" s="3" t="inlineStr">
        <is>
          <t>Quinate Consulting (Pty) Ltd</t>
        </is>
      </c>
      <c r="B16158" s="4" t="n">
        <v>45199</v>
      </c>
      <c r="C16158" s="3" t="inlineStr">
        <is>
          <t>Assets</t>
        </is>
      </c>
      <c r="D16158" s="3" t="inlineStr">
        <is>
          <t>8001</t>
        </is>
      </c>
      <c r="E16158" s="3" t="inlineStr">
        <is>
          <t>Customer Control</t>
        </is>
      </c>
      <c r="F16158" s="3" t="n">
        <v>0</v>
      </c>
      <c r="G16158" s="3" t="n">
        <v>29487.49</v>
      </c>
    </row>
    <row r="16159">
      <c r="A16159" s="3" t="inlineStr">
        <is>
          <t>Quinate Consulting (Pty) Ltd</t>
        </is>
      </c>
      <c r="B16159" s="4" t="n">
        <v>45199</v>
      </c>
      <c r="C16159" s="3" t="inlineStr">
        <is>
          <t>Assets</t>
        </is>
      </c>
      <c r="D16159" s="3" t="inlineStr">
        <is>
          <t>8200/010</t>
        </is>
      </c>
      <c r="E16159" s="3" t="inlineStr">
        <is>
          <t>Prepayments / Prepaid Expenses</t>
        </is>
      </c>
      <c r="F16159" s="3" t="n">
        <v>0</v>
      </c>
      <c r="G16159" s="3" t="n">
        <v>109675</v>
      </c>
    </row>
    <row r="16160">
      <c r="A16160" s="3" t="inlineStr">
        <is>
          <t>Opportunity Management Holdings (PTY) LTD</t>
        </is>
      </c>
      <c r="B16160" s="4" t="n">
        <v>45199</v>
      </c>
      <c r="C16160" s="3" t="inlineStr">
        <is>
          <t>Assets</t>
        </is>
      </c>
      <c r="D16160" s="3" t="inlineStr">
        <is>
          <t>8200/020</t>
        </is>
      </c>
      <c r="E16160" s="3" t="inlineStr">
        <is>
          <t>Staff Loan - Nicolene Smit</t>
        </is>
      </c>
      <c r="F16160" s="3" t="n">
        <v>-500</v>
      </c>
      <c r="G16160" s="3" t="n">
        <v>3000</v>
      </c>
    </row>
    <row r="16161">
      <c r="A16161" s="3" t="inlineStr">
        <is>
          <t>Opportunity Global Sales (PTY) LTD</t>
        </is>
      </c>
      <c r="B16161" s="4" t="n">
        <v>45199</v>
      </c>
      <c r="C16161" s="3" t="inlineStr">
        <is>
          <t>Assets</t>
        </is>
      </c>
      <c r="D16161" s="3" t="inlineStr">
        <is>
          <t>8300/200</t>
        </is>
      </c>
      <c r="E16161" s="3" t="inlineStr">
        <is>
          <t>Staff Loan - Mario Stoop</t>
        </is>
      </c>
      <c r="F16161" s="3" t="n">
        <v>-1500</v>
      </c>
      <c r="G16161" s="3" t="n">
        <v>10500</v>
      </c>
    </row>
    <row r="16162">
      <c r="A16162" s="3" t="inlineStr">
        <is>
          <t>Opportunity Global Investment (PTY) LTD</t>
        </is>
      </c>
      <c r="B16162" s="4" t="n">
        <v>45199</v>
      </c>
      <c r="C16162" s="3" t="inlineStr">
        <is>
          <t>Assets</t>
        </is>
      </c>
      <c r="D16162" s="3" t="inlineStr">
        <is>
          <t>8400/000</t>
        </is>
      </c>
      <c r="E16162" s="3" t="inlineStr">
        <is>
          <t>FNB 62093491696</t>
        </is>
      </c>
      <c r="F16162" s="3" t="n">
        <v>32418.42</v>
      </c>
      <c r="G16162" s="3" t="n">
        <v>55329.1</v>
      </c>
    </row>
    <row r="16163">
      <c r="A16163" s="3" t="inlineStr">
        <is>
          <t>Opportunity Global Sales (PTY) LTD</t>
        </is>
      </c>
      <c r="B16163" s="4" t="n">
        <v>45199</v>
      </c>
      <c r="C16163" s="3" t="inlineStr">
        <is>
          <t>Assets</t>
        </is>
      </c>
      <c r="D16163" s="3" t="inlineStr">
        <is>
          <t>8400/000</t>
        </is>
      </c>
      <c r="E16163" s="3" t="inlineStr">
        <is>
          <t>FNB 62835620875</t>
        </is>
      </c>
      <c r="F16163" s="3" t="n">
        <v>-148335.19</v>
      </c>
      <c r="G16163" s="3" t="n">
        <v>80245.31</v>
      </c>
    </row>
    <row r="16164">
      <c r="A16164" s="3" t="inlineStr">
        <is>
          <t>Quinate Consulting (Pty) Ltd</t>
        </is>
      </c>
      <c r="B16164" s="4" t="n">
        <v>45199</v>
      </c>
      <c r="C16164" s="3" t="inlineStr">
        <is>
          <t>Assets</t>
        </is>
      </c>
      <c r="D16164" s="3" t="inlineStr">
        <is>
          <t>8400/000</t>
        </is>
      </c>
      <c r="E16164" s="3" t="inlineStr">
        <is>
          <t>RMB - 62736659189 - Call Acc</t>
        </is>
      </c>
      <c r="F16164" s="3" t="n">
        <v>-140</v>
      </c>
      <c r="G16164" s="3" t="n">
        <v>159668.26</v>
      </c>
    </row>
    <row r="16165">
      <c r="A16165" s="3" t="inlineStr">
        <is>
          <t>Trademark Holdings (Pty) Ltd</t>
        </is>
      </c>
      <c r="B16165" s="4" t="n">
        <v>45199</v>
      </c>
      <c r="C16165" s="3" t="inlineStr">
        <is>
          <t>Assets</t>
        </is>
      </c>
      <c r="D16165" s="3" t="inlineStr">
        <is>
          <t>8400/000</t>
        </is>
      </c>
      <c r="E16165" s="3" t="inlineStr">
        <is>
          <t>RMB 623 693 03640</t>
        </is>
      </c>
      <c r="F16165" s="3" t="n">
        <v>127751.37</v>
      </c>
      <c r="G16165" s="3" t="n">
        <v>137823.12</v>
      </c>
    </row>
    <row r="16166">
      <c r="A16166" s="3" t="inlineStr">
        <is>
          <t>Noble Shield (Pty) Ltd ta Go Letting</t>
        </is>
      </c>
      <c r="B16166" s="4" t="n">
        <v>45199</v>
      </c>
      <c r="C16166" s="3" t="inlineStr">
        <is>
          <t>Assets</t>
        </is>
      </c>
      <c r="D16166" s="3" t="inlineStr">
        <is>
          <t>8400/000</t>
        </is>
      </c>
      <c r="E16166" s="3" t="inlineStr">
        <is>
          <t>RMB 6250 573 3833</t>
        </is>
      </c>
      <c r="F16166" s="3" t="n">
        <v>104329.29</v>
      </c>
      <c r="G16166" s="3" t="n">
        <v>145187.15</v>
      </c>
    </row>
    <row r="16167">
      <c r="A16167" s="3" t="inlineStr">
        <is>
          <t>Endulini (Pty) Ltd</t>
        </is>
      </c>
      <c r="B16167" s="4" t="n">
        <v>45199</v>
      </c>
      <c r="C16167" s="3" t="inlineStr">
        <is>
          <t>Assets</t>
        </is>
      </c>
      <c r="D16167" s="3" t="inlineStr">
        <is>
          <t>8400/000</t>
        </is>
      </c>
      <c r="E16167" s="3" t="inlineStr">
        <is>
          <t>RMB 62906944576</t>
        </is>
      </c>
      <c r="F16167" s="3" t="n">
        <v>-8285.75</v>
      </c>
      <c r="G16167" s="3" t="n">
        <v>19981.15</v>
      </c>
    </row>
    <row r="16168">
      <c r="A16168" s="3" t="inlineStr">
        <is>
          <t>Opportunity Management Holdings (PTY) LTD</t>
        </is>
      </c>
      <c r="B16168" s="4" t="n">
        <v>45199</v>
      </c>
      <c r="C16168" s="3" t="inlineStr">
        <is>
          <t>Assets</t>
        </is>
      </c>
      <c r="D16168" s="3" t="inlineStr">
        <is>
          <t>8400/000</t>
        </is>
      </c>
      <c r="E16168" s="3" t="inlineStr">
        <is>
          <t>RMB Cheq - 62312246920</t>
        </is>
      </c>
      <c r="F16168" s="3" t="n">
        <v>2315.74</v>
      </c>
      <c r="G16168" s="3" t="n">
        <v>44410.37</v>
      </c>
    </row>
    <row r="16169">
      <c r="A16169" s="3" t="inlineStr">
        <is>
          <t>Opportunity Global Investment (PTY) LTD</t>
        </is>
      </c>
      <c r="B16169" s="4" t="n">
        <v>45199</v>
      </c>
      <c r="C16169" s="3" t="inlineStr">
        <is>
          <t>Assets</t>
        </is>
      </c>
      <c r="D16169" s="3" t="inlineStr">
        <is>
          <t>8405/000</t>
        </is>
      </c>
      <c r="E16169" s="3" t="inlineStr">
        <is>
          <t>FNB Trust 62762449265</t>
        </is>
      </c>
      <c r="F16169" s="3" t="n">
        <v>900</v>
      </c>
      <c r="G16169" s="3" t="n">
        <v>1141.1</v>
      </c>
    </row>
    <row r="16170">
      <c r="A16170" s="3" t="inlineStr">
        <is>
          <t>Endulini (Pty) Ltd</t>
        </is>
      </c>
      <c r="B16170" s="4" t="n">
        <v>45199</v>
      </c>
      <c r="C16170" s="3" t="inlineStr">
        <is>
          <t>Assets</t>
        </is>
      </c>
      <c r="D16170" s="3" t="inlineStr">
        <is>
          <t>8410/000</t>
        </is>
      </c>
      <c r="E16170" s="3" t="inlineStr">
        <is>
          <t>Momentum Investor Account : RU 502229883</t>
        </is>
      </c>
      <c r="F16170" s="3" t="n">
        <v>-2756.97</v>
      </c>
      <c r="G16170" s="3" t="n">
        <v>20.08</v>
      </c>
    </row>
    <row r="16171">
      <c r="A16171" s="3" t="inlineStr">
        <is>
          <t>Opportunity Management Holdings (PTY) LTD</t>
        </is>
      </c>
      <c r="B16171" s="4" t="n">
        <v>45199</v>
      </c>
      <c r="C16171" s="3" t="inlineStr">
        <is>
          <t>Assets</t>
        </is>
      </c>
      <c r="D16171" s="3" t="inlineStr">
        <is>
          <t>8410/000</t>
        </is>
      </c>
      <c r="E16171" s="3" t="inlineStr">
        <is>
          <t>RMB Call Acc - 62312248851</t>
        </is>
      </c>
      <c r="F16171" s="3" t="n">
        <v>0</v>
      </c>
      <c r="G16171" s="3" t="n">
        <v>1432.34</v>
      </c>
    </row>
    <row r="16172">
      <c r="A16172" s="3" t="inlineStr">
        <is>
          <t>Noble Shield (Pty) Ltd ta Go Letting</t>
        </is>
      </c>
      <c r="B16172" s="4" t="n">
        <v>45199</v>
      </c>
      <c r="C16172" s="3" t="inlineStr">
        <is>
          <t>Assets</t>
        </is>
      </c>
      <c r="D16172" s="3" t="inlineStr">
        <is>
          <t>8410/000</t>
        </is>
      </c>
      <c r="E16172" s="3" t="inlineStr">
        <is>
          <t>RMB Trust Acc - 6250 615 1365</t>
        </is>
      </c>
      <c r="F16172" s="3" t="n">
        <v>825.59</v>
      </c>
      <c r="G16172" s="3" t="n">
        <v>900.5700000000001</v>
      </c>
    </row>
    <row r="16173">
      <c r="A16173" s="3" t="inlineStr">
        <is>
          <t>Quinate Consulting (Pty) Ltd</t>
        </is>
      </c>
      <c r="B16173" s="4" t="n">
        <v>45199</v>
      </c>
      <c r="C16173" s="3" t="inlineStr">
        <is>
          <t>Assets</t>
        </is>
      </c>
      <c r="D16173" s="3" t="inlineStr">
        <is>
          <t>8415/000</t>
        </is>
      </c>
      <c r="E16173" s="3" t="inlineStr">
        <is>
          <t>STD Acc 071 958 959 - Facility Acc</t>
        </is>
      </c>
      <c r="F16173" s="3" t="n">
        <v>-85</v>
      </c>
      <c r="G16173" s="3" t="n">
        <v>2701.21</v>
      </c>
    </row>
    <row r="16174">
      <c r="A16174" s="3" t="inlineStr">
        <is>
          <t>Trademark Holdings (Pty) Ltd</t>
        </is>
      </c>
      <c r="B16174" s="4" t="n">
        <v>45199</v>
      </c>
      <c r="C16174" s="3" t="inlineStr">
        <is>
          <t>Assets</t>
        </is>
      </c>
      <c r="D16174" s="3" t="inlineStr">
        <is>
          <t>8420/000</t>
        </is>
      </c>
      <c r="E16174" s="3" t="inlineStr">
        <is>
          <t>FNB Credit Card</t>
        </is>
      </c>
      <c r="F16174" s="3" t="n">
        <v>52</v>
      </c>
      <c r="G16174" s="3" t="n">
        <v>416</v>
      </c>
    </row>
    <row r="16175">
      <c r="A16175" s="3" t="inlineStr">
        <is>
          <t>Quinate Consulting (Pty) Ltd</t>
        </is>
      </c>
      <c r="B16175" s="4" t="n">
        <v>45199</v>
      </c>
      <c r="C16175" s="3" t="inlineStr">
        <is>
          <t>Assets</t>
        </is>
      </c>
      <c r="D16175" s="3" t="inlineStr">
        <is>
          <t>8430/000</t>
        </is>
      </c>
      <c r="E16175" s="3" t="inlineStr">
        <is>
          <t>Momentum Investment Acc - RU502230185</t>
        </is>
      </c>
      <c r="F16175" s="3" t="n">
        <v>0</v>
      </c>
      <c r="G16175" s="3" t="n">
        <v>556.26</v>
      </c>
    </row>
    <row r="16176">
      <c r="A16176" s="3" t="inlineStr">
        <is>
          <t>Opportunity Global Investment (PTY) LTD</t>
        </is>
      </c>
      <c r="B16176" s="4" t="n">
        <v>45199</v>
      </c>
      <c r="C16176" s="3" t="inlineStr">
        <is>
          <t>Assets</t>
        </is>
      </c>
      <c r="D16176" s="3" t="inlineStr">
        <is>
          <t>8440/000</t>
        </is>
      </c>
      <c r="E16176" s="3" t="inlineStr">
        <is>
          <t>FNB - Call 627602764438</t>
        </is>
      </c>
      <c r="F16176" s="3" t="n">
        <v>-12.64</v>
      </c>
      <c r="G16176" s="3" t="n">
        <v>865.63</v>
      </c>
    </row>
    <row r="16177">
      <c r="A16177" s="3" t="inlineStr">
        <is>
          <t>Opportunity Global Investment (PTY) LTD</t>
        </is>
      </c>
      <c r="B16177" s="4" t="n">
        <v>45199</v>
      </c>
      <c r="C16177" s="3" t="inlineStr">
        <is>
          <t>Assets</t>
        </is>
      </c>
      <c r="D16177" s="3" t="inlineStr">
        <is>
          <t>8445/000</t>
        </is>
      </c>
      <c r="E16177" s="3" t="inlineStr">
        <is>
          <t>Momentum RU502230096</t>
        </is>
      </c>
      <c r="F16177" s="3" t="n">
        <v>34.81</v>
      </c>
      <c r="G16177" s="3" t="n">
        <v>4937.81</v>
      </c>
    </row>
    <row r="16178">
      <c r="A16178" s="3" t="inlineStr">
        <is>
          <t>Quinate Consulting (Pty) Ltd</t>
        </is>
      </c>
      <c r="B16178" s="4" t="n">
        <v>45199</v>
      </c>
      <c r="C16178" s="3" t="inlineStr">
        <is>
          <t>Assets</t>
        </is>
      </c>
      <c r="D16178" s="3" t="inlineStr">
        <is>
          <t>8450/000</t>
        </is>
      </c>
      <c r="E16178" s="3" t="inlineStr">
        <is>
          <t>A RMB 62275810820</t>
        </is>
      </c>
      <c r="F16178" s="3" t="n">
        <v>91335.78999999999</v>
      </c>
      <c r="G16178" s="3" t="n">
        <v>145347</v>
      </c>
    </row>
    <row r="16179">
      <c r="A16179" s="3" t="inlineStr">
        <is>
          <t>Opportunity Management Holdings (PTY) LTD</t>
        </is>
      </c>
      <c r="B16179" s="4" t="n">
        <v>45199</v>
      </c>
      <c r="C16179" s="3" t="inlineStr">
        <is>
          <t>Assets</t>
        </is>
      </c>
      <c r="D16179" s="3" t="inlineStr">
        <is>
          <t>8450/000</t>
        </is>
      </c>
      <c r="E16179" s="3" t="inlineStr">
        <is>
          <t>Petty Cash - CT Office</t>
        </is>
      </c>
      <c r="F16179" s="3" t="n">
        <v>0</v>
      </c>
      <c r="G16179" s="3" t="n">
        <v>1016.2</v>
      </c>
    </row>
    <row r="16180">
      <c r="A16180" s="3" t="inlineStr">
        <is>
          <t>Quinate Consulting (Pty) Ltd</t>
        </is>
      </c>
      <c r="B16180" s="4" t="n">
        <v>45199</v>
      </c>
      <c r="C16180" s="3" t="inlineStr">
        <is>
          <t>Liabilities</t>
        </is>
      </c>
      <c r="D16180" s="3" t="inlineStr">
        <is>
          <t>8480/100</t>
        </is>
      </c>
      <c r="E16180" s="3" t="inlineStr">
        <is>
          <t>Bond - SH20 - STD Bank 532010558</t>
        </is>
      </c>
      <c r="F16180" s="3" t="n">
        <v>3110.34</v>
      </c>
      <c r="G16180" s="3" t="n">
        <v>-1335323.13</v>
      </c>
    </row>
    <row r="16181">
      <c r="A16181" s="3" t="inlineStr">
        <is>
          <t>Quinate Consulting (Pty) Ltd</t>
        </is>
      </c>
      <c r="B16181" s="4" t="n">
        <v>45199</v>
      </c>
      <c r="C16181" s="3" t="inlineStr">
        <is>
          <t>Liabilities</t>
        </is>
      </c>
      <c r="D16181" s="3" t="inlineStr">
        <is>
          <t>8480/200</t>
        </is>
      </c>
      <c r="E16181" s="3" t="inlineStr">
        <is>
          <t>Bond - SH23 - STD Bank 532010035</t>
        </is>
      </c>
      <c r="F16181" s="3" t="n">
        <v>3106.6</v>
      </c>
      <c r="G16181" s="3" t="n">
        <v>-1335193.89</v>
      </c>
    </row>
    <row r="16182">
      <c r="A16182" s="3" t="inlineStr">
        <is>
          <t>Quinate Consulting (Pty) Ltd</t>
        </is>
      </c>
      <c r="B16182" s="4" t="n">
        <v>45199</v>
      </c>
      <c r="C16182" s="3" t="inlineStr">
        <is>
          <t>Liabilities</t>
        </is>
      </c>
      <c r="D16182" s="3" t="inlineStr">
        <is>
          <t>8480/300</t>
        </is>
      </c>
      <c r="E16182" s="3" t="inlineStr">
        <is>
          <t>Bond - SH24 - STD Bank 532372662</t>
        </is>
      </c>
      <c r="F16182" s="3" t="n">
        <v>1488.47</v>
      </c>
      <c r="G16182" s="3" t="n">
        <v>-1445196.06</v>
      </c>
    </row>
    <row r="16183">
      <c r="A16183" s="3" t="inlineStr">
        <is>
          <t>Quinate Consulting (Pty) Ltd</t>
        </is>
      </c>
      <c r="B16183" s="4" t="n">
        <v>45199</v>
      </c>
      <c r="C16183" s="3" t="inlineStr">
        <is>
          <t>Liabilities</t>
        </is>
      </c>
      <c r="D16183" s="3" t="inlineStr">
        <is>
          <t>8480/400</t>
        </is>
      </c>
      <c r="E16183" s="3" t="inlineStr">
        <is>
          <t>Bond - SW01 - STD Bank 532920627</t>
        </is>
      </c>
      <c r="F16183" s="3" t="n">
        <v>410.38</v>
      </c>
      <c r="G16183" s="3" t="n">
        <v>-1290298.98</v>
      </c>
    </row>
    <row r="16184">
      <c r="A16184" s="3" t="inlineStr">
        <is>
          <t>Quinate Consulting (Pty) Ltd</t>
        </is>
      </c>
      <c r="B16184" s="4" t="n">
        <v>45199</v>
      </c>
      <c r="C16184" s="3" t="inlineStr">
        <is>
          <t>Liabilities</t>
        </is>
      </c>
      <c r="D16184" s="3" t="inlineStr">
        <is>
          <t>8480/401</t>
        </is>
      </c>
      <c r="E16184" s="3" t="inlineStr">
        <is>
          <t>Bond - SW21 - STD Bank 532920597</t>
        </is>
      </c>
      <c r="F16184" s="3" t="n">
        <v>410.54</v>
      </c>
      <c r="G16184" s="3" t="n">
        <v>-1290810.95</v>
      </c>
    </row>
    <row r="16185">
      <c r="A16185" s="3" t="inlineStr">
        <is>
          <t>Opportunity Global Investment (PTY) LTD</t>
        </is>
      </c>
      <c r="B16185" s="4" t="n">
        <v>45199</v>
      </c>
      <c r="C16185" s="3" t="inlineStr">
        <is>
          <t>Liabilities</t>
        </is>
      </c>
      <c r="D16185" s="3" t="inlineStr">
        <is>
          <t>860</t>
        </is>
      </c>
      <c r="E16185" s="3" t="inlineStr">
        <is>
          <t>Rounding</t>
        </is>
      </c>
      <c r="F16185" s="3" t="n">
        <v>-0.3</v>
      </c>
      <c r="G16185" s="3" t="n">
        <v>-0.29</v>
      </c>
    </row>
    <row r="16186">
      <c r="A16186" s="3" t="inlineStr">
        <is>
          <t>Opportunity Global Sales (PTY) LTD</t>
        </is>
      </c>
      <c r="B16186" s="4" t="n">
        <v>45199</v>
      </c>
      <c r="C16186" s="3" t="inlineStr">
        <is>
          <t>Liabilities</t>
        </is>
      </c>
      <c r="D16186" s="3" t="inlineStr">
        <is>
          <t>860</t>
        </is>
      </c>
      <c r="E16186" s="3" t="inlineStr">
        <is>
          <t>Rounding</t>
        </is>
      </c>
      <c r="F16186" s="3" t="n">
        <v>0</v>
      </c>
      <c r="G16186" s="3" t="n">
        <v>-0.99</v>
      </c>
    </row>
    <row r="16187">
      <c r="A16187" s="3" t="inlineStr">
        <is>
          <t>Opportunity Management Holdings (PTY) LTD</t>
        </is>
      </c>
      <c r="B16187" s="4" t="n">
        <v>45199</v>
      </c>
      <c r="C16187" s="3" t="inlineStr">
        <is>
          <t>Liabilities</t>
        </is>
      </c>
      <c r="D16187" s="3" t="inlineStr">
        <is>
          <t>860</t>
        </is>
      </c>
      <c r="E16187" s="3" t="inlineStr">
        <is>
          <t>Rounding</t>
        </is>
      </c>
      <c r="F16187" s="3" t="n">
        <v>0</v>
      </c>
      <c r="G16187" s="3" t="n">
        <v>-0.01</v>
      </c>
    </row>
    <row r="16188">
      <c r="A16188" s="3" t="inlineStr">
        <is>
          <t>Quinate Consulting (Pty) Ltd</t>
        </is>
      </c>
      <c r="B16188" s="4" t="n">
        <v>45199</v>
      </c>
      <c r="C16188" s="3" t="inlineStr">
        <is>
          <t>Liabilities</t>
        </is>
      </c>
      <c r="D16188" s="3" t="inlineStr">
        <is>
          <t>860</t>
        </is>
      </c>
      <c r="E16188" s="3" t="inlineStr">
        <is>
          <t>Rounding</t>
        </is>
      </c>
      <c r="F16188" s="3" t="n">
        <v>0</v>
      </c>
      <c r="G16188" s="3" t="n">
        <v>-4.57</v>
      </c>
    </row>
    <row r="16189">
      <c r="A16189" s="3" t="inlineStr">
        <is>
          <t>Trademark Holdings (Pty) Ltd</t>
        </is>
      </c>
      <c r="B16189" s="4" t="n">
        <v>45199</v>
      </c>
      <c r="C16189" s="3" t="inlineStr">
        <is>
          <t>Liabilities</t>
        </is>
      </c>
      <c r="D16189" s="3" t="inlineStr">
        <is>
          <t>860</t>
        </is>
      </c>
      <c r="E16189" s="3" t="inlineStr">
        <is>
          <t>Rounding</t>
        </is>
      </c>
      <c r="F16189" s="3" t="n">
        <v>0</v>
      </c>
      <c r="G16189" s="3" t="n">
        <v>0.2</v>
      </c>
    </row>
    <row r="16190">
      <c r="A16190" s="3" t="inlineStr">
        <is>
          <t>Endulini (Pty) Ltd</t>
        </is>
      </c>
      <c r="B16190" s="4" t="n">
        <v>45199</v>
      </c>
      <c r="C16190" s="3" t="inlineStr">
        <is>
          <t>Liabilities</t>
        </is>
      </c>
      <c r="D16190" s="3" t="inlineStr">
        <is>
          <t>9000/000</t>
        </is>
      </c>
      <c r="E16190" s="3" t="inlineStr">
        <is>
          <t>Supplier Control Account</t>
        </is>
      </c>
      <c r="F16190" s="3" t="n">
        <v>3080230.27</v>
      </c>
      <c r="G16190" s="3" t="n">
        <v>-4703487.11</v>
      </c>
    </row>
    <row r="16191">
      <c r="A16191" s="3" t="inlineStr">
        <is>
          <t>Noble Shield (Pty) Ltd ta Go Letting</t>
        </is>
      </c>
      <c r="B16191" s="4" t="n">
        <v>45199</v>
      </c>
      <c r="C16191" s="3" t="inlineStr">
        <is>
          <t>Liabilities</t>
        </is>
      </c>
      <c r="D16191" s="3" t="inlineStr">
        <is>
          <t>9000/000</t>
        </is>
      </c>
      <c r="E16191" s="3" t="inlineStr">
        <is>
          <t>Supplier Control Account</t>
        </is>
      </c>
      <c r="F16191" s="3" t="n">
        <v>-31896.48</v>
      </c>
      <c r="G16191" s="3" t="n">
        <v>-54891.77</v>
      </c>
    </row>
    <row r="16192">
      <c r="A16192" s="3" t="inlineStr">
        <is>
          <t>Opportunity Global Investment (PTY) LTD</t>
        </is>
      </c>
      <c r="B16192" s="4" t="n">
        <v>45199</v>
      </c>
      <c r="C16192" s="3" t="inlineStr">
        <is>
          <t>Liabilities</t>
        </is>
      </c>
      <c r="D16192" s="3" t="inlineStr">
        <is>
          <t>9000/000</t>
        </is>
      </c>
      <c r="E16192" s="3" t="inlineStr">
        <is>
          <t>Supplier Control Account</t>
        </is>
      </c>
      <c r="F16192" s="3" t="n">
        <v>95590.25</v>
      </c>
      <c r="G16192" s="3" t="n">
        <v>-13097.91</v>
      </c>
    </row>
    <row r="16193">
      <c r="A16193" s="3" t="inlineStr">
        <is>
          <t>Opportunity Global Sales (PTY) LTD</t>
        </is>
      </c>
      <c r="B16193" s="4" t="n">
        <v>45199</v>
      </c>
      <c r="C16193" s="3" t="inlineStr">
        <is>
          <t>Liabilities</t>
        </is>
      </c>
      <c r="D16193" s="3" t="inlineStr">
        <is>
          <t>9000/000</t>
        </is>
      </c>
      <c r="E16193" s="3" t="inlineStr">
        <is>
          <t>Supplier Control Account</t>
        </is>
      </c>
      <c r="F16193" s="3" t="n">
        <v>-58347.58</v>
      </c>
      <c r="G16193" s="3" t="n">
        <v>-59089.82</v>
      </c>
    </row>
    <row r="16194">
      <c r="A16194" s="3" t="inlineStr">
        <is>
          <t>Opportunity Management Holdings (PTY) LTD</t>
        </is>
      </c>
      <c r="B16194" s="4" t="n">
        <v>45199</v>
      </c>
      <c r="C16194" s="3" t="inlineStr">
        <is>
          <t>Liabilities</t>
        </is>
      </c>
      <c r="D16194" s="3" t="inlineStr">
        <is>
          <t>9000/000</t>
        </is>
      </c>
      <c r="E16194" s="3" t="inlineStr">
        <is>
          <t>Supplier Control Account</t>
        </is>
      </c>
      <c r="F16194" s="3" t="n">
        <v>-2128.45</v>
      </c>
      <c r="G16194" s="3" t="n">
        <v>-279352.47</v>
      </c>
    </row>
    <row r="16195">
      <c r="A16195" s="3" t="inlineStr">
        <is>
          <t>Quinate Consulting (Pty) Ltd</t>
        </is>
      </c>
      <c r="B16195" s="4" t="n">
        <v>45199</v>
      </c>
      <c r="C16195" s="3" t="inlineStr">
        <is>
          <t>Liabilities</t>
        </is>
      </c>
      <c r="D16195" s="3" t="inlineStr">
        <is>
          <t>9000/000</t>
        </is>
      </c>
      <c r="E16195" s="3" t="inlineStr">
        <is>
          <t>Supplier Control Account</t>
        </is>
      </c>
      <c r="F16195" s="3" t="n">
        <v>148779.16</v>
      </c>
      <c r="G16195" s="3" t="n">
        <v>548195.27</v>
      </c>
    </row>
    <row r="16196">
      <c r="A16196" s="3" t="inlineStr">
        <is>
          <t>Trademark Holdings (Pty) Ltd</t>
        </is>
      </c>
      <c r="B16196" s="4" t="n">
        <v>45199</v>
      </c>
      <c r="C16196" s="3" t="inlineStr">
        <is>
          <t>Liabilities</t>
        </is>
      </c>
      <c r="D16196" s="3" t="inlineStr">
        <is>
          <t>9000/000</t>
        </is>
      </c>
      <c r="E16196" s="3" t="inlineStr">
        <is>
          <t>Supplier Control Account</t>
        </is>
      </c>
      <c r="F16196" s="3" t="n">
        <v>-17745.04</v>
      </c>
      <c r="G16196" s="3" t="n">
        <v>-83099.75</v>
      </c>
    </row>
    <row r="16197">
      <c r="A16197" s="3" t="inlineStr">
        <is>
          <t>Quinate Consulting (Pty) Ltd</t>
        </is>
      </c>
      <c r="B16197" s="4" t="n">
        <v>45199</v>
      </c>
      <c r="C16197" s="3" t="inlineStr">
        <is>
          <t>Liabilities</t>
        </is>
      </c>
      <c r="D16197" s="3" t="inlineStr">
        <is>
          <t>9001</t>
        </is>
      </c>
      <c r="E16197" s="3" t="inlineStr">
        <is>
          <t>Supplier Control</t>
        </is>
      </c>
      <c r="F16197" s="3" t="n">
        <v>0</v>
      </c>
      <c r="G16197" s="3" t="n">
        <v>-347315.41</v>
      </c>
    </row>
    <row r="16198">
      <c r="A16198" s="3" t="inlineStr">
        <is>
          <t>Opportunity Management Holdings (PTY) LTD</t>
        </is>
      </c>
      <c r="B16198" s="4" t="n">
        <v>45199</v>
      </c>
      <c r="C16198" s="3" t="inlineStr">
        <is>
          <t>Liabilities</t>
        </is>
      </c>
      <c r="D16198" s="3" t="inlineStr">
        <is>
          <t>9100/000</t>
        </is>
      </c>
      <c r="E16198" s="3" t="inlineStr">
        <is>
          <t>PAYE/UIF/SDL Accrual - Prior Years ADJ</t>
        </is>
      </c>
      <c r="F16198" s="3" t="n">
        <v>0</v>
      </c>
      <c r="G16198" s="3" t="n">
        <v>-33739.36</v>
      </c>
    </row>
    <row r="16199">
      <c r="A16199" s="3" t="inlineStr">
        <is>
          <t>Opportunity Management Holdings (PTY) LTD</t>
        </is>
      </c>
      <c r="B16199" s="4" t="n">
        <v>45199</v>
      </c>
      <c r="C16199" s="3" t="inlineStr">
        <is>
          <t>Assets</t>
        </is>
      </c>
      <c r="D16199" s="3" t="inlineStr">
        <is>
          <t>9110/000</t>
        </is>
      </c>
      <c r="E16199" s="3" t="inlineStr">
        <is>
          <t>Deposit Received</t>
        </is>
      </c>
      <c r="F16199" s="3" t="n">
        <v>0</v>
      </c>
      <c r="G16199" s="3" t="n">
        <v>-3852.5</v>
      </c>
    </row>
    <row r="16200">
      <c r="A16200" s="3" t="inlineStr">
        <is>
          <t>Opportunity Global Investment (PTY) LTD</t>
        </is>
      </c>
      <c r="B16200" s="4" t="n">
        <v>45199</v>
      </c>
      <c r="C16200" s="3" t="inlineStr">
        <is>
          <t>Liabilities</t>
        </is>
      </c>
      <c r="D16200" s="3" t="inlineStr">
        <is>
          <t>9110/000</t>
        </is>
      </c>
      <c r="E16200" s="3" t="inlineStr">
        <is>
          <t>Taxation B/S</t>
        </is>
      </c>
      <c r="F16200" s="3" t="n">
        <v>0</v>
      </c>
      <c r="G16200" s="3" t="n">
        <v>67163.81</v>
      </c>
    </row>
    <row r="16201">
      <c r="A16201" s="3" t="inlineStr">
        <is>
          <t>Noble Shield (Pty) Ltd ta Go Letting</t>
        </is>
      </c>
      <c r="B16201" s="4" t="n">
        <v>45199</v>
      </c>
      <c r="C16201" s="3" t="inlineStr">
        <is>
          <t>Liabilities</t>
        </is>
      </c>
      <c r="D16201" s="3" t="inlineStr">
        <is>
          <t>9250/010</t>
        </is>
      </c>
      <c r="E16201" s="3" t="inlineStr">
        <is>
          <t>SALARY CONTROL</t>
        </is>
      </c>
      <c r="F16201" s="3" t="n">
        <v>938.09</v>
      </c>
      <c r="G16201" s="3" t="n">
        <v>-17179.76</v>
      </c>
    </row>
    <row r="16202">
      <c r="A16202" s="3" t="inlineStr">
        <is>
          <t>Opportunity Global Investment (PTY) LTD</t>
        </is>
      </c>
      <c r="B16202" s="4" t="n">
        <v>45199</v>
      </c>
      <c r="C16202" s="3" t="inlineStr">
        <is>
          <t>Liabilities</t>
        </is>
      </c>
      <c r="D16202" s="3" t="inlineStr">
        <is>
          <t>9250/010</t>
        </is>
      </c>
      <c r="E16202" s="3" t="inlineStr">
        <is>
          <t>SALARY CONTROL</t>
        </is>
      </c>
      <c r="F16202" s="3" t="n">
        <v>0</v>
      </c>
      <c r="G16202" s="3" t="n">
        <v>5000</v>
      </c>
    </row>
    <row r="16203">
      <c r="A16203" s="3" t="inlineStr">
        <is>
          <t>Opportunity Global Sales (PTY) LTD</t>
        </is>
      </c>
      <c r="B16203" s="4" t="n">
        <v>45199</v>
      </c>
      <c r="C16203" s="3" t="inlineStr">
        <is>
          <t>Liabilities</t>
        </is>
      </c>
      <c r="D16203" s="3" t="inlineStr">
        <is>
          <t>9250/010</t>
        </is>
      </c>
      <c r="E16203" s="3" t="inlineStr">
        <is>
          <t>SALARY CONTROL</t>
        </is>
      </c>
      <c r="F16203" s="3" t="n">
        <v>-499.99</v>
      </c>
      <c r="G16203" s="3" t="n">
        <v>-6531.61</v>
      </c>
    </row>
    <row r="16204">
      <c r="A16204" s="3" t="inlineStr">
        <is>
          <t>Trademark Holdings (Pty) Ltd</t>
        </is>
      </c>
      <c r="B16204" s="4" t="n">
        <v>45199</v>
      </c>
      <c r="C16204" s="3" t="inlineStr">
        <is>
          <t>Liabilities</t>
        </is>
      </c>
      <c r="D16204" s="3" t="inlineStr">
        <is>
          <t>9250/010</t>
        </is>
      </c>
      <c r="E16204" s="3" t="inlineStr">
        <is>
          <t>SALARY CONTROL</t>
        </is>
      </c>
      <c r="F16204" s="3" t="n">
        <v>-921.17</v>
      </c>
      <c r="G16204" s="3" t="n">
        <v>-19395.44</v>
      </c>
    </row>
    <row r="16205">
      <c r="A16205" s="3" t="inlineStr">
        <is>
          <t>Noble Shield (Pty) Ltd ta Go Letting</t>
        </is>
      </c>
      <c r="B16205" s="4" t="n">
        <v>45199</v>
      </c>
      <c r="C16205" s="3" t="inlineStr">
        <is>
          <t>Liabilities</t>
        </is>
      </c>
      <c r="D16205" s="3" t="inlineStr">
        <is>
          <t>9250/020</t>
        </is>
      </c>
      <c r="E16205" s="3" t="inlineStr">
        <is>
          <t>PAYE, UIF AND SDL CONTROL</t>
        </is>
      </c>
      <c r="F16205" s="3" t="n">
        <v>342.26</v>
      </c>
      <c r="G16205" s="3" t="n">
        <v>-5570.25</v>
      </c>
    </row>
    <row r="16206">
      <c r="A16206" s="3" t="inlineStr">
        <is>
          <t>Opportunity Global Investment (PTY) LTD</t>
        </is>
      </c>
      <c r="B16206" s="4" t="n">
        <v>45199</v>
      </c>
      <c r="C16206" s="3" t="inlineStr">
        <is>
          <t>Liabilities</t>
        </is>
      </c>
      <c r="D16206" s="3" t="inlineStr">
        <is>
          <t>9250/020</t>
        </is>
      </c>
      <c r="E16206" s="3" t="inlineStr">
        <is>
          <t>PAYE, UIF AND SDL CONTROL</t>
        </is>
      </c>
      <c r="F16206" s="3" t="n">
        <v>-8710.34</v>
      </c>
      <c r="G16206" s="3" t="n">
        <v>-90824.21000000001</v>
      </c>
    </row>
    <row r="16207">
      <c r="A16207" s="3" t="inlineStr">
        <is>
          <t>Opportunity Management Holdings (PTY) LTD</t>
        </is>
      </c>
      <c r="B16207" s="4" t="n">
        <v>45199</v>
      </c>
      <c r="C16207" s="3" t="inlineStr">
        <is>
          <t>Liabilities</t>
        </is>
      </c>
      <c r="D16207" s="3" t="inlineStr">
        <is>
          <t>9250/020</t>
        </is>
      </c>
      <c r="E16207" s="3" t="inlineStr">
        <is>
          <t>PAYE, UIF AND SDL CONTROL</t>
        </is>
      </c>
      <c r="F16207" s="3" t="n">
        <v>-1439.28</v>
      </c>
      <c r="G16207" s="3" t="n">
        <v>-43335.1</v>
      </c>
    </row>
    <row r="16208">
      <c r="A16208" s="3" t="inlineStr">
        <is>
          <t>Quinate Consulting (Pty) Ltd</t>
        </is>
      </c>
      <c r="B16208" s="4" t="n">
        <v>45199</v>
      </c>
      <c r="C16208" s="3" t="inlineStr">
        <is>
          <t>Liabilities</t>
        </is>
      </c>
      <c r="D16208" s="3" t="inlineStr">
        <is>
          <t>9250/020</t>
        </is>
      </c>
      <c r="E16208" s="3" t="inlineStr">
        <is>
          <t>PAYE, UIF AND SDL CONTROL</t>
        </is>
      </c>
      <c r="F16208" s="3" t="n">
        <v>-10759.36</v>
      </c>
      <c r="G16208" s="3" t="n">
        <v>-10759.36</v>
      </c>
    </row>
    <row r="16209">
      <c r="A16209" s="3" t="inlineStr">
        <is>
          <t>Trademark Holdings (Pty) Ltd</t>
        </is>
      </c>
      <c r="B16209" s="4" t="n">
        <v>45199</v>
      </c>
      <c r="C16209" s="3" t="inlineStr">
        <is>
          <t>Liabilities</t>
        </is>
      </c>
      <c r="D16209" s="3" t="inlineStr">
        <is>
          <t>9250/020</t>
        </is>
      </c>
      <c r="E16209" s="3" t="inlineStr">
        <is>
          <t>PAYE, UIF AND SDL CONTROL</t>
        </is>
      </c>
      <c r="F16209" s="3" t="n">
        <v>-336.09</v>
      </c>
      <c r="G16209" s="3" t="n">
        <v>-5565.08</v>
      </c>
    </row>
    <row r="16210">
      <c r="A16210" s="3" t="inlineStr">
        <is>
          <t>Opportunity Global Investment (PTY) LTD</t>
        </is>
      </c>
      <c r="B16210" s="4" t="n">
        <v>45199</v>
      </c>
      <c r="C16210" s="3" t="inlineStr">
        <is>
          <t>Liabilities</t>
        </is>
      </c>
      <c r="D16210" s="3" t="inlineStr">
        <is>
          <t>9400/030</t>
        </is>
      </c>
      <c r="E16210" s="3" t="inlineStr">
        <is>
          <t>Accrued Expenses - PAYE_AND_UIF</t>
        </is>
      </c>
      <c r="F16210" s="3" t="n">
        <v>0</v>
      </c>
      <c r="G16210" s="3" t="n">
        <v>-2</v>
      </c>
    </row>
    <row r="16211">
      <c r="A16211" s="3" t="inlineStr">
        <is>
          <t>Trademark Holdings (Pty) Ltd</t>
        </is>
      </c>
      <c r="B16211" s="4" t="n">
        <v>45199</v>
      </c>
      <c r="C16211" s="3" t="inlineStr">
        <is>
          <t>Liabilities</t>
        </is>
      </c>
      <c r="D16211" s="3" t="inlineStr">
        <is>
          <t>9400/400</t>
        </is>
      </c>
      <c r="E16211" s="3" t="inlineStr">
        <is>
          <t>Deemed Dividend Tax</t>
        </is>
      </c>
      <c r="F16211" s="3" t="n">
        <v>0</v>
      </c>
      <c r="G16211" s="3" t="n">
        <v>-699.13</v>
      </c>
    </row>
    <row r="16212">
      <c r="A16212" s="3" t="inlineStr">
        <is>
          <t>Opportunity Global Investment (PTY) LTD</t>
        </is>
      </c>
      <c r="B16212" s="4" t="n">
        <v>45199</v>
      </c>
      <c r="C16212" s="3" t="inlineStr">
        <is>
          <t>Liabilities</t>
        </is>
      </c>
      <c r="D16212" s="3" t="inlineStr">
        <is>
          <t>9500/000</t>
        </is>
      </c>
      <c r="E16212" s="3" t="inlineStr">
        <is>
          <t>VAT Control Account</t>
        </is>
      </c>
      <c r="F16212" s="3" t="n">
        <v>78037.77</v>
      </c>
      <c r="G16212" s="3" t="n">
        <v>988504.35</v>
      </c>
    </row>
    <row r="16213">
      <c r="A16213" s="3" t="inlineStr">
        <is>
          <t>Opportunity Global Sales (PTY) LTD</t>
        </is>
      </c>
      <c r="B16213" s="4" t="n">
        <v>45199</v>
      </c>
      <c r="C16213" s="3" t="inlineStr">
        <is>
          <t>Liabilities</t>
        </is>
      </c>
      <c r="D16213" s="3" t="inlineStr">
        <is>
          <t>9500/000</t>
        </is>
      </c>
      <c r="E16213" s="3" t="inlineStr">
        <is>
          <t>VAT Control Account</t>
        </is>
      </c>
      <c r="F16213" s="3" t="n">
        <v>-76205.45</v>
      </c>
      <c r="G16213" s="3" t="n">
        <v>-1046948.5</v>
      </c>
    </row>
    <row r="16214">
      <c r="A16214" s="3" t="inlineStr">
        <is>
          <t>Opportunity Management Holdings (PTY) LTD</t>
        </is>
      </c>
      <c r="B16214" s="4" t="n">
        <v>45199</v>
      </c>
      <c r="C16214" s="3" t="inlineStr">
        <is>
          <t>Liabilities</t>
        </is>
      </c>
      <c r="D16214" s="3" t="inlineStr">
        <is>
          <t>9500/000</t>
        </is>
      </c>
      <c r="E16214" s="3" t="inlineStr">
        <is>
          <t>VAT Control Account</t>
        </is>
      </c>
      <c r="F16214" s="3" t="n">
        <v>-47941.69</v>
      </c>
      <c r="G16214" s="3" t="n">
        <v>64714.59</v>
      </c>
    </row>
    <row r="16215">
      <c r="A16215" s="3" t="inlineStr">
        <is>
          <t>Endulini (Pty) Ltd</t>
        </is>
      </c>
      <c r="B16215" s="4" t="n">
        <v>45199</v>
      </c>
      <c r="C16215" s="3" t="inlineStr">
        <is>
          <t>Liabilities</t>
        </is>
      </c>
      <c r="D16215" s="3" t="inlineStr">
        <is>
          <t>9500/000</t>
        </is>
      </c>
      <c r="E16215" s="3" t="inlineStr">
        <is>
          <t>Vat / Tax Control Account</t>
        </is>
      </c>
      <c r="F16215" s="3" t="n">
        <v>7073.99</v>
      </c>
      <c r="G16215" s="3" t="n">
        <v>-2386401.8</v>
      </c>
    </row>
    <row r="16216">
      <c r="A16216" s="3" t="inlineStr">
        <is>
          <t>Noble Shield (Pty) Ltd ta Go Letting</t>
        </is>
      </c>
      <c r="B16216" s="4" t="n">
        <v>45199</v>
      </c>
      <c r="C16216" s="3" t="inlineStr">
        <is>
          <t>Liabilities</t>
        </is>
      </c>
      <c r="D16216" s="3" t="inlineStr">
        <is>
          <t>9500/000</t>
        </is>
      </c>
      <c r="E16216" s="3" t="inlineStr">
        <is>
          <t>Vat / Tax Control Account</t>
        </is>
      </c>
      <c r="F16216" s="3" t="n">
        <v>0</v>
      </c>
      <c r="G16216" s="3" t="n">
        <v>1443.68</v>
      </c>
    </row>
    <row r="16217">
      <c r="A16217" s="3" t="inlineStr">
        <is>
          <t>Quinate Consulting (Pty) Ltd</t>
        </is>
      </c>
      <c r="B16217" s="4" t="n">
        <v>45199</v>
      </c>
      <c r="C16217" s="3" t="inlineStr">
        <is>
          <t>Liabilities</t>
        </is>
      </c>
      <c r="D16217" s="3" t="inlineStr">
        <is>
          <t>9500/000</t>
        </is>
      </c>
      <c r="E16217" s="3" t="inlineStr">
        <is>
          <t>Vat Control Account</t>
        </is>
      </c>
      <c r="F16217" s="3" t="n">
        <v>14784.12</v>
      </c>
      <c r="G16217" s="3" t="n">
        <v>2163173.33</v>
      </c>
    </row>
    <row r="16218">
      <c r="A16218" s="3" t="inlineStr">
        <is>
          <t>Opportunity Management Holdings (PTY) LTD</t>
        </is>
      </c>
      <c r="B16218" s="4" t="n">
        <v>45199</v>
      </c>
      <c r="C16218" s="3" t="inlineStr">
        <is>
          <t>Liabilities</t>
        </is>
      </c>
      <c r="D16218" s="3" t="inlineStr">
        <is>
          <t>9501/000</t>
        </is>
      </c>
      <c r="E16218" s="3" t="inlineStr">
        <is>
          <t>Vat Adjustments - C2M</t>
        </is>
      </c>
      <c r="F16218" s="3" t="n">
        <v>0</v>
      </c>
      <c r="G16218" s="3" t="n">
        <v>47274.04</v>
      </c>
    </row>
    <row r="16219">
      <c r="A16219" s="3" t="inlineStr">
        <is>
          <t>Quinate Consulting (Pty) Ltd</t>
        </is>
      </c>
      <c r="B16219" s="4" t="n">
        <v>45199</v>
      </c>
      <c r="C16219" s="3" t="inlineStr">
        <is>
          <t>Liabilities</t>
        </is>
      </c>
      <c r="D16219" s="3" t="inlineStr">
        <is>
          <t>9960/000</t>
        </is>
      </c>
      <c r="E16219" s="3" t="inlineStr">
        <is>
          <t>Deposits - Southwark Rentals</t>
        </is>
      </c>
      <c r="F16219" s="3" t="n">
        <v>0</v>
      </c>
      <c r="G16219" s="3" t="n">
        <v>-23000</v>
      </c>
    </row>
    <row r="16220">
      <c r="A16220" s="3" t="inlineStr">
        <is>
          <t>Noble Shield (Pty) Ltd ta Go Letting</t>
        </is>
      </c>
      <c r="B16220" s="4" t="n">
        <v>45199</v>
      </c>
      <c r="C16220" s="3" t="inlineStr">
        <is>
          <t>Expenses</t>
        </is>
      </c>
      <c r="D16220" s="3" t="inlineStr">
        <is>
          <t>ACB Link</t>
        </is>
      </c>
      <c r="E16220" s="3" t="inlineStr">
        <is>
          <t>Subscriptions - TPN</t>
        </is>
      </c>
      <c r="F16220" s="3" t="n">
        <v>4406.23</v>
      </c>
      <c r="G16220" s="3" t="n">
        <v>4406.23</v>
      </c>
    </row>
    <row r="16221">
      <c r="A16221" s="3" t="inlineStr">
        <is>
          <t>Trademark Holdings (Pty) Ltd</t>
        </is>
      </c>
      <c r="B16221" s="4" t="n">
        <v>45199</v>
      </c>
      <c r="C16221" s="3" t="inlineStr">
        <is>
          <t>Liabilities</t>
        </is>
      </c>
      <c r="D16221" s="3" t="inlineStr">
        <is>
          <t>B/S</t>
        </is>
      </c>
      <c r="E16221" s="3" t="inlineStr">
        <is>
          <t>Taxation Payable</t>
        </is>
      </c>
      <c r="F16221" s="3" t="n">
        <v>0</v>
      </c>
      <c r="G16221" s="3" t="n">
        <v>1722</v>
      </c>
    </row>
    <row r="16222">
      <c r="A16222" s="3" t="inlineStr">
        <is>
          <t>Quinate Consulting (Pty) Ltd</t>
        </is>
      </c>
      <c r="B16222" s="4" t="n">
        <v>45199</v>
      </c>
      <c r="C16222" s="3" t="inlineStr">
        <is>
          <t>Liabilities</t>
        </is>
      </c>
      <c r="D16222" s="3" t="inlineStr">
        <is>
          <t xml:space="preserve">B/S </t>
        </is>
      </c>
      <c r="E16222" s="3" t="inlineStr">
        <is>
          <t>Taxation Payable</t>
        </is>
      </c>
      <c r="F16222" s="3" t="n">
        <v>0</v>
      </c>
      <c r="G16222" s="3" t="n">
        <v>-15486</v>
      </c>
    </row>
    <row r="16223">
      <c r="A16223" s="3" t="inlineStr">
        <is>
          <t>Quinate Consulting (Pty) Ltd</t>
        </is>
      </c>
      <c r="B16223" s="4" t="n">
        <v>45199</v>
      </c>
      <c r="C16223" s="3" t="inlineStr">
        <is>
          <t>Liabilities</t>
        </is>
      </c>
      <c r="D16223" s="3" t="inlineStr">
        <is>
          <t>FV</t>
        </is>
      </c>
      <c r="E16223" s="3" t="inlineStr">
        <is>
          <t>Loan - Cape Projects Constuction</t>
        </is>
      </c>
      <c r="F16223" s="3" t="n">
        <v>-165000</v>
      </c>
      <c r="G16223" s="3" t="n">
        <v>-7801187.4</v>
      </c>
    </row>
    <row r="16224">
      <c r="A16224" s="3" t="inlineStr">
        <is>
          <t>Quinate Consulting (Pty) Ltd</t>
        </is>
      </c>
      <c r="B16224" s="4" t="n">
        <v>45199</v>
      </c>
      <c r="C16224" s="3" t="inlineStr">
        <is>
          <t>Liabilities</t>
        </is>
      </c>
      <c r="D16224" s="3" t="inlineStr">
        <is>
          <t>Sharehold OppDev</t>
        </is>
      </c>
      <c r="E16224" s="3" t="inlineStr">
        <is>
          <t>Loan - Justine Morgan</t>
        </is>
      </c>
      <c r="F16224" s="3" t="n">
        <v>0</v>
      </c>
      <c r="G16224" s="3" t="n">
        <v>-563766.76</v>
      </c>
    </row>
    <row r="16225">
      <c r="A16225" s="3" t="inlineStr">
        <is>
          <t>Opportunity Global Sales (PTY) LTD</t>
        </is>
      </c>
      <c r="B16225" s="4" t="n">
        <v>45230</v>
      </c>
      <c r="C16225" s="3" t="inlineStr">
        <is>
          <t>Revenue</t>
        </is>
      </c>
      <c r="D16225" s="3" t="inlineStr">
        <is>
          <t>1000/009</t>
        </is>
      </c>
      <c r="E16225" s="3" t="inlineStr">
        <is>
          <t>Sales - Comm on Payprop</t>
        </is>
      </c>
      <c r="F16225" s="3" t="n">
        <v>-17731.02</v>
      </c>
      <c r="G16225" s="3" t="n">
        <v>-113509.75</v>
      </c>
    </row>
    <row r="16226">
      <c r="A16226" s="3" t="inlineStr">
        <is>
          <t>Quinate Consulting (Pty) Ltd</t>
        </is>
      </c>
      <c r="B16226" s="4" t="n">
        <v>45230</v>
      </c>
      <c r="C16226" s="3" t="inlineStr">
        <is>
          <t>Revenue</t>
        </is>
      </c>
      <c r="D16226" s="3" t="inlineStr">
        <is>
          <t>1000/011</t>
        </is>
      </c>
      <c r="E16226" s="3" t="inlineStr">
        <is>
          <t>Rent Received - Soho Unit 23</t>
        </is>
      </c>
      <c r="F16226" s="3" t="n">
        <v>-12500</v>
      </c>
      <c r="G16226" s="3" t="n">
        <v>-100000</v>
      </c>
    </row>
    <row r="16227">
      <c r="A16227" s="3" t="inlineStr">
        <is>
          <t>Quinate Consulting (Pty) Ltd</t>
        </is>
      </c>
      <c r="B16227" s="4" t="n">
        <v>45230</v>
      </c>
      <c r="C16227" s="3" t="inlineStr">
        <is>
          <t>Revenue</t>
        </is>
      </c>
      <c r="D16227" s="3" t="inlineStr">
        <is>
          <t>1000/012</t>
        </is>
      </c>
      <c r="E16227" s="3" t="inlineStr">
        <is>
          <t>Rent Received - Soho Unit 24</t>
        </is>
      </c>
      <c r="F16227" s="3" t="n">
        <v>-14445</v>
      </c>
      <c r="G16227" s="3" t="n">
        <v>-115560</v>
      </c>
    </row>
    <row r="16228">
      <c r="A16228" s="3" t="inlineStr">
        <is>
          <t>Quinate Consulting (Pty) Ltd</t>
        </is>
      </c>
      <c r="B16228" s="4" t="n">
        <v>45230</v>
      </c>
      <c r="C16228" s="3" t="inlineStr">
        <is>
          <t>Revenue</t>
        </is>
      </c>
      <c r="D16228" s="3" t="inlineStr">
        <is>
          <t>1000/013</t>
        </is>
      </c>
      <c r="E16228" s="3" t="inlineStr">
        <is>
          <t>Rent Recieved - Soho Unit 20</t>
        </is>
      </c>
      <c r="F16228" s="3" t="n">
        <v>-12500</v>
      </c>
      <c r="G16228" s="3" t="n">
        <v>-100000</v>
      </c>
    </row>
    <row r="16229">
      <c r="A16229" s="3" t="inlineStr">
        <is>
          <t>Quinate Consulting (Pty) Ltd</t>
        </is>
      </c>
      <c r="B16229" s="4" t="n">
        <v>45230</v>
      </c>
      <c r="C16229" s="3" t="inlineStr">
        <is>
          <t>Revenue</t>
        </is>
      </c>
      <c r="D16229" s="3" t="inlineStr">
        <is>
          <t>1000/015</t>
        </is>
      </c>
      <c r="E16229" s="3" t="inlineStr">
        <is>
          <t>Rent Received - Southwark Unit 1</t>
        </is>
      </c>
      <c r="F16229" s="3" t="n">
        <v>-11500</v>
      </c>
      <c r="G16229" s="3" t="n">
        <v>-46000</v>
      </c>
    </row>
    <row r="16230">
      <c r="A16230" s="3" t="inlineStr">
        <is>
          <t>Quinate Consulting (Pty) Ltd</t>
        </is>
      </c>
      <c r="B16230" s="4" t="n">
        <v>45230</v>
      </c>
      <c r="C16230" s="3" t="inlineStr">
        <is>
          <t>Revenue</t>
        </is>
      </c>
      <c r="D16230" s="3" t="inlineStr">
        <is>
          <t>1000/016</t>
        </is>
      </c>
      <c r="E16230" s="3" t="inlineStr">
        <is>
          <t>Rent Recieved - Southwark Unit 21</t>
        </is>
      </c>
      <c r="F16230" s="3" t="n">
        <v>-10000</v>
      </c>
      <c r="G16230" s="3" t="n">
        <v>-81000</v>
      </c>
    </row>
    <row r="16231">
      <c r="A16231" s="3" t="inlineStr">
        <is>
          <t>Opportunity Global Sales (PTY) LTD</t>
        </is>
      </c>
      <c r="B16231" s="4" t="n">
        <v>45230</v>
      </c>
      <c r="C16231" s="3" t="inlineStr">
        <is>
          <t>Revenue</t>
        </is>
      </c>
      <c r="D16231" s="3" t="inlineStr">
        <is>
          <t>1000/100</t>
        </is>
      </c>
      <c r="E16231" s="3" t="inlineStr">
        <is>
          <t>Sales - Comm on External Sales</t>
        </is>
      </c>
      <c r="F16231" s="3" t="n">
        <v>-54355</v>
      </c>
      <c r="G16231" s="3" t="n">
        <v>-159137.61</v>
      </c>
    </row>
    <row r="16232">
      <c r="A16232" s="3" t="inlineStr">
        <is>
          <t>Noble Shield (Pty) Ltd ta Go Letting</t>
        </is>
      </c>
      <c r="B16232" s="4" t="n">
        <v>45230</v>
      </c>
      <c r="C16232" s="3" t="inlineStr">
        <is>
          <t>Revenue</t>
        </is>
      </c>
      <c r="D16232" s="3" t="inlineStr">
        <is>
          <t>1000/100</t>
        </is>
      </c>
      <c r="E16232" s="3" t="inlineStr">
        <is>
          <t>Sales - Payprop 328 - Michelle</t>
        </is>
      </c>
      <c r="F16232" s="3" t="n">
        <v>-86309.09</v>
      </c>
      <c r="G16232" s="3" t="n">
        <v>-269477.12</v>
      </c>
    </row>
    <row r="16233">
      <c r="A16233" s="3" t="inlineStr">
        <is>
          <t>Opportunity Global Sales (PTY) LTD</t>
        </is>
      </c>
      <c r="B16233" s="4" t="n">
        <v>45230</v>
      </c>
      <c r="C16233" s="3" t="inlineStr">
        <is>
          <t>Revenue</t>
        </is>
      </c>
      <c r="D16233" s="3" t="inlineStr">
        <is>
          <t>1000/120</t>
        </is>
      </c>
      <c r="E16233" s="3" t="inlineStr">
        <is>
          <t>Sales - Admin Fees on Rental Units</t>
        </is>
      </c>
      <c r="F16233" s="3" t="n">
        <v>-9130.450000000001</v>
      </c>
      <c r="G16233" s="3" t="n">
        <v>-43108.65</v>
      </c>
    </row>
    <row r="16234">
      <c r="A16234" s="3" t="inlineStr">
        <is>
          <t>Opportunity Global Sales (PTY) LTD</t>
        </is>
      </c>
      <c r="B16234" s="4" t="n">
        <v>45230</v>
      </c>
      <c r="C16234" s="3" t="inlineStr">
        <is>
          <t>Revenue</t>
        </is>
      </c>
      <c r="D16234" s="3" t="inlineStr">
        <is>
          <t>1000/121</t>
        </is>
      </c>
      <c r="E16234" s="3" t="inlineStr">
        <is>
          <t>Sales - Admin Fees on Rental Units Endulini</t>
        </is>
      </c>
      <c r="F16234" s="3" t="n">
        <v>0</v>
      </c>
      <c r="G16234" s="3" t="n">
        <v>-434.78</v>
      </c>
    </row>
    <row r="16235">
      <c r="A16235" s="3" t="inlineStr">
        <is>
          <t>Opportunity Global Sales (PTY) LTD</t>
        </is>
      </c>
      <c r="B16235" s="4" t="n">
        <v>45230</v>
      </c>
      <c r="C16235" s="3" t="inlineStr">
        <is>
          <t>Revenue</t>
        </is>
      </c>
      <c r="D16235" s="3" t="inlineStr">
        <is>
          <t>1000/122</t>
        </is>
      </c>
      <c r="E16235" s="3" t="inlineStr">
        <is>
          <t>Sales - Admin Fees on Rental Units Heron Fields</t>
        </is>
      </c>
      <c r="F16235" s="3" t="n">
        <v>0</v>
      </c>
      <c r="G16235" s="3" t="n">
        <v>-5652.2</v>
      </c>
    </row>
    <row r="16236">
      <c r="A16236" s="3" t="inlineStr">
        <is>
          <t>Opportunity Global Sales (PTY) LTD</t>
        </is>
      </c>
      <c r="B16236" s="4" t="n">
        <v>45230</v>
      </c>
      <c r="C16236" s="3" t="inlineStr">
        <is>
          <t>Revenue</t>
        </is>
      </c>
      <c r="D16236" s="3" t="inlineStr">
        <is>
          <t>1000/150</t>
        </is>
      </c>
      <c r="E16236" s="3" t="inlineStr">
        <is>
          <t>Sales - Comm on External Rental</t>
        </is>
      </c>
      <c r="F16236" s="3" t="n">
        <v>-67826.03999999999</v>
      </c>
      <c r="G16236" s="3" t="n">
        <v>-381012.91</v>
      </c>
    </row>
    <row r="16237">
      <c r="A16237" s="3" t="inlineStr">
        <is>
          <t>Opportunity Global Sales (PTY) LTD</t>
        </is>
      </c>
      <c r="B16237" s="4" t="n">
        <v>45230</v>
      </c>
      <c r="C16237" s="3" t="inlineStr">
        <is>
          <t>Revenue</t>
        </is>
      </c>
      <c r="D16237" s="3" t="inlineStr">
        <is>
          <t>1000/250</t>
        </is>
      </c>
      <c r="E16237" s="3" t="inlineStr">
        <is>
          <t>Sales - Comm on Endulini</t>
        </is>
      </c>
      <c r="F16237" s="3" t="n">
        <v>0</v>
      </c>
      <c r="G16237" s="3" t="n">
        <v>-68256.52</v>
      </c>
    </row>
    <row r="16238">
      <c r="A16238" s="3" t="inlineStr">
        <is>
          <t>Opportunity Global Sales (PTY) LTD</t>
        </is>
      </c>
      <c r="B16238" s="4" t="n">
        <v>45230</v>
      </c>
      <c r="C16238" s="3" t="inlineStr">
        <is>
          <t>Revenue</t>
        </is>
      </c>
      <c r="D16238" s="3" t="inlineStr">
        <is>
          <t>1000/300</t>
        </is>
      </c>
      <c r="E16238" s="3" t="inlineStr">
        <is>
          <t>Sales - Comm on Heron Fields</t>
        </is>
      </c>
      <c r="F16238" s="3" t="n">
        <v>-66082.61</v>
      </c>
      <c r="G16238" s="3" t="n">
        <v>-1340039.14</v>
      </c>
    </row>
    <row r="16239">
      <c r="A16239" s="3" t="inlineStr">
        <is>
          <t>Trademark Holdings (Pty) Ltd</t>
        </is>
      </c>
      <c r="B16239" s="4" t="n">
        <v>45230</v>
      </c>
      <c r="C16239" s="3" t="inlineStr">
        <is>
          <t>Revenue</t>
        </is>
      </c>
      <c r="D16239" s="3" t="inlineStr">
        <is>
          <t>1000/300</t>
        </is>
      </c>
      <c r="E16239" s="3" t="inlineStr">
        <is>
          <t>Sales - Payprop - Lara</t>
        </is>
      </c>
      <c r="F16239" s="3" t="n">
        <v>-88383.67999999999</v>
      </c>
      <c r="G16239" s="3" t="n">
        <v>-308095.27</v>
      </c>
    </row>
    <row r="16240">
      <c r="A16240" s="3" t="inlineStr">
        <is>
          <t>Opportunity Global Investment (PTY) LTD</t>
        </is>
      </c>
      <c r="B16240" s="4" t="n">
        <v>45230</v>
      </c>
      <c r="C16240" s="3" t="inlineStr">
        <is>
          <t>Revenue</t>
        </is>
      </c>
      <c r="D16240" s="3" t="inlineStr">
        <is>
          <t>1000/360</t>
        </is>
      </c>
      <c r="E16240" s="3" t="inlineStr">
        <is>
          <t>Sales - Investor Management - Heron View</t>
        </is>
      </c>
      <c r="F16240" s="3" t="n">
        <v>0</v>
      </c>
      <c r="G16240" s="3" t="n">
        <v>-1826086.96</v>
      </c>
    </row>
    <row r="16241">
      <c r="A16241" s="3" t="inlineStr">
        <is>
          <t>Opportunity Global Sales (PTY) LTD</t>
        </is>
      </c>
      <c r="B16241" s="4" t="n">
        <v>45230</v>
      </c>
      <c r="C16241" s="3" t="inlineStr">
        <is>
          <t>Revenue</t>
        </is>
      </c>
      <c r="D16241" s="3" t="inlineStr">
        <is>
          <t>1000/400</t>
        </is>
      </c>
      <c r="E16241" s="3" t="inlineStr">
        <is>
          <t>Sales - Commission on Heron View</t>
        </is>
      </c>
      <c r="F16241" s="3" t="n">
        <v>0</v>
      </c>
      <c r="G16241" s="3" t="n">
        <v>-997765.1800000001</v>
      </c>
    </row>
    <row r="16242">
      <c r="A16242" s="3" t="inlineStr">
        <is>
          <t>Noble Shield (Pty) Ltd ta Go Letting</t>
        </is>
      </c>
      <c r="B16242" s="4" t="n">
        <v>45230</v>
      </c>
      <c r="C16242" s="3" t="inlineStr">
        <is>
          <t>Revenue</t>
        </is>
      </c>
      <c r="D16242" s="3" t="inlineStr">
        <is>
          <t>1000/420</t>
        </is>
      </c>
      <c r="E16242" s="3" t="inlineStr">
        <is>
          <t>Sales - Commission Received - External</t>
        </is>
      </c>
      <c r="F16242" s="3" t="n">
        <v>-40000</v>
      </c>
      <c r="G16242" s="3" t="n">
        <v>-40000</v>
      </c>
    </row>
    <row r="16243">
      <c r="A16243" s="3" t="inlineStr">
        <is>
          <t>Trademark Holdings (Pty) Ltd</t>
        </is>
      </c>
      <c r="B16243" s="4" t="n">
        <v>45230</v>
      </c>
      <c r="C16243" s="3" t="inlineStr">
        <is>
          <t>Revenue</t>
        </is>
      </c>
      <c r="D16243" s="3" t="inlineStr">
        <is>
          <t>1000/500</t>
        </is>
      </c>
      <c r="E16243" s="3" t="inlineStr">
        <is>
          <t>Sales - Commission external sale</t>
        </is>
      </c>
      <c r="F16243" s="3" t="n">
        <v>-50000</v>
      </c>
      <c r="G16243" s="3" t="n">
        <v>-50000</v>
      </c>
    </row>
    <row r="16244">
      <c r="A16244" s="3" t="inlineStr">
        <is>
          <t>Quinate Consulting (Pty) Ltd</t>
        </is>
      </c>
      <c r="B16244" s="4" t="n">
        <v>45230</v>
      </c>
      <c r="C16244" s="3" t="inlineStr">
        <is>
          <t>Revenue</t>
        </is>
      </c>
      <c r="D16244" s="3" t="inlineStr">
        <is>
          <t>1002/200</t>
        </is>
      </c>
      <c r="E16244" s="3" t="inlineStr">
        <is>
          <t>Sales - Vodacom tower</t>
        </is>
      </c>
      <c r="F16244" s="3" t="n">
        <v>-428524.8</v>
      </c>
      <c r="G16244" s="3" t="n">
        <v>-428524.8</v>
      </c>
    </row>
    <row r="16245">
      <c r="A16245" s="3" t="inlineStr">
        <is>
          <t>Quinate Consulting (Pty) Ltd</t>
        </is>
      </c>
      <c r="B16245" s="4" t="n">
        <v>45230</v>
      </c>
      <c r="C16245" s="3" t="inlineStr">
        <is>
          <t>Revenue</t>
        </is>
      </c>
      <c r="D16245" s="3" t="inlineStr">
        <is>
          <t>1004/000</t>
        </is>
      </c>
      <c r="E16245" s="3" t="inlineStr">
        <is>
          <t>Interest received</t>
        </is>
      </c>
      <c r="F16245" s="3" t="n">
        <v>0</v>
      </c>
      <c r="G16245" s="3" t="n">
        <v>-2364.24</v>
      </c>
    </row>
    <row r="16246">
      <c r="A16246" s="3" t="inlineStr">
        <is>
          <t>Quinate Consulting (Pty) Ltd</t>
        </is>
      </c>
      <c r="B16246" s="4" t="n">
        <v>45230</v>
      </c>
      <c r="C16246" s="3" t="inlineStr">
        <is>
          <t>Revenue</t>
        </is>
      </c>
      <c r="D16246" s="3" t="inlineStr">
        <is>
          <t>1006/100</t>
        </is>
      </c>
      <c r="E16246" s="3" t="inlineStr">
        <is>
          <t>Rental income - Payprop</t>
        </is>
      </c>
      <c r="F16246" s="3" t="n">
        <v>-58784.93</v>
      </c>
      <c r="G16246" s="3" t="n">
        <v>-166398.63</v>
      </c>
    </row>
    <row r="16247">
      <c r="A16247" s="3" t="inlineStr">
        <is>
          <t>Quinate Consulting (Pty) Ltd</t>
        </is>
      </c>
      <c r="B16247" s="4" t="n">
        <v>45230</v>
      </c>
      <c r="C16247" s="3" t="inlineStr">
        <is>
          <t>Revenue</t>
        </is>
      </c>
      <c r="D16247" s="3" t="inlineStr">
        <is>
          <t>1006/110</t>
        </is>
      </c>
      <c r="E16247" s="3" t="inlineStr">
        <is>
          <t>Rental Income - E201</t>
        </is>
      </c>
      <c r="F16247" s="3" t="n">
        <v>0</v>
      </c>
      <c r="G16247" s="3" t="n">
        <v>-59000</v>
      </c>
    </row>
    <row r="16248">
      <c r="A16248" s="3" t="inlineStr">
        <is>
          <t>Quinate Consulting (Pty) Ltd</t>
        </is>
      </c>
      <c r="B16248" s="4" t="n">
        <v>45230</v>
      </c>
      <c r="C16248" s="3" t="inlineStr">
        <is>
          <t>Revenue</t>
        </is>
      </c>
      <c r="D16248" s="3" t="inlineStr">
        <is>
          <t>1006/120</t>
        </is>
      </c>
      <c r="E16248" s="3" t="inlineStr">
        <is>
          <t>Rental Income - D203</t>
        </is>
      </c>
      <c r="F16248" s="3" t="n">
        <v>-9500</v>
      </c>
      <c r="G16248" s="3" t="n">
        <v>-65000</v>
      </c>
    </row>
    <row r="16249">
      <c r="A16249" s="3" t="inlineStr">
        <is>
          <t>Quinate Consulting (Pty) Ltd</t>
        </is>
      </c>
      <c r="B16249" s="4" t="n">
        <v>45230</v>
      </c>
      <c r="C16249" s="3" t="inlineStr">
        <is>
          <t>Revenue</t>
        </is>
      </c>
      <c r="D16249" s="3" t="inlineStr">
        <is>
          <t>1006/130</t>
        </is>
      </c>
      <c r="E16249" s="3" t="inlineStr">
        <is>
          <t>Rental Income - C301</t>
        </is>
      </c>
      <c r="F16249" s="3" t="n">
        <v>0</v>
      </c>
      <c r="G16249" s="3" t="n">
        <v>-19000</v>
      </c>
    </row>
    <row r="16250">
      <c r="A16250" s="3" t="inlineStr">
        <is>
          <t>Quinate Consulting (Pty) Ltd</t>
        </is>
      </c>
      <c r="B16250" s="4" t="n">
        <v>45230</v>
      </c>
      <c r="C16250" s="3" t="inlineStr">
        <is>
          <t>Revenue</t>
        </is>
      </c>
      <c r="D16250" s="3" t="inlineStr">
        <is>
          <t>1006/140</t>
        </is>
      </c>
      <c r="E16250" s="3" t="inlineStr">
        <is>
          <t>Rental Income - A108</t>
        </is>
      </c>
      <c r="F16250" s="3" t="n">
        <v>0</v>
      </c>
      <c r="G16250" s="3" t="n">
        <v>-72000</v>
      </c>
    </row>
    <row r="16251">
      <c r="A16251" s="3" t="inlineStr">
        <is>
          <t>Quinate Consulting (Pty) Ltd</t>
        </is>
      </c>
      <c r="B16251" s="4" t="n">
        <v>45230</v>
      </c>
      <c r="C16251" s="3" t="inlineStr">
        <is>
          <t>Revenue</t>
        </is>
      </c>
      <c r="D16251" s="3" t="inlineStr">
        <is>
          <t>1006/150</t>
        </is>
      </c>
      <c r="E16251" s="3" t="inlineStr">
        <is>
          <t>Rental Income - A303</t>
        </is>
      </c>
      <c r="F16251" s="3" t="n">
        <v>-18500</v>
      </c>
      <c r="G16251" s="3" t="n">
        <v>-37000</v>
      </c>
    </row>
    <row r="16252">
      <c r="A16252" s="3" t="inlineStr">
        <is>
          <t>Quinate Consulting (Pty) Ltd</t>
        </is>
      </c>
      <c r="B16252" s="4" t="n">
        <v>45230</v>
      </c>
      <c r="C16252" s="3" t="inlineStr">
        <is>
          <t>Revenue</t>
        </is>
      </c>
      <c r="D16252" s="3" t="inlineStr">
        <is>
          <t>1006/160</t>
        </is>
      </c>
      <c r="E16252" s="3" t="inlineStr">
        <is>
          <t>Rental Income - A306</t>
        </is>
      </c>
      <c r="F16252" s="3" t="n">
        <v>-9500</v>
      </c>
      <c r="G16252" s="3" t="n">
        <v>-28530</v>
      </c>
    </row>
    <row r="16253">
      <c r="A16253" s="3" t="inlineStr">
        <is>
          <t>Quinate Consulting (Pty) Ltd</t>
        </is>
      </c>
      <c r="B16253" s="4" t="n">
        <v>45230</v>
      </c>
      <c r="C16253" s="3" t="inlineStr">
        <is>
          <t>Revenue</t>
        </is>
      </c>
      <c r="D16253" s="3" t="inlineStr">
        <is>
          <t>1006/170</t>
        </is>
      </c>
      <c r="E16253" s="3" t="inlineStr">
        <is>
          <t>Rental Income - C102</t>
        </is>
      </c>
      <c r="F16253" s="3" t="n">
        <v>-13000</v>
      </c>
      <c r="G16253" s="3" t="n">
        <v>-59000</v>
      </c>
    </row>
    <row r="16254">
      <c r="A16254" s="3" t="inlineStr">
        <is>
          <t>Quinate Consulting (Pty) Ltd</t>
        </is>
      </c>
      <c r="B16254" s="4" t="n">
        <v>45230</v>
      </c>
      <c r="C16254" s="3" t="inlineStr">
        <is>
          <t>Revenue</t>
        </is>
      </c>
      <c r="D16254" s="3" t="inlineStr">
        <is>
          <t>1006/180</t>
        </is>
      </c>
      <c r="E16254" s="3" t="inlineStr">
        <is>
          <t>Rental Income - A307</t>
        </is>
      </c>
      <c r="F16254" s="3" t="n">
        <v>0</v>
      </c>
      <c r="G16254" s="3" t="n">
        <v>-37000</v>
      </c>
    </row>
    <row r="16255">
      <c r="A16255" s="3" t="inlineStr">
        <is>
          <t>Quinate Consulting (Pty) Ltd</t>
        </is>
      </c>
      <c r="B16255" s="4" t="n">
        <v>45230</v>
      </c>
      <c r="C16255" s="3" t="inlineStr">
        <is>
          <t>Revenue</t>
        </is>
      </c>
      <c r="D16255" s="3" t="inlineStr">
        <is>
          <t>1006/190</t>
        </is>
      </c>
      <c r="E16255" s="3" t="inlineStr">
        <is>
          <t>Rental Income - A209</t>
        </is>
      </c>
      <c r="F16255" s="3" t="n">
        <v>-9250</v>
      </c>
      <c r="G16255" s="3" t="n">
        <v>-73739.12</v>
      </c>
    </row>
    <row r="16256">
      <c r="A16256" s="3" t="inlineStr">
        <is>
          <t>Endulini (Pty) Ltd</t>
        </is>
      </c>
      <c r="B16256" s="4" t="n">
        <v>45230</v>
      </c>
      <c r="C16256" s="3" t="inlineStr">
        <is>
          <t>Revenue</t>
        </is>
      </c>
      <c r="D16256" s="3" t="inlineStr">
        <is>
          <t>1100/000</t>
        </is>
      </c>
      <c r="E16256" s="3" t="inlineStr">
        <is>
          <t>Sales - Endulini</t>
        </is>
      </c>
      <c r="F16256" s="3" t="n">
        <v>0</v>
      </c>
      <c r="G16256" s="3" t="n">
        <v>-2721565.21</v>
      </c>
    </row>
    <row r="16257">
      <c r="A16257" s="3" t="inlineStr">
        <is>
          <t>Opportunity Management Holdings (PTY) LTD</t>
        </is>
      </c>
      <c r="B16257" s="4" t="n">
        <v>45230</v>
      </c>
      <c r="C16257" s="3" t="inlineStr">
        <is>
          <t>Revenue</t>
        </is>
      </c>
      <c r="D16257" s="3" t="inlineStr">
        <is>
          <t>1100/001</t>
        </is>
      </c>
      <c r="E16257" s="3" t="inlineStr">
        <is>
          <t>Salary Recharges</t>
        </is>
      </c>
      <c r="F16257" s="3" t="n">
        <v>-330920</v>
      </c>
      <c r="G16257" s="3" t="n">
        <v>-685640.26</v>
      </c>
    </row>
    <row r="16258">
      <c r="A16258" s="3" t="inlineStr">
        <is>
          <t>Endulini (Pty) Ltd</t>
        </is>
      </c>
      <c r="B16258" s="4" t="n">
        <v>45230</v>
      </c>
      <c r="C16258" s="3" t="inlineStr">
        <is>
          <t>Revenue</t>
        </is>
      </c>
      <c r="D16258" s="3" t="inlineStr">
        <is>
          <t>1100/200</t>
        </is>
      </c>
      <c r="E16258" s="3" t="inlineStr">
        <is>
          <t>Sales - Endulini occupational rent</t>
        </is>
      </c>
      <c r="F16258" s="3" t="n">
        <v>0</v>
      </c>
      <c r="G16258" s="3" t="n">
        <v>3303.6</v>
      </c>
    </row>
    <row r="16259">
      <c r="A16259" s="3" t="inlineStr">
        <is>
          <t>Endulini (Pty) Ltd</t>
        </is>
      </c>
      <c r="B16259" s="4" t="n">
        <v>45230</v>
      </c>
      <c r="C16259" s="3" t="inlineStr">
        <is>
          <t>Expenses</t>
        </is>
      </c>
      <c r="D16259" s="3" t="inlineStr">
        <is>
          <t>2000/001</t>
        </is>
      </c>
      <c r="E16259" s="3" t="inlineStr">
        <is>
          <t>COS - CIP Construction</t>
        </is>
      </c>
      <c r="F16259" s="3" t="n">
        <v>0</v>
      </c>
      <c r="G16259" s="3" t="n">
        <v>2000</v>
      </c>
    </row>
    <row r="16260">
      <c r="A16260" s="3" t="inlineStr">
        <is>
          <t>Quinate Consulting (Pty) Ltd</t>
        </is>
      </c>
      <c r="B16260" s="4" t="n">
        <v>45230</v>
      </c>
      <c r="C16260" s="3" t="inlineStr">
        <is>
          <t>Expenses</t>
        </is>
      </c>
      <c r="D16260" s="3" t="inlineStr">
        <is>
          <t>2000/009</t>
        </is>
      </c>
      <c r="E16260" s="3" t="inlineStr">
        <is>
          <t>COS - Admin fees</t>
        </is>
      </c>
      <c r="F16260" s="3" t="n">
        <v>0</v>
      </c>
      <c r="G16260" s="3" t="n">
        <v>869.5700000000001</v>
      </c>
    </row>
    <row r="16261">
      <c r="A16261" s="3" t="inlineStr">
        <is>
          <t>Opportunity Global Sales (PTY) LTD</t>
        </is>
      </c>
      <c r="B16261" s="4" t="n">
        <v>45230</v>
      </c>
      <c r="C16261" s="3" t="inlineStr">
        <is>
          <t>Expenses</t>
        </is>
      </c>
      <c r="D16261" s="3" t="inlineStr">
        <is>
          <t>2000/010</t>
        </is>
      </c>
      <c r="E16261" s="3" t="inlineStr">
        <is>
          <t>COS - PAYE on Commission</t>
        </is>
      </c>
      <c r="F16261" s="3" t="n">
        <v>24078.94</v>
      </c>
      <c r="G16261" s="3" t="n">
        <v>216365.67</v>
      </c>
    </row>
    <row r="16262">
      <c r="A16262" s="3" t="inlineStr">
        <is>
          <t>Quinate Consulting (Pty) Ltd</t>
        </is>
      </c>
      <c r="B16262" s="4" t="n">
        <v>45230</v>
      </c>
      <c r="C16262" s="3" t="inlineStr">
        <is>
          <t>Expenses</t>
        </is>
      </c>
      <c r="D16262" s="3" t="inlineStr">
        <is>
          <t>2000/060</t>
        </is>
      </c>
      <c r="E16262" s="3" t="inlineStr">
        <is>
          <t>COS - Commission Endulini</t>
        </is>
      </c>
      <c r="F16262" s="3" t="n">
        <v>1126.08</v>
      </c>
      <c r="G16262" s="3" t="n">
        <v>11382.61</v>
      </c>
    </row>
    <row r="16263">
      <c r="A16263" s="3" t="inlineStr">
        <is>
          <t>Endulini (Pty) Ltd</t>
        </is>
      </c>
      <c r="B16263" s="4" t="n">
        <v>45230</v>
      </c>
      <c r="C16263" s="3" t="inlineStr">
        <is>
          <t>Expenses</t>
        </is>
      </c>
      <c r="D16263" s="3" t="inlineStr">
        <is>
          <t>2000/100</t>
        </is>
      </c>
      <c r="E16263" s="3" t="inlineStr">
        <is>
          <t>COS - Commission Endulini</t>
        </is>
      </c>
      <c r="F16263" s="3" t="n">
        <v>0</v>
      </c>
      <c r="G16263" s="3" t="n">
        <v>136078.26</v>
      </c>
    </row>
    <row r="16264">
      <c r="A16264" s="3" t="inlineStr">
        <is>
          <t>Noble Shield (Pty) Ltd ta Go Letting</t>
        </is>
      </c>
      <c r="B16264" s="4" t="n">
        <v>45230</v>
      </c>
      <c r="C16264" s="3" t="inlineStr">
        <is>
          <t>Expenses</t>
        </is>
      </c>
      <c r="D16264" s="3" t="inlineStr">
        <is>
          <t>2000/100</t>
        </is>
      </c>
      <c r="E16264" s="3" t="inlineStr">
        <is>
          <t>COS - Commission Paid</t>
        </is>
      </c>
      <c r="F16264" s="3" t="n">
        <v>15958.63</v>
      </c>
      <c r="G16264" s="3" t="n">
        <v>30233.64</v>
      </c>
    </row>
    <row r="16265">
      <c r="A16265" s="3" t="inlineStr">
        <is>
          <t>Opportunity Global Sales (PTY) LTD</t>
        </is>
      </c>
      <c r="B16265" s="4" t="n">
        <v>45230</v>
      </c>
      <c r="C16265" s="3" t="inlineStr">
        <is>
          <t>Expenses</t>
        </is>
      </c>
      <c r="D16265" s="3" t="inlineStr">
        <is>
          <t>2000/125</t>
        </is>
      </c>
      <c r="E16265" s="3" t="inlineStr">
        <is>
          <t>Commission Paid - Referal commission</t>
        </is>
      </c>
      <c r="F16265" s="3" t="n">
        <v>1000</v>
      </c>
      <c r="G16265" s="3" t="n">
        <v>75342.61</v>
      </c>
    </row>
    <row r="16266">
      <c r="A16266" s="3" t="inlineStr">
        <is>
          <t>Opportunity Global Sales (PTY) LTD</t>
        </is>
      </c>
      <c r="B16266" s="4" t="n">
        <v>45230</v>
      </c>
      <c r="C16266" s="3" t="inlineStr">
        <is>
          <t>Expenses</t>
        </is>
      </c>
      <c r="D16266" s="3" t="inlineStr">
        <is>
          <t>2000/135</t>
        </is>
      </c>
      <c r="E16266" s="3" t="inlineStr">
        <is>
          <t>COS - Sales Comm External - Minette</t>
        </is>
      </c>
      <c r="F16266" s="3" t="n">
        <v>0</v>
      </c>
      <c r="G16266" s="3" t="n">
        <v>41739.13</v>
      </c>
    </row>
    <row r="16267">
      <c r="A16267" s="3" t="inlineStr">
        <is>
          <t>Opportunity Global Investment (PTY) LTD</t>
        </is>
      </c>
      <c r="B16267" s="4" t="n">
        <v>45230</v>
      </c>
      <c r="C16267" s="3" t="inlineStr">
        <is>
          <t>Expenses</t>
        </is>
      </c>
      <c r="D16267" s="3" t="inlineStr">
        <is>
          <t>2000/135</t>
        </is>
      </c>
      <c r="E16267" s="3" t="inlineStr">
        <is>
          <t>Referral commission - Heron View</t>
        </is>
      </c>
      <c r="F16267" s="3" t="n">
        <v>0</v>
      </c>
      <c r="G16267" s="3" t="n">
        <v>8731.209999999999</v>
      </c>
    </row>
    <row r="16268">
      <c r="A16268" s="3" t="inlineStr">
        <is>
          <t>Opportunity Global Sales (PTY) LTD</t>
        </is>
      </c>
      <c r="B16268" s="4" t="n">
        <v>45230</v>
      </c>
      <c r="C16268" s="3" t="inlineStr">
        <is>
          <t>Expenses</t>
        </is>
      </c>
      <c r="D16268" s="3" t="inlineStr">
        <is>
          <t>2000/137</t>
        </is>
      </c>
      <c r="E16268" s="3" t="inlineStr">
        <is>
          <t>COS - Rental Comm External - Minette</t>
        </is>
      </c>
      <c r="F16268" s="3" t="n">
        <v>37078.27</v>
      </c>
      <c r="G16268" s="3" t="n">
        <v>160712.63</v>
      </c>
    </row>
    <row r="16269">
      <c r="A16269" s="3" t="inlineStr">
        <is>
          <t>Opportunity Global Sales (PTY) LTD</t>
        </is>
      </c>
      <c r="B16269" s="4" t="n">
        <v>45230</v>
      </c>
      <c r="C16269" s="3" t="inlineStr">
        <is>
          <t>Expenses</t>
        </is>
      </c>
      <c r="D16269" s="3" t="inlineStr">
        <is>
          <t>2000/139</t>
        </is>
      </c>
      <c r="E16269" s="3" t="inlineStr">
        <is>
          <t>COS - Sales Comm Heron Fields - Minette</t>
        </is>
      </c>
      <c r="F16269" s="3" t="n">
        <v>0</v>
      </c>
      <c r="G16269" s="3" t="n">
        <v>68099.48</v>
      </c>
    </row>
    <row r="16270">
      <c r="A16270" s="3" t="inlineStr">
        <is>
          <t>Opportunity Global Investment (PTY) LTD</t>
        </is>
      </c>
      <c r="B16270" s="4" t="n">
        <v>45230</v>
      </c>
      <c r="C16270" s="3" t="inlineStr">
        <is>
          <t>Expenses</t>
        </is>
      </c>
      <c r="D16270" s="3" t="inlineStr">
        <is>
          <t>2000/140</t>
        </is>
      </c>
      <c r="E16270" s="3" t="inlineStr">
        <is>
          <t>Referral commission - F Geldenhuys</t>
        </is>
      </c>
      <c r="F16270" s="3" t="n">
        <v>22800</v>
      </c>
      <c r="G16270" s="3" t="n">
        <v>89400</v>
      </c>
    </row>
    <row r="16271">
      <c r="A16271" s="3" t="inlineStr">
        <is>
          <t>Opportunity Global Investment (PTY) LTD</t>
        </is>
      </c>
      <c r="B16271" s="4" t="n">
        <v>45230</v>
      </c>
      <c r="C16271" s="3" t="inlineStr">
        <is>
          <t>Expenses</t>
        </is>
      </c>
      <c r="D16271" s="3" t="inlineStr">
        <is>
          <t>2000/145</t>
        </is>
      </c>
      <c r="E16271" s="3" t="inlineStr">
        <is>
          <t>Referral commission - W Thomason</t>
        </is>
      </c>
      <c r="F16271" s="3" t="n">
        <v>0</v>
      </c>
      <c r="G16271" s="3" t="n">
        <v>12000</v>
      </c>
    </row>
    <row r="16272">
      <c r="A16272" s="3" t="inlineStr">
        <is>
          <t>Opportunity Global Sales (PTY) LTD</t>
        </is>
      </c>
      <c r="B16272" s="4" t="n">
        <v>45230</v>
      </c>
      <c r="C16272" s="3" t="inlineStr">
        <is>
          <t>Expenses</t>
        </is>
      </c>
      <c r="D16272" s="3" t="inlineStr">
        <is>
          <t>2000/147</t>
        </is>
      </c>
      <c r="E16272" s="3" t="inlineStr">
        <is>
          <t>COS - Sales Comm Heron Fields - Yvette</t>
        </is>
      </c>
      <c r="F16272" s="3" t="n">
        <v>10195.81</v>
      </c>
      <c r="G16272" s="3" t="n">
        <v>185656.48</v>
      </c>
    </row>
    <row r="16273">
      <c r="A16273" s="3" t="inlineStr">
        <is>
          <t>Endulini (Pty) Ltd</t>
        </is>
      </c>
      <c r="B16273" s="4" t="n">
        <v>45230</v>
      </c>
      <c r="C16273" s="3" t="inlineStr">
        <is>
          <t>Expenses</t>
        </is>
      </c>
      <c r="D16273" s="3" t="inlineStr">
        <is>
          <t>2000/150</t>
        </is>
      </c>
      <c r="E16273" s="3" t="inlineStr">
        <is>
          <t>COS - Levies special agreement</t>
        </is>
      </c>
      <c r="F16273" s="3" t="n">
        <v>8762.940000000001</v>
      </c>
      <c r="G16273" s="3" t="n">
        <v>63244.89</v>
      </c>
    </row>
    <row r="16274">
      <c r="A16274" s="3" t="inlineStr">
        <is>
          <t>Opportunity Global Sales (PTY) LTD</t>
        </is>
      </c>
      <c r="B16274" s="4" t="n">
        <v>45230</v>
      </c>
      <c r="C16274" s="3" t="inlineStr">
        <is>
          <t>Expenses</t>
        </is>
      </c>
      <c r="D16274" s="3" t="inlineStr">
        <is>
          <t>2000/160</t>
        </is>
      </c>
      <c r="E16274" s="3" t="inlineStr">
        <is>
          <t>COS - Sales Comm Heron View - Minette</t>
        </is>
      </c>
      <c r="F16274" s="3" t="n">
        <v>33737.04</v>
      </c>
      <c r="G16274" s="3" t="n">
        <v>300224.68</v>
      </c>
    </row>
    <row r="16275">
      <c r="A16275" s="3" t="inlineStr">
        <is>
          <t>Opportunity Global Sales (PTY) LTD</t>
        </is>
      </c>
      <c r="B16275" s="4" t="n">
        <v>45230</v>
      </c>
      <c r="C16275" s="3" t="inlineStr">
        <is>
          <t>Expenses</t>
        </is>
      </c>
      <c r="D16275" s="3" t="inlineStr">
        <is>
          <t>2000/162</t>
        </is>
      </c>
      <c r="E16275" s="3" t="inlineStr">
        <is>
          <t>COS - Sales Comm Heron View - Yvette</t>
        </is>
      </c>
      <c r="F16275" s="3" t="n">
        <v>12049.72</v>
      </c>
      <c r="G16275" s="3" t="n">
        <v>134472.15</v>
      </c>
    </row>
    <row r="16276">
      <c r="A16276" s="3" t="inlineStr">
        <is>
          <t>Opportunity Global Sales (PTY) LTD</t>
        </is>
      </c>
      <c r="B16276" s="4" t="n">
        <v>45230</v>
      </c>
      <c r="C16276" s="3" t="inlineStr">
        <is>
          <t>Expenses</t>
        </is>
      </c>
      <c r="D16276" s="3" t="inlineStr">
        <is>
          <t>2000/165</t>
        </is>
      </c>
      <c r="E16276" s="3" t="inlineStr">
        <is>
          <t>COS - Sales Comm External - Yvette</t>
        </is>
      </c>
      <c r="F16276" s="3" t="n">
        <v>5885.55</v>
      </c>
      <c r="G16276" s="3" t="n">
        <v>5885.55</v>
      </c>
    </row>
    <row r="16277">
      <c r="A16277" s="3" t="inlineStr">
        <is>
          <t>Noble Shield (Pty) Ltd ta Go Letting</t>
        </is>
      </c>
      <c r="B16277" s="4" t="n">
        <v>45230</v>
      </c>
      <c r="C16277" s="3" t="inlineStr">
        <is>
          <t>Expenses</t>
        </is>
      </c>
      <c r="D16277" s="3" t="inlineStr">
        <is>
          <t>2000/200</t>
        </is>
      </c>
      <c r="E16277" s="3" t="inlineStr">
        <is>
          <t>COS - Commission on external sales</t>
        </is>
      </c>
      <c r="F16277" s="3" t="n">
        <v>24000</v>
      </c>
      <c r="G16277" s="3" t="n">
        <v>59000</v>
      </c>
    </row>
    <row r="16278">
      <c r="A16278" s="3" t="inlineStr">
        <is>
          <t>Endulini (Pty) Ltd</t>
        </is>
      </c>
      <c r="B16278" s="4" t="n">
        <v>45230</v>
      </c>
      <c r="C16278" s="3" t="inlineStr">
        <is>
          <t>Expenses</t>
        </is>
      </c>
      <c r="D16278" s="3" t="inlineStr">
        <is>
          <t>2000/200</t>
        </is>
      </c>
      <c r="E16278" s="3" t="inlineStr">
        <is>
          <t>COS - Rates clearance</t>
        </is>
      </c>
      <c r="F16278" s="3" t="n">
        <v>16764.41</v>
      </c>
      <c r="G16278" s="3" t="n">
        <v>54789.41</v>
      </c>
    </row>
    <row r="16279">
      <c r="A16279" s="3" t="inlineStr">
        <is>
          <t>Opportunity Global Sales (PTY) LTD</t>
        </is>
      </c>
      <c r="B16279" s="4" t="n">
        <v>45230</v>
      </c>
      <c r="C16279" s="3" t="inlineStr">
        <is>
          <t>Expenses</t>
        </is>
      </c>
      <c r="D16279" s="3" t="inlineStr">
        <is>
          <t>2000/270</t>
        </is>
      </c>
      <c r="E16279" s="3" t="inlineStr">
        <is>
          <t>COS - Comm Rentals - Mario - External</t>
        </is>
      </c>
      <c r="F16279" s="3" t="n">
        <v>834.78</v>
      </c>
      <c r="G16279" s="3" t="n">
        <v>3361.78</v>
      </c>
    </row>
    <row r="16280">
      <c r="A16280" s="3" t="inlineStr">
        <is>
          <t>Opportunity Global Sales (PTY) LTD</t>
        </is>
      </c>
      <c r="B16280" s="4" t="n">
        <v>45230</v>
      </c>
      <c r="C16280" s="3" t="inlineStr">
        <is>
          <t>Expenses</t>
        </is>
      </c>
      <c r="D16280" s="3" t="inlineStr">
        <is>
          <t>2000/275</t>
        </is>
      </c>
      <c r="E16280" s="3" t="inlineStr">
        <is>
          <t>COS - Comm Rentals - Mario - Endulini</t>
        </is>
      </c>
      <c r="F16280" s="3" t="n">
        <v>451.48</v>
      </c>
      <c r="G16280" s="3" t="n">
        <v>12620.68</v>
      </c>
    </row>
    <row r="16281">
      <c r="A16281" s="3" t="inlineStr">
        <is>
          <t>Opportunity Global Sales (PTY) LTD</t>
        </is>
      </c>
      <c r="B16281" s="4" t="n">
        <v>45230</v>
      </c>
      <c r="C16281" s="3" t="inlineStr">
        <is>
          <t>Expenses</t>
        </is>
      </c>
      <c r="D16281" s="3" t="inlineStr">
        <is>
          <t>2000/280</t>
        </is>
      </c>
      <c r="E16281" s="3" t="inlineStr">
        <is>
          <t>COS - Comm Rentals - Mario - Heron Fields</t>
        </is>
      </c>
      <c r="F16281" s="3" t="n">
        <v>0</v>
      </c>
      <c r="G16281" s="3" t="n">
        <v>12320</v>
      </c>
    </row>
    <row r="16282">
      <c r="A16282" s="3" t="inlineStr">
        <is>
          <t>Trademark Holdings (Pty) Ltd</t>
        </is>
      </c>
      <c r="B16282" s="4" t="n">
        <v>45230</v>
      </c>
      <c r="C16282" s="3" t="inlineStr">
        <is>
          <t>Expenses</t>
        </is>
      </c>
      <c r="D16282" s="3" t="inlineStr">
        <is>
          <t>2000/300</t>
        </is>
      </c>
      <c r="E16282" s="3" t="inlineStr">
        <is>
          <t>COS - Commission Paid</t>
        </is>
      </c>
      <c r="F16282" s="3" t="n">
        <v>16298.07</v>
      </c>
      <c r="G16282" s="3" t="n">
        <v>32789.21</v>
      </c>
    </row>
    <row r="16283">
      <c r="A16283" s="3" t="inlineStr">
        <is>
          <t>Opportunity Global Sales (PTY) LTD</t>
        </is>
      </c>
      <c r="B16283" s="4" t="n">
        <v>45230</v>
      </c>
      <c r="C16283" s="3" t="inlineStr">
        <is>
          <t>Expenses</t>
        </is>
      </c>
      <c r="D16283" s="3" t="inlineStr">
        <is>
          <t>2000/370</t>
        </is>
      </c>
      <c r="E16283" s="3" t="inlineStr">
        <is>
          <t>COS - Overrider Comm Endulini - Morne</t>
        </is>
      </c>
      <c r="F16283" s="3" t="n">
        <v>12173.04</v>
      </c>
      <c r="G16283" s="3" t="n">
        <v>12173.04</v>
      </c>
    </row>
    <row r="16284">
      <c r="A16284" s="3" t="inlineStr">
        <is>
          <t>Opportunity Global Sales (PTY) LTD</t>
        </is>
      </c>
      <c r="B16284" s="4" t="n">
        <v>45230</v>
      </c>
      <c r="C16284" s="3" t="inlineStr">
        <is>
          <t>Expenses</t>
        </is>
      </c>
      <c r="D16284" s="3" t="inlineStr">
        <is>
          <t>2000/380</t>
        </is>
      </c>
      <c r="E16284" s="3" t="inlineStr">
        <is>
          <t>COS - Overrider Comm Heron Fields - Morne</t>
        </is>
      </c>
      <c r="F16284" s="3" t="n">
        <v>0</v>
      </c>
      <c r="G16284" s="3" t="n">
        <v>30622.7</v>
      </c>
    </row>
    <row r="16285">
      <c r="A16285" s="3" t="inlineStr">
        <is>
          <t>Opportunity Global Sales (PTY) LTD</t>
        </is>
      </c>
      <c r="B16285" s="4" t="n">
        <v>45230</v>
      </c>
      <c r="C16285" s="3" t="inlineStr">
        <is>
          <t>Expenses</t>
        </is>
      </c>
      <c r="D16285" s="3" t="inlineStr">
        <is>
          <t>2000/383</t>
        </is>
      </c>
      <c r="E16285" s="3" t="inlineStr">
        <is>
          <t>COS - Overrider Comm Heron View - Morne</t>
        </is>
      </c>
      <c r="F16285" s="3" t="n">
        <v>16964.1</v>
      </c>
      <c r="G16285" s="3" t="n">
        <v>46857.92</v>
      </c>
    </row>
    <row r="16286">
      <c r="A16286" s="3" t="inlineStr">
        <is>
          <t>Opportunity Global Sales (PTY) LTD</t>
        </is>
      </c>
      <c r="B16286" s="4" t="n">
        <v>45230</v>
      </c>
      <c r="C16286" s="3" t="inlineStr">
        <is>
          <t>Expenses</t>
        </is>
      </c>
      <c r="D16286" s="3" t="inlineStr">
        <is>
          <t>2000/390</t>
        </is>
      </c>
      <c r="E16286" s="3" t="inlineStr">
        <is>
          <t>COS - Overrider Comm External Sales - Morne</t>
        </is>
      </c>
      <c r="F16286" s="3" t="n">
        <v>538.3200000000001</v>
      </c>
      <c r="G16286" s="3" t="n">
        <v>10453.32</v>
      </c>
    </row>
    <row r="16287">
      <c r="A16287" s="3" t="inlineStr">
        <is>
          <t>Trademark Holdings (Pty) Ltd</t>
        </is>
      </c>
      <c r="B16287" s="4" t="n">
        <v>45230</v>
      </c>
      <c r="C16287" s="3" t="inlineStr">
        <is>
          <t>Expenses</t>
        </is>
      </c>
      <c r="D16287" s="3" t="inlineStr">
        <is>
          <t>2000/400</t>
        </is>
      </c>
      <c r="E16287" s="3" t="inlineStr">
        <is>
          <t>COS - Commission on external sales</t>
        </is>
      </c>
      <c r="F16287" s="3" t="n">
        <v>40000</v>
      </c>
      <c r="G16287" s="3" t="n">
        <v>115000</v>
      </c>
    </row>
    <row r="16288">
      <c r="A16288" s="3" t="inlineStr">
        <is>
          <t>Opportunity Global Sales (PTY) LTD</t>
        </is>
      </c>
      <c r="B16288" s="4" t="n">
        <v>45230</v>
      </c>
      <c r="C16288" s="3" t="inlineStr">
        <is>
          <t>Expenses</t>
        </is>
      </c>
      <c r="D16288" s="3" t="inlineStr">
        <is>
          <t>2000/550</t>
        </is>
      </c>
      <c r="E16288" s="3" t="inlineStr">
        <is>
          <t>COS - Electricity Costs Heron Fields</t>
        </is>
      </c>
      <c r="F16288" s="3" t="n">
        <v>0</v>
      </c>
      <c r="G16288" s="3" t="n">
        <v>447.83</v>
      </c>
    </row>
    <row r="16289">
      <c r="A16289" s="3" t="inlineStr">
        <is>
          <t>Opportunity Global Sales (PTY) LTD</t>
        </is>
      </c>
      <c r="B16289" s="4" t="n">
        <v>45230</v>
      </c>
      <c r="C16289" s="3" t="inlineStr">
        <is>
          <t>Expenses</t>
        </is>
      </c>
      <c r="D16289" s="3" t="inlineStr">
        <is>
          <t>2000/600</t>
        </is>
      </c>
      <c r="E16289" s="3" t="inlineStr">
        <is>
          <t>COS - Heron Fields Show House</t>
        </is>
      </c>
      <c r="F16289" s="3" t="n">
        <v>0</v>
      </c>
      <c r="G16289" s="3" t="n">
        <v>201.97</v>
      </c>
    </row>
    <row r="16290">
      <c r="A16290" s="3" t="inlineStr">
        <is>
          <t>Endulini (Pty) Ltd</t>
        </is>
      </c>
      <c r="B16290" s="4" t="n">
        <v>45230</v>
      </c>
      <c r="C16290" s="3" t="inlineStr">
        <is>
          <t>Expenses</t>
        </is>
      </c>
      <c r="D16290" s="3" t="inlineStr">
        <is>
          <t>2000/600</t>
        </is>
      </c>
      <c r="E16290" s="3" t="inlineStr">
        <is>
          <t>COS - Legal fees</t>
        </is>
      </c>
      <c r="F16290" s="3" t="n">
        <v>0</v>
      </c>
      <c r="G16290" s="3" t="n">
        <v>71531.39999999999</v>
      </c>
    </row>
    <row r="16291">
      <c r="A16291" s="3" t="inlineStr">
        <is>
          <t>Quinate Consulting (Pty) Ltd</t>
        </is>
      </c>
      <c r="B16291" s="4" t="n">
        <v>45230</v>
      </c>
      <c r="C16291" s="3" t="inlineStr">
        <is>
          <t>Expenses</t>
        </is>
      </c>
      <c r="D16291" s="3" t="inlineStr">
        <is>
          <t>2001/120</t>
        </is>
      </c>
      <c r="E16291" s="3" t="inlineStr">
        <is>
          <t>COS - Commission - South Wark</t>
        </is>
      </c>
      <c r="F16291" s="3" t="n">
        <v>0</v>
      </c>
      <c r="G16291" s="3" t="n">
        <v>-869.5700000000001</v>
      </c>
    </row>
    <row r="16292">
      <c r="A16292" s="3" t="inlineStr">
        <is>
          <t>Quinate Consulting (Pty) Ltd</t>
        </is>
      </c>
      <c r="B16292" s="4" t="n">
        <v>45230</v>
      </c>
      <c r="C16292" s="3" t="inlineStr">
        <is>
          <t>Expenses</t>
        </is>
      </c>
      <c r="D16292" s="3" t="inlineStr">
        <is>
          <t>2001/210</t>
        </is>
      </c>
      <c r="E16292" s="3" t="inlineStr">
        <is>
          <t>COS - NHBRC</t>
        </is>
      </c>
      <c r="F16292" s="3" t="n">
        <v>0</v>
      </c>
      <c r="G16292" s="3" t="n">
        <v>457.67</v>
      </c>
    </row>
    <row r="16293">
      <c r="A16293" s="3" t="inlineStr">
        <is>
          <t>Quinate Consulting (Pty) Ltd</t>
        </is>
      </c>
      <c r="B16293" s="4" t="n">
        <v>45230</v>
      </c>
      <c r="C16293" s="3" t="inlineStr">
        <is>
          <t>Expenses</t>
        </is>
      </c>
      <c r="D16293" s="3" t="inlineStr">
        <is>
          <t>2200/000</t>
        </is>
      </c>
      <c r="E16293" s="3" t="inlineStr">
        <is>
          <t>COS - C2M Certificate for transfer</t>
        </is>
      </c>
      <c r="F16293" s="3" t="n">
        <v>2000</v>
      </c>
      <c r="G16293" s="3" t="n">
        <v>2000</v>
      </c>
    </row>
    <row r="16294">
      <c r="A16294" s="3" t="inlineStr">
        <is>
          <t>Quinate Consulting (Pty) Ltd</t>
        </is>
      </c>
      <c r="B16294" s="4" t="n">
        <v>45230</v>
      </c>
      <c r="C16294" s="3" t="inlineStr">
        <is>
          <t>Revenue</t>
        </is>
      </c>
      <c r="D16294" s="3" t="inlineStr">
        <is>
          <t>2400/200</t>
        </is>
      </c>
      <c r="E16294" s="3" t="inlineStr">
        <is>
          <t>Recovery Acc - Electricity SH</t>
        </is>
      </c>
      <c r="F16294" s="3" t="n">
        <v>-31170.14</v>
      </c>
      <c r="G16294" s="3" t="n">
        <v>-220181.08</v>
      </c>
    </row>
    <row r="16295">
      <c r="A16295" s="3" t="inlineStr">
        <is>
          <t>Quinate Consulting (Pty) Ltd</t>
        </is>
      </c>
      <c r="B16295" s="4" t="n">
        <v>45230</v>
      </c>
      <c r="C16295" s="3" t="inlineStr">
        <is>
          <t>Revenue</t>
        </is>
      </c>
      <c r="D16295" s="3" t="inlineStr">
        <is>
          <t>2400/300</t>
        </is>
      </c>
      <c r="E16295" s="3" t="inlineStr">
        <is>
          <t>Recovery Account - Electricity SW</t>
        </is>
      </c>
      <c r="F16295" s="3" t="n">
        <v>-25842.41</v>
      </c>
      <c r="G16295" s="3" t="n">
        <v>-194712.86</v>
      </c>
    </row>
    <row r="16296">
      <c r="A16296" s="3" t="inlineStr">
        <is>
          <t>Endulini (Pty) Ltd</t>
        </is>
      </c>
      <c r="B16296" s="4" t="n">
        <v>45230</v>
      </c>
      <c r="C16296" s="3" t="inlineStr">
        <is>
          <t>Revenue</t>
        </is>
      </c>
      <c r="D16296" s="3" t="inlineStr">
        <is>
          <t>2750/000</t>
        </is>
      </c>
      <c r="E16296" s="3" t="inlineStr">
        <is>
          <t>Interest Received</t>
        </is>
      </c>
      <c r="F16296" s="3" t="n">
        <v>0</v>
      </c>
      <c r="G16296" s="3" t="n">
        <v>-578.91</v>
      </c>
    </row>
    <row r="16297">
      <c r="A16297" s="3" t="inlineStr">
        <is>
          <t>Opportunity Global Investment (PTY) LTD</t>
        </is>
      </c>
      <c r="B16297" s="4" t="n">
        <v>45230</v>
      </c>
      <c r="C16297" s="3" t="inlineStr">
        <is>
          <t>Revenue</t>
        </is>
      </c>
      <c r="D16297" s="3" t="inlineStr">
        <is>
          <t>2750/000</t>
        </is>
      </c>
      <c r="E16297" s="3" t="inlineStr">
        <is>
          <t>Interest Received - Bank</t>
        </is>
      </c>
      <c r="F16297" s="3" t="n">
        <v>0</v>
      </c>
      <c r="G16297" s="3" t="n">
        <v>-355.23</v>
      </c>
    </row>
    <row r="16298">
      <c r="A16298" s="3" t="inlineStr">
        <is>
          <t>Opportunity Global Sales (PTY) LTD</t>
        </is>
      </c>
      <c r="B16298" s="4" t="n">
        <v>45230</v>
      </c>
      <c r="C16298" s="3" t="inlineStr">
        <is>
          <t>Revenue</t>
        </is>
      </c>
      <c r="D16298" s="3" t="inlineStr">
        <is>
          <t>2750/000</t>
        </is>
      </c>
      <c r="E16298" s="3" t="inlineStr">
        <is>
          <t>Interest Received - Bank</t>
        </is>
      </c>
      <c r="F16298" s="3" t="n">
        <v>0</v>
      </c>
      <c r="G16298" s="3" t="n">
        <v>-18.82</v>
      </c>
    </row>
    <row r="16299">
      <c r="A16299" s="3" t="inlineStr">
        <is>
          <t>Noble Shield (Pty) Ltd ta Go Letting</t>
        </is>
      </c>
      <c r="B16299" s="4" t="n">
        <v>45230</v>
      </c>
      <c r="C16299" s="3" t="inlineStr">
        <is>
          <t>Revenue</t>
        </is>
      </c>
      <c r="D16299" s="3" t="inlineStr">
        <is>
          <t>2750/100</t>
        </is>
      </c>
      <c r="E16299" s="3" t="inlineStr">
        <is>
          <t>Interest Received - bank</t>
        </is>
      </c>
      <c r="F16299" s="3" t="n">
        <v>0</v>
      </c>
      <c r="G16299" s="3" t="n">
        <v>-0.07000000000000001</v>
      </c>
    </row>
    <row r="16300">
      <c r="A16300" s="3" t="inlineStr">
        <is>
          <t>Quinate Consulting (Pty) Ltd</t>
        </is>
      </c>
      <c r="B16300" s="4" t="n">
        <v>45230</v>
      </c>
      <c r="C16300" s="3" t="inlineStr">
        <is>
          <t>Revenue</t>
        </is>
      </c>
      <c r="D16300" s="3" t="inlineStr">
        <is>
          <t>2751/000</t>
        </is>
      </c>
      <c r="E16300" s="3" t="inlineStr">
        <is>
          <t>Interest Received - Bank</t>
        </is>
      </c>
      <c r="F16300" s="3" t="n">
        <v>-901.75</v>
      </c>
      <c r="G16300" s="3" t="n">
        <v>-4421.95</v>
      </c>
    </row>
    <row r="16301">
      <c r="A16301" s="3" t="inlineStr">
        <is>
          <t>Opportunity Global Investment (PTY) LTD</t>
        </is>
      </c>
      <c r="B16301" s="4" t="n">
        <v>45230</v>
      </c>
      <c r="C16301" s="3" t="inlineStr">
        <is>
          <t>Revenue</t>
        </is>
      </c>
      <c r="D16301" s="3" t="inlineStr">
        <is>
          <t>2753/000</t>
        </is>
      </c>
      <c r="E16301" s="3" t="inlineStr">
        <is>
          <t>Interest received - Momentum</t>
        </is>
      </c>
      <c r="F16301" s="3" t="n">
        <v>-36</v>
      </c>
      <c r="G16301" s="3" t="n">
        <v>-297.69</v>
      </c>
    </row>
    <row r="16302">
      <c r="A16302" s="3" t="inlineStr">
        <is>
          <t>Endulini (Pty) Ltd</t>
        </is>
      </c>
      <c r="B16302" s="4" t="n">
        <v>45230</v>
      </c>
      <c r="C16302" s="3" t="inlineStr">
        <is>
          <t>Revenue</t>
        </is>
      </c>
      <c r="D16302" s="3" t="inlineStr">
        <is>
          <t>2755/001</t>
        </is>
      </c>
      <c r="E16302" s="3" t="inlineStr">
        <is>
          <t>Interest Received - Momentum</t>
        </is>
      </c>
      <c r="F16302" s="3" t="n">
        <v>-4.83</v>
      </c>
      <c r="G16302" s="3" t="n">
        <v>-117.79</v>
      </c>
    </row>
    <row r="16303">
      <c r="A16303" s="3" t="inlineStr">
        <is>
          <t>Quinate Consulting (Pty) Ltd</t>
        </is>
      </c>
      <c r="B16303" s="4" t="n">
        <v>45230</v>
      </c>
      <c r="C16303" s="3" t="inlineStr">
        <is>
          <t>Revenue</t>
        </is>
      </c>
      <c r="D16303" s="3" t="inlineStr">
        <is>
          <t>2755/001</t>
        </is>
      </c>
      <c r="E16303" s="3" t="inlineStr">
        <is>
          <t>Interest Received - Momentum</t>
        </is>
      </c>
      <c r="F16303" s="3" t="n">
        <v>-8.029999999999999</v>
      </c>
      <c r="G16303" s="3" t="n">
        <v>-30.67</v>
      </c>
    </row>
    <row r="16304">
      <c r="A16304" s="3" t="inlineStr">
        <is>
          <t>Opportunity Global Investment (PTY) LTD</t>
        </is>
      </c>
      <c r="B16304" s="4" t="n">
        <v>45230</v>
      </c>
      <c r="C16304" s="3" t="inlineStr">
        <is>
          <t>Expenses</t>
        </is>
      </c>
      <c r="D16304" s="3" t="inlineStr">
        <is>
          <t>3000/100</t>
        </is>
      </c>
      <c r="E16304" s="3" t="inlineStr">
        <is>
          <t>Accounting Fees - Secretarial</t>
        </is>
      </c>
      <c r="F16304" s="3" t="n">
        <v>0</v>
      </c>
      <c r="G16304" s="3" t="n">
        <v>890</v>
      </c>
    </row>
    <row r="16305">
      <c r="A16305" s="3" t="inlineStr">
        <is>
          <t>Opportunity Global Investment (PTY) LTD</t>
        </is>
      </c>
      <c r="B16305" s="4" t="n">
        <v>45230</v>
      </c>
      <c r="C16305" s="3" t="inlineStr">
        <is>
          <t>Expenses</t>
        </is>
      </c>
      <c r="D16305" s="3" t="inlineStr">
        <is>
          <t>3000/150</t>
        </is>
      </c>
      <c r="E16305" s="3" t="inlineStr">
        <is>
          <t>Accounting Fees - Audit</t>
        </is>
      </c>
      <c r="F16305" s="3" t="n">
        <v>0</v>
      </c>
      <c r="G16305" s="3" t="n">
        <v>12217.01</v>
      </c>
    </row>
    <row r="16306">
      <c r="A16306" s="3" t="inlineStr">
        <is>
          <t>Quinate Consulting (Pty) Ltd</t>
        </is>
      </c>
      <c r="B16306" s="4" t="n">
        <v>45230</v>
      </c>
      <c r="C16306" s="3" t="inlineStr">
        <is>
          <t>Expenses</t>
        </is>
      </c>
      <c r="D16306" s="3" t="inlineStr">
        <is>
          <t>3001/000</t>
        </is>
      </c>
      <c r="E16306" s="3" t="inlineStr">
        <is>
          <t>Accounting fees - Other</t>
        </is>
      </c>
      <c r="F16306" s="3" t="n">
        <v>2440</v>
      </c>
      <c r="G16306" s="3" t="n">
        <v>8440</v>
      </c>
    </row>
    <row r="16307">
      <c r="A16307" s="3" t="inlineStr">
        <is>
          <t>Quinate Consulting (Pty) Ltd</t>
        </is>
      </c>
      <c r="B16307" s="4" t="n">
        <v>45230</v>
      </c>
      <c r="C16307" s="3" t="inlineStr">
        <is>
          <t>Expenses</t>
        </is>
      </c>
      <c r="D16307" s="3" t="inlineStr">
        <is>
          <t>3002/000</t>
        </is>
      </c>
      <c r="E16307" s="3" t="inlineStr">
        <is>
          <t>Accounting Fees - Tax Dept.</t>
        </is>
      </c>
      <c r="F16307" s="3" t="n">
        <v>0</v>
      </c>
      <c r="G16307" s="3" t="n">
        <v>540</v>
      </c>
    </row>
    <row r="16308">
      <c r="A16308" s="3" t="inlineStr">
        <is>
          <t>Quinate Consulting (Pty) Ltd</t>
        </is>
      </c>
      <c r="B16308" s="4" t="n">
        <v>45230</v>
      </c>
      <c r="C16308" s="3" t="inlineStr">
        <is>
          <t>Expenses</t>
        </is>
      </c>
      <c r="D16308" s="3" t="inlineStr">
        <is>
          <t>3005/000</t>
        </is>
      </c>
      <c r="E16308" s="3" t="inlineStr">
        <is>
          <t>Accounting fees - Audit</t>
        </is>
      </c>
      <c r="F16308" s="3" t="n">
        <v>25050</v>
      </c>
      <c r="G16308" s="3" t="n">
        <v>25050</v>
      </c>
    </row>
    <row r="16309">
      <c r="A16309" s="3" t="inlineStr">
        <is>
          <t>Opportunity Management Holdings (PTY) LTD</t>
        </is>
      </c>
      <c r="B16309" s="4" t="n">
        <v>45230</v>
      </c>
      <c r="C16309" s="3" t="inlineStr">
        <is>
          <t>Expenses</t>
        </is>
      </c>
      <c r="D16309" s="3" t="inlineStr">
        <is>
          <t>3005/000</t>
        </is>
      </c>
      <c r="E16309" s="3" t="inlineStr">
        <is>
          <t>Accounting fees - Deric Dudley</t>
        </is>
      </c>
      <c r="F16309" s="3" t="n">
        <v>56000</v>
      </c>
      <c r="G16309" s="3" t="n">
        <v>112000</v>
      </c>
    </row>
    <row r="16310">
      <c r="A16310" s="3" t="inlineStr">
        <is>
          <t>Endulini (Pty) Ltd</t>
        </is>
      </c>
      <c r="B16310" s="4" t="n">
        <v>45230</v>
      </c>
      <c r="C16310" s="3" t="inlineStr">
        <is>
          <t>Expenses</t>
        </is>
      </c>
      <c r="D16310" s="3" t="inlineStr">
        <is>
          <t>3050/000</t>
        </is>
      </c>
      <c r="E16310" s="3" t="inlineStr">
        <is>
          <t>Advertising _AND_ Promotions</t>
        </is>
      </c>
      <c r="F16310" s="3" t="n">
        <v>0</v>
      </c>
      <c r="G16310" s="3" t="n">
        <v>4180</v>
      </c>
    </row>
    <row r="16311">
      <c r="A16311" s="3" t="inlineStr">
        <is>
          <t>Opportunity Management Holdings (PTY) LTD</t>
        </is>
      </c>
      <c r="B16311" s="4" t="n">
        <v>45230</v>
      </c>
      <c r="C16311" s="3" t="inlineStr">
        <is>
          <t>Expenses</t>
        </is>
      </c>
      <c r="D16311" s="3" t="inlineStr">
        <is>
          <t>3050/000</t>
        </is>
      </c>
      <c r="E16311" s="3" t="inlineStr">
        <is>
          <t>Advertising _AND_ Promotions</t>
        </is>
      </c>
      <c r="F16311" s="3" t="n">
        <v>0</v>
      </c>
      <c r="G16311" s="3" t="n">
        <v>287.5</v>
      </c>
    </row>
    <row r="16312">
      <c r="A16312" s="3" t="inlineStr">
        <is>
          <t>Opportunity Global Investment (PTY) LTD</t>
        </is>
      </c>
      <c r="B16312" s="4" t="n">
        <v>45230</v>
      </c>
      <c r="C16312" s="3" t="inlineStr">
        <is>
          <t>Expenses</t>
        </is>
      </c>
      <c r="D16312" s="3" t="inlineStr">
        <is>
          <t>3050/000</t>
        </is>
      </c>
      <c r="E16312" s="3" t="inlineStr">
        <is>
          <t>Advertising and Promotions</t>
        </is>
      </c>
      <c r="F16312" s="3" t="n">
        <v>95.64</v>
      </c>
      <c r="G16312" s="3" t="n">
        <v>3223.84</v>
      </c>
    </row>
    <row r="16313">
      <c r="A16313" s="3" t="inlineStr">
        <is>
          <t>Opportunity Global Sales (PTY) LTD</t>
        </is>
      </c>
      <c r="B16313" s="4" t="n">
        <v>45230</v>
      </c>
      <c r="C16313" s="3" t="inlineStr">
        <is>
          <t>Expenses</t>
        </is>
      </c>
      <c r="D16313" s="3" t="inlineStr">
        <is>
          <t>3050/000</t>
        </is>
      </c>
      <c r="E16313" s="3" t="inlineStr">
        <is>
          <t>Advertising and Promotions</t>
        </is>
      </c>
      <c r="F16313" s="3" t="n">
        <v>0</v>
      </c>
      <c r="G16313" s="3" t="n">
        <v>18164.18</v>
      </c>
    </row>
    <row r="16314">
      <c r="A16314" s="3" t="inlineStr">
        <is>
          <t>Endulini (Pty) Ltd</t>
        </is>
      </c>
      <c r="B16314" s="4" t="n">
        <v>45230</v>
      </c>
      <c r="C16314" s="3" t="inlineStr">
        <is>
          <t>Expenses</t>
        </is>
      </c>
      <c r="D16314" s="3" t="inlineStr">
        <is>
          <t>3050/001</t>
        </is>
      </c>
      <c r="E16314" s="3" t="inlineStr">
        <is>
          <t>Advertising _AND_ Promotions - Media Agenda</t>
        </is>
      </c>
      <c r="F16314" s="3" t="n">
        <v>0</v>
      </c>
      <c r="G16314" s="3" t="n">
        <v>4312.5</v>
      </c>
    </row>
    <row r="16315">
      <c r="A16315" s="3" t="inlineStr">
        <is>
          <t>Noble Shield (Pty) Ltd ta Go Letting</t>
        </is>
      </c>
      <c r="B16315" s="4" t="n">
        <v>45230</v>
      </c>
      <c r="C16315" s="3" t="inlineStr">
        <is>
          <t>Expenses</t>
        </is>
      </c>
      <c r="D16315" s="3" t="inlineStr">
        <is>
          <t>3050/020</t>
        </is>
      </c>
      <c r="E16315" s="3" t="inlineStr">
        <is>
          <t>Adverting &amp; Marketing - Other</t>
        </is>
      </c>
      <c r="F16315" s="3" t="n">
        <v>0</v>
      </c>
      <c r="G16315" s="3" t="n">
        <v>134.9</v>
      </c>
    </row>
    <row r="16316">
      <c r="A16316" s="3" t="inlineStr">
        <is>
          <t>Noble Shield (Pty) Ltd ta Go Letting</t>
        </is>
      </c>
      <c r="B16316" s="4" t="n">
        <v>45230</v>
      </c>
      <c r="C16316" s="3" t="inlineStr">
        <is>
          <t>Expenses</t>
        </is>
      </c>
      <c r="D16316" s="3" t="inlineStr">
        <is>
          <t>3050/050</t>
        </is>
      </c>
      <c r="E16316" s="3" t="inlineStr">
        <is>
          <t>Advertising - Prop 24</t>
        </is>
      </c>
      <c r="F16316" s="3" t="n">
        <v>3336.15</v>
      </c>
      <c r="G16316" s="3" t="n">
        <v>6672.3</v>
      </c>
    </row>
    <row r="16317">
      <c r="A16317" s="3" t="inlineStr">
        <is>
          <t>Opportunity Global Sales (PTY) LTD</t>
        </is>
      </c>
      <c r="B16317" s="4" t="n">
        <v>45230</v>
      </c>
      <c r="C16317" s="3" t="inlineStr">
        <is>
          <t>Expenses</t>
        </is>
      </c>
      <c r="D16317" s="3" t="inlineStr">
        <is>
          <t>3050/100</t>
        </is>
      </c>
      <c r="E16317" s="3" t="inlineStr">
        <is>
          <t>Advertising - Facebook</t>
        </is>
      </c>
      <c r="F16317" s="3" t="n">
        <v>0</v>
      </c>
      <c r="G16317" s="3" t="n">
        <v>2279.78</v>
      </c>
    </row>
    <row r="16318">
      <c r="A16318" s="3" t="inlineStr">
        <is>
          <t>Opportunity Global Sales (PTY) LTD</t>
        </is>
      </c>
      <c r="B16318" s="4" t="n">
        <v>45230</v>
      </c>
      <c r="C16318" s="3" t="inlineStr">
        <is>
          <t>Expenses</t>
        </is>
      </c>
      <c r="D16318" s="3" t="inlineStr">
        <is>
          <t>3050/140</t>
        </is>
      </c>
      <c r="E16318" s="3" t="inlineStr">
        <is>
          <t>Advertising - Media Agenda</t>
        </is>
      </c>
      <c r="F16318" s="3" t="n">
        <v>0</v>
      </c>
      <c r="G16318" s="3" t="n">
        <v>14487.5</v>
      </c>
    </row>
    <row r="16319">
      <c r="A16319" s="3" t="inlineStr">
        <is>
          <t>Opportunity Global Sales (PTY) LTD</t>
        </is>
      </c>
      <c r="B16319" s="4" t="n">
        <v>45230</v>
      </c>
      <c r="C16319" s="3" t="inlineStr">
        <is>
          <t>Expenses</t>
        </is>
      </c>
      <c r="D16319" s="3" t="inlineStr">
        <is>
          <t>3050/200</t>
        </is>
      </c>
      <c r="E16319" s="3" t="inlineStr">
        <is>
          <t>Advertising - Design</t>
        </is>
      </c>
      <c r="F16319" s="3" t="n">
        <v>0</v>
      </c>
      <c r="G16319" s="3" t="n">
        <v>35000</v>
      </c>
    </row>
    <row r="16320">
      <c r="A16320" s="3" t="inlineStr">
        <is>
          <t>Opportunity Global Investment (PTY) LTD</t>
        </is>
      </c>
      <c r="B16320" s="4" t="n">
        <v>45230</v>
      </c>
      <c r="C16320" s="3" t="inlineStr">
        <is>
          <t>Expenses</t>
        </is>
      </c>
      <c r="D16320" s="3" t="inlineStr">
        <is>
          <t>3050/230</t>
        </is>
      </c>
      <c r="E16320" s="3" t="inlineStr">
        <is>
          <t>Advertising - Link on Advertising</t>
        </is>
      </c>
      <c r="F16320" s="3" t="n">
        <v>395</v>
      </c>
      <c r="G16320" s="3" t="n">
        <v>1185</v>
      </c>
    </row>
    <row r="16321">
      <c r="A16321" s="3" t="inlineStr">
        <is>
          <t>Opportunity Global Investment (PTY) LTD</t>
        </is>
      </c>
      <c r="B16321" s="4" t="n">
        <v>45230</v>
      </c>
      <c r="C16321" s="3" t="inlineStr">
        <is>
          <t>Expenses</t>
        </is>
      </c>
      <c r="D16321" s="3" t="inlineStr">
        <is>
          <t>3050/240</t>
        </is>
      </c>
      <c r="E16321" s="3" t="inlineStr">
        <is>
          <t>Advertising - Realmarketing</t>
        </is>
      </c>
      <c r="F16321" s="3" t="n">
        <v>46000</v>
      </c>
      <c r="G16321" s="3" t="n">
        <v>99000</v>
      </c>
    </row>
    <row r="16322">
      <c r="A16322" s="3" t="inlineStr">
        <is>
          <t>Opportunity Global Investment (PTY) LTD</t>
        </is>
      </c>
      <c r="B16322" s="4" t="n">
        <v>45230</v>
      </c>
      <c r="C16322" s="3" t="inlineStr">
        <is>
          <t>Expenses</t>
        </is>
      </c>
      <c r="D16322" s="3" t="inlineStr">
        <is>
          <t>3050/250</t>
        </is>
      </c>
      <c r="E16322" s="3" t="inlineStr">
        <is>
          <t>Advertising - General</t>
        </is>
      </c>
      <c r="F16322" s="3" t="n">
        <v>0</v>
      </c>
      <c r="G16322" s="3" t="n">
        <v>52599.6</v>
      </c>
    </row>
    <row r="16323">
      <c r="A16323" s="3" t="inlineStr">
        <is>
          <t>Opportunity Global Sales (PTY) LTD</t>
        </is>
      </c>
      <c r="B16323" s="4" t="n">
        <v>45230</v>
      </c>
      <c r="C16323" s="3" t="inlineStr">
        <is>
          <t>Expenses</t>
        </is>
      </c>
      <c r="D16323" s="3" t="inlineStr">
        <is>
          <t>3050/250</t>
        </is>
      </c>
      <c r="E16323" s="3" t="inlineStr">
        <is>
          <t>Advertising - General</t>
        </is>
      </c>
      <c r="F16323" s="3" t="n">
        <v>2149.93</v>
      </c>
      <c r="G16323" s="3" t="n">
        <v>67897.55</v>
      </c>
    </row>
    <row r="16324">
      <c r="A16324" s="3" t="inlineStr">
        <is>
          <t>Opportunity Global Investment (PTY) LTD</t>
        </is>
      </c>
      <c r="B16324" s="4" t="n">
        <v>45230</v>
      </c>
      <c r="C16324" s="3" t="inlineStr">
        <is>
          <t>Expenses</t>
        </is>
      </c>
      <c r="D16324" s="3" t="inlineStr">
        <is>
          <t>3050/270</t>
        </is>
      </c>
      <c r="E16324" s="3" t="inlineStr">
        <is>
          <t>Advertising - Radia and TV Interviews</t>
        </is>
      </c>
      <c r="F16324" s="3" t="n">
        <v>0</v>
      </c>
      <c r="G16324" s="3" t="n">
        <v>109847.5</v>
      </c>
    </row>
    <row r="16325">
      <c r="A16325" s="3" t="inlineStr">
        <is>
          <t>Opportunity Global Investment (PTY) LTD</t>
        </is>
      </c>
      <c r="B16325" s="4" t="n">
        <v>45230</v>
      </c>
      <c r="C16325" s="3" t="inlineStr">
        <is>
          <t>Expenses</t>
        </is>
      </c>
      <c r="D16325" s="3" t="inlineStr">
        <is>
          <t>3050/290</t>
        </is>
      </c>
      <c r="E16325" s="3" t="inlineStr">
        <is>
          <t>Advertising - Serene Living</t>
        </is>
      </c>
      <c r="F16325" s="3" t="n">
        <v>65086</v>
      </c>
      <c r="G16325" s="3" t="n">
        <v>520688</v>
      </c>
    </row>
    <row r="16326">
      <c r="A16326" s="3" t="inlineStr">
        <is>
          <t>Opportunity Global Investment (PTY) LTD</t>
        </is>
      </c>
      <c r="B16326" s="4" t="n">
        <v>45230</v>
      </c>
      <c r="C16326" s="3" t="inlineStr">
        <is>
          <t>Expenses</t>
        </is>
      </c>
      <c r="D16326" s="3" t="inlineStr">
        <is>
          <t>3050/295</t>
        </is>
      </c>
      <c r="E16326" s="3" t="inlineStr">
        <is>
          <t>Advertising - Reale Activation</t>
        </is>
      </c>
      <c r="F16326" s="3" t="n">
        <v>0</v>
      </c>
      <c r="G16326" s="3" t="n">
        <v>30397.22</v>
      </c>
    </row>
    <row r="16327">
      <c r="A16327" s="3" t="inlineStr">
        <is>
          <t>Opportunity Global Investment (PTY) LTD</t>
        </is>
      </c>
      <c r="B16327" s="4" t="n">
        <v>45230</v>
      </c>
      <c r="C16327" s="3" t="inlineStr">
        <is>
          <t>Expenses</t>
        </is>
      </c>
      <c r="D16327" s="3" t="inlineStr">
        <is>
          <t>3050/300</t>
        </is>
      </c>
      <c r="E16327" s="3" t="inlineStr">
        <is>
          <t>Advertising - Design</t>
        </is>
      </c>
      <c r="F16327" s="3" t="n">
        <v>900</v>
      </c>
      <c r="G16327" s="3" t="n">
        <v>7750</v>
      </c>
    </row>
    <row r="16328">
      <c r="A16328" s="3" t="inlineStr">
        <is>
          <t>Endulini (Pty) Ltd</t>
        </is>
      </c>
      <c r="B16328" s="4" t="n">
        <v>45230</v>
      </c>
      <c r="C16328" s="3" t="inlineStr">
        <is>
          <t>Expenses</t>
        </is>
      </c>
      <c r="D16328" s="3" t="inlineStr">
        <is>
          <t>3050/300</t>
        </is>
      </c>
      <c r="E16328" s="3" t="inlineStr">
        <is>
          <t>Advertiving - Real Marketing</t>
        </is>
      </c>
      <c r="F16328" s="3" t="n">
        <v>0</v>
      </c>
      <c r="G16328" s="3" t="n">
        <v>10250</v>
      </c>
    </row>
    <row r="16329">
      <c r="A16329" s="3" t="inlineStr">
        <is>
          <t>Quinate Consulting (Pty) Ltd</t>
        </is>
      </c>
      <c r="B16329" s="4" t="n">
        <v>45230</v>
      </c>
      <c r="C16329" s="3" t="inlineStr">
        <is>
          <t>Expenses</t>
        </is>
      </c>
      <c r="D16329" s="3" t="inlineStr">
        <is>
          <t>3050/400</t>
        </is>
      </c>
      <c r="E16329" s="3" t="inlineStr">
        <is>
          <t>Advertising - Prop24</t>
        </is>
      </c>
      <c r="F16329" s="3" t="n">
        <v>10562.75</v>
      </c>
      <c r="G16329" s="3" t="n">
        <v>88553.25</v>
      </c>
    </row>
    <row r="16330">
      <c r="A16330" s="3" t="inlineStr">
        <is>
          <t>Opportunity Global Sales (PTY) LTD</t>
        </is>
      </c>
      <c r="B16330" s="4" t="n">
        <v>45230</v>
      </c>
      <c r="C16330" s="3" t="inlineStr">
        <is>
          <t>Expenses</t>
        </is>
      </c>
      <c r="D16330" s="3" t="inlineStr">
        <is>
          <t>3050/400</t>
        </is>
      </c>
      <c r="E16330" s="3" t="inlineStr">
        <is>
          <t>Repairs &amp; Maintenance Heron sales office</t>
        </is>
      </c>
      <c r="F16330" s="3" t="n">
        <v>0</v>
      </c>
      <c r="G16330" s="3" t="n">
        <v>196.5</v>
      </c>
    </row>
    <row r="16331">
      <c r="A16331" s="3" t="inlineStr">
        <is>
          <t>Quinate Consulting (Pty) Ltd</t>
        </is>
      </c>
      <c r="B16331" s="4" t="n">
        <v>45230</v>
      </c>
      <c r="C16331" s="3" t="inlineStr">
        <is>
          <t>Expenses</t>
        </is>
      </c>
      <c r="D16331" s="3" t="inlineStr">
        <is>
          <t>3050/450</t>
        </is>
      </c>
      <c r="E16331" s="3" t="inlineStr">
        <is>
          <t>Advertising - Facebook</t>
        </is>
      </c>
      <c r="F16331" s="3" t="n">
        <v>0</v>
      </c>
      <c r="G16331" s="3" t="n">
        <v>51955.16</v>
      </c>
    </row>
    <row r="16332">
      <c r="A16332" s="3" t="inlineStr">
        <is>
          <t>Opportunity Global Investment (PTY) LTD</t>
        </is>
      </c>
      <c r="B16332" s="4" t="n">
        <v>45230</v>
      </c>
      <c r="C16332" s="3" t="inlineStr">
        <is>
          <t>Expenses</t>
        </is>
      </c>
      <c r="D16332" s="3" t="inlineStr">
        <is>
          <t>3051/000</t>
        </is>
      </c>
      <c r="E16332" s="3" t="inlineStr">
        <is>
          <t>Advertising - Facebook</t>
        </is>
      </c>
      <c r="F16332" s="3" t="n">
        <v>22398.49</v>
      </c>
      <c r="G16332" s="3" t="n">
        <v>137906.08</v>
      </c>
    </row>
    <row r="16333">
      <c r="A16333" s="3" t="inlineStr">
        <is>
          <t>Opportunity Global Investment (PTY) LTD</t>
        </is>
      </c>
      <c r="B16333" s="4" t="n">
        <v>45230</v>
      </c>
      <c r="C16333" s="3" t="inlineStr">
        <is>
          <t>Expenses</t>
        </is>
      </c>
      <c r="D16333" s="3" t="inlineStr">
        <is>
          <t>3053/000</t>
        </is>
      </c>
      <c r="E16333" s="3" t="inlineStr">
        <is>
          <t>Advertising - Google Ads</t>
        </is>
      </c>
      <c r="F16333" s="3" t="n">
        <v>658.35</v>
      </c>
      <c r="G16333" s="3" t="n">
        <v>7239.44</v>
      </c>
    </row>
    <row r="16334">
      <c r="A16334" s="3" t="inlineStr">
        <is>
          <t>Endulini (Pty) Ltd</t>
        </is>
      </c>
      <c r="B16334" s="4" t="n">
        <v>45230</v>
      </c>
      <c r="C16334" s="3" t="inlineStr">
        <is>
          <t>Expenses</t>
        </is>
      </c>
      <c r="D16334" s="3" t="inlineStr">
        <is>
          <t>3200/000</t>
        </is>
      </c>
      <c r="E16334" s="3" t="inlineStr">
        <is>
          <t>Bank Charges</t>
        </is>
      </c>
      <c r="F16334" s="3" t="n">
        <v>176.39</v>
      </c>
      <c r="G16334" s="3" t="n">
        <v>1648.37</v>
      </c>
    </row>
    <row r="16335">
      <c r="A16335" s="3" t="inlineStr">
        <is>
          <t>Noble Shield (Pty) Ltd ta Go Letting</t>
        </is>
      </c>
      <c r="B16335" s="4" t="n">
        <v>45230</v>
      </c>
      <c r="C16335" s="3" t="inlineStr">
        <is>
          <t>Expenses</t>
        </is>
      </c>
      <c r="D16335" s="3" t="inlineStr">
        <is>
          <t>3200/000</t>
        </is>
      </c>
      <c r="E16335" s="3" t="inlineStr">
        <is>
          <t>Bank Charges</t>
        </is>
      </c>
      <c r="F16335" s="3" t="n">
        <v>427.83</v>
      </c>
      <c r="G16335" s="3" t="n">
        <v>1050.57</v>
      </c>
    </row>
    <row r="16336">
      <c r="A16336" s="3" t="inlineStr">
        <is>
          <t>Opportunity Global Investment (PTY) LTD</t>
        </is>
      </c>
      <c r="B16336" s="4" t="n">
        <v>45230</v>
      </c>
      <c r="C16336" s="3" t="inlineStr">
        <is>
          <t>Expenses</t>
        </is>
      </c>
      <c r="D16336" s="3" t="inlineStr">
        <is>
          <t>3200/000</t>
        </is>
      </c>
      <c r="E16336" s="3" t="inlineStr">
        <is>
          <t>Bank Charges</t>
        </is>
      </c>
      <c r="F16336" s="3" t="n">
        <v>496.77</v>
      </c>
      <c r="G16336" s="3" t="n">
        <v>3622.53</v>
      </c>
    </row>
    <row r="16337">
      <c r="A16337" s="3" t="inlineStr">
        <is>
          <t>Opportunity Global Sales (PTY) LTD</t>
        </is>
      </c>
      <c r="B16337" s="4" t="n">
        <v>45230</v>
      </c>
      <c r="C16337" s="3" t="inlineStr">
        <is>
          <t>Expenses</t>
        </is>
      </c>
      <c r="D16337" s="3" t="inlineStr">
        <is>
          <t>3200/000</t>
        </is>
      </c>
      <c r="E16337" s="3" t="inlineStr">
        <is>
          <t>Bank Charges</t>
        </is>
      </c>
      <c r="F16337" s="3" t="n">
        <v>670.4</v>
      </c>
      <c r="G16337" s="3" t="n">
        <v>3971.34</v>
      </c>
    </row>
    <row r="16338">
      <c r="A16338" s="3" t="inlineStr">
        <is>
          <t>Opportunity Management Holdings (PTY) LTD</t>
        </is>
      </c>
      <c r="B16338" s="4" t="n">
        <v>45230</v>
      </c>
      <c r="C16338" s="3" t="inlineStr">
        <is>
          <t>Expenses</t>
        </is>
      </c>
      <c r="D16338" s="3" t="inlineStr">
        <is>
          <t>3200/000</t>
        </is>
      </c>
      <c r="E16338" s="3" t="inlineStr">
        <is>
          <t>Bank Charges</t>
        </is>
      </c>
      <c r="F16338" s="3" t="n">
        <v>867.3099999999999</v>
      </c>
      <c r="G16338" s="3" t="n">
        <v>1747.83</v>
      </c>
    </row>
    <row r="16339">
      <c r="A16339" s="3" t="inlineStr">
        <is>
          <t>Quinate Consulting (Pty) Ltd</t>
        </is>
      </c>
      <c r="B16339" s="4" t="n">
        <v>45230</v>
      </c>
      <c r="C16339" s="3" t="inlineStr">
        <is>
          <t>Expenses</t>
        </is>
      </c>
      <c r="D16339" s="3" t="inlineStr">
        <is>
          <t>3200/000</t>
        </is>
      </c>
      <c r="E16339" s="3" t="inlineStr">
        <is>
          <t>Bank Charges</t>
        </is>
      </c>
      <c r="F16339" s="3" t="n">
        <v>475.31</v>
      </c>
      <c r="G16339" s="3" t="n">
        <v>6967.08</v>
      </c>
    </row>
    <row r="16340">
      <c r="A16340" s="3" t="inlineStr">
        <is>
          <t>Trademark Holdings (Pty) Ltd</t>
        </is>
      </c>
      <c r="B16340" s="4" t="n">
        <v>45230</v>
      </c>
      <c r="C16340" s="3" t="inlineStr">
        <is>
          <t>Expenses</t>
        </is>
      </c>
      <c r="D16340" s="3" t="inlineStr">
        <is>
          <t>3200/000</t>
        </is>
      </c>
      <c r="E16340" s="3" t="inlineStr">
        <is>
          <t>Bank Charges</t>
        </is>
      </c>
      <c r="F16340" s="3" t="n">
        <v>250.13</v>
      </c>
      <c r="G16340" s="3" t="n">
        <v>598.49</v>
      </c>
    </row>
    <row r="16341">
      <c r="A16341" s="3" t="inlineStr">
        <is>
          <t>Quinate Consulting (Pty) Ltd</t>
        </is>
      </c>
      <c r="B16341" s="4" t="n">
        <v>45230</v>
      </c>
      <c r="C16341" s="3" t="inlineStr">
        <is>
          <t>Expenses</t>
        </is>
      </c>
      <c r="D16341" s="3" t="inlineStr">
        <is>
          <t>3220/000</t>
        </is>
      </c>
      <c r="E16341" s="3" t="inlineStr">
        <is>
          <t>Bank Charges - Bond Fees</t>
        </is>
      </c>
      <c r="F16341" s="3" t="n">
        <v>1117.41</v>
      </c>
      <c r="G16341" s="3" t="n">
        <v>8939.280000000001</v>
      </c>
    </row>
    <row r="16342">
      <c r="A16342" s="3" t="inlineStr">
        <is>
          <t>Noble Shield (Pty) Ltd ta Go Letting</t>
        </is>
      </c>
      <c r="B16342" s="4" t="n">
        <v>45230</v>
      </c>
      <c r="C16342" s="3" t="inlineStr">
        <is>
          <t>Expenses</t>
        </is>
      </c>
      <c r="D16342" s="3" t="inlineStr">
        <is>
          <t>3230/000</t>
        </is>
      </c>
      <c r="E16342" s="3" t="inlineStr">
        <is>
          <t>Cell Phone - NM</t>
        </is>
      </c>
      <c r="F16342" s="3" t="n">
        <v>2277.15</v>
      </c>
      <c r="G16342" s="3" t="n">
        <v>4553.49</v>
      </c>
    </row>
    <row r="16343">
      <c r="A16343" s="3" t="inlineStr">
        <is>
          <t>Noble Shield (Pty) Ltd ta Go Letting</t>
        </is>
      </c>
      <c r="B16343" s="4" t="n">
        <v>45230</v>
      </c>
      <c r="C16343" s="3" t="inlineStr">
        <is>
          <t>Expenses</t>
        </is>
      </c>
      <c r="D16343" s="3" t="inlineStr">
        <is>
          <t>3233/000</t>
        </is>
      </c>
      <c r="E16343" s="3" t="inlineStr">
        <is>
          <t>Cell Data - Other</t>
        </is>
      </c>
      <c r="F16343" s="3" t="n">
        <v>0</v>
      </c>
      <c r="G16343" s="3" t="n">
        <v>199</v>
      </c>
    </row>
    <row r="16344">
      <c r="A16344" s="3" t="inlineStr">
        <is>
          <t>Noble Shield (Pty) Ltd ta Go Letting</t>
        </is>
      </c>
      <c r="B16344" s="4" t="n">
        <v>45230</v>
      </c>
      <c r="C16344" s="3" t="inlineStr">
        <is>
          <t>Expenses</t>
        </is>
      </c>
      <c r="D16344" s="3" t="inlineStr">
        <is>
          <t>3233/100</t>
        </is>
      </c>
      <c r="E16344" s="3" t="inlineStr">
        <is>
          <t>Cell Data - Sales office Wifi</t>
        </is>
      </c>
      <c r="F16344" s="3" t="n">
        <v>584</v>
      </c>
      <c r="G16344" s="3" t="n">
        <v>969</v>
      </c>
    </row>
    <row r="16345">
      <c r="A16345" s="3" t="inlineStr">
        <is>
          <t>Opportunity Global Investment (PTY) LTD</t>
        </is>
      </c>
      <c r="B16345" s="4" t="n">
        <v>45230</v>
      </c>
      <c r="C16345" s="3" t="inlineStr">
        <is>
          <t>Expenses</t>
        </is>
      </c>
      <c r="D16345" s="3" t="inlineStr">
        <is>
          <t>3250/000</t>
        </is>
      </c>
      <c r="E16345" s="3" t="inlineStr">
        <is>
          <t>Cleaning</t>
        </is>
      </c>
      <c r="F16345" s="3" t="n">
        <v>2700</v>
      </c>
      <c r="G16345" s="3" t="n">
        <v>21600</v>
      </c>
    </row>
    <row r="16346">
      <c r="A16346" s="3" t="inlineStr">
        <is>
          <t>Opportunity Global Sales (PTY) LTD</t>
        </is>
      </c>
      <c r="B16346" s="4" t="n">
        <v>45230</v>
      </c>
      <c r="C16346" s="3" t="inlineStr">
        <is>
          <t>Expenses</t>
        </is>
      </c>
      <c r="D16346" s="3" t="inlineStr">
        <is>
          <t>3250/000</t>
        </is>
      </c>
      <c r="E16346" s="3" t="inlineStr">
        <is>
          <t>Cleaning</t>
        </is>
      </c>
      <c r="F16346" s="3" t="n">
        <v>0</v>
      </c>
      <c r="G16346" s="3" t="n">
        <v>6000</v>
      </c>
    </row>
    <row r="16347">
      <c r="A16347" s="3" t="inlineStr">
        <is>
          <t>Opportunity Management Holdings (PTY) LTD</t>
        </is>
      </c>
      <c r="B16347" s="4" t="n">
        <v>45230</v>
      </c>
      <c r="C16347" s="3" t="inlineStr">
        <is>
          <t>Expenses</t>
        </is>
      </c>
      <c r="D16347" s="3" t="inlineStr">
        <is>
          <t>3250/000</t>
        </is>
      </c>
      <c r="E16347" s="3" t="inlineStr">
        <is>
          <t>Cleaning</t>
        </is>
      </c>
      <c r="F16347" s="3" t="n">
        <v>2974.9</v>
      </c>
      <c r="G16347" s="3" t="n">
        <v>6480.76</v>
      </c>
    </row>
    <row r="16348">
      <c r="A16348" s="3" t="inlineStr">
        <is>
          <t>Trademark Holdings (Pty) Ltd</t>
        </is>
      </c>
      <c r="B16348" s="4" t="n">
        <v>45230</v>
      </c>
      <c r="C16348" s="3" t="inlineStr">
        <is>
          <t>Expenses</t>
        </is>
      </c>
      <c r="D16348" s="3" t="inlineStr">
        <is>
          <t>3250/000</t>
        </is>
      </c>
      <c r="E16348" s="3" t="inlineStr">
        <is>
          <t>Cleaning</t>
        </is>
      </c>
      <c r="F16348" s="3" t="n">
        <v>1430</v>
      </c>
      <c r="G16348" s="3" t="n">
        <v>2288</v>
      </c>
    </row>
    <row r="16349">
      <c r="A16349" s="3" t="inlineStr">
        <is>
          <t>Opportunity Global Investment (PTY) LTD</t>
        </is>
      </c>
      <c r="B16349" s="4" t="n">
        <v>45230</v>
      </c>
      <c r="C16349" s="3" t="inlineStr">
        <is>
          <t>Expenses</t>
        </is>
      </c>
      <c r="D16349" s="3" t="inlineStr">
        <is>
          <t>3300/000</t>
        </is>
      </c>
      <c r="E16349" s="3" t="inlineStr">
        <is>
          <t>Computer Expenses</t>
        </is>
      </c>
      <c r="F16349" s="3" t="n">
        <v>307.83</v>
      </c>
      <c r="G16349" s="3" t="n">
        <v>1657.83</v>
      </c>
    </row>
    <row r="16350">
      <c r="A16350" s="3" t="inlineStr">
        <is>
          <t>Opportunity Management Holdings (PTY) LTD</t>
        </is>
      </c>
      <c r="B16350" s="4" t="n">
        <v>45230</v>
      </c>
      <c r="C16350" s="3" t="inlineStr">
        <is>
          <t>Expenses</t>
        </is>
      </c>
      <c r="D16350" s="3" t="inlineStr">
        <is>
          <t>3300/000</t>
        </is>
      </c>
      <c r="E16350" s="3" t="inlineStr">
        <is>
          <t>Computer Expenses</t>
        </is>
      </c>
      <c r="F16350" s="3" t="n">
        <v>1153.91</v>
      </c>
      <c r="G16350" s="3" t="n">
        <v>1153.91</v>
      </c>
    </row>
    <row r="16351">
      <c r="A16351" s="3" t="inlineStr">
        <is>
          <t>Noble Shield (Pty) Ltd ta Go Letting</t>
        </is>
      </c>
      <c r="B16351" s="4" t="n">
        <v>45230</v>
      </c>
      <c r="C16351" s="3" t="inlineStr">
        <is>
          <t>Expenses</t>
        </is>
      </c>
      <c r="D16351" s="3" t="inlineStr">
        <is>
          <t>3300/120</t>
        </is>
      </c>
      <c r="E16351" s="3" t="inlineStr">
        <is>
          <t>Computer IT - Software Propworx</t>
        </is>
      </c>
      <c r="F16351" s="3" t="n">
        <v>2576</v>
      </c>
      <c r="G16351" s="3" t="n">
        <v>5152</v>
      </c>
    </row>
    <row r="16352">
      <c r="A16352" s="3" t="inlineStr">
        <is>
          <t>Noble Shield (Pty) Ltd ta Go Letting</t>
        </is>
      </c>
      <c r="B16352" s="4" t="n">
        <v>45230</v>
      </c>
      <c r="C16352" s="3" t="inlineStr">
        <is>
          <t>Expenses</t>
        </is>
      </c>
      <c r="D16352" s="3" t="inlineStr">
        <is>
          <t>3300/170</t>
        </is>
      </c>
      <c r="E16352" s="3" t="inlineStr">
        <is>
          <t>Computer IT - VDB office Fibre</t>
        </is>
      </c>
      <c r="F16352" s="3" t="n">
        <v>790</v>
      </c>
      <c r="G16352" s="3" t="n">
        <v>1580</v>
      </c>
    </row>
    <row r="16353">
      <c r="A16353" s="3" t="inlineStr">
        <is>
          <t>Trademark Holdings (Pty) Ltd</t>
        </is>
      </c>
      <c r="B16353" s="4" t="n">
        <v>45230</v>
      </c>
      <c r="C16353" s="3" t="inlineStr">
        <is>
          <t>Expenses</t>
        </is>
      </c>
      <c r="D16353" s="3" t="inlineStr">
        <is>
          <t>3350/000</t>
        </is>
      </c>
      <c r="E16353" s="3" t="inlineStr">
        <is>
          <t>Consulting Fees</t>
        </is>
      </c>
      <c r="F16353" s="3" t="n">
        <v>22200</v>
      </c>
      <c r="G16353" s="3" t="n">
        <v>44400</v>
      </c>
    </row>
    <row r="16354">
      <c r="A16354" s="3" t="inlineStr">
        <is>
          <t>Opportunity Management Holdings (PTY) LTD</t>
        </is>
      </c>
      <c r="B16354" s="4" t="n">
        <v>45230</v>
      </c>
      <c r="C16354" s="3" t="inlineStr">
        <is>
          <t>Expenses</t>
        </is>
      </c>
      <c r="D16354" s="3" t="inlineStr">
        <is>
          <t>3350/100</t>
        </is>
      </c>
      <c r="E16354" s="3" t="inlineStr">
        <is>
          <t>Consulting Fee - Dirk Coetzee</t>
        </is>
      </c>
      <c r="F16354" s="3" t="n">
        <v>17000</v>
      </c>
      <c r="G16354" s="3" t="n">
        <v>34000</v>
      </c>
    </row>
    <row r="16355">
      <c r="A16355" s="3" t="inlineStr">
        <is>
          <t>Endulini (Pty) Ltd</t>
        </is>
      </c>
      <c r="B16355" s="4" t="n">
        <v>45230</v>
      </c>
      <c r="C16355" s="3" t="inlineStr">
        <is>
          <t>Expenses</t>
        </is>
      </c>
      <c r="D16355" s="3" t="inlineStr">
        <is>
          <t>3350/100</t>
        </is>
      </c>
      <c r="E16355" s="3" t="inlineStr">
        <is>
          <t>Consulting Fees - Admin and Finance</t>
        </is>
      </c>
      <c r="F16355" s="3" t="n">
        <v>40380</v>
      </c>
      <c r="G16355" s="3" t="n">
        <v>353937.57</v>
      </c>
    </row>
    <row r="16356">
      <c r="A16356" s="3" t="inlineStr">
        <is>
          <t>Opportunity Global Investment (PTY) LTD</t>
        </is>
      </c>
      <c r="B16356" s="4" t="n">
        <v>45230</v>
      </c>
      <c r="C16356" s="3" t="inlineStr">
        <is>
          <t>Expenses</t>
        </is>
      </c>
      <c r="D16356" s="3" t="inlineStr">
        <is>
          <t>3350/100</t>
        </is>
      </c>
      <c r="E16356" s="3" t="inlineStr">
        <is>
          <t>Consulting Fees - Admin and Finance</t>
        </is>
      </c>
      <c r="F16356" s="3" t="n">
        <v>11955</v>
      </c>
      <c r="G16356" s="3" t="n">
        <v>122799.06</v>
      </c>
    </row>
    <row r="16357">
      <c r="A16357" s="3" t="inlineStr">
        <is>
          <t>Opportunity Global Sales (PTY) LTD</t>
        </is>
      </c>
      <c r="B16357" s="4" t="n">
        <v>45230</v>
      </c>
      <c r="C16357" s="3" t="inlineStr">
        <is>
          <t>Expenses</t>
        </is>
      </c>
      <c r="D16357" s="3" t="inlineStr">
        <is>
          <t>3350/100</t>
        </is>
      </c>
      <c r="E16357" s="3" t="inlineStr">
        <is>
          <t>Consulting Fees - Admin and Finance</t>
        </is>
      </c>
      <c r="F16357" s="3" t="n">
        <v>10355</v>
      </c>
      <c r="G16357" s="3" t="n">
        <v>118662</v>
      </c>
    </row>
    <row r="16358">
      <c r="A16358" s="3" t="inlineStr">
        <is>
          <t>Opportunity Global Sales (PTY) LTD</t>
        </is>
      </c>
      <c r="B16358" s="4" t="n">
        <v>45230</v>
      </c>
      <c r="C16358" s="3" t="inlineStr">
        <is>
          <t>Expenses</t>
        </is>
      </c>
      <c r="D16358" s="3" t="inlineStr">
        <is>
          <t>3350/200</t>
        </is>
      </c>
      <c r="E16358" s="3" t="inlineStr">
        <is>
          <t>Consulting Fees - Agent Karien Muller</t>
        </is>
      </c>
      <c r="F16358" s="3" t="n">
        <v>0</v>
      </c>
      <c r="G16358" s="3" t="n">
        <v>10000</v>
      </c>
    </row>
    <row r="16359">
      <c r="A16359" s="3" t="inlineStr">
        <is>
          <t>Opportunity Global Investment (PTY) LTD</t>
        </is>
      </c>
      <c r="B16359" s="4" t="n">
        <v>45230</v>
      </c>
      <c r="C16359" s="3" t="inlineStr">
        <is>
          <t>Expenses</t>
        </is>
      </c>
      <c r="D16359" s="3" t="inlineStr">
        <is>
          <t>3350/200</t>
        </is>
      </c>
      <c r="E16359" s="3" t="inlineStr">
        <is>
          <t>Consulting Fees - Rockfin</t>
        </is>
      </c>
      <c r="F16359" s="3" t="n">
        <v>20000</v>
      </c>
      <c r="G16359" s="3" t="n">
        <v>90000</v>
      </c>
    </row>
    <row r="16360">
      <c r="A16360" s="3" t="inlineStr">
        <is>
          <t>Opportunity Management Holdings (PTY) LTD</t>
        </is>
      </c>
      <c r="B16360" s="4" t="n">
        <v>45230</v>
      </c>
      <c r="C16360" s="3" t="inlineStr">
        <is>
          <t>Expenses</t>
        </is>
      </c>
      <c r="D16360" s="3" t="inlineStr">
        <is>
          <t>3350/300</t>
        </is>
      </c>
      <c r="E16360" s="3" t="inlineStr">
        <is>
          <t>Consulting Fee - HR Joblaw</t>
        </is>
      </c>
      <c r="F16360" s="3" t="n">
        <v>1600.83</v>
      </c>
      <c r="G16360" s="3" t="n">
        <v>3201.66</v>
      </c>
    </row>
    <row r="16361">
      <c r="A16361" s="3" t="inlineStr">
        <is>
          <t>Quinate Consulting (Pty) Ltd</t>
        </is>
      </c>
      <c r="B16361" s="4" t="n">
        <v>45230</v>
      </c>
      <c r="C16361" s="3" t="inlineStr">
        <is>
          <t>Expenses</t>
        </is>
      </c>
      <c r="D16361" s="3" t="inlineStr">
        <is>
          <t>3350/300</t>
        </is>
      </c>
      <c r="E16361" s="3" t="inlineStr">
        <is>
          <t>Consulting Fees - Admin and Finance</t>
        </is>
      </c>
      <c r="F16361" s="3" t="n">
        <v>2100</v>
      </c>
      <c r="G16361" s="3" t="n">
        <v>32025</v>
      </c>
    </row>
    <row r="16362">
      <c r="A16362" s="3" t="inlineStr">
        <is>
          <t>Opportunity Global Investment (PTY) LTD</t>
        </is>
      </c>
      <c r="B16362" s="4" t="n">
        <v>45230</v>
      </c>
      <c r="C16362" s="3" t="inlineStr">
        <is>
          <t>Expenses</t>
        </is>
      </c>
      <c r="D16362" s="3" t="inlineStr">
        <is>
          <t>3350/300</t>
        </is>
      </c>
      <c r="E16362" s="3" t="inlineStr">
        <is>
          <t>Consulting Fees - BLCS</t>
        </is>
      </c>
      <c r="F16362" s="3" t="n">
        <v>4000</v>
      </c>
      <c r="G16362" s="3" t="n">
        <v>18000</v>
      </c>
    </row>
    <row r="16363">
      <c r="A16363" s="3" t="inlineStr">
        <is>
          <t>Opportunity Global Investment (PTY) LTD</t>
        </is>
      </c>
      <c r="B16363" s="4" t="n">
        <v>45230</v>
      </c>
      <c r="C16363" s="3" t="inlineStr">
        <is>
          <t>Expenses</t>
        </is>
      </c>
      <c r="D16363" s="3" t="inlineStr">
        <is>
          <t>3350/400</t>
        </is>
      </c>
      <c r="E16363" s="3" t="inlineStr">
        <is>
          <t>Consulting Fees: Solaris Law</t>
        </is>
      </c>
      <c r="F16363" s="3" t="n">
        <v>35875</v>
      </c>
      <c r="G16363" s="3" t="n">
        <v>45875</v>
      </c>
    </row>
    <row r="16364">
      <c r="A16364" s="3" t="inlineStr">
        <is>
          <t>Quinate Consulting (Pty) Ltd</t>
        </is>
      </c>
      <c r="B16364" s="4" t="n">
        <v>45230</v>
      </c>
      <c r="C16364" s="3" t="inlineStr">
        <is>
          <t>Expenses</t>
        </is>
      </c>
      <c r="D16364" s="3" t="inlineStr">
        <is>
          <t>3351/000</t>
        </is>
      </c>
      <c r="E16364" s="3" t="inlineStr">
        <is>
          <t>Consulting fees - Trustees</t>
        </is>
      </c>
      <c r="F16364" s="3" t="n">
        <v>8400</v>
      </c>
      <c r="G16364" s="3" t="n">
        <v>66400</v>
      </c>
    </row>
    <row r="16365">
      <c r="A16365" s="3" t="inlineStr">
        <is>
          <t>Opportunity Global Investment (PTY) LTD</t>
        </is>
      </c>
      <c r="B16365" s="4" t="n">
        <v>45230</v>
      </c>
      <c r="C16365" s="3" t="inlineStr">
        <is>
          <t>Expenses</t>
        </is>
      </c>
      <c r="D16365" s="3" t="inlineStr">
        <is>
          <t>3354/000</t>
        </is>
      </c>
      <c r="E16365" s="3" t="inlineStr">
        <is>
          <t>Consulting Fees - Karien Muller</t>
        </is>
      </c>
      <c r="F16365" s="3" t="n">
        <v>0</v>
      </c>
      <c r="G16365" s="3" t="n">
        <v>12500</v>
      </c>
    </row>
    <row r="16366">
      <c r="A16366" s="3" t="inlineStr">
        <is>
          <t>Opportunity Management Holdings (PTY) LTD</t>
        </is>
      </c>
      <c r="B16366" s="4" t="n">
        <v>45230</v>
      </c>
      <c r="C16366" s="3" t="inlineStr">
        <is>
          <t>Expenses</t>
        </is>
      </c>
      <c r="D16366" s="3" t="inlineStr">
        <is>
          <t>3400/000</t>
        </is>
      </c>
      <c r="E16366" s="3" t="inlineStr">
        <is>
          <t>Courier _AND_ Postage</t>
        </is>
      </c>
      <c r="F16366" s="3" t="n">
        <v>0</v>
      </c>
      <c r="G16366" s="3" t="n">
        <v>664.3200000000001</v>
      </c>
    </row>
    <row r="16367">
      <c r="A16367" s="3" t="inlineStr">
        <is>
          <t>Quinate Consulting (Pty) Ltd</t>
        </is>
      </c>
      <c r="B16367" s="4" t="n">
        <v>45230</v>
      </c>
      <c r="C16367" s="3" t="inlineStr">
        <is>
          <t>Expenses</t>
        </is>
      </c>
      <c r="D16367" s="3" t="inlineStr">
        <is>
          <t>3450/001</t>
        </is>
      </c>
      <c r="E16367" s="3" t="inlineStr">
        <is>
          <t>Depreciation - Computer Equipment</t>
        </is>
      </c>
      <c r="F16367" s="3" t="n">
        <v>2331.65</v>
      </c>
      <c r="G16367" s="3" t="n">
        <v>18653.26</v>
      </c>
    </row>
    <row r="16368">
      <c r="A16368" s="3" t="inlineStr">
        <is>
          <t>Opportunity Global Investment (PTY) LTD</t>
        </is>
      </c>
      <c r="B16368" s="4" t="n">
        <v>45230</v>
      </c>
      <c r="C16368" s="3" t="inlineStr">
        <is>
          <t>Expenses</t>
        </is>
      </c>
      <c r="D16368" s="3" t="inlineStr">
        <is>
          <t>3450/001</t>
        </is>
      </c>
      <c r="E16368" s="3" t="inlineStr">
        <is>
          <t>Depreciation - Computer equipment</t>
        </is>
      </c>
      <c r="F16368" s="3" t="n">
        <v>880.08</v>
      </c>
      <c r="G16368" s="3" t="n">
        <v>7040.68</v>
      </c>
    </row>
    <row r="16369">
      <c r="A16369" s="3" t="inlineStr">
        <is>
          <t>Quinate Consulting (Pty) Ltd</t>
        </is>
      </c>
      <c r="B16369" s="4" t="n">
        <v>45230</v>
      </c>
      <c r="C16369" s="3" t="inlineStr">
        <is>
          <t>Expenses</t>
        </is>
      </c>
      <c r="D16369" s="3" t="inlineStr">
        <is>
          <t>3450/002</t>
        </is>
      </c>
      <c r="E16369" s="3" t="inlineStr">
        <is>
          <t>Depreciation - Site Containers</t>
        </is>
      </c>
      <c r="F16369" s="3" t="n">
        <v>318.84</v>
      </c>
      <c r="G16369" s="3" t="n">
        <v>2550.72</v>
      </c>
    </row>
    <row r="16370">
      <c r="A16370" s="3" t="inlineStr">
        <is>
          <t>Opportunity Global Sales (PTY) LTD</t>
        </is>
      </c>
      <c r="B16370" s="4" t="n">
        <v>45230</v>
      </c>
      <c r="C16370" s="3" t="inlineStr">
        <is>
          <t>Expenses</t>
        </is>
      </c>
      <c r="D16370" s="3" t="inlineStr">
        <is>
          <t>3450/030</t>
        </is>
      </c>
      <c r="E16370" s="3" t="inlineStr">
        <is>
          <t>Depreciation - Furniture and Fittings</t>
        </is>
      </c>
      <c r="F16370" s="3" t="n">
        <v>408.05</v>
      </c>
      <c r="G16370" s="3" t="n">
        <v>3264.41</v>
      </c>
    </row>
    <row r="16371">
      <c r="A16371" s="3" t="inlineStr">
        <is>
          <t>Opportunity Management Holdings (PTY) LTD</t>
        </is>
      </c>
      <c r="B16371" s="4" t="n">
        <v>45230</v>
      </c>
      <c r="C16371" s="3" t="inlineStr">
        <is>
          <t>Expenses</t>
        </is>
      </c>
      <c r="D16371" s="3" t="inlineStr">
        <is>
          <t>3451/000</t>
        </is>
      </c>
      <c r="E16371" s="3" t="inlineStr">
        <is>
          <t>Depreciation - Computer Equipment</t>
        </is>
      </c>
      <c r="F16371" s="3" t="n">
        <v>1035.18</v>
      </c>
      <c r="G16371" s="3" t="n">
        <v>2070.36</v>
      </c>
    </row>
    <row r="16372">
      <c r="A16372" s="3" t="inlineStr">
        <is>
          <t>Quinate Consulting (Pty) Ltd</t>
        </is>
      </c>
      <c r="B16372" s="4" t="n">
        <v>45230</v>
      </c>
      <c r="C16372" s="3" t="inlineStr">
        <is>
          <t>Expenses</t>
        </is>
      </c>
      <c r="D16372" s="3" t="inlineStr">
        <is>
          <t>3600/000</t>
        </is>
      </c>
      <c r="E16372" s="3" t="inlineStr">
        <is>
          <t>Donations</t>
        </is>
      </c>
      <c r="F16372" s="3" t="n">
        <v>572.45</v>
      </c>
      <c r="G16372" s="3" t="n">
        <v>4579.6</v>
      </c>
    </row>
    <row r="16373">
      <c r="A16373" s="3" t="inlineStr">
        <is>
          <t>Opportunity Global Investment (PTY) LTD</t>
        </is>
      </c>
      <c r="B16373" s="4" t="n">
        <v>45230</v>
      </c>
      <c r="C16373" s="3" t="inlineStr">
        <is>
          <t>Expenses</t>
        </is>
      </c>
      <c r="D16373" s="3" t="inlineStr">
        <is>
          <t>3650/000</t>
        </is>
      </c>
      <c r="E16373" s="3" t="inlineStr">
        <is>
          <t>Electricity _AND_ Water</t>
        </is>
      </c>
      <c r="F16373" s="3" t="n">
        <v>2950</v>
      </c>
      <c r="G16373" s="3" t="n">
        <v>23600</v>
      </c>
    </row>
    <row r="16374">
      <c r="A16374" s="3" t="inlineStr">
        <is>
          <t>Noble Shield (Pty) Ltd ta Go Letting</t>
        </is>
      </c>
      <c r="B16374" s="4" t="n">
        <v>45230</v>
      </c>
      <c r="C16374" s="3" t="inlineStr">
        <is>
          <t>Expenses</t>
        </is>
      </c>
      <c r="D16374" s="3" t="inlineStr">
        <is>
          <t>3651/000</t>
        </is>
      </c>
      <c r="E16374" s="3" t="inlineStr">
        <is>
          <t>Electricity _AND_ Water - Rentals</t>
        </is>
      </c>
      <c r="F16374" s="3" t="n">
        <v>0</v>
      </c>
      <c r="G16374" s="3" t="n">
        <v>1000</v>
      </c>
    </row>
    <row r="16375">
      <c r="A16375" s="3" t="inlineStr">
        <is>
          <t>Quinate Consulting (Pty) Ltd</t>
        </is>
      </c>
      <c r="B16375" s="4" t="n">
        <v>45230</v>
      </c>
      <c r="C16375" s="3" t="inlineStr">
        <is>
          <t>Expenses</t>
        </is>
      </c>
      <c r="D16375" s="3" t="inlineStr">
        <is>
          <t>3651/000</t>
        </is>
      </c>
      <c r="E16375" s="3" t="inlineStr">
        <is>
          <t>Electricity _AND_ Water - Southwark</t>
        </is>
      </c>
      <c r="F16375" s="3" t="n">
        <v>38314.68</v>
      </c>
      <c r="G16375" s="3" t="n">
        <v>231265.7</v>
      </c>
    </row>
    <row r="16376">
      <c r="A16376" s="3" t="inlineStr">
        <is>
          <t>Quinate Consulting (Pty) Ltd</t>
        </is>
      </c>
      <c r="B16376" s="4" t="n">
        <v>45230</v>
      </c>
      <c r="C16376" s="3" t="inlineStr">
        <is>
          <t>Expenses</t>
        </is>
      </c>
      <c r="D16376" s="3" t="inlineStr">
        <is>
          <t>3652/000</t>
        </is>
      </c>
      <c r="E16376" s="3" t="inlineStr">
        <is>
          <t>Electricity _AND_ Water - Soho</t>
        </is>
      </c>
      <c r="F16376" s="3" t="n">
        <v>25632.19</v>
      </c>
      <c r="G16376" s="3" t="n">
        <v>228128.47</v>
      </c>
    </row>
    <row r="16377">
      <c r="A16377" s="3" t="inlineStr">
        <is>
          <t>Quinate Consulting (Pty) Ltd</t>
        </is>
      </c>
      <c r="B16377" s="4" t="n">
        <v>45230</v>
      </c>
      <c r="C16377" s="3" t="inlineStr">
        <is>
          <t>Expenses</t>
        </is>
      </c>
      <c r="D16377" s="3" t="inlineStr">
        <is>
          <t>3653/000</t>
        </is>
      </c>
      <c r="E16377" s="3" t="inlineStr">
        <is>
          <t>Electricity _AND_ Water - Endulini</t>
        </is>
      </c>
      <c r="F16377" s="3" t="n">
        <v>0</v>
      </c>
      <c r="G16377" s="3" t="n">
        <v>-2732.43</v>
      </c>
    </row>
    <row r="16378">
      <c r="A16378" s="3" t="inlineStr">
        <is>
          <t>Opportunity Global Investment (PTY) LTD</t>
        </is>
      </c>
      <c r="B16378" s="4" t="n">
        <v>45230</v>
      </c>
      <c r="C16378" s="3" t="inlineStr">
        <is>
          <t>Expenses</t>
        </is>
      </c>
      <c r="D16378" s="3" t="inlineStr">
        <is>
          <t>3700/000</t>
        </is>
      </c>
      <c r="E16378" s="3" t="inlineStr">
        <is>
          <t>Entertainment Expenses</t>
        </is>
      </c>
      <c r="F16378" s="3" t="n">
        <v>547.5</v>
      </c>
      <c r="G16378" s="3" t="n">
        <v>4494.72</v>
      </c>
    </row>
    <row r="16379">
      <c r="A16379" s="3" t="inlineStr">
        <is>
          <t>Opportunity Global Sales (PTY) LTD</t>
        </is>
      </c>
      <c r="B16379" s="4" t="n">
        <v>45230</v>
      </c>
      <c r="C16379" s="3" t="inlineStr">
        <is>
          <t>Expenses</t>
        </is>
      </c>
      <c r="D16379" s="3" t="inlineStr">
        <is>
          <t>3700/000</t>
        </is>
      </c>
      <c r="E16379" s="3" t="inlineStr">
        <is>
          <t>Entertainment Expenses</t>
        </is>
      </c>
      <c r="F16379" s="3" t="n">
        <v>400</v>
      </c>
      <c r="G16379" s="3" t="n">
        <v>2280</v>
      </c>
    </row>
    <row r="16380">
      <c r="A16380" s="3" t="inlineStr">
        <is>
          <t>Opportunity Management Holdings (PTY) LTD</t>
        </is>
      </c>
      <c r="B16380" s="4" t="n">
        <v>45230</v>
      </c>
      <c r="C16380" s="3" t="inlineStr">
        <is>
          <t>Expenses</t>
        </is>
      </c>
      <c r="D16380" s="3" t="inlineStr">
        <is>
          <t>3700/000</t>
        </is>
      </c>
      <c r="E16380" s="3" t="inlineStr">
        <is>
          <t>Entertainment Expenses</t>
        </is>
      </c>
      <c r="F16380" s="3" t="n">
        <v>45</v>
      </c>
      <c r="G16380" s="3" t="n">
        <v>45</v>
      </c>
    </row>
    <row r="16381">
      <c r="A16381" s="3" t="inlineStr">
        <is>
          <t>Quinate Consulting (Pty) Ltd</t>
        </is>
      </c>
      <c r="B16381" s="4" t="n">
        <v>45230</v>
      </c>
      <c r="C16381" s="3" t="inlineStr">
        <is>
          <t>Expenses</t>
        </is>
      </c>
      <c r="D16381" s="3" t="inlineStr">
        <is>
          <t>3700/000</t>
        </is>
      </c>
      <c r="E16381" s="3" t="inlineStr">
        <is>
          <t>Entertainment Expenses</t>
        </is>
      </c>
      <c r="F16381" s="3" t="n">
        <v>0</v>
      </c>
      <c r="G16381" s="3" t="n">
        <v>11745.05</v>
      </c>
    </row>
    <row r="16382">
      <c r="A16382" s="3" t="inlineStr">
        <is>
          <t>Opportunity Management Holdings (PTY) LTD</t>
        </is>
      </c>
      <c r="B16382" s="4" t="n">
        <v>45230</v>
      </c>
      <c r="C16382" s="3" t="inlineStr">
        <is>
          <t>Expenses</t>
        </is>
      </c>
      <c r="D16382" s="3" t="inlineStr">
        <is>
          <t>3800/000</t>
        </is>
      </c>
      <c r="E16382" s="3" t="inlineStr">
        <is>
          <t>General Expenses</t>
        </is>
      </c>
      <c r="F16382" s="3" t="n">
        <v>0</v>
      </c>
      <c r="G16382" s="3" t="n">
        <v>418.94</v>
      </c>
    </row>
    <row r="16383">
      <c r="A16383" s="3" t="inlineStr">
        <is>
          <t>Opportunity Global Investment (PTY) LTD</t>
        </is>
      </c>
      <c r="B16383" s="4" t="n">
        <v>45230</v>
      </c>
      <c r="C16383" s="3" t="inlineStr">
        <is>
          <t>Expenses</t>
        </is>
      </c>
      <c r="D16383" s="3" t="inlineStr">
        <is>
          <t>3800/010</t>
        </is>
      </c>
      <c r="E16383" s="3" t="inlineStr">
        <is>
          <t>General Expences - Gifts</t>
        </is>
      </c>
      <c r="F16383" s="3" t="n">
        <v>0</v>
      </c>
      <c r="G16383" s="3" t="n">
        <v>5651.3</v>
      </c>
    </row>
    <row r="16384">
      <c r="A16384" s="3" t="inlineStr">
        <is>
          <t>Opportunity Global Sales (PTY) LTD</t>
        </is>
      </c>
      <c r="B16384" s="4" t="n">
        <v>45230</v>
      </c>
      <c r="C16384" s="3" t="inlineStr">
        <is>
          <t>Expenses</t>
        </is>
      </c>
      <c r="D16384" s="3" t="inlineStr">
        <is>
          <t>3800/010</t>
        </is>
      </c>
      <c r="E16384" s="3" t="inlineStr">
        <is>
          <t>General Expences - Gifts</t>
        </is>
      </c>
      <c r="F16384" s="3" t="n">
        <v>0</v>
      </c>
      <c r="G16384" s="3" t="n">
        <v>729.85</v>
      </c>
    </row>
    <row r="16385">
      <c r="A16385" s="3" t="inlineStr">
        <is>
          <t>Opportunity Management Holdings (PTY) LTD</t>
        </is>
      </c>
      <c r="B16385" s="4" t="n">
        <v>45230</v>
      </c>
      <c r="C16385" s="3" t="inlineStr">
        <is>
          <t>Expenses</t>
        </is>
      </c>
      <c r="D16385" s="3" t="inlineStr">
        <is>
          <t>3800/010</t>
        </is>
      </c>
      <c r="E16385" s="3" t="inlineStr">
        <is>
          <t>General Expenses - Gifts</t>
        </is>
      </c>
      <c r="F16385" s="3" t="n">
        <v>808.5700000000001</v>
      </c>
      <c r="G16385" s="3" t="n">
        <v>808.5700000000001</v>
      </c>
    </row>
    <row r="16386">
      <c r="A16386" s="3" t="inlineStr">
        <is>
          <t>Opportunity Management Holdings (PTY) LTD</t>
        </is>
      </c>
      <c r="B16386" s="4" t="n">
        <v>45230</v>
      </c>
      <c r="C16386" s="3" t="inlineStr">
        <is>
          <t>Expenses</t>
        </is>
      </c>
      <c r="D16386" s="3" t="inlineStr">
        <is>
          <t>3800/030</t>
        </is>
      </c>
      <c r="E16386" s="3" t="inlineStr">
        <is>
          <t>General Expenses: Showhouse Heron View</t>
        </is>
      </c>
      <c r="F16386" s="3" t="n">
        <v>0</v>
      </c>
      <c r="G16386" s="3" t="n">
        <v>987.72</v>
      </c>
    </row>
    <row r="16387">
      <c r="A16387" s="3" t="inlineStr">
        <is>
          <t>Opportunity Management Holdings (PTY) LTD</t>
        </is>
      </c>
      <c r="B16387" s="4" t="n">
        <v>45230</v>
      </c>
      <c r="C16387" s="3" t="inlineStr">
        <is>
          <t>Expenses</t>
        </is>
      </c>
      <c r="D16387" s="3" t="inlineStr">
        <is>
          <t>3850/000</t>
        </is>
      </c>
      <c r="E16387" s="3" t="inlineStr">
        <is>
          <t>Insurance - Momentum</t>
        </is>
      </c>
      <c r="F16387" s="3" t="n">
        <v>1696.06</v>
      </c>
      <c r="G16387" s="3" t="n">
        <v>3392.12</v>
      </c>
    </row>
    <row r="16388">
      <c r="A16388" s="3" t="inlineStr">
        <is>
          <t>Noble Shield (Pty) Ltd ta Go Letting</t>
        </is>
      </c>
      <c r="B16388" s="4" t="n">
        <v>45230</v>
      </c>
      <c r="C16388" s="3" t="inlineStr">
        <is>
          <t>Expenses</t>
        </is>
      </c>
      <c r="D16388" s="3" t="inlineStr">
        <is>
          <t>3850/100</t>
        </is>
      </c>
      <c r="E16388" s="3" t="inlineStr">
        <is>
          <t>Insurance - Santam</t>
        </is>
      </c>
      <c r="F16388" s="3" t="n">
        <v>4249.41</v>
      </c>
      <c r="G16388" s="3" t="n">
        <v>8498.82</v>
      </c>
    </row>
    <row r="16389">
      <c r="A16389" s="3" t="inlineStr">
        <is>
          <t>Noble Shield (Pty) Ltd ta Go Letting</t>
        </is>
      </c>
      <c r="B16389" s="4" t="n">
        <v>45230</v>
      </c>
      <c r="C16389" s="3" t="inlineStr">
        <is>
          <t>Expenses</t>
        </is>
      </c>
      <c r="D16389" s="3" t="inlineStr">
        <is>
          <t>3850/200</t>
        </is>
      </c>
      <c r="E16389" s="3" t="inlineStr">
        <is>
          <t>Insurance - A_AND_G</t>
        </is>
      </c>
      <c r="F16389" s="3" t="n">
        <v>0</v>
      </c>
      <c r="G16389" s="3" t="n">
        <v>4488.92</v>
      </c>
    </row>
    <row r="16390">
      <c r="A16390" s="3" t="inlineStr">
        <is>
          <t>Quinate Consulting (Pty) Ltd</t>
        </is>
      </c>
      <c r="B16390" s="4" t="n">
        <v>45230</v>
      </c>
      <c r="C16390" s="3" t="inlineStr">
        <is>
          <t>Expenses</t>
        </is>
      </c>
      <c r="D16390" s="3" t="inlineStr">
        <is>
          <t>3851/000</t>
        </is>
      </c>
      <c r="E16390" s="3" t="inlineStr">
        <is>
          <t>Insurance - Momentum</t>
        </is>
      </c>
      <c r="F16390" s="3" t="n">
        <v>9274.969999999999</v>
      </c>
      <c r="G16390" s="3" t="n">
        <v>65209.45</v>
      </c>
    </row>
    <row r="16391">
      <c r="A16391" s="3" t="inlineStr">
        <is>
          <t>Quinate Consulting (Pty) Ltd</t>
        </is>
      </c>
      <c r="B16391" s="4" t="n">
        <v>45230</v>
      </c>
      <c r="C16391" s="3" t="inlineStr">
        <is>
          <t>Expenses</t>
        </is>
      </c>
      <c r="D16391" s="3" t="inlineStr">
        <is>
          <t>3900/000</t>
        </is>
      </c>
      <c r="E16391" s="3" t="inlineStr">
        <is>
          <t>Interest Paid</t>
        </is>
      </c>
      <c r="F16391" s="3" t="n">
        <v>0</v>
      </c>
      <c r="G16391" s="3" t="n">
        <v>1307.76</v>
      </c>
    </row>
    <row r="16392">
      <c r="A16392" s="3" t="inlineStr">
        <is>
          <t>Quinate Consulting (Pty) Ltd</t>
        </is>
      </c>
      <c r="B16392" s="4" t="n">
        <v>45230</v>
      </c>
      <c r="C16392" s="3" t="inlineStr">
        <is>
          <t>Expenses</t>
        </is>
      </c>
      <c r="D16392" s="3" t="inlineStr">
        <is>
          <t>3900/050</t>
        </is>
      </c>
      <c r="E16392" s="3" t="inlineStr">
        <is>
          <t>Interest Paid - STD Bond Accounts</t>
        </is>
      </c>
      <c r="F16392" s="3" t="n">
        <v>67439.89</v>
      </c>
      <c r="G16392" s="3" t="n">
        <v>525346.9300000001</v>
      </c>
    </row>
    <row r="16393">
      <c r="A16393" s="3" t="inlineStr">
        <is>
          <t>Endulini (Pty) Ltd</t>
        </is>
      </c>
      <c r="B16393" s="4" t="n">
        <v>45230</v>
      </c>
      <c r="C16393" s="3" t="inlineStr">
        <is>
          <t>Expenses</t>
        </is>
      </c>
      <c r="D16393" s="3" t="inlineStr">
        <is>
          <t>3900/112</t>
        </is>
      </c>
      <c r="E16393" s="3" t="inlineStr">
        <is>
          <t>Interest Paid - Investors @ 6.5%</t>
        </is>
      </c>
      <c r="F16393" s="3" t="n">
        <v>0</v>
      </c>
      <c r="G16393" s="3" t="n">
        <v>605.49</v>
      </c>
    </row>
    <row r="16394">
      <c r="A16394" s="3" t="inlineStr">
        <is>
          <t>Endulini (Pty) Ltd</t>
        </is>
      </c>
      <c r="B16394" s="4" t="n">
        <v>45230</v>
      </c>
      <c r="C16394" s="3" t="inlineStr">
        <is>
          <t>Expenses</t>
        </is>
      </c>
      <c r="D16394" s="3" t="inlineStr">
        <is>
          <t>3900/113</t>
        </is>
      </c>
      <c r="E16394" s="3" t="inlineStr">
        <is>
          <t>Interest Paid - Investors @ 6.75%</t>
        </is>
      </c>
      <c r="F16394" s="3" t="n">
        <v>0</v>
      </c>
      <c r="G16394" s="3" t="n">
        <v>3532.19</v>
      </c>
    </row>
    <row r="16395">
      <c r="A16395" s="3" t="inlineStr">
        <is>
          <t>Endulini (Pty) Ltd</t>
        </is>
      </c>
      <c r="B16395" s="4" t="n">
        <v>45230</v>
      </c>
      <c r="C16395" s="3" t="inlineStr">
        <is>
          <t>Expenses</t>
        </is>
      </c>
      <c r="D16395" s="3" t="inlineStr">
        <is>
          <t>3900/120</t>
        </is>
      </c>
      <c r="E16395" s="3" t="inlineStr">
        <is>
          <t>Interest Paid - Investors @ 7%</t>
        </is>
      </c>
      <c r="F16395" s="3" t="n">
        <v>0</v>
      </c>
      <c r="G16395" s="3" t="n">
        <v>2794.72</v>
      </c>
    </row>
    <row r="16396">
      <c r="A16396" s="3" t="inlineStr">
        <is>
          <t>Endulini (Pty) Ltd</t>
        </is>
      </c>
      <c r="B16396" s="4" t="n">
        <v>45230</v>
      </c>
      <c r="C16396" s="3" t="inlineStr">
        <is>
          <t>Expenses</t>
        </is>
      </c>
      <c r="D16396" s="3" t="inlineStr">
        <is>
          <t>3900/122</t>
        </is>
      </c>
      <c r="E16396" s="3" t="inlineStr">
        <is>
          <t>Interest Paid - Investors @ 7.5%</t>
        </is>
      </c>
      <c r="F16396" s="3" t="n">
        <v>0</v>
      </c>
      <c r="G16396" s="3" t="n">
        <v>45.53</v>
      </c>
    </row>
    <row r="16397">
      <c r="A16397" s="3" t="inlineStr">
        <is>
          <t>Quinate Consulting (Pty) Ltd</t>
        </is>
      </c>
      <c r="B16397" s="4" t="n">
        <v>45230</v>
      </c>
      <c r="C16397" s="3" t="inlineStr">
        <is>
          <t>Expenses</t>
        </is>
      </c>
      <c r="D16397" s="3" t="inlineStr">
        <is>
          <t>3900/152</t>
        </is>
      </c>
      <c r="E16397" s="3" t="inlineStr">
        <is>
          <t>Interest Paid - Gengis</t>
        </is>
      </c>
      <c r="F16397" s="3" t="n">
        <v>3516.16</v>
      </c>
      <c r="G16397" s="3" t="n">
        <v>27789.04</v>
      </c>
    </row>
    <row r="16398">
      <c r="A16398" s="3" t="inlineStr">
        <is>
          <t>Endulini (Pty) Ltd</t>
        </is>
      </c>
      <c r="B16398" s="4" t="n">
        <v>45230</v>
      </c>
      <c r="C16398" s="3" t="inlineStr">
        <is>
          <t>Expenses</t>
        </is>
      </c>
      <c r="D16398" s="3" t="inlineStr">
        <is>
          <t>3900/190</t>
        </is>
      </c>
      <c r="E16398" s="3" t="inlineStr">
        <is>
          <t>Interest Paid - Investors @ 14%</t>
        </is>
      </c>
      <c r="F16398" s="3" t="n">
        <v>0</v>
      </c>
      <c r="G16398" s="3" t="n">
        <v>177783.07</v>
      </c>
    </row>
    <row r="16399">
      <c r="A16399" s="3" t="inlineStr">
        <is>
          <t>Endulini (Pty) Ltd</t>
        </is>
      </c>
      <c r="B16399" s="4" t="n">
        <v>45230</v>
      </c>
      <c r="C16399" s="3" t="inlineStr">
        <is>
          <t>Expenses</t>
        </is>
      </c>
      <c r="D16399" s="3" t="inlineStr">
        <is>
          <t>3900/210</t>
        </is>
      </c>
      <c r="E16399" s="3" t="inlineStr">
        <is>
          <t>Interest Paid - Investors @ 16%</t>
        </is>
      </c>
      <c r="F16399" s="3" t="n">
        <v>0</v>
      </c>
      <c r="G16399" s="3" t="n">
        <v>47736.98</v>
      </c>
    </row>
    <row r="16400">
      <c r="A16400" s="3" t="inlineStr">
        <is>
          <t>Endulini (Pty) Ltd</t>
        </is>
      </c>
      <c r="B16400" s="4" t="n">
        <v>45230</v>
      </c>
      <c r="C16400" s="3" t="inlineStr">
        <is>
          <t>Expenses</t>
        </is>
      </c>
      <c r="D16400" s="3" t="inlineStr">
        <is>
          <t>3900/230</t>
        </is>
      </c>
      <c r="E16400" s="3" t="inlineStr">
        <is>
          <t>Interest Paid - Investors @ 18%</t>
        </is>
      </c>
      <c r="F16400" s="3" t="n">
        <v>0</v>
      </c>
      <c r="G16400" s="3" t="n">
        <v>64356.16</v>
      </c>
    </row>
    <row r="16401">
      <c r="A16401" s="3" t="inlineStr">
        <is>
          <t>Opportunity Management Holdings (PTY) LTD</t>
        </is>
      </c>
      <c r="B16401" s="4" t="n">
        <v>45230</v>
      </c>
      <c r="C16401" s="3" t="inlineStr">
        <is>
          <t>Expenses</t>
        </is>
      </c>
      <c r="D16401" s="3" t="inlineStr">
        <is>
          <t>3960/000</t>
        </is>
      </c>
      <c r="E16401" s="3" t="inlineStr">
        <is>
          <t>Internet Fees</t>
        </is>
      </c>
      <c r="F16401" s="3" t="n">
        <v>611.63</v>
      </c>
      <c r="G16401" s="3" t="n">
        <v>1223.13</v>
      </c>
    </row>
    <row r="16402">
      <c r="A16402" s="3" t="inlineStr">
        <is>
          <t>Quinate Consulting (Pty) Ltd</t>
        </is>
      </c>
      <c r="B16402" s="4" t="n">
        <v>45230</v>
      </c>
      <c r="C16402" s="3" t="inlineStr">
        <is>
          <t>Expenses</t>
        </is>
      </c>
      <c r="D16402" s="3" t="inlineStr">
        <is>
          <t>4000/000</t>
        </is>
      </c>
      <c r="E16402" s="3" t="inlineStr">
        <is>
          <t>Legal Fees</t>
        </is>
      </c>
      <c r="F16402" s="3" t="n">
        <v>0</v>
      </c>
      <c r="G16402" s="3" t="n">
        <v>32576</v>
      </c>
    </row>
    <row r="16403">
      <c r="A16403" s="3" t="inlineStr">
        <is>
          <t>Quinate Consulting (Pty) Ltd</t>
        </is>
      </c>
      <c r="B16403" s="4" t="n">
        <v>45230</v>
      </c>
      <c r="C16403" s="3" t="inlineStr">
        <is>
          <t>Expenses</t>
        </is>
      </c>
      <c r="D16403" s="3" t="inlineStr">
        <is>
          <t>4065/000</t>
        </is>
      </c>
      <c r="E16403" s="3" t="inlineStr">
        <is>
          <t>Levies - SoHo</t>
        </is>
      </c>
      <c r="F16403" s="3" t="n">
        <v>6804.15</v>
      </c>
      <c r="G16403" s="3" t="n">
        <v>60002.66</v>
      </c>
    </row>
    <row r="16404">
      <c r="A16404" s="3" t="inlineStr">
        <is>
          <t>Quinate Consulting (Pty) Ltd</t>
        </is>
      </c>
      <c r="B16404" s="4" t="n">
        <v>45230</v>
      </c>
      <c r="C16404" s="3" t="inlineStr">
        <is>
          <t>Expenses</t>
        </is>
      </c>
      <c r="D16404" s="3" t="inlineStr">
        <is>
          <t>4066/000</t>
        </is>
      </c>
      <c r="E16404" s="3" t="inlineStr">
        <is>
          <t>Levies - Southwark</t>
        </is>
      </c>
      <c r="F16404" s="3" t="n">
        <v>3422.18</v>
      </c>
      <c r="G16404" s="3" t="n">
        <v>27377.44</v>
      </c>
    </row>
    <row r="16405">
      <c r="A16405" s="3" t="inlineStr">
        <is>
          <t>Quinate Consulting (Pty) Ltd</t>
        </is>
      </c>
      <c r="B16405" s="4" t="n">
        <v>45230</v>
      </c>
      <c r="C16405" s="3" t="inlineStr">
        <is>
          <t>Expenses</t>
        </is>
      </c>
      <c r="D16405" s="3" t="inlineStr">
        <is>
          <t>4067/000</t>
        </is>
      </c>
      <c r="E16405" s="3" t="inlineStr">
        <is>
          <t>Levies - C4 Property</t>
        </is>
      </c>
      <c r="F16405" s="3" t="n">
        <v>7687.62</v>
      </c>
      <c r="G16405" s="3" t="n">
        <v>67362.3</v>
      </c>
    </row>
    <row r="16406">
      <c r="A16406" s="3" t="inlineStr">
        <is>
          <t>Quinate Consulting (Pty) Ltd</t>
        </is>
      </c>
      <c r="B16406" s="4" t="n">
        <v>45230</v>
      </c>
      <c r="C16406" s="3" t="inlineStr">
        <is>
          <t>Expenses</t>
        </is>
      </c>
      <c r="D16406" s="3" t="inlineStr">
        <is>
          <t>4068/000</t>
        </is>
      </c>
      <c r="E16406" s="3" t="inlineStr">
        <is>
          <t>Levies Endulini</t>
        </is>
      </c>
      <c r="F16406" s="3" t="n">
        <v>0</v>
      </c>
      <c r="G16406" s="3" t="n">
        <v>5049.31</v>
      </c>
    </row>
    <row r="16407">
      <c r="A16407" s="3" t="inlineStr">
        <is>
          <t>Endulini (Pty) Ltd</t>
        </is>
      </c>
      <c r="B16407" s="4" t="n">
        <v>45230</v>
      </c>
      <c r="C16407" s="3" t="inlineStr">
        <is>
          <t>Expenses</t>
        </is>
      </c>
      <c r="D16407" s="3" t="inlineStr">
        <is>
          <t>4100/001</t>
        </is>
      </c>
      <c r="E16407" s="3" t="inlineStr">
        <is>
          <t>Momentum Admin Fee</t>
        </is>
      </c>
      <c r="F16407" s="3" t="n">
        <v>0.77</v>
      </c>
      <c r="G16407" s="3" t="n">
        <v>7.42</v>
      </c>
    </row>
    <row r="16408">
      <c r="A16408" s="3" t="inlineStr">
        <is>
          <t>Quinate Consulting (Pty) Ltd</t>
        </is>
      </c>
      <c r="B16408" s="4" t="n">
        <v>45230</v>
      </c>
      <c r="C16408" s="3" t="inlineStr">
        <is>
          <t>Expenses</t>
        </is>
      </c>
      <c r="D16408" s="3" t="inlineStr">
        <is>
          <t>4100/001</t>
        </is>
      </c>
      <c r="E16408" s="3" t="inlineStr">
        <is>
          <t>Momentum Advise Fee</t>
        </is>
      </c>
      <c r="F16408" s="3" t="n">
        <v>0.48</v>
      </c>
      <c r="G16408" s="3" t="n">
        <v>1.82</v>
      </c>
    </row>
    <row r="16409">
      <c r="A16409" s="3" t="inlineStr">
        <is>
          <t>Opportunity Global Investment (PTY) LTD</t>
        </is>
      </c>
      <c r="B16409" s="4" t="n">
        <v>45230</v>
      </c>
      <c r="C16409" s="3" t="inlineStr">
        <is>
          <t>Expenses</t>
        </is>
      </c>
      <c r="D16409" s="3" t="inlineStr">
        <is>
          <t>4100/100</t>
        </is>
      </c>
      <c r="E16409" s="3" t="inlineStr">
        <is>
          <t>Members Salaries - Nick Morgan</t>
        </is>
      </c>
      <c r="F16409" s="3" t="n">
        <v>41251.62</v>
      </c>
      <c r="G16409" s="3" t="n">
        <v>330012.91</v>
      </c>
    </row>
    <row r="16410">
      <c r="A16410" s="3" t="inlineStr">
        <is>
          <t>Opportunity Global Investment (PTY) LTD</t>
        </is>
      </c>
      <c r="B16410" s="4" t="n">
        <v>45230</v>
      </c>
      <c r="C16410" s="3" t="inlineStr">
        <is>
          <t>Expenses</t>
        </is>
      </c>
      <c r="D16410" s="3" t="inlineStr">
        <is>
          <t>4200/000</t>
        </is>
      </c>
      <c r="E16410" s="3" t="inlineStr">
        <is>
          <t>Printing _AND_ Stationery</t>
        </is>
      </c>
      <c r="F16410" s="3" t="n">
        <v>2776.57</v>
      </c>
      <c r="G16410" s="3" t="n">
        <v>19345.57</v>
      </c>
    </row>
    <row r="16411">
      <c r="A16411" s="3" t="inlineStr">
        <is>
          <t>Opportunity Global Sales (PTY) LTD</t>
        </is>
      </c>
      <c r="B16411" s="4" t="n">
        <v>45230</v>
      </c>
      <c r="C16411" s="3" t="inlineStr">
        <is>
          <t>Expenses</t>
        </is>
      </c>
      <c r="D16411" s="3" t="inlineStr">
        <is>
          <t>4200/000</t>
        </is>
      </c>
      <c r="E16411" s="3" t="inlineStr">
        <is>
          <t>Printing _AND_ Stationery</t>
        </is>
      </c>
      <c r="F16411" s="3" t="n">
        <v>0</v>
      </c>
      <c r="G16411" s="3" t="n">
        <v>286.96</v>
      </c>
    </row>
    <row r="16412">
      <c r="A16412" s="3" t="inlineStr">
        <is>
          <t>Opportunity Management Holdings (PTY) LTD</t>
        </is>
      </c>
      <c r="B16412" s="4" t="n">
        <v>45230</v>
      </c>
      <c r="C16412" s="3" t="inlineStr">
        <is>
          <t>Expenses</t>
        </is>
      </c>
      <c r="D16412" s="3" t="inlineStr">
        <is>
          <t>4200/000</t>
        </is>
      </c>
      <c r="E16412" s="3" t="inlineStr">
        <is>
          <t>Printing _AND_ Stationery</t>
        </is>
      </c>
      <c r="F16412" s="3" t="n">
        <v>1147.8</v>
      </c>
      <c r="G16412" s="3" t="n">
        <v>1147.8</v>
      </c>
    </row>
    <row r="16413">
      <c r="A16413" s="3" t="inlineStr">
        <is>
          <t>Quinate Consulting (Pty) Ltd</t>
        </is>
      </c>
      <c r="B16413" s="4" t="n">
        <v>45230</v>
      </c>
      <c r="C16413" s="3" t="inlineStr">
        <is>
          <t>Expenses</t>
        </is>
      </c>
      <c r="D16413" s="3" t="inlineStr">
        <is>
          <t>4200/000</t>
        </is>
      </c>
      <c r="E16413" s="3" t="inlineStr">
        <is>
          <t>Printing _AND_ Stationery</t>
        </is>
      </c>
      <c r="F16413" s="3" t="n">
        <v>0</v>
      </c>
      <c r="G16413" s="3" t="n">
        <v>62.61</v>
      </c>
    </row>
    <row r="16414">
      <c r="A16414" s="3" t="inlineStr">
        <is>
          <t>Noble Shield (Pty) Ltd ta Go Letting</t>
        </is>
      </c>
      <c r="B16414" s="4" t="n">
        <v>45230</v>
      </c>
      <c r="C16414" s="3" t="inlineStr">
        <is>
          <t>Expenses</t>
        </is>
      </c>
      <c r="D16414" s="3" t="inlineStr">
        <is>
          <t>4200/100</t>
        </is>
      </c>
      <c r="E16414" s="3" t="inlineStr">
        <is>
          <t>Printing - Merchant West- Printer Rental</t>
        </is>
      </c>
      <c r="F16414" s="3" t="n">
        <v>4677.86</v>
      </c>
      <c r="G16414" s="3" t="n">
        <v>6309.37</v>
      </c>
    </row>
    <row r="16415">
      <c r="A16415" s="3" t="inlineStr">
        <is>
          <t>Noble Shield (Pty) Ltd ta Go Letting</t>
        </is>
      </c>
      <c r="B16415" s="4" t="n">
        <v>45230</v>
      </c>
      <c r="C16415" s="3" t="inlineStr">
        <is>
          <t>Expenses</t>
        </is>
      </c>
      <c r="D16415" s="3" t="inlineStr">
        <is>
          <t>4200/120</t>
        </is>
      </c>
      <c r="E16415" s="3" t="inlineStr">
        <is>
          <t>Printing - Ivy Line - Prints</t>
        </is>
      </c>
      <c r="F16415" s="3" t="n">
        <v>712.59</v>
      </c>
      <c r="G16415" s="3" t="n">
        <v>1965.29</v>
      </c>
    </row>
    <row r="16416">
      <c r="A16416" s="3" t="inlineStr">
        <is>
          <t>Noble Shield (Pty) Ltd ta Go Letting</t>
        </is>
      </c>
      <c r="B16416" s="4" t="n">
        <v>45230</v>
      </c>
      <c r="C16416" s="3" t="inlineStr">
        <is>
          <t>Expenses</t>
        </is>
      </c>
      <c r="D16416" s="3" t="inlineStr">
        <is>
          <t>4200/180</t>
        </is>
      </c>
      <c r="E16416" s="3" t="inlineStr">
        <is>
          <t>Printing - Ikon</t>
        </is>
      </c>
      <c r="F16416" s="3" t="n">
        <v>294.69</v>
      </c>
      <c r="G16416" s="3" t="n">
        <v>572.3</v>
      </c>
    </row>
    <row r="16417">
      <c r="A16417" s="3" t="inlineStr">
        <is>
          <t>Noble Shield (Pty) Ltd ta Go Letting</t>
        </is>
      </c>
      <c r="B16417" s="4" t="n">
        <v>45230</v>
      </c>
      <c r="C16417" s="3" t="inlineStr">
        <is>
          <t>Expenses</t>
        </is>
      </c>
      <c r="D16417" s="3" t="inlineStr">
        <is>
          <t>4200/190</t>
        </is>
      </c>
      <c r="E16417" s="3" t="inlineStr">
        <is>
          <t>Printing - Centrafin printer rental</t>
        </is>
      </c>
      <c r="F16417" s="3" t="n">
        <v>2919.25</v>
      </c>
      <c r="G16417" s="3" t="n">
        <v>5838.5</v>
      </c>
    </row>
    <row r="16418">
      <c r="A16418" s="3" t="inlineStr">
        <is>
          <t>Noble Shield (Pty) Ltd ta Go Letting</t>
        </is>
      </c>
      <c r="B16418" s="4" t="n">
        <v>45230</v>
      </c>
      <c r="C16418" s="3" t="inlineStr">
        <is>
          <t>Expenses</t>
        </is>
      </c>
      <c r="D16418" s="3" t="inlineStr">
        <is>
          <t>4200/200</t>
        </is>
      </c>
      <c r="E16418" s="3" t="inlineStr">
        <is>
          <t>Printing - General Stationery VDB Office</t>
        </is>
      </c>
      <c r="F16418" s="3" t="n">
        <v>2144.2</v>
      </c>
      <c r="G16418" s="3" t="n">
        <v>2144.2</v>
      </c>
    </row>
    <row r="16419">
      <c r="A16419" s="3" t="inlineStr">
        <is>
          <t>Opportunity Global Investment (PTY) LTD</t>
        </is>
      </c>
      <c r="B16419" s="4" t="n">
        <v>45230</v>
      </c>
      <c r="C16419" s="3" t="inlineStr">
        <is>
          <t>Expenses</t>
        </is>
      </c>
      <c r="D16419" s="3" t="inlineStr">
        <is>
          <t>4220/000</t>
        </is>
      </c>
      <c r="E16419" s="3" t="inlineStr">
        <is>
          <t>Motor Vehicle Expenses - Petrol _AND_ Oil</t>
        </is>
      </c>
      <c r="F16419" s="3" t="n">
        <v>2962.23</v>
      </c>
      <c r="G16419" s="3" t="n">
        <v>16758.82</v>
      </c>
    </row>
    <row r="16420">
      <c r="A16420" s="3" t="inlineStr">
        <is>
          <t>Noble Shield (Pty) Ltd ta Go Letting</t>
        </is>
      </c>
      <c r="B16420" s="4" t="n">
        <v>45230</v>
      </c>
      <c r="C16420" s="3" t="inlineStr">
        <is>
          <t>Expenses</t>
        </is>
      </c>
      <c r="D16420" s="3" t="inlineStr">
        <is>
          <t>4290/000</t>
        </is>
      </c>
      <c r="E16420" s="3" t="inlineStr">
        <is>
          <t>Refreshments - CT Office</t>
        </is>
      </c>
      <c r="F16420" s="3" t="n">
        <v>1418.49</v>
      </c>
      <c r="G16420" s="3" t="n">
        <v>2927.65</v>
      </c>
    </row>
    <row r="16421">
      <c r="A16421" s="3" t="inlineStr">
        <is>
          <t>Opportunity Global Investment (PTY) LTD</t>
        </is>
      </c>
      <c r="B16421" s="4" t="n">
        <v>45230</v>
      </c>
      <c r="C16421" s="3" t="inlineStr">
        <is>
          <t>Expenses</t>
        </is>
      </c>
      <c r="D16421" s="3" t="inlineStr">
        <is>
          <t>4290/000</t>
        </is>
      </c>
      <c r="E16421" s="3" t="inlineStr">
        <is>
          <t>Rent</t>
        </is>
      </c>
      <c r="F16421" s="3" t="n">
        <v>8770</v>
      </c>
      <c r="G16421" s="3" t="n">
        <v>70160</v>
      </c>
    </row>
    <row r="16422">
      <c r="A16422" s="3" t="inlineStr">
        <is>
          <t>Noble Shield (Pty) Ltd ta Go Letting</t>
        </is>
      </c>
      <c r="B16422" s="4" t="n">
        <v>45230</v>
      </c>
      <c r="C16422" s="3" t="inlineStr">
        <is>
          <t>Expenses</t>
        </is>
      </c>
      <c r="D16422" s="3" t="inlineStr">
        <is>
          <t>4291/000</t>
        </is>
      </c>
      <c r="E16422" s="3" t="inlineStr">
        <is>
          <t>Refreshments - VDB Office</t>
        </is>
      </c>
      <c r="F16422" s="3" t="n">
        <v>294.1</v>
      </c>
      <c r="G16422" s="3" t="n">
        <v>922.04</v>
      </c>
    </row>
    <row r="16423">
      <c r="A16423" s="3" t="inlineStr">
        <is>
          <t>Trademark Holdings (Pty) Ltd</t>
        </is>
      </c>
      <c r="B16423" s="4" t="n">
        <v>45230</v>
      </c>
      <c r="C16423" s="3" t="inlineStr">
        <is>
          <t>Expenses</t>
        </is>
      </c>
      <c r="D16423" s="3" t="inlineStr">
        <is>
          <t>4300/000</t>
        </is>
      </c>
      <c r="E16423" s="3" t="inlineStr">
        <is>
          <t>Rent Paid</t>
        </is>
      </c>
      <c r="F16423" s="3" t="n">
        <v>6840</v>
      </c>
      <c r="G16423" s="3" t="n">
        <v>13680</v>
      </c>
    </row>
    <row r="16424">
      <c r="A16424" s="3" t="inlineStr">
        <is>
          <t>Opportunity Global Investment (PTY) LTD</t>
        </is>
      </c>
      <c r="B16424" s="4" t="n">
        <v>45230</v>
      </c>
      <c r="C16424" s="3" t="inlineStr">
        <is>
          <t>Expenses</t>
        </is>
      </c>
      <c r="D16424" s="3" t="inlineStr">
        <is>
          <t>4310/000</t>
        </is>
      </c>
      <c r="E16424" s="3" t="inlineStr">
        <is>
          <t>Refreshments</t>
        </is>
      </c>
      <c r="F16424" s="3" t="n">
        <v>2521</v>
      </c>
      <c r="G16424" s="3" t="n">
        <v>20216.26</v>
      </c>
    </row>
    <row r="16425">
      <c r="A16425" s="3" t="inlineStr">
        <is>
          <t>Opportunity Management Holdings (PTY) LTD</t>
        </is>
      </c>
      <c r="B16425" s="4" t="n">
        <v>45230</v>
      </c>
      <c r="C16425" s="3" t="inlineStr">
        <is>
          <t>Expenses</t>
        </is>
      </c>
      <c r="D16425" s="3" t="inlineStr">
        <is>
          <t>4310/000</t>
        </is>
      </c>
      <c r="E16425" s="3" t="inlineStr">
        <is>
          <t>Refreshments</t>
        </is>
      </c>
      <c r="F16425" s="3" t="n">
        <v>12035.25</v>
      </c>
      <c r="G16425" s="3" t="n">
        <v>22880.14</v>
      </c>
    </row>
    <row r="16426">
      <c r="A16426" s="3" t="inlineStr">
        <is>
          <t>Quinate Consulting (Pty) Ltd</t>
        </is>
      </c>
      <c r="B16426" s="4" t="n">
        <v>45230</v>
      </c>
      <c r="C16426" s="3" t="inlineStr">
        <is>
          <t>Expenses</t>
        </is>
      </c>
      <c r="D16426" s="3" t="inlineStr">
        <is>
          <t>4312/000</t>
        </is>
      </c>
      <c r="E16426" s="3" t="inlineStr">
        <is>
          <t>Rates - SoHo Units</t>
        </is>
      </c>
      <c r="F16426" s="3" t="n">
        <v>2730.49</v>
      </c>
      <c r="G16426" s="3" t="n">
        <v>21013.64</v>
      </c>
    </row>
    <row r="16427">
      <c r="A16427" s="3" t="inlineStr">
        <is>
          <t>Endulini (Pty) Ltd</t>
        </is>
      </c>
      <c r="B16427" s="4" t="n">
        <v>45230</v>
      </c>
      <c r="C16427" s="3" t="inlineStr">
        <is>
          <t>Expenses</t>
        </is>
      </c>
      <c r="D16427" s="3" t="inlineStr">
        <is>
          <t>4350/000</t>
        </is>
      </c>
      <c r="E16427" s="3" t="inlineStr">
        <is>
          <t>Repairs _AND_ Maintenance</t>
        </is>
      </c>
      <c r="F16427" s="3" t="n">
        <v>0</v>
      </c>
      <c r="G16427" s="3" t="n">
        <v>29511.32</v>
      </c>
    </row>
    <row r="16428">
      <c r="A16428" s="3" t="inlineStr">
        <is>
          <t>Opportunity Global Sales (PTY) LTD</t>
        </is>
      </c>
      <c r="B16428" s="4" t="n">
        <v>45230</v>
      </c>
      <c r="C16428" s="3" t="inlineStr">
        <is>
          <t>Expenses</t>
        </is>
      </c>
      <c r="D16428" s="3" t="inlineStr">
        <is>
          <t>4350/000</t>
        </is>
      </c>
      <c r="E16428" s="3" t="inlineStr">
        <is>
          <t>Repairs _AND_ Maintenance</t>
        </is>
      </c>
      <c r="F16428" s="3" t="n">
        <v>469.52</v>
      </c>
      <c r="G16428" s="3" t="n">
        <v>469.52</v>
      </c>
    </row>
    <row r="16429">
      <c r="A16429" s="3" t="inlineStr">
        <is>
          <t>Opportunity Management Holdings (PTY) LTD</t>
        </is>
      </c>
      <c r="B16429" s="4" t="n">
        <v>45230</v>
      </c>
      <c r="C16429" s="3" t="inlineStr">
        <is>
          <t>Expenses</t>
        </is>
      </c>
      <c r="D16429" s="3" t="inlineStr">
        <is>
          <t>4350/000</t>
        </is>
      </c>
      <c r="E16429" s="3" t="inlineStr">
        <is>
          <t>Repairs _AND_ Maintenance</t>
        </is>
      </c>
      <c r="F16429" s="3" t="n">
        <v>1484.57</v>
      </c>
      <c r="G16429" s="3" t="n">
        <v>1484.57</v>
      </c>
    </row>
    <row r="16430">
      <c r="A16430" s="3" t="inlineStr">
        <is>
          <t>Quinate Consulting (Pty) Ltd</t>
        </is>
      </c>
      <c r="B16430" s="4" t="n">
        <v>45230</v>
      </c>
      <c r="C16430" s="3" t="inlineStr">
        <is>
          <t>Expenses</t>
        </is>
      </c>
      <c r="D16430" s="3" t="inlineStr">
        <is>
          <t>4350/000</t>
        </is>
      </c>
      <c r="E16430" s="3" t="inlineStr">
        <is>
          <t>Repairs and Maintenance - Southwark Units</t>
        </is>
      </c>
      <c r="F16430" s="3" t="n">
        <v>0</v>
      </c>
      <c r="G16430" s="3" t="n">
        <v>4760.7</v>
      </c>
    </row>
    <row r="16431">
      <c r="A16431" s="3" t="inlineStr">
        <is>
          <t>Endulini (Pty) Ltd</t>
        </is>
      </c>
      <c r="B16431" s="4" t="n">
        <v>45230</v>
      </c>
      <c r="C16431" s="3" t="inlineStr">
        <is>
          <t>Expenses</t>
        </is>
      </c>
      <c r="D16431" s="3" t="inlineStr">
        <is>
          <t>4351/000</t>
        </is>
      </c>
      <c r="E16431" s="3" t="inlineStr">
        <is>
          <t>Repair &amp; Maintenance - Rentals</t>
        </is>
      </c>
      <c r="F16431" s="3" t="n">
        <v>0</v>
      </c>
      <c r="G16431" s="3" t="n">
        <v>1913.04</v>
      </c>
    </row>
    <row r="16432">
      <c r="A16432" s="3" t="inlineStr">
        <is>
          <t>Noble Shield (Pty) Ltd ta Go Letting</t>
        </is>
      </c>
      <c r="B16432" s="4" t="n">
        <v>45230</v>
      </c>
      <c r="C16432" s="3" t="inlineStr">
        <is>
          <t>Expenses</t>
        </is>
      </c>
      <c r="D16432" s="3" t="inlineStr">
        <is>
          <t>4351/000</t>
        </is>
      </c>
      <c r="E16432" s="3" t="inlineStr">
        <is>
          <t>Repairs _AND_ Maintanence - Rentals</t>
        </is>
      </c>
      <c r="F16432" s="3" t="n">
        <v>79.16</v>
      </c>
      <c r="G16432" s="3" t="n">
        <v>79.16</v>
      </c>
    </row>
    <row r="16433">
      <c r="A16433" s="3" t="inlineStr">
        <is>
          <t>Quinate Consulting (Pty) Ltd</t>
        </is>
      </c>
      <c r="B16433" s="4" t="n">
        <v>45230</v>
      </c>
      <c r="C16433" s="3" t="inlineStr">
        <is>
          <t>Expenses</t>
        </is>
      </c>
      <c r="D16433" s="3" t="inlineStr">
        <is>
          <t>4351/100</t>
        </is>
      </c>
      <c r="E16433" s="3" t="inlineStr">
        <is>
          <t>Repairs and Maintenance -  Soho Units</t>
        </is>
      </c>
      <c r="F16433" s="3" t="n">
        <v>0</v>
      </c>
      <c r="G16433" s="3" t="n">
        <v>2400</v>
      </c>
    </row>
    <row r="16434">
      <c r="A16434" s="3" t="inlineStr">
        <is>
          <t>Opportunity Global Investment (PTY) LTD</t>
        </is>
      </c>
      <c r="B16434" s="4" t="n">
        <v>45230</v>
      </c>
      <c r="C16434" s="3" t="inlineStr">
        <is>
          <t>Expenses</t>
        </is>
      </c>
      <c r="D16434" s="3" t="inlineStr">
        <is>
          <t>4360/000</t>
        </is>
      </c>
      <c r="E16434" s="3" t="inlineStr">
        <is>
          <t>Secretarial - CIPC</t>
        </is>
      </c>
      <c r="F16434" s="3" t="n">
        <v>0</v>
      </c>
      <c r="G16434" s="3" t="n">
        <v>800</v>
      </c>
    </row>
    <row r="16435">
      <c r="A16435" s="3" t="inlineStr">
        <is>
          <t>Opportunity Global Sales (PTY) LTD</t>
        </is>
      </c>
      <c r="B16435" s="4" t="n">
        <v>45230</v>
      </c>
      <c r="C16435" s="3" t="inlineStr">
        <is>
          <t>Expenses</t>
        </is>
      </c>
      <c r="D16435" s="3" t="inlineStr">
        <is>
          <t>4390/000</t>
        </is>
      </c>
      <c r="E16435" s="3" t="inlineStr">
        <is>
          <t>Small Assets</t>
        </is>
      </c>
      <c r="F16435" s="3" t="n">
        <v>0</v>
      </c>
      <c r="G16435" s="3" t="n">
        <v>1477.39</v>
      </c>
    </row>
    <row r="16436">
      <c r="A16436" s="3" t="inlineStr">
        <is>
          <t>Opportunity Management Holdings (PTY) LTD</t>
        </is>
      </c>
      <c r="B16436" s="4" t="n">
        <v>45230</v>
      </c>
      <c r="C16436" s="3" t="inlineStr">
        <is>
          <t>Expenses</t>
        </is>
      </c>
      <c r="D16436" s="3" t="inlineStr">
        <is>
          <t>4390/000</t>
        </is>
      </c>
      <c r="E16436" s="3" t="inlineStr">
        <is>
          <t>Small Assets</t>
        </is>
      </c>
      <c r="F16436" s="3" t="n">
        <v>4050</v>
      </c>
      <c r="G16436" s="3" t="n">
        <v>5686.52</v>
      </c>
    </row>
    <row r="16437">
      <c r="A16437" s="3" t="inlineStr">
        <is>
          <t>Noble Shield (Pty) Ltd ta Go Letting</t>
        </is>
      </c>
      <c r="B16437" s="4" t="n">
        <v>45230</v>
      </c>
      <c r="C16437" s="3" t="inlineStr">
        <is>
          <t>Expenses</t>
        </is>
      </c>
      <c r="D16437" s="3" t="inlineStr">
        <is>
          <t>4400/000</t>
        </is>
      </c>
      <c r="E16437" s="3" t="inlineStr">
        <is>
          <t>Salaries _AND_ Wages</t>
        </is>
      </c>
      <c r="F16437" s="3" t="n">
        <v>26915.7</v>
      </c>
      <c r="G16437" s="3" t="n">
        <v>53831.4</v>
      </c>
    </row>
    <row r="16438">
      <c r="A16438" s="3" t="inlineStr">
        <is>
          <t>Opportunity Global Sales (PTY) LTD</t>
        </is>
      </c>
      <c r="B16438" s="4" t="n">
        <v>45230</v>
      </c>
      <c r="C16438" s="3" t="inlineStr">
        <is>
          <t>Expenses</t>
        </is>
      </c>
      <c r="D16438" s="3" t="inlineStr">
        <is>
          <t>4400/000</t>
        </is>
      </c>
      <c r="E16438" s="3" t="inlineStr">
        <is>
          <t>Salaries _AND_ Wages</t>
        </is>
      </c>
      <c r="F16438" s="3" t="n">
        <v>55267.04</v>
      </c>
      <c r="G16438" s="3" t="n">
        <v>436536.37</v>
      </c>
    </row>
    <row r="16439">
      <c r="A16439" s="3" t="inlineStr">
        <is>
          <t>Opportunity Management Holdings (PTY) LTD</t>
        </is>
      </c>
      <c r="B16439" s="4" t="n">
        <v>45230</v>
      </c>
      <c r="C16439" s="3" t="inlineStr">
        <is>
          <t>Expenses</t>
        </is>
      </c>
      <c r="D16439" s="3" t="inlineStr">
        <is>
          <t>4400/000</t>
        </is>
      </c>
      <c r="E16439" s="3" t="inlineStr">
        <is>
          <t>Salaries _AND_ Wages</t>
        </is>
      </c>
      <c r="F16439" s="3" t="n">
        <v>208064.69</v>
      </c>
      <c r="G16439" s="3" t="n">
        <v>419814.41</v>
      </c>
    </row>
    <row r="16440">
      <c r="A16440" s="3" t="inlineStr">
        <is>
          <t>Trademark Holdings (Pty) Ltd</t>
        </is>
      </c>
      <c r="B16440" s="4" t="n">
        <v>45230</v>
      </c>
      <c r="C16440" s="3" t="inlineStr">
        <is>
          <t>Expenses</t>
        </is>
      </c>
      <c r="D16440" s="3" t="inlineStr">
        <is>
          <t>4400/000</t>
        </is>
      </c>
      <c r="E16440" s="3" t="inlineStr">
        <is>
          <t>Salaries _AND_ Wages</t>
        </is>
      </c>
      <c r="F16440" s="3" t="n">
        <v>12429.45</v>
      </c>
      <c r="G16440" s="3" t="n">
        <v>24858.9</v>
      </c>
    </row>
    <row r="16441">
      <c r="A16441" s="3" t="inlineStr">
        <is>
          <t>Opportunity Global Investment (PTY) LTD</t>
        </is>
      </c>
      <c r="B16441" s="4" t="n">
        <v>45230</v>
      </c>
      <c r="C16441" s="3" t="inlineStr">
        <is>
          <t>Expenses</t>
        </is>
      </c>
      <c r="D16441" s="3" t="inlineStr">
        <is>
          <t>4450/000</t>
        </is>
      </c>
      <c r="E16441" s="3" t="inlineStr">
        <is>
          <t>Staff Training</t>
        </is>
      </c>
      <c r="F16441" s="3" t="n">
        <v>0</v>
      </c>
      <c r="G16441" s="3" t="n">
        <v>5495.66</v>
      </c>
    </row>
    <row r="16442">
      <c r="A16442" s="3" t="inlineStr">
        <is>
          <t>Opportunity Global Sales (PTY) LTD</t>
        </is>
      </c>
      <c r="B16442" s="4" t="n">
        <v>45230</v>
      </c>
      <c r="C16442" s="3" t="inlineStr">
        <is>
          <t>Expenses</t>
        </is>
      </c>
      <c r="D16442" s="3" t="inlineStr">
        <is>
          <t>4450/000</t>
        </is>
      </c>
      <c r="E16442" s="3" t="inlineStr">
        <is>
          <t>Staff Training</t>
        </is>
      </c>
      <c r="F16442" s="3" t="n">
        <v>0</v>
      </c>
      <c r="G16442" s="3" t="n">
        <v>695.65</v>
      </c>
    </row>
    <row r="16443">
      <c r="A16443" s="3" t="inlineStr">
        <is>
          <t>Noble Shield (Pty) Ltd ta Go Letting</t>
        </is>
      </c>
      <c r="B16443" s="4" t="n">
        <v>45230</v>
      </c>
      <c r="C16443" s="3" t="inlineStr">
        <is>
          <t>Expenses</t>
        </is>
      </c>
      <c r="D16443" s="3" t="inlineStr">
        <is>
          <t>4500/000</t>
        </is>
      </c>
      <c r="E16443" s="3" t="inlineStr">
        <is>
          <t>Staff Welfare</t>
        </is>
      </c>
      <c r="F16443" s="3" t="n">
        <v>410</v>
      </c>
      <c r="G16443" s="3" t="n">
        <v>410</v>
      </c>
    </row>
    <row r="16444">
      <c r="A16444" s="3" t="inlineStr">
        <is>
          <t>Opportunity Global Investment (PTY) LTD</t>
        </is>
      </c>
      <c r="B16444" s="4" t="n">
        <v>45230</v>
      </c>
      <c r="C16444" s="3" t="inlineStr">
        <is>
          <t>Expenses</t>
        </is>
      </c>
      <c r="D16444" s="3" t="inlineStr">
        <is>
          <t>4500/000</t>
        </is>
      </c>
      <c r="E16444" s="3" t="inlineStr">
        <is>
          <t>Staff Welfare</t>
        </is>
      </c>
      <c r="F16444" s="3" t="n">
        <v>0</v>
      </c>
      <c r="G16444" s="3" t="n">
        <v>832.47</v>
      </c>
    </row>
    <row r="16445">
      <c r="A16445" s="3" t="inlineStr">
        <is>
          <t>Opportunity Global Sales (PTY) LTD</t>
        </is>
      </c>
      <c r="B16445" s="4" t="n">
        <v>45230</v>
      </c>
      <c r="C16445" s="3" t="inlineStr">
        <is>
          <t>Expenses</t>
        </is>
      </c>
      <c r="D16445" s="3" t="inlineStr">
        <is>
          <t>4500/000</t>
        </is>
      </c>
      <c r="E16445" s="3" t="inlineStr">
        <is>
          <t>Staff Welfare</t>
        </is>
      </c>
      <c r="F16445" s="3" t="n">
        <v>1500</v>
      </c>
      <c r="G16445" s="3" t="n">
        <v>2642.17</v>
      </c>
    </row>
    <row r="16446">
      <c r="A16446" s="3" t="inlineStr">
        <is>
          <t>Opportunity Management Holdings (PTY) LTD</t>
        </is>
      </c>
      <c r="B16446" s="4" t="n">
        <v>45230</v>
      </c>
      <c r="C16446" s="3" t="inlineStr">
        <is>
          <t>Expenses</t>
        </is>
      </c>
      <c r="D16446" s="3" t="inlineStr">
        <is>
          <t>4500/000</t>
        </is>
      </c>
      <c r="E16446" s="3" t="inlineStr">
        <is>
          <t>Staff Welfare</t>
        </is>
      </c>
      <c r="F16446" s="3" t="n">
        <v>4355.81</v>
      </c>
      <c r="G16446" s="3" t="n">
        <v>4355.81</v>
      </c>
    </row>
    <row r="16447">
      <c r="A16447" s="3" t="inlineStr">
        <is>
          <t>Quinate Consulting (Pty) Ltd</t>
        </is>
      </c>
      <c r="B16447" s="4" t="n">
        <v>45230</v>
      </c>
      <c r="C16447" s="3" t="inlineStr">
        <is>
          <t>Expenses</t>
        </is>
      </c>
      <c r="D16447" s="3" t="inlineStr">
        <is>
          <t>4500/000</t>
        </is>
      </c>
      <c r="E16447" s="3" t="inlineStr">
        <is>
          <t>Staff Welfare</t>
        </is>
      </c>
      <c r="F16447" s="3" t="n">
        <v>0</v>
      </c>
      <c r="G16447" s="3" t="n">
        <v>1463.8</v>
      </c>
    </row>
    <row r="16448">
      <c r="A16448" s="3" t="inlineStr">
        <is>
          <t>Noble Shield (Pty) Ltd ta Go Letting</t>
        </is>
      </c>
      <c r="B16448" s="4" t="n">
        <v>45230</v>
      </c>
      <c r="C16448" s="3" t="inlineStr">
        <is>
          <t>Expenses</t>
        </is>
      </c>
      <c r="D16448" s="3" t="inlineStr">
        <is>
          <t>4520/000</t>
        </is>
      </c>
      <c r="E16448" s="3" t="inlineStr">
        <is>
          <t>Security</t>
        </is>
      </c>
      <c r="F16448" s="3" t="n">
        <v>815</v>
      </c>
      <c r="G16448" s="3" t="n">
        <v>2061.44</v>
      </c>
    </row>
    <row r="16449">
      <c r="A16449" s="3" t="inlineStr">
        <is>
          <t>Opportunity Global Investment (PTY) LTD</t>
        </is>
      </c>
      <c r="B16449" s="4" t="n">
        <v>45230</v>
      </c>
      <c r="C16449" s="3" t="inlineStr">
        <is>
          <t>Expenses</t>
        </is>
      </c>
      <c r="D16449" s="3" t="inlineStr">
        <is>
          <t>4550/000</t>
        </is>
      </c>
      <c r="E16449" s="3" t="inlineStr">
        <is>
          <t>Subscriptions</t>
        </is>
      </c>
      <c r="F16449" s="3" t="n">
        <v>3191.31</v>
      </c>
      <c r="G16449" s="3" t="n">
        <v>8643.32</v>
      </c>
    </row>
    <row r="16450">
      <c r="A16450" s="3" t="inlineStr">
        <is>
          <t>Opportunity Global Sales (PTY) LTD</t>
        </is>
      </c>
      <c r="B16450" s="4" t="n">
        <v>45230</v>
      </c>
      <c r="C16450" s="3" t="inlineStr">
        <is>
          <t>Expenses</t>
        </is>
      </c>
      <c r="D16450" s="3" t="inlineStr">
        <is>
          <t>4550/000</t>
        </is>
      </c>
      <c r="E16450" s="3" t="inlineStr">
        <is>
          <t>Subscriptions - General</t>
        </is>
      </c>
      <c r="F16450" s="3" t="n">
        <v>1422.61</v>
      </c>
      <c r="G16450" s="3" t="n">
        <v>1422.61</v>
      </c>
    </row>
    <row r="16451">
      <c r="A16451" s="3" t="inlineStr">
        <is>
          <t>Quinate Consulting (Pty) Ltd</t>
        </is>
      </c>
      <c r="B16451" s="4" t="n">
        <v>45230</v>
      </c>
      <c r="C16451" s="3" t="inlineStr">
        <is>
          <t>Expenses</t>
        </is>
      </c>
      <c r="D16451" s="3" t="inlineStr">
        <is>
          <t>4550/000</t>
        </is>
      </c>
      <c r="E16451" s="3" t="inlineStr">
        <is>
          <t>Subscriptions / Licenses</t>
        </is>
      </c>
      <c r="F16451" s="3" t="n">
        <v>12136.1</v>
      </c>
      <c r="G16451" s="3" t="n">
        <v>94611.21000000001</v>
      </c>
    </row>
    <row r="16452">
      <c r="A16452" s="3" t="inlineStr">
        <is>
          <t>Opportunity Management Holdings (PTY) LTD</t>
        </is>
      </c>
      <c r="B16452" s="4" t="n">
        <v>45230</v>
      </c>
      <c r="C16452" s="3" t="inlineStr">
        <is>
          <t>Expenses</t>
        </is>
      </c>
      <c r="D16452" s="3" t="inlineStr">
        <is>
          <t>4550/000</t>
        </is>
      </c>
      <c r="E16452" s="3" t="inlineStr">
        <is>
          <t>Subscriptions _AND_ Lisences</t>
        </is>
      </c>
      <c r="F16452" s="3" t="n">
        <v>4016.44</v>
      </c>
      <c r="G16452" s="3" t="n">
        <v>6610.6</v>
      </c>
    </row>
    <row r="16453">
      <c r="A16453" s="3" t="inlineStr">
        <is>
          <t>Noble Shield (Pty) Ltd ta Go Letting</t>
        </is>
      </c>
      <c r="B16453" s="4" t="n">
        <v>45230</v>
      </c>
      <c r="C16453" s="3" t="inlineStr">
        <is>
          <t>Expenses</t>
        </is>
      </c>
      <c r="D16453" s="3" t="inlineStr">
        <is>
          <t>4550/100</t>
        </is>
      </c>
      <c r="E16453" s="3" t="inlineStr">
        <is>
          <t>Subscriptions - EAAB</t>
        </is>
      </c>
      <c r="F16453" s="3" t="n">
        <v>1604</v>
      </c>
      <c r="G16453" s="3" t="n">
        <v>1604</v>
      </c>
    </row>
    <row r="16454">
      <c r="A16454" s="3" t="inlineStr">
        <is>
          <t>Trademark Holdings (Pty) Ltd</t>
        </is>
      </c>
      <c r="B16454" s="4" t="n">
        <v>45230</v>
      </c>
      <c r="C16454" s="3" t="inlineStr">
        <is>
          <t>Expenses</t>
        </is>
      </c>
      <c r="D16454" s="3" t="inlineStr">
        <is>
          <t>4550/100</t>
        </is>
      </c>
      <c r="E16454" s="3" t="inlineStr">
        <is>
          <t>Subscriptions - EAAB</t>
        </is>
      </c>
      <c r="F16454" s="3" t="n">
        <v>1604</v>
      </c>
      <c r="G16454" s="3" t="n">
        <v>1604</v>
      </c>
    </row>
    <row r="16455">
      <c r="A16455" s="3" t="inlineStr">
        <is>
          <t>Opportunity Global Investment (PTY) LTD</t>
        </is>
      </c>
      <c r="B16455" s="4" t="n">
        <v>45230</v>
      </c>
      <c r="C16455" s="3" t="inlineStr">
        <is>
          <t>Expenses</t>
        </is>
      </c>
      <c r="D16455" s="3" t="inlineStr">
        <is>
          <t>4550/100</t>
        </is>
      </c>
      <c r="E16455" s="3" t="inlineStr">
        <is>
          <t>Subscriptions - Zoho</t>
        </is>
      </c>
      <c r="F16455" s="3" t="n">
        <v>1125</v>
      </c>
      <c r="G16455" s="3" t="n">
        <v>9000</v>
      </c>
    </row>
    <row r="16456">
      <c r="A16456" s="3" t="inlineStr">
        <is>
          <t>Opportunity Global Sales (PTY) LTD</t>
        </is>
      </c>
      <c r="B16456" s="4" t="n">
        <v>45230</v>
      </c>
      <c r="C16456" s="3" t="inlineStr">
        <is>
          <t>Expenses</t>
        </is>
      </c>
      <c r="D16456" s="3" t="inlineStr">
        <is>
          <t>4550/150</t>
        </is>
      </c>
      <c r="E16456" s="3" t="inlineStr">
        <is>
          <t>Subscription - Webbox</t>
        </is>
      </c>
      <c r="F16456" s="3" t="n">
        <v>0</v>
      </c>
      <c r="G16456" s="3" t="n">
        <v>6743</v>
      </c>
    </row>
    <row r="16457">
      <c r="A16457" s="3" t="inlineStr">
        <is>
          <t>Opportunity Global Investment (PTY) LTD</t>
        </is>
      </c>
      <c r="B16457" s="4" t="n">
        <v>45230</v>
      </c>
      <c r="C16457" s="3" t="inlineStr">
        <is>
          <t>Expenses</t>
        </is>
      </c>
      <c r="D16457" s="3" t="inlineStr">
        <is>
          <t>4550/250</t>
        </is>
      </c>
      <c r="E16457" s="3" t="inlineStr">
        <is>
          <t>Subscriptions - LinkedIn</t>
        </is>
      </c>
      <c r="F16457" s="3" t="n">
        <v>1000.49</v>
      </c>
      <c r="G16457" s="3" t="n">
        <v>9004.41</v>
      </c>
    </row>
    <row r="16458">
      <c r="A16458" s="3" t="inlineStr">
        <is>
          <t>Opportunity Global Investment (PTY) LTD</t>
        </is>
      </c>
      <c r="B16458" s="4" t="n">
        <v>45230</v>
      </c>
      <c r="C16458" s="3" t="inlineStr">
        <is>
          <t>Expenses</t>
        </is>
      </c>
      <c r="D16458" s="3" t="inlineStr">
        <is>
          <t>4550/350</t>
        </is>
      </c>
      <c r="E16458" s="3" t="inlineStr">
        <is>
          <t>Subscriptions - Xero</t>
        </is>
      </c>
      <c r="F16458" s="3" t="n">
        <v>600</v>
      </c>
      <c r="G16458" s="3" t="n">
        <v>4800</v>
      </c>
    </row>
    <row r="16459">
      <c r="A16459" s="3" t="inlineStr">
        <is>
          <t>Opportunity Global Investment (PTY) LTD</t>
        </is>
      </c>
      <c r="B16459" s="4" t="n">
        <v>45230</v>
      </c>
      <c r="C16459" s="3" t="inlineStr">
        <is>
          <t>Expenses</t>
        </is>
      </c>
      <c r="D16459" s="3" t="inlineStr">
        <is>
          <t>4550/400</t>
        </is>
      </c>
      <c r="E16459" s="3" t="inlineStr">
        <is>
          <t>Subscriptions - Moneyweb</t>
        </is>
      </c>
      <c r="F16459" s="3" t="n">
        <v>60.87</v>
      </c>
      <c r="G16459" s="3" t="n">
        <v>474.78</v>
      </c>
    </row>
    <row r="16460">
      <c r="A16460" s="3" t="inlineStr">
        <is>
          <t>Trademark Holdings (Pty) Ltd</t>
        </is>
      </c>
      <c r="B16460" s="4" t="n">
        <v>45230</v>
      </c>
      <c r="C16460" s="3" t="inlineStr">
        <is>
          <t>Expenses</t>
        </is>
      </c>
      <c r="D16460" s="3" t="inlineStr">
        <is>
          <t>4550/400</t>
        </is>
      </c>
      <c r="E16460" s="3" t="inlineStr">
        <is>
          <t>Subscriptions - Xero</t>
        </is>
      </c>
      <c r="F16460" s="3" t="n">
        <v>600</v>
      </c>
      <c r="G16460" s="3" t="n">
        <v>1200</v>
      </c>
    </row>
    <row r="16461">
      <c r="A16461" s="3" t="inlineStr">
        <is>
          <t>Opportunity Global Investment (PTY) LTD</t>
        </is>
      </c>
      <c r="B16461" s="4" t="n">
        <v>45230</v>
      </c>
      <c r="C16461" s="3" t="inlineStr">
        <is>
          <t>Expenses</t>
        </is>
      </c>
      <c r="D16461" s="3" t="inlineStr">
        <is>
          <t>4550/450</t>
        </is>
      </c>
      <c r="E16461" s="3" t="inlineStr">
        <is>
          <t>Subscriptions - Adobe</t>
        </is>
      </c>
      <c r="F16461" s="3" t="n">
        <v>615.59</v>
      </c>
      <c r="G16461" s="3" t="n">
        <v>4829.16</v>
      </c>
    </row>
    <row r="16462">
      <c r="A16462" s="3" t="inlineStr">
        <is>
          <t>Opportunity Global Investment (PTY) LTD</t>
        </is>
      </c>
      <c r="B16462" s="4" t="n">
        <v>45230</v>
      </c>
      <c r="C16462" s="3" t="inlineStr">
        <is>
          <t>Expenses</t>
        </is>
      </c>
      <c r="D16462" s="3" t="inlineStr">
        <is>
          <t>4550/500</t>
        </is>
      </c>
      <c r="E16462" s="3" t="inlineStr">
        <is>
          <t>Subscriptions - Pandadoc</t>
        </is>
      </c>
      <c r="F16462" s="3" t="n">
        <v>581.27</v>
      </c>
      <c r="G16462" s="3" t="n">
        <v>4485.57</v>
      </c>
    </row>
    <row r="16463">
      <c r="A16463" s="3" t="inlineStr">
        <is>
          <t>Noble Shield (Pty) Ltd ta Go Letting</t>
        </is>
      </c>
      <c r="B16463" s="4" t="n">
        <v>45230</v>
      </c>
      <c r="C16463" s="3" t="inlineStr">
        <is>
          <t>Expenses</t>
        </is>
      </c>
      <c r="D16463" s="3" t="inlineStr">
        <is>
          <t>4550/600</t>
        </is>
      </c>
      <c r="E16463" s="3" t="inlineStr">
        <is>
          <t>Subscriptions - Webbox</t>
        </is>
      </c>
      <c r="F16463" s="3" t="n">
        <v>1710.05</v>
      </c>
      <c r="G16463" s="3" t="n">
        <v>3420.1</v>
      </c>
    </row>
    <row r="16464">
      <c r="A16464" s="3" t="inlineStr">
        <is>
          <t>Noble Shield (Pty) Ltd ta Go Letting</t>
        </is>
      </c>
      <c r="B16464" s="4" t="n">
        <v>45230</v>
      </c>
      <c r="C16464" s="3" t="inlineStr">
        <is>
          <t>Expenses</t>
        </is>
      </c>
      <c r="D16464" s="3" t="inlineStr">
        <is>
          <t>4550/650</t>
        </is>
      </c>
      <c r="E16464" s="3" t="inlineStr">
        <is>
          <t>Subscriptions - Xero</t>
        </is>
      </c>
      <c r="F16464" s="3" t="n">
        <v>600</v>
      </c>
      <c r="G16464" s="3" t="n">
        <v>1200</v>
      </c>
    </row>
    <row r="16465">
      <c r="A16465" s="3" t="inlineStr">
        <is>
          <t>Noble Shield (Pty) Ltd ta Go Letting</t>
        </is>
      </c>
      <c r="B16465" s="4" t="n">
        <v>45230</v>
      </c>
      <c r="C16465" s="3" t="inlineStr">
        <is>
          <t>Expenses</t>
        </is>
      </c>
      <c r="D16465" s="3" t="inlineStr">
        <is>
          <t>4550/800</t>
        </is>
      </c>
      <c r="E16465" s="3" t="inlineStr">
        <is>
          <t>Subscriptions - Adobe</t>
        </is>
      </c>
      <c r="F16465" s="3" t="n">
        <v>460.81</v>
      </c>
      <c r="G16465" s="3" t="n">
        <v>914.5599999999999</v>
      </c>
    </row>
    <row r="16466">
      <c r="A16466" s="3" t="inlineStr">
        <is>
          <t>Opportunity Global Sales (PTY) LTD</t>
        </is>
      </c>
      <c r="B16466" s="4" t="n">
        <v>45230</v>
      </c>
      <c r="C16466" s="3" t="inlineStr">
        <is>
          <t>Expenses</t>
        </is>
      </c>
      <c r="D16466" s="3" t="inlineStr">
        <is>
          <t>4551/000</t>
        </is>
      </c>
      <c r="E16466" s="3" t="inlineStr">
        <is>
          <t>Subscriptions - Payprop</t>
        </is>
      </c>
      <c r="F16466" s="3" t="n">
        <v>2294.56</v>
      </c>
      <c r="G16466" s="3" t="n">
        <v>10260.29</v>
      </c>
    </row>
    <row r="16467">
      <c r="A16467" s="3" t="inlineStr">
        <is>
          <t>Quinate Consulting (Pty) Ltd</t>
        </is>
      </c>
      <c r="B16467" s="4" t="n">
        <v>45230</v>
      </c>
      <c r="C16467" s="3" t="inlineStr">
        <is>
          <t>Expenses</t>
        </is>
      </c>
      <c r="D16467" s="3" t="inlineStr">
        <is>
          <t>4552/000</t>
        </is>
      </c>
      <c r="E16467" s="3" t="inlineStr">
        <is>
          <t>Subscriptions - CIPC</t>
        </is>
      </c>
      <c r="F16467" s="3" t="n">
        <v>0</v>
      </c>
      <c r="G16467" s="3" t="n">
        <v>4050</v>
      </c>
    </row>
    <row r="16468">
      <c r="A16468" s="3" t="inlineStr">
        <is>
          <t>Endulini (Pty) Ltd</t>
        </is>
      </c>
      <c r="B16468" s="4" t="n">
        <v>45230</v>
      </c>
      <c r="C16468" s="3" t="inlineStr">
        <is>
          <t>Expenses</t>
        </is>
      </c>
      <c r="D16468" s="3" t="inlineStr">
        <is>
          <t>4552/000</t>
        </is>
      </c>
      <c r="E16468" s="3" t="inlineStr">
        <is>
          <t>Subscriptions - Xero</t>
        </is>
      </c>
      <c r="F16468" s="3" t="n">
        <v>600</v>
      </c>
      <c r="G16468" s="3" t="n">
        <v>4800</v>
      </c>
    </row>
    <row r="16469">
      <c r="A16469" s="3" t="inlineStr">
        <is>
          <t>Opportunity Global Sales (PTY) LTD</t>
        </is>
      </c>
      <c r="B16469" s="4" t="n">
        <v>45230</v>
      </c>
      <c r="C16469" s="3" t="inlineStr">
        <is>
          <t>Expenses</t>
        </is>
      </c>
      <c r="D16469" s="3" t="inlineStr">
        <is>
          <t>4552/000</t>
        </is>
      </c>
      <c r="E16469" s="3" t="inlineStr">
        <is>
          <t>Subscriptions - Xero</t>
        </is>
      </c>
      <c r="F16469" s="3" t="n">
        <v>600</v>
      </c>
      <c r="G16469" s="3" t="n">
        <v>4800</v>
      </c>
    </row>
    <row r="16470">
      <c r="A16470" s="3" t="inlineStr">
        <is>
          <t>Opportunity Management Holdings (PTY) LTD</t>
        </is>
      </c>
      <c r="B16470" s="4" t="n">
        <v>45230</v>
      </c>
      <c r="C16470" s="3" t="inlineStr">
        <is>
          <t>Expenses</t>
        </is>
      </c>
      <c r="D16470" s="3" t="inlineStr">
        <is>
          <t>4552/000</t>
        </is>
      </c>
      <c r="E16470" s="3" t="inlineStr">
        <is>
          <t>Subscriptions - Xero</t>
        </is>
      </c>
      <c r="F16470" s="3" t="n">
        <v>600</v>
      </c>
      <c r="G16470" s="3" t="n">
        <v>1200</v>
      </c>
    </row>
    <row r="16471">
      <c r="A16471" s="3" t="inlineStr">
        <is>
          <t>Opportunity Global Sales (PTY) LTD</t>
        </is>
      </c>
      <c r="B16471" s="4" t="n">
        <v>45230</v>
      </c>
      <c r="C16471" s="3" t="inlineStr">
        <is>
          <t>Expenses</t>
        </is>
      </c>
      <c r="D16471" s="3" t="inlineStr">
        <is>
          <t>4553/000</t>
        </is>
      </c>
      <c r="E16471" s="3" t="inlineStr">
        <is>
          <t>Subscriptions - CMA</t>
        </is>
      </c>
      <c r="F16471" s="3" t="n">
        <v>680</v>
      </c>
      <c r="G16471" s="3" t="n">
        <v>5440</v>
      </c>
    </row>
    <row r="16472">
      <c r="A16472" s="3" t="inlineStr">
        <is>
          <t>Quinate Consulting (Pty) Ltd</t>
        </is>
      </c>
      <c r="B16472" s="4" t="n">
        <v>45230</v>
      </c>
      <c r="C16472" s="3" t="inlineStr">
        <is>
          <t>Expenses</t>
        </is>
      </c>
      <c r="D16472" s="3" t="inlineStr">
        <is>
          <t>4554/000</t>
        </is>
      </c>
      <c r="E16472" s="3" t="inlineStr">
        <is>
          <t>Subscriptions - Xero</t>
        </is>
      </c>
      <c r="F16472" s="3" t="n">
        <v>600</v>
      </c>
      <c r="G16472" s="3" t="n">
        <v>4800</v>
      </c>
    </row>
    <row r="16473">
      <c r="A16473" s="3" t="inlineStr">
        <is>
          <t>Opportunity Global Sales (PTY) LTD</t>
        </is>
      </c>
      <c r="B16473" s="4" t="n">
        <v>45230</v>
      </c>
      <c r="C16473" s="3" t="inlineStr">
        <is>
          <t>Expenses</t>
        </is>
      </c>
      <c r="D16473" s="3" t="inlineStr">
        <is>
          <t>4554/000</t>
        </is>
      </c>
      <c r="E16473" s="3" t="inlineStr">
        <is>
          <t>Subscriptions - Zoho</t>
        </is>
      </c>
      <c r="F16473" s="3" t="n">
        <v>750</v>
      </c>
      <c r="G16473" s="3" t="n">
        <v>6000</v>
      </c>
    </row>
    <row r="16474">
      <c r="A16474" s="3" t="inlineStr">
        <is>
          <t>Quinate Consulting (Pty) Ltd</t>
        </is>
      </c>
      <c r="B16474" s="4" t="n">
        <v>45230</v>
      </c>
      <c r="C16474" s="3" t="inlineStr">
        <is>
          <t>Expenses</t>
        </is>
      </c>
      <c r="D16474" s="3" t="inlineStr">
        <is>
          <t>4555/000</t>
        </is>
      </c>
      <c r="E16474" s="3" t="inlineStr">
        <is>
          <t>Subscriptions - OUMS</t>
        </is>
      </c>
      <c r="F16474" s="3" t="n">
        <v>7636.17</v>
      </c>
      <c r="G16474" s="3" t="n">
        <v>61089.36</v>
      </c>
    </row>
    <row r="16475">
      <c r="A16475" s="3" t="inlineStr">
        <is>
          <t>Opportunity Global Sales (PTY) LTD</t>
        </is>
      </c>
      <c r="B16475" s="4" t="n">
        <v>45230</v>
      </c>
      <c r="C16475" s="3" t="inlineStr">
        <is>
          <t>Expenses</t>
        </is>
      </c>
      <c r="D16475" s="3" t="inlineStr">
        <is>
          <t>4556/000</t>
        </is>
      </c>
      <c r="E16475" s="3" t="inlineStr">
        <is>
          <t>Subscription: Sjoon</t>
        </is>
      </c>
      <c r="F16475" s="3" t="n">
        <v>217.39</v>
      </c>
      <c r="G16475" s="3" t="n">
        <v>756.52</v>
      </c>
    </row>
    <row r="16476">
      <c r="A16476" s="3" t="inlineStr">
        <is>
          <t>Opportunity Global Investment (PTY) LTD</t>
        </is>
      </c>
      <c r="B16476" s="4" t="n">
        <v>45230</v>
      </c>
      <c r="C16476" s="3" t="inlineStr">
        <is>
          <t>Expenses</t>
        </is>
      </c>
      <c r="D16476" s="3" t="inlineStr">
        <is>
          <t>4600/000</t>
        </is>
      </c>
      <c r="E16476" s="3" t="inlineStr">
        <is>
          <t>Telephone _AND_ Fax</t>
        </is>
      </c>
      <c r="F16476" s="3" t="n">
        <v>3355</v>
      </c>
      <c r="G16476" s="3" t="n">
        <v>26840</v>
      </c>
    </row>
    <row r="16477">
      <c r="A16477" s="3" t="inlineStr">
        <is>
          <t>Trademark Holdings (Pty) Ltd</t>
        </is>
      </c>
      <c r="B16477" s="4" t="n">
        <v>45230</v>
      </c>
      <c r="C16477" s="3" t="inlineStr">
        <is>
          <t>Expenses</t>
        </is>
      </c>
      <c r="D16477" s="3" t="inlineStr">
        <is>
          <t>4600/000</t>
        </is>
      </c>
      <c r="E16477" s="3" t="inlineStr">
        <is>
          <t>Telephone _AND_ Fax</t>
        </is>
      </c>
      <c r="F16477" s="3" t="n">
        <v>1169.64</v>
      </c>
      <c r="G16477" s="3" t="n">
        <v>2348.13</v>
      </c>
    </row>
    <row r="16478">
      <c r="A16478" s="3" t="inlineStr">
        <is>
          <t>Noble Shield (Pty) Ltd ta Go Letting</t>
        </is>
      </c>
      <c r="B16478" s="4" t="n">
        <v>45230</v>
      </c>
      <c r="C16478" s="3" t="inlineStr">
        <is>
          <t>Expenses</t>
        </is>
      </c>
      <c r="D16478" s="3" t="inlineStr">
        <is>
          <t>4610/000</t>
        </is>
      </c>
      <c r="E16478" s="3" t="inlineStr">
        <is>
          <t>Telephone - CT Office</t>
        </is>
      </c>
      <c r="F16478" s="3" t="n">
        <v>731.33</v>
      </c>
      <c r="G16478" s="3" t="n">
        <v>1506.62</v>
      </c>
    </row>
    <row r="16479">
      <c r="A16479" s="3" t="inlineStr">
        <is>
          <t>Opportunity Global Investment (PTY) LTD</t>
        </is>
      </c>
      <c r="B16479" s="4" t="n">
        <v>45230</v>
      </c>
      <c r="C16479" s="3" t="inlineStr">
        <is>
          <t>Expenses</t>
        </is>
      </c>
      <c r="D16479" s="3" t="inlineStr">
        <is>
          <t>4650/000</t>
        </is>
      </c>
      <c r="E16479" s="3" t="inlineStr">
        <is>
          <t>Travel _AND_ Accommodation</t>
        </is>
      </c>
      <c r="F16479" s="3" t="n">
        <v>0</v>
      </c>
      <c r="G16479" s="3" t="n">
        <v>3435.65</v>
      </c>
    </row>
    <row r="16480">
      <c r="A16480" s="3" t="inlineStr">
        <is>
          <t>Quinate Consulting (Pty) Ltd</t>
        </is>
      </c>
      <c r="B16480" s="4" t="n">
        <v>45230</v>
      </c>
      <c r="C16480" s="3" t="inlineStr">
        <is>
          <t>Expenses</t>
        </is>
      </c>
      <c r="D16480" s="3" t="inlineStr">
        <is>
          <t>4650/010</t>
        </is>
      </c>
      <c r="E16480" s="3" t="inlineStr">
        <is>
          <t>Travel - Local Flights</t>
        </is>
      </c>
      <c r="F16480" s="3" t="n">
        <v>0</v>
      </c>
      <c r="G16480" s="3" t="n">
        <v>6253.04</v>
      </c>
    </row>
    <row r="16481">
      <c r="A16481" s="3" t="inlineStr">
        <is>
          <t>Quinate Consulting (Pty) Ltd</t>
        </is>
      </c>
      <c r="B16481" s="4" t="n">
        <v>45230</v>
      </c>
      <c r="C16481" s="3" t="inlineStr">
        <is>
          <t>Expenses</t>
        </is>
      </c>
      <c r="D16481" s="3" t="inlineStr">
        <is>
          <t>4650/020</t>
        </is>
      </c>
      <c r="E16481" s="3" t="inlineStr">
        <is>
          <t>Travel - Local Accomodation - B_AND_B</t>
        </is>
      </c>
      <c r="F16481" s="3" t="n">
        <v>0</v>
      </c>
      <c r="G16481" s="3" t="n">
        <v>6998.26</v>
      </c>
    </row>
    <row r="16482">
      <c r="A16482" s="3" t="inlineStr">
        <is>
          <t>Opportunity Global Investment (PTY) LTD</t>
        </is>
      </c>
      <c r="B16482" s="4" t="n">
        <v>45230</v>
      </c>
      <c r="C16482" s="3" t="inlineStr">
        <is>
          <t>Expenses</t>
        </is>
      </c>
      <c r="D16482" s="3" t="inlineStr">
        <is>
          <t>4650/020</t>
        </is>
      </c>
      <c r="E16482" s="3" t="inlineStr">
        <is>
          <t>Travel Accomodation - Car Hire</t>
        </is>
      </c>
      <c r="F16482" s="3" t="n">
        <v>0</v>
      </c>
      <c r="G16482" s="3" t="n">
        <v>1581.74</v>
      </c>
    </row>
    <row r="16483">
      <c r="A16483" s="3" t="inlineStr">
        <is>
          <t>Quinate Consulting (Pty) Ltd</t>
        </is>
      </c>
      <c r="B16483" s="4" t="n">
        <v>45230</v>
      </c>
      <c r="C16483" s="3" t="inlineStr">
        <is>
          <t>Expenses</t>
        </is>
      </c>
      <c r="D16483" s="3" t="inlineStr">
        <is>
          <t>4650/030</t>
        </is>
      </c>
      <c r="E16483" s="3" t="inlineStr">
        <is>
          <t>Travel - Parking</t>
        </is>
      </c>
      <c r="F16483" s="3" t="n">
        <v>0</v>
      </c>
      <c r="G16483" s="3" t="n">
        <v>10</v>
      </c>
    </row>
    <row r="16484">
      <c r="A16484" s="3" t="inlineStr">
        <is>
          <t>Opportunity Global Investment (PTY) LTD</t>
        </is>
      </c>
      <c r="B16484" s="4" t="n">
        <v>45230</v>
      </c>
      <c r="C16484" s="3" t="inlineStr">
        <is>
          <t>Expenses</t>
        </is>
      </c>
      <c r="D16484" s="3" t="inlineStr">
        <is>
          <t>4650/030</t>
        </is>
      </c>
      <c r="E16484" s="3" t="inlineStr">
        <is>
          <t>Travel _AND_ Accomodation - Local Accom</t>
        </is>
      </c>
      <c r="F16484" s="3" t="n">
        <v>0</v>
      </c>
      <c r="G16484" s="3" t="n">
        <v>1282.6</v>
      </c>
    </row>
    <row r="16485">
      <c r="A16485" s="3" t="inlineStr">
        <is>
          <t>Quinate Consulting (Pty) Ltd</t>
        </is>
      </c>
      <c r="B16485" s="4" t="n">
        <v>45230</v>
      </c>
      <c r="C16485" s="3" t="inlineStr">
        <is>
          <t>Expenses</t>
        </is>
      </c>
      <c r="D16485" s="3" t="inlineStr">
        <is>
          <t>4650/040</t>
        </is>
      </c>
      <c r="E16485" s="3" t="inlineStr">
        <is>
          <t>Travel - Local Car Hire</t>
        </is>
      </c>
      <c r="F16485" s="3" t="n">
        <v>0</v>
      </c>
      <c r="G16485" s="3" t="n">
        <v>510.6</v>
      </c>
    </row>
    <row r="16486">
      <c r="A16486" s="3" t="inlineStr">
        <is>
          <t>Opportunity Global Investment (PTY) LTD</t>
        </is>
      </c>
      <c r="B16486" s="4" t="n">
        <v>45230</v>
      </c>
      <c r="C16486" s="3" t="inlineStr">
        <is>
          <t>Expenses</t>
        </is>
      </c>
      <c r="D16486" s="3" t="inlineStr">
        <is>
          <t>4650/090</t>
        </is>
      </c>
      <c r="E16486" s="3" t="inlineStr">
        <is>
          <t>Travel &amp; Accom - Fuel</t>
        </is>
      </c>
      <c r="F16486" s="3" t="n">
        <v>0</v>
      </c>
      <c r="G16486" s="3" t="n">
        <v>5643.5</v>
      </c>
    </row>
    <row r="16487">
      <c r="A16487" s="3" t="inlineStr">
        <is>
          <t>Opportunity Global Investment (PTY) LTD</t>
        </is>
      </c>
      <c r="B16487" s="4" t="n">
        <v>45230</v>
      </c>
      <c r="C16487" s="3" t="inlineStr">
        <is>
          <t>Expenses</t>
        </is>
      </c>
      <c r="D16487" s="3" t="inlineStr">
        <is>
          <t>4650/100</t>
        </is>
      </c>
      <c r="E16487" s="3" t="inlineStr">
        <is>
          <t>Travel &amp; Accomodation: Uber</t>
        </is>
      </c>
      <c r="F16487" s="3" t="n">
        <v>0</v>
      </c>
      <c r="G16487" s="3" t="n">
        <v>1609</v>
      </c>
    </row>
    <row r="16488">
      <c r="A16488" s="3" t="inlineStr">
        <is>
          <t>Noble Shield (Pty) Ltd ta Go Letting</t>
        </is>
      </c>
      <c r="B16488" s="4" t="n">
        <v>45230</v>
      </c>
      <c r="C16488" s="3" t="inlineStr">
        <is>
          <t>Expenses</t>
        </is>
      </c>
      <c r="D16488" s="3" t="inlineStr">
        <is>
          <t>4700/000</t>
        </is>
      </c>
      <c r="E16488" s="3" t="inlineStr">
        <is>
          <t>PAYE Contributions</t>
        </is>
      </c>
      <c r="F16488" s="3" t="n">
        <v>5240.44</v>
      </c>
      <c r="G16488" s="3" t="n">
        <v>9889.34</v>
      </c>
    </row>
    <row r="16489">
      <c r="A16489" s="3" t="inlineStr">
        <is>
          <t>Trademark Holdings (Pty) Ltd</t>
        </is>
      </c>
      <c r="B16489" s="4" t="n">
        <v>45230</v>
      </c>
      <c r="C16489" s="3" t="inlineStr">
        <is>
          <t>Expenses</t>
        </is>
      </c>
      <c r="D16489" s="3" t="inlineStr">
        <is>
          <t>4700/000</t>
        </is>
      </c>
      <c r="E16489" s="3" t="inlineStr">
        <is>
          <t>PAYE Contributions</t>
        </is>
      </c>
      <c r="F16489" s="3" t="n">
        <v>4995.95</v>
      </c>
      <c r="G16489" s="3" t="n">
        <v>10059.73</v>
      </c>
    </row>
    <row r="16490">
      <c r="A16490" s="3" t="inlineStr">
        <is>
          <t>Opportunity Global Investment (PTY) LTD</t>
        </is>
      </c>
      <c r="B16490" s="4" t="n">
        <v>45230</v>
      </c>
      <c r="C16490" s="3" t="inlineStr">
        <is>
          <t>Expenses</t>
        </is>
      </c>
      <c r="D16490" s="3" t="inlineStr">
        <is>
          <t>4700/000</t>
        </is>
      </c>
      <c r="E16490" s="3" t="inlineStr">
        <is>
          <t>UIF Contributions</t>
        </is>
      </c>
      <c r="F16490" s="3" t="n">
        <v>177.12</v>
      </c>
      <c r="G16490" s="3" t="n">
        <v>1416.96</v>
      </c>
    </row>
    <row r="16491">
      <c r="A16491" s="3" t="inlineStr">
        <is>
          <t>Opportunity Global Sales (PTY) LTD</t>
        </is>
      </c>
      <c r="B16491" s="4" t="n">
        <v>45230</v>
      </c>
      <c r="C16491" s="3" t="inlineStr">
        <is>
          <t>Expenses</t>
        </is>
      </c>
      <c r="D16491" s="3" t="inlineStr">
        <is>
          <t>4700/000</t>
        </is>
      </c>
      <c r="E16491" s="3" t="inlineStr">
        <is>
          <t>UIF Contributions</t>
        </is>
      </c>
      <c r="F16491" s="3" t="n">
        <v>312.12</v>
      </c>
      <c r="G16491" s="3" t="n">
        <v>2496.96</v>
      </c>
    </row>
    <row r="16492">
      <c r="A16492" s="3" t="inlineStr">
        <is>
          <t>Opportunity Global Sales (PTY) LTD</t>
        </is>
      </c>
      <c r="B16492" s="4" t="n">
        <v>45230</v>
      </c>
      <c r="C16492" s="3" t="inlineStr">
        <is>
          <t>Expenses</t>
        </is>
      </c>
      <c r="D16492" s="3" t="inlineStr">
        <is>
          <t>4701/000</t>
        </is>
      </c>
      <c r="E16492" s="3" t="inlineStr">
        <is>
          <t>UIF Employee Contribution</t>
        </is>
      </c>
      <c r="F16492" s="3" t="n">
        <v>312.12</v>
      </c>
      <c r="G16492" s="3" t="n">
        <v>2496.96</v>
      </c>
    </row>
    <row r="16493">
      <c r="A16493" s="3" t="inlineStr">
        <is>
          <t>Opportunity Global Investment (PTY) LTD</t>
        </is>
      </c>
      <c r="B16493" s="4" t="n">
        <v>45230</v>
      </c>
      <c r="C16493" s="3" t="inlineStr">
        <is>
          <t>Expenses</t>
        </is>
      </c>
      <c r="D16493" s="3" t="inlineStr">
        <is>
          <t>4701/000</t>
        </is>
      </c>
      <c r="E16493" s="3" t="inlineStr">
        <is>
          <t>UIF Employee Contributions</t>
        </is>
      </c>
      <c r="F16493" s="3" t="n">
        <v>177.12</v>
      </c>
      <c r="G16493" s="3" t="n">
        <v>1416.96</v>
      </c>
    </row>
    <row r="16494">
      <c r="A16494" s="3" t="inlineStr">
        <is>
          <t>Noble Shield (Pty) Ltd ta Go Letting</t>
        </is>
      </c>
      <c r="B16494" s="4" t="n">
        <v>45230</v>
      </c>
      <c r="C16494" s="3" t="inlineStr">
        <is>
          <t>Expenses</t>
        </is>
      </c>
      <c r="D16494" s="3" t="inlineStr">
        <is>
          <t>4710/000</t>
        </is>
      </c>
      <c r="E16494" s="3" t="inlineStr">
        <is>
          <t>UIF Company Contributions</t>
        </is>
      </c>
      <c r="F16494" s="3" t="n">
        <v>245.25</v>
      </c>
      <c r="G16494" s="3" t="n">
        <v>490.5</v>
      </c>
    </row>
    <row r="16495">
      <c r="A16495" s="3" t="inlineStr">
        <is>
          <t>Trademark Holdings (Pty) Ltd</t>
        </is>
      </c>
      <c r="B16495" s="4" t="n">
        <v>45230</v>
      </c>
      <c r="C16495" s="3" t="inlineStr">
        <is>
          <t>Expenses</t>
        </is>
      </c>
      <c r="D16495" s="3" t="inlineStr">
        <is>
          <t>4710/000</t>
        </is>
      </c>
      <c r="E16495" s="3" t="inlineStr">
        <is>
          <t>UIF Company Contributions</t>
        </is>
      </c>
      <c r="F16495" s="3" t="n">
        <v>95.25</v>
      </c>
      <c r="G16495" s="3" t="n">
        <v>190.5</v>
      </c>
    </row>
    <row r="16496">
      <c r="A16496" s="3" t="inlineStr">
        <is>
          <t>Noble Shield (Pty) Ltd ta Go Letting</t>
        </is>
      </c>
      <c r="B16496" s="4" t="n">
        <v>45230</v>
      </c>
      <c r="C16496" s="3" t="inlineStr">
        <is>
          <t>Expenses</t>
        </is>
      </c>
      <c r="D16496" s="3" t="inlineStr">
        <is>
          <t>4711/000</t>
        </is>
      </c>
      <c r="E16496" s="3" t="inlineStr">
        <is>
          <t>UIF Employee Contribution</t>
        </is>
      </c>
      <c r="F16496" s="3" t="n">
        <v>245.25</v>
      </c>
      <c r="G16496" s="3" t="n">
        <v>490.5</v>
      </c>
    </row>
    <row r="16497">
      <c r="A16497" s="3" t="inlineStr">
        <is>
          <t>Trademark Holdings (Pty) Ltd</t>
        </is>
      </c>
      <c r="B16497" s="4" t="n">
        <v>45230</v>
      </c>
      <c r="C16497" s="3" t="inlineStr">
        <is>
          <t>Expenses</t>
        </is>
      </c>
      <c r="D16497" s="3" t="inlineStr">
        <is>
          <t>4711/000</t>
        </is>
      </c>
      <c r="E16497" s="3" t="inlineStr">
        <is>
          <t>UIF Employee Contributions</t>
        </is>
      </c>
      <c r="F16497" s="3" t="n">
        <v>95.25</v>
      </c>
      <c r="G16497" s="3" t="n">
        <v>190.5</v>
      </c>
    </row>
    <row r="16498">
      <c r="A16498" s="3" t="inlineStr">
        <is>
          <t>Noble Shield (Pty) Ltd ta Go Letting</t>
        </is>
      </c>
      <c r="B16498" s="4" t="n">
        <v>45230</v>
      </c>
      <c r="C16498" s="3" t="inlineStr">
        <is>
          <t>Expenses</t>
        </is>
      </c>
      <c r="D16498" s="3" t="inlineStr">
        <is>
          <t>4720/000</t>
        </is>
      </c>
      <c r="E16498" s="3" t="inlineStr">
        <is>
          <t>SDL Contributions</t>
        </is>
      </c>
      <c r="F16498" s="3" t="n">
        <v>453.6</v>
      </c>
      <c r="G16498" s="3" t="n">
        <v>884.45</v>
      </c>
    </row>
    <row r="16499">
      <c r="A16499" s="3" t="inlineStr">
        <is>
          <t>Trademark Holdings (Pty) Ltd</t>
        </is>
      </c>
      <c r="B16499" s="4" t="n">
        <v>45230</v>
      </c>
      <c r="C16499" s="3" t="inlineStr">
        <is>
          <t>Expenses</t>
        </is>
      </c>
      <c r="D16499" s="3" t="inlineStr">
        <is>
          <t>4720/000</t>
        </is>
      </c>
      <c r="E16499" s="3" t="inlineStr">
        <is>
          <t>SDL Contributions</t>
        </is>
      </c>
      <c r="F16499" s="3" t="n">
        <v>308.19</v>
      </c>
      <c r="G16499" s="3" t="n">
        <v>618.99</v>
      </c>
    </row>
    <row r="16500">
      <c r="A16500" s="3" t="inlineStr">
        <is>
          <t>Opportunity Global Investment (PTY) LTD</t>
        </is>
      </c>
      <c r="B16500" s="4" t="n">
        <v>45230</v>
      </c>
      <c r="C16500" s="3" t="inlineStr">
        <is>
          <t>Expenses</t>
        </is>
      </c>
      <c r="D16500" s="3" t="inlineStr">
        <is>
          <t>4730/000</t>
        </is>
      </c>
      <c r="E16500" s="3" t="inlineStr">
        <is>
          <t>PAYE Contributions</t>
        </is>
      </c>
      <c r="F16500" s="3" t="n">
        <v>8822.26</v>
      </c>
      <c r="G16500" s="3" t="n">
        <v>70578.13</v>
      </c>
    </row>
    <row r="16501">
      <c r="A16501" s="3" t="inlineStr">
        <is>
          <t>Opportunity Global Sales (PTY) LTD</t>
        </is>
      </c>
      <c r="B16501" s="4" t="n">
        <v>45230</v>
      </c>
      <c r="C16501" s="3" t="inlineStr">
        <is>
          <t>Expenses</t>
        </is>
      </c>
      <c r="D16501" s="3" t="inlineStr">
        <is>
          <t>4730/000</t>
        </is>
      </c>
      <c r="E16501" s="3" t="inlineStr">
        <is>
          <t>PAYE Contributions</t>
        </is>
      </c>
      <c r="F16501" s="3" t="n">
        <v>9220.84</v>
      </c>
      <c r="G16501" s="3" t="n">
        <v>73766.67</v>
      </c>
    </row>
    <row r="16502">
      <c r="A16502" s="3" t="inlineStr">
        <is>
          <t>Opportunity Management Holdings (PTY) LTD</t>
        </is>
      </c>
      <c r="B16502" s="4" t="n">
        <v>45230</v>
      </c>
      <c r="C16502" s="3" t="inlineStr">
        <is>
          <t>Expenses</t>
        </is>
      </c>
      <c r="D16502" s="3" t="inlineStr">
        <is>
          <t>4730/000</t>
        </is>
      </c>
      <c r="E16502" s="3" t="inlineStr">
        <is>
          <t>PAYE Contributions</t>
        </is>
      </c>
      <c r="F16502" s="3" t="n">
        <v>48040.51</v>
      </c>
      <c r="G16502" s="3" t="n">
        <v>85921.00999999999</v>
      </c>
    </row>
    <row r="16503">
      <c r="A16503" s="3" t="inlineStr">
        <is>
          <t>Opportunity Global Investment (PTY) LTD</t>
        </is>
      </c>
      <c r="B16503" s="4" t="n">
        <v>45230</v>
      </c>
      <c r="C16503" s="3" t="inlineStr">
        <is>
          <t>Expenses</t>
        </is>
      </c>
      <c r="D16503" s="3" t="inlineStr">
        <is>
          <t>4740/000</t>
        </is>
      </c>
      <c r="E16503" s="3" t="inlineStr">
        <is>
          <t>SDL Contributions</t>
        </is>
      </c>
      <c r="F16503" s="3" t="n">
        <v>431.1</v>
      </c>
      <c r="G16503" s="3" t="n">
        <v>3448.8</v>
      </c>
    </row>
    <row r="16504">
      <c r="A16504" s="3" t="inlineStr">
        <is>
          <t>Opportunity Global Sales (PTY) LTD</t>
        </is>
      </c>
      <c r="B16504" s="4" t="n">
        <v>45230</v>
      </c>
      <c r="C16504" s="3" t="inlineStr">
        <is>
          <t>Expenses</t>
        </is>
      </c>
      <c r="D16504" s="3" t="inlineStr">
        <is>
          <t>4740/000</t>
        </is>
      </c>
      <c r="E16504" s="3" t="inlineStr">
        <is>
          <t>SDL Contributions</t>
        </is>
      </c>
      <c r="F16504" s="3" t="n">
        <v>1857.25</v>
      </c>
      <c r="G16504" s="3" t="n">
        <v>16161.81</v>
      </c>
    </row>
    <row r="16505">
      <c r="A16505" s="3" t="inlineStr">
        <is>
          <t>Opportunity Management Holdings (PTY) LTD</t>
        </is>
      </c>
      <c r="B16505" s="4" t="n">
        <v>45230</v>
      </c>
      <c r="C16505" s="3" t="inlineStr">
        <is>
          <t>Expenses</t>
        </is>
      </c>
      <c r="D16505" s="3" t="inlineStr">
        <is>
          <t>4740/000</t>
        </is>
      </c>
      <c r="E16505" s="3" t="inlineStr">
        <is>
          <t>UIF Company Contribution</t>
        </is>
      </c>
      <c r="F16505" s="3" t="n">
        <v>1614.8</v>
      </c>
      <c r="G16505" s="3" t="n">
        <v>3164.2</v>
      </c>
    </row>
    <row r="16506">
      <c r="A16506" s="3" t="inlineStr">
        <is>
          <t>Opportunity Management Holdings (PTY) LTD</t>
        </is>
      </c>
      <c r="B16506" s="4" t="n">
        <v>45230</v>
      </c>
      <c r="C16506" s="3" t="inlineStr">
        <is>
          <t>Expenses</t>
        </is>
      </c>
      <c r="D16506" s="3" t="inlineStr">
        <is>
          <t>4741/000</t>
        </is>
      </c>
      <c r="E16506" s="3" t="inlineStr">
        <is>
          <t>UIF Employee Contribution</t>
        </is>
      </c>
      <c r="F16506" s="3" t="n">
        <v>1614.8</v>
      </c>
      <c r="G16506" s="3" t="n">
        <v>3164.2</v>
      </c>
    </row>
    <row r="16507">
      <c r="A16507" s="3" t="inlineStr">
        <is>
          <t>Opportunity Management Holdings (PTY) LTD</t>
        </is>
      </c>
      <c r="B16507" s="4" t="n">
        <v>45230</v>
      </c>
      <c r="C16507" s="3" t="inlineStr">
        <is>
          <t>Expenses</t>
        </is>
      </c>
      <c r="D16507" s="3" t="inlineStr">
        <is>
          <t>4750/000</t>
        </is>
      </c>
      <c r="E16507" s="3" t="inlineStr">
        <is>
          <t>SDL Contribution</t>
        </is>
      </c>
      <c r="F16507" s="3" t="n">
        <v>2421.2</v>
      </c>
      <c r="G16507" s="3" t="n">
        <v>4777</v>
      </c>
    </row>
    <row r="16508">
      <c r="A16508" s="3" t="inlineStr">
        <is>
          <t>Noble Shield (Pty) Ltd ta Go Letting</t>
        </is>
      </c>
      <c r="B16508" s="4" t="n">
        <v>45230</v>
      </c>
      <c r="C16508" s="3" t="inlineStr">
        <is>
          <t>Equity</t>
        </is>
      </c>
      <c r="D16508" s="3" t="inlineStr">
        <is>
          <t>5100/000</t>
        </is>
      </c>
      <c r="E16508" s="3" t="inlineStr">
        <is>
          <t>Share Capital</t>
        </is>
      </c>
      <c r="F16508" s="3" t="n">
        <v>0</v>
      </c>
      <c r="G16508" s="3" t="n">
        <v>-1</v>
      </c>
    </row>
    <row r="16509">
      <c r="A16509" s="3" t="inlineStr">
        <is>
          <t>Opportunity Management Holdings (PTY) LTD</t>
        </is>
      </c>
      <c r="B16509" s="4" t="n">
        <v>45230</v>
      </c>
      <c r="C16509" s="3" t="inlineStr">
        <is>
          <t>Equity</t>
        </is>
      </c>
      <c r="D16509" s="3" t="inlineStr">
        <is>
          <t>5100/000</t>
        </is>
      </c>
      <c r="E16509" s="3" t="inlineStr">
        <is>
          <t>Share Capital / Members Contribution</t>
        </is>
      </c>
      <c r="F16509" s="3" t="n">
        <v>0</v>
      </c>
      <c r="G16509" s="3" t="n">
        <v>-120</v>
      </c>
    </row>
    <row r="16510">
      <c r="A16510" s="3" t="inlineStr">
        <is>
          <t>Quinate Consulting (Pty) Ltd</t>
        </is>
      </c>
      <c r="B16510" s="4" t="n">
        <v>45230</v>
      </c>
      <c r="C16510" s="3" t="inlineStr">
        <is>
          <t>Equity</t>
        </is>
      </c>
      <c r="D16510" s="3" t="inlineStr">
        <is>
          <t>5100/000</t>
        </is>
      </c>
      <c r="E16510" s="3" t="inlineStr">
        <is>
          <t>Share Capital / Members Contribution</t>
        </is>
      </c>
      <c r="F16510" s="3" t="n">
        <v>0</v>
      </c>
      <c r="G16510" s="3" t="n">
        <v>-120</v>
      </c>
    </row>
    <row r="16511">
      <c r="A16511" s="3" t="inlineStr">
        <is>
          <t>Trademark Holdings (Pty) Ltd</t>
        </is>
      </c>
      <c r="B16511" s="4" t="n">
        <v>45230</v>
      </c>
      <c r="C16511" s="3" t="inlineStr">
        <is>
          <t>Equity</t>
        </is>
      </c>
      <c r="D16511" s="3" t="inlineStr">
        <is>
          <t>5100/001</t>
        </is>
      </c>
      <c r="E16511" s="3" t="inlineStr">
        <is>
          <t>Share Capital - GFY Investments</t>
        </is>
      </c>
      <c r="F16511" s="3" t="n">
        <v>0</v>
      </c>
      <c r="G16511" s="3" t="n">
        <v>-60</v>
      </c>
    </row>
    <row r="16512">
      <c r="A16512" s="3" t="inlineStr">
        <is>
          <t>Trademark Holdings (Pty) Ltd</t>
        </is>
      </c>
      <c r="B16512" s="4" t="n">
        <v>45230</v>
      </c>
      <c r="C16512" s="3" t="inlineStr">
        <is>
          <t>Equity</t>
        </is>
      </c>
      <c r="D16512" s="3" t="inlineStr">
        <is>
          <t>5100/002</t>
        </is>
      </c>
      <c r="E16512" s="3" t="inlineStr">
        <is>
          <t>Share Capital - Zak Trust</t>
        </is>
      </c>
      <c r="F16512" s="3" t="n">
        <v>0</v>
      </c>
      <c r="G16512" s="3" t="n">
        <v>-60</v>
      </c>
    </row>
    <row r="16513">
      <c r="A16513" s="3" t="inlineStr">
        <is>
          <t>Opportunity Global Investment (PTY) LTD</t>
        </is>
      </c>
      <c r="B16513" s="4" t="n">
        <v>45230</v>
      </c>
      <c r="C16513" s="3" t="inlineStr">
        <is>
          <t>Equity</t>
        </is>
      </c>
      <c r="D16513" s="3" t="inlineStr">
        <is>
          <t>5101/000</t>
        </is>
      </c>
      <c r="E16513" s="3" t="inlineStr">
        <is>
          <t>Share Capital - Ordinary Type A</t>
        </is>
      </c>
      <c r="F16513" s="3" t="n">
        <v>0</v>
      </c>
      <c r="G16513" s="3" t="n">
        <v>-70</v>
      </c>
    </row>
    <row r="16514">
      <c r="A16514" s="3" t="inlineStr">
        <is>
          <t>Opportunity Global Investment (PTY) LTD</t>
        </is>
      </c>
      <c r="B16514" s="4" t="n">
        <v>45230</v>
      </c>
      <c r="C16514" s="3" t="inlineStr">
        <is>
          <t>Equity</t>
        </is>
      </c>
      <c r="D16514" s="3" t="inlineStr">
        <is>
          <t>5102/000</t>
        </is>
      </c>
      <c r="E16514" s="3" t="inlineStr">
        <is>
          <t>Share Capital - Ordinary Type B</t>
        </is>
      </c>
      <c r="F16514" s="3" t="n">
        <v>0</v>
      </c>
      <c r="G16514" s="3" t="n">
        <v>-30</v>
      </c>
    </row>
    <row r="16515">
      <c r="A16515" s="3" t="inlineStr">
        <is>
          <t>Endulini (Pty) Ltd</t>
        </is>
      </c>
      <c r="B16515" s="4" t="n">
        <v>45230</v>
      </c>
      <c r="C16515" s="3" t="inlineStr">
        <is>
          <t>Equity</t>
        </is>
      </c>
      <c r="D16515" s="3" t="inlineStr">
        <is>
          <t>5200/000</t>
        </is>
      </c>
      <c r="E16515" s="3" t="inlineStr">
        <is>
          <t>Retained Earnings / Loss</t>
        </is>
      </c>
      <c r="F16515" s="3" t="n">
        <v>0</v>
      </c>
      <c r="G16515" s="3" t="n">
        <v>-6017232.05</v>
      </c>
    </row>
    <row r="16516">
      <c r="A16516" s="3" t="inlineStr">
        <is>
          <t>Noble Shield (Pty) Ltd ta Go Letting</t>
        </is>
      </c>
      <c r="B16516" s="4" t="n">
        <v>45230</v>
      </c>
      <c r="C16516" s="3" t="inlineStr">
        <is>
          <t>Equity</t>
        </is>
      </c>
      <c r="D16516" s="3" t="inlineStr">
        <is>
          <t>5200/000</t>
        </is>
      </c>
      <c r="E16516" s="3" t="inlineStr">
        <is>
          <t>Retained Earnings / Loss</t>
        </is>
      </c>
      <c r="F16516" s="3" t="n">
        <v>0</v>
      </c>
      <c r="G16516" s="3" t="n">
        <v>-91943.62</v>
      </c>
    </row>
    <row r="16517">
      <c r="A16517" s="3" t="inlineStr">
        <is>
          <t>Opportunity Global Investment (PTY) LTD</t>
        </is>
      </c>
      <c r="B16517" s="4" t="n">
        <v>45230</v>
      </c>
      <c r="C16517" s="3" t="inlineStr">
        <is>
          <t>Equity</t>
        </is>
      </c>
      <c r="D16517" s="3" t="inlineStr">
        <is>
          <t>5200/000</t>
        </is>
      </c>
      <c r="E16517" s="3" t="inlineStr">
        <is>
          <t>Retained Earnings / Loss</t>
        </is>
      </c>
      <c r="F16517" s="3" t="n">
        <v>0</v>
      </c>
      <c r="G16517" s="3" t="n">
        <v>2134849.73</v>
      </c>
    </row>
    <row r="16518">
      <c r="A16518" s="3" t="inlineStr">
        <is>
          <t>Opportunity Global Sales (PTY) LTD</t>
        </is>
      </c>
      <c r="B16518" s="4" t="n">
        <v>45230</v>
      </c>
      <c r="C16518" s="3" t="inlineStr">
        <is>
          <t>Equity</t>
        </is>
      </c>
      <c r="D16518" s="3" t="inlineStr">
        <is>
          <t>5200/000</t>
        </is>
      </c>
      <c r="E16518" s="3" t="inlineStr">
        <is>
          <t>Retained Earnings / Loss</t>
        </is>
      </c>
      <c r="F16518" s="3" t="n">
        <v>0</v>
      </c>
      <c r="G16518" s="3" t="n">
        <v>-2287097.79</v>
      </c>
    </row>
    <row r="16519">
      <c r="A16519" s="3" t="inlineStr">
        <is>
          <t>Opportunity Management Holdings (PTY) LTD</t>
        </is>
      </c>
      <c r="B16519" s="4" t="n">
        <v>45230</v>
      </c>
      <c r="C16519" s="3" t="inlineStr">
        <is>
          <t>Equity</t>
        </is>
      </c>
      <c r="D16519" s="3" t="inlineStr">
        <is>
          <t>5200/000</t>
        </is>
      </c>
      <c r="E16519" s="3" t="inlineStr">
        <is>
          <t>Retained Earnings / Loss</t>
        </is>
      </c>
      <c r="F16519" s="3" t="n">
        <v>0</v>
      </c>
      <c r="G16519" s="3" t="n">
        <v>1215864.15</v>
      </c>
    </row>
    <row r="16520">
      <c r="A16520" s="3" t="inlineStr">
        <is>
          <t>Quinate Consulting (Pty) Ltd</t>
        </is>
      </c>
      <c r="B16520" s="4" t="n">
        <v>45230</v>
      </c>
      <c r="C16520" s="3" t="inlineStr">
        <is>
          <t>Equity</t>
        </is>
      </c>
      <c r="D16520" s="3" t="inlineStr">
        <is>
          <t>5200/000</t>
        </is>
      </c>
      <c r="E16520" s="3" t="inlineStr">
        <is>
          <t>Retained Earnings / Loss</t>
        </is>
      </c>
      <c r="F16520" s="3" t="n">
        <v>0</v>
      </c>
      <c r="G16520" s="3" t="n">
        <v>1549164.28</v>
      </c>
    </row>
    <row r="16521">
      <c r="A16521" s="3" t="inlineStr">
        <is>
          <t>Trademark Holdings (Pty) Ltd</t>
        </is>
      </c>
      <c r="B16521" s="4" t="n">
        <v>45230</v>
      </c>
      <c r="C16521" s="3" t="inlineStr">
        <is>
          <t>Equity</t>
        </is>
      </c>
      <c r="D16521" s="3" t="inlineStr">
        <is>
          <t>5200/000</t>
        </is>
      </c>
      <c r="E16521" s="3" t="inlineStr">
        <is>
          <t>Retained Earnings / Loss</t>
        </is>
      </c>
      <c r="F16521" s="3" t="n">
        <v>0</v>
      </c>
      <c r="G16521" s="3" t="n">
        <v>-163666.44</v>
      </c>
    </row>
    <row r="16522">
      <c r="A16522" s="3" t="inlineStr">
        <is>
          <t>Quinate Consulting (Pty) Ltd</t>
        </is>
      </c>
      <c r="B16522" s="4" t="n">
        <v>45230</v>
      </c>
      <c r="C16522" s="3" t="inlineStr">
        <is>
          <t>Assets</t>
        </is>
      </c>
      <c r="D16522" s="3" t="inlineStr">
        <is>
          <t>5400/011</t>
        </is>
      </c>
      <c r="E16522" s="3" t="inlineStr">
        <is>
          <t>Members Loan - Nick Morgan</t>
        </is>
      </c>
      <c r="F16522" s="3" t="n">
        <v>0</v>
      </c>
      <c r="G16522" s="3" t="n">
        <v>-85743.69</v>
      </c>
    </row>
    <row r="16523">
      <c r="A16523" s="3" t="inlineStr">
        <is>
          <t>Opportunity Management Holdings (PTY) LTD</t>
        </is>
      </c>
      <c r="B16523" s="4" t="n">
        <v>45230</v>
      </c>
      <c r="C16523" s="3" t="inlineStr">
        <is>
          <t>Assets</t>
        </is>
      </c>
      <c r="D16523" s="3" t="inlineStr">
        <is>
          <t>5400/500</t>
        </is>
      </c>
      <c r="E16523" s="3" t="inlineStr">
        <is>
          <t>Shareholder - Zak Loan</t>
        </is>
      </c>
      <c r="F16523" s="3" t="n">
        <v>0</v>
      </c>
      <c r="G16523" s="3" t="n">
        <v>-171798.21</v>
      </c>
    </row>
    <row r="16524">
      <c r="A16524" s="3" t="inlineStr">
        <is>
          <t>Quinate Consulting (Pty) Ltd</t>
        </is>
      </c>
      <c r="B16524" s="4" t="n">
        <v>45230</v>
      </c>
      <c r="C16524" s="3" t="inlineStr">
        <is>
          <t>Liabilities</t>
        </is>
      </c>
      <c r="D16524" s="3" t="inlineStr">
        <is>
          <t>5500/010</t>
        </is>
      </c>
      <c r="E16524" s="3" t="inlineStr">
        <is>
          <t>Loan - Wynand Haywood</t>
        </is>
      </c>
      <c r="F16524" s="3" t="n">
        <v>0</v>
      </c>
      <c r="G16524" s="3" t="n">
        <v>1928.67</v>
      </c>
    </row>
    <row r="16525">
      <c r="A16525" s="3" t="inlineStr">
        <is>
          <t>Quinate Consulting (Pty) Ltd</t>
        </is>
      </c>
      <c r="B16525" s="4" t="n">
        <v>45230</v>
      </c>
      <c r="C16525" s="3" t="inlineStr">
        <is>
          <t>Liabilities</t>
        </is>
      </c>
      <c r="D16525" s="3" t="inlineStr">
        <is>
          <t>5500/023</t>
        </is>
      </c>
      <c r="E16525" s="3" t="inlineStr">
        <is>
          <t>Loan - Noble Shield 1 Security Trust</t>
        </is>
      </c>
      <c r="F16525" s="3" t="n">
        <v>0</v>
      </c>
      <c r="G16525" s="3" t="n">
        <v>100</v>
      </c>
    </row>
    <row r="16526">
      <c r="A16526" s="3" t="inlineStr">
        <is>
          <t>Quinate Consulting (Pty) Ltd</t>
        </is>
      </c>
      <c r="B16526" s="4" t="n">
        <v>45230</v>
      </c>
      <c r="C16526" s="3" t="inlineStr">
        <is>
          <t>Liabilities</t>
        </is>
      </c>
      <c r="D16526" s="3" t="inlineStr">
        <is>
          <t>5500/025</t>
        </is>
      </c>
      <c r="E16526" s="3" t="inlineStr">
        <is>
          <t>Loan - Noble Shield 2 Security Trust</t>
        </is>
      </c>
      <c r="F16526" s="3" t="n">
        <v>0</v>
      </c>
      <c r="G16526" s="3" t="n">
        <v>250</v>
      </c>
    </row>
    <row r="16527">
      <c r="A16527" s="3" t="inlineStr">
        <is>
          <t>Quinate Consulting (Pty) Ltd</t>
        </is>
      </c>
      <c r="B16527" s="4" t="n">
        <v>45230</v>
      </c>
      <c r="C16527" s="3" t="inlineStr">
        <is>
          <t>Liabilities</t>
        </is>
      </c>
      <c r="D16527" s="3" t="inlineStr">
        <is>
          <t>5500/030</t>
        </is>
      </c>
      <c r="E16527" s="3" t="inlineStr">
        <is>
          <t>Loan - Heron Projects</t>
        </is>
      </c>
      <c r="F16527" s="3" t="n">
        <v>4200</v>
      </c>
      <c r="G16527" s="3" t="n">
        <v>24200</v>
      </c>
    </row>
    <row r="16528">
      <c r="A16528" s="3" t="inlineStr">
        <is>
          <t>Opportunity Global Investment (PTY) LTD</t>
        </is>
      </c>
      <c r="B16528" s="4" t="n">
        <v>45230</v>
      </c>
      <c r="C16528" s="3" t="inlineStr">
        <is>
          <t>Liabilities</t>
        </is>
      </c>
      <c r="D16528" s="3" t="inlineStr">
        <is>
          <t>5500/100</t>
        </is>
      </c>
      <c r="E16528" s="3" t="inlineStr">
        <is>
          <t>Loan - Cape Projects Construction</t>
        </is>
      </c>
      <c r="F16528" s="3" t="n">
        <v>-60000</v>
      </c>
      <c r="G16528" s="3" t="n">
        <v>2201000</v>
      </c>
    </row>
    <row r="16529">
      <c r="A16529" s="3" t="inlineStr">
        <is>
          <t>Noble Shield (Pty) Ltd ta Go Letting</t>
        </is>
      </c>
      <c r="B16529" s="4" t="n">
        <v>45230</v>
      </c>
      <c r="C16529" s="3" t="inlineStr">
        <is>
          <t>Liabilities</t>
        </is>
      </c>
      <c r="D16529" s="3" t="inlineStr">
        <is>
          <t>5500/100</t>
        </is>
      </c>
      <c r="E16529" s="3" t="inlineStr">
        <is>
          <t>Loan - Jupiter Trust</t>
        </is>
      </c>
      <c r="F16529" s="3" t="n">
        <v>0</v>
      </c>
      <c r="G16529" s="3" t="n">
        <v>-100228.75</v>
      </c>
    </row>
    <row r="16530">
      <c r="A16530" s="3" t="inlineStr">
        <is>
          <t>Opportunity Management Holdings (PTY) LTD</t>
        </is>
      </c>
      <c r="B16530" s="4" t="n">
        <v>45230</v>
      </c>
      <c r="C16530" s="3" t="inlineStr">
        <is>
          <t>Liabilities</t>
        </is>
      </c>
      <c r="D16530" s="3" t="inlineStr">
        <is>
          <t>5500/100</t>
        </is>
      </c>
      <c r="E16530" s="3" t="inlineStr">
        <is>
          <t>Loan - Opportunity Global</t>
        </is>
      </c>
      <c r="F16530" s="3" t="n">
        <v>0</v>
      </c>
      <c r="G16530" s="3" t="n">
        <v>-20000</v>
      </c>
    </row>
    <row r="16531">
      <c r="A16531" s="3" t="inlineStr">
        <is>
          <t>Endulini (Pty) Ltd</t>
        </is>
      </c>
      <c r="B16531" s="4" t="n">
        <v>45230</v>
      </c>
      <c r="C16531" s="3" t="inlineStr">
        <is>
          <t>Liabilities</t>
        </is>
      </c>
      <c r="D16531" s="3" t="inlineStr">
        <is>
          <t>5500/100</t>
        </is>
      </c>
      <c r="E16531" s="3" t="inlineStr">
        <is>
          <t>Loan - Quinate Consulting</t>
        </is>
      </c>
      <c r="F16531" s="3" t="n">
        <v>-52600</v>
      </c>
      <c r="G16531" s="3" t="n">
        <v>-9208192.130000001</v>
      </c>
    </row>
    <row r="16532">
      <c r="A16532" s="3" t="inlineStr">
        <is>
          <t>Endulini (Pty) Ltd</t>
        </is>
      </c>
      <c r="B16532" s="4" t="n">
        <v>45230</v>
      </c>
      <c r="C16532" s="3" t="inlineStr">
        <is>
          <t>Liabilities</t>
        </is>
      </c>
      <c r="D16532" s="3" t="inlineStr">
        <is>
          <t>5500/150</t>
        </is>
      </c>
      <c r="E16532" s="3" t="inlineStr">
        <is>
          <t>Loan - Cape Projects Construction</t>
        </is>
      </c>
      <c r="F16532" s="3" t="n">
        <v>-30000</v>
      </c>
      <c r="G16532" s="3" t="n">
        <v>-17991000</v>
      </c>
    </row>
    <row r="16533">
      <c r="A16533" s="3" t="inlineStr">
        <is>
          <t>Quinate Consulting (Pty) Ltd</t>
        </is>
      </c>
      <c r="B16533" s="4" t="n">
        <v>45230</v>
      </c>
      <c r="C16533" s="3" t="inlineStr">
        <is>
          <t>Liabilities</t>
        </is>
      </c>
      <c r="D16533" s="3" t="inlineStr">
        <is>
          <t>5500/160</t>
        </is>
      </c>
      <c r="E16533" s="3" t="inlineStr">
        <is>
          <t>Loan - GFY Investment and Consulting</t>
        </is>
      </c>
      <c r="F16533" s="3" t="n">
        <v>0</v>
      </c>
      <c r="G16533" s="3" t="n">
        <v>-1750249.93</v>
      </c>
    </row>
    <row r="16534">
      <c r="A16534" s="3" t="inlineStr">
        <is>
          <t>Opportunity Management Holdings (PTY) LTD</t>
        </is>
      </c>
      <c r="B16534" s="4" t="n">
        <v>45230</v>
      </c>
      <c r="C16534" s="3" t="inlineStr">
        <is>
          <t>Liabilities</t>
        </is>
      </c>
      <c r="D16534" s="3" t="inlineStr">
        <is>
          <t>5500/200</t>
        </is>
      </c>
      <c r="E16534" s="3" t="inlineStr">
        <is>
          <t>Loan - Cape Projects</t>
        </is>
      </c>
      <c r="F16534" s="3" t="n">
        <v>-100000</v>
      </c>
      <c r="G16534" s="3" t="n">
        <v>-77399</v>
      </c>
    </row>
    <row r="16535">
      <c r="A16535" s="3" t="inlineStr">
        <is>
          <t>Endulini (Pty) Ltd</t>
        </is>
      </c>
      <c r="B16535" s="4" t="n">
        <v>45230</v>
      </c>
      <c r="C16535" s="3" t="inlineStr">
        <is>
          <t>Liabilities</t>
        </is>
      </c>
      <c r="D16535" s="3" t="inlineStr">
        <is>
          <t>5500/200</t>
        </is>
      </c>
      <c r="E16535" s="3" t="inlineStr">
        <is>
          <t>Loan - Opportunity Management Holdings</t>
        </is>
      </c>
      <c r="F16535" s="3" t="n">
        <v>-10000</v>
      </c>
      <c r="G16535" s="3" t="n">
        <v>-10000</v>
      </c>
    </row>
    <row r="16536">
      <c r="A16536" s="3" t="inlineStr">
        <is>
          <t>Trademark Holdings (Pty) Ltd</t>
        </is>
      </c>
      <c r="B16536" s="4" t="n">
        <v>45230</v>
      </c>
      <c r="C16536" s="3" t="inlineStr">
        <is>
          <t>Liabilities</t>
        </is>
      </c>
      <c r="D16536" s="3" t="inlineStr">
        <is>
          <t>5500/250</t>
        </is>
      </c>
      <c r="E16536" s="3" t="inlineStr">
        <is>
          <t>Loan - Noble Shield</t>
        </is>
      </c>
      <c r="F16536" s="3" t="n">
        <v>0</v>
      </c>
      <c r="G16536" s="3" t="n">
        <v>115165.59</v>
      </c>
    </row>
    <row r="16537">
      <c r="A16537" s="3" t="inlineStr">
        <is>
          <t>Opportunity Management Holdings (PTY) LTD</t>
        </is>
      </c>
      <c r="B16537" s="4" t="n">
        <v>45230</v>
      </c>
      <c r="C16537" s="3" t="inlineStr">
        <is>
          <t>Liabilities</t>
        </is>
      </c>
      <c r="D16537" s="3" t="inlineStr">
        <is>
          <t>5500/250</t>
        </is>
      </c>
      <c r="E16537" s="3" t="inlineStr">
        <is>
          <t>Loan - Quinate</t>
        </is>
      </c>
      <c r="F16537" s="3" t="n">
        <v>0</v>
      </c>
      <c r="G16537" s="3" t="n">
        <v>-20000</v>
      </c>
    </row>
    <row r="16538">
      <c r="A16538" s="3" t="inlineStr">
        <is>
          <t>Quinate Consulting (Pty) Ltd</t>
        </is>
      </c>
      <c r="B16538" s="4" t="n">
        <v>45230</v>
      </c>
      <c r="C16538" s="3" t="inlineStr">
        <is>
          <t>Liabilities</t>
        </is>
      </c>
      <c r="D16538" s="3" t="inlineStr">
        <is>
          <t>5500/300</t>
        </is>
      </c>
      <c r="E16538" s="3" t="inlineStr">
        <is>
          <t>Loan - Gengis</t>
        </is>
      </c>
      <c r="F16538" s="3" t="n">
        <v>-3516.16</v>
      </c>
      <c r="G16538" s="3" t="n">
        <v>-333172.05</v>
      </c>
    </row>
    <row r="16539">
      <c r="A16539" s="3" t="inlineStr">
        <is>
          <t>Opportunity Management Holdings (PTY) LTD</t>
        </is>
      </c>
      <c r="B16539" s="4" t="n">
        <v>45230</v>
      </c>
      <c r="C16539" s="3" t="inlineStr">
        <is>
          <t>Liabilities</t>
        </is>
      </c>
      <c r="D16539" s="3" t="inlineStr">
        <is>
          <t>5500/300</t>
        </is>
      </c>
      <c r="E16539" s="3" t="inlineStr">
        <is>
          <t>Loan - Opportunity Prop Management</t>
        </is>
      </c>
      <c r="F16539" s="3" t="n">
        <v>0</v>
      </c>
      <c r="G16539" s="3" t="n">
        <v>-1220204.15</v>
      </c>
    </row>
    <row r="16540">
      <c r="A16540" s="3" t="inlineStr">
        <is>
          <t>Noble Shield (Pty) Ltd ta Go Letting</t>
        </is>
      </c>
      <c r="B16540" s="4" t="n">
        <v>45230</v>
      </c>
      <c r="C16540" s="3" t="inlineStr">
        <is>
          <t>Liabilities</t>
        </is>
      </c>
      <c r="D16540" s="3" t="inlineStr">
        <is>
          <t>5500/300</t>
        </is>
      </c>
      <c r="E16540" s="3" t="inlineStr">
        <is>
          <t>Loan - Trademark Holdings</t>
        </is>
      </c>
      <c r="F16540" s="3" t="n">
        <v>0</v>
      </c>
      <c r="G16540" s="3" t="n">
        <v>-115165.59</v>
      </c>
    </row>
    <row r="16541">
      <c r="A16541" s="3" t="inlineStr">
        <is>
          <t>Opportunity Management Holdings (PTY) LTD</t>
        </is>
      </c>
      <c r="B16541" s="4" t="n">
        <v>45230</v>
      </c>
      <c r="C16541" s="3" t="inlineStr">
        <is>
          <t>Liabilities</t>
        </is>
      </c>
      <c r="D16541" s="3" t="inlineStr">
        <is>
          <t>5500/350</t>
        </is>
      </c>
      <c r="E16541" s="3" t="inlineStr">
        <is>
          <t>Loan - Endulini</t>
        </is>
      </c>
      <c r="F16541" s="3" t="n">
        <v>10000</v>
      </c>
      <c r="G16541" s="3" t="n">
        <v>10000</v>
      </c>
    </row>
    <row r="16542">
      <c r="A16542" s="3" t="inlineStr">
        <is>
          <t>Opportunity Global Investment (PTY) LTD</t>
        </is>
      </c>
      <c r="B16542" s="4" t="n">
        <v>45230</v>
      </c>
      <c r="C16542" s="3" t="inlineStr">
        <is>
          <t>Liabilities</t>
        </is>
      </c>
      <c r="D16542" s="3" t="inlineStr">
        <is>
          <t>5500/350</t>
        </is>
      </c>
      <c r="E16542" s="3" t="inlineStr">
        <is>
          <t>Loan - Opportunity Management Holdings</t>
        </is>
      </c>
      <c r="F16542" s="3" t="n">
        <v>0</v>
      </c>
      <c r="G16542" s="3" t="n">
        <v>500</v>
      </c>
    </row>
    <row r="16543">
      <c r="A16543" s="3" t="inlineStr">
        <is>
          <t>Trademark Holdings (Pty) Ltd</t>
        </is>
      </c>
      <c r="B16543" s="4" t="n">
        <v>45230</v>
      </c>
      <c r="C16543" s="3" t="inlineStr">
        <is>
          <t>Liabilities</t>
        </is>
      </c>
      <c r="D16543" s="3" t="inlineStr">
        <is>
          <t>5500/375</t>
        </is>
      </c>
      <c r="E16543" s="3" t="inlineStr">
        <is>
          <t>Loan - Opportunity Management Holdings Pty Ltd</t>
        </is>
      </c>
      <c r="F16543" s="3" t="n">
        <v>49800</v>
      </c>
      <c r="G16543" s="3" t="n">
        <v>88800</v>
      </c>
    </row>
    <row r="16544">
      <c r="A16544" s="3" t="inlineStr">
        <is>
          <t>Trademark Holdings (Pty) Ltd</t>
        </is>
      </c>
      <c r="B16544" s="4" t="n">
        <v>45230</v>
      </c>
      <c r="C16544" s="3" t="inlineStr">
        <is>
          <t>Liabilities</t>
        </is>
      </c>
      <c r="D16544" s="3" t="inlineStr">
        <is>
          <t>5500/450</t>
        </is>
      </c>
      <c r="E16544" s="3" t="inlineStr">
        <is>
          <t>Loan - Cape Projects Construction</t>
        </is>
      </c>
      <c r="F16544" s="3" t="n">
        <v>-600</v>
      </c>
      <c r="G16544" s="3" t="n">
        <v>-37400</v>
      </c>
    </row>
    <row r="16545">
      <c r="A16545" s="3" t="inlineStr">
        <is>
          <t>Trademark Holdings (Pty) Ltd</t>
        </is>
      </c>
      <c r="B16545" s="4" t="n">
        <v>45230</v>
      </c>
      <c r="C16545" s="3" t="inlineStr">
        <is>
          <t>Liabilities</t>
        </is>
      </c>
      <c r="D16545" s="3" t="inlineStr">
        <is>
          <t>5500/500</t>
        </is>
      </c>
      <c r="E16545" s="3" t="inlineStr">
        <is>
          <t>Go Letting Brand Name</t>
        </is>
      </c>
      <c r="F16545" s="3" t="n">
        <v>0</v>
      </c>
      <c r="G16545" s="3" t="n">
        <v>93420</v>
      </c>
    </row>
    <row r="16546">
      <c r="A16546" s="3" t="inlineStr">
        <is>
          <t>Noble Shield (Pty) Ltd ta Go Letting</t>
        </is>
      </c>
      <c r="B16546" s="4" t="n">
        <v>45230</v>
      </c>
      <c r="C16546" s="3" t="inlineStr">
        <is>
          <t>Liabilities</t>
        </is>
      </c>
      <c r="D16546" s="3" t="inlineStr">
        <is>
          <t>5500/500</t>
        </is>
      </c>
      <c r="E16546" s="3" t="inlineStr">
        <is>
          <t>Loan - Cape Projects Construction</t>
        </is>
      </c>
      <c r="F16546" s="3" t="n">
        <v>-600</v>
      </c>
      <c r="G16546" s="3" t="n">
        <v>105189.44</v>
      </c>
    </row>
    <row r="16547">
      <c r="A16547" s="3" t="inlineStr">
        <is>
          <t>Quinate Consulting (Pty) Ltd</t>
        </is>
      </c>
      <c r="B16547" s="4" t="n">
        <v>45230</v>
      </c>
      <c r="C16547" s="3" t="inlineStr">
        <is>
          <t>Liabilities</t>
        </is>
      </c>
      <c r="D16547" s="3" t="inlineStr">
        <is>
          <t>5500/500</t>
        </is>
      </c>
      <c r="E16547" s="3" t="inlineStr">
        <is>
          <t>Loan - Opportunity Development Struct.</t>
        </is>
      </c>
      <c r="F16547" s="3" t="n">
        <v>0</v>
      </c>
      <c r="G16547" s="3" t="n">
        <v>-2380000</v>
      </c>
    </row>
    <row r="16548">
      <c r="A16548" s="3" t="inlineStr">
        <is>
          <t>Opportunity Management Holdings (PTY) LTD</t>
        </is>
      </c>
      <c r="B16548" s="4" t="n">
        <v>45230</v>
      </c>
      <c r="C16548" s="3" t="inlineStr">
        <is>
          <t>Liabilities</t>
        </is>
      </c>
      <c r="D16548" s="3" t="inlineStr">
        <is>
          <t>5500/500</t>
        </is>
      </c>
      <c r="E16548" s="3" t="inlineStr">
        <is>
          <t>Loan - Opportunity Tradermark Holdings</t>
        </is>
      </c>
      <c r="F16548" s="3" t="n">
        <v>-49800</v>
      </c>
      <c r="G16548" s="3" t="n">
        <v>-88800</v>
      </c>
    </row>
    <row r="16549">
      <c r="A16549" s="3" t="inlineStr">
        <is>
          <t>Quinate Consulting (Pty) Ltd</t>
        </is>
      </c>
      <c r="B16549" s="4" t="n">
        <v>45230</v>
      </c>
      <c r="C16549" s="3" t="inlineStr">
        <is>
          <t>Liabilities</t>
        </is>
      </c>
      <c r="D16549" s="3" t="inlineStr">
        <is>
          <t>5500/520</t>
        </is>
      </c>
      <c r="E16549" s="3" t="inlineStr">
        <is>
          <t>Loan - Opportunity Management Holdings</t>
        </is>
      </c>
      <c r="F16549" s="3" t="n">
        <v>0</v>
      </c>
      <c r="G16549" s="3" t="n">
        <v>16100</v>
      </c>
    </row>
    <row r="16550">
      <c r="A16550" s="3" t="inlineStr">
        <is>
          <t>Opportunity Management Holdings (PTY) LTD</t>
        </is>
      </c>
      <c r="B16550" s="4" t="n">
        <v>45230</v>
      </c>
      <c r="C16550" s="3" t="inlineStr">
        <is>
          <t>Liabilities</t>
        </is>
      </c>
      <c r="D16550" s="3" t="inlineStr">
        <is>
          <t>5500/550</t>
        </is>
      </c>
      <c r="E16550" s="3" t="inlineStr">
        <is>
          <t>Loan - Heron Projects</t>
        </is>
      </c>
      <c r="F16550" s="3" t="n">
        <v>0</v>
      </c>
      <c r="G16550" s="3" t="n">
        <v>-65100</v>
      </c>
    </row>
    <row r="16551">
      <c r="A16551" s="3" t="inlineStr">
        <is>
          <t>Noble Shield (Pty) Ltd ta Go Letting</t>
        </is>
      </c>
      <c r="B16551" s="4" t="n">
        <v>45230</v>
      </c>
      <c r="C16551" s="3" t="inlineStr">
        <is>
          <t>Liabilities</t>
        </is>
      </c>
      <c r="D16551" s="3" t="inlineStr">
        <is>
          <t>5500/600</t>
        </is>
      </c>
      <c r="E16551" s="3" t="inlineStr">
        <is>
          <t>Loan - Heron Projects</t>
        </is>
      </c>
      <c r="F16551" s="3" t="n">
        <v>0</v>
      </c>
      <c r="G16551" s="3" t="n">
        <v>20370.22</v>
      </c>
    </row>
    <row r="16552">
      <c r="A16552" s="3" t="inlineStr">
        <is>
          <t>Opportunity Global Investment (PTY) LTD</t>
        </is>
      </c>
      <c r="B16552" s="4" t="n">
        <v>45230</v>
      </c>
      <c r="C16552" s="3" t="inlineStr">
        <is>
          <t>Liabilities</t>
        </is>
      </c>
      <c r="D16552" s="3" t="inlineStr">
        <is>
          <t>5500/650</t>
        </is>
      </c>
      <c r="E16552" s="3" t="inlineStr">
        <is>
          <t>Loan - Opportunit Global - Sales</t>
        </is>
      </c>
      <c r="F16552" s="3" t="n">
        <v>6381.27</v>
      </c>
      <c r="G16552" s="3" t="n">
        <v>-3726925.58</v>
      </c>
    </row>
    <row r="16553">
      <c r="A16553" s="3" t="inlineStr">
        <is>
          <t>Opportunity Global Sales (PTY) LTD</t>
        </is>
      </c>
      <c r="B16553" s="4" t="n">
        <v>45230</v>
      </c>
      <c r="C16553" s="3" t="inlineStr">
        <is>
          <t>Liabilities</t>
        </is>
      </c>
      <c r="D16553" s="3" t="inlineStr">
        <is>
          <t>5500/650</t>
        </is>
      </c>
      <c r="E16553" s="3" t="inlineStr">
        <is>
          <t>Loan - Opportunity Investments</t>
        </is>
      </c>
      <c r="F16553" s="3" t="n">
        <v>-6381.27</v>
      </c>
      <c r="G16553" s="3" t="n">
        <v>3726925.58</v>
      </c>
    </row>
    <row r="16554">
      <c r="A16554" s="3" t="inlineStr">
        <is>
          <t>Opportunity Management Holdings (PTY) LTD</t>
        </is>
      </c>
      <c r="B16554" s="4" t="n">
        <v>45230</v>
      </c>
      <c r="C16554" s="3" t="inlineStr">
        <is>
          <t>Liabilities</t>
        </is>
      </c>
      <c r="D16554" s="3" t="inlineStr">
        <is>
          <t>5500/700</t>
        </is>
      </c>
      <c r="E16554" s="3" t="inlineStr">
        <is>
          <t>Loan - Go Letting</t>
        </is>
      </c>
      <c r="F16554" s="3" t="n">
        <v>0</v>
      </c>
      <c r="G16554" s="3" t="n">
        <v>-120</v>
      </c>
    </row>
    <row r="16555">
      <c r="A16555" s="3" t="inlineStr">
        <is>
          <t>Opportunity Global Investment (PTY) LTD</t>
        </is>
      </c>
      <c r="B16555" s="4" t="n">
        <v>45230</v>
      </c>
      <c r="C16555" s="3" t="inlineStr">
        <is>
          <t>Liabilities</t>
        </is>
      </c>
      <c r="D16555" s="3" t="inlineStr">
        <is>
          <t>5500/750</t>
        </is>
      </c>
      <c r="E16555" s="3" t="inlineStr">
        <is>
          <t>Loan - Heron Projects</t>
        </is>
      </c>
      <c r="F16555" s="3" t="n">
        <v>-270000</v>
      </c>
      <c r="G16555" s="3" t="n">
        <v>-1923000</v>
      </c>
    </row>
    <row r="16556">
      <c r="A16556" s="3" t="inlineStr">
        <is>
          <t>Opportunity Global Investment (PTY) LTD</t>
        </is>
      </c>
      <c r="B16556" s="4" t="n">
        <v>45230</v>
      </c>
      <c r="C16556" s="3" t="inlineStr">
        <is>
          <t>Liabilities</t>
        </is>
      </c>
      <c r="D16556" s="3" t="inlineStr">
        <is>
          <t>5500/850</t>
        </is>
      </c>
      <c r="E16556" s="3" t="inlineStr">
        <is>
          <t>Loan - Nick Morgan</t>
        </is>
      </c>
      <c r="F16556" s="3" t="n">
        <v>0</v>
      </c>
      <c r="G16556" s="3" t="n">
        <v>6200</v>
      </c>
    </row>
    <row r="16557">
      <c r="A16557" s="3" t="inlineStr">
        <is>
          <t>Quinate Consulting (Pty) Ltd</t>
        </is>
      </c>
      <c r="B16557" s="4" t="n">
        <v>45230</v>
      </c>
      <c r="C16557" s="3" t="inlineStr">
        <is>
          <t>Liabilities</t>
        </is>
      </c>
      <c r="D16557" s="3" t="inlineStr">
        <is>
          <t>5501/000</t>
        </is>
      </c>
      <c r="E16557" s="3" t="inlineStr">
        <is>
          <t>Loan - Endulini Project</t>
        </is>
      </c>
      <c r="F16557" s="3" t="n">
        <v>0</v>
      </c>
      <c r="G16557" s="3" t="n">
        <v>-2756.97</v>
      </c>
    </row>
    <row r="16558">
      <c r="A16558" s="3" t="inlineStr">
        <is>
          <t>Quinate Consulting (Pty) Ltd</t>
        </is>
      </c>
      <c r="B16558" s="4" t="n">
        <v>45230</v>
      </c>
      <c r="C16558" s="3" t="inlineStr">
        <is>
          <t>Liabilities</t>
        </is>
      </c>
      <c r="D16558" s="3" t="inlineStr">
        <is>
          <t>5501/001</t>
        </is>
      </c>
      <c r="E16558" s="3" t="inlineStr">
        <is>
          <t>Loan - Endulini CIP Costs</t>
        </is>
      </c>
      <c r="F16558" s="3" t="n">
        <v>52600</v>
      </c>
      <c r="G16558" s="3" t="n">
        <v>9210949.1</v>
      </c>
    </row>
    <row r="16559">
      <c r="A16559" s="3" t="inlineStr">
        <is>
          <t>Noble Shield (Pty) Ltd ta Go Letting</t>
        </is>
      </c>
      <c r="B16559" s="4" t="n">
        <v>45230</v>
      </c>
      <c r="C16559" s="3" t="inlineStr">
        <is>
          <t>Assets</t>
        </is>
      </c>
      <c r="D16559" s="3" t="inlineStr">
        <is>
          <t>6250/010</t>
        </is>
      </c>
      <c r="E16559" s="3" t="inlineStr">
        <is>
          <t>Computer Equipment - @ Cost</t>
        </is>
      </c>
      <c r="F16559" s="3" t="n">
        <v>0</v>
      </c>
      <c r="G16559" s="3" t="n">
        <v>20397</v>
      </c>
    </row>
    <row r="16560">
      <c r="A16560" s="3" t="inlineStr">
        <is>
          <t>Opportunity Global Investment (PTY) LTD</t>
        </is>
      </c>
      <c r="B16560" s="4" t="n">
        <v>45230</v>
      </c>
      <c r="C16560" s="3" t="inlineStr">
        <is>
          <t>Assets</t>
        </is>
      </c>
      <c r="D16560" s="3" t="inlineStr">
        <is>
          <t>6250/010</t>
        </is>
      </c>
      <c r="E16560" s="3" t="inlineStr">
        <is>
          <t>Computer Equipment - @ Cost</t>
        </is>
      </c>
      <c r="F16560" s="3" t="n">
        <v>0</v>
      </c>
      <c r="G16560" s="3" t="n">
        <v>31683.04</v>
      </c>
    </row>
    <row r="16561">
      <c r="A16561" s="3" t="inlineStr">
        <is>
          <t>Opportunity Management Holdings (PTY) LTD</t>
        </is>
      </c>
      <c r="B16561" s="4" t="n">
        <v>45230</v>
      </c>
      <c r="C16561" s="3" t="inlineStr">
        <is>
          <t>Assets</t>
        </is>
      </c>
      <c r="D16561" s="3" t="inlineStr">
        <is>
          <t>6250/010</t>
        </is>
      </c>
      <c r="E16561" s="3" t="inlineStr">
        <is>
          <t>Computer Equipment - @ Cost</t>
        </is>
      </c>
      <c r="F16561" s="3" t="n">
        <v>0</v>
      </c>
      <c r="G16561" s="3" t="n">
        <v>52177.85</v>
      </c>
    </row>
    <row r="16562">
      <c r="A16562" s="3" t="inlineStr">
        <is>
          <t>Quinate Consulting (Pty) Ltd</t>
        </is>
      </c>
      <c r="B16562" s="4" t="n">
        <v>45230</v>
      </c>
      <c r="C16562" s="3" t="inlineStr">
        <is>
          <t>Assets</t>
        </is>
      </c>
      <c r="D16562" s="3" t="inlineStr">
        <is>
          <t>6250/010</t>
        </is>
      </c>
      <c r="E16562" s="3" t="inlineStr">
        <is>
          <t>Computer Equipment - @ Cost</t>
        </is>
      </c>
      <c r="F16562" s="3" t="n">
        <v>0</v>
      </c>
      <c r="G16562" s="3" t="n">
        <v>137059.7</v>
      </c>
    </row>
    <row r="16563">
      <c r="A16563" s="3" t="inlineStr">
        <is>
          <t>Noble Shield (Pty) Ltd ta Go Letting</t>
        </is>
      </c>
      <c r="B16563" s="4" t="n">
        <v>45230</v>
      </c>
      <c r="C16563" s="3" t="inlineStr">
        <is>
          <t>Assets</t>
        </is>
      </c>
      <c r="D16563" s="3" t="inlineStr">
        <is>
          <t>6250/020</t>
        </is>
      </c>
      <c r="E16563" s="3" t="inlineStr">
        <is>
          <t>Computer Equipment - Accum Depre</t>
        </is>
      </c>
      <c r="F16563" s="3" t="n">
        <v>0</v>
      </c>
      <c r="G16563" s="3" t="n">
        <v>-12040.89</v>
      </c>
    </row>
    <row r="16564">
      <c r="A16564" s="3" t="inlineStr">
        <is>
          <t>Opportunity Global Investment (PTY) LTD</t>
        </is>
      </c>
      <c r="B16564" s="4" t="n">
        <v>45230</v>
      </c>
      <c r="C16564" s="3" t="inlineStr">
        <is>
          <t>Assets</t>
        </is>
      </c>
      <c r="D16564" s="3" t="inlineStr">
        <is>
          <t>6250/020</t>
        </is>
      </c>
      <c r="E16564" s="3" t="inlineStr">
        <is>
          <t>Computer Equipment - Accum Depre</t>
        </is>
      </c>
      <c r="F16564" s="3" t="n">
        <v>-880.08</v>
      </c>
      <c r="G16564" s="3" t="n">
        <v>-8800.84</v>
      </c>
    </row>
    <row r="16565">
      <c r="A16565" s="3" t="inlineStr">
        <is>
          <t>Opportunity Management Holdings (PTY) LTD</t>
        </is>
      </c>
      <c r="B16565" s="4" t="n">
        <v>45230</v>
      </c>
      <c r="C16565" s="3" t="inlineStr">
        <is>
          <t>Assets</t>
        </is>
      </c>
      <c r="D16565" s="3" t="inlineStr">
        <is>
          <t>6250/020</t>
        </is>
      </c>
      <c r="E16565" s="3" t="inlineStr">
        <is>
          <t>Computer Equipment - Accum Depre</t>
        </is>
      </c>
      <c r="F16565" s="3" t="n">
        <v>-1035.18</v>
      </c>
      <c r="G16565" s="3" t="n">
        <v>-13890.63</v>
      </c>
    </row>
    <row r="16566">
      <c r="A16566" s="3" t="inlineStr">
        <is>
          <t>Quinate Consulting (Pty) Ltd</t>
        </is>
      </c>
      <c r="B16566" s="4" t="n">
        <v>45230</v>
      </c>
      <c r="C16566" s="3" t="inlineStr">
        <is>
          <t>Assets</t>
        </is>
      </c>
      <c r="D16566" s="3" t="inlineStr">
        <is>
          <t>6250/020</t>
        </is>
      </c>
      <c r="E16566" s="3" t="inlineStr">
        <is>
          <t>Computer Equipment - Accum Depre</t>
        </is>
      </c>
      <c r="F16566" s="3" t="n">
        <v>-2331.65</v>
      </c>
      <c r="G16566" s="3" t="n">
        <v>-117027.08</v>
      </c>
    </row>
    <row r="16567">
      <c r="A16567" s="3" t="inlineStr">
        <is>
          <t>Opportunity Management Holdings (PTY) LTD</t>
        </is>
      </c>
      <c r="B16567" s="4" t="n">
        <v>45230</v>
      </c>
      <c r="C16567" s="3" t="inlineStr">
        <is>
          <t>Assets</t>
        </is>
      </c>
      <c r="D16567" s="3" t="inlineStr">
        <is>
          <t>6250/030</t>
        </is>
      </c>
      <c r="E16567" s="3" t="inlineStr">
        <is>
          <t>Acc Depreciation - Computer Equipment</t>
        </is>
      </c>
      <c r="F16567" s="3" t="n">
        <v>0</v>
      </c>
      <c r="G16567" s="3" t="n">
        <v>-9441.25</v>
      </c>
    </row>
    <row r="16568">
      <c r="A16568" s="3" t="inlineStr">
        <is>
          <t>Quinate Consulting (Pty) Ltd</t>
        </is>
      </c>
      <c r="B16568" s="4" t="n">
        <v>45230</v>
      </c>
      <c r="C16568" s="3" t="inlineStr">
        <is>
          <t>Assets</t>
        </is>
      </c>
      <c r="D16568" s="3" t="inlineStr">
        <is>
          <t>6270/010</t>
        </is>
      </c>
      <c r="E16568" s="3" t="inlineStr">
        <is>
          <t>Site Containers - @ Cost</t>
        </is>
      </c>
      <c r="F16568" s="3" t="n">
        <v>0</v>
      </c>
      <c r="G16568" s="3" t="n">
        <v>19130.44</v>
      </c>
    </row>
    <row r="16569">
      <c r="A16569" s="3" t="inlineStr">
        <is>
          <t>Quinate Consulting (Pty) Ltd</t>
        </is>
      </c>
      <c r="B16569" s="4" t="n">
        <v>45230</v>
      </c>
      <c r="C16569" s="3" t="inlineStr">
        <is>
          <t>Assets</t>
        </is>
      </c>
      <c r="D16569" s="3" t="inlineStr">
        <is>
          <t>6270/020</t>
        </is>
      </c>
      <c r="E16569" s="3" t="inlineStr">
        <is>
          <t>Site Containers - Accum Depre</t>
        </is>
      </c>
      <c r="F16569" s="3" t="n">
        <v>-318.84</v>
      </c>
      <c r="G16569" s="3" t="n">
        <v>-10202.9</v>
      </c>
    </row>
    <row r="16570">
      <c r="A16570" s="3" t="inlineStr">
        <is>
          <t>Noble Shield (Pty) Ltd ta Go Letting</t>
        </is>
      </c>
      <c r="B16570" s="4" t="n">
        <v>45230</v>
      </c>
      <c r="C16570" s="3" t="inlineStr">
        <is>
          <t>Assets</t>
        </is>
      </c>
      <c r="D16570" s="3" t="inlineStr">
        <is>
          <t>6350/010</t>
        </is>
      </c>
      <c r="E16570" s="3" t="inlineStr">
        <is>
          <t>Furniture _AND_ Fittings - @ Cost</t>
        </is>
      </c>
      <c r="F16570" s="3" t="n">
        <v>0</v>
      </c>
      <c r="G16570" s="3" t="n">
        <v>2242</v>
      </c>
    </row>
    <row r="16571">
      <c r="A16571" s="3" t="inlineStr">
        <is>
          <t>Opportunity Global Sales (PTY) LTD</t>
        </is>
      </c>
      <c r="B16571" s="4" t="n">
        <v>45230</v>
      </c>
      <c r="C16571" s="3" t="inlineStr">
        <is>
          <t>Assets</t>
        </is>
      </c>
      <c r="D16571" s="3" t="inlineStr">
        <is>
          <t>6350/010</t>
        </is>
      </c>
      <c r="E16571" s="3" t="inlineStr">
        <is>
          <t>Furniture _AND_ Fittings - @ Cost</t>
        </is>
      </c>
      <c r="F16571" s="3" t="n">
        <v>0</v>
      </c>
      <c r="G16571" s="3" t="n">
        <v>29379.7</v>
      </c>
    </row>
    <row r="16572">
      <c r="A16572" s="3" t="inlineStr">
        <is>
          <t>Noble Shield (Pty) Ltd ta Go Letting</t>
        </is>
      </c>
      <c r="B16572" s="4" t="n">
        <v>45230</v>
      </c>
      <c r="C16572" s="3" t="inlineStr">
        <is>
          <t>Assets</t>
        </is>
      </c>
      <c r="D16572" s="3" t="inlineStr">
        <is>
          <t>6350/020</t>
        </is>
      </c>
      <c r="E16572" s="3" t="inlineStr">
        <is>
          <t>Furniture _AND_ Fittings - Accum Depre</t>
        </is>
      </c>
      <c r="F16572" s="3" t="n">
        <v>0</v>
      </c>
      <c r="G16572" s="3" t="n">
        <v>-2239</v>
      </c>
    </row>
    <row r="16573">
      <c r="A16573" s="3" t="inlineStr">
        <is>
          <t>Opportunity Global Sales (PTY) LTD</t>
        </is>
      </c>
      <c r="B16573" s="4" t="n">
        <v>45230</v>
      </c>
      <c r="C16573" s="3" t="inlineStr">
        <is>
          <t>Assets</t>
        </is>
      </c>
      <c r="D16573" s="3" t="inlineStr">
        <is>
          <t>6350/020</t>
        </is>
      </c>
      <c r="E16573" s="3" t="inlineStr">
        <is>
          <t>Furniture _AND_ Fittings - Accum Depre</t>
        </is>
      </c>
      <c r="F16573" s="3" t="n">
        <v>-408.05</v>
      </c>
      <c r="G16573" s="3" t="n">
        <v>-6528.82</v>
      </c>
    </row>
    <row r="16574">
      <c r="A16574" s="3" t="inlineStr">
        <is>
          <t>Opportunity Management Holdings (PTY) LTD</t>
        </is>
      </c>
      <c r="B16574" s="4" t="n">
        <v>45230</v>
      </c>
      <c r="C16574" s="3" t="inlineStr">
        <is>
          <t>Liabilities</t>
        </is>
      </c>
      <c r="D16574" s="3" t="inlineStr">
        <is>
          <t>6500/000</t>
        </is>
      </c>
      <c r="E16574" s="3" t="inlineStr">
        <is>
          <t>Deposits - Held</t>
        </is>
      </c>
      <c r="F16574" s="3" t="n">
        <v>0</v>
      </c>
      <c r="G16574" s="3" t="n">
        <v>-12028.1</v>
      </c>
    </row>
    <row r="16575">
      <c r="A16575" s="3" t="inlineStr">
        <is>
          <t>Opportunity Management Holdings (PTY) LTD</t>
        </is>
      </c>
      <c r="B16575" s="4" t="n">
        <v>45230</v>
      </c>
      <c r="C16575" s="3" t="inlineStr">
        <is>
          <t>Liabilities</t>
        </is>
      </c>
      <c r="D16575" s="3" t="inlineStr">
        <is>
          <t>6510/000</t>
        </is>
      </c>
      <c r="E16575" s="3" t="inlineStr">
        <is>
          <t>Deposits Paid - Anicol Properties</t>
        </is>
      </c>
      <c r="F16575" s="3" t="n">
        <v>0</v>
      </c>
      <c r="G16575" s="3" t="n">
        <v>13755</v>
      </c>
    </row>
    <row r="16576">
      <c r="A16576" s="3" t="inlineStr">
        <is>
          <t>Opportunity Management Holdings (PTY) LTD</t>
        </is>
      </c>
      <c r="B16576" s="4" t="n">
        <v>45230</v>
      </c>
      <c r="C16576" s="3" t="inlineStr">
        <is>
          <t>Liabilities</t>
        </is>
      </c>
      <c r="D16576" s="3" t="inlineStr">
        <is>
          <t>6515/000</t>
        </is>
      </c>
      <c r="E16576" s="3" t="inlineStr">
        <is>
          <t>Deposits Paid</t>
        </is>
      </c>
      <c r="F16576" s="3" t="n">
        <v>0</v>
      </c>
      <c r="G16576" s="3" t="n">
        <v>3852.5</v>
      </c>
    </row>
    <row r="16577">
      <c r="A16577" s="3" t="inlineStr">
        <is>
          <t>Quinate Consulting (Pty) Ltd</t>
        </is>
      </c>
      <c r="B16577" s="4" t="n">
        <v>45230</v>
      </c>
      <c r="C16577" s="3" t="inlineStr">
        <is>
          <t>Assets</t>
        </is>
      </c>
      <c r="D16577" s="3" t="inlineStr">
        <is>
          <t>6600/010</t>
        </is>
      </c>
      <c r="E16577" s="3" t="inlineStr">
        <is>
          <t>Other Fixed Assets - @ Cost</t>
        </is>
      </c>
      <c r="F16577" s="3" t="n">
        <v>0</v>
      </c>
      <c r="G16577" s="3" t="n">
        <v>14442.5</v>
      </c>
    </row>
    <row r="16578">
      <c r="A16578" s="3" t="inlineStr">
        <is>
          <t>Quinate Consulting (Pty) Ltd</t>
        </is>
      </c>
      <c r="B16578" s="4" t="n">
        <v>45230</v>
      </c>
      <c r="C16578" s="3" t="inlineStr">
        <is>
          <t>Assets</t>
        </is>
      </c>
      <c r="D16578" s="3" t="inlineStr">
        <is>
          <t>6600/020</t>
        </is>
      </c>
      <c r="E16578" s="3" t="inlineStr">
        <is>
          <t>Other Fixed Assets - Accum Depre</t>
        </is>
      </c>
      <c r="F16578" s="3" t="n">
        <v>0</v>
      </c>
      <c r="G16578" s="3" t="n">
        <v>-14441.5</v>
      </c>
    </row>
    <row r="16579">
      <c r="A16579" s="3" t="inlineStr">
        <is>
          <t>Noble Shield (Pty) Ltd ta Go Letting</t>
        </is>
      </c>
      <c r="B16579" s="4" t="n">
        <v>45230</v>
      </c>
      <c r="C16579" s="3" t="inlineStr">
        <is>
          <t>Assets</t>
        </is>
      </c>
      <c r="D16579" s="3" t="inlineStr">
        <is>
          <t>7000/100</t>
        </is>
      </c>
      <c r="E16579" s="3" t="inlineStr">
        <is>
          <t>Goodwill - Purchase of Go Letting</t>
        </is>
      </c>
      <c r="F16579" s="3" t="n">
        <v>0</v>
      </c>
      <c r="G16579" s="3" t="n">
        <v>106580</v>
      </c>
    </row>
    <row r="16580">
      <c r="A16580" s="3" t="inlineStr">
        <is>
          <t>Opportunity Management Holdings (PTY) LTD</t>
        </is>
      </c>
      <c r="B16580" s="4" t="n">
        <v>45230</v>
      </c>
      <c r="C16580" s="3" t="inlineStr">
        <is>
          <t>Assets</t>
        </is>
      </c>
      <c r="D16580" s="3" t="inlineStr">
        <is>
          <t>7200/000</t>
        </is>
      </c>
      <c r="E16580" s="3" t="inlineStr">
        <is>
          <t>Shares in Subsidiary Companies</t>
        </is>
      </c>
      <c r="F16580" s="3" t="n">
        <v>0</v>
      </c>
      <c r="G16580" s="3" t="n">
        <v>120</v>
      </c>
    </row>
    <row r="16581">
      <c r="A16581" s="3" t="inlineStr">
        <is>
          <t>Endulini (Pty) Ltd</t>
        </is>
      </c>
      <c r="B16581" s="4" t="n">
        <v>45230</v>
      </c>
      <c r="C16581" s="3" t="inlineStr">
        <is>
          <t>Assets</t>
        </is>
      </c>
      <c r="D16581" s="3" t="inlineStr">
        <is>
          <t>7610/100</t>
        </is>
      </c>
      <c r="E16581" s="3" t="inlineStr">
        <is>
          <t>Endulini Land</t>
        </is>
      </c>
      <c r="F16581" s="3" t="n">
        <v>0</v>
      </c>
      <c r="G16581" s="3" t="n">
        <v>10572851.37</v>
      </c>
    </row>
    <row r="16582">
      <c r="A16582" s="3" t="inlineStr">
        <is>
          <t>Endulini (Pty) Ltd</t>
        </is>
      </c>
      <c r="B16582" s="4" t="n">
        <v>45230</v>
      </c>
      <c r="C16582" s="3" t="inlineStr">
        <is>
          <t>Assets</t>
        </is>
      </c>
      <c r="D16582" s="3" t="inlineStr">
        <is>
          <t>7610/111</t>
        </is>
      </c>
      <c r="E16582" s="3" t="inlineStr">
        <is>
          <t>Endulini Closing Stock February 2021</t>
        </is>
      </c>
      <c r="F16582" s="3" t="n">
        <v>0</v>
      </c>
      <c r="G16582" s="3" t="n">
        <v>14368610.11</v>
      </c>
    </row>
    <row r="16583">
      <c r="A16583" s="3" t="inlineStr">
        <is>
          <t>Endulini (Pty) Ltd</t>
        </is>
      </c>
      <c r="B16583" s="4" t="n">
        <v>45230</v>
      </c>
      <c r="C16583" s="3" t="inlineStr">
        <is>
          <t>Assets</t>
        </is>
      </c>
      <c r="D16583" s="3" t="inlineStr">
        <is>
          <t>7610/180</t>
        </is>
      </c>
      <c r="E16583" s="3" t="inlineStr">
        <is>
          <t>Endulini CIP Architects</t>
        </is>
      </c>
      <c r="F16583" s="3" t="n">
        <v>0</v>
      </c>
      <c r="G16583" s="3" t="n">
        <v>1292111.71</v>
      </c>
    </row>
    <row r="16584">
      <c r="A16584" s="3" t="inlineStr">
        <is>
          <t>Endulini (Pty) Ltd</t>
        </is>
      </c>
      <c r="B16584" s="4" t="n">
        <v>45230</v>
      </c>
      <c r="C16584" s="3" t="inlineStr">
        <is>
          <t>Assets</t>
        </is>
      </c>
      <c r="D16584" s="3" t="inlineStr">
        <is>
          <t>7610/200</t>
        </is>
      </c>
      <c r="E16584" s="3" t="inlineStr">
        <is>
          <t>Endulini CIP CoCT Land Use App</t>
        </is>
      </c>
      <c r="F16584" s="3" t="n">
        <v>0</v>
      </c>
      <c r="G16584" s="3" t="n">
        <v>232891.06</v>
      </c>
    </row>
    <row r="16585">
      <c r="A16585" s="3" t="inlineStr">
        <is>
          <t>Endulini (Pty) Ltd</t>
        </is>
      </c>
      <c r="B16585" s="4" t="n">
        <v>45230</v>
      </c>
      <c r="C16585" s="3" t="inlineStr">
        <is>
          <t>Assets</t>
        </is>
      </c>
      <c r="D16585" s="3" t="inlineStr">
        <is>
          <t>7610/205</t>
        </is>
      </c>
      <c r="E16585" s="3" t="inlineStr">
        <is>
          <t>Endulini CIP Site Establishments</t>
        </is>
      </c>
      <c r="F16585" s="3" t="n">
        <v>0</v>
      </c>
      <c r="G16585" s="3" t="n">
        <v>32428975.01</v>
      </c>
    </row>
    <row r="16586">
      <c r="A16586" s="3" t="inlineStr">
        <is>
          <t>Endulini (Pty) Ltd</t>
        </is>
      </c>
      <c r="B16586" s="4" t="n">
        <v>45230</v>
      </c>
      <c r="C16586" s="3" t="inlineStr">
        <is>
          <t>Assets</t>
        </is>
      </c>
      <c r="D16586" s="3" t="inlineStr">
        <is>
          <t>7610/209</t>
        </is>
      </c>
      <c r="E16586" s="3" t="inlineStr">
        <is>
          <t>Endulini CIP Construction Management</t>
        </is>
      </c>
      <c r="F16586" s="3" t="n">
        <v>0</v>
      </c>
      <c r="G16586" s="3" t="n">
        <v>223375</v>
      </c>
    </row>
    <row r="16587">
      <c r="A16587" s="3" t="inlineStr">
        <is>
          <t>Endulini (Pty) Ltd</t>
        </is>
      </c>
      <c r="B16587" s="4" t="n">
        <v>45230</v>
      </c>
      <c r="C16587" s="3" t="inlineStr">
        <is>
          <t>Assets</t>
        </is>
      </c>
      <c r="D16587" s="3" t="inlineStr">
        <is>
          <t>7610/210</t>
        </is>
      </c>
      <c r="E16587" s="3" t="inlineStr">
        <is>
          <t>Endulini CIP Civil Works</t>
        </is>
      </c>
      <c r="F16587" s="3" t="n">
        <v>0</v>
      </c>
      <c r="G16587" s="3" t="n">
        <v>6295702.14</v>
      </c>
    </row>
    <row r="16588">
      <c r="A16588" s="3" t="inlineStr">
        <is>
          <t>Endulini (Pty) Ltd</t>
        </is>
      </c>
      <c r="B16588" s="4" t="n">
        <v>45230</v>
      </c>
      <c r="C16588" s="3" t="inlineStr">
        <is>
          <t>Assets</t>
        </is>
      </c>
      <c r="D16588" s="3" t="inlineStr">
        <is>
          <t>7610/215</t>
        </is>
      </c>
      <c r="E16588" s="3" t="inlineStr">
        <is>
          <t>Endulini CIP Civil Engineers</t>
        </is>
      </c>
      <c r="F16588" s="3" t="n">
        <v>0</v>
      </c>
      <c r="G16588" s="3" t="n">
        <v>183000</v>
      </c>
    </row>
    <row r="16589">
      <c r="A16589" s="3" t="inlineStr">
        <is>
          <t>Endulini (Pty) Ltd</t>
        </is>
      </c>
      <c r="B16589" s="4" t="n">
        <v>45230</v>
      </c>
      <c r="C16589" s="3" t="inlineStr">
        <is>
          <t>Assets</t>
        </is>
      </c>
      <c r="D16589" s="3" t="inlineStr">
        <is>
          <t>7610/220</t>
        </is>
      </c>
      <c r="E16589" s="3" t="inlineStr">
        <is>
          <t>Endulini CIP Structuring Project Fee Opp Invest</t>
        </is>
      </c>
      <c r="F16589" s="3" t="n">
        <v>0</v>
      </c>
      <c r="G16589" s="3" t="n">
        <v>483735.96</v>
      </c>
    </row>
    <row r="16590">
      <c r="A16590" s="3" t="inlineStr">
        <is>
          <t>Endulini (Pty) Ltd</t>
        </is>
      </c>
      <c r="B16590" s="4" t="n">
        <v>45230</v>
      </c>
      <c r="C16590" s="3" t="inlineStr">
        <is>
          <t>Assets</t>
        </is>
      </c>
      <c r="D16590" s="3" t="inlineStr">
        <is>
          <t>7610/225</t>
        </is>
      </c>
      <c r="E16590" s="3" t="inlineStr">
        <is>
          <t>Endulini CIP Structural engineering fee</t>
        </is>
      </c>
      <c r="F16590" s="3" t="n">
        <v>0</v>
      </c>
      <c r="G16590" s="3" t="n">
        <v>346268.03</v>
      </c>
    </row>
    <row r="16591">
      <c r="A16591" s="3" t="inlineStr">
        <is>
          <t>Endulini (Pty) Ltd</t>
        </is>
      </c>
      <c r="B16591" s="4" t="n">
        <v>45230</v>
      </c>
      <c r="C16591" s="3" t="inlineStr">
        <is>
          <t>Assets</t>
        </is>
      </c>
      <c r="D16591" s="3" t="inlineStr">
        <is>
          <t>7610/230</t>
        </is>
      </c>
      <c r="E16591" s="3" t="inlineStr">
        <is>
          <t>Endulini CIP Mechanical Engineering</t>
        </is>
      </c>
      <c r="F16591" s="3" t="n">
        <v>0</v>
      </c>
      <c r="G16591" s="3" t="n">
        <v>15570</v>
      </c>
    </row>
    <row r="16592">
      <c r="A16592" s="3" t="inlineStr">
        <is>
          <t>Endulini (Pty) Ltd</t>
        </is>
      </c>
      <c r="B16592" s="4" t="n">
        <v>45230</v>
      </c>
      <c r="C16592" s="3" t="inlineStr">
        <is>
          <t>Assets</t>
        </is>
      </c>
      <c r="D16592" s="3" t="inlineStr">
        <is>
          <t>7610/235</t>
        </is>
      </c>
      <c r="E16592" s="3" t="inlineStr">
        <is>
          <t>Endulini CIP Electrical Installation</t>
        </is>
      </c>
      <c r="F16592" s="3" t="n">
        <v>0</v>
      </c>
      <c r="G16592" s="3" t="n">
        <v>1034019.08</v>
      </c>
    </row>
    <row r="16593">
      <c r="A16593" s="3" t="inlineStr">
        <is>
          <t>Endulini (Pty) Ltd</t>
        </is>
      </c>
      <c r="B16593" s="4" t="n">
        <v>45230</v>
      </c>
      <c r="C16593" s="3" t="inlineStr">
        <is>
          <t>Assets</t>
        </is>
      </c>
      <c r="D16593" s="3" t="inlineStr">
        <is>
          <t>7610/250</t>
        </is>
      </c>
      <c r="E16593" s="3" t="inlineStr">
        <is>
          <t>Endulini CIP Boundary Wall</t>
        </is>
      </c>
      <c r="F16593" s="3" t="n">
        <v>0</v>
      </c>
      <c r="G16593" s="3" t="n">
        <v>88400.8</v>
      </c>
    </row>
    <row r="16594">
      <c r="A16594" s="3" t="inlineStr">
        <is>
          <t>Endulini (Pty) Ltd</t>
        </is>
      </c>
      <c r="B16594" s="4" t="n">
        <v>45230</v>
      </c>
      <c r="C16594" s="3" t="inlineStr">
        <is>
          <t>Assets</t>
        </is>
      </c>
      <c r="D16594" s="3" t="inlineStr">
        <is>
          <t>7610/290</t>
        </is>
      </c>
      <c r="E16594" s="3" t="inlineStr">
        <is>
          <t>Endulini CIP Development Management Fees</t>
        </is>
      </c>
      <c r="F16594" s="3" t="n">
        <v>0</v>
      </c>
      <c r="G16594" s="3" t="n">
        <v>237496.62</v>
      </c>
    </row>
    <row r="16595">
      <c r="A16595" s="3" t="inlineStr">
        <is>
          <t>Endulini (Pty) Ltd</t>
        </is>
      </c>
      <c r="B16595" s="4" t="n">
        <v>45230</v>
      </c>
      <c r="C16595" s="3" t="inlineStr">
        <is>
          <t>Assets</t>
        </is>
      </c>
      <c r="D16595" s="3" t="inlineStr">
        <is>
          <t>7610/310</t>
        </is>
      </c>
      <c r="E16595" s="3" t="inlineStr">
        <is>
          <t>Endulini CIP Enviromental consultants</t>
        </is>
      </c>
      <c r="F16595" s="3" t="n">
        <v>0</v>
      </c>
      <c r="G16595" s="3" t="n">
        <v>115730</v>
      </c>
    </row>
    <row r="16596">
      <c r="A16596" s="3" t="inlineStr">
        <is>
          <t>Endulini (Pty) Ltd</t>
        </is>
      </c>
      <c r="B16596" s="4" t="n">
        <v>45230</v>
      </c>
      <c r="C16596" s="3" t="inlineStr">
        <is>
          <t>Assets</t>
        </is>
      </c>
      <c r="D16596" s="3" t="inlineStr">
        <is>
          <t>7610/320</t>
        </is>
      </c>
      <c r="E16596" s="3" t="inlineStr">
        <is>
          <t>Endulini CIP Geotechnical</t>
        </is>
      </c>
      <c r="F16596" s="3" t="n">
        <v>0</v>
      </c>
      <c r="G16596" s="3" t="n">
        <v>13575</v>
      </c>
    </row>
    <row r="16597">
      <c r="A16597" s="3" t="inlineStr">
        <is>
          <t>Endulini (Pty) Ltd</t>
        </is>
      </c>
      <c r="B16597" s="4" t="n">
        <v>45230</v>
      </c>
      <c r="C16597" s="3" t="inlineStr">
        <is>
          <t>Assets</t>
        </is>
      </c>
      <c r="D16597" s="3" t="inlineStr">
        <is>
          <t>7610/330</t>
        </is>
      </c>
      <c r="E16597" s="3" t="inlineStr">
        <is>
          <t>Endulini CIP Health and Safety</t>
        </is>
      </c>
      <c r="F16597" s="3" t="n">
        <v>0</v>
      </c>
      <c r="G16597" s="3" t="n">
        <v>40200</v>
      </c>
    </row>
    <row r="16598">
      <c r="A16598" s="3" t="inlineStr">
        <is>
          <t>Endulini (Pty) Ltd</t>
        </is>
      </c>
      <c r="B16598" s="4" t="n">
        <v>45230</v>
      </c>
      <c r="C16598" s="3" t="inlineStr">
        <is>
          <t>Assets</t>
        </is>
      </c>
      <c r="D16598" s="3" t="inlineStr">
        <is>
          <t>7610/390</t>
        </is>
      </c>
      <c r="E16598" s="3" t="inlineStr">
        <is>
          <t>Endulini CIP Land Surveyor</t>
        </is>
      </c>
      <c r="F16598" s="3" t="n">
        <v>0</v>
      </c>
      <c r="G16598" s="3" t="n">
        <v>186021.2</v>
      </c>
    </row>
    <row r="16599">
      <c r="A16599" s="3" t="inlineStr">
        <is>
          <t>Endulini (Pty) Ltd</t>
        </is>
      </c>
      <c r="B16599" s="4" t="n">
        <v>45230</v>
      </c>
      <c r="C16599" s="3" t="inlineStr">
        <is>
          <t>Assets</t>
        </is>
      </c>
      <c r="D16599" s="3" t="inlineStr">
        <is>
          <t>7610/392</t>
        </is>
      </c>
      <c r="E16599" s="3" t="inlineStr">
        <is>
          <t>Endulini CIP Landscaping</t>
        </is>
      </c>
      <c r="F16599" s="3" t="n">
        <v>0</v>
      </c>
      <c r="G16599" s="3" t="n">
        <v>6100</v>
      </c>
    </row>
    <row r="16600">
      <c r="A16600" s="3" t="inlineStr">
        <is>
          <t>Endulini (Pty) Ltd</t>
        </is>
      </c>
      <c r="B16600" s="4" t="n">
        <v>45230</v>
      </c>
      <c r="C16600" s="3" t="inlineStr">
        <is>
          <t>Assets</t>
        </is>
      </c>
      <c r="D16600" s="3" t="inlineStr">
        <is>
          <t>7610/395</t>
        </is>
      </c>
      <c r="E16600" s="3" t="inlineStr">
        <is>
          <t>Endulini CIP NHBRC</t>
        </is>
      </c>
      <c r="F16600" s="3" t="n">
        <v>0</v>
      </c>
      <c r="G16600" s="3" t="n">
        <v>928847.49</v>
      </c>
    </row>
    <row r="16601">
      <c r="A16601" s="3" t="inlineStr">
        <is>
          <t>Endulini (Pty) Ltd</t>
        </is>
      </c>
      <c r="B16601" s="4" t="n">
        <v>45230</v>
      </c>
      <c r="C16601" s="3" t="inlineStr">
        <is>
          <t>Assets</t>
        </is>
      </c>
      <c r="D16601" s="3" t="inlineStr">
        <is>
          <t>7610/400</t>
        </is>
      </c>
      <c r="E16601" s="3" t="inlineStr">
        <is>
          <t>Endulini CIP Quantity Surveyor</t>
        </is>
      </c>
      <c r="F16601" s="3" t="n">
        <v>0</v>
      </c>
      <c r="G16601" s="3" t="n">
        <v>82136.36</v>
      </c>
    </row>
    <row r="16602">
      <c r="A16602" s="3" t="inlineStr">
        <is>
          <t>Endulini (Pty) Ltd</t>
        </is>
      </c>
      <c r="B16602" s="4" t="n">
        <v>45230</v>
      </c>
      <c r="C16602" s="3" t="inlineStr">
        <is>
          <t>Assets</t>
        </is>
      </c>
      <c r="D16602" s="3" t="inlineStr">
        <is>
          <t>7610/600</t>
        </is>
      </c>
      <c r="E16602" s="3" t="inlineStr">
        <is>
          <t>Endulini CIP Town Planning</t>
        </is>
      </c>
      <c r="F16602" s="3" t="n">
        <v>0</v>
      </c>
      <c r="G16602" s="3" t="n">
        <v>21105</v>
      </c>
    </row>
    <row r="16603">
      <c r="A16603" s="3" t="inlineStr">
        <is>
          <t>Endulini (Pty) Ltd</t>
        </is>
      </c>
      <c r="B16603" s="4" t="n">
        <v>45230</v>
      </c>
      <c r="C16603" s="3" t="inlineStr">
        <is>
          <t>Assets</t>
        </is>
      </c>
      <c r="D16603" s="3" t="inlineStr">
        <is>
          <t>7610/620</t>
        </is>
      </c>
      <c r="E16603" s="3" t="inlineStr">
        <is>
          <t>Endulini CIP Traffic Impact</t>
        </is>
      </c>
      <c r="F16603" s="3" t="n">
        <v>0</v>
      </c>
      <c r="G16603" s="3" t="n">
        <v>24915</v>
      </c>
    </row>
    <row r="16604">
      <c r="A16604" s="3" t="inlineStr">
        <is>
          <t>Endulini (Pty) Ltd</t>
        </is>
      </c>
      <c r="B16604" s="4" t="n">
        <v>45230</v>
      </c>
      <c r="C16604" s="3" t="inlineStr">
        <is>
          <t>Assets</t>
        </is>
      </c>
      <c r="D16604" s="3" t="inlineStr">
        <is>
          <t>7610/630</t>
        </is>
      </c>
      <c r="E16604" s="3" t="inlineStr">
        <is>
          <t>Endulini CIP CoCT Development Contributi</t>
        </is>
      </c>
      <c r="F16604" s="3" t="n">
        <v>0</v>
      </c>
      <c r="G16604" s="3" t="n">
        <v>661860.3100000001</v>
      </c>
    </row>
    <row r="16605">
      <c r="A16605" s="3" t="inlineStr">
        <is>
          <t>Endulini (Pty) Ltd</t>
        </is>
      </c>
      <c r="B16605" s="4" t="n">
        <v>45230</v>
      </c>
      <c r="C16605" s="3" t="inlineStr">
        <is>
          <t>Assets</t>
        </is>
      </c>
      <c r="D16605" s="3" t="inlineStr">
        <is>
          <t>7610/640</t>
        </is>
      </c>
      <c r="E16605" s="3" t="inlineStr">
        <is>
          <t>Endulini CIP CoCT Building plan application</t>
        </is>
      </c>
      <c r="F16605" s="3" t="n">
        <v>0</v>
      </c>
      <c r="G16605" s="3" t="n">
        <v>111203.22</v>
      </c>
    </row>
    <row r="16606">
      <c r="A16606" s="3" t="inlineStr">
        <is>
          <t>Endulini (Pty) Ltd</t>
        </is>
      </c>
      <c r="B16606" s="4" t="n">
        <v>45230</v>
      </c>
      <c r="C16606" s="3" t="inlineStr">
        <is>
          <t>Assets</t>
        </is>
      </c>
      <c r="D16606" s="3" t="inlineStr">
        <is>
          <t>7610/900</t>
        </is>
      </c>
      <c r="E16606" s="3" t="inlineStr">
        <is>
          <t>Endulini CIP Cost of Sales</t>
        </is>
      </c>
      <c r="F16606" s="3" t="n">
        <v>0</v>
      </c>
      <c r="G16606" s="3" t="n">
        <v>-28210981.9</v>
      </c>
    </row>
    <row r="16607">
      <c r="A16607" s="3" t="inlineStr">
        <is>
          <t>Quinate Consulting (Pty) Ltd</t>
        </is>
      </c>
      <c r="B16607" s="4" t="n">
        <v>45230</v>
      </c>
      <c r="C16607" s="3" t="inlineStr">
        <is>
          <t>Assets</t>
        </is>
      </c>
      <c r="D16607" s="3" t="inlineStr">
        <is>
          <t>7800/104</t>
        </is>
      </c>
      <c r="E16607" s="3" t="inlineStr">
        <is>
          <t>Stock - Closing Stock SW - 28 Feb 21</t>
        </is>
      </c>
      <c r="F16607" s="3" t="n">
        <v>0</v>
      </c>
      <c r="G16607" s="3" t="n">
        <v>2874478.88</v>
      </c>
    </row>
    <row r="16608">
      <c r="A16608" s="3" t="inlineStr">
        <is>
          <t>Quinate Consulting (Pty) Ltd</t>
        </is>
      </c>
      <c r="B16608" s="4" t="n">
        <v>45230</v>
      </c>
      <c r="C16608" s="3" t="inlineStr">
        <is>
          <t>Assets</t>
        </is>
      </c>
      <c r="D16608" s="3" t="inlineStr">
        <is>
          <t>7800/105</t>
        </is>
      </c>
      <c r="E16608" s="3" t="inlineStr">
        <is>
          <t>Stock - Closing Stock SH - 28 Feb 21</t>
        </is>
      </c>
      <c r="F16608" s="3" t="n">
        <v>0</v>
      </c>
      <c r="G16608" s="3" t="n">
        <v>2843477.6</v>
      </c>
    </row>
    <row r="16609">
      <c r="A16609" s="3" t="inlineStr">
        <is>
          <t>Endulini (Pty) Ltd</t>
        </is>
      </c>
      <c r="B16609" s="4" t="n">
        <v>45230</v>
      </c>
      <c r="C16609" s="3" t="inlineStr">
        <is>
          <t>Assets</t>
        </is>
      </c>
      <c r="D16609" s="3" t="inlineStr">
        <is>
          <t>8000/000</t>
        </is>
      </c>
      <c r="E16609" s="3" t="inlineStr">
        <is>
          <t>Customer Control Account</t>
        </is>
      </c>
      <c r="F16609" s="3" t="n">
        <v>0</v>
      </c>
      <c r="G16609" s="3" t="n">
        <v>170572.96</v>
      </c>
    </row>
    <row r="16610">
      <c r="A16610" s="3" t="inlineStr">
        <is>
          <t>Noble Shield (Pty) Ltd ta Go Letting</t>
        </is>
      </c>
      <c r="B16610" s="4" t="n">
        <v>45230</v>
      </c>
      <c r="C16610" s="3" t="inlineStr">
        <is>
          <t>Assets</t>
        </is>
      </c>
      <c r="D16610" s="3" t="inlineStr">
        <is>
          <t>8000/000</t>
        </is>
      </c>
      <c r="E16610" s="3" t="inlineStr">
        <is>
          <t>Customer Control Account</t>
        </is>
      </c>
      <c r="F16610" s="3" t="n">
        <v>0</v>
      </c>
      <c r="G16610" s="3" t="n">
        <v>60289.32</v>
      </c>
    </row>
    <row r="16611">
      <c r="A16611" s="3" t="inlineStr">
        <is>
          <t>Opportunity Global Investment (PTY) LTD</t>
        </is>
      </c>
      <c r="B16611" s="4" t="n">
        <v>45230</v>
      </c>
      <c r="C16611" s="3" t="inlineStr">
        <is>
          <t>Assets</t>
        </is>
      </c>
      <c r="D16611" s="3" t="inlineStr">
        <is>
          <t>8000/000</t>
        </is>
      </c>
      <c r="E16611" s="3" t="inlineStr">
        <is>
          <t>Customer Control Account</t>
        </is>
      </c>
      <c r="F16611" s="3" t="n">
        <v>1840.95</v>
      </c>
      <c r="G16611" s="3" t="n">
        <v>14058.2</v>
      </c>
    </row>
    <row r="16612">
      <c r="A16612" s="3" t="inlineStr">
        <is>
          <t>Opportunity Global Sales (PTY) LTD</t>
        </is>
      </c>
      <c r="B16612" s="4" t="n">
        <v>45230</v>
      </c>
      <c r="C16612" s="3" t="inlineStr">
        <is>
          <t>Assets</t>
        </is>
      </c>
      <c r="D16612" s="3" t="inlineStr">
        <is>
          <t>8000/000</t>
        </is>
      </c>
      <c r="E16612" s="3" t="inlineStr">
        <is>
          <t>Customer Control Account</t>
        </is>
      </c>
      <c r="F16612" s="3" t="n">
        <v>17900</v>
      </c>
      <c r="G16612" s="3" t="n">
        <v>534998.33</v>
      </c>
    </row>
    <row r="16613">
      <c r="A16613" s="3" t="inlineStr">
        <is>
          <t>Opportunity Management Holdings (PTY) LTD</t>
        </is>
      </c>
      <c r="B16613" s="4" t="n">
        <v>45230</v>
      </c>
      <c r="C16613" s="3" t="inlineStr">
        <is>
          <t>Assets</t>
        </is>
      </c>
      <c r="D16613" s="3" t="inlineStr">
        <is>
          <t>8000/000</t>
        </is>
      </c>
      <c r="E16613" s="3" t="inlineStr">
        <is>
          <t>Customer Control Account</t>
        </is>
      </c>
      <c r="F16613" s="3" t="n">
        <v>0</v>
      </c>
      <c r="G16613" s="3" t="n">
        <v>460000</v>
      </c>
    </row>
    <row r="16614">
      <c r="A16614" s="3" t="inlineStr">
        <is>
          <t>Quinate Consulting (Pty) Ltd</t>
        </is>
      </c>
      <c r="B16614" s="4" t="n">
        <v>45230</v>
      </c>
      <c r="C16614" s="3" t="inlineStr">
        <is>
          <t>Assets</t>
        </is>
      </c>
      <c r="D16614" s="3" t="inlineStr">
        <is>
          <t>8000/000</t>
        </is>
      </c>
      <c r="E16614" s="3" t="inlineStr">
        <is>
          <t>Customer Control Account</t>
        </is>
      </c>
      <c r="F16614" s="3" t="n">
        <v>56558.49</v>
      </c>
      <c r="G16614" s="3" t="n">
        <v>77442.99000000001</v>
      </c>
    </row>
    <row r="16615">
      <c r="A16615" s="3" t="inlineStr">
        <is>
          <t>Quinate Consulting (Pty) Ltd</t>
        </is>
      </c>
      <c r="B16615" s="4" t="n">
        <v>45230</v>
      </c>
      <c r="C16615" s="3" t="inlineStr">
        <is>
          <t>Assets</t>
        </is>
      </c>
      <c r="D16615" s="3" t="inlineStr">
        <is>
          <t>8001</t>
        </is>
      </c>
      <c r="E16615" s="3" t="inlineStr">
        <is>
          <t>Customer Control</t>
        </is>
      </c>
      <c r="F16615" s="3" t="n">
        <v>0</v>
      </c>
      <c r="G16615" s="3" t="n">
        <v>29487.49</v>
      </c>
    </row>
    <row r="16616">
      <c r="A16616" s="3" t="inlineStr">
        <is>
          <t>Quinate Consulting (Pty) Ltd</t>
        </is>
      </c>
      <c r="B16616" s="4" t="n">
        <v>45230</v>
      </c>
      <c r="C16616" s="3" t="inlineStr">
        <is>
          <t>Assets</t>
        </is>
      </c>
      <c r="D16616" s="3" t="inlineStr">
        <is>
          <t>8200/010</t>
        </is>
      </c>
      <c r="E16616" s="3" t="inlineStr">
        <is>
          <t>Prepayments / Prepaid Expenses</t>
        </is>
      </c>
      <c r="F16616" s="3" t="n">
        <v>0</v>
      </c>
      <c r="G16616" s="3" t="n">
        <v>109675</v>
      </c>
    </row>
    <row r="16617">
      <c r="A16617" s="3" t="inlineStr">
        <is>
          <t>Opportunity Management Holdings (PTY) LTD</t>
        </is>
      </c>
      <c r="B16617" s="4" t="n">
        <v>45230</v>
      </c>
      <c r="C16617" s="3" t="inlineStr">
        <is>
          <t>Assets</t>
        </is>
      </c>
      <c r="D16617" s="3" t="inlineStr">
        <is>
          <t>8200/020</t>
        </is>
      </c>
      <c r="E16617" s="3" t="inlineStr">
        <is>
          <t>Staff Loan - Nicolene Smit</t>
        </is>
      </c>
      <c r="F16617" s="3" t="n">
        <v>-500</v>
      </c>
      <c r="G16617" s="3" t="n">
        <v>2500</v>
      </c>
    </row>
    <row r="16618">
      <c r="A16618" s="3" t="inlineStr">
        <is>
          <t>Opportunity Management Holdings (PTY) LTD</t>
        </is>
      </c>
      <c r="B16618" s="4" t="n">
        <v>45230</v>
      </c>
      <c r="C16618" s="3" t="inlineStr">
        <is>
          <t>Assets</t>
        </is>
      </c>
      <c r="D16618" s="3" t="inlineStr">
        <is>
          <t>8200/040</t>
        </is>
      </c>
      <c r="E16618" s="3" t="inlineStr">
        <is>
          <t>Staff Loan - L</t>
        </is>
      </c>
      <c r="F16618" s="3" t="n">
        <v>-1901.62</v>
      </c>
      <c r="G16618" s="3" t="n">
        <v>-1901.62</v>
      </c>
    </row>
    <row r="16619">
      <c r="A16619" s="3" t="inlineStr">
        <is>
          <t>Opportunity Global Sales (PTY) LTD</t>
        </is>
      </c>
      <c r="B16619" s="4" t="n">
        <v>45230</v>
      </c>
      <c r="C16619" s="3" t="inlineStr">
        <is>
          <t>Assets</t>
        </is>
      </c>
      <c r="D16619" s="3" t="inlineStr">
        <is>
          <t>8300/200</t>
        </is>
      </c>
      <c r="E16619" s="3" t="inlineStr">
        <is>
          <t>Staff Loan - Mario Stoop</t>
        </is>
      </c>
      <c r="F16619" s="3" t="n">
        <v>-1500</v>
      </c>
      <c r="G16619" s="3" t="n">
        <v>9000</v>
      </c>
    </row>
    <row r="16620">
      <c r="A16620" s="3" t="inlineStr">
        <is>
          <t>Opportunity Global Investment (PTY) LTD</t>
        </is>
      </c>
      <c r="B16620" s="4" t="n">
        <v>45230</v>
      </c>
      <c r="C16620" s="3" t="inlineStr">
        <is>
          <t>Assets</t>
        </is>
      </c>
      <c r="D16620" s="3" t="inlineStr">
        <is>
          <t>8400/000</t>
        </is>
      </c>
      <c r="E16620" s="3" t="inlineStr">
        <is>
          <t>FNB 62093491696</t>
        </is>
      </c>
      <c r="F16620" s="3" t="n">
        <v>60597.92</v>
      </c>
      <c r="G16620" s="3" t="n">
        <v>115927.02</v>
      </c>
    </row>
    <row r="16621">
      <c r="A16621" s="3" t="inlineStr">
        <is>
          <t>Opportunity Global Sales (PTY) LTD</t>
        </is>
      </c>
      <c r="B16621" s="4" t="n">
        <v>45230</v>
      </c>
      <c r="C16621" s="3" t="inlineStr">
        <is>
          <t>Assets</t>
        </is>
      </c>
      <c r="D16621" s="3" t="inlineStr">
        <is>
          <t>8400/000</t>
        </is>
      </c>
      <c r="E16621" s="3" t="inlineStr">
        <is>
          <t>FNB 62835620875</t>
        </is>
      </c>
      <c r="F16621" s="3" t="n">
        <v>-62730.28</v>
      </c>
      <c r="G16621" s="3" t="n">
        <v>17515.03</v>
      </c>
    </row>
    <row r="16622">
      <c r="A16622" s="3" t="inlineStr">
        <is>
          <t>Quinate Consulting (Pty) Ltd</t>
        </is>
      </c>
      <c r="B16622" s="4" t="n">
        <v>45230</v>
      </c>
      <c r="C16622" s="3" t="inlineStr">
        <is>
          <t>Assets</t>
        </is>
      </c>
      <c r="D16622" s="3" t="inlineStr">
        <is>
          <t>8400/000</t>
        </is>
      </c>
      <c r="E16622" s="3" t="inlineStr">
        <is>
          <t>RMB - 62736659189 - Call Acc</t>
        </is>
      </c>
      <c r="F16622" s="3" t="n">
        <v>892.27</v>
      </c>
      <c r="G16622" s="3" t="n">
        <v>160560.53</v>
      </c>
    </row>
    <row r="16623">
      <c r="A16623" s="3" t="inlineStr">
        <is>
          <t>Trademark Holdings (Pty) Ltd</t>
        </is>
      </c>
      <c r="B16623" s="4" t="n">
        <v>45230</v>
      </c>
      <c r="C16623" s="3" t="inlineStr">
        <is>
          <t>Assets</t>
        </is>
      </c>
      <c r="D16623" s="3" t="inlineStr">
        <is>
          <t>8400/000</t>
        </is>
      </c>
      <c r="E16623" s="3" t="inlineStr">
        <is>
          <t>RMB 623 693 03640</t>
        </is>
      </c>
      <c r="F16623" s="3" t="n">
        <v>-94447.75999999999</v>
      </c>
      <c r="G16623" s="3" t="n">
        <v>43375.36</v>
      </c>
    </row>
    <row r="16624">
      <c r="A16624" s="3" t="inlineStr">
        <is>
          <t>Noble Shield (Pty) Ltd ta Go Letting</t>
        </is>
      </c>
      <c r="B16624" s="4" t="n">
        <v>45230</v>
      </c>
      <c r="C16624" s="3" t="inlineStr">
        <is>
          <t>Assets</t>
        </is>
      </c>
      <c r="D16624" s="3" t="inlineStr">
        <is>
          <t>8400/000</t>
        </is>
      </c>
      <c r="E16624" s="3" t="inlineStr">
        <is>
          <t>RMB 6250 573 3833</t>
        </is>
      </c>
      <c r="F16624" s="3" t="n">
        <v>-15735.62</v>
      </c>
      <c r="G16624" s="3" t="n">
        <v>129451.53</v>
      </c>
    </row>
    <row r="16625">
      <c r="A16625" s="3" t="inlineStr">
        <is>
          <t>Endulini (Pty) Ltd</t>
        </is>
      </c>
      <c r="B16625" s="4" t="n">
        <v>45230</v>
      </c>
      <c r="C16625" s="3" t="inlineStr">
        <is>
          <t>Assets</t>
        </is>
      </c>
      <c r="D16625" s="3" t="inlineStr">
        <is>
          <t>8400/000</t>
        </is>
      </c>
      <c r="E16625" s="3" t="inlineStr">
        <is>
          <t>RMB 62906944576</t>
        </is>
      </c>
      <c r="F16625" s="3" t="n">
        <v>14611.94</v>
      </c>
      <c r="G16625" s="3" t="n">
        <v>34593.09</v>
      </c>
    </row>
    <row r="16626">
      <c r="A16626" s="3" t="inlineStr">
        <is>
          <t>Opportunity Management Holdings (PTY) LTD</t>
        </is>
      </c>
      <c r="B16626" s="4" t="n">
        <v>45230</v>
      </c>
      <c r="C16626" s="3" t="inlineStr">
        <is>
          <t>Assets</t>
        </is>
      </c>
      <c r="D16626" s="3" t="inlineStr">
        <is>
          <t>8400/000</t>
        </is>
      </c>
      <c r="E16626" s="3" t="inlineStr">
        <is>
          <t>RMB Cheq - 62312246920</t>
        </is>
      </c>
      <c r="F16626" s="3" t="n">
        <v>47209.87</v>
      </c>
      <c r="G16626" s="3" t="n">
        <v>91620.24000000001</v>
      </c>
    </row>
    <row r="16627">
      <c r="A16627" s="3" t="inlineStr">
        <is>
          <t>Opportunity Global Investment (PTY) LTD</t>
        </is>
      </c>
      <c r="B16627" s="4" t="n">
        <v>45230</v>
      </c>
      <c r="C16627" s="3" t="inlineStr">
        <is>
          <t>Assets</t>
        </is>
      </c>
      <c r="D16627" s="3" t="inlineStr">
        <is>
          <t>8405/000</t>
        </is>
      </c>
      <c r="E16627" s="3" t="inlineStr">
        <is>
          <t>FNB Trust 62762449265</t>
        </is>
      </c>
      <c r="F16627" s="3" t="n">
        <v>0</v>
      </c>
      <c r="G16627" s="3" t="n">
        <v>1141.1</v>
      </c>
    </row>
    <row r="16628">
      <c r="A16628" s="3" t="inlineStr">
        <is>
          <t>Endulini (Pty) Ltd</t>
        </is>
      </c>
      <c r="B16628" s="4" t="n">
        <v>45230</v>
      </c>
      <c r="C16628" s="3" t="inlineStr">
        <is>
          <t>Assets</t>
        </is>
      </c>
      <c r="D16628" s="3" t="inlineStr">
        <is>
          <t>8410/000</t>
        </is>
      </c>
      <c r="E16628" s="3" t="inlineStr">
        <is>
          <t>Momentum Investor Account : RU 502229883</t>
        </is>
      </c>
      <c r="F16628" s="3" t="n">
        <v>3.95</v>
      </c>
      <c r="G16628" s="3" t="n">
        <v>24.03</v>
      </c>
    </row>
    <row r="16629">
      <c r="A16629" s="3" t="inlineStr">
        <is>
          <t>Opportunity Management Holdings (PTY) LTD</t>
        </is>
      </c>
      <c r="B16629" s="4" t="n">
        <v>45230</v>
      </c>
      <c r="C16629" s="3" t="inlineStr">
        <is>
          <t>Assets</t>
        </is>
      </c>
      <c r="D16629" s="3" t="inlineStr">
        <is>
          <t>8410/000</t>
        </is>
      </c>
      <c r="E16629" s="3" t="inlineStr">
        <is>
          <t>RMB Call Acc - 62312248851</t>
        </is>
      </c>
      <c r="F16629" s="3" t="n">
        <v>0</v>
      </c>
      <c r="G16629" s="3" t="n">
        <v>1432.34</v>
      </c>
    </row>
    <row r="16630">
      <c r="A16630" s="3" t="inlineStr">
        <is>
          <t>Noble Shield (Pty) Ltd ta Go Letting</t>
        </is>
      </c>
      <c r="B16630" s="4" t="n">
        <v>45230</v>
      </c>
      <c r="C16630" s="3" t="inlineStr">
        <is>
          <t>Assets</t>
        </is>
      </c>
      <c r="D16630" s="3" t="inlineStr">
        <is>
          <t>8410/000</t>
        </is>
      </c>
      <c r="E16630" s="3" t="inlineStr">
        <is>
          <t>RMB Trust Acc - 6250 615 1365</t>
        </is>
      </c>
      <c r="F16630" s="3" t="n">
        <v>-18.96</v>
      </c>
      <c r="G16630" s="3" t="n">
        <v>881.61</v>
      </c>
    </row>
    <row r="16631">
      <c r="A16631" s="3" t="inlineStr">
        <is>
          <t>Quinate Consulting (Pty) Ltd</t>
        </is>
      </c>
      <c r="B16631" s="4" t="n">
        <v>45230</v>
      </c>
      <c r="C16631" s="3" t="inlineStr">
        <is>
          <t>Assets</t>
        </is>
      </c>
      <c r="D16631" s="3" t="inlineStr">
        <is>
          <t>8415/000</t>
        </is>
      </c>
      <c r="E16631" s="3" t="inlineStr">
        <is>
          <t>STD Acc 071 958 959 - Facility Acc</t>
        </is>
      </c>
      <c r="F16631" s="3" t="n">
        <v>-85</v>
      </c>
      <c r="G16631" s="3" t="n">
        <v>2616.21</v>
      </c>
    </row>
    <row r="16632">
      <c r="A16632" s="3" t="inlineStr">
        <is>
          <t>Trademark Holdings (Pty) Ltd</t>
        </is>
      </c>
      <c r="B16632" s="4" t="n">
        <v>45230</v>
      </c>
      <c r="C16632" s="3" t="inlineStr">
        <is>
          <t>Assets</t>
        </is>
      </c>
      <c r="D16632" s="3" t="inlineStr">
        <is>
          <t>8420/000</t>
        </is>
      </c>
      <c r="E16632" s="3" t="inlineStr">
        <is>
          <t>FNB Credit Card</t>
        </is>
      </c>
      <c r="F16632" s="3" t="n">
        <v>52</v>
      </c>
      <c r="G16632" s="3" t="n">
        <v>468</v>
      </c>
    </row>
    <row r="16633">
      <c r="A16633" s="3" t="inlineStr">
        <is>
          <t>Quinate Consulting (Pty) Ltd</t>
        </is>
      </c>
      <c r="B16633" s="4" t="n">
        <v>45230</v>
      </c>
      <c r="C16633" s="3" t="inlineStr">
        <is>
          <t>Assets</t>
        </is>
      </c>
      <c r="D16633" s="3" t="inlineStr">
        <is>
          <t>8430/000</t>
        </is>
      </c>
      <c r="E16633" s="3" t="inlineStr">
        <is>
          <t>Momentum Investment Acc - RU502230185</t>
        </is>
      </c>
      <c r="F16633" s="3" t="n">
        <v>7.48</v>
      </c>
      <c r="G16633" s="3" t="n">
        <v>563.74</v>
      </c>
    </row>
    <row r="16634">
      <c r="A16634" s="3" t="inlineStr">
        <is>
          <t>Opportunity Global Investment (PTY) LTD</t>
        </is>
      </c>
      <c r="B16634" s="4" t="n">
        <v>45230</v>
      </c>
      <c r="C16634" s="3" t="inlineStr">
        <is>
          <t>Assets</t>
        </is>
      </c>
      <c r="D16634" s="3" t="inlineStr">
        <is>
          <t>8440/000</t>
        </is>
      </c>
      <c r="E16634" s="3" t="inlineStr">
        <is>
          <t>FNB - Call 627602764438</t>
        </is>
      </c>
      <c r="F16634" s="3" t="n">
        <v>-11.06</v>
      </c>
      <c r="G16634" s="3" t="n">
        <v>854.5700000000001</v>
      </c>
    </row>
    <row r="16635">
      <c r="A16635" s="3" t="inlineStr">
        <is>
          <t>Opportunity Global Investment (PTY) LTD</t>
        </is>
      </c>
      <c r="B16635" s="4" t="n">
        <v>45230</v>
      </c>
      <c r="C16635" s="3" t="inlineStr">
        <is>
          <t>Assets</t>
        </is>
      </c>
      <c r="D16635" s="3" t="inlineStr">
        <is>
          <t>8445/000</t>
        </is>
      </c>
      <c r="E16635" s="3" t="inlineStr">
        <is>
          <t>Momentum RU502230096</t>
        </is>
      </c>
      <c r="F16635" s="3" t="n">
        <v>36</v>
      </c>
      <c r="G16635" s="3" t="n">
        <v>4973.81</v>
      </c>
    </row>
    <row r="16636">
      <c r="A16636" s="3" t="inlineStr">
        <is>
          <t>Quinate Consulting (Pty) Ltd</t>
        </is>
      </c>
      <c r="B16636" s="4" t="n">
        <v>45230</v>
      </c>
      <c r="C16636" s="3" t="inlineStr">
        <is>
          <t>Assets</t>
        </is>
      </c>
      <c r="D16636" s="3" t="inlineStr">
        <is>
          <t>8450/000</t>
        </is>
      </c>
      <c r="E16636" s="3" t="inlineStr">
        <is>
          <t>A RMB 62275810820</t>
        </is>
      </c>
      <c r="F16636" s="3" t="n">
        <v>158334.88</v>
      </c>
      <c r="G16636" s="3" t="n">
        <v>303681.88</v>
      </c>
    </row>
    <row r="16637">
      <c r="A16637" s="3" t="inlineStr">
        <is>
          <t>Opportunity Management Holdings (PTY) LTD</t>
        </is>
      </c>
      <c r="B16637" s="4" t="n">
        <v>45230</v>
      </c>
      <c r="C16637" s="3" t="inlineStr">
        <is>
          <t>Assets</t>
        </is>
      </c>
      <c r="D16637" s="3" t="inlineStr">
        <is>
          <t>8450/000</t>
        </is>
      </c>
      <c r="E16637" s="3" t="inlineStr">
        <is>
          <t>Petty Cash - CT Office</t>
        </is>
      </c>
      <c r="F16637" s="3" t="n">
        <v>0</v>
      </c>
      <c r="G16637" s="3" t="n">
        <v>1016.2</v>
      </c>
    </row>
    <row r="16638">
      <c r="A16638" s="3" t="inlineStr">
        <is>
          <t>Quinate Consulting (Pty) Ltd</t>
        </is>
      </c>
      <c r="B16638" s="4" t="n">
        <v>45230</v>
      </c>
      <c r="C16638" s="3" t="inlineStr">
        <is>
          <t>Assets</t>
        </is>
      </c>
      <c r="D16638" s="3" t="inlineStr">
        <is>
          <t>8470/000</t>
        </is>
      </c>
      <c r="E16638" s="3" t="inlineStr">
        <is>
          <t>ABSA: Quinate</t>
        </is>
      </c>
      <c r="F16638" s="3" t="n">
        <v>500</v>
      </c>
      <c r="G16638" s="3" t="n">
        <v>500</v>
      </c>
    </row>
    <row r="16639">
      <c r="A16639" s="3" t="inlineStr">
        <is>
          <t>Quinate Consulting (Pty) Ltd</t>
        </is>
      </c>
      <c r="B16639" s="4" t="n">
        <v>45230</v>
      </c>
      <c r="C16639" s="3" t="inlineStr">
        <is>
          <t>Liabilities</t>
        </is>
      </c>
      <c r="D16639" s="3" t="inlineStr">
        <is>
          <t>8480/100</t>
        </is>
      </c>
      <c r="E16639" s="3" t="inlineStr">
        <is>
          <t>Bond - SH20 - STD Bank 532010558</t>
        </is>
      </c>
      <c r="F16639" s="3" t="n">
        <v>2700.76</v>
      </c>
      <c r="G16639" s="3" t="n">
        <v>-1332622.37</v>
      </c>
    </row>
    <row r="16640">
      <c r="A16640" s="3" t="inlineStr">
        <is>
          <t>Quinate Consulting (Pty) Ltd</t>
        </is>
      </c>
      <c r="B16640" s="4" t="n">
        <v>45230</v>
      </c>
      <c r="C16640" s="3" t="inlineStr">
        <is>
          <t>Liabilities</t>
        </is>
      </c>
      <c r="D16640" s="3" t="inlineStr">
        <is>
          <t>8480/200</t>
        </is>
      </c>
      <c r="E16640" s="3" t="inlineStr">
        <is>
          <t>Bond - SH23 - STD Bank 532010035</t>
        </is>
      </c>
      <c r="F16640" s="3" t="n">
        <v>2697.03</v>
      </c>
      <c r="G16640" s="3" t="n">
        <v>-1332496.86</v>
      </c>
    </row>
    <row r="16641">
      <c r="A16641" s="3" t="inlineStr">
        <is>
          <t>Quinate Consulting (Pty) Ltd</t>
        </is>
      </c>
      <c r="B16641" s="4" t="n">
        <v>45230</v>
      </c>
      <c r="C16641" s="3" t="inlineStr">
        <is>
          <t>Liabilities</t>
        </is>
      </c>
      <c r="D16641" s="3" t="inlineStr">
        <is>
          <t>8480/300</t>
        </is>
      </c>
      <c r="E16641" s="3" t="inlineStr">
        <is>
          <t>Bond - SH24 - STD Bank 532372662</t>
        </is>
      </c>
      <c r="F16641" s="3" t="n">
        <v>1035.48</v>
      </c>
      <c r="G16641" s="3" t="n">
        <v>-1444160.58</v>
      </c>
    </row>
    <row r="16642">
      <c r="A16642" s="3" t="inlineStr">
        <is>
          <t>Quinate Consulting (Pty) Ltd</t>
        </is>
      </c>
      <c r="B16642" s="4" t="n">
        <v>45230</v>
      </c>
      <c r="C16642" s="3" t="inlineStr">
        <is>
          <t>Liabilities</t>
        </is>
      </c>
      <c r="D16642" s="3" t="inlineStr">
        <is>
          <t>8480/400</t>
        </is>
      </c>
      <c r="E16642" s="3" t="inlineStr">
        <is>
          <t>Bond - SW01 - STD Bank 532920627</t>
        </is>
      </c>
      <c r="F16642" s="3" t="n">
        <v>410.38</v>
      </c>
      <c r="G16642" s="3" t="n">
        <v>-1289888.6</v>
      </c>
    </row>
    <row r="16643">
      <c r="A16643" s="3" t="inlineStr">
        <is>
          <t>Quinate Consulting (Pty) Ltd</t>
        </is>
      </c>
      <c r="B16643" s="4" t="n">
        <v>45230</v>
      </c>
      <c r="C16643" s="3" t="inlineStr">
        <is>
          <t>Liabilities</t>
        </is>
      </c>
      <c r="D16643" s="3" t="inlineStr">
        <is>
          <t>8480/401</t>
        </is>
      </c>
      <c r="E16643" s="3" t="inlineStr">
        <is>
          <t>Bond - SW21 - STD Bank 532920597</t>
        </is>
      </c>
      <c r="F16643" s="3" t="n">
        <v>410.54</v>
      </c>
      <c r="G16643" s="3" t="n">
        <v>-1290400.41</v>
      </c>
    </row>
    <row r="16644">
      <c r="A16644" s="3" t="inlineStr">
        <is>
          <t>Opportunity Global Investment (PTY) LTD</t>
        </is>
      </c>
      <c r="B16644" s="4" t="n">
        <v>45230</v>
      </c>
      <c r="C16644" s="3" t="inlineStr">
        <is>
          <t>Liabilities</t>
        </is>
      </c>
      <c r="D16644" s="3" t="inlineStr">
        <is>
          <t>860</t>
        </is>
      </c>
      <c r="E16644" s="3" t="inlineStr">
        <is>
          <t>Rounding</t>
        </is>
      </c>
      <c r="F16644" s="3" t="n">
        <v>0</v>
      </c>
      <c r="G16644" s="3" t="n">
        <v>-0.29</v>
      </c>
    </row>
    <row r="16645">
      <c r="A16645" s="3" t="inlineStr">
        <is>
          <t>Opportunity Global Sales (PTY) LTD</t>
        </is>
      </c>
      <c r="B16645" s="4" t="n">
        <v>45230</v>
      </c>
      <c r="C16645" s="3" t="inlineStr">
        <is>
          <t>Liabilities</t>
        </is>
      </c>
      <c r="D16645" s="3" t="inlineStr">
        <is>
          <t>860</t>
        </is>
      </c>
      <c r="E16645" s="3" t="inlineStr">
        <is>
          <t>Rounding</t>
        </is>
      </c>
      <c r="F16645" s="3" t="n">
        <v>0</v>
      </c>
      <c r="G16645" s="3" t="n">
        <v>-0.99</v>
      </c>
    </row>
    <row r="16646">
      <c r="A16646" s="3" t="inlineStr">
        <is>
          <t>Opportunity Management Holdings (PTY) LTD</t>
        </is>
      </c>
      <c r="B16646" s="4" t="n">
        <v>45230</v>
      </c>
      <c r="C16646" s="3" t="inlineStr">
        <is>
          <t>Liabilities</t>
        </is>
      </c>
      <c r="D16646" s="3" t="inlineStr">
        <is>
          <t>860</t>
        </is>
      </c>
      <c r="E16646" s="3" t="inlineStr">
        <is>
          <t>Rounding</t>
        </is>
      </c>
      <c r="F16646" s="3" t="n">
        <v>0</v>
      </c>
      <c r="G16646" s="3" t="n">
        <v>-0.01</v>
      </c>
    </row>
    <row r="16647">
      <c r="A16647" s="3" t="inlineStr">
        <is>
          <t>Quinate Consulting (Pty) Ltd</t>
        </is>
      </c>
      <c r="B16647" s="4" t="n">
        <v>45230</v>
      </c>
      <c r="C16647" s="3" t="inlineStr">
        <is>
          <t>Liabilities</t>
        </is>
      </c>
      <c r="D16647" s="3" t="inlineStr">
        <is>
          <t>860</t>
        </is>
      </c>
      <c r="E16647" s="3" t="inlineStr">
        <is>
          <t>Rounding</t>
        </is>
      </c>
      <c r="F16647" s="3" t="n">
        <v>0</v>
      </c>
      <c r="G16647" s="3" t="n">
        <v>-4.57</v>
      </c>
    </row>
    <row r="16648">
      <c r="A16648" s="3" t="inlineStr">
        <is>
          <t>Trademark Holdings (Pty) Ltd</t>
        </is>
      </c>
      <c r="B16648" s="4" t="n">
        <v>45230</v>
      </c>
      <c r="C16648" s="3" t="inlineStr">
        <is>
          <t>Liabilities</t>
        </is>
      </c>
      <c r="D16648" s="3" t="inlineStr">
        <is>
          <t>860</t>
        </is>
      </c>
      <c r="E16648" s="3" t="inlineStr">
        <is>
          <t>Rounding</t>
        </is>
      </c>
      <c r="F16648" s="3" t="n">
        <v>0</v>
      </c>
      <c r="G16648" s="3" t="n">
        <v>0.2</v>
      </c>
    </row>
    <row r="16649">
      <c r="A16649" s="3" t="inlineStr">
        <is>
          <t>Endulini (Pty) Ltd</t>
        </is>
      </c>
      <c r="B16649" s="4" t="n">
        <v>45230</v>
      </c>
      <c r="C16649" s="3" t="inlineStr">
        <is>
          <t>Liabilities</t>
        </is>
      </c>
      <c r="D16649" s="3" t="inlineStr">
        <is>
          <t>9000/000</t>
        </is>
      </c>
      <c r="E16649" s="3" t="inlineStr">
        <is>
          <t>Supplier Control Account</t>
        </is>
      </c>
      <c r="F16649" s="3" t="n">
        <v>5220.86</v>
      </c>
      <c r="G16649" s="3" t="n">
        <v>-4698266.25</v>
      </c>
    </row>
    <row r="16650">
      <c r="A16650" s="3" t="inlineStr">
        <is>
          <t>Noble Shield (Pty) Ltd ta Go Letting</t>
        </is>
      </c>
      <c r="B16650" s="4" t="n">
        <v>45230</v>
      </c>
      <c r="C16650" s="3" t="inlineStr">
        <is>
          <t>Liabilities</t>
        </is>
      </c>
      <c r="D16650" s="3" t="inlineStr">
        <is>
          <t>9000/000</t>
        </is>
      </c>
      <c r="E16650" s="3" t="inlineStr">
        <is>
          <t>Supplier Control Account</t>
        </is>
      </c>
      <c r="F16650" s="3" t="n">
        <v>36767.21</v>
      </c>
      <c r="G16650" s="3" t="n">
        <v>-18124.56</v>
      </c>
    </row>
    <row r="16651">
      <c r="A16651" s="3" t="inlineStr">
        <is>
          <t>Opportunity Global Investment (PTY) LTD</t>
        </is>
      </c>
      <c r="B16651" s="4" t="n">
        <v>45230</v>
      </c>
      <c r="C16651" s="3" t="inlineStr">
        <is>
          <t>Liabilities</t>
        </is>
      </c>
      <c r="D16651" s="3" t="inlineStr">
        <is>
          <t>9000/000</t>
        </is>
      </c>
      <c r="E16651" s="3" t="inlineStr">
        <is>
          <t>Supplier Control Account</t>
        </is>
      </c>
      <c r="F16651" s="3" t="n">
        <v>-95405.5</v>
      </c>
      <c r="G16651" s="3" t="n">
        <v>-108503.41</v>
      </c>
    </row>
    <row r="16652">
      <c r="A16652" s="3" t="inlineStr">
        <is>
          <t>Opportunity Global Sales (PTY) LTD</t>
        </is>
      </c>
      <c r="B16652" s="4" t="n">
        <v>45230</v>
      </c>
      <c r="C16652" s="3" t="inlineStr">
        <is>
          <t>Liabilities</t>
        </is>
      </c>
      <c r="D16652" s="3" t="inlineStr">
        <is>
          <t>9000/000</t>
        </is>
      </c>
      <c r="E16652" s="3" t="inlineStr">
        <is>
          <t>Supplier Control Account</t>
        </is>
      </c>
      <c r="F16652" s="3" t="n">
        <v>41439.06</v>
      </c>
      <c r="G16652" s="3" t="n">
        <v>-17650.76</v>
      </c>
    </row>
    <row r="16653">
      <c r="A16653" s="3" t="inlineStr">
        <is>
          <t>Opportunity Management Holdings (PTY) LTD</t>
        </is>
      </c>
      <c r="B16653" s="4" t="n">
        <v>45230</v>
      </c>
      <c r="C16653" s="3" t="inlineStr">
        <is>
          <t>Liabilities</t>
        </is>
      </c>
      <c r="D16653" s="3" t="inlineStr">
        <is>
          <t>9000/000</t>
        </is>
      </c>
      <c r="E16653" s="3" t="inlineStr">
        <is>
          <t>Supplier Control Account</t>
        </is>
      </c>
      <c r="F16653" s="3" t="n">
        <v>-3234.12</v>
      </c>
      <c r="G16653" s="3" t="n">
        <v>-282586.59</v>
      </c>
    </row>
    <row r="16654">
      <c r="A16654" s="3" t="inlineStr">
        <is>
          <t>Quinate Consulting (Pty) Ltd</t>
        </is>
      </c>
      <c r="B16654" s="4" t="n">
        <v>45230</v>
      </c>
      <c r="C16654" s="3" t="inlineStr">
        <is>
          <t>Liabilities</t>
        </is>
      </c>
      <c r="D16654" s="3" t="inlineStr">
        <is>
          <t>9000/000</t>
        </is>
      </c>
      <c r="E16654" s="3" t="inlineStr">
        <is>
          <t>Supplier Control Account</t>
        </is>
      </c>
      <c r="F16654" s="3" t="n">
        <v>-75206.84</v>
      </c>
      <c r="G16654" s="3" t="n">
        <v>472988.43</v>
      </c>
    </row>
    <row r="16655">
      <c r="A16655" s="3" t="inlineStr">
        <is>
          <t>Trademark Holdings (Pty) Ltd</t>
        </is>
      </c>
      <c r="B16655" s="4" t="n">
        <v>45230</v>
      </c>
      <c r="C16655" s="3" t="inlineStr">
        <is>
          <t>Liabilities</t>
        </is>
      </c>
      <c r="D16655" s="3" t="inlineStr">
        <is>
          <t>9000/000</t>
        </is>
      </c>
      <c r="E16655" s="3" t="inlineStr">
        <is>
          <t>Supplier Control Account</t>
        </is>
      </c>
      <c r="F16655" s="3" t="n">
        <v>75000</v>
      </c>
      <c r="G16655" s="3" t="n">
        <v>-8099.75</v>
      </c>
    </row>
    <row r="16656">
      <c r="A16656" s="3" t="inlineStr">
        <is>
          <t>Quinate Consulting (Pty) Ltd</t>
        </is>
      </c>
      <c r="B16656" s="4" t="n">
        <v>45230</v>
      </c>
      <c r="C16656" s="3" t="inlineStr">
        <is>
          <t>Liabilities</t>
        </is>
      </c>
      <c r="D16656" s="3" t="inlineStr">
        <is>
          <t>9001</t>
        </is>
      </c>
      <c r="E16656" s="3" t="inlineStr">
        <is>
          <t>Supplier Control</t>
        </is>
      </c>
      <c r="F16656" s="3" t="n">
        <v>0</v>
      </c>
      <c r="G16656" s="3" t="n">
        <v>-347315.41</v>
      </c>
    </row>
    <row r="16657">
      <c r="A16657" s="3" t="inlineStr">
        <is>
          <t>Opportunity Management Holdings (PTY) LTD</t>
        </is>
      </c>
      <c r="B16657" s="4" t="n">
        <v>45230</v>
      </c>
      <c r="C16657" s="3" t="inlineStr">
        <is>
          <t>Liabilities</t>
        </is>
      </c>
      <c r="D16657" s="3" t="inlineStr">
        <is>
          <t>9100/000</t>
        </is>
      </c>
      <c r="E16657" s="3" t="inlineStr">
        <is>
          <t>PAYE/UIF/SDL Accrual - Prior Years ADJ</t>
        </is>
      </c>
      <c r="F16657" s="3" t="n">
        <v>0</v>
      </c>
      <c r="G16657" s="3" t="n">
        <v>-33739.36</v>
      </c>
    </row>
    <row r="16658">
      <c r="A16658" s="3" t="inlineStr">
        <is>
          <t>Opportunity Management Holdings (PTY) LTD</t>
        </is>
      </c>
      <c r="B16658" s="4" t="n">
        <v>45230</v>
      </c>
      <c r="C16658" s="3" t="inlineStr">
        <is>
          <t>Assets</t>
        </is>
      </c>
      <c r="D16658" s="3" t="inlineStr">
        <is>
          <t>9110/000</t>
        </is>
      </c>
      <c r="E16658" s="3" t="inlineStr">
        <is>
          <t>Deposit Received</t>
        </is>
      </c>
      <c r="F16658" s="3" t="n">
        <v>0</v>
      </c>
      <c r="G16658" s="3" t="n">
        <v>-3852.5</v>
      </c>
    </row>
    <row r="16659">
      <c r="A16659" s="3" t="inlineStr">
        <is>
          <t>Opportunity Global Investment (PTY) LTD</t>
        </is>
      </c>
      <c r="B16659" s="4" t="n">
        <v>45230</v>
      </c>
      <c r="C16659" s="3" t="inlineStr">
        <is>
          <t>Liabilities</t>
        </is>
      </c>
      <c r="D16659" s="3" t="inlineStr">
        <is>
          <t>9110/000</t>
        </is>
      </c>
      <c r="E16659" s="3" t="inlineStr">
        <is>
          <t>Taxation B/S</t>
        </is>
      </c>
      <c r="F16659" s="3" t="n">
        <v>0</v>
      </c>
      <c r="G16659" s="3" t="n">
        <v>67163.81</v>
      </c>
    </row>
    <row r="16660">
      <c r="A16660" s="3" t="inlineStr">
        <is>
          <t>Noble Shield (Pty) Ltd ta Go Letting</t>
        </is>
      </c>
      <c r="B16660" s="4" t="n">
        <v>45230</v>
      </c>
      <c r="C16660" s="3" t="inlineStr">
        <is>
          <t>Liabilities</t>
        </is>
      </c>
      <c r="D16660" s="3" t="inlineStr">
        <is>
          <t>9250/010</t>
        </is>
      </c>
      <c r="E16660" s="3" t="inlineStr">
        <is>
          <t>SALARY CONTROL</t>
        </is>
      </c>
      <c r="F16660" s="3" t="n">
        <v>-1683.62</v>
      </c>
      <c r="G16660" s="3" t="n">
        <v>-18863.38</v>
      </c>
    </row>
    <row r="16661">
      <c r="A16661" s="3" t="inlineStr">
        <is>
          <t>Opportunity Global Investment (PTY) LTD</t>
        </is>
      </c>
      <c r="B16661" s="4" t="n">
        <v>45230</v>
      </c>
      <c r="C16661" s="3" t="inlineStr">
        <is>
          <t>Liabilities</t>
        </is>
      </c>
      <c r="D16661" s="3" t="inlineStr">
        <is>
          <t>9250/010</t>
        </is>
      </c>
      <c r="E16661" s="3" t="inlineStr">
        <is>
          <t>SALARY CONTROL</t>
        </is>
      </c>
      <c r="F16661" s="3" t="n">
        <v>0</v>
      </c>
      <c r="G16661" s="3" t="n">
        <v>5000</v>
      </c>
    </row>
    <row r="16662">
      <c r="A16662" s="3" t="inlineStr">
        <is>
          <t>Opportunity Global Sales (PTY) LTD</t>
        </is>
      </c>
      <c r="B16662" s="4" t="n">
        <v>45230</v>
      </c>
      <c r="C16662" s="3" t="inlineStr">
        <is>
          <t>Liabilities</t>
        </is>
      </c>
      <c r="D16662" s="3" t="inlineStr">
        <is>
          <t>9250/010</t>
        </is>
      </c>
      <c r="E16662" s="3" t="inlineStr">
        <is>
          <t>SALARY CONTROL</t>
        </is>
      </c>
      <c r="F16662" s="3" t="n">
        <v>12333.85</v>
      </c>
      <c r="G16662" s="3" t="n">
        <v>5802.24</v>
      </c>
    </row>
    <row r="16663">
      <c r="A16663" s="3" t="inlineStr">
        <is>
          <t>Opportunity Management Holdings (PTY) LTD</t>
        </is>
      </c>
      <c r="B16663" s="4" t="n">
        <v>45230</v>
      </c>
      <c r="C16663" s="3" t="inlineStr">
        <is>
          <t>Liabilities</t>
        </is>
      </c>
      <c r="D16663" s="3" t="inlineStr">
        <is>
          <t>9250/010</t>
        </is>
      </c>
      <c r="E16663" s="3" t="inlineStr">
        <is>
          <t>SALARY CONTROL</t>
        </is>
      </c>
      <c r="F16663" s="3" t="n">
        <v>9241.74</v>
      </c>
      <c r="G16663" s="3" t="n">
        <v>9241.74</v>
      </c>
    </row>
    <row r="16664">
      <c r="A16664" s="3" t="inlineStr">
        <is>
          <t>Trademark Holdings (Pty) Ltd</t>
        </is>
      </c>
      <c r="B16664" s="4" t="n">
        <v>45230</v>
      </c>
      <c r="C16664" s="3" t="inlineStr">
        <is>
          <t>Liabilities</t>
        </is>
      </c>
      <c r="D16664" s="3" t="inlineStr">
        <is>
          <t>9250/010</t>
        </is>
      </c>
      <c r="E16664" s="3" t="inlineStr">
        <is>
          <t>SALARY CONTROL</t>
        </is>
      </c>
      <c r="F16664" s="3" t="n">
        <v>193.07</v>
      </c>
      <c r="G16664" s="3" t="n">
        <v>-19202.37</v>
      </c>
    </row>
    <row r="16665">
      <c r="A16665" s="3" t="inlineStr">
        <is>
          <t>Noble Shield (Pty) Ltd ta Go Letting</t>
        </is>
      </c>
      <c r="B16665" s="4" t="n">
        <v>45230</v>
      </c>
      <c r="C16665" s="3" t="inlineStr">
        <is>
          <t>Liabilities</t>
        </is>
      </c>
      <c r="D16665" s="3" t="inlineStr">
        <is>
          <t>9250/020</t>
        </is>
      </c>
      <c r="E16665" s="3" t="inlineStr">
        <is>
          <t>PAYE, UIF AND SDL CONTROL</t>
        </is>
      </c>
      <c r="F16665" s="3" t="n">
        <v>-614.29</v>
      </c>
      <c r="G16665" s="3" t="n">
        <v>-6184.54</v>
      </c>
    </row>
    <row r="16666">
      <c r="A16666" s="3" t="inlineStr">
        <is>
          <t>Opportunity Global Investment (PTY) LTD</t>
        </is>
      </c>
      <c r="B16666" s="4" t="n">
        <v>45230</v>
      </c>
      <c r="C16666" s="3" t="inlineStr">
        <is>
          <t>Liabilities</t>
        </is>
      </c>
      <c r="D16666" s="3" t="inlineStr">
        <is>
          <t>9250/020</t>
        </is>
      </c>
      <c r="E16666" s="3" t="inlineStr">
        <is>
          <t>PAYE, UIF AND SDL CONTROL</t>
        </is>
      </c>
      <c r="F16666" s="3" t="n">
        <v>17521.62</v>
      </c>
      <c r="G16666" s="3" t="n">
        <v>-73302.59</v>
      </c>
    </row>
    <row r="16667">
      <c r="A16667" s="3" t="inlineStr">
        <is>
          <t>Opportunity Management Holdings (PTY) LTD</t>
        </is>
      </c>
      <c r="B16667" s="4" t="n">
        <v>45230</v>
      </c>
      <c r="C16667" s="3" t="inlineStr">
        <is>
          <t>Liabilities</t>
        </is>
      </c>
      <c r="D16667" s="3" t="inlineStr">
        <is>
          <t>9250/020</t>
        </is>
      </c>
      <c r="E16667" s="3" t="inlineStr">
        <is>
          <t>PAYE, UIF AND SDL CONTROL</t>
        </is>
      </c>
      <c r="F16667" s="3" t="n">
        <v>-10356.21</v>
      </c>
      <c r="G16667" s="3" t="n">
        <v>-53691.31</v>
      </c>
    </row>
    <row r="16668">
      <c r="A16668" s="3" t="inlineStr">
        <is>
          <t>Quinate Consulting (Pty) Ltd</t>
        </is>
      </c>
      <c r="B16668" s="4" t="n">
        <v>45230</v>
      </c>
      <c r="C16668" s="3" t="inlineStr">
        <is>
          <t>Liabilities</t>
        </is>
      </c>
      <c r="D16668" s="3" t="inlineStr">
        <is>
          <t>9250/020</t>
        </is>
      </c>
      <c r="E16668" s="3" t="inlineStr">
        <is>
          <t>PAYE, UIF AND SDL CONTROL</t>
        </is>
      </c>
      <c r="F16668" s="3" t="n">
        <v>0</v>
      </c>
      <c r="G16668" s="3" t="n">
        <v>-10759.36</v>
      </c>
    </row>
    <row r="16669">
      <c r="A16669" s="3" t="inlineStr">
        <is>
          <t>Trademark Holdings (Pty) Ltd</t>
        </is>
      </c>
      <c r="B16669" s="4" t="n">
        <v>45230</v>
      </c>
      <c r="C16669" s="3" t="inlineStr">
        <is>
          <t>Liabilities</t>
        </is>
      </c>
      <c r="D16669" s="3" t="inlineStr">
        <is>
          <t>9250/020</t>
        </is>
      </c>
      <c r="E16669" s="3" t="inlineStr">
        <is>
          <t>PAYE, UIF AND SDL CONTROL</t>
        </is>
      </c>
      <c r="F16669" s="3" t="n">
        <v>70.44</v>
      </c>
      <c r="G16669" s="3" t="n">
        <v>-5494.64</v>
      </c>
    </row>
    <row r="16670">
      <c r="A16670" s="3" t="inlineStr">
        <is>
          <t>Opportunity Global Investment (PTY) LTD</t>
        </is>
      </c>
      <c r="B16670" s="4" t="n">
        <v>45230</v>
      </c>
      <c r="C16670" s="3" t="inlineStr">
        <is>
          <t>Liabilities</t>
        </is>
      </c>
      <c r="D16670" s="3" t="inlineStr">
        <is>
          <t>9400/030</t>
        </is>
      </c>
      <c r="E16670" s="3" t="inlineStr">
        <is>
          <t>Accrued Expenses - PAYE_AND_UIF</t>
        </is>
      </c>
      <c r="F16670" s="3" t="n">
        <v>0</v>
      </c>
      <c r="G16670" s="3" t="n">
        <v>-2</v>
      </c>
    </row>
    <row r="16671">
      <c r="A16671" s="3" t="inlineStr">
        <is>
          <t>Trademark Holdings (Pty) Ltd</t>
        </is>
      </c>
      <c r="B16671" s="4" t="n">
        <v>45230</v>
      </c>
      <c r="C16671" s="3" t="inlineStr">
        <is>
          <t>Liabilities</t>
        </is>
      </c>
      <c r="D16671" s="3" t="inlineStr">
        <is>
          <t>9400/400</t>
        </is>
      </c>
      <c r="E16671" s="3" t="inlineStr">
        <is>
          <t>Deemed Dividend Tax</t>
        </is>
      </c>
      <c r="F16671" s="3" t="n">
        <v>0</v>
      </c>
      <c r="G16671" s="3" t="n">
        <v>-699.13</v>
      </c>
    </row>
    <row r="16672">
      <c r="A16672" s="3" t="inlineStr">
        <is>
          <t>Opportunity Global Investment (PTY) LTD</t>
        </is>
      </c>
      <c r="B16672" s="4" t="n">
        <v>45230</v>
      </c>
      <c r="C16672" s="3" t="inlineStr">
        <is>
          <t>Liabilities</t>
        </is>
      </c>
      <c r="D16672" s="3" t="inlineStr">
        <is>
          <t>9500/000</t>
        </is>
      </c>
      <c r="E16672" s="3" t="inlineStr">
        <is>
          <t>VAT Control Account</t>
        </is>
      </c>
      <c r="F16672" s="3" t="n">
        <v>23490.67</v>
      </c>
      <c r="G16672" s="3" t="n">
        <v>1011995.02</v>
      </c>
    </row>
    <row r="16673">
      <c r="A16673" s="3" t="inlineStr">
        <is>
          <t>Opportunity Global Sales (PTY) LTD</t>
        </is>
      </c>
      <c r="B16673" s="4" t="n">
        <v>45230</v>
      </c>
      <c r="C16673" s="3" t="inlineStr">
        <is>
          <t>Liabilities</t>
        </is>
      </c>
      <c r="D16673" s="3" t="inlineStr">
        <is>
          <t>9500/000</t>
        </is>
      </c>
      <c r="E16673" s="3" t="inlineStr">
        <is>
          <t>VAT Control Account</t>
        </is>
      </c>
      <c r="F16673" s="3" t="n">
        <v>-29402.07</v>
      </c>
      <c r="G16673" s="3" t="n">
        <v>-1076350.57</v>
      </c>
    </row>
    <row r="16674">
      <c r="A16674" s="3" t="inlineStr">
        <is>
          <t>Opportunity Management Holdings (PTY) LTD</t>
        </is>
      </c>
      <c r="B16674" s="4" t="n">
        <v>45230</v>
      </c>
      <c r="C16674" s="3" t="inlineStr">
        <is>
          <t>Liabilities</t>
        </is>
      </c>
      <c r="D16674" s="3" t="inlineStr">
        <is>
          <t>9500/000</t>
        </is>
      </c>
      <c r="E16674" s="3" t="inlineStr">
        <is>
          <t>VAT Control Account</t>
        </is>
      </c>
      <c r="F16674" s="3" t="n">
        <v>58056.26</v>
      </c>
      <c r="G16674" s="3" t="n">
        <v>122770.85</v>
      </c>
    </row>
    <row r="16675">
      <c r="A16675" s="3" t="inlineStr">
        <is>
          <t>Endulini (Pty) Ltd</t>
        </is>
      </c>
      <c r="B16675" s="4" t="n">
        <v>45230</v>
      </c>
      <c r="C16675" s="3" t="inlineStr">
        <is>
          <t>Liabilities</t>
        </is>
      </c>
      <c r="D16675" s="3" t="inlineStr">
        <is>
          <t>9500/000</t>
        </is>
      </c>
      <c r="E16675" s="3" t="inlineStr">
        <is>
          <t>Vat / Tax Control Account</t>
        </is>
      </c>
      <c r="F16675" s="3" t="n">
        <v>6083.57</v>
      </c>
      <c r="G16675" s="3" t="n">
        <v>-2380318.23</v>
      </c>
    </row>
    <row r="16676">
      <c r="A16676" s="3" t="inlineStr">
        <is>
          <t>Noble Shield (Pty) Ltd ta Go Letting</t>
        </is>
      </c>
      <c r="B16676" s="4" t="n">
        <v>45230</v>
      </c>
      <c r="C16676" s="3" t="inlineStr">
        <is>
          <t>Liabilities</t>
        </is>
      </c>
      <c r="D16676" s="3" t="inlineStr">
        <is>
          <t>9500/000</t>
        </is>
      </c>
      <c r="E16676" s="3" t="inlineStr">
        <is>
          <t>Vat / Tax Control Account</t>
        </is>
      </c>
      <c r="F16676" s="3" t="n">
        <v>0</v>
      </c>
      <c r="G16676" s="3" t="n">
        <v>1443.68</v>
      </c>
    </row>
    <row r="16677">
      <c r="A16677" s="3" t="inlineStr">
        <is>
          <t>Quinate Consulting (Pty) Ltd</t>
        </is>
      </c>
      <c r="B16677" s="4" t="n">
        <v>45230</v>
      </c>
      <c r="C16677" s="3" t="inlineStr">
        <is>
          <t>Liabilities</t>
        </is>
      </c>
      <c r="D16677" s="3" t="inlineStr">
        <is>
          <t>9500/000</t>
        </is>
      </c>
      <c r="E16677" s="3" t="inlineStr">
        <is>
          <t>Vat Control Account</t>
        </is>
      </c>
      <c r="F16677" s="3" t="n">
        <v>-54651.33</v>
      </c>
      <c r="G16677" s="3" t="n">
        <v>2108522</v>
      </c>
    </row>
    <row r="16678">
      <c r="A16678" s="3" t="inlineStr">
        <is>
          <t>Opportunity Management Holdings (PTY) LTD</t>
        </is>
      </c>
      <c r="B16678" s="4" t="n">
        <v>45230</v>
      </c>
      <c r="C16678" s="3" t="inlineStr">
        <is>
          <t>Liabilities</t>
        </is>
      </c>
      <c r="D16678" s="3" t="inlineStr">
        <is>
          <t>9501/000</t>
        </is>
      </c>
      <c r="E16678" s="3" t="inlineStr">
        <is>
          <t>Vat Adjustments - C2M</t>
        </is>
      </c>
      <c r="F16678" s="3" t="n">
        <v>0</v>
      </c>
      <c r="G16678" s="3" t="n">
        <v>47274.04</v>
      </c>
    </row>
    <row r="16679">
      <c r="A16679" s="3" t="inlineStr">
        <is>
          <t>Quinate Consulting (Pty) Ltd</t>
        </is>
      </c>
      <c r="B16679" s="4" t="n">
        <v>45230</v>
      </c>
      <c r="C16679" s="3" t="inlineStr">
        <is>
          <t>Liabilities</t>
        </is>
      </c>
      <c r="D16679" s="3" t="inlineStr">
        <is>
          <t>9960/000</t>
        </is>
      </c>
      <c r="E16679" s="3" t="inlineStr">
        <is>
          <t>Deposits - Southwark Rentals</t>
        </is>
      </c>
      <c r="F16679" s="3" t="n">
        <v>0</v>
      </c>
      <c r="G16679" s="3" t="n">
        <v>-23000</v>
      </c>
    </row>
    <row r="16680">
      <c r="A16680" s="3" t="inlineStr">
        <is>
          <t>Noble Shield (Pty) Ltd ta Go Letting</t>
        </is>
      </c>
      <c r="B16680" s="4" t="n">
        <v>45230</v>
      </c>
      <c r="C16680" s="3" t="inlineStr">
        <is>
          <t>Expenses</t>
        </is>
      </c>
      <c r="D16680" s="3" t="inlineStr">
        <is>
          <t>ACB Link</t>
        </is>
      </c>
      <c r="E16680" s="3" t="inlineStr">
        <is>
          <t>Subscriptions - TPN</t>
        </is>
      </c>
      <c r="F16680" s="3" t="n">
        <v>2023.43</v>
      </c>
      <c r="G16680" s="3" t="n">
        <v>6429.66</v>
      </c>
    </row>
    <row r="16681">
      <c r="A16681" s="3" t="inlineStr">
        <is>
          <t>Trademark Holdings (Pty) Ltd</t>
        </is>
      </c>
      <c r="B16681" s="4" t="n">
        <v>45230</v>
      </c>
      <c r="C16681" s="3" t="inlineStr">
        <is>
          <t>Liabilities</t>
        </is>
      </c>
      <c r="D16681" s="3" t="inlineStr">
        <is>
          <t>B/S</t>
        </is>
      </c>
      <c r="E16681" s="3" t="inlineStr">
        <is>
          <t>Taxation Payable</t>
        </is>
      </c>
      <c r="F16681" s="3" t="n">
        <v>0</v>
      </c>
      <c r="G16681" s="3" t="n">
        <v>1722</v>
      </c>
    </row>
    <row r="16682">
      <c r="A16682" s="3" t="inlineStr">
        <is>
          <t>Quinate Consulting (Pty) Ltd</t>
        </is>
      </c>
      <c r="B16682" s="4" t="n">
        <v>45230</v>
      </c>
      <c r="C16682" s="3" t="inlineStr">
        <is>
          <t>Liabilities</t>
        </is>
      </c>
      <c r="D16682" s="3" t="inlineStr">
        <is>
          <t xml:space="preserve">B/S </t>
        </is>
      </c>
      <c r="E16682" s="3" t="inlineStr">
        <is>
          <t>Taxation Payable</t>
        </is>
      </c>
      <c r="F16682" s="3" t="n">
        <v>0</v>
      </c>
      <c r="G16682" s="3" t="n">
        <v>-15486</v>
      </c>
    </row>
    <row r="16683">
      <c r="A16683" s="3" t="inlineStr">
        <is>
          <t>Quinate Consulting (Pty) Ltd</t>
        </is>
      </c>
      <c r="B16683" s="4" t="n">
        <v>45230</v>
      </c>
      <c r="C16683" s="3" t="inlineStr">
        <is>
          <t>Liabilities</t>
        </is>
      </c>
      <c r="D16683" s="3" t="inlineStr">
        <is>
          <t>FV</t>
        </is>
      </c>
      <c r="E16683" s="3" t="inlineStr">
        <is>
          <t>Loan - Cape Projects Constuction</t>
        </is>
      </c>
      <c r="F16683" s="3" t="n">
        <v>280000</v>
      </c>
      <c r="G16683" s="3" t="n">
        <v>-7521187.4</v>
      </c>
    </row>
    <row r="16684">
      <c r="A16684" s="3" t="inlineStr">
        <is>
          <t>Quinate Consulting (Pty) Ltd</t>
        </is>
      </c>
      <c r="B16684" s="4" t="n">
        <v>45230</v>
      </c>
      <c r="C16684" s="3" t="inlineStr">
        <is>
          <t>Liabilities</t>
        </is>
      </c>
      <c r="D16684" s="3" t="inlineStr">
        <is>
          <t>Sharehold OppDev</t>
        </is>
      </c>
      <c r="E16684" s="3" t="inlineStr">
        <is>
          <t>Loan - Justine Morgan</t>
        </is>
      </c>
      <c r="F16684" s="3" t="n">
        <v>0</v>
      </c>
      <c r="G16684" s="3" t="n">
        <v>-563766.76</v>
      </c>
    </row>
    <row r="16685">
      <c r="A16685" s="3" t="inlineStr">
        <is>
          <t>Opportunity Global Sales (PTY) LTD</t>
        </is>
      </c>
      <c r="B16685" s="4" t="n">
        <v>45260</v>
      </c>
      <c r="C16685" s="3" t="inlineStr">
        <is>
          <t>Revenue</t>
        </is>
      </c>
      <c r="D16685" s="3" t="inlineStr">
        <is>
          <t>1000/009</t>
        </is>
      </c>
      <c r="E16685" s="3" t="inlineStr">
        <is>
          <t>Sales - Comm on Payprop</t>
        </is>
      </c>
      <c r="F16685" s="3" t="n">
        <v>-22589.15</v>
      </c>
      <c r="G16685" s="3" t="n">
        <v>-136098.9</v>
      </c>
    </row>
    <row r="16686">
      <c r="A16686" s="3" t="inlineStr">
        <is>
          <t>Quinate Consulting (Pty) Ltd</t>
        </is>
      </c>
      <c r="B16686" s="4" t="n">
        <v>45260</v>
      </c>
      <c r="C16686" s="3" t="inlineStr">
        <is>
          <t>Revenue</t>
        </is>
      </c>
      <c r="D16686" s="3" t="inlineStr">
        <is>
          <t>1000/011</t>
        </is>
      </c>
      <c r="E16686" s="3" t="inlineStr">
        <is>
          <t>Rent Received - Soho Unit 23</t>
        </is>
      </c>
      <c r="F16686" s="3" t="n">
        <v>-12500</v>
      </c>
      <c r="G16686" s="3" t="n">
        <v>-112500</v>
      </c>
    </row>
    <row r="16687">
      <c r="A16687" s="3" t="inlineStr">
        <is>
          <t>Quinate Consulting (Pty) Ltd</t>
        </is>
      </c>
      <c r="B16687" s="4" t="n">
        <v>45260</v>
      </c>
      <c r="C16687" s="3" t="inlineStr">
        <is>
          <t>Revenue</t>
        </is>
      </c>
      <c r="D16687" s="3" t="inlineStr">
        <is>
          <t>1000/012</t>
        </is>
      </c>
      <c r="E16687" s="3" t="inlineStr">
        <is>
          <t>Rent Received - Soho Unit 24</t>
        </is>
      </c>
      <c r="F16687" s="3" t="n">
        <v>-14445</v>
      </c>
      <c r="G16687" s="3" t="n">
        <v>-130005</v>
      </c>
    </row>
    <row r="16688">
      <c r="A16688" s="3" t="inlineStr">
        <is>
          <t>Quinate Consulting (Pty) Ltd</t>
        </is>
      </c>
      <c r="B16688" s="4" t="n">
        <v>45260</v>
      </c>
      <c r="C16688" s="3" t="inlineStr">
        <is>
          <t>Revenue</t>
        </is>
      </c>
      <c r="D16688" s="3" t="inlineStr">
        <is>
          <t>1000/013</t>
        </is>
      </c>
      <c r="E16688" s="3" t="inlineStr">
        <is>
          <t>Rent Recieved - Soho Unit 20</t>
        </is>
      </c>
      <c r="F16688" s="3" t="n">
        <v>-12500</v>
      </c>
      <c r="G16688" s="3" t="n">
        <v>-112500</v>
      </c>
    </row>
    <row r="16689">
      <c r="A16689" s="3" t="inlineStr">
        <is>
          <t>Quinate Consulting (Pty) Ltd</t>
        </is>
      </c>
      <c r="B16689" s="4" t="n">
        <v>45260</v>
      </c>
      <c r="C16689" s="3" t="inlineStr">
        <is>
          <t>Revenue</t>
        </is>
      </c>
      <c r="D16689" s="3" t="inlineStr">
        <is>
          <t>1000/015</t>
        </is>
      </c>
      <c r="E16689" s="3" t="inlineStr">
        <is>
          <t>Rent Received - Southwark Unit 1</t>
        </is>
      </c>
      <c r="F16689" s="3" t="n">
        <v>-11500</v>
      </c>
      <c r="G16689" s="3" t="n">
        <v>-57500</v>
      </c>
    </row>
    <row r="16690">
      <c r="A16690" s="3" t="inlineStr">
        <is>
          <t>Quinate Consulting (Pty) Ltd</t>
        </is>
      </c>
      <c r="B16690" s="4" t="n">
        <v>45260</v>
      </c>
      <c r="C16690" s="3" t="inlineStr">
        <is>
          <t>Revenue</t>
        </is>
      </c>
      <c r="D16690" s="3" t="inlineStr">
        <is>
          <t>1000/016</t>
        </is>
      </c>
      <c r="E16690" s="3" t="inlineStr">
        <is>
          <t>Rent Recieved - Southwark Unit 21</t>
        </is>
      </c>
      <c r="F16690" s="3" t="n">
        <v>-10000</v>
      </c>
      <c r="G16690" s="3" t="n">
        <v>-91000</v>
      </c>
    </row>
    <row r="16691">
      <c r="A16691" s="3" t="inlineStr">
        <is>
          <t>Opportunity Global Sales (PTY) LTD</t>
        </is>
      </c>
      <c r="B16691" s="4" t="n">
        <v>45260</v>
      </c>
      <c r="C16691" s="3" t="inlineStr">
        <is>
          <t>Revenue</t>
        </is>
      </c>
      <c r="D16691" s="3" t="inlineStr">
        <is>
          <t>1000/100</t>
        </is>
      </c>
      <c r="E16691" s="3" t="inlineStr">
        <is>
          <t>Sales - Comm on External Sales</t>
        </is>
      </c>
      <c r="F16691" s="3" t="n">
        <v>0</v>
      </c>
      <c r="G16691" s="3" t="n">
        <v>-159137.61</v>
      </c>
    </row>
    <row r="16692">
      <c r="A16692" s="3" t="inlineStr">
        <is>
          <t>Noble Shield (Pty) Ltd ta Go Letting</t>
        </is>
      </c>
      <c r="B16692" s="4" t="n">
        <v>45260</v>
      </c>
      <c r="C16692" s="3" t="inlineStr">
        <is>
          <t>Revenue</t>
        </is>
      </c>
      <c r="D16692" s="3" t="inlineStr">
        <is>
          <t>1000/100</t>
        </is>
      </c>
      <c r="E16692" s="3" t="inlineStr">
        <is>
          <t>Sales - Payprop 328 - Michelle</t>
        </is>
      </c>
      <c r="F16692" s="3" t="n">
        <v>-82270.2</v>
      </c>
      <c r="G16692" s="3" t="n">
        <v>-351747.32</v>
      </c>
    </row>
    <row r="16693">
      <c r="A16693" s="3" t="inlineStr">
        <is>
          <t>Opportunity Global Sales (PTY) LTD</t>
        </is>
      </c>
      <c r="B16693" s="4" t="n">
        <v>45260</v>
      </c>
      <c r="C16693" s="3" t="inlineStr">
        <is>
          <t>Revenue</t>
        </is>
      </c>
      <c r="D16693" s="3" t="inlineStr">
        <is>
          <t>1000/120</t>
        </is>
      </c>
      <c r="E16693" s="3" t="inlineStr">
        <is>
          <t>Sales - Admin Fees on Rental Units</t>
        </is>
      </c>
      <c r="F16693" s="3" t="n">
        <v>-11495.64</v>
      </c>
      <c r="G16693" s="3" t="n">
        <v>-54604.29</v>
      </c>
    </row>
    <row r="16694">
      <c r="A16694" s="3" t="inlineStr">
        <is>
          <t>Opportunity Global Sales (PTY) LTD</t>
        </is>
      </c>
      <c r="B16694" s="4" t="n">
        <v>45260</v>
      </c>
      <c r="C16694" s="3" t="inlineStr">
        <is>
          <t>Revenue</t>
        </is>
      </c>
      <c r="D16694" s="3" t="inlineStr">
        <is>
          <t>1000/121</t>
        </is>
      </c>
      <c r="E16694" s="3" t="inlineStr">
        <is>
          <t>Sales - Admin Fees on Rental Units Endulini</t>
        </is>
      </c>
      <c r="F16694" s="3" t="n">
        <v>0</v>
      </c>
      <c r="G16694" s="3" t="n">
        <v>-434.78</v>
      </c>
    </row>
    <row r="16695">
      <c r="A16695" s="3" t="inlineStr">
        <is>
          <t>Opportunity Global Sales (PTY) LTD</t>
        </is>
      </c>
      <c r="B16695" s="4" t="n">
        <v>45260</v>
      </c>
      <c r="C16695" s="3" t="inlineStr">
        <is>
          <t>Revenue</t>
        </is>
      </c>
      <c r="D16695" s="3" t="inlineStr">
        <is>
          <t>1000/122</t>
        </is>
      </c>
      <c r="E16695" s="3" t="inlineStr">
        <is>
          <t>Sales - Admin Fees on Rental Units Heron Fields</t>
        </is>
      </c>
      <c r="F16695" s="3" t="n">
        <v>0</v>
      </c>
      <c r="G16695" s="3" t="n">
        <v>-5652.2</v>
      </c>
    </row>
    <row r="16696">
      <c r="A16696" s="3" t="inlineStr">
        <is>
          <t>Opportunity Global Sales (PTY) LTD</t>
        </is>
      </c>
      <c r="B16696" s="4" t="n">
        <v>45260</v>
      </c>
      <c r="C16696" s="3" t="inlineStr">
        <is>
          <t>Revenue</t>
        </is>
      </c>
      <c r="D16696" s="3" t="inlineStr">
        <is>
          <t>1000/150</t>
        </is>
      </c>
      <c r="E16696" s="3" t="inlineStr">
        <is>
          <t>Sales - Comm on External Rental</t>
        </is>
      </c>
      <c r="F16696" s="3" t="n">
        <v>-115369.5</v>
      </c>
      <c r="G16696" s="3" t="n">
        <v>-496382.41</v>
      </c>
    </row>
    <row r="16697">
      <c r="A16697" s="3" t="inlineStr">
        <is>
          <t>Opportunity Global Sales (PTY) LTD</t>
        </is>
      </c>
      <c r="B16697" s="4" t="n">
        <v>45260</v>
      </c>
      <c r="C16697" s="3" t="inlineStr">
        <is>
          <t>Revenue</t>
        </is>
      </c>
      <c r="D16697" s="3" t="inlineStr">
        <is>
          <t>1000/250</t>
        </is>
      </c>
      <c r="E16697" s="3" t="inlineStr">
        <is>
          <t>Sales - Comm on Endulini</t>
        </is>
      </c>
      <c r="F16697" s="3" t="n">
        <v>-60865.22</v>
      </c>
      <c r="G16697" s="3" t="n">
        <v>-129121.74</v>
      </c>
    </row>
    <row r="16698">
      <c r="A16698" s="3" t="inlineStr">
        <is>
          <t>Opportunity Global Sales (PTY) LTD</t>
        </is>
      </c>
      <c r="B16698" s="4" t="n">
        <v>45260</v>
      </c>
      <c r="C16698" s="3" t="inlineStr">
        <is>
          <t>Revenue</t>
        </is>
      </c>
      <c r="D16698" s="3" t="inlineStr">
        <is>
          <t>1000/300</t>
        </is>
      </c>
      <c r="E16698" s="3" t="inlineStr">
        <is>
          <t>Sales - Comm on Heron Fields</t>
        </is>
      </c>
      <c r="F16698" s="3" t="n">
        <v>0</v>
      </c>
      <c r="G16698" s="3" t="n">
        <v>-1340039.14</v>
      </c>
    </row>
    <row r="16699">
      <c r="A16699" s="3" t="inlineStr">
        <is>
          <t>Trademark Holdings (Pty) Ltd</t>
        </is>
      </c>
      <c r="B16699" s="4" t="n">
        <v>45260</v>
      </c>
      <c r="C16699" s="3" t="inlineStr">
        <is>
          <t>Revenue</t>
        </is>
      </c>
      <c r="D16699" s="3" t="inlineStr">
        <is>
          <t>1000/300</t>
        </is>
      </c>
      <c r="E16699" s="3" t="inlineStr">
        <is>
          <t>Sales - Payprop - Lara</t>
        </is>
      </c>
      <c r="F16699" s="3" t="n">
        <v>-95752.52</v>
      </c>
      <c r="G16699" s="3" t="n">
        <v>-403847.79</v>
      </c>
    </row>
    <row r="16700">
      <c r="A16700" s="3" t="inlineStr">
        <is>
          <t>Opportunity Global Investment (PTY) LTD</t>
        </is>
      </c>
      <c r="B16700" s="4" t="n">
        <v>45260</v>
      </c>
      <c r="C16700" s="3" t="inlineStr">
        <is>
          <t>Revenue</t>
        </is>
      </c>
      <c r="D16700" s="3" t="inlineStr">
        <is>
          <t>1000/360</t>
        </is>
      </c>
      <c r="E16700" s="3" t="inlineStr">
        <is>
          <t>Sales - Investor Management - Heron View</t>
        </is>
      </c>
      <c r="F16700" s="3" t="n">
        <v>0</v>
      </c>
      <c r="G16700" s="3" t="n">
        <v>-1826086.96</v>
      </c>
    </row>
    <row r="16701">
      <c r="A16701" s="3" t="inlineStr">
        <is>
          <t>Opportunity Global Sales (PTY) LTD</t>
        </is>
      </c>
      <c r="B16701" s="4" t="n">
        <v>45260</v>
      </c>
      <c r="C16701" s="3" t="inlineStr">
        <is>
          <t>Revenue</t>
        </is>
      </c>
      <c r="D16701" s="3" t="inlineStr">
        <is>
          <t>1000/400</t>
        </is>
      </c>
      <c r="E16701" s="3" t="inlineStr">
        <is>
          <t>Sales - Commission on Heron View</t>
        </is>
      </c>
      <c r="F16701" s="3" t="n">
        <v>-74778.25999999999</v>
      </c>
      <c r="G16701" s="3" t="n">
        <v>-1072543.44</v>
      </c>
    </row>
    <row r="16702">
      <c r="A16702" s="3" t="inlineStr">
        <is>
          <t>Noble Shield (Pty) Ltd ta Go Letting</t>
        </is>
      </c>
      <c r="B16702" s="4" t="n">
        <v>45260</v>
      </c>
      <c r="C16702" s="3" t="inlineStr">
        <is>
          <t>Revenue</t>
        </is>
      </c>
      <c r="D16702" s="3" t="inlineStr">
        <is>
          <t>1000/420</t>
        </is>
      </c>
      <c r="E16702" s="3" t="inlineStr">
        <is>
          <t>Sales - Commission Received - External</t>
        </is>
      </c>
      <c r="F16702" s="3" t="n">
        <v>-94000</v>
      </c>
      <c r="G16702" s="3" t="n">
        <v>-134000</v>
      </c>
    </row>
    <row r="16703">
      <c r="A16703" s="3" t="inlineStr">
        <is>
          <t>Trademark Holdings (Pty) Ltd</t>
        </is>
      </c>
      <c r="B16703" s="4" t="n">
        <v>45260</v>
      </c>
      <c r="C16703" s="3" t="inlineStr">
        <is>
          <t>Revenue</t>
        </is>
      </c>
      <c r="D16703" s="3" t="inlineStr">
        <is>
          <t>1000/500</t>
        </is>
      </c>
      <c r="E16703" s="3" t="inlineStr">
        <is>
          <t>Sales - Commission external sale</t>
        </is>
      </c>
      <c r="F16703" s="3" t="n">
        <v>0</v>
      </c>
      <c r="G16703" s="3" t="n">
        <v>-50000</v>
      </c>
    </row>
    <row r="16704">
      <c r="A16704" s="3" t="inlineStr">
        <is>
          <t>Quinate Consulting (Pty) Ltd</t>
        </is>
      </c>
      <c r="B16704" s="4" t="n">
        <v>45260</v>
      </c>
      <c r="C16704" s="3" t="inlineStr">
        <is>
          <t>Revenue</t>
        </is>
      </c>
      <c r="D16704" s="3" t="inlineStr">
        <is>
          <t>1002/200</t>
        </is>
      </c>
      <c r="E16704" s="3" t="inlineStr">
        <is>
          <t>Sales - Vodacom tower</t>
        </is>
      </c>
      <c r="F16704" s="3" t="n">
        <v>0</v>
      </c>
      <c r="G16704" s="3" t="n">
        <v>-428524.8</v>
      </c>
    </row>
    <row r="16705">
      <c r="A16705" s="3" t="inlineStr">
        <is>
          <t>Quinate Consulting (Pty) Ltd</t>
        </is>
      </c>
      <c r="B16705" s="4" t="n">
        <v>45260</v>
      </c>
      <c r="C16705" s="3" t="inlineStr">
        <is>
          <t>Revenue</t>
        </is>
      </c>
      <c r="D16705" s="3" t="inlineStr">
        <is>
          <t>1004/000</t>
        </is>
      </c>
      <c r="E16705" s="3" t="inlineStr">
        <is>
          <t>Interest received</t>
        </is>
      </c>
      <c r="F16705" s="3" t="n">
        <v>0</v>
      </c>
      <c r="G16705" s="3" t="n">
        <v>-2364.24</v>
      </c>
    </row>
    <row r="16706">
      <c r="A16706" s="3" t="inlineStr">
        <is>
          <t>Quinate Consulting (Pty) Ltd</t>
        </is>
      </c>
      <c r="B16706" s="4" t="n">
        <v>45260</v>
      </c>
      <c r="C16706" s="3" t="inlineStr">
        <is>
          <t>Revenue</t>
        </is>
      </c>
      <c r="D16706" s="3" t="inlineStr">
        <is>
          <t>1006/100</t>
        </is>
      </c>
      <c r="E16706" s="3" t="inlineStr">
        <is>
          <t>Rental income - Payprop</t>
        </is>
      </c>
      <c r="F16706" s="3" t="n">
        <v>-47863.37</v>
      </c>
      <c r="G16706" s="3" t="n">
        <v>-214262</v>
      </c>
    </row>
    <row r="16707">
      <c r="A16707" s="3" t="inlineStr">
        <is>
          <t>Quinate Consulting (Pty) Ltd</t>
        </is>
      </c>
      <c r="B16707" s="4" t="n">
        <v>45260</v>
      </c>
      <c r="C16707" s="3" t="inlineStr">
        <is>
          <t>Revenue</t>
        </is>
      </c>
      <c r="D16707" s="3" t="inlineStr">
        <is>
          <t>1006/110</t>
        </is>
      </c>
      <c r="E16707" s="3" t="inlineStr">
        <is>
          <t>Rental Income - E201</t>
        </is>
      </c>
      <c r="F16707" s="3" t="n">
        <v>0</v>
      </c>
      <c r="G16707" s="3" t="n">
        <v>-59000</v>
      </c>
    </row>
    <row r="16708">
      <c r="A16708" s="3" t="inlineStr">
        <is>
          <t>Quinate Consulting (Pty) Ltd</t>
        </is>
      </c>
      <c r="B16708" s="4" t="n">
        <v>45260</v>
      </c>
      <c r="C16708" s="3" t="inlineStr">
        <is>
          <t>Revenue</t>
        </is>
      </c>
      <c r="D16708" s="3" t="inlineStr">
        <is>
          <t>1006/120</t>
        </is>
      </c>
      <c r="E16708" s="3" t="inlineStr">
        <is>
          <t>Rental Income - D203</t>
        </is>
      </c>
      <c r="F16708" s="3" t="n">
        <v>0</v>
      </c>
      <c r="G16708" s="3" t="n">
        <v>-65000</v>
      </c>
    </row>
    <row r="16709">
      <c r="A16709" s="3" t="inlineStr">
        <is>
          <t>Quinate Consulting (Pty) Ltd</t>
        </is>
      </c>
      <c r="B16709" s="4" t="n">
        <v>45260</v>
      </c>
      <c r="C16709" s="3" t="inlineStr">
        <is>
          <t>Revenue</t>
        </is>
      </c>
      <c r="D16709" s="3" t="inlineStr">
        <is>
          <t>1006/130</t>
        </is>
      </c>
      <c r="E16709" s="3" t="inlineStr">
        <is>
          <t>Rental Income - C301</t>
        </is>
      </c>
      <c r="F16709" s="3" t="n">
        <v>0</v>
      </c>
      <c r="G16709" s="3" t="n">
        <v>-19000</v>
      </c>
    </row>
    <row r="16710">
      <c r="A16710" s="3" t="inlineStr">
        <is>
          <t>Quinate Consulting (Pty) Ltd</t>
        </is>
      </c>
      <c r="B16710" s="4" t="n">
        <v>45260</v>
      </c>
      <c r="C16710" s="3" t="inlineStr">
        <is>
          <t>Revenue</t>
        </is>
      </c>
      <c r="D16710" s="3" t="inlineStr">
        <is>
          <t>1006/140</t>
        </is>
      </c>
      <c r="E16710" s="3" t="inlineStr">
        <is>
          <t>Rental Income - A108</t>
        </is>
      </c>
      <c r="F16710" s="3" t="n">
        <v>0</v>
      </c>
      <c r="G16710" s="3" t="n">
        <v>-72000</v>
      </c>
    </row>
    <row r="16711">
      <c r="A16711" s="3" t="inlineStr">
        <is>
          <t>Quinate Consulting (Pty) Ltd</t>
        </is>
      </c>
      <c r="B16711" s="4" t="n">
        <v>45260</v>
      </c>
      <c r="C16711" s="3" t="inlineStr">
        <is>
          <t>Revenue</t>
        </is>
      </c>
      <c r="D16711" s="3" t="inlineStr">
        <is>
          <t>1006/150</t>
        </is>
      </c>
      <c r="E16711" s="3" t="inlineStr">
        <is>
          <t>Rental Income - A303</t>
        </is>
      </c>
      <c r="F16711" s="3" t="n">
        <v>0</v>
      </c>
      <c r="G16711" s="3" t="n">
        <v>-37000</v>
      </c>
    </row>
    <row r="16712">
      <c r="A16712" s="3" t="inlineStr">
        <is>
          <t>Quinate Consulting (Pty) Ltd</t>
        </is>
      </c>
      <c r="B16712" s="4" t="n">
        <v>45260</v>
      </c>
      <c r="C16712" s="3" t="inlineStr">
        <is>
          <t>Revenue</t>
        </is>
      </c>
      <c r="D16712" s="3" t="inlineStr">
        <is>
          <t>1006/160</t>
        </is>
      </c>
      <c r="E16712" s="3" t="inlineStr">
        <is>
          <t>Rental Income - A306</t>
        </is>
      </c>
      <c r="F16712" s="3" t="n">
        <v>-9500</v>
      </c>
      <c r="G16712" s="3" t="n">
        <v>-38030</v>
      </c>
    </row>
    <row r="16713">
      <c r="A16713" s="3" t="inlineStr">
        <is>
          <t>Quinate Consulting (Pty) Ltd</t>
        </is>
      </c>
      <c r="B16713" s="4" t="n">
        <v>45260</v>
      </c>
      <c r="C16713" s="3" t="inlineStr">
        <is>
          <t>Revenue</t>
        </is>
      </c>
      <c r="D16713" s="3" t="inlineStr">
        <is>
          <t>1006/170</t>
        </is>
      </c>
      <c r="E16713" s="3" t="inlineStr">
        <is>
          <t>Rental Income - C102</t>
        </is>
      </c>
      <c r="F16713" s="3" t="n">
        <v>-13000</v>
      </c>
      <c r="G16713" s="3" t="n">
        <v>-72000</v>
      </c>
    </row>
    <row r="16714">
      <c r="A16714" s="3" t="inlineStr">
        <is>
          <t>Quinate Consulting (Pty) Ltd</t>
        </is>
      </c>
      <c r="B16714" s="4" t="n">
        <v>45260</v>
      </c>
      <c r="C16714" s="3" t="inlineStr">
        <is>
          <t>Revenue</t>
        </is>
      </c>
      <c r="D16714" s="3" t="inlineStr">
        <is>
          <t>1006/180</t>
        </is>
      </c>
      <c r="E16714" s="3" t="inlineStr">
        <is>
          <t>Rental Income - A307</t>
        </is>
      </c>
      <c r="F16714" s="3" t="n">
        <v>0</v>
      </c>
      <c r="G16714" s="3" t="n">
        <v>-37000</v>
      </c>
    </row>
    <row r="16715">
      <c r="A16715" s="3" t="inlineStr">
        <is>
          <t>Quinate Consulting (Pty) Ltd</t>
        </is>
      </c>
      <c r="B16715" s="4" t="n">
        <v>45260</v>
      </c>
      <c r="C16715" s="3" t="inlineStr">
        <is>
          <t>Revenue</t>
        </is>
      </c>
      <c r="D16715" s="3" t="inlineStr">
        <is>
          <t>1006/190</t>
        </is>
      </c>
      <c r="E16715" s="3" t="inlineStr">
        <is>
          <t>Rental Income - A209</t>
        </is>
      </c>
      <c r="F16715" s="3" t="n">
        <v>-9250</v>
      </c>
      <c r="G16715" s="3" t="n">
        <v>-82989.12</v>
      </c>
    </row>
    <row r="16716">
      <c r="A16716" s="3" t="inlineStr">
        <is>
          <t>Endulini (Pty) Ltd</t>
        </is>
      </c>
      <c r="B16716" s="4" t="n">
        <v>45260</v>
      </c>
      <c r="C16716" s="3" t="inlineStr">
        <is>
          <t>Revenue</t>
        </is>
      </c>
      <c r="D16716" s="3" t="inlineStr">
        <is>
          <t>1100/000</t>
        </is>
      </c>
      <c r="E16716" s="3" t="inlineStr">
        <is>
          <t>Sales - Endulini</t>
        </is>
      </c>
      <c r="F16716" s="3" t="n">
        <v>-2521565.22</v>
      </c>
      <c r="G16716" s="3" t="n">
        <v>-5243130.43</v>
      </c>
    </row>
    <row r="16717">
      <c r="A16717" s="3" t="inlineStr">
        <is>
          <t>Opportunity Management Holdings (PTY) LTD</t>
        </is>
      </c>
      <c r="B16717" s="4" t="n">
        <v>45260</v>
      </c>
      <c r="C16717" s="3" t="inlineStr">
        <is>
          <t>Revenue</t>
        </is>
      </c>
      <c r="D16717" s="3" t="inlineStr">
        <is>
          <t>1100/001</t>
        </is>
      </c>
      <c r="E16717" s="3" t="inlineStr">
        <is>
          <t>Salary Recharges</t>
        </is>
      </c>
      <c r="F16717" s="3" t="n">
        <v>-330720</v>
      </c>
      <c r="G16717" s="3" t="n">
        <v>-1016360.26</v>
      </c>
    </row>
    <row r="16718">
      <c r="A16718" s="3" t="inlineStr">
        <is>
          <t>Endulini (Pty) Ltd</t>
        </is>
      </c>
      <c r="B16718" s="4" t="n">
        <v>45260</v>
      </c>
      <c r="C16718" s="3" t="inlineStr">
        <is>
          <t>Revenue</t>
        </is>
      </c>
      <c r="D16718" s="3" t="inlineStr">
        <is>
          <t>1100/200</t>
        </is>
      </c>
      <c r="E16718" s="3" t="inlineStr">
        <is>
          <t>Sales - Endulini occupational rent</t>
        </is>
      </c>
      <c r="F16718" s="3" t="n">
        <v>-1623.66</v>
      </c>
      <c r="G16718" s="3" t="n">
        <v>1679.94</v>
      </c>
    </row>
    <row r="16719">
      <c r="A16719" s="3" t="inlineStr">
        <is>
          <t>Endulini (Pty) Ltd</t>
        </is>
      </c>
      <c r="B16719" s="4" t="n">
        <v>45260</v>
      </c>
      <c r="C16719" s="3" t="inlineStr">
        <is>
          <t>Expenses</t>
        </is>
      </c>
      <c r="D16719" s="3" t="inlineStr">
        <is>
          <t>2000/001</t>
        </is>
      </c>
      <c r="E16719" s="3" t="inlineStr">
        <is>
          <t>COS - CIP Construction</t>
        </is>
      </c>
      <c r="F16719" s="3" t="n">
        <v>0</v>
      </c>
      <c r="G16719" s="3" t="n">
        <v>2000</v>
      </c>
    </row>
    <row r="16720">
      <c r="A16720" s="3" t="inlineStr">
        <is>
          <t>Quinate Consulting (Pty) Ltd</t>
        </is>
      </c>
      <c r="B16720" s="4" t="n">
        <v>45260</v>
      </c>
      <c r="C16720" s="3" t="inlineStr">
        <is>
          <t>Expenses</t>
        </is>
      </c>
      <c r="D16720" s="3" t="inlineStr">
        <is>
          <t>2000/009</t>
        </is>
      </c>
      <c r="E16720" s="3" t="inlineStr">
        <is>
          <t>COS - Admin fees</t>
        </is>
      </c>
      <c r="F16720" s="3" t="n">
        <v>0</v>
      </c>
      <c r="G16720" s="3" t="n">
        <v>869.5700000000001</v>
      </c>
    </row>
    <row r="16721">
      <c r="A16721" s="3" t="inlineStr">
        <is>
          <t>Opportunity Global Sales (PTY) LTD</t>
        </is>
      </c>
      <c r="B16721" s="4" t="n">
        <v>45260</v>
      </c>
      <c r="C16721" s="3" t="inlineStr">
        <is>
          <t>Expenses</t>
        </is>
      </c>
      <c r="D16721" s="3" t="inlineStr">
        <is>
          <t>2000/010</t>
        </is>
      </c>
      <c r="E16721" s="3" t="inlineStr">
        <is>
          <t>COS - PAYE on Commission</t>
        </is>
      </c>
      <c r="F16721" s="3" t="n">
        <v>23450.4</v>
      </c>
      <c r="G16721" s="3" t="n">
        <v>239816.07</v>
      </c>
    </row>
    <row r="16722">
      <c r="A16722" s="3" t="inlineStr">
        <is>
          <t>Quinate Consulting (Pty) Ltd</t>
        </is>
      </c>
      <c r="B16722" s="4" t="n">
        <v>45260</v>
      </c>
      <c r="C16722" s="3" t="inlineStr">
        <is>
          <t>Expenses</t>
        </is>
      </c>
      <c r="D16722" s="3" t="inlineStr">
        <is>
          <t>2000/060</t>
        </is>
      </c>
      <c r="E16722" s="3" t="inlineStr">
        <is>
          <t>COS - Commission Endulini</t>
        </is>
      </c>
      <c r="F16722" s="3" t="n">
        <v>0</v>
      </c>
      <c r="G16722" s="3" t="n">
        <v>11382.61</v>
      </c>
    </row>
    <row r="16723">
      <c r="A16723" s="3" t="inlineStr">
        <is>
          <t>Endulini (Pty) Ltd</t>
        </is>
      </c>
      <c r="B16723" s="4" t="n">
        <v>45260</v>
      </c>
      <c r="C16723" s="3" t="inlineStr">
        <is>
          <t>Expenses</t>
        </is>
      </c>
      <c r="D16723" s="3" t="inlineStr">
        <is>
          <t>2000/100</t>
        </is>
      </c>
      <c r="E16723" s="3" t="inlineStr">
        <is>
          <t>COS - Commission Endulini</t>
        </is>
      </c>
      <c r="F16723" s="3" t="n">
        <v>60865.22</v>
      </c>
      <c r="G16723" s="3" t="n">
        <v>196943.48</v>
      </c>
    </row>
    <row r="16724">
      <c r="A16724" s="3" t="inlineStr">
        <is>
          <t>Noble Shield (Pty) Ltd ta Go Letting</t>
        </is>
      </c>
      <c r="B16724" s="4" t="n">
        <v>45260</v>
      </c>
      <c r="C16724" s="3" t="inlineStr">
        <is>
          <t>Expenses</t>
        </is>
      </c>
      <c r="D16724" s="3" t="inlineStr">
        <is>
          <t>2000/100</t>
        </is>
      </c>
      <c r="E16724" s="3" t="inlineStr">
        <is>
          <t>COS - Commission Paid</t>
        </is>
      </c>
      <c r="F16724" s="3" t="n">
        <v>15229.89</v>
      </c>
      <c r="G16724" s="3" t="n">
        <v>45463.53</v>
      </c>
    </row>
    <row r="16725">
      <c r="A16725" s="3" t="inlineStr">
        <is>
          <t>Opportunity Global Sales (PTY) LTD</t>
        </is>
      </c>
      <c r="B16725" s="4" t="n">
        <v>45260</v>
      </c>
      <c r="C16725" s="3" t="inlineStr">
        <is>
          <t>Expenses</t>
        </is>
      </c>
      <c r="D16725" s="3" t="inlineStr">
        <is>
          <t>2000/125</t>
        </is>
      </c>
      <c r="E16725" s="3" t="inlineStr">
        <is>
          <t>Commission Paid - Referal commission</t>
        </is>
      </c>
      <c r="F16725" s="3" t="n">
        <v>0</v>
      </c>
      <c r="G16725" s="3" t="n">
        <v>75342.61</v>
      </c>
    </row>
    <row r="16726">
      <c r="A16726" s="3" t="inlineStr">
        <is>
          <t>Opportunity Global Sales (PTY) LTD</t>
        </is>
      </c>
      <c r="B16726" s="4" t="n">
        <v>45260</v>
      </c>
      <c r="C16726" s="3" t="inlineStr">
        <is>
          <t>Expenses</t>
        </is>
      </c>
      <c r="D16726" s="3" t="inlineStr">
        <is>
          <t>2000/135</t>
        </is>
      </c>
      <c r="E16726" s="3" t="inlineStr">
        <is>
          <t>COS - Sales Comm External - Minette</t>
        </is>
      </c>
      <c r="F16726" s="3" t="n">
        <v>0</v>
      </c>
      <c r="G16726" s="3" t="n">
        <v>41739.13</v>
      </c>
    </row>
    <row r="16727">
      <c r="A16727" s="3" t="inlineStr">
        <is>
          <t>Opportunity Global Investment (PTY) LTD</t>
        </is>
      </c>
      <c r="B16727" s="4" t="n">
        <v>45260</v>
      </c>
      <c r="C16727" s="3" t="inlineStr">
        <is>
          <t>Expenses</t>
        </is>
      </c>
      <c r="D16727" s="3" t="inlineStr">
        <is>
          <t>2000/135</t>
        </is>
      </c>
      <c r="E16727" s="3" t="inlineStr">
        <is>
          <t>Referral commission - Heron View</t>
        </is>
      </c>
      <c r="F16727" s="3" t="n">
        <v>0</v>
      </c>
      <c r="G16727" s="3" t="n">
        <v>8731.209999999999</v>
      </c>
    </row>
    <row r="16728">
      <c r="A16728" s="3" t="inlineStr">
        <is>
          <t>Opportunity Global Sales (PTY) LTD</t>
        </is>
      </c>
      <c r="B16728" s="4" t="n">
        <v>45260</v>
      </c>
      <c r="C16728" s="3" t="inlineStr">
        <is>
          <t>Expenses</t>
        </is>
      </c>
      <c r="D16728" s="3" t="inlineStr">
        <is>
          <t>2000/137</t>
        </is>
      </c>
      <c r="E16728" s="3" t="inlineStr">
        <is>
          <t>COS - Rental Comm External - Minette</t>
        </is>
      </c>
      <c r="F16728" s="3" t="n">
        <v>39662.09</v>
      </c>
      <c r="G16728" s="3" t="n">
        <v>200374.72</v>
      </c>
    </row>
    <row r="16729">
      <c r="A16729" s="3" t="inlineStr">
        <is>
          <t>Opportunity Global Sales (PTY) LTD</t>
        </is>
      </c>
      <c r="B16729" s="4" t="n">
        <v>45260</v>
      </c>
      <c r="C16729" s="3" t="inlineStr">
        <is>
          <t>Expenses</t>
        </is>
      </c>
      <c r="D16729" s="3" t="inlineStr">
        <is>
          <t>2000/139</t>
        </is>
      </c>
      <c r="E16729" s="3" t="inlineStr">
        <is>
          <t>COS - Sales Comm Heron Fields - Minette</t>
        </is>
      </c>
      <c r="F16729" s="3" t="n">
        <v>0</v>
      </c>
      <c r="G16729" s="3" t="n">
        <v>68099.48</v>
      </c>
    </row>
    <row r="16730">
      <c r="A16730" s="3" t="inlineStr">
        <is>
          <t>Opportunity Global Investment (PTY) LTD</t>
        </is>
      </c>
      <c r="B16730" s="4" t="n">
        <v>45260</v>
      </c>
      <c r="C16730" s="3" t="inlineStr">
        <is>
          <t>Expenses</t>
        </is>
      </c>
      <c r="D16730" s="3" t="inlineStr">
        <is>
          <t>2000/140</t>
        </is>
      </c>
      <c r="E16730" s="3" t="inlineStr">
        <is>
          <t>Referral commission - F Geldenhuys</t>
        </is>
      </c>
      <c r="F16730" s="3" t="n">
        <v>0</v>
      </c>
      <c r="G16730" s="3" t="n">
        <v>89400</v>
      </c>
    </row>
    <row r="16731">
      <c r="A16731" s="3" t="inlineStr">
        <is>
          <t>Opportunity Global Investment (PTY) LTD</t>
        </is>
      </c>
      <c r="B16731" s="4" t="n">
        <v>45260</v>
      </c>
      <c r="C16731" s="3" t="inlineStr">
        <is>
          <t>Expenses</t>
        </is>
      </c>
      <c r="D16731" s="3" t="inlineStr">
        <is>
          <t>2000/145</t>
        </is>
      </c>
      <c r="E16731" s="3" t="inlineStr">
        <is>
          <t>Referral commission - W Thomason</t>
        </is>
      </c>
      <c r="F16731" s="3" t="n">
        <v>0</v>
      </c>
      <c r="G16731" s="3" t="n">
        <v>12000</v>
      </c>
    </row>
    <row r="16732">
      <c r="A16732" s="3" t="inlineStr">
        <is>
          <t>Opportunity Global Sales (PTY) LTD</t>
        </is>
      </c>
      <c r="B16732" s="4" t="n">
        <v>45260</v>
      </c>
      <c r="C16732" s="3" t="inlineStr">
        <is>
          <t>Expenses</t>
        </is>
      </c>
      <c r="D16732" s="3" t="inlineStr">
        <is>
          <t>2000/147</t>
        </is>
      </c>
      <c r="E16732" s="3" t="inlineStr">
        <is>
          <t>COS - Sales Comm Heron Fields - Yvette</t>
        </is>
      </c>
      <c r="F16732" s="3" t="n">
        <v>0</v>
      </c>
      <c r="G16732" s="3" t="n">
        <v>185656.48</v>
      </c>
    </row>
    <row r="16733">
      <c r="A16733" s="3" t="inlineStr">
        <is>
          <t>Endulini (Pty) Ltd</t>
        </is>
      </c>
      <c r="B16733" s="4" t="n">
        <v>45260</v>
      </c>
      <c r="C16733" s="3" t="inlineStr">
        <is>
          <t>Expenses</t>
        </is>
      </c>
      <c r="D16733" s="3" t="inlineStr">
        <is>
          <t>2000/150</t>
        </is>
      </c>
      <c r="E16733" s="3" t="inlineStr">
        <is>
          <t>COS - Levies special agreement</t>
        </is>
      </c>
      <c r="F16733" s="3" t="n">
        <v>3867.27</v>
      </c>
      <c r="G16733" s="3" t="n">
        <v>67112.16</v>
      </c>
    </row>
    <row r="16734">
      <c r="A16734" s="3" t="inlineStr">
        <is>
          <t>Opportunity Global Sales (PTY) LTD</t>
        </is>
      </c>
      <c r="B16734" s="4" t="n">
        <v>45260</v>
      </c>
      <c r="C16734" s="3" t="inlineStr">
        <is>
          <t>Expenses</t>
        </is>
      </c>
      <c r="D16734" s="3" t="inlineStr">
        <is>
          <t>2000/160</t>
        </is>
      </c>
      <c r="E16734" s="3" t="inlineStr">
        <is>
          <t>COS - Sales Comm Heron View - Minette</t>
        </is>
      </c>
      <c r="F16734" s="3" t="n">
        <v>0</v>
      </c>
      <c r="G16734" s="3" t="n">
        <v>300224.68</v>
      </c>
    </row>
    <row r="16735">
      <c r="A16735" s="3" t="inlineStr">
        <is>
          <t>Opportunity Global Sales (PTY) LTD</t>
        </is>
      </c>
      <c r="B16735" s="4" t="n">
        <v>45260</v>
      </c>
      <c r="C16735" s="3" t="inlineStr">
        <is>
          <t>Expenses</t>
        </is>
      </c>
      <c r="D16735" s="3" t="inlineStr">
        <is>
          <t>2000/162</t>
        </is>
      </c>
      <c r="E16735" s="3" t="inlineStr">
        <is>
          <t>COS - Sales Comm Heron View - Yvette</t>
        </is>
      </c>
      <c r="F16735" s="3" t="n">
        <v>60747.73</v>
      </c>
      <c r="G16735" s="3" t="n">
        <v>195219.88</v>
      </c>
    </row>
    <row r="16736">
      <c r="A16736" s="3" t="inlineStr">
        <is>
          <t>Opportunity Global Sales (PTY) LTD</t>
        </is>
      </c>
      <c r="B16736" s="4" t="n">
        <v>45260</v>
      </c>
      <c r="C16736" s="3" t="inlineStr">
        <is>
          <t>Expenses</t>
        </is>
      </c>
      <c r="D16736" s="3" t="inlineStr">
        <is>
          <t>2000/165</t>
        </is>
      </c>
      <c r="E16736" s="3" t="inlineStr">
        <is>
          <t>COS - Sales Comm External - Yvette</t>
        </is>
      </c>
      <c r="F16736" s="3" t="n">
        <v>0</v>
      </c>
      <c r="G16736" s="3" t="n">
        <v>5885.55</v>
      </c>
    </row>
    <row r="16737">
      <c r="A16737" s="3" t="inlineStr">
        <is>
          <t>Opportunity Global Sales (PTY) LTD</t>
        </is>
      </c>
      <c r="B16737" s="4" t="n">
        <v>45260</v>
      </c>
      <c r="C16737" s="3" t="inlineStr">
        <is>
          <t>Expenses</t>
        </is>
      </c>
      <c r="D16737" s="3" t="inlineStr">
        <is>
          <t>2000/166</t>
        </is>
      </c>
      <c r="E16737" s="3" t="inlineStr">
        <is>
          <t>COS - Sales Comm Heron View - Morne</t>
        </is>
      </c>
      <c r="F16737" s="3" t="n">
        <v>15477.39</v>
      </c>
      <c r="G16737" s="3" t="n">
        <v>15477.39</v>
      </c>
    </row>
    <row r="16738">
      <c r="A16738" s="3" t="inlineStr">
        <is>
          <t>Opportunity Global Sales (PTY) LTD</t>
        </is>
      </c>
      <c r="B16738" s="4" t="n">
        <v>45260</v>
      </c>
      <c r="C16738" s="3" t="inlineStr">
        <is>
          <t>Expenses</t>
        </is>
      </c>
      <c r="D16738" s="3" t="inlineStr">
        <is>
          <t>2000/167</t>
        </is>
      </c>
      <c r="E16738" s="3" t="inlineStr">
        <is>
          <t>COS - Sales Comm Endulini - Morne</t>
        </is>
      </c>
      <c r="F16738" s="3" t="n">
        <v>12173.05</v>
      </c>
      <c r="G16738" s="3" t="n">
        <v>12173.05</v>
      </c>
    </row>
    <row r="16739">
      <c r="A16739" s="3" t="inlineStr">
        <is>
          <t>Noble Shield (Pty) Ltd ta Go Letting</t>
        </is>
      </c>
      <c r="B16739" s="4" t="n">
        <v>45260</v>
      </c>
      <c r="C16739" s="3" t="inlineStr">
        <is>
          <t>Expenses</t>
        </is>
      </c>
      <c r="D16739" s="3" t="inlineStr">
        <is>
          <t>2000/200</t>
        </is>
      </c>
      <c r="E16739" s="3" t="inlineStr">
        <is>
          <t>COS - Commission on external sales</t>
        </is>
      </c>
      <c r="F16739" s="3" t="n">
        <v>56400</v>
      </c>
      <c r="G16739" s="3" t="n">
        <v>115400</v>
      </c>
    </row>
    <row r="16740">
      <c r="A16740" s="3" t="inlineStr">
        <is>
          <t>Endulini (Pty) Ltd</t>
        </is>
      </c>
      <c r="B16740" s="4" t="n">
        <v>45260</v>
      </c>
      <c r="C16740" s="3" t="inlineStr">
        <is>
          <t>Expenses</t>
        </is>
      </c>
      <c r="D16740" s="3" t="inlineStr">
        <is>
          <t>2000/200</t>
        </is>
      </c>
      <c r="E16740" s="3" t="inlineStr">
        <is>
          <t>COS - Rates clearance</t>
        </is>
      </c>
      <c r="F16740" s="3" t="n">
        <v>-1198.04</v>
      </c>
      <c r="G16740" s="3" t="n">
        <v>53591.37</v>
      </c>
    </row>
    <row r="16741">
      <c r="A16741" s="3" t="inlineStr">
        <is>
          <t>Opportunity Global Sales (PTY) LTD</t>
        </is>
      </c>
      <c r="B16741" s="4" t="n">
        <v>45260</v>
      </c>
      <c r="C16741" s="3" t="inlineStr">
        <is>
          <t>Expenses</t>
        </is>
      </c>
      <c r="D16741" s="3" t="inlineStr">
        <is>
          <t>2000/270</t>
        </is>
      </c>
      <c r="E16741" s="3" t="inlineStr">
        <is>
          <t>COS - Comm Rentals - Mario - External</t>
        </is>
      </c>
      <c r="F16741" s="3" t="n">
        <v>834.78</v>
      </c>
      <c r="G16741" s="3" t="n">
        <v>4196.56</v>
      </c>
    </row>
    <row r="16742">
      <c r="A16742" s="3" t="inlineStr">
        <is>
          <t>Opportunity Global Sales (PTY) LTD</t>
        </is>
      </c>
      <c r="B16742" s="4" t="n">
        <v>45260</v>
      </c>
      <c r="C16742" s="3" t="inlineStr">
        <is>
          <t>Expenses</t>
        </is>
      </c>
      <c r="D16742" s="3" t="inlineStr">
        <is>
          <t>2000/275</t>
        </is>
      </c>
      <c r="E16742" s="3" t="inlineStr">
        <is>
          <t>COS - Comm Rentals - Mario - Endulini</t>
        </is>
      </c>
      <c r="F16742" s="3" t="n">
        <v>6255.83</v>
      </c>
      <c r="G16742" s="3" t="n">
        <v>18876.51</v>
      </c>
    </row>
    <row r="16743">
      <c r="A16743" s="3" t="inlineStr">
        <is>
          <t>Opportunity Global Sales (PTY) LTD</t>
        </is>
      </c>
      <c r="B16743" s="4" t="n">
        <v>45260</v>
      </c>
      <c r="C16743" s="3" t="inlineStr">
        <is>
          <t>Expenses</t>
        </is>
      </c>
      <c r="D16743" s="3" t="inlineStr">
        <is>
          <t>2000/280</t>
        </is>
      </c>
      <c r="E16743" s="3" t="inlineStr">
        <is>
          <t>COS - Comm Rentals - Mario - Heron Fields</t>
        </is>
      </c>
      <c r="F16743" s="3" t="n">
        <v>1934.78</v>
      </c>
      <c r="G16743" s="3" t="n">
        <v>14254.78</v>
      </c>
    </row>
    <row r="16744">
      <c r="A16744" s="3" t="inlineStr">
        <is>
          <t>Trademark Holdings (Pty) Ltd</t>
        </is>
      </c>
      <c r="B16744" s="4" t="n">
        <v>45260</v>
      </c>
      <c r="C16744" s="3" t="inlineStr">
        <is>
          <t>Expenses</t>
        </is>
      </c>
      <c r="D16744" s="3" t="inlineStr">
        <is>
          <t>2000/300</t>
        </is>
      </c>
      <c r="E16744" s="3" t="inlineStr">
        <is>
          <t>COS - Commission Paid</t>
        </is>
      </c>
      <c r="F16744" s="3" t="n">
        <v>17436.83</v>
      </c>
      <c r="G16744" s="3" t="n">
        <v>50226.04</v>
      </c>
    </row>
    <row r="16745">
      <c r="A16745" s="3" t="inlineStr">
        <is>
          <t>Opportunity Global Sales (PTY) LTD</t>
        </is>
      </c>
      <c r="B16745" s="4" t="n">
        <v>45260</v>
      </c>
      <c r="C16745" s="3" t="inlineStr">
        <is>
          <t>Expenses</t>
        </is>
      </c>
      <c r="D16745" s="3" t="inlineStr">
        <is>
          <t>2000/370</t>
        </is>
      </c>
      <c r="E16745" s="3" t="inlineStr">
        <is>
          <t>COS - Overrider Comm Endulini - Morne</t>
        </is>
      </c>
      <c r="F16745" s="3" t="n">
        <v>0</v>
      </c>
      <c r="G16745" s="3" t="n">
        <v>12173.04</v>
      </c>
    </row>
    <row r="16746">
      <c r="A16746" s="3" t="inlineStr">
        <is>
          <t>Opportunity Global Sales (PTY) LTD</t>
        </is>
      </c>
      <c r="B16746" s="4" t="n">
        <v>45260</v>
      </c>
      <c r="C16746" s="3" t="inlineStr">
        <is>
          <t>Expenses</t>
        </is>
      </c>
      <c r="D16746" s="3" t="inlineStr">
        <is>
          <t>2000/380</t>
        </is>
      </c>
      <c r="E16746" s="3" t="inlineStr">
        <is>
          <t>COS - Overrider Comm Heron Fields - Morne</t>
        </is>
      </c>
      <c r="F16746" s="3" t="n">
        <v>0</v>
      </c>
      <c r="G16746" s="3" t="n">
        <v>30622.7</v>
      </c>
    </row>
    <row r="16747">
      <c r="A16747" s="3" t="inlineStr">
        <is>
          <t>Opportunity Global Sales (PTY) LTD</t>
        </is>
      </c>
      <c r="B16747" s="4" t="n">
        <v>45260</v>
      </c>
      <c r="C16747" s="3" t="inlineStr">
        <is>
          <t>Expenses</t>
        </is>
      </c>
      <c r="D16747" s="3" t="inlineStr">
        <is>
          <t>2000/383</t>
        </is>
      </c>
      <c r="E16747" s="3" t="inlineStr">
        <is>
          <t>COS - Overrider Comm Heron View - Morne</t>
        </is>
      </c>
      <c r="F16747" s="3" t="n">
        <v>1121.68</v>
      </c>
      <c r="G16747" s="3" t="n">
        <v>47979.6</v>
      </c>
    </row>
    <row r="16748">
      <c r="A16748" s="3" t="inlineStr">
        <is>
          <t>Opportunity Global Sales (PTY) LTD</t>
        </is>
      </c>
      <c r="B16748" s="4" t="n">
        <v>45260</v>
      </c>
      <c r="C16748" s="3" t="inlineStr">
        <is>
          <t>Expenses</t>
        </is>
      </c>
      <c r="D16748" s="3" t="inlineStr">
        <is>
          <t>2000/390</t>
        </is>
      </c>
      <c r="E16748" s="3" t="inlineStr">
        <is>
          <t>COS - Overrider Comm External Sales - Morne</t>
        </is>
      </c>
      <c r="F16748" s="3" t="n">
        <v>0</v>
      </c>
      <c r="G16748" s="3" t="n">
        <v>10453.32</v>
      </c>
    </row>
    <row r="16749">
      <c r="A16749" s="3" t="inlineStr">
        <is>
          <t>Trademark Holdings (Pty) Ltd</t>
        </is>
      </c>
      <c r="B16749" s="4" t="n">
        <v>45260</v>
      </c>
      <c r="C16749" s="3" t="inlineStr">
        <is>
          <t>Expenses</t>
        </is>
      </c>
      <c r="D16749" s="3" t="inlineStr">
        <is>
          <t>2000/400</t>
        </is>
      </c>
      <c r="E16749" s="3" t="inlineStr">
        <is>
          <t>COS - Commission on external sales</t>
        </is>
      </c>
      <c r="F16749" s="3" t="n">
        <v>0</v>
      </c>
      <c r="G16749" s="3" t="n">
        <v>115000</v>
      </c>
    </row>
    <row r="16750">
      <c r="A16750" s="3" t="inlineStr">
        <is>
          <t>Opportunity Global Sales (PTY) LTD</t>
        </is>
      </c>
      <c r="B16750" s="4" t="n">
        <v>45260</v>
      </c>
      <c r="C16750" s="3" t="inlineStr">
        <is>
          <t>Expenses</t>
        </is>
      </c>
      <c r="D16750" s="3" t="inlineStr">
        <is>
          <t>2000/550</t>
        </is>
      </c>
      <c r="E16750" s="3" t="inlineStr">
        <is>
          <t>COS - Electricity Costs Heron Fields</t>
        </is>
      </c>
      <c r="F16750" s="3" t="n">
        <v>0</v>
      </c>
      <c r="G16750" s="3" t="n">
        <v>447.83</v>
      </c>
    </row>
    <row r="16751">
      <c r="A16751" s="3" t="inlineStr">
        <is>
          <t>Opportunity Global Sales (PTY) LTD</t>
        </is>
      </c>
      <c r="B16751" s="4" t="n">
        <v>45260</v>
      </c>
      <c r="C16751" s="3" t="inlineStr">
        <is>
          <t>Expenses</t>
        </is>
      </c>
      <c r="D16751" s="3" t="inlineStr">
        <is>
          <t>2000/600</t>
        </is>
      </c>
      <c r="E16751" s="3" t="inlineStr">
        <is>
          <t>COS - Heron Fields Show House</t>
        </is>
      </c>
      <c r="F16751" s="3" t="n">
        <v>0</v>
      </c>
      <c r="G16751" s="3" t="n">
        <v>201.97</v>
      </c>
    </row>
    <row r="16752">
      <c r="A16752" s="3" t="inlineStr">
        <is>
          <t>Endulini (Pty) Ltd</t>
        </is>
      </c>
      <c r="B16752" s="4" t="n">
        <v>45260</v>
      </c>
      <c r="C16752" s="3" t="inlineStr">
        <is>
          <t>Expenses</t>
        </is>
      </c>
      <c r="D16752" s="3" t="inlineStr">
        <is>
          <t>2000/600</t>
        </is>
      </c>
      <c r="E16752" s="3" t="inlineStr">
        <is>
          <t>COS - Legal fees</t>
        </is>
      </c>
      <c r="F16752" s="3" t="n">
        <v>90868.31</v>
      </c>
      <c r="G16752" s="3" t="n">
        <v>162399.71</v>
      </c>
    </row>
    <row r="16753">
      <c r="A16753" s="3" t="inlineStr">
        <is>
          <t>Quinate Consulting (Pty) Ltd</t>
        </is>
      </c>
      <c r="B16753" s="4" t="n">
        <v>45260</v>
      </c>
      <c r="C16753" s="3" t="inlineStr">
        <is>
          <t>Expenses</t>
        </is>
      </c>
      <c r="D16753" s="3" t="inlineStr">
        <is>
          <t>2001/120</t>
        </is>
      </c>
      <c r="E16753" s="3" t="inlineStr">
        <is>
          <t>COS - Commission - South Wark</t>
        </is>
      </c>
      <c r="F16753" s="3" t="n">
        <v>0</v>
      </c>
      <c r="G16753" s="3" t="n">
        <v>-869.5700000000001</v>
      </c>
    </row>
    <row r="16754">
      <c r="A16754" s="3" t="inlineStr">
        <is>
          <t>Quinate Consulting (Pty) Ltd</t>
        </is>
      </c>
      <c r="B16754" s="4" t="n">
        <v>45260</v>
      </c>
      <c r="C16754" s="3" t="inlineStr">
        <is>
          <t>Expenses</t>
        </is>
      </c>
      <c r="D16754" s="3" t="inlineStr">
        <is>
          <t>2001/210</t>
        </is>
      </c>
      <c r="E16754" s="3" t="inlineStr">
        <is>
          <t>COS - NHBRC</t>
        </is>
      </c>
      <c r="F16754" s="3" t="n">
        <v>0</v>
      </c>
      <c r="G16754" s="3" t="n">
        <v>457.67</v>
      </c>
    </row>
    <row r="16755">
      <c r="A16755" s="3" t="inlineStr">
        <is>
          <t>Quinate Consulting (Pty) Ltd</t>
        </is>
      </c>
      <c r="B16755" s="4" t="n">
        <v>45260</v>
      </c>
      <c r="C16755" s="3" t="inlineStr">
        <is>
          <t>Expenses</t>
        </is>
      </c>
      <c r="D16755" s="3" t="inlineStr">
        <is>
          <t>2200/000</t>
        </is>
      </c>
      <c r="E16755" s="3" t="inlineStr">
        <is>
          <t>COS - C2M Certificate for transfer</t>
        </is>
      </c>
      <c r="F16755" s="3" t="n">
        <v>0</v>
      </c>
      <c r="G16755" s="3" t="n">
        <v>2000</v>
      </c>
    </row>
    <row r="16756">
      <c r="A16756" s="3" t="inlineStr">
        <is>
          <t>Quinate Consulting (Pty) Ltd</t>
        </is>
      </c>
      <c r="B16756" s="4" t="n">
        <v>45260</v>
      </c>
      <c r="C16756" s="3" t="inlineStr">
        <is>
          <t>Revenue</t>
        </is>
      </c>
      <c r="D16756" s="3" t="inlineStr">
        <is>
          <t>2400/200</t>
        </is>
      </c>
      <c r="E16756" s="3" t="inlineStr">
        <is>
          <t>Recovery Acc - Electricity SH</t>
        </is>
      </c>
      <c r="F16756" s="3" t="n">
        <v>-27795.35</v>
      </c>
      <c r="G16756" s="3" t="n">
        <v>-247976.43</v>
      </c>
    </row>
    <row r="16757">
      <c r="A16757" s="3" t="inlineStr">
        <is>
          <t>Quinate Consulting (Pty) Ltd</t>
        </is>
      </c>
      <c r="B16757" s="4" t="n">
        <v>45260</v>
      </c>
      <c r="C16757" s="3" t="inlineStr">
        <is>
          <t>Revenue</t>
        </is>
      </c>
      <c r="D16757" s="3" t="inlineStr">
        <is>
          <t>2400/300</t>
        </is>
      </c>
      <c r="E16757" s="3" t="inlineStr">
        <is>
          <t>Recovery Account - Electricity SW</t>
        </is>
      </c>
      <c r="F16757" s="3" t="n">
        <v>-20623.38</v>
      </c>
      <c r="G16757" s="3" t="n">
        <v>-215336.24</v>
      </c>
    </row>
    <row r="16758">
      <c r="A16758" s="3" t="inlineStr">
        <is>
          <t>Endulini (Pty) Ltd</t>
        </is>
      </c>
      <c r="B16758" s="4" t="n">
        <v>45260</v>
      </c>
      <c r="C16758" s="3" t="inlineStr">
        <is>
          <t>Revenue</t>
        </is>
      </c>
      <c r="D16758" s="3" t="inlineStr">
        <is>
          <t>2750/000</t>
        </is>
      </c>
      <c r="E16758" s="3" t="inlineStr">
        <is>
          <t>Interest Received</t>
        </is>
      </c>
      <c r="F16758" s="3" t="n">
        <v>0</v>
      </c>
      <c r="G16758" s="3" t="n">
        <v>-578.91</v>
      </c>
    </row>
    <row r="16759">
      <c r="A16759" s="3" t="inlineStr">
        <is>
          <t>Opportunity Global Investment (PTY) LTD</t>
        </is>
      </c>
      <c r="B16759" s="4" t="n">
        <v>45260</v>
      </c>
      <c r="C16759" s="3" t="inlineStr">
        <is>
          <t>Revenue</t>
        </is>
      </c>
      <c r="D16759" s="3" t="inlineStr">
        <is>
          <t>2750/000</t>
        </is>
      </c>
      <c r="E16759" s="3" t="inlineStr">
        <is>
          <t>Interest Received - Bank</t>
        </is>
      </c>
      <c r="F16759" s="3" t="n">
        <v>0</v>
      </c>
      <c r="G16759" s="3" t="n">
        <v>-355.23</v>
      </c>
    </row>
    <row r="16760">
      <c r="A16760" s="3" t="inlineStr">
        <is>
          <t>Opportunity Global Sales (PTY) LTD</t>
        </is>
      </c>
      <c r="B16760" s="4" t="n">
        <v>45260</v>
      </c>
      <c r="C16760" s="3" t="inlineStr">
        <is>
          <t>Revenue</t>
        </is>
      </c>
      <c r="D16760" s="3" t="inlineStr">
        <is>
          <t>2750/000</t>
        </is>
      </c>
      <c r="E16760" s="3" t="inlineStr">
        <is>
          <t>Interest Received - Bank</t>
        </is>
      </c>
      <c r="F16760" s="3" t="n">
        <v>0</v>
      </c>
      <c r="G16760" s="3" t="n">
        <v>-18.82</v>
      </c>
    </row>
    <row r="16761">
      <c r="A16761" s="3" t="inlineStr">
        <is>
          <t>Noble Shield (Pty) Ltd ta Go Letting</t>
        </is>
      </c>
      <c r="B16761" s="4" t="n">
        <v>45260</v>
      </c>
      <c r="C16761" s="3" t="inlineStr">
        <is>
          <t>Revenue</t>
        </is>
      </c>
      <c r="D16761" s="3" t="inlineStr">
        <is>
          <t>2750/100</t>
        </is>
      </c>
      <c r="E16761" s="3" t="inlineStr">
        <is>
          <t>Interest Received - bank</t>
        </is>
      </c>
      <c r="F16761" s="3" t="n">
        <v>0</v>
      </c>
      <c r="G16761" s="3" t="n">
        <v>-0.07000000000000001</v>
      </c>
    </row>
    <row r="16762">
      <c r="A16762" s="3" t="inlineStr">
        <is>
          <t>Quinate Consulting (Pty) Ltd</t>
        </is>
      </c>
      <c r="B16762" s="4" t="n">
        <v>45260</v>
      </c>
      <c r="C16762" s="3" t="inlineStr">
        <is>
          <t>Revenue</t>
        </is>
      </c>
      <c r="D16762" s="3" t="inlineStr">
        <is>
          <t>2751/000</t>
        </is>
      </c>
      <c r="E16762" s="3" t="inlineStr">
        <is>
          <t>Interest Received - Bank</t>
        </is>
      </c>
      <c r="F16762" s="3" t="n">
        <v>-120.23</v>
      </c>
      <c r="G16762" s="3" t="n">
        <v>-4542.18</v>
      </c>
    </row>
    <row r="16763">
      <c r="A16763" s="3" t="inlineStr">
        <is>
          <t>Opportunity Global Investment (PTY) LTD</t>
        </is>
      </c>
      <c r="B16763" s="4" t="n">
        <v>45260</v>
      </c>
      <c r="C16763" s="3" t="inlineStr">
        <is>
          <t>Revenue</t>
        </is>
      </c>
      <c r="D16763" s="3" t="inlineStr">
        <is>
          <t>2753/000</t>
        </is>
      </c>
      <c r="E16763" s="3" t="inlineStr">
        <is>
          <t>Interest received - Momentum</t>
        </is>
      </c>
      <c r="F16763" s="3" t="n">
        <v>0</v>
      </c>
      <c r="G16763" s="3" t="n">
        <v>-297.69</v>
      </c>
    </row>
    <row r="16764">
      <c r="A16764" s="3" t="inlineStr">
        <is>
          <t>Endulini (Pty) Ltd</t>
        </is>
      </c>
      <c r="B16764" s="4" t="n">
        <v>45260</v>
      </c>
      <c r="C16764" s="3" t="inlineStr">
        <is>
          <t>Revenue</t>
        </is>
      </c>
      <c r="D16764" s="3" t="inlineStr">
        <is>
          <t>2755/001</t>
        </is>
      </c>
      <c r="E16764" s="3" t="inlineStr">
        <is>
          <t>Interest Received - Momentum</t>
        </is>
      </c>
      <c r="F16764" s="3" t="n">
        <v>0</v>
      </c>
      <c r="G16764" s="3" t="n">
        <v>-117.79</v>
      </c>
    </row>
    <row r="16765">
      <c r="A16765" s="3" t="inlineStr">
        <is>
          <t>Quinate Consulting (Pty) Ltd</t>
        </is>
      </c>
      <c r="B16765" s="4" t="n">
        <v>45260</v>
      </c>
      <c r="C16765" s="3" t="inlineStr">
        <is>
          <t>Revenue</t>
        </is>
      </c>
      <c r="D16765" s="3" t="inlineStr">
        <is>
          <t>2755/001</t>
        </is>
      </c>
      <c r="E16765" s="3" t="inlineStr">
        <is>
          <t>Interest Received - Momentum</t>
        </is>
      </c>
      <c r="F16765" s="3" t="n">
        <v>0</v>
      </c>
      <c r="G16765" s="3" t="n">
        <v>-30.67</v>
      </c>
    </row>
    <row r="16766">
      <c r="A16766" s="3" t="inlineStr">
        <is>
          <t>Opportunity Global Investment (PTY) LTD</t>
        </is>
      </c>
      <c r="B16766" s="4" t="n">
        <v>45260</v>
      </c>
      <c r="C16766" s="3" t="inlineStr">
        <is>
          <t>Expenses</t>
        </is>
      </c>
      <c r="D16766" s="3" t="inlineStr">
        <is>
          <t>3000/100</t>
        </is>
      </c>
      <c r="E16766" s="3" t="inlineStr">
        <is>
          <t>Accounting Fees - Secretarial</t>
        </is>
      </c>
      <c r="F16766" s="3" t="n">
        <v>0</v>
      </c>
      <c r="G16766" s="3" t="n">
        <v>890</v>
      </c>
    </row>
    <row r="16767">
      <c r="A16767" s="3" t="inlineStr">
        <is>
          <t>Opportunity Global Investment (PTY) LTD</t>
        </is>
      </c>
      <c r="B16767" s="4" t="n">
        <v>45260</v>
      </c>
      <c r="C16767" s="3" t="inlineStr">
        <is>
          <t>Expenses</t>
        </is>
      </c>
      <c r="D16767" s="3" t="inlineStr">
        <is>
          <t>3000/150</t>
        </is>
      </c>
      <c r="E16767" s="3" t="inlineStr">
        <is>
          <t>Accounting Fees - Audit</t>
        </is>
      </c>
      <c r="F16767" s="3" t="n">
        <v>0</v>
      </c>
      <c r="G16767" s="3" t="n">
        <v>12217.01</v>
      </c>
    </row>
    <row r="16768">
      <c r="A16768" s="3" t="inlineStr">
        <is>
          <t>Trademark Holdings (Pty) Ltd</t>
        </is>
      </c>
      <c r="B16768" s="4" t="n">
        <v>45260</v>
      </c>
      <c r="C16768" s="3" t="inlineStr">
        <is>
          <t>Expenses</t>
        </is>
      </c>
      <c r="D16768" s="3" t="inlineStr">
        <is>
          <t>3000/300</t>
        </is>
      </c>
      <c r="E16768" s="3" t="inlineStr">
        <is>
          <t>Accounting Fees - Audit</t>
        </is>
      </c>
      <c r="F16768" s="3" t="n">
        <v>22517</v>
      </c>
      <c r="G16768" s="3" t="n">
        <v>22517</v>
      </c>
    </row>
    <row r="16769">
      <c r="A16769" s="3" t="inlineStr">
        <is>
          <t>Trademark Holdings (Pty) Ltd</t>
        </is>
      </c>
      <c r="B16769" s="4" t="n">
        <v>45260</v>
      </c>
      <c r="C16769" s="3" t="inlineStr">
        <is>
          <t>Expenses</t>
        </is>
      </c>
      <c r="D16769" s="3" t="inlineStr">
        <is>
          <t>3000/400</t>
        </is>
      </c>
      <c r="E16769" s="3" t="inlineStr">
        <is>
          <t>Accounting Fees - CiPC</t>
        </is>
      </c>
      <c r="F16769" s="3" t="n">
        <v>1322.5</v>
      </c>
      <c r="G16769" s="3" t="n">
        <v>1322.5</v>
      </c>
    </row>
    <row r="16770">
      <c r="A16770" s="3" t="inlineStr">
        <is>
          <t>Quinate Consulting (Pty) Ltd</t>
        </is>
      </c>
      <c r="B16770" s="4" t="n">
        <v>45260</v>
      </c>
      <c r="C16770" s="3" t="inlineStr">
        <is>
          <t>Expenses</t>
        </is>
      </c>
      <c r="D16770" s="3" t="inlineStr">
        <is>
          <t>3001/000</t>
        </is>
      </c>
      <c r="E16770" s="3" t="inlineStr">
        <is>
          <t>Accounting fees - Other</t>
        </is>
      </c>
      <c r="F16770" s="3" t="n">
        <v>4200</v>
      </c>
      <c r="G16770" s="3" t="n">
        <v>12640</v>
      </c>
    </row>
    <row r="16771">
      <c r="A16771" s="3" t="inlineStr">
        <is>
          <t>Quinate Consulting (Pty) Ltd</t>
        </is>
      </c>
      <c r="B16771" s="4" t="n">
        <v>45260</v>
      </c>
      <c r="C16771" s="3" t="inlineStr">
        <is>
          <t>Expenses</t>
        </is>
      </c>
      <c r="D16771" s="3" t="inlineStr">
        <is>
          <t>3002/000</t>
        </is>
      </c>
      <c r="E16771" s="3" t="inlineStr">
        <is>
          <t>Accounting Fees - Tax Dept.</t>
        </is>
      </c>
      <c r="F16771" s="3" t="n">
        <v>0</v>
      </c>
      <c r="G16771" s="3" t="n">
        <v>540</v>
      </c>
    </row>
    <row r="16772">
      <c r="A16772" s="3" t="inlineStr">
        <is>
          <t>Quinate Consulting (Pty) Ltd</t>
        </is>
      </c>
      <c r="B16772" s="4" t="n">
        <v>45260</v>
      </c>
      <c r="C16772" s="3" t="inlineStr">
        <is>
          <t>Expenses</t>
        </is>
      </c>
      <c r="D16772" s="3" t="inlineStr">
        <is>
          <t>3005/000</t>
        </is>
      </c>
      <c r="E16772" s="3" t="inlineStr">
        <is>
          <t>Accounting fees - Audit</t>
        </is>
      </c>
      <c r="F16772" s="3" t="n">
        <v>16531</v>
      </c>
      <c r="G16772" s="3" t="n">
        <v>41581</v>
      </c>
    </row>
    <row r="16773">
      <c r="A16773" s="3" t="inlineStr">
        <is>
          <t>Opportunity Management Holdings (PTY) LTD</t>
        </is>
      </c>
      <c r="B16773" s="4" t="n">
        <v>45260</v>
      </c>
      <c r="C16773" s="3" t="inlineStr">
        <is>
          <t>Expenses</t>
        </is>
      </c>
      <c r="D16773" s="3" t="inlineStr">
        <is>
          <t>3005/000</t>
        </is>
      </c>
      <c r="E16773" s="3" t="inlineStr">
        <is>
          <t>Accounting fees - Deric Dudley</t>
        </is>
      </c>
      <c r="F16773" s="3" t="n">
        <v>56000</v>
      </c>
      <c r="G16773" s="3" t="n">
        <v>168000</v>
      </c>
    </row>
    <row r="16774">
      <c r="A16774" s="3" t="inlineStr">
        <is>
          <t>Endulini (Pty) Ltd</t>
        </is>
      </c>
      <c r="B16774" s="4" t="n">
        <v>45260</v>
      </c>
      <c r="C16774" s="3" t="inlineStr">
        <is>
          <t>Expenses</t>
        </is>
      </c>
      <c r="D16774" s="3" t="inlineStr">
        <is>
          <t>3050/000</t>
        </is>
      </c>
      <c r="E16774" s="3" t="inlineStr">
        <is>
          <t>Advertising _AND_ Promotions</t>
        </is>
      </c>
      <c r="F16774" s="3" t="n">
        <v>415</v>
      </c>
      <c r="G16774" s="3" t="n">
        <v>4595</v>
      </c>
    </row>
    <row r="16775">
      <c r="A16775" s="3" t="inlineStr">
        <is>
          <t>Opportunity Management Holdings (PTY) LTD</t>
        </is>
      </c>
      <c r="B16775" s="4" t="n">
        <v>45260</v>
      </c>
      <c r="C16775" s="3" t="inlineStr">
        <is>
          <t>Expenses</t>
        </is>
      </c>
      <c r="D16775" s="3" t="inlineStr">
        <is>
          <t>3050/000</t>
        </is>
      </c>
      <c r="E16775" s="3" t="inlineStr">
        <is>
          <t>Advertising _AND_ Promotions</t>
        </is>
      </c>
      <c r="F16775" s="3" t="n">
        <v>0</v>
      </c>
      <c r="G16775" s="3" t="n">
        <v>287.5</v>
      </c>
    </row>
    <row r="16776">
      <c r="A16776" s="3" t="inlineStr">
        <is>
          <t>Opportunity Global Investment (PTY) LTD</t>
        </is>
      </c>
      <c r="B16776" s="4" t="n">
        <v>45260</v>
      </c>
      <c r="C16776" s="3" t="inlineStr">
        <is>
          <t>Expenses</t>
        </is>
      </c>
      <c r="D16776" s="3" t="inlineStr">
        <is>
          <t>3050/000</t>
        </is>
      </c>
      <c r="E16776" s="3" t="inlineStr">
        <is>
          <t>Advertising and Promotions</t>
        </is>
      </c>
      <c r="F16776" s="3" t="n">
        <v>95.64</v>
      </c>
      <c r="G16776" s="3" t="n">
        <v>3319.48</v>
      </c>
    </row>
    <row r="16777">
      <c r="A16777" s="3" t="inlineStr">
        <is>
          <t>Opportunity Global Sales (PTY) LTD</t>
        </is>
      </c>
      <c r="B16777" s="4" t="n">
        <v>45260</v>
      </c>
      <c r="C16777" s="3" t="inlineStr">
        <is>
          <t>Expenses</t>
        </is>
      </c>
      <c r="D16777" s="3" t="inlineStr">
        <is>
          <t>3050/000</t>
        </is>
      </c>
      <c r="E16777" s="3" t="inlineStr">
        <is>
          <t>Advertising and Promotions</t>
        </is>
      </c>
      <c r="F16777" s="3" t="n">
        <v>0</v>
      </c>
      <c r="G16777" s="3" t="n">
        <v>18164.18</v>
      </c>
    </row>
    <row r="16778">
      <c r="A16778" s="3" t="inlineStr">
        <is>
          <t>Endulini (Pty) Ltd</t>
        </is>
      </c>
      <c r="B16778" s="4" t="n">
        <v>45260</v>
      </c>
      <c r="C16778" s="3" t="inlineStr">
        <is>
          <t>Expenses</t>
        </is>
      </c>
      <c r="D16778" s="3" t="inlineStr">
        <is>
          <t>3050/001</t>
        </is>
      </c>
      <c r="E16778" s="3" t="inlineStr">
        <is>
          <t>Advertising _AND_ Promotions - Media Agenda</t>
        </is>
      </c>
      <c r="F16778" s="3" t="n">
        <v>0</v>
      </c>
      <c r="G16778" s="3" t="n">
        <v>4312.5</v>
      </c>
    </row>
    <row r="16779">
      <c r="A16779" s="3" t="inlineStr">
        <is>
          <t>Noble Shield (Pty) Ltd ta Go Letting</t>
        </is>
      </c>
      <c r="B16779" s="4" t="n">
        <v>45260</v>
      </c>
      <c r="C16779" s="3" t="inlineStr">
        <is>
          <t>Expenses</t>
        </is>
      </c>
      <c r="D16779" s="3" t="inlineStr">
        <is>
          <t>3050/020</t>
        </is>
      </c>
      <c r="E16779" s="3" t="inlineStr">
        <is>
          <t>Adverting &amp; Marketing - Other</t>
        </is>
      </c>
      <c r="F16779" s="3" t="n">
        <v>0</v>
      </c>
      <c r="G16779" s="3" t="n">
        <v>134.9</v>
      </c>
    </row>
    <row r="16780">
      <c r="A16780" s="3" t="inlineStr">
        <is>
          <t>Noble Shield (Pty) Ltd ta Go Letting</t>
        </is>
      </c>
      <c r="B16780" s="4" t="n">
        <v>45260</v>
      </c>
      <c r="C16780" s="3" t="inlineStr">
        <is>
          <t>Expenses</t>
        </is>
      </c>
      <c r="D16780" s="3" t="inlineStr">
        <is>
          <t>3050/050</t>
        </is>
      </c>
      <c r="E16780" s="3" t="inlineStr">
        <is>
          <t>Advertising - Prop 24</t>
        </is>
      </c>
      <c r="F16780" s="3" t="n">
        <v>3336.15</v>
      </c>
      <c r="G16780" s="3" t="n">
        <v>10008.45</v>
      </c>
    </row>
    <row r="16781">
      <c r="A16781" s="3" t="inlineStr">
        <is>
          <t>Opportunity Global Sales (PTY) LTD</t>
        </is>
      </c>
      <c r="B16781" s="4" t="n">
        <v>45260</v>
      </c>
      <c r="C16781" s="3" t="inlineStr">
        <is>
          <t>Expenses</t>
        </is>
      </c>
      <c r="D16781" s="3" t="inlineStr">
        <is>
          <t>3050/100</t>
        </is>
      </c>
      <c r="E16781" s="3" t="inlineStr">
        <is>
          <t>Advertising - Facebook</t>
        </is>
      </c>
      <c r="F16781" s="3" t="n">
        <v>0</v>
      </c>
      <c r="G16781" s="3" t="n">
        <v>2279.78</v>
      </c>
    </row>
    <row r="16782">
      <c r="A16782" s="3" t="inlineStr">
        <is>
          <t>Opportunity Global Sales (PTY) LTD</t>
        </is>
      </c>
      <c r="B16782" s="4" t="n">
        <v>45260</v>
      </c>
      <c r="C16782" s="3" t="inlineStr">
        <is>
          <t>Expenses</t>
        </is>
      </c>
      <c r="D16782" s="3" t="inlineStr">
        <is>
          <t>3050/140</t>
        </is>
      </c>
      <c r="E16782" s="3" t="inlineStr">
        <is>
          <t>Advertising - Media Agenda</t>
        </is>
      </c>
      <c r="F16782" s="3" t="n">
        <v>3975</v>
      </c>
      <c r="G16782" s="3" t="n">
        <v>18462.5</v>
      </c>
    </row>
    <row r="16783">
      <c r="A16783" s="3" t="inlineStr">
        <is>
          <t>Opportunity Global Sales (PTY) LTD</t>
        </is>
      </c>
      <c r="B16783" s="4" t="n">
        <v>45260</v>
      </c>
      <c r="C16783" s="3" t="inlineStr">
        <is>
          <t>Expenses</t>
        </is>
      </c>
      <c r="D16783" s="3" t="inlineStr">
        <is>
          <t>3050/200</t>
        </is>
      </c>
      <c r="E16783" s="3" t="inlineStr">
        <is>
          <t>Advertising - Design</t>
        </is>
      </c>
      <c r="F16783" s="3" t="n">
        <v>0</v>
      </c>
      <c r="G16783" s="3" t="n">
        <v>35000</v>
      </c>
    </row>
    <row r="16784">
      <c r="A16784" s="3" t="inlineStr">
        <is>
          <t>Opportunity Global Investment (PTY) LTD</t>
        </is>
      </c>
      <c r="B16784" s="4" t="n">
        <v>45260</v>
      </c>
      <c r="C16784" s="3" t="inlineStr">
        <is>
          <t>Expenses</t>
        </is>
      </c>
      <c r="D16784" s="3" t="inlineStr">
        <is>
          <t>3050/230</t>
        </is>
      </c>
      <c r="E16784" s="3" t="inlineStr">
        <is>
          <t>Advertising - Link on Advertising</t>
        </is>
      </c>
      <c r="F16784" s="3" t="n">
        <v>395</v>
      </c>
      <c r="G16784" s="3" t="n">
        <v>1580</v>
      </c>
    </row>
    <row r="16785">
      <c r="A16785" s="3" t="inlineStr">
        <is>
          <t>Opportunity Global Investment (PTY) LTD</t>
        </is>
      </c>
      <c r="B16785" s="4" t="n">
        <v>45260</v>
      </c>
      <c r="C16785" s="3" t="inlineStr">
        <is>
          <t>Expenses</t>
        </is>
      </c>
      <c r="D16785" s="3" t="inlineStr">
        <is>
          <t>3050/240</t>
        </is>
      </c>
      <c r="E16785" s="3" t="inlineStr">
        <is>
          <t>Advertising - Realmarketing</t>
        </is>
      </c>
      <c r="F16785" s="3" t="n">
        <v>0</v>
      </c>
      <c r="G16785" s="3" t="n">
        <v>99000</v>
      </c>
    </row>
    <row r="16786">
      <c r="A16786" s="3" t="inlineStr">
        <is>
          <t>Opportunity Global Investment (PTY) LTD</t>
        </is>
      </c>
      <c r="B16786" s="4" t="n">
        <v>45260</v>
      </c>
      <c r="C16786" s="3" t="inlineStr">
        <is>
          <t>Expenses</t>
        </is>
      </c>
      <c r="D16786" s="3" t="inlineStr">
        <is>
          <t>3050/250</t>
        </is>
      </c>
      <c r="E16786" s="3" t="inlineStr">
        <is>
          <t>Advertising - General</t>
        </is>
      </c>
      <c r="F16786" s="3" t="n">
        <v>0</v>
      </c>
      <c r="G16786" s="3" t="n">
        <v>52599.6</v>
      </c>
    </row>
    <row r="16787">
      <c r="A16787" s="3" t="inlineStr">
        <is>
          <t>Opportunity Global Sales (PTY) LTD</t>
        </is>
      </c>
      <c r="B16787" s="4" t="n">
        <v>45260</v>
      </c>
      <c r="C16787" s="3" t="inlineStr">
        <is>
          <t>Expenses</t>
        </is>
      </c>
      <c r="D16787" s="3" t="inlineStr">
        <is>
          <t>3050/250</t>
        </is>
      </c>
      <c r="E16787" s="3" t="inlineStr">
        <is>
          <t>Advertising - General</t>
        </is>
      </c>
      <c r="F16787" s="3" t="n">
        <v>12659.59</v>
      </c>
      <c r="G16787" s="3" t="n">
        <v>80557.14</v>
      </c>
    </row>
    <row r="16788">
      <c r="A16788" s="3" t="inlineStr">
        <is>
          <t>Opportunity Global Investment (PTY) LTD</t>
        </is>
      </c>
      <c r="B16788" s="4" t="n">
        <v>45260</v>
      </c>
      <c r="C16788" s="3" t="inlineStr">
        <is>
          <t>Expenses</t>
        </is>
      </c>
      <c r="D16788" s="3" t="inlineStr">
        <is>
          <t>3050/260</t>
        </is>
      </c>
      <c r="E16788" s="3" t="inlineStr">
        <is>
          <t>Advertising - Media Agenda</t>
        </is>
      </c>
      <c r="F16788" s="3" t="n">
        <v>1437.5</v>
      </c>
      <c r="G16788" s="3" t="n">
        <v>1437.5</v>
      </c>
    </row>
    <row r="16789">
      <c r="A16789" s="3" t="inlineStr">
        <is>
          <t>Opportunity Global Investment (PTY) LTD</t>
        </is>
      </c>
      <c r="B16789" s="4" t="n">
        <v>45260</v>
      </c>
      <c r="C16789" s="3" t="inlineStr">
        <is>
          <t>Expenses</t>
        </is>
      </c>
      <c r="D16789" s="3" t="inlineStr">
        <is>
          <t>3050/270</t>
        </is>
      </c>
      <c r="E16789" s="3" t="inlineStr">
        <is>
          <t>Advertising - Radia and TV Interviews</t>
        </is>
      </c>
      <c r="F16789" s="3" t="n">
        <v>0</v>
      </c>
      <c r="G16789" s="3" t="n">
        <v>109847.5</v>
      </c>
    </row>
    <row r="16790">
      <c r="A16790" s="3" t="inlineStr">
        <is>
          <t>Opportunity Global Investment (PTY) LTD</t>
        </is>
      </c>
      <c r="B16790" s="4" t="n">
        <v>45260</v>
      </c>
      <c r="C16790" s="3" t="inlineStr">
        <is>
          <t>Expenses</t>
        </is>
      </c>
      <c r="D16790" s="3" t="inlineStr">
        <is>
          <t>3050/290</t>
        </is>
      </c>
      <c r="E16790" s="3" t="inlineStr">
        <is>
          <t>Advertising - Serene Living</t>
        </is>
      </c>
      <c r="F16790" s="3" t="n">
        <v>65086</v>
      </c>
      <c r="G16790" s="3" t="n">
        <v>585774</v>
      </c>
    </row>
    <row r="16791">
      <c r="A16791" s="3" t="inlineStr">
        <is>
          <t>Opportunity Global Investment (PTY) LTD</t>
        </is>
      </c>
      <c r="B16791" s="4" t="n">
        <v>45260</v>
      </c>
      <c r="C16791" s="3" t="inlineStr">
        <is>
          <t>Expenses</t>
        </is>
      </c>
      <c r="D16791" s="3" t="inlineStr">
        <is>
          <t>3050/295</t>
        </is>
      </c>
      <c r="E16791" s="3" t="inlineStr">
        <is>
          <t>Advertising - Reale Activation</t>
        </is>
      </c>
      <c r="F16791" s="3" t="n">
        <v>0</v>
      </c>
      <c r="G16791" s="3" t="n">
        <v>30397.22</v>
      </c>
    </row>
    <row r="16792">
      <c r="A16792" s="3" t="inlineStr">
        <is>
          <t>Opportunity Global Investment (PTY) LTD</t>
        </is>
      </c>
      <c r="B16792" s="4" t="n">
        <v>45260</v>
      </c>
      <c r="C16792" s="3" t="inlineStr">
        <is>
          <t>Expenses</t>
        </is>
      </c>
      <c r="D16792" s="3" t="inlineStr">
        <is>
          <t>3050/300</t>
        </is>
      </c>
      <c r="E16792" s="3" t="inlineStr">
        <is>
          <t>Advertising - Design</t>
        </is>
      </c>
      <c r="F16792" s="3" t="n">
        <v>0</v>
      </c>
      <c r="G16792" s="3" t="n">
        <v>7750</v>
      </c>
    </row>
    <row r="16793">
      <c r="A16793" s="3" t="inlineStr">
        <is>
          <t>Endulini (Pty) Ltd</t>
        </is>
      </c>
      <c r="B16793" s="4" t="n">
        <v>45260</v>
      </c>
      <c r="C16793" s="3" t="inlineStr">
        <is>
          <t>Expenses</t>
        </is>
      </c>
      <c r="D16793" s="3" t="inlineStr">
        <is>
          <t>3050/300</t>
        </is>
      </c>
      <c r="E16793" s="3" t="inlineStr">
        <is>
          <t>Advertiving - Real Marketing</t>
        </is>
      </c>
      <c r="F16793" s="3" t="n">
        <v>0</v>
      </c>
      <c r="G16793" s="3" t="n">
        <v>10250</v>
      </c>
    </row>
    <row r="16794">
      <c r="A16794" s="3" t="inlineStr">
        <is>
          <t>Quinate Consulting (Pty) Ltd</t>
        </is>
      </c>
      <c r="B16794" s="4" t="n">
        <v>45260</v>
      </c>
      <c r="C16794" s="3" t="inlineStr">
        <is>
          <t>Expenses</t>
        </is>
      </c>
      <c r="D16794" s="3" t="inlineStr">
        <is>
          <t>3050/400</t>
        </is>
      </c>
      <c r="E16794" s="3" t="inlineStr">
        <is>
          <t>Advertising - Prop24</t>
        </is>
      </c>
      <c r="F16794" s="3" t="n">
        <v>10236</v>
      </c>
      <c r="G16794" s="3" t="n">
        <v>98789.25</v>
      </c>
    </row>
    <row r="16795">
      <c r="A16795" s="3" t="inlineStr">
        <is>
          <t>Opportunity Global Sales (PTY) LTD</t>
        </is>
      </c>
      <c r="B16795" s="4" t="n">
        <v>45260</v>
      </c>
      <c r="C16795" s="3" t="inlineStr">
        <is>
          <t>Expenses</t>
        </is>
      </c>
      <c r="D16795" s="3" t="inlineStr">
        <is>
          <t>3050/400</t>
        </is>
      </c>
      <c r="E16795" s="3" t="inlineStr">
        <is>
          <t>Repairs &amp; Maintenance Heron sales office</t>
        </is>
      </c>
      <c r="F16795" s="3" t="n">
        <v>0</v>
      </c>
      <c r="G16795" s="3" t="n">
        <v>196.5</v>
      </c>
    </row>
    <row r="16796">
      <c r="A16796" s="3" t="inlineStr">
        <is>
          <t>Quinate Consulting (Pty) Ltd</t>
        </is>
      </c>
      <c r="B16796" s="4" t="n">
        <v>45260</v>
      </c>
      <c r="C16796" s="3" t="inlineStr">
        <is>
          <t>Expenses</t>
        </is>
      </c>
      <c r="D16796" s="3" t="inlineStr">
        <is>
          <t>3050/450</t>
        </is>
      </c>
      <c r="E16796" s="3" t="inlineStr">
        <is>
          <t>Advertising - Facebook</t>
        </is>
      </c>
      <c r="F16796" s="3" t="n">
        <v>0</v>
      </c>
      <c r="G16796" s="3" t="n">
        <v>51955.16</v>
      </c>
    </row>
    <row r="16797">
      <c r="A16797" s="3" t="inlineStr">
        <is>
          <t>Opportunity Global Investment (PTY) LTD</t>
        </is>
      </c>
      <c r="B16797" s="4" t="n">
        <v>45260</v>
      </c>
      <c r="C16797" s="3" t="inlineStr">
        <is>
          <t>Expenses</t>
        </is>
      </c>
      <c r="D16797" s="3" t="inlineStr">
        <is>
          <t>3051/000</t>
        </is>
      </c>
      <c r="E16797" s="3" t="inlineStr">
        <is>
          <t>Advertising - Facebook</t>
        </is>
      </c>
      <c r="F16797" s="3" t="n">
        <v>19830.62</v>
      </c>
      <c r="G16797" s="3" t="n">
        <v>157736.7</v>
      </c>
    </row>
    <row r="16798">
      <c r="A16798" s="3" t="inlineStr">
        <is>
          <t>Opportunity Global Investment (PTY) LTD</t>
        </is>
      </c>
      <c r="B16798" s="4" t="n">
        <v>45260</v>
      </c>
      <c r="C16798" s="3" t="inlineStr">
        <is>
          <t>Expenses</t>
        </is>
      </c>
      <c r="D16798" s="3" t="inlineStr">
        <is>
          <t>3053/000</t>
        </is>
      </c>
      <c r="E16798" s="3" t="inlineStr">
        <is>
          <t>Advertising - Google Ads</t>
        </is>
      </c>
      <c r="F16798" s="3" t="n">
        <v>380.17</v>
      </c>
      <c r="G16798" s="3" t="n">
        <v>7619.61</v>
      </c>
    </row>
    <row r="16799">
      <c r="A16799" s="3" t="inlineStr">
        <is>
          <t>Endulini (Pty) Ltd</t>
        </is>
      </c>
      <c r="B16799" s="4" t="n">
        <v>45260</v>
      </c>
      <c r="C16799" s="3" t="inlineStr">
        <is>
          <t>Expenses</t>
        </is>
      </c>
      <c r="D16799" s="3" t="inlineStr">
        <is>
          <t>3200/000</t>
        </is>
      </c>
      <c r="E16799" s="3" t="inlineStr">
        <is>
          <t>Bank Charges</t>
        </is>
      </c>
      <c r="F16799" s="3" t="n">
        <v>165.89</v>
      </c>
      <c r="G16799" s="3" t="n">
        <v>1814.26</v>
      </c>
    </row>
    <row r="16800">
      <c r="A16800" s="3" t="inlineStr">
        <is>
          <t>Noble Shield (Pty) Ltd ta Go Letting</t>
        </is>
      </c>
      <c r="B16800" s="4" t="n">
        <v>45260</v>
      </c>
      <c r="C16800" s="3" t="inlineStr">
        <is>
          <t>Expenses</t>
        </is>
      </c>
      <c r="D16800" s="3" t="inlineStr">
        <is>
          <t>3200/000</t>
        </is>
      </c>
      <c r="E16800" s="3" t="inlineStr">
        <is>
          <t>Bank Charges</t>
        </is>
      </c>
      <c r="F16800" s="3" t="n">
        <v>577.4</v>
      </c>
      <c r="G16800" s="3" t="n">
        <v>1627.97</v>
      </c>
    </row>
    <row r="16801">
      <c r="A16801" s="3" t="inlineStr">
        <is>
          <t>Opportunity Global Investment (PTY) LTD</t>
        </is>
      </c>
      <c r="B16801" s="4" t="n">
        <v>45260</v>
      </c>
      <c r="C16801" s="3" t="inlineStr">
        <is>
          <t>Expenses</t>
        </is>
      </c>
      <c r="D16801" s="3" t="inlineStr">
        <is>
          <t>3200/000</t>
        </is>
      </c>
      <c r="E16801" s="3" t="inlineStr">
        <is>
          <t>Bank Charges</t>
        </is>
      </c>
      <c r="F16801" s="3" t="n">
        <v>359.67</v>
      </c>
      <c r="G16801" s="3" t="n">
        <v>3982.2</v>
      </c>
    </row>
    <row r="16802">
      <c r="A16802" s="3" t="inlineStr">
        <is>
          <t>Opportunity Global Sales (PTY) LTD</t>
        </is>
      </c>
      <c r="B16802" s="4" t="n">
        <v>45260</v>
      </c>
      <c r="C16802" s="3" t="inlineStr">
        <is>
          <t>Expenses</t>
        </is>
      </c>
      <c r="D16802" s="3" t="inlineStr">
        <is>
          <t>3200/000</t>
        </is>
      </c>
      <c r="E16802" s="3" t="inlineStr">
        <is>
          <t>Bank Charges</t>
        </is>
      </c>
      <c r="F16802" s="3" t="n">
        <v>604.7</v>
      </c>
      <c r="G16802" s="3" t="n">
        <v>4576.04</v>
      </c>
    </row>
    <row r="16803">
      <c r="A16803" s="3" t="inlineStr">
        <is>
          <t>Opportunity Management Holdings (PTY) LTD</t>
        </is>
      </c>
      <c r="B16803" s="4" t="n">
        <v>45260</v>
      </c>
      <c r="C16803" s="3" t="inlineStr">
        <is>
          <t>Expenses</t>
        </is>
      </c>
      <c r="D16803" s="3" t="inlineStr">
        <is>
          <t>3200/000</t>
        </is>
      </c>
      <c r="E16803" s="3" t="inlineStr">
        <is>
          <t>Bank Charges</t>
        </is>
      </c>
      <c r="F16803" s="3" t="n">
        <v>863.28</v>
      </c>
      <c r="G16803" s="3" t="n">
        <v>2611.11</v>
      </c>
    </row>
    <row r="16804">
      <c r="A16804" s="3" t="inlineStr">
        <is>
          <t>Quinate Consulting (Pty) Ltd</t>
        </is>
      </c>
      <c r="B16804" s="4" t="n">
        <v>45260</v>
      </c>
      <c r="C16804" s="3" t="inlineStr">
        <is>
          <t>Expenses</t>
        </is>
      </c>
      <c r="D16804" s="3" t="inlineStr">
        <is>
          <t>3200/000</t>
        </is>
      </c>
      <c r="E16804" s="3" t="inlineStr">
        <is>
          <t>Bank Charges</t>
        </is>
      </c>
      <c r="F16804" s="3" t="n">
        <v>456.43</v>
      </c>
      <c r="G16804" s="3" t="n">
        <v>7423.51</v>
      </c>
    </row>
    <row r="16805">
      <c r="A16805" s="3" t="inlineStr">
        <is>
          <t>Trademark Holdings (Pty) Ltd</t>
        </is>
      </c>
      <c r="B16805" s="4" t="n">
        <v>45260</v>
      </c>
      <c r="C16805" s="3" t="inlineStr">
        <is>
          <t>Expenses</t>
        </is>
      </c>
      <c r="D16805" s="3" t="inlineStr">
        <is>
          <t>3200/000</t>
        </is>
      </c>
      <c r="E16805" s="3" t="inlineStr">
        <is>
          <t>Bank Charges</t>
        </is>
      </c>
      <c r="F16805" s="3" t="n">
        <v>490.49</v>
      </c>
      <c r="G16805" s="3" t="n">
        <v>1088.98</v>
      </c>
    </row>
    <row r="16806">
      <c r="A16806" s="3" t="inlineStr">
        <is>
          <t>Quinate Consulting (Pty) Ltd</t>
        </is>
      </c>
      <c r="B16806" s="4" t="n">
        <v>45260</v>
      </c>
      <c r="C16806" s="3" t="inlineStr">
        <is>
          <t>Expenses</t>
        </is>
      </c>
      <c r="D16806" s="3" t="inlineStr">
        <is>
          <t>3220/000</t>
        </is>
      </c>
      <c r="E16806" s="3" t="inlineStr">
        <is>
          <t>Bank Charges - Bond Fees</t>
        </is>
      </c>
      <c r="F16806" s="3" t="n">
        <v>0</v>
      </c>
      <c r="G16806" s="3" t="n">
        <v>8939.280000000001</v>
      </c>
    </row>
    <row r="16807">
      <c r="A16807" s="3" t="inlineStr">
        <is>
          <t>Noble Shield (Pty) Ltd ta Go Letting</t>
        </is>
      </c>
      <c r="B16807" s="4" t="n">
        <v>45260</v>
      </c>
      <c r="C16807" s="3" t="inlineStr">
        <is>
          <t>Expenses</t>
        </is>
      </c>
      <c r="D16807" s="3" t="inlineStr">
        <is>
          <t>3230/000</t>
        </is>
      </c>
      <c r="E16807" s="3" t="inlineStr">
        <is>
          <t>Cell Phone - NM</t>
        </is>
      </c>
      <c r="F16807" s="3" t="n">
        <v>2276.34</v>
      </c>
      <c r="G16807" s="3" t="n">
        <v>6829.83</v>
      </c>
    </row>
    <row r="16808">
      <c r="A16808" s="3" t="inlineStr">
        <is>
          <t>Noble Shield (Pty) Ltd ta Go Letting</t>
        </is>
      </c>
      <c r="B16808" s="4" t="n">
        <v>45260</v>
      </c>
      <c r="C16808" s="3" t="inlineStr">
        <is>
          <t>Expenses</t>
        </is>
      </c>
      <c r="D16808" s="3" t="inlineStr">
        <is>
          <t>3233/000</t>
        </is>
      </c>
      <c r="E16808" s="3" t="inlineStr">
        <is>
          <t>Cell Data - Other</t>
        </is>
      </c>
      <c r="F16808" s="3" t="n">
        <v>173.04</v>
      </c>
      <c r="G16808" s="3" t="n">
        <v>372.04</v>
      </c>
    </row>
    <row r="16809">
      <c r="A16809" s="3" t="inlineStr">
        <is>
          <t>Noble Shield (Pty) Ltd ta Go Letting</t>
        </is>
      </c>
      <c r="B16809" s="4" t="n">
        <v>45260</v>
      </c>
      <c r="C16809" s="3" t="inlineStr">
        <is>
          <t>Expenses</t>
        </is>
      </c>
      <c r="D16809" s="3" t="inlineStr">
        <is>
          <t>3233/100</t>
        </is>
      </c>
      <c r="E16809" s="3" t="inlineStr">
        <is>
          <t>Cell Data - Sales office Wifi</t>
        </is>
      </c>
      <c r="F16809" s="3" t="n">
        <v>273.91</v>
      </c>
      <c r="G16809" s="3" t="n">
        <v>1242.91</v>
      </c>
    </row>
    <row r="16810">
      <c r="A16810" s="3" t="inlineStr">
        <is>
          <t>Opportunity Global Investment (PTY) LTD</t>
        </is>
      </c>
      <c r="B16810" s="4" t="n">
        <v>45260</v>
      </c>
      <c r="C16810" s="3" t="inlineStr">
        <is>
          <t>Expenses</t>
        </is>
      </c>
      <c r="D16810" s="3" t="inlineStr">
        <is>
          <t>3250/000</t>
        </is>
      </c>
      <c r="E16810" s="3" t="inlineStr">
        <is>
          <t>Cleaning</t>
        </is>
      </c>
      <c r="F16810" s="3" t="n">
        <v>2700</v>
      </c>
      <c r="G16810" s="3" t="n">
        <v>24300</v>
      </c>
    </row>
    <row r="16811">
      <c r="A16811" s="3" t="inlineStr">
        <is>
          <t>Opportunity Global Sales (PTY) LTD</t>
        </is>
      </c>
      <c r="B16811" s="4" t="n">
        <v>45260</v>
      </c>
      <c r="C16811" s="3" t="inlineStr">
        <is>
          <t>Expenses</t>
        </is>
      </c>
      <c r="D16811" s="3" t="inlineStr">
        <is>
          <t>3250/000</t>
        </is>
      </c>
      <c r="E16811" s="3" t="inlineStr">
        <is>
          <t>Cleaning</t>
        </is>
      </c>
      <c r="F16811" s="3" t="n">
        <v>0</v>
      </c>
      <c r="G16811" s="3" t="n">
        <v>6000</v>
      </c>
    </row>
    <row r="16812">
      <c r="A16812" s="3" t="inlineStr">
        <is>
          <t>Opportunity Management Holdings (PTY) LTD</t>
        </is>
      </c>
      <c r="B16812" s="4" t="n">
        <v>45260</v>
      </c>
      <c r="C16812" s="3" t="inlineStr">
        <is>
          <t>Expenses</t>
        </is>
      </c>
      <c r="D16812" s="3" t="inlineStr">
        <is>
          <t>3250/000</t>
        </is>
      </c>
      <c r="E16812" s="3" t="inlineStr">
        <is>
          <t>Cleaning</t>
        </is>
      </c>
      <c r="F16812" s="3" t="n">
        <v>2400</v>
      </c>
      <c r="G16812" s="3" t="n">
        <v>8880.76</v>
      </c>
    </row>
    <row r="16813">
      <c r="A16813" s="3" t="inlineStr">
        <is>
          <t>Trademark Holdings (Pty) Ltd</t>
        </is>
      </c>
      <c r="B16813" s="4" t="n">
        <v>45260</v>
      </c>
      <c r="C16813" s="3" t="inlineStr">
        <is>
          <t>Expenses</t>
        </is>
      </c>
      <c r="D16813" s="3" t="inlineStr">
        <is>
          <t>3250/000</t>
        </is>
      </c>
      <c r="E16813" s="3" t="inlineStr">
        <is>
          <t>Cleaning</t>
        </is>
      </c>
      <c r="F16813" s="3" t="n">
        <v>1144</v>
      </c>
      <c r="G16813" s="3" t="n">
        <v>3432</v>
      </c>
    </row>
    <row r="16814">
      <c r="A16814" s="3" t="inlineStr">
        <is>
          <t>Opportunity Global Investment (PTY) LTD</t>
        </is>
      </c>
      <c r="B16814" s="4" t="n">
        <v>45260</v>
      </c>
      <c r="C16814" s="3" t="inlineStr">
        <is>
          <t>Expenses</t>
        </is>
      </c>
      <c r="D16814" s="3" t="inlineStr">
        <is>
          <t>3300/000</t>
        </is>
      </c>
      <c r="E16814" s="3" t="inlineStr">
        <is>
          <t>Computer Expenses</t>
        </is>
      </c>
      <c r="F16814" s="3" t="n">
        <v>0</v>
      </c>
      <c r="G16814" s="3" t="n">
        <v>1657.83</v>
      </c>
    </row>
    <row r="16815">
      <c r="A16815" s="3" t="inlineStr">
        <is>
          <t>Opportunity Management Holdings (PTY) LTD</t>
        </is>
      </c>
      <c r="B16815" s="4" t="n">
        <v>45260</v>
      </c>
      <c r="C16815" s="3" t="inlineStr">
        <is>
          <t>Expenses</t>
        </is>
      </c>
      <c r="D16815" s="3" t="inlineStr">
        <is>
          <t>3300/000</t>
        </is>
      </c>
      <c r="E16815" s="3" t="inlineStr">
        <is>
          <t>Computer Expenses</t>
        </is>
      </c>
      <c r="F16815" s="3" t="n">
        <v>0</v>
      </c>
      <c r="G16815" s="3" t="n">
        <v>1153.91</v>
      </c>
    </row>
    <row r="16816">
      <c r="A16816" s="3" t="inlineStr">
        <is>
          <t>Noble Shield (Pty) Ltd ta Go Letting</t>
        </is>
      </c>
      <c r="B16816" s="4" t="n">
        <v>45260</v>
      </c>
      <c r="C16816" s="3" t="inlineStr">
        <is>
          <t>Expenses</t>
        </is>
      </c>
      <c r="D16816" s="3" t="inlineStr">
        <is>
          <t>3300/120</t>
        </is>
      </c>
      <c r="E16816" s="3" t="inlineStr">
        <is>
          <t>Computer IT - Software Propworx</t>
        </is>
      </c>
      <c r="F16816" s="3" t="n">
        <v>2576</v>
      </c>
      <c r="G16816" s="3" t="n">
        <v>7728</v>
      </c>
    </row>
    <row r="16817">
      <c r="A16817" s="3" t="inlineStr">
        <is>
          <t>Noble Shield (Pty) Ltd ta Go Letting</t>
        </is>
      </c>
      <c r="B16817" s="4" t="n">
        <v>45260</v>
      </c>
      <c r="C16817" s="3" t="inlineStr">
        <is>
          <t>Expenses</t>
        </is>
      </c>
      <c r="D16817" s="3" t="inlineStr">
        <is>
          <t>3300/170</t>
        </is>
      </c>
      <c r="E16817" s="3" t="inlineStr">
        <is>
          <t>Computer IT - VDB office Fibre</t>
        </is>
      </c>
      <c r="F16817" s="3" t="n">
        <v>0</v>
      </c>
      <c r="G16817" s="3" t="n">
        <v>1580</v>
      </c>
    </row>
    <row r="16818">
      <c r="A16818" s="3" t="inlineStr">
        <is>
          <t>Trademark Holdings (Pty) Ltd</t>
        </is>
      </c>
      <c r="B16818" s="4" t="n">
        <v>45260</v>
      </c>
      <c r="C16818" s="3" t="inlineStr">
        <is>
          <t>Expenses</t>
        </is>
      </c>
      <c r="D16818" s="3" t="inlineStr">
        <is>
          <t>3350/000</t>
        </is>
      </c>
      <c r="E16818" s="3" t="inlineStr">
        <is>
          <t>Consulting Fees</t>
        </is>
      </c>
      <c r="F16818" s="3" t="n">
        <v>22000</v>
      </c>
      <c r="G16818" s="3" t="n">
        <v>66400</v>
      </c>
    </row>
    <row r="16819">
      <c r="A16819" s="3" t="inlineStr">
        <is>
          <t>Opportunity Management Holdings (PTY) LTD</t>
        </is>
      </c>
      <c r="B16819" s="4" t="n">
        <v>45260</v>
      </c>
      <c r="C16819" s="3" t="inlineStr">
        <is>
          <t>Expenses</t>
        </is>
      </c>
      <c r="D16819" s="3" t="inlineStr">
        <is>
          <t>3350/100</t>
        </is>
      </c>
      <c r="E16819" s="3" t="inlineStr">
        <is>
          <t>Consulting Fee - Dirk Coetzee</t>
        </is>
      </c>
      <c r="F16819" s="3" t="n">
        <v>17000</v>
      </c>
      <c r="G16819" s="3" t="n">
        <v>51000</v>
      </c>
    </row>
    <row r="16820">
      <c r="A16820" s="3" t="inlineStr">
        <is>
          <t>Endulini (Pty) Ltd</t>
        </is>
      </c>
      <c r="B16820" s="4" t="n">
        <v>45260</v>
      </c>
      <c r="C16820" s="3" t="inlineStr">
        <is>
          <t>Expenses</t>
        </is>
      </c>
      <c r="D16820" s="3" t="inlineStr">
        <is>
          <t>3350/100</t>
        </is>
      </c>
      <c r="E16820" s="3" t="inlineStr">
        <is>
          <t>Consulting Fees - Admin and Finance</t>
        </is>
      </c>
      <c r="F16820" s="3" t="n">
        <v>40380</v>
      </c>
      <c r="G16820" s="3" t="n">
        <v>394317.57</v>
      </c>
    </row>
    <row r="16821">
      <c r="A16821" s="3" t="inlineStr">
        <is>
          <t>Opportunity Global Investment (PTY) LTD</t>
        </is>
      </c>
      <c r="B16821" s="4" t="n">
        <v>45260</v>
      </c>
      <c r="C16821" s="3" t="inlineStr">
        <is>
          <t>Expenses</t>
        </is>
      </c>
      <c r="D16821" s="3" t="inlineStr">
        <is>
          <t>3350/100</t>
        </is>
      </c>
      <c r="E16821" s="3" t="inlineStr">
        <is>
          <t>Consulting Fees - Admin and Finance</t>
        </is>
      </c>
      <c r="F16821" s="3" t="n">
        <v>11955</v>
      </c>
      <c r="G16821" s="3" t="n">
        <v>134754.06</v>
      </c>
    </row>
    <row r="16822">
      <c r="A16822" s="3" t="inlineStr">
        <is>
          <t>Opportunity Global Sales (PTY) LTD</t>
        </is>
      </c>
      <c r="B16822" s="4" t="n">
        <v>45260</v>
      </c>
      <c r="C16822" s="3" t="inlineStr">
        <is>
          <t>Expenses</t>
        </is>
      </c>
      <c r="D16822" s="3" t="inlineStr">
        <is>
          <t>3350/100</t>
        </is>
      </c>
      <c r="E16822" s="3" t="inlineStr">
        <is>
          <t>Consulting Fees - Admin and Finance</t>
        </is>
      </c>
      <c r="F16822" s="3" t="n">
        <v>10355</v>
      </c>
      <c r="G16822" s="3" t="n">
        <v>129017</v>
      </c>
    </row>
    <row r="16823">
      <c r="A16823" s="3" t="inlineStr">
        <is>
          <t>Opportunity Global Sales (PTY) LTD</t>
        </is>
      </c>
      <c r="B16823" s="4" t="n">
        <v>45260</v>
      </c>
      <c r="C16823" s="3" t="inlineStr">
        <is>
          <t>Expenses</t>
        </is>
      </c>
      <c r="D16823" s="3" t="inlineStr">
        <is>
          <t>3350/200</t>
        </is>
      </c>
      <c r="E16823" s="3" t="inlineStr">
        <is>
          <t>Consulting Fees - Agent Karien Muller</t>
        </is>
      </c>
      <c r="F16823" s="3" t="n">
        <v>0</v>
      </c>
      <c r="G16823" s="3" t="n">
        <v>10000</v>
      </c>
    </row>
    <row r="16824">
      <c r="A16824" s="3" t="inlineStr">
        <is>
          <t>Opportunity Global Investment (PTY) LTD</t>
        </is>
      </c>
      <c r="B16824" s="4" t="n">
        <v>45260</v>
      </c>
      <c r="C16824" s="3" t="inlineStr">
        <is>
          <t>Expenses</t>
        </is>
      </c>
      <c r="D16824" s="3" t="inlineStr">
        <is>
          <t>3350/200</t>
        </is>
      </c>
      <c r="E16824" s="3" t="inlineStr">
        <is>
          <t>Consulting Fees - Rockfin</t>
        </is>
      </c>
      <c r="F16824" s="3" t="n">
        <v>0</v>
      </c>
      <c r="G16824" s="3" t="n">
        <v>90000</v>
      </c>
    </row>
    <row r="16825">
      <c r="A16825" s="3" t="inlineStr">
        <is>
          <t>Opportunity Management Holdings (PTY) LTD</t>
        </is>
      </c>
      <c r="B16825" s="4" t="n">
        <v>45260</v>
      </c>
      <c r="C16825" s="3" t="inlineStr">
        <is>
          <t>Expenses</t>
        </is>
      </c>
      <c r="D16825" s="3" t="inlineStr">
        <is>
          <t>3350/300</t>
        </is>
      </c>
      <c r="E16825" s="3" t="inlineStr">
        <is>
          <t>Consulting Fee - HR Joblaw</t>
        </is>
      </c>
      <c r="F16825" s="3" t="n">
        <v>1600.83</v>
      </c>
      <c r="G16825" s="3" t="n">
        <v>4802.49</v>
      </c>
    </row>
    <row r="16826">
      <c r="A16826" s="3" t="inlineStr">
        <is>
          <t>Quinate Consulting (Pty) Ltd</t>
        </is>
      </c>
      <c r="B16826" s="4" t="n">
        <v>45260</v>
      </c>
      <c r="C16826" s="3" t="inlineStr">
        <is>
          <t>Expenses</t>
        </is>
      </c>
      <c r="D16826" s="3" t="inlineStr">
        <is>
          <t>3350/300</t>
        </is>
      </c>
      <c r="E16826" s="3" t="inlineStr">
        <is>
          <t>Consulting Fees - Admin and Finance</t>
        </is>
      </c>
      <c r="F16826" s="3" t="n">
        <v>26000</v>
      </c>
      <c r="G16826" s="3" t="n">
        <v>58025</v>
      </c>
    </row>
    <row r="16827">
      <c r="A16827" s="3" t="inlineStr">
        <is>
          <t>Opportunity Global Investment (PTY) LTD</t>
        </is>
      </c>
      <c r="B16827" s="4" t="n">
        <v>45260</v>
      </c>
      <c r="C16827" s="3" t="inlineStr">
        <is>
          <t>Expenses</t>
        </is>
      </c>
      <c r="D16827" s="3" t="inlineStr">
        <is>
          <t>3350/300</t>
        </is>
      </c>
      <c r="E16827" s="3" t="inlineStr">
        <is>
          <t>Consulting Fees - BLCS</t>
        </is>
      </c>
      <c r="F16827" s="3" t="n">
        <v>4000</v>
      </c>
      <c r="G16827" s="3" t="n">
        <v>22000</v>
      </c>
    </row>
    <row r="16828">
      <c r="A16828" s="3" t="inlineStr">
        <is>
          <t>Opportunity Global Investment (PTY) LTD</t>
        </is>
      </c>
      <c r="B16828" s="4" t="n">
        <v>45260</v>
      </c>
      <c r="C16828" s="3" t="inlineStr">
        <is>
          <t>Expenses</t>
        </is>
      </c>
      <c r="D16828" s="3" t="inlineStr">
        <is>
          <t>3350/400</t>
        </is>
      </c>
      <c r="E16828" s="3" t="inlineStr">
        <is>
          <t>Consulting Fees: Solaris Law</t>
        </is>
      </c>
      <c r="F16828" s="3" t="n">
        <v>0</v>
      </c>
      <c r="G16828" s="3" t="n">
        <v>45875</v>
      </c>
    </row>
    <row r="16829">
      <c r="A16829" s="3" t="inlineStr">
        <is>
          <t>Quinate Consulting (Pty) Ltd</t>
        </is>
      </c>
      <c r="B16829" s="4" t="n">
        <v>45260</v>
      </c>
      <c r="C16829" s="3" t="inlineStr">
        <is>
          <t>Expenses</t>
        </is>
      </c>
      <c r="D16829" s="3" t="inlineStr">
        <is>
          <t>3351/000</t>
        </is>
      </c>
      <c r="E16829" s="3" t="inlineStr">
        <is>
          <t>Consulting fees - Trustees</t>
        </is>
      </c>
      <c r="F16829" s="3" t="n">
        <v>8400</v>
      </c>
      <c r="G16829" s="3" t="n">
        <v>74800</v>
      </c>
    </row>
    <row r="16830">
      <c r="A16830" s="3" t="inlineStr">
        <is>
          <t>Opportunity Global Investment (PTY) LTD</t>
        </is>
      </c>
      <c r="B16830" s="4" t="n">
        <v>45260</v>
      </c>
      <c r="C16830" s="3" t="inlineStr">
        <is>
          <t>Expenses</t>
        </is>
      </c>
      <c r="D16830" s="3" t="inlineStr">
        <is>
          <t>3354/000</t>
        </is>
      </c>
      <c r="E16830" s="3" t="inlineStr">
        <is>
          <t>Consulting Fees - Karien Muller</t>
        </is>
      </c>
      <c r="F16830" s="3" t="n">
        <v>0</v>
      </c>
      <c r="G16830" s="3" t="n">
        <v>12500</v>
      </c>
    </row>
    <row r="16831">
      <c r="A16831" s="3" t="inlineStr">
        <is>
          <t>Opportunity Management Holdings (PTY) LTD</t>
        </is>
      </c>
      <c r="B16831" s="4" t="n">
        <v>45260</v>
      </c>
      <c r="C16831" s="3" t="inlineStr">
        <is>
          <t>Expenses</t>
        </is>
      </c>
      <c r="D16831" s="3" t="inlineStr">
        <is>
          <t>3400/000</t>
        </is>
      </c>
      <c r="E16831" s="3" t="inlineStr">
        <is>
          <t>Courier _AND_ Postage</t>
        </is>
      </c>
      <c r="F16831" s="3" t="n">
        <v>0</v>
      </c>
      <c r="G16831" s="3" t="n">
        <v>664.3200000000001</v>
      </c>
    </row>
    <row r="16832">
      <c r="A16832" s="3" t="inlineStr">
        <is>
          <t>Quinate Consulting (Pty) Ltd</t>
        </is>
      </c>
      <c r="B16832" s="4" t="n">
        <v>45260</v>
      </c>
      <c r="C16832" s="3" t="inlineStr">
        <is>
          <t>Expenses</t>
        </is>
      </c>
      <c r="D16832" s="3" t="inlineStr">
        <is>
          <t>3450/001</t>
        </is>
      </c>
      <c r="E16832" s="3" t="inlineStr">
        <is>
          <t>Depreciation - Computer Equipment</t>
        </is>
      </c>
      <c r="F16832" s="3" t="n">
        <v>2331.67</v>
      </c>
      <c r="G16832" s="3" t="n">
        <v>20984.93</v>
      </c>
    </row>
    <row r="16833">
      <c r="A16833" s="3" t="inlineStr">
        <is>
          <t>Opportunity Global Investment (PTY) LTD</t>
        </is>
      </c>
      <c r="B16833" s="4" t="n">
        <v>45260</v>
      </c>
      <c r="C16833" s="3" t="inlineStr">
        <is>
          <t>Expenses</t>
        </is>
      </c>
      <c r="D16833" s="3" t="inlineStr">
        <is>
          <t>3450/001</t>
        </is>
      </c>
      <c r="E16833" s="3" t="inlineStr">
        <is>
          <t>Depreciation - Computer equipment</t>
        </is>
      </c>
      <c r="F16833" s="3" t="n">
        <v>880.08</v>
      </c>
      <c r="G16833" s="3" t="n">
        <v>7920.76</v>
      </c>
    </row>
    <row r="16834">
      <c r="A16834" s="3" t="inlineStr">
        <is>
          <t>Quinate Consulting (Pty) Ltd</t>
        </is>
      </c>
      <c r="B16834" s="4" t="n">
        <v>45260</v>
      </c>
      <c r="C16834" s="3" t="inlineStr">
        <is>
          <t>Expenses</t>
        </is>
      </c>
      <c r="D16834" s="3" t="inlineStr">
        <is>
          <t>3450/002</t>
        </is>
      </c>
      <c r="E16834" s="3" t="inlineStr">
        <is>
          <t>Depreciation - Site Containers</t>
        </is>
      </c>
      <c r="F16834" s="3" t="n">
        <v>318.84</v>
      </c>
      <c r="G16834" s="3" t="n">
        <v>2869.56</v>
      </c>
    </row>
    <row r="16835">
      <c r="A16835" s="3" t="inlineStr">
        <is>
          <t>Opportunity Global Sales (PTY) LTD</t>
        </is>
      </c>
      <c r="B16835" s="4" t="n">
        <v>45260</v>
      </c>
      <c r="C16835" s="3" t="inlineStr">
        <is>
          <t>Expenses</t>
        </is>
      </c>
      <c r="D16835" s="3" t="inlineStr">
        <is>
          <t>3450/030</t>
        </is>
      </c>
      <c r="E16835" s="3" t="inlineStr">
        <is>
          <t>Depreciation - Furniture and Fittings</t>
        </is>
      </c>
      <c r="F16835" s="3" t="n">
        <v>408.05</v>
      </c>
      <c r="G16835" s="3" t="n">
        <v>3672.46</v>
      </c>
    </row>
    <row r="16836">
      <c r="A16836" s="3" t="inlineStr">
        <is>
          <t>Opportunity Management Holdings (PTY) LTD</t>
        </is>
      </c>
      <c r="B16836" s="4" t="n">
        <v>45260</v>
      </c>
      <c r="C16836" s="3" t="inlineStr">
        <is>
          <t>Expenses</t>
        </is>
      </c>
      <c r="D16836" s="3" t="inlineStr">
        <is>
          <t>3451/000</t>
        </is>
      </c>
      <c r="E16836" s="3" t="inlineStr">
        <is>
          <t>Depreciation - Computer Equipment</t>
        </is>
      </c>
      <c r="F16836" s="3" t="n">
        <v>1035.18</v>
      </c>
      <c r="G16836" s="3" t="n">
        <v>3105.54</v>
      </c>
    </row>
    <row r="16837">
      <c r="A16837" s="3" t="inlineStr">
        <is>
          <t>Quinate Consulting (Pty) Ltd</t>
        </is>
      </c>
      <c r="B16837" s="4" t="n">
        <v>45260</v>
      </c>
      <c r="C16837" s="3" t="inlineStr">
        <is>
          <t>Expenses</t>
        </is>
      </c>
      <c r="D16837" s="3" t="inlineStr">
        <is>
          <t>3600/000</t>
        </is>
      </c>
      <c r="E16837" s="3" t="inlineStr">
        <is>
          <t>Donations</t>
        </is>
      </c>
      <c r="F16837" s="3" t="n">
        <v>572.45</v>
      </c>
      <c r="G16837" s="3" t="n">
        <v>5152.05</v>
      </c>
    </row>
    <row r="16838">
      <c r="A16838" s="3" t="inlineStr">
        <is>
          <t>Opportunity Global Investment (PTY) LTD</t>
        </is>
      </c>
      <c r="B16838" s="4" t="n">
        <v>45260</v>
      </c>
      <c r="C16838" s="3" t="inlineStr">
        <is>
          <t>Expenses</t>
        </is>
      </c>
      <c r="D16838" s="3" t="inlineStr">
        <is>
          <t>3650/000</t>
        </is>
      </c>
      <c r="E16838" s="3" t="inlineStr">
        <is>
          <t>Electricity _AND_ Water</t>
        </is>
      </c>
      <c r="F16838" s="3" t="n">
        <v>2950</v>
      </c>
      <c r="G16838" s="3" t="n">
        <v>26550</v>
      </c>
    </row>
    <row r="16839">
      <c r="A16839" s="3" t="inlineStr">
        <is>
          <t>Noble Shield (Pty) Ltd ta Go Letting</t>
        </is>
      </c>
      <c r="B16839" s="4" t="n">
        <v>45260</v>
      </c>
      <c r="C16839" s="3" t="inlineStr">
        <is>
          <t>Expenses</t>
        </is>
      </c>
      <c r="D16839" s="3" t="inlineStr">
        <is>
          <t>3651/000</t>
        </is>
      </c>
      <c r="E16839" s="3" t="inlineStr">
        <is>
          <t>Electricity _AND_ Water - Rentals</t>
        </is>
      </c>
      <c r="F16839" s="3" t="n">
        <v>0</v>
      </c>
      <c r="G16839" s="3" t="n">
        <v>1000</v>
      </c>
    </row>
    <row r="16840">
      <c r="A16840" s="3" t="inlineStr">
        <is>
          <t>Quinate Consulting (Pty) Ltd</t>
        </is>
      </c>
      <c r="B16840" s="4" t="n">
        <v>45260</v>
      </c>
      <c r="C16840" s="3" t="inlineStr">
        <is>
          <t>Expenses</t>
        </is>
      </c>
      <c r="D16840" s="3" t="inlineStr">
        <is>
          <t>3651/000</t>
        </is>
      </c>
      <c r="E16840" s="3" t="inlineStr">
        <is>
          <t>Electricity _AND_ Water - Southwark</t>
        </is>
      </c>
      <c r="F16840" s="3" t="n">
        <v>22487.87</v>
      </c>
      <c r="G16840" s="3" t="n">
        <v>253753.57</v>
      </c>
    </row>
    <row r="16841">
      <c r="A16841" s="3" t="inlineStr">
        <is>
          <t>Quinate Consulting (Pty) Ltd</t>
        </is>
      </c>
      <c r="B16841" s="4" t="n">
        <v>45260</v>
      </c>
      <c r="C16841" s="3" t="inlineStr">
        <is>
          <t>Expenses</t>
        </is>
      </c>
      <c r="D16841" s="3" t="inlineStr">
        <is>
          <t>3652/000</t>
        </is>
      </c>
      <c r="E16841" s="3" t="inlineStr">
        <is>
          <t>Electricity _AND_ Water - Soho</t>
        </is>
      </c>
      <c r="F16841" s="3" t="n">
        <v>23930.21</v>
      </c>
      <c r="G16841" s="3" t="n">
        <v>252058.68</v>
      </c>
    </row>
    <row r="16842">
      <c r="A16842" s="3" t="inlineStr">
        <is>
          <t>Quinate Consulting (Pty) Ltd</t>
        </is>
      </c>
      <c r="B16842" s="4" t="n">
        <v>45260</v>
      </c>
      <c r="C16842" s="3" t="inlineStr">
        <is>
          <t>Expenses</t>
        </is>
      </c>
      <c r="D16842" s="3" t="inlineStr">
        <is>
          <t>3653/000</t>
        </is>
      </c>
      <c r="E16842" s="3" t="inlineStr">
        <is>
          <t>Electricity _AND_ Water - Endulini</t>
        </is>
      </c>
      <c r="F16842" s="3" t="n">
        <v>381.31</v>
      </c>
      <c r="G16842" s="3" t="n">
        <v>-2351.12</v>
      </c>
    </row>
    <row r="16843">
      <c r="A16843" s="3" t="inlineStr">
        <is>
          <t>Opportunity Global Investment (PTY) LTD</t>
        </is>
      </c>
      <c r="B16843" s="4" t="n">
        <v>45260</v>
      </c>
      <c r="C16843" s="3" t="inlineStr">
        <is>
          <t>Expenses</t>
        </is>
      </c>
      <c r="D16843" s="3" t="inlineStr">
        <is>
          <t>3700/000</t>
        </is>
      </c>
      <c r="E16843" s="3" t="inlineStr">
        <is>
          <t>Entertainment Expenses</t>
        </is>
      </c>
      <c r="F16843" s="3" t="n">
        <v>1291.09</v>
      </c>
      <c r="G16843" s="3" t="n">
        <v>5785.81</v>
      </c>
    </row>
    <row r="16844">
      <c r="A16844" s="3" t="inlineStr">
        <is>
          <t>Opportunity Global Sales (PTY) LTD</t>
        </is>
      </c>
      <c r="B16844" s="4" t="n">
        <v>45260</v>
      </c>
      <c r="C16844" s="3" t="inlineStr">
        <is>
          <t>Expenses</t>
        </is>
      </c>
      <c r="D16844" s="3" t="inlineStr">
        <is>
          <t>3700/000</t>
        </is>
      </c>
      <c r="E16844" s="3" t="inlineStr">
        <is>
          <t>Entertainment Expenses</t>
        </is>
      </c>
      <c r="F16844" s="3" t="n">
        <v>0</v>
      </c>
      <c r="G16844" s="3" t="n">
        <v>2280</v>
      </c>
    </row>
    <row r="16845">
      <c r="A16845" s="3" t="inlineStr">
        <is>
          <t>Opportunity Management Holdings (PTY) LTD</t>
        </is>
      </c>
      <c r="B16845" s="4" t="n">
        <v>45260</v>
      </c>
      <c r="C16845" s="3" t="inlineStr">
        <is>
          <t>Expenses</t>
        </is>
      </c>
      <c r="D16845" s="3" t="inlineStr">
        <is>
          <t>3700/000</t>
        </is>
      </c>
      <c r="E16845" s="3" t="inlineStr">
        <is>
          <t>Entertainment Expenses</t>
        </is>
      </c>
      <c r="F16845" s="3" t="n">
        <v>0</v>
      </c>
      <c r="G16845" s="3" t="n">
        <v>45</v>
      </c>
    </row>
    <row r="16846">
      <c r="A16846" s="3" t="inlineStr">
        <is>
          <t>Quinate Consulting (Pty) Ltd</t>
        </is>
      </c>
      <c r="B16846" s="4" t="n">
        <v>45260</v>
      </c>
      <c r="C16846" s="3" t="inlineStr">
        <is>
          <t>Expenses</t>
        </is>
      </c>
      <c r="D16846" s="3" t="inlineStr">
        <is>
          <t>3700/000</t>
        </is>
      </c>
      <c r="E16846" s="3" t="inlineStr">
        <is>
          <t>Entertainment Expenses</t>
        </is>
      </c>
      <c r="F16846" s="3" t="n">
        <v>0</v>
      </c>
      <c r="G16846" s="3" t="n">
        <v>11745.05</v>
      </c>
    </row>
    <row r="16847">
      <c r="A16847" s="3" t="inlineStr">
        <is>
          <t>Opportunity Management Holdings (PTY) LTD</t>
        </is>
      </c>
      <c r="B16847" s="4" t="n">
        <v>45260</v>
      </c>
      <c r="C16847" s="3" t="inlineStr">
        <is>
          <t>Expenses</t>
        </is>
      </c>
      <c r="D16847" s="3" t="inlineStr">
        <is>
          <t>3800/000</t>
        </is>
      </c>
      <c r="E16847" s="3" t="inlineStr">
        <is>
          <t>General Expenses</t>
        </is>
      </c>
      <c r="F16847" s="3" t="n">
        <v>0</v>
      </c>
      <c r="G16847" s="3" t="n">
        <v>418.94</v>
      </c>
    </row>
    <row r="16848">
      <c r="A16848" s="3" t="inlineStr">
        <is>
          <t>Opportunity Global Investment (PTY) LTD</t>
        </is>
      </c>
      <c r="B16848" s="4" t="n">
        <v>45260</v>
      </c>
      <c r="C16848" s="3" t="inlineStr">
        <is>
          <t>Expenses</t>
        </is>
      </c>
      <c r="D16848" s="3" t="inlineStr">
        <is>
          <t>3800/010</t>
        </is>
      </c>
      <c r="E16848" s="3" t="inlineStr">
        <is>
          <t>General Expences - Gifts</t>
        </is>
      </c>
      <c r="F16848" s="3" t="n">
        <v>0</v>
      </c>
      <c r="G16848" s="3" t="n">
        <v>5651.3</v>
      </c>
    </row>
    <row r="16849">
      <c r="A16849" s="3" t="inlineStr">
        <is>
          <t>Opportunity Global Sales (PTY) LTD</t>
        </is>
      </c>
      <c r="B16849" s="4" t="n">
        <v>45260</v>
      </c>
      <c r="C16849" s="3" t="inlineStr">
        <is>
          <t>Expenses</t>
        </is>
      </c>
      <c r="D16849" s="3" t="inlineStr">
        <is>
          <t>3800/010</t>
        </is>
      </c>
      <c r="E16849" s="3" t="inlineStr">
        <is>
          <t>General Expences - Gifts</t>
        </is>
      </c>
      <c r="F16849" s="3" t="n">
        <v>989.9</v>
      </c>
      <c r="G16849" s="3" t="n">
        <v>1719.75</v>
      </c>
    </row>
    <row r="16850">
      <c r="A16850" s="3" t="inlineStr">
        <is>
          <t>Opportunity Management Holdings (PTY) LTD</t>
        </is>
      </c>
      <c r="B16850" s="4" t="n">
        <v>45260</v>
      </c>
      <c r="C16850" s="3" t="inlineStr">
        <is>
          <t>Expenses</t>
        </is>
      </c>
      <c r="D16850" s="3" t="inlineStr">
        <is>
          <t>3800/010</t>
        </is>
      </c>
      <c r="E16850" s="3" t="inlineStr">
        <is>
          <t>General Expenses - Gifts</t>
        </is>
      </c>
      <c r="F16850" s="3" t="n">
        <v>0</v>
      </c>
      <c r="G16850" s="3" t="n">
        <v>808.5700000000001</v>
      </c>
    </row>
    <row r="16851">
      <c r="A16851" s="3" t="inlineStr">
        <is>
          <t>Opportunity Management Holdings (PTY) LTD</t>
        </is>
      </c>
      <c r="B16851" s="4" t="n">
        <v>45260</v>
      </c>
      <c r="C16851" s="3" t="inlineStr">
        <is>
          <t>Expenses</t>
        </is>
      </c>
      <c r="D16851" s="3" t="inlineStr">
        <is>
          <t>3800/030</t>
        </is>
      </c>
      <c r="E16851" s="3" t="inlineStr">
        <is>
          <t>General Expenses: Showhouse Heron View</t>
        </is>
      </c>
      <c r="F16851" s="3" t="n">
        <v>0</v>
      </c>
      <c r="G16851" s="3" t="n">
        <v>987.72</v>
      </c>
    </row>
    <row r="16852">
      <c r="A16852" s="3" t="inlineStr">
        <is>
          <t>Opportunity Management Holdings (PTY) LTD</t>
        </is>
      </c>
      <c r="B16852" s="4" t="n">
        <v>45260</v>
      </c>
      <c r="C16852" s="3" t="inlineStr">
        <is>
          <t>Expenses</t>
        </is>
      </c>
      <c r="D16852" s="3" t="inlineStr">
        <is>
          <t>3850/000</t>
        </is>
      </c>
      <c r="E16852" s="3" t="inlineStr">
        <is>
          <t>Insurance - Momentum</t>
        </is>
      </c>
      <c r="F16852" s="3" t="n">
        <v>1696.06</v>
      </c>
      <c r="G16852" s="3" t="n">
        <v>5088.18</v>
      </c>
    </row>
    <row r="16853">
      <c r="A16853" s="3" t="inlineStr">
        <is>
          <t>Noble Shield (Pty) Ltd ta Go Letting</t>
        </is>
      </c>
      <c r="B16853" s="4" t="n">
        <v>45260</v>
      </c>
      <c r="C16853" s="3" t="inlineStr">
        <is>
          <t>Expenses</t>
        </is>
      </c>
      <c r="D16853" s="3" t="inlineStr">
        <is>
          <t>3850/100</t>
        </is>
      </c>
      <c r="E16853" s="3" t="inlineStr">
        <is>
          <t>Insurance - Santam</t>
        </is>
      </c>
      <c r="F16853" s="3" t="n">
        <v>4249.41</v>
      </c>
      <c r="G16853" s="3" t="n">
        <v>12748.23</v>
      </c>
    </row>
    <row r="16854">
      <c r="A16854" s="3" t="inlineStr">
        <is>
          <t>Noble Shield (Pty) Ltd ta Go Letting</t>
        </is>
      </c>
      <c r="B16854" s="4" t="n">
        <v>45260</v>
      </c>
      <c r="C16854" s="3" t="inlineStr">
        <is>
          <t>Expenses</t>
        </is>
      </c>
      <c r="D16854" s="3" t="inlineStr">
        <is>
          <t>3850/200</t>
        </is>
      </c>
      <c r="E16854" s="3" t="inlineStr">
        <is>
          <t>Insurance - A_AND_G</t>
        </is>
      </c>
      <c r="F16854" s="3" t="n">
        <v>2244.46</v>
      </c>
      <c r="G16854" s="3" t="n">
        <v>6733.38</v>
      </c>
    </row>
    <row r="16855">
      <c r="A16855" s="3" t="inlineStr">
        <is>
          <t>Quinate Consulting (Pty) Ltd</t>
        </is>
      </c>
      <c r="B16855" s="4" t="n">
        <v>45260</v>
      </c>
      <c r="C16855" s="3" t="inlineStr">
        <is>
          <t>Expenses</t>
        </is>
      </c>
      <c r="D16855" s="3" t="inlineStr">
        <is>
          <t>3851/000</t>
        </is>
      </c>
      <c r="E16855" s="3" t="inlineStr">
        <is>
          <t>Insurance - Momentum</t>
        </is>
      </c>
      <c r="F16855" s="3" t="n">
        <v>9274.969999999999</v>
      </c>
      <c r="G16855" s="3" t="n">
        <v>74484.42</v>
      </c>
    </row>
    <row r="16856">
      <c r="A16856" s="3" t="inlineStr">
        <is>
          <t>Quinate Consulting (Pty) Ltd</t>
        </is>
      </c>
      <c r="B16856" s="4" t="n">
        <v>45260</v>
      </c>
      <c r="C16856" s="3" t="inlineStr">
        <is>
          <t>Expenses</t>
        </is>
      </c>
      <c r="D16856" s="3" t="inlineStr">
        <is>
          <t>3900/000</t>
        </is>
      </c>
      <c r="E16856" s="3" t="inlineStr">
        <is>
          <t>Interest Paid</t>
        </is>
      </c>
      <c r="F16856" s="3" t="n">
        <v>0</v>
      </c>
      <c r="G16856" s="3" t="n">
        <v>1307.76</v>
      </c>
    </row>
    <row r="16857">
      <c r="A16857" s="3" t="inlineStr">
        <is>
          <t>Quinate Consulting (Pty) Ltd</t>
        </is>
      </c>
      <c r="B16857" s="4" t="n">
        <v>45260</v>
      </c>
      <c r="C16857" s="3" t="inlineStr">
        <is>
          <t>Expenses</t>
        </is>
      </c>
      <c r="D16857" s="3" t="inlineStr">
        <is>
          <t>3900/050</t>
        </is>
      </c>
      <c r="E16857" s="3" t="inlineStr">
        <is>
          <t>Interest Paid - STD Bond Accounts</t>
        </is>
      </c>
      <c r="F16857" s="3" t="n">
        <v>0</v>
      </c>
      <c r="G16857" s="3" t="n">
        <v>525346.9300000001</v>
      </c>
    </row>
    <row r="16858">
      <c r="A16858" s="3" t="inlineStr">
        <is>
          <t>Endulini (Pty) Ltd</t>
        </is>
      </c>
      <c r="B16858" s="4" t="n">
        <v>45260</v>
      </c>
      <c r="C16858" s="3" t="inlineStr">
        <is>
          <t>Expenses</t>
        </is>
      </c>
      <c r="D16858" s="3" t="inlineStr">
        <is>
          <t>3900/111</t>
        </is>
      </c>
      <c r="E16858" s="3" t="inlineStr">
        <is>
          <t>Interest Paid - Investors @ 6.25%</t>
        </is>
      </c>
      <c r="F16858" s="3" t="n">
        <v>20208.99</v>
      </c>
      <c r="G16858" s="3" t="n">
        <v>20208.99</v>
      </c>
    </row>
    <row r="16859">
      <c r="A16859" s="3" t="inlineStr">
        <is>
          <t>Endulini (Pty) Ltd</t>
        </is>
      </c>
      <c r="B16859" s="4" t="n">
        <v>45260</v>
      </c>
      <c r="C16859" s="3" t="inlineStr">
        <is>
          <t>Expenses</t>
        </is>
      </c>
      <c r="D16859" s="3" t="inlineStr">
        <is>
          <t>3900/112</t>
        </is>
      </c>
      <c r="E16859" s="3" t="inlineStr">
        <is>
          <t>Interest Paid - Investors @ 6.5%</t>
        </is>
      </c>
      <c r="F16859" s="3" t="n">
        <v>2831.51</v>
      </c>
      <c r="G16859" s="3" t="n">
        <v>3437</v>
      </c>
    </row>
    <row r="16860">
      <c r="A16860" s="3" t="inlineStr">
        <is>
          <t>Endulini (Pty) Ltd</t>
        </is>
      </c>
      <c r="B16860" s="4" t="n">
        <v>45260</v>
      </c>
      <c r="C16860" s="3" t="inlineStr">
        <is>
          <t>Expenses</t>
        </is>
      </c>
      <c r="D16860" s="3" t="inlineStr">
        <is>
          <t>3900/113</t>
        </is>
      </c>
      <c r="E16860" s="3" t="inlineStr">
        <is>
          <t>Interest Paid - Investors @ 6.75%</t>
        </is>
      </c>
      <c r="F16860" s="3" t="n">
        <v>748.97</v>
      </c>
      <c r="G16860" s="3" t="n">
        <v>4281.16</v>
      </c>
    </row>
    <row r="16861">
      <c r="A16861" s="3" t="inlineStr">
        <is>
          <t>Endulini (Pty) Ltd</t>
        </is>
      </c>
      <c r="B16861" s="4" t="n">
        <v>45260</v>
      </c>
      <c r="C16861" s="3" t="inlineStr">
        <is>
          <t>Expenses</t>
        </is>
      </c>
      <c r="D16861" s="3" t="inlineStr">
        <is>
          <t>3900/120</t>
        </is>
      </c>
      <c r="E16861" s="3" t="inlineStr">
        <is>
          <t>Interest Paid - Investors @ 7%</t>
        </is>
      </c>
      <c r="F16861" s="3" t="n">
        <v>586.29</v>
      </c>
      <c r="G16861" s="3" t="n">
        <v>3381.01</v>
      </c>
    </row>
    <row r="16862">
      <c r="A16862" s="3" t="inlineStr">
        <is>
          <t>Endulini (Pty) Ltd</t>
        </is>
      </c>
      <c r="B16862" s="4" t="n">
        <v>45260</v>
      </c>
      <c r="C16862" s="3" t="inlineStr">
        <is>
          <t>Expenses</t>
        </is>
      </c>
      <c r="D16862" s="3" t="inlineStr">
        <is>
          <t>3900/122</t>
        </is>
      </c>
      <c r="E16862" s="3" t="inlineStr">
        <is>
          <t>Interest Paid - Investors @ 7.5%</t>
        </is>
      </c>
      <c r="F16862" s="3" t="n">
        <v>0</v>
      </c>
      <c r="G16862" s="3" t="n">
        <v>45.53</v>
      </c>
    </row>
    <row r="16863">
      <c r="A16863" s="3" t="inlineStr">
        <is>
          <t>Quinate Consulting (Pty) Ltd</t>
        </is>
      </c>
      <c r="B16863" s="4" t="n">
        <v>45260</v>
      </c>
      <c r="C16863" s="3" t="inlineStr">
        <is>
          <t>Expenses</t>
        </is>
      </c>
      <c r="D16863" s="3" t="inlineStr">
        <is>
          <t>3900/152</t>
        </is>
      </c>
      <c r="E16863" s="3" t="inlineStr">
        <is>
          <t>Interest Paid - Gengis</t>
        </is>
      </c>
      <c r="F16863" s="3" t="n">
        <v>3402.74</v>
      </c>
      <c r="G16863" s="3" t="n">
        <v>31191.78</v>
      </c>
    </row>
    <row r="16864">
      <c r="A16864" s="3" t="inlineStr">
        <is>
          <t>Endulini (Pty) Ltd</t>
        </is>
      </c>
      <c r="B16864" s="4" t="n">
        <v>45260</v>
      </c>
      <c r="C16864" s="3" t="inlineStr">
        <is>
          <t>Expenses</t>
        </is>
      </c>
      <c r="D16864" s="3" t="inlineStr">
        <is>
          <t>3900/190</t>
        </is>
      </c>
      <c r="E16864" s="3" t="inlineStr">
        <is>
          <t>Interest Paid - Investors @ 14%</t>
        </is>
      </c>
      <c r="F16864" s="3" t="n">
        <v>146005.24</v>
      </c>
      <c r="G16864" s="3" t="n">
        <v>323788.31</v>
      </c>
    </row>
    <row r="16865">
      <c r="A16865" s="3" t="inlineStr">
        <is>
          <t>Endulini (Pty) Ltd</t>
        </is>
      </c>
      <c r="B16865" s="4" t="n">
        <v>45260</v>
      </c>
      <c r="C16865" s="3" t="inlineStr">
        <is>
          <t>Expenses</t>
        </is>
      </c>
      <c r="D16865" s="3" t="inlineStr">
        <is>
          <t>3900/200</t>
        </is>
      </c>
      <c r="E16865" s="3" t="inlineStr">
        <is>
          <t>Interest Paid - Investors @ 15%</t>
        </is>
      </c>
      <c r="F16865" s="3" t="n">
        <v>101013.69</v>
      </c>
      <c r="G16865" s="3" t="n">
        <v>101013.69</v>
      </c>
    </row>
    <row r="16866">
      <c r="A16866" s="3" t="inlineStr">
        <is>
          <t>Endulini (Pty) Ltd</t>
        </is>
      </c>
      <c r="B16866" s="4" t="n">
        <v>45260</v>
      </c>
      <c r="C16866" s="3" t="inlineStr">
        <is>
          <t>Expenses</t>
        </is>
      </c>
      <c r="D16866" s="3" t="inlineStr">
        <is>
          <t>3900/210</t>
        </is>
      </c>
      <c r="E16866" s="3" t="inlineStr">
        <is>
          <t>Interest Paid - Investors @ 16%</t>
        </is>
      </c>
      <c r="F16866" s="3" t="n">
        <v>51616.44</v>
      </c>
      <c r="G16866" s="3" t="n">
        <v>99353.42</v>
      </c>
    </row>
    <row r="16867">
      <c r="A16867" s="3" t="inlineStr">
        <is>
          <t>Endulini (Pty) Ltd</t>
        </is>
      </c>
      <c r="B16867" s="4" t="n">
        <v>45260</v>
      </c>
      <c r="C16867" s="3" t="inlineStr">
        <is>
          <t>Expenses</t>
        </is>
      </c>
      <c r="D16867" s="3" t="inlineStr">
        <is>
          <t>3900/230</t>
        </is>
      </c>
      <c r="E16867" s="3" t="inlineStr">
        <is>
          <t>Interest Paid - Investors @ 18%</t>
        </is>
      </c>
      <c r="F16867" s="3" t="n">
        <v>763383.41</v>
      </c>
      <c r="G16867" s="3" t="n">
        <v>827739.5699999999</v>
      </c>
    </row>
    <row r="16868">
      <c r="A16868" s="3" t="inlineStr">
        <is>
          <t>Opportunity Management Holdings (PTY) LTD</t>
        </is>
      </c>
      <c r="B16868" s="4" t="n">
        <v>45260</v>
      </c>
      <c r="C16868" s="3" t="inlineStr">
        <is>
          <t>Expenses</t>
        </is>
      </c>
      <c r="D16868" s="3" t="inlineStr">
        <is>
          <t>3960/000</t>
        </is>
      </c>
      <c r="E16868" s="3" t="inlineStr">
        <is>
          <t>Internet Fees</t>
        </is>
      </c>
      <c r="F16868" s="3" t="n">
        <v>621.23</v>
      </c>
      <c r="G16868" s="3" t="n">
        <v>1844.36</v>
      </c>
    </row>
    <row r="16869">
      <c r="A16869" s="3" t="inlineStr">
        <is>
          <t>Quinate Consulting (Pty) Ltd</t>
        </is>
      </c>
      <c r="B16869" s="4" t="n">
        <v>45260</v>
      </c>
      <c r="C16869" s="3" t="inlineStr">
        <is>
          <t>Expenses</t>
        </is>
      </c>
      <c r="D16869" s="3" t="inlineStr">
        <is>
          <t>4000/000</t>
        </is>
      </c>
      <c r="E16869" s="3" t="inlineStr">
        <is>
          <t>Legal Fees</t>
        </is>
      </c>
      <c r="F16869" s="3" t="n">
        <v>0</v>
      </c>
      <c r="G16869" s="3" t="n">
        <v>32576</v>
      </c>
    </row>
    <row r="16870">
      <c r="A16870" s="3" t="inlineStr">
        <is>
          <t>Quinate Consulting (Pty) Ltd</t>
        </is>
      </c>
      <c r="B16870" s="4" t="n">
        <v>45260</v>
      </c>
      <c r="C16870" s="3" t="inlineStr">
        <is>
          <t>Expenses</t>
        </is>
      </c>
      <c r="D16870" s="3" t="inlineStr">
        <is>
          <t>4065/000</t>
        </is>
      </c>
      <c r="E16870" s="3" t="inlineStr">
        <is>
          <t>Levies - SoHo</t>
        </is>
      </c>
      <c r="F16870" s="3" t="n">
        <v>6804.15</v>
      </c>
      <c r="G16870" s="3" t="n">
        <v>66806.81</v>
      </c>
    </row>
    <row r="16871">
      <c r="A16871" s="3" t="inlineStr">
        <is>
          <t>Quinate Consulting (Pty) Ltd</t>
        </is>
      </c>
      <c r="B16871" s="4" t="n">
        <v>45260</v>
      </c>
      <c r="C16871" s="3" t="inlineStr">
        <is>
          <t>Expenses</t>
        </is>
      </c>
      <c r="D16871" s="3" t="inlineStr">
        <is>
          <t>4066/000</t>
        </is>
      </c>
      <c r="E16871" s="3" t="inlineStr">
        <is>
          <t>Levies - Southwark</t>
        </is>
      </c>
      <c r="F16871" s="3" t="n">
        <v>3422.18</v>
      </c>
      <c r="G16871" s="3" t="n">
        <v>30799.62</v>
      </c>
    </row>
    <row r="16872">
      <c r="A16872" s="3" t="inlineStr">
        <is>
          <t>Quinate Consulting (Pty) Ltd</t>
        </is>
      </c>
      <c r="B16872" s="4" t="n">
        <v>45260</v>
      </c>
      <c r="C16872" s="3" t="inlineStr">
        <is>
          <t>Expenses</t>
        </is>
      </c>
      <c r="D16872" s="3" t="inlineStr">
        <is>
          <t>4067/000</t>
        </is>
      </c>
      <c r="E16872" s="3" t="inlineStr">
        <is>
          <t>Levies - C4 Property</t>
        </is>
      </c>
      <c r="F16872" s="3" t="n">
        <v>9556.74</v>
      </c>
      <c r="G16872" s="3" t="n">
        <v>76919.03999999999</v>
      </c>
    </row>
    <row r="16873">
      <c r="A16873" s="3" t="inlineStr">
        <is>
          <t>Quinate Consulting (Pty) Ltd</t>
        </is>
      </c>
      <c r="B16873" s="4" t="n">
        <v>45260</v>
      </c>
      <c r="C16873" s="3" t="inlineStr">
        <is>
          <t>Expenses</t>
        </is>
      </c>
      <c r="D16873" s="3" t="inlineStr">
        <is>
          <t>4068/000</t>
        </is>
      </c>
      <c r="E16873" s="3" t="inlineStr">
        <is>
          <t>Levies Endulini</t>
        </is>
      </c>
      <c r="F16873" s="3" t="n">
        <v>0</v>
      </c>
      <c r="G16873" s="3" t="n">
        <v>5049.31</v>
      </c>
    </row>
    <row r="16874">
      <c r="A16874" s="3" t="inlineStr">
        <is>
          <t>Endulini (Pty) Ltd</t>
        </is>
      </c>
      <c r="B16874" s="4" t="n">
        <v>45260</v>
      </c>
      <c r="C16874" s="3" t="inlineStr">
        <is>
          <t>Expenses</t>
        </is>
      </c>
      <c r="D16874" s="3" t="inlineStr">
        <is>
          <t>4100/001</t>
        </is>
      </c>
      <c r="E16874" s="3" t="inlineStr">
        <is>
          <t>Momentum Admin Fee</t>
        </is>
      </c>
      <c r="F16874" s="3" t="n">
        <v>0</v>
      </c>
      <c r="G16874" s="3" t="n">
        <v>7.42</v>
      </c>
    </row>
    <row r="16875">
      <c r="A16875" s="3" t="inlineStr">
        <is>
          <t>Quinate Consulting (Pty) Ltd</t>
        </is>
      </c>
      <c r="B16875" s="4" t="n">
        <v>45260</v>
      </c>
      <c r="C16875" s="3" t="inlineStr">
        <is>
          <t>Expenses</t>
        </is>
      </c>
      <c r="D16875" s="3" t="inlineStr">
        <is>
          <t>4100/001</t>
        </is>
      </c>
      <c r="E16875" s="3" t="inlineStr">
        <is>
          <t>Momentum Advise Fee</t>
        </is>
      </c>
      <c r="F16875" s="3" t="n">
        <v>0</v>
      </c>
      <c r="G16875" s="3" t="n">
        <v>1.82</v>
      </c>
    </row>
    <row r="16876">
      <c r="A16876" s="3" t="inlineStr">
        <is>
          <t>Opportunity Global Investment (PTY) LTD</t>
        </is>
      </c>
      <c r="B16876" s="4" t="n">
        <v>45260</v>
      </c>
      <c r="C16876" s="3" t="inlineStr">
        <is>
          <t>Expenses</t>
        </is>
      </c>
      <c r="D16876" s="3" t="inlineStr">
        <is>
          <t>4100/100</t>
        </is>
      </c>
      <c r="E16876" s="3" t="inlineStr">
        <is>
          <t>Members Salaries - Nick Morgan</t>
        </is>
      </c>
      <c r="F16876" s="3" t="n">
        <v>41251.61</v>
      </c>
      <c r="G16876" s="3" t="n">
        <v>371264.52</v>
      </c>
    </row>
    <row r="16877">
      <c r="A16877" s="3" t="inlineStr">
        <is>
          <t>Opportunity Global Investment (PTY) LTD</t>
        </is>
      </c>
      <c r="B16877" s="4" t="n">
        <v>45260</v>
      </c>
      <c r="C16877" s="3" t="inlineStr">
        <is>
          <t>Expenses</t>
        </is>
      </c>
      <c r="D16877" s="3" t="inlineStr">
        <is>
          <t>4200/000</t>
        </is>
      </c>
      <c r="E16877" s="3" t="inlineStr">
        <is>
          <t>Printing _AND_ Stationery</t>
        </is>
      </c>
      <c r="F16877" s="3" t="n">
        <v>2367</v>
      </c>
      <c r="G16877" s="3" t="n">
        <v>21712.57</v>
      </c>
    </row>
    <row r="16878">
      <c r="A16878" s="3" t="inlineStr">
        <is>
          <t>Opportunity Global Sales (PTY) LTD</t>
        </is>
      </c>
      <c r="B16878" s="4" t="n">
        <v>45260</v>
      </c>
      <c r="C16878" s="3" t="inlineStr">
        <is>
          <t>Expenses</t>
        </is>
      </c>
      <c r="D16878" s="3" t="inlineStr">
        <is>
          <t>4200/000</t>
        </is>
      </c>
      <c r="E16878" s="3" t="inlineStr">
        <is>
          <t>Printing _AND_ Stationery</t>
        </is>
      </c>
      <c r="F16878" s="3" t="n">
        <v>0</v>
      </c>
      <c r="G16878" s="3" t="n">
        <v>286.96</v>
      </c>
    </row>
    <row r="16879">
      <c r="A16879" s="3" t="inlineStr">
        <is>
          <t>Opportunity Management Holdings (PTY) LTD</t>
        </is>
      </c>
      <c r="B16879" s="4" t="n">
        <v>45260</v>
      </c>
      <c r="C16879" s="3" t="inlineStr">
        <is>
          <t>Expenses</t>
        </is>
      </c>
      <c r="D16879" s="3" t="inlineStr">
        <is>
          <t>4200/000</t>
        </is>
      </c>
      <c r="E16879" s="3" t="inlineStr">
        <is>
          <t>Printing _AND_ Stationery</t>
        </is>
      </c>
      <c r="F16879" s="3" t="n">
        <v>0</v>
      </c>
      <c r="G16879" s="3" t="n">
        <v>1147.8</v>
      </c>
    </row>
    <row r="16880">
      <c r="A16880" s="3" t="inlineStr">
        <is>
          <t>Quinate Consulting (Pty) Ltd</t>
        </is>
      </c>
      <c r="B16880" s="4" t="n">
        <v>45260</v>
      </c>
      <c r="C16880" s="3" t="inlineStr">
        <is>
          <t>Expenses</t>
        </is>
      </c>
      <c r="D16880" s="3" t="inlineStr">
        <is>
          <t>4200/000</t>
        </is>
      </c>
      <c r="E16880" s="3" t="inlineStr">
        <is>
          <t>Printing _AND_ Stationery</t>
        </is>
      </c>
      <c r="F16880" s="3" t="n">
        <v>0</v>
      </c>
      <c r="G16880" s="3" t="n">
        <v>62.61</v>
      </c>
    </row>
    <row r="16881">
      <c r="A16881" s="3" t="inlineStr">
        <is>
          <t>Noble Shield (Pty) Ltd ta Go Letting</t>
        </is>
      </c>
      <c r="B16881" s="4" t="n">
        <v>45260</v>
      </c>
      <c r="C16881" s="3" t="inlineStr">
        <is>
          <t>Expenses</t>
        </is>
      </c>
      <c r="D16881" s="3" t="inlineStr">
        <is>
          <t>4200/100</t>
        </is>
      </c>
      <c r="E16881" s="3" t="inlineStr">
        <is>
          <t>Printing - Merchant West- Printer Rental</t>
        </is>
      </c>
      <c r="F16881" s="3" t="n">
        <v>1953.85</v>
      </c>
      <c r="G16881" s="3" t="n">
        <v>8263.219999999999</v>
      </c>
    </row>
    <row r="16882">
      <c r="A16882" s="3" t="inlineStr">
        <is>
          <t>Noble Shield (Pty) Ltd ta Go Letting</t>
        </is>
      </c>
      <c r="B16882" s="4" t="n">
        <v>45260</v>
      </c>
      <c r="C16882" s="3" t="inlineStr">
        <is>
          <t>Expenses</t>
        </is>
      </c>
      <c r="D16882" s="3" t="inlineStr">
        <is>
          <t>4200/120</t>
        </is>
      </c>
      <c r="E16882" s="3" t="inlineStr">
        <is>
          <t>Printing - Ivy Line - Prints</t>
        </is>
      </c>
      <c r="F16882" s="3" t="n">
        <v>563.34</v>
      </c>
      <c r="G16882" s="3" t="n">
        <v>2528.63</v>
      </c>
    </row>
    <row r="16883">
      <c r="A16883" s="3" t="inlineStr">
        <is>
          <t>Noble Shield (Pty) Ltd ta Go Letting</t>
        </is>
      </c>
      <c r="B16883" s="4" t="n">
        <v>45260</v>
      </c>
      <c r="C16883" s="3" t="inlineStr">
        <is>
          <t>Expenses</t>
        </is>
      </c>
      <c r="D16883" s="3" t="inlineStr">
        <is>
          <t>4200/180</t>
        </is>
      </c>
      <c r="E16883" s="3" t="inlineStr">
        <is>
          <t>Printing - Ikon</t>
        </is>
      </c>
      <c r="F16883" s="3" t="n">
        <v>265.29</v>
      </c>
      <c r="G16883" s="3" t="n">
        <v>837.59</v>
      </c>
    </row>
    <row r="16884">
      <c r="A16884" s="3" t="inlineStr">
        <is>
          <t>Noble Shield (Pty) Ltd ta Go Letting</t>
        </is>
      </c>
      <c r="B16884" s="4" t="n">
        <v>45260</v>
      </c>
      <c r="C16884" s="3" t="inlineStr">
        <is>
          <t>Expenses</t>
        </is>
      </c>
      <c r="D16884" s="3" t="inlineStr">
        <is>
          <t>4200/190</t>
        </is>
      </c>
      <c r="E16884" s="3" t="inlineStr">
        <is>
          <t>Printing - Centrafin printer rental</t>
        </is>
      </c>
      <c r="F16884" s="3" t="n">
        <v>2919.25</v>
      </c>
      <c r="G16884" s="3" t="n">
        <v>8757.75</v>
      </c>
    </row>
    <row r="16885">
      <c r="A16885" s="3" t="inlineStr">
        <is>
          <t>Noble Shield (Pty) Ltd ta Go Letting</t>
        </is>
      </c>
      <c r="B16885" s="4" t="n">
        <v>45260</v>
      </c>
      <c r="C16885" s="3" t="inlineStr">
        <is>
          <t>Expenses</t>
        </is>
      </c>
      <c r="D16885" s="3" t="inlineStr">
        <is>
          <t>4200/200</t>
        </is>
      </c>
      <c r="E16885" s="3" t="inlineStr">
        <is>
          <t>Printing - General Stationery VDB Office</t>
        </is>
      </c>
      <c r="F16885" s="3" t="n">
        <v>870</v>
      </c>
      <c r="G16885" s="3" t="n">
        <v>3014.2</v>
      </c>
    </row>
    <row r="16886">
      <c r="A16886" s="3" t="inlineStr">
        <is>
          <t>Opportunity Global Investment (PTY) LTD</t>
        </is>
      </c>
      <c r="B16886" s="4" t="n">
        <v>45260</v>
      </c>
      <c r="C16886" s="3" t="inlineStr">
        <is>
          <t>Expenses</t>
        </is>
      </c>
      <c r="D16886" s="3" t="inlineStr">
        <is>
          <t>4220/000</t>
        </is>
      </c>
      <c r="E16886" s="3" t="inlineStr">
        <is>
          <t>Motor Vehicle Expenses - Petrol _AND_ Oil</t>
        </is>
      </c>
      <c r="F16886" s="3" t="n">
        <v>2617.23</v>
      </c>
      <c r="G16886" s="3" t="n">
        <v>19376.05</v>
      </c>
    </row>
    <row r="16887">
      <c r="A16887" s="3" t="inlineStr">
        <is>
          <t>Noble Shield (Pty) Ltd ta Go Letting</t>
        </is>
      </c>
      <c r="B16887" s="4" t="n">
        <v>45260</v>
      </c>
      <c r="C16887" s="3" t="inlineStr">
        <is>
          <t>Expenses</t>
        </is>
      </c>
      <c r="D16887" s="3" t="inlineStr">
        <is>
          <t>4290/000</t>
        </is>
      </c>
      <c r="E16887" s="3" t="inlineStr">
        <is>
          <t>Refreshments - CT Office</t>
        </is>
      </c>
      <c r="F16887" s="3" t="n">
        <v>1327.83</v>
      </c>
      <c r="G16887" s="3" t="n">
        <v>4255.48</v>
      </c>
    </row>
    <row r="16888">
      <c r="A16888" s="3" t="inlineStr">
        <is>
          <t>Opportunity Global Investment (PTY) LTD</t>
        </is>
      </c>
      <c r="B16888" s="4" t="n">
        <v>45260</v>
      </c>
      <c r="C16888" s="3" t="inlineStr">
        <is>
          <t>Expenses</t>
        </is>
      </c>
      <c r="D16888" s="3" t="inlineStr">
        <is>
          <t>4290/000</t>
        </is>
      </c>
      <c r="E16888" s="3" t="inlineStr">
        <is>
          <t>Rent</t>
        </is>
      </c>
      <c r="F16888" s="3" t="n">
        <v>8770</v>
      </c>
      <c r="G16888" s="3" t="n">
        <v>78930</v>
      </c>
    </row>
    <row r="16889">
      <c r="A16889" s="3" t="inlineStr">
        <is>
          <t>Noble Shield (Pty) Ltd ta Go Letting</t>
        </is>
      </c>
      <c r="B16889" s="4" t="n">
        <v>45260</v>
      </c>
      <c r="C16889" s="3" t="inlineStr">
        <is>
          <t>Expenses</t>
        </is>
      </c>
      <c r="D16889" s="3" t="inlineStr">
        <is>
          <t>4291/000</t>
        </is>
      </c>
      <c r="E16889" s="3" t="inlineStr">
        <is>
          <t>Refreshments - VDB Office</t>
        </is>
      </c>
      <c r="F16889" s="3" t="n">
        <v>1071.24</v>
      </c>
      <c r="G16889" s="3" t="n">
        <v>1993.28</v>
      </c>
    </row>
    <row r="16890">
      <c r="A16890" s="3" t="inlineStr">
        <is>
          <t>Trademark Holdings (Pty) Ltd</t>
        </is>
      </c>
      <c r="B16890" s="4" t="n">
        <v>45260</v>
      </c>
      <c r="C16890" s="3" t="inlineStr">
        <is>
          <t>Expenses</t>
        </is>
      </c>
      <c r="D16890" s="3" t="inlineStr">
        <is>
          <t>4300/000</t>
        </is>
      </c>
      <c r="E16890" s="3" t="inlineStr">
        <is>
          <t>Rent Paid</t>
        </is>
      </c>
      <c r="F16890" s="3" t="n">
        <v>6940</v>
      </c>
      <c r="G16890" s="3" t="n">
        <v>20620</v>
      </c>
    </row>
    <row r="16891">
      <c r="A16891" s="3" t="inlineStr">
        <is>
          <t>Opportunity Global Investment (PTY) LTD</t>
        </is>
      </c>
      <c r="B16891" s="4" t="n">
        <v>45260</v>
      </c>
      <c r="C16891" s="3" t="inlineStr">
        <is>
          <t>Expenses</t>
        </is>
      </c>
      <c r="D16891" s="3" t="inlineStr">
        <is>
          <t>4310/000</t>
        </is>
      </c>
      <c r="E16891" s="3" t="inlineStr">
        <is>
          <t>Refreshments</t>
        </is>
      </c>
      <c r="F16891" s="3" t="n">
        <v>2521</v>
      </c>
      <c r="G16891" s="3" t="n">
        <v>22737.26</v>
      </c>
    </row>
    <row r="16892">
      <c r="A16892" s="3" t="inlineStr">
        <is>
          <t>Opportunity Management Holdings (PTY) LTD</t>
        </is>
      </c>
      <c r="B16892" s="4" t="n">
        <v>45260</v>
      </c>
      <c r="C16892" s="3" t="inlineStr">
        <is>
          <t>Expenses</t>
        </is>
      </c>
      <c r="D16892" s="3" t="inlineStr">
        <is>
          <t>4310/000</t>
        </is>
      </c>
      <c r="E16892" s="3" t="inlineStr">
        <is>
          <t>Refreshments</t>
        </is>
      </c>
      <c r="F16892" s="3" t="n">
        <v>8436.950000000001</v>
      </c>
      <c r="G16892" s="3" t="n">
        <v>31317.09</v>
      </c>
    </row>
    <row r="16893">
      <c r="A16893" s="3" t="inlineStr">
        <is>
          <t>Quinate Consulting (Pty) Ltd</t>
        </is>
      </c>
      <c r="B16893" s="4" t="n">
        <v>45260</v>
      </c>
      <c r="C16893" s="3" t="inlineStr">
        <is>
          <t>Expenses</t>
        </is>
      </c>
      <c r="D16893" s="3" t="inlineStr">
        <is>
          <t>4312/000</t>
        </is>
      </c>
      <c r="E16893" s="3" t="inlineStr">
        <is>
          <t>Rates - SoHo Units</t>
        </is>
      </c>
      <c r="F16893" s="3" t="n">
        <v>2822.5</v>
      </c>
      <c r="G16893" s="3" t="n">
        <v>23836.14</v>
      </c>
    </row>
    <row r="16894">
      <c r="A16894" s="3" t="inlineStr">
        <is>
          <t>Endulini (Pty) Ltd</t>
        </is>
      </c>
      <c r="B16894" s="4" t="n">
        <v>45260</v>
      </c>
      <c r="C16894" s="3" t="inlineStr">
        <is>
          <t>Expenses</t>
        </is>
      </c>
      <c r="D16894" s="3" t="inlineStr">
        <is>
          <t>4350/000</t>
        </is>
      </c>
      <c r="E16894" s="3" t="inlineStr">
        <is>
          <t>Repairs _AND_ Maintenance</t>
        </is>
      </c>
      <c r="F16894" s="3" t="n">
        <v>0</v>
      </c>
      <c r="G16894" s="3" t="n">
        <v>29511.32</v>
      </c>
    </row>
    <row r="16895">
      <c r="A16895" s="3" t="inlineStr">
        <is>
          <t>Opportunity Global Sales (PTY) LTD</t>
        </is>
      </c>
      <c r="B16895" s="4" t="n">
        <v>45260</v>
      </c>
      <c r="C16895" s="3" t="inlineStr">
        <is>
          <t>Expenses</t>
        </is>
      </c>
      <c r="D16895" s="3" t="inlineStr">
        <is>
          <t>4350/000</t>
        </is>
      </c>
      <c r="E16895" s="3" t="inlineStr">
        <is>
          <t>Repairs _AND_ Maintenance</t>
        </is>
      </c>
      <c r="F16895" s="3" t="n">
        <v>0</v>
      </c>
      <c r="G16895" s="3" t="n">
        <v>469.52</v>
      </c>
    </row>
    <row r="16896">
      <c r="A16896" s="3" t="inlineStr">
        <is>
          <t>Opportunity Management Holdings (PTY) LTD</t>
        </is>
      </c>
      <c r="B16896" s="4" t="n">
        <v>45260</v>
      </c>
      <c r="C16896" s="3" t="inlineStr">
        <is>
          <t>Expenses</t>
        </is>
      </c>
      <c r="D16896" s="3" t="inlineStr">
        <is>
          <t>4350/000</t>
        </is>
      </c>
      <c r="E16896" s="3" t="inlineStr">
        <is>
          <t>Repairs _AND_ Maintenance</t>
        </is>
      </c>
      <c r="F16896" s="3" t="n">
        <v>156.52</v>
      </c>
      <c r="G16896" s="3" t="n">
        <v>1641.09</v>
      </c>
    </row>
    <row r="16897">
      <c r="A16897" s="3" t="inlineStr">
        <is>
          <t>Quinate Consulting (Pty) Ltd</t>
        </is>
      </c>
      <c r="B16897" s="4" t="n">
        <v>45260</v>
      </c>
      <c r="C16897" s="3" t="inlineStr">
        <is>
          <t>Expenses</t>
        </is>
      </c>
      <c r="D16897" s="3" t="inlineStr">
        <is>
          <t>4350/000</t>
        </is>
      </c>
      <c r="E16897" s="3" t="inlineStr">
        <is>
          <t>Repairs and Maintenance - Southwark Units</t>
        </is>
      </c>
      <c r="F16897" s="3" t="n">
        <v>0</v>
      </c>
      <c r="G16897" s="3" t="n">
        <v>4760.7</v>
      </c>
    </row>
    <row r="16898">
      <c r="A16898" s="3" t="inlineStr">
        <is>
          <t>Endulini (Pty) Ltd</t>
        </is>
      </c>
      <c r="B16898" s="4" t="n">
        <v>45260</v>
      </c>
      <c r="C16898" s="3" t="inlineStr">
        <is>
          <t>Expenses</t>
        </is>
      </c>
      <c r="D16898" s="3" t="inlineStr">
        <is>
          <t>4351/000</t>
        </is>
      </c>
      <c r="E16898" s="3" t="inlineStr">
        <is>
          <t>Repair &amp; Maintenance - Rentals</t>
        </is>
      </c>
      <c r="F16898" s="3" t="n">
        <v>0</v>
      </c>
      <c r="G16898" s="3" t="n">
        <v>1913.04</v>
      </c>
    </row>
    <row r="16899">
      <c r="A16899" s="3" t="inlineStr">
        <is>
          <t>Noble Shield (Pty) Ltd ta Go Letting</t>
        </is>
      </c>
      <c r="B16899" s="4" t="n">
        <v>45260</v>
      </c>
      <c r="C16899" s="3" t="inlineStr">
        <is>
          <t>Expenses</t>
        </is>
      </c>
      <c r="D16899" s="3" t="inlineStr">
        <is>
          <t>4351/000</t>
        </is>
      </c>
      <c r="E16899" s="3" t="inlineStr">
        <is>
          <t>Repairs _AND_ Maintanence - Rentals</t>
        </is>
      </c>
      <c r="F16899" s="3" t="n">
        <v>0</v>
      </c>
      <c r="G16899" s="3" t="n">
        <v>79.16</v>
      </c>
    </row>
    <row r="16900">
      <c r="A16900" s="3" t="inlineStr">
        <is>
          <t>Quinate Consulting (Pty) Ltd</t>
        </is>
      </c>
      <c r="B16900" s="4" t="n">
        <v>45260</v>
      </c>
      <c r="C16900" s="3" t="inlineStr">
        <is>
          <t>Expenses</t>
        </is>
      </c>
      <c r="D16900" s="3" t="inlineStr">
        <is>
          <t>4351/100</t>
        </is>
      </c>
      <c r="E16900" s="3" t="inlineStr">
        <is>
          <t>Repairs and Maintenance -  Soho Units</t>
        </is>
      </c>
      <c r="F16900" s="3" t="n">
        <v>0</v>
      </c>
      <c r="G16900" s="3" t="n">
        <v>2400</v>
      </c>
    </row>
    <row r="16901">
      <c r="A16901" s="3" t="inlineStr">
        <is>
          <t>Opportunity Global Investment (PTY) LTD</t>
        </is>
      </c>
      <c r="B16901" s="4" t="n">
        <v>45260</v>
      </c>
      <c r="C16901" s="3" t="inlineStr">
        <is>
          <t>Expenses</t>
        </is>
      </c>
      <c r="D16901" s="3" t="inlineStr">
        <is>
          <t>4360/000</t>
        </is>
      </c>
      <c r="E16901" s="3" t="inlineStr">
        <is>
          <t>Secretarial - CIPC</t>
        </is>
      </c>
      <c r="F16901" s="3" t="n">
        <v>0</v>
      </c>
      <c r="G16901" s="3" t="n">
        <v>800</v>
      </c>
    </row>
    <row r="16902">
      <c r="A16902" s="3" t="inlineStr">
        <is>
          <t>Opportunity Global Sales (PTY) LTD</t>
        </is>
      </c>
      <c r="B16902" s="4" t="n">
        <v>45260</v>
      </c>
      <c r="C16902" s="3" t="inlineStr">
        <is>
          <t>Expenses</t>
        </is>
      </c>
      <c r="D16902" s="3" t="inlineStr">
        <is>
          <t>4390/000</t>
        </is>
      </c>
      <c r="E16902" s="3" t="inlineStr">
        <is>
          <t>Small Assets</t>
        </is>
      </c>
      <c r="F16902" s="3" t="n">
        <v>0</v>
      </c>
      <c r="G16902" s="3" t="n">
        <v>1477.39</v>
      </c>
    </row>
    <row r="16903">
      <c r="A16903" s="3" t="inlineStr">
        <is>
          <t>Opportunity Management Holdings (PTY) LTD</t>
        </is>
      </c>
      <c r="B16903" s="4" t="n">
        <v>45260</v>
      </c>
      <c r="C16903" s="3" t="inlineStr">
        <is>
          <t>Expenses</t>
        </is>
      </c>
      <c r="D16903" s="3" t="inlineStr">
        <is>
          <t>4390/000</t>
        </is>
      </c>
      <c r="E16903" s="3" t="inlineStr">
        <is>
          <t>Small Assets</t>
        </is>
      </c>
      <c r="F16903" s="3" t="n">
        <v>1521.74</v>
      </c>
      <c r="G16903" s="3" t="n">
        <v>7208.26</v>
      </c>
    </row>
    <row r="16904">
      <c r="A16904" s="3" t="inlineStr">
        <is>
          <t>Noble Shield (Pty) Ltd ta Go Letting</t>
        </is>
      </c>
      <c r="B16904" s="4" t="n">
        <v>45260</v>
      </c>
      <c r="C16904" s="3" t="inlineStr">
        <is>
          <t>Expenses</t>
        </is>
      </c>
      <c r="D16904" s="3" t="inlineStr">
        <is>
          <t>4400/000</t>
        </is>
      </c>
      <c r="E16904" s="3" t="inlineStr">
        <is>
          <t>Salaries _AND_ Wages</t>
        </is>
      </c>
      <c r="F16904" s="3" t="n">
        <v>26915.7</v>
      </c>
      <c r="G16904" s="3" t="n">
        <v>80747.10000000001</v>
      </c>
    </row>
    <row r="16905">
      <c r="A16905" s="3" t="inlineStr">
        <is>
          <t>Opportunity Global Sales (PTY) LTD</t>
        </is>
      </c>
      <c r="B16905" s="4" t="n">
        <v>45260</v>
      </c>
      <c r="C16905" s="3" t="inlineStr">
        <is>
          <t>Expenses</t>
        </is>
      </c>
      <c r="D16905" s="3" t="inlineStr">
        <is>
          <t>4400/000</t>
        </is>
      </c>
      <c r="E16905" s="3" t="inlineStr">
        <is>
          <t>Salaries _AND_ Wages</t>
        </is>
      </c>
      <c r="F16905" s="3" t="n">
        <v>45668.17</v>
      </c>
      <c r="G16905" s="3" t="n">
        <v>482204.54</v>
      </c>
    </row>
    <row r="16906">
      <c r="A16906" s="3" t="inlineStr">
        <is>
          <t>Opportunity Management Holdings (PTY) LTD</t>
        </is>
      </c>
      <c r="B16906" s="4" t="n">
        <v>45260</v>
      </c>
      <c r="C16906" s="3" t="inlineStr">
        <is>
          <t>Expenses</t>
        </is>
      </c>
      <c r="D16906" s="3" t="inlineStr">
        <is>
          <t>4400/000</t>
        </is>
      </c>
      <c r="E16906" s="3" t="inlineStr">
        <is>
          <t>Salaries _AND_ Wages</t>
        </is>
      </c>
      <c r="F16906" s="3" t="n">
        <v>217876.43</v>
      </c>
      <c r="G16906" s="3" t="n">
        <v>637690.84</v>
      </c>
    </row>
    <row r="16907">
      <c r="A16907" s="3" t="inlineStr">
        <is>
          <t>Trademark Holdings (Pty) Ltd</t>
        </is>
      </c>
      <c r="B16907" s="4" t="n">
        <v>45260</v>
      </c>
      <c r="C16907" s="3" t="inlineStr">
        <is>
          <t>Expenses</t>
        </is>
      </c>
      <c r="D16907" s="3" t="inlineStr">
        <is>
          <t>4400/000</t>
        </is>
      </c>
      <c r="E16907" s="3" t="inlineStr">
        <is>
          <t>Salaries _AND_ Wages</t>
        </is>
      </c>
      <c r="F16907" s="3" t="n">
        <v>12429.45</v>
      </c>
      <c r="G16907" s="3" t="n">
        <v>37288.35</v>
      </c>
    </row>
    <row r="16908">
      <c r="A16908" s="3" t="inlineStr">
        <is>
          <t>Opportunity Global Investment (PTY) LTD</t>
        </is>
      </c>
      <c r="B16908" s="4" t="n">
        <v>45260</v>
      </c>
      <c r="C16908" s="3" t="inlineStr">
        <is>
          <t>Expenses</t>
        </is>
      </c>
      <c r="D16908" s="3" t="inlineStr">
        <is>
          <t>4450/000</t>
        </is>
      </c>
      <c r="E16908" s="3" t="inlineStr">
        <is>
          <t>Staff Training</t>
        </is>
      </c>
      <c r="F16908" s="3" t="n">
        <v>0</v>
      </c>
      <c r="G16908" s="3" t="n">
        <v>5495.66</v>
      </c>
    </row>
    <row r="16909">
      <c r="A16909" s="3" t="inlineStr">
        <is>
          <t>Opportunity Global Sales (PTY) LTD</t>
        </is>
      </c>
      <c r="B16909" s="4" t="n">
        <v>45260</v>
      </c>
      <c r="C16909" s="3" t="inlineStr">
        <is>
          <t>Expenses</t>
        </is>
      </c>
      <c r="D16909" s="3" t="inlineStr">
        <is>
          <t>4450/000</t>
        </is>
      </c>
      <c r="E16909" s="3" t="inlineStr">
        <is>
          <t>Staff Training</t>
        </is>
      </c>
      <c r="F16909" s="3" t="n">
        <v>0</v>
      </c>
      <c r="G16909" s="3" t="n">
        <v>695.65</v>
      </c>
    </row>
    <row r="16910">
      <c r="A16910" s="3" t="inlineStr">
        <is>
          <t>Noble Shield (Pty) Ltd ta Go Letting</t>
        </is>
      </c>
      <c r="B16910" s="4" t="n">
        <v>45260</v>
      </c>
      <c r="C16910" s="3" t="inlineStr">
        <is>
          <t>Expenses</t>
        </is>
      </c>
      <c r="D16910" s="3" t="inlineStr">
        <is>
          <t>4500/000</t>
        </is>
      </c>
      <c r="E16910" s="3" t="inlineStr">
        <is>
          <t>Staff Welfare</t>
        </is>
      </c>
      <c r="F16910" s="3" t="n">
        <v>3352.25</v>
      </c>
      <c r="G16910" s="3" t="n">
        <v>3762.25</v>
      </c>
    </row>
    <row r="16911">
      <c r="A16911" s="3" t="inlineStr">
        <is>
          <t>Opportunity Global Investment (PTY) LTD</t>
        </is>
      </c>
      <c r="B16911" s="4" t="n">
        <v>45260</v>
      </c>
      <c r="C16911" s="3" t="inlineStr">
        <is>
          <t>Expenses</t>
        </is>
      </c>
      <c r="D16911" s="3" t="inlineStr">
        <is>
          <t>4500/000</t>
        </is>
      </c>
      <c r="E16911" s="3" t="inlineStr">
        <is>
          <t>Staff Welfare</t>
        </is>
      </c>
      <c r="F16911" s="3" t="n">
        <v>1466.91</v>
      </c>
      <c r="G16911" s="3" t="n">
        <v>2299.38</v>
      </c>
    </row>
    <row r="16912">
      <c r="A16912" s="3" t="inlineStr">
        <is>
          <t>Opportunity Global Sales (PTY) LTD</t>
        </is>
      </c>
      <c r="B16912" s="4" t="n">
        <v>45260</v>
      </c>
      <c r="C16912" s="3" t="inlineStr">
        <is>
          <t>Expenses</t>
        </is>
      </c>
      <c r="D16912" s="3" t="inlineStr">
        <is>
          <t>4500/000</t>
        </is>
      </c>
      <c r="E16912" s="3" t="inlineStr">
        <is>
          <t>Staff Welfare</t>
        </is>
      </c>
      <c r="F16912" s="3" t="n">
        <v>0</v>
      </c>
      <c r="G16912" s="3" t="n">
        <v>2642.17</v>
      </c>
    </row>
    <row r="16913">
      <c r="A16913" s="3" t="inlineStr">
        <is>
          <t>Opportunity Management Holdings (PTY) LTD</t>
        </is>
      </c>
      <c r="B16913" s="4" t="n">
        <v>45260</v>
      </c>
      <c r="C16913" s="3" t="inlineStr">
        <is>
          <t>Expenses</t>
        </is>
      </c>
      <c r="D16913" s="3" t="inlineStr">
        <is>
          <t>4500/000</t>
        </is>
      </c>
      <c r="E16913" s="3" t="inlineStr">
        <is>
          <t>Staff Welfare</t>
        </is>
      </c>
      <c r="F16913" s="3" t="n">
        <v>12309.16</v>
      </c>
      <c r="G16913" s="3" t="n">
        <v>16664.97</v>
      </c>
    </row>
    <row r="16914">
      <c r="A16914" s="3" t="inlineStr">
        <is>
          <t>Quinate Consulting (Pty) Ltd</t>
        </is>
      </c>
      <c r="B16914" s="4" t="n">
        <v>45260</v>
      </c>
      <c r="C16914" s="3" t="inlineStr">
        <is>
          <t>Expenses</t>
        </is>
      </c>
      <c r="D16914" s="3" t="inlineStr">
        <is>
          <t>4500/000</t>
        </is>
      </c>
      <c r="E16914" s="3" t="inlineStr">
        <is>
          <t>Staff Welfare</t>
        </is>
      </c>
      <c r="F16914" s="3" t="n">
        <v>0</v>
      </c>
      <c r="G16914" s="3" t="n">
        <v>1463.8</v>
      </c>
    </row>
    <row r="16915">
      <c r="A16915" s="3" t="inlineStr">
        <is>
          <t>Noble Shield (Pty) Ltd ta Go Letting</t>
        </is>
      </c>
      <c r="B16915" s="4" t="n">
        <v>45260</v>
      </c>
      <c r="C16915" s="3" t="inlineStr">
        <is>
          <t>Expenses</t>
        </is>
      </c>
      <c r="D16915" s="3" t="inlineStr">
        <is>
          <t>4520/000</t>
        </is>
      </c>
      <c r="E16915" s="3" t="inlineStr">
        <is>
          <t>Security</t>
        </is>
      </c>
      <c r="F16915" s="3" t="n">
        <v>815</v>
      </c>
      <c r="G16915" s="3" t="n">
        <v>2876.44</v>
      </c>
    </row>
    <row r="16916">
      <c r="A16916" s="3" t="inlineStr">
        <is>
          <t>Opportunity Global Investment (PTY) LTD</t>
        </is>
      </c>
      <c r="B16916" s="4" t="n">
        <v>45260</v>
      </c>
      <c r="C16916" s="3" t="inlineStr">
        <is>
          <t>Expenses</t>
        </is>
      </c>
      <c r="D16916" s="3" t="inlineStr">
        <is>
          <t>4550/000</t>
        </is>
      </c>
      <c r="E16916" s="3" t="inlineStr">
        <is>
          <t>Subscriptions</t>
        </is>
      </c>
      <c r="F16916" s="3" t="n">
        <v>0</v>
      </c>
      <c r="G16916" s="3" t="n">
        <v>8643.32</v>
      </c>
    </row>
    <row r="16917">
      <c r="A16917" s="3" t="inlineStr">
        <is>
          <t>Opportunity Global Sales (PTY) LTD</t>
        </is>
      </c>
      <c r="B16917" s="4" t="n">
        <v>45260</v>
      </c>
      <c r="C16917" s="3" t="inlineStr">
        <is>
          <t>Expenses</t>
        </is>
      </c>
      <c r="D16917" s="3" t="inlineStr">
        <is>
          <t>4550/000</t>
        </is>
      </c>
      <c r="E16917" s="3" t="inlineStr">
        <is>
          <t>Subscriptions - General</t>
        </is>
      </c>
      <c r="F16917" s="3" t="n">
        <v>0</v>
      </c>
      <c r="G16917" s="3" t="n">
        <v>1422.61</v>
      </c>
    </row>
    <row r="16918">
      <c r="A16918" s="3" t="inlineStr">
        <is>
          <t>Quinate Consulting (Pty) Ltd</t>
        </is>
      </c>
      <c r="B16918" s="4" t="n">
        <v>45260</v>
      </c>
      <c r="C16918" s="3" t="inlineStr">
        <is>
          <t>Expenses</t>
        </is>
      </c>
      <c r="D16918" s="3" t="inlineStr">
        <is>
          <t>4550/000</t>
        </is>
      </c>
      <c r="E16918" s="3" t="inlineStr">
        <is>
          <t>Subscriptions / Licenses</t>
        </is>
      </c>
      <c r="F16918" s="3" t="n">
        <v>11736.62</v>
      </c>
      <c r="G16918" s="3" t="n">
        <v>106347.83</v>
      </c>
    </row>
    <row r="16919">
      <c r="A16919" s="3" t="inlineStr">
        <is>
          <t>Opportunity Management Holdings (PTY) LTD</t>
        </is>
      </c>
      <c r="B16919" s="4" t="n">
        <v>45260</v>
      </c>
      <c r="C16919" s="3" t="inlineStr">
        <is>
          <t>Expenses</t>
        </is>
      </c>
      <c r="D16919" s="3" t="inlineStr">
        <is>
          <t>4550/000</t>
        </is>
      </c>
      <c r="E16919" s="3" t="inlineStr">
        <is>
          <t>Subscriptions _AND_ Lisences</t>
        </is>
      </c>
      <c r="F16919" s="3" t="n">
        <v>3217.09</v>
      </c>
      <c r="G16919" s="3" t="n">
        <v>9827.690000000001</v>
      </c>
    </row>
    <row r="16920">
      <c r="A16920" s="3" t="inlineStr">
        <is>
          <t>Noble Shield (Pty) Ltd ta Go Letting</t>
        </is>
      </c>
      <c r="B16920" s="4" t="n">
        <v>45260</v>
      </c>
      <c r="C16920" s="3" t="inlineStr">
        <is>
          <t>Expenses</t>
        </is>
      </c>
      <c r="D16920" s="3" t="inlineStr">
        <is>
          <t>4550/100</t>
        </is>
      </c>
      <c r="E16920" s="3" t="inlineStr">
        <is>
          <t>Subscriptions - EAAB</t>
        </is>
      </c>
      <c r="F16920" s="3" t="n">
        <v>0</v>
      </c>
      <c r="G16920" s="3" t="n">
        <v>1604</v>
      </c>
    </row>
    <row r="16921">
      <c r="A16921" s="3" t="inlineStr">
        <is>
          <t>Trademark Holdings (Pty) Ltd</t>
        </is>
      </c>
      <c r="B16921" s="4" t="n">
        <v>45260</v>
      </c>
      <c r="C16921" s="3" t="inlineStr">
        <is>
          <t>Expenses</t>
        </is>
      </c>
      <c r="D16921" s="3" t="inlineStr">
        <is>
          <t>4550/100</t>
        </is>
      </c>
      <c r="E16921" s="3" t="inlineStr">
        <is>
          <t>Subscriptions - EAAB</t>
        </is>
      </c>
      <c r="F16921" s="3" t="n">
        <v>0</v>
      </c>
      <c r="G16921" s="3" t="n">
        <v>1604</v>
      </c>
    </row>
    <row r="16922">
      <c r="A16922" s="3" t="inlineStr">
        <is>
          <t>Opportunity Global Investment (PTY) LTD</t>
        </is>
      </c>
      <c r="B16922" s="4" t="n">
        <v>45260</v>
      </c>
      <c r="C16922" s="3" t="inlineStr">
        <is>
          <t>Expenses</t>
        </is>
      </c>
      <c r="D16922" s="3" t="inlineStr">
        <is>
          <t>4550/100</t>
        </is>
      </c>
      <c r="E16922" s="3" t="inlineStr">
        <is>
          <t>Subscriptions - Zoho</t>
        </is>
      </c>
      <c r="F16922" s="3" t="n">
        <v>1125</v>
      </c>
      <c r="G16922" s="3" t="n">
        <v>10125</v>
      </c>
    </row>
    <row r="16923">
      <c r="A16923" s="3" t="inlineStr">
        <is>
          <t>Opportunity Global Sales (PTY) LTD</t>
        </is>
      </c>
      <c r="B16923" s="4" t="n">
        <v>45260</v>
      </c>
      <c r="C16923" s="3" t="inlineStr">
        <is>
          <t>Expenses</t>
        </is>
      </c>
      <c r="D16923" s="3" t="inlineStr">
        <is>
          <t>4550/150</t>
        </is>
      </c>
      <c r="E16923" s="3" t="inlineStr">
        <is>
          <t>Subscription - Webbox</t>
        </is>
      </c>
      <c r="F16923" s="3" t="n">
        <v>0</v>
      </c>
      <c r="G16923" s="3" t="n">
        <v>6743</v>
      </c>
    </row>
    <row r="16924">
      <c r="A16924" s="3" t="inlineStr">
        <is>
          <t>Opportunity Global Investment (PTY) LTD</t>
        </is>
      </c>
      <c r="B16924" s="4" t="n">
        <v>45260</v>
      </c>
      <c r="C16924" s="3" t="inlineStr">
        <is>
          <t>Expenses</t>
        </is>
      </c>
      <c r="D16924" s="3" t="inlineStr">
        <is>
          <t>4550/250</t>
        </is>
      </c>
      <c r="E16924" s="3" t="inlineStr">
        <is>
          <t>Subscriptions - LinkedIn</t>
        </is>
      </c>
      <c r="F16924" s="3" t="n">
        <v>1000.49</v>
      </c>
      <c r="G16924" s="3" t="n">
        <v>10004.9</v>
      </c>
    </row>
    <row r="16925">
      <c r="A16925" s="3" t="inlineStr">
        <is>
          <t>Opportunity Global Investment (PTY) LTD</t>
        </is>
      </c>
      <c r="B16925" s="4" t="n">
        <v>45260</v>
      </c>
      <c r="C16925" s="3" t="inlineStr">
        <is>
          <t>Expenses</t>
        </is>
      </c>
      <c r="D16925" s="3" t="inlineStr">
        <is>
          <t>4550/350</t>
        </is>
      </c>
      <c r="E16925" s="3" t="inlineStr">
        <is>
          <t>Subscriptions - Xero</t>
        </is>
      </c>
      <c r="F16925" s="3" t="n">
        <v>600</v>
      </c>
      <c r="G16925" s="3" t="n">
        <v>5400</v>
      </c>
    </row>
    <row r="16926">
      <c r="A16926" s="3" t="inlineStr">
        <is>
          <t>Opportunity Global Investment (PTY) LTD</t>
        </is>
      </c>
      <c r="B16926" s="4" t="n">
        <v>45260</v>
      </c>
      <c r="C16926" s="3" t="inlineStr">
        <is>
          <t>Expenses</t>
        </is>
      </c>
      <c r="D16926" s="3" t="inlineStr">
        <is>
          <t>4550/400</t>
        </is>
      </c>
      <c r="E16926" s="3" t="inlineStr">
        <is>
          <t>Subscriptions - Moneyweb</t>
        </is>
      </c>
      <c r="F16926" s="3" t="n">
        <v>60.87</v>
      </c>
      <c r="G16926" s="3" t="n">
        <v>535.65</v>
      </c>
    </row>
    <row r="16927">
      <c r="A16927" s="3" t="inlineStr">
        <is>
          <t>Trademark Holdings (Pty) Ltd</t>
        </is>
      </c>
      <c r="B16927" s="4" t="n">
        <v>45260</v>
      </c>
      <c r="C16927" s="3" t="inlineStr">
        <is>
          <t>Expenses</t>
        </is>
      </c>
      <c r="D16927" s="3" t="inlineStr">
        <is>
          <t>4550/400</t>
        </is>
      </c>
      <c r="E16927" s="3" t="inlineStr">
        <is>
          <t>Subscriptions - Xero</t>
        </is>
      </c>
      <c r="F16927" s="3" t="n">
        <v>600</v>
      </c>
      <c r="G16927" s="3" t="n">
        <v>1800</v>
      </c>
    </row>
    <row r="16928">
      <c r="A16928" s="3" t="inlineStr">
        <is>
          <t>Opportunity Global Investment (PTY) LTD</t>
        </is>
      </c>
      <c r="B16928" s="4" t="n">
        <v>45260</v>
      </c>
      <c r="C16928" s="3" t="inlineStr">
        <is>
          <t>Expenses</t>
        </is>
      </c>
      <c r="D16928" s="3" t="inlineStr">
        <is>
          <t>4550/450</t>
        </is>
      </c>
      <c r="E16928" s="3" t="inlineStr">
        <is>
          <t>Subscriptions - Adobe</t>
        </is>
      </c>
      <c r="F16928" s="3" t="n">
        <v>604.54</v>
      </c>
      <c r="G16928" s="3" t="n">
        <v>5433.7</v>
      </c>
    </row>
    <row r="16929">
      <c r="A16929" s="3" t="inlineStr">
        <is>
          <t>Opportunity Global Investment (PTY) LTD</t>
        </is>
      </c>
      <c r="B16929" s="4" t="n">
        <v>45260</v>
      </c>
      <c r="C16929" s="3" t="inlineStr">
        <is>
          <t>Expenses</t>
        </is>
      </c>
      <c r="D16929" s="3" t="inlineStr">
        <is>
          <t>4550/500</t>
        </is>
      </c>
      <c r="E16929" s="3" t="inlineStr">
        <is>
          <t>Subscriptions - Pandadoc</t>
        </is>
      </c>
      <c r="F16929" s="3" t="n">
        <v>548.84</v>
      </c>
      <c r="G16929" s="3" t="n">
        <v>5034.41</v>
      </c>
    </row>
    <row r="16930">
      <c r="A16930" s="3" t="inlineStr">
        <is>
          <t>Noble Shield (Pty) Ltd ta Go Letting</t>
        </is>
      </c>
      <c r="B16930" s="4" t="n">
        <v>45260</v>
      </c>
      <c r="C16930" s="3" t="inlineStr">
        <is>
          <t>Expenses</t>
        </is>
      </c>
      <c r="D16930" s="3" t="inlineStr">
        <is>
          <t>4550/600</t>
        </is>
      </c>
      <c r="E16930" s="3" t="inlineStr">
        <is>
          <t>Subscriptions - Webbox</t>
        </is>
      </c>
      <c r="F16930" s="3" t="n">
        <v>1731.9</v>
      </c>
      <c r="G16930" s="3" t="n">
        <v>5152</v>
      </c>
    </row>
    <row r="16931">
      <c r="A16931" s="3" t="inlineStr">
        <is>
          <t>Noble Shield (Pty) Ltd ta Go Letting</t>
        </is>
      </c>
      <c r="B16931" s="4" t="n">
        <v>45260</v>
      </c>
      <c r="C16931" s="3" t="inlineStr">
        <is>
          <t>Expenses</t>
        </is>
      </c>
      <c r="D16931" s="3" t="inlineStr">
        <is>
          <t>4550/650</t>
        </is>
      </c>
      <c r="E16931" s="3" t="inlineStr">
        <is>
          <t>Subscriptions - Xero</t>
        </is>
      </c>
      <c r="F16931" s="3" t="n">
        <v>600</v>
      </c>
      <c r="G16931" s="3" t="n">
        <v>1800</v>
      </c>
    </row>
    <row r="16932">
      <c r="A16932" s="3" t="inlineStr">
        <is>
          <t>Noble Shield (Pty) Ltd ta Go Letting</t>
        </is>
      </c>
      <c r="B16932" s="4" t="n">
        <v>45260</v>
      </c>
      <c r="C16932" s="3" t="inlineStr">
        <is>
          <t>Expenses</t>
        </is>
      </c>
      <c r="D16932" s="3" t="inlineStr">
        <is>
          <t>4550/800</t>
        </is>
      </c>
      <c r="E16932" s="3" t="inlineStr">
        <is>
          <t>Subscriptions - Adobe</t>
        </is>
      </c>
      <c r="F16932" s="3" t="n">
        <v>0</v>
      </c>
      <c r="G16932" s="3" t="n">
        <v>914.5599999999999</v>
      </c>
    </row>
    <row r="16933">
      <c r="A16933" s="3" t="inlineStr">
        <is>
          <t>Opportunity Global Sales (PTY) LTD</t>
        </is>
      </c>
      <c r="B16933" s="4" t="n">
        <v>45260</v>
      </c>
      <c r="C16933" s="3" t="inlineStr">
        <is>
          <t>Expenses</t>
        </is>
      </c>
      <c r="D16933" s="3" t="inlineStr">
        <is>
          <t>4551/000</t>
        </is>
      </c>
      <c r="E16933" s="3" t="inlineStr">
        <is>
          <t>Subscriptions - Payprop</t>
        </is>
      </c>
      <c r="F16933" s="3" t="n">
        <v>1249.83</v>
      </c>
      <c r="G16933" s="3" t="n">
        <v>11510.12</v>
      </c>
    </row>
    <row r="16934">
      <c r="A16934" s="3" t="inlineStr">
        <is>
          <t>Quinate Consulting (Pty) Ltd</t>
        </is>
      </c>
      <c r="B16934" s="4" t="n">
        <v>45260</v>
      </c>
      <c r="C16934" s="3" t="inlineStr">
        <is>
          <t>Expenses</t>
        </is>
      </c>
      <c r="D16934" s="3" t="inlineStr">
        <is>
          <t>4552/000</t>
        </is>
      </c>
      <c r="E16934" s="3" t="inlineStr">
        <is>
          <t>Subscriptions - CIPC</t>
        </is>
      </c>
      <c r="F16934" s="3" t="n">
        <v>0</v>
      </c>
      <c r="G16934" s="3" t="n">
        <v>4050</v>
      </c>
    </row>
    <row r="16935">
      <c r="A16935" s="3" t="inlineStr">
        <is>
          <t>Endulini (Pty) Ltd</t>
        </is>
      </c>
      <c r="B16935" s="4" t="n">
        <v>45260</v>
      </c>
      <c r="C16935" s="3" t="inlineStr">
        <is>
          <t>Expenses</t>
        </is>
      </c>
      <c r="D16935" s="3" t="inlineStr">
        <is>
          <t>4552/000</t>
        </is>
      </c>
      <c r="E16935" s="3" t="inlineStr">
        <is>
          <t>Subscriptions - Xero</t>
        </is>
      </c>
      <c r="F16935" s="3" t="n">
        <v>600</v>
      </c>
      <c r="G16935" s="3" t="n">
        <v>5400</v>
      </c>
    </row>
    <row r="16936">
      <c r="A16936" s="3" t="inlineStr">
        <is>
          <t>Opportunity Global Sales (PTY) LTD</t>
        </is>
      </c>
      <c r="B16936" s="4" t="n">
        <v>45260</v>
      </c>
      <c r="C16936" s="3" t="inlineStr">
        <is>
          <t>Expenses</t>
        </is>
      </c>
      <c r="D16936" s="3" t="inlineStr">
        <is>
          <t>4552/000</t>
        </is>
      </c>
      <c r="E16936" s="3" t="inlineStr">
        <is>
          <t>Subscriptions - Xero</t>
        </is>
      </c>
      <c r="F16936" s="3" t="n">
        <v>600</v>
      </c>
      <c r="G16936" s="3" t="n">
        <v>5400</v>
      </c>
    </row>
    <row r="16937">
      <c r="A16937" s="3" t="inlineStr">
        <is>
          <t>Opportunity Management Holdings (PTY) LTD</t>
        </is>
      </c>
      <c r="B16937" s="4" t="n">
        <v>45260</v>
      </c>
      <c r="C16937" s="3" t="inlineStr">
        <is>
          <t>Expenses</t>
        </is>
      </c>
      <c r="D16937" s="3" t="inlineStr">
        <is>
          <t>4552/000</t>
        </is>
      </c>
      <c r="E16937" s="3" t="inlineStr">
        <is>
          <t>Subscriptions - Xero</t>
        </is>
      </c>
      <c r="F16937" s="3" t="n">
        <v>600</v>
      </c>
      <c r="G16937" s="3" t="n">
        <v>1800</v>
      </c>
    </row>
    <row r="16938">
      <c r="A16938" s="3" t="inlineStr">
        <is>
          <t>Opportunity Global Sales (PTY) LTD</t>
        </is>
      </c>
      <c r="B16938" s="4" t="n">
        <v>45260</v>
      </c>
      <c r="C16938" s="3" t="inlineStr">
        <is>
          <t>Expenses</t>
        </is>
      </c>
      <c r="D16938" s="3" t="inlineStr">
        <is>
          <t>4553/000</t>
        </is>
      </c>
      <c r="E16938" s="3" t="inlineStr">
        <is>
          <t>Subscriptions - CMA</t>
        </is>
      </c>
      <c r="F16938" s="3" t="n">
        <v>680</v>
      </c>
      <c r="G16938" s="3" t="n">
        <v>6120</v>
      </c>
    </row>
    <row r="16939">
      <c r="A16939" s="3" t="inlineStr">
        <is>
          <t>Quinate Consulting (Pty) Ltd</t>
        </is>
      </c>
      <c r="B16939" s="4" t="n">
        <v>45260</v>
      </c>
      <c r="C16939" s="3" t="inlineStr">
        <is>
          <t>Expenses</t>
        </is>
      </c>
      <c r="D16939" s="3" t="inlineStr">
        <is>
          <t>4554/000</t>
        </is>
      </c>
      <c r="E16939" s="3" t="inlineStr">
        <is>
          <t>Subscriptions - Xero</t>
        </is>
      </c>
      <c r="F16939" s="3" t="n">
        <v>600</v>
      </c>
      <c r="G16939" s="3" t="n">
        <v>5400</v>
      </c>
    </row>
    <row r="16940">
      <c r="A16940" s="3" t="inlineStr">
        <is>
          <t>Opportunity Global Sales (PTY) LTD</t>
        </is>
      </c>
      <c r="B16940" s="4" t="n">
        <v>45260</v>
      </c>
      <c r="C16940" s="3" t="inlineStr">
        <is>
          <t>Expenses</t>
        </is>
      </c>
      <c r="D16940" s="3" t="inlineStr">
        <is>
          <t>4554/000</t>
        </is>
      </c>
      <c r="E16940" s="3" t="inlineStr">
        <is>
          <t>Subscriptions - Zoho</t>
        </is>
      </c>
      <c r="F16940" s="3" t="n">
        <v>750</v>
      </c>
      <c r="G16940" s="3" t="n">
        <v>6750</v>
      </c>
    </row>
    <row r="16941">
      <c r="A16941" s="3" t="inlineStr">
        <is>
          <t>Quinate Consulting (Pty) Ltd</t>
        </is>
      </c>
      <c r="B16941" s="4" t="n">
        <v>45260</v>
      </c>
      <c r="C16941" s="3" t="inlineStr">
        <is>
          <t>Expenses</t>
        </is>
      </c>
      <c r="D16941" s="3" t="inlineStr">
        <is>
          <t>4555/000</t>
        </is>
      </c>
      <c r="E16941" s="3" t="inlineStr">
        <is>
          <t>Subscriptions - OUMS</t>
        </is>
      </c>
      <c r="F16941" s="3" t="n">
        <v>14232.79</v>
      </c>
      <c r="G16941" s="3" t="n">
        <v>75322.14999999999</v>
      </c>
    </row>
    <row r="16942">
      <c r="A16942" s="3" t="inlineStr">
        <is>
          <t>Opportunity Global Sales (PTY) LTD</t>
        </is>
      </c>
      <c r="B16942" s="4" t="n">
        <v>45260</v>
      </c>
      <c r="C16942" s="3" t="inlineStr">
        <is>
          <t>Expenses</t>
        </is>
      </c>
      <c r="D16942" s="3" t="inlineStr">
        <is>
          <t>4556/000</t>
        </is>
      </c>
      <c r="E16942" s="3" t="inlineStr">
        <is>
          <t>Subscription: Sjoon</t>
        </is>
      </c>
      <c r="F16942" s="3" t="n">
        <v>217.39</v>
      </c>
      <c r="G16942" s="3" t="n">
        <v>973.91</v>
      </c>
    </row>
    <row r="16943">
      <c r="A16943" s="3" t="inlineStr">
        <is>
          <t>Noble Shield (Pty) Ltd ta Go Letting</t>
        </is>
      </c>
      <c r="B16943" s="4" t="n">
        <v>45260</v>
      </c>
      <c r="C16943" s="3" t="inlineStr">
        <is>
          <t>Expenses</t>
        </is>
      </c>
      <c r="D16943" s="3" t="inlineStr">
        <is>
          <t>4560/000</t>
        </is>
      </c>
      <c r="E16943" s="3" t="inlineStr">
        <is>
          <t>Small Assets - under R7000</t>
        </is>
      </c>
      <c r="F16943" s="3" t="n">
        <v>6716</v>
      </c>
      <c r="G16943" s="3" t="n">
        <v>6716</v>
      </c>
    </row>
    <row r="16944">
      <c r="A16944" s="3" t="inlineStr">
        <is>
          <t>Opportunity Global Investment (PTY) LTD</t>
        </is>
      </c>
      <c r="B16944" s="4" t="n">
        <v>45260</v>
      </c>
      <c r="C16944" s="3" t="inlineStr">
        <is>
          <t>Expenses</t>
        </is>
      </c>
      <c r="D16944" s="3" t="inlineStr">
        <is>
          <t>4600/000</t>
        </is>
      </c>
      <c r="E16944" s="3" t="inlineStr">
        <is>
          <t>Telephone _AND_ Fax</t>
        </is>
      </c>
      <c r="F16944" s="3" t="n">
        <v>3355</v>
      </c>
      <c r="G16944" s="3" t="n">
        <v>30195</v>
      </c>
    </row>
    <row r="16945">
      <c r="A16945" s="3" t="inlineStr">
        <is>
          <t>Opportunity Management Holdings (PTY) LTD</t>
        </is>
      </c>
      <c r="B16945" s="4" t="n">
        <v>45260</v>
      </c>
      <c r="C16945" s="3" t="inlineStr">
        <is>
          <t>Expenses</t>
        </is>
      </c>
      <c r="D16945" s="3" t="inlineStr">
        <is>
          <t>4600/000</t>
        </is>
      </c>
      <c r="E16945" s="3" t="inlineStr">
        <is>
          <t>Telephone _AND_ Fax</t>
        </is>
      </c>
      <c r="F16945" s="3" t="n">
        <v>178.26</v>
      </c>
      <c r="G16945" s="3" t="n">
        <v>178.26</v>
      </c>
    </row>
    <row r="16946">
      <c r="A16946" s="3" t="inlineStr">
        <is>
          <t>Trademark Holdings (Pty) Ltd</t>
        </is>
      </c>
      <c r="B16946" s="4" t="n">
        <v>45260</v>
      </c>
      <c r="C16946" s="3" t="inlineStr">
        <is>
          <t>Expenses</t>
        </is>
      </c>
      <c r="D16946" s="3" t="inlineStr">
        <is>
          <t>4600/000</t>
        </is>
      </c>
      <c r="E16946" s="3" t="inlineStr">
        <is>
          <t>Telephone _AND_ Fax</t>
        </is>
      </c>
      <c r="F16946" s="3" t="n">
        <v>1181.22</v>
      </c>
      <c r="G16946" s="3" t="n">
        <v>3529.35</v>
      </c>
    </row>
    <row r="16947">
      <c r="A16947" s="3" t="inlineStr">
        <is>
          <t>Noble Shield (Pty) Ltd ta Go Letting</t>
        </is>
      </c>
      <c r="B16947" s="4" t="n">
        <v>45260</v>
      </c>
      <c r="C16947" s="3" t="inlineStr">
        <is>
          <t>Expenses</t>
        </is>
      </c>
      <c r="D16947" s="3" t="inlineStr">
        <is>
          <t>4610/000</t>
        </is>
      </c>
      <c r="E16947" s="3" t="inlineStr">
        <is>
          <t>Telephone - CT Office</t>
        </is>
      </c>
      <c r="F16947" s="3" t="n">
        <v>778.8</v>
      </c>
      <c r="G16947" s="3" t="n">
        <v>2285.42</v>
      </c>
    </row>
    <row r="16948">
      <c r="A16948" s="3" t="inlineStr">
        <is>
          <t>Opportunity Global Investment (PTY) LTD</t>
        </is>
      </c>
      <c r="B16948" s="4" t="n">
        <v>45260</v>
      </c>
      <c r="C16948" s="3" t="inlineStr">
        <is>
          <t>Expenses</t>
        </is>
      </c>
      <c r="D16948" s="3" t="inlineStr">
        <is>
          <t>4650/000</t>
        </is>
      </c>
      <c r="E16948" s="3" t="inlineStr">
        <is>
          <t>Travel _AND_ Accommodation</t>
        </is>
      </c>
      <c r="F16948" s="3" t="n">
        <v>0</v>
      </c>
      <c r="G16948" s="3" t="n">
        <v>3435.65</v>
      </c>
    </row>
    <row r="16949">
      <c r="A16949" s="3" t="inlineStr">
        <is>
          <t>Quinate Consulting (Pty) Ltd</t>
        </is>
      </c>
      <c r="B16949" s="4" t="n">
        <v>45260</v>
      </c>
      <c r="C16949" s="3" t="inlineStr">
        <is>
          <t>Expenses</t>
        </is>
      </c>
      <c r="D16949" s="3" t="inlineStr">
        <is>
          <t>4650/010</t>
        </is>
      </c>
      <c r="E16949" s="3" t="inlineStr">
        <is>
          <t>Travel - Local Flights</t>
        </is>
      </c>
      <c r="F16949" s="3" t="n">
        <v>0</v>
      </c>
      <c r="G16949" s="3" t="n">
        <v>6253.04</v>
      </c>
    </row>
    <row r="16950">
      <c r="A16950" s="3" t="inlineStr">
        <is>
          <t>Quinate Consulting (Pty) Ltd</t>
        </is>
      </c>
      <c r="B16950" s="4" t="n">
        <v>45260</v>
      </c>
      <c r="C16950" s="3" t="inlineStr">
        <is>
          <t>Expenses</t>
        </is>
      </c>
      <c r="D16950" s="3" t="inlineStr">
        <is>
          <t>4650/020</t>
        </is>
      </c>
      <c r="E16950" s="3" t="inlineStr">
        <is>
          <t>Travel - Local Accomodation - B_AND_B</t>
        </is>
      </c>
      <c r="F16950" s="3" t="n">
        <v>0</v>
      </c>
      <c r="G16950" s="3" t="n">
        <v>6998.26</v>
      </c>
    </row>
    <row r="16951">
      <c r="A16951" s="3" t="inlineStr">
        <is>
          <t>Opportunity Global Investment (PTY) LTD</t>
        </is>
      </c>
      <c r="B16951" s="4" t="n">
        <v>45260</v>
      </c>
      <c r="C16951" s="3" t="inlineStr">
        <is>
          <t>Expenses</t>
        </is>
      </c>
      <c r="D16951" s="3" t="inlineStr">
        <is>
          <t>4650/020</t>
        </is>
      </c>
      <c r="E16951" s="3" t="inlineStr">
        <is>
          <t>Travel Accomodation - Car Hire</t>
        </is>
      </c>
      <c r="F16951" s="3" t="n">
        <v>0</v>
      </c>
      <c r="G16951" s="3" t="n">
        <v>1581.74</v>
      </c>
    </row>
    <row r="16952">
      <c r="A16952" s="3" t="inlineStr">
        <is>
          <t>Quinate Consulting (Pty) Ltd</t>
        </is>
      </c>
      <c r="B16952" s="4" t="n">
        <v>45260</v>
      </c>
      <c r="C16952" s="3" t="inlineStr">
        <is>
          <t>Expenses</t>
        </is>
      </c>
      <c r="D16952" s="3" t="inlineStr">
        <is>
          <t>4650/030</t>
        </is>
      </c>
      <c r="E16952" s="3" t="inlineStr">
        <is>
          <t>Travel - Parking</t>
        </is>
      </c>
      <c r="F16952" s="3" t="n">
        <v>0</v>
      </c>
      <c r="G16952" s="3" t="n">
        <v>10</v>
      </c>
    </row>
    <row r="16953">
      <c r="A16953" s="3" t="inlineStr">
        <is>
          <t>Opportunity Global Investment (PTY) LTD</t>
        </is>
      </c>
      <c r="B16953" s="4" t="n">
        <v>45260</v>
      </c>
      <c r="C16953" s="3" t="inlineStr">
        <is>
          <t>Expenses</t>
        </is>
      </c>
      <c r="D16953" s="3" t="inlineStr">
        <is>
          <t>4650/030</t>
        </is>
      </c>
      <c r="E16953" s="3" t="inlineStr">
        <is>
          <t>Travel _AND_ Accomodation - Local Accom</t>
        </is>
      </c>
      <c r="F16953" s="3" t="n">
        <v>0</v>
      </c>
      <c r="G16953" s="3" t="n">
        <v>1282.6</v>
      </c>
    </row>
    <row r="16954">
      <c r="A16954" s="3" t="inlineStr">
        <is>
          <t>Quinate Consulting (Pty) Ltd</t>
        </is>
      </c>
      <c r="B16954" s="4" t="n">
        <v>45260</v>
      </c>
      <c r="C16954" s="3" t="inlineStr">
        <is>
          <t>Expenses</t>
        </is>
      </c>
      <c r="D16954" s="3" t="inlineStr">
        <is>
          <t>4650/040</t>
        </is>
      </c>
      <c r="E16954" s="3" t="inlineStr">
        <is>
          <t>Travel - Local Car Hire</t>
        </is>
      </c>
      <c r="F16954" s="3" t="n">
        <v>0</v>
      </c>
      <c r="G16954" s="3" t="n">
        <v>510.6</v>
      </c>
    </row>
    <row r="16955">
      <c r="A16955" s="3" t="inlineStr">
        <is>
          <t>Opportunity Global Investment (PTY) LTD</t>
        </is>
      </c>
      <c r="B16955" s="4" t="n">
        <v>45260</v>
      </c>
      <c r="C16955" s="3" t="inlineStr">
        <is>
          <t>Expenses</t>
        </is>
      </c>
      <c r="D16955" s="3" t="inlineStr">
        <is>
          <t>4650/090</t>
        </is>
      </c>
      <c r="E16955" s="3" t="inlineStr">
        <is>
          <t>Travel &amp; Accom - Fuel</t>
        </is>
      </c>
      <c r="F16955" s="3" t="n">
        <v>0</v>
      </c>
      <c r="G16955" s="3" t="n">
        <v>5643.5</v>
      </c>
    </row>
    <row r="16956">
      <c r="A16956" s="3" t="inlineStr">
        <is>
          <t>Opportunity Global Investment (PTY) LTD</t>
        </is>
      </c>
      <c r="B16956" s="4" t="n">
        <v>45260</v>
      </c>
      <c r="C16956" s="3" t="inlineStr">
        <is>
          <t>Expenses</t>
        </is>
      </c>
      <c r="D16956" s="3" t="inlineStr">
        <is>
          <t>4650/100</t>
        </is>
      </c>
      <c r="E16956" s="3" t="inlineStr">
        <is>
          <t>Travel &amp; Accomodation: Uber</t>
        </is>
      </c>
      <c r="F16956" s="3" t="n">
        <v>0</v>
      </c>
      <c r="G16956" s="3" t="n">
        <v>1609</v>
      </c>
    </row>
    <row r="16957">
      <c r="A16957" s="3" t="inlineStr">
        <is>
          <t>Noble Shield (Pty) Ltd ta Go Letting</t>
        </is>
      </c>
      <c r="B16957" s="4" t="n">
        <v>45260</v>
      </c>
      <c r="C16957" s="3" t="inlineStr">
        <is>
          <t>Expenses</t>
        </is>
      </c>
      <c r="D16957" s="3" t="inlineStr">
        <is>
          <t>4700/000</t>
        </is>
      </c>
      <c r="E16957" s="3" t="inlineStr">
        <is>
          <t>PAYE Contributions</t>
        </is>
      </c>
      <c r="F16957" s="3" t="n">
        <v>4984.39</v>
      </c>
      <c r="G16957" s="3" t="n">
        <v>14873.73</v>
      </c>
    </row>
    <row r="16958">
      <c r="A16958" s="3" t="inlineStr">
        <is>
          <t>Trademark Holdings (Pty) Ltd</t>
        </is>
      </c>
      <c r="B16958" s="4" t="n">
        <v>45260</v>
      </c>
      <c r="C16958" s="3" t="inlineStr">
        <is>
          <t>Expenses</t>
        </is>
      </c>
      <c r="D16958" s="3" t="inlineStr">
        <is>
          <t>4700/000</t>
        </is>
      </c>
      <c r="E16958" s="3" t="inlineStr">
        <is>
          <t>PAYE Contributions</t>
        </is>
      </c>
      <c r="F16958" s="3" t="n">
        <v>5396.06</v>
      </c>
      <c r="G16958" s="3" t="n">
        <v>15455.79</v>
      </c>
    </row>
    <row r="16959">
      <c r="A16959" s="3" t="inlineStr">
        <is>
          <t>Opportunity Global Investment (PTY) LTD</t>
        </is>
      </c>
      <c r="B16959" s="4" t="n">
        <v>45260</v>
      </c>
      <c r="C16959" s="3" t="inlineStr">
        <is>
          <t>Expenses</t>
        </is>
      </c>
      <c r="D16959" s="3" t="inlineStr">
        <is>
          <t>4700/000</t>
        </is>
      </c>
      <c r="E16959" s="3" t="inlineStr">
        <is>
          <t>UIF Contributions</t>
        </is>
      </c>
      <c r="F16959" s="3" t="n">
        <v>177.12</v>
      </c>
      <c r="G16959" s="3" t="n">
        <v>1594.08</v>
      </c>
    </row>
    <row r="16960">
      <c r="A16960" s="3" t="inlineStr">
        <is>
          <t>Opportunity Global Sales (PTY) LTD</t>
        </is>
      </c>
      <c r="B16960" s="4" t="n">
        <v>45260</v>
      </c>
      <c r="C16960" s="3" t="inlineStr">
        <is>
          <t>Expenses</t>
        </is>
      </c>
      <c r="D16960" s="3" t="inlineStr">
        <is>
          <t>4700/000</t>
        </is>
      </c>
      <c r="E16960" s="3" t="inlineStr">
        <is>
          <t>UIF Contributions</t>
        </is>
      </c>
      <c r="F16960" s="3" t="n">
        <v>135</v>
      </c>
      <c r="G16960" s="3" t="n">
        <v>2631.96</v>
      </c>
    </row>
    <row r="16961">
      <c r="A16961" s="3" t="inlineStr">
        <is>
          <t>Opportunity Global Sales (PTY) LTD</t>
        </is>
      </c>
      <c r="B16961" s="4" t="n">
        <v>45260</v>
      </c>
      <c r="C16961" s="3" t="inlineStr">
        <is>
          <t>Expenses</t>
        </is>
      </c>
      <c r="D16961" s="3" t="inlineStr">
        <is>
          <t>4701/000</t>
        </is>
      </c>
      <c r="E16961" s="3" t="inlineStr">
        <is>
          <t>UIF Employee Contribution</t>
        </is>
      </c>
      <c r="F16961" s="3" t="n">
        <v>135</v>
      </c>
      <c r="G16961" s="3" t="n">
        <v>2631.96</v>
      </c>
    </row>
    <row r="16962">
      <c r="A16962" s="3" t="inlineStr">
        <is>
          <t>Opportunity Global Investment (PTY) LTD</t>
        </is>
      </c>
      <c r="B16962" s="4" t="n">
        <v>45260</v>
      </c>
      <c r="C16962" s="3" t="inlineStr">
        <is>
          <t>Expenses</t>
        </is>
      </c>
      <c r="D16962" s="3" t="inlineStr">
        <is>
          <t>4701/000</t>
        </is>
      </c>
      <c r="E16962" s="3" t="inlineStr">
        <is>
          <t>UIF Employee Contributions</t>
        </is>
      </c>
      <c r="F16962" s="3" t="n">
        <v>177.12</v>
      </c>
      <c r="G16962" s="3" t="n">
        <v>1594.08</v>
      </c>
    </row>
    <row r="16963">
      <c r="A16963" s="3" t="inlineStr">
        <is>
          <t>Noble Shield (Pty) Ltd ta Go Letting</t>
        </is>
      </c>
      <c r="B16963" s="4" t="n">
        <v>45260</v>
      </c>
      <c r="C16963" s="3" t="inlineStr">
        <is>
          <t>Expenses</t>
        </is>
      </c>
      <c r="D16963" s="3" t="inlineStr">
        <is>
          <t>4710/000</t>
        </is>
      </c>
      <c r="E16963" s="3" t="inlineStr">
        <is>
          <t>UIF Company Contributions</t>
        </is>
      </c>
      <c r="F16963" s="3" t="n">
        <v>245.25</v>
      </c>
      <c r="G16963" s="3" t="n">
        <v>735.75</v>
      </c>
    </row>
    <row r="16964">
      <c r="A16964" s="3" t="inlineStr">
        <is>
          <t>Trademark Holdings (Pty) Ltd</t>
        </is>
      </c>
      <c r="B16964" s="4" t="n">
        <v>45260</v>
      </c>
      <c r="C16964" s="3" t="inlineStr">
        <is>
          <t>Expenses</t>
        </is>
      </c>
      <c r="D16964" s="3" t="inlineStr">
        <is>
          <t>4710/000</t>
        </is>
      </c>
      <c r="E16964" s="3" t="inlineStr">
        <is>
          <t>UIF Company Contributions</t>
        </is>
      </c>
      <c r="F16964" s="3" t="n">
        <v>95.25</v>
      </c>
      <c r="G16964" s="3" t="n">
        <v>285.75</v>
      </c>
    </row>
    <row r="16965">
      <c r="A16965" s="3" t="inlineStr">
        <is>
          <t>Noble Shield (Pty) Ltd ta Go Letting</t>
        </is>
      </c>
      <c r="B16965" s="4" t="n">
        <v>45260</v>
      </c>
      <c r="C16965" s="3" t="inlineStr">
        <is>
          <t>Expenses</t>
        </is>
      </c>
      <c r="D16965" s="3" t="inlineStr">
        <is>
          <t>4711/000</t>
        </is>
      </c>
      <c r="E16965" s="3" t="inlineStr">
        <is>
          <t>UIF Employee Contribution</t>
        </is>
      </c>
      <c r="F16965" s="3" t="n">
        <v>245.25</v>
      </c>
      <c r="G16965" s="3" t="n">
        <v>735.75</v>
      </c>
    </row>
    <row r="16966">
      <c r="A16966" s="3" t="inlineStr">
        <is>
          <t>Trademark Holdings (Pty) Ltd</t>
        </is>
      </c>
      <c r="B16966" s="4" t="n">
        <v>45260</v>
      </c>
      <c r="C16966" s="3" t="inlineStr">
        <is>
          <t>Expenses</t>
        </is>
      </c>
      <c r="D16966" s="3" t="inlineStr">
        <is>
          <t>4711/000</t>
        </is>
      </c>
      <c r="E16966" s="3" t="inlineStr">
        <is>
          <t>UIF Employee Contributions</t>
        </is>
      </c>
      <c r="F16966" s="3" t="n">
        <v>95.25</v>
      </c>
      <c r="G16966" s="3" t="n">
        <v>285.75</v>
      </c>
    </row>
    <row r="16967">
      <c r="A16967" s="3" t="inlineStr">
        <is>
          <t>Noble Shield (Pty) Ltd ta Go Letting</t>
        </is>
      </c>
      <c r="B16967" s="4" t="n">
        <v>45260</v>
      </c>
      <c r="C16967" s="3" t="inlineStr">
        <is>
          <t>Expenses</t>
        </is>
      </c>
      <c r="D16967" s="3" t="inlineStr">
        <is>
          <t>4720/000</t>
        </is>
      </c>
      <c r="E16967" s="3" t="inlineStr">
        <is>
          <t>SDL Contributions</t>
        </is>
      </c>
      <c r="F16967" s="3" t="n">
        <v>443.76</v>
      </c>
      <c r="G16967" s="3" t="n">
        <v>1328.21</v>
      </c>
    </row>
    <row r="16968">
      <c r="A16968" s="3" t="inlineStr">
        <is>
          <t>Trademark Holdings (Pty) Ltd</t>
        </is>
      </c>
      <c r="B16968" s="4" t="n">
        <v>45260</v>
      </c>
      <c r="C16968" s="3" t="inlineStr">
        <is>
          <t>Expenses</t>
        </is>
      </c>
      <c r="D16968" s="3" t="inlineStr">
        <is>
          <t>4720/000</t>
        </is>
      </c>
      <c r="E16968" s="3" t="inlineStr">
        <is>
          <t>SDL Contributions</t>
        </is>
      </c>
      <c r="F16968" s="3" t="n">
        <v>323.57</v>
      </c>
      <c r="G16968" s="3" t="n">
        <v>942.5599999999999</v>
      </c>
    </row>
    <row r="16969">
      <c r="A16969" s="3" t="inlineStr">
        <is>
          <t>Opportunity Global Investment (PTY) LTD</t>
        </is>
      </c>
      <c r="B16969" s="4" t="n">
        <v>45260</v>
      </c>
      <c r="C16969" s="3" t="inlineStr">
        <is>
          <t>Expenses</t>
        </is>
      </c>
      <c r="D16969" s="3" t="inlineStr">
        <is>
          <t>4730/000</t>
        </is>
      </c>
      <c r="E16969" s="3" t="inlineStr">
        <is>
          <t>PAYE Contributions</t>
        </is>
      </c>
      <c r="F16969" s="3" t="n">
        <v>8822.27</v>
      </c>
      <c r="G16969" s="3" t="n">
        <v>79400.39999999999</v>
      </c>
    </row>
    <row r="16970">
      <c r="A16970" s="3" t="inlineStr">
        <is>
          <t>Opportunity Global Sales (PTY) LTD</t>
        </is>
      </c>
      <c r="B16970" s="4" t="n">
        <v>45260</v>
      </c>
      <c r="C16970" s="3" t="inlineStr">
        <is>
          <t>Expenses</t>
        </is>
      </c>
      <c r="D16970" s="3" t="inlineStr">
        <is>
          <t>4730/000</t>
        </is>
      </c>
      <c r="E16970" s="3" t="inlineStr">
        <is>
          <t>PAYE Contributions</t>
        </is>
      </c>
      <c r="F16970" s="3" t="n">
        <v>5996.83</v>
      </c>
      <c r="G16970" s="3" t="n">
        <v>79763.5</v>
      </c>
    </row>
    <row r="16971">
      <c r="A16971" s="3" t="inlineStr">
        <is>
          <t>Opportunity Management Holdings (PTY) LTD</t>
        </is>
      </c>
      <c r="B16971" s="4" t="n">
        <v>45260</v>
      </c>
      <c r="C16971" s="3" t="inlineStr">
        <is>
          <t>Expenses</t>
        </is>
      </c>
      <c r="D16971" s="3" t="inlineStr">
        <is>
          <t>4730/000</t>
        </is>
      </c>
      <c r="E16971" s="3" t="inlineStr">
        <is>
          <t>PAYE Contributions</t>
        </is>
      </c>
      <c r="F16971" s="3" t="n">
        <v>38258.77</v>
      </c>
      <c r="G16971" s="3" t="n">
        <v>124179.78</v>
      </c>
    </row>
    <row r="16972">
      <c r="A16972" s="3" t="inlineStr">
        <is>
          <t>Opportunity Global Investment (PTY) LTD</t>
        </is>
      </c>
      <c r="B16972" s="4" t="n">
        <v>45260</v>
      </c>
      <c r="C16972" s="3" t="inlineStr">
        <is>
          <t>Expenses</t>
        </is>
      </c>
      <c r="D16972" s="3" t="inlineStr">
        <is>
          <t>4740/000</t>
        </is>
      </c>
      <c r="E16972" s="3" t="inlineStr">
        <is>
          <t>SDL Contributions</t>
        </is>
      </c>
      <c r="F16972" s="3" t="n">
        <v>431.1</v>
      </c>
      <c r="G16972" s="3" t="n">
        <v>3879.9</v>
      </c>
    </row>
    <row r="16973">
      <c r="A16973" s="3" t="inlineStr">
        <is>
          <t>Opportunity Global Sales (PTY) LTD</t>
        </is>
      </c>
      <c r="B16973" s="4" t="n">
        <v>45260</v>
      </c>
      <c r="C16973" s="3" t="inlineStr">
        <is>
          <t>Expenses</t>
        </is>
      </c>
      <c r="D16973" s="3" t="inlineStr">
        <is>
          <t>4740/000</t>
        </is>
      </c>
      <c r="E16973" s="3" t="inlineStr">
        <is>
          <t>SDL Contributions</t>
        </is>
      </c>
      <c r="F16973" s="3" t="n">
        <v>1741.6</v>
      </c>
      <c r="G16973" s="3" t="n">
        <v>17903.41</v>
      </c>
    </row>
    <row r="16974">
      <c r="A16974" s="3" t="inlineStr">
        <is>
          <t>Opportunity Management Holdings (PTY) LTD</t>
        </is>
      </c>
      <c r="B16974" s="4" t="n">
        <v>45260</v>
      </c>
      <c r="C16974" s="3" t="inlineStr">
        <is>
          <t>Expenses</t>
        </is>
      </c>
      <c r="D16974" s="3" t="inlineStr">
        <is>
          <t>4740/000</t>
        </is>
      </c>
      <c r="E16974" s="3" t="inlineStr">
        <is>
          <t>UIF Company Contribution</t>
        </is>
      </c>
      <c r="F16974" s="3" t="n">
        <v>1584.8</v>
      </c>
      <c r="G16974" s="3" t="n">
        <v>4749</v>
      </c>
    </row>
    <row r="16975">
      <c r="A16975" s="3" t="inlineStr">
        <is>
          <t>Opportunity Management Holdings (PTY) LTD</t>
        </is>
      </c>
      <c r="B16975" s="4" t="n">
        <v>45260</v>
      </c>
      <c r="C16975" s="3" t="inlineStr">
        <is>
          <t>Expenses</t>
        </is>
      </c>
      <c r="D16975" s="3" t="inlineStr">
        <is>
          <t>4741/000</t>
        </is>
      </c>
      <c r="E16975" s="3" t="inlineStr">
        <is>
          <t>UIF Employee Contribution</t>
        </is>
      </c>
      <c r="F16975" s="3" t="n">
        <v>1584.8</v>
      </c>
      <c r="G16975" s="3" t="n">
        <v>4749</v>
      </c>
    </row>
    <row r="16976">
      <c r="A16976" s="3" t="inlineStr">
        <is>
          <t>Opportunity Management Holdings (PTY) LTD</t>
        </is>
      </c>
      <c r="B16976" s="4" t="n">
        <v>45260</v>
      </c>
      <c r="C16976" s="3" t="inlineStr">
        <is>
          <t>Expenses</t>
        </is>
      </c>
      <c r="D16976" s="3" t="inlineStr">
        <is>
          <t>4750/000</t>
        </is>
      </c>
      <c r="E16976" s="3" t="inlineStr">
        <is>
          <t>SDL Contribution</t>
        </is>
      </c>
      <c r="F16976" s="3" t="n">
        <v>2391.2</v>
      </c>
      <c r="G16976" s="3" t="n">
        <v>7168.2</v>
      </c>
    </row>
    <row r="16977">
      <c r="A16977" s="3" t="inlineStr">
        <is>
          <t>Noble Shield (Pty) Ltd ta Go Letting</t>
        </is>
      </c>
      <c r="B16977" s="4" t="n">
        <v>45260</v>
      </c>
      <c r="C16977" s="3" t="inlineStr">
        <is>
          <t>Equity</t>
        </is>
      </c>
      <c r="D16977" s="3" t="inlineStr">
        <is>
          <t>5100/000</t>
        </is>
      </c>
      <c r="E16977" s="3" t="inlineStr">
        <is>
          <t>Share Capital</t>
        </is>
      </c>
      <c r="F16977" s="3" t="n">
        <v>0</v>
      </c>
      <c r="G16977" s="3" t="n">
        <v>-1</v>
      </c>
    </row>
    <row r="16978">
      <c r="A16978" s="3" t="inlineStr">
        <is>
          <t>Opportunity Management Holdings (PTY) LTD</t>
        </is>
      </c>
      <c r="B16978" s="4" t="n">
        <v>45260</v>
      </c>
      <c r="C16978" s="3" t="inlineStr">
        <is>
          <t>Equity</t>
        </is>
      </c>
      <c r="D16978" s="3" t="inlineStr">
        <is>
          <t>5100/000</t>
        </is>
      </c>
      <c r="E16978" s="3" t="inlineStr">
        <is>
          <t>Share Capital / Members Contribution</t>
        </is>
      </c>
      <c r="F16978" s="3" t="n">
        <v>0</v>
      </c>
      <c r="G16978" s="3" t="n">
        <v>-120</v>
      </c>
    </row>
    <row r="16979">
      <c r="A16979" s="3" t="inlineStr">
        <is>
          <t>Quinate Consulting (Pty) Ltd</t>
        </is>
      </c>
      <c r="B16979" s="4" t="n">
        <v>45260</v>
      </c>
      <c r="C16979" s="3" t="inlineStr">
        <is>
          <t>Equity</t>
        </is>
      </c>
      <c r="D16979" s="3" t="inlineStr">
        <is>
          <t>5100/000</t>
        </is>
      </c>
      <c r="E16979" s="3" t="inlineStr">
        <is>
          <t>Share Capital / Members Contribution</t>
        </is>
      </c>
      <c r="F16979" s="3" t="n">
        <v>0</v>
      </c>
      <c r="G16979" s="3" t="n">
        <v>-120</v>
      </c>
    </row>
    <row r="16980">
      <c r="A16980" s="3" t="inlineStr">
        <is>
          <t>Trademark Holdings (Pty) Ltd</t>
        </is>
      </c>
      <c r="B16980" s="4" t="n">
        <v>45260</v>
      </c>
      <c r="C16980" s="3" t="inlineStr">
        <is>
          <t>Equity</t>
        </is>
      </c>
      <c r="D16980" s="3" t="inlineStr">
        <is>
          <t>5100/001</t>
        </is>
      </c>
      <c r="E16980" s="3" t="inlineStr">
        <is>
          <t>Share Capital - GFY Investments</t>
        </is>
      </c>
      <c r="F16980" s="3" t="n">
        <v>0</v>
      </c>
      <c r="G16980" s="3" t="n">
        <v>-60</v>
      </c>
    </row>
    <row r="16981">
      <c r="A16981" s="3" t="inlineStr">
        <is>
          <t>Trademark Holdings (Pty) Ltd</t>
        </is>
      </c>
      <c r="B16981" s="4" t="n">
        <v>45260</v>
      </c>
      <c r="C16981" s="3" t="inlineStr">
        <is>
          <t>Equity</t>
        </is>
      </c>
      <c r="D16981" s="3" t="inlineStr">
        <is>
          <t>5100/002</t>
        </is>
      </c>
      <c r="E16981" s="3" t="inlineStr">
        <is>
          <t>Share Capital - Zak Trust</t>
        </is>
      </c>
      <c r="F16981" s="3" t="n">
        <v>0</v>
      </c>
      <c r="G16981" s="3" t="n">
        <v>-60</v>
      </c>
    </row>
    <row r="16982">
      <c r="A16982" s="3" t="inlineStr">
        <is>
          <t>Opportunity Global Investment (PTY) LTD</t>
        </is>
      </c>
      <c r="B16982" s="4" t="n">
        <v>45260</v>
      </c>
      <c r="C16982" s="3" t="inlineStr">
        <is>
          <t>Equity</t>
        </is>
      </c>
      <c r="D16982" s="3" t="inlineStr">
        <is>
          <t>5101/000</t>
        </is>
      </c>
      <c r="E16982" s="3" t="inlineStr">
        <is>
          <t>Share Capital - Ordinary Type A</t>
        </is>
      </c>
      <c r="F16982" s="3" t="n">
        <v>0</v>
      </c>
      <c r="G16982" s="3" t="n">
        <v>-70</v>
      </c>
    </row>
    <row r="16983">
      <c r="A16983" s="3" t="inlineStr">
        <is>
          <t>Opportunity Global Investment (PTY) LTD</t>
        </is>
      </c>
      <c r="B16983" s="4" t="n">
        <v>45260</v>
      </c>
      <c r="C16983" s="3" t="inlineStr">
        <is>
          <t>Equity</t>
        </is>
      </c>
      <c r="D16983" s="3" t="inlineStr">
        <is>
          <t>5102/000</t>
        </is>
      </c>
      <c r="E16983" s="3" t="inlineStr">
        <is>
          <t>Share Capital - Ordinary Type B</t>
        </is>
      </c>
      <c r="F16983" s="3" t="n">
        <v>0</v>
      </c>
      <c r="G16983" s="3" t="n">
        <v>-30</v>
      </c>
    </row>
    <row r="16984">
      <c r="A16984" s="3" t="inlineStr">
        <is>
          <t>Endulini (Pty) Ltd</t>
        </is>
      </c>
      <c r="B16984" s="4" t="n">
        <v>45260</v>
      </c>
      <c r="C16984" s="3" t="inlineStr">
        <is>
          <t>Equity</t>
        </is>
      </c>
      <c r="D16984" s="3" t="inlineStr">
        <is>
          <t>5200/000</t>
        </is>
      </c>
      <c r="E16984" s="3" t="inlineStr">
        <is>
          <t>Retained Earnings / Loss</t>
        </is>
      </c>
      <c r="F16984" s="3" t="n">
        <v>0</v>
      </c>
      <c r="G16984" s="3" t="n">
        <v>-6017232.05</v>
      </c>
    </row>
    <row r="16985">
      <c r="A16985" s="3" t="inlineStr">
        <is>
          <t>Noble Shield (Pty) Ltd ta Go Letting</t>
        </is>
      </c>
      <c r="B16985" s="4" t="n">
        <v>45260</v>
      </c>
      <c r="C16985" s="3" t="inlineStr">
        <is>
          <t>Equity</t>
        </is>
      </c>
      <c r="D16985" s="3" t="inlineStr">
        <is>
          <t>5200/000</t>
        </is>
      </c>
      <c r="E16985" s="3" t="inlineStr">
        <is>
          <t>Retained Earnings / Loss</t>
        </is>
      </c>
      <c r="F16985" s="3" t="n">
        <v>0</v>
      </c>
      <c r="G16985" s="3" t="n">
        <v>-91943.62</v>
      </c>
    </row>
    <row r="16986">
      <c r="A16986" s="3" t="inlineStr">
        <is>
          <t>Opportunity Global Investment (PTY) LTD</t>
        </is>
      </c>
      <c r="B16986" s="4" t="n">
        <v>45260</v>
      </c>
      <c r="C16986" s="3" t="inlineStr">
        <is>
          <t>Equity</t>
        </is>
      </c>
      <c r="D16986" s="3" t="inlineStr">
        <is>
          <t>5200/000</t>
        </is>
      </c>
      <c r="E16986" s="3" t="inlineStr">
        <is>
          <t>Retained Earnings / Loss</t>
        </is>
      </c>
      <c r="F16986" s="3" t="n">
        <v>0</v>
      </c>
      <c r="G16986" s="3" t="n">
        <v>2134849.73</v>
      </c>
    </row>
    <row r="16987">
      <c r="A16987" s="3" t="inlineStr">
        <is>
          <t>Opportunity Global Sales (PTY) LTD</t>
        </is>
      </c>
      <c r="B16987" s="4" t="n">
        <v>45260</v>
      </c>
      <c r="C16987" s="3" t="inlineStr">
        <is>
          <t>Equity</t>
        </is>
      </c>
      <c r="D16987" s="3" t="inlineStr">
        <is>
          <t>5200/000</t>
        </is>
      </c>
      <c r="E16987" s="3" t="inlineStr">
        <is>
          <t>Retained Earnings / Loss</t>
        </is>
      </c>
      <c r="F16987" s="3" t="n">
        <v>0</v>
      </c>
      <c r="G16987" s="3" t="n">
        <v>-2287097.79</v>
      </c>
    </row>
    <row r="16988">
      <c r="A16988" s="3" t="inlineStr">
        <is>
          <t>Opportunity Management Holdings (PTY) LTD</t>
        </is>
      </c>
      <c r="B16988" s="4" t="n">
        <v>45260</v>
      </c>
      <c r="C16988" s="3" t="inlineStr">
        <is>
          <t>Equity</t>
        </is>
      </c>
      <c r="D16988" s="3" t="inlineStr">
        <is>
          <t>5200/000</t>
        </is>
      </c>
      <c r="E16988" s="3" t="inlineStr">
        <is>
          <t>Retained Earnings / Loss</t>
        </is>
      </c>
      <c r="F16988" s="3" t="n">
        <v>0</v>
      </c>
      <c r="G16988" s="3" t="n">
        <v>1215864.15</v>
      </c>
    </row>
    <row r="16989">
      <c r="A16989" s="3" t="inlineStr">
        <is>
          <t>Quinate Consulting (Pty) Ltd</t>
        </is>
      </c>
      <c r="B16989" s="4" t="n">
        <v>45260</v>
      </c>
      <c r="C16989" s="3" t="inlineStr">
        <is>
          <t>Equity</t>
        </is>
      </c>
      <c r="D16989" s="3" t="inlineStr">
        <is>
          <t>5200/000</t>
        </is>
      </c>
      <c r="E16989" s="3" t="inlineStr">
        <is>
          <t>Retained Earnings / Loss</t>
        </is>
      </c>
      <c r="F16989" s="3" t="n">
        <v>0</v>
      </c>
      <c r="G16989" s="3" t="n">
        <v>1549164.28</v>
      </c>
    </row>
    <row r="16990">
      <c r="A16990" s="3" t="inlineStr">
        <is>
          <t>Trademark Holdings (Pty) Ltd</t>
        </is>
      </c>
      <c r="B16990" s="4" t="n">
        <v>45260</v>
      </c>
      <c r="C16990" s="3" t="inlineStr">
        <is>
          <t>Equity</t>
        </is>
      </c>
      <c r="D16990" s="3" t="inlineStr">
        <is>
          <t>5200/000</t>
        </is>
      </c>
      <c r="E16990" s="3" t="inlineStr">
        <is>
          <t>Retained Earnings / Loss</t>
        </is>
      </c>
      <c r="F16990" s="3" t="n">
        <v>0</v>
      </c>
      <c r="G16990" s="3" t="n">
        <v>-163666.44</v>
      </c>
    </row>
    <row r="16991">
      <c r="A16991" s="3" t="inlineStr">
        <is>
          <t>Quinate Consulting (Pty) Ltd</t>
        </is>
      </c>
      <c r="B16991" s="4" t="n">
        <v>45260</v>
      </c>
      <c r="C16991" s="3" t="inlineStr">
        <is>
          <t>Assets</t>
        </is>
      </c>
      <c r="D16991" s="3" t="inlineStr">
        <is>
          <t>5400/011</t>
        </is>
      </c>
      <c r="E16991" s="3" t="inlineStr">
        <is>
          <t>Members Loan - Nick Morgan</t>
        </is>
      </c>
      <c r="F16991" s="3" t="n">
        <v>0</v>
      </c>
      <c r="G16991" s="3" t="n">
        <v>-85743.69</v>
      </c>
    </row>
    <row r="16992">
      <c r="A16992" s="3" t="inlineStr">
        <is>
          <t>Opportunity Management Holdings (PTY) LTD</t>
        </is>
      </c>
      <c r="B16992" s="4" t="n">
        <v>45260</v>
      </c>
      <c r="C16992" s="3" t="inlineStr">
        <is>
          <t>Assets</t>
        </is>
      </c>
      <c r="D16992" s="3" t="inlineStr">
        <is>
          <t>5400/500</t>
        </is>
      </c>
      <c r="E16992" s="3" t="inlineStr">
        <is>
          <t>Shareholder - Zak Loan</t>
        </is>
      </c>
      <c r="F16992" s="3" t="n">
        <v>0</v>
      </c>
      <c r="G16992" s="3" t="n">
        <v>-171798.21</v>
      </c>
    </row>
    <row r="16993">
      <c r="A16993" s="3" t="inlineStr">
        <is>
          <t>Quinate Consulting (Pty) Ltd</t>
        </is>
      </c>
      <c r="B16993" s="4" t="n">
        <v>45260</v>
      </c>
      <c r="C16993" s="3" t="inlineStr">
        <is>
          <t>Liabilities</t>
        </is>
      </c>
      <c r="D16993" s="3" t="inlineStr">
        <is>
          <t>5500/010</t>
        </is>
      </c>
      <c r="E16993" s="3" t="inlineStr">
        <is>
          <t>Loan - Wynand Haywood</t>
        </is>
      </c>
      <c r="F16993" s="3" t="n">
        <v>0</v>
      </c>
      <c r="G16993" s="3" t="n">
        <v>1928.67</v>
      </c>
    </row>
    <row r="16994">
      <c r="A16994" s="3" t="inlineStr">
        <is>
          <t>Quinate Consulting (Pty) Ltd</t>
        </is>
      </c>
      <c r="B16994" s="4" t="n">
        <v>45260</v>
      </c>
      <c r="C16994" s="3" t="inlineStr">
        <is>
          <t>Liabilities</t>
        </is>
      </c>
      <c r="D16994" s="3" t="inlineStr">
        <is>
          <t>5500/023</t>
        </is>
      </c>
      <c r="E16994" s="3" t="inlineStr">
        <is>
          <t>Loan - Noble Shield 1 Security Trust</t>
        </is>
      </c>
      <c r="F16994" s="3" t="n">
        <v>500</v>
      </c>
      <c r="G16994" s="3" t="n">
        <v>600</v>
      </c>
    </row>
    <row r="16995">
      <c r="A16995" s="3" t="inlineStr">
        <is>
          <t>Quinate Consulting (Pty) Ltd</t>
        </is>
      </c>
      <c r="B16995" s="4" t="n">
        <v>45260</v>
      </c>
      <c r="C16995" s="3" t="inlineStr">
        <is>
          <t>Liabilities</t>
        </is>
      </c>
      <c r="D16995" s="3" t="inlineStr">
        <is>
          <t>5500/025</t>
        </is>
      </c>
      <c r="E16995" s="3" t="inlineStr">
        <is>
          <t>Loan - Noble Shield 2 Security Trust</t>
        </is>
      </c>
      <c r="F16995" s="3" t="n">
        <v>0</v>
      </c>
      <c r="G16995" s="3" t="n">
        <v>250</v>
      </c>
    </row>
    <row r="16996">
      <c r="A16996" s="3" t="inlineStr">
        <is>
          <t>Quinate Consulting (Pty) Ltd</t>
        </is>
      </c>
      <c r="B16996" s="4" t="n">
        <v>45260</v>
      </c>
      <c r="C16996" s="3" t="inlineStr">
        <is>
          <t>Liabilities</t>
        </is>
      </c>
      <c r="D16996" s="3" t="inlineStr">
        <is>
          <t>5500/030</t>
        </is>
      </c>
      <c r="E16996" s="3" t="inlineStr">
        <is>
          <t>Loan - Heron Projects</t>
        </is>
      </c>
      <c r="F16996" s="3" t="n">
        <v>4200</v>
      </c>
      <c r="G16996" s="3" t="n">
        <v>28400</v>
      </c>
    </row>
    <row r="16997">
      <c r="A16997" s="3" t="inlineStr">
        <is>
          <t>Opportunity Global Investment (PTY) LTD</t>
        </is>
      </c>
      <c r="B16997" s="4" t="n">
        <v>45260</v>
      </c>
      <c r="C16997" s="3" t="inlineStr">
        <is>
          <t>Liabilities</t>
        </is>
      </c>
      <c r="D16997" s="3" t="inlineStr">
        <is>
          <t>5500/100</t>
        </is>
      </c>
      <c r="E16997" s="3" t="inlineStr">
        <is>
          <t>Loan - Cape Projects Construction</t>
        </is>
      </c>
      <c r="F16997" s="3" t="n">
        <v>-200000</v>
      </c>
      <c r="G16997" s="3" t="n">
        <v>2001000</v>
      </c>
    </row>
    <row r="16998">
      <c r="A16998" s="3" t="inlineStr">
        <is>
          <t>Noble Shield (Pty) Ltd ta Go Letting</t>
        </is>
      </c>
      <c r="B16998" s="4" t="n">
        <v>45260</v>
      </c>
      <c r="C16998" s="3" t="inlineStr">
        <is>
          <t>Liabilities</t>
        </is>
      </c>
      <c r="D16998" s="3" t="inlineStr">
        <is>
          <t>5500/100</t>
        </is>
      </c>
      <c r="E16998" s="3" t="inlineStr">
        <is>
          <t>Loan - Jupiter Trust</t>
        </is>
      </c>
      <c r="F16998" s="3" t="n">
        <v>0</v>
      </c>
      <c r="G16998" s="3" t="n">
        <v>-100228.75</v>
      </c>
    </row>
    <row r="16999">
      <c r="A16999" s="3" t="inlineStr">
        <is>
          <t>Opportunity Management Holdings (PTY) LTD</t>
        </is>
      </c>
      <c r="B16999" s="4" t="n">
        <v>45260</v>
      </c>
      <c r="C16999" s="3" t="inlineStr">
        <is>
          <t>Liabilities</t>
        </is>
      </c>
      <c r="D16999" s="3" t="inlineStr">
        <is>
          <t>5500/100</t>
        </is>
      </c>
      <c r="E16999" s="3" t="inlineStr">
        <is>
          <t>Loan - Opportunity Global</t>
        </is>
      </c>
      <c r="F16999" s="3" t="n">
        <v>0</v>
      </c>
      <c r="G16999" s="3" t="n">
        <v>-20000</v>
      </c>
    </row>
    <row r="17000">
      <c r="A17000" s="3" t="inlineStr">
        <is>
          <t>Endulini (Pty) Ltd</t>
        </is>
      </c>
      <c r="B17000" s="4" t="n">
        <v>45260</v>
      </c>
      <c r="C17000" s="3" t="inlineStr">
        <is>
          <t>Liabilities</t>
        </is>
      </c>
      <c r="D17000" s="3" t="inlineStr">
        <is>
          <t>5500/100</t>
        </is>
      </c>
      <c r="E17000" s="3" t="inlineStr">
        <is>
          <t>Loan - Quinate Consulting</t>
        </is>
      </c>
      <c r="F17000" s="3" t="n">
        <v>2111434.4</v>
      </c>
      <c r="G17000" s="3" t="n">
        <v>-7096757.73</v>
      </c>
    </row>
    <row r="17001">
      <c r="A17001" s="3" t="inlineStr">
        <is>
          <t>Endulini (Pty) Ltd</t>
        </is>
      </c>
      <c r="B17001" s="4" t="n">
        <v>45260</v>
      </c>
      <c r="C17001" s="3" t="inlineStr">
        <is>
          <t>Liabilities</t>
        </is>
      </c>
      <c r="D17001" s="3" t="inlineStr">
        <is>
          <t>5500/150</t>
        </is>
      </c>
      <c r="E17001" s="3" t="inlineStr">
        <is>
          <t>Loan - Cape Projects Construction</t>
        </is>
      </c>
      <c r="F17001" s="3" t="n">
        <v>-1130500</v>
      </c>
      <c r="G17001" s="3" t="n">
        <v>-19121500</v>
      </c>
    </row>
    <row r="17002">
      <c r="A17002" s="3" t="inlineStr">
        <is>
          <t>Quinate Consulting (Pty) Ltd</t>
        </is>
      </c>
      <c r="B17002" s="4" t="n">
        <v>45260</v>
      </c>
      <c r="C17002" s="3" t="inlineStr">
        <is>
          <t>Liabilities</t>
        </is>
      </c>
      <c r="D17002" s="3" t="inlineStr">
        <is>
          <t>5500/160</t>
        </is>
      </c>
      <c r="E17002" s="3" t="inlineStr">
        <is>
          <t>Loan - GFY Investment and Consulting</t>
        </is>
      </c>
      <c r="F17002" s="3" t="n">
        <v>0</v>
      </c>
      <c r="G17002" s="3" t="n">
        <v>-1750249.93</v>
      </c>
    </row>
    <row r="17003">
      <c r="A17003" s="3" t="inlineStr">
        <is>
          <t>Opportunity Management Holdings (PTY) LTD</t>
        </is>
      </c>
      <c r="B17003" s="4" t="n">
        <v>45260</v>
      </c>
      <c r="C17003" s="3" t="inlineStr">
        <is>
          <t>Liabilities</t>
        </is>
      </c>
      <c r="D17003" s="3" t="inlineStr">
        <is>
          <t>5500/200</t>
        </is>
      </c>
      <c r="E17003" s="3" t="inlineStr">
        <is>
          <t>Loan - Cape Projects</t>
        </is>
      </c>
      <c r="F17003" s="3" t="n">
        <v>40000</v>
      </c>
      <c r="G17003" s="3" t="n">
        <v>-37399</v>
      </c>
    </row>
    <row r="17004">
      <c r="A17004" s="3" t="inlineStr">
        <is>
          <t>Endulini (Pty) Ltd</t>
        </is>
      </c>
      <c r="B17004" s="4" t="n">
        <v>45260</v>
      </c>
      <c r="C17004" s="3" t="inlineStr">
        <is>
          <t>Liabilities</t>
        </is>
      </c>
      <c r="D17004" s="3" t="inlineStr">
        <is>
          <t>5500/200</t>
        </is>
      </c>
      <c r="E17004" s="3" t="inlineStr">
        <is>
          <t>Loan - Opportunity Management Holdings</t>
        </is>
      </c>
      <c r="F17004" s="3" t="n">
        <v>10000</v>
      </c>
      <c r="G17004" s="3" t="n">
        <v>0</v>
      </c>
    </row>
    <row r="17005">
      <c r="A17005" s="3" t="inlineStr">
        <is>
          <t>Trademark Holdings (Pty) Ltd</t>
        </is>
      </c>
      <c r="B17005" s="4" t="n">
        <v>45260</v>
      </c>
      <c r="C17005" s="3" t="inlineStr">
        <is>
          <t>Liabilities</t>
        </is>
      </c>
      <c r="D17005" s="3" t="inlineStr">
        <is>
          <t>5500/250</t>
        </is>
      </c>
      <c r="E17005" s="3" t="inlineStr">
        <is>
          <t>Loan - Noble Shield</t>
        </is>
      </c>
      <c r="F17005" s="3" t="n">
        <v>-40000</v>
      </c>
      <c r="G17005" s="3" t="n">
        <v>75165.59</v>
      </c>
    </row>
    <row r="17006">
      <c r="A17006" s="3" t="inlineStr">
        <is>
          <t>Opportunity Management Holdings (PTY) LTD</t>
        </is>
      </c>
      <c r="B17006" s="4" t="n">
        <v>45260</v>
      </c>
      <c r="C17006" s="3" t="inlineStr">
        <is>
          <t>Liabilities</t>
        </is>
      </c>
      <c r="D17006" s="3" t="inlineStr">
        <is>
          <t>5500/250</t>
        </is>
      </c>
      <c r="E17006" s="3" t="inlineStr">
        <is>
          <t>Loan - Quinate</t>
        </is>
      </c>
      <c r="F17006" s="3" t="n">
        <v>0</v>
      </c>
      <c r="G17006" s="3" t="n">
        <v>-20000</v>
      </c>
    </row>
    <row r="17007">
      <c r="A17007" s="3" t="inlineStr">
        <is>
          <t>Quinate Consulting (Pty) Ltd</t>
        </is>
      </c>
      <c r="B17007" s="4" t="n">
        <v>45260</v>
      </c>
      <c r="C17007" s="3" t="inlineStr">
        <is>
          <t>Liabilities</t>
        </is>
      </c>
      <c r="D17007" s="3" t="inlineStr">
        <is>
          <t>5500/300</t>
        </is>
      </c>
      <c r="E17007" s="3" t="inlineStr">
        <is>
          <t>Loan - Gengis</t>
        </is>
      </c>
      <c r="F17007" s="3" t="n">
        <v>-3402.74</v>
      </c>
      <c r="G17007" s="3" t="n">
        <v>-336574.79</v>
      </c>
    </row>
    <row r="17008">
      <c r="A17008" s="3" t="inlineStr">
        <is>
          <t>Opportunity Management Holdings (PTY) LTD</t>
        </is>
      </c>
      <c r="B17008" s="4" t="n">
        <v>45260</v>
      </c>
      <c r="C17008" s="3" t="inlineStr">
        <is>
          <t>Liabilities</t>
        </is>
      </c>
      <c r="D17008" s="3" t="inlineStr">
        <is>
          <t>5500/300</t>
        </is>
      </c>
      <c r="E17008" s="3" t="inlineStr">
        <is>
          <t>Loan - Opportunity Prop Management</t>
        </is>
      </c>
      <c r="F17008" s="3" t="n">
        <v>0</v>
      </c>
      <c r="G17008" s="3" t="n">
        <v>-1220204.15</v>
      </c>
    </row>
    <row r="17009">
      <c r="A17009" s="3" t="inlineStr">
        <is>
          <t>Noble Shield (Pty) Ltd ta Go Letting</t>
        </is>
      </c>
      <c r="B17009" s="4" t="n">
        <v>45260</v>
      </c>
      <c r="C17009" s="3" t="inlineStr">
        <is>
          <t>Liabilities</t>
        </is>
      </c>
      <c r="D17009" s="3" t="inlineStr">
        <is>
          <t>5500/300</t>
        </is>
      </c>
      <c r="E17009" s="3" t="inlineStr">
        <is>
          <t>Loan - Trademark Holdings</t>
        </is>
      </c>
      <c r="F17009" s="3" t="n">
        <v>40000</v>
      </c>
      <c r="G17009" s="3" t="n">
        <v>-75165.59</v>
      </c>
    </row>
    <row r="17010">
      <c r="A17010" s="3" t="inlineStr">
        <is>
          <t>Opportunity Management Holdings (PTY) LTD</t>
        </is>
      </c>
      <c r="B17010" s="4" t="n">
        <v>45260</v>
      </c>
      <c r="C17010" s="3" t="inlineStr">
        <is>
          <t>Liabilities</t>
        </is>
      </c>
      <c r="D17010" s="3" t="inlineStr">
        <is>
          <t>5500/350</t>
        </is>
      </c>
      <c r="E17010" s="3" t="inlineStr">
        <is>
          <t>Loan - Endulini</t>
        </is>
      </c>
      <c r="F17010" s="3" t="n">
        <v>-10000</v>
      </c>
      <c r="G17010" s="3" t="n">
        <v>0</v>
      </c>
    </row>
    <row r="17011">
      <c r="A17011" s="3" t="inlineStr">
        <is>
          <t>Opportunity Global Investment (PTY) LTD</t>
        </is>
      </c>
      <c r="B17011" s="4" t="n">
        <v>45260</v>
      </c>
      <c r="C17011" s="3" t="inlineStr">
        <is>
          <t>Liabilities</t>
        </is>
      </c>
      <c r="D17011" s="3" t="inlineStr">
        <is>
          <t>5500/350</t>
        </is>
      </c>
      <c r="E17011" s="3" t="inlineStr">
        <is>
          <t>Loan - Opportunity Management Holdings</t>
        </is>
      </c>
      <c r="F17011" s="3" t="n">
        <v>0</v>
      </c>
      <c r="G17011" s="3" t="n">
        <v>500</v>
      </c>
    </row>
    <row r="17012">
      <c r="A17012" s="3" t="inlineStr">
        <is>
          <t>Trademark Holdings (Pty) Ltd</t>
        </is>
      </c>
      <c r="B17012" s="4" t="n">
        <v>45260</v>
      </c>
      <c r="C17012" s="3" t="inlineStr">
        <is>
          <t>Liabilities</t>
        </is>
      </c>
      <c r="D17012" s="3" t="inlineStr">
        <is>
          <t>5500/350</t>
        </is>
      </c>
      <c r="E17012" s="3" t="inlineStr">
        <is>
          <t>Loan - Quinate Consulting</t>
        </is>
      </c>
      <c r="F17012" s="3" t="n">
        <v>-16413.38</v>
      </c>
      <c r="G17012" s="3" t="n">
        <v>-16413.38</v>
      </c>
    </row>
    <row r="17013">
      <c r="A17013" s="3" t="inlineStr">
        <is>
          <t>Trademark Holdings (Pty) Ltd</t>
        </is>
      </c>
      <c r="B17013" s="4" t="n">
        <v>45260</v>
      </c>
      <c r="C17013" s="3" t="inlineStr">
        <is>
          <t>Liabilities</t>
        </is>
      </c>
      <c r="D17013" s="3" t="inlineStr">
        <is>
          <t>5500/375</t>
        </is>
      </c>
      <c r="E17013" s="3" t="inlineStr">
        <is>
          <t>Loan - Opportunity Management Holdings Pty Ltd</t>
        </is>
      </c>
      <c r="F17013" s="3" t="n">
        <v>0</v>
      </c>
      <c r="G17013" s="3" t="n">
        <v>88800</v>
      </c>
    </row>
    <row r="17014">
      <c r="A17014" s="3" t="inlineStr">
        <is>
          <t>Trademark Holdings (Pty) Ltd</t>
        </is>
      </c>
      <c r="B17014" s="4" t="n">
        <v>45260</v>
      </c>
      <c r="C17014" s="3" t="inlineStr">
        <is>
          <t>Liabilities</t>
        </is>
      </c>
      <c r="D17014" s="3" t="inlineStr">
        <is>
          <t>5500/450</t>
        </is>
      </c>
      <c r="E17014" s="3" t="inlineStr">
        <is>
          <t>Loan - Cape Projects Construction</t>
        </is>
      </c>
      <c r="F17014" s="3" t="n">
        <v>56800</v>
      </c>
      <c r="G17014" s="3" t="n">
        <v>19400</v>
      </c>
    </row>
    <row r="17015">
      <c r="A17015" s="3" t="inlineStr">
        <is>
          <t>Trademark Holdings (Pty) Ltd</t>
        </is>
      </c>
      <c r="B17015" s="4" t="n">
        <v>45260</v>
      </c>
      <c r="C17015" s="3" t="inlineStr">
        <is>
          <t>Liabilities</t>
        </is>
      </c>
      <c r="D17015" s="3" t="inlineStr">
        <is>
          <t>5500/500</t>
        </is>
      </c>
      <c r="E17015" s="3" t="inlineStr">
        <is>
          <t>Go Letting Brand Name</t>
        </is>
      </c>
      <c r="F17015" s="3" t="n">
        <v>0</v>
      </c>
      <c r="G17015" s="3" t="n">
        <v>93420</v>
      </c>
    </row>
    <row r="17016">
      <c r="A17016" s="3" t="inlineStr">
        <is>
          <t>Noble Shield (Pty) Ltd ta Go Letting</t>
        </is>
      </c>
      <c r="B17016" s="4" t="n">
        <v>45260</v>
      </c>
      <c r="C17016" s="3" t="inlineStr">
        <is>
          <t>Liabilities</t>
        </is>
      </c>
      <c r="D17016" s="3" t="inlineStr">
        <is>
          <t>5500/500</t>
        </is>
      </c>
      <c r="E17016" s="3" t="inlineStr">
        <is>
          <t>Loan - Cape Projects Construction</t>
        </is>
      </c>
      <c r="F17016" s="3" t="n">
        <v>96800</v>
      </c>
      <c r="G17016" s="3" t="n">
        <v>201989.44</v>
      </c>
    </row>
    <row r="17017">
      <c r="A17017" s="3" t="inlineStr">
        <is>
          <t>Quinate Consulting (Pty) Ltd</t>
        </is>
      </c>
      <c r="B17017" s="4" t="n">
        <v>45260</v>
      </c>
      <c r="C17017" s="3" t="inlineStr">
        <is>
          <t>Liabilities</t>
        </is>
      </c>
      <c r="D17017" s="3" t="inlineStr">
        <is>
          <t>5500/500</t>
        </is>
      </c>
      <c r="E17017" s="3" t="inlineStr">
        <is>
          <t>Loan - Opportunity Development Struct.</t>
        </is>
      </c>
      <c r="F17017" s="3" t="n">
        <v>0</v>
      </c>
      <c r="G17017" s="3" t="n">
        <v>-2380000</v>
      </c>
    </row>
    <row r="17018">
      <c r="A17018" s="3" t="inlineStr">
        <is>
          <t>Opportunity Management Holdings (PTY) LTD</t>
        </is>
      </c>
      <c r="B17018" s="4" t="n">
        <v>45260</v>
      </c>
      <c r="C17018" s="3" t="inlineStr">
        <is>
          <t>Liabilities</t>
        </is>
      </c>
      <c r="D17018" s="3" t="inlineStr">
        <is>
          <t>5500/500</t>
        </is>
      </c>
      <c r="E17018" s="3" t="inlineStr">
        <is>
          <t>Loan - Opportunity Tradermark Holdings</t>
        </is>
      </c>
      <c r="F17018" s="3" t="n">
        <v>0</v>
      </c>
      <c r="G17018" s="3" t="n">
        <v>-88800</v>
      </c>
    </row>
    <row r="17019">
      <c r="A17019" s="3" t="inlineStr">
        <is>
          <t>Quinate Consulting (Pty) Ltd</t>
        </is>
      </c>
      <c r="B17019" s="4" t="n">
        <v>45260</v>
      </c>
      <c r="C17019" s="3" t="inlineStr">
        <is>
          <t>Liabilities</t>
        </is>
      </c>
      <c r="D17019" s="3" t="inlineStr">
        <is>
          <t>5500/520</t>
        </is>
      </c>
      <c r="E17019" s="3" t="inlineStr">
        <is>
          <t>Loan - Opportunity Management Holdings</t>
        </is>
      </c>
      <c r="F17019" s="3" t="n">
        <v>0</v>
      </c>
      <c r="G17019" s="3" t="n">
        <v>16100</v>
      </c>
    </row>
    <row r="17020">
      <c r="A17020" s="3" t="inlineStr">
        <is>
          <t>Opportunity Management Holdings (PTY) LTD</t>
        </is>
      </c>
      <c r="B17020" s="4" t="n">
        <v>45260</v>
      </c>
      <c r="C17020" s="3" t="inlineStr">
        <is>
          <t>Liabilities</t>
        </is>
      </c>
      <c r="D17020" s="3" t="inlineStr">
        <is>
          <t>5500/550</t>
        </is>
      </c>
      <c r="E17020" s="3" t="inlineStr">
        <is>
          <t>Loan - Heron Projects</t>
        </is>
      </c>
      <c r="F17020" s="3" t="n">
        <v>0</v>
      </c>
      <c r="G17020" s="3" t="n">
        <v>-65100</v>
      </c>
    </row>
    <row r="17021">
      <c r="A17021" s="3" t="inlineStr">
        <is>
          <t>Noble Shield (Pty) Ltd ta Go Letting</t>
        </is>
      </c>
      <c r="B17021" s="4" t="n">
        <v>45260</v>
      </c>
      <c r="C17021" s="3" t="inlineStr">
        <is>
          <t>Liabilities</t>
        </is>
      </c>
      <c r="D17021" s="3" t="inlineStr">
        <is>
          <t>5500/600</t>
        </is>
      </c>
      <c r="E17021" s="3" t="inlineStr">
        <is>
          <t>Loan - Heron Projects</t>
        </is>
      </c>
      <c r="F17021" s="3" t="n">
        <v>-20370.22</v>
      </c>
      <c r="G17021" s="3" t="n">
        <v>0</v>
      </c>
    </row>
    <row r="17022">
      <c r="A17022" s="3" t="inlineStr">
        <is>
          <t>Opportunity Global Investment (PTY) LTD</t>
        </is>
      </c>
      <c r="B17022" s="4" t="n">
        <v>45260</v>
      </c>
      <c r="C17022" s="3" t="inlineStr">
        <is>
          <t>Liabilities</t>
        </is>
      </c>
      <c r="D17022" s="3" t="inlineStr">
        <is>
          <t>5500/650</t>
        </is>
      </c>
      <c r="E17022" s="3" t="inlineStr">
        <is>
          <t>Loan - Opportunit Global - Sales</t>
        </is>
      </c>
      <c r="F17022" s="3" t="n">
        <v>2058.83</v>
      </c>
      <c r="G17022" s="3" t="n">
        <v>-3724866.75</v>
      </c>
    </row>
    <row r="17023">
      <c r="A17023" s="3" t="inlineStr">
        <is>
          <t>Opportunity Global Sales (PTY) LTD</t>
        </is>
      </c>
      <c r="B17023" s="4" t="n">
        <v>45260</v>
      </c>
      <c r="C17023" s="3" t="inlineStr">
        <is>
          <t>Liabilities</t>
        </is>
      </c>
      <c r="D17023" s="3" t="inlineStr">
        <is>
          <t>5500/650</t>
        </is>
      </c>
      <c r="E17023" s="3" t="inlineStr">
        <is>
          <t>Loan - Opportunity Investments</t>
        </is>
      </c>
      <c r="F17023" s="3" t="n">
        <v>37941.17</v>
      </c>
      <c r="G17023" s="3" t="n">
        <v>3764866.75</v>
      </c>
    </row>
    <row r="17024">
      <c r="A17024" s="3" t="inlineStr">
        <is>
          <t>Opportunity Management Holdings (PTY) LTD</t>
        </is>
      </c>
      <c r="B17024" s="4" t="n">
        <v>45260</v>
      </c>
      <c r="C17024" s="3" t="inlineStr">
        <is>
          <t>Liabilities</t>
        </is>
      </c>
      <c r="D17024" s="3" t="inlineStr">
        <is>
          <t>5500/700</t>
        </is>
      </c>
      <c r="E17024" s="3" t="inlineStr">
        <is>
          <t>Loan - Go Letting</t>
        </is>
      </c>
      <c r="F17024" s="3" t="n">
        <v>0</v>
      </c>
      <c r="G17024" s="3" t="n">
        <v>-120</v>
      </c>
    </row>
    <row r="17025">
      <c r="A17025" s="3" t="inlineStr">
        <is>
          <t>Quinate Consulting (Pty) Ltd</t>
        </is>
      </c>
      <c r="B17025" s="4" t="n">
        <v>45260</v>
      </c>
      <c r="C17025" s="3" t="inlineStr">
        <is>
          <t>Liabilities</t>
        </is>
      </c>
      <c r="D17025" s="3" t="inlineStr">
        <is>
          <t>5500/700</t>
        </is>
      </c>
      <c r="E17025" s="3" t="inlineStr">
        <is>
          <t>Loan - Trademark Holdings</t>
        </is>
      </c>
      <c r="F17025" s="3" t="n">
        <v>16413.38</v>
      </c>
      <c r="G17025" s="3" t="n">
        <v>16413.38</v>
      </c>
    </row>
    <row r="17026">
      <c r="A17026" s="3" t="inlineStr">
        <is>
          <t>Opportunity Global Investment (PTY) LTD</t>
        </is>
      </c>
      <c r="B17026" s="4" t="n">
        <v>45260</v>
      </c>
      <c r="C17026" s="3" t="inlineStr">
        <is>
          <t>Liabilities</t>
        </is>
      </c>
      <c r="D17026" s="3" t="inlineStr">
        <is>
          <t>5500/750</t>
        </is>
      </c>
      <c r="E17026" s="3" t="inlineStr">
        <is>
          <t>Loan - Heron Projects</t>
        </is>
      </c>
      <c r="F17026" s="3" t="n">
        <v>-50000</v>
      </c>
      <c r="G17026" s="3" t="n">
        <v>-1973000</v>
      </c>
    </row>
    <row r="17027">
      <c r="A17027" s="3" t="inlineStr">
        <is>
          <t>Opportunity Global Investment (PTY) LTD</t>
        </is>
      </c>
      <c r="B17027" s="4" t="n">
        <v>45260</v>
      </c>
      <c r="C17027" s="3" t="inlineStr">
        <is>
          <t>Liabilities</t>
        </is>
      </c>
      <c r="D17027" s="3" t="inlineStr">
        <is>
          <t>5500/850</t>
        </is>
      </c>
      <c r="E17027" s="3" t="inlineStr">
        <is>
          <t>Loan - Nick Morgan</t>
        </is>
      </c>
      <c r="F17027" s="3" t="n">
        <v>0</v>
      </c>
      <c r="G17027" s="3" t="n">
        <v>6200</v>
      </c>
    </row>
    <row r="17028">
      <c r="A17028" s="3" t="inlineStr">
        <is>
          <t>Quinate Consulting (Pty) Ltd</t>
        </is>
      </c>
      <c r="B17028" s="4" t="n">
        <v>45260</v>
      </c>
      <c r="C17028" s="3" t="inlineStr">
        <is>
          <t>Liabilities</t>
        </is>
      </c>
      <c r="D17028" s="3" t="inlineStr">
        <is>
          <t>5501/000</t>
        </is>
      </c>
      <c r="E17028" s="3" t="inlineStr">
        <is>
          <t>Loan - Endulini Project</t>
        </is>
      </c>
      <c r="F17028" s="3" t="n">
        <v>0</v>
      </c>
      <c r="G17028" s="3" t="n">
        <v>-2756.97</v>
      </c>
    </row>
    <row r="17029">
      <c r="A17029" s="3" t="inlineStr">
        <is>
          <t>Quinate Consulting (Pty) Ltd</t>
        </is>
      </c>
      <c r="B17029" s="4" t="n">
        <v>45260</v>
      </c>
      <c r="C17029" s="3" t="inlineStr">
        <is>
          <t>Liabilities</t>
        </is>
      </c>
      <c r="D17029" s="3" t="inlineStr">
        <is>
          <t>5501/001</t>
        </is>
      </c>
      <c r="E17029" s="3" t="inlineStr">
        <is>
          <t>Loan - Endulini CIP Costs</t>
        </is>
      </c>
      <c r="F17029" s="3" t="n">
        <v>-2111434.4</v>
      </c>
      <c r="G17029" s="3" t="n">
        <v>7099514.7</v>
      </c>
    </row>
    <row r="17030">
      <c r="A17030" s="3" t="inlineStr">
        <is>
          <t>Noble Shield (Pty) Ltd ta Go Letting</t>
        </is>
      </c>
      <c r="B17030" s="4" t="n">
        <v>45260</v>
      </c>
      <c r="C17030" s="3" t="inlineStr">
        <is>
          <t>Assets</t>
        </is>
      </c>
      <c r="D17030" s="3" t="inlineStr">
        <is>
          <t>6250/010</t>
        </is>
      </c>
      <c r="E17030" s="3" t="inlineStr">
        <is>
          <t>Computer Equipment - @ Cost</t>
        </is>
      </c>
      <c r="F17030" s="3" t="n">
        <v>0</v>
      </c>
      <c r="G17030" s="3" t="n">
        <v>20397</v>
      </c>
    </row>
    <row r="17031">
      <c r="A17031" s="3" t="inlineStr">
        <is>
          <t>Opportunity Global Investment (PTY) LTD</t>
        </is>
      </c>
      <c r="B17031" s="4" t="n">
        <v>45260</v>
      </c>
      <c r="C17031" s="3" t="inlineStr">
        <is>
          <t>Assets</t>
        </is>
      </c>
      <c r="D17031" s="3" t="inlineStr">
        <is>
          <t>6250/010</t>
        </is>
      </c>
      <c r="E17031" s="3" t="inlineStr">
        <is>
          <t>Computer Equipment - @ Cost</t>
        </is>
      </c>
      <c r="F17031" s="3" t="n">
        <v>0</v>
      </c>
      <c r="G17031" s="3" t="n">
        <v>31683.04</v>
      </c>
    </row>
    <row r="17032">
      <c r="A17032" s="3" t="inlineStr">
        <is>
          <t>Opportunity Management Holdings (PTY) LTD</t>
        </is>
      </c>
      <c r="B17032" s="4" t="n">
        <v>45260</v>
      </c>
      <c r="C17032" s="3" t="inlineStr">
        <is>
          <t>Assets</t>
        </is>
      </c>
      <c r="D17032" s="3" t="inlineStr">
        <is>
          <t>6250/010</t>
        </is>
      </c>
      <c r="E17032" s="3" t="inlineStr">
        <is>
          <t>Computer Equipment - @ Cost</t>
        </is>
      </c>
      <c r="F17032" s="3" t="n">
        <v>0</v>
      </c>
      <c r="G17032" s="3" t="n">
        <v>52177.85</v>
      </c>
    </row>
    <row r="17033">
      <c r="A17033" s="3" t="inlineStr">
        <is>
          <t>Quinate Consulting (Pty) Ltd</t>
        </is>
      </c>
      <c r="B17033" s="4" t="n">
        <v>45260</v>
      </c>
      <c r="C17033" s="3" t="inlineStr">
        <is>
          <t>Assets</t>
        </is>
      </c>
      <c r="D17033" s="3" t="inlineStr">
        <is>
          <t>6250/010</t>
        </is>
      </c>
      <c r="E17033" s="3" t="inlineStr">
        <is>
          <t>Computer Equipment - @ Cost</t>
        </is>
      </c>
      <c r="F17033" s="3" t="n">
        <v>0</v>
      </c>
      <c r="G17033" s="3" t="n">
        <v>137059.7</v>
      </c>
    </row>
    <row r="17034">
      <c r="A17034" s="3" t="inlineStr">
        <is>
          <t>Noble Shield (Pty) Ltd ta Go Letting</t>
        </is>
      </c>
      <c r="B17034" s="4" t="n">
        <v>45260</v>
      </c>
      <c r="C17034" s="3" t="inlineStr">
        <is>
          <t>Assets</t>
        </is>
      </c>
      <c r="D17034" s="3" t="inlineStr">
        <is>
          <t>6250/020</t>
        </is>
      </c>
      <c r="E17034" s="3" t="inlineStr">
        <is>
          <t>Computer Equipment - Accum Depre</t>
        </is>
      </c>
      <c r="F17034" s="3" t="n">
        <v>0</v>
      </c>
      <c r="G17034" s="3" t="n">
        <v>-12040.89</v>
      </c>
    </row>
    <row r="17035">
      <c r="A17035" s="3" t="inlineStr">
        <is>
          <t>Opportunity Global Investment (PTY) LTD</t>
        </is>
      </c>
      <c r="B17035" s="4" t="n">
        <v>45260</v>
      </c>
      <c r="C17035" s="3" t="inlineStr">
        <is>
          <t>Assets</t>
        </is>
      </c>
      <c r="D17035" s="3" t="inlineStr">
        <is>
          <t>6250/020</t>
        </is>
      </c>
      <c r="E17035" s="3" t="inlineStr">
        <is>
          <t>Computer Equipment - Accum Depre</t>
        </is>
      </c>
      <c r="F17035" s="3" t="n">
        <v>-880.08</v>
      </c>
      <c r="G17035" s="3" t="n">
        <v>-9680.92</v>
      </c>
    </row>
    <row r="17036">
      <c r="A17036" s="3" t="inlineStr">
        <is>
          <t>Opportunity Management Holdings (PTY) LTD</t>
        </is>
      </c>
      <c r="B17036" s="4" t="n">
        <v>45260</v>
      </c>
      <c r="C17036" s="3" t="inlineStr">
        <is>
          <t>Assets</t>
        </is>
      </c>
      <c r="D17036" s="3" t="inlineStr">
        <is>
          <t>6250/020</t>
        </is>
      </c>
      <c r="E17036" s="3" t="inlineStr">
        <is>
          <t>Computer Equipment - Accum Depre</t>
        </is>
      </c>
      <c r="F17036" s="3" t="n">
        <v>-1035.18</v>
      </c>
      <c r="G17036" s="3" t="n">
        <v>-14925.81</v>
      </c>
    </row>
    <row r="17037">
      <c r="A17037" s="3" t="inlineStr">
        <is>
          <t>Quinate Consulting (Pty) Ltd</t>
        </is>
      </c>
      <c r="B17037" s="4" t="n">
        <v>45260</v>
      </c>
      <c r="C17037" s="3" t="inlineStr">
        <is>
          <t>Assets</t>
        </is>
      </c>
      <c r="D17037" s="3" t="inlineStr">
        <is>
          <t>6250/020</t>
        </is>
      </c>
      <c r="E17037" s="3" t="inlineStr">
        <is>
          <t>Computer Equipment - Accum Depre</t>
        </is>
      </c>
      <c r="F17037" s="3" t="n">
        <v>-2331.67</v>
      </c>
      <c r="G17037" s="3" t="n">
        <v>-119358.75</v>
      </c>
    </row>
    <row r="17038">
      <c r="A17038" s="3" t="inlineStr">
        <is>
          <t>Opportunity Management Holdings (PTY) LTD</t>
        </is>
      </c>
      <c r="B17038" s="4" t="n">
        <v>45260</v>
      </c>
      <c r="C17038" s="3" t="inlineStr">
        <is>
          <t>Assets</t>
        </is>
      </c>
      <c r="D17038" s="3" t="inlineStr">
        <is>
          <t>6250/030</t>
        </is>
      </c>
      <c r="E17038" s="3" t="inlineStr">
        <is>
          <t>Acc Depreciation - Computer Equipment</t>
        </is>
      </c>
      <c r="F17038" s="3" t="n">
        <v>0</v>
      </c>
      <c r="G17038" s="3" t="n">
        <v>-9441.25</v>
      </c>
    </row>
    <row r="17039">
      <c r="A17039" s="3" t="inlineStr">
        <is>
          <t>Quinate Consulting (Pty) Ltd</t>
        </is>
      </c>
      <c r="B17039" s="4" t="n">
        <v>45260</v>
      </c>
      <c r="C17039" s="3" t="inlineStr">
        <is>
          <t>Assets</t>
        </is>
      </c>
      <c r="D17039" s="3" t="inlineStr">
        <is>
          <t>6270/010</t>
        </is>
      </c>
      <c r="E17039" s="3" t="inlineStr">
        <is>
          <t>Site Containers - @ Cost</t>
        </is>
      </c>
      <c r="F17039" s="3" t="n">
        <v>0</v>
      </c>
      <c r="G17039" s="3" t="n">
        <v>19130.44</v>
      </c>
    </row>
    <row r="17040">
      <c r="A17040" s="3" t="inlineStr">
        <is>
          <t>Quinate Consulting (Pty) Ltd</t>
        </is>
      </c>
      <c r="B17040" s="4" t="n">
        <v>45260</v>
      </c>
      <c r="C17040" s="3" t="inlineStr">
        <is>
          <t>Assets</t>
        </is>
      </c>
      <c r="D17040" s="3" t="inlineStr">
        <is>
          <t>6270/020</t>
        </is>
      </c>
      <c r="E17040" s="3" t="inlineStr">
        <is>
          <t>Site Containers - Accum Depre</t>
        </is>
      </c>
      <c r="F17040" s="3" t="n">
        <v>-318.84</v>
      </c>
      <c r="G17040" s="3" t="n">
        <v>-10521.74</v>
      </c>
    </row>
    <row r="17041">
      <c r="A17041" s="3" t="inlineStr">
        <is>
          <t>Noble Shield (Pty) Ltd ta Go Letting</t>
        </is>
      </c>
      <c r="B17041" s="4" t="n">
        <v>45260</v>
      </c>
      <c r="C17041" s="3" t="inlineStr">
        <is>
          <t>Assets</t>
        </is>
      </c>
      <c r="D17041" s="3" t="inlineStr">
        <is>
          <t>6350/010</t>
        </is>
      </c>
      <c r="E17041" s="3" t="inlineStr">
        <is>
          <t>Furniture _AND_ Fittings - @ Cost</t>
        </is>
      </c>
      <c r="F17041" s="3" t="n">
        <v>0</v>
      </c>
      <c r="G17041" s="3" t="n">
        <v>2242</v>
      </c>
    </row>
    <row r="17042">
      <c r="A17042" s="3" t="inlineStr">
        <is>
          <t>Opportunity Global Sales (PTY) LTD</t>
        </is>
      </c>
      <c r="B17042" s="4" t="n">
        <v>45260</v>
      </c>
      <c r="C17042" s="3" t="inlineStr">
        <is>
          <t>Assets</t>
        </is>
      </c>
      <c r="D17042" s="3" t="inlineStr">
        <is>
          <t>6350/010</t>
        </is>
      </c>
      <c r="E17042" s="3" t="inlineStr">
        <is>
          <t>Furniture _AND_ Fittings - @ Cost</t>
        </is>
      </c>
      <c r="F17042" s="3" t="n">
        <v>0</v>
      </c>
      <c r="G17042" s="3" t="n">
        <v>29379.7</v>
      </c>
    </row>
    <row r="17043">
      <c r="A17043" s="3" t="inlineStr">
        <is>
          <t>Noble Shield (Pty) Ltd ta Go Letting</t>
        </is>
      </c>
      <c r="B17043" s="4" t="n">
        <v>45260</v>
      </c>
      <c r="C17043" s="3" t="inlineStr">
        <is>
          <t>Assets</t>
        </is>
      </c>
      <c r="D17043" s="3" t="inlineStr">
        <is>
          <t>6350/020</t>
        </is>
      </c>
      <c r="E17043" s="3" t="inlineStr">
        <is>
          <t>Furniture _AND_ Fittings - Accum Depre</t>
        </is>
      </c>
      <c r="F17043" s="3" t="n">
        <v>0</v>
      </c>
      <c r="G17043" s="3" t="n">
        <v>-2239</v>
      </c>
    </row>
    <row r="17044">
      <c r="A17044" s="3" t="inlineStr">
        <is>
          <t>Opportunity Global Sales (PTY) LTD</t>
        </is>
      </c>
      <c r="B17044" s="4" t="n">
        <v>45260</v>
      </c>
      <c r="C17044" s="3" t="inlineStr">
        <is>
          <t>Assets</t>
        </is>
      </c>
      <c r="D17044" s="3" t="inlineStr">
        <is>
          <t>6350/020</t>
        </is>
      </c>
      <c r="E17044" s="3" t="inlineStr">
        <is>
          <t>Furniture _AND_ Fittings - Accum Depre</t>
        </is>
      </c>
      <c r="F17044" s="3" t="n">
        <v>-408.05</v>
      </c>
      <c r="G17044" s="3" t="n">
        <v>-6936.87</v>
      </c>
    </row>
    <row r="17045">
      <c r="A17045" s="3" t="inlineStr">
        <is>
          <t>Opportunity Management Holdings (PTY) LTD</t>
        </is>
      </c>
      <c r="B17045" s="4" t="n">
        <v>45260</v>
      </c>
      <c r="C17045" s="3" t="inlineStr">
        <is>
          <t>Liabilities</t>
        </is>
      </c>
      <c r="D17045" s="3" t="inlineStr">
        <is>
          <t>6500/000</t>
        </is>
      </c>
      <c r="E17045" s="3" t="inlineStr">
        <is>
          <t>Deposits - Held</t>
        </is>
      </c>
      <c r="F17045" s="3" t="n">
        <v>0</v>
      </c>
      <c r="G17045" s="3" t="n">
        <v>-12028.1</v>
      </c>
    </row>
    <row r="17046">
      <c r="A17046" s="3" t="inlineStr">
        <is>
          <t>Opportunity Management Holdings (PTY) LTD</t>
        </is>
      </c>
      <c r="B17046" s="4" t="n">
        <v>45260</v>
      </c>
      <c r="C17046" s="3" t="inlineStr">
        <is>
          <t>Liabilities</t>
        </is>
      </c>
      <c r="D17046" s="3" t="inlineStr">
        <is>
          <t>6510/000</t>
        </is>
      </c>
      <c r="E17046" s="3" t="inlineStr">
        <is>
          <t>Deposits Paid - Anicol Properties</t>
        </is>
      </c>
      <c r="F17046" s="3" t="n">
        <v>0</v>
      </c>
      <c r="G17046" s="3" t="n">
        <v>13755</v>
      </c>
    </row>
    <row r="17047">
      <c r="A17047" s="3" t="inlineStr">
        <is>
          <t>Opportunity Management Holdings (PTY) LTD</t>
        </is>
      </c>
      <c r="B17047" s="4" t="n">
        <v>45260</v>
      </c>
      <c r="C17047" s="3" t="inlineStr">
        <is>
          <t>Liabilities</t>
        </is>
      </c>
      <c r="D17047" s="3" t="inlineStr">
        <is>
          <t>6515/000</t>
        </is>
      </c>
      <c r="E17047" s="3" t="inlineStr">
        <is>
          <t>Deposits Paid</t>
        </is>
      </c>
      <c r="F17047" s="3" t="n">
        <v>0</v>
      </c>
      <c r="G17047" s="3" t="n">
        <v>3852.5</v>
      </c>
    </row>
    <row r="17048">
      <c r="A17048" s="3" t="inlineStr">
        <is>
          <t>Quinate Consulting (Pty) Ltd</t>
        </is>
      </c>
      <c r="B17048" s="4" t="n">
        <v>45260</v>
      </c>
      <c r="C17048" s="3" t="inlineStr">
        <is>
          <t>Assets</t>
        </is>
      </c>
      <c r="D17048" s="3" t="inlineStr">
        <is>
          <t>6600/010</t>
        </is>
      </c>
      <c r="E17048" s="3" t="inlineStr">
        <is>
          <t>Other Fixed Assets - @ Cost</t>
        </is>
      </c>
      <c r="F17048" s="3" t="n">
        <v>0</v>
      </c>
      <c r="G17048" s="3" t="n">
        <v>14442.5</v>
      </c>
    </row>
    <row r="17049">
      <c r="A17049" s="3" t="inlineStr">
        <is>
          <t>Quinate Consulting (Pty) Ltd</t>
        </is>
      </c>
      <c r="B17049" s="4" t="n">
        <v>45260</v>
      </c>
      <c r="C17049" s="3" t="inlineStr">
        <is>
          <t>Assets</t>
        </is>
      </c>
      <c r="D17049" s="3" t="inlineStr">
        <is>
          <t>6600/020</t>
        </is>
      </c>
      <c r="E17049" s="3" t="inlineStr">
        <is>
          <t>Other Fixed Assets - Accum Depre</t>
        </is>
      </c>
      <c r="F17049" s="3" t="n">
        <v>0</v>
      </c>
      <c r="G17049" s="3" t="n">
        <v>-14441.5</v>
      </c>
    </row>
    <row r="17050">
      <c r="A17050" s="3" t="inlineStr">
        <is>
          <t>Noble Shield (Pty) Ltd ta Go Letting</t>
        </is>
      </c>
      <c r="B17050" s="4" t="n">
        <v>45260</v>
      </c>
      <c r="C17050" s="3" t="inlineStr">
        <is>
          <t>Assets</t>
        </is>
      </c>
      <c r="D17050" s="3" t="inlineStr">
        <is>
          <t>7000/100</t>
        </is>
      </c>
      <c r="E17050" s="3" t="inlineStr">
        <is>
          <t>Goodwill - Purchase of Go Letting</t>
        </is>
      </c>
      <c r="F17050" s="3" t="n">
        <v>0</v>
      </c>
      <c r="G17050" s="3" t="n">
        <v>106580</v>
      </c>
    </row>
    <row r="17051">
      <c r="A17051" s="3" t="inlineStr">
        <is>
          <t>Opportunity Management Holdings (PTY) LTD</t>
        </is>
      </c>
      <c r="B17051" s="4" t="n">
        <v>45260</v>
      </c>
      <c r="C17051" s="3" t="inlineStr">
        <is>
          <t>Assets</t>
        </is>
      </c>
      <c r="D17051" s="3" t="inlineStr">
        <is>
          <t>7200/000</t>
        </is>
      </c>
      <c r="E17051" s="3" t="inlineStr">
        <is>
          <t>Shares in Subsidiary Companies</t>
        </is>
      </c>
      <c r="F17051" s="3" t="n">
        <v>0</v>
      </c>
      <c r="G17051" s="3" t="n">
        <v>120</v>
      </c>
    </row>
    <row r="17052">
      <c r="A17052" s="3" t="inlineStr">
        <is>
          <t>Endulini (Pty) Ltd</t>
        </is>
      </c>
      <c r="B17052" s="4" t="n">
        <v>45260</v>
      </c>
      <c r="C17052" s="3" t="inlineStr">
        <is>
          <t>Assets</t>
        </is>
      </c>
      <c r="D17052" s="3" t="inlineStr">
        <is>
          <t>7610/100</t>
        </is>
      </c>
      <c r="E17052" s="3" t="inlineStr">
        <is>
          <t>Endulini Land</t>
        </is>
      </c>
      <c r="F17052" s="3" t="n">
        <v>0</v>
      </c>
      <c r="G17052" s="3" t="n">
        <v>10572851.37</v>
      </c>
    </row>
    <row r="17053">
      <c r="A17053" s="3" t="inlineStr">
        <is>
          <t>Endulini (Pty) Ltd</t>
        </is>
      </c>
      <c r="B17053" s="4" t="n">
        <v>45260</v>
      </c>
      <c r="C17053" s="3" t="inlineStr">
        <is>
          <t>Assets</t>
        </is>
      </c>
      <c r="D17053" s="3" t="inlineStr">
        <is>
          <t>7610/111</t>
        </is>
      </c>
      <c r="E17053" s="3" t="inlineStr">
        <is>
          <t>Endulini Closing Stock February 2021</t>
        </is>
      </c>
      <c r="F17053" s="3" t="n">
        <v>0</v>
      </c>
      <c r="G17053" s="3" t="n">
        <v>14368610.11</v>
      </c>
    </row>
    <row r="17054">
      <c r="A17054" s="3" t="inlineStr">
        <is>
          <t>Endulini (Pty) Ltd</t>
        </is>
      </c>
      <c r="B17054" s="4" t="n">
        <v>45260</v>
      </c>
      <c r="C17054" s="3" t="inlineStr">
        <is>
          <t>Assets</t>
        </is>
      </c>
      <c r="D17054" s="3" t="inlineStr">
        <is>
          <t>7610/180</t>
        </is>
      </c>
      <c r="E17054" s="3" t="inlineStr">
        <is>
          <t>Endulini CIP Architects</t>
        </is>
      </c>
      <c r="F17054" s="3" t="n">
        <v>0</v>
      </c>
      <c r="G17054" s="3" t="n">
        <v>1292111.71</v>
      </c>
    </row>
    <row r="17055">
      <c r="A17055" s="3" t="inlineStr">
        <is>
          <t>Endulini (Pty) Ltd</t>
        </is>
      </c>
      <c r="B17055" s="4" t="n">
        <v>45260</v>
      </c>
      <c r="C17055" s="3" t="inlineStr">
        <is>
          <t>Assets</t>
        </is>
      </c>
      <c r="D17055" s="3" t="inlineStr">
        <is>
          <t>7610/200</t>
        </is>
      </c>
      <c r="E17055" s="3" t="inlineStr">
        <is>
          <t>Endulini CIP CoCT Land Use App</t>
        </is>
      </c>
      <c r="F17055" s="3" t="n">
        <v>0</v>
      </c>
      <c r="G17055" s="3" t="n">
        <v>232891.06</v>
      </c>
    </row>
    <row r="17056">
      <c r="A17056" s="3" t="inlineStr">
        <is>
          <t>Endulini (Pty) Ltd</t>
        </is>
      </c>
      <c r="B17056" s="4" t="n">
        <v>45260</v>
      </c>
      <c r="C17056" s="3" t="inlineStr">
        <is>
          <t>Assets</t>
        </is>
      </c>
      <c r="D17056" s="3" t="inlineStr">
        <is>
          <t>7610/205</t>
        </is>
      </c>
      <c r="E17056" s="3" t="inlineStr">
        <is>
          <t>Endulini CIP Site Establishments</t>
        </is>
      </c>
      <c r="F17056" s="3" t="n">
        <v>0</v>
      </c>
      <c r="G17056" s="3" t="n">
        <v>32428975.01</v>
      </c>
    </row>
    <row r="17057">
      <c r="A17057" s="3" t="inlineStr">
        <is>
          <t>Endulini (Pty) Ltd</t>
        </is>
      </c>
      <c r="B17057" s="4" t="n">
        <v>45260</v>
      </c>
      <c r="C17057" s="3" t="inlineStr">
        <is>
          <t>Assets</t>
        </is>
      </c>
      <c r="D17057" s="3" t="inlineStr">
        <is>
          <t>7610/209</t>
        </is>
      </c>
      <c r="E17057" s="3" t="inlineStr">
        <is>
          <t>Endulini CIP Construction Management</t>
        </is>
      </c>
      <c r="F17057" s="3" t="n">
        <v>0</v>
      </c>
      <c r="G17057" s="3" t="n">
        <v>223375</v>
      </c>
    </row>
    <row r="17058">
      <c r="A17058" s="3" t="inlineStr">
        <is>
          <t>Endulini (Pty) Ltd</t>
        </is>
      </c>
      <c r="B17058" s="4" t="n">
        <v>45260</v>
      </c>
      <c r="C17058" s="3" t="inlineStr">
        <is>
          <t>Assets</t>
        </is>
      </c>
      <c r="D17058" s="3" t="inlineStr">
        <is>
          <t>7610/210</t>
        </is>
      </c>
      <c r="E17058" s="3" t="inlineStr">
        <is>
          <t>Endulini CIP Civil Works</t>
        </is>
      </c>
      <c r="F17058" s="3" t="n">
        <v>0</v>
      </c>
      <c r="G17058" s="3" t="n">
        <v>6295702.14</v>
      </c>
    </row>
    <row r="17059">
      <c r="A17059" s="3" t="inlineStr">
        <is>
          <t>Endulini (Pty) Ltd</t>
        </is>
      </c>
      <c r="B17059" s="4" t="n">
        <v>45260</v>
      </c>
      <c r="C17059" s="3" t="inlineStr">
        <is>
          <t>Assets</t>
        </is>
      </c>
      <c r="D17059" s="3" t="inlineStr">
        <is>
          <t>7610/215</t>
        </is>
      </c>
      <c r="E17059" s="3" t="inlineStr">
        <is>
          <t>Endulini CIP Civil Engineers</t>
        </is>
      </c>
      <c r="F17059" s="3" t="n">
        <v>0</v>
      </c>
      <c r="G17059" s="3" t="n">
        <v>183000</v>
      </c>
    </row>
    <row r="17060">
      <c r="A17060" s="3" t="inlineStr">
        <is>
          <t>Endulini (Pty) Ltd</t>
        </is>
      </c>
      <c r="B17060" s="4" t="n">
        <v>45260</v>
      </c>
      <c r="C17060" s="3" t="inlineStr">
        <is>
          <t>Assets</t>
        </is>
      </c>
      <c r="D17060" s="3" t="inlineStr">
        <is>
          <t>7610/220</t>
        </is>
      </c>
      <c r="E17060" s="3" t="inlineStr">
        <is>
          <t>Endulini CIP Structuring Project Fee Opp Invest</t>
        </is>
      </c>
      <c r="F17060" s="3" t="n">
        <v>0</v>
      </c>
      <c r="G17060" s="3" t="n">
        <v>483735.96</v>
      </c>
    </row>
    <row r="17061">
      <c r="A17061" s="3" t="inlineStr">
        <is>
          <t>Endulini (Pty) Ltd</t>
        </is>
      </c>
      <c r="B17061" s="4" t="n">
        <v>45260</v>
      </c>
      <c r="C17061" s="3" t="inlineStr">
        <is>
          <t>Assets</t>
        </is>
      </c>
      <c r="D17061" s="3" t="inlineStr">
        <is>
          <t>7610/225</t>
        </is>
      </c>
      <c r="E17061" s="3" t="inlineStr">
        <is>
          <t>Endulini CIP Structural engineering fee</t>
        </is>
      </c>
      <c r="F17061" s="3" t="n">
        <v>0</v>
      </c>
      <c r="G17061" s="3" t="n">
        <v>346268.03</v>
      </c>
    </row>
    <row r="17062">
      <c r="A17062" s="3" t="inlineStr">
        <is>
          <t>Endulini (Pty) Ltd</t>
        </is>
      </c>
      <c r="B17062" s="4" t="n">
        <v>45260</v>
      </c>
      <c r="C17062" s="3" t="inlineStr">
        <is>
          <t>Assets</t>
        </is>
      </c>
      <c r="D17062" s="3" t="inlineStr">
        <is>
          <t>7610/230</t>
        </is>
      </c>
      <c r="E17062" s="3" t="inlineStr">
        <is>
          <t>Endulini CIP Mechanical Engineering</t>
        </is>
      </c>
      <c r="F17062" s="3" t="n">
        <v>0</v>
      </c>
      <c r="G17062" s="3" t="n">
        <v>15570</v>
      </c>
    </row>
    <row r="17063">
      <c r="A17063" s="3" t="inlineStr">
        <is>
          <t>Endulini (Pty) Ltd</t>
        </is>
      </c>
      <c r="B17063" s="4" t="n">
        <v>45260</v>
      </c>
      <c r="C17063" s="3" t="inlineStr">
        <is>
          <t>Assets</t>
        </is>
      </c>
      <c r="D17063" s="3" t="inlineStr">
        <is>
          <t>7610/235</t>
        </is>
      </c>
      <c r="E17063" s="3" t="inlineStr">
        <is>
          <t>Endulini CIP Electrical Installation</t>
        </is>
      </c>
      <c r="F17063" s="3" t="n">
        <v>0</v>
      </c>
      <c r="G17063" s="3" t="n">
        <v>1034019.08</v>
      </c>
    </row>
    <row r="17064">
      <c r="A17064" s="3" t="inlineStr">
        <is>
          <t>Endulini (Pty) Ltd</t>
        </is>
      </c>
      <c r="B17064" s="4" t="n">
        <v>45260</v>
      </c>
      <c r="C17064" s="3" t="inlineStr">
        <is>
          <t>Assets</t>
        </is>
      </c>
      <c r="D17064" s="3" t="inlineStr">
        <is>
          <t>7610/250</t>
        </is>
      </c>
      <c r="E17064" s="3" t="inlineStr">
        <is>
          <t>Endulini CIP Boundary Wall</t>
        </is>
      </c>
      <c r="F17064" s="3" t="n">
        <v>0</v>
      </c>
      <c r="G17064" s="3" t="n">
        <v>88400.8</v>
      </c>
    </row>
    <row r="17065">
      <c r="A17065" s="3" t="inlineStr">
        <is>
          <t>Endulini (Pty) Ltd</t>
        </is>
      </c>
      <c r="B17065" s="4" t="n">
        <v>45260</v>
      </c>
      <c r="C17065" s="3" t="inlineStr">
        <is>
          <t>Assets</t>
        </is>
      </c>
      <c r="D17065" s="3" t="inlineStr">
        <is>
          <t>7610/290</t>
        </is>
      </c>
      <c r="E17065" s="3" t="inlineStr">
        <is>
          <t>Endulini CIP Development Management Fees</t>
        </is>
      </c>
      <c r="F17065" s="3" t="n">
        <v>0</v>
      </c>
      <c r="G17065" s="3" t="n">
        <v>237496.62</v>
      </c>
    </row>
    <row r="17066">
      <c r="A17066" s="3" t="inlineStr">
        <is>
          <t>Endulini (Pty) Ltd</t>
        </is>
      </c>
      <c r="B17066" s="4" t="n">
        <v>45260</v>
      </c>
      <c r="C17066" s="3" t="inlineStr">
        <is>
          <t>Assets</t>
        </is>
      </c>
      <c r="D17066" s="3" t="inlineStr">
        <is>
          <t>7610/310</t>
        </is>
      </c>
      <c r="E17066" s="3" t="inlineStr">
        <is>
          <t>Endulini CIP Enviromental consultants</t>
        </is>
      </c>
      <c r="F17066" s="3" t="n">
        <v>0</v>
      </c>
      <c r="G17066" s="3" t="n">
        <v>115730</v>
      </c>
    </row>
    <row r="17067">
      <c r="A17067" s="3" t="inlineStr">
        <is>
          <t>Endulini (Pty) Ltd</t>
        </is>
      </c>
      <c r="B17067" s="4" t="n">
        <v>45260</v>
      </c>
      <c r="C17067" s="3" t="inlineStr">
        <is>
          <t>Assets</t>
        </is>
      </c>
      <c r="D17067" s="3" t="inlineStr">
        <is>
          <t>7610/320</t>
        </is>
      </c>
      <c r="E17067" s="3" t="inlineStr">
        <is>
          <t>Endulini CIP Geotechnical</t>
        </is>
      </c>
      <c r="F17067" s="3" t="n">
        <v>0</v>
      </c>
      <c r="G17067" s="3" t="n">
        <v>13575</v>
      </c>
    </row>
    <row r="17068">
      <c r="A17068" s="3" t="inlineStr">
        <is>
          <t>Endulini (Pty) Ltd</t>
        </is>
      </c>
      <c r="B17068" s="4" t="n">
        <v>45260</v>
      </c>
      <c r="C17068" s="3" t="inlineStr">
        <is>
          <t>Assets</t>
        </is>
      </c>
      <c r="D17068" s="3" t="inlineStr">
        <is>
          <t>7610/330</t>
        </is>
      </c>
      <c r="E17068" s="3" t="inlineStr">
        <is>
          <t>Endulini CIP Health and Safety</t>
        </is>
      </c>
      <c r="F17068" s="3" t="n">
        <v>0</v>
      </c>
      <c r="G17068" s="3" t="n">
        <v>40200</v>
      </c>
    </row>
    <row r="17069">
      <c r="A17069" s="3" t="inlineStr">
        <is>
          <t>Endulini (Pty) Ltd</t>
        </is>
      </c>
      <c r="B17069" s="4" t="n">
        <v>45260</v>
      </c>
      <c r="C17069" s="3" t="inlineStr">
        <is>
          <t>Assets</t>
        </is>
      </c>
      <c r="D17069" s="3" t="inlineStr">
        <is>
          <t>7610/390</t>
        </is>
      </c>
      <c r="E17069" s="3" t="inlineStr">
        <is>
          <t>Endulini CIP Land Surveyor</t>
        </is>
      </c>
      <c r="F17069" s="3" t="n">
        <v>0</v>
      </c>
      <c r="G17069" s="3" t="n">
        <v>186021.2</v>
      </c>
    </row>
    <row r="17070">
      <c r="A17070" s="3" t="inlineStr">
        <is>
          <t>Endulini (Pty) Ltd</t>
        </is>
      </c>
      <c r="B17070" s="4" t="n">
        <v>45260</v>
      </c>
      <c r="C17070" s="3" t="inlineStr">
        <is>
          <t>Assets</t>
        </is>
      </c>
      <c r="D17070" s="3" t="inlineStr">
        <is>
          <t>7610/392</t>
        </is>
      </c>
      <c r="E17070" s="3" t="inlineStr">
        <is>
          <t>Endulini CIP Landscaping</t>
        </is>
      </c>
      <c r="F17070" s="3" t="n">
        <v>0</v>
      </c>
      <c r="G17070" s="3" t="n">
        <v>6100</v>
      </c>
    </row>
    <row r="17071">
      <c r="A17071" s="3" t="inlineStr">
        <is>
          <t>Endulini (Pty) Ltd</t>
        </is>
      </c>
      <c r="B17071" s="4" t="n">
        <v>45260</v>
      </c>
      <c r="C17071" s="3" t="inlineStr">
        <is>
          <t>Assets</t>
        </is>
      </c>
      <c r="D17071" s="3" t="inlineStr">
        <is>
          <t>7610/395</t>
        </is>
      </c>
      <c r="E17071" s="3" t="inlineStr">
        <is>
          <t>Endulini CIP NHBRC</t>
        </is>
      </c>
      <c r="F17071" s="3" t="n">
        <v>0</v>
      </c>
      <c r="G17071" s="3" t="n">
        <v>928847.49</v>
      </c>
    </row>
    <row r="17072">
      <c r="A17072" s="3" t="inlineStr">
        <is>
          <t>Endulini (Pty) Ltd</t>
        </is>
      </c>
      <c r="B17072" s="4" t="n">
        <v>45260</v>
      </c>
      <c r="C17072" s="3" t="inlineStr">
        <is>
          <t>Assets</t>
        </is>
      </c>
      <c r="D17072" s="3" t="inlineStr">
        <is>
          <t>7610/400</t>
        </is>
      </c>
      <c r="E17072" s="3" t="inlineStr">
        <is>
          <t>Endulini CIP Quantity Surveyor</t>
        </is>
      </c>
      <c r="F17072" s="3" t="n">
        <v>0</v>
      </c>
      <c r="G17072" s="3" t="n">
        <v>82136.36</v>
      </c>
    </row>
    <row r="17073">
      <c r="A17073" s="3" t="inlineStr">
        <is>
          <t>Endulini (Pty) Ltd</t>
        </is>
      </c>
      <c r="B17073" s="4" t="n">
        <v>45260</v>
      </c>
      <c r="C17073" s="3" t="inlineStr">
        <is>
          <t>Assets</t>
        </is>
      </c>
      <c r="D17073" s="3" t="inlineStr">
        <is>
          <t>7610/600</t>
        </is>
      </c>
      <c r="E17073" s="3" t="inlineStr">
        <is>
          <t>Endulini CIP Town Planning</t>
        </is>
      </c>
      <c r="F17073" s="3" t="n">
        <v>0</v>
      </c>
      <c r="G17073" s="3" t="n">
        <v>21105</v>
      </c>
    </row>
    <row r="17074">
      <c r="A17074" s="3" t="inlineStr">
        <is>
          <t>Endulini (Pty) Ltd</t>
        </is>
      </c>
      <c r="B17074" s="4" t="n">
        <v>45260</v>
      </c>
      <c r="C17074" s="3" t="inlineStr">
        <is>
          <t>Assets</t>
        </is>
      </c>
      <c r="D17074" s="3" t="inlineStr">
        <is>
          <t>7610/620</t>
        </is>
      </c>
      <c r="E17074" s="3" t="inlineStr">
        <is>
          <t>Endulini CIP Traffic Impact</t>
        </is>
      </c>
      <c r="F17074" s="3" t="n">
        <v>0</v>
      </c>
      <c r="G17074" s="3" t="n">
        <v>24915</v>
      </c>
    </row>
    <row r="17075">
      <c r="A17075" s="3" t="inlineStr">
        <is>
          <t>Endulini (Pty) Ltd</t>
        </is>
      </c>
      <c r="B17075" s="4" t="n">
        <v>45260</v>
      </c>
      <c r="C17075" s="3" t="inlineStr">
        <is>
          <t>Assets</t>
        </is>
      </c>
      <c r="D17075" s="3" t="inlineStr">
        <is>
          <t>7610/630</t>
        </is>
      </c>
      <c r="E17075" s="3" t="inlineStr">
        <is>
          <t>Endulini CIP CoCT Development Contributi</t>
        </is>
      </c>
      <c r="F17075" s="3" t="n">
        <v>0</v>
      </c>
      <c r="G17075" s="3" t="n">
        <v>661860.3100000001</v>
      </c>
    </row>
    <row r="17076">
      <c r="A17076" s="3" t="inlineStr">
        <is>
          <t>Endulini (Pty) Ltd</t>
        </is>
      </c>
      <c r="B17076" s="4" t="n">
        <v>45260</v>
      </c>
      <c r="C17076" s="3" t="inlineStr">
        <is>
          <t>Assets</t>
        </is>
      </c>
      <c r="D17076" s="3" t="inlineStr">
        <is>
          <t>7610/640</t>
        </is>
      </c>
      <c r="E17076" s="3" t="inlineStr">
        <is>
          <t>Endulini CIP CoCT Building plan application</t>
        </is>
      </c>
      <c r="F17076" s="3" t="n">
        <v>0</v>
      </c>
      <c r="G17076" s="3" t="n">
        <v>111203.22</v>
      </c>
    </row>
    <row r="17077">
      <c r="A17077" s="3" t="inlineStr">
        <is>
          <t>Endulini (Pty) Ltd</t>
        </is>
      </c>
      <c r="B17077" s="4" t="n">
        <v>45260</v>
      </c>
      <c r="C17077" s="3" t="inlineStr">
        <is>
          <t>Assets</t>
        </is>
      </c>
      <c r="D17077" s="3" t="inlineStr">
        <is>
          <t>7610/900</t>
        </is>
      </c>
      <c r="E17077" s="3" t="inlineStr">
        <is>
          <t>Endulini CIP Cost of Sales</t>
        </is>
      </c>
      <c r="F17077" s="3" t="n">
        <v>0</v>
      </c>
      <c r="G17077" s="3" t="n">
        <v>-28210981.9</v>
      </c>
    </row>
    <row r="17078">
      <c r="A17078" s="3" t="inlineStr">
        <is>
          <t>Quinate Consulting (Pty) Ltd</t>
        </is>
      </c>
      <c r="B17078" s="4" t="n">
        <v>45260</v>
      </c>
      <c r="C17078" s="3" t="inlineStr">
        <is>
          <t>Assets</t>
        </is>
      </c>
      <c r="D17078" s="3" t="inlineStr">
        <is>
          <t>7800/104</t>
        </is>
      </c>
      <c r="E17078" s="3" t="inlineStr">
        <is>
          <t>Stock - Closing Stock SW - 28 Feb 21</t>
        </is>
      </c>
      <c r="F17078" s="3" t="n">
        <v>0</v>
      </c>
      <c r="G17078" s="3" t="n">
        <v>2874478.88</v>
      </c>
    </row>
    <row r="17079">
      <c r="A17079" s="3" t="inlineStr">
        <is>
          <t>Quinate Consulting (Pty) Ltd</t>
        </is>
      </c>
      <c r="B17079" s="4" t="n">
        <v>45260</v>
      </c>
      <c r="C17079" s="3" t="inlineStr">
        <is>
          <t>Assets</t>
        </is>
      </c>
      <c r="D17079" s="3" t="inlineStr">
        <is>
          <t>7800/105</t>
        </is>
      </c>
      <c r="E17079" s="3" t="inlineStr">
        <is>
          <t>Stock - Closing Stock SH - 28 Feb 21</t>
        </is>
      </c>
      <c r="F17079" s="3" t="n">
        <v>0</v>
      </c>
      <c r="G17079" s="3" t="n">
        <v>2843477.6</v>
      </c>
    </row>
    <row r="17080">
      <c r="A17080" s="3" t="inlineStr">
        <is>
          <t>Endulini (Pty) Ltd</t>
        </is>
      </c>
      <c r="B17080" s="4" t="n">
        <v>45260</v>
      </c>
      <c r="C17080" s="3" t="inlineStr">
        <is>
          <t>Assets</t>
        </is>
      </c>
      <c r="D17080" s="3" t="inlineStr">
        <is>
          <t>8000/000</t>
        </is>
      </c>
      <c r="E17080" s="3" t="inlineStr">
        <is>
          <t>Customer Control Account</t>
        </is>
      </c>
      <c r="F17080" s="3" t="n">
        <v>1288666.65</v>
      </c>
      <c r="G17080" s="3" t="n">
        <v>1459239.61</v>
      </c>
    </row>
    <row r="17081">
      <c r="A17081" s="3" t="inlineStr">
        <is>
          <t>Noble Shield (Pty) Ltd ta Go Letting</t>
        </is>
      </c>
      <c r="B17081" s="4" t="n">
        <v>45260</v>
      </c>
      <c r="C17081" s="3" t="inlineStr">
        <is>
          <t>Assets</t>
        </is>
      </c>
      <c r="D17081" s="3" t="inlineStr">
        <is>
          <t>8000/000</t>
        </is>
      </c>
      <c r="E17081" s="3" t="inlineStr">
        <is>
          <t>Customer Control Account</t>
        </is>
      </c>
      <c r="F17081" s="3" t="n">
        <v>0</v>
      </c>
      <c r="G17081" s="3" t="n">
        <v>60289.32</v>
      </c>
    </row>
    <row r="17082">
      <c r="A17082" s="3" t="inlineStr">
        <is>
          <t>Opportunity Global Investment (PTY) LTD</t>
        </is>
      </c>
      <c r="B17082" s="4" t="n">
        <v>45260</v>
      </c>
      <c r="C17082" s="3" t="inlineStr">
        <is>
          <t>Assets</t>
        </is>
      </c>
      <c r="D17082" s="3" t="inlineStr">
        <is>
          <t>8000/000</t>
        </is>
      </c>
      <c r="E17082" s="3" t="inlineStr">
        <is>
          <t>Customer Control Account</t>
        </is>
      </c>
      <c r="F17082" s="3" t="n">
        <v>1840.95</v>
      </c>
      <c r="G17082" s="3" t="n">
        <v>15899.15</v>
      </c>
    </row>
    <row r="17083">
      <c r="A17083" s="3" t="inlineStr">
        <is>
          <t>Opportunity Global Sales (PTY) LTD</t>
        </is>
      </c>
      <c r="B17083" s="4" t="n">
        <v>45260</v>
      </c>
      <c r="C17083" s="3" t="inlineStr">
        <is>
          <t>Assets</t>
        </is>
      </c>
      <c r="D17083" s="3" t="inlineStr">
        <is>
          <t>8000/000</t>
        </is>
      </c>
      <c r="E17083" s="3" t="inlineStr">
        <is>
          <t>Customer Control Account</t>
        </is>
      </c>
      <c r="F17083" s="3" t="n">
        <v>26512.6</v>
      </c>
      <c r="G17083" s="3" t="n">
        <v>561510.9300000001</v>
      </c>
    </row>
    <row r="17084">
      <c r="A17084" s="3" t="inlineStr">
        <is>
          <t>Opportunity Management Holdings (PTY) LTD</t>
        </is>
      </c>
      <c r="B17084" s="4" t="n">
        <v>45260</v>
      </c>
      <c r="C17084" s="3" t="inlineStr">
        <is>
          <t>Assets</t>
        </is>
      </c>
      <c r="D17084" s="3" t="inlineStr">
        <is>
          <t>8000/000</t>
        </is>
      </c>
      <c r="E17084" s="3" t="inlineStr">
        <is>
          <t>Customer Control Account</t>
        </is>
      </c>
      <c r="F17084" s="3" t="n">
        <v>0</v>
      </c>
      <c r="G17084" s="3" t="n">
        <v>460000</v>
      </c>
    </row>
    <row r="17085">
      <c r="A17085" s="3" t="inlineStr">
        <is>
          <t>Quinate Consulting (Pty) Ltd</t>
        </is>
      </c>
      <c r="B17085" s="4" t="n">
        <v>45260</v>
      </c>
      <c r="C17085" s="3" t="inlineStr">
        <is>
          <t>Assets</t>
        </is>
      </c>
      <c r="D17085" s="3" t="inlineStr">
        <is>
          <t>8000/000</t>
        </is>
      </c>
      <c r="E17085" s="3" t="inlineStr">
        <is>
          <t>Customer Control Account</t>
        </is>
      </c>
      <c r="F17085" s="3" t="n">
        <v>-39282.03</v>
      </c>
      <c r="G17085" s="3" t="n">
        <v>38160.96</v>
      </c>
    </row>
    <row r="17086">
      <c r="A17086" s="3" t="inlineStr">
        <is>
          <t>Quinate Consulting (Pty) Ltd</t>
        </is>
      </c>
      <c r="B17086" s="4" t="n">
        <v>45260</v>
      </c>
      <c r="C17086" s="3" t="inlineStr">
        <is>
          <t>Assets</t>
        </is>
      </c>
      <c r="D17086" s="3" t="inlineStr">
        <is>
          <t>8001</t>
        </is>
      </c>
      <c r="E17086" s="3" t="inlineStr">
        <is>
          <t>Customer Control</t>
        </is>
      </c>
      <c r="F17086" s="3" t="n">
        <v>0</v>
      </c>
      <c r="G17086" s="3" t="n">
        <v>29487.49</v>
      </c>
    </row>
    <row r="17087">
      <c r="A17087" s="3" t="inlineStr">
        <is>
          <t>Quinate Consulting (Pty) Ltd</t>
        </is>
      </c>
      <c r="B17087" s="4" t="n">
        <v>45260</v>
      </c>
      <c r="C17087" s="3" t="inlineStr">
        <is>
          <t>Assets</t>
        </is>
      </c>
      <c r="D17087" s="3" t="inlineStr">
        <is>
          <t>8200/010</t>
        </is>
      </c>
      <c r="E17087" s="3" t="inlineStr">
        <is>
          <t>Prepayments / Prepaid Expenses</t>
        </is>
      </c>
      <c r="F17087" s="3" t="n">
        <v>0</v>
      </c>
      <c r="G17087" s="3" t="n">
        <v>109675</v>
      </c>
    </row>
    <row r="17088">
      <c r="A17088" s="3" t="inlineStr">
        <is>
          <t>Opportunity Management Holdings (PTY) LTD</t>
        </is>
      </c>
      <c r="B17088" s="4" t="n">
        <v>45260</v>
      </c>
      <c r="C17088" s="3" t="inlineStr">
        <is>
          <t>Assets</t>
        </is>
      </c>
      <c r="D17088" s="3" t="inlineStr">
        <is>
          <t>8200/020</t>
        </is>
      </c>
      <c r="E17088" s="3" t="inlineStr">
        <is>
          <t>Staff Loan - Nicolene Smit</t>
        </is>
      </c>
      <c r="F17088" s="3" t="n">
        <v>-500</v>
      </c>
      <c r="G17088" s="3" t="n">
        <v>2000</v>
      </c>
    </row>
    <row r="17089">
      <c r="A17089" s="3" t="inlineStr">
        <is>
          <t>Opportunity Management Holdings (PTY) LTD</t>
        </is>
      </c>
      <c r="B17089" s="4" t="n">
        <v>45260</v>
      </c>
      <c r="C17089" s="3" t="inlineStr">
        <is>
          <t>Assets</t>
        </is>
      </c>
      <c r="D17089" s="3" t="inlineStr">
        <is>
          <t>8200/040</t>
        </is>
      </c>
      <c r="E17089" s="3" t="inlineStr">
        <is>
          <t>Staff Loan - L</t>
        </is>
      </c>
      <c r="F17089" s="3" t="n">
        <v>3803.23</v>
      </c>
      <c r="G17089" s="3" t="n">
        <v>1901.61</v>
      </c>
    </row>
    <row r="17090">
      <c r="A17090" s="3" t="inlineStr">
        <is>
          <t>Opportunity Global Sales (PTY) LTD</t>
        </is>
      </c>
      <c r="B17090" s="4" t="n">
        <v>45260</v>
      </c>
      <c r="C17090" s="3" t="inlineStr">
        <is>
          <t>Assets</t>
        </is>
      </c>
      <c r="D17090" s="3" t="inlineStr">
        <is>
          <t>8300/200</t>
        </is>
      </c>
      <c r="E17090" s="3" t="inlineStr">
        <is>
          <t>Staff Loan - Mario Stoop</t>
        </is>
      </c>
      <c r="F17090" s="3" t="n">
        <v>-1500</v>
      </c>
      <c r="G17090" s="3" t="n">
        <v>7500</v>
      </c>
    </row>
    <row r="17091">
      <c r="A17091" s="3" t="inlineStr">
        <is>
          <t>Opportunity Global Investment (PTY) LTD</t>
        </is>
      </c>
      <c r="B17091" s="4" t="n">
        <v>45260</v>
      </c>
      <c r="C17091" s="3" t="inlineStr">
        <is>
          <t>Assets</t>
        </is>
      </c>
      <c r="D17091" s="3" t="inlineStr">
        <is>
          <t>8400/000</t>
        </is>
      </c>
      <c r="E17091" s="3" t="inlineStr">
        <is>
          <t>FNB 62093491696</t>
        </is>
      </c>
      <c r="F17091" s="3" t="n">
        <v>-83556.62</v>
      </c>
      <c r="G17091" s="3" t="n">
        <v>32370.4</v>
      </c>
    </row>
    <row r="17092">
      <c r="A17092" s="3" t="inlineStr">
        <is>
          <t>Opportunity Global Sales (PTY) LTD</t>
        </is>
      </c>
      <c r="B17092" s="4" t="n">
        <v>45260</v>
      </c>
      <c r="C17092" s="3" t="inlineStr">
        <is>
          <t>Assets</t>
        </is>
      </c>
      <c r="D17092" s="3" t="inlineStr">
        <is>
          <t>8400/000</t>
        </is>
      </c>
      <c r="E17092" s="3" t="inlineStr">
        <is>
          <t>FNB 62835620875</t>
        </is>
      </c>
      <c r="F17092" s="3" t="n">
        <v>30729.64</v>
      </c>
      <c r="G17092" s="3" t="n">
        <v>48244.67</v>
      </c>
    </row>
    <row r="17093">
      <c r="A17093" s="3" t="inlineStr">
        <is>
          <t>Quinate Consulting (Pty) Ltd</t>
        </is>
      </c>
      <c r="B17093" s="4" t="n">
        <v>45260</v>
      </c>
      <c r="C17093" s="3" t="inlineStr">
        <is>
          <t>Assets</t>
        </is>
      </c>
      <c r="D17093" s="3" t="inlineStr">
        <is>
          <t>8400/000</t>
        </is>
      </c>
      <c r="E17093" s="3" t="inlineStr">
        <is>
          <t>RMB - 62736659189 - Call Acc</t>
        </is>
      </c>
      <c r="F17093" s="3" t="n">
        <v>-8460.530000000001</v>
      </c>
      <c r="G17093" s="3" t="n">
        <v>152100</v>
      </c>
    </row>
    <row r="17094">
      <c r="A17094" s="3" t="inlineStr">
        <is>
          <t>Trademark Holdings (Pty) Ltd</t>
        </is>
      </c>
      <c r="B17094" s="4" t="n">
        <v>45260</v>
      </c>
      <c r="C17094" s="3" t="inlineStr">
        <is>
          <t>Assets</t>
        </is>
      </c>
      <c r="D17094" s="3" t="inlineStr">
        <is>
          <t>8400/000</t>
        </is>
      </c>
      <c r="E17094" s="3" t="inlineStr">
        <is>
          <t>RMB 623 693 03640</t>
        </is>
      </c>
      <c r="F17094" s="3" t="n">
        <v>12422.65</v>
      </c>
      <c r="G17094" s="3" t="n">
        <v>55798.01</v>
      </c>
    </row>
    <row r="17095">
      <c r="A17095" s="3" t="inlineStr">
        <is>
          <t>Noble Shield (Pty) Ltd ta Go Letting</t>
        </is>
      </c>
      <c r="B17095" s="4" t="n">
        <v>45260</v>
      </c>
      <c r="C17095" s="3" t="inlineStr">
        <is>
          <t>Assets</t>
        </is>
      </c>
      <c r="D17095" s="3" t="inlineStr">
        <is>
          <t>8400/000</t>
        </is>
      </c>
      <c r="E17095" s="3" t="inlineStr">
        <is>
          <t>RMB 6250 573 3833</t>
        </is>
      </c>
      <c r="F17095" s="3" t="n">
        <v>-84012.89</v>
      </c>
      <c r="G17095" s="3" t="n">
        <v>45438.64</v>
      </c>
    </row>
    <row r="17096">
      <c r="A17096" s="3" t="inlineStr">
        <is>
          <t>Endulini (Pty) Ltd</t>
        </is>
      </c>
      <c r="B17096" s="4" t="n">
        <v>45260</v>
      </c>
      <c r="C17096" s="3" t="inlineStr">
        <is>
          <t>Assets</t>
        </is>
      </c>
      <c r="D17096" s="3" t="inlineStr">
        <is>
          <t>8400/000</t>
        </is>
      </c>
      <c r="E17096" s="3" t="inlineStr">
        <is>
          <t>RMB 62906944576</t>
        </is>
      </c>
      <c r="F17096" s="3" t="n">
        <v>1243891.69</v>
      </c>
      <c r="G17096" s="3" t="n">
        <v>1278484.78</v>
      </c>
    </row>
    <row r="17097">
      <c r="A17097" s="3" t="inlineStr">
        <is>
          <t>Opportunity Management Holdings (PTY) LTD</t>
        </is>
      </c>
      <c r="B17097" s="4" t="n">
        <v>45260</v>
      </c>
      <c r="C17097" s="3" t="inlineStr">
        <is>
          <t>Assets</t>
        </is>
      </c>
      <c r="D17097" s="3" t="inlineStr">
        <is>
          <t>8400/000</t>
        </is>
      </c>
      <c r="E17097" s="3" t="inlineStr">
        <is>
          <t>RMB Cheq - 62312246920</t>
        </is>
      </c>
      <c r="F17097" s="3" t="n">
        <v>-35385.32</v>
      </c>
      <c r="G17097" s="3" t="n">
        <v>56234.92</v>
      </c>
    </row>
    <row r="17098">
      <c r="A17098" s="3" t="inlineStr">
        <is>
          <t>Opportunity Global Investment (PTY) LTD</t>
        </is>
      </c>
      <c r="B17098" s="4" t="n">
        <v>45260</v>
      </c>
      <c r="C17098" s="3" t="inlineStr">
        <is>
          <t>Assets</t>
        </is>
      </c>
      <c r="D17098" s="3" t="inlineStr">
        <is>
          <t>8405/000</t>
        </is>
      </c>
      <c r="E17098" s="3" t="inlineStr">
        <is>
          <t>FNB Trust 62762449265</t>
        </is>
      </c>
      <c r="F17098" s="3" t="n">
        <v>0</v>
      </c>
      <c r="G17098" s="3" t="n">
        <v>1141.1</v>
      </c>
    </row>
    <row r="17099">
      <c r="A17099" s="3" t="inlineStr">
        <is>
          <t>Endulini (Pty) Ltd</t>
        </is>
      </c>
      <c r="B17099" s="4" t="n">
        <v>45260</v>
      </c>
      <c r="C17099" s="3" t="inlineStr">
        <is>
          <t>Assets</t>
        </is>
      </c>
      <c r="D17099" s="3" t="inlineStr">
        <is>
          <t>8410/000</t>
        </is>
      </c>
      <c r="E17099" s="3" t="inlineStr">
        <is>
          <t>Momentum Investor Account : RU 502229883</t>
        </is>
      </c>
      <c r="F17099" s="3" t="n">
        <v>0</v>
      </c>
      <c r="G17099" s="3" t="n">
        <v>24.03</v>
      </c>
    </row>
    <row r="17100">
      <c r="A17100" s="3" t="inlineStr">
        <is>
          <t>Opportunity Management Holdings (PTY) LTD</t>
        </is>
      </c>
      <c r="B17100" s="4" t="n">
        <v>45260</v>
      </c>
      <c r="C17100" s="3" t="inlineStr">
        <is>
          <t>Assets</t>
        </is>
      </c>
      <c r="D17100" s="3" t="inlineStr">
        <is>
          <t>8410/000</t>
        </is>
      </c>
      <c r="E17100" s="3" t="inlineStr">
        <is>
          <t>RMB Call Acc - 62312248851</t>
        </is>
      </c>
      <c r="F17100" s="3" t="n">
        <v>0</v>
      </c>
      <c r="G17100" s="3" t="n">
        <v>1432.34</v>
      </c>
    </row>
    <row r="17101">
      <c r="A17101" s="3" t="inlineStr">
        <is>
          <t>Noble Shield (Pty) Ltd ta Go Letting</t>
        </is>
      </c>
      <c r="B17101" s="4" t="n">
        <v>45260</v>
      </c>
      <c r="C17101" s="3" t="inlineStr">
        <is>
          <t>Assets</t>
        </is>
      </c>
      <c r="D17101" s="3" t="inlineStr">
        <is>
          <t>8410/000</t>
        </is>
      </c>
      <c r="E17101" s="3" t="inlineStr">
        <is>
          <t>RMB Trust Acc - 6250 615 1365</t>
        </is>
      </c>
      <c r="F17101" s="3" t="n">
        <v>0</v>
      </c>
      <c r="G17101" s="3" t="n">
        <v>881.61</v>
      </c>
    </row>
    <row r="17102">
      <c r="A17102" s="3" t="inlineStr">
        <is>
          <t>Quinate Consulting (Pty) Ltd</t>
        </is>
      </c>
      <c r="B17102" s="4" t="n">
        <v>45260</v>
      </c>
      <c r="C17102" s="3" t="inlineStr">
        <is>
          <t>Assets</t>
        </is>
      </c>
      <c r="D17102" s="3" t="inlineStr">
        <is>
          <t>8415/000</t>
        </is>
      </c>
      <c r="E17102" s="3" t="inlineStr">
        <is>
          <t>STD Acc 071 958 959 - Facility Acc</t>
        </is>
      </c>
      <c r="F17102" s="3" t="n">
        <v>0</v>
      </c>
      <c r="G17102" s="3" t="n">
        <v>2616.21</v>
      </c>
    </row>
    <row r="17103">
      <c r="A17103" s="3" t="inlineStr">
        <is>
          <t>Trademark Holdings (Pty) Ltd</t>
        </is>
      </c>
      <c r="B17103" s="4" t="n">
        <v>45260</v>
      </c>
      <c r="C17103" s="3" t="inlineStr">
        <is>
          <t>Assets</t>
        </is>
      </c>
      <c r="D17103" s="3" t="inlineStr">
        <is>
          <t>8420/000</t>
        </is>
      </c>
      <c r="E17103" s="3" t="inlineStr">
        <is>
          <t>FNB Credit Card</t>
        </is>
      </c>
      <c r="F17103" s="3" t="n">
        <v>52</v>
      </c>
      <c r="G17103" s="3" t="n">
        <v>520</v>
      </c>
    </row>
    <row r="17104">
      <c r="A17104" s="3" t="inlineStr">
        <is>
          <t>Quinate Consulting (Pty) Ltd</t>
        </is>
      </c>
      <c r="B17104" s="4" t="n">
        <v>45260</v>
      </c>
      <c r="C17104" s="3" t="inlineStr">
        <is>
          <t>Assets</t>
        </is>
      </c>
      <c r="D17104" s="3" t="inlineStr">
        <is>
          <t>8430/000</t>
        </is>
      </c>
      <c r="E17104" s="3" t="inlineStr">
        <is>
          <t>Momentum Investment Acc - RU502230185</t>
        </is>
      </c>
      <c r="F17104" s="3" t="n">
        <v>0</v>
      </c>
      <c r="G17104" s="3" t="n">
        <v>563.74</v>
      </c>
    </row>
    <row r="17105">
      <c r="A17105" s="3" t="inlineStr">
        <is>
          <t>Opportunity Global Investment (PTY) LTD</t>
        </is>
      </c>
      <c r="B17105" s="4" t="n">
        <v>45260</v>
      </c>
      <c r="C17105" s="3" t="inlineStr">
        <is>
          <t>Assets</t>
        </is>
      </c>
      <c r="D17105" s="3" t="inlineStr">
        <is>
          <t>8440/000</t>
        </is>
      </c>
      <c r="E17105" s="3" t="inlineStr">
        <is>
          <t>FNB - Call 627602764438</t>
        </is>
      </c>
      <c r="F17105" s="3" t="n">
        <v>-40007.9</v>
      </c>
      <c r="G17105" s="3" t="n">
        <v>-39153.33</v>
      </c>
    </row>
    <row r="17106">
      <c r="A17106" s="3" t="inlineStr">
        <is>
          <t>Opportunity Global Investment (PTY) LTD</t>
        </is>
      </c>
      <c r="B17106" s="4" t="n">
        <v>45260</v>
      </c>
      <c r="C17106" s="3" t="inlineStr">
        <is>
          <t>Assets</t>
        </is>
      </c>
      <c r="D17106" s="3" t="inlineStr">
        <is>
          <t>8445/000</t>
        </is>
      </c>
      <c r="E17106" s="3" t="inlineStr">
        <is>
          <t>Momentum RU502230096</t>
        </is>
      </c>
      <c r="F17106" s="3" t="n">
        <v>0</v>
      </c>
      <c r="G17106" s="3" t="n">
        <v>4973.81</v>
      </c>
    </row>
    <row r="17107">
      <c r="A17107" s="3" t="inlineStr">
        <is>
          <t>Quinate Consulting (Pty) Ltd</t>
        </is>
      </c>
      <c r="B17107" s="4" t="n">
        <v>45260</v>
      </c>
      <c r="C17107" s="3" t="inlineStr">
        <is>
          <t>Assets</t>
        </is>
      </c>
      <c r="D17107" s="3" t="inlineStr">
        <is>
          <t>8450/000</t>
        </is>
      </c>
      <c r="E17107" s="3" t="inlineStr">
        <is>
          <t>A RMB 62275810820</t>
        </is>
      </c>
      <c r="F17107" s="3" t="n">
        <v>-197772.73</v>
      </c>
      <c r="G17107" s="3" t="n">
        <v>105909.15</v>
      </c>
    </row>
    <row r="17108">
      <c r="A17108" s="3" t="inlineStr">
        <is>
          <t>Opportunity Management Holdings (PTY) LTD</t>
        </is>
      </c>
      <c r="B17108" s="4" t="n">
        <v>45260</v>
      </c>
      <c r="C17108" s="3" t="inlineStr">
        <is>
          <t>Assets</t>
        </is>
      </c>
      <c r="D17108" s="3" t="inlineStr">
        <is>
          <t>8450/000</t>
        </is>
      </c>
      <c r="E17108" s="3" t="inlineStr">
        <is>
          <t>Petty Cash - CT Office</t>
        </is>
      </c>
      <c r="F17108" s="3" t="n">
        <v>0</v>
      </c>
      <c r="G17108" s="3" t="n">
        <v>1016.2</v>
      </c>
    </row>
    <row r="17109">
      <c r="A17109" s="3" t="inlineStr">
        <is>
          <t>Quinate Consulting (Pty) Ltd</t>
        </is>
      </c>
      <c r="B17109" s="4" t="n">
        <v>45260</v>
      </c>
      <c r="C17109" s="3" t="inlineStr">
        <is>
          <t>Assets</t>
        </is>
      </c>
      <c r="D17109" s="3" t="inlineStr">
        <is>
          <t>8470/000</t>
        </is>
      </c>
      <c r="E17109" s="3" t="inlineStr">
        <is>
          <t>ABSA: Quinate</t>
        </is>
      </c>
      <c r="F17109" s="3" t="n">
        <v>0</v>
      </c>
      <c r="G17109" s="3" t="n">
        <v>500</v>
      </c>
    </row>
    <row r="17110">
      <c r="A17110" s="3" t="inlineStr">
        <is>
          <t>Quinate Consulting (Pty) Ltd</t>
        </is>
      </c>
      <c r="B17110" s="4" t="n">
        <v>45260</v>
      </c>
      <c r="C17110" s="3" t="inlineStr">
        <is>
          <t>Liabilities</t>
        </is>
      </c>
      <c r="D17110" s="3" t="inlineStr">
        <is>
          <t>8480/100</t>
        </is>
      </c>
      <c r="E17110" s="3" t="inlineStr">
        <is>
          <t>Bond - SH20 - STD Bank 532010558</t>
        </is>
      </c>
      <c r="F17110" s="3" t="n">
        <v>16629.24</v>
      </c>
      <c r="G17110" s="3" t="n">
        <v>-1315993.13</v>
      </c>
    </row>
    <row r="17111">
      <c r="A17111" s="3" t="inlineStr">
        <is>
          <t>Quinate Consulting (Pty) Ltd</t>
        </is>
      </c>
      <c r="B17111" s="4" t="n">
        <v>45260</v>
      </c>
      <c r="C17111" s="3" t="inlineStr">
        <is>
          <t>Liabilities</t>
        </is>
      </c>
      <c r="D17111" s="3" t="inlineStr">
        <is>
          <t>8480/200</t>
        </is>
      </c>
      <c r="E17111" s="3" t="inlineStr">
        <is>
          <t>Bond - SH23 - STD Bank 532010035</t>
        </is>
      </c>
      <c r="F17111" s="3" t="n">
        <v>16624.21</v>
      </c>
      <c r="G17111" s="3" t="n">
        <v>-1315872.65</v>
      </c>
    </row>
    <row r="17112">
      <c r="A17112" s="3" t="inlineStr">
        <is>
          <t>Quinate Consulting (Pty) Ltd</t>
        </is>
      </c>
      <c r="B17112" s="4" t="n">
        <v>45260</v>
      </c>
      <c r="C17112" s="3" t="inlineStr">
        <is>
          <t>Liabilities</t>
        </is>
      </c>
      <c r="D17112" s="3" t="inlineStr">
        <is>
          <t>8480/300</t>
        </is>
      </c>
      <c r="E17112" s="3" t="inlineStr">
        <is>
          <t>Bond - SH24 - STD Bank 532372662</t>
        </is>
      </c>
      <c r="F17112" s="3" t="n">
        <v>15793.82</v>
      </c>
      <c r="G17112" s="3" t="n">
        <v>-1428366.76</v>
      </c>
    </row>
    <row r="17113">
      <c r="A17113" s="3" t="inlineStr">
        <is>
          <t>Quinate Consulting (Pty) Ltd</t>
        </is>
      </c>
      <c r="B17113" s="4" t="n">
        <v>45260</v>
      </c>
      <c r="C17113" s="3" t="inlineStr">
        <is>
          <t>Liabilities</t>
        </is>
      </c>
      <c r="D17113" s="3" t="inlineStr">
        <is>
          <t>8480/400</t>
        </is>
      </c>
      <c r="E17113" s="3" t="inlineStr">
        <is>
          <t>Bond - SW01 - STD Bank 532920627</t>
        </is>
      </c>
      <c r="F17113" s="3" t="n">
        <v>13420.79</v>
      </c>
      <c r="G17113" s="3" t="n">
        <v>-1276467.81</v>
      </c>
    </row>
    <row r="17114">
      <c r="A17114" s="3" t="inlineStr">
        <is>
          <t>Quinate Consulting (Pty) Ltd</t>
        </is>
      </c>
      <c r="B17114" s="4" t="n">
        <v>45260</v>
      </c>
      <c r="C17114" s="3" t="inlineStr">
        <is>
          <t>Liabilities</t>
        </is>
      </c>
      <c r="D17114" s="3" t="inlineStr">
        <is>
          <t>8480/401</t>
        </is>
      </c>
      <c r="E17114" s="3" t="inlineStr">
        <is>
          <t>Bond - SW21 - STD Bank 532920597</t>
        </is>
      </c>
      <c r="F17114" s="3" t="n">
        <v>13426.02</v>
      </c>
      <c r="G17114" s="3" t="n">
        <v>-1276974.39</v>
      </c>
    </row>
    <row r="17115">
      <c r="A17115" s="3" t="inlineStr">
        <is>
          <t>Endulini (Pty) Ltd</t>
        </is>
      </c>
      <c r="B17115" s="4" t="n">
        <v>45260</v>
      </c>
      <c r="C17115" s="3" t="inlineStr">
        <is>
          <t>Liabilities</t>
        </is>
      </c>
      <c r="D17115" s="3" t="inlineStr">
        <is>
          <t>860</t>
        </is>
      </c>
      <c r="E17115" s="3" t="inlineStr">
        <is>
          <t>Rounding</t>
        </is>
      </c>
      <c r="F17115" s="3" t="n">
        <v>0.02</v>
      </c>
      <c r="G17115" s="3" t="n">
        <v>0.02</v>
      </c>
    </row>
    <row r="17116">
      <c r="A17116" s="3" t="inlineStr">
        <is>
          <t>Opportunity Global Investment (PTY) LTD</t>
        </is>
      </c>
      <c r="B17116" s="4" t="n">
        <v>45260</v>
      </c>
      <c r="C17116" s="3" t="inlineStr">
        <is>
          <t>Liabilities</t>
        </is>
      </c>
      <c r="D17116" s="3" t="inlineStr">
        <is>
          <t>860</t>
        </is>
      </c>
      <c r="E17116" s="3" t="inlineStr">
        <is>
          <t>Rounding</t>
        </is>
      </c>
      <c r="F17116" s="3" t="n">
        <v>0</v>
      </c>
      <c r="G17116" s="3" t="n">
        <v>-0.29</v>
      </c>
    </row>
    <row r="17117">
      <c r="A17117" s="3" t="inlineStr">
        <is>
          <t>Opportunity Global Sales (PTY) LTD</t>
        </is>
      </c>
      <c r="B17117" s="4" t="n">
        <v>45260</v>
      </c>
      <c r="C17117" s="3" t="inlineStr">
        <is>
          <t>Liabilities</t>
        </is>
      </c>
      <c r="D17117" s="3" t="inlineStr">
        <is>
          <t>860</t>
        </is>
      </c>
      <c r="E17117" s="3" t="inlineStr">
        <is>
          <t>Rounding</t>
        </is>
      </c>
      <c r="F17117" s="3" t="n">
        <v>0.01</v>
      </c>
      <c r="G17117" s="3" t="n">
        <v>-0.98</v>
      </c>
    </row>
    <row r="17118">
      <c r="A17118" s="3" t="inlineStr">
        <is>
          <t>Opportunity Management Holdings (PTY) LTD</t>
        </is>
      </c>
      <c r="B17118" s="4" t="n">
        <v>45260</v>
      </c>
      <c r="C17118" s="3" t="inlineStr">
        <is>
          <t>Liabilities</t>
        </is>
      </c>
      <c r="D17118" s="3" t="inlineStr">
        <is>
          <t>860</t>
        </is>
      </c>
      <c r="E17118" s="3" t="inlineStr">
        <is>
          <t>Rounding</t>
        </is>
      </c>
      <c r="F17118" s="3" t="n">
        <v>0</v>
      </c>
      <c r="G17118" s="3" t="n">
        <v>-0.01</v>
      </c>
    </row>
    <row r="17119">
      <c r="A17119" s="3" t="inlineStr">
        <is>
          <t>Quinate Consulting (Pty) Ltd</t>
        </is>
      </c>
      <c r="B17119" s="4" t="n">
        <v>45260</v>
      </c>
      <c r="C17119" s="3" t="inlineStr">
        <is>
          <t>Liabilities</t>
        </is>
      </c>
      <c r="D17119" s="3" t="inlineStr">
        <is>
          <t>860</t>
        </is>
      </c>
      <c r="E17119" s="3" t="inlineStr">
        <is>
          <t>Rounding</t>
        </is>
      </c>
      <c r="F17119" s="3" t="n">
        <v>0</v>
      </c>
      <c r="G17119" s="3" t="n">
        <v>-4.57</v>
      </c>
    </row>
    <row r="17120">
      <c r="A17120" s="3" t="inlineStr">
        <is>
          <t>Trademark Holdings (Pty) Ltd</t>
        </is>
      </c>
      <c r="B17120" s="4" t="n">
        <v>45260</v>
      </c>
      <c r="C17120" s="3" t="inlineStr">
        <is>
          <t>Liabilities</t>
        </is>
      </c>
      <c r="D17120" s="3" t="inlineStr">
        <is>
          <t>860</t>
        </is>
      </c>
      <c r="E17120" s="3" t="inlineStr">
        <is>
          <t>Rounding</t>
        </is>
      </c>
      <c r="F17120" s="3" t="n">
        <v>0</v>
      </c>
      <c r="G17120" s="3" t="n">
        <v>0.2</v>
      </c>
    </row>
    <row r="17121">
      <c r="A17121" s="3" t="inlineStr">
        <is>
          <t>Endulini (Pty) Ltd</t>
        </is>
      </c>
      <c r="B17121" s="4" t="n">
        <v>45260</v>
      </c>
      <c r="C17121" s="3" t="inlineStr">
        <is>
          <t>Liabilities</t>
        </is>
      </c>
      <c r="D17121" s="3" t="inlineStr">
        <is>
          <t>9000/000</t>
        </is>
      </c>
      <c r="E17121" s="3" t="inlineStr">
        <is>
          <t>Supplier Control Account</t>
        </is>
      </c>
      <c r="F17121" s="3" t="n">
        <v>540852.6800000001</v>
      </c>
      <c r="G17121" s="3" t="n">
        <v>-4157413.57</v>
      </c>
    </row>
    <row r="17122">
      <c r="A17122" s="3" t="inlineStr">
        <is>
          <t>Noble Shield (Pty) Ltd ta Go Letting</t>
        </is>
      </c>
      <c r="B17122" s="4" t="n">
        <v>45260</v>
      </c>
      <c r="C17122" s="3" t="inlineStr">
        <is>
          <t>Liabilities</t>
        </is>
      </c>
      <c r="D17122" s="3" t="inlineStr">
        <is>
          <t>9000/000</t>
        </is>
      </c>
      <c r="E17122" s="3" t="inlineStr">
        <is>
          <t>Supplier Control Account</t>
        </is>
      </c>
      <c r="F17122" s="3" t="n">
        <v>-2381.87</v>
      </c>
      <c r="G17122" s="3" t="n">
        <v>-20506.43</v>
      </c>
    </row>
    <row r="17123">
      <c r="A17123" s="3" t="inlineStr">
        <is>
          <t>Opportunity Global Investment (PTY) LTD</t>
        </is>
      </c>
      <c r="B17123" s="4" t="n">
        <v>45260</v>
      </c>
      <c r="C17123" s="3" t="inlineStr">
        <is>
          <t>Liabilities</t>
        </is>
      </c>
      <c r="D17123" s="3" t="inlineStr">
        <is>
          <t>9000/000</t>
        </is>
      </c>
      <c r="E17123" s="3" t="inlineStr">
        <is>
          <t>Supplier Control Account</t>
        </is>
      </c>
      <c r="F17123" s="3" t="n">
        <v>90113.75</v>
      </c>
      <c r="G17123" s="3" t="n">
        <v>-18389.66</v>
      </c>
    </row>
    <row r="17124">
      <c r="A17124" s="3" t="inlineStr">
        <is>
          <t>Opportunity Global Sales (PTY) LTD</t>
        </is>
      </c>
      <c r="B17124" s="4" t="n">
        <v>45260</v>
      </c>
      <c r="C17124" s="3" t="inlineStr">
        <is>
          <t>Liabilities</t>
        </is>
      </c>
      <c r="D17124" s="3" t="inlineStr">
        <is>
          <t>9000/000</t>
        </is>
      </c>
      <c r="E17124" s="3" t="inlineStr">
        <is>
          <t>Supplier Control Account</t>
        </is>
      </c>
      <c r="F17124" s="3" t="n">
        <v>9858.85</v>
      </c>
      <c r="G17124" s="3" t="n">
        <v>-7791.91</v>
      </c>
    </row>
    <row r="17125">
      <c r="A17125" s="3" t="inlineStr">
        <is>
          <t>Opportunity Management Holdings (PTY) LTD</t>
        </is>
      </c>
      <c r="B17125" s="4" t="n">
        <v>45260</v>
      </c>
      <c r="C17125" s="3" t="inlineStr">
        <is>
          <t>Liabilities</t>
        </is>
      </c>
      <c r="D17125" s="3" t="inlineStr">
        <is>
          <t>9000/000</t>
        </is>
      </c>
      <c r="E17125" s="3" t="inlineStr">
        <is>
          <t>Supplier Control Account</t>
        </is>
      </c>
      <c r="F17125" s="3" t="n">
        <v>-1240.95</v>
      </c>
      <c r="G17125" s="3" t="n">
        <v>-283827.54</v>
      </c>
    </row>
    <row r="17126">
      <c r="A17126" s="3" t="inlineStr">
        <is>
          <t>Quinate Consulting (Pty) Ltd</t>
        </is>
      </c>
      <c r="B17126" s="4" t="n">
        <v>45260</v>
      </c>
      <c r="C17126" s="3" t="inlineStr">
        <is>
          <t>Liabilities</t>
        </is>
      </c>
      <c r="D17126" s="3" t="inlineStr">
        <is>
          <t>9000/000</t>
        </is>
      </c>
      <c r="E17126" s="3" t="inlineStr">
        <is>
          <t>Supplier Control Account</t>
        </is>
      </c>
      <c r="F17126" s="3" t="n">
        <v>20984.7</v>
      </c>
      <c r="G17126" s="3" t="n">
        <v>493973.13</v>
      </c>
    </row>
    <row r="17127">
      <c r="A17127" s="3" t="inlineStr">
        <is>
          <t>Trademark Holdings (Pty) Ltd</t>
        </is>
      </c>
      <c r="B17127" s="4" t="n">
        <v>45260</v>
      </c>
      <c r="C17127" s="3" t="inlineStr">
        <is>
          <t>Liabilities</t>
        </is>
      </c>
      <c r="D17127" s="3" t="inlineStr">
        <is>
          <t>9000/000</t>
        </is>
      </c>
      <c r="E17127" s="3" t="inlineStr">
        <is>
          <t>Supplier Control Account</t>
        </is>
      </c>
      <c r="F17127" s="3" t="n">
        <v>-7526.12</v>
      </c>
      <c r="G17127" s="3" t="n">
        <v>-15625.87</v>
      </c>
    </row>
    <row r="17128">
      <c r="A17128" s="3" t="inlineStr">
        <is>
          <t>Quinate Consulting (Pty) Ltd</t>
        </is>
      </c>
      <c r="B17128" s="4" t="n">
        <v>45260</v>
      </c>
      <c r="C17128" s="3" t="inlineStr">
        <is>
          <t>Liabilities</t>
        </is>
      </c>
      <c r="D17128" s="3" t="inlineStr">
        <is>
          <t>9001</t>
        </is>
      </c>
      <c r="E17128" s="3" t="inlineStr">
        <is>
          <t>Supplier Control</t>
        </is>
      </c>
      <c r="F17128" s="3" t="n">
        <v>0</v>
      </c>
      <c r="G17128" s="3" t="n">
        <v>-347315.41</v>
      </c>
    </row>
    <row r="17129">
      <c r="A17129" s="3" t="inlineStr">
        <is>
          <t>Opportunity Management Holdings (PTY) LTD</t>
        </is>
      </c>
      <c r="B17129" s="4" t="n">
        <v>45260</v>
      </c>
      <c r="C17129" s="3" t="inlineStr">
        <is>
          <t>Liabilities</t>
        </is>
      </c>
      <c r="D17129" s="3" t="inlineStr">
        <is>
          <t>9100/000</t>
        </is>
      </c>
      <c r="E17129" s="3" t="inlineStr">
        <is>
          <t>PAYE/UIF/SDL Accrual - Prior Years ADJ</t>
        </is>
      </c>
      <c r="F17129" s="3" t="n">
        <v>0</v>
      </c>
      <c r="G17129" s="3" t="n">
        <v>-33739.36</v>
      </c>
    </row>
    <row r="17130">
      <c r="A17130" s="3" t="inlineStr">
        <is>
          <t>Opportunity Management Holdings (PTY) LTD</t>
        </is>
      </c>
      <c r="B17130" s="4" t="n">
        <v>45260</v>
      </c>
      <c r="C17130" s="3" t="inlineStr">
        <is>
          <t>Assets</t>
        </is>
      </c>
      <c r="D17130" s="3" t="inlineStr">
        <is>
          <t>9110/000</t>
        </is>
      </c>
      <c r="E17130" s="3" t="inlineStr">
        <is>
          <t>Deposit Received</t>
        </is>
      </c>
      <c r="F17130" s="3" t="n">
        <v>0</v>
      </c>
      <c r="G17130" s="3" t="n">
        <v>-3852.5</v>
      </c>
    </row>
    <row r="17131">
      <c r="A17131" s="3" t="inlineStr">
        <is>
          <t>Opportunity Global Investment (PTY) LTD</t>
        </is>
      </c>
      <c r="B17131" s="4" t="n">
        <v>45260</v>
      </c>
      <c r="C17131" s="3" t="inlineStr">
        <is>
          <t>Liabilities</t>
        </is>
      </c>
      <c r="D17131" s="3" t="inlineStr">
        <is>
          <t>9110/000</t>
        </is>
      </c>
      <c r="E17131" s="3" t="inlineStr">
        <is>
          <t>Taxation B/S</t>
        </is>
      </c>
      <c r="F17131" s="3" t="n">
        <v>0</v>
      </c>
      <c r="G17131" s="3" t="n">
        <v>67163.81</v>
      </c>
    </row>
    <row r="17132">
      <c r="A17132" s="3" t="inlineStr">
        <is>
          <t>Noble Shield (Pty) Ltd ta Go Letting</t>
        </is>
      </c>
      <c r="B17132" s="4" t="n">
        <v>45260</v>
      </c>
      <c r="C17132" s="3" t="inlineStr">
        <is>
          <t>Liabilities</t>
        </is>
      </c>
      <c r="D17132" s="3" t="inlineStr">
        <is>
          <t>9250/010</t>
        </is>
      </c>
      <c r="E17132" s="3" t="inlineStr">
        <is>
          <t>SALARY CONTROL</t>
        </is>
      </c>
      <c r="F17132" s="3" t="n">
        <v>728.74</v>
      </c>
      <c r="G17132" s="3" t="n">
        <v>-18134.64</v>
      </c>
    </row>
    <row r="17133">
      <c r="A17133" s="3" t="inlineStr">
        <is>
          <t>Opportunity Global Investment (PTY) LTD</t>
        </is>
      </c>
      <c r="B17133" s="4" t="n">
        <v>45260</v>
      </c>
      <c r="C17133" s="3" t="inlineStr">
        <is>
          <t>Liabilities</t>
        </is>
      </c>
      <c r="D17133" s="3" t="inlineStr">
        <is>
          <t>9250/010</t>
        </is>
      </c>
      <c r="E17133" s="3" t="inlineStr">
        <is>
          <t>SALARY CONTROL</t>
        </is>
      </c>
      <c r="F17133" s="3" t="n">
        <v>0</v>
      </c>
      <c r="G17133" s="3" t="n">
        <v>5000</v>
      </c>
    </row>
    <row r="17134">
      <c r="A17134" s="3" t="inlineStr">
        <is>
          <t>Opportunity Global Sales (PTY) LTD</t>
        </is>
      </c>
      <c r="B17134" s="4" t="n">
        <v>45260</v>
      </c>
      <c r="C17134" s="3" t="inlineStr">
        <is>
          <t>Liabilities</t>
        </is>
      </c>
      <c r="D17134" s="3" t="inlineStr">
        <is>
          <t>9250/010</t>
        </is>
      </c>
      <c r="E17134" s="3" t="inlineStr">
        <is>
          <t>SALARY CONTROL</t>
        </is>
      </c>
      <c r="F17134" s="3" t="n">
        <v>-27072.98</v>
      </c>
      <c r="G17134" s="3" t="n">
        <v>-21270.74</v>
      </c>
    </row>
    <row r="17135">
      <c r="A17135" s="3" t="inlineStr">
        <is>
          <t>Opportunity Management Holdings (PTY) LTD</t>
        </is>
      </c>
      <c r="B17135" s="4" t="n">
        <v>45260</v>
      </c>
      <c r="C17135" s="3" t="inlineStr">
        <is>
          <t>Liabilities</t>
        </is>
      </c>
      <c r="D17135" s="3" t="inlineStr">
        <is>
          <t>9250/010</t>
        </is>
      </c>
      <c r="E17135" s="3" t="inlineStr">
        <is>
          <t>SALARY CONTROL</t>
        </is>
      </c>
      <c r="F17135" s="3" t="n">
        <v>0</v>
      </c>
      <c r="G17135" s="3" t="n">
        <v>9241.74</v>
      </c>
    </row>
    <row r="17136">
      <c r="A17136" s="3" t="inlineStr">
        <is>
          <t>Trademark Holdings (Pty) Ltd</t>
        </is>
      </c>
      <c r="B17136" s="4" t="n">
        <v>45260</v>
      </c>
      <c r="C17136" s="3" t="inlineStr">
        <is>
          <t>Liabilities</t>
        </is>
      </c>
      <c r="D17136" s="3" t="inlineStr">
        <is>
          <t>9250/010</t>
        </is>
      </c>
      <c r="E17136" s="3" t="inlineStr">
        <is>
          <t>SALARY CONTROL</t>
        </is>
      </c>
      <c r="F17136" s="3" t="n">
        <v>-1138.76</v>
      </c>
      <c r="G17136" s="3" t="n">
        <v>-20341.13</v>
      </c>
    </row>
    <row r="17137">
      <c r="A17137" s="3" t="inlineStr">
        <is>
          <t>Noble Shield (Pty) Ltd ta Go Letting</t>
        </is>
      </c>
      <c r="B17137" s="4" t="n">
        <v>45260</v>
      </c>
      <c r="C17137" s="3" t="inlineStr">
        <is>
          <t>Liabilities</t>
        </is>
      </c>
      <c r="D17137" s="3" t="inlineStr">
        <is>
          <t>9250/020</t>
        </is>
      </c>
      <c r="E17137" s="3" t="inlineStr">
        <is>
          <t>PAYE, UIF AND SDL CONTROL</t>
        </is>
      </c>
      <c r="F17137" s="3" t="n">
        <v>265.89</v>
      </c>
      <c r="G17137" s="3" t="n">
        <v>-5918.65</v>
      </c>
    </row>
    <row r="17138">
      <c r="A17138" s="3" t="inlineStr">
        <is>
          <t>Opportunity Global Investment (PTY) LTD</t>
        </is>
      </c>
      <c r="B17138" s="4" t="n">
        <v>45260</v>
      </c>
      <c r="C17138" s="3" t="inlineStr">
        <is>
          <t>Liabilities</t>
        </is>
      </c>
      <c r="D17138" s="3" t="inlineStr">
        <is>
          <t>9250/020</t>
        </is>
      </c>
      <c r="E17138" s="3" t="inlineStr">
        <is>
          <t>PAYE, UIF AND SDL CONTROL</t>
        </is>
      </c>
      <c r="F17138" s="3" t="n">
        <v>4322.43</v>
      </c>
      <c r="G17138" s="3" t="n">
        <v>-68980.16</v>
      </c>
    </row>
    <row r="17139">
      <c r="A17139" s="3" t="inlineStr">
        <is>
          <t>Opportunity Management Holdings (PTY) LTD</t>
        </is>
      </c>
      <c r="B17139" s="4" t="n">
        <v>45260</v>
      </c>
      <c r="C17139" s="3" t="inlineStr">
        <is>
          <t>Liabilities</t>
        </is>
      </c>
      <c r="D17139" s="3" t="inlineStr">
        <is>
          <t>9250/020</t>
        </is>
      </c>
      <c r="E17139" s="3" t="inlineStr">
        <is>
          <t>PAYE, UIF AND SDL CONTROL</t>
        </is>
      </c>
      <c r="F17139" s="3" t="n">
        <v>9871.74</v>
      </c>
      <c r="G17139" s="3" t="n">
        <v>-43819.57</v>
      </c>
    </row>
    <row r="17140">
      <c r="A17140" s="3" t="inlineStr">
        <is>
          <t>Quinate Consulting (Pty) Ltd</t>
        </is>
      </c>
      <c r="B17140" s="4" t="n">
        <v>45260</v>
      </c>
      <c r="C17140" s="3" t="inlineStr">
        <is>
          <t>Liabilities</t>
        </is>
      </c>
      <c r="D17140" s="3" t="inlineStr">
        <is>
          <t>9250/020</t>
        </is>
      </c>
      <c r="E17140" s="3" t="inlineStr">
        <is>
          <t>PAYE, UIF AND SDL CONTROL</t>
        </is>
      </c>
      <c r="F17140" s="3" t="n">
        <v>0</v>
      </c>
      <c r="G17140" s="3" t="n">
        <v>-10759.36</v>
      </c>
    </row>
    <row r="17141">
      <c r="A17141" s="3" t="inlineStr">
        <is>
          <t>Trademark Holdings (Pty) Ltd</t>
        </is>
      </c>
      <c r="B17141" s="4" t="n">
        <v>45260</v>
      </c>
      <c r="C17141" s="3" t="inlineStr">
        <is>
          <t>Liabilities</t>
        </is>
      </c>
      <c r="D17141" s="3" t="inlineStr">
        <is>
          <t>9250/020</t>
        </is>
      </c>
      <c r="E17141" s="3" t="inlineStr">
        <is>
          <t>PAYE, UIF AND SDL CONTROL</t>
        </is>
      </c>
      <c r="F17141" s="3" t="n">
        <v>-415.49</v>
      </c>
      <c r="G17141" s="3" t="n">
        <v>-5910.13</v>
      </c>
    </row>
    <row r="17142">
      <c r="A17142" s="3" t="inlineStr">
        <is>
          <t>Opportunity Global Investment (PTY) LTD</t>
        </is>
      </c>
      <c r="B17142" s="4" t="n">
        <v>45260</v>
      </c>
      <c r="C17142" s="3" t="inlineStr">
        <is>
          <t>Liabilities</t>
        </is>
      </c>
      <c r="D17142" s="3" t="inlineStr">
        <is>
          <t>9400/030</t>
        </is>
      </c>
      <c r="E17142" s="3" t="inlineStr">
        <is>
          <t>Accrued Expenses - PAYE_AND_UIF</t>
        </is>
      </c>
      <c r="F17142" s="3" t="n">
        <v>0</v>
      </c>
      <c r="G17142" s="3" t="n">
        <v>-2</v>
      </c>
    </row>
    <row r="17143">
      <c r="A17143" s="3" t="inlineStr">
        <is>
          <t>Trademark Holdings (Pty) Ltd</t>
        </is>
      </c>
      <c r="B17143" s="4" t="n">
        <v>45260</v>
      </c>
      <c r="C17143" s="3" t="inlineStr">
        <is>
          <t>Liabilities</t>
        </is>
      </c>
      <c r="D17143" s="3" t="inlineStr">
        <is>
          <t>9400/400</t>
        </is>
      </c>
      <c r="E17143" s="3" t="inlineStr">
        <is>
          <t>Deemed Dividend Tax</t>
        </is>
      </c>
      <c r="F17143" s="3" t="n">
        <v>0</v>
      </c>
      <c r="G17143" s="3" t="n">
        <v>-699.13</v>
      </c>
    </row>
    <row r="17144">
      <c r="A17144" s="3" t="inlineStr">
        <is>
          <t>Opportunity Global Investment (PTY) LTD</t>
        </is>
      </c>
      <c r="B17144" s="4" t="n">
        <v>45260</v>
      </c>
      <c r="C17144" s="3" t="inlineStr">
        <is>
          <t>Liabilities</t>
        </is>
      </c>
      <c r="D17144" s="3" t="inlineStr">
        <is>
          <t>9500/000</t>
        </is>
      </c>
      <c r="E17144" s="3" t="inlineStr">
        <is>
          <t>VAT Control Account</t>
        </is>
      </c>
      <c r="F17144" s="3" t="n">
        <v>73451.77</v>
      </c>
      <c r="G17144" s="3" t="n">
        <v>1085446.79</v>
      </c>
    </row>
    <row r="17145">
      <c r="A17145" s="3" t="inlineStr">
        <is>
          <t>Opportunity Global Sales (PTY) LTD</t>
        </is>
      </c>
      <c r="B17145" s="4" t="n">
        <v>45260</v>
      </c>
      <c r="C17145" s="3" t="inlineStr">
        <is>
          <t>Liabilities</t>
        </is>
      </c>
      <c r="D17145" s="3" t="inlineStr">
        <is>
          <t>9500/000</t>
        </is>
      </c>
      <c r="E17145" s="3" t="inlineStr">
        <is>
          <t>VAT Control Account</t>
        </is>
      </c>
      <c r="F17145" s="3" t="n">
        <v>-38787.26</v>
      </c>
      <c r="G17145" s="3" t="n">
        <v>-1115137.83</v>
      </c>
    </row>
    <row r="17146">
      <c r="A17146" s="3" t="inlineStr">
        <is>
          <t>Opportunity Management Holdings (PTY) LTD</t>
        </is>
      </c>
      <c r="B17146" s="4" t="n">
        <v>45260</v>
      </c>
      <c r="C17146" s="3" t="inlineStr">
        <is>
          <t>Liabilities</t>
        </is>
      </c>
      <c r="D17146" s="3" t="inlineStr">
        <is>
          <t>9500/000</t>
        </is>
      </c>
      <c r="E17146" s="3" t="inlineStr">
        <is>
          <t>VAT Control Account</t>
        </is>
      </c>
      <c r="F17146" s="3" t="n">
        <v>-44125.82</v>
      </c>
      <c r="G17146" s="3" t="n">
        <v>78645.03</v>
      </c>
    </row>
    <row r="17147">
      <c r="A17147" s="3" t="inlineStr">
        <is>
          <t>Endulini (Pty) Ltd</t>
        </is>
      </c>
      <c r="B17147" s="4" t="n">
        <v>45260</v>
      </c>
      <c r="C17147" s="3" t="inlineStr">
        <is>
          <t>Liabilities</t>
        </is>
      </c>
      <c r="D17147" s="3" t="inlineStr">
        <is>
          <t>9500/000</t>
        </is>
      </c>
      <c r="E17147" s="3" t="inlineStr">
        <is>
          <t>Vat / Tax Control Account</t>
        </is>
      </c>
      <c r="F17147" s="3" t="n">
        <v>-350919.47</v>
      </c>
      <c r="G17147" s="3" t="n">
        <v>-2731237.7</v>
      </c>
    </row>
    <row r="17148">
      <c r="A17148" s="3" t="inlineStr">
        <is>
          <t>Noble Shield (Pty) Ltd ta Go Letting</t>
        </is>
      </c>
      <c r="B17148" s="4" t="n">
        <v>45260</v>
      </c>
      <c r="C17148" s="3" t="inlineStr">
        <is>
          <t>Liabilities</t>
        </is>
      </c>
      <c r="D17148" s="3" t="inlineStr">
        <is>
          <t>9500/000</t>
        </is>
      </c>
      <c r="E17148" s="3" t="inlineStr">
        <is>
          <t>Vat / Tax Control Account</t>
        </is>
      </c>
      <c r="F17148" s="3" t="n">
        <v>67.05</v>
      </c>
      <c r="G17148" s="3" t="n">
        <v>1510.73</v>
      </c>
    </row>
    <row r="17149">
      <c r="A17149" s="3" t="inlineStr">
        <is>
          <t>Quinate Consulting (Pty) Ltd</t>
        </is>
      </c>
      <c r="B17149" s="4" t="n">
        <v>45260</v>
      </c>
      <c r="C17149" s="3" t="inlineStr">
        <is>
          <t>Liabilities</t>
        </is>
      </c>
      <c r="D17149" s="3" t="inlineStr">
        <is>
          <t>9500/000</t>
        </is>
      </c>
      <c r="E17149" s="3" t="inlineStr">
        <is>
          <t>Vat Control Account</t>
        </is>
      </c>
      <c r="F17149" s="3" t="n">
        <v>18986.01</v>
      </c>
      <c r="G17149" s="3" t="n">
        <v>2127508.01</v>
      </c>
    </row>
    <row r="17150">
      <c r="A17150" s="3" t="inlineStr">
        <is>
          <t>Opportunity Management Holdings (PTY) LTD</t>
        </is>
      </c>
      <c r="B17150" s="4" t="n">
        <v>45260</v>
      </c>
      <c r="C17150" s="3" t="inlineStr">
        <is>
          <t>Liabilities</t>
        </is>
      </c>
      <c r="D17150" s="3" t="inlineStr">
        <is>
          <t>9501/000</t>
        </is>
      </c>
      <c r="E17150" s="3" t="inlineStr">
        <is>
          <t>Vat Adjustments - C2M</t>
        </is>
      </c>
      <c r="F17150" s="3" t="n">
        <v>0</v>
      </c>
      <c r="G17150" s="3" t="n">
        <v>47274.04</v>
      </c>
    </row>
    <row r="17151">
      <c r="A17151" s="3" t="inlineStr">
        <is>
          <t>Endulini (Pty) Ltd</t>
        </is>
      </c>
      <c r="B17151" s="4" t="n">
        <v>45260</v>
      </c>
      <c r="C17151" s="3" t="inlineStr">
        <is>
          <t>Liabilities</t>
        </is>
      </c>
      <c r="D17151" s="3" t="inlineStr">
        <is>
          <t>9899/A209</t>
        </is>
      </c>
      <c r="E17151" s="3" t="inlineStr">
        <is>
          <t>Sales - Unit Reg Control A209</t>
        </is>
      </c>
      <c r="F17151" s="3" t="n">
        <v>-1218800.14</v>
      </c>
      <c r="G17151" s="3" t="n">
        <v>-1218800.14</v>
      </c>
    </row>
    <row r="17152">
      <c r="A17152" s="3" t="inlineStr">
        <is>
          <t>Endulini (Pty) Ltd</t>
        </is>
      </c>
      <c r="B17152" s="4" t="n">
        <v>45260</v>
      </c>
      <c r="C17152" s="3" t="inlineStr">
        <is>
          <t>Liabilities</t>
        </is>
      </c>
      <c r="D17152" s="3" t="inlineStr">
        <is>
          <t>9899/C302</t>
        </is>
      </c>
      <c r="E17152" s="3" t="inlineStr">
        <is>
          <t>Sales - Unit Reg Control C302</t>
        </is>
      </c>
      <c r="F17152" s="3" t="n">
        <v>-1253795.14</v>
      </c>
      <c r="G17152" s="3" t="n">
        <v>-1253795.14</v>
      </c>
    </row>
    <row r="17153">
      <c r="A17153" s="3" t="inlineStr">
        <is>
          <t>Quinate Consulting (Pty) Ltd</t>
        </is>
      </c>
      <c r="B17153" s="4" t="n">
        <v>45260</v>
      </c>
      <c r="C17153" s="3" t="inlineStr">
        <is>
          <t>Liabilities</t>
        </is>
      </c>
      <c r="D17153" s="3" t="inlineStr">
        <is>
          <t>9960/000</t>
        </is>
      </c>
      <c r="E17153" s="3" t="inlineStr">
        <is>
          <t>Deposits - Southwark Rentals</t>
        </is>
      </c>
      <c r="F17153" s="3" t="n">
        <v>0</v>
      </c>
      <c r="G17153" s="3" t="n">
        <v>-23000</v>
      </c>
    </row>
    <row r="17154">
      <c r="A17154" s="3" t="inlineStr">
        <is>
          <t>Noble Shield (Pty) Ltd ta Go Letting</t>
        </is>
      </c>
      <c r="B17154" s="4" t="n">
        <v>45260</v>
      </c>
      <c r="C17154" s="3" t="inlineStr">
        <is>
          <t>Expenses</t>
        </is>
      </c>
      <c r="D17154" s="3" t="inlineStr">
        <is>
          <t>ACB Link</t>
        </is>
      </c>
      <c r="E17154" s="3" t="inlineStr">
        <is>
          <t>Subscriptions - TPN</t>
        </is>
      </c>
      <c r="F17154" s="3" t="n">
        <v>2037.8</v>
      </c>
      <c r="G17154" s="3" t="n">
        <v>8467.459999999999</v>
      </c>
    </row>
    <row r="17155">
      <c r="A17155" s="3" t="inlineStr">
        <is>
          <t>Trademark Holdings (Pty) Ltd</t>
        </is>
      </c>
      <c r="B17155" s="4" t="n">
        <v>45260</v>
      </c>
      <c r="C17155" s="3" t="inlineStr">
        <is>
          <t>Liabilities</t>
        </is>
      </c>
      <c r="D17155" s="3" t="inlineStr">
        <is>
          <t>B/S</t>
        </is>
      </c>
      <c r="E17155" s="3" t="inlineStr">
        <is>
          <t>Taxation Payable</t>
        </is>
      </c>
      <c r="F17155" s="3" t="n">
        <v>0</v>
      </c>
      <c r="G17155" s="3" t="n">
        <v>1722</v>
      </c>
    </row>
    <row r="17156">
      <c r="A17156" s="3" t="inlineStr">
        <is>
          <t>Quinate Consulting (Pty) Ltd</t>
        </is>
      </c>
      <c r="B17156" s="4" t="n">
        <v>45260</v>
      </c>
      <c r="C17156" s="3" t="inlineStr">
        <is>
          <t>Liabilities</t>
        </is>
      </c>
      <c r="D17156" s="3" t="inlineStr">
        <is>
          <t xml:space="preserve">B/S </t>
        </is>
      </c>
      <c r="E17156" s="3" t="inlineStr">
        <is>
          <t>Taxation Payable</t>
        </is>
      </c>
      <c r="F17156" s="3" t="n">
        <v>0</v>
      </c>
      <c r="G17156" s="3" t="n">
        <v>-15486</v>
      </c>
    </row>
    <row r="17157">
      <c r="A17157" s="3" t="inlineStr">
        <is>
          <t>Quinate Consulting (Pty) Ltd</t>
        </is>
      </c>
      <c r="B17157" s="4" t="n">
        <v>45260</v>
      </c>
      <c r="C17157" s="3" t="inlineStr">
        <is>
          <t>Liabilities</t>
        </is>
      </c>
      <c r="D17157" s="3" t="inlineStr">
        <is>
          <t>FV</t>
        </is>
      </c>
      <c r="E17157" s="3" t="inlineStr">
        <is>
          <t>Loan - Cape Projects Constuction</t>
        </is>
      </c>
      <c r="F17157" s="3" t="n">
        <v>2237423.63</v>
      </c>
      <c r="G17157" s="3" t="n">
        <v>-5283763.77</v>
      </c>
    </row>
    <row r="17158">
      <c r="A17158" s="3" t="inlineStr">
        <is>
          <t>Quinate Consulting (Pty) Ltd</t>
        </is>
      </c>
      <c r="B17158" s="4" t="n">
        <v>45260</v>
      </c>
      <c r="C17158" s="3" t="inlineStr">
        <is>
          <t>Liabilities</t>
        </is>
      </c>
      <c r="D17158" s="3" t="inlineStr">
        <is>
          <t>Sharehold OppDev</t>
        </is>
      </c>
      <c r="E17158" s="3" t="inlineStr">
        <is>
          <t>Loan - Justine Morgan</t>
        </is>
      </c>
      <c r="F17158" s="3" t="n">
        <v>0</v>
      </c>
      <c r="G17158" s="3" t="n">
        <v>-563766.76</v>
      </c>
    </row>
    <row r="17159">
      <c r="A17159" s="3" t="inlineStr">
        <is>
          <t>Opportunity Global Investment (PTY) LTD</t>
        </is>
      </c>
      <c r="B17159" s="4" t="n">
        <v>45260</v>
      </c>
      <c r="C17159" s="3" t="inlineStr">
        <is>
          <t>Expenses</t>
        </is>
      </c>
      <c r="D17159" s="3" t="inlineStr">
        <is>
          <t>Swiftshutter</t>
        </is>
      </c>
      <c r="E17159" s="3" t="inlineStr">
        <is>
          <t>Advertising - Rousseau Lotter</t>
        </is>
      </c>
      <c r="F17159" s="3" t="n">
        <v>15400</v>
      </c>
      <c r="G17159" s="3" t="n">
        <v>15400</v>
      </c>
    </row>
    <row r="17160">
      <c r="A17160" s="3" t="inlineStr">
        <is>
          <t>Opportunity Global Sales (PTY) LTD</t>
        </is>
      </c>
      <c r="B17160" s="4" t="n">
        <v>45291</v>
      </c>
      <c r="C17160" s="3" t="inlineStr">
        <is>
          <t>Revenue</t>
        </is>
      </c>
      <c r="D17160" s="3" t="inlineStr">
        <is>
          <t>1000/009</t>
        </is>
      </c>
      <c r="E17160" s="3" t="inlineStr">
        <is>
          <t>Sales - Comm on Payprop</t>
        </is>
      </c>
      <c r="F17160" s="3" t="n">
        <v>-15404.92</v>
      </c>
      <c r="G17160" s="3" t="n">
        <v>-151503.82</v>
      </c>
    </row>
    <row r="17161">
      <c r="A17161" s="3" t="inlineStr">
        <is>
          <t>Quinate Consulting (Pty) Ltd</t>
        </is>
      </c>
      <c r="B17161" s="4" t="n">
        <v>45291</v>
      </c>
      <c r="C17161" s="3" t="inlineStr">
        <is>
          <t>Revenue</t>
        </is>
      </c>
      <c r="D17161" s="3" t="inlineStr">
        <is>
          <t>1000/011</t>
        </is>
      </c>
      <c r="E17161" s="3" t="inlineStr">
        <is>
          <t>Rent Received - Soho Unit 23</t>
        </is>
      </c>
      <c r="F17161" s="3" t="n">
        <v>-12500</v>
      </c>
      <c r="G17161" s="3" t="n">
        <v>-125000</v>
      </c>
    </row>
    <row r="17162">
      <c r="A17162" s="3" t="inlineStr">
        <is>
          <t>Quinate Consulting (Pty) Ltd</t>
        </is>
      </c>
      <c r="B17162" s="4" t="n">
        <v>45291</v>
      </c>
      <c r="C17162" s="3" t="inlineStr">
        <is>
          <t>Revenue</t>
        </is>
      </c>
      <c r="D17162" s="3" t="inlineStr">
        <is>
          <t>1000/012</t>
        </is>
      </c>
      <c r="E17162" s="3" t="inlineStr">
        <is>
          <t>Rent Received - Soho Unit 24</t>
        </is>
      </c>
      <c r="F17162" s="3" t="n">
        <v>-14445</v>
      </c>
      <c r="G17162" s="3" t="n">
        <v>-144450</v>
      </c>
    </row>
    <row r="17163">
      <c r="A17163" s="3" t="inlineStr">
        <is>
          <t>Quinate Consulting (Pty) Ltd</t>
        </is>
      </c>
      <c r="B17163" s="4" t="n">
        <v>45291</v>
      </c>
      <c r="C17163" s="3" t="inlineStr">
        <is>
          <t>Revenue</t>
        </is>
      </c>
      <c r="D17163" s="3" t="inlineStr">
        <is>
          <t>1000/013</t>
        </is>
      </c>
      <c r="E17163" s="3" t="inlineStr">
        <is>
          <t>Rent Recieved - Soho Unit 20</t>
        </is>
      </c>
      <c r="F17163" s="3" t="n">
        <v>-12500</v>
      </c>
      <c r="G17163" s="3" t="n">
        <v>-125000</v>
      </c>
    </row>
    <row r="17164">
      <c r="A17164" s="3" t="inlineStr">
        <is>
          <t>Quinate Consulting (Pty) Ltd</t>
        </is>
      </c>
      <c r="B17164" s="4" t="n">
        <v>45291</v>
      </c>
      <c r="C17164" s="3" t="inlineStr">
        <is>
          <t>Revenue</t>
        </is>
      </c>
      <c r="D17164" s="3" t="inlineStr">
        <is>
          <t>1000/015</t>
        </is>
      </c>
      <c r="E17164" s="3" t="inlineStr">
        <is>
          <t>Rent Received - Southwark Unit 1</t>
        </is>
      </c>
      <c r="F17164" s="3" t="n">
        <v>-12000</v>
      </c>
      <c r="G17164" s="3" t="n">
        <v>-69500</v>
      </c>
    </row>
    <row r="17165">
      <c r="A17165" s="3" t="inlineStr">
        <is>
          <t>Quinate Consulting (Pty) Ltd</t>
        </is>
      </c>
      <c r="B17165" s="4" t="n">
        <v>45291</v>
      </c>
      <c r="C17165" s="3" t="inlineStr">
        <is>
          <t>Revenue</t>
        </is>
      </c>
      <c r="D17165" s="3" t="inlineStr">
        <is>
          <t>1000/016</t>
        </is>
      </c>
      <c r="E17165" s="3" t="inlineStr">
        <is>
          <t>Rent Recieved - Southwark Unit 21</t>
        </is>
      </c>
      <c r="F17165" s="3" t="n">
        <v>-10000</v>
      </c>
      <c r="G17165" s="3" t="n">
        <v>-101000</v>
      </c>
    </row>
    <row r="17166">
      <c r="A17166" s="3" t="inlineStr">
        <is>
          <t>Opportunity Global Sales (PTY) LTD</t>
        </is>
      </c>
      <c r="B17166" s="4" t="n">
        <v>45291</v>
      </c>
      <c r="C17166" s="3" t="inlineStr">
        <is>
          <t>Revenue</t>
        </is>
      </c>
      <c r="D17166" s="3" t="inlineStr">
        <is>
          <t>1000/100</t>
        </is>
      </c>
      <c r="E17166" s="3" t="inlineStr">
        <is>
          <t>Sales - Comm on External Sales</t>
        </is>
      </c>
      <c r="F17166" s="3" t="n">
        <v>0</v>
      </c>
      <c r="G17166" s="3" t="n">
        <v>-159137.61</v>
      </c>
    </row>
    <row r="17167">
      <c r="A17167" s="3" t="inlineStr">
        <is>
          <t>Noble Shield (Pty) Ltd ta Go Letting</t>
        </is>
      </c>
      <c r="B17167" s="4" t="n">
        <v>45291</v>
      </c>
      <c r="C17167" s="3" t="inlineStr">
        <is>
          <t>Revenue</t>
        </is>
      </c>
      <c r="D17167" s="3" t="inlineStr">
        <is>
          <t>1000/100</t>
        </is>
      </c>
      <c r="E17167" s="3" t="inlineStr">
        <is>
          <t>Sales - Payprop 328 - Michelle</t>
        </is>
      </c>
      <c r="F17167" s="3" t="n">
        <v>-94212.3</v>
      </c>
      <c r="G17167" s="3" t="n">
        <v>-445959.62</v>
      </c>
    </row>
    <row r="17168">
      <c r="A17168" s="3" t="inlineStr">
        <is>
          <t>Opportunity Global Sales (PTY) LTD</t>
        </is>
      </c>
      <c r="B17168" s="4" t="n">
        <v>45291</v>
      </c>
      <c r="C17168" s="3" t="inlineStr">
        <is>
          <t>Revenue</t>
        </is>
      </c>
      <c r="D17168" s="3" t="inlineStr">
        <is>
          <t>1000/120</t>
        </is>
      </c>
      <c r="E17168" s="3" t="inlineStr">
        <is>
          <t>Sales - Admin Fees on Rental Units</t>
        </is>
      </c>
      <c r="F17168" s="3" t="n">
        <v>-6521.75</v>
      </c>
      <c r="G17168" s="3" t="n">
        <v>-61126.04</v>
      </c>
    </row>
    <row r="17169">
      <c r="A17169" s="3" t="inlineStr">
        <is>
          <t>Opportunity Global Sales (PTY) LTD</t>
        </is>
      </c>
      <c r="B17169" s="4" t="n">
        <v>45291</v>
      </c>
      <c r="C17169" s="3" t="inlineStr">
        <is>
          <t>Revenue</t>
        </is>
      </c>
      <c r="D17169" s="3" t="inlineStr">
        <is>
          <t>1000/121</t>
        </is>
      </c>
      <c r="E17169" s="3" t="inlineStr">
        <is>
          <t>Sales - Admin Fees on Rental Units Endulini</t>
        </is>
      </c>
      <c r="F17169" s="3" t="n">
        <v>0</v>
      </c>
      <c r="G17169" s="3" t="n">
        <v>-434.78</v>
      </c>
    </row>
    <row r="17170">
      <c r="A17170" s="3" t="inlineStr">
        <is>
          <t>Opportunity Global Sales (PTY) LTD</t>
        </is>
      </c>
      <c r="B17170" s="4" t="n">
        <v>45291</v>
      </c>
      <c r="C17170" s="3" t="inlineStr">
        <is>
          <t>Revenue</t>
        </is>
      </c>
      <c r="D17170" s="3" t="inlineStr">
        <is>
          <t>1000/122</t>
        </is>
      </c>
      <c r="E17170" s="3" t="inlineStr">
        <is>
          <t>Sales - Admin Fees on Rental Units Heron Fields</t>
        </is>
      </c>
      <c r="F17170" s="3" t="n">
        <v>0</v>
      </c>
      <c r="G17170" s="3" t="n">
        <v>-5652.2</v>
      </c>
    </row>
    <row r="17171">
      <c r="A17171" s="3" t="inlineStr">
        <is>
          <t>Opportunity Global Sales (PTY) LTD</t>
        </is>
      </c>
      <c r="B17171" s="4" t="n">
        <v>45291</v>
      </c>
      <c r="C17171" s="3" t="inlineStr">
        <is>
          <t>Revenue</t>
        </is>
      </c>
      <c r="D17171" s="3" t="inlineStr">
        <is>
          <t>1000/150</t>
        </is>
      </c>
      <c r="E17171" s="3" t="inlineStr">
        <is>
          <t>Sales - Comm on External Rental</t>
        </is>
      </c>
      <c r="F17171" s="3" t="n">
        <v>-19565.21</v>
      </c>
      <c r="G17171" s="3" t="n">
        <v>-515947.62</v>
      </c>
    </row>
    <row r="17172">
      <c r="A17172" s="3" t="inlineStr">
        <is>
          <t>Opportunity Global Sales (PTY) LTD</t>
        </is>
      </c>
      <c r="B17172" s="4" t="n">
        <v>45291</v>
      </c>
      <c r="C17172" s="3" t="inlineStr">
        <is>
          <t>Revenue</t>
        </is>
      </c>
      <c r="D17172" s="3" t="inlineStr">
        <is>
          <t>1000/250</t>
        </is>
      </c>
      <c r="E17172" s="3" t="inlineStr">
        <is>
          <t>Sales - Comm on Endulini</t>
        </is>
      </c>
      <c r="F17172" s="3" t="n">
        <v>0</v>
      </c>
      <c r="G17172" s="3" t="n">
        <v>-129121.74</v>
      </c>
    </row>
    <row r="17173">
      <c r="A17173" s="3" t="inlineStr">
        <is>
          <t>Opportunity Global Sales (PTY) LTD</t>
        </is>
      </c>
      <c r="B17173" s="4" t="n">
        <v>45291</v>
      </c>
      <c r="C17173" s="3" t="inlineStr">
        <is>
          <t>Revenue</t>
        </is>
      </c>
      <c r="D17173" s="3" t="inlineStr">
        <is>
          <t>1000/300</t>
        </is>
      </c>
      <c r="E17173" s="3" t="inlineStr">
        <is>
          <t>Sales - Comm on Heron Fields</t>
        </is>
      </c>
      <c r="F17173" s="3" t="n">
        <v>0</v>
      </c>
      <c r="G17173" s="3" t="n">
        <v>-1340039.14</v>
      </c>
    </row>
    <row r="17174">
      <c r="A17174" s="3" t="inlineStr">
        <is>
          <t>Trademark Holdings (Pty) Ltd</t>
        </is>
      </c>
      <c r="B17174" s="4" t="n">
        <v>45291</v>
      </c>
      <c r="C17174" s="3" t="inlineStr">
        <is>
          <t>Revenue</t>
        </is>
      </c>
      <c r="D17174" s="3" t="inlineStr">
        <is>
          <t>1000/300</t>
        </is>
      </c>
      <c r="E17174" s="3" t="inlineStr">
        <is>
          <t>Sales - Payprop - Lara</t>
        </is>
      </c>
      <c r="F17174" s="3" t="n">
        <v>-92781.31</v>
      </c>
      <c r="G17174" s="3" t="n">
        <v>-496629.1</v>
      </c>
    </row>
    <row r="17175">
      <c r="A17175" s="3" t="inlineStr">
        <is>
          <t>Opportunity Global Investment (PTY) LTD</t>
        </is>
      </c>
      <c r="B17175" s="4" t="n">
        <v>45291</v>
      </c>
      <c r="C17175" s="3" t="inlineStr">
        <is>
          <t>Revenue</t>
        </is>
      </c>
      <c r="D17175" s="3" t="inlineStr">
        <is>
          <t>1000/360</t>
        </is>
      </c>
      <c r="E17175" s="3" t="inlineStr">
        <is>
          <t>Sales - Investor Management - Heron View</t>
        </is>
      </c>
      <c r="F17175" s="3" t="n">
        <v>0</v>
      </c>
      <c r="G17175" s="3" t="n">
        <v>-1826086.96</v>
      </c>
    </row>
    <row r="17176">
      <c r="A17176" s="3" t="inlineStr">
        <is>
          <t>Opportunity Global Sales (PTY) LTD</t>
        </is>
      </c>
      <c r="B17176" s="4" t="n">
        <v>45291</v>
      </c>
      <c r="C17176" s="3" t="inlineStr">
        <is>
          <t>Revenue</t>
        </is>
      </c>
      <c r="D17176" s="3" t="inlineStr">
        <is>
          <t>1000/400</t>
        </is>
      </c>
      <c r="E17176" s="3" t="inlineStr">
        <is>
          <t>Sales - Commission on Heron View</t>
        </is>
      </c>
      <c r="F17176" s="3" t="n">
        <v>-77386.96000000001</v>
      </c>
      <c r="G17176" s="3" t="n">
        <v>-1149930.4</v>
      </c>
    </row>
    <row r="17177">
      <c r="A17177" s="3" t="inlineStr">
        <is>
          <t>Noble Shield (Pty) Ltd ta Go Letting</t>
        </is>
      </c>
      <c r="B17177" s="4" t="n">
        <v>45291</v>
      </c>
      <c r="C17177" s="3" t="inlineStr">
        <is>
          <t>Revenue</t>
        </is>
      </c>
      <c r="D17177" s="3" t="inlineStr">
        <is>
          <t>1000/420</t>
        </is>
      </c>
      <c r="E17177" s="3" t="inlineStr">
        <is>
          <t>Sales - Commission Received - External</t>
        </is>
      </c>
      <c r="F17177" s="3" t="n">
        <v>0</v>
      </c>
      <c r="G17177" s="3" t="n">
        <v>-134000</v>
      </c>
    </row>
    <row r="17178">
      <c r="A17178" s="3" t="inlineStr">
        <is>
          <t>Trademark Holdings (Pty) Ltd</t>
        </is>
      </c>
      <c r="B17178" s="4" t="n">
        <v>45291</v>
      </c>
      <c r="C17178" s="3" t="inlineStr">
        <is>
          <t>Revenue</t>
        </is>
      </c>
      <c r="D17178" s="3" t="inlineStr">
        <is>
          <t>1000/500</t>
        </is>
      </c>
      <c r="E17178" s="3" t="inlineStr">
        <is>
          <t>Sales - Commission external sale</t>
        </is>
      </c>
      <c r="F17178" s="3" t="n">
        <v>0</v>
      </c>
      <c r="G17178" s="3" t="n">
        <v>-50000</v>
      </c>
    </row>
    <row r="17179">
      <c r="A17179" s="3" t="inlineStr">
        <is>
          <t>Quinate Consulting (Pty) Ltd</t>
        </is>
      </c>
      <c r="B17179" s="4" t="n">
        <v>45291</v>
      </c>
      <c r="C17179" s="3" t="inlineStr">
        <is>
          <t>Revenue</t>
        </is>
      </c>
      <c r="D17179" s="3" t="inlineStr">
        <is>
          <t>1002/200</t>
        </is>
      </c>
      <c r="E17179" s="3" t="inlineStr">
        <is>
          <t>Sales - Vodacom tower</t>
        </is>
      </c>
      <c r="F17179" s="3" t="n">
        <v>0</v>
      </c>
      <c r="G17179" s="3" t="n">
        <v>-428524.8</v>
      </c>
    </row>
    <row r="17180">
      <c r="A17180" s="3" t="inlineStr">
        <is>
          <t>Quinate Consulting (Pty) Ltd</t>
        </is>
      </c>
      <c r="B17180" s="4" t="n">
        <v>45291</v>
      </c>
      <c r="C17180" s="3" t="inlineStr">
        <is>
          <t>Revenue</t>
        </is>
      </c>
      <c r="D17180" s="3" t="inlineStr">
        <is>
          <t>1004/000</t>
        </is>
      </c>
      <c r="E17180" s="3" t="inlineStr">
        <is>
          <t>Interest received</t>
        </is>
      </c>
      <c r="F17180" s="3" t="n">
        <v>0</v>
      </c>
      <c r="G17180" s="3" t="n">
        <v>-2364.24</v>
      </c>
    </row>
    <row r="17181">
      <c r="A17181" s="3" t="inlineStr">
        <is>
          <t>Quinate Consulting (Pty) Ltd</t>
        </is>
      </c>
      <c r="B17181" s="4" t="n">
        <v>45291</v>
      </c>
      <c r="C17181" s="3" t="inlineStr">
        <is>
          <t>Revenue</t>
        </is>
      </c>
      <c r="D17181" s="3" t="inlineStr">
        <is>
          <t>1006/100</t>
        </is>
      </c>
      <c r="E17181" s="3" t="inlineStr">
        <is>
          <t>Rental income - Payprop</t>
        </is>
      </c>
      <c r="F17181" s="3" t="n">
        <v>-102806.52</v>
      </c>
      <c r="G17181" s="3" t="n">
        <v>-317068.52</v>
      </c>
    </row>
    <row r="17182">
      <c r="A17182" s="3" t="inlineStr">
        <is>
          <t>Quinate Consulting (Pty) Ltd</t>
        </is>
      </c>
      <c r="B17182" s="4" t="n">
        <v>45291</v>
      </c>
      <c r="C17182" s="3" t="inlineStr">
        <is>
          <t>Revenue</t>
        </is>
      </c>
      <c r="D17182" s="3" t="inlineStr">
        <is>
          <t>1006/110</t>
        </is>
      </c>
      <c r="E17182" s="3" t="inlineStr">
        <is>
          <t>Rental Income - E201</t>
        </is>
      </c>
      <c r="F17182" s="3" t="n">
        <v>0</v>
      </c>
      <c r="G17182" s="3" t="n">
        <v>-59000</v>
      </c>
    </row>
    <row r="17183">
      <c r="A17183" s="3" t="inlineStr">
        <is>
          <t>Quinate Consulting (Pty) Ltd</t>
        </is>
      </c>
      <c r="B17183" s="4" t="n">
        <v>45291</v>
      </c>
      <c r="C17183" s="3" t="inlineStr">
        <is>
          <t>Revenue</t>
        </is>
      </c>
      <c r="D17183" s="3" t="inlineStr">
        <is>
          <t>1006/120</t>
        </is>
      </c>
      <c r="E17183" s="3" t="inlineStr">
        <is>
          <t>Rental Income - D203</t>
        </is>
      </c>
      <c r="F17183" s="3" t="n">
        <v>0</v>
      </c>
      <c r="G17183" s="3" t="n">
        <v>-65000</v>
      </c>
    </row>
    <row r="17184">
      <c r="A17184" s="3" t="inlineStr">
        <is>
          <t>Quinate Consulting (Pty) Ltd</t>
        </is>
      </c>
      <c r="B17184" s="4" t="n">
        <v>45291</v>
      </c>
      <c r="C17184" s="3" t="inlineStr">
        <is>
          <t>Revenue</t>
        </is>
      </c>
      <c r="D17184" s="3" t="inlineStr">
        <is>
          <t>1006/130</t>
        </is>
      </c>
      <c r="E17184" s="3" t="inlineStr">
        <is>
          <t>Rental Income - C301</t>
        </is>
      </c>
      <c r="F17184" s="3" t="n">
        <v>0</v>
      </c>
      <c r="G17184" s="3" t="n">
        <v>-19000</v>
      </c>
    </row>
    <row r="17185">
      <c r="A17185" s="3" t="inlineStr">
        <is>
          <t>Quinate Consulting (Pty) Ltd</t>
        </is>
      </c>
      <c r="B17185" s="4" t="n">
        <v>45291</v>
      </c>
      <c r="C17185" s="3" t="inlineStr">
        <is>
          <t>Revenue</t>
        </is>
      </c>
      <c r="D17185" s="3" t="inlineStr">
        <is>
          <t>1006/140</t>
        </is>
      </c>
      <c r="E17185" s="3" t="inlineStr">
        <is>
          <t>Rental Income - A108</t>
        </is>
      </c>
      <c r="F17185" s="3" t="n">
        <v>0</v>
      </c>
      <c r="G17185" s="3" t="n">
        <v>-72000</v>
      </c>
    </row>
    <row r="17186">
      <c r="A17186" s="3" t="inlineStr">
        <is>
          <t>Quinate Consulting (Pty) Ltd</t>
        </is>
      </c>
      <c r="B17186" s="4" t="n">
        <v>45291</v>
      </c>
      <c r="C17186" s="3" t="inlineStr">
        <is>
          <t>Revenue</t>
        </is>
      </c>
      <c r="D17186" s="3" t="inlineStr">
        <is>
          <t>1006/150</t>
        </is>
      </c>
      <c r="E17186" s="3" t="inlineStr">
        <is>
          <t>Rental Income - A303</t>
        </is>
      </c>
      <c r="F17186" s="3" t="n">
        <v>0</v>
      </c>
      <c r="G17186" s="3" t="n">
        <v>-37000</v>
      </c>
    </row>
    <row r="17187">
      <c r="A17187" s="3" t="inlineStr">
        <is>
          <t>Quinate Consulting (Pty) Ltd</t>
        </is>
      </c>
      <c r="B17187" s="4" t="n">
        <v>45291</v>
      </c>
      <c r="C17187" s="3" t="inlineStr">
        <is>
          <t>Revenue</t>
        </is>
      </c>
      <c r="D17187" s="3" t="inlineStr">
        <is>
          <t>1006/160</t>
        </is>
      </c>
      <c r="E17187" s="3" t="inlineStr">
        <is>
          <t>Rental Income - A306</t>
        </is>
      </c>
      <c r="F17187" s="3" t="n">
        <v>0</v>
      </c>
      <c r="G17187" s="3" t="n">
        <v>-38030</v>
      </c>
    </row>
    <row r="17188">
      <c r="A17188" s="3" t="inlineStr">
        <is>
          <t>Quinate Consulting (Pty) Ltd</t>
        </is>
      </c>
      <c r="B17188" s="4" t="n">
        <v>45291</v>
      </c>
      <c r="C17188" s="3" t="inlineStr">
        <is>
          <t>Revenue</t>
        </is>
      </c>
      <c r="D17188" s="3" t="inlineStr">
        <is>
          <t>1006/170</t>
        </is>
      </c>
      <c r="E17188" s="3" t="inlineStr">
        <is>
          <t>Rental Income - C102</t>
        </is>
      </c>
      <c r="F17188" s="3" t="n">
        <v>0</v>
      </c>
      <c r="G17188" s="3" t="n">
        <v>-72000</v>
      </c>
    </row>
    <row r="17189">
      <c r="A17189" s="3" t="inlineStr">
        <is>
          <t>Quinate Consulting (Pty) Ltd</t>
        </is>
      </c>
      <c r="B17189" s="4" t="n">
        <v>45291</v>
      </c>
      <c r="C17189" s="3" t="inlineStr">
        <is>
          <t>Revenue</t>
        </is>
      </c>
      <c r="D17189" s="3" t="inlineStr">
        <is>
          <t>1006/180</t>
        </is>
      </c>
      <c r="E17189" s="3" t="inlineStr">
        <is>
          <t>Rental Income - A307</t>
        </is>
      </c>
      <c r="F17189" s="3" t="n">
        <v>0</v>
      </c>
      <c r="G17189" s="3" t="n">
        <v>-37000</v>
      </c>
    </row>
    <row r="17190">
      <c r="A17190" s="3" t="inlineStr">
        <is>
          <t>Quinate Consulting (Pty) Ltd</t>
        </is>
      </c>
      <c r="B17190" s="4" t="n">
        <v>45291</v>
      </c>
      <c r="C17190" s="3" t="inlineStr">
        <is>
          <t>Revenue</t>
        </is>
      </c>
      <c r="D17190" s="3" t="inlineStr">
        <is>
          <t>1006/190</t>
        </is>
      </c>
      <c r="E17190" s="3" t="inlineStr">
        <is>
          <t>Rental Income - A209</t>
        </is>
      </c>
      <c r="F17190" s="3" t="n">
        <v>0</v>
      </c>
      <c r="G17190" s="3" t="n">
        <v>-82989.12</v>
      </c>
    </row>
    <row r="17191">
      <c r="A17191" s="3" t="inlineStr">
        <is>
          <t>Endulini (Pty) Ltd</t>
        </is>
      </c>
      <c r="B17191" s="4" t="n">
        <v>45291</v>
      </c>
      <c r="C17191" s="3" t="inlineStr">
        <is>
          <t>Revenue</t>
        </is>
      </c>
      <c r="D17191" s="3" t="inlineStr">
        <is>
          <t>1100/000</t>
        </is>
      </c>
      <c r="E17191" s="3" t="inlineStr">
        <is>
          <t>Sales - Endulini</t>
        </is>
      </c>
      <c r="F17191" s="3" t="n">
        <v>-5425739.13</v>
      </c>
      <c r="G17191" s="3" t="n">
        <v>-10668869.56</v>
      </c>
    </row>
    <row r="17192">
      <c r="A17192" s="3" t="inlineStr">
        <is>
          <t>Opportunity Management Holdings (PTY) LTD</t>
        </is>
      </c>
      <c r="B17192" s="4" t="n">
        <v>45291</v>
      </c>
      <c r="C17192" s="3" t="inlineStr">
        <is>
          <t>Revenue</t>
        </is>
      </c>
      <c r="D17192" s="3" t="inlineStr">
        <is>
          <t>1100/001</t>
        </is>
      </c>
      <c r="E17192" s="3" t="inlineStr">
        <is>
          <t>Salary Recharges</t>
        </is>
      </c>
      <c r="F17192" s="3" t="n">
        <v>-332720</v>
      </c>
      <c r="G17192" s="3" t="n">
        <v>-1349080.26</v>
      </c>
    </row>
    <row r="17193">
      <c r="A17193" s="3" t="inlineStr">
        <is>
          <t>Endulini (Pty) Ltd</t>
        </is>
      </c>
      <c r="B17193" s="4" t="n">
        <v>45291</v>
      </c>
      <c r="C17193" s="3" t="inlineStr">
        <is>
          <t>Revenue</t>
        </is>
      </c>
      <c r="D17193" s="3" t="inlineStr">
        <is>
          <t>1100/200</t>
        </is>
      </c>
      <c r="E17193" s="3" t="inlineStr">
        <is>
          <t>Sales - Endulini occupational rent</t>
        </is>
      </c>
      <c r="F17193" s="3" t="n">
        <v>0</v>
      </c>
      <c r="G17193" s="3" t="n">
        <v>1679.94</v>
      </c>
    </row>
    <row r="17194">
      <c r="A17194" s="3" t="inlineStr">
        <is>
          <t>Endulini (Pty) Ltd</t>
        </is>
      </c>
      <c r="B17194" s="4" t="n">
        <v>45291</v>
      </c>
      <c r="C17194" s="3" t="inlineStr">
        <is>
          <t>Expenses</t>
        </is>
      </c>
      <c r="D17194" s="3" t="inlineStr">
        <is>
          <t>2000/001</t>
        </is>
      </c>
      <c r="E17194" s="3" t="inlineStr">
        <is>
          <t>COS - CIP Construction</t>
        </is>
      </c>
      <c r="F17194" s="3" t="n">
        <v>0</v>
      </c>
      <c r="G17194" s="3" t="n">
        <v>2000</v>
      </c>
    </row>
    <row r="17195">
      <c r="A17195" s="3" t="inlineStr">
        <is>
          <t>Quinate Consulting (Pty) Ltd</t>
        </is>
      </c>
      <c r="B17195" s="4" t="n">
        <v>45291</v>
      </c>
      <c r="C17195" s="3" t="inlineStr">
        <is>
          <t>Expenses</t>
        </is>
      </c>
      <c r="D17195" s="3" t="inlineStr">
        <is>
          <t>2000/009</t>
        </is>
      </c>
      <c r="E17195" s="3" t="inlineStr">
        <is>
          <t>COS - Admin fees</t>
        </is>
      </c>
      <c r="F17195" s="3" t="n">
        <v>0</v>
      </c>
      <c r="G17195" s="3" t="n">
        <v>869.5700000000001</v>
      </c>
    </row>
    <row r="17196">
      <c r="A17196" s="3" t="inlineStr">
        <is>
          <t>Opportunity Global Sales (PTY) LTD</t>
        </is>
      </c>
      <c r="B17196" s="4" t="n">
        <v>45291</v>
      </c>
      <c r="C17196" s="3" t="inlineStr">
        <is>
          <t>Expenses</t>
        </is>
      </c>
      <c r="D17196" s="3" t="inlineStr">
        <is>
          <t>2000/010</t>
        </is>
      </c>
      <c r="E17196" s="3" t="inlineStr">
        <is>
          <t>COS - PAYE on Commission</t>
        </is>
      </c>
      <c r="F17196" s="3" t="n">
        <v>20956.66</v>
      </c>
      <c r="G17196" s="3" t="n">
        <v>260772.73</v>
      </c>
    </row>
    <row r="17197">
      <c r="A17197" s="3" t="inlineStr">
        <is>
          <t>Quinate Consulting (Pty) Ltd</t>
        </is>
      </c>
      <c r="B17197" s="4" t="n">
        <v>45291</v>
      </c>
      <c r="C17197" s="3" t="inlineStr">
        <is>
          <t>Expenses</t>
        </is>
      </c>
      <c r="D17197" s="3" t="inlineStr">
        <is>
          <t>2000/060</t>
        </is>
      </c>
      <c r="E17197" s="3" t="inlineStr">
        <is>
          <t>COS - Commission Endulini</t>
        </is>
      </c>
      <c r="F17197" s="3" t="n">
        <v>0</v>
      </c>
      <c r="G17197" s="3" t="n">
        <v>11382.61</v>
      </c>
    </row>
    <row r="17198">
      <c r="A17198" s="3" t="inlineStr">
        <is>
          <t>Endulini (Pty) Ltd</t>
        </is>
      </c>
      <c r="B17198" s="4" t="n">
        <v>45291</v>
      </c>
      <c r="C17198" s="3" t="inlineStr">
        <is>
          <t>Expenses</t>
        </is>
      </c>
      <c r="D17198" s="3" t="inlineStr">
        <is>
          <t>2000/100</t>
        </is>
      </c>
      <c r="E17198" s="3" t="inlineStr">
        <is>
          <t>COS - Commission Endulini</t>
        </is>
      </c>
      <c r="F17198" s="3" t="n">
        <v>0</v>
      </c>
      <c r="G17198" s="3" t="n">
        <v>196943.48</v>
      </c>
    </row>
    <row r="17199">
      <c r="A17199" s="3" t="inlineStr">
        <is>
          <t>Noble Shield (Pty) Ltd ta Go Letting</t>
        </is>
      </c>
      <c r="B17199" s="4" t="n">
        <v>45291</v>
      </c>
      <c r="C17199" s="3" t="inlineStr">
        <is>
          <t>Expenses</t>
        </is>
      </c>
      <c r="D17199" s="3" t="inlineStr">
        <is>
          <t>2000/100</t>
        </is>
      </c>
      <c r="E17199" s="3" t="inlineStr">
        <is>
          <t>COS - Commission Paid</t>
        </is>
      </c>
      <c r="F17199" s="3" t="n">
        <v>17311.17</v>
      </c>
      <c r="G17199" s="3" t="n">
        <v>62774.7</v>
      </c>
    </row>
    <row r="17200">
      <c r="A17200" s="3" t="inlineStr">
        <is>
          <t>Opportunity Global Sales (PTY) LTD</t>
        </is>
      </c>
      <c r="B17200" s="4" t="n">
        <v>45291</v>
      </c>
      <c r="C17200" s="3" t="inlineStr">
        <is>
          <t>Expenses</t>
        </is>
      </c>
      <c r="D17200" s="3" t="inlineStr">
        <is>
          <t>2000/125</t>
        </is>
      </c>
      <c r="E17200" s="3" t="inlineStr">
        <is>
          <t>Commission Paid - Referal commission</t>
        </is>
      </c>
      <c r="F17200" s="3" t="n">
        <v>0</v>
      </c>
      <c r="G17200" s="3" t="n">
        <v>75342.61</v>
      </c>
    </row>
    <row r="17201">
      <c r="A17201" s="3" t="inlineStr">
        <is>
          <t>Opportunity Global Sales (PTY) LTD</t>
        </is>
      </c>
      <c r="B17201" s="4" t="n">
        <v>45291</v>
      </c>
      <c r="C17201" s="3" t="inlineStr">
        <is>
          <t>Expenses</t>
        </is>
      </c>
      <c r="D17201" s="3" t="inlineStr">
        <is>
          <t>2000/135</t>
        </is>
      </c>
      <c r="E17201" s="3" t="inlineStr">
        <is>
          <t>COS - Sales Comm External - Minette</t>
        </is>
      </c>
      <c r="F17201" s="3" t="n">
        <v>16000</v>
      </c>
      <c r="G17201" s="3" t="n">
        <v>57739.13</v>
      </c>
    </row>
    <row r="17202">
      <c r="A17202" s="3" t="inlineStr">
        <is>
          <t>Opportunity Global Investment (PTY) LTD</t>
        </is>
      </c>
      <c r="B17202" s="4" t="n">
        <v>45291</v>
      </c>
      <c r="C17202" s="3" t="inlineStr">
        <is>
          <t>Expenses</t>
        </is>
      </c>
      <c r="D17202" s="3" t="inlineStr">
        <is>
          <t>2000/135</t>
        </is>
      </c>
      <c r="E17202" s="3" t="inlineStr">
        <is>
          <t>Referral commission - Heron View</t>
        </is>
      </c>
      <c r="F17202" s="3" t="n">
        <v>28500</v>
      </c>
      <c r="G17202" s="3" t="n">
        <v>37231.21</v>
      </c>
    </row>
    <row r="17203">
      <c r="A17203" s="3" t="inlineStr">
        <is>
          <t>Opportunity Global Sales (PTY) LTD</t>
        </is>
      </c>
      <c r="B17203" s="4" t="n">
        <v>45291</v>
      </c>
      <c r="C17203" s="3" t="inlineStr">
        <is>
          <t>Expenses</t>
        </is>
      </c>
      <c r="D17203" s="3" t="inlineStr">
        <is>
          <t>2000/137</t>
        </is>
      </c>
      <c r="E17203" s="3" t="inlineStr">
        <is>
          <t>COS - Rental Comm External - Minette</t>
        </is>
      </c>
      <c r="F17203" s="3" t="n">
        <v>23411.82</v>
      </c>
      <c r="G17203" s="3" t="n">
        <v>223786.54</v>
      </c>
    </row>
    <row r="17204">
      <c r="A17204" s="3" t="inlineStr">
        <is>
          <t>Opportunity Global Sales (PTY) LTD</t>
        </is>
      </c>
      <c r="B17204" s="4" t="n">
        <v>45291</v>
      </c>
      <c r="C17204" s="3" t="inlineStr">
        <is>
          <t>Expenses</t>
        </is>
      </c>
      <c r="D17204" s="3" t="inlineStr">
        <is>
          <t>2000/139</t>
        </is>
      </c>
      <c r="E17204" s="3" t="inlineStr">
        <is>
          <t>COS - Sales Comm Heron Fields - Minette</t>
        </is>
      </c>
      <c r="F17204" s="3" t="n">
        <v>0</v>
      </c>
      <c r="G17204" s="3" t="n">
        <v>68099.48</v>
      </c>
    </row>
    <row r="17205">
      <c r="A17205" s="3" t="inlineStr">
        <is>
          <t>Opportunity Global Investment (PTY) LTD</t>
        </is>
      </c>
      <c r="B17205" s="4" t="n">
        <v>45291</v>
      </c>
      <c r="C17205" s="3" t="inlineStr">
        <is>
          <t>Expenses</t>
        </is>
      </c>
      <c r="D17205" s="3" t="inlineStr">
        <is>
          <t>2000/140</t>
        </is>
      </c>
      <c r="E17205" s="3" t="inlineStr">
        <is>
          <t>Referral commission - F Geldenhuys</t>
        </is>
      </c>
      <c r="F17205" s="3" t="n">
        <v>0</v>
      </c>
      <c r="G17205" s="3" t="n">
        <v>89400</v>
      </c>
    </row>
    <row r="17206">
      <c r="A17206" s="3" t="inlineStr">
        <is>
          <t>Opportunity Global Investment (PTY) LTD</t>
        </is>
      </c>
      <c r="B17206" s="4" t="n">
        <v>45291</v>
      </c>
      <c r="C17206" s="3" t="inlineStr">
        <is>
          <t>Expenses</t>
        </is>
      </c>
      <c r="D17206" s="3" t="inlineStr">
        <is>
          <t>2000/145</t>
        </is>
      </c>
      <c r="E17206" s="3" t="inlineStr">
        <is>
          <t>Referral commission - W Thomason</t>
        </is>
      </c>
      <c r="F17206" s="3" t="n">
        <v>0</v>
      </c>
      <c r="G17206" s="3" t="n">
        <v>12000</v>
      </c>
    </row>
    <row r="17207">
      <c r="A17207" s="3" t="inlineStr">
        <is>
          <t>Opportunity Global Sales (PTY) LTD</t>
        </is>
      </c>
      <c r="B17207" s="4" t="n">
        <v>45291</v>
      </c>
      <c r="C17207" s="3" t="inlineStr">
        <is>
          <t>Expenses</t>
        </is>
      </c>
      <c r="D17207" s="3" t="inlineStr">
        <is>
          <t>2000/147</t>
        </is>
      </c>
      <c r="E17207" s="3" t="inlineStr">
        <is>
          <t>COS - Sales Comm Heron Fields - Yvette</t>
        </is>
      </c>
      <c r="F17207" s="3" t="n">
        <v>0</v>
      </c>
      <c r="G17207" s="3" t="n">
        <v>185656.48</v>
      </c>
    </row>
    <row r="17208">
      <c r="A17208" s="3" t="inlineStr">
        <is>
          <t>Endulini (Pty) Ltd</t>
        </is>
      </c>
      <c r="B17208" s="4" t="n">
        <v>45291</v>
      </c>
      <c r="C17208" s="3" t="inlineStr">
        <is>
          <t>Expenses</t>
        </is>
      </c>
      <c r="D17208" s="3" t="inlineStr">
        <is>
          <t>2000/150</t>
        </is>
      </c>
      <c r="E17208" s="3" t="inlineStr">
        <is>
          <t>COS - Levies special agreement</t>
        </is>
      </c>
      <c r="F17208" s="3" t="n">
        <v>2862.33</v>
      </c>
      <c r="G17208" s="3" t="n">
        <v>69974.49000000001</v>
      </c>
    </row>
    <row r="17209">
      <c r="A17209" s="3" t="inlineStr">
        <is>
          <t>Opportunity Global Sales (PTY) LTD</t>
        </is>
      </c>
      <c r="B17209" s="4" t="n">
        <v>45291</v>
      </c>
      <c r="C17209" s="3" t="inlineStr">
        <is>
          <t>Expenses</t>
        </is>
      </c>
      <c r="D17209" s="3" t="inlineStr">
        <is>
          <t>2000/160</t>
        </is>
      </c>
      <c r="E17209" s="3" t="inlineStr">
        <is>
          <t>COS - Sales Comm Heron View - Minette</t>
        </is>
      </c>
      <c r="F17209" s="3" t="n">
        <v>11686.26</v>
      </c>
      <c r="G17209" s="3" t="n">
        <v>311910.94</v>
      </c>
    </row>
    <row r="17210">
      <c r="A17210" s="3" t="inlineStr">
        <is>
          <t>Opportunity Global Sales (PTY) LTD</t>
        </is>
      </c>
      <c r="B17210" s="4" t="n">
        <v>45291</v>
      </c>
      <c r="C17210" s="3" t="inlineStr">
        <is>
          <t>Expenses</t>
        </is>
      </c>
      <c r="D17210" s="3" t="inlineStr">
        <is>
          <t>2000/162</t>
        </is>
      </c>
      <c r="E17210" s="3" t="inlineStr">
        <is>
          <t>COS - Sales Comm Heron View - Yvette</t>
        </is>
      </c>
      <c r="F17210" s="3" t="n">
        <v>36363.09</v>
      </c>
      <c r="G17210" s="3" t="n">
        <v>231582.97</v>
      </c>
    </row>
    <row r="17211">
      <c r="A17211" s="3" t="inlineStr">
        <is>
          <t>Opportunity Global Sales (PTY) LTD</t>
        </is>
      </c>
      <c r="B17211" s="4" t="n">
        <v>45291</v>
      </c>
      <c r="C17211" s="3" t="inlineStr">
        <is>
          <t>Expenses</t>
        </is>
      </c>
      <c r="D17211" s="3" t="inlineStr">
        <is>
          <t>2000/165</t>
        </is>
      </c>
      <c r="E17211" s="3" t="inlineStr">
        <is>
          <t>COS - Sales Comm External - Yvette</t>
        </is>
      </c>
      <c r="F17211" s="3" t="n">
        <v>0</v>
      </c>
      <c r="G17211" s="3" t="n">
        <v>5885.55</v>
      </c>
    </row>
    <row r="17212">
      <c r="A17212" s="3" t="inlineStr">
        <is>
          <t>Opportunity Global Sales (PTY) LTD</t>
        </is>
      </c>
      <c r="B17212" s="4" t="n">
        <v>45291</v>
      </c>
      <c r="C17212" s="3" t="inlineStr">
        <is>
          <t>Expenses</t>
        </is>
      </c>
      <c r="D17212" s="3" t="inlineStr">
        <is>
          <t>2000/166</t>
        </is>
      </c>
      <c r="E17212" s="3" t="inlineStr">
        <is>
          <t>COS - Sales Comm Heron View - Morne</t>
        </is>
      </c>
      <c r="F17212" s="3" t="n">
        <v>42084.31</v>
      </c>
      <c r="G17212" s="3" t="n">
        <v>57561.7</v>
      </c>
    </row>
    <row r="17213">
      <c r="A17213" s="3" t="inlineStr">
        <is>
          <t>Opportunity Global Sales (PTY) LTD</t>
        </is>
      </c>
      <c r="B17213" s="4" t="n">
        <v>45291</v>
      </c>
      <c r="C17213" s="3" t="inlineStr">
        <is>
          <t>Expenses</t>
        </is>
      </c>
      <c r="D17213" s="3" t="inlineStr">
        <is>
          <t>2000/167</t>
        </is>
      </c>
      <c r="E17213" s="3" t="inlineStr">
        <is>
          <t>COS - Sales Comm Endulini - Morne</t>
        </is>
      </c>
      <c r="F17213" s="3" t="n">
        <v>0</v>
      </c>
      <c r="G17213" s="3" t="n">
        <v>12173.05</v>
      </c>
    </row>
    <row r="17214">
      <c r="A17214" s="3" t="inlineStr">
        <is>
          <t>Noble Shield (Pty) Ltd ta Go Letting</t>
        </is>
      </c>
      <c r="B17214" s="4" t="n">
        <v>45291</v>
      </c>
      <c r="C17214" s="3" t="inlineStr">
        <is>
          <t>Expenses</t>
        </is>
      </c>
      <c r="D17214" s="3" t="inlineStr">
        <is>
          <t>2000/200</t>
        </is>
      </c>
      <c r="E17214" s="3" t="inlineStr">
        <is>
          <t>COS - Commission on external sales</t>
        </is>
      </c>
      <c r="F17214" s="3" t="n">
        <v>0</v>
      </c>
      <c r="G17214" s="3" t="n">
        <v>115400</v>
      </c>
    </row>
    <row r="17215">
      <c r="A17215" s="3" t="inlineStr">
        <is>
          <t>Endulini (Pty) Ltd</t>
        </is>
      </c>
      <c r="B17215" s="4" t="n">
        <v>45291</v>
      </c>
      <c r="C17215" s="3" t="inlineStr">
        <is>
          <t>Expenses</t>
        </is>
      </c>
      <c r="D17215" s="3" t="inlineStr">
        <is>
          <t>2000/200</t>
        </is>
      </c>
      <c r="E17215" s="3" t="inlineStr">
        <is>
          <t>COS - Rates clearance</t>
        </is>
      </c>
      <c r="F17215" s="3" t="n">
        <v>2258.81</v>
      </c>
      <c r="G17215" s="3" t="n">
        <v>55850.18</v>
      </c>
    </row>
    <row r="17216">
      <c r="A17216" s="3" t="inlineStr">
        <is>
          <t>Opportunity Global Sales (PTY) LTD</t>
        </is>
      </c>
      <c r="B17216" s="4" t="n">
        <v>45291</v>
      </c>
      <c r="C17216" s="3" t="inlineStr">
        <is>
          <t>Expenses</t>
        </is>
      </c>
      <c r="D17216" s="3" t="inlineStr">
        <is>
          <t>2000/270</t>
        </is>
      </c>
      <c r="E17216" s="3" t="inlineStr">
        <is>
          <t>COS - Comm Rentals - Mario - External</t>
        </is>
      </c>
      <c r="F17216" s="3" t="n">
        <v>834.78</v>
      </c>
      <c r="G17216" s="3" t="n">
        <v>5031.34</v>
      </c>
    </row>
    <row r="17217">
      <c r="A17217" s="3" t="inlineStr">
        <is>
          <t>Opportunity Global Sales (PTY) LTD</t>
        </is>
      </c>
      <c r="B17217" s="4" t="n">
        <v>45291</v>
      </c>
      <c r="C17217" s="3" t="inlineStr">
        <is>
          <t>Expenses</t>
        </is>
      </c>
      <c r="D17217" s="3" t="inlineStr">
        <is>
          <t>2000/275</t>
        </is>
      </c>
      <c r="E17217" s="3" t="inlineStr">
        <is>
          <t>COS - Comm Rentals - Mario - Endulini</t>
        </is>
      </c>
      <c r="F17217" s="3" t="n">
        <v>8190.61</v>
      </c>
      <c r="G17217" s="3" t="n">
        <v>27067.12</v>
      </c>
    </row>
    <row r="17218">
      <c r="A17218" s="3" t="inlineStr">
        <is>
          <t>Opportunity Global Sales (PTY) LTD</t>
        </is>
      </c>
      <c r="B17218" s="4" t="n">
        <v>45291</v>
      </c>
      <c r="C17218" s="3" t="inlineStr">
        <is>
          <t>Expenses</t>
        </is>
      </c>
      <c r="D17218" s="3" t="inlineStr">
        <is>
          <t>2000/280</t>
        </is>
      </c>
      <c r="E17218" s="3" t="inlineStr">
        <is>
          <t>COS - Comm Rentals - Mario - Heron Fields</t>
        </is>
      </c>
      <c r="F17218" s="3" t="n">
        <v>7739.13</v>
      </c>
      <c r="G17218" s="3" t="n">
        <v>21993.91</v>
      </c>
    </row>
    <row r="17219">
      <c r="A17219" s="3" t="inlineStr">
        <is>
          <t>Trademark Holdings (Pty) Ltd</t>
        </is>
      </c>
      <c r="B17219" s="4" t="n">
        <v>45291</v>
      </c>
      <c r="C17219" s="3" t="inlineStr">
        <is>
          <t>Expenses</t>
        </is>
      </c>
      <c r="D17219" s="3" t="inlineStr">
        <is>
          <t>2000/300</t>
        </is>
      </c>
      <c r="E17219" s="3" t="inlineStr">
        <is>
          <t>COS - Commission Paid</t>
        </is>
      </c>
      <c r="F17219" s="3" t="n">
        <v>16886.85</v>
      </c>
      <c r="G17219" s="3" t="n">
        <v>67112.89</v>
      </c>
    </row>
    <row r="17220">
      <c r="A17220" s="3" t="inlineStr">
        <is>
          <t>Opportunity Global Sales (PTY) LTD</t>
        </is>
      </c>
      <c r="B17220" s="4" t="n">
        <v>45291</v>
      </c>
      <c r="C17220" s="3" t="inlineStr">
        <is>
          <t>Expenses</t>
        </is>
      </c>
      <c r="D17220" s="3" t="inlineStr">
        <is>
          <t>2000/370</t>
        </is>
      </c>
      <c r="E17220" s="3" t="inlineStr">
        <is>
          <t>COS - Overrider Comm Endulini - Morne</t>
        </is>
      </c>
      <c r="F17220" s="3" t="n">
        <v>0</v>
      </c>
      <c r="G17220" s="3" t="n">
        <v>12173.04</v>
      </c>
    </row>
    <row r="17221">
      <c r="A17221" s="3" t="inlineStr">
        <is>
          <t>Opportunity Global Sales (PTY) LTD</t>
        </is>
      </c>
      <c r="B17221" s="4" t="n">
        <v>45291</v>
      </c>
      <c r="C17221" s="3" t="inlineStr">
        <is>
          <t>Expenses</t>
        </is>
      </c>
      <c r="D17221" s="3" t="inlineStr">
        <is>
          <t>2000/380</t>
        </is>
      </c>
      <c r="E17221" s="3" t="inlineStr">
        <is>
          <t>COS - Overrider Comm Heron Fields - Morne</t>
        </is>
      </c>
      <c r="F17221" s="3" t="n">
        <v>0</v>
      </c>
      <c r="G17221" s="3" t="n">
        <v>30622.7</v>
      </c>
    </row>
    <row r="17222">
      <c r="A17222" s="3" t="inlineStr">
        <is>
          <t>Opportunity Global Sales (PTY) LTD</t>
        </is>
      </c>
      <c r="B17222" s="4" t="n">
        <v>45291</v>
      </c>
      <c r="C17222" s="3" t="inlineStr">
        <is>
          <t>Expenses</t>
        </is>
      </c>
      <c r="D17222" s="3" t="inlineStr">
        <is>
          <t>2000/383</t>
        </is>
      </c>
      <c r="E17222" s="3" t="inlineStr">
        <is>
          <t>COS - Overrider Comm Heron View - Morne</t>
        </is>
      </c>
      <c r="F17222" s="3" t="n">
        <v>11021.09</v>
      </c>
      <c r="G17222" s="3" t="n">
        <v>59000.69</v>
      </c>
    </row>
    <row r="17223">
      <c r="A17223" s="3" t="inlineStr">
        <is>
          <t>Opportunity Global Sales (PTY) LTD</t>
        </is>
      </c>
      <c r="B17223" s="4" t="n">
        <v>45291</v>
      </c>
      <c r="C17223" s="3" t="inlineStr">
        <is>
          <t>Expenses</t>
        </is>
      </c>
      <c r="D17223" s="3" t="inlineStr">
        <is>
          <t>2000/390</t>
        </is>
      </c>
      <c r="E17223" s="3" t="inlineStr">
        <is>
          <t>COS - Overrider Comm External Sales - Morne</t>
        </is>
      </c>
      <c r="F17223" s="3" t="n">
        <v>1500</v>
      </c>
      <c r="G17223" s="3" t="n">
        <v>11953.32</v>
      </c>
    </row>
    <row r="17224">
      <c r="A17224" s="3" t="inlineStr">
        <is>
          <t>Trademark Holdings (Pty) Ltd</t>
        </is>
      </c>
      <c r="B17224" s="4" t="n">
        <v>45291</v>
      </c>
      <c r="C17224" s="3" t="inlineStr">
        <is>
          <t>Expenses</t>
        </is>
      </c>
      <c r="D17224" s="3" t="inlineStr">
        <is>
          <t>2000/400</t>
        </is>
      </c>
      <c r="E17224" s="3" t="inlineStr">
        <is>
          <t>COS - Commission on external sales</t>
        </is>
      </c>
      <c r="F17224" s="3" t="n">
        <v>0</v>
      </c>
      <c r="G17224" s="3" t="n">
        <v>115000</v>
      </c>
    </row>
    <row r="17225">
      <c r="A17225" s="3" t="inlineStr">
        <is>
          <t>Opportunity Global Sales (PTY) LTD</t>
        </is>
      </c>
      <c r="B17225" s="4" t="n">
        <v>45291</v>
      </c>
      <c r="C17225" s="3" t="inlineStr">
        <is>
          <t>Expenses</t>
        </is>
      </c>
      <c r="D17225" s="3" t="inlineStr">
        <is>
          <t>2000/550</t>
        </is>
      </c>
      <c r="E17225" s="3" t="inlineStr">
        <is>
          <t>COS - Electricity Costs Heron Fields</t>
        </is>
      </c>
      <c r="F17225" s="3" t="n">
        <v>0</v>
      </c>
      <c r="G17225" s="3" t="n">
        <v>447.83</v>
      </c>
    </row>
    <row r="17226">
      <c r="A17226" s="3" t="inlineStr">
        <is>
          <t>Opportunity Global Sales (PTY) LTD</t>
        </is>
      </c>
      <c r="B17226" s="4" t="n">
        <v>45291</v>
      </c>
      <c r="C17226" s="3" t="inlineStr">
        <is>
          <t>Expenses</t>
        </is>
      </c>
      <c r="D17226" s="3" t="inlineStr">
        <is>
          <t>2000/600</t>
        </is>
      </c>
      <c r="E17226" s="3" t="inlineStr">
        <is>
          <t>COS - Heron Fields Show House</t>
        </is>
      </c>
      <c r="F17226" s="3" t="n">
        <v>0</v>
      </c>
      <c r="G17226" s="3" t="n">
        <v>201.97</v>
      </c>
    </row>
    <row r="17227">
      <c r="A17227" s="3" t="inlineStr">
        <is>
          <t>Endulini (Pty) Ltd</t>
        </is>
      </c>
      <c r="B17227" s="4" t="n">
        <v>45291</v>
      </c>
      <c r="C17227" s="3" t="inlineStr">
        <is>
          <t>Expenses</t>
        </is>
      </c>
      <c r="D17227" s="3" t="inlineStr">
        <is>
          <t>2000/600</t>
        </is>
      </c>
      <c r="E17227" s="3" t="inlineStr">
        <is>
          <t>COS - Legal fees</t>
        </is>
      </c>
      <c r="F17227" s="3" t="n">
        <v>179504.74</v>
      </c>
      <c r="G17227" s="3" t="n">
        <v>341904.45</v>
      </c>
    </row>
    <row r="17228">
      <c r="A17228" s="3" t="inlineStr">
        <is>
          <t>Quinate Consulting (Pty) Ltd</t>
        </is>
      </c>
      <c r="B17228" s="4" t="n">
        <v>45291</v>
      </c>
      <c r="C17228" s="3" t="inlineStr">
        <is>
          <t>Expenses</t>
        </is>
      </c>
      <c r="D17228" s="3" t="inlineStr">
        <is>
          <t>2001/120</t>
        </is>
      </c>
      <c r="E17228" s="3" t="inlineStr">
        <is>
          <t>COS - Commission - South Wark</t>
        </is>
      </c>
      <c r="F17228" s="3" t="n">
        <v>0</v>
      </c>
      <c r="G17228" s="3" t="n">
        <v>-869.5700000000001</v>
      </c>
    </row>
    <row r="17229">
      <c r="A17229" s="3" t="inlineStr">
        <is>
          <t>Quinate Consulting (Pty) Ltd</t>
        </is>
      </c>
      <c r="B17229" s="4" t="n">
        <v>45291</v>
      </c>
      <c r="C17229" s="3" t="inlineStr">
        <is>
          <t>Expenses</t>
        </is>
      </c>
      <c r="D17229" s="3" t="inlineStr">
        <is>
          <t>2001/210</t>
        </is>
      </c>
      <c r="E17229" s="3" t="inlineStr">
        <is>
          <t>COS - NHBRC</t>
        </is>
      </c>
      <c r="F17229" s="3" t="n">
        <v>0</v>
      </c>
      <c r="G17229" s="3" t="n">
        <v>457.67</v>
      </c>
    </row>
    <row r="17230">
      <c r="A17230" s="3" t="inlineStr">
        <is>
          <t>Quinate Consulting (Pty) Ltd</t>
        </is>
      </c>
      <c r="B17230" s="4" t="n">
        <v>45291</v>
      </c>
      <c r="C17230" s="3" t="inlineStr">
        <is>
          <t>Expenses</t>
        </is>
      </c>
      <c r="D17230" s="3" t="inlineStr">
        <is>
          <t>2200/000</t>
        </is>
      </c>
      <c r="E17230" s="3" t="inlineStr">
        <is>
          <t>COS - C2M Certificate for transfer</t>
        </is>
      </c>
      <c r="F17230" s="3" t="n">
        <v>0</v>
      </c>
      <c r="G17230" s="3" t="n">
        <v>2000</v>
      </c>
    </row>
    <row r="17231">
      <c r="A17231" s="3" t="inlineStr">
        <is>
          <t>Noble Shield (Pty) Ltd ta Go Letting</t>
        </is>
      </c>
      <c r="B17231" s="4" t="n">
        <v>45291</v>
      </c>
      <c r="C17231" s="3" t="inlineStr">
        <is>
          <t>Revenue</t>
        </is>
      </c>
      <c r="D17231" s="3" t="inlineStr">
        <is>
          <t>2400/011</t>
        </is>
      </c>
      <c r="E17231" s="3" t="inlineStr">
        <is>
          <t>Recovery of Electrity _AND_ Water - Rentals</t>
        </is>
      </c>
      <c r="F17231" s="3" t="n">
        <v>-1000</v>
      </c>
      <c r="G17231" s="3" t="n">
        <v>-1000</v>
      </c>
    </row>
    <row r="17232">
      <c r="A17232" s="3" t="inlineStr">
        <is>
          <t>Quinate Consulting (Pty) Ltd</t>
        </is>
      </c>
      <c r="B17232" s="4" t="n">
        <v>45291</v>
      </c>
      <c r="C17232" s="3" t="inlineStr">
        <is>
          <t>Revenue</t>
        </is>
      </c>
      <c r="D17232" s="3" t="inlineStr">
        <is>
          <t>2400/200</t>
        </is>
      </c>
      <c r="E17232" s="3" t="inlineStr">
        <is>
          <t>Recovery Acc - Electricity SH</t>
        </is>
      </c>
      <c r="F17232" s="3" t="n">
        <v>-62954.56</v>
      </c>
      <c r="G17232" s="3" t="n">
        <v>-310930.99</v>
      </c>
    </row>
    <row r="17233">
      <c r="A17233" s="3" t="inlineStr">
        <is>
          <t>Quinate Consulting (Pty) Ltd</t>
        </is>
      </c>
      <c r="B17233" s="4" t="n">
        <v>45291</v>
      </c>
      <c r="C17233" s="3" t="inlineStr">
        <is>
          <t>Revenue</t>
        </is>
      </c>
      <c r="D17233" s="3" t="inlineStr">
        <is>
          <t>2400/300</t>
        </is>
      </c>
      <c r="E17233" s="3" t="inlineStr">
        <is>
          <t>Recovery Account - Electricity SW</t>
        </is>
      </c>
      <c r="F17233" s="3" t="n">
        <v>-16030.87</v>
      </c>
      <c r="G17233" s="3" t="n">
        <v>-231367.11</v>
      </c>
    </row>
    <row r="17234">
      <c r="A17234" s="3" t="inlineStr">
        <is>
          <t>Endulini (Pty) Ltd</t>
        </is>
      </c>
      <c r="B17234" s="4" t="n">
        <v>45291</v>
      </c>
      <c r="C17234" s="3" t="inlineStr">
        <is>
          <t>Revenue</t>
        </is>
      </c>
      <c r="D17234" s="3" t="inlineStr">
        <is>
          <t>2750/000</t>
        </is>
      </c>
      <c r="E17234" s="3" t="inlineStr">
        <is>
          <t>Interest Received</t>
        </is>
      </c>
      <c r="F17234" s="3" t="n">
        <v>-398.72</v>
      </c>
      <c r="G17234" s="3" t="n">
        <v>-977.63</v>
      </c>
    </row>
    <row r="17235">
      <c r="A17235" s="3" t="inlineStr">
        <is>
          <t>Opportunity Global Investment (PTY) LTD</t>
        </is>
      </c>
      <c r="B17235" s="4" t="n">
        <v>45291</v>
      </c>
      <c r="C17235" s="3" t="inlineStr">
        <is>
          <t>Revenue</t>
        </is>
      </c>
      <c r="D17235" s="3" t="inlineStr">
        <is>
          <t>2750/000</t>
        </is>
      </c>
      <c r="E17235" s="3" t="inlineStr">
        <is>
          <t>Interest Received - Bank</t>
        </is>
      </c>
      <c r="F17235" s="3" t="n">
        <v>0</v>
      </c>
      <c r="G17235" s="3" t="n">
        <v>-355.23</v>
      </c>
    </row>
    <row r="17236">
      <c r="A17236" s="3" t="inlineStr">
        <is>
          <t>Opportunity Global Sales (PTY) LTD</t>
        </is>
      </c>
      <c r="B17236" s="4" t="n">
        <v>45291</v>
      </c>
      <c r="C17236" s="3" t="inlineStr">
        <is>
          <t>Revenue</t>
        </is>
      </c>
      <c r="D17236" s="3" t="inlineStr">
        <is>
          <t>2750/000</t>
        </is>
      </c>
      <c r="E17236" s="3" t="inlineStr">
        <is>
          <t>Interest Received - Bank</t>
        </is>
      </c>
      <c r="F17236" s="3" t="n">
        <v>0</v>
      </c>
      <c r="G17236" s="3" t="n">
        <v>-18.82</v>
      </c>
    </row>
    <row r="17237">
      <c r="A17237" s="3" t="inlineStr">
        <is>
          <t>Noble Shield (Pty) Ltd ta Go Letting</t>
        </is>
      </c>
      <c r="B17237" s="4" t="n">
        <v>45291</v>
      </c>
      <c r="C17237" s="3" t="inlineStr">
        <is>
          <t>Revenue</t>
        </is>
      </c>
      <c r="D17237" s="3" t="inlineStr">
        <is>
          <t>2750/100</t>
        </is>
      </c>
      <c r="E17237" s="3" t="inlineStr">
        <is>
          <t>Interest Received - bank</t>
        </is>
      </c>
      <c r="F17237" s="3" t="n">
        <v>0</v>
      </c>
      <c r="G17237" s="3" t="n">
        <v>-0.07000000000000001</v>
      </c>
    </row>
    <row r="17238">
      <c r="A17238" s="3" t="inlineStr">
        <is>
          <t>Quinate Consulting (Pty) Ltd</t>
        </is>
      </c>
      <c r="B17238" s="4" t="n">
        <v>45291</v>
      </c>
      <c r="C17238" s="3" t="inlineStr">
        <is>
          <t>Revenue</t>
        </is>
      </c>
      <c r="D17238" s="3" t="inlineStr">
        <is>
          <t>2751/000</t>
        </is>
      </c>
      <c r="E17238" s="3" t="inlineStr">
        <is>
          <t>Interest Received - Bank</t>
        </is>
      </c>
      <c r="F17238" s="3" t="n">
        <v>0</v>
      </c>
      <c r="G17238" s="3" t="n">
        <v>-4542.18</v>
      </c>
    </row>
    <row r="17239">
      <c r="A17239" s="3" t="inlineStr">
        <is>
          <t>Opportunity Global Investment (PTY) LTD</t>
        </is>
      </c>
      <c r="B17239" s="4" t="n">
        <v>45291</v>
      </c>
      <c r="C17239" s="3" t="inlineStr">
        <is>
          <t>Revenue</t>
        </is>
      </c>
      <c r="D17239" s="3" t="inlineStr">
        <is>
          <t>2753/000</t>
        </is>
      </c>
      <c r="E17239" s="3" t="inlineStr">
        <is>
          <t>Interest received - Momentum</t>
        </is>
      </c>
      <c r="F17239" s="3" t="n">
        <v>0</v>
      </c>
      <c r="G17239" s="3" t="n">
        <v>-297.69</v>
      </c>
    </row>
    <row r="17240">
      <c r="A17240" s="3" t="inlineStr">
        <is>
          <t>Endulini (Pty) Ltd</t>
        </is>
      </c>
      <c r="B17240" s="4" t="n">
        <v>45291</v>
      </c>
      <c r="C17240" s="3" t="inlineStr">
        <is>
          <t>Revenue</t>
        </is>
      </c>
      <c r="D17240" s="3" t="inlineStr">
        <is>
          <t>2755/001</t>
        </is>
      </c>
      <c r="E17240" s="3" t="inlineStr">
        <is>
          <t>Interest Received - Momentum</t>
        </is>
      </c>
      <c r="F17240" s="3" t="n">
        <v>0</v>
      </c>
      <c r="G17240" s="3" t="n">
        <v>-117.79</v>
      </c>
    </row>
    <row r="17241">
      <c r="A17241" s="3" t="inlineStr">
        <is>
          <t>Quinate Consulting (Pty) Ltd</t>
        </is>
      </c>
      <c r="B17241" s="4" t="n">
        <v>45291</v>
      </c>
      <c r="C17241" s="3" t="inlineStr">
        <is>
          <t>Revenue</t>
        </is>
      </c>
      <c r="D17241" s="3" t="inlineStr">
        <is>
          <t>2755/001</t>
        </is>
      </c>
      <c r="E17241" s="3" t="inlineStr">
        <is>
          <t>Interest Received - Momentum</t>
        </is>
      </c>
      <c r="F17241" s="3" t="n">
        <v>0</v>
      </c>
      <c r="G17241" s="3" t="n">
        <v>-30.67</v>
      </c>
    </row>
    <row r="17242">
      <c r="A17242" s="3" t="inlineStr">
        <is>
          <t>Opportunity Global Investment (PTY) LTD</t>
        </is>
      </c>
      <c r="B17242" s="4" t="n">
        <v>45291</v>
      </c>
      <c r="C17242" s="3" t="inlineStr">
        <is>
          <t>Expenses</t>
        </is>
      </c>
      <c r="D17242" s="3" t="inlineStr">
        <is>
          <t>3000/100</t>
        </is>
      </c>
      <c r="E17242" s="3" t="inlineStr">
        <is>
          <t>Accounting Fees - Secretarial</t>
        </is>
      </c>
      <c r="F17242" s="3" t="n">
        <v>0</v>
      </c>
      <c r="G17242" s="3" t="n">
        <v>890</v>
      </c>
    </row>
    <row r="17243">
      <c r="A17243" s="3" t="inlineStr">
        <is>
          <t>Opportunity Global Investment (PTY) LTD</t>
        </is>
      </c>
      <c r="B17243" s="4" t="n">
        <v>45291</v>
      </c>
      <c r="C17243" s="3" t="inlineStr">
        <is>
          <t>Expenses</t>
        </is>
      </c>
      <c r="D17243" s="3" t="inlineStr">
        <is>
          <t>3000/150</t>
        </is>
      </c>
      <c r="E17243" s="3" t="inlineStr">
        <is>
          <t>Accounting Fees - Audit</t>
        </is>
      </c>
      <c r="F17243" s="3" t="n">
        <v>0</v>
      </c>
      <c r="G17243" s="3" t="n">
        <v>12217.01</v>
      </c>
    </row>
    <row r="17244">
      <c r="A17244" s="3" t="inlineStr">
        <is>
          <t>Trademark Holdings (Pty) Ltd</t>
        </is>
      </c>
      <c r="B17244" s="4" t="n">
        <v>45291</v>
      </c>
      <c r="C17244" s="3" t="inlineStr">
        <is>
          <t>Expenses</t>
        </is>
      </c>
      <c r="D17244" s="3" t="inlineStr">
        <is>
          <t>3000/300</t>
        </is>
      </c>
      <c r="E17244" s="3" t="inlineStr">
        <is>
          <t>Accounting Fees - Audit</t>
        </is>
      </c>
      <c r="F17244" s="3" t="n">
        <v>0</v>
      </c>
      <c r="G17244" s="3" t="n">
        <v>22517</v>
      </c>
    </row>
    <row r="17245">
      <c r="A17245" s="3" t="inlineStr">
        <is>
          <t>Trademark Holdings (Pty) Ltd</t>
        </is>
      </c>
      <c r="B17245" s="4" t="n">
        <v>45291</v>
      </c>
      <c r="C17245" s="3" t="inlineStr">
        <is>
          <t>Expenses</t>
        </is>
      </c>
      <c r="D17245" s="3" t="inlineStr">
        <is>
          <t>3000/400</t>
        </is>
      </c>
      <c r="E17245" s="3" t="inlineStr">
        <is>
          <t>Accounting Fees - CiPC</t>
        </is>
      </c>
      <c r="F17245" s="3" t="n">
        <v>0</v>
      </c>
      <c r="G17245" s="3" t="n">
        <v>1322.5</v>
      </c>
    </row>
    <row r="17246">
      <c r="A17246" s="3" t="inlineStr">
        <is>
          <t>Quinate Consulting (Pty) Ltd</t>
        </is>
      </c>
      <c r="B17246" s="4" t="n">
        <v>45291</v>
      </c>
      <c r="C17246" s="3" t="inlineStr">
        <is>
          <t>Expenses</t>
        </is>
      </c>
      <c r="D17246" s="3" t="inlineStr">
        <is>
          <t>3001/000</t>
        </is>
      </c>
      <c r="E17246" s="3" t="inlineStr">
        <is>
          <t>Accounting fees - Other</t>
        </is>
      </c>
      <c r="F17246" s="3" t="n">
        <v>0</v>
      </c>
      <c r="G17246" s="3" t="n">
        <v>12640</v>
      </c>
    </row>
    <row r="17247">
      <c r="A17247" s="3" t="inlineStr">
        <is>
          <t>Quinate Consulting (Pty) Ltd</t>
        </is>
      </c>
      <c r="B17247" s="4" t="n">
        <v>45291</v>
      </c>
      <c r="C17247" s="3" t="inlineStr">
        <is>
          <t>Expenses</t>
        </is>
      </c>
      <c r="D17247" s="3" t="inlineStr">
        <is>
          <t>3002/000</t>
        </is>
      </c>
      <c r="E17247" s="3" t="inlineStr">
        <is>
          <t>Accounting Fees - Tax Dept.</t>
        </is>
      </c>
      <c r="F17247" s="3" t="n">
        <v>0</v>
      </c>
      <c r="G17247" s="3" t="n">
        <v>540</v>
      </c>
    </row>
    <row r="17248">
      <c r="A17248" s="3" t="inlineStr">
        <is>
          <t>Quinate Consulting (Pty) Ltd</t>
        </is>
      </c>
      <c r="B17248" s="4" t="n">
        <v>45291</v>
      </c>
      <c r="C17248" s="3" t="inlineStr">
        <is>
          <t>Expenses</t>
        </is>
      </c>
      <c r="D17248" s="3" t="inlineStr">
        <is>
          <t>3005/000</t>
        </is>
      </c>
      <c r="E17248" s="3" t="inlineStr">
        <is>
          <t>Accounting fees - Audit</t>
        </is>
      </c>
      <c r="F17248" s="3" t="n">
        <v>0</v>
      </c>
      <c r="G17248" s="3" t="n">
        <v>41581</v>
      </c>
    </row>
    <row r="17249">
      <c r="A17249" s="3" t="inlineStr">
        <is>
          <t>Opportunity Management Holdings (PTY) LTD</t>
        </is>
      </c>
      <c r="B17249" s="4" t="n">
        <v>45291</v>
      </c>
      <c r="C17249" s="3" t="inlineStr">
        <is>
          <t>Expenses</t>
        </is>
      </c>
      <c r="D17249" s="3" t="inlineStr">
        <is>
          <t>3005/000</t>
        </is>
      </c>
      <c r="E17249" s="3" t="inlineStr">
        <is>
          <t>Accounting fees - Deric Dudley</t>
        </is>
      </c>
      <c r="F17249" s="3" t="n">
        <v>56000</v>
      </c>
      <c r="G17249" s="3" t="n">
        <v>224000</v>
      </c>
    </row>
    <row r="17250">
      <c r="A17250" s="3" t="inlineStr">
        <is>
          <t>Opportunity Management Holdings (PTY) LTD</t>
        </is>
      </c>
      <c r="B17250" s="4" t="n">
        <v>45291</v>
      </c>
      <c r="C17250" s="3" t="inlineStr">
        <is>
          <t>Expenses</t>
        </is>
      </c>
      <c r="D17250" s="3" t="inlineStr">
        <is>
          <t>3006/000</t>
        </is>
      </c>
      <c r="E17250" s="3" t="inlineStr">
        <is>
          <t>Accounting fees - CIPC</t>
        </is>
      </c>
      <c r="F17250" s="3" t="n">
        <v>500</v>
      </c>
      <c r="G17250" s="3" t="n">
        <v>500</v>
      </c>
    </row>
    <row r="17251">
      <c r="A17251" s="3" t="inlineStr">
        <is>
          <t>Endulini (Pty) Ltd</t>
        </is>
      </c>
      <c r="B17251" s="4" t="n">
        <v>45291</v>
      </c>
      <c r="C17251" s="3" t="inlineStr">
        <is>
          <t>Expenses</t>
        </is>
      </c>
      <c r="D17251" s="3" t="inlineStr">
        <is>
          <t>3050/000</t>
        </is>
      </c>
      <c r="E17251" s="3" t="inlineStr">
        <is>
          <t>Advertising _AND_ Promotions</t>
        </is>
      </c>
      <c r="F17251" s="3" t="n">
        <v>0</v>
      </c>
      <c r="G17251" s="3" t="n">
        <v>4595</v>
      </c>
    </row>
    <row r="17252">
      <c r="A17252" s="3" t="inlineStr">
        <is>
          <t>Opportunity Management Holdings (PTY) LTD</t>
        </is>
      </c>
      <c r="B17252" s="4" t="n">
        <v>45291</v>
      </c>
      <c r="C17252" s="3" t="inlineStr">
        <is>
          <t>Expenses</t>
        </is>
      </c>
      <c r="D17252" s="3" t="inlineStr">
        <is>
          <t>3050/000</t>
        </is>
      </c>
      <c r="E17252" s="3" t="inlineStr">
        <is>
          <t>Advertising _AND_ Promotions</t>
        </is>
      </c>
      <c r="F17252" s="3" t="n">
        <v>0</v>
      </c>
      <c r="G17252" s="3" t="n">
        <v>287.5</v>
      </c>
    </row>
    <row r="17253">
      <c r="A17253" s="3" t="inlineStr">
        <is>
          <t>Opportunity Global Investment (PTY) LTD</t>
        </is>
      </c>
      <c r="B17253" s="4" t="n">
        <v>45291</v>
      </c>
      <c r="C17253" s="3" t="inlineStr">
        <is>
          <t>Expenses</t>
        </is>
      </c>
      <c r="D17253" s="3" t="inlineStr">
        <is>
          <t>3050/000</t>
        </is>
      </c>
      <c r="E17253" s="3" t="inlineStr">
        <is>
          <t>Advertising and Promotions</t>
        </is>
      </c>
      <c r="F17253" s="3" t="n">
        <v>95.64</v>
      </c>
      <c r="G17253" s="3" t="n">
        <v>3415.12</v>
      </c>
    </row>
    <row r="17254">
      <c r="A17254" s="3" t="inlineStr">
        <is>
          <t>Opportunity Global Sales (PTY) LTD</t>
        </is>
      </c>
      <c r="B17254" s="4" t="n">
        <v>45291</v>
      </c>
      <c r="C17254" s="3" t="inlineStr">
        <is>
          <t>Expenses</t>
        </is>
      </c>
      <c r="D17254" s="3" t="inlineStr">
        <is>
          <t>3050/000</t>
        </is>
      </c>
      <c r="E17254" s="3" t="inlineStr">
        <is>
          <t>Advertising and Promotions</t>
        </is>
      </c>
      <c r="F17254" s="3" t="n">
        <v>0</v>
      </c>
      <c r="G17254" s="3" t="n">
        <v>18164.18</v>
      </c>
    </row>
    <row r="17255">
      <c r="A17255" s="3" t="inlineStr">
        <is>
          <t>Endulini (Pty) Ltd</t>
        </is>
      </c>
      <c r="B17255" s="4" t="n">
        <v>45291</v>
      </c>
      <c r="C17255" s="3" t="inlineStr">
        <is>
          <t>Expenses</t>
        </is>
      </c>
      <c r="D17255" s="3" t="inlineStr">
        <is>
          <t>3050/001</t>
        </is>
      </c>
      <c r="E17255" s="3" t="inlineStr">
        <is>
          <t>Advertising _AND_ Promotions - Media Agenda</t>
        </is>
      </c>
      <c r="F17255" s="3" t="n">
        <v>575</v>
      </c>
      <c r="G17255" s="3" t="n">
        <v>4887.5</v>
      </c>
    </row>
    <row r="17256">
      <c r="A17256" s="3" t="inlineStr">
        <is>
          <t>Noble Shield (Pty) Ltd ta Go Letting</t>
        </is>
      </c>
      <c r="B17256" s="4" t="n">
        <v>45291</v>
      </c>
      <c r="C17256" s="3" t="inlineStr">
        <is>
          <t>Expenses</t>
        </is>
      </c>
      <c r="D17256" s="3" t="inlineStr">
        <is>
          <t>3050/020</t>
        </is>
      </c>
      <c r="E17256" s="3" t="inlineStr">
        <is>
          <t>Adverting &amp; Marketing - Other</t>
        </is>
      </c>
      <c r="F17256" s="3" t="n">
        <v>0</v>
      </c>
      <c r="G17256" s="3" t="n">
        <v>134.9</v>
      </c>
    </row>
    <row r="17257">
      <c r="A17257" s="3" t="inlineStr">
        <is>
          <t>Noble Shield (Pty) Ltd ta Go Letting</t>
        </is>
      </c>
      <c r="B17257" s="4" t="n">
        <v>45291</v>
      </c>
      <c r="C17257" s="3" t="inlineStr">
        <is>
          <t>Expenses</t>
        </is>
      </c>
      <c r="D17257" s="3" t="inlineStr">
        <is>
          <t>3050/050</t>
        </is>
      </c>
      <c r="E17257" s="3" t="inlineStr">
        <is>
          <t>Advertising - Prop 24</t>
        </is>
      </c>
      <c r="F17257" s="3" t="n">
        <v>4023.85</v>
      </c>
      <c r="G17257" s="3" t="n">
        <v>14032.3</v>
      </c>
    </row>
    <row r="17258">
      <c r="A17258" s="3" t="inlineStr">
        <is>
          <t>Opportunity Global Sales (PTY) LTD</t>
        </is>
      </c>
      <c r="B17258" s="4" t="n">
        <v>45291</v>
      </c>
      <c r="C17258" s="3" t="inlineStr">
        <is>
          <t>Expenses</t>
        </is>
      </c>
      <c r="D17258" s="3" t="inlineStr">
        <is>
          <t>3050/100</t>
        </is>
      </c>
      <c r="E17258" s="3" t="inlineStr">
        <is>
          <t>Advertising - Facebook</t>
        </is>
      </c>
      <c r="F17258" s="3" t="n">
        <v>0</v>
      </c>
      <c r="G17258" s="3" t="n">
        <v>2279.78</v>
      </c>
    </row>
    <row r="17259">
      <c r="A17259" s="3" t="inlineStr">
        <is>
          <t>Opportunity Global Sales (PTY) LTD</t>
        </is>
      </c>
      <c r="B17259" s="4" t="n">
        <v>45291</v>
      </c>
      <c r="C17259" s="3" t="inlineStr">
        <is>
          <t>Expenses</t>
        </is>
      </c>
      <c r="D17259" s="3" t="inlineStr">
        <is>
          <t>3050/140</t>
        </is>
      </c>
      <c r="E17259" s="3" t="inlineStr">
        <is>
          <t>Advertising - Media Agenda</t>
        </is>
      </c>
      <c r="F17259" s="3" t="n">
        <v>0</v>
      </c>
      <c r="G17259" s="3" t="n">
        <v>18462.5</v>
      </c>
    </row>
    <row r="17260">
      <c r="A17260" s="3" t="inlineStr">
        <is>
          <t>Opportunity Global Sales (PTY) LTD</t>
        </is>
      </c>
      <c r="B17260" s="4" t="n">
        <v>45291</v>
      </c>
      <c r="C17260" s="3" t="inlineStr">
        <is>
          <t>Expenses</t>
        </is>
      </c>
      <c r="D17260" s="3" t="inlineStr">
        <is>
          <t>3050/200</t>
        </is>
      </c>
      <c r="E17260" s="3" t="inlineStr">
        <is>
          <t>Advertising - Design</t>
        </is>
      </c>
      <c r="F17260" s="3" t="n">
        <v>0</v>
      </c>
      <c r="G17260" s="3" t="n">
        <v>35000</v>
      </c>
    </row>
    <row r="17261">
      <c r="A17261" s="3" t="inlineStr">
        <is>
          <t>Opportunity Global Investment (PTY) LTD</t>
        </is>
      </c>
      <c r="B17261" s="4" t="n">
        <v>45291</v>
      </c>
      <c r="C17261" s="3" t="inlineStr">
        <is>
          <t>Expenses</t>
        </is>
      </c>
      <c r="D17261" s="3" t="inlineStr">
        <is>
          <t>3050/230</t>
        </is>
      </c>
      <c r="E17261" s="3" t="inlineStr">
        <is>
          <t>Advertising - Link on Advertising</t>
        </is>
      </c>
      <c r="F17261" s="3" t="n">
        <v>395</v>
      </c>
      <c r="G17261" s="3" t="n">
        <v>1975</v>
      </c>
    </row>
    <row r="17262">
      <c r="A17262" s="3" t="inlineStr">
        <is>
          <t>Opportunity Global Investment (PTY) LTD</t>
        </is>
      </c>
      <c r="B17262" s="4" t="n">
        <v>45291</v>
      </c>
      <c r="C17262" s="3" t="inlineStr">
        <is>
          <t>Expenses</t>
        </is>
      </c>
      <c r="D17262" s="3" t="inlineStr">
        <is>
          <t>3050/240</t>
        </is>
      </c>
      <c r="E17262" s="3" t="inlineStr">
        <is>
          <t>Advertising - Realmarketing</t>
        </is>
      </c>
      <c r="F17262" s="3" t="n">
        <v>46000</v>
      </c>
      <c r="G17262" s="3" t="n">
        <v>145000</v>
      </c>
    </row>
    <row r="17263">
      <c r="A17263" s="3" t="inlineStr">
        <is>
          <t>Opportunity Global Investment (PTY) LTD</t>
        </is>
      </c>
      <c r="B17263" s="4" t="n">
        <v>45291</v>
      </c>
      <c r="C17263" s="3" t="inlineStr">
        <is>
          <t>Expenses</t>
        </is>
      </c>
      <c r="D17263" s="3" t="inlineStr">
        <is>
          <t>3050/250</t>
        </is>
      </c>
      <c r="E17263" s="3" t="inlineStr">
        <is>
          <t>Advertising - General</t>
        </is>
      </c>
      <c r="F17263" s="3" t="n">
        <v>0</v>
      </c>
      <c r="G17263" s="3" t="n">
        <v>52599.6</v>
      </c>
    </row>
    <row r="17264">
      <c r="A17264" s="3" t="inlineStr">
        <is>
          <t>Opportunity Global Sales (PTY) LTD</t>
        </is>
      </c>
      <c r="B17264" s="4" t="n">
        <v>45291</v>
      </c>
      <c r="C17264" s="3" t="inlineStr">
        <is>
          <t>Expenses</t>
        </is>
      </c>
      <c r="D17264" s="3" t="inlineStr">
        <is>
          <t>3050/250</t>
        </is>
      </c>
      <c r="E17264" s="3" t="inlineStr">
        <is>
          <t>Advertising - General</t>
        </is>
      </c>
      <c r="F17264" s="3" t="n">
        <v>539.9400000000001</v>
      </c>
      <c r="G17264" s="3" t="n">
        <v>81097.08</v>
      </c>
    </row>
    <row r="17265">
      <c r="A17265" s="3" t="inlineStr">
        <is>
          <t>Opportunity Global Investment (PTY) LTD</t>
        </is>
      </c>
      <c r="B17265" s="4" t="n">
        <v>45291</v>
      </c>
      <c r="C17265" s="3" t="inlineStr">
        <is>
          <t>Expenses</t>
        </is>
      </c>
      <c r="D17265" s="3" t="inlineStr">
        <is>
          <t>3050/260</t>
        </is>
      </c>
      <c r="E17265" s="3" t="inlineStr">
        <is>
          <t>Advertising - Media Agenda</t>
        </is>
      </c>
      <c r="F17265" s="3" t="n">
        <v>0</v>
      </c>
      <c r="G17265" s="3" t="n">
        <v>1437.5</v>
      </c>
    </row>
    <row r="17266">
      <c r="A17266" s="3" t="inlineStr">
        <is>
          <t>Opportunity Global Investment (PTY) LTD</t>
        </is>
      </c>
      <c r="B17266" s="4" t="n">
        <v>45291</v>
      </c>
      <c r="C17266" s="3" t="inlineStr">
        <is>
          <t>Expenses</t>
        </is>
      </c>
      <c r="D17266" s="3" t="inlineStr">
        <is>
          <t>3050/270</t>
        </is>
      </c>
      <c r="E17266" s="3" t="inlineStr">
        <is>
          <t>Advertising - Radia and TV Interviews</t>
        </is>
      </c>
      <c r="F17266" s="3" t="n">
        <v>0</v>
      </c>
      <c r="G17266" s="3" t="n">
        <v>109847.5</v>
      </c>
    </row>
    <row r="17267">
      <c r="A17267" s="3" t="inlineStr">
        <is>
          <t>Opportunity Global Investment (PTY) LTD</t>
        </is>
      </c>
      <c r="B17267" s="4" t="n">
        <v>45291</v>
      </c>
      <c r="C17267" s="3" t="inlineStr">
        <is>
          <t>Expenses</t>
        </is>
      </c>
      <c r="D17267" s="3" t="inlineStr">
        <is>
          <t>3050/290</t>
        </is>
      </c>
      <c r="E17267" s="3" t="inlineStr">
        <is>
          <t>Advertising - Serene Living</t>
        </is>
      </c>
      <c r="F17267" s="3" t="n">
        <v>65086</v>
      </c>
      <c r="G17267" s="3" t="n">
        <v>650860</v>
      </c>
    </row>
    <row r="17268">
      <c r="A17268" s="3" t="inlineStr">
        <is>
          <t>Opportunity Global Investment (PTY) LTD</t>
        </is>
      </c>
      <c r="B17268" s="4" t="n">
        <v>45291</v>
      </c>
      <c r="C17268" s="3" t="inlineStr">
        <is>
          <t>Expenses</t>
        </is>
      </c>
      <c r="D17268" s="3" t="inlineStr">
        <is>
          <t>3050/295</t>
        </is>
      </c>
      <c r="E17268" s="3" t="inlineStr">
        <is>
          <t>Advertising - Reale Activation</t>
        </is>
      </c>
      <c r="F17268" s="3" t="n">
        <v>0</v>
      </c>
      <c r="G17268" s="3" t="n">
        <v>30397.22</v>
      </c>
    </row>
    <row r="17269">
      <c r="A17269" s="3" t="inlineStr">
        <is>
          <t>Opportunity Global Investment (PTY) LTD</t>
        </is>
      </c>
      <c r="B17269" s="4" t="n">
        <v>45291</v>
      </c>
      <c r="C17269" s="3" t="inlineStr">
        <is>
          <t>Expenses</t>
        </is>
      </c>
      <c r="D17269" s="3" t="inlineStr">
        <is>
          <t>3050/300</t>
        </is>
      </c>
      <c r="E17269" s="3" t="inlineStr">
        <is>
          <t>Advertising - Design</t>
        </is>
      </c>
      <c r="F17269" s="3" t="n">
        <v>0</v>
      </c>
      <c r="G17269" s="3" t="n">
        <v>7750</v>
      </c>
    </row>
    <row r="17270">
      <c r="A17270" s="3" t="inlineStr">
        <is>
          <t>Endulini (Pty) Ltd</t>
        </is>
      </c>
      <c r="B17270" s="4" t="n">
        <v>45291</v>
      </c>
      <c r="C17270" s="3" t="inlineStr">
        <is>
          <t>Expenses</t>
        </is>
      </c>
      <c r="D17270" s="3" t="inlineStr">
        <is>
          <t>3050/300</t>
        </is>
      </c>
      <c r="E17270" s="3" t="inlineStr">
        <is>
          <t>Advertiving - Real Marketing</t>
        </is>
      </c>
      <c r="F17270" s="3" t="n">
        <v>0</v>
      </c>
      <c r="G17270" s="3" t="n">
        <v>10250</v>
      </c>
    </row>
    <row r="17271">
      <c r="A17271" s="3" t="inlineStr">
        <is>
          <t>Quinate Consulting (Pty) Ltd</t>
        </is>
      </c>
      <c r="B17271" s="4" t="n">
        <v>45291</v>
      </c>
      <c r="C17271" s="3" t="inlineStr">
        <is>
          <t>Expenses</t>
        </is>
      </c>
      <c r="D17271" s="3" t="inlineStr">
        <is>
          <t>3050/400</t>
        </is>
      </c>
      <c r="E17271" s="3" t="inlineStr">
        <is>
          <t>Advertising - Prop24</t>
        </is>
      </c>
      <c r="F17271" s="3" t="n">
        <v>10602.5</v>
      </c>
      <c r="G17271" s="3" t="n">
        <v>109391.75</v>
      </c>
    </row>
    <row r="17272">
      <c r="A17272" s="3" t="inlineStr">
        <is>
          <t>Opportunity Global Sales (PTY) LTD</t>
        </is>
      </c>
      <c r="B17272" s="4" t="n">
        <v>45291</v>
      </c>
      <c r="C17272" s="3" t="inlineStr">
        <is>
          <t>Expenses</t>
        </is>
      </c>
      <c r="D17272" s="3" t="inlineStr">
        <is>
          <t>3050/400</t>
        </is>
      </c>
      <c r="E17272" s="3" t="inlineStr">
        <is>
          <t>Repairs &amp; Maintenance Heron sales office</t>
        </is>
      </c>
      <c r="F17272" s="3" t="n">
        <v>0</v>
      </c>
      <c r="G17272" s="3" t="n">
        <v>196.5</v>
      </c>
    </row>
    <row r="17273">
      <c r="A17273" s="3" t="inlineStr">
        <is>
          <t>Quinate Consulting (Pty) Ltd</t>
        </is>
      </c>
      <c r="B17273" s="4" t="n">
        <v>45291</v>
      </c>
      <c r="C17273" s="3" t="inlineStr">
        <is>
          <t>Expenses</t>
        </is>
      </c>
      <c r="D17273" s="3" t="inlineStr">
        <is>
          <t>3050/450</t>
        </is>
      </c>
      <c r="E17273" s="3" t="inlineStr">
        <is>
          <t>Advertising - Facebook</t>
        </is>
      </c>
      <c r="F17273" s="3" t="n">
        <v>0</v>
      </c>
      <c r="G17273" s="3" t="n">
        <v>51955.16</v>
      </c>
    </row>
    <row r="17274">
      <c r="A17274" s="3" t="inlineStr">
        <is>
          <t>Opportunity Global Investment (PTY) LTD</t>
        </is>
      </c>
      <c r="B17274" s="4" t="n">
        <v>45291</v>
      </c>
      <c r="C17274" s="3" t="inlineStr">
        <is>
          <t>Expenses</t>
        </is>
      </c>
      <c r="D17274" s="3" t="inlineStr">
        <is>
          <t>3051/000</t>
        </is>
      </c>
      <c r="E17274" s="3" t="inlineStr">
        <is>
          <t>Advertising - Facebook</t>
        </is>
      </c>
      <c r="F17274" s="3" t="n">
        <v>17644.9</v>
      </c>
      <c r="G17274" s="3" t="n">
        <v>175381.6</v>
      </c>
    </row>
    <row r="17275">
      <c r="A17275" s="3" t="inlineStr">
        <is>
          <t>Opportunity Global Investment (PTY) LTD</t>
        </is>
      </c>
      <c r="B17275" s="4" t="n">
        <v>45291</v>
      </c>
      <c r="C17275" s="3" t="inlineStr">
        <is>
          <t>Expenses</t>
        </is>
      </c>
      <c r="D17275" s="3" t="inlineStr">
        <is>
          <t>3053/000</t>
        </is>
      </c>
      <c r="E17275" s="3" t="inlineStr">
        <is>
          <t>Advertising - Google Ads</t>
        </is>
      </c>
      <c r="F17275" s="3" t="n">
        <v>0</v>
      </c>
      <c r="G17275" s="3" t="n">
        <v>7619.61</v>
      </c>
    </row>
    <row r="17276">
      <c r="A17276" s="3" t="inlineStr">
        <is>
          <t>Endulini (Pty) Ltd</t>
        </is>
      </c>
      <c r="B17276" s="4" t="n">
        <v>45291</v>
      </c>
      <c r="C17276" s="3" t="inlineStr">
        <is>
          <t>Expenses</t>
        </is>
      </c>
      <c r="D17276" s="3" t="inlineStr">
        <is>
          <t>3200/000</t>
        </is>
      </c>
      <c r="E17276" s="3" t="inlineStr">
        <is>
          <t>Bank Charges</t>
        </is>
      </c>
      <c r="F17276" s="3" t="n">
        <v>161.5</v>
      </c>
      <c r="G17276" s="3" t="n">
        <v>1975.76</v>
      </c>
    </row>
    <row r="17277">
      <c r="A17277" s="3" t="inlineStr">
        <is>
          <t>Noble Shield (Pty) Ltd ta Go Letting</t>
        </is>
      </c>
      <c r="B17277" s="4" t="n">
        <v>45291</v>
      </c>
      <c r="C17277" s="3" t="inlineStr">
        <is>
          <t>Expenses</t>
        </is>
      </c>
      <c r="D17277" s="3" t="inlineStr">
        <is>
          <t>3200/000</t>
        </is>
      </c>
      <c r="E17277" s="3" t="inlineStr">
        <is>
          <t>Bank Charges</t>
        </is>
      </c>
      <c r="F17277" s="3" t="n">
        <v>529.08</v>
      </c>
      <c r="G17277" s="3" t="n">
        <v>2157.05</v>
      </c>
    </row>
    <row r="17278">
      <c r="A17278" s="3" t="inlineStr">
        <is>
          <t>Opportunity Global Investment (PTY) LTD</t>
        </is>
      </c>
      <c r="B17278" s="4" t="n">
        <v>45291</v>
      </c>
      <c r="C17278" s="3" t="inlineStr">
        <is>
          <t>Expenses</t>
        </is>
      </c>
      <c r="D17278" s="3" t="inlineStr">
        <is>
          <t>3200/000</t>
        </is>
      </c>
      <c r="E17278" s="3" t="inlineStr">
        <is>
          <t>Bank Charges</t>
        </is>
      </c>
      <c r="F17278" s="3" t="n">
        <v>331.48</v>
      </c>
      <c r="G17278" s="3" t="n">
        <v>4313.68</v>
      </c>
    </row>
    <row r="17279">
      <c r="A17279" s="3" t="inlineStr">
        <is>
          <t>Opportunity Global Sales (PTY) LTD</t>
        </is>
      </c>
      <c r="B17279" s="4" t="n">
        <v>45291</v>
      </c>
      <c r="C17279" s="3" t="inlineStr">
        <is>
          <t>Expenses</t>
        </is>
      </c>
      <c r="D17279" s="3" t="inlineStr">
        <is>
          <t>3200/000</t>
        </is>
      </c>
      <c r="E17279" s="3" t="inlineStr">
        <is>
          <t>Bank Charges</t>
        </is>
      </c>
      <c r="F17279" s="3" t="n">
        <v>421.93</v>
      </c>
      <c r="G17279" s="3" t="n">
        <v>4997.97</v>
      </c>
    </row>
    <row r="17280">
      <c r="A17280" s="3" t="inlineStr">
        <is>
          <t>Opportunity Management Holdings (PTY) LTD</t>
        </is>
      </c>
      <c r="B17280" s="4" t="n">
        <v>45291</v>
      </c>
      <c r="C17280" s="3" t="inlineStr">
        <is>
          <t>Expenses</t>
        </is>
      </c>
      <c r="D17280" s="3" t="inlineStr">
        <is>
          <t>3200/000</t>
        </is>
      </c>
      <c r="E17280" s="3" t="inlineStr">
        <is>
          <t>Bank Charges</t>
        </is>
      </c>
      <c r="F17280" s="3" t="n">
        <v>873.25</v>
      </c>
      <c r="G17280" s="3" t="n">
        <v>3484.36</v>
      </c>
    </row>
    <row r="17281">
      <c r="A17281" s="3" t="inlineStr">
        <is>
          <t>Quinate Consulting (Pty) Ltd</t>
        </is>
      </c>
      <c r="B17281" s="4" t="n">
        <v>45291</v>
      </c>
      <c r="C17281" s="3" t="inlineStr">
        <is>
          <t>Expenses</t>
        </is>
      </c>
      <c r="D17281" s="3" t="inlineStr">
        <is>
          <t>3200/000</t>
        </is>
      </c>
      <c r="E17281" s="3" t="inlineStr">
        <is>
          <t>Bank Charges</t>
        </is>
      </c>
      <c r="F17281" s="3" t="n">
        <v>1245.09</v>
      </c>
      <c r="G17281" s="3" t="n">
        <v>8668.6</v>
      </c>
    </row>
    <row r="17282">
      <c r="A17282" s="3" t="inlineStr">
        <is>
          <t>Trademark Holdings (Pty) Ltd</t>
        </is>
      </c>
      <c r="B17282" s="4" t="n">
        <v>45291</v>
      </c>
      <c r="C17282" s="3" t="inlineStr">
        <is>
          <t>Expenses</t>
        </is>
      </c>
      <c r="D17282" s="3" t="inlineStr">
        <is>
          <t>3200/000</t>
        </is>
      </c>
      <c r="E17282" s="3" t="inlineStr">
        <is>
          <t>Bank Charges</t>
        </is>
      </c>
      <c r="F17282" s="3" t="n">
        <v>233.45</v>
      </c>
      <c r="G17282" s="3" t="n">
        <v>1322.43</v>
      </c>
    </row>
    <row r="17283">
      <c r="A17283" s="3" t="inlineStr">
        <is>
          <t>Quinate Consulting (Pty) Ltd</t>
        </is>
      </c>
      <c r="B17283" s="4" t="n">
        <v>45291</v>
      </c>
      <c r="C17283" s="3" t="inlineStr">
        <is>
          <t>Expenses</t>
        </is>
      </c>
      <c r="D17283" s="3" t="inlineStr">
        <is>
          <t>3220/000</t>
        </is>
      </c>
      <c r="E17283" s="3" t="inlineStr">
        <is>
          <t>Bank Charges - Bond Fees</t>
        </is>
      </c>
      <c r="F17283" s="3" t="n">
        <v>0</v>
      </c>
      <c r="G17283" s="3" t="n">
        <v>8939.280000000001</v>
      </c>
    </row>
    <row r="17284">
      <c r="A17284" s="3" t="inlineStr">
        <is>
          <t>Noble Shield (Pty) Ltd ta Go Letting</t>
        </is>
      </c>
      <c r="B17284" s="4" t="n">
        <v>45291</v>
      </c>
      <c r="C17284" s="3" t="inlineStr">
        <is>
          <t>Expenses</t>
        </is>
      </c>
      <c r="D17284" s="3" t="inlineStr">
        <is>
          <t>3230/000</t>
        </is>
      </c>
      <c r="E17284" s="3" t="inlineStr">
        <is>
          <t>Cell Phone - NM</t>
        </is>
      </c>
      <c r="F17284" s="3" t="n">
        <v>2278.08</v>
      </c>
      <c r="G17284" s="3" t="n">
        <v>9107.91</v>
      </c>
    </row>
    <row r="17285">
      <c r="A17285" s="3" t="inlineStr">
        <is>
          <t>Noble Shield (Pty) Ltd ta Go Letting</t>
        </is>
      </c>
      <c r="B17285" s="4" t="n">
        <v>45291</v>
      </c>
      <c r="C17285" s="3" t="inlineStr">
        <is>
          <t>Expenses</t>
        </is>
      </c>
      <c r="D17285" s="3" t="inlineStr">
        <is>
          <t>3233/000</t>
        </is>
      </c>
      <c r="E17285" s="3" t="inlineStr">
        <is>
          <t>Cell Data - Other</t>
        </is>
      </c>
      <c r="F17285" s="3" t="n">
        <v>0</v>
      </c>
      <c r="G17285" s="3" t="n">
        <v>372.04</v>
      </c>
    </row>
    <row r="17286">
      <c r="A17286" s="3" t="inlineStr">
        <is>
          <t>Noble Shield (Pty) Ltd ta Go Letting</t>
        </is>
      </c>
      <c r="B17286" s="4" t="n">
        <v>45291</v>
      </c>
      <c r="C17286" s="3" t="inlineStr">
        <is>
          <t>Expenses</t>
        </is>
      </c>
      <c r="D17286" s="3" t="inlineStr">
        <is>
          <t>3233/100</t>
        </is>
      </c>
      <c r="E17286" s="3" t="inlineStr">
        <is>
          <t>Cell Data - Sales office Wifi</t>
        </is>
      </c>
      <c r="F17286" s="3" t="n">
        <v>0</v>
      </c>
      <c r="G17286" s="3" t="n">
        <v>1242.91</v>
      </c>
    </row>
    <row r="17287">
      <c r="A17287" s="3" t="inlineStr">
        <is>
          <t>Opportunity Global Investment (PTY) LTD</t>
        </is>
      </c>
      <c r="B17287" s="4" t="n">
        <v>45291</v>
      </c>
      <c r="C17287" s="3" t="inlineStr">
        <is>
          <t>Expenses</t>
        </is>
      </c>
      <c r="D17287" s="3" t="inlineStr">
        <is>
          <t>3250/000</t>
        </is>
      </c>
      <c r="E17287" s="3" t="inlineStr">
        <is>
          <t>Cleaning</t>
        </is>
      </c>
      <c r="F17287" s="3" t="n">
        <v>2700</v>
      </c>
      <c r="G17287" s="3" t="n">
        <v>27000</v>
      </c>
    </row>
    <row r="17288">
      <c r="A17288" s="3" t="inlineStr">
        <is>
          <t>Opportunity Global Sales (PTY) LTD</t>
        </is>
      </c>
      <c r="B17288" s="4" t="n">
        <v>45291</v>
      </c>
      <c r="C17288" s="3" t="inlineStr">
        <is>
          <t>Expenses</t>
        </is>
      </c>
      <c r="D17288" s="3" t="inlineStr">
        <is>
          <t>3250/000</t>
        </is>
      </c>
      <c r="E17288" s="3" t="inlineStr">
        <is>
          <t>Cleaning</t>
        </is>
      </c>
      <c r="F17288" s="3" t="n">
        <v>1200</v>
      </c>
      <c r="G17288" s="3" t="n">
        <v>7200</v>
      </c>
    </row>
    <row r="17289">
      <c r="A17289" s="3" t="inlineStr">
        <is>
          <t>Opportunity Management Holdings (PTY) LTD</t>
        </is>
      </c>
      <c r="B17289" s="4" t="n">
        <v>45291</v>
      </c>
      <c r="C17289" s="3" t="inlineStr">
        <is>
          <t>Expenses</t>
        </is>
      </c>
      <c r="D17289" s="3" t="inlineStr">
        <is>
          <t>3250/000</t>
        </is>
      </c>
      <c r="E17289" s="3" t="inlineStr">
        <is>
          <t>Cleaning</t>
        </is>
      </c>
      <c r="F17289" s="3" t="n">
        <v>3257.76</v>
      </c>
      <c r="G17289" s="3" t="n">
        <v>12138.52</v>
      </c>
    </row>
    <row r="17290">
      <c r="A17290" s="3" t="inlineStr">
        <is>
          <t>Trademark Holdings (Pty) Ltd</t>
        </is>
      </c>
      <c r="B17290" s="4" t="n">
        <v>45291</v>
      </c>
      <c r="C17290" s="3" t="inlineStr">
        <is>
          <t>Expenses</t>
        </is>
      </c>
      <c r="D17290" s="3" t="inlineStr">
        <is>
          <t>3250/000</t>
        </is>
      </c>
      <c r="E17290" s="3" t="inlineStr">
        <is>
          <t>Cleaning</t>
        </is>
      </c>
      <c r="F17290" s="3" t="n">
        <v>858</v>
      </c>
      <c r="G17290" s="3" t="n">
        <v>4290</v>
      </c>
    </row>
    <row r="17291">
      <c r="A17291" s="3" t="inlineStr">
        <is>
          <t>Opportunity Global Investment (PTY) LTD</t>
        </is>
      </c>
      <c r="B17291" s="4" t="n">
        <v>45291</v>
      </c>
      <c r="C17291" s="3" t="inlineStr">
        <is>
          <t>Expenses</t>
        </is>
      </c>
      <c r="D17291" s="3" t="inlineStr">
        <is>
          <t>3300/000</t>
        </is>
      </c>
      <c r="E17291" s="3" t="inlineStr">
        <is>
          <t>Computer Expenses</t>
        </is>
      </c>
      <c r="F17291" s="3" t="n">
        <v>2137.5</v>
      </c>
      <c r="G17291" s="3" t="n">
        <v>3795.33</v>
      </c>
    </row>
    <row r="17292">
      <c r="A17292" s="3" t="inlineStr">
        <is>
          <t>Opportunity Management Holdings (PTY) LTD</t>
        </is>
      </c>
      <c r="B17292" s="4" t="n">
        <v>45291</v>
      </c>
      <c r="C17292" s="3" t="inlineStr">
        <is>
          <t>Expenses</t>
        </is>
      </c>
      <c r="D17292" s="3" t="inlineStr">
        <is>
          <t>3300/000</t>
        </is>
      </c>
      <c r="E17292" s="3" t="inlineStr">
        <is>
          <t>Computer Expenses</t>
        </is>
      </c>
      <c r="F17292" s="3" t="n">
        <v>0</v>
      </c>
      <c r="G17292" s="3" t="n">
        <v>1153.91</v>
      </c>
    </row>
    <row r="17293">
      <c r="A17293" s="3" t="inlineStr">
        <is>
          <t>Noble Shield (Pty) Ltd ta Go Letting</t>
        </is>
      </c>
      <c r="B17293" s="4" t="n">
        <v>45291</v>
      </c>
      <c r="C17293" s="3" t="inlineStr">
        <is>
          <t>Expenses</t>
        </is>
      </c>
      <c r="D17293" s="3" t="inlineStr">
        <is>
          <t>3300/120</t>
        </is>
      </c>
      <c r="E17293" s="3" t="inlineStr">
        <is>
          <t>Computer IT - Software Propworx</t>
        </is>
      </c>
      <c r="F17293" s="3" t="n">
        <v>2576</v>
      </c>
      <c r="G17293" s="3" t="n">
        <v>10304</v>
      </c>
    </row>
    <row r="17294">
      <c r="A17294" s="3" t="inlineStr">
        <is>
          <t>Noble Shield (Pty) Ltd ta Go Letting</t>
        </is>
      </c>
      <c r="B17294" s="4" t="n">
        <v>45291</v>
      </c>
      <c r="C17294" s="3" t="inlineStr">
        <is>
          <t>Expenses</t>
        </is>
      </c>
      <c r="D17294" s="3" t="inlineStr">
        <is>
          <t>3300/130</t>
        </is>
      </c>
      <c r="E17294" s="3" t="inlineStr">
        <is>
          <t>Computer IT - Internet/Hosting Fees</t>
        </is>
      </c>
      <c r="F17294" s="3" t="n">
        <v>790</v>
      </c>
      <c r="G17294" s="3" t="n">
        <v>790</v>
      </c>
    </row>
    <row r="17295">
      <c r="A17295" s="3" t="inlineStr">
        <is>
          <t>Noble Shield (Pty) Ltd ta Go Letting</t>
        </is>
      </c>
      <c r="B17295" s="4" t="n">
        <v>45291</v>
      </c>
      <c r="C17295" s="3" t="inlineStr">
        <is>
          <t>Expenses</t>
        </is>
      </c>
      <c r="D17295" s="3" t="inlineStr">
        <is>
          <t>3300/170</t>
        </is>
      </c>
      <c r="E17295" s="3" t="inlineStr">
        <is>
          <t>Computer IT - VDB office Fibre</t>
        </is>
      </c>
      <c r="F17295" s="3" t="n">
        <v>790</v>
      </c>
      <c r="G17295" s="3" t="n">
        <v>2370</v>
      </c>
    </row>
    <row r="17296">
      <c r="A17296" s="3" t="inlineStr">
        <is>
          <t>Trademark Holdings (Pty) Ltd</t>
        </is>
      </c>
      <c r="B17296" s="4" t="n">
        <v>45291</v>
      </c>
      <c r="C17296" s="3" t="inlineStr">
        <is>
          <t>Expenses</t>
        </is>
      </c>
      <c r="D17296" s="3" t="inlineStr">
        <is>
          <t>3350/000</t>
        </is>
      </c>
      <c r="E17296" s="3" t="inlineStr">
        <is>
          <t>Consulting Fees</t>
        </is>
      </c>
      <c r="F17296" s="3" t="n">
        <v>22000</v>
      </c>
      <c r="G17296" s="3" t="n">
        <v>88400</v>
      </c>
    </row>
    <row r="17297">
      <c r="A17297" s="3" t="inlineStr">
        <is>
          <t>Opportunity Management Holdings (PTY) LTD</t>
        </is>
      </c>
      <c r="B17297" s="4" t="n">
        <v>45291</v>
      </c>
      <c r="C17297" s="3" t="inlineStr">
        <is>
          <t>Expenses</t>
        </is>
      </c>
      <c r="D17297" s="3" t="inlineStr">
        <is>
          <t>3350/100</t>
        </is>
      </c>
      <c r="E17297" s="3" t="inlineStr">
        <is>
          <t>Consulting Fee - Dirk Coetzee</t>
        </is>
      </c>
      <c r="F17297" s="3" t="n">
        <v>17000</v>
      </c>
      <c r="G17297" s="3" t="n">
        <v>68000</v>
      </c>
    </row>
    <row r="17298">
      <c r="A17298" s="3" t="inlineStr">
        <is>
          <t>Endulini (Pty) Ltd</t>
        </is>
      </c>
      <c r="B17298" s="4" t="n">
        <v>45291</v>
      </c>
      <c r="C17298" s="3" t="inlineStr">
        <is>
          <t>Expenses</t>
        </is>
      </c>
      <c r="D17298" s="3" t="inlineStr">
        <is>
          <t>3350/100</t>
        </is>
      </c>
      <c r="E17298" s="3" t="inlineStr">
        <is>
          <t>Consulting Fees - Admin and Finance</t>
        </is>
      </c>
      <c r="F17298" s="3" t="n">
        <v>40680</v>
      </c>
      <c r="G17298" s="3" t="n">
        <v>434997.57</v>
      </c>
    </row>
    <row r="17299">
      <c r="A17299" s="3" t="inlineStr">
        <is>
          <t>Opportunity Global Investment (PTY) LTD</t>
        </is>
      </c>
      <c r="B17299" s="4" t="n">
        <v>45291</v>
      </c>
      <c r="C17299" s="3" t="inlineStr">
        <is>
          <t>Expenses</t>
        </is>
      </c>
      <c r="D17299" s="3" t="inlineStr">
        <is>
          <t>3350/100</t>
        </is>
      </c>
      <c r="E17299" s="3" t="inlineStr">
        <is>
          <t>Consulting Fees - Admin and Finance</t>
        </is>
      </c>
      <c r="F17299" s="3" t="n">
        <v>11955</v>
      </c>
      <c r="G17299" s="3" t="n">
        <v>146709.06</v>
      </c>
    </row>
    <row r="17300">
      <c r="A17300" s="3" t="inlineStr">
        <is>
          <t>Opportunity Global Sales (PTY) LTD</t>
        </is>
      </c>
      <c r="B17300" s="4" t="n">
        <v>45291</v>
      </c>
      <c r="C17300" s="3" t="inlineStr">
        <is>
          <t>Expenses</t>
        </is>
      </c>
      <c r="D17300" s="3" t="inlineStr">
        <is>
          <t>3350/100</t>
        </is>
      </c>
      <c r="E17300" s="3" t="inlineStr">
        <is>
          <t>Consulting Fees - Admin and Finance</t>
        </is>
      </c>
      <c r="F17300" s="3" t="n">
        <v>10355</v>
      </c>
      <c r="G17300" s="3" t="n">
        <v>139372</v>
      </c>
    </row>
    <row r="17301">
      <c r="A17301" s="3" t="inlineStr">
        <is>
          <t>Opportunity Global Sales (PTY) LTD</t>
        </is>
      </c>
      <c r="B17301" s="4" t="n">
        <v>45291</v>
      </c>
      <c r="C17301" s="3" t="inlineStr">
        <is>
          <t>Expenses</t>
        </is>
      </c>
      <c r="D17301" s="3" t="inlineStr">
        <is>
          <t>3350/200</t>
        </is>
      </c>
      <c r="E17301" s="3" t="inlineStr">
        <is>
          <t>Consulting Fees - Agent Karien Muller</t>
        </is>
      </c>
      <c r="F17301" s="3" t="n">
        <v>0</v>
      </c>
      <c r="G17301" s="3" t="n">
        <v>10000</v>
      </c>
    </row>
    <row r="17302">
      <c r="A17302" s="3" t="inlineStr">
        <is>
          <t>Opportunity Global Investment (PTY) LTD</t>
        </is>
      </c>
      <c r="B17302" s="4" t="n">
        <v>45291</v>
      </c>
      <c r="C17302" s="3" t="inlineStr">
        <is>
          <t>Expenses</t>
        </is>
      </c>
      <c r="D17302" s="3" t="inlineStr">
        <is>
          <t>3350/200</t>
        </is>
      </c>
      <c r="E17302" s="3" t="inlineStr">
        <is>
          <t>Consulting Fees - Rockfin</t>
        </is>
      </c>
      <c r="F17302" s="3" t="n">
        <v>0</v>
      </c>
      <c r="G17302" s="3" t="n">
        <v>90000</v>
      </c>
    </row>
    <row r="17303">
      <c r="A17303" s="3" t="inlineStr">
        <is>
          <t>Opportunity Management Holdings (PTY) LTD</t>
        </is>
      </c>
      <c r="B17303" s="4" t="n">
        <v>45291</v>
      </c>
      <c r="C17303" s="3" t="inlineStr">
        <is>
          <t>Expenses</t>
        </is>
      </c>
      <c r="D17303" s="3" t="inlineStr">
        <is>
          <t>3350/300</t>
        </is>
      </c>
      <c r="E17303" s="3" t="inlineStr">
        <is>
          <t>Consulting Fee - HR Joblaw</t>
        </is>
      </c>
      <c r="F17303" s="3" t="n">
        <v>1600.83</v>
      </c>
      <c r="G17303" s="3" t="n">
        <v>6403.32</v>
      </c>
    </row>
    <row r="17304">
      <c r="A17304" s="3" t="inlineStr">
        <is>
          <t>Quinate Consulting (Pty) Ltd</t>
        </is>
      </c>
      <c r="B17304" s="4" t="n">
        <v>45291</v>
      </c>
      <c r="C17304" s="3" t="inlineStr">
        <is>
          <t>Expenses</t>
        </is>
      </c>
      <c r="D17304" s="3" t="inlineStr">
        <is>
          <t>3350/300</t>
        </is>
      </c>
      <c r="E17304" s="3" t="inlineStr">
        <is>
          <t>Consulting Fees - Admin and Finance</t>
        </is>
      </c>
      <c r="F17304" s="3" t="n">
        <v>0</v>
      </c>
      <c r="G17304" s="3" t="n">
        <v>58025</v>
      </c>
    </row>
    <row r="17305">
      <c r="A17305" s="3" t="inlineStr">
        <is>
          <t>Opportunity Global Investment (PTY) LTD</t>
        </is>
      </c>
      <c r="B17305" s="4" t="n">
        <v>45291</v>
      </c>
      <c r="C17305" s="3" t="inlineStr">
        <is>
          <t>Expenses</t>
        </is>
      </c>
      <c r="D17305" s="3" t="inlineStr">
        <is>
          <t>3350/300</t>
        </is>
      </c>
      <c r="E17305" s="3" t="inlineStr">
        <is>
          <t>Consulting Fees - BLCS</t>
        </is>
      </c>
      <c r="F17305" s="3" t="n">
        <v>0</v>
      </c>
      <c r="G17305" s="3" t="n">
        <v>22000</v>
      </c>
    </row>
    <row r="17306">
      <c r="A17306" s="3" t="inlineStr">
        <is>
          <t>Opportunity Global Investment (PTY) LTD</t>
        </is>
      </c>
      <c r="B17306" s="4" t="n">
        <v>45291</v>
      </c>
      <c r="C17306" s="3" t="inlineStr">
        <is>
          <t>Expenses</t>
        </is>
      </c>
      <c r="D17306" s="3" t="inlineStr">
        <is>
          <t>3350/400</t>
        </is>
      </c>
      <c r="E17306" s="3" t="inlineStr">
        <is>
          <t>Consulting Fees: Solaris Law</t>
        </is>
      </c>
      <c r="F17306" s="3" t="n">
        <v>0</v>
      </c>
      <c r="G17306" s="3" t="n">
        <v>45875</v>
      </c>
    </row>
    <row r="17307">
      <c r="A17307" s="3" t="inlineStr">
        <is>
          <t>Opportunity Global Investment (PTY) LTD</t>
        </is>
      </c>
      <c r="B17307" s="4" t="n">
        <v>45291</v>
      </c>
      <c r="C17307" s="3" t="inlineStr">
        <is>
          <t>Expenses</t>
        </is>
      </c>
      <c r="D17307" s="3" t="inlineStr">
        <is>
          <t>3351/000</t>
        </is>
      </c>
      <c r="E17307" s="3" t="inlineStr">
        <is>
          <t>Consulting Fees - HR Joblaw</t>
        </is>
      </c>
      <c r="F17307" s="3" t="n">
        <v>1600.83</v>
      </c>
      <c r="G17307" s="3" t="n">
        <v>1600.83</v>
      </c>
    </row>
    <row r="17308">
      <c r="A17308" s="3" t="inlineStr">
        <is>
          <t>Quinate Consulting (Pty) Ltd</t>
        </is>
      </c>
      <c r="B17308" s="4" t="n">
        <v>45291</v>
      </c>
      <c r="C17308" s="3" t="inlineStr">
        <is>
          <t>Expenses</t>
        </is>
      </c>
      <c r="D17308" s="3" t="inlineStr">
        <is>
          <t>3351/000</t>
        </is>
      </c>
      <c r="E17308" s="3" t="inlineStr">
        <is>
          <t>Consulting fees - Trustees</t>
        </is>
      </c>
      <c r="F17308" s="3" t="n">
        <v>4200</v>
      </c>
      <c r="G17308" s="3" t="n">
        <v>79000</v>
      </c>
    </row>
    <row r="17309">
      <c r="A17309" s="3" t="inlineStr">
        <is>
          <t>Opportunity Global Investment (PTY) LTD</t>
        </is>
      </c>
      <c r="B17309" s="4" t="n">
        <v>45291</v>
      </c>
      <c r="C17309" s="3" t="inlineStr">
        <is>
          <t>Expenses</t>
        </is>
      </c>
      <c r="D17309" s="3" t="inlineStr">
        <is>
          <t>3354/000</t>
        </is>
      </c>
      <c r="E17309" s="3" t="inlineStr">
        <is>
          <t>Consulting Fees - Karien Muller</t>
        </is>
      </c>
      <c r="F17309" s="3" t="n">
        <v>0</v>
      </c>
      <c r="G17309" s="3" t="n">
        <v>12500</v>
      </c>
    </row>
    <row r="17310">
      <c r="A17310" s="3" t="inlineStr">
        <is>
          <t>Opportunity Global Investment (PTY) LTD</t>
        </is>
      </c>
      <c r="B17310" s="4" t="n">
        <v>45291</v>
      </c>
      <c r="C17310" s="3" t="inlineStr">
        <is>
          <t>Expenses</t>
        </is>
      </c>
      <c r="D17310" s="3" t="inlineStr">
        <is>
          <t>3355/00</t>
        </is>
      </c>
      <c r="E17310" s="3" t="inlineStr">
        <is>
          <t>Consulting fees - F Geldenhuys</t>
        </is>
      </c>
      <c r="F17310" s="3" t="n">
        <v>51500</v>
      </c>
      <c r="G17310" s="3" t="n">
        <v>51500</v>
      </c>
    </row>
    <row r="17311">
      <c r="A17311" s="3" t="inlineStr">
        <is>
          <t>Opportunity Management Holdings (PTY) LTD</t>
        </is>
      </c>
      <c r="B17311" s="4" t="n">
        <v>45291</v>
      </c>
      <c r="C17311" s="3" t="inlineStr">
        <is>
          <t>Expenses</t>
        </is>
      </c>
      <c r="D17311" s="3" t="inlineStr">
        <is>
          <t>3400/000</t>
        </is>
      </c>
      <c r="E17311" s="3" t="inlineStr">
        <is>
          <t>Courier _AND_ Postage</t>
        </is>
      </c>
      <c r="F17311" s="3" t="n">
        <v>0</v>
      </c>
      <c r="G17311" s="3" t="n">
        <v>664.3200000000001</v>
      </c>
    </row>
    <row r="17312">
      <c r="A17312" s="3" t="inlineStr">
        <is>
          <t>Quinate Consulting (Pty) Ltd</t>
        </is>
      </c>
      <c r="B17312" s="4" t="n">
        <v>45291</v>
      </c>
      <c r="C17312" s="3" t="inlineStr">
        <is>
          <t>Expenses</t>
        </is>
      </c>
      <c r="D17312" s="3" t="inlineStr">
        <is>
          <t>3450/001</t>
        </is>
      </c>
      <c r="E17312" s="3" t="inlineStr">
        <is>
          <t>Depreciation - Computer Equipment</t>
        </is>
      </c>
      <c r="F17312" s="3" t="n">
        <v>1926.09</v>
      </c>
      <c r="G17312" s="3" t="n">
        <v>22911.02</v>
      </c>
    </row>
    <row r="17313">
      <c r="A17313" s="3" t="inlineStr">
        <is>
          <t>Opportunity Global Investment (PTY) LTD</t>
        </is>
      </c>
      <c r="B17313" s="4" t="n">
        <v>45291</v>
      </c>
      <c r="C17313" s="3" t="inlineStr">
        <is>
          <t>Expenses</t>
        </is>
      </c>
      <c r="D17313" s="3" t="inlineStr">
        <is>
          <t>3450/001</t>
        </is>
      </c>
      <c r="E17313" s="3" t="inlineStr">
        <is>
          <t>Depreciation - Computer equipment</t>
        </is>
      </c>
      <c r="F17313" s="3" t="n">
        <v>880.08</v>
      </c>
      <c r="G17313" s="3" t="n">
        <v>8800.84</v>
      </c>
    </row>
    <row r="17314">
      <c r="A17314" s="3" t="inlineStr">
        <is>
          <t>Quinate Consulting (Pty) Ltd</t>
        </is>
      </c>
      <c r="B17314" s="4" t="n">
        <v>45291</v>
      </c>
      <c r="C17314" s="3" t="inlineStr">
        <is>
          <t>Expenses</t>
        </is>
      </c>
      <c r="D17314" s="3" t="inlineStr">
        <is>
          <t>3450/002</t>
        </is>
      </c>
      <c r="E17314" s="3" t="inlineStr">
        <is>
          <t>Depreciation - Site Containers</t>
        </is>
      </c>
      <c r="F17314" s="3" t="n">
        <v>318.84</v>
      </c>
      <c r="G17314" s="3" t="n">
        <v>3188.4</v>
      </c>
    </row>
    <row r="17315">
      <c r="A17315" s="3" t="inlineStr">
        <is>
          <t>Opportunity Global Sales (PTY) LTD</t>
        </is>
      </c>
      <c r="B17315" s="4" t="n">
        <v>45291</v>
      </c>
      <c r="C17315" s="3" t="inlineStr">
        <is>
          <t>Expenses</t>
        </is>
      </c>
      <c r="D17315" s="3" t="inlineStr">
        <is>
          <t>3450/030</t>
        </is>
      </c>
      <c r="E17315" s="3" t="inlineStr">
        <is>
          <t>Depreciation - Furniture and Fittings</t>
        </is>
      </c>
      <c r="F17315" s="3" t="n">
        <v>408.05</v>
      </c>
      <c r="G17315" s="3" t="n">
        <v>4080.51</v>
      </c>
    </row>
    <row r="17316">
      <c r="A17316" s="3" t="inlineStr">
        <is>
          <t>Opportunity Management Holdings (PTY) LTD</t>
        </is>
      </c>
      <c r="B17316" s="4" t="n">
        <v>45291</v>
      </c>
      <c r="C17316" s="3" t="inlineStr">
        <is>
          <t>Expenses</t>
        </is>
      </c>
      <c r="D17316" s="3" t="inlineStr">
        <is>
          <t>3451/000</t>
        </is>
      </c>
      <c r="E17316" s="3" t="inlineStr">
        <is>
          <t>Depreciation - Computer Equipment</t>
        </is>
      </c>
      <c r="F17316" s="3" t="n">
        <v>1035.18</v>
      </c>
      <c r="G17316" s="3" t="n">
        <v>4140.72</v>
      </c>
    </row>
    <row r="17317">
      <c r="A17317" s="3" t="inlineStr">
        <is>
          <t>Quinate Consulting (Pty) Ltd</t>
        </is>
      </c>
      <c r="B17317" s="4" t="n">
        <v>45291</v>
      </c>
      <c r="C17317" s="3" t="inlineStr">
        <is>
          <t>Expenses</t>
        </is>
      </c>
      <c r="D17317" s="3" t="inlineStr">
        <is>
          <t>3600/000</t>
        </is>
      </c>
      <c r="E17317" s="3" t="inlineStr">
        <is>
          <t>Donations</t>
        </is>
      </c>
      <c r="F17317" s="3" t="n">
        <v>572.45</v>
      </c>
      <c r="G17317" s="3" t="n">
        <v>5724.5</v>
      </c>
    </row>
    <row r="17318">
      <c r="A17318" s="3" t="inlineStr">
        <is>
          <t>Noble Shield (Pty) Ltd ta Go Letting</t>
        </is>
      </c>
      <c r="B17318" s="4" t="n">
        <v>45291</v>
      </c>
      <c r="C17318" s="3" t="inlineStr">
        <is>
          <t>Expenses</t>
        </is>
      </c>
      <c r="D17318" s="3" t="inlineStr">
        <is>
          <t>3650/000</t>
        </is>
      </c>
      <c r="E17318" s="3" t="inlineStr">
        <is>
          <t>Electricity _AND_ Water</t>
        </is>
      </c>
      <c r="F17318" s="3" t="n">
        <v>1000</v>
      </c>
      <c r="G17318" s="3" t="n">
        <v>1000</v>
      </c>
    </row>
    <row r="17319">
      <c r="A17319" s="3" t="inlineStr">
        <is>
          <t>Opportunity Global Investment (PTY) LTD</t>
        </is>
      </c>
      <c r="B17319" s="4" t="n">
        <v>45291</v>
      </c>
      <c r="C17319" s="3" t="inlineStr">
        <is>
          <t>Expenses</t>
        </is>
      </c>
      <c r="D17319" s="3" t="inlineStr">
        <is>
          <t>3650/000</t>
        </is>
      </c>
      <c r="E17319" s="3" t="inlineStr">
        <is>
          <t>Electricity _AND_ Water</t>
        </is>
      </c>
      <c r="F17319" s="3" t="n">
        <v>2950</v>
      </c>
      <c r="G17319" s="3" t="n">
        <v>29500</v>
      </c>
    </row>
    <row r="17320">
      <c r="A17320" s="3" t="inlineStr">
        <is>
          <t>Noble Shield (Pty) Ltd ta Go Letting</t>
        </is>
      </c>
      <c r="B17320" s="4" t="n">
        <v>45291</v>
      </c>
      <c r="C17320" s="3" t="inlineStr">
        <is>
          <t>Expenses</t>
        </is>
      </c>
      <c r="D17320" s="3" t="inlineStr">
        <is>
          <t>3651/000</t>
        </is>
      </c>
      <c r="E17320" s="3" t="inlineStr">
        <is>
          <t>Electricity _AND_ Water - Rentals</t>
        </is>
      </c>
      <c r="F17320" s="3" t="n">
        <v>1000</v>
      </c>
      <c r="G17320" s="3" t="n">
        <v>2000</v>
      </c>
    </row>
    <row r="17321">
      <c r="A17321" s="3" t="inlineStr">
        <is>
          <t>Quinate Consulting (Pty) Ltd</t>
        </is>
      </c>
      <c r="B17321" s="4" t="n">
        <v>45291</v>
      </c>
      <c r="C17321" s="3" t="inlineStr">
        <is>
          <t>Expenses</t>
        </is>
      </c>
      <c r="D17321" s="3" t="inlineStr">
        <is>
          <t>3651/000</t>
        </is>
      </c>
      <c r="E17321" s="3" t="inlineStr">
        <is>
          <t>Electricity _AND_ Water - Southwark</t>
        </is>
      </c>
      <c r="F17321" s="3" t="n">
        <v>8927.700000000001</v>
      </c>
      <c r="G17321" s="3" t="n">
        <v>262681.27</v>
      </c>
    </row>
    <row r="17322">
      <c r="A17322" s="3" t="inlineStr">
        <is>
          <t>Quinate Consulting (Pty) Ltd</t>
        </is>
      </c>
      <c r="B17322" s="4" t="n">
        <v>45291</v>
      </c>
      <c r="C17322" s="3" t="inlineStr">
        <is>
          <t>Expenses</t>
        </is>
      </c>
      <c r="D17322" s="3" t="inlineStr">
        <is>
          <t>3652/000</t>
        </is>
      </c>
      <c r="E17322" s="3" t="inlineStr">
        <is>
          <t>Electricity _AND_ Water - Soho</t>
        </is>
      </c>
      <c r="F17322" s="3" t="n">
        <v>21102.57</v>
      </c>
      <c r="G17322" s="3" t="n">
        <v>273161.25</v>
      </c>
    </row>
    <row r="17323">
      <c r="A17323" s="3" t="inlineStr">
        <is>
          <t>Quinate Consulting (Pty) Ltd</t>
        </is>
      </c>
      <c r="B17323" s="4" t="n">
        <v>45291</v>
      </c>
      <c r="C17323" s="3" t="inlineStr">
        <is>
          <t>Expenses</t>
        </is>
      </c>
      <c r="D17323" s="3" t="inlineStr">
        <is>
          <t>3653/000</t>
        </is>
      </c>
      <c r="E17323" s="3" t="inlineStr">
        <is>
          <t>Electricity _AND_ Water - Endulini</t>
        </is>
      </c>
      <c r="F17323" s="3" t="n">
        <v>0</v>
      </c>
      <c r="G17323" s="3" t="n">
        <v>-2351.12</v>
      </c>
    </row>
    <row r="17324">
      <c r="A17324" s="3" t="inlineStr">
        <is>
          <t>Noble Shield (Pty) Ltd ta Go Letting</t>
        </is>
      </c>
      <c r="B17324" s="4" t="n">
        <v>45291</v>
      </c>
      <c r="C17324" s="3" t="inlineStr">
        <is>
          <t>Expenses</t>
        </is>
      </c>
      <c r="D17324" s="3" t="inlineStr">
        <is>
          <t>3700/000</t>
        </is>
      </c>
      <c r="E17324" s="3" t="inlineStr">
        <is>
          <t>Entertainment Expenses</t>
        </is>
      </c>
      <c r="F17324" s="3" t="n">
        <v>1650</v>
      </c>
      <c r="G17324" s="3" t="n">
        <v>1650</v>
      </c>
    </row>
    <row r="17325">
      <c r="A17325" s="3" t="inlineStr">
        <is>
          <t>Opportunity Global Investment (PTY) LTD</t>
        </is>
      </c>
      <c r="B17325" s="4" t="n">
        <v>45291</v>
      </c>
      <c r="C17325" s="3" t="inlineStr">
        <is>
          <t>Expenses</t>
        </is>
      </c>
      <c r="D17325" s="3" t="inlineStr">
        <is>
          <t>3700/000</t>
        </is>
      </c>
      <c r="E17325" s="3" t="inlineStr">
        <is>
          <t>Entertainment Expenses</t>
        </is>
      </c>
      <c r="F17325" s="3" t="n">
        <v>476.09</v>
      </c>
      <c r="G17325" s="3" t="n">
        <v>6261.9</v>
      </c>
    </row>
    <row r="17326">
      <c r="A17326" s="3" t="inlineStr">
        <is>
          <t>Opportunity Global Sales (PTY) LTD</t>
        </is>
      </c>
      <c r="B17326" s="4" t="n">
        <v>45291</v>
      </c>
      <c r="C17326" s="3" t="inlineStr">
        <is>
          <t>Expenses</t>
        </is>
      </c>
      <c r="D17326" s="3" t="inlineStr">
        <is>
          <t>3700/000</t>
        </is>
      </c>
      <c r="E17326" s="3" t="inlineStr">
        <is>
          <t>Entertainment Expenses</t>
        </is>
      </c>
      <c r="F17326" s="3" t="n">
        <v>0</v>
      </c>
      <c r="G17326" s="3" t="n">
        <v>2280</v>
      </c>
    </row>
    <row r="17327">
      <c r="A17327" s="3" t="inlineStr">
        <is>
          <t>Opportunity Management Holdings (PTY) LTD</t>
        </is>
      </c>
      <c r="B17327" s="4" t="n">
        <v>45291</v>
      </c>
      <c r="C17327" s="3" t="inlineStr">
        <is>
          <t>Expenses</t>
        </is>
      </c>
      <c r="D17327" s="3" t="inlineStr">
        <is>
          <t>3700/000</t>
        </is>
      </c>
      <c r="E17327" s="3" t="inlineStr">
        <is>
          <t>Entertainment Expenses</t>
        </is>
      </c>
      <c r="F17327" s="3" t="n">
        <v>1081.13</v>
      </c>
      <c r="G17327" s="3" t="n">
        <v>1126.13</v>
      </c>
    </row>
    <row r="17328">
      <c r="A17328" s="3" t="inlineStr">
        <is>
          <t>Quinate Consulting (Pty) Ltd</t>
        </is>
      </c>
      <c r="B17328" s="4" t="n">
        <v>45291</v>
      </c>
      <c r="C17328" s="3" t="inlineStr">
        <is>
          <t>Expenses</t>
        </is>
      </c>
      <c r="D17328" s="3" t="inlineStr">
        <is>
          <t>3700/000</t>
        </is>
      </c>
      <c r="E17328" s="3" t="inlineStr">
        <is>
          <t>Entertainment Expenses</t>
        </is>
      </c>
      <c r="F17328" s="3" t="n">
        <v>0</v>
      </c>
      <c r="G17328" s="3" t="n">
        <v>11745.05</v>
      </c>
    </row>
    <row r="17329">
      <c r="A17329" s="3" t="inlineStr">
        <is>
          <t>Opportunity Management Holdings (PTY) LTD</t>
        </is>
      </c>
      <c r="B17329" s="4" t="n">
        <v>45291</v>
      </c>
      <c r="C17329" s="3" t="inlineStr">
        <is>
          <t>Expenses</t>
        </is>
      </c>
      <c r="D17329" s="3" t="inlineStr">
        <is>
          <t>3800/000</t>
        </is>
      </c>
      <c r="E17329" s="3" t="inlineStr">
        <is>
          <t>General Expenses</t>
        </is>
      </c>
      <c r="F17329" s="3" t="n">
        <v>0</v>
      </c>
      <c r="G17329" s="3" t="n">
        <v>418.94</v>
      </c>
    </row>
    <row r="17330">
      <c r="A17330" s="3" t="inlineStr">
        <is>
          <t>Opportunity Global Investment (PTY) LTD</t>
        </is>
      </c>
      <c r="B17330" s="4" t="n">
        <v>45291</v>
      </c>
      <c r="C17330" s="3" t="inlineStr">
        <is>
          <t>Expenses</t>
        </is>
      </c>
      <c r="D17330" s="3" t="inlineStr">
        <is>
          <t>3800/010</t>
        </is>
      </c>
      <c r="E17330" s="3" t="inlineStr">
        <is>
          <t>General Expences - Gifts</t>
        </is>
      </c>
      <c r="F17330" s="3" t="n">
        <v>2095.48</v>
      </c>
      <c r="G17330" s="3" t="n">
        <v>7746.78</v>
      </c>
    </row>
    <row r="17331">
      <c r="A17331" s="3" t="inlineStr">
        <is>
          <t>Opportunity Global Sales (PTY) LTD</t>
        </is>
      </c>
      <c r="B17331" s="4" t="n">
        <v>45291</v>
      </c>
      <c r="C17331" s="3" t="inlineStr">
        <is>
          <t>Expenses</t>
        </is>
      </c>
      <c r="D17331" s="3" t="inlineStr">
        <is>
          <t>3800/010</t>
        </is>
      </c>
      <c r="E17331" s="3" t="inlineStr">
        <is>
          <t>General Expences - Gifts</t>
        </is>
      </c>
      <c r="F17331" s="3" t="n">
        <v>0</v>
      </c>
      <c r="G17331" s="3" t="n">
        <v>1719.75</v>
      </c>
    </row>
    <row r="17332">
      <c r="A17332" s="3" t="inlineStr">
        <is>
          <t>Opportunity Management Holdings (PTY) LTD</t>
        </is>
      </c>
      <c r="B17332" s="4" t="n">
        <v>45291</v>
      </c>
      <c r="C17332" s="3" t="inlineStr">
        <is>
          <t>Expenses</t>
        </is>
      </c>
      <c r="D17332" s="3" t="inlineStr">
        <is>
          <t>3800/010</t>
        </is>
      </c>
      <c r="E17332" s="3" t="inlineStr">
        <is>
          <t>General Expenses - Gifts</t>
        </is>
      </c>
      <c r="F17332" s="3" t="n">
        <v>0</v>
      </c>
      <c r="G17332" s="3" t="n">
        <v>808.5700000000001</v>
      </c>
    </row>
    <row r="17333">
      <c r="A17333" s="3" t="inlineStr">
        <is>
          <t>Opportunity Management Holdings (PTY) LTD</t>
        </is>
      </c>
      <c r="B17333" s="4" t="n">
        <v>45291</v>
      </c>
      <c r="C17333" s="3" t="inlineStr">
        <is>
          <t>Expenses</t>
        </is>
      </c>
      <c r="D17333" s="3" t="inlineStr">
        <is>
          <t>3800/030</t>
        </is>
      </c>
      <c r="E17333" s="3" t="inlineStr">
        <is>
          <t>General Expenses: Showhouse Heron View</t>
        </is>
      </c>
      <c r="F17333" s="3" t="n">
        <v>0</v>
      </c>
      <c r="G17333" s="3" t="n">
        <v>987.72</v>
      </c>
    </row>
    <row r="17334">
      <c r="A17334" s="3" t="inlineStr">
        <is>
          <t>Opportunity Management Holdings (PTY) LTD</t>
        </is>
      </c>
      <c r="B17334" s="4" t="n">
        <v>45291</v>
      </c>
      <c r="C17334" s="3" t="inlineStr">
        <is>
          <t>Expenses</t>
        </is>
      </c>
      <c r="D17334" s="3" t="inlineStr">
        <is>
          <t>3850/000</t>
        </is>
      </c>
      <c r="E17334" s="3" t="inlineStr">
        <is>
          <t>Insurance - Momentum</t>
        </is>
      </c>
      <c r="F17334" s="3" t="n">
        <v>1696.06</v>
      </c>
      <c r="G17334" s="3" t="n">
        <v>6784.24</v>
      </c>
    </row>
    <row r="17335">
      <c r="A17335" s="3" t="inlineStr">
        <is>
          <t>Noble Shield (Pty) Ltd ta Go Letting</t>
        </is>
      </c>
      <c r="B17335" s="4" t="n">
        <v>45291</v>
      </c>
      <c r="C17335" s="3" t="inlineStr">
        <is>
          <t>Expenses</t>
        </is>
      </c>
      <c r="D17335" s="3" t="inlineStr">
        <is>
          <t>3850/100</t>
        </is>
      </c>
      <c r="E17335" s="3" t="inlineStr">
        <is>
          <t>Insurance - Santam</t>
        </is>
      </c>
      <c r="F17335" s="3" t="n">
        <v>4249.41</v>
      </c>
      <c r="G17335" s="3" t="n">
        <v>16997.64</v>
      </c>
    </row>
    <row r="17336">
      <c r="A17336" s="3" t="inlineStr">
        <is>
          <t>Noble Shield (Pty) Ltd ta Go Letting</t>
        </is>
      </c>
      <c r="B17336" s="4" t="n">
        <v>45291</v>
      </c>
      <c r="C17336" s="3" t="inlineStr">
        <is>
          <t>Expenses</t>
        </is>
      </c>
      <c r="D17336" s="3" t="inlineStr">
        <is>
          <t>3850/200</t>
        </is>
      </c>
      <c r="E17336" s="3" t="inlineStr">
        <is>
          <t>Insurance - A_AND_G</t>
        </is>
      </c>
      <c r="F17336" s="3" t="n">
        <v>4488.92</v>
      </c>
      <c r="G17336" s="3" t="n">
        <v>11222.3</v>
      </c>
    </row>
    <row r="17337">
      <c r="A17337" s="3" t="inlineStr">
        <is>
          <t>Quinate Consulting (Pty) Ltd</t>
        </is>
      </c>
      <c r="B17337" s="4" t="n">
        <v>45291</v>
      </c>
      <c r="C17337" s="3" t="inlineStr">
        <is>
          <t>Expenses</t>
        </is>
      </c>
      <c r="D17337" s="3" t="inlineStr">
        <is>
          <t>3851/000</t>
        </is>
      </c>
      <c r="E17337" s="3" t="inlineStr">
        <is>
          <t>Insurance - Momentum</t>
        </is>
      </c>
      <c r="F17337" s="3" t="n">
        <v>9274.969999999999</v>
      </c>
      <c r="G17337" s="3" t="n">
        <v>83759.39</v>
      </c>
    </row>
    <row r="17338">
      <c r="A17338" s="3" t="inlineStr">
        <is>
          <t>Quinate Consulting (Pty) Ltd</t>
        </is>
      </c>
      <c r="B17338" s="4" t="n">
        <v>45291</v>
      </c>
      <c r="C17338" s="3" t="inlineStr">
        <is>
          <t>Expenses</t>
        </is>
      </c>
      <c r="D17338" s="3" t="inlineStr">
        <is>
          <t>3900/000</t>
        </is>
      </c>
      <c r="E17338" s="3" t="inlineStr">
        <is>
          <t>Interest Paid</t>
        </is>
      </c>
      <c r="F17338" s="3" t="n">
        <v>0</v>
      </c>
      <c r="G17338" s="3" t="n">
        <v>1307.76</v>
      </c>
    </row>
    <row r="17339">
      <c r="A17339" s="3" t="inlineStr">
        <is>
          <t>Quinate Consulting (Pty) Ltd</t>
        </is>
      </c>
      <c r="B17339" s="4" t="n">
        <v>45291</v>
      </c>
      <c r="C17339" s="3" t="inlineStr">
        <is>
          <t>Expenses</t>
        </is>
      </c>
      <c r="D17339" s="3" t="inlineStr">
        <is>
          <t>3900/050</t>
        </is>
      </c>
      <c r="E17339" s="3" t="inlineStr">
        <is>
          <t>Interest Paid - STD Bond Accounts</t>
        </is>
      </c>
      <c r="F17339" s="3" t="n">
        <v>0</v>
      </c>
      <c r="G17339" s="3" t="n">
        <v>525346.9300000001</v>
      </c>
    </row>
    <row r="17340">
      <c r="A17340" s="3" t="inlineStr">
        <is>
          <t>Endulini (Pty) Ltd</t>
        </is>
      </c>
      <c r="B17340" s="4" t="n">
        <v>45291</v>
      </c>
      <c r="C17340" s="3" t="inlineStr">
        <is>
          <t>Expenses</t>
        </is>
      </c>
      <c r="D17340" s="3" t="inlineStr">
        <is>
          <t>3900/111</t>
        </is>
      </c>
      <c r="E17340" s="3" t="inlineStr">
        <is>
          <t>Interest Paid - Investors @ 6.25%</t>
        </is>
      </c>
      <c r="F17340" s="3" t="n">
        <v>13842.47</v>
      </c>
      <c r="G17340" s="3" t="n">
        <v>34051.46</v>
      </c>
    </row>
    <row r="17341">
      <c r="A17341" s="3" t="inlineStr">
        <is>
          <t>Endulini (Pty) Ltd</t>
        </is>
      </c>
      <c r="B17341" s="4" t="n">
        <v>45291</v>
      </c>
      <c r="C17341" s="3" t="inlineStr">
        <is>
          <t>Expenses</t>
        </is>
      </c>
      <c r="D17341" s="3" t="inlineStr">
        <is>
          <t>3900/112</t>
        </is>
      </c>
      <c r="E17341" s="3" t="inlineStr">
        <is>
          <t>Interest Paid - Investors @ 6.5%</t>
        </is>
      </c>
      <c r="F17341" s="3" t="n">
        <v>0</v>
      </c>
      <c r="G17341" s="3" t="n">
        <v>3437</v>
      </c>
    </row>
    <row r="17342">
      <c r="A17342" s="3" t="inlineStr">
        <is>
          <t>Endulini (Pty) Ltd</t>
        </is>
      </c>
      <c r="B17342" s="4" t="n">
        <v>45291</v>
      </c>
      <c r="C17342" s="3" t="inlineStr">
        <is>
          <t>Expenses</t>
        </is>
      </c>
      <c r="D17342" s="3" t="inlineStr">
        <is>
          <t>3900/113</t>
        </is>
      </c>
      <c r="E17342" s="3" t="inlineStr">
        <is>
          <t>Interest Paid - Investors @ 6.75%</t>
        </is>
      </c>
      <c r="F17342" s="3" t="n">
        <v>0</v>
      </c>
      <c r="G17342" s="3" t="n">
        <v>4281.16</v>
      </c>
    </row>
    <row r="17343">
      <c r="A17343" s="3" t="inlineStr">
        <is>
          <t>Endulini (Pty) Ltd</t>
        </is>
      </c>
      <c r="B17343" s="4" t="n">
        <v>45291</v>
      </c>
      <c r="C17343" s="3" t="inlineStr">
        <is>
          <t>Expenses</t>
        </is>
      </c>
      <c r="D17343" s="3" t="inlineStr">
        <is>
          <t>3900/120</t>
        </is>
      </c>
      <c r="E17343" s="3" t="inlineStr">
        <is>
          <t>Interest Paid - Investors @ 7%</t>
        </is>
      </c>
      <c r="F17343" s="3" t="n">
        <v>8869.190000000001</v>
      </c>
      <c r="G17343" s="3" t="n">
        <v>12250.2</v>
      </c>
    </row>
    <row r="17344">
      <c r="A17344" s="3" t="inlineStr">
        <is>
          <t>Endulini (Pty) Ltd</t>
        </is>
      </c>
      <c r="B17344" s="4" t="n">
        <v>45291</v>
      </c>
      <c r="C17344" s="3" t="inlineStr">
        <is>
          <t>Expenses</t>
        </is>
      </c>
      <c r="D17344" s="3" t="inlineStr">
        <is>
          <t>3900/122</t>
        </is>
      </c>
      <c r="E17344" s="3" t="inlineStr">
        <is>
          <t>Interest Paid - Investors @ 7.5%</t>
        </is>
      </c>
      <c r="F17344" s="3" t="n">
        <v>155.31</v>
      </c>
      <c r="G17344" s="3" t="n">
        <v>200.84</v>
      </c>
    </row>
    <row r="17345">
      <c r="A17345" s="3" t="inlineStr">
        <is>
          <t>Quinate Consulting (Pty) Ltd</t>
        </is>
      </c>
      <c r="B17345" s="4" t="n">
        <v>45291</v>
      </c>
      <c r="C17345" s="3" t="inlineStr">
        <is>
          <t>Expenses</t>
        </is>
      </c>
      <c r="D17345" s="3" t="inlineStr">
        <is>
          <t>3900/152</t>
        </is>
      </c>
      <c r="E17345" s="3" t="inlineStr">
        <is>
          <t>Interest Paid - Gengis</t>
        </is>
      </c>
      <c r="F17345" s="3" t="n">
        <v>3516.16</v>
      </c>
      <c r="G17345" s="3" t="n">
        <v>34707.94</v>
      </c>
    </row>
    <row r="17346">
      <c r="A17346" s="3" t="inlineStr">
        <is>
          <t>Endulini (Pty) Ltd</t>
        </is>
      </c>
      <c r="B17346" s="4" t="n">
        <v>45291</v>
      </c>
      <c r="C17346" s="3" t="inlineStr">
        <is>
          <t>Expenses</t>
        </is>
      </c>
      <c r="D17346" s="3" t="inlineStr">
        <is>
          <t>3900/190</t>
        </is>
      </c>
      <c r="E17346" s="3" t="inlineStr">
        <is>
          <t>Interest Paid - Investors @ 14%</t>
        </is>
      </c>
      <c r="F17346" s="3" t="n">
        <v>25095.94</v>
      </c>
      <c r="G17346" s="3" t="n">
        <v>348884.25</v>
      </c>
    </row>
    <row r="17347">
      <c r="A17347" s="3" t="inlineStr">
        <is>
          <t>Endulini (Pty) Ltd</t>
        </is>
      </c>
      <c r="B17347" s="4" t="n">
        <v>45291</v>
      </c>
      <c r="C17347" s="3" t="inlineStr">
        <is>
          <t>Expenses</t>
        </is>
      </c>
      <c r="D17347" s="3" t="inlineStr">
        <is>
          <t>3900/200</t>
        </is>
      </c>
      <c r="E17347" s="3" t="inlineStr">
        <is>
          <t>Interest Paid - Investors @ 15%</t>
        </is>
      </c>
      <c r="F17347" s="3" t="n">
        <v>54665.75</v>
      </c>
      <c r="G17347" s="3" t="n">
        <v>155679.44</v>
      </c>
    </row>
    <row r="17348">
      <c r="A17348" s="3" t="inlineStr">
        <is>
          <t>Endulini (Pty) Ltd</t>
        </is>
      </c>
      <c r="B17348" s="4" t="n">
        <v>45291</v>
      </c>
      <c r="C17348" s="3" t="inlineStr">
        <is>
          <t>Expenses</t>
        </is>
      </c>
      <c r="D17348" s="3" t="inlineStr">
        <is>
          <t>3900/210</t>
        </is>
      </c>
      <c r="E17348" s="3" t="inlineStr">
        <is>
          <t>Interest Paid - Investors @ 16%</t>
        </is>
      </c>
      <c r="F17348" s="3" t="n">
        <v>26191.78</v>
      </c>
      <c r="G17348" s="3" t="n">
        <v>125545.2</v>
      </c>
    </row>
    <row r="17349">
      <c r="A17349" s="3" t="inlineStr">
        <is>
          <t>Endulini (Pty) Ltd</t>
        </is>
      </c>
      <c r="B17349" s="4" t="n">
        <v>45291</v>
      </c>
      <c r="C17349" s="3" t="inlineStr">
        <is>
          <t>Expenses</t>
        </is>
      </c>
      <c r="D17349" s="3" t="inlineStr">
        <is>
          <t>3900/230</t>
        </is>
      </c>
      <c r="E17349" s="3" t="inlineStr">
        <is>
          <t>Interest Paid - Investors @ 18%</t>
        </is>
      </c>
      <c r="F17349" s="3" t="n">
        <v>295479.29</v>
      </c>
      <c r="G17349" s="3" t="n">
        <v>1123218.86</v>
      </c>
    </row>
    <row r="17350">
      <c r="A17350" s="3" t="inlineStr">
        <is>
          <t>Opportunity Management Holdings (PTY) LTD</t>
        </is>
      </c>
      <c r="B17350" s="4" t="n">
        <v>45291</v>
      </c>
      <c r="C17350" s="3" t="inlineStr">
        <is>
          <t>Expenses</t>
        </is>
      </c>
      <c r="D17350" s="3" t="inlineStr">
        <is>
          <t>3960/000</t>
        </is>
      </c>
      <c r="E17350" s="3" t="inlineStr">
        <is>
          <t>Internet Fees</t>
        </is>
      </c>
      <c r="F17350" s="3" t="n">
        <v>616.01</v>
      </c>
      <c r="G17350" s="3" t="n">
        <v>2460.37</v>
      </c>
    </row>
    <row r="17351">
      <c r="A17351" s="3" t="inlineStr">
        <is>
          <t>Quinate Consulting (Pty) Ltd</t>
        </is>
      </c>
      <c r="B17351" s="4" t="n">
        <v>45291</v>
      </c>
      <c r="C17351" s="3" t="inlineStr">
        <is>
          <t>Expenses</t>
        </is>
      </c>
      <c r="D17351" s="3" t="inlineStr">
        <is>
          <t>4000/000</t>
        </is>
      </c>
      <c r="E17351" s="3" t="inlineStr">
        <is>
          <t>Legal Fees</t>
        </is>
      </c>
      <c r="F17351" s="3" t="n">
        <v>0</v>
      </c>
      <c r="G17351" s="3" t="n">
        <v>32576</v>
      </c>
    </row>
    <row r="17352">
      <c r="A17352" s="3" t="inlineStr">
        <is>
          <t>Quinate Consulting (Pty) Ltd</t>
        </is>
      </c>
      <c r="B17352" s="4" t="n">
        <v>45291</v>
      </c>
      <c r="C17352" s="3" t="inlineStr">
        <is>
          <t>Expenses</t>
        </is>
      </c>
      <c r="D17352" s="3" t="inlineStr">
        <is>
          <t>4065/000</t>
        </is>
      </c>
      <c r="E17352" s="3" t="inlineStr">
        <is>
          <t>Levies - SoHo</t>
        </is>
      </c>
      <c r="F17352" s="3" t="n">
        <v>7554.15</v>
      </c>
      <c r="G17352" s="3" t="n">
        <v>74360.96000000001</v>
      </c>
    </row>
    <row r="17353">
      <c r="A17353" s="3" t="inlineStr">
        <is>
          <t>Quinate Consulting (Pty) Ltd</t>
        </is>
      </c>
      <c r="B17353" s="4" t="n">
        <v>45291</v>
      </c>
      <c r="C17353" s="3" t="inlineStr">
        <is>
          <t>Expenses</t>
        </is>
      </c>
      <c r="D17353" s="3" t="inlineStr">
        <is>
          <t>4066/000</t>
        </is>
      </c>
      <c r="E17353" s="3" t="inlineStr">
        <is>
          <t>Levies - Southwark</t>
        </is>
      </c>
      <c r="F17353" s="3" t="n">
        <v>3422.18</v>
      </c>
      <c r="G17353" s="3" t="n">
        <v>34221.8</v>
      </c>
    </row>
    <row r="17354">
      <c r="A17354" s="3" t="inlineStr">
        <is>
          <t>Quinate Consulting (Pty) Ltd</t>
        </is>
      </c>
      <c r="B17354" s="4" t="n">
        <v>45291</v>
      </c>
      <c r="C17354" s="3" t="inlineStr">
        <is>
          <t>Expenses</t>
        </is>
      </c>
      <c r="D17354" s="3" t="inlineStr">
        <is>
          <t>4067/000</t>
        </is>
      </c>
      <c r="E17354" s="3" t="inlineStr">
        <is>
          <t>Levies - C4 Property</t>
        </is>
      </c>
      <c r="F17354" s="3" t="n">
        <v>8622.18</v>
      </c>
      <c r="G17354" s="3" t="n">
        <v>85541.22</v>
      </c>
    </row>
    <row r="17355">
      <c r="A17355" s="3" t="inlineStr">
        <is>
          <t>Quinate Consulting (Pty) Ltd</t>
        </is>
      </c>
      <c r="B17355" s="4" t="n">
        <v>45291</v>
      </c>
      <c r="C17355" s="3" t="inlineStr">
        <is>
          <t>Expenses</t>
        </is>
      </c>
      <c r="D17355" s="3" t="inlineStr">
        <is>
          <t>4068/000</t>
        </is>
      </c>
      <c r="E17355" s="3" t="inlineStr">
        <is>
          <t>Levies Endulini</t>
        </is>
      </c>
      <c r="F17355" s="3" t="n">
        <v>0</v>
      </c>
      <c r="G17355" s="3" t="n">
        <v>5049.31</v>
      </c>
    </row>
    <row r="17356">
      <c r="A17356" s="3" t="inlineStr">
        <is>
          <t>Endulini (Pty) Ltd</t>
        </is>
      </c>
      <c r="B17356" s="4" t="n">
        <v>45291</v>
      </c>
      <c r="C17356" s="3" t="inlineStr">
        <is>
          <t>Expenses</t>
        </is>
      </c>
      <c r="D17356" s="3" t="inlineStr">
        <is>
          <t>4100/001</t>
        </is>
      </c>
      <c r="E17356" s="3" t="inlineStr">
        <is>
          <t>Momentum Admin Fee</t>
        </is>
      </c>
      <c r="F17356" s="3" t="n">
        <v>0</v>
      </c>
      <c r="G17356" s="3" t="n">
        <v>7.42</v>
      </c>
    </row>
    <row r="17357">
      <c r="A17357" s="3" t="inlineStr">
        <is>
          <t>Quinate Consulting (Pty) Ltd</t>
        </is>
      </c>
      <c r="B17357" s="4" t="n">
        <v>45291</v>
      </c>
      <c r="C17357" s="3" t="inlineStr">
        <is>
          <t>Expenses</t>
        </is>
      </c>
      <c r="D17357" s="3" t="inlineStr">
        <is>
          <t>4100/001</t>
        </is>
      </c>
      <c r="E17357" s="3" t="inlineStr">
        <is>
          <t>Momentum Advise Fee</t>
        </is>
      </c>
      <c r="F17357" s="3" t="n">
        <v>0</v>
      </c>
      <c r="G17357" s="3" t="n">
        <v>1.82</v>
      </c>
    </row>
    <row r="17358">
      <c r="A17358" s="3" t="inlineStr">
        <is>
          <t>Opportunity Global Investment (PTY) LTD</t>
        </is>
      </c>
      <c r="B17358" s="4" t="n">
        <v>45291</v>
      </c>
      <c r="C17358" s="3" t="inlineStr">
        <is>
          <t>Expenses</t>
        </is>
      </c>
      <c r="D17358" s="3" t="inlineStr">
        <is>
          <t>4100/100</t>
        </is>
      </c>
      <c r="E17358" s="3" t="inlineStr">
        <is>
          <t>Members Salaries - Nick Morgan</t>
        </is>
      </c>
      <c r="F17358" s="3" t="n">
        <v>41251.61</v>
      </c>
      <c r="G17358" s="3" t="n">
        <v>412516.13</v>
      </c>
    </row>
    <row r="17359">
      <c r="A17359" s="3" t="inlineStr">
        <is>
          <t>Opportunity Global Investment (PTY) LTD</t>
        </is>
      </c>
      <c r="B17359" s="4" t="n">
        <v>45291</v>
      </c>
      <c r="C17359" s="3" t="inlineStr">
        <is>
          <t>Expenses</t>
        </is>
      </c>
      <c r="D17359" s="3" t="inlineStr">
        <is>
          <t>4200/000</t>
        </is>
      </c>
      <c r="E17359" s="3" t="inlineStr">
        <is>
          <t>Printing _AND_ Stationery</t>
        </is>
      </c>
      <c r="F17359" s="3" t="n">
        <v>2367</v>
      </c>
      <c r="G17359" s="3" t="n">
        <v>24079.57</v>
      </c>
    </row>
    <row r="17360">
      <c r="A17360" s="3" t="inlineStr">
        <is>
          <t>Opportunity Global Sales (PTY) LTD</t>
        </is>
      </c>
      <c r="B17360" s="4" t="n">
        <v>45291</v>
      </c>
      <c r="C17360" s="3" t="inlineStr">
        <is>
          <t>Expenses</t>
        </is>
      </c>
      <c r="D17360" s="3" t="inlineStr">
        <is>
          <t>4200/000</t>
        </is>
      </c>
      <c r="E17360" s="3" t="inlineStr">
        <is>
          <t>Printing _AND_ Stationery</t>
        </is>
      </c>
      <c r="F17360" s="3" t="n">
        <v>0</v>
      </c>
      <c r="G17360" s="3" t="n">
        <v>286.96</v>
      </c>
    </row>
    <row r="17361">
      <c r="A17361" s="3" t="inlineStr">
        <is>
          <t>Opportunity Management Holdings (PTY) LTD</t>
        </is>
      </c>
      <c r="B17361" s="4" t="n">
        <v>45291</v>
      </c>
      <c r="C17361" s="3" t="inlineStr">
        <is>
          <t>Expenses</t>
        </is>
      </c>
      <c r="D17361" s="3" t="inlineStr">
        <is>
          <t>4200/000</t>
        </is>
      </c>
      <c r="E17361" s="3" t="inlineStr">
        <is>
          <t>Printing _AND_ Stationery</t>
        </is>
      </c>
      <c r="F17361" s="3" t="n">
        <v>0</v>
      </c>
      <c r="G17361" s="3" t="n">
        <v>1147.8</v>
      </c>
    </row>
    <row r="17362">
      <c r="A17362" s="3" t="inlineStr">
        <is>
          <t>Quinate Consulting (Pty) Ltd</t>
        </is>
      </c>
      <c r="B17362" s="4" t="n">
        <v>45291</v>
      </c>
      <c r="C17362" s="3" t="inlineStr">
        <is>
          <t>Expenses</t>
        </is>
      </c>
      <c r="D17362" s="3" t="inlineStr">
        <is>
          <t>4200/000</t>
        </is>
      </c>
      <c r="E17362" s="3" t="inlineStr">
        <is>
          <t>Printing _AND_ Stationery</t>
        </is>
      </c>
      <c r="F17362" s="3" t="n">
        <v>0</v>
      </c>
      <c r="G17362" s="3" t="n">
        <v>62.61</v>
      </c>
    </row>
    <row r="17363">
      <c r="A17363" s="3" t="inlineStr">
        <is>
          <t>Noble Shield (Pty) Ltd ta Go Letting</t>
        </is>
      </c>
      <c r="B17363" s="4" t="n">
        <v>45291</v>
      </c>
      <c r="C17363" s="3" t="inlineStr">
        <is>
          <t>Expenses</t>
        </is>
      </c>
      <c r="D17363" s="3" t="inlineStr">
        <is>
          <t>4200/100</t>
        </is>
      </c>
      <c r="E17363" s="3" t="inlineStr">
        <is>
          <t>Printing - Merchant West- Printer Rental</t>
        </is>
      </c>
      <c r="F17363" s="3" t="n">
        <v>1953.85</v>
      </c>
      <c r="G17363" s="3" t="n">
        <v>10217.07</v>
      </c>
    </row>
    <row r="17364">
      <c r="A17364" s="3" t="inlineStr">
        <is>
          <t>Noble Shield (Pty) Ltd ta Go Letting</t>
        </is>
      </c>
      <c r="B17364" s="4" t="n">
        <v>45291</v>
      </c>
      <c r="C17364" s="3" t="inlineStr">
        <is>
          <t>Expenses</t>
        </is>
      </c>
      <c r="D17364" s="3" t="inlineStr">
        <is>
          <t>4200/120</t>
        </is>
      </c>
      <c r="E17364" s="3" t="inlineStr">
        <is>
          <t>Printing - Ivy Line - Prints</t>
        </is>
      </c>
      <c r="F17364" s="3" t="n">
        <v>0</v>
      </c>
      <c r="G17364" s="3" t="n">
        <v>2528.63</v>
      </c>
    </row>
    <row r="17365">
      <c r="A17365" s="3" t="inlineStr">
        <is>
          <t>Noble Shield (Pty) Ltd ta Go Letting</t>
        </is>
      </c>
      <c r="B17365" s="4" t="n">
        <v>45291</v>
      </c>
      <c r="C17365" s="3" t="inlineStr">
        <is>
          <t>Expenses</t>
        </is>
      </c>
      <c r="D17365" s="3" t="inlineStr">
        <is>
          <t>4200/180</t>
        </is>
      </c>
      <c r="E17365" s="3" t="inlineStr">
        <is>
          <t>Printing - Ikon</t>
        </is>
      </c>
      <c r="F17365" s="3" t="n">
        <v>253.91</v>
      </c>
      <c r="G17365" s="3" t="n">
        <v>1091.5</v>
      </c>
    </row>
    <row r="17366">
      <c r="A17366" s="3" t="inlineStr">
        <is>
          <t>Noble Shield (Pty) Ltd ta Go Letting</t>
        </is>
      </c>
      <c r="B17366" s="4" t="n">
        <v>45291</v>
      </c>
      <c r="C17366" s="3" t="inlineStr">
        <is>
          <t>Expenses</t>
        </is>
      </c>
      <c r="D17366" s="3" t="inlineStr">
        <is>
          <t>4200/190</t>
        </is>
      </c>
      <c r="E17366" s="3" t="inlineStr">
        <is>
          <t>Printing - Centrafin printer rental</t>
        </is>
      </c>
      <c r="F17366" s="3" t="n">
        <v>2919.25</v>
      </c>
      <c r="G17366" s="3" t="n">
        <v>11677</v>
      </c>
    </row>
    <row r="17367">
      <c r="A17367" s="3" t="inlineStr">
        <is>
          <t>Noble Shield (Pty) Ltd ta Go Letting</t>
        </is>
      </c>
      <c r="B17367" s="4" t="n">
        <v>45291</v>
      </c>
      <c r="C17367" s="3" t="inlineStr">
        <is>
          <t>Expenses</t>
        </is>
      </c>
      <c r="D17367" s="3" t="inlineStr">
        <is>
          <t>4200/200</t>
        </is>
      </c>
      <c r="E17367" s="3" t="inlineStr">
        <is>
          <t>Printing - General Stationery VDB Office</t>
        </is>
      </c>
      <c r="F17367" s="3" t="n">
        <v>413</v>
      </c>
      <c r="G17367" s="3" t="n">
        <v>3427.2</v>
      </c>
    </row>
    <row r="17368">
      <c r="A17368" s="3" t="inlineStr">
        <is>
          <t>Opportunity Global Investment (PTY) LTD</t>
        </is>
      </c>
      <c r="B17368" s="4" t="n">
        <v>45291</v>
      </c>
      <c r="C17368" s="3" t="inlineStr">
        <is>
          <t>Expenses</t>
        </is>
      </c>
      <c r="D17368" s="3" t="inlineStr">
        <is>
          <t>4220/000</t>
        </is>
      </c>
      <c r="E17368" s="3" t="inlineStr">
        <is>
          <t>Motor Vehicle Expenses - Petrol _AND_ Oil</t>
        </is>
      </c>
      <c r="F17368" s="3" t="n">
        <v>2449.81</v>
      </c>
      <c r="G17368" s="3" t="n">
        <v>21825.86</v>
      </c>
    </row>
    <row r="17369">
      <c r="A17369" s="3" t="inlineStr">
        <is>
          <t>Noble Shield (Pty) Ltd ta Go Letting</t>
        </is>
      </c>
      <c r="B17369" s="4" t="n">
        <v>45291</v>
      </c>
      <c r="C17369" s="3" t="inlineStr">
        <is>
          <t>Expenses</t>
        </is>
      </c>
      <c r="D17369" s="3" t="inlineStr">
        <is>
          <t>4290/000</t>
        </is>
      </c>
      <c r="E17369" s="3" t="inlineStr">
        <is>
          <t>Refreshments - CT Office</t>
        </is>
      </c>
      <c r="F17369" s="3" t="n">
        <v>1418.49</v>
      </c>
      <c r="G17369" s="3" t="n">
        <v>5673.97</v>
      </c>
    </row>
    <row r="17370">
      <c r="A17370" s="3" t="inlineStr">
        <is>
          <t>Opportunity Global Investment (PTY) LTD</t>
        </is>
      </c>
      <c r="B17370" s="4" t="n">
        <v>45291</v>
      </c>
      <c r="C17370" s="3" t="inlineStr">
        <is>
          <t>Expenses</t>
        </is>
      </c>
      <c r="D17370" s="3" t="inlineStr">
        <is>
          <t>4290/000</t>
        </is>
      </c>
      <c r="E17370" s="3" t="inlineStr">
        <is>
          <t>Rent</t>
        </is>
      </c>
      <c r="F17370" s="3" t="n">
        <v>8770</v>
      </c>
      <c r="G17370" s="3" t="n">
        <v>87700</v>
      </c>
    </row>
    <row r="17371">
      <c r="A17371" s="3" t="inlineStr">
        <is>
          <t>Noble Shield (Pty) Ltd ta Go Letting</t>
        </is>
      </c>
      <c r="B17371" s="4" t="n">
        <v>45291</v>
      </c>
      <c r="C17371" s="3" t="inlineStr">
        <is>
          <t>Expenses</t>
        </is>
      </c>
      <c r="D17371" s="3" t="inlineStr">
        <is>
          <t>4291/000</t>
        </is>
      </c>
      <c r="E17371" s="3" t="inlineStr">
        <is>
          <t>Refreshments - VDB Office</t>
        </is>
      </c>
      <c r="F17371" s="3" t="n">
        <v>499.22</v>
      </c>
      <c r="G17371" s="3" t="n">
        <v>2492.5</v>
      </c>
    </row>
    <row r="17372">
      <c r="A17372" s="3" t="inlineStr">
        <is>
          <t>Trademark Holdings (Pty) Ltd</t>
        </is>
      </c>
      <c r="B17372" s="4" t="n">
        <v>45291</v>
      </c>
      <c r="C17372" s="3" t="inlineStr">
        <is>
          <t>Expenses</t>
        </is>
      </c>
      <c r="D17372" s="3" t="inlineStr">
        <is>
          <t>4300/000</t>
        </is>
      </c>
      <c r="E17372" s="3" t="inlineStr">
        <is>
          <t>Rent Paid</t>
        </is>
      </c>
      <c r="F17372" s="3" t="n">
        <v>6940</v>
      </c>
      <c r="G17372" s="3" t="n">
        <v>27560</v>
      </c>
    </row>
    <row r="17373">
      <c r="A17373" s="3" t="inlineStr">
        <is>
          <t>Opportunity Global Investment (PTY) LTD</t>
        </is>
      </c>
      <c r="B17373" s="4" t="n">
        <v>45291</v>
      </c>
      <c r="C17373" s="3" t="inlineStr">
        <is>
          <t>Expenses</t>
        </is>
      </c>
      <c r="D17373" s="3" t="inlineStr">
        <is>
          <t>4310/000</t>
        </is>
      </c>
      <c r="E17373" s="3" t="inlineStr">
        <is>
          <t>Refreshments</t>
        </is>
      </c>
      <c r="F17373" s="3" t="n">
        <v>2521</v>
      </c>
      <c r="G17373" s="3" t="n">
        <v>25258.26</v>
      </c>
    </row>
    <row r="17374">
      <c r="A17374" s="3" t="inlineStr">
        <is>
          <t>Opportunity Management Holdings (PTY) LTD</t>
        </is>
      </c>
      <c r="B17374" s="4" t="n">
        <v>45291</v>
      </c>
      <c r="C17374" s="3" t="inlineStr">
        <is>
          <t>Expenses</t>
        </is>
      </c>
      <c r="D17374" s="3" t="inlineStr">
        <is>
          <t>4310/000</t>
        </is>
      </c>
      <c r="E17374" s="3" t="inlineStr">
        <is>
          <t>Refreshments</t>
        </is>
      </c>
      <c r="F17374" s="3" t="n">
        <v>4769.73</v>
      </c>
      <c r="G17374" s="3" t="n">
        <v>36086.82</v>
      </c>
    </row>
    <row r="17375">
      <c r="A17375" s="3" t="inlineStr">
        <is>
          <t>Quinate Consulting (Pty) Ltd</t>
        </is>
      </c>
      <c r="B17375" s="4" t="n">
        <v>45291</v>
      </c>
      <c r="C17375" s="3" t="inlineStr">
        <is>
          <t>Expenses</t>
        </is>
      </c>
      <c r="D17375" s="3" t="inlineStr">
        <is>
          <t>4312/000</t>
        </is>
      </c>
      <c r="E17375" s="3" t="inlineStr">
        <is>
          <t>Rates - SoHo Units</t>
        </is>
      </c>
      <c r="F17375" s="3" t="n">
        <v>2822.5</v>
      </c>
      <c r="G17375" s="3" t="n">
        <v>26658.64</v>
      </c>
    </row>
    <row r="17376">
      <c r="A17376" s="3" t="inlineStr">
        <is>
          <t>Endulini (Pty) Ltd</t>
        </is>
      </c>
      <c r="B17376" s="4" t="n">
        <v>45291</v>
      </c>
      <c r="C17376" s="3" t="inlineStr">
        <is>
          <t>Expenses</t>
        </is>
      </c>
      <c r="D17376" s="3" t="inlineStr">
        <is>
          <t>4350/000</t>
        </is>
      </c>
      <c r="E17376" s="3" t="inlineStr">
        <is>
          <t>Repairs _AND_ Maintenance</t>
        </is>
      </c>
      <c r="F17376" s="3" t="n">
        <v>0</v>
      </c>
      <c r="G17376" s="3" t="n">
        <v>29511.32</v>
      </c>
    </row>
    <row r="17377">
      <c r="A17377" s="3" t="inlineStr">
        <is>
          <t>Opportunity Global Sales (PTY) LTD</t>
        </is>
      </c>
      <c r="B17377" s="4" t="n">
        <v>45291</v>
      </c>
      <c r="C17377" s="3" t="inlineStr">
        <is>
          <t>Expenses</t>
        </is>
      </c>
      <c r="D17377" s="3" t="inlineStr">
        <is>
          <t>4350/000</t>
        </is>
      </c>
      <c r="E17377" s="3" t="inlineStr">
        <is>
          <t>Repairs _AND_ Maintenance</t>
        </is>
      </c>
      <c r="F17377" s="3" t="n">
        <v>0</v>
      </c>
      <c r="G17377" s="3" t="n">
        <v>469.52</v>
      </c>
    </row>
    <row r="17378">
      <c r="A17378" s="3" t="inlineStr">
        <is>
          <t>Opportunity Management Holdings (PTY) LTD</t>
        </is>
      </c>
      <c r="B17378" s="4" t="n">
        <v>45291</v>
      </c>
      <c r="C17378" s="3" t="inlineStr">
        <is>
          <t>Expenses</t>
        </is>
      </c>
      <c r="D17378" s="3" t="inlineStr">
        <is>
          <t>4350/000</t>
        </is>
      </c>
      <c r="E17378" s="3" t="inlineStr">
        <is>
          <t>Repairs _AND_ Maintenance</t>
        </is>
      </c>
      <c r="F17378" s="3" t="n">
        <v>0</v>
      </c>
      <c r="G17378" s="3" t="n">
        <v>1641.09</v>
      </c>
    </row>
    <row r="17379">
      <c r="A17379" s="3" t="inlineStr">
        <is>
          <t>Quinate Consulting (Pty) Ltd</t>
        </is>
      </c>
      <c r="B17379" s="4" t="n">
        <v>45291</v>
      </c>
      <c r="C17379" s="3" t="inlineStr">
        <is>
          <t>Expenses</t>
        </is>
      </c>
      <c r="D17379" s="3" t="inlineStr">
        <is>
          <t>4350/000</t>
        </is>
      </c>
      <c r="E17379" s="3" t="inlineStr">
        <is>
          <t>Repairs and Maintenance - Southwark Units</t>
        </is>
      </c>
      <c r="F17379" s="3" t="n">
        <v>0</v>
      </c>
      <c r="G17379" s="3" t="n">
        <v>4760.7</v>
      </c>
    </row>
    <row r="17380">
      <c r="A17380" s="3" t="inlineStr">
        <is>
          <t>Endulini (Pty) Ltd</t>
        </is>
      </c>
      <c r="B17380" s="4" t="n">
        <v>45291</v>
      </c>
      <c r="C17380" s="3" t="inlineStr">
        <is>
          <t>Expenses</t>
        </is>
      </c>
      <c r="D17380" s="3" t="inlineStr">
        <is>
          <t>4351/000</t>
        </is>
      </c>
      <c r="E17380" s="3" t="inlineStr">
        <is>
          <t>Repair &amp; Maintenance - Rentals</t>
        </is>
      </c>
      <c r="F17380" s="3" t="n">
        <v>102.75</v>
      </c>
      <c r="G17380" s="3" t="n">
        <v>2015.79</v>
      </c>
    </row>
    <row r="17381">
      <c r="A17381" s="3" t="inlineStr">
        <is>
          <t>Noble Shield (Pty) Ltd ta Go Letting</t>
        </is>
      </c>
      <c r="B17381" s="4" t="n">
        <v>45291</v>
      </c>
      <c r="C17381" s="3" t="inlineStr">
        <is>
          <t>Expenses</t>
        </is>
      </c>
      <c r="D17381" s="3" t="inlineStr">
        <is>
          <t>4351/000</t>
        </is>
      </c>
      <c r="E17381" s="3" t="inlineStr">
        <is>
          <t>Repairs _AND_ Maintanence - Rentals</t>
        </is>
      </c>
      <c r="F17381" s="3" t="n">
        <v>207.59</v>
      </c>
      <c r="G17381" s="3" t="n">
        <v>286.75</v>
      </c>
    </row>
    <row r="17382">
      <c r="A17382" s="3" t="inlineStr">
        <is>
          <t>Quinate Consulting (Pty) Ltd</t>
        </is>
      </c>
      <c r="B17382" s="4" t="n">
        <v>45291</v>
      </c>
      <c r="C17382" s="3" t="inlineStr">
        <is>
          <t>Expenses</t>
        </is>
      </c>
      <c r="D17382" s="3" t="inlineStr">
        <is>
          <t>4351/100</t>
        </is>
      </c>
      <c r="E17382" s="3" t="inlineStr">
        <is>
          <t>Repairs and Maintenance -  Soho Units</t>
        </is>
      </c>
      <c r="F17382" s="3" t="n">
        <v>0</v>
      </c>
      <c r="G17382" s="3" t="n">
        <v>2400</v>
      </c>
    </row>
    <row r="17383">
      <c r="A17383" s="3" t="inlineStr">
        <is>
          <t>Opportunity Global Investment (PTY) LTD</t>
        </is>
      </c>
      <c r="B17383" s="4" t="n">
        <v>45291</v>
      </c>
      <c r="C17383" s="3" t="inlineStr">
        <is>
          <t>Expenses</t>
        </is>
      </c>
      <c r="D17383" s="3" t="inlineStr">
        <is>
          <t>4360/000</t>
        </is>
      </c>
      <c r="E17383" s="3" t="inlineStr">
        <is>
          <t>Secretarial - CIPC</t>
        </is>
      </c>
      <c r="F17383" s="3" t="n">
        <v>0</v>
      </c>
      <c r="G17383" s="3" t="n">
        <v>800</v>
      </c>
    </row>
    <row r="17384">
      <c r="A17384" s="3" t="inlineStr">
        <is>
          <t>Opportunity Global Sales (PTY) LTD</t>
        </is>
      </c>
      <c r="B17384" s="4" t="n">
        <v>45291</v>
      </c>
      <c r="C17384" s="3" t="inlineStr">
        <is>
          <t>Expenses</t>
        </is>
      </c>
      <c r="D17384" s="3" t="inlineStr">
        <is>
          <t>4390/000</t>
        </is>
      </c>
      <c r="E17384" s="3" t="inlineStr">
        <is>
          <t>Small Assets</t>
        </is>
      </c>
      <c r="F17384" s="3" t="n">
        <v>0</v>
      </c>
      <c r="G17384" s="3" t="n">
        <v>1477.39</v>
      </c>
    </row>
    <row r="17385">
      <c r="A17385" s="3" t="inlineStr">
        <is>
          <t>Opportunity Management Holdings (PTY) LTD</t>
        </is>
      </c>
      <c r="B17385" s="4" t="n">
        <v>45291</v>
      </c>
      <c r="C17385" s="3" t="inlineStr">
        <is>
          <t>Expenses</t>
        </is>
      </c>
      <c r="D17385" s="3" t="inlineStr">
        <is>
          <t>4390/000</t>
        </is>
      </c>
      <c r="E17385" s="3" t="inlineStr">
        <is>
          <t>Small Assets</t>
        </is>
      </c>
      <c r="F17385" s="3" t="n">
        <v>0</v>
      </c>
      <c r="G17385" s="3" t="n">
        <v>7208.26</v>
      </c>
    </row>
    <row r="17386">
      <c r="A17386" s="3" t="inlineStr">
        <is>
          <t>Noble Shield (Pty) Ltd ta Go Letting</t>
        </is>
      </c>
      <c r="B17386" s="4" t="n">
        <v>45291</v>
      </c>
      <c r="C17386" s="3" t="inlineStr">
        <is>
          <t>Expenses</t>
        </is>
      </c>
      <c r="D17386" s="3" t="inlineStr">
        <is>
          <t>4400/000</t>
        </is>
      </c>
      <c r="E17386" s="3" t="inlineStr">
        <is>
          <t>Salaries _AND_ Wages</t>
        </is>
      </c>
      <c r="F17386" s="3" t="n">
        <v>26915.7</v>
      </c>
      <c r="G17386" s="3" t="n">
        <v>107662.8</v>
      </c>
    </row>
    <row r="17387">
      <c r="A17387" s="3" t="inlineStr">
        <is>
          <t>Opportunity Global Sales (PTY) LTD</t>
        </is>
      </c>
      <c r="B17387" s="4" t="n">
        <v>45291</v>
      </c>
      <c r="C17387" s="3" t="inlineStr">
        <is>
          <t>Expenses</t>
        </is>
      </c>
      <c r="D17387" s="3" t="inlineStr">
        <is>
          <t>4400/000</t>
        </is>
      </c>
      <c r="E17387" s="3" t="inlineStr">
        <is>
          <t>Salaries _AND_ Wages</t>
        </is>
      </c>
      <c r="F17387" s="3" t="n">
        <v>45668.17</v>
      </c>
      <c r="G17387" s="3" t="n">
        <v>527872.71</v>
      </c>
    </row>
    <row r="17388">
      <c r="A17388" s="3" t="inlineStr">
        <is>
          <t>Opportunity Management Holdings (PTY) LTD</t>
        </is>
      </c>
      <c r="B17388" s="4" t="n">
        <v>45291</v>
      </c>
      <c r="C17388" s="3" t="inlineStr">
        <is>
          <t>Expenses</t>
        </is>
      </c>
      <c r="D17388" s="3" t="inlineStr">
        <is>
          <t>4400/000</t>
        </is>
      </c>
      <c r="E17388" s="3" t="inlineStr">
        <is>
          <t>Salaries _AND_ Wages</t>
        </is>
      </c>
      <c r="F17388" s="3" t="n">
        <v>219496.43</v>
      </c>
      <c r="G17388" s="3" t="n">
        <v>857187.27</v>
      </c>
    </row>
    <row r="17389">
      <c r="A17389" s="3" t="inlineStr">
        <is>
          <t>Trademark Holdings (Pty) Ltd</t>
        </is>
      </c>
      <c r="B17389" s="4" t="n">
        <v>45291</v>
      </c>
      <c r="C17389" s="3" t="inlineStr">
        <is>
          <t>Expenses</t>
        </is>
      </c>
      <c r="D17389" s="3" t="inlineStr">
        <is>
          <t>4400/000</t>
        </is>
      </c>
      <c r="E17389" s="3" t="inlineStr">
        <is>
          <t>Salaries _AND_ Wages</t>
        </is>
      </c>
      <c r="F17389" s="3" t="n">
        <v>12429.45</v>
      </c>
      <c r="G17389" s="3" t="n">
        <v>49717.8</v>
      </c>
    </row>
    <row r="17390">
      <c r="A17390" s="3" t="inlineStr">
        <is>
          <t>Opportunity Global Investment (PTY) LTD</t>
        </is>
      </c>
      <c r="B17390" s="4" t="n">
        <v>45291</v>
      </c>
      <c r="C17390" s="3" t="inlineStr">
        <is>
          <t>Expenses</t>
        </is>
      </c>
      <c r="D17390" s="3" t="inlineStr">
        <is>
          <t>4450/000</t>
        </is>
      </c>
      <c r="E17390" s="3" t="inlineStr">
        <is>
          <t>Staff Training</t>
        </is>
      </c>
      <c r="F17390" s="3" t="n">
        <v>0</v>
      </c>
      <c r="G17390" s="3" t="n">
        <v>5495.66</v>
      </c>
    </row>
    <row r="17391">
      <c r="A17391" s="3" t="inlineStr">
        <is>
          <t>Opportunity Global Sales (PTY) LTD</t>
        </is>
      </c>
      <c r="B17391" s="4" t="n">
        <v>45291</v>
      </c>
      <c r="C17391" s="3" t="inlineStr">
        <is>
          <t>Expenses</t>
        </is>
      </c>
      <c r="D17391" s="3" t="inlineStr">
        <is>
          <t>4450/000</t>
        </is>
      </c>
      <c r="E17391" s="3" t="inlineStr">
        <is>
          <t>Staff Training</t>
        </is>
      </c>
      <c r="F17391" s="3" t="n">
        <v>0</v>
      </c>
      <c r="G17391" s="3" t="n">
        <v>695.65</v>
      </c>
    </row>
    <row r="17392">
      <c r="A17392" s="3" t="inlineStr">
        <is>
          <t>Noble Shield (Pty) Ltd ta Go Letting</t>
        </is>
      </c>
      <c r="B17392" s="4" t="n">
        <v>45291</v>
      </c>
      <c r="C17392" s="3" t="inlineStr">
        <is>
          <t>Expenses</t>
        </is>
      </c>
      <c r="D17392" s="3" t="inlineStr">
        <is>
          <t>4500/000</t>
        </is>
      </c>
      <c r="E17392" s="3" t="inlineStr">
        <is>
          <t>Staff Welfare</t>
        </is>
      </c>
      <c r="F17392" s="3" t="n">
        <v>0</v>
      </c>
      <c r="G17392" s="3" t="n">
        <v>3762.25</v>
      </c>
    </row>
    <row r="17393">
      <c r="A17393" s="3" t="inlineStr">
        <is>
          <t>Opportunity Global Investment (PTY) LTD</t>
        </is>
      </c>
      <c r="B17393" s="4" t="n">
        <v>45291</v>
      </c>
      <c r="C17393" s="3" t="inlineStr">
        <is>
          <t>Expenses</t>
        </is>
      </c>
      <c r="D17393" s="3" t="inlineStr">
        <is>
          <t>4500/000</t>
        </is>
      </c>
      <c r="E17393" s="3" t="inlineStr">
        <is>
          <t>Staff Welfare</t>
        </is>
      </c>
      <c r="F17393" s="3" t="n">
        <v>0</v>
      </c>
      <c r="G17393" s="3" t="n">
        <v>2299.38</v>
      </c>
    </row>
    <row r="17394">
      <c r="A17394" s="3" t="inlineStr">
        <is>
          <t>Opportunity Global Sales (PTY) LTD</t>
        </is>
      </c>
      <c r="B17394" s="4" t="n">
        <v>45291</v>
      </c>
      <c r="C17394" s="3" t="inlineStr">
        <is>
          <t>Expenses</t>
        </is>
      </c>
      <c r="D17394" s="3" t="inlineStr">
        <is>
          <t>4500/000</t>
        </is>
      </c>
      <c r="E17394" s="3" t="inlineStr">
        <is>
          <t>Staff Welfare</t>
        </is>
      </c>
      <c r="F17394" s="3" t="n">
        <v>0</v>
      </c>
      <c r="G17394" s="3" t="n">
        <v>2642.17</v>
      </c>
    </row>
    <row r="17395">
      <c r="A17395" s="3" t="inlineStr">
        <is>
          <t>Opportunity Management Holdings (PTY) LTD</t>
        </is>
      </c>
      <c r="B17395" s="4" t="n">
        <v>45291</v>
      </c>
      <c r="C17395" s="3" t="inlineStr">
        <is>
          <t>Expenses</t>
        </is>
      </c>
      <c r="D17395" s="3" t="inlineStr">
        <is>
          <t>4500/000</t>
        </is>
      </c>
      <c r="E17395" s="3" t="inlineStr">
        <is>
          <t>Staff Welfare</t>
        </is>
      </c>
      <c r="F17395" s="3" t="n">
        <v>29823.18</v>
      </c>
      <c r="G17395" s="3" t="n">
        <v>46488.15</v>
      </c>
    </row>
    <row r="17396">
      <c r="A17396" s="3" t="inlineStr">
        <is>
          <t>Quinate Consulting (Pty) Ltd</t>
        </is>
      </c>
      <c r="B17396" s="4" t="n">
        <v>45291</v>
      </c>
      <c r="C17396" s="3" t="inlineStr">
        <is>
          <t>Expenses</t>
        </is>
      </c>
      <c r="D17396" s="3" t="inlineStr">
        <is>
          <t>4500/000</t>
        </is>
      </c>
      <c r="E17396" s="3" t="inlineStr">
        <is>
          <t>Staff Welfare</t>
        </is>
      </c>
      <c r="F17396" s="3" t="n">
        <v>0</v>
      </c>
      <c r="G17396" s="3" t="n">
        <v>1463.8</v>
      </c>
    </row>
    <row r="17397">
      <c r="A17397" s="3" t="inlineStr">
        <is>
          <t>Noble Shield (Pty) Ltd ta Go Letting</t>
        </is>
      </c>
      <c r="B17397" s="4" t="n">
        <v>45291</v>
      </c>
      <c r="C17397" s="3" t="inlineStr">
        <is>
          <t>Expenses</t>
        </is>
      </c>
      <c r="D17397" s="3" t="inlineStr">
        <is>
          <t>4520/000</t>
        </is>
      </c>
      <c r="E17397" s="3" t="inlineStr">
        <is>
          <t>Security</t>
        </is>
      </c>
      <c r="F17397" s="3" t="n">
        <v>815</v>
      </c>
      <c r="G17397" s="3" t="n">
        <v>3691.44</v>
      </c>
    </row>
    <row r="17398">
      <c r="A17398" s="3" t="inlineStr">
        <is>
          <t>Opportunity Global Investment (PTY) LTD</t>
        </is>
      </c>
      <c r="B17398" s="4" t="n">
        <v>45291</v>
      </c>
      <c r="C17398" s="3" t="inlineStr">
        <is>
          <t>Expenses</t>
        </is>
      </c>
      <c r="D17398" s="3" t="inlineStr">
        <is>
          <t>4550/000</t>
        </is>
      </c>
      <c r="E17398" s="3" t="inlineStr">
        <is>
          <t>Subscriptions</t>
        </is>
      </c>
      <c r="F17398" s="3" t="n">
        <v>0</v>
      </c>
      <c r="G17398" s="3" t="n">
        <v>8643.32</v>
      </c>
    </row>
    <row r="17399">
      <c r="A17399" s="3" t="inlineStr">
        <is>
          <t>Opportunity Global Sales (PTY) LTD</t>
        </is>
      </c>
      <c r="B17399" s="4" t="n">
        <v>45291</v>
      </c>
      <c r="C17399" s="3" t="inlineStr">
        <is>
          <t>Expenses</t>
        </is>
      </c>
      <c r="D17399" s="3" t="inlineStr">
        <is>
          <t>4550/000</t>
        </is>
      </c>
      <c r="E17399" s="3" t="inlineStr">
        <is>
          <t>Subscriptions - General</t>
        </is>
      </c>
      <c r="F17399" s="3" t="n">
        <v>0</v>
      </c>
      <c r="G17399" s="3" t="n">
        <v>1422.61</v>
      </c>
    </row>
    <row r="17400">
      <c r="A17400" s="3" t="inlineStr">
        <is>
          <t>Quinate Consulting (Pty) Ltd</t>
        </is>
      </c>
      <c r="B17400" s="4" t="n">
        <v>45291</v>
      </c>
      <c r="C17400" s="3" t="inlineStr">
        <is>
          <t>Expenses</t>
        </is>
      </c>
      <c r="D17400" s="3" t="inlineStr">
        <is>
          <t>4550/000</t>
        </is>
      </c>
      <c r="E17400" s="3" t="inlineStr">
        <is>
          <t>Subscriptions / Licenses</t>
        </is>
      </c>
      <c r="F17400" s="3" t="n">
        <v>12242.69</v>
      </c>
      <c r="G17400" s="3" t="n">
        <v>118590.52</v>
      </c>
    </row>
    <row r="17401">
      <c r="A17401" s="3" t="inlineStr">
        <is>
          <t>Opportunity Management Holdings (PTY) LTD</t>
        </is>
      </c>
      <c r="B17401" s="4" t="n">
        <v>45291</v>
      </c>
      <c r="C17401" s="3" t="inlineStr">
        <is>
          <t>Expenses</t>
        </is>
      </c>
      <c r="D17401" s="3" t="inlineStr">
        <is>
          <t>4550/000</t>
        </is>
      </c>
      <c r="E17401" s="3" t="inlineStr">
        <is>
          <t>Subscriptions _AND_ Lisences</t>
        </is>
      </c>
      <c r="F17401" s="3" t="n">
        <v>9934.219999999999</v>
      </c>
      <c r="G17401" s="3" t="n">
        <v>19761.91</v>
      </c>
    </row>
    <row r="17402">
      <c r="A17402" s="3" t="inlineStr">
        <is>
          <t>Noble Shield (Pty) Ltd ta Go Letting</t>
        </is>
      </c>
      <c r="B17402" s="4" t="n">
        <v>45291</v>
      </c>
      <c r="C17402" s="3" t="inlineStr">
        <is>
          <t>Expenses</t>
        </is>
      </c>
      <c r="D17402" s="3" t="inlineStr">
        <is>
          <t>4550/100</t>
        </is>
      </c>
      <c r="E17402" s="3" t="inlineStr">
        <is>
          <t>Subscriptions - EAAB</t>
        </is>
      </c>
      <c r="F17402" s="3" t="n">
        <v>0</v>
      </c>
      <c r="G17402" s="3" t="n">
        <v>1604</v>
      </c>
    </row>
    <row r="17403">
      <c r="A17403" s="3" t="inlineStr">
        <is>
          <t>Trademark Holdings (Pty) Ltd</t>
        </is>
      </c>
      <c r="B17403" s="4" t="n">
        <v>45291</v>
      </c>
      <c r="C17403" s="3" t="inlineStr">
        <is>
          <t>Expenses</t>
        </is>
      </c>
      <c r="D17403" s="3" t="inlineStr">
        <is>
          <t>4550/100</t>
        </is>
      </c>
      <c r="E17403" s="3" t="inlineStr">
        <is>
          <t>Subscriptions - EAAB</t>
        </is>
      </c>
      <c r="F17403" s="3" t="n">
        <v>0</v>
      </c>
      <c r="G17403" s="3" t="n">
        <v>1604</v>
      </c>
    </row>
    <row r="17404">
      <c r="A17404" s="3" t="inlineStr">
        <is>
          <t>Opportunity Global Investment (PTY) LTD</t>
        </is>
      </c>
      <c r="B17404" s="4" t="n">
        <v>45291</v>
      </c>
      <c r="C17404" s="3" t="inlineStr">
        <is>
          <t>Expenses</t>
        </is>
      </c>
      <c r="D17404" s="3" t="inlineStr">
        <is>
          <t>4550/100</t>
        </is>
      </c>
      <c r="E17404" s="3" t="inlineStr">
        <is>
          <t>Subscriptions - Zoho</t>
        </is>
      </c>
      <c r="F17404" s="3" t="n">
        <v>1125</v>
      </c>
      <c r="G17404" s="3" t="n">
        <v>11250</v>
      </c>
    </row>
    <row r="17405">
      <c r="A17405" s="3" t="inlineStr">
        <is>
          <t>Opportunity Global Sales (PTY) LTD</t>
        </is>
      </c>
      <c r="B17405" s="4" t="n">
        <v>45291</v>
      </c>
      <c r="C17405" s="3" t="inlineStr">
        <is>
          <t>Expenses</t>
        </is>
      </c>
      <c r="D17405" s="3" t="inlineStr">
        <is>
          <t>4550/150</t>
        </is>
      </c>
      <c r="E17405" s="3" t="inlineStr">
        <is>
          <t>Subscription - Webbox</t>
        </is>
      </c>
      <c r="F17405" s="3" t="n">
        <v>0</v>
      </c>
      <c r="G17405" s="3" t="n">
        <v>6743</v>
      </c>
    </row>
    <row r="17406">
      <c r="A17406" s="3" t="inlineStr">
        <is>
          <t>Opportunity Global Investment (PTY) LTD</t>
        </is>
      </c>
      <c r="B17406" s="4" t="n">
        <v>45291</v>
      </c>
      <c r="C17406" s="3" t="inlineStr">
        <is>
          <t>Expenses</t>
        </is>
      </c>
      <c r="D17406" s="3" t="inlineStr">
        <is>
          <t>4550/250</t>
        </is>
      </c>
      <c r="E17406" s="3" t="inlineStr">
        <is>
          <t>Subscriptions - LinkedIn</t>
        </is>
      </c>
      <c r="F17406" s="3" t="n">
        <v>1000.49</v>
      </c>
      <c r="G17406" s="3" t="n">
        <v>11005.39</v>
      </c>
    </row>
    <row r="17407">
      <c r="A17407" s="3" t="inlineStr">
        <is>
          <t>Opportunity Global Investment (PTY) LTD</t>
        </is>
      </c>
      <c r="B17407" s="4" t="n">
        <v>45291</v>
      </c>
      <c r="C17407" s="3" t="inlineStr">
        <is>
          <t>Expenses</t>
        </is>
      </c>
      <c r="D17407" s="3" t="inlineStr">
        <is>
          <t>4550/350</t>
        </is>
      </c>
      <c r="E17407" s="3" t="inlineStr">
        <is>
          <t>Subscriptions - Xero</t>
        </is>
      </c>
      <c r="F17407" s="3" t="n">
        <v>600</v>
      </c>
      <c r="G17407" s="3" t="n">
        <v>6000</v>
      </c>
    </row>
    <row r="17408">
      <c r="A17408" s="3" t="inlineStr">
        <is>
          <t>Opportunity Global Investment (PTY) LTD</t>
        </is>
      </c>
      <c r="B17408" s="4" t="n">
        <v>45291</v>
      </c>
      <c r="C17408" s="3" t="inlineStr">
        <is>
          <t>Expenses</t>
        </is>
      </c>
      <c r="D17408" s="3" t="inlineStr">
        <is>
          <t>4550/400</t>
        </is>
      </c>
      <c r="E17408" s="3" t="inlineStr">
        <is>
          <t>Subscriptions - Moneyweb</t>
        </is>
      </c>
      <c r="F17408" s="3" t="n">
        <v>60.87</v>
      </c>
      <c r="G17408" s="3" t="n">
        <v>596.52</v>
      </c>
    </row>
    <row r="17409">
      <c r="A17409" s="3" t="inlineStr">
        <is>
          <t>Trademark Holdings (Pty) Ltd</t>
        </is>
      </c>
      <c r="B17409" s="4" t="n">
        <v>45291</v>
      </c>
      <c r="C17409" s="3" t="inlineStr">
        <is>
          <t>Expenses</t>
        </is>
      </c>
      <c r="D17409" s="3" t="inlineStr">
        <is>
          <t>4550/400</t>
        </is>
      </c>
      <c r="E17409" s="3" t="inlineStr">
        <is>
          <t>Subscriptions - Xero</t>
        </is>
      </c>
      <c r="F17409" s="3" t="n">
        <v>600</v>
      </c>
      <c r="G17409" s="3" t="n">
        <v>2400</v>
      </c>
    </row>
    <row r="17410">
      <c r="A17410" s="3" t="inlineStr">
        <is>
          <t>Opportunity Global Investment (PTY) LTD</t>
        </is>
      </c>
      <c r="B17410" s="4" t="n">
        <v>45291</v>
      </c>
      <c r="C17410" s="3" t="inlineStr">
        <is>
          <t>Expenses</t>
        </is>
      </c>
      <c r="D17410" s="3" t="inlineStr">
        <is>
          <t>4550/450</t>
        </is>
      </c>
      <c r="E17410" s="3" t="inlineStr">
        <is>
          <t>Subscriptions - Adobe</t>
        </is>
      </c>
      <c r="F17410" s="3" t="n">
        <v>613.37</v>
      </c>
      <c r="G17410" s="3" t="n">
        <v>6047.07</v>
      </c>
    </row>
    <row r="17411">
      <c r="A17411" s="3" t="inlineStr">
        <is>
          <t>Opportunity Global Investment (PTY) LTD</t>
        </is>
      </c>
      <c r="B17411" s="4" t="n">
        <v>45291</v>
      </c>
      <c r="C17411" s="3" t="inlineStr">
        <is>
          <t>Expenses</t>
        </is>
      </c>
      <c r="D17411" s="3" t="inlineStr">
        <is>
          <t>4550/500</t>
        </is>
      </c>
      <c r="E17411" s="3" t="inlineStr">
        <is>
          <t>Subscriptions - Pandadoc</t>
        </is>
      </c>
      <c r="F17411" s="3" t="n">
        <v>562.52</v>
      </c>
      <c r="G17411" s="3" t="n">
        <v>5596.93</v>
      </c>
    </row>
    <row r="17412">
      <c r="A17412" s="3" t="inlineStr">
        <is>
          <t>Noble Shield (Pty) Ltd ta Go Letting</t>
        </is>
      </c>
      <c r="B17412" s="4" t="n">
        <v>45291</v>
      </c>
      <c r="C17412" s="3" t="inlineStr">
        <is>
          <t>Expenses</t>
        </is>
      </c>
      <c r="D17412" s="3" t="inlineStr">
        <is>
          <t>4550/600</t>
        </is>
      </c>
      <c r="E17412" s="3" t="inlineStr">
        <is>
          <t>Subscriptions - Webbox</t>
        </is>
      </c>
      <c r="F17412" s="3" t="n">
        <v>1710.05</v>
      </c>
      <c r="G17412" s="3" t="n">
        <v>6862.05</v>
      </c>
    </row>
    <row r="17413">
      <c r="A17413" s="3" t="inlineStr">
        <is>
          <t>Noble Shield (Pty) Ltd ta Go Letting</t>
        </is>
      </c>
      <c r="B17413" s="4" t="n">
        <v>45291</v>
      </c>
      <c r="C17413" s="3" t="inlineStr">
        <is>
          <t>Expenses</t>
        </is>
      </c>
      <c r="D17413" s="3" t="inlineStr">
        <is>
          <t>4550/650</t>
        </is>
      </c>
      <c r="E17413" s="3" t="inlineStr">
        <is>
          <t>Subscriptions - Xero</t>
        </is>
      </c>
      <c r="F17413" s="3" t="n">
        <v>600</v>
      </c>
      <c r="G17413" s="3" t="n">
        <v>2400</v>
      </c>
    </row>
    <row r="17414">
      <c r="A17414" s="3" t="inlineStr">
        <is>
          <t>Noble Shield (Pty) Ltd ta Go Letting</t>
        </is>
      </c>
      <c r="B17414" s="4" t="n">
        <v>45291</v>
      </c>
      <c r="C17414" s="3" t="inlineStr">
        <is>
          <t>Expenses</t>
        </is>
      </c>
      <c r="D17414" s="3" t="inlineStr">
        <is>
          <t>4550/800</t>
        </is>
      </c>
      <c r="E17414" s="3" t="inlineStr">
        <is>
          <t>Subscriptions - Adobe</t>
        </is>
      </c>
      <c r="F17414" s="3" t="n">
        <v>0</v>
      </c>
      <c r="G17414" s="3" t="n">
        <v>914.5599999999999</v>
      </c>
    </row>
    <row r="17415">
      <c r="A17415" s="3" t="inlineStr">
        <is>
          <t>Opportunity Global Sales (PTY) LTD</t>
        </is>
      </c>
      <c r="B17415" s="4" t="n">
        <v>45291</v>
      </c>
      <c r="C17415" s="3" t="inlineStr">
        <is>
          <t>Expenses</t>
        </is>
      </c>
      <c r="D17415" s="3" t="inlineStr">
        <is>
          <t>4551/000</t>
        </is>
      </c>
      <c r="E17415" s="3" t="inlineStr">
        <is>
          <t>Subscriptions - Payprop</t>
        </is>
      </c>
      <c r="F17415" s="3" t="n">
        <v>1056.8</v>
      </c>
      <c r="G17415" s="3" t="n">
        <v>12566.92</v>
      </c>
    </row>
    <row r="17416">
      <c r="A17416" s="3" t="inlineStr">
        <is>
          <t>Quinate Consulting (Pty) Ltd</t>
        </is>
      </c>
      <c r="B17416" s="4" t="n">
        <v>45291</v>
      </c>
      <c r="C17416" s="3" t="inlineStr">
        <is>
          <t>Expenses</t>
        </is>
      </c>
      <c r="D17416" s="3" t="inlineStr">
        <is>
          <t>4552/000</t>
        </is>
      </c>
      <c r="E17416" s="3" t="inlineStr">
        <is>
          <t>Subscriptions - CIPC</t>
        </is>
      </c>
      <c r="F17416" s="3" t="n">
        <v>0</v>
      </c>
      <c r="G17416" s="3" t="n">
        <v>4050</v>
      </c>
    </row>
    <row r="17417">
      <c r="A17417" s="3" t="inlineStr">
        <is>
          <t>Endulini (Pty) Ltd</t>
        </is>
      </c>
      <c r="B17417" s="4" t="n">
        <v>45291</v>
      </c>
      <c r="C17417" s="3" t="inlineStr">
        <is>
          <t>Expenses</t>
        </is>
      </c>
      <c r="D17417" s="3" t="inlineStr">
        <is>
          <t>4552/000</t>
        </is>
      </c>
      <c r="E17417" s="3" t="inlineStr">
        <is>
          <t>Subscriptions - Xero</t>
        </is>
      </c>
      <c r="F17417" s="3" t="n">
        <v>600</v>
      </c>
      <c r="G17417" s="3" t="n">
        <v>6000</v>
      </c>
    </row>
    <row r="17418">
      <c r="A17418" s="3" t="inlineStr">
        <is>
          <t>Opportunity Global Sales (PTY) LTD</t>
        </is>
      </c>
      <c r="B17418" s="4" t="n">
        <v>45291</v>
      </c>
      <c r="C17418" s="3" t="inlineStr">
        <is>
          <t>Expenses</t>
        </is>
      </c>
      <c r="D17418" s="3" t="inlineStr">
        <is>
          <t>4552/000</t>
        </is>
      </c>
      <c r="E17418" s="3" t="inlineStr">
        <is>
          <t>Subscriptions - Xero</t>
        </is>
      </c>
      <c r="F17418" s="3" t="n">
        <v>600</v>
      </c>
      <c r="G17418" s="3" t="n">
        <v>6000</v>
      </c>
    </row>
    <row r="17419">
      <c r="A17419" s="3" t="inlineStr">
        <is>
          <t>Opportunity Management Holdings (PTY) LTD</t>
        </is>
      </c>
      <c r="B17419" s="4" t="n">
        <v>45291</v>
      </c>
      <c r="C17419" s="3" t="inlineStr">
        <is>
          <t>Expenses</t>
        </is>
      </c>
      <c r="D17419" s="3" t="inlineStr">
        <is>
          <t>4552/000</t>
        </is>
      </c>
      <c r="E17419" s="3" t="inlineStr">
        <is>
          <t>Subscriptions - Xero</t>
        </is>
      </c>
      <c r="F17419" s="3" t="n">
        <v>600</v>
      </c>
      <c r="G17419" s="3" t="n">
        <v>2400</v>
      </c>
    </row>
    <row r="17420">
      <c r="A17420" s="3" t="inlineStr">
        <is>
          <t>Opportunity Global Sales (PTY) LTD</t>
        </is>
      </c>
      <c r="B17420" s="4" t="n">
        <v>45291</v>
      </c>
      <c r="C17420" s="3" t="inlineStr">
        <is>
          <t>Expenses</t>
        </is>
      </c>
      <c r="D17420" s="3" t="inlineStr">
        <is>
          <t>4553/000</t>
        </is>
      </c>
      <c r="E17420" s="3" t="inlineStr">
        <is>
          <t>Subscriptions - CMA</t>
        </is>
      </c>
      <c r="F17420" s="3" t="n">
        <v>680</v>
      </c>
      <c r="G17420" s="3" t="n">
        <v>6800</v>
      </c>
    </row>
    <row r="17421">
      <c r="A17421" s="3" t="inlineStr">
        <is>
          <t>Quinate Consulting (Pty) Ltd</t>
        </is>
      </c>
      <c r="B17421" s="4" t="n">
        <v>45291</v>
      </c>
      <c r="C17421" s="3" t="inlineStr">
        <is>
          <t>Expenses</t>
        </is>
      </c>
      <c r="D17421" s="3" t="inlineStr">
        <is>
          <t>4554/000</t>
        </is>
      </c>
      <c r="E17421" s="3" t="inlineStr">
        <is>
          <t>Subscriptions - Xero</t>
        </is>
      </c>
      <c r="F17421" s="3" t="n">
        <v>600</v>
      </c>
      <c r="G17421" s="3" t="n">
        <v>6000</v>
      </c>
    </row>
    <row r="17422">
      <c r="A17422" s="3" t="inlineStr">
        <is>
          <t>Opportunity Global Sales (PTY) LTD</t>
        </is>
      </c>
      <c r="B17422" s="4" t="n">
        <v>45291</v>
      </c>
      <c r="C17422" s="3" t="inlineStr">
        <is>
          <t>Expenses</t>
        </is>
      </c>
      <c r="D17422" s="3" t="inlineStr">
        <is>
          <t>4554/000</t>
        </is>
      </c>
      <c r="E17422" s="3" t="inlineStr">
        <is>
          <t>Subscriptions - Zoho</t>
        </is>
      </c>
      <c r="F17422" s="3" t="n">
        <v>750</v>
      </c>
      <c r="G17422" s="3" t="n">
        <v>7500</v>
      </c>
    </row>
    <row r="17423">
      <c r="A17423" s="3" t="inlineStr">
        <is>
          <t>Quinate Consulting (Pty) Ltd</t>
        </is>
      </c>
      <c r="B17423" s="4" t="n">
        <v>45291</v>
      </c>
      <c r="C17423" s="3" t="inlineStr">
        <is>
          <t>Expenses</t>
        </is>
      </c>
      <c r="D17423" s="3" t="inlineStr">
        <is>
          <t>4555/000</t>
        </is>
      </c>
      <c r="E17423" s="3" t="inlineStr">
        <is>
          <t>Subscriptions - OUMS</t>
        </is>
      </c>
      <c r="F17423" s="3" t="n">
        <v>11150.17</v>
      </c>
      <c r="G17423" s="3" t="n">
        <v>86472.32000000001</v>
      </c>
    </row>
    <row r="17424">
      <c r="A17424" s="3" t="inlineStr">
        <is>
          <t>Opportunity Global Sales (PTY) LTD</t>
        </is>
      </c>
      <c r="B17424" s="4" t="n">
        <v>45291</v>
      </c>
      <c r="C17424" s="3" t="inlineStr">
        <is>
          <t>Expenses</t>
        </is>
      </c>
      <c r="D17424" s="3" t="inlineStr">
        <is>
          <t>4556/000</t>
        </is>
      </c>
      <c r="E17424" s="3" t="inlineStr">
        <is>
          <t>Subscription: Sjoon</t>
        </is>
      </c>
      <c r="F17424" s="3" t="n">
        <v>217.39</v>
      </c>
      <c r="G17424" s="3" t="n">
        <v>1191.3</v>
      </c>
    </row>
    <row r="17425">
      <c r="A17425" s="3" t="inlineStr">
        <is>
          <t>Noble Shield (Pty) Ltd ta Go Letting</t>
        </is>
      </c>
      <c r="B17425" s="4" t="n">
        <v>45291</v>
      </c>
      <c r="C17425" s="3" t="inlineStr">
        <is>
          <t>Expenses</t>
        </is>
      </c>
      <c r="D17425" s="3" t="inlineStr">
        <is>
          <t>4560/000</t>
        </is>
      </c>
      <c r="E17425" s="3" t="inlineStr">
        <is>
          <t>Small Assets - under R7000</t>
        </is>
      </c>
      <c r="F17425" s="3" t="n">
        <v>0</v>
      </c>
      <c r="G17425" s="3" t="n">
        <v>6716</v>
      </c>
    </row>
    <row r="17426">
      <c r="A17426" s="3" t="inlineStr">
        <is>
          <t>Opportunity Global Investment (PTY) LTD</t>
        </is>
      </c>
      <c r="B17426" s="4" t="n">
        <v>45291</v>
      </c>
      <c r="C17426" s="3" t="inlineStr">
        <is>
          <t>Expenses</t>
        </is>
      </c>
      <c r="D17426" s="3" t="inlineStr">
        <is>
          <t>4600/000</t>
        </is>
      </c>
      <c r="E17426" s="3" t="inlineStr">
        <is>
          <t>Telephone _AND_ Fax</t>
        </is>
      </c>
      <c r="F17426" s="3" t="n">
        <v>3355</v>
      </c>
      <c r="G17426" s="3" t="n">
        <v>33550</v>
      </c>
    </row>
    <row r="17427">
      <c r="A17427" s="3" t="inlineStr">
        <is>
          <t>Opportunity Management Holdings (PTY) LTD</t>
        </is>
      </c>
      <c r="B17427" s="4" t="n">
        <v>45291</v>
      </c>
      <c r="C17427" s="3" t="inlineStr">
        <is>
          <t>Expenses</t>
        </is>
      </c>
      <c r="D17427" s="3" t="inlineStr">
        <is>
          <t>4600/000</t>
        </is>
      </c>
      <c r="E17427" s="3" t="inlineStr">
        <is>
          <t>Telephone _AND_ Fax</t>
        </is>
      </c>
      <c r="F17427" s="3" t="n">
        <v>0</v>
      </c>
      <c r="G17427" s="3" t="n">
        <v>178.26</v>
      </c>
    </row>
    <row r="17428">
      <c r="A17428" s="3" t="inlineStr">
        <is>
          <t>Trademark Holdings (Pty) Ltd</t>
        </is>
      </c>
      <c r="B17428" s="4" t="n">
        <v>45291</v>
      </c>
      <c r="C17428" s="3" t="inlineStr">
        <is>
          <t>Expenses</t>
        </is>
      </c>
      <c r="D17428" s="3" t="inlineStr">
        <is>
          <t>4600/000</t>
        </is>
      </c>
      <c r="E17428" s="3" t="inlineStr">
        <is>
          <t>Telephone _AND_ Fax</t>
        </is>
      </c>
      <c r="F17428" s="3" t="n">
        <v>1655.53</v>
      </c>
      <c r="G17428" s="3" t="n">
        <v>5184.88</v>
      </c>
    </row>
    <row r="17429">
      <c r="A17429" s="3" t="inlineStr">
        <is>
          <t>Noble Shield (Pty) Ltd ta Go Letting</t>
        </is>
      </c>
      <c r="B17429" s="4" t="n">
        <v>45291</v>
      </c>
      <c r="C17429" s="3" t="inlineStr">
        <is>
          <t>Expenses</t>
        </is>
      </c>
      <c r="D17429" s="3" t="inlineStr">
        <is>
          <t>4610/000</t>
        </is>
      </c>
      <c r="E17429" s="3" t="inlineStr">
        <is>
          <t>Telephone - CT Office</t>
        </is>
      </c>
      <c r="F17429" s="3" t="n">
        <v>3412.96</v>
      </c>
      <c r="G17429" s="3" t="n">
        <v>5698.38</v>
      </c>
    </row>
    <row r="17430">
      <c r="A17430" s="3" t="inlineStr">
        <is>
          <t>Opportunity Global Investment (PTY) LTD</t>
        </is>
      </c>
      <c r="B17430" s="4" t="n">
        <v>45291</v>
      </c>
      <c r="C17430" s="3" t="inlineStr">
        <is>
          <t>Expenses</t>
        </is>
      </c>
      <c r="D17430" s="3" t="inlineStr">
        <is>
          <t>4650/000</t>
        </is>
      </c>
      <c r="E17430" s="3" t="inlineStr">
        <is>
          <t>Travel _AND_ Accommodation</t>
        </is>
      </c>
      <c r="F17430" s="3" t="n">
        <v>0</v>
      </c>
      <c r="G17430" s="3" t="n">
        <v>3435.65</v>
      </c>
    </row>
    <row r="17431">
      <c r="A17431" s="3" t="inlineStr">
        <is>
          <t>Quinate Consulting (Pty) Ltd</t>
        </is>
      </c>
      <c r="B17431" s="4" t="n">
        <v>45291</v>
      </c>
      <c r="C17431" s="3" t="inlineStr">
        <is>
          <t>Expenses</t>
        </is>
      </c>
      <c r="D17431" s="3" t="inlineStr">
        <is>
          <t>4650/010</t>
        </is>
      </c>
      <c r="E17431" s="3" t="inlineStr">
        <is>
          <t>Travel - Local Flights</t>
        </is>
      </c>
      <c r="F17431" s="3" t="n">
        <v>0</v>
      </c>
      <c r="G17431" s="3" t="n">
        <v>6253.04</v>
      </c>
    </row>
    <row r="17432">
      <c r="A17432" s="3" t="inlineStr">
        <is>
          <t>Quinate Consulting (Pty) Ltd</t>
        </is>
      </c>
      <c r="B17432" s="4" t="n">
        <v>45291</v>
      </c>
      <c r="C17432" s="3" t="inlineStr">
        <is>
          <t>Expenses</t>
        </is>
      </c>
      <c r="D17432" s="3" t="inlineStr">
        <is>
          <t>4650/020</t>
        </is>
      </c>
      <c r="E17432" s="3" t="inlineStr">
        <is>
          <t>Travel - Local Accomodation - B_AND_B</t>
        </is>
      </c>
      <c r="F17432" s="3" t="n">
        <v>0</v>
      </c>
      <c r="G17432" s="3" t="n">
        <v>6998.26</v>
      </c>
    </row>
    <row r="17433">
      <c r="A17433" s="3" t="inlineStr">
        <is>
          <t>Opportunity Global Investment (PTY) LTD</t>
        </is>
      </c>
      <c r="B17433" s="4" t="n">
        <v>45291</v>
      </c>
      <c r="C17433" s="3" t="inlineStr">
        <is>
          <t>Expenses</t>
        </is>
      </c>
      <c r="D17433" s="3" t="inlineStr">
        <is>
          <t>4650/020</t>
        </is>
      </c>
      <c r="E17433" s="3" t="inlineStr">
        <is>
          <t>Travel Accomodation - Car Hire</t>
        </is>
      </c>
      <c r="F17433" s="3" t="n">
        <v>0</v>
      </c>
      <c r="G17433" s="3" t="n">
        <v>1581.74</v>
      </c>
    </row>
    <row r="17434">
      <c r="A17434" s="3" t="inlineStr">
        <is>
          <t>Quinate Consulting (Pty) Ltd</t>
        </is>
      </c>
      <c r="B17434" s="4" t="n">
        <v>45291</v>
      </c>
      <c r="C17434" s="3" t="inlineStr">
        <is>
          <t>Expenses</t>
        </is>
      </c>
      <c r="D17434" s="3" t="inlineStr">
        <is>
          <t>4650/030</t>
        </is>
      </c>
      <c r="E17434" s="3" t="inlineStr">
        <is>
          <t>Travel - Parking</t>
        </is>
      </c>
      <c r="F17434" s="3" t="n">
        <v>0</v>
      </c>
      <c r="G17434" s="3" t="n">
        <v>10</v>
      </c>
    </row>
    <row r="17435">
      <c r="A17435" s="3" t="inlineStr">
        <is>
          <t>Opportunity Global Investment (PTY) LTD</t>
        </is>
      </c>
      <c r="B17435" s="4" t="n">
        <v>45291</v>
      </c>
      <c r="C17435" s="3" t="inlineStr">
        <is>
          <t>Expenses</t>
        </is>
      </c>
      <c r="D17435" s="3" t="inlineStr">
        <is>
          <t>4650/030</t>
        </is>
      </c>
      <c r="E17435" s="3" t="inlineStr">
        <is>
          <t>Travel _AND_ Accomodation - Local Accom</t>
        </is>
      </c>
      <c r="F17435" s="3" t="n">
        <v>0</v>
      </c>
      <c r="G17435" s="3" t="n">
        <v>1282.6</v>
      </c>
    </row>
    <row r="17436">
      <c r="A17436" s="3" t="inlineStr">
        <is>
          <t>Quinate Consulting (Pty) Ltd</t>
        </is>
      </c>
      <c r="B17436" s="4" t="n">
        <v>45291</v>
      </c>
      <c r="C17436" s="3" t="inlineStr">
        <is>
          <t>Expenses</t>
        </is>
      </c>
      <c r="D17436" s="3" t="inlineStr">
        <is>
          <t>4650/040</t>
        </is>
      </c>
      <c r="E17436" s="3" t="inlineStr">
        <is>
          <t>Travel - Local Car Hire</t>
        </is>
      </c>
      <c r="F17436" s="3" t="n">
        <v>0</v>
      </c>
      <c r="G17436" s="3" t="n">
        <v>510.6</v>
      </c>
    </row>
    <row r="17437">
      <c r="A17437" s="3" t="inlineStr">
        <is>
          <t>Opportunity Global Sales (PTY) LTD</t>
        </is>
      </c>
      <c r="B17437" s="4" t="n">
        <v>45291</v>
      </c>
      <c r="C17437" s="3" t="inlineStr">
        <is>
          <t>Expenses</t>
        </is>
      </c>
      <c r="D17437" s="3" t="inlineStr">
        <is>
          <t>4650/070</t>
        </is>
      </c>
      <c r="E17437" s="3" t="inlineStr">
        <is>
          <t>Travel &amp; Accommodation - Petrol</t>
        </is>
      </c>
      <c r="F17437" s="3" t="n">
        <v>728.15</v>
      </c>
      <c r="G17437" s="3" t="n">
        <v>728.15</v>
      </c>
    </row>
    <row r="17438">
      <c r="A17438" s="3" t="inlineStr">
        <is>
          <t>Opportunity Global Investment (PTY) LTD</t>
        </is>
      </c>
      <c r="B17438" s="4" t="n">
        <v>45291</v>
      </c>
      <c r="C17438" s="3" t="inlineStr">
        <is>
          <t>Expenses</t>
        </is>
      </c>
      <c r="D17438" s="3" t="inlineStr">
        <is>
          <t>4650/090</t>
        </is>
      </c>
      <c r="E17438" s="3" t="inlineStr">
        <is>
          <t>Travel &amp; Accom - Fuel</t>
        </is>
      </c>
      <c r="F17438" s="3" t="n">
        <v>1000.44</v>
      </c>
      <c r="G17438" s="3" t="n">
        <v>6643.94</v>
      </c>
    </row>
    <row r="17439">
      <c r="A17439" s="3" t="inlineStr">
        <is>
          <t>Opportunity Global Investment (PTY) LTD</t>
        </is>
      </c>
      <c r="B17439" s="4" t="n">
        <v>45291</v>
      </c>
      <c r="C17439" s="3" t="inlineStr">
        <is>
          <t>Expenses</t>
        </is>
      </c>
      <c r="D17439" s="3" t="inlineStr">
        <is>
          <t>4650/100</t>
        </is>
      </c>
      <c r="E17439" s="3" t="inlineStr">
        <is>
          <t>Travel &amp; Accomodation: Uber</t>
        </is>
      </c>
      <c r="F17439" s="3" t="n">
        <v>0</v>
      </c>
      <c r="G17439" s="3" t="n">
        <v>1609</v>
      </c>
    </row>
    <row r="17440">
      <c r="A17440" s="3" t="inlineStr">
        <is>
          <t>Noble Shield (Pty) Ltd ta Go Letting</t>
        </is>
      </c>
      <c r="B17440" s="4" t="n">
        <v>45291</v>
      </c>
      <c r="C17440" s="3" t="inlineStr">
        <is>
          <t>Expenses</t>
        </is>
      </c>
      <c r="D17440" s="3" t="inlineStr">
        <is>
          <t>4700/000</t>
        </is>
      </c>
      <c r="E17440" s="3" t="inlineStr">
        <is>
          <t>PAYE Contributions</t>
        </is>
      </c>
      <c r="F17440" s="3" t="n">
        <v>5715.66</v>
      </c>
      <c r="G17440" s="3" t="n">
        <v>20589.39</v>
      </c>
    </row>
    <row r="17441">
      <c r="A17441" s="3" t="inlineStr">
        <is>
          <t>Trademark Holdings (Pty) Ltd</t>
        </is>
      </c>
      <c r="B17441" s="4" t="n">
        <v>45291</v>
      </c>
      <c r="C17441" s="3" t="inlineStr">
        <is>
          <t>Expenses</t>
        </is>
      </c>
      <c r="D17441" s="3" t="inlineStr">
        <is>
          <t>4700/000</t>
        </is>
      </c>
      <c r="E17441" s="3" t="inlineStr">
        <is>
          <t>PAYE Contributions</t>
        </is>
      </c>
      <c r="F17441" s="3" t="n">
        <v>5202.82</v>
      </c>
      <c r="G17441" s="3" t="n">
        <v>20658.61</v>
      </c>
    </row>
    <row r="17442">
      <c r="A17442" s="3" t="inlineStr">
        <is>
          <t>Opportunity Global Investment (PTY) LTD</t>
        </is>
      </c>
      <c r="B17442" s="4" t="n">
        <v>45291</v>
      </c>
      <c r="C17442" s="3" t="inlineStr">
        <is>
          <t>Expenses</t>
        </is>
      </c>
      <c r="D17442" s="3" t="inlineStr">
        <is>
          <t>4700/000</t>
        </is>
      </c>
      <c r="E17442" s="3" t="inlineStr">
        <is>
          <t>UIF Contributions</t>
        </is>
      </c>
      <c r="F17442" s="3" t="n">
        <v>177.12</v>
      </c>
      <c r="G17442" s="3" t="n">
        <v>1771.2</v>
      </c>
    </row>
    <row r="17443">
      <c r="A17443" s="3" t="inlineStr">
        <is>
          <t>Opportunity Global Sales (PTY) LTD</t>
        </is>
      </c>
      <c r="B17443" s="4" t="n">
        <v>45291</v>
      </c>
      <c r="C17443" s="3" t="inlineStr">
        <is>
          <t>Expenses</t>
        </is>
      </c>
      <c r="D17443" s="3" t="inlineStr">
        <is>
          <t>4700/000</t>
        </is>
      </c>
      <c r="E17443" s="3" t="inlineStr">
        <is>
          <t>UIF Contributions</t>
        </is>
      </c>
      <c r="F17443" s="3" t="n">
        <v>135</v>
      </c>
      <c r="G17443" s="3" t="n">
        <v>2766.96</v>
      </c>
    </row>
    <row r="17444">
      <c r="A17444" s="3" t="inlineStr">
        <is>
          <t>Opportunity Global Sales (PTY) LTD</t>
        </is>
      </c>
      <c r="B17444" s="4" t="n">
        <v>45291</v>
      </c>
      <c r="C17444" s="3" t="inlineStr">
        <is>
          <t>Expenses</t>
        </is>
      </c>
      <c r="D17444" s="3" t="inlineStr">
        <is>
          <t>4701/000</t>
        </is>
      </c>
      <c r="E17444" s="3" t="inlineStr">
        <is>
          <t>UIF Employee Contribution</t>
        </is>
      </c>
      <c r="F17444" s="3" t="n">
        <v>135</v>
      </c>
      <c r="G17444" s="3" t="n">
        <v>2766.96</v>
      </c>
    </row>
    <row r="17445">
      <c r="A17445" s="3" t="inlineStr">
        <is>
          <t>Opportunity Global Investment (PTY) LTD</t>
        </is>
      </c>
      <c r="B17445" s="4" t="n">
        <v>45291</v>
      </c>
      <c r="C17445" s="3" t="inlineStr">
        <is>
          <t>Expenses</t>
        </is>
      </c>
      <c r="D17445" s="3" t="inlineStr">
        <is>
          <t>4701/000</t>
        </is>
      </c>
      <c r="E17445" s="3" t="inlineStr">
        <is>
          <t>UIF Employee Contributions</t>
        </is>
      </c>
      <c r="F17445" s="3" t="n">
        <v>177.12</v>
      </c>
      <c r="G17445" s="3" t="n">
        <v>1771.2</v>
      </c>
    </row>
    <row r="17446">
      <c r="A17446" s="3" t="inlineStr">
        <is>
          <t>Noble Shield (Pty) Ltd ta Go Letting</t>
        </is>
      </c>
      <c r="B17446" s="4" t="n">
        <v>45291</v>
      </c>
      <c r="C17446" s="3" t="inlineStr">
        <is>
          <t>Expenses</t>
        </is>
      </c>
      <c r="D17446" s="3" t="inlineStr">
        <is>
          <t>4710/000</t>
        </is>
      </c>
      <c r="E17446" s="3" t="inlineStr">
        <is>
          <t>UIF Company Contributions</t>
        </is>
      </c>
      <c r="F17446" s="3" t="n">
        <v>245.25</v>
      </c>
      <c r="G17446" s="3" t="n">
        <v>981</v>
      </c>
    </row>
    <row r="17447">
      <c r="A17447" s="3" t="inlineStr">
        <is>
          <t>Trademark Holdings (Pty) Ltd</t>
        </is>
      </c>
      <c r="B17447" s="4" t="n">
        <v>45291</v>
      </c>
      <c r="C17447" s="3" t="inlineStr">
        <is>
          <t>Expenses</t>
        </is>
      </c>
      <c r="D17447" s="3" t="inlineStr">
        <is>
          <t>4710/000</t>
        </is>
      </c>
      <c r="E17447" s="3" t="inlineStr">
        <is>
          <t>UIF Company Contributions</t>
        </is>
      </c>
      <c r="F17447" s="3" t="n">
        <v>95.25</v>
      </c>
      <c r="G17447" s="3" t="n">
        <v>381</v>
      </c>
    </row>
    <row r="17448">
      <c r="A17448" s="3" t="inlineStr">
        <is>
          <t>Noble Shield (Pty) Ltd ta Go Letting</t>
        </is>
      </c>
      <c r="B17448" s="4" t="n">
        <v>45291</v>
      </c>
      <c r="C17448" s="3" t="inlineStr">
        <is>
          <t>Expenses</t>
        </is>
      </c>
      <c r="D17448" s="3" t="inlineStr">
        <is>
          <t>4711/000</t>
        </is>
      </c>
      <c r="E17448" s="3" t="inlineStr">
        <is>
          <t>UIF Employee Contribution</t>
        </is>
      </c>
      <c r="F17448" s="3" t="n">
        <v>245.25</v>
      </c>
      <c r="G17448" s="3" t="n">
        <v>981</v>
      </c>
    </row>
    <row r="17449">
      <c r="A17449" s="3" t="inlineStr">
        <is>
          <t>Trademark Holdings (Pty) Ltd</t>
        </is>
      </c>
      <c r="B17449" s="4" t="n">
        <v>45291</v>
      </c>
      <c r="C17449" s="3" t="inlineStr">
        <is>
          <t>Expenses</t>
        </is>
      </c>
      <c r="D17449" s="3" t="inlineStr">
        <is>
          <t>4711/000</t>
        </is>
      </c>
      <c r="E17449" s="3" t="inlineStr">
        <is>
          <t>UIF Employee Contributions</t>
        </is>
      </c>
      <c r="F17449" s="3" t="n">
        <v>95.25</v>
      </c>
      <c r="G17449" s="3" t="n">
        <v>381</v>
      </c>
    </row>
    <row r="17450">
      <c r="A17450" s="3" t="inlineStr">
        <is>
          <t>Noble Shield (Pty) Ltd ta Go Letting</t>
        </is>
      </c>
      <c r="B17450" s="4" t="n">
        <v>45291</v>
      </c>
      <c r="C17450" s="3" t="inlineStr">
        <is>
          <t>Expenses</t>
        </is>
      </c>
      <c r="D17450" s="3" t="inlineStr">
        <is>
          <t>4720/000</t>
        </is>
      </c>
      <c r="E17450" s="3" t="inlineStr">
        <is>
          <t>SDL Contributions</t>
        </is>
      </c>
      <c r="F17450" s="3" t="n">
        <v>471.87</v>
      </c>
      <c r="G17450" s="3" t="n">
        <v>1800.08</v>
      </c>
    </row>
    <row r="17451">
      <c r="A17451" s="3" t="inlineStr">
        <is>
          <t>Trademark Holdings (Pty) Ltd</t>
        </is>
      </c>
      <c r="B17451" s="4" t="n">
        <v>45291</v>
      </c>
      <c r="C17451" s="3" t="inlineStr">
        <is>
          <t>Expenses</t>
        </is>
      </c>
      <c r="D17451" s="3" t="inlineStr">
        <is>
          <t>4720/000</t>
        </is>
      </c>
      <c r="E17451" s="3" t="inlineStr">
        <is>
          <t>SDL Contributions</t>
        </is>
      </c>
      <c r="F17451" s="3" t="n">
        <v>316.15</v>
      </c>
      <c r="G17451" s="3" t="n">
        <v>1258.71</v>
      </c>
    </row>
    <row r="17452">
      <c r="A17452" s="3" t="inlineStr">
        <is>
          <t>Opportunity Global Investment (PTY) LTD</t>
        </is>
      </c>
      <c r="B17452" s="4" t="n">
        <v>45291</v>
      </c>
      <c r="C17452" s="3" t="inlineStr">
        <is>
          <t>Expenses</t>
        </is>
      </c>
      <c r="D17452" s="3" t="inlineStr">
        <is>
          <t>4730/000</t>
        </is>
      </c>
      <c r="E17452" s="3" t="inlineStr">
        <is>
          <t>PAYE Contributions</t>
        </is>
      </c>
      <c r="F17452" s="3" t="n">
        <v>8822.27</v>
      </c>
      <c r="G17452" s="3" t="n">
        <v>88222.67</v>
      </c>
    </row>
    <row r="17453">
      <c r="A17453" s="3" t="inlineStr">
        <is>
          <t>Opportunity Global Sales (PTY) LTD</t>
        </is>
      </c>
      <c r="B17453" s="4" t="n">
        <v>45291</v>
      </c>
      <c r="C17453" s="3" t="inlineStr">
        <is>
          <t>Expenses</t>
        </is>
      </c>
      <c r="D17453" s="3" t="inlineStr">
        <is>
          <t>4730/000</t>
        </is>
      </c>
      <c r="E17453" s="3" t="inlineStr">
        <is>
          <t>PAYE Contributions</t>
        </is>
      </c>
      <c r="F17453" s="3" t="n">
        <v>5996.83</v>
      </c>
      <c r="G17453" s="3" t="n">
        <v>85760.33</v>
      </c>
    </row>
    <row r="17454">
      <c r="A17454" s="3" t="inlineStr">
        <is>
          <t>Opportunity Management Holdings (PTY) LTD</t>
        </is>
      </c>
      <c r="B17454" s="4" t="n">
        <v>45291</v>
      </c>
      <c r="C17454" s="3" t="inlineStr">
        <is>
          <t>Expenses</t>
        </is>
      </c>
      <c r="D17454" s="3" t="inlineStr">
        <is>
          <t>4730/000</t>
        </is>
      </c>
      <c r="E17454" s="3" t="inlineStr">
        <is>
          <t>PAYE Contributions</t>
        </is>
      </c>
      <c r="F17454" s="3" t="n">
        <v>38618.77</v>
      </c>
      <c r="G17454" s="3" t="n">
        <v>162798.55</v>
      </c>
    </row>
    <row r="17455">
      <c r="A17455" s="3" t="inlineStr">
        <is>
          <t>Opportunity Global Investment (PTY) LTD</t>
        </is>
      </c>
      <c r="B17455" s="4" t="n">
        <v>45291</v>
      </c>
      <c r="C17455" s="3" t="inlineStr">
        <is>
          <t>Expenses</t>
        </is>
      </c>
      <c r="D17455" s="3" t="inlineStr">
        <is>
          <t>4740/000</t>
        </is>
      </c>
      <c r="E17455" s="3" t="inlineStr">
        <is>
          <t>SDL Contributions</t>
        </is>
      </c>
      <c r="F17455" s="3" t="n">
        <v>431.1</v>
      </c>
      <c r="G17455" s="3" t="n">
        <v>4311</v>
      </c>
    </row>
    <row r="17456">
      <c r="A17456" s="3" t="inlineStr">
        <is>
          <t>Opportunity Global Sales (PTY) LTD</t>
        </is>
      </c>
      <c r="B17456" s="4" t="n">
        <v>45291</v>
      </c>
      <c r="C17456" s="3" t="inlineStr">
        <is>
          <t>Expenses</t>
        </is>
      </c>
      <c r="D17456" s="3" t="inlineStr">
        <is>
          <t>4740/000</t>
        </is>
      </c>
      <c r="E17456" s="3" t="inlineStr">
        <is>
          <t>SDL Contributions</t>
        </is>
      </c>
      <c r="F17456" s="3" t="n">
        <v>1587.18</v>
      </c>
      <c r="G17456" s="3" t="n">
        <v>19490.59</v>
      </c>
    </row>
    <row r="17457">
      <c r="A17457" s="3" t="inlineStr">
        <is>
          <t>Opportunity Management Holdings (PTY) LTD</t>
        </is>
      </c>
      <c r="B17457" s="4" t="n">
        <v>45291</v>
      </c>
      <c r="C17457" s="3" t="inlineStr">
        <is>
          <t>Expenses</t>
        </is>
      </c>
      <c r="D17457" s="3" t="inlineStr">
        <is>
          <t>4740/000</t>
        </is>
      </c>
      <c r="E17457" s="3" t="inlineStr">
        <is>
          <t>UIF Company Contribution</t>
        </is>
      </c>
      <c r="F17457" s="3" t="n">
        <v>1604.8</v>
      </c>
      <c r="G17457" s="3" t="n">
        <v>6353.8</v>
      </c>
    </row>
    <row r="17458">
      <c r="A17458" s="3" t="inlineStr">
        <is>
          <t>Opportunity Management Holdings (PTY) LTD</t>
        </is>
      </c>
      <c r="B17458" s="4" t="n">
        <v>45291</v>
      </c>
      <c r="C17458" s="3" t="inlineStr">
        <is>
          <t>Expenses</t>
        </is>
      </c>
      <c r="D17458" s="3" t="inlineStr">
        <is>
          <t>4741/000</t>
        </is>
      </c>
      <c r="E17458" s="3" t="inlineStr">
        <is>
          <t>UIF Employee Contribution</t>
        </is>
      </c>
      <c r="F17458" s="3" t="n">
        <v>1604.8</v>
      </c>
      <c r="G17458" s="3" t="n">
        <v>6353.8</v>
      </c>
    </row>
    <row r="17459">
      <c r="A17459" s="3" t="inlineStr">
        <is>
          <t>Opportunity Management Holdings (PTY) LTD</t>
        </is>
      </c>
      <c r="B17459" s="4" t="n">
        <v>45291</v>
      </c>
      <c r="C17459" s="3" t="inlineStr">
        <is>
          <t>Expenses</t>
        </is>
      </c>
      <c r="D17459" s="3" t="inlineStr">
        <is>
          <t>4750/000</t>
        </is>
      </c>
      <c r="E17459" s="3" t="inlineStr">
        <is>
          <t>SDL Contribution</t>
        </is>
      </c>
      <c r="F17459" s="3" t="n">
        <v>2411.2</v>
      </c>
      <c r="G17459" s="3" t="n">
        <v>9579.4</v>
      </c>
    </row>
    <row r="17460">
      <c r="A17460" s="3" t="inlineStr">
        <is>
          <t>Noble Shield (Pty) Ltd ta Go Letting</t>
        </is>
      </c>
      <c r="B17460" s="4" t="n">
        <v>45291</v>
      </c>
      <c r="C17460" s="3" t="inlineStr">
        <is>
          <t>Equity</t>
        </is>
      </c>
      <c r="D17460" s="3" t="inlineStr">
        <is>
          <t>5100/000</t>
        </is>
      </c>
      <c r="E17460" s="3" t="inlineStr">
        <is>
          <t>Share Capital</t>
        </is>
      </c>
      <c r="F17460" s="3" t="n">
        <v>0</v>
      </c>
      <c r="G17460" s="3" t="n">
        <v>-1</v>
      </c>
    </row>
    <row r="17461">
      <c r="A17461" s="3" t="inlineStr">
        <is>
          <t>Opportunity Management Holdings (PTY) LTD</t>
        </is>
      </c>
      <c r="B17461" s="4" t="n">
        <v>45291</v>
      </c>
      <c r="C17461" s="3" t="inlineStr">
        <is>
          <t>Equity</t>
        </is>
      </c>
      <c r="D17461" s="3" t="inlineStr">
        <is>
          <t>5100/000</t>
        </is>
      </c>
      <c r="E17461" s="3" t="inlineStr">
        <is>
          <t>Share Capital / Members Contribution</t>
        </is>
      </c>
      <c r="F17461" s="3" t="n">
        <v>0</v>
      </c>
      <c r="G17461" s="3" t="n">
        <v>-120</v>
      </c>
    </row>
    <row r="17462">
      <c r="A17462" s="3" t="inlineStr">
        <is>
          <t>Quinate Consulting (Pty) Ltd</t>
        </is>
      </c>
      <c r="B17462" s="4" t="n">
        <v>45291</v>
      </c>
      <c r="C17462" s="3" t="inlineStr">
        <is>
          <t>Equity</t>
        </is>
      </c>
      <c r="D17462" s="3" t="inlineStr">
        <is>
          <t>5100/000</t>
        </is>
      </c>
      <c r="E17462" s="3" t="inlineStr">
        <is>
          <t>Share Capital / Members Contribution</t>
        </is>
      </c>
      <c r="F17462" s="3" t="n">
        <v>0</v>
      </c>
      <c r="G17462" s="3" t="n">
        <v>-120</v>
      </c>
    </row>
    <row r="17463">
      <c r="A17463" s="3" t="inlineStr">
        <is>
          <t>Trademark Holdings (Pty) Ltd</t>
        </is>
      </c>
      <c r="B17463" s="4" t="n">
        <v>45291</v>
      </c>
      <c r="C17463" s="3" t="inlineStr">
        <is>
          <t>Equity</t>
        </is>
      </c>
      <c r="D17463" s="3" t="inlineStr">
        <is>
          <t>5100/001</t>
        </is>
      </c>
      <c r="E17463" s="3" t="inlineStr">
        <is>
          <t>Share Capital - GFY Investments</t>
        </is>
      </c>
      <c r="F17463" s="3" t="n">
        <v>0</v>
      </c>
      <c r="G17463" s="3" t="n">
        <v>-60</v>
      </c>
    </row>
    <row r="17464">
      <c r="A17464" s="3" t="inlineStr">
        <is>
          <t>Trademark Holdings (Pty) Ltd</t>
        </is>
      </c>
      <c r="B17464" s="4" t="n">
        <v>45291</v>
      </c>
      <c r="C17464" s="3" t="inlineStr">
        <is>
          <t>Equity</t>
        </is>
      </c>
      <c r="D17464" s="3" t="inlineStr">
        <is>
          <t>5100/002</t>
        </is>
      </c>
      <c r="E17464" s="3" t="inlineStr">
        <is>
          <t>Share Capital - Zak Trust</t>
        </is>
      </c>
      <c r="F17464" s="3" t="n">
        <v>0</v>
      </c>
      <c r="G17464" s="3" t="n">
        <v>-60</v>
      </c>
    </row>
    <row r="17465">
      <c r="A17465" s="3" t="inlineStr">
        <is>
          <t>Opportunity Global Investment (PTY) LTD</t>
        </is>
      </c>
      <c r="B17465" s="4" t="n">
        <v>45291</v>
      </c>
      <c r="C17465" s="3" t="inlineStr">
        <is>
          <t>Equity</t>
        </is>
      </c>
      <c r="D17465" s="3" t="inlineStr">
        <is>
          <t>5101/000</t>
        </is>
      </c>
      <c r="E17465" s="3" t="inlineStr">
        <is>
          <t>Share Capital - Ordinary Type A</t>
        </is>
      </c>
      <c r="F17465" s="3" t="n">
        <v>0</v>
      </c>
      <c r="G17465" s="3" t="n">
        <v>-70</v>
      </c>
    </row>
    <row r="17466">
      <c r="A17466" s="3" t="inlineStr">
        <is>
          <t>Opportunity Global Investment (PTY) LTD</t>
        </is>
      </c>
      <c r="B17466" s="4" t="n">
        <v>45291</v>
      </c>
      <c r="C17466" s="3" t="inlineStr">
        <is>
          <t>Equity</t>
        </is>
      </c>
      <c r="D17466" s="3" t="inlineStr">
        <is>
          <t>5102/000</t>
        </is>
      </c>
      <c r="E17466" s="3" t="inlineStr">
        <is>
          <t>Share Capital - Ordinary Type B</t>
        </is>
      </c>
      <c r="F17466" s="3" t="n">
        <v>0</v>
      </c>
      <c r="G17466" s="3" t="n">
        <v>-30</v>
      </c>
    </row>
    <row r="17467">
      <c r="A17467" s="3" t="inlineStr">
        <is>
          <t>Endulini (Pty) Ltd</t>
        </is>
      </c>
      <c r="B17467" s="4" t="n">
        <v>45291</v>
      </c>
      <c r="C17467" s="3" t="inlineStr">
        <is>
          <t>Equity</t>
        </is>
      </c>
      <c r="D17467" s="3" t="inlineStr">
        <is>
          <t>5200/000</t>
        </is>
      </c>
      <c r="E17467" s="3" t="inlineStr">
        <is>
          <t>Retained Earnings / Loss</t>
        </is>
      </c>
      <c r="F17467" s="3" t="n">
        <v>0</v>
      </c>
      <c r="G17467" s="3" t="n">
        <v>-6017232.05</v>
      </c>
    </row>
    <row r="17468">
      <c r="A17468" s="3" t="inlineStr">
        <is>
          <t>Noble Shield (Pty) Ltd ta Go Letting</t>
        </is>
      </c>
      <c r="B17468" s="4" t="n">
        <v>45291</v>
      </c>
      <c r="C17468" s="3" t="inlineStr">
        <is>
          <t>Equity</t>
        </is>
      </c>
      <c r="D17468" s="3" t="inlineStr">
        <is>
          <t>5200/000</t>
        </is>
      </c>
      <c r="E17468" s="3" t="inlineStr">
        <is>
          <t>Retained Earnings / Loss</t>
        </is>
      </c>
      <c r="F17468" s="3" t="n">
        <v>0</v>
      </c>
      <c r="G17468" s="3" t="n">
        <v>-91943.62</v>
      </c>
    </row>
    <row r="17469">
      <c r="A17469" s="3" t="inlineStr">
        <is>
          <t>Opportunity Global Investment (PTY) LTD</t>
        </is>
      </c>
      <c r="B17469" s="4" t="n">
        <v>45291</v>
      </c>
      <c r="C17469" s="3" t="inlineStr">
        <is>
          <t>Equity</t>
        </is>
      </c>
      <c r="D17469" s="3" t="inlineStr">
        <is>
          <t>5200/000</t>
        </is>
      </c>
      <c r="E17469" s="3" t="inlineStr">
        <is>
          <t>Retained Earnings / Loss</t>
        </is>
      </c>
      <c r="F17469" s="3" t="n">
        <v>0</v>
      </c>
      <c r="G17469" s="3" t="n">
        <v>2134849.73</v>
      </c>
    </row>
    <row r="17470">
      <c r="A17470" s="3" t="inlineStr">
        <is>
          <t>Opportunity Global Sales (PTY) LTD</t>
        </is>
      </c>
      <c r="B17470" s="4" t="n">
        <v>45291</v>
      </c>
      <c r="C17470" s="3" t="inlineStr">
        <is>
          <t>Equity</t>
        </is>
      </c>
      <c r="D17470" s="3" t="inlineStr">
        <is>
          <t>5200/000</t>
        </is>
      </c>
      <c r="E17470" s="3" t="inlineStr">
        <is>
          <t>Retained Earnings / Loss</t>
        </is>
      </c>
      <c r="F17470" s="3" t="n">
        <v>0</v>
      </c>
      <c r="G17470" s="3" t="n">
        <v>-2287097.79</v>
      </c>
    </row>
    <row r="17471">
      <c r="A17471" s="3" t="inlineStr">
        <is>
          <t>Opportunity Management Holdings (PTY) LTD</t>
        </is>
      </c>
      <c r="B17471" s="4" t="n">
        <v>45291</v>
      </c>
      <c r="C17471" s="3" t="inlineStr">
        <is>
          <t>Equity</t>
        </is>
      </c>
      <c r="D17471" s="3" t="inlineStr">
        <is>
          <t>5200/000</t>
        </is>
      </c>
      <c r="E17471" s="3" t="inlineStr">
        <is>
          <t>Retained Earnings / Loss</t>
        </is>
      </c>
      <c r="F17471" s="3" t="n">
        <v>0</v>
      </c>
      <c r="G17471" s="3" t="n">
        <v>1215864.15</v>
      </c>
    </row>
    <row r="17472">
      <c r="A17472" s="3" t="inlineStr">
        <is>
          <t>Quinate Consulting (Pty) Ltd</t>
        </is>
      </c>
      <c r="B17472" s="4" t="n">
        <v>45291</v>
      </c>
      <c r="C17472" s="3" t="inlineStr">
        <is>
          <t>Equity</t>
        </is>
      </c>
      <c r="D17472" s="3" t="inlineStr">
        <is>
          <t>5200/000</t>
        </is>
      </c>
      <c r="E17472" s="3" t="inlineStr">
        <is>
          <t>Retained Earnings / Loss</t>
        </is>
      </c>
      <c r="F17472" s="3" t="n">
        <v>0</v>
      </c>
      <c r="G17472" s="3" t="n">
        <v>1549164.28</v>
      </c>
    </row>
    <row r="17473">
      <c r="A17473" s="3" t="inlineStr">
        <is>
          <t>Trademark Holdings (Pty) Ltd</t>
        </is>
      </c>
      <c r="B17473" s="4" t="n">
        <v>45291</v>
      </c>
      <c r="C17473" s="3" t="inlineStr">
        <is>
          <t>Equity</t>
        </is>
      </c>
      <c r="D17473" s="3" t="inlineStr">
        <is>
          <t>5200/000</t>
        </is>
      </c>
      <c r="E17473" s="3" t="inlineStr">
        <is>
          <t>Retained Earnings / Loss</t>
        </is>
      </c>
      <c r="F17473" s="3" t="n">
        <v>0</v>
      </c>
      <c r="G17473" s="3" t="n">
        <v>-163666.44</v>
      </c>
    </row>
    <row r="17474">
      <c r="A17474" s="3" t="inlineStr">
        <is>
          <t>Quinate Consulting (Pty) Ltd</t>
        </is>
      </c>
      <c r="B17474" s="4" t="n">
        <v>45291</v>
      </c>
      <c r="C17474" s="3" t="inlineStr">
        <is>
          <t>Assets</t>
        </is>
      </c>
      <c r="D17474" s="3" t="inlineStr">
        <is>
          <t>5400/011</t>
        </is>
      </c>
      <c r="E17474" s="3" t="inlineStr">
        <is>
          <t>Members Loan - Nick Morgan</t>
        </is>
      </c>
      <c r="F17474" s="3" t="n">
        <v>0</v>
      </c>
      <c r="G17474" s="3" t="n">
        <v>-85743.69</v>
      </c>
    </row>
    <row r="17475">
      <c r="A17475" s="3" t="inlineStr">
        <is>
          <t>Opportunity Management Holdings (PTY) LTD</t>
        </is>
      </c>
      <c r="B17475" s="4" t="n">
        <v>45291</v>
      </c>
      <c r="C17475" s="3" t="inlineStr">
        <is>
          <t>Assets</t>
        </is>
      </c>
      <c r="D17475" s="3" t="inlineStr">
        <is>
          <t>5400/500</t>
        </is>
      </c>
      <c r="E17475" s="3" t="inlineStr">
        <is>
          <t>Shareholder - Zak Loan</t>
        </is>
      </c>
      <c r="F17475" s="3" t="n">
        <v>0</v>
      </c>
      <c r="G17475" s="3" t="n">
        <v>-171798.21</v>
      </c>
    </row>
    <row r="17476">
      <c r="A17476" s="3" t="inlineStr">
        <is>
          <t>Quinate Consulting (Pty) Ltd</t>
        </is>
      </c>
      <c r="B17476" s="4" t="n">
        <v>45291</v>
      </c>
      <c r="C17476" s="3" t="inlineStr">
        <is>
          <t>Liabilities</t>
        </is>
      </c>
      <c r="D17476" s="3" t="inlineStr">
        <is>
          <t>5500/010</t>
        </is>
      </c>
      <c r="E17476" s="3" t="inlineStr">
        <is>
          <t>Loan - Wynand Haywood</t>
        </is>
      </c>
      <c r="F17476" s="3" t="n">
        <v>0</v>
      </c>
      <c r="G17476" s="3" t="n">
        <v>1928.67</v>
      </c>
    </row>
    <row r="17477">
      <c r="A17477" s="3" t="inlineStr">
        <is>
          <t>Quinate Consulting (Pty) Ltd</t>
        </is>
      </c>
      <c r="B17477" s="4" t="n">
        <v>45291</v>
      </c>
      <c r="C17477" s="3" t="inlineStr">
        <is>
          <t>Liabilities</t>
        </is>
      </c>
      <c r="D17477" s="3" t="inlineStr">
        <is>
          <t>5500/023</t>
        </is>
      </c>
      <c r="E17477" s="3" t="inlineStr">
        <is>
          <t>Loan - Noble Shield 1 Security Trust</t>
        </is>
      </c>
      <c r="F17477" s="3" t="n">
        <v>0</v>
      </c>
      <c r="G17477" s="3" t="n">
        <v>600</v>
      </c>
    </row>
    <row r="17478">
      <c r="A17478" s="3" t="inlineStr">
        <is>
          <t>Quinate Consulting (Pty) Ltd</t>
        </is>
      </c>
      <c r="B17478" s="4" t="n">
        <v>45291</v>
      </c>
      <c r="C17478" s="3" t="inlineStr">
        <is>
          <t>Liabilities</t>
        </is>
      </c>
      <c r="D17478" s="3" t="inlineStr">
        <is>
          <t>5500/025</t>
        </is>
      </c>
      <c r="E17478" s="3" t="inlineStr">
        <is>
          <t>Loan - Noble Shield 2 Security Trust</t>
        </is>
      </c>
      <c r="F17478" s="3" t="n">
        <v>0</v>
      </c>
      <c r="G17478" s="3" t="n">
        <v>250</v>
      </c>
    </row>
    <row r="17479">
      <c r="A17479" s="3" t="inlineStr">
        <is>
          <t>Quinate Consulting (Pty) Ltd</t>
        </is>
      </c>
      <c r="B17479" s="4" t="n">
        <v>45291</v>
      </c>
      <c r="C17479" s="3" t="inlineStr">
        <is>
          <t>Liabilities</t>
        </is>
      </c>
      <c r="D17479" s="3" t="inlineStr">
        <is>
          <t>5500/030</t>
        </is>
      </c>
      <c r="E17479" s="3" t="inlineStr">
        <is>
          <t>Loan - Heron Projects</t>
        </is>
      </c>
      <c r="F17479" s="3" t="n">
        <v>4200</v>
      </c>
      <c r="G17479" s="3" t="n">
        <v>32600</v>
      </c>
    </row>
    <row r="17480">
      <c r="A17480" s="3" t="inlineStr">
        <is>
          <t>Opportunity Global Investment (PTY) LTD</t>
        </is>
      </c>
      <c r="B17480" s="4" t="n">
        <v>45291</v>
      </c>
      <c r="C17480" s="3" t="inlineStr">
        <is>
          <t>Liabilities</t>
        </is>
      </c>
      <c r="D17480" s="3" t="inlineStr">
        <is>
          <t>5500/100</t>
        </is>
      </c>
      <c r="E17480" s="3" t="inlineStr">
        <is>
          <t>Loan - Cape Projects Construction</t>
        </is>
      </c>
      <c r="F17480" s="3" t="n">
        <v>-430000</v>
      </c>
      <c r="G17480" s="3" t="n">
        <v>1571000</v>
      </c>
    </row>
    <row r="17481">
      <c r="A17481" s="3" t="inlineStr">
        <is>
          <t>Noble Shield (Pty) Ltd ta Go Letting</t>
        </is>
      </c>
      <c r="B17481" s="4" t="n">
        <v>45291</v>
      </c>
      <c r="C17481" s="3" t="inlineStr">
        <is>
          <t>Liabilities</t>
        </is>
      </c>
      <c r="D17481" s="3" t="inlineStr">
        <is>
          <t>5500/100</t>
        </is>
      </c>
      <c r="E17481" s="3" t="inlineStr">
        <is>
          <t>Loan - Jupiter Trust</t>
        </is>
      </c>
      <c r="F17481" s="3" t="n">
        <v>0</v>
      </c>
      <c r="G17481" s="3" t="n">
        <v>-100228.75</v>
      </c>
    </row>
    <row r="17482">
      <c r="A17482" s="3" t="inlineStr">
        <is>
          <t>Opportunity Management Holdings (PTY) LTD</t>
        </is>
      </c>
      <c r="B17482" s="4" t="n">
        <v>45291</v>
      </c>
      <c r="C17482" s="3" t="inlineStr">
        <is>
          <t>Liabilities</t>
        </is>
      </c>
      <c r="D17482" s="3" t="inlineStr">
        <is>
          <t>5500/100</t>
        </is>
      </c>
      <c r="E17482" s="3" t="inlineStr">
        <is>
          <t>Loan - Opportunity Global</t>
        </is>
      </c>
      <c r="F17482" s="3" t="n">
        <v>0</v>
      </c>
      <c r="G17482" s="3" t="n">
        <v>-20000</v>
      </c>
    </row>
    <row r="17483">
      <c r="A17483" s="3" t="inlineStr">
        <is>
          <t>Endulini (Pty) Ltd</t>
        </is>
      </c>
      <c r="B17483" s="4" t="n">
        <v>45291</v>
      </c>
      <c r="C17483" s="3" t="inlineStr">
        <is>
          <t>Liabilities</t>
        </is>
      </c>
      <c r="D17483" s="3" t="inlineStr">
        <is>
          <t>5500/100</t>
        </is>
      </c>
      <c r="E17483" s="3" t="inlineStr">
        <is>
          <t>Loan - Quinate Consulting</t>
        </is>
      </c>
      <c r="F17483" s="3" t="n">
        <v>3085919.83</v>
      </c>
      <c r="G17483" s="3" t="n">
        <v>-4010837.9</v>
      </c>
    </row>
    <row r="17484">
      <c r="A17484" s="3" t="inlineStr">
        <is>
          <t>Endulini (Pty) Ltd</t>
        </is>
      </c>
      <c r="B17484" s="4" t="n">
        <v>45291</v>
      </c>
      <c r="C17484" s="3" t="inlineStr">
        <is>
          <t>Liabilities</t>
        </is>
      </c>
      <c r="D17484" s="3" t="inlineStr">
        <is>
          <t>5500/150</t>
        </is>
      </c>
      <c r="E17484" s="3" t="inlineStr">
        <is>
          <t>Loan - Cape Projects Construction</t>
        </is>
      </c>
      <c r="F17484" s="3" t="n">
        <v>3080000</v>
      </c>
      <c r="G17484" s="3" t="n">
        <v>-16041500</v>
      </c>
    </row>
    <row r="17485">
      <c r="A17485" s="3" t="inlineStr">
        <is>
          <t>Quinate Consulting (Pty) Ltd</t>
        </is>
      </c>
      <c r="B17485" s="4" t="n">
        <v>45291</v>
      </c>
      <c r="C17485" s="3" t="inlineStr">
        <is>
          <t>Liabilities</t>
        </is>
      </c>
      <c r="D17485" s="3" t="inlineStr">
        <is>
          <t>5500/160</t>
        </is>
      </c>
      <c r="E17485" s="3" t="inlineStr">
        <is>
          <t>Loan - GFY Investment and Consulting</t>
        </is>
      </c>
      <c r="F17485" s="3" t="n">
        <v>0</v>
      </c>
      <c r="G17485" s="3" t="n">
        <v>-1750249.93</v>
      </c>
    </row>
    <row r="17486">
      <c r="A17486" s="3" t="inlineStr">
        <is>
          <t>Opportunity Management Holdings (PTY) LTD</t>
        </is>
      </c>
      <c r="B17486" s="4" t="n">
        <v>45291</v>
      </c>
      <c r="C17486" s="3" t="inlineStr">
        <is>
          <t>Liabilities</t>
        </is>
      </c>
      <c r="D17486" s="3" t="inlineStr">
        <is>
          <t>5500/200</t>
        </is>
      </c>
      <c r="E17486" s="3" t="inlineStr">
        <is>
          <t>Loan - Cape Projects</t>
        </is>
      </c>
      <c r="F17486" s="3" t="n">
        <v>-100000</v>
      </c>
      <c r="G17486" s="3" t="n">
        <v>-137399</v>
      </c>
    </row>
    <row r="17487">
      <c r="A17487" s="3" t="inlineStr">
        <is>
          <t>Trademark Holdings (Pty) Ltd</t>
        </is>
      </c>
      <c r="B17487" s="4" t="n">
        <v>45291</v>
      </c>
      <c r="C17487" s="3" t="inlineStr">
        <is>
          <t>Liabilities</t>
        </is>
      </c>
      <c r="D17487" s="3" t="inlineStr">
        <is>
          <t>5500/250</t>
        </is>
      </c>
      <c r="E17487" s="3" t="inlineStr">
        <is>
          <t>Loan - Noble Shield</t>
        </is>
      </c>
      <c r="F17487" s="3" t="n">
        <v>0</v>
      </c>
      <c r="G17487" s="3" t="n">
        <v>75165.59</v>
      </c>
    </row>
    <row r="17488">
      <c r="A17488" s="3" t="inlineStr">
        <is>
          <t>Opportunity Management Holdings (PTY) LTD</t>
        </is>
      </c>
      <c r="B17488" s="4" t="n">
        <v>45291</v>
      </c>
      <c r="C17488" s="3" t="inlineStr">
        <is>
          <t>Liabilities</t>
        </is>
      </c>
      <c r="D17488" s="3" t="inlineStr">
        <is>
          <t>5500/250</t>
        </is>
      </c>
      <c r="E17488" s="3" t="inlineStr">
        <is>
          <t>Loan - Quinate</t>
        </is>
      </c>
      <c r="F17488" s="3" t="n">
        <v>-50000</v>
      </c>
      <c r="G17488" s="3" t="n">
        <v>-70000</v>
      </c>
    </row>
    <row r="17489">
      <c r="A17489" s="3" t="inlineStr">
        <is>
          <t>Quinate Consulting (Pty) Ltd</t>
        </is>
      </c>
      <c r="B17489" s="4" t="n">
        <v>45291</v>
      </c>
      <c r="C17489" s="3" t="inlineStr">
        <is>
          <t>Liabilities</t>
        </is>
      </c>
      <c r="D17489" s="3" t="inlineStr">
        <is>
          <t>5500/300</t>
        </is>
      </c>
      <c r="E17489" s="3" t="inlineStr">
        <is>
          <t>Loan - Gengis</t>
        </is>
      </c>
      <c r="F17489" s="3" t="n">
        <v>-3516.16</v>
      </c>
      <c r="G17489" s="3" t="n">
        <v>-340090.95</v>
      </c>
    </row>
    <row r="17490">
      <c r="A17490" s="3" t="inlineStr">
        <is>
          <t>Opportunity Management Holdings (PTY) LTD</t>
        </is>
      </c>
      <c r="B17490" s="4" t="n">
        <v>45291</v>
      </c>
      <c r="C17490" s="3" t="inlineStr">
        <is>
          <t>Liabilities</t>
        </is>
      </c>
      <c r="D17490" s="3" t="inlineStr">
        <is>
          <t>5500/300</t>
        </is>
      </c>
      <c r="E17490" s="3" t="inlineStr">
        <is>
          <t>Loan - Opportunity Prop Management</t>
        </is>
      </c>
      <c r="F17490" s="3" t="n">
        <v>0</v>
      </c>
      <c r="G17490" s="3" t="n">
        <v>-1220204.15</v>
      </c>
    </row>
    <row r="17491">
      <c r="A17491" s="3" t="inlineStr">
        <is>
          <t>Noble Shield (Pty) Ltd ta Go Letting</t>
        </is>
      </c>
      <c r="B17491" s="4" t="n">
        <v>45291</v>
      </c>
      <c r="C17491" s="3" t="inlineStr">
        <is>
          <t>Liabilities</t>
        </is>
      </c>
      <c r="D17491" s="3" t="inlineStr">
        <is>
          <t>5500/300</t>
        </is>
      </c>
      <c r="E17491" s="3" t="inlineStr">
        <is>
          <t>Loan - Trademark Holdings</t>
        </is>
      </c>
      <c r="F17491" s="3" t="n">
        <v>0</v>
      </c>
      <c r="G17491" s="3" t="n">
        <v>-75165.59</v>
      </c>
    </row>
    <row r="17492">
      <c r="A17492" s="3" t="inlineStr">
        <is>
          <t>Opportunity Global Investment (PTY) LTD</t>
        </is>
      </c>
      <c r="B17492" s="4" t="n">
        <v>45291</v>
      </c>
      <c r="C17492" s="3" t="inlineStr">
        <is>
          <t>Liabilities</t>
        </is>
      </c>
      <c r="D17492" s="3" t="inlineStr">
        <is>
          <t>5500/350</t>
        </is>
      </c>
      <c r="E17492" s="3" t="inlineStr">
        <is>
          <t>Loan - Opportunity Management Holdings</t>
        </is>
      </c>
      <c r="F17492" s="3" t="n">
        <v>0</v>
      </c>
      <c r="G17492" s="3" t="n">
        <v>500</v>
      </c>
    </row>
    <row r="17493">
      <c r="A17493" s="3" t="inlineStr">
        <is>
          <t>Trademark Holdings (Pty) Ltd</t>
        </is>
      </c>
      <c r="B17493" s="4" t="n">
        <v>45291</v>
      </c>
      <c r="C17493" s="3" t="inlineStr">
        <is>
          <t>Liabilities</t>
        </is>
      </c>
      <c r="D17493" s="3" t="inlineStr">
        <is>
          <t>5500/350</t>
        </is>
      </c>
      <c r="E17493" s="3" t="inlineStr">
        <is>
          <t>Loan - Quinate Consulting</t>
        </is>
      </c>
      <c r="F17493" s="3" t="n">
        <v>0</v>
      </c>
      <c r="G17493" s="3" t="n">
        <v>-16413.38</v>
      </c>
    </row>
    <row r="17494">
      <c r="A17494" s="3" t="inlineStr">
        <is>
          <t>Trademark Holdings (Pty) Ltd</t>
        </is>
      </c>
      <c r="B17494" s="4" t="n">
        <v>45291</v>
      </c>
      <c r="C17494" s="3" t="inlineStr">
        <is>
          <t>Liabilities</t>
        </is>
      </c>
      <c r="D17494" s="3" t="inlineStr">
        <is>
          <t>5500/375</t>
        </is>
      </c>
      <c r="E17494" s="3" t="inlineStr">
        <is>
          <t>Loan - Opportunity Management Holdings Pty Ltd</t>
        </is>
      </c>
      <c r="F17494" s="3" t="n">
        <v>0</v>
      </c>
      <c r="G17494" s="3" t="n">
        <v>88800</v>
      </c>
    </row>
    <row r="17495">
      <c r="A17495" s="3" t="inlineStr">
        <is>
          <t>Trademark Holdings (Pty) Ltd</t>
        </is>
      </c>
      <c r="B17495" s="4" t="n">
        <v>45291</v>
      </c>
      <c r="C17495" s="3" t="inlineStr">
        <is>
          <t>Liabilities</t>
        </is>
      </c>
      <c r="D17495" s="3" t="inlineStr">
        <is>
          <t>5500/450</t>
        </is>
      </c>
      <c r="E17495" s="3" t="inlineStr">
        <is>
          <t>Loan - Cape Projects Construction</t>
        </is>
      </c>
      <c r="F17495" s="3" t="n">
        <v>-600</v>
      </c>
      <c r="G17495" s="3" t="n">
        <v>18800</v>
      </c>
    </row>
    <row r="17496">
      <c r="A17496" s="3" t="inlineStr">
        <is>
          <t>Trademark Holdings (Pty) Ltd</t>
        </is>
      </c>
      <c r="B17496" s="4" t="n">
        <v>45291</v>
      </c>
      <c r="C17496" s="3" t="inlineStr">
        <is>
          <t>Liabilities</t>
        </is>
      </c>
      <c r="D17496" s="3" t="inlineStr">
        <is>
          <t>5500/500</t>
        </is>
      </c>
      <c r="E17496" s="3" t="inlineStr">
        <is>
          <t>Go Letting Brand Name</t>
        </is>
      </c>
      <c r="F17496" s="3" t="n">
        <v>0</v>
      </c>
      <c r="G17496" s="3" t="n">
        <v>93420</v>
      </c>
    </row>
    <row r="17497">
      <c r="A17497" s="3" t="inlineStr">
        <is>
          <t>Noble Shield (Pty) Ltd ta Go Letting</t>
        </is>
      </c>
      <c r="B17497" s="4" t="n">
        <v>45291</v>
      </c>
      <c r="C17497" s="3" t="inlineStr">
        <is>
          <t>Liabilities</t>
        </is>
      </c>
      <c r="D17497" s="3" t="inlineStr">
        <is>
          <t>5500/500</t>
        </is>
      </c>
      <c r="E17497" s="3" t="inlineStr">
        <is>
          <t>Loan - Cape Projects Construction</t>
        </is>
      </c>
      <c r="F17497" s="3" t="n">
        <v>-600</v>
      </c>
      <c r="G17497" s="3" t="n">
        <v>201389.44</v>
      </c>
    </row>
    <row r="17498">
      <c r="A17498" s="3" t="inlineStr">
        <is>
          <t>Quinate Consulting (Pty) Ltd</t>
        </is>
      </c>
      <c r="B17498" s="4" t="n">
        <v>45291</v>
      </c>
      <c r="C17498" s="3" t="inlineStr">
        <is>
          <t>Liabilities</t>
        </is>
      </c>
      <c r="D17498" s="3" t="inlineStr">
        <is>
          <t>5500/500</t>
        </is>
      </c>
      <c r="E17498" s="3" t="inlineStr">
        <is>
          <t>Loan - Opportunity Development Struct.</t>
        </is>
      </c>
      <c r="F17498" s="3" t="n">
        <v>0</v>
      </c>
      <c r="G17498" s="3" t="n">
        <v>-2380000</v>
      </c>
    </row>
    <row r="17499">
      <c r="A17499" s="3" t="inlineStr">
        <is>
          <t>Opportunity Management Holdings (PTY) LTD</t>
        </is>
      </c>
      <c r="B17499" s="4" t="n">
        <v>45291</v>
      </c>
      <c r="C17499" s="3" t="inlineStr">
        <is>
          <t>Liabilities</t>
        </is>
      </c>
      <c r="D17499" s="3" t="inlineStr">
        <is>
          <t>5500/500</t>
        </is>
      </c>
      <c r="E17499" s="3" t="inlineStr">
        <is>
          <t>Loan - Opportunity Tradermark Holdings</t>
        </is>
      </c>
      <c r="F17499" s="3" t="n">
        <v>0</v>
      </c>
      <c r="G17499" s="3" t="n">
        <v>-88800</v>
      </c>
    </row>
    <row r="17500">
      <c r="A17500" s="3" t="inlineStr">
        <is>
          <t>Quinate Consulting (Pty) Ltd</t>
        </is>
      </c>
      <c r="B17500" s="4" t="n">
        <v>45291</v>
      </c>
      <c r="C17500" s="3" t="inlineStr">
        <is>
          <t>Liabilities</t>
        </is>
      </c>
      <c r="D17500" s="3" t="inlineStr">
        <is>
          <t>5500/520</t>
        </is>
      </c>
      <c r="E17500" s="3" t="inlineStr">
        <is>
          <t>Loan - Opportunity Management Holdings</t>
        </is>
      </c>
      <c r="F17500" s="3" t="n">
        <v>50000</v>
      </c>
      <c r="G17500" s="3" t="n">
        <v>66100</v>
      </c>
    </row>
    <row r="17501">
      <c r="A17501" s="3" t="inlineStr">
        <is>
          <t>Opportunity Management Holdings (PTY) LTD</t>
        </is>
      </c>
      <c r="B17501" s="4" t="n">
        <v>45291</v>
      </c>
      <c r="C17501" s="3" t="inlineStr">
        <is>
          <t>Liabilities</t>
        </is>
      </c>
      <c r="D17501" s="3" t="inlineStr">
        <is>
          <t>5500/550</t>
        </is>
      </c>
      <c r="E17501" s="3" t="inlineStr">
        <is>
          <t>Loan - Heron Projects</t>
        </is>
      </c>
      <c r="F17501" s="3" t="n">
        <v>0</v>
      </c>
      <c r="G17501" s="3" t="n">
        <v>-65100</v>
      </c>
    </row>
    <row r="17502">
      <c r="A17502" s="3" t="inlineStr">
        <is>
          <t>Opportunity Global Investment (PTY) LTD</t>
        </is>
      </c>
      <c r="B17502" s="4" t="n">
        <v>45291</v>
      </c>
      <c r="C17502" s="3" t="inlineStr">
        <is>
          <t>Liabilities</t>
        </is>
      </c>
      <c r="D17502" s="3" t="inlineStr">
        <is>
          <t>5500/650</t>
        </is>
      </c>
      <c r="E17502" s="3" t="inlineStr">
        <is>
          <t>Loan - Opportunit Global - Sales</t>
        </is>
      </c>
      <c r="F17502" s="3" t="n">
        <v>29410.67</v>
      </c>
      <c r="G17502" s="3" t="n">
        <v>-3695456.08</v>
      </c>
    </row>
    <row r="17503">
      <c r="A17503" s="3" t="inlineStr">
        <is>
          <t>Opportunity Global Sales (PTY) LTD</t>
        </is>
      </c>
      <c r="B17503" s="4" t="n">
        <v>45291</v>
      </c>
      <c r="C17503" s="3" t="inlineStr">
        <is>
          <t>Liabilities</t>
        </is>
      </c>
      <c r="D17503" s="3" t="inlineStr">
        <is>
          <t>5500/650</t>
        </is>
      </c>
      <c r="E17503" s="3" t="inlineStr">
        <is>
          <t>Loan - Opportunity Investments</t>
        </is>
      </c>
      <c r="F17503" s="3" t="n">
        <v>-29410.67</v>
      </c>
      <c r="G17503" s="3" t="n">
        <v>3735456.08</v>
      </c>
    </row>
    <row r="17504">
      <c r="A17504" s="3" t="inlineStr">
        <is>
          <t>Opportunity Management Holdings (PTY) LTD</t>
        </is>
      </c>
      <c r="B17504" s="4" t="n">
        <v>45291</v>
      </c>
      <c r="C17504" s="3" t="inlineStr">
        <is>
          <t>Liabilities</t>
        </is>
      </c>
      <c r="D17504" s="3" t="inlineStr">
        <is>
          <t>5500/700</t>
        </is>
      </c>
      <c r="E17504" s="3" t="inlineStr">
        <is>
          <t>Loan - Go Letting</t>
        </is>
      </c>
      <c r="F17504" s="3" t="n">
        <v>0</v>
      </c>
      <c r="G17504" s="3" t="n">
        <v>-120</v>
      </c>
    </row>
    <row r="17505">
      <c r="A17505" s="3" t="inlineStr">
        <is>
          <t>Quinate Consulting (Pty) Ltd</t>
        </is>
      </c>
      <c r="B17505" s="4" t="n">
        <v>45291</v>
      </c>
      <c r="C17505" s="3" t="inlineStr">
        <is>
          <t>Liabilities</t>
        </is>
      </c>
      <c r="D17505" s="3" t="inlineStr">
        <is>
          <t>5500/700</t>
        </is>
      </c>
      <c r="E17505" s="3" t="inlineStr">
        <is>
          <t>Loan - Trademark Holdings</t>
        </is>
      </c>
      <c r="F17505" s="3" t="n">
        <v>0</v>
      </c>
      <c r="G17505" s="3" t="n">
        <v>16413.38</v>
      </c>
    </row>
    <row r="17506">
      <c r="A17506" s="3" t="inlineStr">
        <is>
          <t>Opportunity Global Investment (PTY) LTD</t>
        </is>
      </c>
      <c r="B17506" s="4" t="n">
        <v>45291</v>
      </c>
      <c r="C17506" s="3" t="inlineStr">
        <is>
          <t>Liabilities</t>
        </is>
      </c>
      <c r="D17506" s="3" t="inlineStr">
        <is>
          <t>5500/750</t>
        </is>
      </c>
      <c r="E17506" s="3" t="inlineStr">
        <is>
          <t>Loan - Heron Projects</t>
        </is>
      </c>
      <c r="F17506" s="3" t="n">
        <v>0</v>
      </c>
      <c r="G17506" s="3" t="n">
        <v>-1973000</v>
      </c>
    </row>
    <row r="17507">
      <c r="A17507" s="3" t="inlineStr">
        <is>
          <t>Opportunity Global Investment (PTY) LTD</t>
        </is>
      </c>
      <c r="B17507" s="4" t="n">
        <v>45291</v>
      </c>
      <c r="C17507" s="3" t="inlineStr">
        <is>
          <t>Liabilities</t>
        </is>
      </c>
      <c r="D17507" s="3" t="inlineStr">
        <is>
          <t>5500/850</t>
        </is>
      </c>
      <c r="E17507" s="3" t="inlineStr">
        <is>
          <t>Loan - Nick Morgan</t>
        </is>
      </c>
      <c r="F17507" s="3" t="n">
        <v>0</v>
      </c>
      <c r="G17507" s="3" t="n">
        <v>6200</v>
      </c>
    </row>
    <row r="17508">
      <c r="A17508" s="3" t="inlineStr">
        <is>
          <t>Quinate Consulting (Pty) Ltd</t>
        </is>
      </c>
      <c r="B17508" s="4" t="n">
        <v>45291</v>
      </c>
      <c r="C17508" s="3" t="inlineStr">
        <is>
          <t>Liabilities</t>
        </is>
      </c>
      <c r="D17508" s="3" t="inlineStr">
        <is>
          <t>5501/000</t>
        </is>
      </c>
      <c r="E17508" s="3" t="inlineStr">
        <is>
          <t>Loan - Endulini Project</t>
        </is>
      </c>
      <c r="F17508" s="3" t="n">
        <v>0</v>
      </c>
      <c r="G17508" s="3" t="n">
        <v>-2756.97</v>
      </c>
    </row>
    <row r="17509">
      <c r="A17509" s="3" t="inlineStr">
        <is>
          <t>Quinate Consulting (Pty) Ltd</t>
        </is>
      </c>
      <c r="B17509" s="4" t="n">
        <v>45291</v>
      </c>
      <c r="C17509" s="3" t="inlineStr">
        <is>
          <t>Liabilities</t>
        </is>
      </c>
      <c r="D17509" s="3" t="inlineStr">
        <is>
          <t>5501/001</t>
        </is>
      </c>
      <c r="E17509" s="3" t="inlineStr">
        <is>
          <t>Loan - Endulini CIP Costs</t>
        </is>
      </c>
      <c r="F17509" s="3" t="n">
        <v>-3085919.83</v>
      </c>
      <c r="G17509" s="3" t="n">
        <v>4013594.87</v>
      </c>
    </row>
    <row r="17510">
      <c r="A17510" s="3" t="inlineStr">
        <is>
          <t>Quinate Consulting (Pty) Ltd</t>
        </is>
      </c>
      <c r="B17510" s="4" t="n">
        <v>45291</v>
      </c>
      <c r="C17510" s="3" t="inlineStr">
        <is>
          <t>Liabilities</t>
        </is>
      </c>
      <c r="D17510" s="3" t="inlineStr">
        <is>
          <t>5501/002</t>
        </is>
      </c>
      <c r="E17510" s="3" t="inlineStr">
        <is>
          <t>Loan - Purple Block</t>
        </is>
      </c>
      <c r="F17510" s="3" t="n">
        <v>16948.82</v>
      </c>
      <c r="G17510" s="3" t="n">
        <v>16948.82</v>
      </c>
    </row>
    <row r="17511">
      <c r="A17511" s="3" t="inlineStr">
        <is>
          <t>Noble Shield (Pty) Ltd ta Go Letting</t>
        </is>
      </c>
      <c r="B17511" s="4" t="n">
        <v>45291</v>
      </c>
      <c r="C17511" s="3" t="inlineStr">
        <is>
          <t>Assets</t>
        </is>
      </c>
      <c r="D17511" s="3" t="inlineStr">
        <is>
          <t>6250/010</t>
        </is>
      </c>
      <c r="E17511" s="3" t="inlineStr">
        <is>
          <t>Computer Equipment - @ Cost</t>
        </is>
      </c>
      <c r="F17511" s="3" t="n">
        <v>0</v>
      </c>
      <c r="G17511" s="3" t="n">
        <v>20397</v>
      </c>
    </row>
    <row r="17512">
      <c r="A17512" s="3" t="inlineStr">
        <is>
          <t>Opportunity Global Investment (PTY) LTD</t>
        </is>
      </c>
      <c r="B17512" s="4" t="n">
        <v>45291</v>
      </c>
      <c r="C17512" s="3" t="inlineStr">
        <is>
          <t>Assets</t>
        </is>
      </c>
      <c r="D17512" s="3" t="inlineStr">
        <is>
          <t>6250/010</t>
        </is>
      </c>
      <c r="E17512" s="3" t="inlineStr">
        <is>
          <t>Computer Equipment - @ Cost</t>
        </is>
      </c>
      <c r="F17512" s="3" t="n">
        <v>0</v>
      </c>
      <c r="G17512" s="3" t="n">
        <v>31683.04</v>
      </c>
    </row>
    <row r="17513">
      <c r="A17513" s="3" t="inlineStr">
        <is>
          <t>Opportunity Management Holdings (PTY) LTD</t>
        </is>
      </c>
      <c r="B17513" s="4" t="n">
        <v>45291</v>
      </c>
      <c r="C17513" s="3" t="inlineStr">
        <is>
          <t>Assets</t>
        </is>
      </c>
      <c r="D17513" s="3" t="inlineStr">
        <is>
          <t>6250/010</t>
        </is>
      </c>
      <c r="E17513" s="3" t="inlineStr">
        <is>
          <t>Computer Equipment - @ Cost</t>
        </is>
      </c>
      <c r="F17513" s="3" t="n">
        <v>0</v>
      </c>
      <c r="G17513" s="3" t="n">
        <v>52177.85</v>
      </c>
    </row>
    <row r="17514">
      <c r="A17514" s="3" t="inlineStr">
        <is>
          <t>Quinate Consulting (Pty) Ltd</t>
        </is>
      </c>
      <c r="B17514" s="4" t="n">
        <v>45291</v>
      </c>
      <c r="C17514" s="3" t="inlineStr">
        <is>
          <t>Assets</t>
        </is>
      </c>
      <c r="D17514" s="3" t="inlineStr">
        <is>
          <t>6250/010</t>
        </is>
      </c>
      <c r="E17514" s="3" t="inlineStr">
        <is>
          <t>Computer Equipment - @ Cost</t>
        </is>
      </c>
      <c r="F17514" s="3" t="n">
        <v>0</v>
      </c>
      <c r="G17514" s="3" t="n">
        <v>137059.7</v>
      </c>
    </row>
    <row r="17515">
      <c r="A17515" s="3" t="inlineStr">
        <is>
          <t>Noble Shield (Pty) Ltd ta Go Letting</t>
        </is>
      </c>
      <c r="B17515" s="4" t="n">
        <v>45291</v>
      </c>
      <c r="C17515" s="3" t="inlineStr">
        <is>
          <t>Assets</t>
        </is>
      </c>
      <c r="D17515" s="3" t="inlineStr">
        <is>
          <t>6250/020</t>
        </is>
      </c>
      <c r="E17515" s="3" t="inlineStr">
        <is>
          <t>Computer Equipment - Accum Depre</t>
        </is>
      </c>
      <c r="F17515" s="3" t="n">
        <v>0</v>
      </c>
      <c r="G17515" s="3" t="n">
        <v>-12040.89</v>
      </c>
    </row>
    <row r="17516">
      <c r="A17516" s="3" t="inlineStr">
        <is>
          <t>Opportunity Global Investment (PTY) LTD</t>
        </is>
      </c>
      <c r="B17516" s="4" t="n">
        <v>45291</v>
      </c>
      <c r="C17516" s="3" t="inlineStr">
        <is>
          <t>Assets</t>
        </is>
      </c>
      <c r="D17516" s="3" t="inlineStr">
        <is>
          <t>6250/020</t>
        </is>
      </c>
      <c r="E17516" s="3" t="inlineStr">
        <is>
          <t>Computer Equipment - Accum Depre</t>
        </is>
      </c>
      <c r="F17516" s="3" t="n">
        <v>-880.08</v>
      </c>
      <c r="G17516" s="3" t="n">
        <v>-10561</v>
      </c>
    </row>
    <row r="17517">
      <c r="A17517" s="3" t="inlineStr">
        <is>
          <t>Opportunity Management Holdings (PTY) LTD</t>
        </is>
      </c>
      <c r="B17517" s="4" t="n">
        <v>45291</v>
      </c>
      <c r="C17517" s="3" t="inlineStr">
        <is>
          <t>Assets</t>
        </is>
      </c>
      <c r="D17517" s="3" t="inlineStr">
        <is>
          <t>6250/020</t>
        </is>
      </c>
      <c r="E17517" s="3" t="inlineStr">
        <is>
          <t>Computer Equipment - Accum Depre</t>
        </is>
      </c>
      <c r="F17517" s="3" t="n">
        <v>-1035.18</v>
      </c>
      <c r="G17517" s="3" t="n">
        <v>-15960.99</v>
      </c>
    </row>
    <row r="17518">
      <c r="A17518" s="3" t="inlineStr">
        <is>
          <t>Quinate Consulting (Pty) Ltd</t>
        </is>
      </c>
      <c r="B17518" s="4" t="n">
        <v>45291</v>
      </c>
      <c r="C17518" s="3" t="inlineStr">
        <is>
          <t>Assets</t>
        </is>
      </c>
      <c r="D17518" s="3" t="inlineStr">
        <is>
          <t>6250/020</t>
        </is>
      </c>
      <c r="E17518" s="3" t="inlineStr">
        <is>
          <t>Computer Equipment - Accum Depre</t>
        </is>
      </c>
      <c r="F17518" s="3" t="n">
        <v>-1926.09</v>
      </c>
      <c r="G17518" s="3" t="n">
        <v>-121284.84</v>
      </c>
    </row>
    <row r="17519">
      <c r="A17519" s="3" t="inlineStr">
        <is>
          <t>Opportunity Management Holdings (PTY) LTD</t>
        </is>
      </c>
      <c r="B17519" s="4" t="n">
        <v>45291</v>
      </c>
      <c r="C17519" s="3" t="inlineStr">
        <is>
          <t>Assets</t>
        </is>
      </c>
      <c r="D17519" s="3" t="inlineStr">
        <is>
          <t>6250/030</t>
        </is>
      </c>
      <c r="E17519" s="3" t="inlineStr">
        <is>
          <t>Acc Depreciation - Computer Equipment</t>
        </is>
      </c>
      <c r="F17519" s="3" t="n">
        <v>0</v>
      </c>
      <c r="G17519" s="3" t="n">
        <v>-9441.25</v>
      </c>
    </row>
    <row r="17520">
      <c r="A17520" s="3" t="inlineStr">
        <is>
          <t>Quinate Consulting (Pty) Ltd</t>
        </is>
      </c>
      <c r="B17520" s="4" t="n">
        <v>45291</v>
      </c>
      <c r="C17520" s="3" t="inlineStr">
        <is>
          <t>Assets</t>
        </is>
      </c>
      <c r="D17520" s="3" t="inlineStr">
        <is>
          <t>6270/010</t>
        </is>
      </c>
      <c r="E17520" s="3" t="inlineStr">
        <is>
          <t>Site Containers - @ Cost</t>
        </is>
      </c>
      <c r="F17520" s="3" t="n">
        <v>0</v>
      </c>
      <c r="G17520" s="3" t="n">
        <v>19130.44</v>
      </c>
    </row>
    <row r="17521">
      <c r="A17521" s="3" t="inlineStr">
        <is>
          <t>Quinate Consulting (Pty) Ltd</t>
        </is>
      </c>
      <c r="B17521" s="4" t="n">
        <v>45291</v>
      </c>
      <c r="C17521" s="3" t="inlineStr">
        <is>
          <t>Assets</t>
        </is>
      </c>
      <c r="D17521" s="3" t="inlineStr">
        <is>
          <t>6270/020</t>
        </is>
      </c>
      <c r="E17521" s="3" t="inlineStr">
        <is>
          <t>Site Containers - Accum Depre</t>
        </is>
      </c>
      <c r="F17521" s="3" t="n">
        <v>-318.84</v>
      </c>
      <c r="G17521" s="3" t="n">
        <v>-10840.58</v>
      </c>
    </row>
    <row r="17522">
      <c r="A17522" s="3" t="inlineStr">
        <is>
          <t>Noble Shield (Pty) Ltd ta Go Letting</t>
        </is>
      </c>
      <c r="B17522" s="4" t="n">
        <v>45291</v>
      </c>
      <c r="C17522" s="3" t="inlineStr">
        <is>
          <t>Assets</t>
        </is>
      </c>
      <c r="D17522" s="3" t="inlineStr">
        <is>
          <t>6350/010</t>
        </is>
      </c>
      <c r="E17522" s="3" t="inlineStr">
        <is>
          <t>Furniture _AND_ Fittings - @ Cost</t>
        </is>
      </c>
      <c r="F17522" s="3" t="n">
        <v>0</v>
      </c>
      <c r="G17522" s="3" t="n">
        <v>2242</v>
      </c>
    </row>
    <row r="17523">
      <c r="A17523" s="3" t="inlineStr">
        <is>
          <t>Opportunity Global Sales (PTY) LTD</t>
        </is>
      </c>
      <c r="B17523" s="4" t="n">
        <v>45291</v>
      </c>
      <c r="C17523" s="3" t="inlineStr">
        <is>
          <t>Assets</t>
        </is>
      </c>
      <c r="D17523" s="3" t="inlineStr">
        <is>
          <t>6350/010</t>
        </is>
      </c>
      <c r="E17523" s="3" t="inlineStr">
        <is>
          <t>Furniture _AND_ Fittings - @ Cost</t>
        </is>
      </c>
      <c r="F17523" s="3" t="n">
        <v>0</v>
      </c>
      <c r="G17523" s="3" t="n">
        <v>29379.7</v>
      </c>
    </row>
    <row r="17524">
      <c r="A17524" s="3" t="inlineStr">
        <is>
          <t>Noble Shield (Pty) Ltd ta Go Letting</t>
        </is>
      </c>
      <c r="B17524" s="4" t="n">
        <v>45291</v>
      </c>
      <c r="C17524" s="3" t="inlineStr">
        <is>
          <t>Assets</t>
        </is>
      </c>
      <c r="D17524" s="3" t="inlineStr">
        <is>
          <t>6350/020</t>
        </is>
      </c>
      <c r="E17524" s="3" t="inlineStr">
        <is>
          <t>Furniture _AND_ Fittings - Accum Depre</t>
        </is>
      </c>
      <c r="F17524" s="3" t="n">
        <v>0</v>
      </c>
      <c r="G17524" s="3" t="n">
        <v>-2239</v>
      </c>
    </row>
    <row r="17525">
      <c r="A17525" s="3" t="inlineStr">
        <is>
          <t>Opportunity Global Sales (PTY) LTD</t>
        </is>
      </c>
      <c r="B17525" s="4" t="n">
        <v>45291</v>
      </c>
      <c r="C17525" s="3" t="inlineStr">
        <is>
          <t>Assets</t>
        </is>
      </c>
      <c r="D17525" s="3" t="inlineStr">
        <is>
          <t>6350/020</t>
        </is>
      </c>
      <c r="E17525" s="3" t="inlineStr">
        <is>
          <t>Furniture _AND_ Fittings - Accum Depre</t>
        </is>
      </c>
      <c r="F17525" s="3" t="n">
        <v>-408.05</v>
      </c>
      <c r="G17525" s="3" t="n">
        <v>-7344.92</v>
      </c>
    </row>
    <row r="17526">
      <c r="A17526" s="3" t="inlineStr">
        <is>
          <t>Opportunity Management Holdings (PTY) LTD</t>
        </is>
      </c>
      <c r="B17526" s="4" t="n">
        <v>45291</v>
      </c>
      <c r="C17526" s="3" t="inlineStr">
        <is>
          <t>Liabilities</t>
        </is>
      </c>
      <c r="D17526" s="3" t="inlineStr">
        <is>
          <t>6500/000</t>
        </is>
      </c>
      <c r="E17526" s="3" t="inlineStr">
        <is>
          <t>Deposits - Held</t>
        </is>
      </c>
      <c r="F17526" s="3" t="n">
        <v>0</v>
      </c>
      <c r="G17526" s="3" t="n">
        <v>-12028.1</v>
      </c>
    </row>
    <row r="17527">
      <c r="A17527" s="3" t="inlineStr">
        <is>
          <t>Opportunity Management Holdings (PTY) LTD</t>
        </is>
      </c>
      <c r="B17527" s="4" t="n">
        <v>45291</v>
      </c>
      <c r="C17527" s="3" t="inlineStr">
        <is>
          <t>Liabilities</t>
        </is>
      </c>
      <c r="D17527" s="3" t="inlineStr">
        <is>
          <t>6510/000</t>
        </is>
      </c>
      <c r="E17527" s="3" t="inlineStr">
        <is>
          <t>Deposits Paid - Anicol Properties</t>
        </is>
      </c>
      <c r="F17527" s="3" t="n">
        <v>0</v>
      </c>
      <c r="G17527" s="3" t="n">
        <v>13755</v>
      </c>
    </row>
    <row r="17528">
      <c r="A17528" s="3" t="inlineStr">
        <is>
          <t>Opportunity Management Holdings (PTY) LTD</t>
        </is>
      </c>
      <c r="B17528" s="4" t="n">
        <v>45291</v>
      </c>
      <c r="C17528" s="3" t="inlineStr">
        <is>
          <t>Liabilities</t>
        </is>
      </c>
      <c r="D17528" s="3" t="inlineStr">
        <is>
          <t>6515/000</t>
        </is>
      </c>
      <c r="E17528" s="3" t="inlineStr">
        <is>
          <t>Deposits Paid</t>
        </is>
      </c>
      <c r="F17528" s="3" t="n">
        <v>0</v>
      </c>
      <c r="G17528" s="3" t="n">
        <v>3852.5</v>
      </c>
    </row>
    <row r="17529">
      <c r="A17529" s="3" t="inlineStr">
        <is>
          <t>Quinate Consulting (Pty) Ltd</t>
        </is>
      </c>
      <c r="B17529" s="4" t="n">
        <v>45291</v>
      </c>
      <c r="C17529" s="3" t="inlineStr">
        <is>
          <t>Assets</t>
        </is>
      </c>
      <c r="D17529" s="3" t="inlineStr">
        <is>
          <t>6600/010</t>
        </is>
      </c>
      <c r="E17529" s="3" t="inlineStr">
        <is>
          <t>Other Fixed Assets - @ Cost</t>
        </is>
      </c>
      <c r="F17529" s="3" t="n">
        <v>0</v>
      </c>
      <c r="G17529" s="3" t="n">
        <v>14442.5</v>
      </c>
    </row>
    <row r="17530">
      <c r="A17530" s="3" t="inlineStr">
        <is>
          <t>Quinate Consulting (Pty) Ltd</t>
        </is>
      </c>
      <c r="B17530" s="4" t="n">
        <v>45291</v>
      </c>
      <c r="C17530" s="3" t="inlineStr">
        <is>
          <t>Assets</t>
        </is>
      </c>
      <c r="D17530" s="3" t="inlineStr">
        <is>
          <t>6600/020</t>
        </is>
      </c>
      <c r="E17530" s="3" t="inlineStr">
        <is>
          <t>Other Fixed Assets - Accum Depre</t>
        </is>
      </c>
      <c r="F17530" s="3" t="n">
        <v>0</v>
      </c>
      <c r="G17530" s="3" t="n">
        <v>-14441.5</v>
      </c>
    </row>
    <row r="17531">
      <c r="A17531" s="3" t="inlineStr">
        <is>
          <t>Noble Shield (Pty) Ltd ta Go Letting</t>
        </is>
      </c>
      <c r="B17531" s="4" t="n">
        <v>45291</v>
      </c>
      <c r="C17531" s="3" t="inlineStr">
        <is>
          <t>Assets</t>
        </is>
      </c>
      <c r="D17531" s="3" t="inlineStr">
        <is>
          <t>7000/100</t>
        </is>
      </c>
      <c r="E17531" s="3" t="inlineStr">
        <is>
          <t>Goodwill - Purchase of Go Letting</t>
        </is>
      </c>
      <c r="F17531" s="3" t="n">
        <v>0</v>
      </c>
      <c r="G17531" s="3" t="n">
        <v>106580</v>
      </c>
    </row>
    <row r="17532">
      <c r="A17532" s="3" t="inlineStr">
        <is>
          <t>Opportunity Management Holdings (PTY) LTD</t>
        </is>
      </c>
      <c r="B17532" s="4" t="n">
        <v>45291</v>
      </c>
      <c r="C17532" s="3" t="inlineStr">
        <is>
          <t>Assets</t>
        </is>
      </c>
      <c r="D17532" s="3" t="inlineStr">
        <is>
          <t>7200/000</t>
        </is>
      </c>
      <c r="E17532" s="3" t="inlineStr">
        <is>
          <t>Shares in Subsidiary Companies</t>
        </is>
      </c>
      <c r="F17532" s="3" t="n">
        <v>0</v>
      </c>
      <c r="G17532" s="3" t="n">
        <v>120</v>
      </c>
    </row>
    <row r="17533">
      <c r="A17533" s="3" t="inlineStr">
        <is>
          <t>Endulini (Pty) Ltd</t>
        </is>
      </c>
      <c r="B17533" s="4" t="n">
        <v>45291</v>
      </c>
      <c r="C17533" s="3" t="inlineStr">
        <is>
          <t>Assets</t>
        </is>
      </c>
      <c r="D17533" s="3" t="inlineStr">
        <is>
          <t>7610/100</t>
        </is>
      </c>
      <c r="E17533" s="3" t="inlineStr">
        <is>
          <t>Endulini Land</t>
        </is>
      </c>
      <c r="F17533" s="3" t="n">
        <v>0</v>
      </c>
      <c r="G17533" s="3" t="n">
        <v>10572851.37</v>
      </c>
    </row>
    <row r="17534">
      <c r="A17534" s="3" t="inlineStr">
        <is>
          <t>Endulini (Pty) Ltd</t>
        </is>
      </c>
      <c r="B17534" s="4" t="n">
        <v>45291</v>
      </c>
      <c r="C17534" s="3" t="inlineStr">
        <is>
          <t>Assets</t>
        </is>
      </c>
      <c r="D17534" s="3" t="inlineStr">
        <is>
          <t>7610/111</t>
        </is>
      </c>
      <c r="E17534" s="3" t="inlineStr">
        <is>
          <t>Endulini Closing Stock February 2021</t>
        </is>
      </c>
      <c r="F17534" s="3" t="n">
        <v>0</v>
      </c>
      <c r="G17534" s="3" t="n">
        <v>14368610.11</v>
      </c>
    </row>
    <row r="17535">
      <c r="A17535" s="3" t="inlineStr">
        <is>
          <t>Endulini (Pty) Ltd</t>
        </is>
      </c>
      <c r="B17535" s="4" t="n">
        <v>45291</v>
      </c>
      <c r="C17535" s="3" t="inlineStr">
        <is>
          <t>Assets</t>
        </is>
      </c>
      <c r="D17535" s="3" t="inlineStr">
        <is>
          <t>7610/180</t>
        </is>
      </c>
      <c r="E17535" s="3" t="inlineStr">
        <is>
          <t>Endulini CIP Architects</t>
        </is>
      </c>
      <c r="F17535" s="3" t="n">
        <v>0</v>
      </c>
      <c r="G17535" s="3" t="n">
        <v>1292111.71</v>
      </c>
    </row>
    <row r="17536">
      <c r="A17536" s="3" t="inlineStr">
        <is>
          <t>Endulini (Pty) Ltd</t>
        </is>
      </c>
      <c r="B17536" s="4" t="n">
        <v>45291</v>
      </c>
      <c r="C17536" s="3" t="inlineStr">
        <is>
          <t>Assets</t>
        </is>
      </c>
      <c r="D17536" s="3" t="inlineStr">
        <is>
          <t>7610/200</t>
        </is>
      </c>
      <c r="E17536" s="3" t="inlineStr">
        <is>
          <t>Endulini CIP CoCT Land Use App</t>
        </is>
      </c>
      <c r="F17536" s="3" t="n">
        <v>0</v>
      </c>
      <c r="G17536" s="3" t="n">
        <v>232891.06</v>
      </c>
    </row>
    <row r="17537">
      <c r="A17537" s="3" t="inlineStr">
        <is>
          <t>Endulini (Pty) Ltd</t>
        </is>
      </c>
      <c r="B17537" s="4" t="n">
        <v>45291</v>
      </c>
      <c r="C17537" s="3" t="inlineStr">
        <is>
          <t>Assets</t>
        </is>
      </c>
      <c r="D17537" s="3" t="inlineStr">
        <is>
          <t>7610/205</t>
        </is>
      </c>
      <c r="E17537" s="3" t="inlineStr">
        <is>
          <t>Endulini CIP Site Establishments</t>
        </is>
      </c>
      <c r="F17537" s="3" t="n">
        <v>0</v>
      </c>
      <c r="G17537" s="3" t="n">
        <v>32428975.01</v>
      </c>
    </row>
    <row r="17538">
      <c r="A17538" s="3" t="inlineStr">
        <is>
          <t>Endulini (Pty) Ltd</t>
        </is>
      </c>
      <c r="B17538" s="4" t="n">
        <v>45291</v>
      </c>
      <c r="C17538" s="3" t="inlineStr">
        <is>
          <t>Assets</t>
        </is>
      </c>
      <c r="D17538" s="3" t="inlineStr">
        <is>
          <t>7610/209</t>
        </is>
      </c>
      <c r="E17538" s="3" t="inlineStr">
        <is>
          <t>Endulini CIP Construction Management</t>
        </is>
      </c>
      <c r="F17538" s="3" t="n">
        <v>0</v>
      </c>
      <c r="G17538" s="3" t="n">
        <v>223375</v>
      </c>
    </row>
    <row r="17539">
      <c r="A17539" s="3" t="inlineStr">
        <is>
          <t>Endulini (Pty) Ltd</t>
        </is>
      </c>
      <c r="B17539" s="4" t="n">
        <v>45291</v>
      </c>
      <c r="C17539" s="3" t="inlineStr">
        <is>
          <t>Assets</t>
        </is>
      </c>
      <c r="D17539" s="3" t="inlineStr">
        <is>
          <t>7610/210</t>
        </is>
      </c>
      <c r="E17539" s="3" t="inlineStr">
        <is>
          <t>Endulini CIP Civil Works</t>
        </is>
      </c>
      <c r="F17539" s="3" t="n">
        <v>0</v>
      </c>
      <c r="G17539" s="3" t="n">
        <v>6295702.14</v>
      </c>
    </row>
    <row r="17540">
      <c r="A17540" s="3" t="inlineStr">
        <is>
          <t>Endulini (Pty) Ltd</t>
        </is>
      </c>
      <c r="B17540" s="4" t="n">
        <v>45291</v>
      </c>
      <c r="C17540" s="3" t="inlineStr">
        <is>
          <t>Assets</t>
        </is>
      </c>
      <c r="D17540" s="3" t="inlineStr">
        <is>
          <t>7610/215</t>
        </is>
      </c>
      <c r="E17540" s="3" t="inlineStr">
        <is>
          <t>Endulini CIP Civil Engineers</t>
        </is>
      </c>
      <c r="F17540" s="3" t="n">
        <v>0</v>
      </c>
      <c r="G17540" s="3" t="n">
        <v>183000</v>
      </c>
    </row>
    <row r="17541">
      <c r="A17541" s="3" t="inlineStr">
        <is>
          <t>Endulini (Pty) Ltd</t>
        </is>
      </c>
      <c r="B17541" s="4" t="n">
        <v>45291</v>
      </c>
      <c r="C17541" s="3" t="inlineStr">
        <is>
          <t>Assets</t>
        </is>
      </c>
      <c r="D17541" s="3" t="inlineStr">
        <is>
          <t>7610/220</t>
        </is>
      </c>
      <c r="E17541" s="3" t="inlineStr">
        <is>
          <t>Endulini CIP Structuring Project Fee Opp Invest</t>
        </is>
      </c>
      <c r="F17541" s="3" t="n">
        <v>0</v>
      </c>
      <c r="G17541" s="3" t="n">
        <v>483735.96</v>
      </c>
    </row>
    <row r="17542">
      <c r="A17542" s="3" t="inlineStr">
        <is>
          <t>Endulini (Pty) Ltd</t>
        </is>
      </c>
      <c r="B17542" s="4" t="n">
        <v>45291</v>
      </c>
      <c r="C17542" s="3" t="inlineStr">
        <is>
          <t>Assets</t>
        </is>
      </c>
      <c r="D17542" s="3" t="inlineStr">
        <is>
          <t>7610/225</t>
        </is>
      </c>
      <c r="E17542" s="3" t="inlineStr">
        <is>
          <t>Endulini CIP Structural engineering fee</t>
        </is>
      </c>
      <c r="F17542" s="3" t="n">
        <v>-57622.95</v>
      </c>
      <c r="G17542" s="3" t="n">
        <v>288645.08</v>
      </c>
    </row>
    <row r="17543">
      <c r="A17543" s="3" t="inlineStr">
        <is>
          <t>Endulini (Pty) Ltd</t>
        </is>
      </c>
      <c r="B17543" s="4" t="n">
        <v>45291</v>
      </c>
      <c r="C17543" s="3" t="inlineStr">
        <is>
          <t>Assets</t>
        </is>
      </c>
      <c r="D17543" s="3" t="inlineStr">
        <is>
          <t>7610/230</t>
        </is>
      </c>
      <c r="E17543" s="3" t="inlineStr">
        <is>
          <t>Endulini CIP Mechanical Engineering</t>
        </is>
      </c>
      <c r="F17543" s="3" t="n">
        <v>0</v>
      </c>
      <c r="G17543" s="3" t="n">
        <v>15570</v>
      </c>
    </row>
    <row r="17544">
      <c r="A17544" s="3" t="inlineStr">
        <is>
          <t>Endulini (Pty) Ltd</t>
        </is>
      </c>
      <c r="B17544" s="4" t="n">
        <v>45291</v>
      </c>
      <c r="C17544" s="3" t="inlineStr">
        <is>
          <t>Assets</t>
        </is>
      </c>
      <c r="D17544" s="3" t="inlineStr">
        <is>
          <t>7610/235</t>
        </is>
      </c>
      <c r="E17544" s="3" t="inlineStr">
        <is>
          <t>Endulini CIP Electrical Installation</t>
        </is>
      </c>
      <c r="F17544" s="3" t="n">
        <v>0</v>
      </c>
      <c r="G17544" s="3" t="n">
        <v>1034019.08</v>
      </c>
    </row>
    <row r="17545">
      <c r="A17545" s="3" t="inlineStr">
        <is>
          <t>Endulini (Pty) Ltd</t>
        </is>
      </c>
      <c r="B17545" s="4" t="n">
        <v>45291</v>
      </c>
      <c r="C17545" s="3" t="inlineStr">
        <is>
          <t>Assets</t>
        </is>
      </c>
      <c r="D17545" s="3" t="inlineStr">
        <is>
          <t>7610/250</t>
        </is>
      </c>
      <c r="E17545" s="3" t="inlineStr">
        <is>
          <t>Endulini CIP Boundary Wall</t>
        </is>
      </c>
      <c r="F17545" s="3" t="n">
        <v>0</v>
      </c>
      <c r="G17545" s="3" t="n">
        <v>88400.8</v>
      </c>
    </row>
    <row r="17546">
      <c r="A17546" s="3" t="inlineStr">
        <is>
          <t>Endulini (Pty) Ltd</t>
        </is>
      </c>
      <c r="B17546" s="4" t="n">
        <v>45291</v>
      </c>
      <c r="C17546" s="3" t="inlineStr">
        <is>
          <t>Assets</t>
        </is>
      </c>
      <c r="D17546" s="3" t="inlineStr">
        <is>
          <t>7610/290</t>
        </is>
      </c>
      <c r="E17546" s="3" t="inlineStr">
        <is>
          <t>Endulini CIP Development Management Fees</t>
        </is>
      </c>
      <c r="F17546" s="3" t="n">
        <v>427826.09</v>
      </c>
      <c r="G17546" s="3" t="n">
        <v>665322.71</v>
      </c>
    </row>
    <row r="17547">
      <c r="A17547" s="3" t="inlineStr">
        <is>
          <t>Endulini (Pty) Ltd</t>
        </is>
      </c>
      <c r="B17547" s="4" t="n">
        <v>45291</v>
      </c>
      <c r="C17547" s="3" t="inlineStr">
        <is>
          <t>Assets</t>
        </is>
      </c>
      <c r="D17547" s="3" t="inlineStr">
        <is>
          <t>7610/310</t>
        </is>
      </c>
      <c r="E17547" s="3" t="inlineStr">
        <is>
          <t>Endulini CIP Enviromental consultants</t>
        </is>
      </c>
      <c r="F17547" s="3" t="n">
        <v>0</v>
      </c>
      <c r="G17547" s="3" t="n">
        <v>115730</v>
      </c>
    </row>
    <row r="17548">
      <c r="A17548" s="3" t="inlineStr">
        <is>
          <t>Endulini (Pty) Ltd</t>
        </is>
      </c>
      <c r="B17548" s="4" t="n">
        <v>45291</v>
      </c>
      <c r="C17548" s="3" t="inlineStr">
        <is>
          <t>Assets</t>
        </is>
      </c>
      <c r="D17548" s="3" t="inlineStr">
        <is>
          <t>7610/320</t>
        </is>
      </c>
      <c r="E17548" s="3" t="inlineStr">
        <is>
          <t>Endulini CIP Geotechnical</t>
        </is>
      </c>
      <c r="F17548" s="3" t="n">
        <v>0</v>
      </c>
      <c r="G17548" s="3" t="n">
        <v>13575</v>
      </c>
    </row>
    <row r="17549">
      <c r="A17549" s="3" t="inlineStr">
        <is>
          <t>Endulini (Pty) Ltd</t>
        </is>
      </c>
      <c r="B17549" s="4" t="n">
        <v>45291</v>
      </c>
      <c r="C17549" s="3" t="inlineStr">
        <is>
          <t>Assets</t>
        </is>
      </c>
      <c r="D17549" s="3" t="inlineStr">
        <is>
          <t>7610/330</t>
        </is>
      </c>
      <c r="E17549" s="3" t="inlineStr">
        <is>
          <t>Endulini CIP Health and Safety</t>
        </is>
      </c>
      <c r="F17549" s="3" t="n">
        <v>0</v>
      </c>
      <c r="G17549" s="3" t="n">
        <v>40200</v>
      </c>
    </row>
    <row r="17550">
      <c r="A17550" s="3" t="inlineStr">
        <is>
          <t>Endulini (Pty) Ltd</t>
        </is>
      </c>
      <c r="B17550" s="4" t="n">
        <v>45291</v>
      </c>
      <c r="C17550" s="3" t="inlineStr">
        <is>
          <t>Assets</t>
        </is>
      </c>
      <c r="D17550" s="3" t="inlineStr">
        <is>
          <t>7610/390</t>
        </is>
      </c>
      <c r="E17550" s="3" t="inlineStr">
        <is>
          <t>Endulini CIP Land Surveyor</t>
        </is>
      </c>
      <c r="F17550" s="3" t="n">
        <v>0</v>
      </c>
      <c r="G17550" s="3" t="n">
        <v>186021.2</v>
      </c>
    </row>
    <row r="17551">
      <c r="A17551" s="3" t="inlineStr">
        <is>
          <t>Endulini (Pty) Ltd</t>
        </is>
      </c>
      <c r="B17551" s="4" t="n">
        <v>45291</v>
      </c>
      <c r="C17551" s="3" t="inlineStr">
        <is>
          <t>Assets</t>
        </is>
      </c>
      <c r="D17551" s="3" t="inlineStr">
        <is>
          <t>7610/392</t>
        </is>
      </c>
      <c r="E17551" s="3" t="inlineStr">
        <is>
          <t>Endulini CIP Landscaping</t>
        </is>
      </c>
      <c r="F17551" s="3" t="n">
        <v>0</v>
      </c>
      <c r="G17551" s="3" t="n">
        <v>6100</v>
      </c>
    </row>
    <row r="17552">
      <c r="A17552" s="3" t="inlineStr">
        <is>
          <t>Endulini (Pty) Ltd</t>
        </is>
      </c>
      <c r="B17552" s="4" t="n">
        <v>45291</v>
      </c>
      <c r="C17552" s="3" t="inlineStr">
        <is>
          <t>Assets</t>
        </is>
      </c>
      <c r="D17552" s="3" t="inlineStr">
        <is>
          <t>7610/395</t>
        </is>
      </c>
      <c r="E17552" s="3" t="inlineStr">
        <is>
          <t>Endulini CIP NHBRC</t>
        </is>
      </c>
      <c r="F17552" s="3" t="n">
        <v>0</v>
      </c>
      <c r="G17552" s="3" t="n">
        <v>928847.49</v>
      </c>
    </row>
    <row r="17553">
      <c r="A17553" s="3" t="inlineStr">
        <is>
          <t>Endulini (Pty) Ltd</t>
        </is>
      </c>
      <c r="B17553" s="4" t="n">
        <v>45291</v>
      </c>
      <c r="C17553" s="3" t="inlineStr">
        <is>
          <t>Assets</t>
        </is>
      </c>
      <c r="D17553" s="3" t="inlineStr">
        <is>
          <t>7610/400</t>
        </is>
      </c>
      <c r="E17553" s="3" t="inlineStr">
        <is>
          <t>Endulini CIP Quantity Surveyor</t>
        </is>
      </c>
      <c r="F17553" s="3" t="n">
        <v>0</v>
      </c>
      <c r="G17553" s="3" t="n">
        <v>82136.36</v>
      </c>
    </row>
    <row r="17554">
      <c r="A17554" s="3" t="inlineStr">
        <is>
          <t>Endulini (Pty) Ltd</t>
        </is>
      </c>
      <c r="B17554" s="4" t="n">
        <v>45291</v>
      </c>
      <c r="C17554" s="3" t="inlineStr">
        <is>
          <t>Assets</t>
        </is>
      </c>
      <c r="D17554" s="3" t="inlineStr">
        <is>
          <t>7610/600</t>
        </is>
      </c>
      <c r="E17554" s="3" t="inlineStr">
        <is>
          <t>Endulini CIP Town Planning</t>
        </is>
      </c>
      <c r="F17554" s="3" t="n">
        <v>0</v>
      </c>
      <c r="G17554" s="3" t="n">
        <v>21105</v>
      </c>
    </row>
    <row r="17555">
      <c r="A17555" s="3" t="inlineStr">
        <is>
          <t>Endulini (Pty) Ltd</t>
        </is>
      </c>
      <c r="B17555" s="4" t="n">
        <v>45291</v>
      </c>
      <c r="C17555" s="3" t="inlineStr">
        <is>
          <t>Assets</t>
        </is>
      </c>
      <c r="D17555" s="3" t="inlineStr">
        <is>
          <t>7610/620</t>
        </is>
      </c>
      <c r="E17555" s="3" t="inlineStr">
        <is>
          <t>Endulini CIP Traffic Impact</t>
        </is>
      </c>
      <c r="F17555" s="3" t="n">
        <v>0</v>
      </c>
      <c r="G17555" s="3" t="n">
        <v>24915</v>
      </c>
    </row>
    <row r="17556">
      <c r="A17556" s="3" t="inlineStr">
        <is>
          <t>Endulini (Pty) Ltd</t>
        </is>
      </c>
      <c r="B17556" s="4" t="n">
        <v>45291</v>
      </c>
      <c r="C17556" s="3" t="inlineStr">
        <is>
          <t>Assets</t>
        </is>
      </c>
      <c r="D17556" s="3" t="inlineStr">
        <is>
          <t>7610/630</t>
        </is>
      </c>
      <c r="E17556" s="3" t="inlineStr">
        <is>
          <t>Endulini CIP CoCT Development Contributi</t>
        </is>
      </c>
      <c r="F17556" s="3" t="n">
        <v>0</v>
      </c>
      <c r="G17556" s="3" t="n">
        <v>661860.3100000001</v>
      </c>
    </row>
    <row r="17557">
      <c r="A17557" s="3" t="inlineStr">
        <is>
          <t>Endulini (Pty) Ltd</t>
        </is>
      </c>
      <c r="B17557" s="4" t="n">
        <v>45291</v>
      </c>
      <c r="C17557" s="3" t="inlineStr">
        <is>
          <t>Assets</t>
        </is>
      </c>
      <c r="D17557" s="3" t="inlineStr">
        <is>
          <t>7610/640</t>
        </is>
      </c>
      <c r="E17557" s="3" t="inlineStr">
        <is>
          <t>Endulini CIP CoCT Building plan application</t>
        </is>
      </c>
      <c r="F17557" s="3" t="n">
        <v>0</v>
      </c>
      <c r="G17557" s="3" t="n">
        <v>111203.22</v>
      </c>
    </row>
    <row r="17558">
      <c r="A17558" s="3" t="inlineStr">
        <is>
          <t>Endulini (Pty) Ltd</t>
        </is>
      </c>
      <c r="B17558" s="4" t="n">
        <v>45291</v>
      </c>
      <c r="C17558" s="3" t="inlineStr">
        <is>
          <t>Assets</t>
        </is>
      </c>
      <c r="D17558" s="3" t="inlineStr">
        <is>
          <t>7610/900</t>
        </is>
      </c>
      <c r="E17558" s="3" t="inlineStr">
        <is>
          <t>Endulini CIP Cost of Sales</t>
        </is>
      </c>
      <c r="F17558" s="3" t="n">
        <v>0</v>
      </c>
      <c r="G17558" s="3" t="n">
        <v>-28210981.9</v>
      </c>
    </row>
    <row r="17559">
      <c r="A17559" s="3" t="inlineStr">
        <is>
          <t>Quinate Consulting (Pty) Ltd</t>
        </is>
      </c>
      <c r="B17559" s="4" t="n">
        <v>45291</v>
      </c>
      <c r="C17559" s="3" t="inlineStr">
        <is>
          <t>Assets</t>
        </is>
      </c>
      <c r="D17559" s="3" t="inlineStr">
        <is>
          <t>7800/104</t>
        </is>
      </c>
      <c r="E17559" s="3" t="inlineStr">
        <is>
          <t>Stock - Closing Stock SW - 28 Feb 21</t>
        </is>
      </c>
      <c r="F17559" s="3" t="n">
        <v>0</v>
      </c>
      <c r="G17559" s="3" t="n">
        <v>2874478.88</v>
      </c>
    </row>
    <row r="17560">
      <c r="A17560" s="3" t="inlineStr">
        <is>
          <t>Quinate Consulting (Pty) Ltd</t>
        </is>
      </c>
      <c r="B17560" s="4" t="n">
        <v>45291</v>
      </c>
      <c r="C17560" s="3" t="inlineStr">
        <is>
          <t>Assets</t>
        </is>
      </c>
      <c r="D17560" s="3" t="inlineStr">
        <is>
          <t>7800/105</t>
        </is>
      </c>
      <c r="E17560" s="3" t="inlineStr">
        <is>
          <t>Stock - Closing Stock SH - 28 Feb 21</t>
        </is>
      </c>
      <c r="F17560" s="3" t="n">
        <v>0</v>
      </c>
      <c r="G17560" s="3" t="n">
        <v>2843477.6</v>
      </c>
    </row>
    <row r="17561">
      <c r="A17561" s="3" t="inlineStr">
        <is>
          <t>Endulini (Pty) Ltd</t>
        </is>
      </c>
      <c r="B17561" s="4" t="n">
        <v>45291</v>
      </c>
      <c r="C17561" s="3" t="inlineStr">
        <is>
          <t>Assets</t>
        </is>
      </c>
      <c r="D17561" s="3" t="inlineStr">
        <is>
          <t>8000/000</t>
        </is>
      </c>
      <c r="E17561" s="3" t="inlineStr">
        <is>
          <t>Customer Control Account</t>
        </is>
      </c>
      <c r="F17561" s="3" t="n">
        <v>-1123418.04</v>
      </c>
      <c r="G17561" s="3" t="n">
        <v>335821.57</v>
      </c>
    </row>
    <row r="17562">
      <c r="A17562" s="3" t="inlineStr">
        <is>
          <t>Noble Shield (Pty) Ltd ta Go Letting</t>
        </is>
      </c>
      <c r="B17562" s="4" t="n">
        <v>45291</v>
      </c>
      <c r="C17562" s="3" t="inlineStr">
        <is>
          <t>Assets</t>
        </is>
      </c>
      <c r="D17562" s="3" t="inlineStr">
        <is>
          <t>8000/000</t>
        </is>
      </c>
      <c r="E17562" s="3" t="inlineStr">
        <is>
          <t>Customer Control Account</t>
        </is>
      </c>
      <c r="F17562" s="3" t="n">
        <v>0</v>
      </c>
      <c r="G17562" s="3" t="n">
        <v>60289.32</v>
      </c>
    </row>
    <row r="17563">
      <c r="A17563" s="3" t="inlineStr">
        <is>
          <t>Opportunity Global Investment (PTY) LTD</t>
        </is>
      </c>
      <c r="B17563" s="4" t="n">
        <v>45291</v>
      </c>
      <c r="C17563" s="3" t="inlineStr">
        <is>
          <t>Assets</t>
        </is>
      </c>
      <c r="D17563" s="3" t="inlineStr">
        <is>
          <t>8000/000</t>
        </is>
      </c>
      <c r="E17563" s="3" t="inlineStr">
        <is>
          <t>Customer Control Account</t>
        </is>
      </c>
      <c r="F17563" s="3" t="n">
        <v>0</v>
      </c>
      <c r="G17563" s="3" t="n">
        <v>15899.15</v>
      </c>
    </row>
    <row r="17564">
      <c r="A17564" s="3" t="inlineStr">
        <is>
          <t>Opportunity Global Sales (PTY) LTD</t>
        </is>
      </c>
      <c r="B17564" s="4" t="n">
        <v>45291</v>
      </c>
      <c r="C17564" s="3" t="inlineStr">
        <is>
          <t>Assets</t>
        </is>
      </c>
      <c r="D17564" s="3" t="inlineStr">
        <is>
          <t>8000/000</t>
        </is>
      </c>
      <c r="E17564" s="3" t="inlineStr">
        <is>
          <t>Customer Control Account</t>
        </is>
      </c>
      <c r="F17564" s="3" t="n">
        <v>-77500</v>
      </c>
      <c r="G17564" s="3" t="n">
        <v>484010.93</v>
      </c>
    </row>
    <row r="17565">
      <c r="A17565" s="3" t="inlineStr">
        <is>
          <t>Opportunity Management Holdings (PTY) LTD</t>
        </is>
      </c>
      <c r="B17565" s="4" t="n">
        <v>45291</v>
      </c>
      <c r="C17565" s="3" t="inlineStr">
        <is>
          <t>Assets</t>
        </is>
      </c>
      <c r="D17565" s="3" t="inlineStr">
        <is>
          <t>8000/000</t>
        </is>
      </c>
      <c r="E17565" s="3" t="inlineStr">
        <is>
          <t>Customer Control Account</t>
        </is>
      </c>
      <c r="F17565" s="3" t="n">
        <v>0</v>
      </c>
      <c r="G17565" s="3" t="n">
        <v>460000</v>
      </c>
    </row>
    <row r="17566">
      <c r="A17566" s="3" t="inlineStr">
        <is>
          <t>Quinate Consulting (Pty) Ltd</t>
        </is>
      </c>
      <c r="B17566" s="4" t="n">
        <v>45291</v>
      </c>
      <c r="C17566" s="3" t="inlineStr">
        <is>
          <t>Assets</t>
        </is>
      </c>
      <c r="D17566" s="3" t="inlineStr">
        <is>
          <t>8000/000</t>
        </is>
      </c>
      <c r="E17566" s="3" t="inlineStr">
        <is>
          <t>Customer Control Account</t>
        </is>
      </c>
      <c r="F17566" s="3" t="n">
        <v>37823.7</v>
      </c>
      <c r="G17566" s="3" t="n">
        <v>75984.66</v>
      </c>
    </row>
    <row r="17567">
      <c r="A17567" s="3" t="inlineStr">
        <is>
          <t>Quinate Consulting (Pty) Ltd</t>
        </is>
      </c>
      <c r="B17567" s="4" t="n">
        <v>45291</v>
      </c>
      <c r="C17567" s="3" t="inlineStr">
        <is>
          <t>Assets</t>
        </is>
      </c>
      <c r="D17567" s="3" t="inlineStr">
        <is>
          <t>8001</t>
        </is>
      </c>
      <c r="E17567" s="3" t="inlineStr">
        <is>
          <t>Customer Control</t>
        </is>
      </c>
      <c r="F17567" s="3" t="n">
        <v>0</v>
      </c>
      <c r="G17567" s="3" t="n">
        <v>29487.49</v>
      </c>
    </row>
    <row r="17568">
      <c r="A17568" s="3" t="inlineStr">
        <is>
          <t>Quinate Consulting (Pty) Ltd</t>
        </is>
      </c>
      <c r="B17568" s="4" t="n">
        <v>45291</v>
      </c>
      <c r="C17568" s="3" t="inlineStr">
        <is>
          <t>Assets</t>
        </is>
      </c>
      <c r="D17568" s="3" t="inlineStr">
        <is>
          <t>8200/010</t>
        </is>
      </c>
      <c r="E17568" s="3" t="inlineStr">
        <is>
          <t>Prepayments / Prepaid Expenses</t>
        </is>
      </c>
      <c r="F17568" s="3" t="n">
        <v>0</v>
      </c>
      <c r="G17568" s="3" t="n">
        <v>109675</v>
      </c>
    </row>
    <row r="17569">
      <c r="A17569" s="3" t="inlineStr">
        <is>
          <t>Opportunity Management Holdings (PTY) LTD</t>
        </is>
      </c>
      <c r="B17569" s="4" t="n">
        <v>45291</v>
      </c>
      <c r="C17569" s="3" t="inlineStr">
        <is>
          <t>Assets</t>
        </is>
      </c>
      <c r="D17569" s="3" t="inlineStr">
        <is>
          <t>8200/020</t>
        </is>
      </c>
      <c r="E17569" s="3" t="inlineStr">
        <is>
          <t>Staff Loan - Nicolene Smit</t>
        </is>
      </c>
      <c r="F17569" s="3" t="n">
        <v>0</v>
      </c>
      <c r="G17569" s="3" t="n">
        <v>2000</v>
      </c>
    </row>
    <row r="17570">
      <c r="A17570" s="3" t="inlineStr">
        <is>
          <t>Opportunity Management Holdings (PTY) LTD</t>
        </is>
      </c>
      <c r="B17570" s="4" t="n">
        <v>45291</v>
      </c>
      <c r="C17570" s="3" t="inlineStr">
        <is>
          <t>Assets</t>
        </is>
      </c>
      <c r="D17570" s="3" t="inlineStr">
        <is>
          <t>8200/040</t>
        </is>
      </c>
      <c r="E17570" s="3" t="inlineStr">
        <is>
          <t>Staff Loan - L</t>
        </is>
      </c>
      <c r="F17570" s="3" t="n">
        <v>-1901.61</v>
      </c>
      <c r="G17570" s="3" t="n">
        <v>0</v>
      </c>
    </row>
    <row r="17571">
      <c r="A17571" s="3" t="inlineStr">
        <is>
          <t>Opportunity Global Sales (PTY) LTD</t>
        </is>
      </c>
      <c r="B17571" s="4" t="n">
        <v>45291</v>
      </c>
      <c r="C17571" s="3" t="inlineStr">
        <is>
          <t>Assets</t>
        </is>
      </c>
      <c r="D17571" s="3" t="inlineStr">
        <is>
          <t>8300/200</t>
        </is>
      </c>
      <c r="E17571" s="3" t="inlineStr">
        <is>
          <t>Staff Loan - Mario Stoop</t>
        </is>
      </c>
      <c r="F17571" s="3" t="n">
        <v>-1500</v>
      </c>
      <c r="G17571" s="3" t="n">
        <v>6000</v>
      </c>
    </row>
    <row r="17572">
      <c r="A17572" s="3" t="inlineStr">
        <is>
          <t>Opportunity Global Investment (PTY) LTD</t>
        </is>
      </c>
      <c r="B17572" s="4" t="n">
        <v>45291</v>
      </c>
      <c r="C17572" s="3" t="inlineStr">
        <is>
          <t>Assets</t>
        </is>
      </c>
      <c r="D17572" s="3" t="inlineStr">
        <is>
          <t>8400/000</t>
        </is>
      </c>
      <c r="E17572" s="3" t="inlineStr">
        <is>
          <t>FNB 62093491696</t>
        </is>
      </c>
      <c r="F17572" s="3" t="n">
        <v>16676.77</v>
      </c>
      <c r="G17572" s="3" t="n">
        <v>49047.17</v>
      </c>
    </row>
    <row r="17573">
      <c r="A17573" s="3" t="inlineStr">
        <is>
          <t>Opportunity Global Sales (PTY) LTD</t>
        </is>
      </c>
      <c r="B17573" s="4" t="n">
        <v>45291</v>
      </c>
      <c r="C17573" s="3" t="inlineStr">
        <is>
          <t>Assets</t>
        </is>
      </c>
      <c r="D17573" s="3" t="inlineStr">
        <is>
          <t>8400/000</t>
        </is>
      </c>
      <c r="E17573" s="3" t="inlineStr">
        <is>
          <t>FNB 62835620875</t>
        </is>
      </c>
      <c r="F17573" s="3" t="n">
        <v>-20974.11</v>
      </c>
      <c r="G17573" s="3" t="n">
        <v>27270.56</v>
      </c>
    </row>
    <row r="17574">
      <c r="A17574" s="3" t="inlineStr">
        <is>
          <t>Quinate Consulting (Pty) Ltd</t>
        </is>
      </c>
      <c r="B17574" s="4" t="n">
        <v>45291</v>
      </c>
      <c r="C17574" s="3" t="inlineStr">
        <is>
          <t>Assets</t>
        </is>
      </c>
      <c r="D17574" s="3" t="inlineStr">
        <is>
          <t>8400/000</t>
        </is>
      </c>
      <c r="E17574" s="3" t="inlineStr">
        <is>
          <t>RMB - 62736659189 - Call Acc</t>
        </is>
      </c>
      <c r="F17574" s="3" t="n">
        <v>2926519.83</v>
      </c>
      <c r="G17574" s="3" t="n">
        <v>3078619.83</v>
      </c>
    </row>
    <row r="17575">
      <c r="A17575" s="3" t="inlineStr">
        <is>
          <t>Trademark Holdings (Pty) Ltd</t>
        </is>
      </c>
      <c r="B17575" s="4" t="n">
        <v>45291</v>
      </c>
      <c r="C17575" s="3" t="inlineStr">
        <is>
          <t>Assets</t>
        </is>
      </c>
      <c r="D17575" s="3" t="inlineStr">
        <is>
          <t>8400/000</t>
        </is>
      </c>
      <c r="E17575" s="3" t="inlineStr">
        <is>
          <t>RMB 623 693 03640</t>
        </is>
      </c>
      <c r="F17575" s="3" t="n">
        <v>25727.67</v>
      </c>
      <c r="G17575" s="3" t="n">
        <v>81525.67999999999</v>
      </c>
    </row>
    <row r="17576">
      <c r="A17576" s="3" t="inlineStr">
        <is>
          <t>Noble Shield (Pty) Ltd ta Go Letting</t>
        </is>
      </c>
      <c r="B17576" s="4" t="n">
        <v>45291</v>
      </c>
      <c r="C17576" s="3" t="inlineStr">
        <is>
          <t>Assets</t>
        </is>
      </c>
      <c r="D17576" s="3" t="inlineStr">
        <is>
          <t>8400/000</t>
        </is>
      </c>
      <c r="E17576" s="3" t="inlineStr">
        <is>
          <t>RMB 6250 573 3833</t>
        </is>
      </c>
      <c r="F17576" s="3" t="n">
        <v>8622.110000000001</v>
      </c>
      <c r="G17576" s="3" t="n">
        <v>54060.75</v>
      </c>
    </row>
    <row r="17577">
      <c r="A17577" s="3" t="inlineStr">
        <is>
          <t>Endulini (Pty) Ltd</t>
        </is>
      </c>
      <c r="B17577" s="4" t="n">
        <v>45291</v>
      </c>
      <c r="C17577" s="3" t="inlineStr">
        <is>
          <t>Assets</t>
        </is>
      </c>
      <c r="D17577" s="3" t="inlineStr">
        <is>
          <t>8400/000</t>
        </is>
      </c>
      <c r="E17577" s="3" t="inlineStr">
        <is>
          <t>RMB 62906944576</t>
        </is>
      </c>
      <c r="F17577" s="3" t="n">
        <v>-1129042.21</v>
      </c>
      <c r="G17577" s="3" t="n">
        <v>149442.57</v>
      </c>
    </row>
    <row r="17578">
      <c r="A17578" s="3" t="inlineStr">
        <is>
          <t>Opportunity Management Holdings (PTY) LTD</t>
        </is>
      </c>
      <c r="B17578" s="4" t="n">
        <v>45291</v>
      </c>
      <c r="C17578" s="3" t="inlineStr">
        <is>
          <t>Assets</t>
        </is>
      </c>
      <c r="D17578" s="3" t="inlineStr">
        <is>
          <t>8400/000</t>
        </is>
      </c>
      <c r="E17578" s="3" t="inlineStr">
        <is>
          <t>RMB Cheq - 62312246920</t>
        </is>
      </c>
      <c r="F17578" s="3" t="n">
        <v>51082.28</v>
      </c>
      <c r="G17578" s="3" t="n">
        <v>107317.2</v>
      </c>
    </row>
    <row r="17579">
      <c r="A17579" s="3" t="inlineStr">
        <is>
          <t>Opportunity Global Investment (PTY) LTD</t>
        </is>
      </c>
      <c r="B17579" s="4" t="n">
        <v>45291</v>
      </c>
      <c r="C17579" s="3" t="inlineStr">
        <is>
          <t>Assets</t>
        </is>
      </c>
      <c r="D17579" s="3" t="inlineStr">
        <is>
          <t>8405/000</t>
        </is>
      </c>
      <c r="E17579" s="3" t="inlineStr">
        <is>
          <t>FNB Trust 62762449265</t>
        </is>
      </c>
      <c r="F17579" s="3" t="n">
        <v>0</v>
      </c>
      <c r="G17579" s="3" t="n">
        <v>1141.1</v>
      </c>
    </row>
    <row r="17580">
      <c r="A17580" s="3" t="inlineStr">
        <is>
          <t>Endulini (Pty) Ltd</t>
        </is>
      </c>
      <c r="B17580" s="4" t="n">
        <v>45291</v>
      </c>
      <c r="C17580" s="3" t="inlineStr">
        <is>
          <t>Assets</t>
        </is>
      </c>
      <c r="D17580" s="3" t="inlineStr">
        <is>
          <t>8410/000</t>
        </is>
      </c>
      <c r="E17580" s="3" t="inlineStr">
        <is>
          <t>Momentum Investor Account : RU 502229883</t>
        </is>
      </c>
      <c r="F17580" s="3" t="n">
        <v>0</v>
      </c>
      <c r="G17580" s="3" t="n">
        <v>24.03</v>
      </c>
    </row>
    <row r="17581">
      <c r="A17581" s="3" t="inlineStr">
        <is>
          <t>Opportunity Management Holdings (PTY) LTD</t>
        </is>
      </c>
      <c r="B17581" s="4" t="n">
        <v>45291</v>
      </c>
      <c r="C17581" s="3" t="inlineStr">
        <is>
          <t>Assets</t>
        </is>
      </c>
      <c r="D17581" s="3" t="inlineStr">
        <is>
          <t>8410/000</t>
        </is>
      </c>
      <c r="E17581" s="3" t="inlineStr">
        <is>
          <t>RMB Call Acc - 62312248851</t>
        </is>
      </c>
      <c r="F17581" s="3" t="n">
        <v>0</v>
      </c>
      <c r="G17581" s="3" t="n">
        <v>1432.34</v>
      </c>
    </row>
    <row r="17582">
      <c r="A17582" s="3" t="inlineStr">
        <is>
          <t>Noble Shield (Pty) Ltd ta Go Letting</t>
        </is>
      </c>
      <c r="B17582" s="4" t="n">
        <v>45291</v>
      </c>
      <c r="C17582" s="3" t="inlineStr">
        <is>
          <t>Assets</t>
        </is>
      </c>
      <c r="D17582" s="3" t="inlineStr">
        <is>
          <t>8410/000</t>
        </is>
      </c>
      <c r="E17582" s="3" t="inlineStr">
        <is>
          <t>RMB Trust Acc - 6250 615 1365</t>
        </is>
      </c>
      <c r="F17582" s="3" t="n">
        <v>0</v>
      </c>
      <c r="G17582" s="3" t="n">
        <v>881.61</v>
      </c>
    </row>
    <row r="17583">
      <c r="A17583" s="3" t="inlineStr">
        <is>
          <t>Quinate Consulting (Pty) Ltd</t>
        </is>
      </c>
      <c r="B17583" s="4" t="n">
        <v>45291</v>
      </c>
      <c r="C17583" s="3" t="inlineStr">
        <is>
          <t>Assets</t>
        </is>
      </c>
      <c r="D17583" s="3" t="inlineStr">
        <is>
          <t>8415/000</t>
        </is>
      </c>
      <c r="E17583" s="3" t="inlineStr">
        <is>
          <t>STD Acc 071 958 959 - Facility Acc</t>
        </is>
      </c>
      <c r="F17583" s="3" t="n">
        <v>0</v>
      </c>
      <c r="G17583" s="3" t="n">
        <v>2616.21</v>
      </c>
    </row>
    <row r="17584">
      <c r="A17584" s="3" t="inlineStr">
        <is>
          <t>Trademark Holdings (Pty) Ltd</t>
        </is>
      </c>
      <c r="B17584" s="4" t="n">
        <v>45291</v>
      </c>
      <c r="C17584" s="3" t="inlineStr">
        <is>
          <t>Assets</t>
        </is>
      </c>
      <c r="D17584" s="3" t="inlineStr">
        <is>
          <t>8420/000</t>
        </is>
      </c>
      <c r="E17584" s="3" t="inlineStr">
        <is>
          <t>FNB Credit Card</t>
        </is>
      </c>
      <c r="F17584" s="3" t="n">
        <v>52</v>
      </c>
      <c r="G17584" s="3" t="n">
        <v>572</v>
      </c>
    </row>
    <row r="17585">
      <c r="A17585" s="3" t="inlineStr">
        <is>
          <t>Quinate Consulting (Pty) Ltd</t>
        </is>
      </c>
      <c r="B17585" s="4" t="n">
        <v>45291</v>
      </c>
      <c r="C17585" s="3" t="inlineStr">
        <is>
          <t>Assets</t>
        </is>
      </c>
      <c r="D17585" s="3" t="inlineStr">
        <is>
          <t>8430/000</t>
        </is>
      </c>
      <c r="E17585" s="3" t="inlineStr">
        <is>
          <t>Momentum Investment Acc - RU502230185</t>
        </is>
      </c>
      <c r="F17585" s="3" t="n">
        <v>0</v>
      </c>
      <c r="G17585" s="3" t="n">
        <v>563.74</v>
      </c>
    </row>
    <row r="17586">
      <c r="A17586" s="3" t="inlineStr">
        <is>
          <t>Opportunity Global Investment (PTY) LTD</t>
        </is>
      </c>
      <c r="B17586" s="4" t="n">
        <v>45291</v>
      </c>
      <c r="C17586" s="3" t="inlineStr">
        <is>
          <t>Assets</t>
        </is>
      </c>
      <c r="D17586" s="3" t="inlineStr">
        <is>
          <t>8440/000</t>
        </is>
      </c>
      <c r="E17586" s="3" t="inlineStr">
        <is>
          <t>FNB - Call 627602764438</t>
        </is>
      </c>
      <c r="F17586" s="3" t="n">
        <v>-4.74</v>
      </c>
      <c r="G17586" s="3" t="n">
        <v>-39158.07</v>
      </c>
    </row>
    <row r="17587">
      <c r="A17587" s="3" t="inlineStr">
        <is>
          <t>Opportunity Global Investment (PTY) LTD</t>
        </is>
      </c>
      <c r="B17587" s="4" t="n">
        <v>45291</v>
      </c>
      <c r="C17587" s="3" t="inlineStr">
        <is>
          <t>Assets</t>
        </is>
      </c>
      <c r="D17587" s="3" t="inlineStr">
        <is>
          <t>8445/000</t>
        </is>
      </c>
      <c r="E17587" s="3" t="inlineStr">
        <is>
          <t>Momentum RU502230096</t>
        </is>
      </c>
      <c r="F17587" s="3" t="n">
        <v>0</v>
      </c>
      <c r="G17587" s="3" t="n">
        <v>4973.81</v>
      </c>
    </row>
    <row r="17588">
      <c r="A17588" s="3" t="inlineStr">
        <is>
          <t>Quinate Consulting (Pty) Ltd</t>
        </is>
      </c>
      <c r="B17588" s="4" t="n">
        <v>45291</v>
      </c>
      <c r="C17588" s="3" t="inlineStr">
        <is>
          <t>Assets</t>
        </is>
      </c>
      <c r="D17588" s="3" t="inlineStr">
        <is>
          <t>8450/000</t>
        </is>
      </c>
      <c r="E17588" s="3" t="inlineStr">
        <is>
          <t>A RMB 62275810820</t>
        </is>
      </c>
      <c r="F17588" s="3" t="n">
        <v>113792.8</v>
      </c>
      <c r="G17588" s="3" t="n">
        <v>219701.95</v>
      </c>
    </row>
    <row r="17589">
      <c r="A17589" s="3" t="inlineStr">
        <is>
          <t>Opportunity Management Holdings (PTY) LTD</t>
        </is>
      </c>
      <c r="B17589" s="4" t="n">
        <v>45291</v>
      </c>
      <c r="C17589" s="3" t="inlineStr">
        <is>
          <t>Assets</t>
        </is>
      </c>
      <c r="D17589" s="3" t="inlineStr">
        <is>
          <t>8450/000</t>
        </is>
      </c>
      <c r="E17589" s="3" t="inlineStr">
        <is>
          <t>Petty Cash - CT Office</t>
        </is>
      </c>
      <c r="F17589" s="3" t="n">
        <v>0</v>
      </c>
      <c r="G17589" s="3" t="n">
        <v>1016.2</v>
      </c>
    </row>
    <row r="17590">
      <c r="A17590" s="3" t="inlineStr">
        <is>
          <t>Quinate Consulting (Pty) Ltd</t>
        </is>
      </c>
      <c r="B17590" s="4" t="n">
        <v>45291</v>
      </c>
      <c r="C17590" s="3" t="inlineStr">
        <is>
          <t>Assets</t>
        </is>
      </c>
      <c r="D17590" s="3" t="inlineStr">
        <is>
          <t>8470/000</t>
        </is>
      </c>
      <c r="E17590" s="3" t="inlineStr">
        <is>
          <t>ABSA: Quinate</t>
        </is>
      </c>
      <c r="F17590" s="3" t="n">
        <v>0</v>
      </c>
      <c r="G17590" s="3" t="n">
        <v>500</v>
      </c>
    </row>
    <row r="17591">
      <c r="A17591" s="3" t="inlineStr">
        <is>
          <t>Quinate Consulting (Pty) Ltd</t>
        </is>
      </c>
      <c r="B17591" s="4" t="n">
        <v>45291</v>
      </c>
      <c r="C17591" s="3" t="inlineStr">
        <is>
          <t>Liabilities</t>
        </is>
      </c>
      <c r="D17591" s="3" t="inlineStr">
        <is>
          <t>8480/100</t>
        </is>
      </c>
      <c r="E17591" s="3" t="inlineStr">
        <is>
          <t>Bond - SH20 - STD Bank 532010558</t>
        </is>
      </c>
      <c r="F17591" s="3" t="n">
        <v>16629.24</v>
      </c>
      <c r="G17591" s="3" t="n">
        <v>-1299363.89</v>
      </c>
    </row>
    <row r="17592">
      <c r="A17592" s="3" t="inlineStr">
        <is>
          <t>Quinate Consulting (Pty) Ltd</t>
        </is>
      </c>
      <c r="B17592" s="4" t="n">
        <v>45291</v>
      </c>
      <c r="C17592" s="3" t="inlineStr">
        <is>
          <t>Liabilities</t>
        </is>
      </c>
      <c r="D17592" s="3" t="inlineStr">
        <is>
          <t>8480/200</t>
        </is>
      </c>
      <c r="E17592" s="3" t="inlineStr">
        <is>
          <t>Bond - SH23 - STD Bank 532010035</t>
        </is>
      </c>
      <c r="F17592" s="3" t="n">
        <v>16624.21</v>
      </c>
      <c r="G17592" s="3" t="n">
        <v>-1299248.44</v>
      </c>
    </row>
    <row r="17593">
      <c r="A17593" s="3" t="inlineStr">
        <is>
          <t>Quinate Consulting (Pty) Ltd</t>
        </is>
      </c>
      <c r="B17593" s="4" t="n">
        <v>45291</v>
      </c>
      <c r="C17593" s="3" t="inlineStr">
        <is>
          <t>Liabilities</t>
        </is>
      </c>
      <c r="D17593" s="3" t="inlineStr">
        <is>
          <t>8480/300</t>
        </is>
      </c>
      <c r="E17593" s="3" t="inlineStr">
        <is>
          <t>Bond - SH24 - STD Bank 532372662</t>
        </is>
      </c>
      <c r="F17593" s="3" t="n">
        <v>15793.82</v>
      </c>
      <c r="G17593" s="3" t="n">
        <v>-1412572.94</v>
      </c>
    </row>
    <row r="17594">
      <c r="A17594" s="3" t="inlineStr">
        <is>
          <t>Quinate Consulting (Pty) Ltd</t>
        </is>
      </c>
      <c r="B17594" s="4" t="n">
        <v>45291</v>
      </c>
      <c r="C17594" s="3" t="inlineStr">
        <is>
          <t>Liabilities</t>
        </is>
      </c>
      <c r="D17594" s="3" t="inlineStr">
        <is>
          <t>8480/400</t>
        </is>
      </c>
      <c r="E17594" s="3" t="inlineStr">
        <is>
          <t>Bond - SW01 - STD Bank 532920627</t>
        </is>
      </c>
      <c r="F17594" s="3" t="n">
        <v>13420.79</v>
      </c>
      <c r="G17594" s="3" t="n">
        <v>-1263047.02</v>
      </c>
    </row>
    <row r="17595">
      <c r="A17595" s="3" t="inlineStr">
        <is>
          <t>Quinate Consulting (Pty) Ltd</t>
        </is>
      </c>
      <c r="B17595" s="4" t="n">
        <v>45291</v>
      </c>
      <c r="C17595" s="3" t="inlineStr">
        <is>
          <t>Liabilities</t>
        </is>
      </c>
      <c r="D17595" s="3" t="inlineStr">
        <is>
          <t>8480/401</t>
        </is>
      </c>
      <c r="E17595" s="3" t="inlineStr">
        <is>
          <t>Bond - SW21 - STD Bank 532920597</t>
        </is>
      </c>
      <c r="F17595" s="3" t="n">
        <v>13426.02</v>
      </c>
      <c r="G17595" s="3" t="n">
        <v>-1263548.37</v>
      </c>
    </row>
    <row r="17596">
      <c r="A17596" s="3" t="inlineStr">
        <is>
          <t>Endulini (Pty) Ltd</t>
        </is>
      </c>
      <c r="B17596" s="4" t="n">
        <v>45291</v>
      </c>
      <c r="C17596" s="3" t="inlineStr">
        <is>
          <t>Liabilities</t>
        </is>
      </c>
      <c r="D17596" s="3" t="inlineStr">
        <is>
          <t>860</t>
        </is>
      </c>
      <c r="E17596" s="3" t="inlineStr">
        <is>
          <t>Rounding</t>
        </is>
      </c>
      <c r="F17596" s="3" t="n">
        <v>0.02</v>
      </c>
      <c r="G17596" s="3" t="n">
        <v>0.04</v>
      </c>
    </row>
    <row r="17597">
      <c r="A17597" s="3" t="inlineStr">
        <is>
          <t>Opportunity Global Investment (PTY) LTD</t>
        </is>
      </c>
      <c r="B17597" s="4" t="n">
        <v>45291</v>
      </c>
      <c r="C17597" s="3" t="inlineStr">
        <is>
          <t>Liabilities</t>
        </is>
      </c>
      <c r="D17597" s="3" t="inlineStr">
        <is>
          <t>860</t>
        </is>
      </c>
      <c r="E17597" s="3" t="inlineStr">
        <is>
          <t>Rounding</t>
        </is>
      </c>
      <c r="F17597" s="3" t="n">
        <v>0</v>
      </c>
      <c r="G17597" s="3" t="n">
        <v>-0.29</v>
      </c>
    </row>
    <row r="17598">
      <c r="A17598" s="3" t="inlineStr">
        <is>
          <t>Opportunity Global Sales (PTY) LTD</t>
        </is>
      </c>
      <c r="B17598" s="4" t="n">
        <v>45291</v>
      </c>
      <c r="C17598" s="3" t="inlineStr">
        <is>
          <t>Liabilities</t>
        </is>
      </c>
      <c r="D17598" s="3" t="inlineStr">
        <is>
          <t>860</t>
        </is>
      </c>
      <c r="E17598" s="3" t="inlineStr">
        <is>
          <t>Rounding</t>
        </is>
      </c>
      <c r="F17598" s="3" t="n">
        <v>0</v>
      </c>
      <c r="G17598" s="3" t="n">
        <v>-0.98</v>
      </c>
    </row>
    <row r="17599">
      <c r="A17599" s="3" t="inlineStr">
        <is>
          <t>Opportunity Management Holdings (PTY) LTD</t>
        </is>
      </c>
      <c r="B17599" s="4" t="n">
        <v>45291</v>
      </c>
      <c r="C17599" s="3" t="inlineStr">
        <is>
          <t>Liabilities</t>
        </is>
      </c>
      <c r="D17599" s="3" t="inlineStr">
        <is>
          <t>860</t>
        </is>
      </c>
      <c r="E17599" s="3" t="inlineStr">
        <is>
          <t>Rounding</t>
        </is>
      </c>
      <c r="F17599" s="3" t="n">
        <v>0</v>
      </c>
      <c r="G17599" s="3" t="n">
        <v>-0.01</v>
      </c>
    </row>
    <row r="17600">
      <c r="A17600" s="3" t="inlineStr">
        <is>
          <t>Quinate Consulting (Pty) Ltd</t>
        </is>
      </c>
      <c r="B17600" s="4" t="n">
        <v>45291</v>
      </c>
      <c r="C17600" s="3" t="inlineStr">
        <is>
          <t>Liabilities</t>
        </is>
      </c>
      <c r="D17600" s="3" t="inlineStr">
        <is>
          <t>860</t>
        </is>
      </c>
      <c r="E17600" s="3" t="inlineStr">
        <is>
          <t>Rounding</t>
        </is>
      </c>
      <c r="F17600" s="3" t="n">
        <v>0</v>
      </c>
      <c r="G17600" s="3" t="n">
        <v>-4.57</v>
      </c>
    </row>
    <row r="17601">
      <c r="A17601" s="3" t="inlineStr">
        <is>
          <t>Trademark Holdings (Pty) Ltd</t>
        </is>
      </c>
      <c r="B17601" s="4" t="n">
        <v>45291</v>
      </c>
      <c r="C17601" s="3" t="inlineStr">
        <is>
          <t>Liabilities</t>
        </is>
      </c>
      <c r="D17601" s="3" t="inlineStr">
        <is>
          <t>860</t>
        </is>
      </c>
      <c r="E17601" s="3" t="inlineStr">
        <is>
          <t>Rounding</t>
        </is>
      </c>
      <c r="F17601" s="3" t="n">
        <v>0</v>
      </c>
      <c r="G17601" s="3" t="n">
        <v>0.2</v>
      </c>
    </row>
    <row r="17602">
      <c r="A17602" s="3" t="inlineStr">
        <is>
          <t>Endulini (Pty) Ltd</t>
        </is>
      </c>
      <c r="B17602" s="4" t="n">
        <v>45291</v>
      </c>
      <c r="C17602" s="3" t="inlineStr">
        <is>
          <t>Liabilities</t>
        </is>
      </c>
      <c r="D17602" s="3" t="inlineStr">
        <is>
          <t>9000/000</t>
        </is>
      </c>
      <c r="E17602" s="3" t="inlineStr">
        <is>
          <t>Supplier Control Account</t>
        </is>
      </c>
      <c r="F17602" s="3" t="n">
        <v>3486112.83</v>
      </c>
      <c r="G17602" s="3" t="n">
        <v>-671300.74</v>
      </c>
    </row>
    <row r="17603">
      <c r="A17603" s="3" t="inlineStr">
        <is>
          <t>Noble Shield (Pty) Ltd ta Go Letting</t>
        </is>
      </c>
      <c r="B17603" s="4" t="n">
        <v>45291</v>
      </c>
      <c r="C17603" s="3" t="inlineStr">
        <is>
          <t>Liabilities</t>
        </is>
      </c>
      <c r="D17603" s="3" t="inlineStr">
        <is>
          <t>9000/000</t>
        </is>
      </c>
      <c r="E17603" s="3" t="inlineStr">
        <is>
          <t>Supplier Control Account</t>
        </is>
      </c>
      <c r="F17603" s="3" t="n">
        <v>-3863.2</v>
      </c>
      <c r="G17603" s="3" t="n">
        <v>-24369.63</v>
      </c>
    </row>
    <row r="17604">
      <c r="A17604" s="3" t="inlineStr">
        <is>
          <t>Opportunity Global Investment (PTY) LTD</t>
        </is>
      </c>
      <c r="B17604" s="4" t="n">
        <v>45291</v>
      </c>
      <c r="C17604" s="3" t="inlineStr">
        <is>
          <t>Liabilities</t>
        </is>
      </c>
      <c r="D17604" s="3" t="inlineStr">
        <is>
          <t>9000/000</t>
        </is>
      </c>
      <c r="E17604" s="3" t="inlineStr">
        <is>
          <t>Supplier Control Account</t>
        </is>
      </c>
      <c r="F17604" s="3" t="n">
        <v>59737.5</v>
      </c>
      <c r="G17604" s="3" t="n">
        <v>41347.84</v>
      </c>
    </row>
    <row r="17605">
      <c r="A17605" s="3" t="inlineStr">
        <is>
          <t>Opportunity Global Sales (PTY) LTD</t>
        </is>
      </c>
      <c r="B17605" s="4" t="n">
        <v>45291</v>
      </c>
      <c r="C17605" s="3" t="inlineStr">
        <is>
          <t>Liabilities</t>
        </is>
      </c>
      <c r="D17605" s="3" t="inlineStr">
        <is>
          <t>9000/000</t>
        </is>
      </c>
      <c r="E17605" s="3" t="inlineStr">
        <is>
          <t>Supplier Control Account</t>
        </is>
      </c>
      <c r="F17605" s="3" t="n">
        <v>3975</v>
      </c>
      <c r="G17605" s="3" t="n">
        <v>-3816.91</v>
      </c>
    </row>
    <row r="17606">
      <c r="A17606" s="3" t="inlineStr">
        <is>
          <t>Opportunity Management Holdings (PTY) LTD</t>
        </is>
      </c>
      <c r="B17606" s="4" t="n">
        <v>45291</v>
      </c>
      <c r="C17606" s="3" t="inlineStr">
        <is>
          <t>Liabilities</t>
        </is>
      </c>
      <c r="D17606" s="3" t="inlineStr">
        <is>
          <t>9000/000</t>
        </is>
      </c>
      <c r="E17606" s="3" t="inlineStr">
        <is>
          <t>Supplier Control Account</t>
        </is>
      </c>
      <c r="F17606" s="3" t="n">
        <v>-1360.28</v>
      </c>
      <c r="G17606" s="3" t="n">
        <v>-285187.82</v>
      </c>
    </row>
    <row r="17607">
      <c r="A17607" s="3" t="inlineStr">
        <is>
          <t>Quinate Consulting (Pty) Ltd</t>
        </is>
      </c>
      <c r="B17607" s="4" t="n">
        <v>45291</v>
      </c>
      <c r="C17607" s="3" t="inlineStr">
        <is>
          <t>Liabilities</t>
        </is>
      </c>
      <c r="D17607" s="3" t="inlineStr">
        <is>
          <t>9000/000</t>
        </is>
      </c>
      <c r="E17607" s="3" t="inlineStr">
        <is>
          <t>Supplier Control Account</t>
        </is>
      </c>
      <c r="F17607" s="3" t="n">
        <v>3455.05</v>
      </c>
      <c r="G17607" s="3" t="n">
        <v>497428.18</v>
      </c>
    </row>
    <row r="17608">
      <c r="A17608" s="3" t="inlineStr">
        <is>
          <t>Trademark Holdings (Pty) Ltd</t>
        </is>
      </c>
      <c r="B17608" s="4" t="n">
        <v>45291</v>
      </c>
      <c r="C17608" s="3" t="inlineStr">
        <is>
          <t>Liabilities</t>
        </is>
      </c>
      <c r="D17608" s="3" t="inlineStr">
        <is>
          <t>9000/000</t>
        </is>
      </c>
      <c r="E17608" s="3" t="inlineStr">
        <is>
          <t>Supplier Control Account</t>
        </is>
      </c>
      <c r="F17608" s="3" t="n">
        <v>-461.75</v>
      </c>
      <c r="G17608" s="3" t="n">
        <v>-16087.62</v>
      </c>
    </row>
    <row r="17609">
      <c r="A17609" s="3" t="inlineStr">
        <is>
          <t>Quinate Consulting (Pty) Ltd</t>
        </is>
      </c>
      <c r="B17609" s="4" t="n">
        <v>45291</v>
      </c>
      <c r="C17609" s="3" t="inlineStr">
        <is>
          <t>Liabilities</t>
        </is>
      </c>
      <c r="D17609" s="3" t="inlineStr">
        <is>
          <t>9001</t>
        </is>
      </c>
      <c r="E17609" s="3" t="inlineStr">
        <is>
          <t>Supplier Control</t>
        </is>
      </c>
      <c r="F17609" s="3" t="n">
        <v>0</v>
      </c>
      <c r="G17609" s="3" t="n">
        <v>-347315.41</v>
      </c>
    </row>
    <row r="17610">
      <c r="A17610" s="3" t="inlineStr">
        <is>
          <t>Opportunity Management Holdings (PTY) LTD</t>
        </is>
      </c>
      <c r="B17610" s="4" t="n">
        <v>45291</v>
      </c>
      <c r="C17610" s="3" t="inlineStr">
        <is>
          <t>Liabilities</t>
        </is>
      </c>
      <c r="D17610" s="3" t="inlineStr">
        <is>
          <t>9100/000</t>
        </is>
      </c>
      <c r="E17610" s="3" t="inlineStr">
        <is>
          <t>PAYE/UIF/SDL Accrual - Prior Years ADJ</t>
        </is>
      </c>
      <c r="F17610" s="3" t="n">
        <v>0</v>
      </c>
      <c r="G17610" s="3" t="n">
        <v>-33739.36</v>
      </c>
    </row>
    <row r="17611">
      <c r="A17611" s="3" t="inlineStr">
        <is>
          <t>Opportunity Management Holdings (PTY) LTD</t>
        </is>
      </c>
      <c r="B17611" s="4" t="n">
        <v>45291</v>
      </c>
      <c r="C17611" s="3" t="inlineStr">
        <is>
          <t>Assets</t>
        </is>
      </c>
      <c r="D17611" s="3" t="inlineStr">
        <is>
          <t>9110/000</t>
        </is>
      </c>
      <c r="E17611" s="3" t="inlineStr">
        <is>
          <t>Deposit Received</t>
        </is>
      </c>
      <c r="F17611" s="3" t="n">
        <v>0</v>
      </c>
      <c r="G17611" s="3" t="n">
        <v>-3852.5</v>
      </c>
    </row>
    <row r="17612">
      <c r="A17612" s="3" t="inlineStr">
        <is>
          <t>Opportunity Global Investment (PTY) LTD</t>
        </is>
      </c>
      <c r="B17612" s="4" t="n">
        <v>45291</v>
      </c>
      <c r="C17612" s="3" t="inlineStr">
        <is>
          <t>Liabilities</t>
        </is>
      </c>
      <c r="D17612" s="3" t="inlineStr">
        <is>
          <t>9110/000</t>
        </is>
      </c>
      <c r="E17612" s="3" t="inlineStr">
        <is>
          <t>Taxation B/S</t>
        </is>
      </c>
      <c r="F17612" s="3" t="n">
        <v>0</v>
      </c>
      <c r="G17612" s="3" t="n">
        <v>67163.81</v>
      </c>
    </row>
    <row r="17613">
      <c r="A17613" s="3" t="inlineStr">
        <is>
          <t>Noble Shield (Pty) Ltd ta Go Letting</t>
        </is>
      </c>
      <c r="B17613" s="4" t="n">
        <v>45291</v>
      </c>
      <c r="C17613" s="3" t="inlineStr">
        <is>
          <t>Liabilities</t>
        </is>
      </c>
      <c r="D17613" s="3" t="inlineStr">
        <is>
          <t>9250/010</t>
        </is>
      </c>
      <c r="E17613" s="3" t="inlineStr">
        <is>
          <t>SALARY CONTROL</t>
        </is>
      </c>
      <c r="F17613" s="3" t="n">
        <v>-2081.28</v>
      </c>
      <c r="G17613" s="3" t="n">
        <v>-20215.92</v>
      </c>
    </row>
    <row r="17614">
      <c r="A17614" s="3" t="inlineStr">
        <is>
          <t>Opportunity Global Investment (PTY) LTD</t>
        </is>
      </c>
      <c r="B17614" s="4" t="n">
        <v>45291</v>
      </c>
      <c r="C17614" s="3" t="inlineStr">
        <is>
          <t>Liabilities</t>
        </is>
      </c>
      <c r="D17614" s="3" t="inlineStr">
        <is>
          <t>9250/010</t>
        </is>
      </c>
      <c r="E17614" s="3" t="inlineStr">
        <is>
          <t>SALARY CONTROL</t>
        </is>
      </c>
      <c r="F17614" s="3" t="n">
        <v>0</v>
      </c>
      <c r="G17614" s="3" t="n">
        <v>5000</v>
      </c>
    </row>
    <row r="17615">
      <c r="A17615" s="3" t="inlineStr">
        <is>
          <t>Opportunity Global Sales (PTY) LTD</t>
        </is>
      </c>
      <c r="B17615" s="4" t="n">
        <v>45291</v>
      </c>
      <c r="C17615" s="3" t="inlineStr">
        <is>
          <t>Liabilities</t>
        </is>
      </c>
      <c r="D17615" s="3" t="inlineStr">
        <is>
          <t>9250/010</t>
        </is>
      </c>
      <c r="E17615" s="3" t="inlineStr">
        <is>
          <t>SALARY CONTROL</t>
        </is>
      </c>
      <c r="F17615" s="3" t="n">
        <v>10239.13</v>
      </c>
      <c r="G17615" s="3" t="n">
        <v>-11031.61</v>
      </c>
    </row>
    <row r="17616">
      <c r="A17616" s="3" t="inlineStr">
        <is>
          <t>Opportunity Management Holdings (PTY) LTD</t>
        </is>
      </c>
      <c r="B17616" s="4" t="n">
        <v>45291</v>
      </c>
      <c r="C17616" s="3" t="inlineStr">
        <is>
          <t>Liabilities</t>
        </is>
      </c>
      <c r="D17616" s="3" t="inlineStr">
        <is>
          <t>9250/010</t>
        </is>
      </c>
      <c r="E17616" s="3" t="inlineStr">
        <is>
          <t>SALARY CONTROL</t>
        </is>
      </c>
      <c r="F17616" s="3" t="n">
        <v>0</v>
      </c>
      <c r="G17616" s="3" t="n">
        <v>9241.74</v>
      </c>
    </row>
    <row r="17617">
      <c r="A17617" s="3" t="inlineStr">
        <is>
          <t>Trademark Holdings (Pty) Ltd</t>
        </is>
      </c>
      <c r="B17617" s="4" t="n">
        <v>45291</v>
      </c>
      <c r="C17617" s="3" t="inlineStr">
        <is>
          <t>Liabilities</t>
        </is>
      </c>
      <c r="D17617" s="3" t="inlineStr">
        <is>
          <t>9250/010</t>
        </is>
      </c>
      <c r="E17617" s="3" t="inlineStr">
        <is>
          <t>SALARY CONTROL</t>
        </is>
      </c>
      <c r="F17617" s="3" t="n">
        <v>549.98</v>
      </c>
      <c r="G17617" s="3" t="n">
        <v>-19791.15</v>
      </c>
    </row>
    <row r="17618">
      <c r="A17618" s="3" t="inlineStr">
        <is>
          <t>Noble Shield (Pty) Ltd ta Go Letting</t>
        </is>
      </c>
      <c r="B17618" s="4" t="n">
        <v>45291</v>
      </c>
      <c r="C17618" s="3" t="inlineStr">
        <is>
          <t>Liabilities</t>
        </is>
      </c>
      <c r="D17618" s="3" t="inlineStr">
        <is>
          <t>9250/020</t>
        </is>
      </c>
      <c r="E17618" s="3" t="inlineStr">
        <is>
          <t>PAYE, UIF AND SDL CONTROL</t>
        </is>
      </c>
      <c r="F17618" s="3" t="n">
        <v>-759.38</v>
      </c>
      <c r="G17618" s="3" t="n">
        <v>-6678.03</v>
      </c>
    </row>
    <row r="17619">
      <c r="A17619" s="3" t="inlineStr">
        <is>
          <t>Opportunity Global Investment (PTY) LTD</t>
        </is>
      </c>
      <c r="B17619" s="4" t="n">
        <v>45291</v>
      </c>
      <c r="C17619" s="3" t="inlineStr">
        <is>
          <t>Liabilities</t>
        </is>
      </c>
      <c r="D17619" s="3" t="inlineStr">
        <is>
          <t>9250/020</t>
        </is>
      </c>
      <c r="E17619" s="3" t="inlineStr">
        <is>
          <t>PAYE, UIF AND SDL CONTROL</t>
        </is>
      </c>
      <c r="F17619" s="3" t="n">
        <v>2648.16</v>
      </c>
      <c r="G17619" s="3" t="n">
        <v>-66332</v>
      </c>
    </row>
    <row r="17620">
      <c r="A17620" s="3" t="inlineStr">
        <is>
          <t>Opportunity Management Holdings (PTY) LTD</t>
        </is>
      </c>
      <c r="B17620" s="4" t="n">
        <v>45291</v>
      </c>
      <c r="C17620" s="3" t="inlineStr">
        <is>
          <t>Liabilities</t>
        </is>
      </c>
      <c r="D17620" s="3" t="inlineStr">
        <is>
          <t>9250/020</t>
        </is>
      </c>
      <c r="E17620" s="3" t="inlineStr">
        <is>
          <t>PAYE, UIF AND SDL CONTROL</t>
        </is>
      </c>
      <c r="F17620" s="3" t="n">
        <v>-420</v>
      </c>
      <c r="G17620" s="3" t="n">
        <v>-44239.57</v>
      </c>
    </row>
    <row r="17621">
      <c r="A17621" s="3" t="inlineStr">
        <is>
          <t>Quinate Consulting (Pty) Ltd</t>
        </is>
      </c>
      <c r="B17621" s="4" t="n">
        <v>45291</v>
      </c>
      <c r="C17621" s="3" t="inlineStr">
        <is>
          <t>Liabilities</t>
        </is>
      </c>
      <c r="D17621" s="3" t="inlineStr">
        <is>
          <t>9250/020</t>
        </is>
      </c>
      <c r="E17621" s="3" t="inlineStr">
        <is>
          <t>PAYE, UIF AND SDL CONTROL</t>
        </is>
      </c>
      <c r="F17621" s="3" t="n">
        <v>0</v>
      </c>
      <c r="G17621" s="3" t="n">
        <v>-10759.36</v>
      </c>
    </row>
    <row r="17622">
      <c r="A17622" s="3" t="inlineStr">
        <is>
          <t>Trademark Holdings (Pty) Ltd</t>
        </is>
      </c>
      <c r="B17622" s="4" t="n">
        <v>45291</v>
      </c>
      <c r="C17622" s="3" t="inlineStr">
        <is>
          <t>Liabilities</t>
        </is>
      </c>
      <c r="D17622" s="3" t="inlineStr">
        <is>
          <t>9250/020</t>
        </is>
      </c>
      <c r="E17622" s="3" t="inlineStr">
        <is>
          <t>PAYE, UIF AND SDL CONTROL</t>
        </is>
      </c>
      <c r="F17622" s="3" t="n">
        <v>200.66</v>
      </c>
      <c r="G17622" s="3" t="n">
        <v>-5709.47</v>
      </c>
    </row>
    <row r="17623">
      <c r="A17623" s="3" t="inlineStr">
        <is>
          <t>Opportunity Global Investment (PTY) LTD</t>
        </is>
      </c>
      <c r="B17623" s="4" t="n">
        <v>45291</v>
      </c>
      <c r="C17623" s="3" t="inlineStr">
        <is>
          <t>Liabilities</t>
        </is>
      </c>
      <c r="D17623" s="3" t="inlineStr">
        <is>
          <t>9400/030</t>
        </is>
      </c>
      <c r="E17623" s="3" t="inlineStr">
        <is>
          <t>Accrued Expenses - PAYE_AND_UIF</t>
        </is>
      </c>
      <c r="F17623" s="3" t="n">
        <v>0</v>
      </c>
      <c r="G17623" s="3" t="n">
        <v>-2</v>
      </c>
    </row>
    <row r="17624">
      <c r="A17624" s="3" t="inlineStr">
        <is>
          <t>Trademark Holdings (Pty) Ltd</t>
        </is>
      </c>
      <c r="B17624" s="4" t="n">
        <v>45291</v>
      </c>
      <c r="C17624" s="3" t="inlineStr">
        <is>
          <t>Liabilities</t>
        </is>
      </c>
      <c r="D17624" s="3" t="inlineStr">
        <is>
          <t>9400/400</t>
        </is>
      </c>
      <c r="E17624" s="3" t="inlineStr">
        <is>
          <t>Deemed Dividend Tax</t>
        </is>
      </c>
      <c r="F17624" s="3" t="n">
        <v>0</v>
      </c>
      <c r="G17624" s="3" t="n">
        <v>-699.13</v>
      </c>
    </row>
    <row r="17625">
      <c r="A17625" s="3" t="inlineStr">
        <is>
          <t>Opportunity Global Investment (PTY) LTD</t>
        </is>
      </c>
      <c r="B17625" s="4" t="n">
        <v>45291</v>
      </c>
      <c r="C17625" s="3" t="inlineStr">
        <is>
          <t>Liabilities</t>
        </is>
      </c>
      <c r="D17625" s="3" t="inlineStr">
        <is>
          <t>9500/000</t>
        </is>
      </c>
      <c r="E17625" s="3" t="inlineStr">
        <is>
          <t>VAT Control Account</t>
        </is>
      </c>
      <c r="F17625" s="3" t="n">
        <v>12779</v>
      </c>
      <c r="G17625" s="3" t="n">
        <v>1098225.79</v>
      </c>
    </row>
    <row r="17626">
      <c r="A17626" s="3" t="inlineStr">
        <is>
          <t>Opportunity Global Sales (PTY) LTD</t>
        </is>
      </c>
      <c r="B17626" s="4" t="n">
        <v>45291</v>
      </c>
      <c r="C17626" s="3" t="inlineStr">
        <is>
          <t>Liabilities</t>
        </is>
      </c>
      <c r="D17626" s="3" t="inlineStr">
        <is>
          <t>9500/000</t>
        </is>
      </c>
      <c r="E17626" s="3" t="inlineStr">
        <is>
          <t>VAT Control Account</t>
        </is>
      </c>
      <c r="F17626" s="3" t="n">
        <v>-15809.65</v>
      </c>
      <c r="G17626" s="3" t="n">
        <v>-1130947.48</v>
      </c>
    </row>
    <row r="17627">
      <c r="A17627" s="3" t="inlineStr">
        <is>
          <t>Opportunity Management Holdings (PTY) LTD</t>
        </is>
      </c>
      <c r="B17627" s="4" t="n">
        <v>45291</v>
      </c>
      <c r="C17627" s="3" t="inlineStr">
        <is>
          <t>Liabilities</t>
        </is>
      </c>
      <c r="D17627" s="3" t="inlineStr">
        <is>
          <t>9500/000</t>
        </is>
      </c>
      <c r="E17627" s="3" t="inlineStr">
        <is>
          <t>VAT Control Account</t>
        </is>
      </c>
      <c r="F17627" s="3" t="n">
        <v>43831.44</v>
      </c>
      <c r="G17627" s="3" t="n">
        <v>122476.47</v>
      </c>
    </row>
    <row r="17628">
      <c r="A17628" s="3" t="inlineStr">
        <is>
          <t>Endulini (Pty) Ltd</t>
        </is>
      </c>
      <c r="B17628" s="4" t="n">
        <v>45291</v>
      </c>
      <c r="C17628" s="3" t="inlineStr">
        <is>
          <t>Liabilities</t>
        </is>
      </c>
      <c r="D17628" s="3" t="inlineStr">
        <is>
          <t>9500/000</t>
        </is>
      </c>
      <c r="E17628" s="3" t="inlineStr">
        <is>
          <t>Vat / Tax Control Account</t>
        </is>
      </c>
      <c r="F17628" s="3" t="n">
        <v>-728064.3100000001</v>
      </c>
      <c r="G17628" s="3" t="n">
        <v>-3459302.01</v>
      </c>
    </row>
    <row r="17629">
      <c r="A17629" s="3" t="inlineStr">
        <is>
          <t>Noble Shield (Pty) Ltd ta Go Letting</t>
        </is>
      </c>
      <c r="B17629" s="4" t="n">
        <v>45291</v>
      </c>
      <c r="C17629" s="3" t="inlineStr">
        <is>
          <t>Liabilities</t>
        </is>
      </c>
      <c r="D17629" s="3" t="inlineStr">
        <is>
          <t>9500/000</t>
        </is>
      </c>
      <c r="E17629" s="3" t="inlineStr">
        <is>
          <t>Vat / Tax Control Account</t>
        </is>
      </c>
      <c r="F17629" s="3" t="n">
        <v>950.79</v>
      </c>
      <c r="G17629" s="3" t="n">
        <v>2461.52</v>
      </c>
    </row>
    <row r="17630">
      <c r="A17630" s="3" t="inlineStr">
        <is>
          <t>Quinate Consulting (Pty) Ltd</t>
        </is>
      </c>
      <c r="B17630" s="4" t="n">
        <v>45291</v>
      </c>
      <c r="C17630" s="3" t="inlineStr">
        <is>
          <t>Liabilities</t>
        </is>
      </c>
      <c r="D17630" s="3" t="inlineStr">
        <is>
          <t>9500/000</t>
        </is>
      </c>
      <c r="E17630" s="3" t="inlineStr">
        <is>
          <t>Vat Control Account</t>
        </is>
      </c>
      <c r="F17630" s="3" t="n">
        <v>10183.35</v>
      </c>
      <c r="G17630" s="3" t="n">
        <v>2137691.36</v>
      </c>
    </row>
    <row r="17631">
      <c r="A17631" s="3" t="inlineStr">
        <is>
          <t>Opportunity Management Holdings (PTY) LTD</t>
        </is>
      </c>
      <c r="B17631" s="4" t="n">
        <v>45291</v>
      </c>
      <c r="C17631" s="3" t="inlineStr">
        <is>
          <t>Liabilities</t>
        </is>
      </c>
      <c r="D17631" s="3" t="inlineStr">
        <is>
          <t>9501/000</t>
        </is>
      </c>
      <c r="E17631" s="3" t="inlineStr">
        <is>
          <t>Vat Adjustments - C2M</t>
        </is>
      </c>
      <c r="F17631" s="3" t="n">
        <v>0</v>
      </c>
      <c r="G17631" s="3" t="n">
        <v>47274.04</v>
      </c>
    </row>
    <row r="17632">
      <c r="A17632" s="3" t="inlineStr">
        <is>
          <t>Endulini (Pty) Ltd</t>
        </is>
      </c>
      <c r="B17632" s="4" t="n">
        <v>45291</v>
      </c>
      <c r="C17632" s="3" t="inlineStr">
        <is>
          <t>Liabilities</t>
        </is>
      </c>
      <c r="D17632" s="3" t="inlineStr">
        <is>
          <t>9899/A202</t>
        </is>
      </c>
      <c r="E17632" s="3" t="inlineStr">
        <is>
          <t>Sales - Unit Reg Control A202</t>
        </is>
      </c>
      <c r="F17632" s="3" t="n">
        <v>-1086734.26</v>
      </c>
      <c r="G17632" s="3" t="n">
        <v>-1086734.26</v>
      </c>
    </row>
    <row r="17633">
      <c r="A17633" s="3" t="inlineStr">
        <is>
          <t>Endulini (Pty) Ltd</t>
        </is>
      </c>
      <c r="B17633" s="4" t="n">
        <v>45291</v>
      </c>
      <c r="C17633" s="3" t="inlineStr">
        <is>
          <t>Liabilities</t>
        </is>
      </c>
      <c r="D17633" s="3" t="inlineStr">
        <is>
          <t>9899/A209</t>
        </is>
      </c>
      <c r="E17633" s="3" t="inlineStr">
        <is>
          <t>Sales - Unit Reg Control A209</t>
        </is>
      </c>
      <c r="F17633" s="3" t="n">
        <v>0</v>
      </c>
      <c r="G17633" s="3" t="n">
        <v>-1218800.14</v>
      </c>
    </row>
    <row r="17634">
      <c r="A17634" s="3" t="inlineStr">
        <is>
          <t>Endulini (Pty) Ltd</t>
        </is>
      </c>
      <c r="B17634" s="4" t="n">
        <v>45291</v>
      </c>
      <c r="C17634" s="3" t="inlineStr">
        <is>
          <t>Liabilities</t>
        </is>
      </c>
      <c r="D17634" s="3" t="inlineStr">
        <is>
          <t>9899/B203</t>
        </is>
      </c>
      <c r="E17634" s="3" t="inlineStr">
        <is>
          <t>Sales - Unit Reg Control B203</t>
        </is>
      </c>
      <c r="F17634" s="3" t="n">
        <v>-1179884.01</v>
      </c>
      <c r="G17634" s="3" t="n">
        <v>-1179884.01</v>
      </c>
    </row>
    <row r="17635">
      <c r="A17635" s="3" t="inlineStr">
        <is>
          <t>Endulini (Pty) Ltd</t>
        </is>
      </c>
      <c r="B17635" s="4" t="n">
        <v>45291</v>
      </c>
      <c r="C17635" s="3" t="inlineStr">
        <is>
          <t>Liabilities</t>
        </is>
      </c>
      <c r="D17635" s="3" t="inlineStr">
        <is>
          <t>9899/C302</t>
        </is>
      </c>
      <c r="E17635" s="3" t="inlineStr">
        <is>
          <t>Sales - Unit Reg Control C302</t>
        </is>
      </c>
      <c r="F17635" s="3" t="n">
        <v>0</v>
      </c>
      <c r="G17635" s="3" t="n">
        <v>-1253795.14</v>
      </c>
    </row>
    <row r="17636">
      <c r="A17636" s="3" t="inlineStr">
        <is>
          <t>Quinate Consulting (Pty) Ltd</t>
        </is>
      </c>
      <c r="B17636" s="4" t="n">
        <v>45291</v>
      </c>
      <c r="C17636" s="3" t="inlineStr">
        <is>
          <t>Liabilities</t>
        </is>
      </c>
      <c r="D17636" s="3" t="inlineStr">
        <is>
          <t>9960/000</t>
        </is>
      </c>
      <c r="E17636" s="3" t="inlineStr">
        <is>
          <t>Deposits - Southwark Rentals</t>
        </is>
      </c>
      <c r="F17636" s="3" t="n">
        <v>-12000</v>
      </c>
      <c r="G17636" s="3" t="n">
        <v>-35000</v>
      </c>
    </row>
    <row r="17637">
      <c r="A17637" s="3" t="inlineStr">
        <is>
          <t>Noble Shield (Pty) Ltd ta Go Letting</t>
        </is>
      </c>
      <c r="B17637" s="4" t="n">
        <v>45291</v>
      </c>
      <c r="C17637" s="3" t="inlineStr">
        <is>
          <t>Expenses</t>
        </is>
      </c>
      <c r="D17637" s="3" t="inlineStr">
        <is>
          <t>ACB Link</t>
        </is>
      </c>
      <c r="E17637" s="3" t="inlineStr">
        <is>
          <t>Subscriptions - TPN</t>
        </is>
      </c>
      <c r="F17637" s="3" t="n">
        <v>4459.7</v>
      </c>
      <c r="G17637" s="3" t="n">
        <v>12927.16</v>
      </c>
    </row>
    <row r="17638">
      <c r="A17638" s="3" t="inlineStr">
        <is>
          <t>Trademark Holdings (Pty) Ltd</t>
        </is>
      </c>
      <c r="B17638" s="4" t="n">
        <v>45291</v>
      </c>
      <c r="C17638" s="3" t="inlineStr">
        <is>
          <t>Liabilities</t>
        </is>
      </c>
      <c r="D17638" s="3" t="inlineStr">
        <is>
          <t>B/S</t>
        </is>
      </c>
      <c r="E17638" s="3" t="inlineStr">
        <is>
          <t>Taxation Payable</t>
        </is>
      </c>
      <c r="F17638" s="3" t="n">
        <v>0</v>
      </c>
      <c r="G17638" s="3" t="n">
        <v>1722</v>
      </c>
    </row>
    <row r="17639">
      <c r="A17639" s="3" t="inlineStr">
        <is>
          <t>Quinate Consulting (Pty) Ltd</t>
        </is>
      </c>
      <c r="B17639" s="4" t="n">
        <v>45291</v>
      </c>
      <c r="C17639" s="3" t="inlineStr">
        <is>
          <t>Liabilities</t>
        </is>
      </c>
      <c r="D17639" s="3" t="inlineStr">
        <is>
          <t xml:space="preserve">B/S </t>
        </is>
      </c>
      <c r="E17639" s="3" t="inlineStr">
        <is>
          <t>Taxation Payable</t>
        </is>
      </c>
      <c r="F17639" s="3" t="n">
        <v>0</v>
      </c>
      <c r="G17639" s="3" t="n">
        <v>-15486</v>
      </c>
    </row>
    <row r="17640">
      <c r="A17640" s="3" t="inlineStr">
        <is>
          <t>Quinate Consulting (Pty) Ltd</t>
        </is>
      </c>
      <c r="B17640" s="4" t="n">
        <v>45291</v>
      </c>
      <c r="C17640" s="3" t="inlineStr">
        <is>
          <t>Liabilities</t>
        </is>
      </c>
      <c r="D17640" s="3" t="inlineStr">
        <is>
          <t>FV</t>
        </is>
      </c>
      <c r="E17640" s="3" t="inlineStr">
        <is>
          <t>Loan - Cape Projects Constuction</t>
        </is>
      </c>
      <c r="F17640" s="3" t="n">
        <v>0</v>
      </c>
      <c r="G17640" s="3" t="n">
        <v>-5283763.77</v>
      </c>
    </row>
    <row r="17641">
      <c r="A17641" s="3" t="inlineStr">
        <is>
          <t>Quinate Consulting (Pty) Ltd</t>
        </is>
      </c>
      <c r="B17641" s="4" t="n">
        <v>45291</v>
      </c>
      <c r="C17641" s="3" t="inlineStr">
        <is>
          <t>Liabilities</t>
        </is>
      </c>
      <c r="D17641" s="3" t="inlineStr">
        <is>
          <t>Sharehold OppDev</t>
        </is>
      </c>
      <c r="E17641" s="3" t="inlineStr">
        <is>
          <t>Loan - Justine Morgan</t>
        </is>
      </c>
      <c r="F17641" s="3" t="n">
        <v>0</v>
      </c>
      <c r="G17641" s="3" t="n">
        <v>-563766.76</v>
      </c>
    </row>
    <row r="17642">
      <c r="A17642" s="3" t="inlineStr">
        <is>
          <t>Opportunity Global Investment (PTY) LTD</t>
        </is>
      </c>
      <c r="B17642" s="4" t="n">
        <v>45291</v>
      </c>
      <c r="C17642" s="3" t="inlineStr">
        <is>
          <t>Expenses</t>
        </is>
      </c>
      <c r="D17642" s="3" t="inlineStr">
        <is>
          <t>Swiftshutter</t>
        </is>
      </c>
      <c r="E17642" s="3" t="inlineStr">
        <is>
          <t>Advertising - Rousseau Lotter</t>
        </is>
      </c>
      <c r="F17642" s="3" t="n">
        <v>0</v>
      </c>
      <c r="G17642" s="3" t="n">
        <v>15400</v>
      </c>
    </row>
    <row r="17643">
      <c r="A17643" s="3" t="inlineStr">
        <is>
          <t>Opportunity Global Sales (PTY) LTD</t>
        </is>
      </c>
      <c r="B17643" s="4" t="n">
        <v>45322</v>
      </c>
      <c r="C17643" s="3" t="inlineStr">
        <is>
          <t>Revenue</t>
        </is>
      </c>
      <c r="D17643" s="3" t="inlineStr">
        <is>
          <t>1000/009</t>
        </is>
      </c>
      <c r="E17643" s="3" t="inlineStr">
        <is>
          <t>Sales - Comm on Payprop</t>
        </is>
      </c>
      <c r="F17643" s="3" t="n">
        <v>-13991.76</v>
      </c>
      <c r="G17643" s="3" t="n">
        <v>-165495.58</v>
      </c>
    </row>
    <row r="17644">
      <c r="A17644" s="3" t="inlineStr">
        <is>
          <t>Quinate Consulting (Pty) Ltd</t>
        </is>
      </c>
      <c r="B17644" s="4" t="n">
        <v>45322</v>
      </c>
      <c r="C17644" s="3" t="inlineStr">
        <is>
          <t>Revenue</t>
        </is>
      </c>
      <c r="D17644" s="3" t="inlineStr">
        <is>
          <t>1000/011</t>
        </is>
      </c>
      <c r="E17644" s="3" t="inlineStr">
        <is>
          <t>Rent Received - Soho Unit 23</t>
        </is>
      </c>
      <c r="F17644" s="3" t="n">
        <v>-12500</v>
      </c>
      <c r="G17644" s="3" t="n">
        <v>-137500</v>
      </c>
    </row>
    <row r="17645">
      <c r="A17645" s="3" t="inlineStr">
        <is>
          <t>Quinate Consulting (Pty) Ltd</t>
        </is>
      </c>
      <c r="B17645" s="4" t="n">
        <v>45322</v>
      </c>
      <c r="C17645" s="3" t="inlineStr">
        <is>
          <t>Revenue</t>
        </is>
      </c>
      <c r="D17645" s="3" t="inlineStr">
        <is>
          <t>1000/012</t>
        </is>
      </c>
      <c r="E17645" s="3" t="inlineStr">
        <is>
          <t>Rent Received - Soho Unit 24</t>
        </is>
      </c>
      <c r="F17645" s="3" t="n">
        <v>-14445</v>
      </c>
      <c r="G17645" s="3" t="n">
        <v>-158895</v>
      </c>
    </row>
    <row r="17646">
      <c r="A17646" s="3" t="inlineStr">
        <is>
          <t>Quinate Consulting (Pty) Ltd</t>
        </is>
      </c>
      <c r="B17646" s="4" t="n">
        <v>45322</v>
      </c>
      <c r="C17646" s="3" t="inlineStr">
        <is>
          <t>Revenue</t>
        </is>
      </c>
      <c r="D17646" s="3" t="inlineStr">
        <is>
          <t>1000/013</t>
        </is>
      </c>
      <c r="E17646" s="3" t="inlineStr">
        <is>
          <t>Rent Recieved - Soho Unit 20</t>
        </is>
      </c>
      <c r="F17646" s="3" t="n">
        <v>-12500</v>
      </c>
      <c r="G17646" s="3" t="n">
        <v>-137500</v>
      </c>
    </row>
    <row r="17647">
      <c r="A17647" s="3" t="inlineStr">
        <is>
          <t>Quinate Consulting (Pty) Ltd</t>
        </is>
      </c>
      <c r="B17647" s="4" t="n">
        <v>45322</v>
      </c>
      <c r="C17647" s="3" t="inlineStr">
        <is>
          <t>Revenue</t>
        </is>
      </c>
      <c r="D17647" s="3" t="inlineStr">
        <is>
          <t>1000/015</t>
        </is>
      </c>
      <c r="E17647" s="3" t="inlineStr">
        <is>
          <t>Rent Received - Southwark Unit 1</t>
        </is>
      </c>
      <c r="F17647" s="3" t="n">
        <v>-12000</v>
      </c>
      <c r="G17647" s="3" t="n">
        <v>-81500</v>
      </c>
    </row>
    <row r="17648">
      <c r="A17648" s="3" t="inlineStr">
        <is>
          <t>Quinate Consulting (Pty) Ltd</t>
        </is>
      </c>
      <c r="B17648" s="4" t="n">
        <v>45322</v>
      </c>
      <c r="C17648" s="3" t="inlineStr">
        <is>
          <t>Revenue</t>
        </is>
      </c>
      <c r="D17648" s="3" t="inlineStr">
        <is>
          <t>1000/016</t>
        </is>
      </c>
      <c r="E17648" s="3" t="inlineStr">
        <is>
          <t>Rent Recieved - Southwark Unit 21</t>
        </is>
      </c>
      <c r="F17648" s="3" t="n">
        <v>-11000</v>
      </c>
      <c r="G17648" s="3" t="n">
        <v>-112000</v>
      </c>
    </row>
    <row r="17649">
      <c r="A17649" s="3" t="inlineStr">
        <is>
          <t>Opportunity Global Sales (PTY) LTD</t>
        </is>
      </c>
      <c r="B17649" s="4" t="n">
        <v>45322</v>
      </c>
      <c r="C17649" s="3" t="inlineStr">
        <is>
          <t>Revenue</t>
        </is>
      </c>
      <c r="D17649" s="3" t="inlineStr">
        <is>
          <t>1000/030</t>
        </is>
      </c>
      <c r="E17649" s="3" t="inlineStr">
        <is>
          <t>Sales - Comm on Heron View Land Purchase</t>
        </is>
      </c>
      <c r="F17649" s="3" t="n">
        <v>-73473.91</v>
      </c>
      <c r="G17649" s="3" t="n">
        <v>-73473.91</v>
      </c>
    </row>
    <row r="17650">
      <c r="A17650" s="3" t="inlineStr">
        <is>
          <t>Opportunity Global Sales (PTY) LTD</t>
        </is>
      </c>
      <c r="B17650" s="4" t="n">
        <v>45322</v>
      </c>
      <c r="C17650" s="3" t="inlineStr">
        <is>
          <t>Revenue</t>
        </is>
      </c>
      <c r="D17650" s="3" t="inlineStr">
        <is>
          <t>1000/100</t>
        </is>
      </c>
      <c r="E17650" s="3" t="inlineStr">
        <is>
          <t>Sales - Comm on External Sales</t>
        </is>
      </c>
      <c r="F17650" s="3" t="n">
        <v>0</v>
      </c>
      <c r="G17650" s="3" t="n">
        <v>-159137.61</v>
      </c>
    </row>
    <row r="17651">
      <c r="A17651" s="3" t="inlineStr">
        <is>
          <t>Noble Shield (Pty) Ltd ta Go Letting</t>
        </is>
      </c>
      <c r="B17651" s="4" t="n">
        <v>45322</v>
      </c>
      <c r="C17651" s="3" t="inlineStr">
        <is>
          <t>Revenue</t>
        </is>
      </c>
      <c r="D17651" s="3" t="inlineStr">
        <is>
          <t>1000/100</t>
        </is>
      </c>
      <c r="E17651" s="3" t="inlineStr">
        <is>
          <t>Sales - Payprop 328 - Michelle</t>
        </is>
      </c>
      <c r="F17651" s="3" t="n">
        <v>-85147.33</v>
      </c>
      <c r="G17651" s="3" t="n">
        <v>-531106.95</v>
      </c>
    </row>
    <row r="17652">
      <c r="A17652" s="3" t="inlineStr">
        <is>
          <t>Opportunity Global Sales (PTY) LTD</t>
        </is>
      </c>
      <c r="B17652" s="4" t="n">
        <v>45322</v>
      </c>
      <c r="C17652" s="3" t="inlineStr">
        <is>
          <t>Revenue</t>
        </is>
      </c>
      <c r="D17652" s="3" t="inlineStr">
        <is>
          <t>1000/120</t>
        </is>
      </c>
      <c r="E17652" s="3" t="inlineStr">
        <is>
          <t>Sales - Admin Fees on Rental Units</t>
        </is>
      </c>
      <c r="F17652" s="3" t="n">
        <v>-13478.3</v>
      </c>
      <c r="G17652" s="3" t="n">
        <v>-74604.34</v>
      </c>
    </row>
    <row r="17653">
      <c r="A17653" s="3" t="inlineStr">
        <is>
          <t>Opportunity Global Sales (PTY) LTD</t>
        </is>
      </c>
      <c r="B17653" s="4" t="n">
        <v>45322</v>
      </c>
      <c r="C17653" s="3" t="inlineStr">
        <is>
          <t>Revenue</t>
        </is>
      </c>
      <c r="D17653" s="3" t="inlineStr">
        <is>
          <t>1000/121</t>
        </is>
      </c>
      <c r="E17653" s="3" t="inlineStr">
        <is>
          <t>Sales - Admin Fees on Rental Units Endulini</t>
        </is>
      </c>
      <c r="F17653" s="3" t="n">
        <v>0</v>
      </c>
      <c r="G17653" s="3" t="n">
        <v>-434.78</v>
      </c>
    </row>
    <row r="17654">
      <c r="A17654" s="3" t="inlineStr">
        <is>
          <t>Opportunity Global Sales (PTY) LTD</t>
        </is>
      </c>
      <c r="B17654" s="4" t="n">
        <v>45322</v>
      </c>
      <c r="C17654" s="3" t="inlineStr">
        <is>
          <t>Revenue</t>
        </is>
      </c>
      <c r="D17654" s="3" t="inlineStr">
        <is>
          <t>1000/122</t>
        </is>
      </c>
      <c r="E17654" s="3" t="inlineStr">
        <is>
          <t>Sales - Admin Fees on Rental Units Heron Fields</t>
        </is>
      </c>
      <c r="F17654" s="3" t="n">
        <v>-869.5700000000001</v>
      </c>
      <c r="G17654" s="3" t="n">
        <v>-6521.77</v>
      </c>
    </row>
    <row r="17655">
      <c r="A17655" s="3" t="inlineStr">
        <is>
          <t>Opportunity Global Sales (PTY) LTD</t>
        </is>
      </c>
      <c r="B17655" s="4" t="n">
        <v>45322</v>
      </c>
      <c r="C17655" s="3" t="inlineStr">
        <is>
          <t>Revenue</t>
        </is>
      </c>
      <c r="D17655" s="3" t="inlineStr">
        <is>
          <t>1000/150</t>
        </is>
      </c>
      <c r="E17655" s="3" t="inlineStr">
        <is>
          <t>Sales - Comm on External Rental</t>
        </is>
      </c>
      <c r="F17655" s="3" t="n">
        <v>-98630.44</v>
      </c>
      <c r="G17655" s="3" t="n">
        <v>-614578.0600000001</v>
      </c>
    </row>
    <row r="17656">
      <c r="A17656" s="3" t="inlineStr">
        <is>
          <t>Opportunity Global Sales (PTY) LTD</t>
        </is>
      </c>
      <c r="B17656" s="4" t="n">
        <v>45322</v>
      </c>
      <c r="C17656" s="3" t="inlineStr">
        <is>
          <t>Revenue</t>
        </is>
      </c>
      <c r="D17656" s="3" t="inlineStr">
        <is>
          <t>1000/250</t>
        </is>
      </c>
      <c r="E17656" s="3" t="inlineStr">
        <is>
          <t>Sales - Comm on Endulini</t>
        </is>
      </c>
      <c r="F17656" s="3" t="n">
        <v>-8695.66</v>
      </c>
      <c r="G17656" s="3" t="n">
        <v>-137817.4</v>
      </c>
    </row>
    <row r="17657">
      <c r="A17657" s="3" t="inlineStr">
        <is>
          <t>Opportunity Global Sales (PTY) LTD</t>
        </is>
      </c>
      <c r="B17657" s="4" t="n">
        <v>45322</v>
      </c>
      <c r="C17657" s="3" t="inlineStr">
        <is>
          <t>Revenue</t>
        </is>
      </c>
      <c r="D17657" s="3" t="inlineStr">
        <is>
          <t>1000/300</t>
        </is>
      </c>
      <c r="E17657" s="3" t="inlineStr">
        <is>
          <t>Sales - Comm on Heron Fields</t>
        </is>
      </c>
      <c r="F17657" s="3" t="n">
        <v>0</v>
      </c>
      <c r="G17657" s="3" t="n">
        <v>-1340039.14</v>
      </c>
    </row>
    <row r="17658">
      <c r="A17658" s="3" t="inlineStr">
        <is>
          <t>Trademark Holdings (Pty) Ltd</t>
        </is>
      </c>
      <c r="B17658" s="4" t="n">
        <v>45322</v>
      </c>
      <c r="C17658" s="3" t="inlineStr">
        <is>
          <t>Revenue</t>
        </is>
      </c>
      <c r="D17658" s="3" t="inlineStr">
        <is>
          <t>1000/300</t>
        </is>
      </c>
      <c r="E17658" s="3" t="inlineStr">
        <is>
          <t>Sales - Payprop - Lara</t>
        </is>
      </c>
      <c r="F17658" s="3" t="n">
        <v>-85060.82000000001</v>
      </c>
      <c r="G17658" s="3" t="n">
        <v>-581689.92</v>
      </c>
    </row>
    <row r="17659">
      <c r="A17659" s="3" t="inlineStr">
        <is>
          <t>Opportunity Global Investment (PTY) LTD</t>
        </is>
      </c>
      <c r="B17659" s="4" t="n">
        <v>45322</v>
      </c>
      <c r="C17659" s="3" t="inlineStr">
        <is>
          <t>Revenue</t>
        </is>
      </c>
      <c r="D17659" s="3" t="inlineStr">
        <is>
          <t>1000/360</t>
        </is>
      </c>
      <c r="E17659" s="3" t="inlineStr">
        <is>
          <t>Sales - Investor Management - Heron View</t>
        </is>
      </c>
      <c r="F17659" s="3" t="n">
        <v>0</v>
      </c>
      <c r="G17659" s="3" t="n">
        <v>-1826086.96</v>
      </c>
    </row>
    <row r="17660">
      <c r="A17660" s="3" t="inlineStr">
        <is>
          <t>Opportunity Global Sales (PTY) LTD</t>
        </is>
      </c>
      <c r="B17660" s="4" t="n">
        <v>45322</v>
      </c>
      <c r="C17660" s="3" t="inlineStr">
        <is>
          <t>Revenue</t>
        </is>
      </c>
      <c r="D17660" s="3" t="inlineStr">
        <is>
          <t>1000/400</t>
        </is>
      </c>
      <c r="E17660" s="3" t="inlineStr">
        <is>
          <t>Sales - Commission on Heron View</t>
        </is>
      </c>
      <c r="F17660" s="3" t="n">
        <v>-275634.79</v>
      </c>
      <c r="G17660" s="3" t="n">
        <v>-1425565.19</v>
      </c>
    </row>
    <row r="17661">
      <c r="A17661" s="3" t="inlineStr">
        <is>
          <t>Noble Shield (Pty) Ltd ta Go Letting</t>
        </is>
      </c>
      <c r="B17661" s="4" t="n">
        <v>45322</v>
      </c>
      <c r="C17661" s="3" t="inlineStr">
        <is>
          <t>Revenue</t>
        </is>
      </c>
      <c r="D17661" s="3" t="inlineStr">
        <is>
          <t>1000/420</t>
        </is>
      </c>
      <c r="E17661" s="3" t="inlineStr">
        <is>
          <t>Sales - Commission Received - External</t>
        </is>
      </c>
      <c r="F17661" s="3" t="n">
        <v>0</v>
      </c>
      <c r="G17661" s="3" t="n">
        <v>-134000</v>
      </c>
    </row>
    <row r="17662">
      <c r="A17662" s="3" t="inlineStr">
        <is>
          <t>Trademark Holdings (Pty) Ltd</t>
        </is>
      </c>
      <c r="B17662" s="4" t="n">
        <v>45322</v>
      </c>
      <c r="C17662" s="3" t="inlineStr">
        <is>
          <t>Revenue</t>
        </is>
      </c>
      <c r="D17662" s="3" t="inlineStr">
        <is>
          <t>1000/500</t>
        </is>
      </c>
      <c r="E17662" s="3" t="inlineStr">
        <is>
          <t>Sales - Commission external sale</t>
        </is>
      </c>
      <c r="F17662" s="3" t="n">
        <v>0</v>
      </c>
      <c r="G17662" s="3" t="n">
        <v>-50000</v>
      </c>
    </row>
    <row r="17663">
      <c r="A17663" s="3" t="inlineStr">
        <is>
          <t>Quinate Consulting (Pty) Ltd</t>
        </is>
      </c>
      <c r="B17663" s="4" t="n">
        <v>45322</v>
      </c>
      <c r="C17663" s="3" t="inlineStr">
        <is>
          <t>Revenue</t>
        </is>
      </c>
      <c r="D17663" s="3" t="inlineStr">
        <is>
          <t>1002/200</t>
        </is>
      </c>
      <c r="E17663" s="3" t="inlineStr">
        <is>
          <t>Sales - Vodacom tower</t>
        </is>
      </c>
      <c r="F17663" s="3" t="n">
        <v>0</v>
      </c>
      <c r="G17663" s="3" t="n">
        <v>-428524.8</v>
      </c>
    </row>
    <row r="17664">
      <c r="A17664" s="3" t="inlineStr">
        <is>
          <t>Quinate Consulting (Pty) Ltd</t>
        </is>
      </c>
      <c r="B17664" s="4" t="n">
        <v>45322</v>
      </c>
      <c r="C17664" s="3" t="inlineStr">
        <is>
          <t>Revenue</t>
        </is>
      </c>
      <c r="D17664" s="3" t="inlineStr">
        <is>
          <t>1004/000</t>
        </is>
      </c>
      <c r="E17664" s="3" t="inlineStr">
        <is>
          <t>Interest received</t>
        </is>
      </c>
      <c r="F17664" s="3" t="n">
        <v>0</v>
      </c>
      <c r="G17664" s="3" t="n">
        <v>-2364.24</v>
      </c>
    </row>
    <row r="17665">
      <c r="A17665" s="3" t="inlineStr">
        <is>
          <t>Quinate Consulting (Pty) Ltd</t>
        </is>
      </c>
      <c r="B17665" s="4" t="n">
        <v>45322</v>
      </c>
      <c r="C17665" s="3" t="inlineStr">
        <is>
          <t>Revenue</t>
        </is>
      </c>
      <c r="D17665" s="3" t="inlineStr">
        <is>
          <t>1006/100</t>
        </is>
      </c>
      <c r="E17665" s="3" t="inlineStr">
        <is>
          <t>Rental income - Payprop</t>
        </is>
      </c>
      <c r="F17665" s="3" t="n">
        <v>-196678.59</v>
      </c>
      <c r="G17665" s="3" t="n">
        <v>-513747.11</v>
      </c>
    </row>
    <row r="17666">
      <c r="A17666" s="3" t="inlineStr">
        <is>
          <t>Quinate Consulting (Pty) Ltd</t>
        </is>
      </c>
      <c r="B17666" s="4" t="n">
        <v>45322</v>
      </c>
      <c r="C17666" s="3" t="inlineStr">
        <is>
          <t>Revenue</t>
        </is>
      </c>
      <c r="D17666" s="3" t="inlineStr">
        <is>
          <t>1006/110</t>
        </is>
      </c>
      <c r="E17666" s="3" t="inlineStr">
        <is>
          <t>Rental Income - E201</t>
        </is>
      </c>
      <c r="F17666" s="3" t="n">
        <v>0</v>
      </c>
      <c r="G17666" s="3" t="n">
        <v>-59000</v>
      </c>
    </row>
    <row r="17667">
      <c r="A17667" s="3" t="inlineStr">
        <is>
          <t>Quinate Consulting (Pty) Ltd</t>
        </is>
      </c>
      <c r="B17667" s="4" t="n">
        <v>45322</v>
      </c>
      <c r="C17667" s="3" t="inlineStr">
        <is>
          <t>Revenue</t>
        </is>
      </c>
      <c r="D17667" s="3" t="inlineStr">
        <is>
          <t>1006/120</t>
        </is>
      </c>
      <c r="E17667" s="3" t="inlineStr">
        <is>
          <t>Rental Income - D203</t>
        </is>
      </c>
      <c r="F17667" s="3" t="n">
        <v>0</v>
      </c>
      <c r="G17667" s="3" t="n">
        <v>-65000</v>
      </c>
    </row>
    <row r="17668">
      <c r="A17668" s="3" t="inlineStr">
        <is>
          <t>Quinate Consulting (Pty) Ltd</t>
        </is>
      </c>
      <c r="B17668" s="4" t="n">
        <v>45322</v>
      </c>
      <c r="C17668" s="3" t="inlineStr">
        <is>
          <t>Revenue</t>
        </is>
      </c>
      <c r="D17668" s="3" t="inlineStr">
        <is>
          <t>1006/130</t>
        </is>
      </c>
      <c r="E17668" s="3" t="inlineStr">
        <is>
          <t>Rental Income - C301</t>
        </is>
      </c>
      <c r="F17668" s="3" t="n">
        <v>0</v>
      </c>
      <c r="G17668" s="3" t="n">
        <v>-19000</v>
      </c>
    </row>
    <row r="17669">
      <c r="A17669" s="3" t="inlineStr">
        <is>
          <t>Quinate Consulting (Pty) Ltd</t>
        </is>
      </c>
      <c r="B17669" s="4" t="n">
        <v>45322</v>
      </c>
      <c r="C17669" s="3" t="inlineStr">
        <is>
          <t>Revenue</t>
        </is>
      </c>
      <c r="D17669" s="3" t="inlineStr">
        <is>
          <t>1006/140</t>
        </is>
      </c>
      <c r="E17669" s="3" t="inlineStr">
        <is>
          <t>Rental Income - A108</t>
        </is>
      </c>
      <c r="F17669" s="3" t="n">
        <v>0</v>
      </c>
      <c r="G17669" s="3" t="n">
        <v>-72000</v>
      </c>
    </row>
    <row r="17670">
      <c r="A17670" s="3" t="inlineStr">
        <is>
          <t>Quinate Consulting (Pty) Ltd</t>
        </is>
      </c>
      <c r="B17670" s="4" t="n">
        <v>45322</v>
      </c>
      <c r="C17670" s="3" t="inlineStr">
        <is>
          <t>Revenue</t>
        </is>
      </c>
      <c r="D17670" s="3" t="inlineStr">
        <is>
          <t>1006/150</t>
        </is>
      </c>
      <c r="E17670" s="3" t="inlineStr">
        <is>
          <t>Rental Income - A303</t>
        </is>
      </c>
      <c r="F17670" s="3" t="n">
        <v>0</v>
      </c>
      <c r="G17670" s="3" t="n">
        <v>-37000</v>
      </c>
    </row>
    <row r="17671">
      <c r="A17671" s="3" t="inlineStr">
        <is>
          <t>Quinate Consulting (Pty) Ltd</t>
        </is>
      </c>
      <c r="B17671" s="4" t="n">
        <v>45322</v>
      </c>
      <c r="C17671" s="3" t="inlineStr">
        <is>
          <t>Revenue</t>
        </is>
      </c>
      <c r="D17671" s="3" t="inlineStr">
        <is>
          <t>1006/160</t>
        </is>
      </c>
      <c r="E17671" s="3" t="inlineStr">
        <is>
          <t>Rental Income - A306</t>
        </is>
      </c>
      <c r="F17671" s="3" t="n">
        <v>0</v>
      </c>
      <c r="G17671" s="3" t="n">
        <v>-38030</v>
      </c>
    </row>
    <row r="17672">
      <c r="A17672" s="3" t="inlineStr">
        <is>
          <t>Quinate Consulting (Pty) Ltd</t>
        </is>
      </c>
      <c r="B17672" s="4" t="n">
        <v>45322</v>
      </c>
      <c r="C17672" s="3" t="inlineStr">
        <is>
          <t>Revenue</t>
        </is>
      </c>
      <c r="D17672" s="3" t="inlineStr">
        <is>
          <t>1006/170</t>
        </is>
      </c>
      <c r="E17672" s="3" t="inlineStr">
        <is>
          <t>Rental Income - C102</t>
        </is>
      </c>
      <c r="F17672" s="3" t="n">
        <v>0</v>
      </c>
      <c r="G17672" s="3" t="n">
        <v>-72000</v>
      </c>
    </row>
    <row r="17673">
      <c r="A17673" s="3" t="inlineStr">
        <is>
          <t>Quinate Consulting (Pty) Ltd</t>
        </is>
      </c>
      <c r="B17673" s="4" t="n">
        <v>45322</v>
      </c>
      <c r="C17673" s="3" t="inlineStr">
        <is>
          <t>Revenue</t>
        </is>
      </c>
      <c r="D17673" s="3" t="inlineStr">
        <is>
          <t>1006/180</t>
        </is>
      </c>
      <c r="E17673" s="3" t="inlineStr">
        <is>
          <t>Rental Income - A307</t>
        </is>
      </c>
      <c r="F17673" s="3" t="n">
        <v>0</v>
      </c>
      <c r="G17673" s="3" t="n">
        <v>-37000</v>
      </c>
    </row>
    <row r="17674">
      <c r="A17674" s="3" t="inlineStr">
        <is>
          <t>Quinate Consulting (Pty) Ltd</t>
        </is>
      </c>
      <c r="B17674" s="4" t="n">
        <v>45322</v>
      </c>
      <c r="C17674" s="3" t="inlineStr">
        <is>
          <t>Revenue</t>
        </is>
      </c>
      <c r="D17674" s="3" t="inlineStr">
        <is>
          <t>1006/190</t>
        </is>
      </c>
      <c r="E17674" s="3" t="inlineStr">
        <is>
          <t>Rental Income - A209</t>
        </is>
      </c>
      <c r="F17674" s="3" t="n">
        <v>0</v>
      </c>
      <c r="G17674" s="3" t="n">
        <v>-82989.12</v>
      </c>
    </row>
    <row r="17675">
      <c r="A17675" s="3" t="inlineStr">
        <is>
          <t>Endulini (Pty) Ltd</t>
        </is>
      </c>
      <c r="B17675" s="4" t="n">
        <v>45322</v>
      </c>
      <c r="C17675" s="3" t="inlineStr">
        <is>
          <t>Revenue</t>
        </is>
      </c>
      <c r="D17675" s="3" t="inlineStr">
        <is>
          <t>1100/000</t>
        </is>
      </c>
      <c r="E17675" s="3" t="inlineStr">
        <is>
          <t>Sales - Endulini</t>
        </is>
      </c>
      <c r="F17675" s="3" t="n">
        <v>0</v>
      </c>
      <c r="G17675" s="3" t="n">
        <v>-10668869.56</v>
      </c>
    </row>
    <row r="17676">
      <c r="A17676" s="3" t="inlineStr">
        <is>
          <t>Opportunity Management Holdings (PTY) LTD</t>
        </is>
      </c>
      <c r="B17676" s="4" t="n">
        <v>45322</v>
      </c>
      <c r="C17676" s="3" t="inlineStr">
        <is>
          <t>Revenue</t>
        </is>
      </c>
      <c r="D17676" s="3" t="inlineStr">
        <is>
          <t>1100/001</t>
        </is>
      </c>
      <c r="E17676" s="3" t="inlineStr">
        <is>
          <t>Salary Recharges</t>
        </is>
      </c>
      <c r="F17676" s="3" t="n">
        <v>-342147.93</v>
      </c>
      <c r="G17676" s="3" t="n">
        <v>-1691228.19</v>
      </c>
    </row>
    <row r="17677">
      <c r="A17677" s="3" t="inlineStr">
        <is>
          <t>Endulini (Pty) Ltd</t>
        </is>
      </c>
      <c r="B17677" s="4" t="n">
        <v>45322</v>
      </c>
      <c r="C17677" s="3" t="inlineStr">
        <is>
          <t>Revenue</t>
        </is>
      </c>
      <c r="D17677" s="3" t="inlineStr">
        <is>
          <t>1100/200</t>
        </is>
      </c>
      <c r="E17677" s="3" t="inlineStr">
        <is>
          <t>Sales - Endulini occupational rent</t>
        </is>
      </c>
      <c r="F17677" s="3" t="n">
        <v>0</v>
      </c>
      <c r="G17677" s="3" t="n">
        <v>1679.94</v>
      </c>
    </row>
    <row r="17678">
      <c r="A17678" s="3" t="inlineStr">
        <is>
          <t>Endulini (Pty) Ltd</t>
        </is>
      </c>
      <c r="B17678" s="4" t="n">
        <v>45322</v>
      </c>
      <c r="C17678" s="3" t="inlineStr">
        <is>
          <t>Expenses</t>
        </is>
      </c>
      <c r="D17678" s="3" t="inlineStr">
        <is>
          <t>2000/001</t>
        </is>
      </c>
      <c r="E17678" s="3" t="inlineStr">
        <is>
          <t>COS - CIP Construction</t>
        </is>
      </c>
      <c r="F17678" s="3" t="n">
        <v>0</v>
      </c>
      <c r="G17678" s="3" t="n">
        <v>2000</v>
      </c>
    </row>
    <row r="17679">
      <c r="A17679" s="3" t="inlineStr">
        <is>
          <t>Quinate Consulting (Pty) Ltd</t>
        </is>
      </c>
      <c r="B17679" s="4" t="n">
        <v>45322</v>
      </c>
      <c r="C17679" s="3" t="inlineStr">
        <is>
          <t>Expenses</t>
        </is>
      </c>
      <c r="D17679" s="3" t="inlineStr">
        <is>
          <t>2000/009</t>
        </is>
      </c>
      <c r="E17679" s="3" t="inlineStr">
        <is>
          <t>COS - Admin fees</t>
        </is>
      </c>
      <c r="F17679" s="3" t="n">
        <v>0</v>
      </c>
      <c r="G17679" s="3" t="n">
        <v>869.5700000000001</v>
      </c>
    </row>
    <row r="17680">
      <c r="A17680" s="3" t="inlineStr">
        <is>
          <t>Opportunity Global Sales (PTY) LTD</t>
        </is>
      </c>
      <c r="B17680" s="4" t="n">
        <v>45322</v>
      </c>
      <c r="C17680" s="3" t="inlineStr">
        <is>
          <t>Expenses</t>
        </is>
      </c>
      <c r="D17680" s="3" t="inlineStr">
        <is>
          <t>2000/010</t>
        </is>
      </c>
      <c r="E17680" s="3" t="inlineStr">
        <is>
          <t>COS - PAYE on Commission</t>
        </is>
      </c>
      <c r="F17680" s="3" t="n">
        <v>17351.38</v>
      </c>
      <c r="G17680" s="3" t="n">
        <v>278124.11</v>
      </c>
    </row>
    <row r="17681">
      <c r="A17681" s="3" t="inlineStr">
        <is>
          <t>Quinate Consulting (Pty) Ltd</t>
        </is>
      </c>
      <c r="B17681" s="4" t="n">
        <v>45322</v>
      </c>
      <c r="C17681" s="3" t="inlineStr">
        <is>
          <t>Expenses</t>
        </is>
      </c>
      <c r="D17681" s="3" t="inlineStr">
        <is>
          <t>2000/060</t>
        </is>
      </c>
      <c r="E17681" s="3" t="inlineStr">
        <is>
          <t>COS - Commission Endulini</t>
        </is>
      </c>
      <c r="F17681" s="3" t="n">
        <v>0</v>
      </c>
      <c r="G17681" s="3" t="n">
        <v>11382.61</v>
      </c>
    </row>
    <row r="17682">
      <c r="A17682" s="3" t="inlineStr">
        <is>
          <t>Endulini (Pty) Ltd</t>
        </is>
      </c>
      <c r="B17682" s="4" t="n">
        <v>45322</v>
      </c>
      <c r="C17682" s="3" t="inlineStr">
        <is>
          <t>Expenses</t>
        </is>
      </c>
      <c r="D17682" s="3" t="inlineStr">
        <is>
          <t>2000/100</t>
        </is>
      </c>
      <c r="E17682" s="3" t="inlineStr">
        <is>
          <t>COS - Commission Endulini</t>
        </is>
      </c>
      <c r="F17682" s="3" t="n">
        <v>0</v>
      </c>
      <c r="G17682" s="3" t="n">
        <v>196943.48</v>
      </c>
    </row>
    <row r="17683">
      <c r="A17683" s="3" t="inlineStr">
        <is>
          <t>Noble Shield (Pty) Ltd ta Go Letting</t>
        </is>
      </c>
      <c r="B17683" s="4" t="n">
        <v>45322</v>
      </c>
      <c r="C17683" s="3" t="inlineStr">
        <is>
          <t>Expenses</t>
        </is>
      </c>
      <c r="D17683" s="3" t="inlineStr">
        <is>
          <t>2000/100</t>
        </is>
      </c>
      <c r="E17683" s="3" t="inlineStr">
        <is>
          <t>COS - Commission Paid</t>
        </is>
      </c>
      <c r="F17683" s="3" t="n">
        <v>15553.2</v>
      </c>
      <c r="G17683" s="3" t="n">
        <v>78327.89999999999</v>
      </c>
    </row>
    <row r="17684">
      <c r="A17684" s="3" t="inlineStr">
        <is>
          <t>Opportunity Global Sales (PTY) LTD</t>
        </is>
      </c>
      <c r="B17684" s="4" t="n">
        <v>45322</v>
      </c>
      <c r="C17684" s="3" t="inlineStr">
        <is>
          <t>Expenses</t>
        </is>
      </c>
      <c r="D17684" s="3" t="inlineStr">
        <is>
          <t>2000/125</t>
        </is>
      </c>
      <c r="E17684" s="3" t="inlineStr">
        <is>
          <t>Commission Paid - Referal commission</t>
        </is>
      </c>
      <c r="F17684" s="3" t="n">
        <v>0</v>
      </c>
      <c r="G17684" s="3" t="n">
        <v>75342.61</v>
      </c>
    </row>
    <row r="17685">
      <c r="A17685" s="3" t="inlineStr">
        <is>
          <t>Opportunity Global Sales (PTY) LTD</t>
        </is>
      </c>
      <c r="B17685" s="4" t="n">
        <v>45322</v>
      </c>
      <c r="C17685" s="3" t="inlineStr">
        <is>
          <t>Expenses</t>
        </is>
      </c>
      <c r="D17685" s="3" t="inlineStr">
        <is>
          <t>2000/135</t>
        </is>
      </c>
      <c r="E17685" s="3" t="inlineStr">
        <is>
          <t>COS - Sales Comm External - Minette</t>
        </is>
      </c>
      <c r="F17685" s="3" t="n">
        <v>0</v>
      </c>
      <c r="G17685" s="3" t="n">
        <v>57739.13</v>
      </c>
    </row>
    <row r="17686">
      <c r="A17686" s="3" t="inlineStr">
        <is>
          <t>Opportunity Global Investment (PTY) LTD</t>
        </is>
      </c>
      <c r="B17686" s="4" t="n">
        <v>45322</v>
      </c>
      <c r="C17686" s="3" t="inlineStr">
        <is>
          <t>Expenses</t>
        </is>
      </c>
      <c r="D17686" s="3" t="inlineStr">
        <is>
          <t>2000/135</t>
        </is>
      </c>
      <c r="E17686" s="3" t="inlineStr">
        <is>
          <t>Referral commission - Heron View</t>
        </is>
      </c>
      <c r="F17686" s="3" t="n">
        <v>35000</v>
      </c>
      <c r="G17686" s="3" t="n">
        <v>72231.21000000001</v>
      </c>
    </row>
    <row r="17687">
      <c r="A17687" s="3" t="inlineStr">
        <is>
          <t>Opportunity Global Sales (PTY) LTD</t>
        </is>
      </c>
      <c r="B17687" s="4" t="n">
        <v>45322</v>
      </c>
      <c r="C17687" s="3" t="inlineStr">
        <is>
          <t>Expenses</t>
        </is>
      </c>
      <c r="D17687" s="3" t="inlineStr">
        <is>
          <t>2000/137</t>
        </is>
      </c>
      <c r="E17687" s="3" t="inlineStr">
        <is>
          <t>COS - Rental Comm External - Minette</t>
        </is>
      </c>
      <c r="F17687" s="3" t="n">
        <v>17130.44</v>
      </c>
      <c r="G17687" s="3" t="n">
        <v>240916.98</v>
      </c>
    </row>
    <row r="17688">
      <c r="A17688" s="3" t="inlineStr">
        <is>
          <t>Opportunity Global Sales (PTY) LTD</t>
        </is>
      </c>
      <c r="B17688" s="4" t="n">
        <v>45322</v>
      </c>
      <c r="C17688" s="3" t="inlineStr">
        <is>
          <t>Expenses</t>
        </is>
      </c>
      <c r="D17688" s="3" t="inlineStr">
        <is>
          <t>2000/139</t>
        </is>
      </c>
      <c r="E17688" s="3" t="inlineStr">
        <is>
          <t>COS - Sales Comm Heron Fields - Minette</t>
        </is>
      </c>
      <c r="F17688" s="3" t="n">
        <v>0</v>
      </c>
      <c r="G17688" s="3" t="n">
        <v>68099.48</v>
      </c>
    </row>
    <row r="17689">
      <c r="A17689" s="3" t="inlineStr">
        <is>
          <t>Opportunity Global Investment (PTY) LTD</t>
        </is>
      </c>
      <c r="B17689" s="4" t="n">
        <v>45322</v>
      </c>
      <c r="C17689" s="3" t="inlineStr">
        <is>
          <t>Expenses</t>
        </is>
      </c>
      <c r="D17689" s="3" t="inlineStr">
        <is>
          <t>2000/140</t>
        </is>
      </c>
      <c r="E17689" s="3" t="inlineStr">
        <is>
          <t>Referral commission - F Geldenhuys</t>
        </is>
      </c>
      <c r="F17689" s="3" t="n">
        <v>0</v>
      </c>
      <c r="G17689" s="3" t="n">
        <v>89400</v>
      </c>
    </row>
    <row r="17690">
      <c r="A17690" s="3" t="inlineStr">
        <is>
          <t>Opportunity Global Investment (PTY) LTD</t>
        </is>
      </c>
      <c r="B17690" s="4" t="n">
        <v>45322</v>
      </c>
      <c r="C17690" s="3" t="inlineStr">
        <is>
          <t>Expenses</t>
        </is>
      </c>
      <c r="D17690" s="3" t="inlineStr">
        <is>
          <t>2000/145</t>
        </is>
      </c>
      <c r="E17690" s="3" t="inlineStr">
        <is>
          <t>Referral commission - W Thomason</t>
        </is>
      </c>
      <c r="F17690" s="3" t="n">
        <v>0</v>
      </c>
      <c r="G17690" s="3" t="n">
        <v>12000</v>
      </c>
    </row>
    <row r="17691">
      <c r="A17691" s="3" t="inlineStr">
        <is>
          <t>Opportunity Global Sales (PTY) LTD</t>
        </is>
      </c>
      <c r="B17691" s="4" t="n">
        <v>45322</v>
      </c>
      <c r="C17691" s="3" t="inlineStr">
        <is>
          <t>Expenses</t>
        </is>
      </c>
      <c r="D17691" s="3" t="inlineStr">
        <is>
          <t>2000/147</t>
        </is>
      </c>
      <c r="E17691" s="3" t="inlineStr">
        <is>
          <t>COS - Sales Comm Heron Fields - Yvette</t>
        </is>
      </c>
      <c r="F17691" s="3" t="n">
        <v>0</v>
      </c>
      <c r="G17691" s="3" t="n">
        <v>185656.48</v>
      </c>
    </row>
    <row r="17692">
      <c r="A17692" s="3" t="inlineStr">
        <is>
          <t>Endulini (Pty) Ltd</t>
        </is>
      </c>
      <c r="B17692" s="4" t="n">
        <v>45322</v>
      </c>
      <c r="C17692" s="3" t="inlineStr">
        <is>
          <t>Expenses</t>
        </is>
      </c>
      <c r="D17692" s="3" t="inlineStr">
        <is>
          <t>2000/150</t>
        </is>
      </c>
      <c r="E17692" s="3" t="inlineStr">
        <is>
          <t>COS - Levies special agreement</t>
        </is>
      </c>
      <c r="F17692" s="3" t="n">
        <v>2267.05</v>
      </c>
      <c r="G17692" s="3" t="n">
        <v>72241.53999999999</v>
      </c>
    </row>
    <row r="17693">
      <c r="A17693" s="3" t="inlineStr">
        <is>
          <t>Opportunity Global Sales (PTY) LTD</t>
        </is>
      </c>
      <c r="B17693" s="4" t="n">
        <v>45322</v>
      </c>
      <c r="C17693" s="3" t="inlineStr">
        <is>
          <t>Expenses</t>
        </is>
      </c>
      <c r="D17693" s="3" t="inlineStr">
        <is>
          <t>2000/160</t>
        </is>
      </c>
      <c r="E17693" s="3" t="inlineStr">
        <is>
          <t>COS - Sales Comm Heron View - Minette</t>
        </is>
      </c>
      <c r="F17693" s="3" t="n">
        <v>33737.04</v>
      </c>
      <c r="G17693" s="3" t="n">
        <v>345647.98</v>
      </c>
    </row>
    <row r="17694">
      <c r="A17694" s="3" t="inlineStr">
        <is>
          <t>Opportunity Global Sales (PTY) LTD</t>
        </is>
      </c>
      <c r="B17694" s="4" t="n">
        <v>45322</v>
      </c>
      <c r="C17694" s="3" t="inlineStr">
        <is>
          <t>Expenses</t>
        </is>
      </c>
      <c r="D17694" s="3" t="inlineStr">
        <is>
          <t>2000/162</t>
        </is>
      </c>
      <c r="E17694" s="3" t="inlineStr">
        <is>
          <t>COS - Sales Comm Heron View - Yvette</t>
        </is>
      </c>
      <c r="F17694" s="3" t="n">
        <v>20201.71</v>
      </c>
      <c r="G17694" s="3" t="n">
        <v>251784.68</v>
      </c>
    </row>
    <row r="17695">
      <c r="A17695" s="3" t="inlineStr">
        <is>
          <t>Opportunity Global Sales (PTY) LTD</t>
        </is>
      </c>
      <c r="B17695" s="4" t="n">
        <v>45322</v>
      </c>
      <c r="C17695" s="3" t="inlineStr">
        <is>
          <t>Expenses</t>
        </is>
      </c>
      <c r="D17695" s="3" t="inlineStr">
        <is>
          <t>2000/165</t>
        </is>
      </c>
      <c r="E17695" s="3" t="inlineStr">
        <is>
          <t>COS - Sales Comm External - Yvette</t>
        </is>
      </c>
      <c r="F17695" s="3" t="n">
        <v>0</v>
      </c>
      <c r="G17695" s="3" t="n">
        <v>5885.55</v>
      </c>
    </row>
    <row r="17696">
      <c r="A17696" s="3" t="inlineStr">
        <is>
          <t>Opportunity Global Sales (PTY) LTD</t>
        </is>
      </c>
      <c r="B17696" s="4" t="n">
        <v>45322</v>
      </c>
      <c r="C17696" s="3" t="inlineStr">
        <is>
          <t>Expenses</t>
        </is>
      </c>
      <c r="D17696" s="3" t="inlineStr">
        <is>
          <t>2000/166</t>
        </is>
      </c>
      <c r="E17696" s="3" t="inlineStr">
        <is>
          <t>COS - Sales Comm Heron View - Morne</t>
        </is>
      </c>
      <c r="F17696" s="3" t="n">
        <v>26172.18</v>
      </c>
      <c r="G17696" s="3" t="n">
        <v>83733.88</v>
      </c>
    </row>
    <row r="17697">
      <c r="A17697" s="3" t="inlineStr">
        <is>
          <t>Opportunity Global Sales (PTY) LTD</t>
        </is>
      </c>
      <c r="B17697" s="4" t="n">
        <v>45322</v>
      </c>
      <c r="C17697" s="3" t="inlineStr">
        <is>
          <t>Expenses</t>
        </is>
      </c>
      <c r="D17697" s="3" t="inlineStr">
        <is>
          <t>2000/167</t>
        </is>
      </c>
      <c r="E17697" s="3" t="inlineStr">
        <is>
          <t>COS - Sales Comm Endulini - Morne</t>
        </is>
      </c>
      <c r="F17697" s="3" t="n">
        <v>0</v>
      </c>
      <c r="G17697" s="3" t="n">
        <v>12173.05</v>
      </c>
    </row>
    <row r="17698">
      <c r="A17698" s="3" t="inlineStr">
        <is>
          <t>Noble Shield (Pty) Ltd ta Go Letting</t>
        </is>
      </c>
      <c r="B17698" s="4" t="n">
        <v>45322</v>
      </c>
      <c r="C17698" s="3" t="inlineStr">
        <is>
          <t>Expenses</t>
        </is>
      </c>
      <c r="D17698" s="3" t="inlineStr">
        <is>
          <t>2000/200</t>
        </is>
      </c>
      <c r="E17698" s="3" t="inlineStr">
        <is>
          <t>COS - Commission on external sales</t>
        </is>
      </c>
      <c r="F17698" s="3" t="n">
        <v>0</v>
      </c>
      <c r="G17698" s="3" t="n">
        <v>115400</v>
      </c>
    </row>
    <row r="17699">
      <c r="A17699" s="3" t="inlineStr">
        <is>
          <t>Endulini (Pty) Ltd</t>
        </is>
      </c>
      <c r="B17699" s="4" t="n">
        <v>45322</v>
      </c>
      <c r="C17699" s="3" t="inlineStr">
        <is>
          <t>Expenses</t>
        </is>
      </c>
      <c r="D17699" s="3" t="inlineStr">
        <is>
          <t>2000/200</t>
        </is>
      </c>
      <c r="E17699" s="3" t="inlineStr">
        <is>
          <t>COS - Rates clearance</t>
        </is>
      </c>
      <c r="F17699" s="3" t="n">
        <v>9389.84</v>
      </c>
      <c r="G17699" s="3" t="n">
        <v>65240.02</v>
      </c>
    </row>
    <row r="17700">
      <c r="A17700" s="3" t="inlineStr">
        <is>
          <t>Opportunity Global Sales (PTY) LTD</t>
        </is>
      </c>
      <c r="B17700" s="4" t="n">
        <v>45322</v>
      </c>
      <c r="C17700" s="3" t="inlineStr">
        <is>
          <t>Expenses</t>
        </is>
      </c>
      <c r="D17700" s="3" t="inlineStr">
        <is>
          <t>2000/270</t>
        </is>
      </c>
      <c r="E17700" s="3" t="inlineStr">
        <is>
          <t>COS - Comm Rentals - Mario - External</t>
        </is>
      </c>
      <c r="F17700" s="3" t="n">
        <v>1102.61</v>
      </c>
      <c r="G17700" s="3" t="n">
        <v>6133.95</v>
      </c>
    </row>
    <row r="17701">
      <c r="A17701" s="3" t="inlineStr">
        <is>
          <t>Opportunity Global Sales (PTY) LTD</t>
        </is>
      </c>
      <c r="B17701" s="4" t="n">
        <v>45322</v>
      </c>
      <c r="C17701" s="3" t="inlineStr">
        <is>
          <t>Expenses</t>
        </is>
      </c>
      <c r="D17701" s="3" t="inlineStr">
        <is>
          <t>2000/275</t>
        </is>
      </c>
      <c r="E17701" s="3" t="inlineStr">
        <is>
          <t>COS - Comm Rentals - Mario - Endulini</t>
        </is>
      </c>
      <c r="F17701" s="3" t="n">
        <v>451.48</v>
      </c>
      <c r="G17701" s="3" t="n">
        <v>27518.6</v>
      </c>
    </row>
    <row r="17702">
      <c r="A17702" s="3" t="inlineStr">
        <is>
          <t>Opportunity Global Sales (PTY) LTD</t>
        </is>
      </c>
      <c r="B17702" s="4" t="n">
        <v>45322</v>
      </c>
      <c r="C17702" s="3" t="inlineStr">
        <is>
          <t>Expenses</t>
        </is>
      </c>
      <c r="D17702" s="3" t="inlineStr">
        <is>
          <t>2000/280</t>
        </is>
      </c>
      <c r="E17702" s="3" t="inlineStr">
        <is>
          <t>COS - Comm Rentals - Mario - Heron Fields</t>
        </is>
      </c>
      <c r="F17702" s="3" t="n">
        <v>1934.78</v>
      </c>
      <c r="G17702" s="3" t="n">
        <v>23928.69</v>
      </c>
    </row>
    <row r="17703">
      <c r="A17703" s="3" t="inlineStr">
        <is>
          <t>Trademark Holdings (Pty) Ltd</t>
        </is>
      </c>
      <c r="B17703" s="4" t="n">
        <v>45322</v>
      </c>
      <c r="C17703" s="3" t="inlineStr">
        <is>
          <t>Expenses</t>
        </is>
      </c>
      <c r="D17703" s="3" t="inlineStr">
        <is>
          <t>2000/300</t>
        </is>
      </c>
      <c r="E17703" s="3" t="inlineStr">
        <is>
          <t>COS - Commission Paid</t>
        </is>
      </c>
      <c r="F17703" s="3" t="n">
        <v>15551.43</v>
      </c>
      <c r="G17703" s="3" t="n">
        <v>82664.32000000001</v>
      </c>
    </row>
    <row r="17704">
      <c r="A17704" s="3" t="inlineStr">
        <is>
          <t>Opportunity Global Sales (PTY) LTD</t>
        </is>
      </c>
      <c r="B17704" s="4" t="n">
        <v>45322</v>
      </c>
      <c r="C17704" s="3" t="inlineStr">
        <is>
          <t>Expenses</t>
        </is>
      </c>
      <c r="D17704" s="3" t="inlineStr">
        <is>
          <t>2000/370</t>
        </is>
      </c>
      <c r="E17704" s="3" t="inlineStr">
        <is>
          <t>COS - Overrider Comm Endulini - Morne</t>
        </is>
      </c>
      <c r="F17704" s="3" t="n">
        <v>0</v>
      </c>
      <c r="G17704" s="3" t="n">
        <v>12173.04</v>
      </c>
    </row>
    <row r="17705">
      <c r="A17705" s="3" t="inlineStr">
        <is>
          <t>Opportunity Global Sales (PTY) LTD</t>
        </is>
      </c>
      <c r="B17705" s="4" t="n">
        <v>45322</v>
      </c>
      <c r="C17705" s="3" t="inlineStr">
        <is>
          <t>Expenses</t>
        </is>
      </c>
      <c r="D17705" s="3" t="inlineStr">
        <is>
          <t>2000/380</t>
        </is>
      </c>
      <c r="E17705" s="3" t="inlineStr">
        <is>
          <t>COS - Overrider Comm Heron Fields - Morne</t>
        </is>
      </c>
      <c r="F17705" s="3" t="n">
        <v>0</v>
      </c>
      <c r="G17705" s="3" t="n">
        <v>30622.7</v>
      </c>
    </row>
    <row r="17706">
      <c r="A17706" s="3" t="inlineStr">
        <is>
          <t>Opportunity Global Sales (PTY) LTD</t>
        </is>
      </c>
      <c r="B17706" s="4" t="n">
        <v>45322</v>
      </c>
      <c r="C17706" s="3" t="inlineStr">
        <is>
          <t>Expenses</t>
        </is>
      </c>
      <c r="D17706" s="3" t="inlineStr">
        <is>
          <t>2000/383</t>
        </is>
      </c>
      <c r="E17706" s="3" t="inlineStr">
        <is>
          <t>COS - Overrider Comm Heron View - Morne</t>
        </is>
      </c>
      <c r="F17706" s="3" t="n">
        <v>4271.48</v>
      </c>
      <c r="G17706" s="3" t="n">
        <v>63272.17</v>
      </c>
    </row>
    <row r="17707">
      <c r="A17707" s="3" t="inlineStr">
        <is>
          <t>Opportunity Global Sales (PTY) LTD</t>
        </is>
      </c>
      <c r="B17707" s="4" t="n">
        <v>45322</v>
      </c>
      <c r="C17707" s="3" t="inlineStr">
        <is>
          <t>Expenses</t>
        </is>
      </c>
      <c r="D17707" s="3" t="inlineStr">
        <is>
          <t>2000/383</t>
        </is>
      </c>
      <c r="E17707" s="3" t="inlineStr">
        <is>
          <t>COS - Overrider Comm Heron Views - Morne</t>
        </is>
      </c>
      <c r="F17707" s="3" t="n">
        <v>4271.48</v>
      </c>
      <c r="G17707" s="3" t="n">
        <v>63272.17</v>
      </c>
    </row>
    <row r="17708">
      <c r="A17708" s="3" t="inlineStr">
        <is>
          <t>Opportunity Global Sales (PTY) LTD</t>
        </is>
      </c>
      <c r="B17708" s="4" t="n">
        <v>45322</v>
      </c>
      <c r="C17708" s="3" t="inlineStr">
        <is>
          <t>Expenses</t>
        </is>
      </c>
      <c r="D17708" s="3" t="inlineStr">
        <is>
          <t>2000/390</t>
        </is>
      </c>
      <c r="E17708" s="3" t="inlineStr">
        <is>
          <t>COS - Overrider Comm External Sales - Morne</t>
        </is>
      </c>
      <c r="F17708" s="3" t="n">
        <v>0</v>
      </c>
      <c r="G17708" s="3" t="n">
        <v>11953.32</v>
      </c>
    </row>
    <row r="17709">
      <c r="A17709" s="3" t="inlineStr">
        <is>
          <t>Trademark Holdings (Pty) Ltd</t>
        </is>
      </c>
      <c r="B17709" s="4" t="n">
        <v>45322</v>
      </c>
      <c r="C17709" s="3" t="inlineStr">
        <is>
          <t>Expenses</t>
        </is>
      </c>
      <c r="D17709" s="3" t="inlineStr">
        <is>
          <t>2000/400</t>
        </is>
      </c>
      <c r="E17709" s="3" t="inlineStr">
        <is>
          <t>COS - Commission on external sales</t>
        </is>
      </c>
      <c r="F17709" s="3" t="n">
        <v>0</v>
      </c>
      <c r="G17709" s="3" t="n">
        <v>115000</v>
      </c>
    </row>
    <row r="17710">
      <c r="A17710" s="3" t="inlineStr">
        <is>
          <t>Opportunity Global Sales (PTY) LTD</t>
        </is>
      </c>
      <c r="B17710" s="4" t="n">
        <v>45322</v>
      </c>
      <c r="C17710" s="3" t="inlineStr">
        <is>
          <t>Expenses</t>
        </is>
      </c>
      <c r="D17710" s="3" t="inlineStr">
        <is>
          <t>2000/550</t>
        </is>
      </c>
      <c r="E17710" s="3" t="inlineStr">
        <is>
          <t>COS - Electricity Costs Heron Fields</t>
        </is>
      </c>
      <c r="F17710" s="3" t="n">
        <v>0</v>
      </c>
      <c r="G17710" s="3" t="n">
        <v>447.83</v>
      </c>
    </row>
    <row r="17711">
      <c r="A17711" s="3" t="inlineStr">
        <is>
          <t>Opportunity Global Sales (PTY) LTD</t>
        </is>
      </c>
      <c r="B17711" s="4" t="n">
        <v>45322</v>
      </c>
      <c r="C17711" s="3" t="inlineStr">
        <is>
          <t>Expenses</t>
        </is>
      </c>
      <c r="D17711" s="3" t="inlineStr">
        <is>
          <t>2000/600</t>
        </is>
      </c>
      <c r="E17711" s="3" t="inlineStr">
        <is>
          <t>COS - Heron Fields Show House</t>
        </is>
      </c>
      <c r="F17711" s="3" t="n">
        <v>0</v>
      </c>
      <c r="G17711" s="3" t="n">
        <v>201.97</v>
      </c>
    </row>
    <row r="17712">
      <c r="A17712" s="3" t="inlineStr">
        <is>
          <t>Endulini (Pty) Ltd</t>
        </is>
      </c>
      <c r="B17712" s="4" t="n">
        <v>45322</v>
      </c>
      <c r="C17712" s="3" t="inlineStr">
        <is>
          <t>Expenses</t>
        </is>
      </c>
      <c r="D17712" s="3" t="inlineStr">
        <is>
          <t>2000/600</t>
        </is>
      </c>
      <c r="E17712" s="3" t="inlineStr">
        <is>
          <t>COS - Legal fees</t>
        </is>
      </c>
      <c r="F17712" s="3" t="n">
        <v>0</v>
      </c>
      <c r="G17712" s="3" t="n">
        <v>341904.45</v>
      </c>
    </row>
    <row r="17713">
      <c r="A17713" s="3" t="inlineStr">
        <is>
          <t>Quinate Consulting (Pty) Ltd</t>
        </is>
      </c>
      <c r="B17713" s="4" t="n">
        <v>45322</v>
      </c>
      <c r="C17713" s="3" t="inlineStr">
        <is>
          <t>Expenses</t>
        </is>
      </c>
      <c r="D17713" s="3" t="inlineStr">
        <is>
          <t>2001/120</t>
        </is>
      </c>
      <c r="E17713" s="3" t="inlineStr">
        <is>
          <t>COS - Commission - South Wark</t>
        </is>
      </c>
      <c r="F17713" s="3" t="n">
        <v>0</v>
      </c>
      <c r="G17713" s="3" t="n">
        <v>-869.5700000000001</v>
      </c>
    </row>
    <row r="17714">
      <c r="A17714" s="3" t="inlineStr">
        <is>
          <t>Quinate Consulting (Pty) Ltd</t>
        </is>
      </c>
      <c r="B17714" s="4" t="n">
        <v>45322</v>
      </c>
      <c r="C17714" s="3" t="inlineStr">
        <is>
          <t>Expenses</t>
        </is>
      </c>
      <c r="D17714" s="3" t="inlineStr">
        <is>
          <t>2001/210</t>
        </is>
      </c>
      <c r="E17714" s="3" t="inlineStr">
        <is>
          <t>COS - NHBRC</t>
        </is>
      </c>
      <c r="F17714" s="3" t="n">
        <v>0</v>
      </c>
      <c r="G17714" s="3" t="n">
        <v>457.67</v>
      </c>
    </row>
    <row r="17715">
      <c r="A17715" s="3" t="inlineStr">
        <is>
          <t>Quinate Consulting (Pty) Ltd</t>
        </is>
      </c>
      <c r="B17715" s="4" t="n">
        <v>45322</v>
      </c>
      <c r="C17715" s="3" t="inlineStr">
        <is>
          <t>Expenses</t>
        </is>
      </c>
      <c r="D17715" s="3" t="inlineStr">
        <is>
          <t>2200/000</t>
        </is>
      </c>
      <c r="E17715" s="3" t="inlineStr">
        <is>
          <t>COS - C2M Certificate for transfer</t>
        </is>
      </c>
      <c r="F17715" s="3" t="n">
        <v>0</v>
      </c>
      <c r="G17715" s="3" t="n">
        <v>2000</v>
      </c>
    </row>
    <row r="17716">
      <c r="A17716" s="3" t="inlineStr">
        <is>
          <t>Noble Shield (Pty) Ltd ta Go Letting</t>
        </is>
      </c>
      <c r="B17716" s="4" t="n">
        <v>45322</v>
      </c>
      <c r="C17716" s="3" t="inlineStr">
        <is>
          <t>Revenue</t>
        </is>
      </c>
      <c r="D17716" s="3" t="inlineStr">
        <is>
          <t>2400/011</t>
        </is>
      </c>
      <c r="E17716" s="3" t="inlineStr">
        <is>
          <t>Recovery of Electrity _AND_ Water - Rentals</t>
        </is>
      </c>
      <c r="F17716" s="3" t="n">
        <v>0</v>
      </c>
      <c r="G17716" s="3" t="n">
        <v>-1000</v>
      </c>
    </row>
    <row r="17717">
      <c r="A17717" s="3" t="inlineStr">
        <is>
          <t>Quinate Consulting (Pty) Ltd</t>
        </is>
      </c>
      <c r="B17717" s="4" t="n">
        <v>45322</v>
      </c>
      <c r="C17717" s="3" t="inlineStr">
        <is>
          <t>Revenue</t>
        </is>
      </c>
      <c r="D17717" s="3" t="inlineStr">
        <is>
          <t>2400/200</t>
        </is>
      </c>
      <c r="E17717" s="3" t="inlineStr">
        <is>
          <t>Recovery Acc - Electricity SH</t>
        </is>
      </c>
      <c r="F17717" s="3" t="n">
        <v>0</v>
      </c>
      <c r="G17717" s="3" t="n">
        <v>-310930.99</v>
      </c>
    </row>
    <row r="17718">
      <c r="A17718" s="3" t="inlineStr">
        <is>
          <t>Quinate Consulting (Pty) Ltd</t>
        </is>
      </c>
      <c r="B17718" s="4" t="n">
        <v>45322</v>
      </c>
      <c r="C17718" s="3" t="inlineStr">
        <is>
          <t>Revenue</t>
        </is>
      </c>
      <c r="D17718" s="3" t="inlineStr">
        <is>
          <t>2400/300</t>
        </is>
      </c>
      <c r="E17718" s="3" t="inlineStr">
        <is>
          <t>Recovery Account - Electricity SW</t>
        </is>
      </c>
      <c r="F17718" s="3" t="n">
        <v>0</v>
      </c>
      <c r="G17718" s="3" t="n">
        <v>-231367.11</v>
      </c>
    </row>
    <row r="17719">
      <c r="A17719" s="3" t="inlineStr">
        <is>
          <t>Endulini (Pty) Ltd</t>
        </is>
      </c>
      <c r="B17719" s="4" t="n">
        <v>45322</v>
      </c>
      <c r="C17719" s="3" t="inlineStr">
        <is>
          <t>Revenue</t>
        </is>
      </c>
      <c r="D17719" s="3" t="inlineStr">
        <is>
          <t>2750/000</t>
        </is>
      </c>
      <c r="E17719" s="3" t="inlineStr">
        <is>
          <t>Interest Received</t>
        </is>
      </c>
      <c r="F17719" s="3" t="n">
        <v>-789.55</v>
      </c>
      <c r="G17719" s="3" t="n">
        <v>-1767.18</v>
      </c>
    </row>
    <row r="17720">
      <c r="A17720" s="3" t="inlineStr">
        <is>
          <t>Opportunity Global Investment (PTY) LTD</t>
        </is>
      </c>
      <c r="B17720" s="4" t="n">
        <v>45322</v>
      </c>
      <c r="C17720" s="3" t="inlineStr">
        <is>
          <t>Revenue</t>
        </is>
      </c>
      <c r="D17720" s="3" t="inlineStr">
        <is>
          <t>2750/000</t>
        </is>
      </c>
      <c r="E17720" s="3" t="inlineStr">
        <is>
          <t>Interest Received - Bank</t>
        </is>
      </c>
      <c r="F17720" s="3" t="n">
        <v>0</v>
      </c>
      <c r="G17720" s="3" t="n">
        <v>-355.23</v>
      </c>
    </row>
    <row r="17721">
      <c r="A17721" s="3" t="inlineStr">
        <is>
          <t>Opportunity Global Sales (PTY) LTD</t>
        </is>
      </c>
      <c r="B17721" s="4" t="n">
        <v>45322</v>
      </c>
      <c r="C17721" s="3" t="inlineStr">
        <is>
          <t>Revenue</t>
        </is>
      </c>
      <c r="D17721" s="3" t="inlineStr">
        <is>
          <t>2750/000</t>
        </is>
      </c>
      <c r="E17721" s="3" t="inlineStr">
        <is>
          <t>Interest Received - Bank</t>
        </is>
      </c>
      <c r="F17721" s="3" t="n">
        <v>0</v>
      </c>
      <c r="G17721" s="3" t="n">
        <v>-18.82</v>
      </c>
    </row>
    <row r="17722">
      <c r="A17722" s="3" t="inlineStr">
        <is>
          <t>Noble Shield (Pty) Ltd ta Go Letting</t>
        </is>
      </c>
      <c r="B17722" s="4" t="n">
        <v>45322</v>
      </c>
      <c r="C17722" s="3" t="inlineStr">
        <is>
          <t>Revenue</t>
        </is>
      </c>
      <c r="D17722" s="3" t="inlineStr">
        <is>
          <t>2750/100</t>
        </is>
      </c>
      <c r="E17722" s="3" t="inlineStr">
        <is>
          <t>Interest Received - bank</t>
        </is>
      </c>
      <c r="F17722" s="3" t="n">
        <v>0</v>
      </c>
      <c r="G17722" s="3" t="n">
        <v>-0.07000000000000001</v>
      </c>
    </row>
    <row r="17723">
      <c r="A17723" s="3" t="inlineStr">
        <is>
          <t>Quinate Consulting (Pty) Ltd</t>
        </is>
      </c>
      <c r="B17723" s="4" t="n">
        <v>45322</v>
      </c>
      <c r="C17723" s="3" t="inlineStr">
        <is>
          <t>Revenue</t>
        </is>
      </c>
      <c r="D17723" s="3" t="inlineStr">
        <is>
          <t>2751/000</t>
        </is>
      </c>
      <c r="E17723" s="3" t="inlineStr">
        <is>
          <t>Interest Received - Bank</t>
        </is>
      </c>
      <c r="F17723" s="3" t="n">
        <v>0</v>
      </c>
      <c r="G17723" s="3" t="n">
        <v>-4542.18</v>
      </c>
    </row>
    <row r="17724">
      <c r="A17724" s="3" t="inlineStr">
        <is>
          <t>Opportunity Global Investment (PTY) LTD</t>
        </is>
      </c>
      <c r="B17724" s="4" t="n">
        <v>45322</v>
      </c>
      <c r="C17724" s="3" t="inlineStr">
        <is>
          <t>Revenue</t>
        </is>
      </c>
      <c r="D17724" s="3" t="inlineStr">
        <is>
          <t>2753/000</t>
        </is>
      </c>
      <c r="E17724" s="3" t="inlineStr">
        <is>
          <t>Interest received - Momentum</t>
        </is>
      </c>
      <c r="F17724" s="3" t="n">
        <v>0</v>
      </c>
      <c r="G17724" s="3" t="n">
        <v>-297.69</v>
      </c>
    </row>
    <row r="17725">
      <c r="A17725" s="3" t="inlineStr">
        <is>
          <t>Endulini (Pty) Ltd</t>
        </is>
      </c>
      <c r="B17725" s="4" t="n">
        <v>45322</v>
      </c>
      <c r="C17725" s="3" t="inlineStr">
        <is>
          <t>Revenue</t>
        </is>
      </c>
      <c r="D17725" s="3" t="inlineStr">
        <is>
          <t>2755/001</t>
        </is>
      </c>
      <c r="E17725" s="3" t="inlineStr">
        <is>
          <t>Interest Received - Momentum</t>
        </is>
      </c>
      <c r="F17725" s="3" t="n">
        <v>0</v>
      </c>
      <c r="G17725" s="3" t="n">
        <v>-117.79</v>
      </c>
    </row>
    <row r="17726">
      <c r="A17726" s="3" t="inlineStr">
        <is>
          <t>Quinate Consulting (Pty) Ltd</t>
        </is>
      </c>
      <c r="B17726" s="4" t="n">
        <v>45322</v>
      </c>
      <c r="C17726" s="3" t="inlineStr">
        <is>
          <t>Revenue</t>
        </is>
      </c>
      <c r="D17726" s="3" t="inlineStr">
        <is>
          <t>2755/001</t>
        </is>
      </c>
      <c r="E17726" s="3" t="inlineStr">
        <is>
          <t>Interest Received - Momentum</t>
        </is>
      </c>
      <c r="F17726" s="3" t="n">
        <v>0</v>
      </c>
      <c r="G17726" s="3" t="n">
        <v>-30.67</v>
      </c>
    </row>
    <row r="17727">
      <c r="A17727" s="3" t="inlineStr">
        <is>
          <t>Opportunity Global Investment (PTY) LTD</t>
        </is>
      </c>
      <c r="B17727" s="4" t="n">
        <v>45322</v>
      </c>
      <c r="C17727" s="3" t="inlineStr">
        <is>
          <t>Expenses</t>
        </is>
      </c>
      <c r="D17727" s="3" t="inlineStr">
        <is>
          <t>3000/100</t>
        </is>
      </c>
      <c r="E17727" s="3" t="inlineStr">
        <is>
          <t>Accounting Fees - Secretarial</t>
        </is>
      </c>
      <c r="F17727" s="3" t="n">
        <v>0</v>
      </c>
      <c r="G17727" s="3" t="n">
        <v>890</v>
      </c>
    </row>
    <row r="17728">
      <c r="A17728" s="3" t="inlineStr">
        <is>
          <t>Opportunity Global Investment (PTY) LTD</t>
        </is>
      </c>
      <c r="B17728" s="4" t="n">
        <v>45322</v>
      </c>
      <c r="C17728" s="3" t="inlineStr">
        <is>
          <t>Expenses</t>
        </is>
      </c>
      <c r="D17728" s="3" t="inlineStr">
        <is>
          <t>3000/150</t>
        </is>
      </c>
      <c r="E17728" s="3" t="inlineStr">
        <is>
          <t>Accounting Fees - Audit</t>
        </is>
      </c>
      <c r="F17728" s="3" t="n">
        <v>0</v>
      </c>
      <c r="G17728" s="3" t="n">
        <v>12217.01</v>
      </c>
    </row>
    <row r="17729">
      <c r="A17729" s="3" t="inlineStr">
        <is>
          <t>Trademark Holdings (Pty) Ltd</t>
        </is>
      </c>
      <c r="B17729" s="4" t="n">
        <v>45322</v>
      </c>
      <c r="C17729" s="3" t="inlineStr">
        <is>
          <t>Expenses</t>
        </is>
      </c>
      <c r="D17729" s="3" t="inlineStr">
        <is>
          <t>3000/300</t>
        </is>
      </c>
      <c r="E17729" s="3" t="inlineStr">
        <is>
          <t>Accounting Fees - Audit</t>
        </is>
      </c>
      <c r="F17729" s="3" t="n">
        <v>0</v>
      </c>
      <c r="G17729" s="3" t="n">
        <v>22517</v>
      </c>
    </row>
    <row r="17730">
      <c r="A17730" s="3" t="inlineStr">
        <is>
          <t>Trademark Holdings (Pty) Ltd</t>
        </is>
      </c>
      <c r="B17730" s="4" t="n">
        <v>45322</v>
      </c>
      <c r="C17730" s="3" t="inlineStr">
        <is>
          <t>Expenses</t>
        </is>
      </c>
      <c r="D17730" s="3" t="inlineStr">
        <is>
          <t>3000/400</t>
        </is>
      </c>
      <c r="E17730" s="3" t="inlineStr">
        <is>
          <t>Accounting Fees - CiPC</t>
        </is>
      </c>
      <c r="F17730" s="3" t="n">
        <v>0</v>
      </c>
      <c r="G17730" s="3" t="n">
        <v>1322.5</v>
      </c>
    </row>
    <row r="17731">
      <c r="A17731" s="3" t="inlineStr">
        <is>
          <t>Quinate Consulting (Pty) Ltd</t>
        </is>
      </c>
      <c r="B17731" s="4" t="n">
        <v>45322</v>
      </c>
      <c r="C17731" s="3" t="inlineStr">
        <is>
          <t>Expenses</t>
        </is>
      </c>
      <c r="D17731" s="3" t="inlineStr">
        <is>
          <t>3001/000</t>
        </is>
      </c>
      <c r="E17731" s="3" t="inlineStr">
        <is>
          <t>Accounting fees - Other</t>
        </is>
      </c>
      <c r="F17731" s="3" t="n">
        <v>0</v>
      </c>
      <c r="G17731" s="3" t="n">
        <v>12640</v>
      </c>
    </row>
    <row r="17732">
      <c r="A17732" s="3" t="inlineStr">
        <is>
          <t>Quinate Consulting (Pty) Ltd</t>
        </is>
      </c>
      <c r="B17732" s="4" t="n">
        <v>45322</v>
      </c>
      <c r="C17732" s="3" t="inlineStr">
        <is>
          <t>Expenses</t>
        </is>
      </c>
      <c r="D17732" s="3" t="inlineStr">
        <is>
          <t>3002/000</t>
        </is>
      </c>
      <c r="E17732" s="3" t="inlineStr">
        <is>
          <t>Accounting Fees - Tax Dept.</t>
        </is>
      </c>
      <c r="F17732" s="3" t="n">
        <v>0</v>
      </c>
      <c r="G17732" s="3" t="n">
        <v>540</v>
      </c>
    </row>
    <row r="17733">
      <c r="A17733" s="3" t="inlineStr">
        <is>
          <t>Quinate Consulting (Pty) Ltd</t>
        </is>
      </c>
      <c r="B17733" s="4" t="n">
        <v>45322</v>
      </c>
      <c r="C17733" s="3" t="inlineStr">
        <is>
          <t>Expenses</t>
        </is>
      </c>
      <c r="D17733" s="3" t="inlineStr">
        <is>
          <t>3005/000</t>
        </is>
      </c>
      <c r="E17733" s="3" t="inlineStr">
        <is>
          <t>Accounting fees - Audit</t>
        </is>
      </c>
      <c r="F17733" s="3" t="n">
        <v>0</v>
      </c>
      <c r="G17733" s="3" t="n">
        <v>41581</v>
      </c>
    </row>
    <row r="17734">
      <c r="A17734" s="3" t="inlineStr">
        <is>
          <t>Opportunity Management Holdings (PTY) LTD</t>
        </is>
      </c>
      <c r="B17734" s="4" t="n">
        <v>45322</v>
      </c>
      <c r="C17734" s="3" t="inlineStr">
        <is>
          <t>Expenses</t>
        </is>
      </c>
      <c r="D17734" s="3" t="inlineStr">
        <is>
          <t>3005/000</t>
        </is>
      </c>
      <c r="E17734" s="3" t="inlineStr">
        <is>
          <t>Accounting fees - Deric Dudley</t>
        </is>
      </c>
      <c r="F17734" s="3" t="n">
        <v>65427.94</v>
      </c>
      <c r="G17734" s="3" t="n">
        <v>289427.94</v>
      </c>
    </row>
    <row r="17735">
      <c r="A17735" s="3" t="inlineStr">
        <is>
          <t>Opportunity Management Holdings (PTY) LTD</t>
        </is>
      </c>
      <c r="B17735" s="4" t="n">
        <v>45322</v>
      </c>
      <c r="C17735" s="3" t="inlineStr">
        <is>
          <t>Expenses</t>
        </is>
      </c>
      <c r="D17735" s="3" t="inlineStr">
        <is>
          <t>3006/000</t>
        </is>
      </c>
      <c r="E17735" s="3" t="inlineStr">
        <is>
          <t>Accounting fees - CIPC</t>
        </is>
      </c>
      <c r="F17735" s="3" t="n">
        <v>0</v>
      </c>
      <c r="G17735" s="3" t="n">
        <v>500</v>
      </c>
    </row>
    <row r="17736">
      <c r="A17736" s="3" t="inlineStr">
        <is>
          <t>Endulini (Pty) Ltd</t>
        </is>
      </c>
      <c r="B17736" s="4" t="n">
        <v>45322</v>
      </c>
      <c r="C17736" s="3" t="inlineStr">
        <is>
          <t>Expenses</t>
        </is>
      </c>
      <c r="D17736" s="3" t="inlineStr">
        <is>
          <t>3050/000</t>
        </is>
      </c>
      <c r="E17736" s="3" t="inlineStr">
        <is>
          <t>Advertising _AND_ Promotions</t>
        </is>
      </c>
      <c r="F17736" s="3" t="n">
        <v>0</v>
      </c>
      <c r="G17736" s="3" t="n">
        <v>4595</v>
      </c>
    </row>
    <row r="17737">
      <c r="A17737" s="3" t="inlineStr">
        <is>
          <t>Noble Shield (Pty) Ltd ta Go Letting</t>
        </is>
      </c>
      <c r="B17737" s="4" t="n">
        <v>45322</v>
      </c>
      <c r="C17737" s="3" t="inlineStr">
        <is>
          <t>Expenses</t>
        </is>
      </c>
      <c r="D17737" s="3" t="inlineStr">
        <is>
          <t>3050/000</t>
        </is>
      </c>
      <c r="E17737" s="3" t="inlineStr">
        <is>
          <t>Advertising _AND_ Promotions</t>
        </is>
      </c>
      <c r="F17737" s="3" t="n">
        <v>1322.5</v>
      </c>
      <c r="G17737" s="3" t="n">
        <v>1322.5</v>
      </c>
    </row>
    <row r="17738">
      <c r="A17738" s="3" t="inlineStr">
        <is>
          <t>Opportunity Management Holdings (PTY) LTD</t>
        </is>
      </c>
      <c r="B17738" s="4" t="n">
        <v>45322</v>
      </c>
      <c r="C17738" s="3" t="inlineStr">
        <is>
          <t>Expenses</t>
        </is>
      </c>
      <c r="D17738" s="3" t="inlineStr">
        <is>
          <t>3050/000</t>
        </is>
      </c>
      <c r="E17738" s="3" t="inlineStr">
        <is>
          <t>Advertising _AND_ Promotions</t>
        </is>
      </c>
      <c r="F17738" s="3" t="n">
        <v>3473.91</v>
      </c>
      <c r="G17738" s="3" t="n">
        <v>3761.41</v>
      </c>
    </row>
    <row r="17739">
      <c r="A17739" s="3" t="inlineStr">
        <is>
          <t>Opportunity Global Investment (PTY) LTD</t>
        </is>
      </c>
      <c r="B17739" s="4" t="n">
        <v>45322</v>
      </c>
      <c r="C17739" s="3" t="inlineStr">
        <is>
          <t>Expenses</t>
        </is>
      </c>
      <c r="D17739" s="3" t="inlineStr">
        <is>
          <t>3050/000</t>
        </is>
      </c>
      <c r="E17739" s="3" t="inlineStr">
        <is>
          <t>Advertising and Promotions</t>
        </is>
      </c>
      <c r="F17739" s="3" t="n">
        <v>95.64</v>
      </c>
      <c r="G17739" s="3" t="n">
        <v>3510.76</v>
      </c>
    </row>
    <row r="17740">
      <c r="A17740" s="3" t="inlineStr">
        <is>
          <t>Opportunity Global Sales (PTY) LTD</t>
        </is>
      </c>
      <c r="B17740" s="4" t="n">
        <v>45322</v>
      </c>
      <c r="C17740" s="3" t="inlineStr">
        <is>
          <t>Expenses</t>
        </is>
      </c>
      <c r="D17740" s="3" t="inlineStr">
        <is>
          <t>3050/000</t>
        </is>
      </c>
      <c r="E17740" s="3" t="inlineStr">
        <is>
          <t>Advertising and Promotions</t>
        </is>
      </c>
      <c r="F17740" s="3" t="n">
        <v>0</v>
      </c>
      <c r="G17740" s="3" t="n">
        <v>18164.18</v>
      </c>
    </row>
    <row r="17741">
      <c r="A17741" s="3" t="inlineStr">
        <is>
          <t>Endulini (Pty) Ltd</t>
        </is>
      </c>
      <c r="B17741" s="4" t="n">
        <v>45322</v>
      </c>
      <c r="C17741" s="3" t="inlineStr">
        <is>
          <t>Expenses</t>
        </is>
      </c>
      <c r="D17741" s="3" t="inlineStr">
        <is>
          <t>3050/001</t>
        </is>
      </c>
      <c r="E17741" s="3" t="inlineStr">
        <is>
          <t>Advertising _AND_ Promotions - Media Agenda</t>
        </is>
      </c>
      <c r="F17741" s="3" t="n">
        <v>0</v>
      </c>
      <c r="G17741" s="3" t="n">
        <v>4887.5</v>
      </c>
    </row>
    <row r="17742">
      <c r="A17742" s="3" t="inlineStr">
        <is>
          <t>Noble Shield (Pty) Ltd ta Go Letting</t>
        </is>
      </c>
      <c r="B17742" s="4" t="n">
        <v>45322</v>
      </c>
      <c r="C17742" s="3" t="inlineStr">
        <is>
          <t>Expenses</t>
        </is>
      </c>
      <c r="D17742" s="3" t="inlineStr">
        <is>
          <t>3050/020</t>
        </is>
      </c>
      <c r="E17742" s="3" t="inlineStr">
        <is>
          <t>Adverting &amp; Marketing - Other</t>
        </is>
      </c>
      <c r="F17742" s="3" t="n">
        <v>0</v>
      </c>
      <c r="G17742" s="3" t="n">
        <v>134.9</v>
      </c>
    </row>
    <row r="17743">
      <c r="A17743" s="3" t="inlineStr">
        <is>
          <t>Noble Shield (Pty) Ltd ta Go Letting</t>
        </is>
      </c>
      <c r="B17743" s="4" t="n">
        <v>45322</v>
      </c>
      <c r="C17743" s="3" t="inlineStr">
        <is>
          <t>Expenses</t>
        </is>
      </c>
      <c r="D17743" s="3" t="inlineStr">
        <is>
          <t>3050/050</t>
        </is>
      </c>
      <c r="E17743" s="3" t="inlineStr">
        <is>
          <t>Advertising - Prop 24</t>
        </is>
      </c>
      <c r="F17743" s="3" t="n">
        <v>3336.15</v>
      </c>
      <c r="G17743" s="3" t="n">
        <v>17368.45</v>
      </c>
    </row>
    <row r="17744">
      <c r="A17744" s="3" t="inlineStr">
        <is>
          <t>Opportunity Global Sales (PTY) LTD</t>
        </is>
      </c>
      <c r="B17744" s="4" t="n">
        <v>45322</v>
      </c>
      <c r="C17744" s="3" t="inlineStr">
        <is>
          <t>Expenses</t>
        </is>
      </c>
      <c r="D17744" s="3" t="inlineStr">
        <is>
          <t>3050/100</t>
        </is>
      </c>
      <c r="E17744" s="3" t="inlineStr">
        <is>
          <t>Advertising - Facebook</t>
        </is>
      </c>
      <c r="F17744" s="3" t="n">
        <v>0</v>
      </c>
      <c r="G17744" s="3" t="n">
        <v>2279.78</v>
      </c>
    </row>
    <row r="17745">
      <c r="A17745" s="3" t="inlineStr">
        <is>
          <t>Opportunity Global Sales (PTY) LTD</t>
        </is>
      </c>
      <c r="B17745" s="4" t="n">
        <v>45322</v>
      </c>
      <c r="C17745" s="3" t="inlineStr">
        <is>
          <t>Expenses</t>
        </is>
      </c>
      <c r="D17745" s="3" t="inlineStr">
        <is>
          <t>3050/140</t>
        </is>
      </c>
      <c r="E17745" s="3" t="inlineStr">
        <is>
          <t>Advertising - Media Agenda</t>
        </is>
      </c>
      <c r="F17745" s="3" t="n">
        <v>0</v>
      </c>
      <c r="G17745" s="3" t="n">
        <v>18462.5</v>
      </c>
    </row>
    <row r="17746">
      <c r="A17746" s="3" t="inlineStr">
        <is>
          <t>Opportunity Global Sales (PTY) LTD</t>
        </is>
      </c>
      <c r="B17746" s="4" t="n">
        <v>45322</v>
      </c>
      <c r="C17746" s="3" t="inlineStr">
        <is>
          <t>Expenses</t>
        </is>
      </c>
      <c r="D17746" s="3" t="inlineStr">
        <is>
          <t>3050/200</t>
        </is>
      </c>
      <c r="E17746" s="3" t="inlineStr">
        <is>
          <t>Advertising - Design</t>
        </is>
      </c>
      <c r="F17746" s="3" t="n">
        <v>0</v>
      </c>
      <c r="G17746" s="3" t="n">
        <v>35000</v>
      </c>
    </row>
    <row r="17747">
      <c r="A17747" s="3" t="inlineStr">
        <is>
          <t>Opportunity Global Investment (PTY) LTD</t>
        </is>
      </c>
      <c r="B17747" s="4" t="n">
        <v>45322</v>
      </c>
      <c r="C17747" s="3" t="inlineStr">
        <is>
          <t>Expenses</t>
        </is>
      </c>
      <c r="D17747" s="3" t="inlineStr">
        <is>
          <t>3050/230</t>
        </is>
      </c>
      <c r="E17747" s="3" t="inlineStr">
        <is>
          <t>Advertising - Link on Advertising</t>
        </is>
      </c>
      <c r="F17747" s="3" t="n">
        <v>395</v>
      </c>
      <c r="G17747" s="3" t="n">
        <v>2370</v>
      </c>
    </row>
    <row r="17748">
      <c r="A17748" s="3" t="inlineStr">
        <is>
          <t>Opportunity Global Investment (PTY) LTD</t>
        </is>
      </c>
      <c r="B17748" s="4" t="n">
        <v>45322</v>
      </c>
      <c r="C17748" s="3" t="inlineStr">
        <is>
          <t>Expenses</t>
        </is>
      </c>
      <c r="D17748" s="3" t="inlineStr">
        <is>
          <t>3050/240</t>
        </is>
      </c>
      <c r="E17748" s="3" t="inlineStr">
        <is>
          <t>Advertising - Realmarketing</t>
        </is>
      </c>
      <c r="F17748" s="3" t="n">
        <v>46000</v>
      </c>
      <c r="G17748" s="3" t="n">
        <v>191000</v>
      </c>
    </row>
    <row r="17749">
      <c r="A17749" s="3" t="inlineStr">
        <is>
          <t>Opportunity Global Investment (PTY) LTD</t>
        </is>
      </c>
      <c r="B17749" s="4" t="n">
        <v>45322</v>
      </c>
      <c r="C17749" s="3" t="inlineStr">
        <is>
          <t>Expenses</t>
        </is>
      </c>
      <c r="D17749" s="3" t="inlineStr">
        <is>
          <t>3050/250</t>
        </is>
      </c>
      <c r="E17749" s="3" t="inlineStr">
        <is>
          <t>Advertising - General</t>
        </is>
      </c>
      <c r="F17749" s="3" t="n">
        <v>0</v>
      </c>
      <c r="G17749" s="3" t="n">
        <v>52599.6</v>
      </c>
    </row>
    <row r="17750">
      <c r="A17750" s="3" t="inlineStr">
        <is>
          <t>Opportunity Global Sales (PTY) LTD</t>
        </is>
      </c>
      <c r="B17750" s="4" t="n">
        <v>45322</v>
      </c>
      <c r="C17750" s="3" t="inlineStr">
        <is>
          <t>Expenses</t>
        </is>
      </c>
      <c r="D17750" s="3" t="inlineStr">
        <is>
          <t>3050/250</t>
        </is>
      </c>
      <c r="E17750" s="3" t="inlineStr">
        <is>
          <t>Advertising - General</t>
        </is>
      </c>
      <c r="F17750" s="3" t="n">
        <v>0</v>
      </c>
      <c r="G17750" s="3" t="n">
        <v>81097.08</v>
      </c>
    </row>
    <row r="17751">
      <c r="A17751" s="3" t="inlineStr">
        <is>
          <t>Opportunity Global Investment (PTY) LTD</t>
        </is>
      </c>
      <c r="B17751" s="4" t="n">
        <v>45322</v>
      </c>
      <c r="C17751" s="3" t="inlineStr">
        <is>
          <t>Expenses</t>
        </is>
      </c>
      <c r="D17751" s="3" t="inlineStr">
        <is>
          <t>3050/260</t>
        </is>
      </c>
      <c r="E17751" s="3" t="inlineStr">
        <is>
          <t>Advertising - Media Agenda</t>
        </is>
      </c>
      <c r="F17751" s="3" t="n">
        <v>0</v>
      </c>
      <c r="G17751" s="3" t="n">
        <v>1437.5</v>
      </c>
    </row>
    <row r="17752">
      <c r="A17752" s="3" t="inlineStr">
        <is>
          <t>Opportunity Global Investment (PTY) LTD</t>
        </is>
      </c>
      <c r="B17752" s="4" t="n">
        <v>45322</v>
      </c>
      <c r="C17752" s="3" t="inlineStr">
        <is>
          <t>Expenses</t>
        </is>
      </c>
      <c r="D17752" s="3" t="inlineStr">
        <is>
          <t>3050/270</t>
        </is>
      </c>
      <c r="E17752" s="3" t="inlineStr">
        <is>
          <t>Advertising - Radia and TV Interviews</t>
        </is>
      </c>
      <c r="F17752" s="3" t="n">
        <v>31050</v>
      </c>
      <c r="G17752" s="3" t="n">
        <v>140897.5</v>
      </c>
    </row>
    <row r="17753">
      <c r="A17753" s="3" t="inlineStr">
        <is>
          <t>Opportunity Global Investment (PTY) LTD</t>
        </is>
      </c>
      <c r="B17753" s="4" t="n">
        <v>45322</v>
      </c>
      <c r="C17753" s="3" t="inlineStr">
        <is>
          <t>Expenses</t>
        </is>
      </c>
      <c r="D17753" s="3" t="inlineStr">
        <is>
          <t>3050/290</t>
        </is>
      </c>
      <c r="E17753" s="3" t="inlineStr">
        <is>
          <t>Advertising - Serene Living</t>
        </is>
      </c>
      <c r="F17753" s="3" t="n">
        <v>65086</v>
      </c>
      <c r="G17753" s="3" t="n">
        <v>715946</v>
      </c>
    </row>
    <row r="17754">
      <c r="A17754" s="3" t="inlineStr">
        <is>
          <t>Opportunity Global Investment (PTY) LTD</t>
        </is>
      </c>
      <c r="B17754" s="4" t="n">
        <v>45322</v>
      </c>
      <c r="C17754" s="3" t="inlineStr">
        <is>
          <t>Expenses</t>
        </is>
      </c>
      <c r="D17754" s="3" t="inlineStr">
        <is>
          <t>3050/295</t>
        </is>
      </c>
      <c r="E17754" s="3" t="inlineStr">
        <is>
          <t>Advertising - Reale Activation</t>
        </is>
      </c>
      <c r="F17754" s="3" t="n">
        <v>0</v>
      </c>
      <c r="G17754" s="3" t="n">
        <v>30397.22</v>
      </c>
    </row>
    <row r="17755">
      <c r="A17755" s="3" t="inlineStr">
        <is>
          <t>Opportunity Global Investment (PTY) LTD</t>
        </is>
      </c>
      <c r="B17755" s="4" t="n">
        <v>45322</v>
      </c>
      <c r="C17755" s="3" t="inlineStr">
        <is>
          <t>Expenses</t>
        </is>
      </c>
      <c r="D17755" s="3" t="inlineStr">
        <is>
          <t>3050/300</t>
        </is>
      </c>
      <c r="E17755" s="3" t="inlineStr">
        <is>
          <t>Advertising - Design</t>
        </is>
      </c>
      <c r="F17755" s="3" t="n">
        <v>0</v>
      </c>
      <c r="G17755" s="3" t="n">
        <v>7750</v>
      </c>
    </row>
    <row r="17756">
      <c r="A17756" s="3" t="inlineStr">
        <is>
          <t>Endulini (Pty) Ltd</t>
        </is>
      </c>
      <c r="B17756" s="4" t="n">
        <v>45322</v>
      </c>
      <c r="C17756" s="3" t="inlineStr">
        <is>
          <t>Expenses</t>
        </is>
      </c>
      <c r="D17756" s="3" t="inlineStr">
        <is>
          <t>3050/300</t>
        </is>
      </c>
      <c r="E17756" s="3" t="inlineStr">
        <is>
          <t>Advertiving - Real Marketing</t>
        </is>
      </c>
      <c r="F17756" s="3" t="n">
        <v>0</v>
      </c>
      <c r="G17756" s="3" t="n">
        <v>10250</v>
      </c>
    </row>
    <row r="17757">
      <c r="A17757" s="3" t="inlineStr">
        <is>
          <t>Opportunity Global Sales (PTY) LTD</t>
        </is>
      </c>
      <c r="B17757" s="4" t="n">
        <v>45322</v>
      </c>
      <c r="C17757" s="3" t="inlineStr">
        <is>
          <t>Expenses</t>
        </is>
      </c>
      <c r="D17757" s="3" t="inlineStr">
        <is>
          <t>3050/300</t>
        </is>
      </c>
      <c r="E17757" s="3" t="inlineStr">
        <is>
          <t>Repairs and Maintenance - Endulini Sales Office</t>
        </is>
      </c>
      <c r="F17757" s="3" t="n">
        <v>86.95999999999999</v>
      </c>
      <c r="G17757" s="3" t="n">
        <v>86.95999999999999</v>
      </c>
    </row>
    <row r="17758">
      <c r="A17758" s="3" t="inlineStr">
        <is>
          <t>Quinate Consulting (Pty) Ltd</t>
        </is>
      </c>
      <c r="B17758" s="4" t="n">
        <v>45322</v>
      </c>
      <c r="C17758" s="3" t="inlineStr">
        <is>
          <t>Expenses</t>
        </is>
      </c>
      <c r="D17758" s="3" t="inlineStr">
        <is>
          <t>3050/400</t>
        </is>
      </c>
      <c r="E17758" s="3" t="inlineStr">
        <is>
          <t>Advertising - Prop24</t>
        </is>
      </c>
      <c r="F17758" s="3" t="n">
        <v>9465</v>
      </c>
      <c r="G17758" s="3" t="n">
        <v>118856.75</v>
      </c>
    </row>
    <row r="17759">
      <c r="A17759" s="3" t="inlineStr">
        <is>
          <t>Opportunity Global Sales (PTY) LTD</t>
        </is>
      </c>
      <c r="B17759" s="4" t="n">
        <v>45322</v>
      </c>
      <c r="C17759" s="3" t="inlineStr">
        <is>
          <t>Expenses</t>
        </is>
      </c>
      <c r="D17759" s="3" t="inlineStr">
        <is>
          <t>3050/400</t>
        </is>
      </c>
      <c r="E17759" s="3" t="inlineStr">
        <is>
          <t>Repairs &amp; Maintenance Heron sales office</t>
        </is>
      </c>
      <c r="F17759" s="3" t="n">
        <v>0</v>
      </c>
      <c r="G17759" s="3" t="n">
        <v>196.5</v>
      </c>
    </row>
    <row r="17760">
      <c r="A17760" s="3" t="inlineStr">
        <is>
          <t>Quinate Consulting (Pty) Ltd</t>
        </is>
      </c>
      <c r="B17760" s="4" t="n">
        <v>45322</v>
      </c>
      <c r="C17760" s="3" t="inlineStr">
        <is>
          <t>Expenses</t>
        </is>
      </c>
      <c r="D17760" s="3" t="inlineStr">
        <is>
          <t>3050/450</t>
        </is>
      </c>
      <c r="E17760" s="3" t="inlineStr">
        <is>
          <t>Advertising - Facebook</t>
        </is>
      </c>
      <c r="F17760" s="3" t="n">
        <v>0</v>
      </c>
      <c r="G17760" s="3" t="n">
        <v>51955.16</v>
      </c>
    </row>
    <row r="17761">
      <c r="A17761" s="3" t="inlineStr">
        <is>
          <t>Opportunity Global Investment (PTY) LTD</t>
        </is>
      </c>
      <c r="B17761" s="4" t="n">
        <v>45322</v>
      </c>
      <c r="C17761" s="3" t="inlineStr">
        <is>
          <t>Expenses</t>
        </is>
      </c>
      <c r="D17761" s="3" t="inlineStr">
        <is>
          <t>3051/000</t>
        </is>
      </c>
      <c r="E17761" s="3" t="inlineStr">
        <is>
          <t>Advertising - Facebook</t>
        </is>
      </c>
      <c r="F17761" s="3" t="n">
        <v>11515.94</v>
      </c>
      <c r="G17761" s="3" t="n">
        <v>186897.54</v>
      </c>
    </row>
    <row r="17762">
      <c r="A17762" s="3" t="inlineStr">
        <is>
          <t>Opportunity Global Investment (PTY) LTD</t>
        </is>
      </c>
      <c r="B17762" s="4" t="n">
        <v>45322</v>
      </c>
      <c r="C17762" s="3" t="inlineStr">
        <is>
          <t>Expenses</t>
        </is>
      </c>
      <c r="D17762" s="3" t="inlineStr">
        <is>
          <t>3053/000</t>
        </is>
      </c>
      <c r="E17762" s="3" t="inlineStr">
        <is>
          <t>Advertising - Google Ads</t>
        </is>
      </c>
      <c r="F17762" s="3" t="n">
        <v>0</v>
      </c>
      <c r="G17762" s="3" t="n">
        <v>7619.61</v>
      </c>
    </row>
    <row r="17763">
      <c r="A17763" s="3" t="inlineStr">
        <is>
          <t>Endulini (Pty) Ltd</t>
        </is>
      </c>
      <c r="B17763" s="4" t="n">
        <v>45322</v>
      </c>
      <c r="C17763" s="3" t="inlineStr">
        <is>
          <t>Expenses</t>
        </is>
      </c>
      <c r="D17763" s="3" t="inlineStr">
        <is>
          <t>3200/000</t>
        </is>
      </c>
      <c r="E17763" s="3" t="inlineStr">
        <is>
          <t>Bank Charges</t>
        </is>
      </c>
      <c r="F17763" s="3" t="n">
        <v>219.64</v>
      </c>
      <c r="G17763" s="3" t="n">
        <v>2195.4</v>
      </c>
    </row>
    <row r="17764">
      <c r="A17764" s="3" t="inlineStr">
        <is>
          <t>Noble Shield (Pty) Ltd ta Go Letting</t>
        </is>
      </c>
      <c r="B17764" s="4" t="n">
        <v>45322</v>
      </c>
      <c r="C17764" s="3" t="inlineStr">
        <is>
          <t>Expenses</t>
        </is>
      </c>
      <c r="D17764" s="3" t="inlineStr">
        <is>
          <t>3200/000</t>
        </is>
      </c>
      <c r="E17764" s="3" t="inlineStr">
        <is>
          <t>Bank Charges</t>
        </is>
      </c>
      <c r="F17764" s="3" t="n">
        <v>424.97</v>
      </c>
      <c r="G17764" s="3" t="n">
        <v>2582.02</v>
      </c>
    </row>
    <row r="17765">
      <c r="A17765" s="3" t="inlineStr">
        <is>
          <t>Opportunity Global Investment (PTY) LTD</t>
        </is>
      </c>
      <c r="B17765" s="4" t="n">
        <v>45322</v>
      </c>
      <c r="C17765" s="3" t="inlineStr">
        <is>
          <t>Expenses</t>
        </is>
      </c>
      <c r="D17765" s="3" t="inlineStr">
        <is>
          <t>3200/000</t>
        </is>
      </c>
      <c r="E17765" s="3" t="inlineStr">
        <is>
          <t>Bank Charges</t>
        </is>
      </c>
      <c r="F17765" s="3" t="n">
        <v>396.4</v>
      </c>
      <c r="G17765" s="3" t="n">
        <v>4710.08</v>
      </c>
    </row>
    <row r="17766">
      <c r="A17766" s="3" t="inlineStr">
        <is>
          <t>Opportunity Global Sales (PTY) LTD</t>
        </is>
      </c>
      <c r="B17766" s="4" t="n">
        <v>45322</v>
      </c>
      <c r="C17766" s="3" t="inlineStr">
        <is>
          <t>Expenses</t>
        </is>
      </c>
      <c r="D17766" s="3" t="inlineStr">
        <is>
          <t>3200/000</t>
        </is>
      </c>
      <c r="E17766" s="3" t="inlineStr">
        <is>
          <t>Bank Charges</t>
        </is>
      </c>
      <c r="F17766" s="3" t="n">
        <v>583.49</v>
      </c>
      <c r="G17766" s="3" t="n">
        <v>5581.46</v>
      </c>
    </row>
    <row r="17767">
      <c r="A17767" s="3" t="inlineStr">
        <is>
          <t>Opportunity Management Holdings (PTY) LTD</t>
        </is>
      </c>
      <c r="B17767" s="4" t="n">
        <v>45322</v>
      </c>
      <c r="C17767" s="3" t="inlineStr">
        <is>
          <t>Expenses</t>
        </is>
      </c>
      <c r="D17767" s="3" t="inlineStr">
        <is>
          <t>3200/000</t>
        </is>
      </c>
      <c r="E17767" s="3" t="inlineStr">
        <is>
          <t>Bank Charges</t>
        </is>
      </c>
      <c r="F17767" s="3" t="n">
        <v>718.47</v>
      </c>
      <c r="G17767" s="3" t="n">
        <v>4202.83</v>
      </c>
    </row>
    <row r="17768">
      <c r="A17768" s="3" t="inlineStr">
        <is>
          <t>Quinate Consulting (Pty) Ltd</t>
        </is>
      </c>
      <c r="B17768" s="4" t="n">
        <v>45322</v>
      </c>
      <c r="C17768" s="3" t="inlineStr">
        <is>
          <t>Expenses</t>
        </is>
      </c>
      <c r="D17768" s="3" t="inlineStr">
        <is>
          <t>3200/000</t>
        </is>
      </c>
      <c r="E17768" s="3" t="inlineStr">
        <is>
          <t>Bank Charges</t>
        </is>
      </c>
      <c r="F17768" s="3" t="n">
        <v>320.47</v>
      </c>
      <c r="G17768" s="3" t="n">
        <v>8989.07</v>
      </c>
    </row>
    <row r="17769">
      <c r="A17769" s="3" t="inlineStr">
        <is>
          <t>Trademark Holdings (Pty) Ltd</t>
        </is>
      </c>
      <c r="B17769" s="4" t="n">
        <v>45322</v>
      </c>
      <c r="C17769" s="3" t="inlineStr">
        <is>
          <t>Expenses</t>
        </is>
      </c>
      <c r="D17769" s="3" t="inlineStr">
        <is>
          <t>3200/000</t>
        </is>
      </c>
      <c r="E17769" s="3" t="inlineStr">
        <is>
          <t>Bank Charges</t>
        </is>
      </c>
      <c r="F17769" s="3" t="n">
        <v>263.22</v>
      </c>
      <c r="G17769" s="3" t="n">
        <v>1585.65</v>
      </c>
    </row>
    <row r="17770">
      <c r="A17770" s="3" t="inlineStr">
        <is>
          <t>Quinate Consulting (Pty) Ltd</t>
        </is>
      </c>
      <c r="B17770" s="4" t="n">
        <v>45322</v>
      </c>
      <c r="C17770" s="3" t="inlineStr">
        <is>
          <t>Expenses</t>
        </is>
      </c>
      <c r="D17770" s="3" t="inlineStr">
        <is>
          <t>3220/000</t>
        </is>
      </c>
      <c r="E17770" s="3" t="inlineStr">
        <is>
          <t>Bank Charges - Bond Fees</t>
        </is>
      </c>
      <c r="F17770" s="3" t="n">
        <v>0</v>
      </c>
      <c r="G17770" s="3" t="n">
        <v>8939.280000000001</v>
      </c>
    </row>
    <row r="17771">
      <c r="A17771" s="3" t="inlineStr">
        <is>
          <t>Noble Shield (Pty) Ltd ta Go Letting</t>
        </is>
      </c>
      <c r="B17771" s="4" t="n">
        <v>45322</v>
      </c>
      <c r="C17771" s="3" t="inlineStr">
        <is>
          <t>Expenses</t>
        </is>
      </c>
      <c r="D17771" s="3" t="inlineStr">
        <is>
          <t>3230/000</t>
        </is>
      </c>
      <c r="E17771" s="3" t="inlineStr">
        <is>
          <t>Cell Phone - NM</t>
        </is>
      </c>
      <c r="F17771" s="3" t="n">
        <v>2279.93</v>
      </c>
      <c r="G17771" s="3" t="n">
        <v>11387.84</v>
      </c>
    </row>
    <row r="17772">
      <c r="A17772" s="3" t="inlineStr">
        <is>
          <t>Noble Shield (Pty) Ltd ta Go Letting</t>
        </is>
      </c>
      <c r="B17772" s="4" t="n">
        <v>45322</v>
      </c>
      <c r="C17772" s="3" t="inlineStr">
        <is>
          <t>Expenses</t>
        </is>
      </c>
      <c r="D17772" s="3" t="inlineStr">
        <is>
          <t>3233/000</t>
        </is>
      </c>
      <c r="E17772" s="3" t="inlineStr">
        <is>
          <t>Cell Data - Other</t>
        </is>
      </c>
      <c r="F17772" s="3" t="n">
        <v>199</v>
      </c>
      <c r="G17772" s="3" t="n">
        <v>571.04</v>
      </c>
    </row>
    <row r="17773">
      <c r="A17773" s="3" t="inlineStr">
        <is>
          <t>Noble Shield (Pty) Ltd ta Go Letting</t>
        </is>
      </c>
      <c r="B17773" s="4" t="n">
        <v>45322</v>
      </c>
      <c r="C17773" s="3" t="inlineStr">
        <is>
          <t>Expenses</t>
        </is>
      </c>
      <c r="D17773" s="3" t="inlineStr">
        <is>
          <t>3233/100</t>
        </is>
      </c>
      <c r="E17773" s="3" t="inlineStr">
        <is>
          <t>Cell Data - Sales office Wifi</t>
        </is>
      </c>
      <c r="F17773" s="3" t="n">
        <v>829</v>
      </c>
      <c r="G17773" s="3" t="n">
        <v>2071.91</v>
      </c>
    </row>
    <row r="17774">
      <c r="A17774" s="3" t="inlineStr">
        <is>
          <t>Opportunity Global Investment (PTY) LTD</t>
        </is>
      </c>
      <c r="B17774" s="4" t="n">
        <v>45322</v>
      </c>
      <c r="C17774" s="3" t="inlineStr">
        <is>
          <t>Expenses</t>
        </is>
      </c>
      <c r="D17774" s="3" t="inlineStr">
        <is>
          <t>3250/000</t>
        </is>
      </c>
      <c r="E17774" s="3" t="inlineStr">
        <is>
          <t>Cleaning</t>
        </is>
      </c>
      <c r="F17774" s="3" t="n">
        <v>2700</v>
      </c>
      <c r="G17774" s="3" t="n">
        <v>29700</v>
      </c>
    </row>
    <row r="17775">
      <c r="A17775" s="3" t="inlineStr">
        <is>
          <t>Opportunity Global Sales (PTY) LTD</t>
        </is>
      </c>
      <c r="B17775" s="4" t="n">
        <v>45322</v>
      </c>
      <c r="C17775" s="3" t="inlineStr">
        <is>
          <t>Expenses</t>
        </is>
      </c>
      <c r="D17775" s="3" t="inlineStr">
        <is>
          <t>3250/000</t>
        </is>
      </c>
      <c r="E17775" s="3" t="inlineStr">
        <is>
          <t>Cleaning</t>
        </is>
      </c>
      <c r="F17775" s="3" t="n">
        <v>2361.91</v>
      </c>
      <c r="G17775" s="3" t="n">
        <v>9561.91</v>
      </c>
    </row>
    <row r="17776">
      <c r="A17776" s="3" t="inlineStr">
        <is>
          <t>Opportunity Management Holdings (PTY) LTD</t>
        </is>
      </c>
      <c r="B17776" s="4" t="n">
        <v>45322</v>
      </c>
      <c r="C17776" s="3" t="inlineStr">
        <is>
          <t>Expenses</t>
        </is>
      </c>
      <c r="D17776" s="3" t="inlineStr">
        <is>
          <t>3250/000</t>
        </is>
      </c>
      <c r="E17776" s="3" t="inlineStr">
        <is>
          <t>Cleaning</t>
        </is>
      </c>
      <c r="F17776" s="3" t="n">
        <v>2423.8</v>
      </c>
      <c r="G17776" s="3" t="n">
        <v>14562.32</v>
      </c>
    </row>
    <row r="17777">
      <c r="A17777" s="3" t="inlineStr">
        <is>
          <t>Trademark Holdings (Pty) Ltd</t>
        </is>
      </c>
      <c r="B17777" s="4" t="n">
        <v>45322</v>
      </c>
      <c r="C17777" s="3" t="inlineStr">
        <is>
          <t>Expenses</t>
        </is>
      </c>
      <c r="D17777" s="3" t="inlineStr">
        <is>
          <t>3250/000</t>
        </is>
      </c>
      <c r="E17777" s="3" t="inlineStr">
        <is>
          <t>Cleaning</t>
        </is>
      </c>
      <c r="F17777" s="3" t="n">
        <v>1144</v>
      </c>
      <c r="G17777" s="3" t="n">
        <v>5434</v>
      </c>
    </row>
    <row r="17778">
      <c r="A17778" s="3" t="inlineStr">
        <is>
          <t>Opportunity Global Investment (PTY) LTD</t>
        </is>
      </c>
      <c r="B17778" s="4" t="n">
        <v>45322</v>
      </c>
      <c r="C17778" s="3" t="inlineStr">
        <is>
          <t>Expenses</t>
        </is>
      </c>
      <c r="D17778" s="3" t="inlineStr">
        <is>
          <t>3300/000</t>
        </is>
      </c>
      <c r="E17778" s="3" t="inlineStr">
        <is>
          <t>Computer Expenses</t>
        </is>
      </c>
      <c r="F17778" s="3" t="n">
        <v>353.11</v>
      </c>
      <c r="G17778" s="3" t="n">
        <v>4148.44</v>
      </c>
    </row>
    <row r="17779">
      <c r="A17779" s="3" t="inlineStr">
        <is>
          <t>Opportunity Management Holdings (PTY) LTD</t>
        </is>
      </c>
      <c r="B17779" s="4" t="n">
        <v>45322</v>
      </c>
      <c r="C17779" s="3" t="inlineStr">
        <is>
          <t>Expenses</t>
        </is>
      </c>
      <c r="D17779" s="3" t="inlineStr">
        <is>
          <t>3300/000</t>
        </is>
      </c>
      <c r="E17779" s="3" t="inlineStr">
        <is>
          <t>Computer Expenses</t>
        </is>
      </c>
      <c r="F17779" s="3" t="n">
        <v>0</v>
      </c>
      <c r="G17779" s="3" t="n">
        <v>1153.91</v>
      </c>
    </row>
    <row r="17780">
      <c r="A17780" s="3" t="inlineStr">
        <is>
          <t>Noble Shield (Pty) Ltd ta Go Letting</t>
        </is>
      </c>
      <c r="B17780" s="4" t="n">
        <v>45322</v>
      </c>
      <c r="C17780" s="3" t="inlineStr">
        <is>
          <t>Expenses</t>
        </is>
      </c>
      <c r="D17780" s="3" t="inlineStr">
        <is>
          <t>3300/120</t>
        </is>
      </c>
      <c r="E17780" s="3" t="inlineStr">
        <is>
          <t>Computer IT - Software Propworx</t>
        </is>
      </c>
      <c r="F17780" s="3" t="n">
        <v>2576</v>
      </c>
      <c r="G17780" s="3" t="n">
        <v>12880</v>
      </c>
    </row>
    <row r="17781">
      <c r="A17781" s="3" t="inlineStr">
        <is>
          <t>Noble Shield (Pty) Ltd ta Go Letting</t>
        </is>
      </c>
      <c r="B17781" s="4" t="n">
        <v>45322</v>
      </c>
      <c r="C17781" s="3" t="inlineStr">
        <is>
          <t>Expenses</t>
        </is>
      </c>
      <c r="D17781" s="3" t="inlineStr">
        <is>
          <t>3300/130</t>
        </is>
      </c>
      <c r="E17781" s="3" t="inlineStr">
        <is>
          <t>Computer IT - Internet/Hosting Fees</t>
        </is>
      </c>
      <c r="F17781" s="3" t="n">
        <v>0</v>
      </c>
      <c r="G17781" s="3" t="n">
        <v>790</v>
      </c>
    </row>
    <row r="17782">
      <c r="A17782" s="3" t="inlineStr">
        <is>
          <t>Noble Shield (Pty) Ltd ta Go Letting</t>
        </is>
      </c>
      <c r="B17782" s="4" t="n">
        <v>45322</v>
      </c>
      <c r="C17782" s="3" t="inlineStr">
        <is>
          <t>Expenses</t>
        </is>
      </c>
      <c r="D17782" s="3" t="inlineStr">
        <is>
          <t>3300/170</t>
        </is>
      </c>
      <c r="E17782" s="3" t="inlineStr">
        <is>
          <t>Computer IT - VDB office Fibre</t>
        </is>
      </c>
      <c r="F17782" s="3" t="n">
        <v>790</v>
      </c>
      <c r="G17782" s="3" t="n">
        <v>3160</v>
      </c>
    </row>
    <row r="17783">
      <c r="A17783" s="3" t="inlineStr">
        <is>
          <t>Trademark Holdings (Pty) Ltd</t>
        </is>
      </c>
      <c r="B17783" s="4" t="n">
        <v>45322</v>
      </c>
      <c r="C17783" s="3" t="inlineStr">
        <is>
          <t>Expenses</t>
        </is>
      </c>
      <c r="D17783" s="3" t="inlineStr">
        <is>
          <t>3350/000</t>
        </is>
      </c>
      <c r="E17783" s="3" t="inlineStr">
        <is>
          <t>Consulting Fees</t>
        </is>
      </c>
      <c r="F17783" s="3" t="n">
        <v>22000</v>
      </c>
      <c r="G17783" s="3" t="n">
        <v>110400</v>
      </c>
    </row>
    <row r="17784">
      <c r="A17784" s="3" t="inlineStr">
        <is>
          <t>Opportunity Management Holdings (PTY) LTD</t>
        </is>
      </c>
      <c r="B17784" s="4" t="n">
        <v>45322</v>
      </c>
      <c r="C17784" s="3" t="inlineStr">
        <is>
          <t>Expenses</t>
        </is>
      </c>
      <c r="D17784" s="3" t="inlineStr">
        <is>
          <t>3350/100</t>
        </is>
      </c>
      <c r="E17784" s="3" t="inlineStr">
        <is>
          <t>Consulting Fee - Dirk Coetzee</t>
        </is>
      </c>
      <c r="F17784" s="3" t="n">
        <v>17000</v>
      </c>
      <c r="G17784" s="3" t="n">
        <v>85000</v>
      </c>
    </row>
    <row r="17785">
      <c r="A17785" s="3" t="inlineStr">
        <is>
          <t>Endulini (Pty) Ltd</t>
        </is>
      </c>
      <c r="B17785" s="4" t="n">
        <v>45322</v>
      </c>
      <c r="C17785" s="3" t="inlineStr">
        <is>
          <t>Expenses</t>
        </is>
      </c>
      <c r="D17785" s="3" t="inlineStr">
        <is>
          <t>3350/100</t>
        </is>
      </c>
      <c r="E17785" s="3" t="inlineStr">
        <is>
          <t>Consulting Fees - Admin and Finance</t>
        </is>
      </c>
      <c r="F17785" s="3" t="n">
        <v>42094.19</v>
      </c>
      <c r="G17785" s="3" t="n">
        <v>477091.76</v>
      </c>
    </row>
    <row r="17786">
      <c r="A17786" s="3" t="inlineStr">
        <is>
          <t>Opportunity Global Investment (PTY) LTD</t>
        </is>
      </c>
      <c r="B17786" s="4" t="n">
        <v>45322</v>
      </c>
      <c r="C17786" s="3" t="inlineStr">
        <is>
          <t>Expenses</t>
        </is>
      </c>
      <c r="D17786" s="3" t="inlineStr">
        <is>
          <t>3350/100</t>
        </is>
      </c>
      <c r="E17786" s="3" t="inlineStr">
        <is>
          <t>Consulting Fees - Admin and Finance</t>
        </is>
      </c>
      <c r="F17786" s="3" t="n">
        <v>23910</v>
      </c>
      <c r="G17786" s="3" t="n">
        <v>170619.06</v>
      </c>
    </row>
    <row r="17787">
      <c r="A17787" s="3" t="inlineStr">
        <is>
          <t>Opportunity Global Sales (PTY) LTD</t>
        </is>
      </c>
      <c r="B17787" s="4" t="n">
        <v>45322</v>
      </c>
      <c r="C17787" s="3" t="inlineStr">
        <is>
          <t>Expenses</t>
        </is>
      </c>
      <c r="D17787" s="3" t="inlineStr">
        <is>
          <t>3350/100</t>
        </is>
      </c>
      <c r="E17787" s="3" t="inlineStr">
        <is>
          <t>Consulting Fees - Admin and Finance</t>
        </is>
      </c>
      <c r="F17787" s="3" t="n">
        <v>10355</v>
      </c>
      <c r="G17787" s="3" t="n">
        <v>149727</v>
      </c>
    </row>
    <row r="17788">
      <c r="A17788" s="3" t="inlineStr">
        <is>
          <t>Opportunity Global Sales (PTY) LTD</t>
        </is>
      </c>
      <c r="B17788" s="4" t="n">
        <v>45322</v>
      </c>
      <c r="C17788" s="3" t="inlineStr">
        <is>
          <t>Expenses</t>
        </is>
      </c>
      <c r="D17788" s="3" t="inlineStr">
        <is>
          <t>3350/200</t>
        </is>
      </c>
      <c r="E17788" s="3" t="inlineStr">
        <is>
          <t>Consulting Fees - Agent Karien Muller</t>
        </is>
      </c>
      <c r="F17788" s="3" t="n">
        <v>0</v>
      </c>
      <c r="G17788" s="3" t="n">
        <v>10000</v>
      </c>
    </row>
    <row r="17789">
      <c r="A17789" s="3" t="inlineStr">
        <is>
          <t>Opportunity Global Investment (PTY) LTD</t>
        </is>
      </c>
      <c r="B17789" s="4" t="n">
        <v>45322</v>
      </c>
      <c r="C17789" s="3" t="inlineStr">
        <is>
          <t>Expenses</t>
        </is>
      </c>
      <c r="D17789" s="3" t="inlineStr">
        <is>
          <t>3350/200</t>
        </is>
      </c>
      <c r="E17789" s="3" t="inlineStr">
        <is>
          <t>Consulting Fees - Rockfin</t>
        </is>
      </c>
      <c r="F17789" s="3" t="n">
        <v>11700</v>
      </c>
      <c r="G17789" s="3" t="n">
        <v>101700</v>
      </c>
    </row>
    <row r="17790">
      <c r="A17790" s="3" t="inlineStr">
        <is>
          <t>Opportunity Management Holdings (PTY) LTD</t>
        </is>
      </c>
      <c r="B17790" s="4" t="n">
        <v>45322</v>
      </c>
      <c r="C17790" s="3" t="inlineStr">
        <is>
          <t>Expenses</t>
        </is>
      </c>
      <c r="D17790" s="3" t="inlineStr">
        <is>
          <t>3350/300</t>
        </is>
      </c>
      <c r="E17790" s="3" t="inlineStr">
        <is>
          <t>Consulting Fee - HR Joblaw</t>
        </is>
      </c>
      <c r="F17790" s="3" t="n">
        <v>1600.83</v>
      </c>
      <c r="G17790" s="3" t="n">
        <v>8004.15</v>
      </c>
    </row>
    <row r="17791">
      <c r="A17791" s="3" t="inlineStr">
        <is>
          <t>Quinate Consulting (Pty) Ltd</t>
        </is>
      </c>
      <c r="B17791" s="4" t="n">
        <v>45322</v>
      </c>
      <c r="C17791" s="3" t="inlineStr">
        <is>
          <t>Expenses</t>
        </is>
      </c>
      <c r="D17791" s="3" t="inlineStr">
        <is>
          <t>3350/300</t>
        </is>
      </c>
      <c r="E17791" s="3" t="inlineStr">
        <is>
          <t>Consulting Fees - Admin and Finance</t>
        </is>
      </c>
      <c r="F17791" s="3" t="n">
        <v>0</v>
      </c>
      <c r="G17791" s="3" t="n">
        <v>58025</v>
      </c>
    </row>
    <row r="17792">
      <c r="A17792" s="3" t="inlineStr">
        <is>
          <t>Opportunity Global Investment (PTY) LTD</t>
        </is>
      </c>
      <c r="B17792" s="4" t="n">
        <v>45322</v>
      </c>
      <c r="C17792" s="3" t="inlineStr">
        <is>
          <t>Expenses</t>
        </is>
      </c>
      <c r="D17792" s="3" t="inlineStr">
        <is>
          <t>3350/300</t>
        </is>
      </c>
      <c r="E17792" s="3" t="inlineStr">
        <is>
          <t>Consulting Fees - BLCS</t>
        </is>
      </c>
      <c r="F17792" s="3" t="n">
        <v>0</v>
      </c>
      <c r="G17792" s="3" t="n">
        <v>22000</v>
      </c>
    </row>
    <row r="17793">
      <c r="A17793" s="3" t="inlineStr">
        <is>
          <t>Opportunity Global Investment (PTY) LTD</t>
        </is>
      </c>
      <c r="B17793" s="4" t="n">
        <v>45322</v>
      </c>
      <c r="C17793" s="3" t="inlineStr">
        <is>
          <t>Expenses</t>
        </is>
      </c>
      <c r="D17793" s="3" t="inlineStr">
        <is>
          <t>3350/400</t>
        </is>
      </c>
      <c r="E17793" s="3" t="inlineStr">
        <is>
          <t>Consulting Fees: Solaris Law</t>
        </is>
      </c>
      <c r="F17793" s="3" t="n">
        <v>34270</v>
      </c>
      <c r="G17793" s="3" t="n">
        <v>80145</v>
      </c>
    </row>
    <row r="17794">
      <c r="A17794" s="3" t="inlineStr">
        <is>
          <t>Opportunity Global Investment (PTY) LTD</t>
        </is>
      </c>
      <c r="B17794" s="4" t="n">
        <v>45322</v>
      </c>
      <c r="C17794" s="3" t="inlineStr">
        <is>
          <t>Expenses</t>
        </is>
      </c>
      <c r="D17794" s="3" t="inlineStr">
        <is>
          <t>3351/000</t>
        </is>
      </c>
      <c r="E17794" s="3" t="inlineStr">
        <is>
          <t>Consulting Fees - HR Joblaw</t>
        </is>
      </c>
      <c r="F17794" s="3" t="n">
        <v>1600.83</v>
      </c>
      <c r="G17794" s="3" t="n">
        <v>3201.66</v>
      </c>
    </row>
    <row r="17795">
      <c r="A17795" s="3" t="inlineStr">
        <is>
          <t>Quinate Consulting (Pty) Ltd</t>
        </is>
      </c>
      <c r="B17795" s="4" t="n">
        <v>45322</v>
      </c>
      <c r="C17795" s="3" t="inlineStr">
        <is>
          <t>Expenses</t>
        </is>
      </c>
      <c r="D17795" s="3" t="inlineStr">
        <is>
          <t>3351/000</t>
        </is>
      </c>
      <c r="E17795" s="3" t="inlineStr">
        <is>
          <t>Consulting fees - Trustees</t>
        </is>
      </c>
      <c r="F17795" s="3" t="n">
        <v>30821.74</v>
      </c>
      <c r="G17795" s="3" t="n">
        <v>109821.74</v>
      </c>
    </row>
    <row r="17796">
      <c r="A17796" s="3" t="inlineStr">
        <is>
          <t>Opportunity Global Investment (PTY) LTD</t>
        </is>
      </c>
      <c r="B17796" s="4" t="n">
        <v>45322</v>
      </c>
      <c r="C17796" s="3" t="inlineStr">
        <is>
          <t>Expenses</t>
        </is>
      </c>
      <c r="D17796" s="3" t="inlineStr">
        <is>
          <t>3354/000</t>
        </is>
      </c>
      <c r="E17796" s="3" t="inlineStr">
        <is>
          <t>Consulting Fees - Karien Muller</t>
        </is>
      </c>
      <c r="F17796" s="3" t="n">
        <v>0</v>
      </c>
      <c r="G17796" s="3" t="n">
        <v>12500</v>
      </c>
    </row>
    <row r="17797">
      <c r="A17797" s="3" t="inlineStr">
        <is>
          <t>Opportunity Global Investment (PTY) LTD</t>
        </is>
      </c>
      <c r="B17797" s="4" t="n">
        <v>45322</v>
      </c>
      <c r="C17797" s="3" t="inlineStr">
        <is>
          <t>Expenses</t>
        </is>
      </c>
      <c r="D17797" s="3" t="inlineStr">
        <is>
          <t>3355/00</t>
        </is>
      </c>
      <c r="E17797" s="3" t="inlineStr">
        <is>
          <t>Consulting fees - F Geldenhuys</t>
        </is>
      </c>
      <c r="F17797" s="3" t="n">
        <v>10000</v>
      </c>
      <c r="G17797" s="3" t="n">
        <v>61500</v>
      </c>
    </row>
    <row r="17798">
      <c r="A17798" s="3" t="inlineStr">
        <is>
          <t>Opportunity Management Holdings (PTY) LTD</t>
        </is>
      </c>
      <c r="B17798" s="4" t="n">
        <v>45322</v>
      </c>
      <c r="C17798" s="3" t="inlineStr">
        <is>
          <t>Expenses</t>
        </is>
      </c>
      <c r="D17798" s="3" t="inlineStr">
        <is>
          <t>3400/000</t>
        </is>
      </c>
      <c r="E17798" s="3" t="inlineStr">
        <is>
          <t>Courier _AND_ Postage</t>
        </is>
      </c>
      <c r="F17798" s="3" t="n">
        <v>0</v>
      </c>
      <c r="G17798" s="3" t="n">
        <v>664.3200000000001</v>
      </c>
    </row>
    <row r="17799">
      <c r="A17799" s="3" t="inlineStr">
        <is>
          <t>Quinate Consulting (Pty) Ltd</t>
        </is>
      </c>
      <c r="B17799" s="4" t="n">
        <v>45322</v>
      </c>
      <c r="C17799" s="3" t="inlineStr">
        <is>
          <t>Expenses</t>
        </is>
      </c>
      <c r="D17799" s="3" t="inlineStr">
        <is>
          <t>3450/001</t>
        </is>
      </c>
      <c r="E17799" s="3" t="inlineStr">
        <is>
          <t>Depreciation - Computer Equipment</t>
        </is>
      </c>
      <c r="F17799" s="3" t="n">
        <v>1926.12</v>
      </c>
      <c r="G17799" s="3" t="n">
        <v>24837.14</v>
      </c>
    </row>
    <row r="17800">
      <c r="A17800" s="3" t="inlineStr">
        <is>
          <t>Opportunity Global Investment (PTY) LTD</t>
        </is>
      </c>
      <c r="B17800" s="4" t="n">
        <v>45322</v>
      </c>
      <c r="C17800" s="3" t="inlineStr">
        <is>
          <t>Expenses</t>
        </is>
      </c>
      <c r="D17800" s="3" t="inlineStr">
        <is>
          <t>3450/001</t>
        </is>
      </c>
      <c r="E17800" s="3" t="inlineStr">
        <is>
          <t>Depreciation - Computer equipment</t>
        </is>
      </c>
      <c r="F17800" s="3" t="n">
        <v>880.1</v>
      </c>
      <c r="G17800" s="3" t="n">
        <v>9680.940000000001</v>
      </c>
    </row>
    <row r="17801">
      <c r="A17801" s="3" t="inlineStr">
        <is>
          <t>Quinate Consulting (Pty) Ltd</t>
        </is>
      </c>
      <c r="B17801" s="4" t="n">
        <v>45322</v>
      </c>
      <c r="C17801" s="3" t="inlineStr">
        <is>
          <t>Expenses</t>
        </is>
      </c>
      <c r="D17801" s="3" t="inlineStr">
        <is>
          <t>3450/002</t>
        </is>
      </c>
      <c r="E17801" s="3" t="inlineStr">
        <is>
          <t>Depreciation - Site Containers</t>
        </is>
      </c>
      <c r="F17801" s="3" t="n">
        <v>318.84</v>
      </c>
      <c r="G17801" s="3" t="n">
        <v>3507.24</v>
      </c>
    </row>
    <row r="17802">
      <c r="A17802" s="3" t="inlineStr">
        <is>
          <t>Opportunity Global Sales (PTY) LTD</t>
        </is>
      </c>
      <c r="B17802" s="4" t="n">
        <v>45322</v>
      </c>
      <c r="C17802" s="3" t="inlineStr">
        <is>
          <t>Expenses</t>
        </is>
      </c>
      <c r="D17802" s="3" t="inlineStr">
        <is>
          <t>3450/030</t>
        </is>
      </c>
      <c r="E17802" s="3" t="inlineStr">
        <is>
          <t>Depreciation - Furniture and Fittings</t>
        </is>
      </c>
      <c r="F17802" s="3" t="n">
        <v>408.06</v>
      </c>
      <c r="G17802" s="3" t="n">
        <v>4488.57</v>
      </c>
    </row>
    <row r="17803">
      <c r="A17803" s="3" t="inlineStr">
        <is>
          <t>Opportunity Management Holdings (PTY) LTD</t>
        </is>
      </c>
      <c r="B17803" s="4" t="n">
        <v>45322</v>
      </c>
      <c r="C17803" s="3" t="inlineStr">
        <is>
          <t>Expenses</t>
        </is>
      </c>
      <c r="D17803" s="3" t="inlineStr">
        <is>
          <t>3451/000</t>
        </is>
      </c>
      <c r="E17803" s="3" t="inlineStr">
        <is>
          <t>Depreciation - Computer Equipment</t>
        </is>
      </c>
      <c r="F17803" s="3" t="n">
        <v>1035.18</v>
      </c>
      <c r="G17803" s="3" t="n">
        <v>5175.9</v>
      </c>
    </row>
    <row r="17804">
      <c r="A17804" s="3" t="inlineStr">
        <is>
          <t>Quinate Consulting (Pty) Ltd</t>
        </is>
      </c>
      <c r="B17804" s="4" t="n">
        <v>45322</v>
      </c>
      <c r="C17804" s="3" t="inlineStr">
        <is>
          <t>Expenses</t>
        </is>
      </c>
      <c r="D17804" s="3" t="inlineStr">
        <is>
          <t>3600/000</t>
        </is>
      </c>
      <c r="E17804" s="3" t="inlineStr">
        <is>
          <t>Donations</t>
        </is>
      </c>
      <c r="F17804" s="3" t="n">
        <v>572.45</v>
      </c>
      <c r="G17804" s="3" t="n">
        <v>6296.95</v>
      </c>
    </row>
    <row r="17805">
      <c r="A17805" s="3" t="inlineStr">
        <is>
          <t>Noble Shield (Pty) Ltd ta Go Letting</t>
        </is>
      </c>
      <c r="B17805" s="4" t="n">
        <v>45322</v>
      </c>
      <c r="C17805" s="3" t="inlineStr">
        <is>
          <t>Expenses</t>
        </is>
      </c>
      <c r="D17805" s="3" t="inlineStr">
        <is>
          <t>3650/000</t>
        </is>
      </c>
      <c r="E17805" s="3" t="inlineStr">
        <is>
          <t>Electricity _AND_ Water</t>
        </is>
      </c>
      <c r="F17805" s="3" t="n">
        <v>1500</v>
      </c>
      <c r="G17805" s="3" t="n">
        <v>2500</v>
      </c>
    </row>
    <row r="17806">
      <c r="A17806" s="3" t="inlineStr">
        <is>
          <t>Opportunity Global Investment (PTY) LTD</t>
        </is>
      </c>
      <c r="B17806" s="4" t="n">
        <v>45322</v>
      </c>
      <c r="C17806" s="3" t="inlineStr">
        <is>
          <t>Expenses</t>
        </is>
      </c>
      <c r="D17806" s="3" t="inlineStr">
        <is>
          <t>3650/000</t>
        </is>
      </c>
      <c r="E17806" s="3" t="inlineStr">
        <is>
          <t>Electricity _AND_ Water</t>
        </is>
      </c>
      <c r="F17806" s="3" t="n">
        <v>2950</v>
      </c>
      <c r="G17806" s="3" t="n">
        <v>32450</v>
      </c>
    </row>
    <row r="17807">
      <c r="A17807" s="3" t="inlineStr">
        <is>
          <t>Noble Shield (Pty) Ltd ta Go Letting</t>
        </is>
      </c>
      <c r="B17807" s="4" t="n">
        <v>45322</v>
      </c>
      <c r="C17807" s="3" t="inlineStr">
        <is>
          <t>Expenses</t>
        </is>
      </c>
      <c r="D17807" s="3" t="inlineStr">
        <is>
          <t>3651/000</t>
        </is>
      </c>
      <c r="E17807" s="3" t="inlineStr">
        <is>
          <t>Electricity _AND_ Water - Rentals</t>
        </is>
      </c>
      <c r="F17807" s="3" t="n">
        <v>0</v>
      </c>
      <c r="G17807" s="3" t="n">
        <v>2000</v>
      </c>
    </row>
    <row r="17808">
      <c r="A17808" s="3" t="inlineStr">
        <is>
          <t>Quinate Consulting (Pty) Ltd</t>
        </is>
      </c>
      <c r="B17808" s="4" t="n">
        <v>45322</v>
      </c>
      <c r="C17808" s="3" t="inlineStr">
        <is>
          <t>Expenses</t>
        </is>
      </c>
      <c r="D17808" s="3" t="inlineStr">
        <is>
          <t>3651/000</t>
        </is>
      </c>
      <c r="E17808" s="3" t="inlineStr">
        <is>
          <t>Electricity _AND_ Water - Southwark</t>
        </is>
      </c>
      <c r="F17808" s="3" t="n">
        <v>16729.99</v>
      </c>
      <c r="G17808" s="3" t="n">
        <v>279411.26</v>
      </c>
    </row>
    <row r="17809">
      <c r="A17809" s="3" t="inlineStr">
        <is>
          <t>Quinate Consulting (Pty) Ltd</t>
        </is>
      </c>
      <c r="B17809" s="4" t="n">
        <v>45322</v>
      </c>
      <c r="C17809" s="3" t="inlineStr">
        <is>
          <t>Expenses</t>
        </is>
      </c>
      <c r="D17809" s="3" t="inlineStr">
        <is>
          <t>3652/000</t>
        </is>
      </c>
      <c r="E17809" s="3" t="inlineStr">
        <is>
          <t>Electricity _AND_ Water - Soho</t>
        </is>
      </c>
      <c r="F17809" s="3" t="n">
        <v>20748.31</v>
      </c>
      <c r="G17809" s="3" t="n">
        <v>293909.56</v>
      </c>
    </row>
    <row r="17810">
      <c r="A17810" s="3" t="inlineStr">
        <is>
          <t>Quinate Consulting (Pty) Ltd</t>
        </is>
      </c>
      <c r="B17810" s="4" t="n">
        <v>45322</v>
      </c>
      <c r="C17810" s="3" t="inlineStr">
        <is>
          <t>Expenses</t>
        </is>
      </c>
      <c r="D17810" s="3" t="inlineStr">
        <is>
          <t>3653/000</t>
        </is>
      </c>
      <c r="E17810" s="3" t="inlineStr">
        <is>
          <t>Electricity _AND_ Water - Endulini</t>
        </is>
      </c>
      <c r="F17810" s="3" t="n">
        <v>-679.53</v>
      </c>
      <c r="G17810" s="3" t="n">
        <v>-3030.65</v>
      </c>
    </row>
    <row r="17811">
      <c r="A17811" s="3" t="inlineStr">
        <is>
          <t>Noble Shield (Pty) Ltd ta Go Letting</t>
        </is>
      </c>
      <c r="B17811" s="4" t="n">
        <v>45322</v>
      </c>
      <c r="C17811" s="3" t="inlineStr">
        <is>
          <t>Expenses</t>
        </is>
      </c>
      <c r="D17811" s="3" t="inlineStr">
        <is>
          <t>3700/000</t>
        </is>
      </c>
      <c r="E17811" s="3" t="inlineStr">
        <is>
          <t>Entertainment Expenses</t>
        </is>
      </c>
      <c r="F17811" s="3" t="n">
        <v>0</v>
      </c>
      <c r="G17811" s="3" t="n">
        <v>1650</v>
      </c>
    </row>
    <row r="17812">
      <c r="A17812" s="3" t="inlineStr">
        <is>
          <t>Opportunity Global Investment (PTY) LTD</t>
        </is>
      </c>
      <c r="B17812" s="4" t="n">
        <v>45322</v>
      </c>
      <c r="C17812" s="3" t="inlineStr">
        <is>
          <t>Expenses</t>
        </is>
      </c>
      <c r="D17812" s="3" t="inlineStr">
        <is>
          <t>3700/000</t>
        </is>
      </c>
      <c r="E17812" s="3" t="inlineStr">
        <is>
          <t>Entertainment Expenses</t>
        </is>
      </c>
      <c r="F17812" s="3" t="n">
        <v>476.09</v>
      </c>
      <c r="G17812" s="3" t="n">
        <v>6737.99</v>
      </c>
    </row>
    <row r="17813">
      <c r="A17813" s="3" t="inlineStr">
        <is>
          <t>Opportunity Global Sales (PTY) LTD</t>
        </is>
      </c>
      <c r="B17813" s="4" t="n">
        <v>45322</v>
      </c>
      <c r="C17813" s="3" t="inlineStr">
        <is>
          <t>Expenses</t>
        </is>
      </c>
      <c r="D17813" s="3" t="inlineStr">
        <is>
          <t>3700/000</t>
        </is>
      </c>
      <c r="E17813" s="3" t="inlineStr">
        <is>
          <t>Entertainment Expenses</t>
        </is>
      </c>
      <c r="F17813" s="3" t="n">
        <v>1690</v>
      </c>
      <c r="G17813" s="3" t="n">
        <v>3970</v>
      </c>
    </row>
    <row r="17814">
      <c r="A17814" s="3" t="inlineStr">
        <is>
          <t>Opportunity Management Holdings (PTY) LTD</t>
        </is>
      </c>
      <c r="B17814" s="4" t="n">
        <v>45322</v>
      </c>
      <c r="C17814" s="3" t="inlineStr">
        <is>
          <t>Expenses</t>
        </is>
      </c>
      <c r="D17814" s="3" t="inlineStr">
        <is>
          <t>3700/000</t>
        </is>
      </c>
      <c r="E17814" s="3" t="inlineStr">
        <is>
          <t>Entertainment Expenses</t>
        </is>
      </c>
      <c r="F17814" s="3" t="n">
        <v>0</v>
      </c>
      <c r="G17814" s="3" t="n">
        <v>1126.13</v>
      </c>
    </row>
    <row r="17815">
      <c r="A17815" s="3" t="inlineStr">
        <is>
          <t>Quinate Consulting (Pty) Ltd</t>
        </is>
      </c>
      <c r="B17815" s="4" t="n">
        <v>45322</v>
      </c>
      <c r="C17815" s="3" t="inlineStr">
        <is>
          <t>Expenses</t>
        </is>
      </c>
      <c r="D17815" s="3" t="inlineStr">
        <is>
          <t>3700/000</t>
        </is>
      </c>
      <c r="E17815" s="3" t="inlineStr">
        <is>
          <t>Entertainment Expenses</t>
        </is>
      </c>
      <c r="F17815" s="3" t="n">
        <v>0</v>
      </c>
      <c r="G17815" s="3" t="n">
        <v>11745.05</v>
      </c>
    </row>
    <row r="17816">
      <c r="A17816" s="3" t="inlineStr">
        <is>
          <t>Opportunity Management Holdings (PTY) LTD</t>
        </is>
      </c>
      <c r="B17816" s="4" t="n">
        <v>45322</v>
      </c>
      <c r="C17816" s="3" t="inlineStr">
        <is>
          <t>Expenses</t>
        </is>
      </c>
      <c r="D17816" s="3" t="inlineStr">
        <is>
          <t>3800/000</t>
        </is>
      </c>
      <c r="E17816" s="3" t="inlineStr">
        <is>
          <t>General Expenses</t>
        </is>
      </c>
      <c r="F17816" s="3" t="n">
        <v>0</v>
      </c>
      <c r="G17816" s="3" t="n">
        <v>418.94</v>
      </c>
    </row>
    <row r="17817">
      <c r="A17817" s="3" t="inlineStr">
        <is>
          <t>Opportunity Global Investment (PTY) LTD</t>
        </is>
      </c>
      <c r="B17817" s="4" t="n">
        <v>45322</v>
      </c>
      <c r="C17817" s="3" t="inlineStr">
        <is>
          <t>Expenses</t>
        </is>
      </c>
      <c r="D17817" s="3" t="inlineStr">
        <is>
          <t>3800/010</t>
        </is>
      </c>
      <c r="E17817" s="3" t="inlineStr">
        <is>
          <t>General Expences - Gifts</t>
        </is>
      </c>
      <c r="F17817" s="3" t="n">
        <v>452.09</v>
      </c>
      <c r="G17817" s="3" t="n">
        <v>8198.870000000001</v>
      </c>
    </row>
    <row r="17818">
      <c r="A17818" s="3" t="inlineStr">
        <is>
          <t>Opportunity Global Sales (PTY) LTD</t>
        </is>
      </c>
      <c r="B17818" s="4" t="n">
        <v>45322</v>
      </c>
      <c r="C17818" s="3" t="inlineStr">
        <is>
          <t>Expenses</t>
        </is>
      </c>
      <c r="D17818" s="3" t="inlineStr">
        <is>
          <t>3800/010</t>
        </is>
      </c>
      <c r="E17818" s="3" t="inlineStr">
        <is>
          <t>General Expences - Gifts</t>
        </is>
      </c>
      <c r="F17818" s="3" t="n">
        <v>0</v>
      </c>
      <c r="G17818" s="3" t="n">
        <v>1719.75</v>
      </c>
    </row>
    <row r="17819">
      <c r="A17819" s="3" t="inlineStr">
        <is>
          <t>Opportunity Management Holdings (PTY) LTD</t>
        </is>
      </c>
      <c r="B17819" s="4" t="n">
        <v>45322</v>
      </c>
      <c r="C17819" s="3" t="inlineStr">
        <is>
          <t>Expenses</t>
        </is>
      </c>
      <c r="D17819" s="3" t="inlineStr">
        <is>
          <t>3800/010</t>
        </is>
      </c>
      <c r="E17819" s="3" t="inlineStr">
        <is>
          <t>General Expenses - Gifts</t>
        </is>
      </c>
      <c r="F17819" s="3" t="n">
        <v>0</v>
      </c>
      <c r="G17819" s="3" t="n">
        <v>808.5700000000001</v>
      </c>
    </row>
    <row r="17820">
      <c r="A17820" s="3" t="inlineStr">
        <is>
          <t>Opportunity Management Holdings (PTY) LTD</t>
        </is>
      </c>
      <c r="B17820" s="4" t="n">
        <v>45322</v>
      </c>
      <c r="C17820" s="3" t="inlineStr">
        <is>
          <t>Expenses</t>
        </is>
      </c>
      <c r="D17820" s="3" t="inlineStr">
        <is>
          <t>3800/030</t>
        </is>
      </c>
      <c r="E17820" s="3" t="inlineStr">
        <is>
          <t>General Expenses: Showhouse Heron View</t>
        </is>
      </c>
      <c r="F17820" s="3" t="n">
        <v>0</v>
      </c>
      <c r="G17820" s="3" t="n">
        <v>987.72</v>
      </c>
    </row>
    <row r="17821">
      <c r="A17821" s="3" t="inlineStr">
        <is>
          <t>Opportunity Management Holdings (PTY) LTD</t>
        </is>
      </c>
      <c r="B17821" s="4" t="n">
        <v>45322</v>
      </c>
      <c r="C17821" s="3" t="inlineStr">
        <is>
          <t>Expenses</t>
        </is>
      </c>
      <c r="D17821" s="3" t="inlineStr">
        <is>
          <t>3850/000</t>
        </is>
      </c>
      <c r="E17821" s="3" t="inlineStr">
        <is>
          <t>Insurance - Momentum</t>
        </is>
      </c>
      <c r="F17821" s="3" t="n">
        <v>1969.99</v>
      </c>
      <c r="G17821" s="3" t="n">
        <v>8754.23</v>
      </c>
    </row>
    <row r="17822">
      <c r="A17822" s="3" t="inlineStr">
        <is>
          <t>Noble Shield (Pty) Ltd ta Go Letting</t>
        </is>
      </c>
      <c r="B17822" s="4" t="n">
        <v>45322</v>
      </c>
      <c r="C17822" s="3" t="inlineStr">
        <is>
          <t>Expenses</t>
        </is>
      </c>
      <c r="D17822" s="3" t="inlineStr">
        <is>
          <t>3850/100</t>
        </is>
      </c>
      <c r="E17822" s="3" t="inlineStr">
        <is>
          <t>Insurance - Santam</t>
        </is>
      </c>
      <c r="F17822" s="3" t="n">
        <v>4249.41</v>
      </c>
      <c r="G17822" s="3" t="n">
        <v>21247.05</v>
      </c>
    </row>
    <row r="17823">
      <c r="A17823" s="3" t="inlineStr">
        <is>
          <t>Noble Shield (Pty) Ltd ta Go Letting</t>
        </is>
      </c>
      <c r="B17823" s="4" t="n">
        <v>45322</v>
      </c>
      <c r="C17823" s="3" t="inlineStr">
        <is>
          <t>Expenses</t>
        </is>
      </c>
      <c r="D17823" s="3" t="inlineStr">
        <is>
          <t>3850/200</t>
        </is>
      </c>
      <c r="E17823" s="3" t="inlineStr">
        <is>
          <t>Insurance - A_AND_G</t>
        </is>
      </c>
      <c r="F17823" s="3" t="n">
        <v>0</v>
      </c>
      <c r="G17823" s="3" t="n">
        <v>11222.3</v>
      </c>
    </row>
    <row r="17824">
      <c r="A17824" s="3" t="inlineStr">
        <is>
          <t>Quinate Consulting (Pty) Ltd</t>
        </is>
      </c>
      <c r="B17824" s="4" t="n">
        <v>45322</v>
      </c>
      <c r="C17824" s="3" t="inlineStr">
        <is>
          <t>Expenses</t>
        </is>
      </c>
      <c r="D17824" s="3" t="inlineStr">
        <is>
          <t>3851/000</t>
        </is>
      </c>
      <c r="E17824" s="3" t="inlineStr">
        <is>
          <t>Insurance - Momentum</t>
        </is>
      </c>
      <c r="F17824" s="3" t="n">
        <v>9274.969999999999</v>
      </c>
      <c r="G17824" s="3" t="n">
        <v>93034.36</v>
      </c>
    </row>
    <row r="17825">
      <c r="A17825" s="3" t="inlineStr">
        <is>
          <t>Quinate Consulting (Pty) Ltd</t>
        </is>
      </c>
      <c r="B17825" s="4" t="n">
        <v>45322</v>
      </c>
      <c r="C17825" s="3" t="inlineStr">
        <is>
          <t>Expenses</t>
        </is>
      </c>
      <c r="D17825" s="3" t="inlineStr">
        <is>
          <t>3900/000</t>
        </is>
      </c>
      <c r="E17825" s="3" t="inlineStr">
        <is>
          <t>Interest Paid</t>
        </is>
      </c>
      <c r="F17825" s="3" t="n">
        <v>0</v>
      </c>
      <c r="G17825" s="3" t="n">
        <v>1307.76</v>
      </c>
    </row>
    <row r="17826">
      <c r="A17826" s="3" t="inlineStr">
        <is>
          <t>Quinate Consulting (Pty) Ltd</t>
        </is>
      </c>
      <c r="B17826" s="4" t="n">
        <v>45322</v>
      </c>
      <c r="C17826" s="3" t="inlineStr">
        <is>
          <t>Expenses</t>
        </is>
      </c>
      <c r="D17826" s="3" t="inlineStr">
        <is>
          <t>3900/050</t>
        </is>
      </c>
      <c r="E17826" s="3" t="inlineStr">
        <is>
          <t>Interest Paid - STD Bond Accounts</t>
        </is>
      </c>
      <c r="F17826" s="3" t="n">
        <v>0</v>
      </c>
      <c r="G17826" s="3" t="n">
        <v>525346.9300000001</v>
      </c>
    </row>
    <row r="17827">
      <c r="A17827" s="3" t="inlineStr">
        <is>
          <t>Endulini (Pty) Ltd</t>
        </is>
      </c>
      <c r="B17827" s="4" t="n">
        <v>45322</v>
      </c>
      <c r="C17827" s="3" t="inlineStr">
        <is>
          <t>Expenses</t>
        </is>
      </c>
      <c r="D17827" s="3" t="inlineStr">
        <is>
          <t>3900/111</t>
        </is>
      </c>
      <c r="E17827" s="3" t="inlineStr">
        <is>
          <t>Interest Paid - Investors @ 6.25%</t>
        </is>
      </c>
      <c r="F17827" s="3" t="n">
        <v>0</v>
      </c>
      <c r="G17827" s="3" t="n">
        <v>34051.46</v>
      </c>
    </row>
    <row r="17828">
      <c r="A17828" s="3" t="inlineStr">
        <is>
          <t>Endulini (Pty) Ltd</t>
        </is>
      </c>
      <c r="B17828" s="4" t="n">
        <v>45322</v>
      </c>
      <c r="C17828" s="3" t="inlineStr">
        <is>
          <t>Expenses</t>
        </is>
      </c>
      <c r="D17828" s="3" t="inlineStr">
        <is>
          <t>3900/112</t>
        </is>
      </c>
      <c r="E17828" s="3" t="inlineStr">
        <is>
          <t>Interest Paid - Investors @ 6.5%</t>
        </is>
      </c>
      <c r="F17828" s="3" t="n">
        <v>0</v>
      </c>
      <c r="G17828" s="3" t="n">
        <v>3437</v>
      </c>
    </row>
    <row r="17829">
      <c r="A17829" s="3" t="inlineStr">
        <is>
          <t>Endulini (Pty) Ltd</t>
        </is>
      </c>
      <c r="B17829" s="4" t="n">
        <v>45322</v>
      </c>
      <c r="C17829" s="3" t="inlineStr">
        <is>
          <t>Expenses</t>
        </is>
      </c>
      <c r="D17829" s="3" t="inlineStr">
        <is>
          <t>3900/113</t>
        </is>
      </c>
      <c r="E17829" s="3" t="inlineStr">
        <is>
          <t>Interest Paid - Investors @ 6.75%</t>
        </is>
      </c>
      <c r="F17829" s="3" t="n">
        <v>0</v>
      </c>
      <c r="G17829" s="3" t="n">
        <v>4281.16</v>
      </c>
    </row>
    <row r="17830">
      <c r="A17830" s="3" t="inlineStr">
        <is>
          <t>Endulini (Pty) Ltd</t>
        </is>
      </c>
      <c r="B17830" s="4" t="n">
        <v>45322</v>
      </c>
      <c r="C17830" s="3" t="inlineStr">
        <is>
          <t>Expenses</t>
        </is>
      </c>
      <c r="D17830" s="3" t="inlineStr">
        <is>
          <t>3900/120</t>
        </is>
      </c>
      <c r="E17830" s="3" t="inlineStr">
        <is>
          <t>Interest Paid - Investors @ 7%</t>
        </is>
      </c>
      <c r="F17830" s="3" t="n">
        <v>0</v>
      </c>
      <c r="G17830" s="3" t="n">
        <v>12250.2</v>
      </c>
    </row>
    <row r="17831">
      <c r="A17831" s="3" t="inlineStr">
        <is>
          <t>Endulini (Pty) Ltd</t>
        </is>
      </c>
      <c r="B17831" s="4" t="n">
        <v>45322</v>
      </c>
      <c r="C17831" s="3" t="inlineStr">
        <is>
          <t>Expenses</t>
        </is>
      </c>
      <c r="D17831" s="3" t="inlineStr">
        <is>
          <t>3900/122</t>
        </is>
      </c>
      <c r="E17831" s="3" t="inlineStr">
        <is>
          <t>Interest Paid - Investors @ 7.5%</t>
        </is>
      </c>
      <c r="F17831" s="3" t="n">
        <v>0</v>
      </c>
      <c r="G17831" s="3" t="n">
        <v>200.84</v>
      </c>
    </row>
    <row r="17832">
      <c r="A17832" s="3" t="inlineStr">
        <is>
          <t>Quinate Consulting (Pty) Ltd</t>
        </is>
      </c>
      <c r="B17832" s="4" t="n">
        <v>45322</v>
      </c>
      <c r="C17832" s="3" t="inlineStr">
        <is>
          <t>Expenses</t>
        </is>
      </c>
      <c r="D17832" s="3" t="inlineStr">
        <is>
          <t>3900/152</t>
        </is>
      </c>
      <c r="E17832" s="3" t="inlineStr">
        <is>
          <t>Interest Paid - Gengis</t>
        </is>
      </c>
      <c r="F17832" s="3" t="n">
        <v>3516.16</v>
      </c>
      <c r="G17832" s="3" t="n">
        <v>38224.1</v>
      </c>
    </row>
    <row r="17833">
      <c r="A17833" s="3" t="inlineStr">
        <is>
          <t>Endulini (Pty) Ltd</t>
        </is>
      </c>
      <c r="B17833" s="4" t="n">
        <v>45322</v>
      </c>
      <c r="C17833" s="3" t="inlineStr">
        <is>
          <t>Expenses</t>
        </is>
      </c>
      <c r="D17833" s="3" t="inlineStr">
        <is>
          <t>3900/190</t>
        </is>
      </c>
      <c r="E17833" s="3" t="inlineStr">
        <is>
          <t>Interest Paid - Investors @ 14%</t>
        </is>
      </c>
      <c r="F17833" s="3" t="n">
        <v>0</v>
      </c>
      <c r="G17833" s="3" t="n">
        <v>348884.25</v>
      </c>
    </row>
    <row r="17834">
      <c r="A17834" s="3" t="inlineStr">
        <is>
          <t>Endulini (Pty) Ltd</t>
        </is>
      </c>
      <c r="B17834" s="4" t="n">
        <v>45322</v>
      </c>
      <c r="C17834" s="3" t="inlineStr">
        <is>
          <t>Expenses</t>
        </is>
      </c>
      <c r="D17834" s="3" t="inlineStr">
        <is>
          <t>3900/200</t>
        </is>
      </c>
      <c r="E17834" s="3" t="inlineStr">
        <is>
          <t>Interest Paid - Investors @ 15%</t>
        </is>
      </c>
      <c r="F17834" s="3" t="n">
        <v>0</v>
      </c>
      <c r="G17834" s="3" t="n">
        <v>155679.44</v>
      </c>
    </row>
    <row r="17835">
      <c r="A17835" s="3" t="inlineStr">
        <is>
          <t>Endulini (Pty) Ltd</t>
        </is>
      </c>
      <c r="B17835" s="4" t="n">
        <v>45322</v>
      </c>
      <c r="C17835" s="3" t="inlineStr">
        <is>
          <t>Expenses</t>
        </is>
      </c>
      <c r="D17835" s="3" t="inlineStr">
        <is>
          <t>3900/210</t>
        </is>
      </c>
      <c r="E17835" s="3" t="inlineStr">
        <is>
          <t>Interest Paid - Investors @ 16%</t>
        </is>
      </c>
      <c r="F17835" s="3" t="n">
        <v>0</v>
      </c>
      <c r="G17835" s="3" t="n">
        <v>125545.2</v>
      </c>
    </row>
    <row r="17836">
      <c r="A17836" s="3" t="inlineStr">
        <is>
          <t>Endulini (Pty) Ltd</t>
        </is>
      </c>
      <c r="B17836" s="4" t="n">
        <v>45322</v>
      </c>
      <c r="C17836" s="3" t="inlineStr">
        <is>
          <t>Expenses</t>
        </is>
      </c>
      <c r="D17836" s="3" t="inlineStr">
        <is>
          <t>3900/230</t>
        </is>
      </c>
      <c r="E17836" s="3" t="inlineStr">
        <is>
          <t>Interest Paid - Investors @ 18%</t>
        </is>
      </c>
      <c r="F17836" s="3" t="n">
        <v>0</v>
      </c>
      <c r="G17836" s="3" t="n">
        <v>1123218.86</v>
      </c>
    </row>
    <row r="17837">
      <c r="A17837" s="3" t="inlineStr">
        <is>
          <t>Opportunity Management Holdings (PTY) LTD</t>
        </is>
      </c>
      <c r="B17837" s="4" t="n">
        <v>45322</v>
      </c>
      <c r="C17837" s="3" t="inlineStr">
        <is>
          <t>Expenses</t>
        </is>
      </c>
      <c r="D17837" s="3" t="inlineStr">
        <is>
          <t>3960/000</t>
        </is>
      </c>
      <c r="E17837" s="3" t="inlineStr">
        <is>
          <t>Internet Fees</t>
        </is>
      </c>
      <c r="F17837" s="3" t="n">
        <v>892.87</v>
      </c>
      <c r="G17837" s="3" t="n">
        <v>3353.24</v>
      </c>
    </row>
    <row r="17838">
      <c r="A17838" s="3" t="inlineStr">
        <is>
          <t>Quinate Consulting (Pty) Ltd</t>
        </is>
      </c>
      <c r="B17838" s="4" t="n">
        <v>45322</v>
      </c>
      <c r="C17838" s="3" t="inlineStr">
        <is>
          <t>Expenses</t>
        </is>
      </c>
      <c r="D17838" s="3" t="inlineStr">
        <is>
          <t>4000/000</t>
        </is>
      </c>
      <c r="E17838" s="3" t="inlineStr">
        <is>
          <t>Legal Fees</t>
        </is>
      </c>
      <c r="F17838" s="3" t="n">
        <v>0</v>
      </c>
      <c r="G17838" s="3" t="n">
        <v>32576</v>
      </c>
    </row>
    <row r="17839">
      <c r="A17839" s="3" t="inlineStr">
        <is>
          <t>Quinate Consulting (Pty) Ltd</t>
        </is>
      </c>
      <c r="B17839" s="4" t="n">
        <v>45322</v>
      </c>
      <c r="C17839" s="3" t="inlineStr">
        <is>
          <t>Expenses</t>
        </is>
      </c>
      <c r="D17839" s="3" t="inlineStr">
        <is>
          <t>4065/000</t>
        </is>
      </c>
      <c r="E17839" s="3" t="inlineStr">
        <is>
          <t>Levies - SoHo</t>
        </is>
      </c>
      <c r="F17839" s="3" t="n">
        <v>0</v>
      </c>
      <c r="G17839" s="3" t="n">
        <v>74360.96000000001</v>
      </c>
    </row>
    <row r="17840">
      <c r="A17840" s="3" t="inlineStr">
        <is>
          <t>Quinate Consulting (Pty) Ltd</t>
        </is>
      </c>
      <c r="B17840" s="4" t="n">
        <v>45322</v>
      </c>
      <c r="C17840" s="3" t="inlineStr">
        <is>
          <t>Expenses</t>
        </is>
      </c>
      <c r="D17840" s="3" t="inlineStr">
        <is>
          <t>4066/000</t>
        </is>
      </c>
      <c r="E17840" s="3" t="inlineStr">
        <is>
          <t>Levies - Southwark</t>
        </is>
      </c>
      <c r="F17840" s="3" t="n">
        <v>3422.18</v>
      </c>
      <c r="G17840" s="3" t="n">
        <v>37643.98</v>
      </c>
    </row>
    <row r="17841">
      <c r="A17841" s="3" t="inlineStr">
        <is>
          <t>Quinate Consulting (Pty) Ltd</t>
        </is>
      </c>
      <c r="B17841" s="4" t="n">
        <v>45322</v>
      </c>
      <c r="C17841" s="3" t="inlineStr">
        <is>
          <t>Expenses</t>
        </is>
      </c>
      <c r="D17841" s="3" t="inlineStr">
        <is>
          <t>4067/000</t>
        </is>
      </c>
      <c r="E17841" s="3" t="inlineStr">
        <is>
          <t>Levies - C4 Property</t>
        </is>
      </c>
      <c r="F17841" s="3" t="n">
        <v>10201.72</v>
      </c>
      <c r="G17841" s="3" t="n">
        <v>95742.94</v>
      </c>
    </row>
    <row r="17842">
      <c r="A17842" s="3" t="inlineStr">
        <is>
          <t>Quinate Consulting (Pty) Ltd</t>
        </is>
      </c>
      <c r="B17842" s="4" t="n">
        <v>45322</v>
      </c>
      <c r="C17842" s="3" t="inlineStr">
        <is>
          <t>Expenses</t>
        </is>
      </c>
      <c r="D17842" s="3" t="inlineStr">
        <is>
          <t>4068/000</t>
        </is>
      </c>
      <c r="E17842" s="3" t="inlineStr">
        <is>
          <t>Levies Endulini</t>
        </is>
      </c>
      <c r="F17842" s="3" t="n">
        <v>0</v>
      </c>
      <c r="G17842" s="3" t="n">
        <v>5049.31</v>
      </c>
    </row>
    <row r="17843">
      <c r="A17843" s="3" t="inlineStr">
        <is>
          <t>Endulini (Pty) Ltd</t>
        </is>
      </c>
      <c r="B17843" s="4" t="n">
        <v>45322</v>
      </c>
      <c r="C17843" s="3" t="inlineStr">
        <is>
          <t>Expenses</t>
        </is>
      </c>
      <c r="D17843" s="3" t="inlineStr">
        <is>
          <t>4100/001</t>
        </is>
      </c>
      <c r="E17843" s="3" t="inlineStr">
        <is>
          <t>Momentum Admin Fee</t>
        </is>
      </c>
      <c r="F17843" s="3" t="n">
        <v>0</v>
      </c>
      <c r="G17843" s="3" t="n">
        <v>7.42</v>
      </c>
    </row>
    <row r="17844">
      <c r="A17844" s="3" t="inlineStr">
        <is>
          <t>Quinate Consulting (Pty) Ltd</t>
        </is>
      </c>
      <c r="B17844" s="4" t="n">
        <v>45322</v>
      </c>
      <c r="C17844" s="3" t="inlineStr">
        <is>
          <t>Expenses</t>
        </is>
      </c>
      <c r="D17844" s="3" t="inlineStr">
        <is>
          <t>4100/001</t>
        </is>
      </c>
      <c r="E17844" s="3" t="inlineStr">
        <is>
          <t>Momentum Advise Fee</t>
        </is>
      </c>
      <c r="F17844" s="3" t="n">
        <v>0</v>
      </c>
      <c r="G17844" s="3" t="n">
        <v>1.82</v>
      </c>
    </row>
    <row r="17845">
      <c r="A17845" s="3" t="inlineStr">
        <is>
          <t>Opportunity Global Investment (PTY) LTD</t>
        </is>
      </c>
      <c r="B17845" s="4" t="n">
        <v>45322</v>
      </c>
      <c r="C17845" s="3" t="inlineStr">
        <is>
          <t>Expenses</t>
        </is>
      </c>
      <c r="D17845" s="3" t="inlineStr">
        <is>
          <t>4100/100</t>
        </is>
      </c>
      <c r="E17845" s="3" t="inlineStr">
        <is>
          <t>Members Salaries - Nick Morgan</t>
        </is>
      </c>
      <c r="F17845" s="3" t="n">
        <v>41251.61</v>
      </c>
      <c r="G17845" s="3" t="n">
        <v>453767.74</v>
      </c>
    </row>
    <row r="17846">
      <c r="A17846" s="3" t="inlineStr">
        <is>
          <t>Opportunity Global Investment (PTY) LTD</t>
        </is>
      </c>
      <c r="B17846" s="4" t="n">
        <v>45322</v>
      </c>
      <c r="C17846" s="3" t="inlineStr">
        <is>
          <t>Expenses</t>
        </is>
      </c>
      <c r="D17846" s="3" t="inlineStr">
        <is>
          <t>4200/000</t>
        </is>
      </c>
      <c r="E17846" s="3" t="inlineStr">
        <is>
          <t>Printing _AND_ Stationery</t>
        </is>
      </c>
      <c r="F17846" s="3" t="n">
        <v>2367</v>
      </c>
      <c r="G17846" s="3" t="n">
        <v>26446.57</v>
      </c>
    </row>
    <row r="17847">
      <c r="A17847" s="3" t="inlineStr">
        <is>
          <t>Opportunity Global Sales (PTY) LTD</t>
        </is>
      </c>
      <c r="B17847" s="4" t="n">
        <v>45322</v>
      </c>
      <c r="C17847" s="3" t="inlineStr">
        <is>
          <t>Expenses</t>
        </is>
      </c>
      <c r="D17847" s="3" t="inlineStr">
        <is>
          <t>4200/000</t>
        </is>
      </c>
      <c r="E17847" s="3" t="inlineStr">
        <is>
          <t>Printing _AND_ Stationery</t>
        </is>
      </c>
      <c r="F17847" s="3" t="n">
        <v>0</v>
      </c>
      <c r="G17847" s="3" t="n">
        <v>286.96</v>
      </c>
    </row>
    <row r="17848">
      <c r="A17848" s="3" t="inlineStr">
        <is>
          <t>Opportunity Management Holdings (PTY) LTD</t>
        </is>
      </c>
      <c r="B17848" s="4" t="n">
        <v>45322</v>
      </c>
      <c r="C17848" s="3" t="inlineStr">
        <is>
          <t>Expenses</t>
        </is>
      </c>
      <c r="D17848" s="3" t="inlineStr">
        <is>
          <t>4200/000</t>
        </is>
      </c>
      <c r="E17848" s="3" t="inlineStr">
        <is>
          <t>Printing _AND_ Stationery</t>
        </is>
      </c>
      <c r="F17848" s="3" t="n">
        <v>0</v>
      </c>
      <c r="G17848" s="3" t="n">
        <v>1147.8</v>
      </c>
    </row>
    <row r="17849">
      <c r="A17849" s="3" t="inlineStr">
        <is>
          <t>Quinate Consulting (Pty) Ltd</t>
        </is>
      </c>
      <c r="B17849" s="4" t="n">
        <v>45322</v>
      </c>
      <c r="C17849" s="3" t="inlineStr">
        <is>
          <t>Expenses</t>
        </is>
      </c>
      <c r="D17849" s="3" t="inlineStr">
        <is>
          <t>4200/000</t>
        </is>
      </c>
      <c r="E17849" s="3" t="inlineStr">
        <is>
          <t>Printing _AND_ Stationery</t>
        </is>
      </c>
      <c r="F17849" s="3" t="n">
        <v>0</v>
      </c>
      <c r="G17849" s="3" t="n">
        <v>62.61</v>
      </c>
    </row>
    <row r="17850">
      <c r="A17850" s="3" t="inlineStr">
        <is>
          <t>Noble Shield (Pty) Ltd ta Go Letting</t>
        </is>
      </c>
      <c r="B17850" s="4" t="n">
        <v>45322</v>
      </c>
      <c r="C17850" s="3" t="inlineStr">
        <is>
          <t>Expenses</t>
        </is>
      </c>
      <c r="D17850" s="3" t="inlineStr">
        <is>
          <t>4200/100</t>
        </is>
      </c>
      <c r="E17850" s="3" t="inlineStr">
        <is>
          <t>Printing - Merchant West- Printer Rental</t>
        </is>
      </c>
      <c r="F17850" s="3" t="n">
        <v>1953.85</v>
      </c>
      <c r="G17850" s="3" t="n">
        <v>12170.92</v>
      </c>
    </row>
    <row r="17851">
      <c r="A17851" s="3" t="inlineStr">
        <is>
          <t>Noble Shield (Pty) Ltd ta Go Letting</t>
        </is>
      </c>
      <c r="B17851" s="4" t="n">
        <v>45322</v>
      </c>
      <c r="C17851" s="3" t="inlineStr">
        <is>
          <t>Expenses</t>
        </is>
      </c>
      <c r="D17851" s="3" t="inlineStr">
        <is>
          <t>4200/120</t>
        </is>
      </c>
      <c r="E17851" s="3" t="inlineStr">
        <is>
          <t>Printing - Ivy Line - Prints</t>
        </is>
      </c>
      <c r="F17851" s="3" t="n">
        <v>1986.9</v>
      </c>
      <c r="G17851" s="3" t="n">
        <v>4515.53</v>
      </c>
    </row>
    <row r="17852">
      <c r="A17852" s="3" t="inlineStr">
        <is>
          <t>Noble Shield (Pty) Ltd ta Go Letting</t>
        </is>
      </c>
      <c r="B17852" s="4" t="n">
        <v>45322</v>
      </c>
      <c r="C17852" s="3" t="inlineStr">
        <is>
          <t>Expenses</t>
        </is>
      </c>
      <c r="D17852" s="3" t="inlineStr">
        <is>
          <t>4200/180</t>
        </is>
      </c>
      <c r="E17852" s="3" t="inlineStr">
        <is>
          <t>Printing - Ikon</t>
        </is>
      </c>
      <c r="F17852" s="3" t="n">
        <v>176.59</v>
      </c>
      <c r="G17852" s="3" t="n">
        <v>1268.09</v>
      </c>
    </row>
    <row r="17853">
      <c r="A17853" s="3" t="inlineStr">
        <is>
          <t>Noble Shield (Pty) Ltd ta Go Letting</t>
        </is>
      </c>
      <c r="B17853" s="4" t="n">
        <v>45322</v>
      </c>
      <c r="C17853" s="3" t="inlineStr">
        <is>
          <t>Expenses</t>
        </is>
      </c>
      <c r="D17853" s="3" t="inlineStr">
        <is>
          <t>4200/190</t>
        </is>
      </c>
      <c r="E17853" s="3" t="inlineStr">
        <is>
          <t>Printing - Centrafin printer rental</t>
        </is>
      </c>
      <c r="F17853" s="3" t="n">
        <v>3211.18</v>
      </c>
      <c r="G17853" s="3" t="n">
        <v>14888.18</v>
      </c>
    </row>
    <row r="17854">
      <c r="A17854" s="3" t="inlineStr">
        <is>
          <t>Noble Shield (Pty) Ltd ta Go Letting</t>
        </is>
      </c>
      <c r="B17854" s="4" t="n">
        <v>45322</v>
      </c>
      <c r="C17854" s="3" t="inlineStr">
        <is>
          <t>Expenses</t>
        </is>
      </c>
      <c r="D17854" s="3" t="inlineStr">
        <is>
          <t>4200/200</t>
        </is>
      </c>
      <c r="E17854" s="3" t="inlineStr">
        <is>
          <t>Printing - General Stationery VDB Office</t>
        </is>
      </c>
      <c r="F17854" s="3" t="n">
        <v>1418.49</v>
      </c>
      <c r="G17854" s="3" t="n">
        <v>4845.69</v>
      </c>
    </row>
    <row r="17855">
      <c r="A17855" s="3" t="inlineStr">
        <is>
          <t>Opportunity Global Investment (PTY) LTD</t>
        </is>
      </c>
      <c r="B17855" s="4" t="n">
        <v>45322</v>
      </c>
      <c r="C17855" s="3" t="inlineStr">
        <is>
          <t>Expenses</t>
        </is>
      </c>
      <c r="D17855" s="3" t="inlineStr">
        <is>
          <t>4220/000</t>
        </is>
      </c>
      <c r="E17855" s="3" t="inlineStr">
        <is>
          <t>Motor Vehicle Expenses - Petrol _AND_ Oil</t>
        </is>
      </c>
      <c r="F17855" s="3" t="n">
        <v>2715.5</v>
      </c>
      <c r="G17855" s="3" t="n">
        <v>24541.36</v>
      </c>
    </row>
    <row r="17856">
      <c r="A17856" s="3" t="inlineStr">
        <is>
          <t>Noble Shield (Pty) Ltd ta Go Letting</t>
        </is>
      </c>
      <c r="B17856" s="4" t="n">
        <v>45322</v>
      </c>
      <c r="C17856" s="3" t="inlineStr">
        <is>
          <t>Expenses</t>
        </is>
      </c>
      <c r="D17856" s="3" t="inlineStr">
        <is>
          <t>4290/000</t>
        </is>
      </c>
      <c r="E17856" s="3" t="inlineStr">
        <is>
          <t>Refreshments - CT Office</t>
        </is>
      </c>
      <c r="F17856" s="3" t="n">
        <v>783.83</v>
      </c>
      <c r="G17856" s="3" t="n">
        <v>6457.8</v>
      </c>
    </row>
    <row r="17857">
      <c r="A17857" s="3" t="inlineStr">
        <is>
          <t>Opportunity Global Investment (PTY) LTD</t>
        </is>
      </c>
      <c r="B17857" s="4" t="n">
        <v>45322</v>
      </c>
      <c r="C17857" s="3" t="inlineStr">
        <is>
          <t>Expenses</t>
        </is>
      </c>
      <c r="D17857" s="3" t="inlineStr">
        <is>
          <t>4290/000</t>
        </is>
      </c>
      <c r="E17857" s="3" t="inlineStr">
        <is>
          <t>Rent</t>
        </is>
      </c>
      <c r="F17857" s="3" t="n">
        <v>8770</v>
      </c>
      <c r="G17857" s="3" t="n">
        <v>96470</v>
      </c>
    </row>
    <row r="17858">
      <c r="A17858" s="3" t="inlineStr">
        <is>
          <t>Noble Shield (Pty) Ltd ta Go Letting</t>
        </is>
      </c>
      <c r="B17858" s="4" t="n">
        <v>45322</v>
      </c>
      <c r="C17858" s="3" t="inlineStr">
        <is>
          <t>Expenses</t>
        </is>
      </c>
      <c r="D17858" s="3" t="inlineStr">
        <is>
          <t>4291/000</t>
        </is>
      </c>
      <c r="E17858" s="3" t="inlineStr">
        <is>
          <t>Refreshments - VDB Office</t>
        </is>
      </c>
      <c r="F17858" s="3" t="n">
        <v>794.1900000000001</v>
      </c>
      <c r="G17858" s="3" t="n">
        <v>3286.69</v>
      </c>
    </row>
    <row r="17859">
      <c r="A17859" s="3" t="inlineStr">
        <is>
          <t>Trademark Holdings (Pty) Ltd</t>
        </is>
      </c>
      <c r="B17859" s="4" t="n">
        <v>45322</v>
      </c>
      <c r="C17859" s="3" t="inlineStr">
        <is>
          <t>Expenses</t>
        </is>
      </c>
      <c r="D17859" s="3" t="inlineStr">
        <is>
          <t>4300/000</t>
        </is>
      </c>
      <c r="E17859" s="3" t="inlineStr">
        <is>
          <t>Rent Paid</t>
        </is>
      </c>
      <c r="F17859" s="3" t="n">
        <v>6940</v>
      </c>
      <c r="G17859" s="3" t="n">
        <v>34500</v>
      </c>
    </row>
    <row r="17860">
      <c r="A17860" s="3" t="inlineStr">
        <is>
          <t>Opportunity Global Investment (PTY) LTD</t>
        </is>
      </c>
      <c r="B17860" s="4" t="n">
        <v>45322</v>
      </c>
      <c r="C17860" s="3" t="inlineStr">
        <is>
          <t>Expenses</t>
        </is>
      </c>
      <c r="D17860" s="3" t="inlineStr">
        <is>
          <t>4310/000</t>
        </is>
      </c>
      <c r="E17860" s="3" t="inlineStr">
        <is>
          <t>Refreshments</t>
        </is>
      </c>
      <c r="F17860" s="3" t="n">
        <v>2521</v>
      </c>
      <c r="G17860" s="3" t="n">
        <v>27779.26</v>
      </c>
    </row>
    <row r="17861">
      <c r="A17861" s="3" t="inlineStr">
        <is>
          <t>Opportunity Management Holdings (PTY) LTD</t>
        </is>
      </c>
      <c r="B17861" s="4" t="n">
        <v>45322</v>
      </c>
      <c r="C17861" s="3" t="inlineStr">
        <is>
          <t>Expenses</t>
        </is>
      </c>
      <c r="D17861" s="3" t="inlineStr">
        <is>
          <t>4310/000</t>
        </is>
      </c>
      <c r="E17861" s="3" t="inlineStr">
        <is>
          <t>Refreshments</t>
        </is>
      </c>
      <c r="F17861" s="3" t="n">
        <v>7466.55</v>
      </c>
      <c r="G17861" s="3" t="n">
        <v>43553.37</v>
      </c>
    </row>
    <row r="17862">
      <c r="A17862" s="3" t="inlineStr">
        <is>
          <t>Quinate Consulting (Pty) Ltd</t>
        </is>
      </c>
      <c r="B17862" s="4" t="n">
        <v>45322</v>
      </c>
      <c r="C17862" s="3" t="inlineStr">
        <is>
          <t>Expenses</t>
        </is>
      </c>
      <c r="D17862" s="3" t="inlineStr">
        <is>
          <t>4312/000</t>
        </is>
      </c>
      <c r="E17862" s="3" t="inlineStr">
        <is>
          <t>Rates - SoHo Units</t>
        </is>
      </c>
      <c r="F17862" s="3" t="n">
        <v>2822.5</v>
      </c>
      <c r="G17862" s="3" t="n">
        <v>29481.14</v>
      </c>
    </row>
    <row r="17863">
      <c r="A17863" s="3" t="inlineStr">
        <is>
          <t>Endulini (Pty) Ltd</t>
        </is>
      </c>
      <c r="B17863" s="4" t="n">
        <v>45322</v>
      </c>
      <c r="C17863" s="3" t="inlineStr">
        <is>
          <t>Expenses</t>
        </is>
      </c>
      <c r="D17863" s="3" t="inlineStr">
        <is>
          <t>4350/000</t>
        </is>
      </c>
      <c r="E17863" s="3" t="inlineStr">
        <is>
          <t>Repairs _AND_ Maintenance</t>
        </is>
      </c>
      <c r="F17863" s="3" t="n">
        <v>3297.62</v>
      </c>
      <c r="G17863" s="3" t="n">
        <v>32808.94</v>
      </c>
    </row>
    <row r="17864">
      <c r="A17864" s="3" t="inlineStr">
        <is>
          <t>Opportunity Global Sales (PTY) LTD</t>
        </is>
      </c>
      <c r="B17864" s="4" t="n">
        <v>45322</v>
      </c>
      <c r="C17864" s="3" t="inlineStr">
        <is>
          <t>Expenses</t>
        </is>
      </c>
      <c r="D17864" s="3" t="inlineStr">
        <is>
          <t>4350/000</t>
        </is>
      </c>
      <c r="E17864" s="3" t="inlineStr">
        <is>
          <t>Repairs _AND_ Maintenance</t>
        </is>
      </c>
      <c r="F17864" s="3" t="n">
        <v>0</v>
      </c>
      <c r="G17864" s="3" t="n">
        <v>469.52</v>
      </c>
    </row>
    <row r="17865">
      <c r="A17865" s="3" t="inlineStr">
        <is>
          <t>Opportunity Management Holdings (PTY) LTD</t>
        </is>
      </c>
      <c r="B17865" s="4" t="n">
        <v>45322</v>
      </c>
      <c r="C17865" s="3" t="inlineStr">
        <is>
          <t>Expenses</t>
        </is>
      </c>
      <c r="D17865" s="3" t="inlineStr">
        <is>
          <t>4350/000</t>
        </is>
      </c>
      <c r="E17865" s="3" t="inlineStr">
        <is>
          <t>Repairs _AND_ Maintenance</t>
        </is>
      </c>
      <c r="F17865" s="3" t="n">
        <v>0</v>
      </c>
      <c r="G17865" s="3" t="n">
        <v>1641.09</v>
      </c>
    </row>
    <row r="17866">
      <c r="A17866" s="3" t="inlineStr">
        <is>
          <t>Quinate Consulting (Pty) Ltd</t>
        </is>
      </c>
      <c r="B17866" s="4" t="n">
        <v>45322</v>
      </c>
      <c r="C17866" s="3" t="inlineStr">
        <is>
          <t>Expenses</t>
        </is>
      </c>
      <c r="D17866" s="3" t="inlineStr">
        <is>
          <t>4350/000</t>
        </is>
      </c>
      <c r="E17866" s="3" t="inlineStr">
        <is>
          <t>Repairs and Maintenance - Southwark Units</t>
        </is>
      </c>
      <c r="F17866" s="3" t="n">
        <v>0</v>
      </c>
      <c r="G17866" s="3" t="n">
        <v>4760.7</v>
      </c>
    </row>
    <row r="17867">
      <c r="A17867" s="3" t="inlineStr">
        <is>
          <t>Endulini (Pty) Ltd</t>
        </is>
      </c>
      <c r="B17867" s="4" t="n">
        <v>45322</v>
      </c>
      <c r="C17867" s="3" t="inlineStr">
        <is>
          <t>Expenses</t>
        </is>
      </c>
      <c r="D17867" s="3" t="inlineStr">
        <is>
          <t>4351/000</t>
        </is>
      </c>
      <c r="E17867" s="3" t="inlineStr">
        <is>
          <t>Repair &amp; Maintenance - Rentals</t>
        </is>
      </c>
      <c r="F17867" s="3" t="n">
        <v>0</v>
      </c>
      <c r="G17867" s="3" t="n">
        <v>2015.79</v>
      </c>
    </row>
    <row r="17868">
      <c r="A17868" s="3" t="inlineStr">
        <is>
          <t>Noble Shield (Pty) Ltd ta Go Letting</t>
        </is>
      </c>
      <c r="B17868" s="4" t="n">
        <v>45322</v>
      </c>
      <c r="C17868" s="3" t="inlineStr">
        <is>
          <t>Expenses</t>
        </is>
      </c>
      <c r="D17868" s="3" t="inlineStr">
        <is>
          <t>4351/000</t>
        </is>
      </c>
      <c r="E17868" s="3" t="inlineStr">
        <is>
          <t>Repairs _AND_ Maintanence - Rentals</t>
        </is>
      </c>
      <c r="F17868" s="3" t="n">
        <v>0</v>
      </c>
      <c r="G17868" s="3" t="n">
        <v>286.75</v>
      </c>
    </row>
    <row r="17869">
      <c r="A17869" s="3" t="inlineStr">
        <is>
          <t>Quinate Consulting (Pty) Ltd</t>
        </is>
      </c>
      <c r="B17869" s="4" t="n">
        <v>45322</v>
      </c>
      <c r="C17869" s="3" t="inlineStr">
        <is>
          <t>Expenses</t>
        </is>
      </c>
      <c r="D17869" s="3" t="inlineStr">
        <is>
          <t>4351/100</t>
        </is>
      </c>
      <c r="E17869" s="3" t="inlineStr">
        <is>
          <t>Repairs and Maintenance -  Soho Units</t>
        </is>
      </c>
      <c r="F17869" s="3" t="n">
        <v>0</v>
      </c>
      <c r="G17869" s="3" t="n">
        <v>2400</v>
      </c>
    </row>
    <row r="17870">
      <c r="A17870" s="3" t="inlineStr">
        <is>
          <t>Opportunity Global Investment (PTY) LTD</t>
        </is>
      </c>
      <c r="B17870" s="4" t="n">
        <v>45322</v>
      </c>
      <c r="C17870" s="3" t="inlineStr">
        <is>
          <t>Expenses</t>
        </is>
      </c>
      <c r="D17870" s="3" t="inlineStr">
        <is>
          <t>4360/000</t>
        </is>
      </c>
      <c r="E17870" s="3" t="inlineStr">
        <is>
          <t>Secretarial - CIPC</t>
        </is>
      </c>
      <c r="F17870" s="3" t="n">
        <v>0</v>
      </c>
      <c r="G17870" s="3" t="n">
        <v>800</v>
      </c>
    </row>
    <row r="17871">
      <c r="A17871" s="3" t="inlineStr">
        <is>
          <t>Opportunity Global Investment (PTY) LTD</t>
        </is>
      </c>
      <c r="B17871" s="4" t="n">
        <v>45322</v>
      </c>
      <c r="C17871" s="3" t="inlineStr">
        <is>
          <t>Expenses</t>
        </is>
      </c>
      <c r="D17871" s="3" t="inlineStr">
        <is>
          <t>4390/000</t>
        </is>
      </c>
      <c r="E17871" s="3" t="inlineStr">
        <is>
          <t>Small Assets</t>
        </is>
      </c>
      <c r="F17871" s="3" t="n">
        <v>4693.04</v>
      </c>
      <c r="G17871" s="3" t="n">
        <v>4693.04</v>
      </c>
    </row>
    <row r="17872">
      <c r="A17872" s="3" t="inlineStr">
        <is>
          <t>Opportunity Global Sales (PTY) LTD</t>
        </is>
      </c>
      <c r="B17872" s="4" t="n">
        <v>45322</v>
      </c>
      <c r="C17872" s="3" t="inlineStr">
        <is>
          <t>Expenses</t>
        </is>
      </c>
      <c r="D17872" s="3" t="inlineStr">
        <is>
          <t>4390/000</t>
        </is>
      </c>
      <c r="E17872" s="3" t="inlineStr">
        <is>
          <t>Small Assets</t>
        </is>
      </c>
      <c r="F17872" s="3" t="n">
        <v>0</v>
      </c>
      <c r="G17872" s="3" t="n">
        <v>1477.39</v>
      </c>
    </row>
    <row r="17873">
      <c r="A17873" s="3" t="inlineStr">
        <is>
          <t>Opportunity Management Holdings (PTY) LTD</t>
        </is>
      </c>
      <c r="B17873" s="4" t="n">
        <v>45322</v>
      </c>
      <c r="C17873" s="3" t="inlineStr">
        <is>
          <t>Expenses</t>
        </is>
      </c>
      <c r="D17873" s="3" t="inlineStr">
        <is>
          <t>4390/000</t>
        </is>
      </c>
      <c r="E17873" s="3" t="inlineStr">
        <is>
          <t>Small Assets</t>
        </is>
      </c>
      <c r="F17873" s="3" t="n">
        <v>0</v>
      </c>
      <c r="G17873" s="3" t="n">
        <v>7208.26</v>
      </c>
    </row>
    <row r="17874">
      <c r="A17874" s="3" t="inlineStr">
        <is>
          <t>Noble Shield (Pty) Ltd ta Go Letting</t>
        </is>
      </c>
      <c r="B17874" s="4" t="n">
        <v>45322</v>
      </c>
      <c r="C17874" s="3" t="inlineStr">
        <is>
          <t>Expenses</t>
        </is>
      </c>
      <c r="D17874" s="3" t="inlineStr">
        <is>
          <t>4400/000</t>
        </is>
      </c>
      <c r="E17874" s="3" t="inlineStr">
        <is>
          <t>Salaries _AND_ Wages</t>
        </is>
      </c>
      <c r="F17874" s="3" t="n">
        <v>26915.7</v>
      </c>
      <c r="G17874" s="3" t="n">
        <v>134578.5</v>
      </c>
    </row>
    <row r="17875">
      <c r="A17875" s="3" t="inlineStr">
        <is>
          <t>Opportunity Global Sales (PTY) LTD</t>
        </is>
      </c>
      <c r="B17875" s="4" t="n">
        <v>45322</v>
      </c>
      <c r="C17875" s="3" t="inlineStr">
        <is>
          <t>Expenses</t>
        </is>
      </c>
      <c r="D17875" s="3" t="inlineStr">
        <is>
          <t>4400/000</t>
        </is>
      </c>
      <c r="E17875" s="3" t="inlineStr">
        <is>
          <t>Salaries _AND_ Wages</t>
        </is>
      </c>
      <c r="F17875" s="3" t="n">
        <v>59978.31</v>
      </c>
      <c r="G17875" s="3" t="n">
        <v>587851.02</v>
      </c>
    </row>
    <row r="17876">
      <c r="A17876" s="3" t="inlineStr">
        <is>
          <t>Opportunity Management Holdings (PTY) LTD</t>
        </is>
      </c>
      <c r="B17876" s="4" t="n">
        <v>45322</v>
      </c>
      <c r="C17876" s="3" t="inlineStr">
        <is>
          <t>Expenses</t>
        </is>
      </c>
      <c r="D17876" s="3" t="inlineStr">
        <is>
          <t>4400/000</t>
        </is>
      </c>
      <c r="E17876" s="3" t="inlineStr">
        <is>
          <t>Salaries _AND_ Wages</t>
        </is>
      </c>
      <c r="F17876" s="3" t="n">
        <v>228738.17</v>
      </c>
      <c r="G17876" s="3" t="n">
        <v>1085925.44</v>
      </c>
    </row>
    <row r="17877">
      <c r="A17877" s="3" t="inlineStr">
        <is>
          <t>Trademark Holdings (Pty) Ltd</t>
        </is>
      </c>
      <c r="B17877" s="4" t="n">
        <v>45322</v>
      </c>
      <c r="C17877" s="3" t="inlineStr">
        <is>
          <t>Expenses</t>
        </is>
      </c>
      <c r="D17877" s="3" t="inlineStr">
        <is>
          <t>4400/000</t>
        </is>
      </c>
      <c r="E17877" s="3" t="inlineStr">
        <is>
          <t>Salaries _AND_ Wages</t>
        </is>
      </c>
      <c r="F17877" s="3" t="n">
        <v>12429.45</v>
      </c>
      <c r="G17877" s="3" t="n">
        <v>62147.25</v>
      </c>
    </row>
    <row r="17878">
      <c r="A17878" s="3" t="inlineStr">
        <is>
          <t>Opportunity Global Investment (PTY) LTD</t>
        </is>
      </c>
      <c r="B17878" s="4" t="n">
        <v>45322</v>
      </c>
      <c r="C17878" s="3" t="inlineStr">
        <is>
          <t>Expenses</t>
        </is>
      </c>
      <c r="D17878" s="3" t="inlineStr">
        <is>
          <t>4450/000</t>
        </is>
      </c>
      <c r="E17878" s="3" t="inlineStr">
        <is>
          <t>Staff Training</t>
        </is>
      </c>
      <c r="F17878" s="3" t="n">
        <v>399.98</v>
      </c>
      <c r="G17878" s="3" t="n">
        <v>5895.64</v>
      </c>
    </row>
    <row r="17879">
      <c r="A17879" s="3" t="inlineStr">
        <is>
          <t>Opportunity Global Sales (PTY) LTD</t>
        </is>
      </c>
      <c r="B17879" s="4" t="n">
        <v>45322</v>
      </c>
      <c r="C17879" s="3" t="inlineStr">
        <is>
          <t>Expenses</t>
        </is>
      </c>
      <c r="D17879" s="3" t="inlineStr">
        <is>
          <t>4450/000</t>
        </is>
      </c>
      <c r="E17879" s="3" t="inlineStr">
        <is>
          <t>Staff Training</t>
        </is>
      </c>
      <c r="F17879" s="3" t="n">
        <v>0</v>
      </c>
      <c r="G17879" s="3" t="n">
        <v>695.65</v>
      </c>
    </row>
    <row r="17880">
      <c r="A17880" s="3" t="inlineStr">
        <is>
          <t>Noble Shield (Pty) Ltd ta Go Letting</t>
        </is>
      </c>
      <c r="B17880" s="4" t="n">
        <v>45322</v>
      </c>
      <c r="C17880" s="3" t="inlineStr">
        <is>
          <t>Expenses</t>
        </is>
      </c>
      <c r="D17880" s="3" t="inlineStr">
        <is>
          <t>4500/000</t>
        </is>
      </c>
      <c r="E17880" s="3" t="inlineStr">
        <is>
          <t>Staff Welfare</t>
        </is>
      </c>
      <c r="F17880" s="3" t="n">
        <v>0</v>
      </c>
      <c r="G17880" s="3" t="n">
        <v>3762.25</v>
      </c>
    </row>
    <row r="17881">
      <c r="A17881" s="3" t="inlineStr">
        <is>
          <t>Opportunity Global Investment (PTY) LTD</t>
        </is>
      </c>
      <c r="B17881" s="4" t="n">
        <v>45322</v>
      </c>
      <c r="C17881" s="3" t="inlineStr">
        <is>
          <t>Expenses</t>
        </is>
      </c>
      <c r="D17881" s="3" t="inlineStr">
        <is>
          <t>4500/000</t>
        </is>
      </c>
      <c r="E17881" s="3" t="inlineStr">
        <is>
          <t>Staff Welfare</t>
        </is>
      </c>
      <c r="F17881" s="3" t="n">
        <v>354.96</v>
      </c>
      <c r="G17881" s="3" t="n">
        <v>2654.34</v>
      </c>
    </row>
    <row r="17882">
      <c r="A17882" s="3" t="inlineStr">
        <is>
          <t>Opportunity Global Sales (PTY) LTD</t>
        </is>
      </c>
      <c r="B17882" s="4" t="n">
        <v>45322</v>
      </c>
      <c r="C17882" s="3" t="inlineStr">
        <is>
          <t>Expenses</t>
        </is>
      </c>
      <c r="D17882" s="3" t="inlineStr">
        <is>
          <t>4500/000</t>
        </is>
      </c>
      <c r="E17882" s="3" t="inlineStr">
        <is>
          <t>Staff Welfare</t>
        </is>
      </c>
      <c r="F17882" s="3" t="n">
        <v>313.04</v>
      </c>
      <c r="G17882" s="3" t="n">
        <v>2955.21</v>
      </c>
    </row>
    <row r="17883">
      <c r="A17883" s="3" t="inlineStr">
        <is>
          <t>Opportunity Management Holdings (PTY) LTD</t>
        </is>
      </c>
      <c r="B17883" s="4" t="n">
        <v>45322</v>
      </c>
      <c r="C17883" s="3" t="inlineStr">
        <is>
          <t>Expenses</t>
        </is>
      </c>
      <c r="D17883" s="3" t="inlineStr">
        <is>
          <t>4500/000</t>
        </is>
      </c>
      <c r="E17883" s="3" t="inlineStr">
        <is>
          <t>Staff Welfare</t>
        </is>
      </c>
      <c r="F17883" s="3" t="n">
        <v>2577.57</v>
      </c>
      <c r="G17883" s="3" t="n">
        <v>49065.72</v>
      </c>
    </row>
    <row r="17884">
      <c r="A17884" s="3" t="inlineStr">
        <is>
          <t>Quinate Consulting (Pty) Ltd</t>
        </is>
      </c>
      <c r="B17884" s="4" t="n">
        <v>45322</v>
      </c>
      <c r="C17884" s="3" t="inlineStr">
        <is>
          <t>Expenses</t>
        </is>
      </c>
      <c r="D17884" s="3" t="inlineStr">
        <is>
          <t>4500/000</t>
        </is>
      </c>
      <c r="E17884" s="3" t="inlineStr">
        <is>
          <t>Staff Welfare</t>
        </is>
      </c>
      <c r="F17884" s="3" t="n">
        <v>0</v>
      </c>
      <c r="G17884" s="3" t="n">
        <v>1463.8</v>
      </c>
    </row>
    <row r="17885">
      <c r="A17885" s="3" t="inlineStr">
        <is>
          <t>Noble Shield (Pty) Ltd ta Go Letting</t>
        </is>
      </c>
      <c r="B17885" s="4" t="n">
        <v>45322</v>
      </c>
      <c r="C17885" s="3" t="inlineStr">
        <is>
          <t>Expenses</t>
        </is>
      </c>
      <c r="D17885" s="3" t="inlineStr">
        <is>
          <t>4520/000</t>
        </is>
      </c>
      <c r="E17885" s="3" t="inlineStr">
        <is>
          <t>Security</t>
        </is>
      </c>
      <c r="F17885" s="3" t="n">
        <v>884</v>
      </c>
      <c r="G17885" s="3" t="n">
        <v>4575.44</v>
      </c>
    </row>
    <row r="17886">
      <c r="A17886" s="3" t="inlineStr">
        <is>
          <t>Opportunity Global Investment (PTY) LTD</t>
        </is>
      </c>
      <c r="B17886" s="4" t="n">
        <v>45322</v>
      </c>
      <c r="C17886" s="3" t="inlineStr">
        <is>
          <t>Expenses</t>
        </is>
      </c>
      <c r="D17886" s="3" t="inlineStr">
        <is>
          <t>4550/000</t>
        </is>
      </c>
      <c r="E17886" s="3" t="inlineStr">
        <is>
          <t>Subscriptions</t>
        </is>
      </c>
      <c r="F17886" s="3" t="n">
        <v>0</v>
      </c>
      <c r="G17886" s="3" t="n">
        <v>8643.32</v>
      </c>
    </row>
    <row r="17887">
      <c r="A17887" s="3" t="inlineStr">
        <is>
          <t>Opportunity Global Sales (PTY) LTD</t>
        </is>
      </c>
      <c r="B17887" s="4" t="n">
        <v>45322</v>
      </c>
      <c r="C17887" s="3" t="inlineStr">
        <is>
          <t>Expenses</t>
        </is>
      </c>
      <c r="D17887" s="3" t="inlineStr">
        <is>
          <t>4550/000</t>
        </is>
      </c>
      <c r="E17887" s="3" t="inlineStr">
        <is>
          <t>Subscriptions - General</t>
        </is>
      </c>
      <c r="F17887" s="3" t="n">
        <v>0</v>
      </c>
      <c r="G17887" s="3" t="n">
        <v>1422.61</v>
      </c>
    </row>
    <row r="17888">
      <c r="A17888" s="3" t="inlineStr">
        <is>
          <t>Quinate Consulting (Pty) Ltd</t>
        </is>
      </c>
      <c r="B17888" s="4" t="n">
        <v>45322</v>
      </c>
      <c r="C17888" s="3" t="inlineStr">
        <is>
          <t>Expenses</t>
        </is>
      </c>
      <c r="D17888" s="3" t="inlineStr">
        <is>
          <t>4550/000</t>
        </is>
      </c>
      <c r="E17888" s="3" t="inlineStr">
        <is>
          <t>Subscriptions / Licenses</t>
        </is>
      </c>
      <c r="F17888" s="3" t="n">
        <v>14465.44</v>
      </c>
      <c r="G17888" s="3" t="n">
        <v>133055.96</v>
      </c>
    </row>
    <row r="17889">
      <c r="A17889" s="3" t="inlineStr">
        <is>
          <t>Opportunity Management Holdings (PTY) LTD</t>
        </is>
      </c>
      <c r="B17889" s="4" t="n">
        <v>45322</v>
      </c>
      <c r="C17889" s="3" t="inlineStr">
        <is>
          <t>Expenses</t>
        </is>
      </c>
      <c r="D17889" s="3" t="inlineStr">
        <is>
          <t>4550/000</t>
        </is>
      </c>
      <c r="E17889" s="3" t="inlineStr">
        <is>
          <t>Subscriptions _AND_ Lisences</t>
        </is>
      </c>
      <c r="F17889" s="3" t="n">
        <v>3647.2</v>
      </c>
      <c r="G17889" s="3" t="n">
        <v>23409.11</v>
      </c>
    </row>
    <row r="17890">
      <c r="A17890" s="3" t="inlineStr">
        <is>
          <t>Noble Shield (Pty) Ltd ta Go Letting</t>
        </is>
      </c>
      <c r="B17890" s="4" t="n">
        <v>45322</v>
      </c>
      <c r="C17890" s="3" t="inlineStr">
        <is>
          <t>Expenses</t>
        </is>
      </c>
      <c r="D17890" s="3" t="inlineStr">
        <is>
          <t>4550/100</t>
        </is>
      </c>
      <c r="E17890" s="3" t="inlineStr">
        <is>
          <t>Subscriptions - EAAB</t>
        </is>
      </c>
      <c r="F17890" s="3" t="n">
        <v>0</v>
      </c>
      <c r="G17890" s="3" t="n">
        <v>1604</v>
      </c>
    </row>
    <row r="17891">
      <c r="A17891" s="3" t="inlineStr">
        <is>
          <t>Trademark Holdings (Pty) Ltd</t>
        </is>
      </c>
      <c r="B17891" s="4" t="n">
        <v>45322</v>
      </c>
      <c r="C17891" s="3" t="inlineStr">
        <is>
          <t>Expenses</t>
        </is>
      </c>
      <c r="D17891" s="3" t="inlineStr">
        <is>
          <t>4550/100</t>
        </is>
      </c>
      <c r="E17891" s="3" t="inlineStr">
        <is>
          <t>Subscriptions - EAAB</t>
        </is>
      </c>
      <c r="F17891" s="3" t="n">
        <v>0</v>
      </c>
      <c r="G17891" s="3" t="n">
        <v>1604</v>
      </c>
    </row>
    <row r="17892">
      <c r="A17892" s="3" t="inlineStr">
        <is>
          <t>Opportunity Global Investment (PTY) LTD</t>
        </is>
      </c>
      <c r="B17892" s="4" t="n">
        <v>45322</v>
      </c>
      <c r="C17892" s="3" t="inlineStr">
        <is>
          <t>Expenses</t>
        </is>
      </c>
      <c r="D17892" s="3" t="inlineStr">
        <is>
          <t>4550/100</t>
        </is>
      </c>
      <c r="E17892" s="3" t="inlineStr">
        <is>
          <t>Subscriptions - Zoho</t>
        </is>
      </c>
      <c r="F17892" s="3" t="n">
        <v>1125</v>
      </c>
      <c r="G17892" s="3" t="n">
        <v>12375</v>
      </c>
    </row>
    <row r="17893">
      <c r="A17893" s="3" t="inlineStr">
        <is>
          <t>Opportunity Global Sales (PTY) LTD</t>
        </is>
      </c>
      <c r="B17893" s="4" t="n">
        <v>45322</v>
      </c>
      <c r="C17893" s="3" t="inlineStr">
        <is>
          <t>Expenses</t>
        </is>
      </c>
      <c r="D17893" s="3" t="inlineStr">
        <is>
          <t>4550/150</t>
        </is>
      </c>
      <c r="E17893" s="3" t="inlineStr">
        <is>
          <t>Subscription - Webbox</t>
        </is>
      </c>
      <c r="F17893" s="3" t="n">
        <v>0</v>
      </c>
      <c r="G17893" s="3" t="n">
        <v>6743</v>
      </c>
    </row>
    <row r="17894">
      <c r="A17894" s="3" t="inlineStr">
        <is>
          <t>Opportunity Global Investment (PTY) LTD</t>
        </is>
      </c>
      <c r="B17894" s="4" t="n">
        <v>45322</v>
      </c>
      <c r="C17894" s="3" t="inlineStr">
        <is>
          <t>Expenses</t>
        </is>
      </c>
      <c r="D17894" s="3" t="inlineStr">
        <is>
          <t>4550/250</t>
        </is>
      </c>
      <c r="E17894" s="3" t="inlineStr">
        <is>
          <t>Subscriptions - LinkedIn</t>
        </is>
      </c>
      <c r="F17894" s="3" t="n">
        <v>1000.49</v>
      </c>
      <c r="G17894" s="3" t="n">
        <v>12005.88</v>
      </c>
    </row>
    <row r="17895">
      <c r="A17895" s="3" t="inlineStr">
        <is>
          <t>Opportunity Global Investment (PTY) LTD</t>
        </is>
      </c>
      <c r="B17895" s="4" t="n">
        <v>45322</v>
      </c>
      <c r="C17895" s="3" t="inlineStr">
        <is>
          <t>Expenses</t>
        </is>
      </c>
      <c r="D17895" s="3" t="inlineStr">
        <is>
          <t>4550/350</t>
        </is>
      </c>
      <c r="E17895" s="3" t="inlineStr">
        <is>
          <t>Subscriptions - Xero</t>
        </is>
      </c>
      <c r="F17895" s="3" t="n">
        <v>600</v>
      </c>
      <c r="G17895" s="3" t="n">
        <v>6600</v>
      </c>
    </row>
    <row r="17896">
      <c r="A17896" s="3" t="inlineStr">
        <is>
          <t>Opportunity Global Investment (PTY) LTD</t>
        </is>
      </c>
      <c r="B17896" s="4" t="n">
        <v>45322</v>
      </c>
      <c r="C17896" s="3" t="inlineStr">
        <is>
          <t>Expenses</t>
        </is>
      </c>
      <c r="D17896" s="3" t="inlineStr">
        <is>
          <t>4550/400</t>
        </is>
      </c>
      <c r="E17896" s="3" t="inlineStr">
        <is>
          <t>Subscriptions - Moneyweb</t>
        </is>
      </c>
      <c r="F17896" s="3" t="n">
        <v>60.87</v>
      </c>
      <c r="G17896" s="3" t="n">
        <v>657.39</v>
      </c>
    </row>
    <row r="17897">
      <c r="A17897" s="3" t="inlineStr">
        <is>
          <t>Trademark Holdings (Pty) Ltd</t>
        </is>
      </c>
      <c r="B17897" s="4" t="n">
        <v>45322</v>
      </c>
      <c r="C17897" s="3" t="inlineStr">
        <is>
          <t>Expenses</t>
        </is>
      </c>
      <c r="D17897" s="3" t="inlineStr">
        <is>
          <t>4550/400</t>
        </is>
      </c>
      <c r="E17897" s="3" t="inlineStr">
        <is>
          <t>Subscriptions - Xero</t>
        </is>
      </c>
      <c r="F17897" s="3" t="n">
        <v>600</v>
      </c>
      <c r="G17897" s="3" t="n">
        <v>3000</v>
      </c>
    </row>
    <row r="17898">
      <c r="A17898" s="3" t="inlineStr">
        <is>
          <t>Opportunity Global Investment (PTY) LTD</t>
        </is>
      </c>
      <c r="B17898" s="4" t="n">
        <v>45322</v>
      </c>
      <c r="C17898" s="3" t="inlineStr">
        <is>
          <t>Expenses</t>
        </is>
      </c>
      <c r="D17898" s="3" t="inlineStr">
        <is>
          <t>4550/450</t>
        </is>
      </c>
      <c r="E17898" s="3" t="inlineStr">
        <is>
          <t>Subscriptions - Adobe</t>
        </is>
      </c>
      <c r="F17898" s="3" t="n">
        <v>600.9299999999999</v>
      </c>
      <c r="G17898" s="3" t="n">
        <v>6648</v>
      </c>
    </row>
    <row r="17899">
      <c r="A17899" s="3" t="inlineStr">
        <is>
          <t>Opportunity Global Investment (PTY) LTD</t>
        </is>
      </c>
      <c r="B17899" s="4" t="n">
        <v>45322</v>
      </c>
      <c r="C17899" s="3" t="inlineStr">
        <is>
          <t>Expenses</t>
        </is>
      </c>
      <c r="D17899" s="3" t="inlineStr">
        <is>
          <t>4550/500</t>
        </is>
      </c>
      <c r="E17899" s="3" t="inlineStr">
        <is>
          <t>Subscriptions - Pandadoc</t>
        </is>
      </c>
      <c r="F17899" s="3" t="n">
        <v>671.9400000000001</v>
      </c>
      <c r="G17899" s="3" t="n">
        <v>6268.87</v>
      </c>
    </row>
    <row r="17900">
      <c r="A17900" s="3" t="inlineStr">
        <is>
          <t>Noble Shield (Pty) Ltd ta Go Letting</t>
        </is>
      </c>
      <c r="B17900" s="4" t="n">
        <v>45322</v>
      </c>
      <c r="C17900" s="3" t="inlineStr">
        <is>
          <t>Expenses</t>
        </is>
      </c>
      <c r="D17900" s="3" t="inlineStr">
        <is>
          <t>4550/600</t>
        </is>
      </c>
      <c r="E17900" s="3" t="inlineStr">
        <is>
          <t>Subscriptions - Webbox</t>
        </is>
      </c>
      <c r="F17900" s="3" t="n">
        <v>1710.05</v>
      </c>
      <c r="G17900" s="3" t="n">
        <v>8572.1</v>
      </c>
    </row>
    <row r="17901">
      <c r="A17901" s="3" t="inlineStr">
        <is>
          <t>Noble Shield (Pty) Ltd ta Go Letting</t>
        </is>
      </c>
      <c r="B17901" s="4" t="n">
        <v>45322</v>
      </c>
      <c r="C17901" s="3" t="inlineStr">
        <is>
          <t>Expenses</t>
        </is>
      </c>
      <c r="D17901" s="3" t="inlineStr">
        <is>
          <t>4550/650</t>
        </is>
      </c>
      <c r="E17901" s="3" t="inlineStr">
        <is>
          <t>Subscriptions - Xero</t>
        </is>
      </c>
      <c r="F17901" s="3" t="n">
        <v>600</v>
      </c>
      <c r="G17901" s="3" t="n">
        <v>3000</v>
      </c>
    </row>
    <row r="17902">
      <c r="A17902" s="3" t="inlineStr">
        <is>
          <t>Noble Shield (Pty) Ltd ta Go Letting</t>
        </is>
      </c>
      <c r="B17902" s="4" t="n">
        <v>45322</v>
      </c>
      <c r="C17902" s="3" t="inlineStr">
        <is>
          <t>Expenses</t>
        </is>
      </c>
      <c r="D17902" s="3" t="inlineStr">
        <is>
          <t>4550/800</t>
        </is>
      </c>
      <c r="E17902" s="3" t="inlineStr">
        <is>
          <t>Subscriptions - Adobe</t>
        </is>
      </c>
      <c r="F17902" s="3" t="n">
        <v>0</v>
      </c>
      <c r="G17902" s="3" t="n">
        <v>914.5599999999999</v>
      </c>
    </row>
    <row r="17903">
      <c r="A17903" s="3" t="inlineStr">
        <is>
          <t>Opportunity Global Sales (PTY) LTD</t>
        </is>
      </c>
      <c r="B17903" s="4" t="n">
        <v>45322</v>
      </c>
      <c r="C17903" s="3" t="inlineStr">
        <is>
          <t>Expenses</t>
        </is>
      </c>
      <c r="D17903" s="3" t="inlineStr">
        <is>
          <t>4551/000</t>
        </is>
      </c>
      <c r="E17903" s="3" t="inlineStr">
        <is>
          <t>Subscriptions - Payprop</t>
        </is>
      </c>
      <c r="F17903" s="3" t="n">
        <v>1794.58</v>
      </c>
      <c r="G17903" s="3" t="n">
        <v>14361.5</v>
      </c>
    </row>
    <row r="17904">
      <c r="A17904" s="3" t="inlineStr">
        <is>
          <t>Quinate Consulting (Pty) Ltd</t>
        </is>
      </c>
      <c r="B17904" s="4" t="n">
        <v>45322</v>
      </c>
      <c r="C17904" s="3" t="inlineStr">
        <is>
          <t>Expenses</t>
        </is>
      </c>
      <c r="D17904" s="3" t="inlineStr">
        <is>
          <t>4552/000</t>
        </is>
      </c>
      <c r="E17904" s="3" t="inlineStr">
        <is>
          <t>Subscriptions - CIPC</t>
        </is>
      </c>
      <c r="F17904" s="3" t="n">
        <v>0</v>
      </c>
      <c r="G17904" s="3" t="n">
        <v>4050</v>
      </c>
    </row>
    <row r="17905">
      <c r="A17905" s="3" t="inlineStr">
        <is>
          <t>Endulini (Pty) Ltd</t>
        </is>
      </c>
      <c r="B17905" s="4" t="n">
        <v>45322</v>
      </c>
      <c r="C17905" s="3" t="inlineStr">
        <is>
          <t>Expenses</t>
        </is>
      </c>
      <c r="D17905" s="3" t="inlineStr">
        <is>
          <t>4552/000</t>
        </is>
      </c>
      <c r="E17905" s="3" t="inlineStr">
        <is>
          <t>Subscriptions - Xero</t>
        </is>
      </c>
      <c r="F17905" s="3" t="n">
        <v>600</v>
      </c>
      <c r="G17905" s="3" t="n">
        <v>6600</v>
      </c>
    </row>
    <row r="17906">
      <c r="A17906" s="3" t="inlineStr">
        <is>
          <t>Opportunity Global Sales (PTY) LTD</t>
        </is>
      </c>
      <c r="B17906" s="4" t="n">
        <v>45322</v>
      </c>
      <c r="C17906" s="3" t="inlineStr">
        <is>
          <t>Expenses</t>
        </is>
      </c>
      <c r="D17906" s="3" t="inlineStr">
        <is>
          <t>4552/000</t>
        </is>
      </c>
      <c r="E17906" s="3" t="inlineStr">
        <is>
          <t>Subscriptions - Xero</t>
        </is>
      </c>
      <c r="F17906" s="3" t="n">
        <v>600</v>
      </c>
      <c r="G17906" s="3" t="n">
        <v>6600</v>
      </c>
    </row>
    <row r="17907">
      <c r="A17907" s="3" t="inlineStr">
        <is>
          <t>Opportunity Management Holdings (PTY) LTD</t>
        </is>
      </c>
      <c r="B17907" s="4" t="n">
        <v>45322</v>
      </c>
      <c r="C17907" s="3" t="inlineStr">
        <is>
          <t>Expenses</t>
        </is>
      </c>
      <c r="D17907" s="3" t="inlineStr">
        <is>
          <t>4552/000</t>
        </is>
      </c>
      <c r="E17907" s="3" t="inlineStr">
        <is>
          <t>Subscriptions - Xero</t>
        </is>
      </c>
      <c r="F17907" s="3" t="n">
        <v>600</v>
      </c>
      <c r="G17907" s="3" t="n">
        <v>3000</v>
      </c>
    </row>
    <row r="17908">
      <c r="A17908" s="3" t="inlineStr">
        <is>
          <t>Opportunity Global Sales (PTY) LTD</t>
        </is>
      </c>
      <c r="B17908" s="4" t="n">
        <v>45322</v>
      </c>
      <c r="C17908" s="3" t="inlineStr">
        <is>
          <t>Expenses</t>
        </is>
      </c>
      <c r="D17908" s="3" t="inlineStr">
        <is>
          <t>4553/000</t>
        </is>
      </c>
      <c r="E17908" s="3" t="inlineStr">
        <is>
          <t>Subscriptions - CMA</t>
        </is>
      </c>
      <c r="F17908" s="3" t="n">
        <v>680</v>
      </c>
      <c r="G17908" s="3" t="n">
        <v>7480</v>
      </c>
    </row>
    <row r="17909">
      <c r="A17909" s="3" t="inlineStr">
        <is>
          <t>Quinate Consulting (Pty) Ltd</t>
        </is>
      </c>
      <c r="B17909" s="4" t="n">
        <v>45322</v>
      </c>
      <c r="C17909" s="3" t="inlineStr">
        <is>
          <t>Expenses</t>
        </is>
      </c>
      <c r="D17909" s="3" t="inlineStr">
        <is>
          <t>4554/000</t>
        </is>
      </c>
      <c r="E17909" s="3" t="inlineStr">
        <is>
          <t>Subscriptions - Xero</t>
        </is>
      </c>
      <c r="F17909" s="3" t="n">
        <v>600</v>
      </c>
      <c r="G17909" s="3" t="n">
        <v>6600</v>
      </c>
    </row>
    <row r="17910">
      <c r="A17910" s="3" t="inlineStr">
        <is>
          <t>Opportunity Global Sales (PTY) LTD</t>
        </is>
      </c>
      <c r="B17910" s="4" t="n">
        <v>45322</v>
      </c>
      <c r="C17910" s="3" t="inlineStr">
        <is>
          <t>Expenses</t>
        </is>
      </c>
      <c r="D17910" s="3" t="inlineStr">
        <is>
          <t>4554/000</t>
        </is>
      </c>
      <c r="E17910" s="3" t="inlineStr">
        <is>
          <t>Subscriptions - Zoho</t>
        </is>
      </c>
      <c r="F17910" s="3" t="n">
        <v>750</v>
      </c>
      <c r="G17910" s="3" t="n">
        <v>8250</v>
      </c>
    </row>
    <row r="17911">
      <c r="A17911" s="3" t="inlineStr">
        <is>
          <t>Quinate Consulting (Pty) Ltd</t>
        </is>
      </c>
      <c r="B17911" s="4" t="n">
        <v>45322</v>
      </c>
      <c r="C17911" s="3" t="inlineStr">
        <is>
          <t>Expenses</t>
        </is>
      </c>
      <c r="D17911" s="3" t="inlineStr">
        <is>
          <t>4555/000</t>
        </is>
      </c>
      <c r="E17911" s="3" t="inlineStr">
        <is>
          <t>Subscriptions - OUMS</t>
        </is>
      </c>
      <c r="F17911" s="3" t="n">
        <v>11150.17</v>
      </c>
      <c r="G17911" s="3" t="n">
        <v>97622.49000000001</v>
      </c>
    </row>
    <row r="17912">
      <c r="A17912" s="3" t="inlineStr">
        <is>
          <t>Opportunity Global Sales (PTY) LTD</t>
        </is>
      </c>
      <c r="B17912" s="4" t="n">
        <v>45322</v>
      </c>
      <c r="C17912" s="3" t="inlineStr">
        <is>
          <t>Expenses</t>
        </is>
      </c>
      <c r="D17912" s="3" t="inlineStr">
        <is>
          <t>4556/000</t>
        </is>
      </c>
      <c r="E17912" s="3" t="inlineStr">
        <is>
          <t>Subscription: Sjoon</t>
        </is>
      </c>
      <c r="F17912" s="3" t="n">
        <v>217.39</v>
      </c>
      <c r="G17912" s="3" t="n">
        <v>1408.69</v>
      </c>
    </row>
    <row r="17913">
      <c r="A17913" s="3" t="inlineStr">
        <is>
          <t>Noble Shield (Pty) Ltd ta Go Letting</t>
        </is>
      </c>
      <c r="B17913" s="4" t="n">
        <v>45322</v>
      </c>
      <c r="C17913" s="3" t="inlineStr">
        <is>
          <t>Expenses</t>
        </is>
      </c>
      <c r="D17913" s="3" t="inlineStr">
        <is>
          <t>4560/000</t>
        </is>
      </c>
      <c r="E17913" s="3" t="inlineStr">
        <is>
          <t>Small Assets - under R7000</t>
        </is>
      </c>
      <c r="F17913" s="3" t="n">
        <v>0</v>
      </c>
      <c r="G17913" s="3" t="n">
        <v>6716</v>
      </c>
    </row>
    <row r="17914">
      <c r="A17914" s="3" t="inlineStr">
        <is>
          <t>Opportunity Global Investment (PTY) LTD</t>
        </is>
      </c>
      <c r="B17914" s="4" t="n">
        <v>45322</v>
      </c>
      <c r="C17914" s="3" t="inlineStr">
        <is>
          <t>Expenses</t>
        </is>
      </c>
      <c r="D17914" s="3" t="inlineStr">
        <is>
          <t>4600/000</t>
        </is>
      </c>
      <c r="E17914" s="3" t="inlineStr">
        <is>
          <t>Telephone _AND_ Fax</t>
        </is>
      </c>
      <c r="F17914" s="3" t="n">
        <v>3355</v>
      </c>
      <c r="G17914" s="3" t="n">
        <v>36905</v>
      </c>
    </row>
    <row r="17915">
      <c r="A17915" s="3" t="inlineStr">
        <is>
          <t>Opportunity Management Holdings (PTY) LTD</t>
        </is>
      </c>
      <c r="B17915" s="4" t="n">
        <v>45322</v>
      </c>
      <c r="C17915" s="3" t="inlineStr">
        <is>
          <t>Expenses</t>
        </is>
      </c>
      <c r="D17915" s="3" t="inlineStr">
        <is>
          <t>4600/000</t>
        </is>
      </c>
      <c r="E17915" s="3" t="inlineStr">
        <is>
          <t>Telephone _AND_ Fax</t>
        </is>
      </c>
      <c r="F17915" s="3" t="n">
        <v>0</v>
      </c>
      <c r="G17915" s="3" t="n">
        <v>178.26</v>
      </c>
    </row>
    <row r="17916">
      <c r="A17916" s="3" t="inlineStr">
        <is>
          <t>Trademark Holdings (Pty) Ltd</t>
        </is>
      </c>
      <c r="B17916" s="4" t="n">
        <v>45322</v>
      </c>
      <c r="C17916" s="3" t="inlineStr">
        <is>
          <t>Expenses</t>
        </is>
      </c>
      <c r="D17916" s="3" t="inlineStr">
        <is>
          <t>4600/000</t>
        </is>
      </c>
      <c r="E17916" s="3" t="inlineStr">
        <is>
          <t>Telephone _AND_ Fax</t>
        </is>
      </c>
      <c r="F17916" s="3" t="n">
        <v>1561.61</v>
      </c>
      <c r="G17916" s="3" t="n">
        <v>6746.49</v>
      </c>
    </row>
    <row r="17917">
      <c r="A17917" s="3" t="inlineStr">
        <is>
          <t>Noble Shield (Pty) Ltd ta Go Letting</t>
        </is>
      </c>
      <c r="B17917" s="4" t="n">
        <v>45322</v>
      </c>
      <c r="C17917" s="3" t="inlineStr">
        <is>
          <t>Expenses</t>
        </is>
      </c>
      <c r="D17917" s="3" t="inlineStr">
        <is>
          <t>4610/000</t>
        </is>
      </c>
      <c r="E17917" s="3" t="inlineStr">
        <is>
          <t>Telephone - CT Office</t>
        </is>
      </c>
      <c r="F17917" s="3" t="n">
        <v>981.98</v>
      </c>
      <c r="G17917" s="3" t="n">
        <v>6680.36</v>
      </c>
    </row>
    <row r="17918">
      <c r="A17918" s="3" t="inlineStr">
        <is>
          <t>Opportunity Global Investment (PTY) LTD</t>
        </is>
      </c>
      <c r="B17918" s="4" t="n">
        <v>45322</v>
      </c>
      <c r="C17918" s="3" t="inlineStr">
        <is>
          <t>Expenses</t>
        </is>
      </c>
      <c r="D17918" s="3" t="inlineStr">
        <is>
          <t>4650/000</t>
        </is>
      </c>
      <c r="E17918" s="3" t="inlineStr">
        <is>
          <t>Travel _AND_ Accommodation</t>
        </is>
      </c>
      <c r="F17918" s="3" t="n">
        <v>0</v>
      </c>
      <c r="G17918" s="3" t="n">
        <v>3435.65</v>
      </c>
    </row>
    <row r="17919">
      <c r="A17919" s="3" t="inlineStr">
        <is>
          <t>Quinate Consulting (Pty) Ltd</t>
        </is>
      </c>
      <c r="B17919" s="4" t="n">
        <v>45322</v>
      </c>
      <c r="C17919" s="3" t="inlineStr">
        <is>
          <t>Expenses</t>
        </is>
      </c>
      <c r="D17919" s="3" t="inlineStr">
        <is>
          <t>4650/010</t>
        </is>
      </c>
      <c r="E17919" s="3" t="inlineStr">
        <is>
          <t>Travel - Local Flights</t>
        </is>
      </c>
      <c r="F17919" s="3" t="n">
        <v>0</v>
      </c>
      <c r="G17919" s="3" t="n">
        <v>6253.04</v>
      </c>
    </row>
    <row r="17920">
      <c r="A17920" s="3" t="inlineStr">
        <is>
          <t>Quinate Consulting (Pty) Ltd</t>
        </is>
      </c>
      <c r="B17920" s="4" t="n">
        <v>45322</v>
      </c>
      <c r="C17920" s="3" t="inlineStr">
        <is>
          <t>Expenses</t>
        </is>
      </c>
      <c r="D17920" s="3" t="inlineStr">
        <is>
          <t>4650/020</t>
        </is>
      </c>
      <c r="E17920" s="3" t="inlineStr">
        <is>
          <t>Travel - Local Accomodation - B_AND_B</t>
        </is>
      </c>
      <c r="F17920" s="3" t="n">
        <v>0</v>
      </c>
      <c r="G17920" s="3" t="n">
        <v>6998.26</v>
      </c>
    </row>
    <row r="17921">
      <c r="A17921" s="3" t="inlineStr">
        <is>
          <t>Opportunity Global Investment (PTY) LTD</t>
        </is>
      </c>
      <c r="B17921" s="4" t="n">
        <v>45322</v>
      </c>
      <c r="C17921" s="3" t="inlineStr">
        <is>
          <t>Expenses</t>
        </is>
      </c>
      <c r="D17921" s="3" t="inlineStr">
        <is>
          <t>4650/020</t>
        </is>
      </c>
      <c r="E17921" s="3" t="inlineStr">
        <is>
          <t>Travel Accomodation - Car Hire</t>
        </is>
      </c>
      <c r="F17921" s="3" t="n">
        <v>0</v>
      </c>
      <c r="G17921" s="3" t="n">
        <v>1581.74</v>
      </c>
    </row>
    <row r="17922">
      <c r="A17922" s="3" t="inlineStr">
        <is>
          <t>Quinate Consulting (Pty) Ltd</t>
        </is>
      </c>
      <c r="B17922" s="4" t="n">
        <v>45322</v>
      </c>
      <c r="C17922" s="3" t="inlineStr">
        <is>
          <t>Expenses</t>
        </is>
      </c>
      <c r="D17922" s="3" t="inlineStr">
        <is>
          <t>4650/030</t>
        </is>
      </c>
      <c r="E17922" s="3" t="inlineStr">
        <is>
          <t>Travel - Parking</t>
        </is>
      </c>
      <c r="F17922" s="3" t="n">
        <v>0</v>
      </c>
      <c r="G17922" s="3" t="n">
        <v>10</v>
      </c>
    </row>
    <row r="17923">
      <c r="A17923" s="3" t="inlineStr">
        <is>
          <t>Opportunity Global Investment (PTY) LTD</t>
        </is>
      </c>
      <c r="B17923" s="4" t="n">
        <v>45322</v>
      </c>
      <c r="C17923" s="3" t="inlineStr">
        <is>
          <t>Expenses</t>
        </is>
      </c>
      <c r="D17923" s="3" t="inlineStr">
        <is>
          <t>4650/030</t>
        </is>
      </c>
      <c r="E17923" s="3" t="inlineStr">
        <is>
          <t>Travel _AND_ Accomodation - Local Accom</t>
        </is>
      </c>
      <c r="F17923" s="3" t="n">
        <v>0</v>
      </c>
      <c r="G17923" s="3" t="n">
        <v>1282.6</v>
      </c>
    </row>
    <row r="17924">
      <c r="A17924" s="3" t="inlineStr">
        <is>
          <t>Quinate Consulting (Pty) Ltd</t>
        </is>
      </c>
      <c r="B17924" s="4" t="n">
        <v>45322</v>
      </c>
      <c r="C17924" s="3" t="inlineStr">
        <is>
          <t>Expenses</t>
        </is>
      </c>
      <c r="D17924" s="3" t="inlineStr">
        <is>
          <t>4650/040</t>
        </is>
      </c>
      <c r="E17924" s="3" t="inlineStr">
        <is>
          <t>Travel - Local Car Hire</t>
        </is>
      </c>
      <c r="F17924" s="3" t="n">
        <v>0</v>
      </c>
      <c r="G17924" s="3" t="n">
        <v>510.6</v>
      </c>
    </row>
    <row r="17925">
      <c r="A17925" s="3" t="inlineStr">
        <is>
          <t>Opportunity Global Sales (PTY) LTD</t>
        </is>
      </c>
      <c r="B17925" s="4" t="n">
        <v>45322</v>
      </c>
      <c r="C17925" s="3" t="inlineStr">
        <is>
          <t>Expenses</t>
        </is>
      </c>
      <c r="D17925" s="3" t="inlineStr">
        <is>
          <t>4650/060</t>
        </is>
      </c>
      <c r="E17925" s="3" t="inlineStr">
        <is>
          <t>Travel _AND_ Accomodation - Parking_AND_Toll fee</t>
        </is>
      </c>
      <c r="F17925" s="3" t="n">
        <v>104.36</v>
      </c>
      <c r="G17925" s="3" t="n">
        <v>104.36</v>
      </c>
    </row>
    <row r="17926">
      <c r="A17926" s="3" t="inlineStr">
        <is>
          <t>Opportunity Global Sales (PTY) LTD</t>
        </is>
      </c>
      <c r="B17926" s="4" t="n">
        <v>45322</v>
      </c>
      <c r="C17926" s="3" t="inlineStr">
        <is>
          <t>Expenses</t>
        </is>
      </c>
      <c r="D17926" s="3" t="inlineStr">
        <is>
          <t>4650/070</t>
        </is>
      </c>
      <c r="E17926" s="3" t="inlineStr">
        <is>
          <t>Travel &amp; Accommodation - Petrol</t>
        </is>
      </c>
      <c r="F17926" s="3" t="n">
        <v>0</v>
      </c>
      <c r="G17926" s="3" t="n">
        <v>728.15</v>
      </c>
    </row>
    <row r="17927">
      <c r="A17927" s="3" t="inlineStr">
        <is>
          <t>Opportunity Global Investment (PTY) LTD</t>
        </is>
      </c>
      <c r="B17927" s="4" t="n">
        <v>45322</v>
      </c>
      <c r="C17927" s="3" t="inlineStr">
        <is>
          <t>Expenses</t>
        </is>
      </c>
      <c r="D17927" s="3" t="inlineStr">
        <is>
          <t>4650/090</t>
        </is>
      </c>
      <c r="E17927" s="3" t="inlineStr">
        <is>
          <t>Travel &amp; Accom - Fuel</t>
        </is>
      </c>
      <c r="F17927" s="3" t="n">
        <v>1007.6</v>
      </c>
      <c r="G17927" s="3" t="n">
        <v>7651.54</v>
      </c>
    </row>
    <row r="17928">
      <c r="A17928" s="3" t="inlineStr">
        <is>
          <t>Opportunity Global Investment (PTY) LTD</t>
        </is>
      </c>
      <c r="B17928" s="4" t="n">
        <v>45322</v>
      </c>
      <c r="C17928" s="3" t="inlineStr">
        <is>
          <t>Expenses</t>
        </is>
      </c>
      <c r="D17928" s="3" t="inlineStr">
        <is>
          <t>4650/100</t>
        </is>
      </c>
      <c r="E17928" s="3" t="inlineStr">
        <is>
          <t>Travel &amp; Accomodation: Uber</t>
        </is>
      </c>
      <c r="F17928" s="3" t="n">
        <v>0</v>
      </c>
      <c r="G17928" s="3" t="n">
        <v>1609</v>
      </c>
    </row>
    <row r="17929">
      <c r="A17929" s="3" t="inlineStr">
        <is>
          <t>Noble Shield (Pty) Ltd ta Go Letting</t>
        </is>
      </c>
      <c r="B17929" s="4" t="n">
        <v>45322</v>
      </c>
      <c r="C17929" s="3" t="inlineStr">
        <is>
          <t>Expenses</t>
        </is>
      </c>
      <c r="D17929" s="3" t="inlineStr">
        <is>
          <t>4700/000</t>
        </is>
      </c>
      <c r="E17929" s="3" t="inlineStr">
        <is>
          <t>PAYE Contributions</t>
        </is>
      </c>
      <c r="F17929" s="3" t="n">
        <v>5097.99</v>
      </c>
      <c r="G17929" s="3" t="n">
        <v>25687.38</v>
      </c>
    </row>
    <row r="17930">
      <c r="A17930" s="3" t="inlineStr">
        <is>
          <t>Trademark Holdings (Pty) Ltd</t>
        </is>
      </c>
      <c r="B17930" s="4" t="n">
        <v>45322</v>
      </c>
      <c r="C17930" s="3" t="inlineStr">
        <is>
          <t>Expenses</t>
        </is>
      </c>
      <c r="D17930" s="3" t="inlineStr">
        <is>
          <t>4700/000</t>
        </is>
      </c>
      <c r="E17930" s="3" t="inlineStr">
        <is>
          <t>PAYE Contributions</t>
        </is>
      </c>
      <c r="F17930" s="3" t="n">
        <v>4733.62</v>
      </c>
      <c r="G17930" s="3" t="n">
        <v>25392.23</v>
      </c>
    </row>
    <row r="17931">
      <c r="A17931" s="3" t="inlineStr">
        <is>
          <t>Opportunity Global Investment (PTY) LTD</t>
        </is>
      </c>
      <c r="B17931" s="4" t="n">
        <v>45322</v>
      </c>
      <c r="C17931" s="3" t="inlineStr">
        <is>
          <t>Expenses</t>
        </is>
      </c>
      <c r="D17931" s="3" t="inlineStr">
        <is>
          <t>4700/000</t>
        </is>
      </c>
      <c r="E17931" s="3" t="inlineStr">
        <is>
          <t>UIF Contributions</t>
        </is>
      </c>
      <c r="F17931" s="3" t="n">
        <v>177.12</v>
      </c>
      <c r="G17931" s="3" t="n">
        <v>1948.32</v>
      </c>
    </row>
    <row r="17932">
      <c r="A17932" s="3" t="inlineStr">
        <is>
          <t>Opportunity Global Sales (PTY) LTD</t>
        </is>
      </c>
      <c r="B17932" s="4" t="n">
        <v>45322</v>
      </c>
      <c r="C17932" s="3" t="inlineStr">
        <is>
          <t>Expenses</t>
        </is>
      </c>
      <c r="D17932" s="3" t="inlineStr">
        <is>
          <t>4700/000</t>
        </is>
      </c>
      <c r="E17932" s="3" t="inlineStr">
        <is>
          <t>UIF Contributions</t>
        </is>
      </c>
      <c r="F17932" s="3" t="n">
        <v>317.12</v>
      </c>
      <c r="G17932" s="3" t="n">
        <v>3084.08</v>
      </c>
    </row>
    <row r="17933">
      <c r="A17933" s="3" t="inlineStr">
        <is>
          <t>Opportunity Global Sales (PTY) LTD</t>
        </is>
      </c>
      <c r="B17933" s="4" t="n">
        <v>45322</v>
      </c>
      <c r="C17933" s="3" t="inlineStr">
        <is>
          <t>Expenses</t>
        </is>
      </c>
      <c r="D17933" s="3" t="inlineStr">
        <is>
          <t>4701/000</t>
        </is>
      </c>
      <c r="E17933" s="3" t="inlineStr">
        <is>
          <t>UIF Employee Contribution</t>
        </is>
      </c>
      <c r="F17933" s="3" t="n">
        <v>317.12</v>
      </c>
      <c r="G17933" s="3" t="n">
        <v>3084.08</v>
      </c>
    </row>
    <row r="17934">
      <c r="A17934" s="3" t="inlineStr">
        <is>
          <t>Opportunity Global Investment (PTY) LTD</t>
        </is>
      </c>
      <c r="B17934" s="4" t="n">
        <v>45322</v>
      </c>
      <c r="C17934" s="3" t="inlineStr">
        <is>
          <t>Expenses</t>
        </is>
      </c>
      <c r="D17934" s="3" t="inlineStr">
        <is>
          <t>4701/000</t>
        </is>
      </c>
      <c r="E17934" s="3" t="inlineStr">
        <is>
          <t>UIF Employee Contributions</t>
        </is>
      </c>
      <c r="F17934" s="3" t="n">
        <v>177.12</v>
      </c>
      <c r="G17934" s="3" t="n">
        <v>1948.32</v>
      </c>
    </row>
    <row r="17935">
      <c r="A17935" s="3" t="inlineStr">
        <is>
          <t>Noble Shield (Pty) Ltd ta Go Letting</t>
        </is>
      </c>
      <c r="B17935" s="4" t="n">
        <v>45322</v>
      </c>
      <c r="C17935" s="3" t="inlineStr">
        <is>
          <t>Expenses</t>
        </is>
      </c>
      <c r="D17935" s="3" t="inlineStr">
        <is>
          <t>4710/000</t>
        </is>
      </c>
      <c r="E17935" s="3" t="inlineStr">
        <is>
          <t>UIF Company Contributions</t>
        </is>
      </c>
      <c r="F17935" s="3" t="n">
        <v>245.25</v>
      </c>
      <c r="G17935" s="3" t="n">
        <v>1226.25</v>
      </c>
    </row>
    <row r="17936">
      <c r="A17936" s="3" t="inlineStr">
        <is>
          <t>Trademark Holdings (Pty) Ltd</t>
        </is>
      </c>
      <c r="B17936" s="4" t="n">
        <v>45322</v>
      </c>
      <c r="C17936" s="3" t="inlineStr">
        <is>
          <t>Expenses</t>
        </is>
      </c>
      <c r="D17936" s="3" t="inlineStr">
        <is>
          <t>4710/000</t>
        </is>
      </c>
      <c r="E17936" s="3" t="inlineStr">
        <is>
          <t>UIF Company Contributions</t>
        </is>
      </c>
      <c r="F17936" s="3" t="n">
        <v>95.25</v>
      </c>
      <c r="G17936" s="3" t="n">
        <v>476.25</v>
      </c>
    </row>
    <row r="17937">
      <c r="A17937" s="3" t="inlineStr">
        <is>
          <t>Noble Shield (Pty) Ltd ta Go Letting</t>
        </is>
      </c>
      <c r="B17937" s="4" t="n">
        <v>45322</v>
      </c>
      <c r="C17937" s="3" t="inlineStr">
        <is>
          <t>Expenses</t>
        </is>
      </c>
      <c r="D17937" s="3" t="inlineStr">
        <is>
          <t>4711/000</t>
        </is>
      </c>
      <c r="E17937" s="3" t="inlineStr">
        <is>
          <t>UIF Employee Contribution</t>
        </is>
      </c>
      <c r="F17937" s="3" t="n">
        <v>245.25</v>
      </c>
      <c r="G17937" s="3" t="n">
        <v>1226.25</v>
      </c>
    </row>
    <row r="17938">
      <c r="A17938" s="3" t="inlineStr">
        <is>
          <t>Trademark Holdings (Pty) Ltd</t>
        </is>
      </c>
      <c r="B17938" s="4" t="n">
        <v>45322</v>
      </c>
      <c r="C17938" s="3" t="inlineStr">
        <is>
          <t>Expenses</t>
        </is>
      </c>
      <c r="D17938" s="3" t="inlineStr">
        <is>
          <t>4711/000</t>
        </is>
      </c>
      <c r="E17938" s="3" t="inlineStr">
        <is>
          <t>UIF Employee Contributions</t>
        </is>
      </c>
      <c r="F17938" s="3" t="n">
        <v>95.25</v>
      </c>
      <c r="G17938" s="3" t="n">
        <v>476.25</v>
      </c>
    </row>
    <row r="17939">
      <c r="A17939" s="3" t="inlineStr">
        <is>
          <t>Noble Shield (Pty) Ltd ta Go Letting</t>
        </is>
      </c>
      <c r="B17939" s="4" t="n">
        <v>45322</v>
      </c>
      <c r="C17939" s="3" t="inlineStr">
        <is>
          <t>Expenses</t>
        </is>
      </c>
      <c r="D17939" s="3" t="inlineStr">
        <is>
          <t>4720/000</t>
        </is>
      </c>
      <c r="E17939" s="3" t="inlineStr">
        <is>
          <t>SDL Contributions</t>
        </is>
      </c>
      <c r="F17939" s="3" t="n">
        <v>448.13</v>
      </c>
      <c r="G17939" s="3" t="n">
        <v>2248.21</v>
      </c>
    </row>
    <row r="17940">
      <c r="A17940" s="3" t="inlineStr">
        <is>
          <t>Trademark Holdings (Pty) Ltd</t>
        </is>
      </c>
      <c r="B17940" s="4" t="n">
        <v>45322</v>
      </c>
      <c r="C17940" s="3" t="inlineStr">
        <is>
          <t>Expenses</t>
        </is>
      </c>
      <c r="D17940" s="3" t="inlineStr">
        <is>
          <t>4720/000</t>
        </is>
      </c>
      <c r="E17940" s="3" t="inlineStr">
        <is>
          <t>SDL Contributions</t>
        </is>
      </c>
      <c r="F17940" s="3" t="n">
        <v>298.09</v>
      </c>
      <c r="G17940" s="3" t="n">
        <v>1556.8</v>
      </c>
    </row>
    <row r="17941">
      <c r="A17941" s="3" t="inlineStr">
        <is>
          <t>Opportunity Global Investment (PTY) LTD</t>
        </is>
      </c>
      <c r="B17941" s="4" t="n">
        <v>45322</v>
      </c>
      <c r="C17941" s="3" t="inlineStr">
        <is>
          <t>Expenses</t>
        </is>
      </c>
      <c r="D17941" s="3" t="inlineStr">
        <is>
          <t>4730/000</t>
        </is>
      </c>
      <c r="E17941" s="3" t="inlineStr">
        <is>
          <t>PAYE Contributions</t>
        </is>
      </c>
      <c r="F17941" s="3" t="n">
        <v>8822.27</v>
      </c>
      <c r="G17941" s="3" t="n">
        <v>97044.94</v>
      </c>
    </row>
    <row r="17942">
      <c r="A17942" s="3" t="inlineStr">
        <is>
          <t>Opportunity Global Sales (PTY) LTD</t>
        </is>
      </c>
      <c r="B17942" s="4" t="n">
        <v>45322</v>
      </c>
      <c r="C17942" s="3" t="inlineStr">
        <is>
          <t>Expenses</t>
        </is>
      </c>
      <c r="D17942" s="3" t="inlineStr">
        <is>
          <t>4730/000</t>
        </is>
      </c>
      <c r="E17942" s="3" t="inlineStr">
        <is>
          <t>PAYE Contributions</t>
        </is>
      </c>
      <c r="F17942" s="3" t="n">
        <v>7730.23</v>
      </c>
      <c r="G17942" s="3" t="n">
        <v>93490.56</v>
      </c>
    </row>
    <row r="17943">
      <c r="A17943" s="3" t="inlineStr">
        <is>
          <t>Opportunity Management Holdings (PTY) LTD</t>
        </is>
      </c>
      <c r="B17943" s="4" t="n">
        <v>45322</v>
      </c>
      <c r="C17943" s="3" t="inlineStr">
        <is>
          <t>Expenses</t>
        </is>
      </c>
      <c r="D17943" s="3" t="inlineStr">
        <is>
          <t>4730/000</t>
        </is>
      </c>
      <c r="E17943" s="3" t="inlineStr">
        <is>
          <t>PAYE Contributions</t>
        </is>
      </c>
      <c r="F17943" s="3" t="n">
        <v>38618.77</v>
      </c>
      <c r="G17943" s="3" t="n">
        <v>201417.32</v>
      </c>
    </row>
    <row r="17944">
      <c r="A17944" s="3" t="inlineStr">
        <is>
          <t>Opportunity Global Investment (PTY) LTD</t>
        </is>
      </c>
      <c r="B17944" s="4" t="n">
        <v>45322</v>
      </c>
      <c r="C17944" s="3" t="inlineStr">
        <is>
          <t>Expenses</t>
        </is>
      </c>
      <c r="D17944" s="3" t="inlineStr">
        <is>
          <t>4740/000</t>
        </is>
      </c>
      <c r="E17944" s="3" t="inlineStr">
        <is>
          <t>SDL Contributions</t>
        </is>
      </c>
      <c r="F17944" s="3" t="n">
        <v>431.1</v>
      </c>
      <c r="G17944" s="3" t="n">
        <v>4742.1</v>
      </c>
    </row>
    <row r="17945">
      <c r="A17945" s="3" t="inlineStr">
        <is>
          <t>Opportunity Global Sales (PTY) LTD</t>
        </is>
      </c>
      <c r="B17945" s="4" t="n">
        <v>45322</v>
      </c>
      <c r="C17945" s="3" t="inlineStr">
        <is>
          <t>Expenses</t>
        </is>
      </c>
      <c r="D17945" s="3" t="inlineStr">
        <is>
          <t>4740/000</t>
        </is>
      </c>
      <c r="E17945" s="3" t="inlineStr">
        <is>
          <t>SDL Contributions</t>
        </is>
      </c>
      <c r="F17945" s="3" t="n">
        <v>1544.81</v>
      </c>
      <c r="G17945" s="3" t="n">
        <v>21035.4</v>
      </c>
    </row>
    <row r="17946">
      <c r="A17946" s="3" t="inlineStr">
        <is>
          <t>Opportunity Management Holdings (PTY) LTD</t>
        </is>
      </c>
      <c r="B17946" s="4" t="n">
        <v>45322</v>
      </c>
      <c r="C17946" s="3" t="inlineStr">
        <is>
          <t>Expenses</t>
        </is>
      </c>
      <c r="D17946" s="3" t="inlineStr">
        <is>
          <t>4740/000</t>
        </is>
      </c>
      <c r="E17946" s="3" t="inlineStr">
        <is>
          <t>UIF Company Contribution</t>
        </is>
      </c>
      <c r="F17946" s="3" t="n">
        <v>1604.8</v>
      </c>
      <c r="G17946" s="3" t="n">
        <v>7958.6</v>
      </c>
    </row>
    <row r="17947">
      <c r="A17947" s="3" t="inlineStr">
        <is>
          <t>Opportunity Management Holdings (PTY) LTD</t>
        </is>
      </c>
      <c r="B17947" s="4" t="n">
        <v>45322</v>
      </c>
      <c r="C17947" s="3" t="inlineStr">
        <is>
          <t>Expenses</t>
        </is>
      </c>
      <c r="D17947" s="3" t="inlineStr">
        <is>
          <t>4741/000</t>
        </is>
      </c>
      <c r="E17947" s="3" t="inlineStr">
        <is>
          <t>UIF Employee Contribution</t>
        </is>
      </c>
      <c r="F17947" s="3" t="n">
        <v>1604.8</v>
      </c>
      <c r="G17947" s="3" t="n">
        <v>7958.6</v>
      </c>
    </row>
    <row r="17948">
      <c r="A17948" s="3" t="inlineStr">
        <is>
          <t>Opportunity Management Holdings (PTY) LTD</t>
        </is>
      </c>
      <c r="B17948" s="4" t="n">
        <v>45322</v>
      </c>
      <c r="C17948" s="3" t="inlineStr">
        <is>
          <t>Expenses</t>
        </is>
      </c>
      <c r="D17948" s="3" t="inlineStr">
        <is>
          <t>4750/000</t>
        </is>
      </c>
      <c r="E17948" s="3" t="inlineStr">
        <is>
          <t>SDL Contribution</t>
        </is>
      </c>
      <c r="F17948" s="3" t="n">
        <v>2411.2</v>
      </c>
      <c r="G17948" s="3" t="n">
        <v>11990.6</v>
      </c>
    </row>
    <row r="17949">
      <c r="A17949" s="3" t="inlineStr">
        <is>
          <t>Noble Shield (Pty) Ltd ta Go Letting</t>
        </is>
      </c>
      <c r="B17949" s="4" t="n">
        <v>45322</v>
      </c>
      <c r="C17949" s="3" t="inlineStr">
        <is>
          <t>Equity</t>
        </is>
      </c>
      <c r="D17949" s="3" t="inlineStr">
        <is>
          <t>5100/000</t>
        </is>
      </c>
      <c r="E17949" s="3" t="inlineStr">
        <is>
          <t>Share Capital</t>
        </is>
      </c>
      <c r="F17949" s="3" t="n">
        <v>0</v>
      </c>
      <c r="G17949" s="3" t="n">
        <v>-1</v>
      </c>
    </row>
    <row r="17950">
      <c r="A17950" s="3" t="inlineStr">
        <is>
          <t>Opportunity Management Holdings (PTY) LTD</t>
        </is>
      </c>
      <c r="B17950" s="4" t="n">
        <v>45322</v>
      </c>
      <c r="C17950" s="3" t="inlineStr">
        <is>
          <t>Equity</t>
        </is>
      </c>
      <c r="D17950" s="3" t="inlineStr">
        <is>
          <t>5100/000</t>
        </is>
      </c>
      <c r="E17950" s="3" t="inlineStr">
        <is>
          <t>Share Capital / Members Contribution</t>
        </is>
      </c>
      <c r="F17950" s="3" t="n">
        <v>0</v>
      </c>
      <c r="G17950" s="3" t="n">
        <v>-120</v>
      </c>
    </row>
    <row r="17951">
      <c r="A17951" s="3" t="inlineStr">
        <is>
          <t>Quinate Consulting (Pty) Ltd</t>
        </is>
      </c>
      <c r="B17951" s="4" t="n">
        <v>45322</v>
      </c>
      <c r="C17951" s="3" t="inlineStr">
        <is>
          <t>Equity</t>
        </is>
      </c>
      <c r="D17951" s="3" t="inlineStr">
        <is>
          <t>5100/000</t>
        </is>
      </c>
      <c r="E17951" s="3" t="inlineStr">
        <is>
          <t>Share Capital / Members Contribution</t>
        </is>
      </c>
      <c r="F17951" s="3" t="n">
        <v>0</v>
      </c>
      <c r="G17951" s="3" t="n">
        <v>-120</v>
      </c>
    </row>
    <row r="17952">
      <c r="A17952" s="3" t="inlineStr">
        <is>
          <t>Trademark Holdings (Pty) Ltd</t>
        </is>
      </c>
      <c r="B17952" s="4" t="n">
        <v>45322</v>
      </c>
      <c r="C17952" s="3" t="inlineStr">
        <is>
          <t>Equity</t>
        </is>
      </c>
      <c r="D17952" s="3" t="inlineStr">
        <is>
          <t>5100/001</t>
        </is>
      </c>
      <c r="E17952" s="3" t="inlineStr">
        <is>
          <t>Share Capital - GFY Investments</t>
        </is>
      </c>
      <c r="F17952" s="3" t="n">
        <v>0</v>
      </c>
      <c r="G17952" s="3" t="n">
        <v>-60</v>
      </c>
    </row>
    <row r="17953">
      <c r="A17953" s="3" t="inlineStr">
        <is>
          <t>Trademark Holdings (Pty) Ltd</t>
        </is>
      </c>
      <c r="B17953" s="4" t="n">
        <v>45322</v>
      </c>
      <c r="C17953" s="3" t="inlineStr">
        <is>
          <t>Equity</t>
        </is>
      </c>
      <c r="D17953" s="3" t="inlineStr">
        <is>
          <t>5100/002</t>
        </is>
      </c>
      <c r="E17953" s="3" t="inlineStr">
        <is>
          <t>Share Capital - Zak Trust</t>
        </is>
      </c>
      <c r="F17953" s="3" t="n">
        <v>0</v>
      </c>
      <c r="G17953" s="3" t="n">
        <v>-60</v>
      </c>
    </row>
    <row r="17954">
      <c r="A17954" s="3" t="inlineStr">
        <is>
          <t>Opportunity Global Investment (PTY) LTD</t>
        </is>
      </c>
      <c r="B17954" s="4" t="n">
        <v>45322</v>
      </c>
      <c r="C17954" s="3" t="inlineStr">
        <is>
          <t>Equity</t>
        </is>
      </c>
      <c r="D17954" s="3" t="inlineStr">
        <is>
          <t>5101/000</t>
        </is>
      </c>
      <c r="E17954" s="3" t="inlineStr">
        <is>
          <t>Share Capital - Ordinary Type A</t>
        </is>
      </c>
      <c r="F17954" s="3" t="n">
        <v>0</v>
      </c>
      <c r="G17954" s="3" t="n">
        <v>-70</v>
      </c>
    </row>
    <row r="17955">
      <c r="A17955" s="3" t="inlineStr">
        <is>
          <t>Opportunity Global Investment (PTY) LTD</t>
        </is>
      </c>
      <c r="B17955" s="4" t="n">
        <v>45322</v>
      </c>
      <c r="C17955" s="3" t="inlineStr">
        <is>
          <t>Equity</t>
        </is>
      </c>
      <c r="D17955" s="3" t="inlineStr">
        <is>
          <t>5102/000</t>
        </is>
      </c>
      <c r="E17955" s="3" t="inlineStr">
        <is>
          <t>Share Capital - Ordinary Type B</t>
        </is>
      </c>
      <c r="F17955" s="3" t="n">
        <v>0</v>
      </c>
      <c r="G17955" s="3" t="n">
        <v>-30</v>
      </c>
    </row>
    <row r="17956">
      <c r="A17956" s="3" t="inlineStr">
        <is>
          <t>Endulini (Pty) Ltd</t>
        </is>
      </c>
      <c r="B17956" s="4" t="n">
        <v>45322</v>
      </c>
      <c r="C17956" s="3" t="inlineStr">
        <is>
          <t>Equity</t>
        </is>
      </c>
      <c r="D17956" s="3" t="inlineStr">
        <is>
          <t>5200/000</t>
        </is>
      </c>
      <c r="E17956" s="3" t="inlineStr">
        <is>
          <t>Retained Earnings / Loss</t>
        </is>
      </c>
      <c r="F17956" s="3" t="n">
        <v>0</v>
      </c>
      <c r="G17956" s="3" t="n">
        <v>-6017232.05</v>
      </c>
    </row>
    <row r="17957">
      <c r="A17957" s="3" t="inlineStr">
        <is>
          <t>Noble Shield (Pty) Ltd ta Go Letting</t>
        </is>
      </c>
      <c r="B17957" s="4" t="n">
        <v>45322</v>
      </c>
      <c r="C17957" s="3" t="inlineStr">
        <is>
          <t>Equity</t>
        </is>
      </c>
      <c r="D17957" s="3" t="inlineStr">
        <is>
          <t>5200/000</t>
        </is>
      </c>
      <c r="E17957" s="3" t="inlineStr">
        <is>
          <t>Retained Earnings / Loss</t>
        </is>
      </c>
      <c r="F17957" s="3" t="n">
        <v>0</v>
      </c>
      <c r="G17957" s="3" t="n">
        <v>-91943.62</v>
      </c>
    </row>
    <row r="17958">
      <c r="A17958" s="3" t="inlineStr">
        <is>
          <t>Opportunity Global Investment (PTY) LTD</t>
        </is>
      </c>
      <c r="B17958" s="4" t="n">
        <v>45322</v>
      </c>
      <c r="C17958" s="3" t="inlineStr">
        <is>
          <t>Equity</t>
        </is>
      </c>
      <c r="D17958" s="3" t="inlineStr">
        <is>
          <t>5200/000</t>
        </is>
      </c>
      <c r="E17958" s="3" t="inlineStr">
        <is>
          <t>Retained Earnings / Loss</t>
        </is>
      </c>
      <c r="F17958" s="3" t="n">
        <v>0</v>
      </c>
      <c r="G17958" s="3" t="n">
        <v>2134849.73</v>
      </c>
    </row>
    <row r="17959">
      <c r="A17959" s="3" t="inlineStr">
        <is>
          <t>Opportunity Global Sales (PTY) LTD</t>
        </is>
      </c>
      <c r="B17959" s="4" t="n">
        <v>45322</v>
      </c>
      <c r="C17959" s="3" t="inlineStr">
        <is>
          <t>Equity</t>
        </is>
      </c>
      <c r="D17959" s="3" t="inlineStr">
        <is>
          <t>5200/000</t>
        </is>
      </c>
      <c r="E17959" s="3" t="inlineStr">
        <is>
          <t>Retained Earnings / Loss</t>
        </is>
      </c>
      <c r="F17959" s="3" t="n">
        <v>0</v>
      </c>
      <c r="G17959" s="3" t="n">
        <v>-2287097.79</v>
      </c>
    </row>
    <row r="17960">
      <c r="A17960" s="3" t="inlineStr">
        <is>
          <t>Opportunity Management Holdings (PTY) LTD</t>
        </is>
      </c>
      <c r="B17960" s="4" t="n">
        <v>45322</v>
      </c>
      <c r="C17960" s="3" t="inlineStr">
        <is>
          <t>Equity</t>
        </is>
      </c>
      <c r="D17960" s="3" t="inlineStr">
        <is>
          <t>5200/000</t>
        </is>
      </c>
      <c r="E17960" s="3" t="inlineStr">
        <is>
          <t>Retained Earnings / Loss</t>
        </is>
      </c>
      <c r="F17960" s="3" t="n">
        <v>0</v>
      </c>
      <c r="G17960" s="3" t="n">
        <v>1215864.15</v>
      </c>
    </row>
    <row r="17961">
      <c r="A17961" s="3" t="inlineStr">
        <is>
          <t>Quinate Consulting (Pty) Ltd</t>
        </is>
      </c>
      <c r="B17961" s="4" t="n">
        <v>45322</v>
      </c>
      <c r="C17961" s="3" t="inlineStr">
        <is>
          <t>Equity</t>
        </is>
      </c>
      <c r="D17961" s="3" t="inlineStr">
        <is>
          <t>5200/000</t>
        </is>
      </c>
      <c r="E17961" s="3" t="inlineStr">
        <is>
          <t>Retained Earnings / Loss</t>
        </is>
      </c>
      <c r="F17961" s="3" t="n">
        <v>0</v>
      </c>
      <c r="G17961" s="3" t="n">
        <v>1549164.28</v>
      </c>
    </row>
    <row r="17962">
      <c r="A17962" s="3" t="inlineStr">
        <is>
          <t>Trademark Holdings (Pty) Ltd</t>
        </is>
      </c>
      <c r="B17962" s="4" t="n">
        <v>45322</v>
      </c>
      <c r="C17962" s="3" t="inlineStr">
        <is>
          <t>Equity</t>
        </is>
      </c>
      <c r="D17962" s="3" t="inlineStr">
        <is>
          <t>5200/000</t>
        </is>
      </c>
      <c r="E17962" s="3" t="inlineStr">
        <is>
          <t>Retained Earnings / Loss</t>
        </is>
      </c>
      <c r="F17962" s="3" t="n">
        <v>0</v>
      </c>
      <c r="G17962" s="3" t="n">
        <v>-163666.44</v>
      </c>
    </row>
    <row r="17963">
      <c r="A17963" s="3" t="inlineStr">
        <is>
          <t>Quinate Consulting (Pty) Ltd</t>
        </is>
      </c>
      <c r="B17963" s="4" t="n">
        <v>45322</v>
      </c>
      <c r="C17963" s="3" t="inlineStr">
        <is>
          <t>Assets</t>
        </is>
      </c>
      <c r="D17963" s="3" t="inlineStr">
        <is>
          <t>5400/011</t>
        </is>
      </c>
      <c r="E17963" s="3" t="inlineStr">
        <is>
          <t>Members Loan - Nick Morgan</t>
        </is>
      </c>
      <c r="F17963" s="3" t="n">
        <v>0</v>
      </c>
      <c r="G17963" s="3" t="n">
        <v>-85743.69</v>
      </c>
    </row>
    <row r="17964">
      <c r="A17964" s="3" t="inlineStr">
        <is>
          <t>Opportunity Management Holdings (PTY) LTD</t>
        </is>
      </c>
      <c r="B17964" s="4" t="n">
        <v>45322</v>
      </c>
      <c r="C17964" s="3" t="inlineStr">
        <is>
          <t>Assets</t>
        </is>
      </c>
      <c r="D17964" s="3" t="inlineStr">
        <is>
          <t>5400/500</t>
        </is>
      </c>
      <c r="E17964" s="3" t="inlineStr">
        <is>
          <t>Shareholder - Zak Loan</t>
        </is>
      </c>
      <c r="F17964" s="3" t="n">
        <v>0</v>
      </c>
      <c r="G17964" s="3" t="n">
        <v>-171798.21</v>
      </c>
    </row>
    <row r="17965">
      <c r="A17965" s="3" t="inlineStr">
        <is>
          <t>Quinate Consulting (Pty) Ltd</t>
        </is>
      </c>
      <c r="B17965" s="4" t="n">
        <v>45322</v>
      </c>
      <c r="C17965" s="3" t="inlineStr">
        <is>
          <t>Liabilities</t>
        </is>
      </c>
      <c r="D17965" s="3" t="inlineStr">
        <is>
          <t>5500/010</t>
        </is>
      </c>
      <c r="E17965" s="3" t="inlineStr">
        <is>
          <t>Loan - Wynand Haywood</t>
        </is>
      </c>
      <c r="F17965" s="3" t="n">
        <v>0</v>
      </c>
      <c r="G17965" s="3" t="n">
        <v>1928.67</v>
      </c>
    </row>
    <row r="17966">
      <c r="A17966" s="3" t="inlineStr">
        <is>
          <t>Quinate Consulting (Pty) Ltd</t>
        </is>
      </c>
      <c r="B17966" s="4" t="n">
        <v>45322</v>
      </c>
      <c r="C17966" s="3" t="inlineStr">
        <is>
          <t>Liabilities</t>
        </is>
      </c>
      <c r="D17966" s="3" t="inlineStr">
        <is>
          <t>5500/023</t>
        </is>
      </c>
      <c r="E17966" s="3" t="inlineStr">
        <is>
          <t>Loan - Noble Shield 1 Security Trust</t>
        </is>
      </c>
      <c r="F17966" s="3" t="n">
        <v>0</v>
      </c>
      <c r="G17966" s="3" t="n">
        <v>600</v>
      </c>
    </row>
    <row r="17967">
      <c r="A17967" s="3" t="inlineStr">
        <is>
          <t>Quinate Consulting (Pty) Ltd</t>
        </is>
      </c>
      <c r="B17967" s="4" t="n">
        <v>45322</v>
      </c>
      <c r="C17967" s="3" t="inlineStr">
        <is>
          <t>Liabilities</t>
        </is>
      </c>
      <c r="D17967" s="3" t="inlineStr">
        <is>
          <t>5500/025</t>
        </is>
      </c>
      <c r="E17967" s="3" t="inlineStr">
        <is>
          <t>Loan - Noble Shield 2 Security Trust</t>
        </is>
      </c>
      <c r="F17967" s="3" t="n">
        <v>0</v>
      </c>
      <c r="G17967" s="3" t="n">
        <v>250</v>
      </c>
    </row>
    <row r="17968">
      <c r="A17968" s="3" t="inlineStr">
        <is>
          <t>Quinate Consulting (Pty) Ltd</t>
        </is>
      </c>
      <c r="B17968" s="4" t="n">
        <v>45322</v>
      </c>
      <c r="C17968" s="3" t="inlineStr">
        <is>
          <t>Liabilities</t>
        </is>
      </c>
      <c r="D17968" s="3" t="inlineStr">
        <is>
          <t>5500/030</t>
        </is>
      </c>
      <c r="E17968" s="3" t="inlineStr">
        <is>
          <t>Loan - Heron Projects</t>
        </is>
      </c>
      <c r="F17968" s="3" t="n">
        <v>4200</v>
      </c>
      <c r="G17968" s="3" t="n">
        <v>36800</v>
      </c>
    </row>
    <row r="17969">
      <c r="A17969" s="3" t="inlineStr">
        <is>
          <t>Opportunity Global Investment (PTY) LTD</t>
        </is>
      </c>
      <c r="B17969" s="4" t="n">
        <v>45322</v>
      </c>
      <c r="C17969" s="3" t="inlineStr">
        <is>
          <t>Liabilities</t>
        </is>
      </c>
      <c r="D17969" s="3" t="inlineStr">
        <is>
          <t>5500/100</t>
        </is>
      </c>
      <c r="E17969" s="3" t="inlineStr">
        <is>
          <t>Loan - Cape Projects Construction</t>
        </is>
      </c>
      <c r="F17969" s="3" t="n">
        <v>0</v>
      </c>
      <c r="G17969" s="3" t="n">
        <v>1571000</v>
      </c>
    </row>
    <row r="17970">
      <c r="A17970" s="3" t="inlineStr">
        <is>
          <t>Noble Shield (Pty) Ltd ta Go Letting</t>
        </is>
      </c>
      <c r="B17970" s="4" t="n">
        <v>45322</v>
      </c>
      <c r="C17970" s="3" t="inlineStr">
        <is>
          <t>Liabilities</t>
        </is>
      </c>
      <c r="D17970" s="3" t="inlineStr">
        <is>
          <t>5500/100</t>
        </is>
      </c>
      <c r="E17970" s="3" t="inlineStr">
        <is>
          <t>Loan - Jupiter Trust</t>
        </is>
      </c>
      <c r="F17970" s="3" t="n">
        <v>0</v>
      </c>
      <c r="G17970" s="3" t="n">
        <v>-100228.75</v>
      </c>
    </row>
    <row r="17971">
      <c r="A17971" s="3" t="inlineStr">
        <is>
          <t>Opportunity Management Holdings (PTY) LTD</t>
        </is>
      </c>
      <c r="B17971" s="4" t="n">
        <v>45322</v>
      </c>
      <c r="C17971" s="3" t="inlineStr">
        <is>
          <t>Liabilities</t>
        </is>
      </c>
      <c r="D17971" s="3" t="inlineStr">
        <is>
          <t>5500/100</t>
        </is>
      </c>
      <c r="E17971" s="3" t="inlineStr">
        <is>
          <t>Loan - Opportunity Global</t>
        </is>
      </c>
      <c r="F17971" s="3" t="n">
        <v>0</v>
      </c>
      <c r="G17971" s="3" t="n">
        <v>-20000</v>
      </c>
    </row>
    <row r="17972">
      <c r="A17972" s="3" t="inlineStr">
        <is>
          <t>Endulini (Pty) Ltd</t>
        </is>
      </c>
      <c r="B17972" s="4" t="n">
        <v>45322</v>
      </c>
      <c r="C17972" s="3" t="inlineStr">
        <is>
          <t>Liabilities</t>
        </is>
      </c>
      <c r="D17972" s="3" t="inlineStr">
        <is>
          <t>5500/100</t>
        </is>
      </c>
      <c r="E17972" s="3" t="inlineStr">
        <is>
          <t>Loan - Quinate Consulting</t>
        </is>
      </c>
      <c r="F17972" s="3" t="n">
        <v>-1700600</v>
      </c>
      <c r="G17972" s="3" t="n">
        <v>-5711437.9</v>
      </c>
    </row>
    <row r="17973">
      <c r="A17973" s="3" t="inlineStr">
        <is>
          <t>Endulini (Pty) Ltd</t>
        </is>
      </c>
      <c r="B17973" s="4" t="n">
        <v>45322</v>
      </c>
      <c r="C17973" s="3" t="inlineStr">
        <is>
          <t>Liabilities</t>
        </is>
      </c>
      <c r="D17973" s="3" t="inlineStr">
        <is>
          <t>5500/150</t>
        </is>
      </c>
      <c r="E17973" s="3" t="inlineStr">
        <is>
          <t>Loan - Cape Projects Construction</t>
        </is>
      </c>
      <c r="F17973" s="3" t="n">
        <v>1430000</v>
      </c>
      <c r="G17973" s="3" t="n">
        <v>-14611500</v>
      </c>
    </row>
    <row r="17974">
      <c r="A17974" s="3" t="inlineStr">
        <is>
          <t>Quinate Consulting (Pty) Ltd</t>
        </is>
      </c>
      <c r="B17974" s="4" t="n">
        <v>45322</v>
      </c>
      <c r="C17974" s="3" t="inlineStr">
        <is>
          <t>Liabilities</t>
        </is>
      </c>
      <c r="D17974" s="3" t="inlineStr">
        <is>
          <t>5500/160</t>
        </is>
      </c>
      <c r="E17974" s="3" t="inlineStr">
        <is>
          <t>Loan - GFY Investment and Consulting</t>
        </is>
      </c>
      <c r="F17974" s="3" t="n">
        <v>0</v>
      </c>
      <c r="G17974" s="3" t="n">
        <v>-1750249.93</v>
      </c>
    </row>
    <row r="17975">
      <c r="A17975" s="3" t="inlineStr">
        <is>
          <t>Opportunity Management Holdings (PTY) LTD</t>
        </is>
      </c>
      <c r="B17975" s="4" t="n">
        <v>45322</v>
      </c>
      <c r="C17975" s="3" t="inlineStr">
        <is>
          <t>Liabilities</t>
        </is>
      </c>
      <c r="D17975" s="3" t="inlineStr">
        <is>
          <t>5500/200</t>
        </is>
      </c>
      <c r="E17975" s="3" t="inlineStr">
        <is>
          <t>Loan - Cape Projects</t>
        </is>
      </c>
      <c r="F17975" s="3" t="n">
        <v>0</v>
      </c>
      <c r="G17975" s="3" t="n">
        <v>-137399</v>
      </c>
    </row>
    <row r="17976">
      <c r="A17976" s="3" t="inlineStr">
        <is>
          <t>Trademark Holdings (Pty) Ltd</t>
        </is>
      </c>
      <c r="B17976" s="4" t="n">
        <v>45322</v>
      </c>
      <c r="C17976" s="3" t="inlineStr">
        <is>
          <t>Liabilities</t>
        </is>
      </c>
      <c r="D17976" s="3" t="inlineStr">
        <is>
          <t>5500/250</t>
        </is>
      </c>
      <c r="E17976" s="3" t="inlineStr">
        <is>
          <t>Loan - Noble Shield</t>
        </is>
      </c>
      <c r="F17976" s="3" t="n">
        <v>-10000</v>
      </c>
      <c r="G17976" s="3" t="n">
        <v>65165.59</v>
      </c>
    </row>
    <row r="17977">
      <c r="A17977" s="3" t="inlineStr">
        <is>
          <t>Opportunity Management Holdings (PTY) LTD</t>
        </is>
      </c>
      <c r="B17977" s="4" t="n">
        <v>45322</v>
      </c>
      <c r="C17977" s="3" t="inlineStr">
        <is>
          <t>Liabilities</t>
        </is>
      </c>
      <c r="D17977" s="3" t="inlineStr">
        <is>
          <t>5500/250</t>
        </is>
      </c>
      <c r="E17977" s="3" t="inlineStr">
        <is>
          <t>Loan - Quinate</t>
        </is>
      </c>
      <c r="F17977" s="3" t="n">
        <v>0</v>
      </c>
      <c r="G17977" s="3" t="n">
        <v>-70000</v>
      </c>
    </row>
    <row r="17978">
      <c r="A17978" s="3" t="inlineStr">
        <is>
          <t>Quinate Consulting (Pty) Ltd</t>
        </is>
      </c>
      <c r="B17978" s="4" t="n">
        <v>45322</v>
      </c>
      <c r="C17978" s="3" t="inlineStr">
        <is>
          <t>Liabilities</t>
        </is>
      </c>
      <c r="D17978" s="3" t="inlineStr">
        <is>
          <t>5500/300</t>
        </is>
      </c>
      <c r="E17978" s="3" t="inlineStr">
        <is>
          <t>Loan - Gengis</t>
        </is>
      </c>
      <c r="F17978" s="3" t="n">
        <v>-3516.16</v>
      </c>
      <c r="G17978" s="3" t="n">
        <v>-343607.11</v>
      </c>
    </row>
    <row r="17979">
      <c r="A17979" s="3" t="inlineStr">
        <is>
          <t>Opportunity Management Holdings (PTY) LTD</t>
        </is>
      </c>
      <c r="B17979" s="4" t="n">
        <v>45322</v>
      </c>
      <c r="C17979" s="3" t="inlineStr">
        <is>
          <t>Liabilities</t>
        </is>
      </c>
      <c r="D17979" s="3" t="inlineStr">
        <is>
          <t>5500/300</t>
        </is>
      </c>
      <c r="E17979" s="3" t="inlineStr">
        <is>
          <t>Loan - Opportunity Prop Management</t>
        </is>
      </c>
      <c r="F17979" s="3" t="n">
        <v>0</v>
      </c>
      <c r="G17979" s="3" t="n">
        <v>-1220204.15</v>
      </c>
    </row>
    <row r="17980">
      <c r="A17980" s="3" t="inlineStr">
        <is>
          <t>Noble Shield (Pty) Ltd ta Go Letting</t>
        </is>
      </c>
      <c r="B17980" s="4" t="n">
        <v>45322</v>
      </c>
      <c r="C17980" s="3" t="inlineStr">
        <is>
          <t>Liabilities</t>
        </is>
      </c>
      <c r="D17980" s="3" t="inlineStr">
        <is>
          <t>5500/300</t>
        </is>
      </c>
      <c r="E17980" s="3" t="inlineStr">
        <is>
          <t>Loan - Trademark Holdings</t>
        </is>
      </c>
      <c r="F17980" s="3" t="n">
        <v>10000</v>
      </c>
      <c r="G17980" s="3" t="n">
        <v>-65165.59</v>
      </c>
    </row>
    <row r="17981">
      <c r="A17981" s="3" t="inlineStr">
        <is>
          <t>Opportunity Global Investment (PTY) LTD</t>
        </is>
      </c>
      <c r="B17981" s="4" t="n">
        <v>45322</v>
      </c>
      <c r="C17981" s="3" t="inlineStr">
        <is>
          <t>Liabilities</t>
        </is>
      </c>
      <c r="D17981" s="3" t="inlineStr">
        <is>
          <t>5500/350</t>
        </is>
      </c>
      <c r="E17981" s="3" t="inlineStr">
        <is>
          <t>Loan - Opportunity Management Holdings</t>
        </is>
      </c>
      <c r="F17981" s="3" t="n">
        <v>0</v>
      </c>
      <c r="G17981" s="3" t="n">
        <v>500</v>
      </c>
    </row>
    <row r="17982">
      <c r="A17982" s="3" t="inlineStr">
        <is>
          <t>Trademark Holdings (Pty) Ltd</t>
        </is>
      </c>
      <c r="B17982" s="4" t="n">
        <v>45322</v>
      </c>
      <c r="C17982" s="3" t="inlineStr">
        <is>
          <t>Liabilities</t>
        </is>
      </c>
      <c r="D17982" s="3" t="inlineStr">
        <is>
          <t>5500/350</t>
        </is>
      </c>
      <c r="E17982" s="3" t="inlineStr">
        <is>
          <t>Loan - Quinate Consulting</t>
        </is>
      </c>
      <c r="F17982" s="3" t="n">
        <v>0</v>
      </c>
      <c r="G17982" s="3" t="n">
        <v>-16413.38</v>
      </c>
    </row>
    <row r="17983">
      <c r="A17983" s="3" t="inlineStr">
        <is>
          <t>Trademark Holdings (Pty) Ltd</t>
        </is>
      </c>
      <c r="B17983" s="4" t="n">
        <v>45322</v>
      </c>
      <c r="C17983" s="3" t="inlineStr">
        <is>
          <t>Liabilities</t>
        </is>
      </c>
      <c r="D17983" s="3" t="inlineStr">
        <is>
          <t>5500/375</t>
        </is>
      </c>
      <c r="E17983" s="3" t="inlineStr">
        <is>
          <t>Loan - Opportunity Management Holdings Pty Ltd</t>
        </is>
      </c>
      <c r="F17983" s="3" t="n">
        <v>70000</v>
      </c>
      <c r="G17983" s="3" t="n">
        <v>158800</v>
      </c>
    </row>
    <row r="17984">
      <c r="A17984" s="3" t="inlineStr">
        <is>
          <t>Trademark Holdings (Pty) Ltd</t>
        </is>
      </c>
      <c r="B17984" s="4" t="n">
        <v>45322</v>
      </c>
      <c r="C17984" s="3" t="inlineStr">
        <is>
          <t>Liabilities</t>
        </is>
      </c>
      <c r="D17984" s="3" t="inlineStr">
        <is>
          <t>5500/450</t>
        </is>
      </c>
      <c r="E17984" s="3" t="inlineStr">
        <is>
          <t>Loan - Cape Projects Construction</t>
        </is>
      </c>
      <c r="F17984" s="3" t="n">
        <v>-600</v>
      </c>
      <c r="G17984" s="3" t="n">
        <v>18200</v>
      </c>
    </row>
    <row r="17985">
      <c r="A17985" s="3" t="inlineStr">
        <is>
          <t>Trademark Holdings (Pty) Ltd</t>
        </is>
      </c>
      <c r="B17985" s="4" t="n">
        <v>45322</v>
      </c>
      <c r="C17985" s="3" t="inlineStr">
        <is>
          <t>Liabilities</t>
        </is>
      </c>
      <c r="D17985" s="3" t="inlineStr">
        <is>
          <t>5500/500</t>
        </is>
      </c>
      <c r="E17985" s="3" t="inlineStr">
        <is>
          <t>Go Letting Brand Name</t>
        </is>
      </c>
      <c r="F17985" s="3" t="n">
        <v>0</v>
      </c>
      <c r="G17985" s="3" t="n">
        <v>93420</v>
      </c>
    </row>
    <row r="17986">
      <c r="A17986" s="3" t="inlineStr">
        <is>
          <t>Noble Shield (Pty) Ltd ta Go Letting</t>
        </is>
      </c>
      <c r="B17986" s="4" t="n">
        <v>45322</v>
      </c>
      <c r="C17986" s="3" t="inlineStr">
        <is>
          <t>Liabilities</t>
        </is>
      </c>
      <c r="D17986" s="3" t="inlineStr">
        <is>
          <t>5500/500</t>
        </is>
      </c>
      <c r="E17986" s="3" t="inlineStr">
        <is>
          <t>Loan - Cape Projects Construction</t>
        </is>
      </c>
      <c r="F17986" s="3" t="n">
        <v>-600</v>
      </c>
      <c r="G17986" s="3" t="n">
        <v>200789.44</v>
      </c>
    </row>
    <row r="17987">
      <c r="A17987" s="3" t="inlineStr">
        <is>
          <t>Quinate Consulting (Pty) Ltd</t>
        </is>
      </c>
      <c r="B17987" s="4" t="n">
        <v>45322</v>
      </c>
      <c r="C17987" s="3" t="inlineStr">
        <is>
          <t>Liabilities</t>
        </is>
      </c>
      <c r="D17987" s="3" t="inlineStr">
        <is>
          <t>5500/500</t>
        </is>
      </c>
      <c r="E17987" s="3" t="inlineStr">
        <is>
          <t>Loan - Opportunity Development Struct.</t>
        </is>
      </c>
      <c r="F17987" s="3" t="n">
        <v>0</v>
      </c>
      <c r="G17987" s="3" t="n">
        <v>-2380000</v>
      </c>
    </row>
    <row r="17988">
      <c r="A17988" s="3" t="inlineStr">
        <is>
          <t>Opportunity Management Holdings (PTY) LTD</t>
        </is>
      </c>
      <c r="B17988" s="4" t="n">
        <v>45322</v>
      </c>
      <c r="C17988" s="3" t="inlineStr">
        <is>
          <t>Liabilities</t>
        </is>
      </c>
      <c r="D17988" s="3" t="inlineStr">
        <is>
          <t>5500/500</t>
        </is>
      </c>
      <c r="E17988" s="3" t="inlineStr">
        <is>
          <t>Loan - Opportunity Tradermark Holdings</t>
        </is>
      </c>
      <c r="F17988" s="3" t="n">
        <v>-70000</v>
      </c>
      <c r="G17988" s="3" t="n">
        <v>-158800</v>
      </c>
    </row>
    <row r="17989">
      <c r="A17989" s="3" t="inlineStr">
        <is>
          <t>Quinate Consulting (Pty) Ltd</t>
        </is>
      </c>
      <c r="B17989" s="4" t="n">
        <v>45322</v>
      </c>
      <c r="C17989" s="3" t="inlineStr">
        <is>
          <t>Liabilities</t>
        </is>
      </c>
      <c r="D17989" s="3" t="inlineStr">
        <is>
          <t>5500/520</t>
        </is>
      </c>
      <c r="E17989" s="3" t="inlineStr">
        <is>
          <t>Loan - Opportunity Management Holdings</t>
        </is>
      </c>
      <c r="F17989" s="3" t="n">
        <v>0</v>
      </c>
      <c r="G17989" s="3" t="n">
        <v>66100</v>
      </c>
    </row>
    <row r="17990">
      <c r="A17990" s="3" t="inlineStr">
        <is>
          <t>Opportunity Management Holdings (PTY) LTD</t>
        </is>
      </c>
      <c r="B17990" s="4" t="n">
        <v>45322</v>
      </c>
      <c r="C17990" s="3" t="inlineStr">
        <is>
          <t>Liabilities</t>
        </is>
      </c>
      <c r="D17990" s="3" t="inlineStr">
        <is>
          <t>5500/550</t>
        </is>
      </c>
      <c r="E17990" s="3" t="inlineStr">
        <is>
          <t>Loan - Heron Projects</t>
        </is>
      </c>
      <c r="F17990" s="3" t="n">
        <v>10000</v>
      </c>
      <c r="G17990" s="3" t="n">
        <v>-55100</v>
      </c>
    </row>
    <row r="17991">
      <c r="A17991" s="3" t="inlineStr">
        <is>
          <t>Opportunity Global Investment (PTY) LTD</t>
        </is>
      </c>
      <c r="B17991" s="4" t="n">
        <v>45322</v>
      </c>
      <c r="C17991" s="3" t="inlineStr">
        <is>
          <t>Liabilities</t>
        </is>
      </c>
      <c r="D17991" s="3" t="inlineStr">
        <is>
          <t>5500/650</t>
        </is>
      </c>
      <c r="E17991" s="3" t="inlineStr">
        <is>
          <t>Loan - Opportunit Global - Sales</t>
        </is>
      </c>
      <c r="F17991" s="3" t="n">
        <v>-212139.34</v>
      </c>
      <c r="G17991" s="3" t="n">
        <v>-3907595.42</v>
      </c>
    </row>
    <row r="17992">
      <c r="A17992" s="3" t="inlineStr">
        <is>
          <t>Opportunity Global Sales (PTY) LTD</t>
        </is>
      </c>
      <c r="B17992" s="4" t="n">
        <v>45322</v>
      </c>
      <c r="C17992" s="3" t="inlineStr">
        <is>
          <t>Liabilities</t>
        </is>
      </c>
      <c r="D17992" s="3" t="inlineStr">
        <is>
          <t>5500/650</t>
        </is>
      </c>
      <c r="E17992" s="3" t="inlineStr">
        <is>
          <t>Loan - Opportunity Investments</t>
        </is>
      </c>
      <c r="F17992" s="3" t="n">
        <v>212139.34</v>
      </c>
      <c r="G17992" s="3" t="n">
        <v>3947595.42</v>
      </c>
    </row>
    <row r="17993">
      <c r="A17993" s="3" t="inlineStr">
        <is>
          <t>Opportunity Management Holdings (PTY) LTD</t>
        </is>
      </c>
      <c r="B17993" s="4" t="n">
        <v>45322</v>
      </c>
      <c r="C17993" s="3" t="inlineStr">
        <is>
          <t>Liabilities</t>
        </is>
      </c>
      <c r="D17993" s="3" t="inlineStr">
        <is>
          <t>5500/700</t>
        </is>
      </c>
      <c r="E17993" s="3" t="inlineStr">
        <is>
          <t>Loan - Go Letting</t>
        </is>
      </c>
      <c r="F17993" s="3" t="n">
        <v>0</v>
      </c>
      <c r="G17993" s="3" t="n">
        <v>-120</v>
      </c>
    </row>
    <row r="17994">
      <c r="A17994" s="3" t="inlineStr">
        <is>
          <t>Quinate Consulting (Pty) Ltd</t>
        </is>
      </c>
      <c r="B17994" s="4" t="n">
        <v>45322</v>
      </c>
      <c r="C17994" s="3" t="inlineStr">
        <is>
          <t>Liabilities</t>
        </is>
      </c>
      <c r="D17994" s="3" t="inlineStr">
        <is>
          <t>5500/700</t>
        </is>
      </c>
      <c r="E17994" s="3" t="inlineStr">
        <is>
          <t>Loan - Trademark Holdings</t>
        </is>
      </c>
      <c r="F17994" s="3" t="n">
        <v>0</v>
      </c>
      <c r="G17994" s="3" t="n">
        <v>16413.38</v>
      </c>
    </row>
    <row r="17995">
      <c r="A17995" s="3" t="inlineStr">
        <is>
          <t>Opportunity Global Investment (PTY) LTD</t>
        </is>
      </c>
      <c r="B17995" s="4" t="n">
        <v>45322</v>
      </c>
      <c r="C17995" s="3" t="inlineStr">
        <is>
          <t>Liabilities</t>
        </is>
      </c>
      <c r="D17995" s="3" t="inlineStr">
        <is>
          <t>5500/750</t>
        </is>
      </c>
      <c r="E17995" s="3" t="inlineStr">
        <is>
          <t>Loan - Heron Projects</t>
        </is>
      </c>
      <c r="F17995" s="3" t="n">
        <v>0</v>
      </c>
      <c r="G17995" s="3" t="n">
        <v>-1973000</v>
      </c>
    </row>
    <row r="17996">
      <c r="A17996" s="3" t="inlineStr">
        <is>
          <t>Opportunity Global Investment (PTY) LTD</t>
        </is>
      </c>
      <c r="B17996" s="4" t="n">
        <v>45322</v>
      </c>
      <c r="C17996" s="3" t="inlineStr">
        <is>
          <t>Liabilities</t>
        </is>
      </c>
      <c r="D17996" s="3" t="inlineStr">
        <is>
          <t>5500/850</t>
        </is>
      </c>
      <c r="E17996" s="3" t="inlineStr">
        <is>
          <t>Loan - Nick Morgan</t>
        </is>
      </c>
      <c r="F17996" s="3" t="n">
        <v>0</v>
      </c>
      <c r="G17996" s="3" t="n">
        <v>6200</v>
      </c>
    </row>
    <row r="17997">
      <c r="A17997" s="3" t="inlineStr">
        <is>
          <t>Quinate Consulting (Pty) Ltd</t>
        </is>
      </c>
      <c r="B17997" s="4" t="n">
        <v>45322</v>
      </c>
      <c r="C17997" s="3" t="inlineStr">
        <is>
          <t>Liabilities</t>
        </is>
      </c>
      <c r="D17997" s="3" t="inlineStr">
        <is>
          <t>5501/000</t>
        </is>
      </c>
      <c r="E17997" s="3" t="inlineStr">
        <is>
          <t>Loan - Endulini Project</t>
        </is>
      </c>
      <c r="F17997" s="3" t="n">
        <v>0</v>
      </c>
      <c r="G17997" s="3" t="n">
        <v>-2756.97</v>
      </c>
    </row>
    <row r="17998">
      <c r="A17998" s="3" t="inlineStr">
        <is>
          <t>Quinate Consulting (Pty) Ltd</t>
        </is>
      </c>
      <c r="B17998" s="4" t="n">
        <v>45322</v>
      </c>
      <c r="C17998" s="3" t="inlineStr">
        <is>
          <t>Liabilities</t>
        </is>
      </c>
      <c r="D17998" s="3" t="inlineStr">
        <is>
          <t>5501/001</t>
        </is>
      </c>
      <c r="E17998" s="3" t="inlineStr">
        <is>
          <t>Loan - Endulini CIP Costs</t>
        </is>
      </c>
      <c r="F17998" s="3" t="n">
        <v>1700600</v>
      </c>
      <c r="G17998" s="3" t="n">
        <v>5714194.87</v>
      </c>
    </row>
    <row r="17999">
      <c r="A17999" s="3" t="inlineStr">
        <is>
          <t>Quinate Consulting (Pty) Ltd</t>
        </is>
      </c>
      <c r="B17999" s="4" t="n">
        <v>45322</v>
      </c>
      <c r="C17999" s="3" t="inlineStr">
        <is>
          <t>Liabilities</t>
        </is>
      </c>
      <c r="D17999" s="3" t="inlineStr">
        <is>
          <t>5501/002</t>
        </is>
      </c>
      <c r="E17999" s="3" t="inlineStr">
        <is>
          <t>Loan - Purple Block</t>
        </is>
      </c>
      <c r="F17999" s="3" t="n">
        <v>154200</v>
      </c>
      <c r="G17999" s="3" t="n">
        <v>171148.82</v>
      </c>
    </row>
    <row r="18000">
      <c r="A18000" s="3" t="inlineStr">
        <is>
          <t>Noble Shield (Pty) Ltd ta Go Letting</t>
        </is>
      </c>
      <c r="B18000" s="4" t="n">
        <v>45322</v>
      </c>
      <c r="C18000" s="3" t="inlineStr">
        <is>
          <t>Assets</t>
        </is>
      </c>
      <c r="D18000" s="3" t="inlineStr">
        <is>
          <t>6250/010</t>
        </is>
      </c>
      <c r="E18000" s="3" t="inlineStr">
        <is>
          <t>Computer Equipment - @ Cost</t>
        </is>
      </c>
      <c r="F18000" s="3" t="n">
        <v>0</v>
      </c>
      <c r="G18000" s="3" t="n">
        <v>20397</v>
      </c>
    </row>
    <row r="18001">
      <c r="A18001" s="3" t="inlineStr">
        <is>
          <t>Opportunity Global Investment (PTY) LTD</t>
        </is>
      </c>
      <c r="B18001" s="4" t="n">
        <v>45322</v>
      </c>
      <c r="C18001" s="3" t="inlineStr">
        <is>
          <t>Assets</t>
        </is>
      </c>
      <c r="D18001" s="3" t="inlineStr">
        <is>
          <t>6250/010</t>
        </is>
      </c>
      <c r="E18001" s="3" t="inlineStr">
        <is>
          <t>Computer Equipment - @ Cost</t>
        </is>
      </c>
      <c r="F18001" s="3" t="n">
        <v>0</v>
      </c>
      <c r="G18001" s="3" t="n">
        <v>31683.04</v>
      </c>
    </row>
    <row r="18002">
      <c r="A18002" s="3" t="inlineStr">
        <is>
          <t>Opportunity Management Holdings (PTY) LTD</t>
        </is>
      </c>
      <c r="B18002" s="4" t="n">
        <v>45322</v>
      </c>
      <c r="C18002" s="3" t="inlineStr">
        <is>
          <t>Assets</t>
        </is>
      </c>
      <c r="D18002" s="3" t="inlineStr">
        <is>
          <t>6250/010</t>
        </is>
      </c>
      <c r="E18002" s="3" t="inlineStr">
        <is>
          <t>Computer Equipment - @ Cost</t>
        </is>
      </c>
      <c r="F18002" s="3" t="n">
        <v>0</v>
      </c>
      <c r="G18002" s="3" t="n">
        <v>52177.85</v>
      </c>
    </row>
    <row r="18003">
      <c r="A18003" s="3" t="inlineStr">
        <is>
          <t>Quinate Consulting (Pty) Ltd</t>
        </is>
      </c>
      <c r="B18003" s="4" t="n">
        <v>45322</v>
      </c>
      <c r="C18003" s="3" t="inlineStr">
        <is>
          <t>Assets</t>
        </is>
      </c>
      <c r="D18003" s="3" t="inlineStr">
        <is>
          <t>6250/010</t>
        </is>
      </c>
      <c r="E18003" s="3" t="inlineStr">
        <is>
          <t>Computer Equipment - @ Cost</t>
        </is>
      </c>
      <c r="F18003" s="3" t="n">
        <v>0</v>
      </c>
      <c r="G18003" s="3" t="n">
        <v>137059.7</v>
      </c>
    </row>
    <row r="18004">
      <c r="A18004" s="3" t="inlineStr">
        <is>
          <t>Noble Shield (Pty) Ltd ta Go Letting</t>
        </is>
      </c>
      <c r="B18004" s="4" t="n">
        <v>45322</v>
      </c>
      <c r="C18004" s="3" t="inlineStr">
        <is>
          <t>Assets</t>
        </is>
      </c>
      <c r="D18004" s="3" t="inlineStr">
        <is>
          <t>6250/020</t>
        </is>
      </c>
      <c r="E18004" s="3" t="inlineStr">
        <is>
          <t>Computer Equipment - Accum Depre</t>
        </is>
      </c>
      <c r="F18004" s="3" t="n">
        <v>0</v>
      </c>
      <c r="G18004" s="3" t="n">
        <v>-12040.89</v>
      </c>
    </row>
    <row r="18005">
      <c r="A18005" s="3" t="inlineStr">
        <is>
          <t>Opportunity Global Investment (PTY) LTD</t>
        </is>
      </c>
      <c r="B18005" s="4" t="n">
        <v>45322</v>
      </c>
      <c r="C18005" s="3" t="inlineStr">
        <is>
          <t>Assets</t>
        </is>
      </c>
      <c r="D18005" s="3" t="inlineStr">
        <is>
          <t>6250/020</t>
        </is>
      </c>
      <c r="E18005" s="3" t="inlineStr">
        <is>
          <t>Computer Equipment - Accum Depre</t>
        </is>
      </c>
      <c r="F18005" s="3" t="n">
        <v>-880.1</v>
      </c>
      <c r="G18005" s="3" t="n">
        <v>-11441.1</v>
      </c>
    </row>
    <row r="18006">
      <c r="A18006" s="3" t="inlineStr">
        <is>
          <t>Opportunity Management Holdings (PTY) LTD</t>
        </is>
      </c>
      <c r="B18006" s="4" t="n">
        <v>45322</v>
      </c>
      <c r="C18006" s="3" t="inlineStr">
        <is>
          <t>Assets</t>
        </is>
      </c>
      <c r="D18006" s="3" t="inlineStr">
        <is>
          <t>6250/020</t>
        </is>
      </c>
      <c r="E18006" s="3" t="inlineStr">
        <is>
          <t>Computer Equipment - Accum Depre</t>
        </is>
      </c>
      <c r="F18006" s="3" t="n">
        <v>-1035.18</v>
      </c>
      <c r="G18006" s="3" t="n">
        <v>-16996.17</v>
      </c>
    </row>
    <row r="18007">
      <c r="A18007" s="3" t="inlineStr">
        <is>
          <t>Quinate Consulting (Pty) Ltd</t>
        </is>
      </c>
      <c r="B18007" s="4" t="n">
        <v>45322</v>
      </c>
      <c r="C18007" s="3" t="inlineStr">
        <is>
          <t>Assets</t>
        </is>
      </c>
      <c r="D18007" s="3" t="inlineStr">
        <is>
          <t>6250/020</t>
        </is>
      </c>
      <c r="E18007" s="3" t="inlineStr">
        <is>
          <t>Computer Equipment - Accum Depre</t>
        </is>
      </c>
      <c r="F18007" s="3" t="n">
        <v>-1926.12</v>
      </c>
      <c r="G18007" s="3" t="n">
        <v>-123210.96</v>
      </c>
    </row>
    <row r="18008">
      <c r="A18008" s="3" t="inlineStr">
        <is>
          <t>Opportunity Management Holdings (PTY) LTD</t>
        </is>
      </c>
      <c r="B18008" s="4" t="n">
        <v>45322</v>
      </c>
      <c r="C18008" s="3" t="inlineStr">
        <is>
          <t>Assets</t>
        </is>
      </c>
      <c r="D18008" s="3" t="inlineStr">
        <is>
          <t>6250/030</t>
        </is>
      </c>
      <c r="E18008" s="3" t="inlineStr">
        <is>
          <t>Acc Depreciation - Computer Equipment</t>
        </is>
      </c>
      <c r="F18008" s="3" t="n">
        <v>0</v>
      </c>
      <c r="G18008" s="3" t="n">
        <v>-9441.25</v>
      </c>
    </row>
    <row r="18009">
      <c r="A18009" s="3" t="inlineStr">
        <is>
          <t>Quinate Consulting (Pty) Ltd</t>
        </is>
      </c>
      <c r="B18009" s="4" t="n">
        <v>45322</v>
      </c>
      <c r="C18009" s="3" t="inlineStr">
        <is>
          <t>Assets</t>
        </is>
      </c>
      <c r="D18009" s="3" t="inlineStr">
        <is>
          <t>6270/010</t>
        </is>
      </c>
      <c r="E18009" s="3" t="inlineStr">
        <is>
          <t>Site Containers - @ Cost</t>
        </is>
      </c>
      <c r="F18009" s="3" t="n">
        <v>0</v>
      </c>
      <c r="G18009" s="3" t="n">
        <v>19130.44</v>
      </c>
    </row>
    <row r="18010">
      <c r="A18010" s="3" t="inlineStr">
        <is>
          <t>Quinate Consulting (Pty) Ltd</t>
        </is>
      </c>
      <c r="B18010" s="4" t="n">
        <v>45322</v>
      </c>
      <c r="C18010" s="3" t="inlineStr">
        <is>
          <t>Assets</t>
        </is>
      </c>
      <c r="D18010" s="3" t="inlineStr">
        <is>
          <t>6270/020</t>
        </is>
      </c>
      <c r="E18010" s="3" t="inlineStr">
        <is>
          <t>Site Containers - Accum Depre</t>
        </is>
      </c>
      <c r="F18010" s="3" t="n">
        <v>-318.84</v>
      </c>
      <c r="G18010" s="3" t="n">
        <v>-11159.42</v>
      </c>
    </row>
    <row r="18011">
      <c r="A18011" s="3" t="inlineStr">
        <is>
          <t>Noble Shield (Pty) Ltd ta Go Letting</t>
        </is>
      </c>
      <c r="B18011" s="4" t="n">
        <v>45322</v>
      </c>
      <c r="C18011" s="3" t="inlineStr">
        <is>
          <t>Assets</t>
        </is>
      </c>
      <c r="D18011" s="3" t="inlineStr">
        <is>
          <t>6350/010</t>
        </is>
      </c>
      <c r="E18011" s="3" t="inlineStr">
        <is>
          <t>Furniture _AND_ Fittings - @ Cost</t>
        </is>
      </c>
      <c r="F18011" s="3" t="n">
        <v>0</v>
      </c>
      <c r="G18011" s="3" t="n">
        <v>2242</v>
      </c>
    </row>
    <row r="18012">
      <c r="A18012" s="3" t="inlineStr">
        <is>
          <t>Opportunity Global Sales (PTY) LTD</t>
        </is>
      </c>
      <c r="B18012" s="4" t="n">
        <v>45322</v>
      </c>
      <c r="C18012" s="3" t="inlineStr">
        <is>
          <t>Assets</t>
        </is>
      </c>
      <c r="D18012" s="3" t="inlineStr">
        <is>
          <t>6350/010</t>
        </is>
      </c>
      <c r="E18012" s="3" t="inlineStr">
        <is>
          <t>Furniture _AND_ Fittings - @ Cost</t>
        </is>
      </c>
      <c r="F18012" s="3" t="n">
        <v>0</v>
      </c>
      <c r="G18012" s="3" t="n">
        <v>29379.7</v>
      </c>
    </row>
    <row r="18013">
      <c r="A18013" s="3" t="inlineStr">
        <is>
          <t>Noble Shield (Pty) Ltd ta Go Letting</t>
        </is>
      </c>
      <c r="B18013" s="4" t="n">
        <v>45322</v>
      </c>
      <c r="C18013" s="3" t="inlineStr">
        <is>
          <t>Assets</t>
        </is>
      </c>
      <c r="D18013" s="3" t="inlineStr">
        <is>
          <t>6350/020</t>
        </is>
      </c>
      <c r="E18013" s="3" t="inlineStr">
        <is>
          <t>Furniture _AND_ Fittings - Accum Depre</t>
        </is>
      </c>
      <c r="F18013" s="3" t="n">
        <v>0</v>
      </c>
      <c r="G18013" s="3" t="n">
        <v>-2239</v>
      </c>
    </row>
    <row r="18014">
      <c r="A18014" s="3" t="inlineStr">
        <is>
          <t>Opportunity Global Sales (PTY) LTD</t>
        </is>
      </c>
      <c r="B18014" s="4" t="n">
        <v>45322</v>
      </c>
      <c r="C18014" s="3" t="inlineStr">
        <is>
          <t>Assets</t>
        </is>
      </c>
      <c r="D18014" s="3" t="inlineStr">
        <is>
          <t>6350/020</t>
        </is>
      </c>
      <c r="E18014" s="3" t="inlineStr">
        <is>
          <t>Furniture _AND_ Fittings - Accum Depre</t>
        </is>
      </c>
      <c r="F18014" s="3" t="n">
        <v>-408.06</v>
      </c>
      <c r="G18014" s="3" t="n">
        <v>-7752.98</v>
      </c>
    </row>
    <row r="18015">
      <c r="A18015" s="3" t="inlineStr">
        <is>
          <t>Opportunity Management Holdings (PTY) LTD</t>
        </is>
      </c>
      <c r="B18015" s="4" t="n">
        <v>45322</v>
      </c>
      <c r="C18015" s="3" t="inlineStr">
        <is>
          <t>Liabilities</t>
        </is>
      </c>
      <c r="D18015" s="3" t="inlineStr">
        <is>
          <t>6500/000</t>
        </is>
      </c>
      <c r="E18015" s="3" t="inlineStr">
        <is>
          <t>Deposits - Held</t>
        </is>
      </c>
      <c r="F18015" s="3" t="n">
        <v>0</v>
      </c>
      <c r="G18015" s="3" t="n">
        <v>-12028.1</v>
      </c>
    </row>
    <row r="18016">
      <c r="A18016" s="3" t="inlineStr">
        <is>
          <t>Opportunity Management Holdings (PTY) LTD</t>
        </is>
      </c>
      <c r="B18016" s="4" t="n">
        <v>45322</v>
      </c>
      <c r="C18016" s="3" t="inlineStr">
        <is>
          <t>Liabilities</t>
        </is>
      </c>
      <c r="D18016" s="3" t="inlineStr">
        <is>
          <t>6510/000</t>
        </is>
      </c>
      <c r="E18016" s="3" t="inlineStr">
        <is>
          <t>Deposits Paid - Anicol Properties</t>
        </is>
      </c>
      <c r="F18016" s="3" t="n">
        <v>0</v>
      </c>
      <c r="G18016" s="3" t="n">
        <v>13755</v>
      </c>
    </row>
    <row r="18017">
      <c r="A18017" s="3" t="inlineStr">
        <is>
          <t>Opportunity Management Holdings (PTY) LTD</t>
        </is>
      </c>
      <c r="B18017" s="4" t="n">
        <v>45322</v>
      </c>
      <c r="C18017" s="3" t="inlineStr">
        <is>
          <t>Liabilities</t>
        </is>
      </c>
      <c r="D18017" s="3" t="inlineStr">
        <is>
          <t>6515/000</t>
        </is>
      </c>
      <c r="E18017" s="3" t="inlineStr">
        <is>
          <t>Deposits Paid</t>
        </is>
      </c>
      <c r="F18017" s="3" t="n">
        <v>0</v>
      </c>
      <c r="G18017" s="3" t="n">
        <v>3852.5</v>
      </c>
    </row>
    <row r="18018">
      <c r="A18018" s="3" t="inlineStr">
        <is>
          <t>Quinate Consulting (Pty) Ltd</t>
        </is>
      </c>
      <c r="B18018" s="4" t="n">
        <v>45322</v>
      </c>
      <c r="C18018" s="3" t="inlineStr">
        <is>
          <t>Assets</t>
        </is>
      </c>
      <c r="D18018" s="3" t="inlineStr">
        <is>
          <t>6600/010</t>
        </is>
      </c>
      <c r="E18018" s="3" t="inlineStr">
        <is>
          <t>Other Fixed Assets - @ Cost</t>
        </is>
      </c>
      <c r="F18018" s="3" t="n">
        <v>0</v>
      </c>
      <c r="G18018" s="3" t="n">
        <v>14442.5</v>
      </c>
    </row>
    <row r="18019">
      <c r="A18019" s="3" t="inlineStr">
        <is>
          <t>Quinate Consulting (Pty) Ltd</t>
        </is>
      </c>
      <c r="B18019" s="4" t="n">
        <v>45322</v>
      </c>
      <c r="C18019" s="3" t="inlineStr">
        <is>
          <t>Assets</t>
        </is>
      </c>
      <c r="D18019" s="3" t="inlineStr">
        <is>
          <t>6600/020</t>
        </is>
      </c>
      <c r="E18019" s="3" t="inlineStr">
        <is>
          <t>Other Fixed Assets - Accum Depre</t>
        </is>
      </c>
      <c r="F18019" s="3" t="n">
        <v>0</v>
      </c>
      <c r="G18019" s="3" t="n">
        <v>-14441.5</v>
      </c>
    </row>
    <row r="18020">
      <c r="A18020" s="3" t="inlineStr">
        <is>
          <t>Noble Shield (Pty) Ltd ta Go Letting</t>
        </is>
      </c>
      <c r="B18020" s="4" t="n">
        <v>45322</v>
      </c>
      <c r="C18020" s="3" t="inlineStr">
        <is>
          <t>Assets</t>
        </is>
      </c>
      <c r="D18020" s="3" t="inlineStr">
        <is>
          <t>7000/100</t>
        </is>
      </c>
      <c r="E18020" s="3" t="inlineStr">
        <is>
          <t>Goodwill - Purchase of Go Letting</t>
        </is>
      </c>
      <c r="F18020" s="3" t="n">
        <v>0</v>
      </c>
      <c r="G18020" s="3" t="n">
        <v>106580</v>
      </c>
    </row>
    <row r="18021">
      <c r="A18021" s="3" t="inlineStr">
        <is>
          <t>Opportunity Management Holdings (PTY) LTD</t>
        </is>
      </c>
      <c r="B18021" s="4" t="n">
        <v>45322</v>
      </c>
      <c r="C18021" s="3" t="inlineStr">
        <is>
          <t>Assets</t>
        </is>
      </c>
      <c r="D18021" s="3" t="inlineStr">
        <is>
          <t>7200/000</t>
        </is>
      </c>
      <c r="E18021" s="3" t="inlineStr">
        <is>
          <t>Shares in Subsidiary Companies</t>
        </is>
      </c>
      <c r="F18021" s="3" t="n">
        <v>0</v>
      </c>
      <c r="G18021" s="3" t="n">
        <v>120</v>
      </c>
    </row>
    <row r="18022">
      <c r="A18022" s="3" t="inlineStr">
        <is>
          <t>Endulini (Pty) Ltd</t>
        </is>
      </c>
      <c r="B18022" s="4" t="n">
        <v>45322</v>
      </c>
      <c r="C18022" s="3" t="inlineStr">
        <is>
          <t>Assets</t>
        </is>
      </c>
      <c r="D18022" s="3" t="inlineStr">
        <is>
          <t>7610/100</t>
        </is>
      </c>
      <c r="E18022" s="3" t="inlineStr">
        <is>
          <t>Endulini Land</t>
        </is>
      </c>
      <c r="F18022" s="3" t="n">
        <v>0</v>
      </c>
      <c r="G18022" s="3" t="n">
        <v>10572851.37</v>
      </c>
    </row>
    <row r="18023">
      <c r="A18023" s="3" t="inlineStr">
        <is>
          <t>Endulini (Pty) Ltd</t>
        </is>
      </c>
      <c r="B18023" s="4" t="n">
        <v>45322</v>
      </c>
      <c r="C18023" s="3" t="inlineStr">
        <is>
          <t>Assets</t>
        </is>
      </c>
      <c r="D18023" s="3" t="inlineStr">
        <is>
          <t>7610/111</t>
        </is>
      </c>
      <c r="E18023" s="3" t="inlineStr">
        <is>
          <t>Endulini Closing Stock February 2021</t>
        </is>
      </c>
      <c r="F18023" s="3" t="n">
        <v>0</v>
      </c>
      <c r="G18023" s="3" t="n">
        <v>14368610.11</v>
      </c>
    </row>
    <row r="18024">
      <c r="A18024" s="3" t="inlineStr">
        <is>
          <t>Endulini (Pty) Ltd</t>
        </is>
      </c>
      <c r="B18024" s="4" t="n">
        <v>45322</v>
      </c>
      <c r="C18024" s="3" t="inlineStr">
        <is>
          <t>Assets</t>
        </is>
      </c>
      <c r="D18024" s="3" t="inlineStr">
        <is>
          <t>7610/180</t>
        </is>
      </c>
      <c r="E18024" s="3" t="inlineStr">
        <is>
          <t>Endulini CIP Architects</t>
        </is>
      </c>
      <c r="F18024" s="3" t="n">
        <v>0</v>
      </c>
      <c r="G18024" s="3" t="n">
        <v>1292111.71</v>
      </c>
    </row>
    <row r="18025">
      <c r="A18025" s="3" t="inlineStr">
        <is>
          <t>Endulini (Pty) Ltd</t>
        </is>
      </c>
      <c r="B18025" s="4" t="n">
        <v>45322</v>
      </c>
      <c r="C18025" s="3" t="inlineStr">
        <is>
          <t>Assets</t>
        </is>
      </c>
      <c r="D18025" s="3" t="inlineStr">
        <is>
          <t>7610/200</t>
        </is>
      </c>
      <c r="E18025" s="3" t="inlineStr">
        <is>
          <t>Endulini CIP CoCT Land Use App</t>
        </is>
      </c>
      <c r="F18025" s="3" t="n">
        <v>0</v>
      </c>
      <c r="G18025" s="3" t="n">
        <v>232891.06</v>
      </c>
    </row>
    <row r="18026">
      <c r="A18026" s="3" t="inlineStr">
        <is>
          <t>Endulini (Pty) Ltd</t>
        </is>
      </c>
      <c r="B18026" s="4" t="n">
        <v>45322</v>
      </c>
      <c r="C18026" s="3" t="inlineStr">
        <is>
          <t>Assets</t>
        </is>
      </c>
      <c r="D18026" s="3" t="inlineStr">
        <is>
          <t>7610/205</t>
        </is>
      </c>
      <c r="E18026" s="3" t="inlineStr">
        <is>
          <t>Endulini CIP Site Establishments</t>
        </is>
      </c>
      <c r="F18026" s="3" t="n">
        <v>0</v>
      </c>
      <c r="G18026" s="3" t="n">
        <v>32428975.01</v>
      </c>
    </row>
    <row r="18027">
      <c r="A18027" s="3" t="inlineStr">
        <is>
          <t>Endulini (Pty) Ltd</t>
        </is>
      </c>
      <c r="B18027" s="4" t="n">
        <v>45322</v>
      </c>
      <c r="C18027" s="3" t="inlineStr">
        <is>
          <t>Assets</t>
        </is>
      </c>
      <c r="D18027" s="3" t="inlineStr">
        <is>
          <t>7610/209</t>
        </is>
      </c>
      <c r="E18027" s="3" t="inlineStr">
        <is>
          <t>Endulini CIP Construction Management</t>
        </is>
      </c>
      <c r="F18027" s="3" t="n">
        <v>0</v>
      </c>
      <c r="G18027" s="3" t="n">
        <v>223375</v>
      </c>
    </row>
    <row r="18028">
      <c r="A18028" s="3" t="inlineStr">
        <is>
          <t>Endulini (Pty) Ltd</t>
        </is>
      </c>
      <c r="B18028" s="4" t="n">
        <v>45322</v>
      </c>
      <c r="C18028" s="3" t="inlineStr">
        <is>
          <t>Assets</t>
        </is>
      </c>
      <c r="D18028" s="3" t="inlineStr">
        <is>
          <t>7610/210</t>
        </is>
      </c>
      <c r="E18028" s="3" t="inlineStr">
        <is>
          <t>Endulini CIP Civil Works</t>
        </is>
      </c>
      <c r="F18028" s="3" t="n">
        <v>0</v>
      </c>
      <c r="G18028" s="3" t="n">
        <v>6295702.14</v>
      </c>
    </row>
    <row r="18029">
      <c r="A18029" s="3" t="inlineStr">
        <is>
          <t>Endulini (Pty) Ltd</t>
        </is>
      </c>
      <c r="B18029" s="4" t="n">
        <v>45322</v>
      </c>
      <c r="C18029" s="3" t="inlineStr">
        <is>
          <t>Assets</t>
        </is>
      </c>
      <c r="D18029" s="3" t="inlineStr">
        <is>
          <t>7610/215</t>
        </is>
      </c>
      <c r="E18029" s="3" t="inlineStr">
        <is>
          <t>Endulini CIP Civil Engineers</t>
        </is>
      </c>
      <c r="F18029" s="3" t="n">
        <v>0</v>
      </c>
      <c r="G18029" s="3" t="n">
        <v>183000</v>
      </c>
    </row>
    <row r="18030">
      <c r="A18030" s="3" t="inlineStr">
        <is>
          <t>Endulini (Pty) Ltd</t>
        </is>
      </c>
      <c r="B18030" s="4" t="n">
        <v>45322</v>
      </c>
      <c r="C18030" s="3" t="inlineStr">
        <is>
          <t>Assets</t>
        </is>
      </c>
      <c r="D18030" s="3" t="inlineStr">
        <is>
          <t>7610/220</t>
        </is>
      </c>
      <c r="E18030" s="3" t="inlineStr">
        <is>
          <t>Endulini CIP Structuring Project Fee Opp Invest</t>
        </is>
      </c>
      <c r="F18030" s="3" t="n">
        <v>0</v>
      </c>
      <c r="G18030" s="3" t="n">
        <v>483735.96</v>
      </c>
    </row>
    <row r="18031">
      <c r="A18031" s="3" t="inlineStr">
        <is>
          <t>Endulini (Pty) Ltd</t>
        </is>
      </c>
      <c r="B18031" s="4" t="n">
        <v>45322</v>
      </c>
      <c r="C18031" s="3" t="inlineStr">
        <is>
          <t>Assets</t>
        </is>
      </c>
      <c r="D18031" s="3" t="inlineStr">
        <is>
          <t>7610/225</t>
        </is>
      </c>
      <c r="E18031" s="3" t="inlineStr">
        <is>
          <t>Endulini CIP Structural engineering fee</t>
        </is>
      </c>
      <c r="F18031" s="3" t="n">
        <v>0</v>
      </c>
      <c r="G18031" s="3" t="n">
        <v>288645.08</v>
      </c>
    </row>
    <row r="18032">
      <c r="A18032" s="3" t="inlineStr">
        <is>
          <t>Endulini (Pty) Ltd</t>
        </is>
      </c>
      <c r="B18032" s="4" t="n">
        <v>45322</v>
      </c>
      <c r="C18032" s="3" t="inlineStr">
        <is>
          <t>Assets</t>
        </is>
      </c>
      <c r="D18032" s="3" t="inlineStr">
        <is>
          <t>7610/230</t>
        </is>
      </c>
      <c r="E18032" s="3" t="inlineStr">
        <is>
          <t>Endulini CIP Mechanical Engineering</t>
        </is>
      </c>
      <c r="F18032" s="3" t="n">
        <v>0</v>
      </c>
      <c r="G18032" s="3" t="n">
        <v>15570</v>
      </c>
    </row>
    <row r="18033">
      <c r="A18033" s="3" t="inlineStr">
        <is>
          <t>Endulini (Pty) Ltd</t>
        </is>
      </c>
      <c r="B18033" s="4" t="n">
        <v>45322</v>
      </c>
      <c r="C18033" s="3" t="inlineStr">
        <is>
          <t>Assets</t>
        </is>
      </c>
      <c r="D18033" s="3" t="inlineStr">
        <is>
          <t>7610/235</t>
        </is>
      </c>
      <c r="E18033" s="3" t="inlineStr">
        <is>
          <t>Endulini CIP Electrical Installation</t>
        </is>
      </c>
      <c r="F18033" s="3" t="n">
        <v>0</v>
      </c>
      <c r="G18033" s="3" t="n">
        <v>1034019.08</v>
      </c>
    </row>
    <row r="18034">
      <c r="A18034" s="3" t="inlineStr">
        <is>
          <t>Endulini (Pty) Ltd</t>
        </is>
      </c>
      <c r="B18034" s="4" t="n">
        <v>45322</v>
      </c>
      <c r="C18034" s="3" t="inlineStr">
        <is>
          <t>Assets</t>
        </is>
      </c>
      <c r="D18034" s="3" t="inlineStr">
        <is>
          <t>7610/250</t>
        </is>
      </c>
      <c r="E18034" s="3" t="inlineStr">
        <is>
          <t>Endulini CIP Boundary Wall</t>
        </is>
      </c>
      <c r="F18034" s="3" t="n">
        <v>0</v>
      </c>
      <c r="G18034" s="3" t="n">
        <v>88400.8</v>
      </c>
    </row>
    <row r="18035">
      <c r="A18035" s="3" t="inlineStr">
        <is>
          <t>Endulini (Pty) Ltd</t>
        </is>
      </c>
      <c r="B18035" s="4" t="n">
        <v>45322</v>
      </c>
      <c r="C18035" s="3" t="inlineStr">
        <is>
          <t>Assets</t>
        </is>
      </c>
      <c r="D18035" s="3" t="inlineStr">
        <is>
          <t>7610/290</t>
        </is>
      </c>
      <c r="E18035" s="3" t="inlineStr">
        <is>
          <t>Endulini CIP Development Management Fees</t>
        </is>
      </c>
      <c r="F18035" s="3" t="n">
        <v>0</v>
      </c>
      <c r="G18035" s="3" t="n">
        <v>665322.71</v>
      </c>
    </row>
    <row r="18036">
      <c r="A18036" s="3" t="inlineStr">
        <is>
          <t>Endulini (Pty) Ltd</t>
        </is>
      </c>
      <c r="B18036" s="4" t="n">
        <v>45322</v>
      </c>
      <c r="C18036" s="3" t="inlineStr">
        <is>
          <t>Assets</t>
        </is>
      </c>
      <c r="D18036" s="3" t="inlineStr">
        <is>
          <t>7610/310</t>
        </is>
      </c>
      <c r="E18036" s="3" t="inlineStr">
        <is>
          <t>Endulini CIP Enviromental consultants</t>
        </is>
      </c>
      <c r="F18036" s="3" t="n">
        <v>0</v>
      </c>
      <c r="G18036" s="3" t="n">
        <v>115730</v>
      </c>
    </row>
    <row r="18037">
      <c r="A18037" s="3" t="inlineStr">
        <is>
          <t>Endulini (Pty) Ltd</t>
        </is>
      </c>
      <c r="B18037" s="4" t="n">
        <v>45322</v>
      </c>
      <c r="C18037" s="3" t="inlineStr">
        <is>
          <t>Assets</t>
        </is>
      </c>
      <c r="D18037" s="3" t="inlineStr">
        <is>
          <t>7610/320</t>
        </is>
      </c>
      <c r="E18037" s="3" t="inlineStr">
        <is>
          <t>Endulini CIP Geotechnical</t>
        </is>
      </c>
      <c r="F18037" s="3" t="n">
        <v>0</v>
      </c>
      <c r="G18037" s="3" t="n">
        <v>13575</v>
      </c>
    </row>
    <row r="18038">
      <c r="A18038" s="3" t="inlineStr">
        <is>
          <t>Endulini (Pty) Ltd</t>
        </is>
      </c>
      <c r="B18038" s="4" t="n">
        <v>45322</v>
      </c>
      <c r="C18038" s="3" t="inlineStr">
        <is>
          <t>Assets</t>
        </is>
      </c>
      <c r="D18038" s="3" t="inlineStr">
        <is>
          <t>7610/330</t>
        </is>
      </c>
      <c r="E18038" s="3" t="inlineStr">
        <is>
          <t>Endulini CIP Health and Safety</t>
        </is>
      </c>
      <c r="F18038" s="3" t="n">
        <v>0</v>
      </c>
      <c r="G18038" s="3" t="n">
        <v>40200</v>
      </c>
    </row>
    <row r="18039">
      <c r="A18039" s="3" t="inlineStr">
        <is>
          <t>Endulini (Pty) Ltd</t>
        </is>
      </c>
      <c r="B18039" s="4" t="n">
        <v>45322</v>
      </c>
      <c r="C18039" s="3" t="inlineStr">
        <is>
          <t>Assets</t>
        </is>
      </c>
      <c r="D18039" s="3" t="inlineStr">
        <is>
          <t>7610/390</t>
        </is>
      </c>
      <c r="E18039" s="3" t="inlineStr">
        <is>
          <t>Endulini CIP Land Surveyor</t>
        </is>
      </c>
      <c r="F18039" s="3" t="n">
        <v>0</v>
      </c>
      <c r="G18039" s="3" t="n">
        <v>186021.2</v>
      </c>
    </row>
    <row r="18040">
      <c r="A18040" s="3" t="inlineStr">
        <is>
          <t>Endulini (Pty) Ltd</t>
        </is>
      </c>
      <c r="B18040" s="4" t="n">
        <v>45322</v>
      </c>
      <c r="C18040" s="3" t="inlineStr">
        <is>
          <t>Assets</t>
        </is>
      </c>
      <c r="D18040" s="3" t="inlineStr">
        <is>
          <t>7610/392</t>
        </is>
      </c>
      <c r="E18040" s="3" t="inlineStr">
        <is>
          <t>Endulini CIP Landscaping</t>
        </is>
      </c>
      <c r="F18040" s="3" t="n">
        <v>0</v>
      </c>
      <c r="G18040" s="3" t="n">
        <v>6100</v>
      </c>
    </row>
    <row r="18041">
      <c r="A18041" s="3" t="inlineStr">
        <is>
          <t>Endulini (Pty) Ltd</t>
        </is>
      </c>
      <c r="B18041" s="4" t="n">
        <v>45322</v>
      </c>
      <c r="C18041" s="3" t="inlineStr">
        <is>
          <t>Assets</t>
        </is>
      </c>
      <c r="D18041" s="3" t="inlineStr">
        <is>
          <t>7610/395</t>
        </is>
      </c>
      <c r="E18041" s="3" t="inlineStr">
        <is>
          <t>Endulini CIP NHBRC</t>
        </is>
      </c>
      <c r="F18041" s="3" t="n">
        <v>0</v>
      </c>
      <c r="G18041" s="3" t="n">
        <v>928847.49</v>
      </c>
    </row>
    <row r="18042">
      <c r="A18042" s="3" t="inlineStr">
        <is>
          <t>Endulini (Pty) Ltd</t>
        </is>
      </c>
      <c r="B18042" s="4" t="n">
        <v>45322</v>
      </c>
      <c r="C18042" s="3" t="inlineStr">
        <is>
          <t>Assets</t>
        </is>
      </c>
      <c r="D18042" s="3" t="inlineStr">
        <is>
          <t>7610/400</t>
        </is>
      </c>
      <c r="E18042" s="3" t="inlineStr">
        <is>
          <t>Endulini CIP Quantity Surveyor</t>
        </is>
      </c>
      <c r="F18042" s="3" t="n">
        <v>0</v>
      </c>
      <c r="G18042" s="3" t="n">
        <v>82136.36</v>
      </c>
    </row>
    <row r="18043">
      <c r="A18043" s="3" t="inlineStr">
        <is>
          <t>Endulini (Pty) Ltd</t>
        </is>
      </c>
      <c r="B18043" s="4" t="n">
        <v>45322</v>
      </c>
      <c r="C18043" s="3" t="inlineStr">
        <is>
          <t>Assets</t>
        </is>
      </c>
      <c r="D18043" s="3" t="inlineStr">
        <is>
          <t>7610/600</t>
        </is>
      </c>
      <c r="E18043" s="3" t="inlineStr">
        <is>
          <t>Endulini CIP Town Planning</t>
        </is>
      </c>
      <c r="F18043" s="3" t="n">
        <v>0</v>
      </c>
      <c r="G18043" s="3" t="n">
        <v>21105</v>
      </c>
    </row>
    <row r="18044">
      <c r="A18044" s="3" t="inlineStr">
        <is>
          <t>Endulini (Pty) Ltd</t>
        </is>
      </c>
      <c r="B18044" s="4" t="n">
        <v>45322</v>
      </c>
      <c r="C18044" s="3" t="inlineStr">
        <is>
          <t>Assets</t>
        </is>
      </c>
      <c r="D18044" s="3" t="inlineStr">
        <is>
          <t>7610/620</t>
        </is>
      </c>
      <c r="E18044" s="3" t="inlineStr">
        <is>
          <t>Endulini CIP Traffic Impact</t>
        </is>
      </c>
      <c r="F18044" s="3" t="n">
        <v>0</v>
      </c>
      <c r="G18044" s="3" t="n">
        <v>24915</v>
      </c>
    </row>
    <row r="18045">
      <c r="A18045" s="3" t="inlineStr">
        <is>
          <t>Endulini (Pty) Ltd</t>
        </is>
      </c>
      <c r="B18045" s="4" t="n">
        <v>45322</v>
      </c>
      <c r="C18045" s="3" t="inlineStr">
        <is>
          <t>Assets</t>
        </is>
      </c>
      <c r="D18045" s="3" t="inlineStr">
        <is>
          <t>7610/630</t>
        </is>
      </c>
      <c r="E18045" s="3" t="inlineStr">
        <is>
          <t>Endulini CIP CoCT Development Contributi</t>
        </is>
      </c>
      <c r="F18045" s="3" t="n">
        <v>0</v>
      </c>
      <c r="G18045" s="3" t="n">
        <v>661860.3100000001</v>
      </c>
    </row>
    <row r="18046">
      <c r="A18046" s="3" t="inlineStr">
        <is>
          <t>Endulini (Pty) Ltd</t>
        </is>
      </c>
      <c r="B18046" s="4" t="n">
        <v>45322</v>
      </c>
      <c r="C18046" s="3" t="inlineStr">
        <is>
          <t>Assets</t>
        </is>
      </c>
      <c r="D18046" s="3" t="inlineStr">
        <is>
          <t>7610/640</t>
        </is>
      </c>
      <c r="E18046" s="3" t="inlineStr">
        <is>
          <t>Endulini CIP CoCT Building plan application</t>
        </is>
      </c>
      <c r="F18046" s="3" t="n">
        <v>0</v>
      </c>
      <c r="G18046" s="3" t="n">
        <v>111203.22</v>
      </c>
    </row>
    <row r="18047">
      <c r="A18047" s="3" t="inlineStr">
        <is>
          <t>Endulini (Pty) Ltd</t>
        </is>
      </c>
      <c r="B18047" s="4" t="n">
        <v>45322</v>
      </c>
      <c r="C18047" s="3" t="inlineStr">
        <is>
          <t>Assets</t>
        </is>
      </c>
      <c r="D18047" s="3" t="inlineStr">
        <is>
          <t>7610/900</t>
        </is>
      </c>
      <c r="E18047" s="3" t="inlineStr">
        <is>
          <t>Endulini CIP Cost of Sales</t>
        </is>
      </c>
      <c r="F18047" s="3" t="n">
        <v>0</v>
      </c>
      <c r="G18047" s="3" t="n">
        <v>-28210981.9</v>
      </c>
    </row>
    <row r="18048">
      <c r="A18048" s="3" t="inlineStr">
        <is>
          <t>Quinate Consulting (Pty) Ltd</t>
        </is>
      </c>
      <c r="B18048" s="4" t="n">
        <v>45322</v>
      </c>
      <c r="C18048" s="3" t="inlineStr">
        <is>
          <t>Assets</t>
        </is>
      </c>
      <c r="D18048" s="3" t="inlineStr">
        <is>
          <t>7800/104</t>
        </is>
      </c>
      <c r="E18048" s="3" t="inlineStr">
        <is>
          <t>Stock - Closing Stock SW - 28 Feb 21</t>
        </is>
      </c>
      <c r="F18048" s="3" t="n">
        <v>0</v>
      </c>
      <c r="G18048" s="3" t="n">
        <v>2874478.88</v>
      </c>
    </row>
    <row r="18049">
      <c r="A18049" s="3" t="inlineStr">
        <is>
          <t>Quinate Consulting (Pty) Ltd</t>
        </is>
      </c>
      <c r="B18049" s="4" t="n">
        <v>45322</v>
      </c>
      <c r="C18049" s="3" t="inlineStr">
        <is>
          <t>Assets</t>
        </is>
      </c>
      <c r="D18049" s="3" t="inlineStr">
        <is>
          <t>7800/105</t>
        </is>
      </c>
      <c r="E18049" s="3" t="inlineStr">
        <is>
          <t>Stock - Closing Stock SH - 28 Feb 21</t>
        </is>
      </c>
      <c r="F18049" s="3" t="n">
        <v>0</v>
      </c>
      <c r="G18049" s="3" t="n">
        <v>2843477.6</v>
      </c>
    </row>
    <row r="18050">
      <c r="A18050" s="3" t="inlineStr">
        <is>
          <t>Endulini (Pty) Ltd</t>
        </is>
      </c>
      <c r="B18050" s="4" t="n">
        <v>45322</v>
      </c>
      <c r="C18050" s="3" t="inlineStr">
        <is>
          <t>Assets</t>
        </is>
      </c>
      <c r="D18050" s="3" t="inlineStr">
        <is>
          <t>8000/000</t>
        </is>
      </c>
      <c r="E18050" s="3" t="inlineStr">
        <is>
          <t>Customer Control Account</t>
        </is>
      </c>
      <c r="F18050" s="3" t="n">
        <v>0</v>
      </c>
      <c r="G18050" s="3" t="n">
        <v>335821.57</v>
      </c>
    </row>
    <row r="18051">
      <c r="A18051" s="3" t="inlineStr">
        <is>
          <t>Noble Shield (Pty) Ltd ta Go Letting</t>
        </is>
      </c>
      <c r="B18051" s="4" t="n">
        <v>45322</v>
      </c>
      <c r="C18051" s="3" t="inlineStr">
        <is>
          <t>Assets</t>
        </is>
      </c>
      <c r="D18051" s="3" t="inlineStr">
        <is>
          <t>8000/000</t>
        </is>
      </c>
      <c r="E18051" s="3" t="inlineStr">
        <is>
          <t>Customer Control Account</t>
        </is>
      </c>
      <c r="F18051" s="3" t="n">
        <v>0</v>
      </c>
      <c r="G18051" s="3" t="n">
        <v>60289.32</v>
      </c>
    </row>
    <row r="18052">
      <c r="A18052" s="3" t="inlineStr">
        <is>
          <t>Opportunity Global Investment (PTY) LTD</t>
        </is>
      </c>
      <c r="B18052" s="4" t="n">
        <v>45322</v>
      </c>
      <c r="C18052" s="3" t="inlineStr">
        <is>
          <t>Assets</t>
        </is>
      </c>
      <c r="D18052" s="3" t="inlineStr">
        <is>
          <t>8000/000</t>
        </is>
      </c>
      <c r="E18052" s="3" t="inlineStr">
        <is>
          <t>Customer Control Account</t>
        </is>
      </c>
      <c r="F18052" s="3" t="n">
        <v>0</v>
      </c>
      <c r="G18052" s="3" t="n">
        <v>15899.15</v>
      </c>
    </row>
    <row r="18053">
      <c r="A18053" s="3" t="inlineStr">
        <is>
          <t>Opportunity Global Sales (PTY) LTD</t>
        </is>
      </c>
      <c r="B18053" s="4" t="n">
        <v>45322</v>
      </c>
      <c r="C18053" s="3" t="inlineStr">
        <is>
          <t>Assets</t>
        </is>
      </c>
      <c r="D18053" s="3" t="inlineStr">
        <is>
          <t>8000/000</t>
        </is>
      </c>
      <c r="E18053" s="3" t="inlineStr">
        <is>
          <t>Customer Control Account</t>
        </is>
      </c>
      <c r="F18053" s="3" t="n">
        <v>97487.39999999999</v>
      </c>
      <c r="G18053" s="3" t="n">
        <v>581498.33</v>
      </c>
    </row>
    <row r="18054">
      <c r="A18054" s="3" t="inlineStr">
        <is>
          <t>Opportunity Management Holdings (PTY) LTD</t>
        </is>
      </c>
      <c r="B18054" s="4" t="n">
        <v>45322</v>
      </c>
      <c r="C18054" s="3" t="inlineStr">
        <is>
          <t>Assets</t>
        </is>
      </c>
      <c r="D18054" s="3" t="inlineStr">
        <is>
          <t>8000/000</t>
        </is>
      </c>
      <c r="E18054" s="3" t="inlineStr">
        <is>
          <t>Customer Control Account</t>
        </is>
      </c>
      <c r="F18054" s="3" t="n">
        <v>55768.32</v>
      </c>
      <c r="G18054" s="3" t="n">
        <v>515768.32</v>
      </c>
    </row>
    <row r="18055">
      <c r="A18055" s="3" t="inlineStr">
        <is>
          <t>Quinate Consulting (Pty) Ltd</t>
        </is>
      </c>
      <c r="B18055" s="4" t="n">
        <v>45322</v>
      </c>
      <c r="C18055" s="3" t="inlineStr">
        <is>
          <t>Assets</t>
        </is>
      </c>
      <c r="D18055" s="3" t="inlineStr">
        <is>
          <t>8000/000</t>
        </is>
      </c>
      <c r="E18055" s="3" t="inlineStr">
        <is>
          <t>Customer Control Account</t>
        </is>
      </c>
      <c r="F18055" s="3" t="n">
        <v>-11229.78</v>
      </c>
      <c r="G18055" s="3" t="n">
        <v>64754.88</v>
      </c>
    </row>
    <row r="18056">
      <c r="A18056" s="3" t="inlineStr">
        <is>
          <t>Quinate Consulting (Pty) Ltd</t>
        </is>
      </c>
      <c r="B18056" s="4" t="n">
        <v>45322</v>
      </c>
      <c r="C18056" s="3" t="inlineStr">
        <is>
          <t>Assets</t>
        </is>
      </c>
      <c r="D18056" s="3" t="inlineStr">
        <is>
          <t>8001</t>
        </is>
      </c>
      <c r="E18056" s="3" t="inlineStr">
        <is>
          <t>Customer Control</t>
        </is>
      </c>
      <c r="F18056" s="3" t="n">
        <v>0</v>
      </c>
      <c r="G18056" s="3" t="n">
        <v>29487.49</v>
      </c>
    </row>
    <row r="18057">
      <c r="A18057" s="3" t="inlineStr">
        <is>
          <t>Quinate Consulting (Pty) Ltd</t>
        </is>
      </c>
      <c r="B18057" s="4" t="n">
        <v>45322</v>
      </c>
      <c r="C18057" s="3" t="inlineStr">
        <is>
          <t>Assets</t>
        </is>
      </c>
      <c r="D18057" s="3" t="inlineStr">
        <is>
          <t>8200/010</t>
        </is>
      </c>
      <c r="E18057" s="3" t="inlineStr">
        <is>
          <t>Prepayments / Prepaid Expenses</t>
        </is>
      </c>
      <c r="F18057" s="3" t="n">
        <v>0</v>
      </c>
      <c r="G18057" s="3" t="n">
        <v>109675</v>
      </c>
    </row>
    <row r="18058">
      <c r="A18058" s="3" t="inlineStr">
        <is>
          <t>Opportunity Management Holdings (PTY) LTD</t>
        </is>
      </c>
      <c r="B18058" s="4" t="n">
        <v>45322</v>
      </c>
      <c r="C18058" s="3" t="inlineStr">
        <is>
          <t>Assets</t>
        </is>
      </c>
      <c r="D18058" s="3" t="inlineStr">
        <is>
          <t>8200/020</t>
        </is>
      </c>
      <c r="E18058" s="3" t="inlineStr">
        <is>
          <t>Staff Loan - Nicolene Smit</t>
        </is>
      </c>
      <c r="F18058" s="3" t="n">
        <v>-500</v>
      </c>
      <c r="G18058" s="3" t="n">
        <v>1500</v>
      </c>
    </row>
    <row r="18059">
      <c r="A18059" s="3" t="inlineStr">
        <is>
          <t>Opportunity Global Sales (PTY) LTD</t>
        </is>
      </c>
      <c r="B18059" s="4" t="n">
        <v>45322</v>
      </c>
      <c r="C18059" s="3" t="inlineStr">
        <is>
          <t>Assets</t>
        </is>
      </c>
      <c r="D18059" s="3" t="inlineStr">
        <is>
          <t>8300/200</t>
        </is>
      </c>
      <c r="E18059" s="3" t="inlineStr">
        <is>
          <t>Staff Loan - Mario Stoop</t>
        </is>
      </c>
      <c r="F18059" s="3" t="n">
        <v>-1500</v>
      </c>
      <c r="G18059" s="3" t="n">
        <v>4500</v>
      </c>
    </row>
    <row r="18060">
      <c r="A18060" s="3" t="inlineStr">
        <is>
          <t>Opportunity Global Investment (PTY) LTD</t>
        </is>
      </c>
      <c r="B18060" s="4" t="n">
        <v>45322</v>
      </c>
      <c r="C18060" s="3" t="inlineStr">
        <is>
          <t>Assets</t>
        </is>
      </c>
      <c r="D18060" s="3" t="inlineStr">
        <is>
          <t>8400/000</t>
        </is>
      </c>
      <c r="E18060" s="3" t="inlineStr">
        <is>
          <t>FNB 62093491696</t>
        </is>
      </c>
      <c r="F18060" s="3" t="n">
        <v>7520.18</v>
      </c>
      <c r="G18060" s="3" t="n">
        <v>56567.35</v>
      </c>
    </row>
    <row r="18061">
      <c r="A18061" s="3" t="inlineStr">
        <is>
          <t>Opportunity Global Sales (PTY) LTD</t>
        </is>
      </c>
      <c r="B18061" s="4" t="n">
        <v>45322</v>
      </c>
      <c r="C18061" s="3" t="inlineStr">
        <is>
          <t>Assets</t>
        </is>
      </c>
      <c r="D18061" s="3" t="inlineStr">
        <is>
          <t>8400/000</t>
        </is>
      </c>
      <c r="E18061" s="3" t="inlineStr">
        <is>
          <t>FNB 62835620875</t>
        </is>
      </c>
      <c r="F18061" s="3" t="n">
        <v>26224.37</v>
      </c>
      <c r="G18061" s="3" t="n">
        <v>53494.93</v>
      </c>
    </row>
    <row r="18062">
      <c r="A18062" s="3" t="inlineStr">
        <is>
          <t>Quinate Consulting (Pty) Ltd</t>
        </is>
      </c>
      <c r="B18062" s="4" t="n">
        <v>45322</v>
      </c>
      <c r="C18062" s="3" t="inlineStr">
        <is>
          <t>Assets</t>
        </is>
      </c>
      <c r="D18062" s="3" t="inlineStr">
        <is>
          <t>8400/000</t>
        </is>
      </c>
      <c r="E18062" s="3" t="inlineStr">
        <is>
          <t>RMB - 62736659189 - Call Acc</t>
        </is>
      </c>
      <c r="F18062" s="3" t="n">
        <v>-1800000</v>
      </c>
      <c r="G18062" s="3" t="n">
        <v>1278619.83</v>
      </c>
    </row>
    <row r="18063">
      <c r="A18063" s="3" t="inlineStr">
        <is>
          <t>Trademark Holdings (Pty) Ltd</t>
        </is>
      </c>
      <c r="B18063" s="4" t="n">
        <v>45322</v>
      </c>
      <c r="C18063" s="3" t="inlineStr">
        <is>
          <t>Assets</t>
        </is>
      </c>
      <c r="D18063" s="3" t="inlineStr">
        <is>
          <t>8400/000</t>
        </is>
      </c>
      <c r="E18063" s="3" t="inlineStr">
        <is>
          <t>RMB 623 693 03640</t>
        </is>
      </c>
      <c r="F18063" s="3" t="n">
        <v>-41507.99</v>
      </c>
      <c r="G18063" s="3" t="n">
        <v>40017.69</v>
      </c>
    </row>
    <row r="18064">
      <c r="A18064" s="3" t="inlineStr">
        <is>
          <t>Noble Shield (Pty) Ltd ta Go Letting</t>
        </is>
      </c>
      <c r="B18064" s="4" t="n">
        <v>45322</v>
      </c>
      <c r="C18064" s="3" t="inlineStr">
        <is>
          <t>Assets</t>
        </is>
      </c>
      <c r="D18064" s="3" t="inlineStr">
        <is>
          <t>8400/000</t>
        </is>
      </c>
      <c r="E18064" s="3" t="inlineStr">
        <is>
          <t>RMB 6250 573 3833</t>
        </is>
      </c>
      <c r="F18064" s="3" t="n">
        <v>-9662.75</v>
      </c>
      <c r="G18064" s="3" t="n">
        <v>44398</v>
      </c>
    </row>
    <row r="18065">
      <c r="A18065" s="3" t="inlineStr">
        <is>
          <t>Endulini (Pty) Ltd</t>
        </is>
      </c>
      <c r="B18065" s="4" t="n">
        <v>45322</v>
      </c>
      <c r="C18065" s="3" t="inlineStr">
        <is>
          <t>Assets</t>
        </is>
      </c>
      <c r="D18065" s="3" t="inlineStr">
        <is>
          <t>8400/000</t>
        </is>
      </c>
      <c r="E18065" s="3" t="inlineStr">
        <is>
          <t>RMB 62906944576</t>
        </is>
      </c>
      <c r="F18065" s="3" t="n">
        <v>-123972.54</v>
      </c>
      <c r="G18065" s="3" t="n">
        <v>25470.03</v>
      </c>
    </row>
    <row r="18066">
      <c r="A18066" s="3" t="inlineStr">
        <is>
          <t>Opportunity Management Holdings (PTY) LTD</t>
        </is>
      </c>
      <c r="B18066" s="4" t="n">
        <v>45322</v>
      </c>
      <c r="C18066" s="3" t="inlineStr">
        <is>
          <t>Assets</t>
        </is>
      </c>
      <c r="D18066" s="3" t="inlineStr">
        <is>
          <t>8400/000</t>
        </is>
      </c>
      <c r="E18066" s="3" t="inlineStr">
        <is>
          <t>RMB Cheq - 62312246920</t>
        </is>
      </c>
      <c r="F18066" s="3" t="n">
        <v>22684.95</v>
      </c>
      <c r="G18066" s="3" t="n">
        <v>130002.15</v>
      </c>
    </row>
    <row r="18067">
      <c r="A18067" s="3" t="inlineStr">
        <is>
          <t>Opportunity Global Investment (PTY) LTD</t>
        </is>
      </c>
      <c r="B18067" s="4" t="n">
        <v>45322</v>
      </c>
      <c r="C18067" s="3" t="inlineStr">
        <is>
          <t>Assets</t>
        </is>
      </c>
      <c r="D18067" s="3" t="inlineStr">
        <is>
          <t>8405/000</t>
        </is>
      </c>
      <c r="E18067" s="3" t="inlineStr">
        <is>
          <t>FNB Trust 62762449265</t>
        </is>
      </c>
      <c r="F18067" s="3" t="n">
        <v>0</v>
      </c>
      <c r="G18067" s="3" t="n">
        <v>1141.1</v>
      </c>
    </row>
    <row r="18068">
      <c r="A18068" s="3" t="inlineStr">
        <is>
          <t>Endulini (Pty) Ltd</t>
        </is>
      </c>
      <c r="B18068" s="4" t="n">
        <v>45322</v>
      </c>
      <c r="C18068" s="3" t="inlineStr">
        <is>
          <t>Assets</t>
        </is>
      </c>
      <c r="D18068" s="3" t="inlineStr">
        <is>
          <t>8410/000</t>
        </is>
      </c>
      <c r="E18068" s="3" t="inlineStr">
        <is>
          <t>Momentum Investor Account : RU 502229883</t>
        </is>
      </c>
      <c r="F18068" s="3" t="n">
        <v>0</v>
      </c>
      <c r="G18068" s="3" t="n">
        <v>24.03</v>
      </c>
    </row>
    <row r="18069">
      <c r="A18069" s="3" t="inlineStr">
        <is>
          <t>Opportunity Management Holdings (PTY) LTD</t>
        </is>
      </c>
      <c r="B18069" s="4" t="n">
        <v>45322</v>
      </c>
      <c r="C18069" s="3" t="inlineStr">
        <is>
          <t>Assets</t>
        </is>
      </c>
      <c r="D18069" s="3" t="inlineStr">
        <is>
          <t>8410/000</t>
        </is>
      </c>
      <c r="E18069" s="3" t="inlineStr">
        <is>
          <t>RMB Call Acc - 62312248851</t>
        </is>
      </c>
      <c r="F18069" s="3" t="n">
        <v>0</v>
      </c>
      <c r="G18069" s="3" t="n">
        <v>1432.34</v>
      </c>
    </row>
    <row r="18070">
      <c r="A18070" s="3" t="inlineStr">
        <is>
          <t>Noble Shield (Pty) Ltd ta Go Letting</t>
        </is>
      </c>
      <c r="B18070" s="4" t="n">
        <v>45322</v>
      </c>
      <c r="C18070" s="3" t="inlineStr">
        <is>
          <t>Assets</t>
        </is>
      </c>
      <c r="D18070" s="3" t="inlineStr">
        <is>
          <t>8410/000</t>
        </is>
      </c>
      <c r="E18070" s="3" t="inlineStr">
        <is>
          <t>RMB Trust Acc - 6250 615 1365</t>
        </is>
      </c>
      <c r="F18070" s="3" t="n">
        <v>0</v>
      </c>
      <c r="G18070" s="3" t="n">
        <v>881.61</v>
      </c>
    </row>
    <row r="18071">
      <c r="A18071" s="3" t="inlineStr">
        <is>
          <t>Quinate Consulting (Pty) Ltd</t>
        </is>
      </c>
      <c r="B18071" s="4" t="n">
        <v>45322</v>
      </c>
      <c r="C18071" s="3" t="inlineStr">
        <is>
          <t>Assets</t>
        </is>
      </c>
      <c r="D18071" s="3" t="inlineStr">
        <is>
          <t>8415/000</t>
        </is>
      </c>
      <c r="E18071" s="3" t="inlineStr">
        <is>
          <t>STD Acc 071 958 959 - Facility Acc</t>
        </is>
      </c>
      <c r="F18071" s="3" t="n">
        <v>0</v>
      </c>
      <c r="G18071" s="3" t="n">
        <v>2616.21</v>
      </c>
    </row>
    <row r="18072">
      <c r="A18072" s="3" t="inlineStr">
        <is>
          <t>Trademark Holdings (Pty) Ltd</t>
        </is>
      </c>
      <c r="B18072" s="4" t="n">
        <v>45322</v>
      </c>
      <c r="C18072" s="3" t="inlineStr">
        <is>
          <t>Assets</t>
        </is>
      </c>
      <c r="D18072" s="3" t="inlineStr">
        <is>
          <t>8420/000</t>
        </is>
      </c>
      <c r="E18072" s="3" t="inlineStr">
        <is>
          <t>FNB Credit Card</t>
        </is>
      </c>
      <c r="F18072" s="3" t="n">
        <v>52</v>
      </c>
      <c r="G18072" s="3" t="n">
        <v>624</v>
      </c>
    </row>
    <row r="18073">
      <c r="A18073" s="3" t="inlineStr">
        <is>
          <t>Quinate Consulting (Pty) Ltd</t>
        </is>
      </c>
      <c r="B18073" s="4" t="n">
        <v>45322</v>
      </c>
      <c r="C18073" s="3" t="inlineStr">
        <is>
          <t>Assets</t>
        </is>
      </c>
      <c r="D18073" s="3" t="inlineStr">
        <is>
          <t>8430/000</t>
        </is>
      </c>
      <c r="E18073" s="3" t="inlineStr">
        <is>
          <t>Momentum Investment Acc - RU502230185</t>
        </is>
      </c>
      <c r="F18073" s="3" t="n">
        <v>0</v>
      </c>
      <c r="G18073" s="3" t="n">
        <v>563.74</v>
      </c>
    </row>
    <row r="18074">
      <c r="A18074" s="3" t="inlineStr">
        <is>
          <t>Opportunity Global Investment (PTY) LTD</t>
        </is>
      </c>
      <c r="B18074" s="4" t="n">
        <v>45322</v>
      </c>
      <c r="C18074" s="3" t="inlineStr">
        <is>
          <t>Assets</t>
        </is>
      </c>
      <c r="D18074" s="3" t="inlineStr">
        <is>
          <t>8440/000</t>
        </is>
      </c>
      <c r="E18074" s="3" t="inlineStr">
        <is>
          <t>FNB - Call 627602764438</t>
        </is>
      </c>
      <c r="F18074" s="3" t="n">
        <v>-3.16</v>
      </c>
      <c r="G18074" s="3" t="n">
        <v>-39161.23</v>
      </c>
    </row>
    <row r="18075">
      <c r="A18075" s="3" t="inlineStr">
        <is>
          <t>Opportunity Global Investment (PTY) LTD</t>
        </is>
      </c>
      <c r="B18075" s="4" t="n">
        <v>45322</v>
      </c>
      <c r="C18075" s="3" t="inlineStr">
        <is>
          <t>Assets</t>
        </is>
      </c>
      <c r="D18075" s="3" t="inlineStr">
        <is>
          <t>8445/000</t>
        </is>
      </c>
      <c r="E18075" s="3" t="inlineStr">
        <is>
          <t>Momentum RU502230096</t>
        </is>
      </c>
      <c r="F18075" s="3" t="n">
        <v>0</v>
      </c>
      <c r="G18075" s="3" t="n">
        <v>4973.81</v>
      </c>
    </row>
    <row r="18076">
      <c r="A18076" s="3" t="inlineStr">
        <is>
          <t>Quinate Consulting (Pty) Ltd</t>
        </is>
      </c>
      <c r="B18076" s="4" t="n">
        <v>45322</v>
      </c>
      <c r="C18076" s="3" t="inlineStr">
        <is>
          <t>Assets</t>
        </is>
      </c>
      <c r="D18076" s="3" t="inlineStr">
        <is>
          <t>8450/000</t>
        </is>
      </c>
      <c r="E18076" s="3" t="inlineStr">
        <is>
          <t>A RMB 62275810820</t>
        </is>
      </c>
      <c r="F18076" s="3" t="n">
        <v>1056758.01</v>
      </c>
      <c r="G18076" s="3" t="n">
        <v>1276459.96</v>
      </c>
    </row>
    <row r="18077">
      <c r="A18077" s="3" t="inlineStr">
        <is>
          <t>Opportunity Management Holdings (PTY) LTD</t>
        </is>
      </c>
      <c r="B18077" s="4" t="n">
        <v>45322</v>
      </c>
      <c r="C18077" s="3" t="inlineStr">
        <is>
          <t>Assets</t>
        </is>
      </c>
      <c r="D18077" s="3" t="inlineStr">
        <is>
          <t>8450/000</t>
        </is>
      </c>
      <c r="E18077" s="3" t="inlineStr">
        <is>
          <t>Petty Cash - CT Office</t>
        </is>
      </c>
      <c r="F18077" s="3" t="n">
        <v>0</v>
      </c>
      <c r="G18077" s="3" t="n">
        <v>1016.2</v>
      </c>
    </row>
    <row r="18078">
      <c r="A18078" s="3" t="inlineStr">
        <is>
          <t>Quinate Consulting (Pty) Ltd</t>
        </is>
      </c>
      <c r="B18078" s="4" t="n">
        <v>45322</v>
      </c>
      <c r="C18078" s="3" t="inlineStr">
        <is>
          <t>Assets</t>
        </is>
      </c>
      <c r="D18078" s="3" t="inlineStr">
        <is>
          <t>8470/000</t>
        </is>
      </c>
      <c r="E18078" s="3" t="inlineStr">
        <is>
          <t>ABSA: Quinate</t>
        </is>
      </c>
      <c r="F18078" s="3" t="n">
        <v>0</v>
      </c>
      <c r="G18078" s="3" t="n">
        <v>500</v>
      </c>
    </row>
    <row r="18079">
      <c r="A18079" s="3" t="inlineStr">
        <is>
          <t>Quinate Consulting (Pty) Ltd</t>
        </is>
      </c>
      <c r="B18079" s="4" t="n">
        <v>45322</v>
      </c>
      <c r="C18079" s="3" t="inlineStr">
        <is>
          <t>Liabilities</t>
        </is>
      </c>
      <c r="D18079" s="3" t="inlineStr">
        <is>
          <t>8480/100</t>
        </is>
      </c>
      <c r="E18079" s="3" t="inlineStr">
        <is>
          <t>Bond - SH20 - STD Bank 532010558</t>
        </is>
      </c>
      <c r="F18079" s="3" t="n">
        <v>16629.24</v>
      </c>
      <c r="G18079" s="3" t="n">
        <v>-1282734.65</v>
      </c>
    </row>
    <row r="18080">
      <c r="A18080" s="3" t="inlineStr">
        <is>
          <t>Quinate Consulting (Pty) Ltd</t>
        </is>
      </c>
      <c r="B18080" s="4" t="n">
        <v>45322</v>
      </c>
      <c r="C18080" s="3" t="inlineStr">
        <is>
          <t>Liabilities</t>
        </is>
      </c>
      <c r="D18080" s="3" t="inlineStr">
        <is>
          <t>8480/200</t>
        </is>
      </c>
      <c r="E18080" s="3" t="inlineStr">
        <is>
          <t>Bond - SH23 - STD Bank 532010035</t>
        </is>
      </c>
      <c r="F18080" s="3" t="n">
        <v>16624.21</v>
      </c>
      <c r="G18080" s="3" t="n">
        <v>-1282624.23</v>
      </c>
    </row>
    <row r="18081">
      <c r="A18081" s="3" t="inlineStr">
        <is>
          <t>Quinate Consulting (Pty) Ltd</t>
        </is>
      </c>
      <c r="B18081" s="4" t="n">
        <v>45322</v>
      </c>
      <c r="C18081" s="3" t="inlineStr">
        <is>
          <t>Liabilities</t>
        </is>
      </c>
      <c r="D18081" s="3" t="inlineStr">
        <is>
          <t>8480/300</t>
        </is>
      </c>
      <c r="E18081" s="3" t="inlineStr">
        <is>
          <t>Bond - SH24 - STD Bank 532372662</t>
        </is>
      </c>
      <c r="F18081" s="3" t="n">
        <v>15793.82</v>
      </c>
      <c r="G18081" s="3" t="n">
        <v>-1396779.12</v>
      </c>
    </row>
    <row r="18082">
      <c r="A18082" s="3" t="inlineStr">
        <is>
          <t>Quinate Consulting (Pty) Ltd</t>
        </is>
      </c>
      <c r="B18082" s="4" t="n">
        <v>45322</v>
      </c>
      <c r="C18082" s="3" t="inlineStr">
        <is>
          <t>Liabilities</t>
        </is>
      </c>
      <c r="D18082" s="3" t="inlineStr">
        <is>
          <t>8480/400</t>
        </is>
      </c>
      <c r="E18082" s="3" t="inlineStr">
        <is>
          <t>Bond - SW01 - STD Bank 532920627</t>
        </is>
      </c>
      <c r="F18082" s="3" t="n">
        <v>13420.79</v>
      </c>
      <c r="G18082" s="3" t="n">
        <v>-1249626.23</v>
      </c>
    </row>
    <row r="18083">
      <c r="A18083" s="3" t="inlineStr">
        <is>
          <t>Quinate Consulting (Pty) Ltd</t>
        </is>
      </c>
      <c r="B18083" s="4" t="n">
        <v>45322</v>
      </c>
      <c r="C18083" s="3" t="inlineStr">
        <is>
          <t>Liabilities</t>
        </is>
      </c>
      <c r="D18083" s="3" t="inlineStr">
        <is>
          <t>8480/401</t>
        </is>
      </c>
      <c r="E18083" s="3" t="inlineStr">
        <is>
          <t>Bond - SW21 - STD Bank 532920597</t>
        </is>
      </c>
      <c r="F18083" s="3" t="n">
        <v>13426.02</v>
      </c>
      <c r="G18083" s="3" t="n">
        <v>-1250122.35</v>
      </c>
    </row>
    <row r="18084">
      <c r="A18084" s="3" t="inlineStr">
        <is>
          <t>Endulini (Pty) Ltd</t>
        </is>
      </c>
      <c r="B18084" s="4" t="n">
        <v>45322</v>
      </c>
      <c r="C18084" s="3" t="inlineStr">
        <is>
          <t>Liabilities</t>
        </is>
      </c>
      <c r="D18084" s="3" t="inlineStr">
        <is>
          <t>860</t>
        </is>
      </c>
      <c r="E18084" s="3" t="inlineStr">
        <is>
          <t>Rounding</t>
        </is>
      </c>
      <c r="F18084" s="3" t="n">
        <v>0</v>
      </c>
      <c r="G18084" s="3" t="n">
        <v>0.04</v>
      </c>
    </row>
    <row r="18085">
      <c r="A18085" s="3" t="inlineStr">
        <is>
          <t>Opportunity Global Investment (PTY) LTD</t>
        </is>
      </c>
      <c r="B18085" s="4" t="n">
        <v>45322</v>
      </c>
      <c r="C18085" s="3" t="inlineStr">
        <is>
          <t>Liabilities</t>
        </is>
      </c>
      <c r="D18085" s="3" t="inlineStr">
        <is>
          <t>860</t>
        </is>
      </c>
      <c r="E18085" s="3" t="inlineStr">
        <is>
          <t>Rounding</t>
        </is>
      </c>
      <c r="F18085" s="3" t="n">
        <v>0</v>
      </c>
      <c r="G18085" s="3" t="n">
        <v>-0.29</v>
      </c>
    </row>
    <row r="18086">
      <c r="A18086" s="3" t="inlineStr">
        <is>
          <t>Opportunity Global Sales (PTY) LTD</t>
        </is>
      </c>
      <c r="B18086" s="4" t="n">
        <v>45322</v>
      </c>
      <c r="C18086" s="3" t="inlineStr">
        <is>
          <t>Liabilities</t>
        </is>
      </c>
      <c r="D18086" s="3" t="inlineStr">
        <is>
          <t>860</t>
        </is>
      </c>
      <c r="E18086" s="3" t="inlineStr">
        <is>
          <t>Rounding</t>
        </is>
      </c>
      <c r="F18086" s="3" t="n">
        <v>-0.01</v>
      </c>
      <c r="G18086" s="3" t="n">
        <v>-0.99</v>
      </c>
    </row>
    <row r="18087">
      <c r="A18087" s="3" t="inlineStr">
        <is>
          <t>Opportunity Management Holdings (PTY) LTD</t>
        </is>
      </c>
      <c r="B18087" s="4" t="n">
        <v>45322</v>
      </c>
      <c r="C18087" s="3" t="inlineStr">
        <is>
          <t>Liabilities</t>
        </is>
      </c>
      <c r="D18087" s="3" t="inlineStr">
        <is>
          <t>860</t>
        </is>
      </c>
      <c r="E18087" s="3" t="inlineStr">
        <is>
          <t>Rounding</t>
        </is>
      </c>
      <c r="F18087" s="3" t="n">
        <v>0</v>
      </c>
      <c r="G18087" s="3" t="n">
        <v>-0.01</v>
      </c>
    </row>
    <row r="18088">
      <c r="A18088" s="3" t="inlineStr">
        <is>
          <t>Quinate Consulting (Pty) Ltd</t>
        </is>
      </c>
      <c r="B18088" s="4" t="n">
        <v>45322</v>
      </c>
      <c r="C18088" s="3" t="inlineStr">
        <is>
          <t>Liabilities</t>
        </is>
      </c>
      <c r="D18088" s="3" t="inlineStr">
        <is>
          <t>860</t>
        </is>
      </c>
      <c r="E18088" s="3" t="inlineStr">
        <is>
          <t>Rounding</t>
        </is>
      </c>
      <c r="F18088" s="3" t="n">
        <v>-0.39</v>
      </c>
      <c r="G18088" s="3" t="n">
        <v>-4.96</v>
      </c>
    </row>
    <row r="18089">
      <c r="A18089" s="3" t="inlineStr">
        <is>
          <t>Trademark Holdings (Pty) Ltd</t>
        </is>
      </c>
      <c r="B18089" s="4" t="n">
        <v>45322</v>
      </c>
      <c r="C18089" s="3" t="inlineStr">
        <is>
          <t>Liabilities</t>
        </is>
      </c>
      <c r="D18089" s="3" t="inlineStr">
        <is>
          <t>860</t>
        </is>
      </c>
      <c r="E18089" s="3" t="inlineStr">
        <is>
          <t>Rounding</t>
        </is>
      </c>
      <c r="F18089" s="3" t="n">
        <v>0</v>
      </c>
      <c r="G18089" s="3" t="n">
        <v>0.2</v>
      </c>
    </row>
    <row r="18090">
      <c r="A18090" s="3" t="inlineStr">
        <is>
          <t>Endulini (Pty) Ltd</t>
        </is>
      </c>
      <c r="B18090" s="4" t="n">
        <v>45322</v>
      </c>
      <c r="C18090" s="3" t="inlineStr">
        <is>
          <t>Liabilities</t>
        </is>
      </c>
      <c r="D18090" s="3" t="inlineStr">
        <is>
          <t>9000/000</t>
        </is>
      </c>
      <c r="E18090" s="3" t="inlineStr">
        <is>
          <t>Supplier Control Account</t>
        </is>
      </c>
      <c r="F18090" s="3" t="n">
        <v>330652.03</v>
      </c>
      <c r="G18090" s="3" t="n">
        <v>-340648.71</v>
      </c>
    </row>
    <row r="18091">
      <c r="A18091" s="3" t="inlineStr">
        <is>
          <t>Noble Shield (Pty) Ltd ta Go Letting</t>
        </is>
      </c>
      <c r="B18091" s="4" t="n">
        <v>45322</v>
      </c>
      <c r="C18091" s="3" t="inlineStr">
        <is>
          <t>Liabilities</t>
        </is>
      </c>
      <c r="D18091" s="3" t="inlineStr">
        <is>
          <t>9000/000</t>
        </is>
      </c>
      <c r="E18091" s="3" t="inlineStr">
        <is>
          <t>Supplier Control Account</t>
        </is>
      </c>
      <c r="F18091" s="3" t="n">
        <v>549.63</v>
      </c>
      <c r="G18091" s="3" t="n">
        <v>-23820</v>
      </c>
    </row>
    <row r="18092">
      <c r="A18092" s="3" t="inlineStr">
        <is>
          <t>Opportunity Global Investment (PTY) LTD</t>
        </is>
      </c>
      <c r="B18092" s="4" t="n">
        <v>45322</v>
      </c>
      <c r="C18092" s="3" t="inlineStr">
        <is>
          <t>Liabilities</t>
        </is>
      </c>
      <c r="D18092" s="3" t="inlineStr">
        <is>
          <t>9000/000</t>
        </is>
      </c>
      <c r="E18092" s="3" t="inlineStr">
        <is>
          <t>Supplier Control Account</t>
        </is>
      </c>
      <c r="F18092" s="3" t="n">
        <v>-154767</v>
      </c>
      <c r="G18092" s="3" t="n">
        <v>-113419.16</v>
      </c>
    </row>
    <row r="18093">
      <c r="A18093" s="3" t="inlineStr">
        <is>
          <t>Opportunity Global Sales (PTY) LTD</t>
        </is>
      </c>
      <c r="B18093" s="4" t="n">
        <v>45322</v>
      </c>
      <c r="C18093" s="3" t="inlineStr">
        <is>
          <t>Liabilities</t>
        </is>
      </c>
      <c r="D18093" s="3" t="inlineStr">
        <is>
          <t>9000/000</t>
        </is>
      </c>
      <c r="E18093" s="3" t="inlineStr">
        <is>
          <t>Supplier Control Account</t>
        </is>
      </c>
      <c r="F18093" s="3" t="n">
        <v>0</v>
      </c>
      <c r="G18093" s="3" t="n">
        <v>-3816.91</v>
      </c>
    </row>
    <row r="18094">
      <c r="A18094" s="3" t="inlineStr">
        <is>
          <t>Opportunity Management Holdings (PTY) LTD</t>
        </is>
      </c>
      <c r="B18094" s="4" t="n">
        <v>45322</v>
      </c>
      <c r="C18094" s="3" t="inlineStr">
        <is>
          <t>Liabilities</t>
        </is>
      </c>
      <c r="D18094" s="3" t="inlineStr">
        <is>
          <t>9000/000</t>
        </is>
      </c>
      <c r="E18094" s="3" t="inlineStr">
        <is>
          <t>Supplier Control Account</t>
        </is>
      </c>
      <c r="F18094" s="3" t="n">
        <v>-1240.95</v>
      </c>
      <c r="G18094" s="3" t="n">
        <v>-286428.77</v>
      </c>
    </row>
    <row r="18095">
      <c r="A18095" s="3" t="inlineStr">
        <is>
          <t>Quinate Consulting (Pty) Ltd</t>
        </is>
      </c>
      <c r="B18095" s="4" t="n">
        <v>45322</v>
      </c>
      <c r="C18095" s="3" t="inlineStr">
        <is>
          <t>Liabilities</t>
        </is>
      </c>
      <c r="D18095" s="3" t="inlineStr">
        <is>
          <t>9000/000</t>
        </is>
      </c>
      <c r="E18095" s="3" t="inlineStr">
        <is>
          <t>Supplier Control Account</t>
        </is>
      </c>
      <c r="F18095" s="3" t="n">
        <v>-65803</v>
      </c>
      <c r="G18095" s="3" t="n">
        <v>431625.18</v>
      </c>
    </row>
    <row r="18096">
      <c r="A18096" s="3" t="inlineStr">
        <is>
          <t>Trademark Holdings (Pty) Ltd</t>
        </is>
      </c>
      <c r="B18096" s="4" t="n">
        <v>45322</v>
      </c>
      <c r="C18096" s="3" t="inlineStr">
        <is>
          <t>Liabilities</t>
        </is>
      </c>
      <c r="D18096" s="3" t="inlineStr">
        <is>
          <t>9000/000</t>
        </is>
      </c>
      <c r="E18096" s="3" t="inlineStr">
        <is>
          <t>Supplier Control Account</t>
        </is>
      </c>
      <c r="F18096" s="3" t="n">
        <v>-414.79</v>
      </c>
      <c r="G18096" s="3" t="n">
        <v>-16502.41</v>
      </c>
    </row>
    <row r="18097">
      <c r="A18097" s="3" t="inlineStr">
        <is>
          <t>Quinate Consulting (Pty) Ltd</t>
        </is>
      </c>
      <c r="B18097" s="4" t="n">
        <v>45322</v>
      </c>
      <c r="C18097" s="3" t="inlineStr">
        <is>
          <t>Liabilities</t>
        </is>
      </c>
      <c r="D18097" s="3" t="inlineStr">
        <is>
          <t>9001</t>
        </is>
      </c>
      <c r="E18097" s="3" t="inlineStr">
        <is>
          <t>Supplier Control</t>
        </is>
      </c>
      <c r="F18097" s="3" t="n">
        <v>0</v>
      </c>
      <c r="G18097" s="3" t="n">
        <v>-347315.41</v>
      </c>
    </row>
    <row r="18098">
      <c r="A18098" s="3" t="inlineStr">
        <is>
          <t>Opportunity Management Holdings (PTY) LTD</t>
        </is>
      </c>
      <c r="B18098" s="4" t="n">
        <v>45322</v>
      </c>
      <c r="C18098" s="3" t="inlineStr">
        <is>
          <t>Liabilities</t>
        </is>
      </c>
      <c r="D18098" s="3" t="inlineStr">
        <is>
          <t>9100/000</t>
        </is>
      </c>
      <c r="E18098" s="3" t="inlineStr">
        <is>
          <t>PAYE/UIF/SDL Accrual - Prior Years ADJ</t>
        </is>
      </c>
      <c r="F18098" s="3" t="n">
        <v>0</v>
      </c>
      <c r="G18098" s="3" t="n">
        <v>-33739.36</v>
      </c>
    </row>
    <row r="18099">
      <c r="A18099" s="3" t="inlineStr">
        <is>
          <t>Opportunity Management Holdings (PTY) LTD</t>
        </is>
      </c>
      <c r="B18099" s="4" t="n">
        <v>45322</v>
      </c>
      <c r="C18099" s="3" t="inlineStr">
        <is>
          <t>Assets</t>
        </is>
      </c>
      <c r="D18099" s="3" t="inlineStr">
        <is>
          <t>9110/000</t>
        </is>
      </c>
      <c r="E18099" s="3" t="inlineStr">
        <is>
          <t>Deposit Received</t>
        </is>
      </c>
      <c r="F18099" s="3" t="n">
        <v>0</v>
      </c>
      <c r="G18099" s="3" t="n">
        <v>-3852.5</v>
      </c>
    </row>
    <row r="18100">
      <c r="A18100" s="3" t="inlineStr">
        <is>
          <t>Opportunity Global Investment (PTY) LTD</t>
        </is>
      </c>
      <c r="B18100" s="4" t="n">
        <v>45322</v>
      </c>
      <c r="C18100" s="3" t="inlineStr">
        <is>
          <t>Liabilities</t>
        </is>
      </c>
      <c r="D18100" s="3" t="inlineStr">
        <is>
          <t>9110/000</t>
        </is>
      </c>
      <c r="E18100" s="3" t="inlineStr">
        <is>
          <t>Taxation B/S</t>
        </is>
      </c>
      <c r="F18100" s="3" t="n">
        <v>0</v>
      </c>
      <c r="G18100" s="3" t="n">
        <v>67163.81</v>
      </c>
    </row>
    <row r="18101">
      <c r="A18101" s="3" t="inlineStr">
        <is>
          <t>Noble Shield (Pty) Ltd ta Go Letting</t>
        </is>
      </c>
      <c r="B18101" s="4" t="n">
        <v>45322</v>
      </c>
      <c r="C18101" s="3" t="inlineStr">
        <is>
          <t>Liabilities</t>
        </is>
      </c>
      <c r="D18101" s="3" t="inlineStr">
        <is>
          <t>9250/010</t>
        </is>
      </c>
      <c r="E18101" s="3" t="inlineStr">
        <is>
          <t>SALARY CONTROL</t>
        </is>
      </c>
      <c r="F18101" s="3" t="n">
        <v>1757.97</v>
      </c>
      <c r="G18101" s="3" t="n">
        <v>-18457.95</v>
      </c>
    </row>
    <row r="18102">
      <c r="A18102" s="3" t="inlineStr">
        <is>
          <t>Opportunity Global Investment (PTY) LTD</t>
        </is>
      </c>
      <c r="B18102" s="4" t="n">
        <v>45322</v>
      </c>
      <c r="C18102" s="3" t="inlineStr">
        <is>
          <t>Liabilities</t>
        </is>
      </c>
      <c r="D18102" s="3" t="inlineStr">
        <is>
          <t>9250/010</t>
        </is>
      </c>
      <c r="E18102" s="3" t="inlineStr">
        <is>
          <t>SALARY CONTROL</t>
        </is>
      </c>
      <c r="F18102" s="3" t="n">
        <v>-4999.99</v>
      </c>
      <c r="G18102" s="3" t="n">
        <v>0.01</v>
      </c>
    </row>
    <row r="18103">
      <c r="A18103" s="3" t="inlineStr">
        <is>
          <t>Opportunity Global Sales (PTY) LTD</t>
        </is>
      </c>
      <c r="B18103" s="4" t="n">
        <v>45322</v>
      </c>
      <c r="C18103" s="3" t="inlineStr">
        <is>
          <t>Liabilities</t>
        </is>
      </c>
      <c r="D18103" s="3" t="inlineStr">
        <is>
          <t>9250/010</t>
        </is>
      </c>
      <c r="E18103" s="3" t="inlineStr">
        <is>
          <t>SALARY CONTROL</t>
        </is>
      </c>
      <c r="F18103" s="3" t="n">
        <v>9000</v>
      </c>
      <c r="G18103" s="3" t="n">
        <v>-2031.61</v>
      </c>
    </row>
    <row r="18104">
      <c r="A18104" s="3" t="inlineStr">
        <is>
          <t>Opportunity Management Holdings (PTY) LTD</t>
        </is>
      </c>
      <c r="B18104" s="4" t="n">
        <v>45322</v>
      </c>
      <c r="C18104" s="3" t="inlineStr">
        <is>
          <t>Liabilities</t>
        </is>
      </c>
      <c r="D18104" s="3" t="inlineStr">
        <is>
          <t>9250/010</t>
        </is>
      </c>
      <c r="E18104" s="3" t="inlineStr">
        <is>
          <t>SALARY CONTROL</t>
        </is>
      </c>
      <c r="F18104" s="3" t="n">
        <v>-9241.74</v>
      </c>
      <c r="G18104" s="3" t="n">
        <v>0</v>
      </c>
    </row>
    <row r="18105">
      <c r="A18105" s="3" t="inlineStr">
        <is>
          <t>Trademark Holdings (Pty) Ltd</t>
        </is>
      </c>
      <c r="B18105" s="4" t="n">
        <v>45322</v>
      </c>
      <c r="C18105" s="3" t="inlineStr">
        <is>
          <t>Liabilities</t>
        </is>
      </c>
      <c r="D18105" s="3" t="inlineStr">
        <is>
          <t>9250/010</t>
        </is>
      </c>
      <c r="E18105" s="3" t="inlineStr">
        <is>
          <t>SALARY CONTROL</t>
        </is>
      </c>
      <c r="F18105" s="3" t="n">
        <v>1332.42</v>
      </c>
      <c r="G18105" s="3" t="n">
        <v>-18458.73</v>
      </c>
    </row>
    <row r="18106">
      <c r="A18106" s="3" t="inlineStr">
        <is>
          <t>Noble Shield (Pty) Ltd ta Go Letting</t>
        </is>
      </c>
      <c r="B18106" s="4" t="n">
        <v>45322</v>
      </c>
      <c r="C18106" s="3" t="inlineStr">
        <is>
          <t>Liabilities</t>
        </is>
      </c>
      <c r="D18106" s="3" t="inlineStr">
        <is>
          <t>9250/020</t>
        </is>
      </c>
      <c r="E18106" s="3" t="inlineStr">
        <is>
          <t>PAYE, UIF AND SDL CONTROL</t>
        </is>
      </c>
      <c r="F18106" s="3" t="n">
        <v>641.41</v>
      </c>
      <c r="G18106" s="3" t="n">
        <v>-6036.62</v>
      </c>
    </row>
    <row r="18107">
      <c r="A18107" s="3" t="inlineStr">
        <is>
          <t>Opportunity Global Investment (PTY) LTD</t>
        </is>
      </c>
      <c r="B18107" s="4" t="n">
        <v>45322</v>
      </c>
      <c r="C18107" s="3" t="inlineStr">
        <is>
          <t>Liabilities</t>
        </is>
      </c>
      <c r="D18107" s="3" t="inlineStr">
        <is>
          <t>9250/020</t>
        </is>
      </c>
      <c r="E18107" s="3" t="inlineStr">
        <is>
          <t>PAYE, UIF AND SDL CONTROL</t>
        </is>
      </c>
      <c r="F18107" s="3" t="n">
        <v>-20466.05</v>
      </c>
      <c r="G18107" s="3" t="n">
        <v>-86798.05</v>
      </c>
    </row>
    <row r="18108">
      <c r="A18108" s="3" t="inlineStr">
        <is>
          <t>Opportunity Management Holdings (PTY) LTD</t>
        </is>
      </c>
      <c r="B18108" s="4" t="n">
        <v>45322</v>
      </c>
      <c r="C18108" s="3" t="inlineStr">
        <is>
          <t>Liabilities</t>
        </is>
      </c>
      <c r="D18108" s="3" t="inlineStr">
        <is>
          <t>9250/020</t>
        </is>
      </c>
      <c r="E18108" s="3" t="inlineStr">
        <is>
          <t>PAYE, UIF AND SDL CONTROL</t>
        </is>
      </c>
      <c r="F18108" s="3" t="n">
        <v>0</v>
      </c>
      <c r="G18108" s="3" t="n">
        <v>-44239.57</v>
      </c>
    </row>
    <row r="18109">
      <c r="A18109" s="3" t="inlineStr">
        <is>
          <t>Quinate Consulting (Pty) Ltd</t>
        </is>
      </c>
      <c r="B18109" s="4" t="n">
        <v>45322</v>
      </c>
      <c r="C18109" s="3" t="inlineStr">
        <is>
          <t>Liabilities</t>
        </is>
      </c>
      <c r="D18109" s="3" t="inlineStr">
        <is>
          <t>9250/020</t>
        </is>
      </c>
      <c r="E18109" s="3" t="inlineStr">
        <is>
          <t>PAYE, UIF AND SDL CONTROL</t>
        </is>
      </c>
      <c r="F18109" s="3" t="n">
        <v>0</v>
      </c>
      <c r="G18109" s="3" t="n">
        <v>-10759.36</v>
      </c>
    </row>
    <row r="18110">
      <c r="A18110" s="3" t="inlineStr">
        <is>
          <t>Trademark Holdings (Pty) Ltd</t>
        </is>
      </c>
      <c r="B18110" s="4" t="n">
        <v>45322</v>
      </c>
      <c r="C18110" s="3" t="inlineStr">
        <is>
          <t>Liabilities</t>
        </is>
      </c>
      <c r="D18110" s="3" t="inlineStr">
        <is>
          <t>9250/020</t>
        </is>
      </c>
      <c r="E18110" s="3" t="inlineStr">
        <is>
          <t>PAYE, UIF AND SDL CONTROL</t>
        </is>
      </c>
      <c r="F18110" s="3" t="n">
        <v>487.26</v>
      </c>
      <c r="G18110" s="3" t="n">
        <v>-5222.21</v>
      </c>
    </row>
    <row r="18111">
      <c r="A18111" s="3" t="inlineStr">
        <is>
          <t>Opportunity Global Investment (PTY) LTD</t>
        </is>
      </c>
      <c r="B18111" s="4" t="n">
        <v>45322</v>
      </c>
      <c r="C18111" s="3" t="inlineStr">
        <is>
          <t>Liabilities</t>
        </is>
      </c>
      <c r="D18111" s="3" t="inlineStr">
        <is>
          <t>9400/030</t>
        </is>
      </c>
      <c r="E18111" s="3" t="inlineStr">
        <is>
          <t>Accrued Expenses - PAYE_AND_UIF</t>
        </is>
      </c>
      <c r="F18111" s="3" t="n">
        <v>0</v>
      </c>
      <c r="G18111" s="3" t="n">
        <v>-2</v>
      </c>
    </row>
    <row r="18112">
      <c r="A18112" s="3" t="inlineStr">
        <is>
          <t>Trademark Holdings (Pty) Ltd</t>
        </is>
      </c>
      <c r="B18112" s="4" t="n">
        <v>45322</v>
      </c>
      <c r="C18112" s="3" t="inlineStr">
        <is>
          <t>Liabilities</t>
        </is>
      </c>
      <c r="D18112" s="3" t="inlineStr">
        <is>
          <t>9400/400</t>
        </is>
      </c>
      <c r="E18112" s="3" t="inlineStr">
        <is>
          <t>Deemed Dividend Tax</t>
        </is>
      </c>
      <c r="F18112" s="3" t="n">
        <v>0</v>
      </c>
      <c r="G18112" s="3" t="n">
        <v>-699.13</v>
      </c>
    </row>
    <row r="18113">
      <c r="A18113" s="3" t="inlineStr">
        <is>
          <t>Opportunity Global Investment (PTY) LTD</t>
        </is>
      </c>
      <c r="B18113" s="4" t="n">
        <v>45322</v>
      </c>
      <c r="C18113" s="3" t="inlineStr">
        <is>
          <t>Liabilities</t>
        </is>
      </c>
      <c r="D18113" s="3" t="inlineStr">
        <is>
          <t>9500/000</t>
        </is>
      </c>
      <c r="E18113" s="3" t="inlineStr">
        <is>
          <t>VAT Control Account</t>
        </is>
      </c>
      <c r="F18113" s="3" t="n">
        <v>25801.73</v>
      </c>
      <c r="G18113" s="3" t="n">
        <v>1124027.52</v>
      </c>
    </row>
    <row r="18114">
      <c r="A18114" s="3" t="inlineStr">
        <is>
          <t>Opportunity Global Sales (PTY) LTD</t>
        </is>
      </c>
      <c r="B18114" s="4" t="n">
        <v>45322</v>
      </c>
      <c r="C18114" s="3" t="inlineStr">
        <is>
          <t>Liabilities</t>
        </is>
      </c>
      <c r="D18114" s="3" t="inlineStr">
        <is>
          <t>9500/000</t>
        </is>
      </c>
      <c r="E18114" s="3" t="inlineStr">
        <is>
          <t>VAT Control Account</t>
        </is>
      </c>
      <c r="F18114" s="3" t="n">
        <v>-70354.09</v>
      </c>
      <c r="G18114" s="3" t="n">
        <v>-1201301.57</v>
      </c>
    </row>
    <row r="18115">
      <c r="A18115" s="3" t="inlineStr">
        <is>
          <t>Opportunity Management Holdings (PTY) LTD</t>
        </is>
      </c>
      <c r="B18115" s="4" t="n">
        <v>45322</v>
      </c>
      <c r="C18115" s="3" t="inlineStr">
        <is>
          <t>Liabilities</t>
        </is>
      </c>
      <c r="D18115" s="3" t="inlineStr">
        <is>
          <t>9500/000</t>
        </is>
      </c>
      <c r="E18115" s="3" t="inlineStr">
        <is>
          <t>VAT Control Account</t>
        </is>
      </c>
      <c r="F18115" s="3" t="n">
        <v>-46099.52</v>
      </c>
      <c r="G18115" s="3" t="n">
        <v>76376.95</v>
      </c>
    </row>
    <row r="18116">
      <c r="A18116" s="3" t="inlineStr">
        <is>
          <t>Endulini (Pty) Ltd</t>
        </is>
      </c>
      <c r="B18116" s="4" t="n">
        <v>45322</v>
      </c>
      <c r="C18116" s="3" t="inlineStr">
        <is>
          <t>Liabilities</t>
        </is>
      </c>
      <c r="D18116" s="3" t="inlineStr">
        <is>
          <t>9500/000</t>
        </is>
      </c>
      <c r="E18116" s="3" t="inlineStr">
        <is>
          <t>Vat / Tax Control Account</t>
        </is>
      </c>
      <c r="F18116" s="3" t="n">
        <v>6841.72</v>
      </c>
      <c r="G18116" s="3" t="n">
        <v>-3452460.29</v>
      </c>
    </row>
    <row r="18117">
      <c r="A18117" s="3" t="inlineStr">
        <is>
          <t>Noble Shield (Pty) Ltd ta Go Letting</t>
        </is>
      </c>
      <c r="B18117" s="4" t="n">
        <v>45322</v>
      </c>
      <c r="C18117" s="3" t="inlineStr">
        <is>
          <t>Liabilities</t>
        </is>
      </c>
      <c r="D18117" s="3" t="inlineStr">
        <is>
          <t>9500/000</t>
        </is>
      </c>
      <c r="E18117" s="3" t="inlineStr">
        <is>
          <t>Vat / Tax Control Account</t>
        </is>
      </c>
      <c r="F18117" s="3" t="n">
        <v>0</v>
      </c>
      <c r="G18117" s="3" t="n">
        <v>2461.52</v>
      </c>
    </row>
    <row r="18118">
      <c r="A18118" s="3" t="inlineStr">
        <is>
          <t>Quinate Consulting (Pty) Ltd</t>
        </is>
      </c>
      <c r="B18118" s="4" t="n">
        <v>45322</v>
      </c>
      <c r="C18118" s="3" t="inlineStr">
        <is>
          <t>Liabilities</t>
        </is>
      </c>
      <c r="D18118" s="3" t="inlineStr">
        <is>
          <t>9500/000</t>
        </is>
      </c>
      <c r="E18118" s="3" t="inlineStr">
        <is>
          <t>Vat Control Account</t>
        </is>
      </c>
      <c r="F18118" s="3" t="n">
        <v>12589.26</v>
      </c>
      <c r="G18118" s="3" t="n">
        <v>2150280.62</v>
      </c>
    </row>
    <row r="18119">
      <c r="A18119" s="3" t="inlineStr">
        <is>
          <t>Opportunity Management Holdings (PTY) LTD</t>
        </is>
      </c>
      <c r="B18119" s="4" t="n">
        <v>45322</v>
      </c>
      <c r="C18119" s="3" t="inlineStr">
        <is>
          <t>Liabilities</t>
        </is>
      </c>
      <c r="D18119" s="3" t="inlineStr">
        <is>
          <t>9501/000</t>
        </is>
      </c>
      <c r="E18119" s="3" t="inlineStr">
        <is>
          <t>Vat Adjustments - C2M</t>
        </is>
      </c>
      <c r="F18119" s="3" t="n">
        <v>0</v>
      </c>
      <c r="G18119" s="3" t="n">
        <v>47274.04</v>
      </c>
    </row>
    <row r="18120">
      <c r="A18120" s="3" t="inlineStr">
        <is>
          <t>Endulini (Pty) Ltd</t>
        </is>
      </c>
      <c r="B18120" s="4" t="n">
        <v>45322</v>
      </c>
      <c r="C18120" s="3" t="inlineStr">
        <is>
          <t>Liabilities</t>
        </is>
      </c>
      <c r="D18120" s="3" t="inlineStr">
        <is>
          <t>9899/A202</t>
        </is>
      </c>
      <c r="E18120" s="3" t="inlineStr">
        <is>
          <t>Sales - Unit Reg Control A202</t>
        </is>
      </c>
      <c r="F18120" s="3" t="n">
        <v>0</v>
      </c>
      <c r="G18120" s="3" t="n">
        <v>-1086734.26</v>
      </c>
    </row>
    <row r="18121">
      <c r="A18121" s="3" t="inlineStr">
        <is>
          <t>Endulini (Pty) Ltd</t>
        </is>
      </c>
      <c r="B18121" s="4" t="n">
        <v>45322</v>
      </c>
      <c r="C18121" s="3" t="inlineStr">
        <is>
          <t>Liabilities</t>
        </is>
      </c>
      <c r="D18121" s="3" t="inlineStr">
        <is>
          <t>9899/A209</t>
        </is>
      </c>
      <c r="E18121" s="3" t="inlineStr">
        <is>
          <t>Sales - Unit Reg Control A209</t>
        </is>
      </c>
      <c r="F18121" s="3" t="n">
        <v>0</v>
      </c>
      <c r="G18121" s="3" t="n">
        <v>-1218800.14</v>
      </c>
    </row>
    <row r="18122">
      <c r="A18122" s="3" t="inlineStr">
        <is>
          <t>Endulini (Pty) Ltd</t>
        </is>
      </c>
      <c r="B18122" s="4" t="n">
        <v>45322</v>
      </c>
      <c r="C18122" s="3" t="inlineStr">
        <is>
          <t>Liabilities</t>
        </is>
      </c>
      <c r="D18122" s="3" t="inlineStr">
        <is>
          <t>9899/B203</t>
        </is>
      </c>
      <c r="E18122" s="3" t="inlineStr">
        <is>
          <t>Sales - Unit Reg Control B203</t>
        </is>
      </c>
      <c r="F18122" s="3" t="n">
        <v>0</v>
      </c>
      <c r="G18122" s="3" t="n">
        <v>-1179884.01</v>
      </c>
    </row>
    <row r="18123">
      <c r="A18123" s="3" t="inlineStr">
        <is>
          <t>Endulini (Pty) Ltd</t>
        </is>
      </c>
      <c r="B18123" s="4" t="n">
        <v>45322</v>
      </c>
      <c r="C18123" s="3" t="inlineStr">
        <is>
          <t>Liabilities</t>
        </is>
      </c>
      <c r="D18123" s="3" t="inlineStr">
        <is>
          <t>9899/C302</t>
        </is>
      </c>
      <c r="E18123" s="3" t="inlineStr">
        <is>
          <t>Sales - Unit Reg Control C302</t>
        </is>
      </c>
      <c r="F18123" s="3" t="n">
        <v>0</v>
      </c>
      <c r="G18123" s="3" t="n">
        <v>-1253795.14</v>
      </c>
    </row>
    <row r="18124">
      <c r="A18124" s="3" t="inlineStr">
        <is>
          <t>Quinate Consulting (Pty) Ltd</t>
        </is>
      </c>
      <c r="B18124" s="4" t="n">
        <v>45322</v>
      </c>
      <c r="C18124" s="3" t="inlineStr">
        <is>
          <t>Liabilities</t>
        </is>
      </c>
      <c r="D18124" s="3" t="inlineStr">
        <is>
          <t>9960/000</t>
        </is>
      </c>
      <c r="E18124" s="3" t="inlineStr">
        <is>
          <t>Deposits - Southwark Rentals</t>
        </is>
      </c>
      <c r="F18124" s="3" t="n">
        <v>12000</v>
      </c>
      <c r="G18124" s="3" t="n">
        <v>-23000</v>
      </c>
    </row>
    <row r="18125">
      <c r="A18125" s="3" t="inlineStr">
        <is>
          <t>Noble Shield (Pty) Ltd ta Go Letting</t>
        </is>
      </c>
      <c r="B18125" s="4" t="n">
        <v>45322</v>
      </c>
      <c r="C18125" s="3" t="inlineStr">
        <is>
          <t>Expenses</t>
        </is>
      </c>
      <c r="D18125" s="3" t="inlineStr">
        <is>
          <t>ACB Link</t>
        </is>
      </c>
      <c r="E18125" s="3" t="inlineStr">
        <is>
          <t>Subscriptions - TPN</t>
        </is>
      </c>
      <c r="F18125" s="3" t="n">
        <v>1947.53</v>
      </c>
      <c r="G18125" s="3" t="n">
        <v>14874.69</v>
      </c>
    </row>
    <row r="18126">
      <c r="A18126" s="3" t="inlineStr">
        <is>
          <t>Trademark Holdings (Pty) Ltd</t>
        </is>
      </c>
      <c r="B18126" s="4" t="n">
        <v>45322</v>
      </c>
      <c r="C18126" s="3" t="inlineStr">
        <is>
          <t>Liabilities</t>
        </is>
      </c>
      <c r="D18126" s="3" t="inlineStr">
        <is>
          <t>B/S</t>
        </is>
      </c>
      <c r="E18126" s="3" t="inlineStr">
        <is>
          <t>Taxation Payable</t>
        </is>
      </c>
      <c r="F18126" s="3" t="n">
        <v>0</v>
      </c>
      <c r="G18126" s="3" t="n">
        <v>1722</v>
      </c>
    </row>
    <row r="18127">
      <c r="A18127" s="3" t="inlineStr">
        <is>
          <t>Quinate Consulting (Pty) Ltd</t>
        </is>
      </c>
      <c r="B18127" s="4" t="n">
        <v>45322</v>
      </c>
      <c r="C18127" s="3" t="inlineStr">
        <is>
          <t>Liabilities</t>
        </is>
      </c>
      <c r="D18127" s="3" t="inlineStr">
        <is>
          <t xml:space="preserve">B/S </t>
        </is>
      </c>
      <c r="E18127" s="3" t="inlineStr">
        <is>
          <t>Taxation Payable</t>
        </is>
      </c>
      <c r="F18127" s="3" t="n">
        <v>0</v>
      </c>
      <c r="G18127" s="3" t="n">
        <v>-15486</v>
      </c>
    </row>
    <row r="18128">
      <c r="A18128" s="3" t="inlineStr">
        <is>
          <t>Quinate Consulting (Pty) Ltd</t>
        </is>
      </c>
      <c r="B18128" s="4" t="n">
        <v>45322</v>
      </c>
      <c r="C18128" s="3" t="inlineStr">
        <is>
          <t>Liabilities</t>
        </is>
      </c>
      <c r="D18128" s="3" t="inlineStr">
        <is>
          <t>FV</t>
        </is>
      </c>
      <c r="E18128" s="3" t="inlineStr">
        <is>
          <t>Loan - Cape Projects Constuction</t>
        </is>
      </c>
      <c r="F18128" s="3" t="n">
        <v>-1010000</v>
      </c>
      <c r="G18128" s="3" t="n">
        <v>-6293763.77</v>
      </c>
    </row>
    <row r="18129">
      <c r="A18129" s="3" t="inlineStr">
        <is>
          <t>Quinate Consulting (Pty) Ltd</t>
        </is>
      </c>
      <c r="B18129" s="4" t="n">
        <v>45322</v>
      </c>
      <c r="C18129" s="3" t="inlineStr">
        <is>
          <t>Liabilities</t>
        </is>
      </c>
      <c r="D18129" s="3" t="inlineStr">
        <is>
          <t>Sharehold OppDev</t>
        </is>
      </c>
      <c r="E18129" s="3" t="inlineStr">
        <is>
          <t>Loan - Justine Morgan</t>
        </is>
      </c>
      <c r="F18129" s="3" t="n">
        <v>0</v>
      </c>
      <c r="G18129" s="3" t="n">
        <v>-563766.76</v>
      </c>
    </row>
    <row r="18130">
      <c r="A18130" s="3" t="inlineStr">
        <is>
          <t>Opportunity Global Investment (PTY) LTD</t>
        </is>
      </c>
      <c r="B18130" s="4" t="n">
        <v>45322</v>
      </c>
      <c r="C18130" s="3" t="inlineStr">
        <is>
          <t>Expenses</t>
        </is>
      </c>
      <c r="D18130" s="3" t="inlineStr">
        <is>
          <t>Swiftshutter</t>
        </is>
      </c>
      <c r="E18130" s="3" t="inlineStr">
        <is>
          <t>Advertising - Rousseau Lotter</t>
        </is>
      </c>
      <c r="F18130" s="3" t="n">
        <v>0</v>
      </c>
      <c r="G18130" s="3" t="n">
        <v>15400</v>
      </c>
    </row>
    <row r="18131">
      <c r="A18131" s="3" t="inlineStr">
        <is>
          <t>Opportunity Global Sales (PTY) LTD</t>
        </is>
      </c>
      <c r="B18131" s="4" t="n">
        <v>45323</v>
      </c>
      <c r="C18131" s="3" t="inlineStr">
        <is>
          <t>Revenue</t>
        </is>
      </c>
      <c r="D18131" s="3" t="inlineStr">
        <is>
          <t>1000/009</t>
        </is>
      </c>
      <c r="E18131" s="3" t="inlineStr">
        <is>
          <t>Sales - Comm on Payprop</t>
        </is>
      </c>
      <c r="F18131" s="3" t="n">
        <v>-489.31</v>
      </c>
      <c r="G18131" s="3" t="n">
        <v>-165984.89</v>
      </c>
    </row>
    <row r="18132">
      <c r="A18132" s="3" t="inlineStr">
        <is>
          <t>Quinate Consulting (Pty) Ltd</t>
        </is>
      </c>
      <c r="B18132" s="4" t="n">
        <v>45323</v>
      </c>
      <c r="C18132" s="3" t="inlineStr">
        <is>
          <t>Revenue</t>
        </is>
      </c>
      <c r="D18132" s="3" t="inlineStr">
        <is>
          <t>1000/011</t>
        </is>
      </c>
      <c r="E18132" s="3" t="inlineStr">
        <is>
          <t>Rent Received - Soho Unit 23</t>
        </is>
      </c>
      <c r="F18132" s="3" t="n">
        <v>-12500</v>
      </c>
      <c r="G18132" s="3" t="n">
        <v>-150000</v>
      </c>
    </row>
    <row r="18133">
      <c r="A18133" s="3" t="inlineStr">
        <is>
          <t>Quinate Consulting (Pty) Ltd</t>
        </is>
      </c>
      <c r="B18133" s="4" t="n">
        <v>45323</v>
      </c>
      <c r="C18133" s="3" t="inlineStr">
        <is>
          <t>Revenue</t>
        </is>
      </c>
      <c r="D18133" s="3" t="inlineStr">
        <is>
          <t>1000/012</t>
        </is>
      </c>
      <c r="E18133" s="3" t="inlineStr">
        <is>
          <t>Rent Received - Soho Unit 24</t>
        </is>
      </c>
      <c r="F18133" s="3" t="n">
        <v>-14445</v>
      </c>
      <c r="G18133" s="3" t="n">
        <v>-173340</v>
      </c>
    </row>
    <row r="18134">
      <c r="A18134" s="3" t="inlineStr">
        <is>
          <t>Quinate Consulting (Pty) Ltd</t>
        </is>
      </c>
      <c r="B18134" s="4" t="n">
        <v>45323</v>
      </c>
      <c r="C18134" s="3" t="inlineStr">
        <is>
          <t>Revenue</t>
        </is>
      </c>
      <c r="D18134" s="3" t="inlineStr">
        <is>
          <t>1000/013</t>
        </is>
      </c>
      <c r="E18134" s="3" t="inlineStr">
        <is>
          <t>Rent Recieved - Soho Unit 20</t>
        </is>
      </c>
      <c r="F18134" s="3" t="n">
        <v>-13750</v>
      </c>
      <c r="G18134" s="3" t="n">
        <v>-151250</v>
      </c>
    </row>
    <row r="18135">
      <c r="A18135" s="3" t="inlineStr">
        <is>
          <t>Quinate Consulting (Pty) Ltd</t>
        </is>
      </c>
      <c r="B18135" s="4" t="n">
        <v>45323</v>
      </c>
      <c r="C18135" s="3" t="inlineStr">
        <is>
          <t>Revenue</t>
        </is>
      </c>
      <c r="D18135" s="3" t="inlineStr">
        <is>
          <t>1000/015</t>
        </is>
      </c>
      <c r="E18135" s="3" t="inlineStr">
        <is>
          <t>Rent Received - Southwark Unit 1</t>
        </is>
      </c>
      <c r="F18135" s="3" t="n">
        <v>0</v>
      </c>
      <c r="G18135" s="3" t="n">
        <v>-81500</v>
      </c>
    </row>
    <row r="18136">
      <c r="A18136" s="3" t="inlineStr">
        <is>
          <t>Quinate Consulting (Pty) Ltd</t>
        </is>
      </c>
      <c r="B18136" s="4" t="n">
        <v>45323</v>
      </c>
      <c r="C18136" s="3" t="inlineStr">
        <is>
          <t>Revenue</t>
        </is>
      </c>
      <c r="D18136" s="3" t="inlineStr">
        <is>
          <t>1000/016</t>
        </is>
      </c>
      <c r="E18136" s="3" t="inlineStr">
        <is>
          <t>Rent Recieved - Southwark Unit 21</t>
        </is>
      </c>
      <c r="F18136" s="3" t="n">
        <v>-11000</v>
      </c>
      <c r="G18136" s="3" t="n">
        <v>-123000</v>
      </c>
    </row>
    <row r="18137">
      <c r="A18137" s="3" t="inlineStr">
        <is>
          <t>Opportunity Global Sales (PTY) LTD</t>
        </is>
      </c>
      <c r="B18137" s="4" t="n">
        <v>45323</v>
      </c>
      <c r="C18137" s="3" t="inlineStr">
        <is>
          <t>Revenue</t>
        </is>
      </c>
      <c r="D18137" s="3" t="inlineStr">
        <is>
          <t>1000/030</t>
        </is>
      </c>
      <c r="E18137" s="3" t="inlineStr">
        <is>
          <t>Sales - Comm on Heron View Land Purchase</t>
        </is>
      </c>
      <c r="F18137" s="3" t="n">
        <v>0</v>
      </c>
      <c r="G18137" s="3" t="n">
        <v>-73473.91</v>
      </c>
    </row>
    <row r="18138">
      <c r="A18138" s="3" t="inlineStr">
        <is>
          <t>Opportunity Global Sales (PTY) LTD</t>
        </is>
      </c>
      <c r="B18138" s="4" t="n">
        <v>45323</v>
      </c>
      <c r="C18138" s="3" t="inlineStr">
        <is>
          <t>Revenue</t>
        </is>
      </c>
      <c r="D18138" s="3" t="inlineStr">
        <is>
          <t>1000/100</t>
        </is>
      </c>
      <c r="E18138" s="3" t="inlineStr">
        <is>
          <t>Sales - Comm on External Sales</t>
        </is>
      </c>
      <c r="F18138" s="3" t="n">
        <v>0</v>
      </c>
      <c r="G18138" s="3" t="n">
        <v>-159137.61</v>
      </c>
    </row>
    <row r="18139">
      <c r="A18139" s="3" t="inlineStr">
        <is>
          <t>Noble Shield (Pty) Ltd ta Go Letting</t>
        </is>
      </c>
      <c r="B18139" s="4" t="n">
        <v>45323</v>
      </c>
      <c r="C18139" s="3" t="inlineStr">
        <is>
          <t>Revenue</t>
        </is>
      </c>
      <c r="D18139" s="3" t="inlineStr">
        <is>
          <t>1000/100</t>
        </is>
      </c>
      <c r="E18139" s="3" t="inlineStr">
        <is>
          <t>Sales - Payprop 328 - Michelle</t>
        </is>
      </c>
      <c r="F18139" s="3" t="n">
        <v>-19570.56</v>
      </c>
      <c r="G18139" s="3" t="n">
        <v>-550677.51</v>
      </c>
    </row>
    <row r="18140">
      <c r="A18140" s="3" t="inlineStr">
        <is>
          <t>Opportunity Global Sales (PTY) LTD</t>
        </is>
      </c>
      <c r="B18140" s="4" t="n">
        <v>45323</v>
      </c>
      <c r="C18140" s="3" t="inlineStr">
        <is>
          <t>Revenue</t>
        </is>
      </c>
      <c r="D18140" s="3" t="inlineStr">
        <is>
          <t>1000/120</t>
        </is>
      </c>
      <c r="E18140" s="3" t="inlineStr">
        <is>
          <t>Sales - Admin Fees on Rental Units</t>
        </is>
      </c>
      <c r="F18140" s="3" t="n">
        <v>0</v>
      </c>
      <c r="G18140" s="3" t="n">
        <v>-74604.34</v>
      </c>
    </row>
    <row r="18141">
      <c r="A18141" s="3" t="inlineStr">
        <is>
          <t>Opportunity Global Sales (PTY) LTD</t>
        </is>
      </c>
      <c r="B18141" s="4" t="n">
        <v>45323</v>
      </c>
      <c r="C18141" s="3" t="inlineStr">
        <is>
          <t>Revenue</t>
        </is>
      </c>
      <c r="D18141" s="3" t="inlineStr">
        <is>
          <t>1000/121</t>
        </is>
      </c>
      <c r="E18141" s="3" t="inlineStr">
        <is>
          <t>Sales - Admin Fees on Rental Units Endulini</t>
        </is>
      </c>
      <c r="F18141" s="3" t="n">
        <v>0</v>
      </c>
      <c r="G18141" s="3" t="n">
        <v>-434.78</v>
      </c>
    </row>
    <row r="18142">
      <c r="A18142" s="3" t="inlineStr">
        <is>
          <t>Opportunity Global Sales (PTY) LTD</t>
        </is>
      </c>
      <c r="B18142" s="4" t="n">
        <v>45323</v>
      </c>
      <c r="C18142" s="3" t="inlineStr">
        <is>
          <t>Revenue</t>
        </is>
      </c>
      <c r="D18142" s="3" t="inlineStr">
        <is>
          <t>1000/122</t>
        </is>
      </c>
      <c r="E18142" s="3" t="inlineStr">
        <is>
          <t>Sales - Admin Fees on Rental Units Heron Fields</t>
        </is>
      </c>
      <c r="F18142" s="3" t="n">
        <v>0</v>
      </c>
      <c r="G18142" s="3" t="n">
        <v>-6521.77</v>
      </c>
    </row>
    <row r="18143">
      <c r="A18143" s="3" t="inlineStr">
        <is>
          <t>Opportunity Global Sales (PTY) LTD</t>
        </is>
      </c>
      <c r="B18143" s="4" t="n">
        <v>45323</v>
      </c>
      <c r="C18143" s="3" t="inlineStr">
        <is>
          <t>Revenue</t>
        </is>
      </c>
      <c r="D18143" s="3" t="inlineStr">
        <is>
          <t>1000/150</t>
        </is>
      </c>
      <c r="E18143" s="3" t="inlineStr">
        <is>
          <t>Sales - Comm on External Rental</t>
        </is>
      </c>
      <c r="F18143" s="3" t="n">
        <v>0</v>
      </c>
      <c r="G18143" s="3" t="n">
        <v>-614578.0600000001</v>
      </c>
    </row>
    <row r="18144">
      <c r="A18144" s="3" t="inlineStr">
        <is>
          <t>Opportunity Global Sales (PTY) LTD</t>
        </is>
      </c>
      <c r="B18144" s="4" t="n">
        <v>45323</v>
      </c>
      <c r="C18144" s="3" t="inlineStr">
        <is>
          <t>Revenue</t>
        </is>
      </c>
      <c r="D18144" s="3" t="inlineStr">
        <is>
          <t>1000/250</t>
        </is>
      </c>
      <c r="E18144" s="3" t="inlineStr">
        <is>
          <t>Sales - Comm on Endulini</t>
        </is>
      </c>
      <c r="F18144" s="3" t="n">
        <v>0</v>
      </c>
      <c r="G18144" s="3" t="n">
        <v>-137817.4</v>
      </c>
    </row>
    <row r="18145">
      <c r="A18145" s="3" t="inlineStr">
        <is>
          <t>Opportunity Global Sales (PTY) LTD</t>
        </is>
      </c>
      <c r="B18145" s="4" t="n">
        <v>45323</v>
      </c>
      <c r="C18145" s="3" t="inlineStr">
        <is>
          <t>Revenue</t>
        </is>
      </c>
      <c r="D18145" s="3" t="inlineStr">
        <is>
          <t>1000/300</t>
        </is>
      </c>
      <c r="E18145" s="3" t="inlineStr">
        <is>
          <t>Sales - Comm on Heron Fields</t>
        </is>
      </c>
      <c r="F18145" s="3" t="n">
        <v>0</v>
      </c>
      <c r="G18145" s="3" t="n">
        <v>-1340039.14</v>
      </c>
    </row>
    <row r="18146">
      <c r="A18146" s="3" t="inlineStr">
        <is>
          <t>Trademark Holdings (Pty) Ltd</t>
        </is>
      </c>
      <c r="B18146" s="4" t="n">
        <v>45323</v>
      </c>
      <c r="C18146" s="3" t="inlineStr">
        <is>
          <t>Revenue</t>
        </is>
      </c>
      <c r="D18146" s="3" t="inlineStr">
        <is>
          <t>1000/300</t>
        </is>
      </c>
      <c r="E18146" s="3" t="inlineStr">
        <is>
          <t>Sales - Payprop - Lara</t>
        </is>
      </c>
      <c r="F18146" s="3" t="n">
        <v>-4232.27</v>
      </c>
      <c r="G18146" s="3" t="n">
        <v>-585922.1899999999</v>
      </c>
    </row>
    <row r="18147">
      <c r="A18147" s="3" t="inlineStr">
        <is>
          <t>Opportunity Global Investment (PTY) LTD</t>
        </is>
      </c>
      <c r="B18147" s="4" t="n">
        <v>45323</v>
      </c>
      <c r="C18147" s="3" t="inlineStr">
        <is>
          <t>Revenue</t>
        </is>
      </c>
      <c r="D18147" s="3" t="inlineStr">
        <is>
          <t>1000/360</t>
        </is>
      </c>
      <c r="E18147" s="3" t="inlineStr">
        <is>
          <t>Sales - Investor Management - Heron View</t>
        </is>
      </c>
      <c r="F18147" s="3" t="n">
        <v>0</v>
      </c>
      <c r="G18147" s="3" t="n">
        <v>-1826086.96</v>
      </c>
    </row>
    <row r="18148">
      <c r="A18148" s="3" t="inlineStr">
        <is>
          <t>Opportunity Global Sales (PTY) LTD</t>
        </is>
      </c>
      <c r="B18148" s="4" t="n">
        <v>45323</v>
      </c>
      <c r="C18148" s="3" t="inlineStr">
        <is>
          <t>Revenue</t>
        </is>
      </c>
      <c r="D18148" s="3" t="inlineStr">
        <is>
          <t>1000/400</t>
        </is>
      </c>
      <c r="E18148" s="3" t="inlineStr">
        <is>
          <t>Sales - Commission on Heron View</t>
        </is>
      </c>
      <c r="F18148" s="3" t="n">
        <v>-73908.7</v>
      </c>
      <c r="G18148" s="3" t="n">
        <v>-1499473.89</v>
      </c>
    </row>
    <row r="18149">
      <c r="A18149" s="3" t="inlineStr">
        <is>
          <t>Noble Shield (Pty) Ltd ta Go Letting</t>
        </is>
      </c>
      <c r="B18149" s="4" t="n">
        <v>45323</v>
      </c>
      <c r="C18149" s="3" t="inlineStr">
        <is>
          <t>Revenue</t>
        </is>
      </c>
      <c r="D18149" s="3" t="inlineStr">
        <is>
          <t>1000/420</t>
        </is>
      </c>
      <c r="E18149" s="3" t="inlineStr">
        <is>
          <t>Sales - Commission Received - External</t>
        </is>
      </c>
      <c r="F18149" s="3" t="n">
        <v>0</v>
      </c>
      <c r="G18149" s="3" t="n">
        <v>-134000</v>
      </c>
    </row>
    <row r="18150">
      <c r="A18150" s="3" t="inlineStr">
        <is>
          <t>Trademark Holdings (Pty) Ltd</t>
        </is>
      </c>
      <c r="B18150" s="4" t="n">
        <v>45323</v>
      </c>
      <c r="C18150" s="3" t="inlineStr">
        <is>
          <t>Revenue</t>
        </is>
      </c>
      <c r="D18150" s="3" t="inlineStr">
        <is>
          <t>1000/500</t>
        </is>
      </c>
      <c r="E18150" s="3" t="inlineStr">
        <is>
          <t>Sales - Commission external sale</t>
        </is>
      </c>
      <c r="F18150" s="3" t="n">
        <v>0</v>
      </c>
      <c r="G18150" s="3" t="n">
        <v>-50000</v>
      </c>
    </row>
    <row r="18151">
      <c r="A18151" s="3" t="inlineStr">
        <is>
          <t>Quinate Consulting (Pty) Ltd</t>
        </is>
      </c>
      <c r="B18151" s="4" t="n">
        <v>45323</v>
      </c>
      <c r="C18151" s="3" t="inlineStr">
        <is>
          <t>Revenue</t>
        </is>
      </c>
      <c r="D18151" s="3" t="inlineStr">
        <is>
          <t>1002/200</t>
        </is>
      </c>
      <c r="E18151" s="3" t="inlineStr">
        <is>
          <t>Sales - Vodacom tower</t>
        </is>
      </c>
      <c r="F18151" s="3" t="n">
        <v>0</v>
      </c>
      <c r="G18151" s="3" t="n">
        <v>-428524.8</v>
      </c>
    </row>
    <row r="18152">
      <c r="A18152" s="3" t="inlineStr">
        <is>
          <t>Quinate Consulting (Pty) Ltd</t>
        </is>
      </c>
      <c r="B18152" s="4" t="n">
        <v>45323</v>
      </c>
      <c r="C18152" s="3" t="inlineStr">
        <is>
          <t>Revenue</t>
        </is>
      </c>
      <c r="D18152" s="3" t="inlineStr">
        <is>
          <t>1004/000</t>
        </is>
      </c>
      <c r="E18152" s="3" t="inlineStr">
        <is>
          <t>Interest received</t>
        </is>
      </c>
      <c r="F18152" s="3" t="n">
        <v>0</v>
      </c>
      <c r="G18152" s="3" t="n">
        <v>-20109.07</v>
      </c>
    </row>
    <row r="18153">
      <c r="A18153" s="3" t="inlineStr">
        <is>
          <t>Quinate Consulting (Pty) Ltd</t>
        </is>
      </c>
      <c r="B18153" s="4" t="n">
        <v>45323</v>
      </c>
      <c r="C18153" s="3" t="inlineStr">
        <is>
          <t>Revenue</t>
        </is>
      </c>
      <c r="D18153" s="3" t="inlineStr">
        <is>
          <t>1006/100</t>
        </is>
      </c>
      <c r="E18153" s="3" t="inlineStr">
        <is>
          <t>Rental income - Payprop</t>
        </is>
      </c>
      <c r="F18153" s="3" t="n">
        <v>-9500</v>
      </c>
      <c r="G18153" s="3" t="n">
        <v>-534738.74</v>
      </c>
    </row>
    <row r="18154">
      <c r="A18154" s="3" t="inlineStr">
        <is>
          <t>Quinate Consulting (Pty) Ltd</t>
        </is>
      </c>
      <c r="B18154" s="4" t="n">
        <v>45323</v>
      </c>
      <c r="C18154" s="3" t="inlineStr">
        <is>
          <t>Revenue</t>
        </is>
      </c>
      <c r="D18154" s="3" t="inlineStr">
        <is>
          <t>1006/110</t>
        </is>
      </c>
      <c r="E18154" s="3" t="inlineStr">
        <is>
          <t>Rental Income - E201</t>
        </is>
      </c>
      <c r="F18154" s="3" t="n">
        <v>0</v>
      </c>
      <c r="G18154" s="3" t="n">
        <v>-59000</v>
      </c>
    </row>
    <row r="18155">
      <c r="A18155" s="3" t="inlineStr">
        <is>
          <t>Quinate Consulting (Pty) Ltd</t>
        </is>
      </c>
      <c r="B18155" s="4" t="n">
        <v>45323</v>
      </c>
      <c r="C18155" s="3" t="inlineStr">
        <is>
          <t>Revenue</t>
        </is>
      </c>
      <c r="D18155" s="3" t="inlineStr">
        <is>
          <t>1006/120</t>
        </is>
      </c>
      <c r="E18155" s="3" t="inlineStr">
        <is>
          <t>Rental Income - D203</t>
        </is>
      </c>
      <c r="F18155" s="3" t="n">
        <v>0</v>
      </c>
      <c r="G18155" s="3" t="n">
        <v>-65000</v>
      </c>
    </row>
    <row r="18156">
      <c r="A18156" s="3" t="inlineStr">
        <is>
          <t>Quinate Consulting (Pty) Ltd</t>
        </is>
      </c>
      <c r="B18156" s="4" t="n">
        <v>45323</v>
      </c>
      <c r="C18156" s="3" t="inlineStr">
        <is>
          <t>Revenue</t>
        </is>
      </c>
      <c r="D18156" s="3" t="inlineStr">
        <is>
          <t>1006/130</t>
        </is>
      </c>
      <c r="E18156" s="3" t="inlineStr">
        <is>
          <t>Rental Income - C301</t>
        </is>
      </c>
      <c r="F18156" s="3" t="n">
        <v>0</v>
      </c>
      <c r="G18156" s="3" t="n">
        <v>-19000</v>
      </c>
    </row>
    <row r="18157">
      <c r="A18157" s="3" t="inlineStr">
        <is>
          <t>Quinate Consulting (Pty) Ltd</t>
        </is>
      </c>
      <c r="B18157" s="4" t="n">
        <v>45323</v>
      </c>
      <c r="C18157" s="3" t="inlineStr">
        <is>
          <t>Revenue</t>
        </is>
      </c>
      <c r="D18157" s="3" t="inlineStr">
        <is>
          <t>1006/140</t>
        </is>
      </c>
      <c r="E18157" s="3" t="inlineStr">
        <is>
          <t>Rental Income - A108</t>
        </is>
      </c>
      <c r="F18157" s="3" t="n">
        <v>0</v>
      </c>
      <c r="G18157" s="3" t="n">
        <v>-72000</v>
      </c>
    </row>
    <row r="18158">
      <c r="A18158" s="3" t="inlineStr">
        <is>
          <t>Quinate Consulting (Pty) Ltd</t>
        </is>
      </c>
      <c r="B18158" s="4" t="n">
        <v>45323</v>
      </c>
      <c r="C18158" s="3" t="inlineStr">
        <is>
          <t>Revenue</t>
        </is>
      </c>
      <c r="D18158" s="3" t="inlineStr">
        <is>
          <t>1006/150</t>
        </is>
      </c>
      <c r="E18158" s="3" t="inlineStr">
        <is>
          <t>Rental Income - A303</t>
        </is>
      </c>
      <c r="F18158" s="3" t="n">
        <v>0</v>
      </c>
      <c r="G18158" s="3" t="n">
        <v>-37000</v>
      </c>
    </row>
    <row r="18159">
      <c r="A18159" s="3" t="inlineStr">
        <is>
          <t>Quinate Consulting (Pty) Ltd</t>
        </is>
      </c>
      <c r="B18159" s="4" t="n">
        <v>45323</v>
      </c>
      <c r="C18159" s="3" t="inlineStr">
        <is>
          <t>Revenue</t>
        </is>
      </c>
      <c r="D18159" s="3" t="inlineStr">
        <is>
          <t>1006/160</t>
        </is>
      </c>
      <c r="E18159" s="3" t="inlineStr">
        <is>
          <t>Rental Income - A306</t>
        </is>
      </c>
      <c r="F18159" s="3" t="n">
        <v>0</v>
      </c>
      <c r="G18159" s="3" t="n">
        <v>-38030</v>
      </c>
    </row>
    <row r="18160">
      <c r="A18160" s="3" t="inlineStr">
        <is>
          <t>Quinate Consulting (Pty) Ltd</t>
        </is>
      </c>
      <c r="B18160" s="4" t="n">
        <v>45323</v>
      </c>
      <c r="C18160" s="3" t="inlineStr">
        <is>
          <t>Revenue</t>
        </is>
      </c>
      <c r="D18160" s="3" t="inlineStr">
        <is>
          <t>1006/170</t>
        </is>
      </c>
      <c r="E18160" s="3" t="inlineStr">
        <is>
          <t>Rental Income - C102</t>
        </is>
      </c>
      <c r="F18160" s="3" t="n">
        <v>0</v>
      </c>
      <c r="G18160" s="3" t="n">
        <v>-72000</v>
      </c>
    </row>
    <row r="18161">
      <c r="A18161" s="3" t="inlineStr">
        <is>
          <t>Quinate Consulting (Pty) Ltd</t>
        </is>
      </c>
      <c r="B18161" s="4" t="n">
        <v>45323</v>
      </c>
      <c r="C18161" s="3" t="inlineStr">
        <is>
          <t>Revenue</t>
        </is>
      </c>
      <c r="D18161" s="3" t="inlineStr">
        <is>
          <t>1006/180</t>
        </is>
      </c>
      <c r="E18161" s="3" t="inlineStr">
        <is>
          <t>Rental Income - A307</t>
        </is>
      </c>
      <c r="F18161" s="3" t="n">
        <v>0</v>
      </c>
      <c r="G18161" s="3" t="n">
        <v>-37000</v>
      </c>
    </row>
    <row r="18162">
      <c r="A18162" s="3" t="inlineStr">
        <is>
          <t>Quinate Consulting (Pty) Ltd</t>
        </is>
      </c>
      <c r="B18162" s="4" t="n">
        <v>45323</v>
      </c>
      <c r="C18162" s="3" t="inlineStr">
        <is>
          <t>Revenue</t>
        </is>
      </c>
      <c r="D18162" s="3" t="inlineStr">
        <is>
          <t>1006/190</t>
        </is>
      </c>
      <c r="E18162" s="3" t="inlineStr">
        <is>
          <t>Rental Income - A209</t>
        </is>
      </c>
      <c r="F18162" s="3" t="n">
        <v>0</v>
      </c>
      <c r="G18162" s="3" t="n">
        <v>-82989.12</v>
      </c>
    </row>
    <row r="18163">
      <c r="A18163" s="3" t="inlineStr">
        <is>
          <t>Endulini (Pty) Ltd</t>
        </is>
      </c>
      <c r="B18163" s="4" t="n">
        <v>45323</v>
      </c>
      <c r="C18163" s="3" t="inlineStr">
        <is>
          <t>Revenue</t>
        </is>
      </c>
      <c r="D18163" s="3" t="inlineStr">
        <is>
          <t>1100/000</t>
        </is>
      </c>
      <c r="E18163" s="3" t="inlineStr">
        <is>
          <t>Sales - Endulini</t>
        </is>
      </c>
      <c r="F18163" s="3" t="n">
        <v>0</v>
      </c>
      <c r="G18163" s="3" t="n">
        <v>-10668869.56</v>
      </c>
    </row>
    <row r="18164">
      <c r="A18164" s="3" t="inlineStr">
        <is>
          <t>Opportunity Management Holdings (PTY) LTD</t>
        </is>
      </c>
      <c r="B18164" s="4" t="n">
        <v>45323</v>
      </c>
      <c r="C18164" s="3" t="inlineStr">
        <is>
          <t>Revenue</t>
        </is>
      </c>
      <c r="D18164" s="3" t="inlineStr">
        <is>
          <t>1100/001</t>
        </is>
      </c>
      <c r="E18164" s="3" t="inlineStr">
        <is>
          <t>Salary Recharges</t>
        </is>
      </c>
      <c r="F18164" s="3" t="n">
        <v>0</v>
      </c>
      <c r="G18164" s="3" t="n">
        <v>-1691228.19</v>
      </c>
    </row>
    <row r="18165">
      <c r="A18165" s="3" t="inlineStr">
        <is>
          <t>Endulini (Pty) Ltd</t>
        </is>
      </c>
      <c r="B18165" s="4" t="n">
        <v>45323</v>
      </c>
      <c r="C18165" s="3" t="inlineStr">
        <is>
          <t>Revenue</t>
        </is>
      </c>
      <c r="D18165" s="3" t="inlineStr">
        <is>
          <t>1100/200</t>
        </is>
      </c>
      <c r="E18165" s="3" t="inlineStr">
        <is>
          <t>Sales - Endulini occupational rent</t>
        </is>
      </c>
      <c r="F18165" s="3" t="n">
        <v>0</v>
      </c>
      <c r="G18165" s="3" t="n">
        <v>1679.94</v>
      </c>
    </row>
    <row r="18166">
      <c r="A18166" s="3" t="inlineStr">
        <is>
          <t>Endulini (Pty) Ltd</t>
        </is>
      </c>
      <c r="B18166" s="4" t="n">
        <v>45323</v>
      </c>
      <c r="C18166" s="3" t="inlineStr">
        <is>
          <t>Expenses</t>
        </is>
      </c>
      <c r="D18166" s="3" t="inlineStr">
        <is>
          <t>2000/001</t>
        </is>
      </c>
      <c r="E18166" s="3" t="inlineStr">
        <is>
          <t>COS - CIP Construction</t>
        </is>
      </c>
      <c r="F18166" s="3" t="n">
        <v>0</v>
      </c>
      <c r="G18166" s="3" t="n">
        <v>2000</v>
      </c>
    </row>
    <row r="18167">
      <c r="A18167" s="3" t="inlineStr">
        <is>
          <t>Quinate Consulting (Pty) Ltd</t>
        </is>
      </c>
      <c r="B18167" s="4" t="n">
        <v>45323</v>
      </c>
      <c r="C18167" s="3" t="inlineStr">
        <is>
          <t>Expenses</t>
        </is>
      </c>
      <c r="D18167" s="3" t="inlineStr">
        <is>
          <t>2000/009</t>
        </is>
      </c>
      <c r="E18167" s="3" t="inlineStr">
        <is>
          <t>COS - Admin fees</t>
        </is>
      </c>
      <c r="F18167" s="3" t="n">
        <v>0</v>
      </c>
      <c r="G18167" s="3" t="n">
        <v>869.5700000000001</v>
      </c>
    </row>
    <row r="18168">
      <c r="A18168" s="3" t="inlineStr">
        <is>
          <t>Opportunity Global Sales (PTY) LTD</t>
        </is>
      </c>
      <c r="B18168" s="4" t="n">
        <v>45323</v>
      </c>
      <c r="C18168" s="3" t="inlineStr">
        <is>
          <t>Expenses</t>
        </is>
      </c>
      <c r="D18168" s="3" t="inlineStr">
        <is>
          <t>2000/010</t>
        </is>
      </c>
      <c r="E18168" s="3" t="inlineStr">
        <is>
          <t>COS - PAYE on Commission</t>
        </is>
      </c>
      <c r="F18168" s="3" t="n">
        <v>0</v>
      </c>
      <c r="G18168" s="3" t="n">
        <v>278124.11</v>
      </c>
    </row>
    <row r="18169">
      <c r="A18169" s="3" t="inlineStr">
        <is>
          <t>Quinate Consulting (Pty) Ltd</t>
        </is>
      </c>
      <c r="B18169" s="4" t="n">
        <v>45323</v>
      </c>
      <c r="C18169" s="3" t="inlineStr">
        <is>
          <t>Expenses</t>
        </is>
      </c>
      <c r="D18169" s="3" t="inlineStr">
        <is>
          <t>2000/060</t>
        </is>
      </c>
      <c r="E18169" s="3" t="inlineStr">
        <is>
          <t>COS - Commission Endulini</t>
        </is>
      </c>
      <c r="F18169" s="3" t="n">
        <v>0</v>
      </c>
      <c r="G18169" s="3" t="n">
        <v>11382.61</v>
      </c>
    </row>
    <row r="18170">
      <c r="A18170" s="3" t="inlineStr">
        <is>
          <t>Endulini (Pty) Ltd</t>
        </is>
      </c>
      <c r="B18170" s="4" t="n">
        <v>45323</v>
      </c>
      <c r="C18170" s="3" t="inlineStr">
        <is>
          <t>Expenses</t>
        </is>
      </c>
      <c r="D18170" s="3" t="inlineStr">
        <is>
          <t>2000/100</t>
        </is>
      </c>
      <c r="E18170" s="3" t="inlineStr">
        <is>
          <t>COS - Commission Endulini</t>
        </is>
      </c>
      <c r="F18170" s="3" t="n">
        <v>0</v>
      </c>
      <c r="G18170" s="3" t="n">
        <v>196943.48</v>
      </c>
    </row>
    <row r="18171">
      <c r="A18171" s="3" t="inlineStr">
        <is>
          <t>Noble Shield (Pty) Ltd ta Go Letting</t>
        </is>
      </c>
      <c r="B18171" s="4" t="n">
        <v>45323</v>
      </c>
      <c r="C18171" s="3" t="inlineStr">
        <is>
          <t>Expenses</t>
        </is>
      </c>
      <c r="D18171" s="3" t="inlineStr">
        <is>
          <t>2000/100</t>
        </is>
      </c>
      <c r="E18171" s="3" t="inlineStr">
        <is>
          <t>COS - Commission Paid</t>
        </is>
      </c>
      <c r="F18171" s="3" t="n">
        <v>0</v>
      </c>
      <c r="G18171" s="3" t="n">
        <v>78327.89999999999</v>
      </c>
    </row>
    <row r="18172">
      <c r="A18172" s="3" t="inlineStr">
        <is>
          <t>Opportunity Global Sales (PTY) LTD</t>
        </is>
      </c>
      <c r="B18172" s="4" t="n">
        <v>45323</v>
      </c>
      <c r="C18172" s="3" t="inlineStr">
        <is>
          <t>Expenses</t>
        </is>
      </c>
      <c r="D18172" s="3" t="inlineStr">
        <is>
          <t>2000/125</t>
        </is>
      </c>
      <c r="E18172" s="3" t="inlineStr">
        <is>
          <t>Commission Paid - Referal commission</t>
        </is>
      </c>
      <c r="F18172" s="3" t="n">
        <v>0</v>
      </c>
      <c r="G18172" s="3" t="n">
        <v>75342.61</v>
      </c>
    </row>
    <row r="18173">
      <c r="A18173" s="3" t="inlineStr">
        <is>
          <t>Opportunity Global Sales (PTY) LTD</t>
        </is>
      </c>
      <c r="B18173" s="4" t="n">
        <v>45323</v>
      </c>
      <c r="C18173" s="3" t="inlineStr">
        <is>
          <t>Expenses</t>
        </is>
      </c>
      <c r="D18173" s="3" t="inlineStr">
        <is>
          <t>2000/135</t>
        </is>
      </c>
      <c r="E18173" s="3" t="inlineStr">
        <is>
          <t>COS - Sales Comm External - Minette</t>
        </is>
      </c>
      <c r="F18173" s="3" t="n">
        <v>0</v>
      </c>
      <c r="G18173" s="3" t="n">
        <v>57739.13</v>
      </c>
    </row>
    <row r="18174">
      <c r="A18174" s="3" t="inlineStr">
        <is>
          <t>Opportunity Global Investment (PTY) LTD</t>
        </is>
      </c>
      <c r="B18174" s="4" t="n">
        <v>45323</v>
      </c>
      <c r="C18174" s="3" t="inlineStr">
        <is>
          <t>Expenses</t>
        </is>
      </c>
      <c r="D18174" s="3" t="inlineStr">
        <is>
          <t>2000/135</t>
        </is>
      </c>
      <c r="E18174" s="3" t="inlineStr">
        <is>
          <t>Referral commission - Heron View</t>
        </is>
      </c>
      <c r="F18174" s="3" t="n">
        <v>0</v>
      </c>
      <c r="G18174" s="3" t="n">
        <v>72231.21000000001</v>
      </c>
    </row>
    <row r="18175">
      <c r="A18175" s="3" t="inlineStr">
        <is>
          <t>Opportunity Global Sales (PTY) LTD</t>
        </is>
      </c>
      <c r="B18175" s="4" t="n">
        <v>45323</v>
      </c>
      <c r="C18175" s="3" t="inlineStr">
        <is>
          <t>Expenses</t>
        </is>
      </c>
      <c r="D18175" s="3" t="inlineStr">
        <is>
          <t>2000/137</t>
        </is>
      </c>
      <c r="E18175" s="3" t="inlineStr">
        <is>
          <t>COS - Rental Comm External - Minette</t>
        </is>
      </c>
      <c r="F18175" s="3" t="n">
        <v>0</v>
      </c>
      <c r="G18175" s="3" t="n">
        <v>240916.98</v>
      </c>
    </row>
    <row r="18176">
      <c r="A18176" s="3" t="inlineStr">
        <is>
          <t>Opportunity Global Sales (PTY) LTD</t>
        </is>
      </c>
      <c r="B18176" s="4" t="n">
        <v>45323</v>
      </c>
      <c r="C18176" s="3" t="inlineStr">
        <is>
          <t>Expenses</t>
        </is>
      </c>
      <c r="D18176" s="3" t="inlineStr">
        <is>
          <t>2000/139</t>
        </is>
      </c>
      <c r="E18176" s="3" t="inlineStr">
        <is>
          <t>COS - Sales Comm Heron Fields - Minette</t>
        </is>
      </c>
      <c r="F18176" s="3" t="n">
        <v>0</v>
      </c>
      <c r="G18176" s="3" t="n">
        <v>68099.48</v>
      </c>
    </row>
    <row r="18177">
      <c r="A18177" s="3" t="inlineStr">
        <is>
          <t>Opportunity Global Investment (PTY) LTD</t>
        </is>
      </c>
      <c r="B18177" s="4" t="n">
        <v>45323</v>
      </c>
      <c r="C18177" s="3" t="inlineStr">
        <is>
          <t>Expenses</t>
        </is>
      </c>
      <c r="D18177" s="3" t="inlineStr">
        <is>
          <t>2000/140</t>
        </is>
      </c>
      <c r="E18177" s="3" t="inlineStr">
        <is>
          <t>Referral commission - F Geldenhuys</t>
        </is>
      </c>
      <c r="F18177" s="3" t="n">
        <v>0</v>
      </c>
      <c r="G18177" s="3" t="n">
        <v>89400</v>
      </c>
    </row>
    <row r="18178">
      <c r="A18178" s="3" t="inlineStr">
        <is>
          <t>Opportunity Global Investment (PTY) LTD</t>
        </is>
      </c>
      <c r="B18178" s="4" t="n">
        <v>45323</v>
      </c>
      <c r="C18178" s="3" t="inlineStr">
        <is>
          <t>Expenses</t>
        </is>
      </c>
      <c r="D18178" s="3" t="inlineStr">
        <is>
          <t>2000/145</t>
        </is>
      </c>
      <c r="E18178" s="3" t="inlineStr">
        <is>
          <t>Referral commission - W Thomason</t>
        </is>
      </c>
      <c r="F18178" s="3" t="n">
        <v>0</v>
      </c>
      <c r="G18178" s="3" t="n">
        <v>12000</v>
      </c>
    </row>
    <row r="18179">
      <c r="A18179" s="3" t="inlineStr">
        <is>
          <t>Opportunity Global Sales (PTY) LTD</t>
        </is>
      </c>
      <c r="B18179" s="4" t="n">
        <v>45323</v>
      </c>
      <c r="C18179" s="3" t="inlineStr">
        <is>
          <t>Expenses</t>
        </is>
      </c>
      <c r="D18179" s="3" t="inlineStr">
        <is>
          <t>2000/147</t>
        </is>
      </c>
      <c r="E18179" s="3" t="inlineStr">
        <is>
          <t>COS - Sales Comm Heron Fields - Yvette</t>
        </is>
      </c>
      <c r="F18179" s="3" t="n">
        <v>0</v>
      </c>
      <c r="G18179" s="3" t="n">
        <v>185656.48</v>
      </c>
    </row>
    <row r="18180">
      <c r="A18180" s="3" t="inlineStr">
        <is>
          <t>Endulini (Pty) Ltd</t>
        </is>
      </c>
      <c r="B18180" s="4" t="n">
        <v>45323</v>
      </c>
      <c r="C18180" s="3" t="inlineStr">
        <is>
          <t>Expenses</t>
        </is>
      </c>
      <c r="D18180" s="3" t="inlineStr">
        <is>
          <t>2000/150</t>
        </is>
      </c>
      <c r="E18180" s="3" t="inlineStr">
        <is>
          <t>COS - Levies special agreement</t>
        </is>
      </c>
      <c r="F18180" s="3" t="n">
        <v>2267.05</v>
      </c>
      <c r="G18180" s="3" t="n">
        <v>74508.59</v>
      </c>
    </row>
    <row r="18181">
      <c r="A18181" s="3" t="inlineStr">
        <is>
          <t>Opportunity Global Sales (PTY) LTD</t>
        </is>
      </c>
      <c r="B18181" s="4" t="n">
        <v>45323</v>
      </c>
      <c r="C18181" s="3" t="inlineStr">
        <is>
          <t>Expenses</t>
        </is>
      </c>
      <c r="D18181" s="3" t="inlineStr">
        <is>
          <t>2000/160</t>
        </is>
      </c>
      <c r="E18181" s="3" t="inlineStr">
        <is>
          <t>COS - Sales Comm Heron View - Minette</t>
        </is>
      </c>
      <c r="F18181" s="3" t="n">
        <v>0</v>
      </c>
      <c r="G18181" s="3" t="n">
        <v>345647.98</v>
      </c>
    </row>
    <row r="18182">
      <c r="A18182" s="3" t="inlineStr">
        <is>
          <t>Opportunity Global Sales (PTY) LTD</t>
        </is>
      </c>
      <c r="B18182" s="4" t="n">
        <v>45323</v>
      </c>
      <c r="C18182" s="3" t="inlineStr">
        <is>
          <t>Expenses</t>
        </is>
      </c>
      <c r="D18182" s="3" t="inlineStr">
        <is>
          <t>2000/162</t>
        </is>
      </c>
      <c r="E18182" s="3" t="inlineStr">
        <is>
          <t>COS - Sales Comm Heron View - Yvette</t>
        </is>
      </c>
      <c r="F18182" s="3" t="n">
        <v>0</v>
      </c>
      <c r="G18182" s="3" t="n">
        <v>251784.68</v>
      </c>
    </row>
    <row r="18183">
      <c r="A18183" s="3" t="inlineStr">
        <is>
          <t>Opportunity Global Sales (PTY) LTD</t>
        </is>
      </c>
      <c r="B18183" s="4" t="n">
        <v>45323</v>
      </c>
      <c r="C18183" s="3" t="inlineStr">
        <is>
          <t>Expenses</t>
        </is>
      </c>
      <c r="D18183" s="3" t="inlineStr">
        <is>
          <t>2000/165</t>
        </is>
      </c>
      <c r="E18183" s="3" t="inlineStr">
        <is>
          <t>COS - Sales Comm External - Yvette</t>
        </is>
      </c>
      <c r="F18183" s="3" t="n">
        <v>0</v>
      </c>
      <c r="G18183" s="3" t="n">
        <v>5885.55</v>
      </c>
    </row>
    <row r="18184">
      <c r="A18184" s="3" t="inlineStr">
        <is>
          <t>Opportunity Global Sales (PTY) LTD</t>
        </is>
      </c>
      <c r="B18184" s="4" t="n">
        <v>45323</v>
      </c>
      <c r="C18184" s="3" t="inlineStr">
        <is>
          <t>Expenses</t>
        </is>
      </c>
      <c r="D18184" s="3" t="inlineStr">
        <is>
          <t>2000/166</t>
        </is>
      </c>
      <c r="E18184" s="3" t="inlineStr">
        <is>
          <t>COS - Sales Comm Heron View - Morne</t>
        </is>
      </c>
      <c r="F18184" s="3" t="n">
        <v>0</v>
      </c>
      <c r="G18184" s="3" t="n">
        <v>83733.88</v>
      </c>
    </row>
    <row r="18185">
      <c r="A18185" s="3" t="inlineStr">
        <is>
          <t>Opportunity Global Sales (PTY) LTD</t>
        </is>
      </c>
      <c r="B18185" s="4" t="n">
        <v>45323</v>
      </c>
      <c r="C18185" s="3" t="inlineStr">
        <is>
          <t>Expenses</t>
        </is>
      </c>
      <c r="D18185" s="3" t="inlineStr">
        <is>
          <t>2000/167</t>
        </is>
      </c>
      <c r="E18185" s="3" t="inlineStr">
        <is>
          <t>COS - Sales Comm Endulini - Morne</t>
        </is>
      </c>
      <c r="F18185" s="3" t="n">
        <v>0</v>
      </c>
      <c r="G18185" s="3" t="n">
        <v>12173.05</v>
      </c>
    </row>
    <row r="18186">
      <c r="A18186" s="3" t="inlineStr">
        <is>
          <t>Noble Shield (Pty) Ltd ta Go Letting</t>
        </is>
      </c>
      <c r="B18186" s="4" t="n">
        <v>45323</v>
      </c>
      <c r="C18186" s="3" t="inlineStr">
        <is>
          <t>Expenses</t>
        </is>
      </c>
      <c r="D18186" s="3" t="inlineStr">
        <is>
          <t>2000/200</t>
        </is>
      </c>
      <c r="E18186" s="3" t="inlineStr">
        <is>
          <t>COS - Commission on external sales</t>
        </is>
      </c>
      <c r="F18186" s="3" t="n">
        <v>0</v>
      </c>
      <c r="G18186" s="3" t="n">
        <v>115400</v>
      </c>
    </row>
    <row r="18187">
      <c r="A18187" s="3" t="inlineStr">
        <is>
          <t>Endulini (Pty) Ltd</t>
        </is>
      </c>
      <c r="B18187" s="4" t="n">
        <v>45323</v>
      </c>
      <c r="C18187" s="3" t="inlineStr">
        <is>
          <t>Expenses</t>
        </is>
      </c>
      <c r="D18187" s="3" t="inlineStr">
        <is>
          <t>2000/200</t>
        </is>
      </c>
      <c r="E18187" s="3" t="inlineStr">
        <is>
          <t>COS - Rates clearance</t>
        </is>
      </c>
      <c r="F18187" s="3" t="n">
        <v>0</v>
      </c>
      <c r="G18187" s="3" t="n">
        <v>65240.02</v>
      </c>
    </row>
    <row r="18188">
      <c r="A18188" s="3" t="inlineStr">
        <is>
          <t>Opportunity Global Sales (PTY) LTD</t>
        </is>
      </c>
      <c r="B18188" s="4" t="n">
        <v>45323</v>
      </c>
      <c r="C18188" s="3" t="inlineStr">
        <is>
          <t>Expenses</t>
        </is>
      </c>
      <c r="D18188" s="3" t="inlineStr">
        <is>
          <t>2000/270</t>
        </is>
      </c>
      <c r="E18188" s="3" t="inlineStr">
        <is>
          <t>COS - Comm Rentals - Mario - External</t>
        </is>
      </c>
      <c r="F18188" s="3" t="n">
        <v>0</v>
      </c>
      <c r="G18188" s="3" t="n">
        <v>6133.95</v>
      </c>
    </row>
    <row r="18189">
      <c r="A18189" s="3" t="inlineStr">
        <is>
          <t>Opportunity Global Sales (PTY) LTD</t>
        </is>
      </c>
      <c r="B18189" s="4" t="n">
        <v>45323</v>
      </c>
      <c r="C18189" s="3" t="inlineStr">
        <is>
          <t>Expenses</t>
        </is>
      </c>
      <c r="D18189" s="3" t="inlineStr">
        <is>
          <t>2000/275</t>
        </is>
      </c>
      <c r="E18189" s="3" t="inlineStr">
        <is>
          <t>COS - Comm Rentals - Mario - Endulini</t>
        </is>
      </c>
      <c r="F18189" s="3" t="n">
        <v>0</v>
      </c>
      <c r="G18189" s="3" t="n">
        <v>27518.6</v>
      </c>
    </row>
    <row r="18190">
      <c r="A18190" s="3" t="inlineStr">
        <is>
          <t>Opportunity Global Sales (PTY) LTD</t>
        </is>
      </c>
      <c r="B18190" s="4" t="n">
        <v>45323</v>
      </c>
      <c r="C18190" s="3" t="inlineStr">
        <is>
          <t>Expenses</t>
        </is>
      </c>
      <c r="D18190" s="3" t="inlineStr">
        <is>
          <t>2000/280</t>
        </is>
      </c>
      <c r="E18190" s="3" t="inlineStr">
        <is>
          <t>COS - Comm Rentals - Mario - Heron Fields</t>
        </is>
      </c>
      <c r="F18190" s="3" t="n">
        <v>0</v>
      </c>
      <c r="G18190" s="3" t="n">
        <v>23928.69</v>
      </c>
    </row>
    <row r="18191">
      <c r="A18191" s="3" t="inlineStr">
        <is>
          <t>Trademark Holdings (Pty) Ltd</t>
        </is>
      </c>
      <c r="B18191" s="4" t="n">
        <v>45323</v>
      </c>
      <c r="C18191" s="3" t="inlineStr">
        <is>
          <t>Expenses</t>
        </is>
      </c>
      <c r="D18191" s="3" t="inlineStr">
        <is>
          <t>2000/300</t>
        </is>
      </c>
      <c r="E18191" s="3" t="inlineStr">
        <is>
          <t>COS - Commission Paid</t>
        </is>
      </c>
      <c r="F18191" s="3" t="n">
        <v>0</v>
      </c>
      <c r="G18191" s="3" t="n">
        <v>82664.32000000001</v>
      </c>
    </row>
    <row r="18192">
      <c r="A18192" s="3" t="inlineStr">
        <is>
          <t>Opportunity Global Sales (PTY) LTD</t>
        </is>
      </c>
      <c r="B18192" s="4" t="n">
        <v>45323</v>
      </c>
      <c r="C18192" s="3" t="inlineStr">
        <is>
          <t>Expenses</t>
        </is>
      </c>
      <c r="D18192" s="3" t="inlineStr">
        <is>
          <t>2000/370</t>
        </is>
      </c>
      <c r="E18192" s="3" t="inlineStr">
        <is>
          <t>COS - Overrider Comm Endulini - Morne</t>
        </is>
      </c>
      <c r="F18192" s="3" t="n">
        <v>0</v>
      </c>
      <c r="G18192" s="3" t="n">
        <v>12173.04</v>
      </c>
    </row>
    <row r="18193">
      <c r="A18193" s="3" t="inlineStr">
        <is>
          <t>Opportunity Global Sales (PTY) LTD</t>
        </is>
      </c>
      <c r="B18193" s="4" t="n">
        <v>45323</v>
      </c>
      <c r="C18193" s="3" t="inlineStr">
        <is>
          <t>Expenses</t>
        </is>
      </c>
      <c r="D18193" s="3" t="inlineStr">
        <is>
          <t>2000/380</t>
        </is>
      </c>
      <c r="E18193" s="3" t="inlineStr">
        <is>
          <t>COS - Overrider Comm Heron Fields - Morne</t>
        </is>
      </c>
      <c r="F18193" s="3" t="n">
        <v>0</v>
      </c>
      <c r="G18193" s="3" t="n">
        <v>30622.7</v>
      </c>
    </row>
    <row r="18194">
      <c r="A18194" s="3" t="inlineStr">
        <is>
          <t>Opportunity Global Sales (PTY) LTD</t>
        </is>
      </c>
      <c r="B18194" s="4" t="n">
        <v>45323</v>
      </c>
      <c r="C18194" s="3" t="inlineStr">
        <is>
          <t>Expenses</t>
        </is>
      </c>
      <c r="D18194" s="3" t="inlineStr">
        <is>
          <t>2000/383</t>
        </is>
      </c>
      <c r="E18194" s="3" t="inlineStr">
        <is>
          <t>COS - Overrider Comm Heron View - Morne</t>
        </is>
      </c>
      <c r="F18194" s="3" t="n">
        <v>0</v>
      </c>
      <c r="G18194" s="3" t="n">
        <v>63272.17</v>
      </c>
    </row>
    <row r="18195">
      <c r="A18195" s="3" t="inlineStr">
        <is>
          <t>Opportunity Global Sales (PTY) LTD</t>
        </is>
      </c>
      <c r="B18195" s="4" t="n">
        <v>45323</v>
      </c>
      <c r="C18195" s="3" t="inlineStr">
        <is>
          <t>Expenses</t>
        </is>
      </c>
      <c r="D18195" s="3" t="inlineStr">
        <is>
          <t>2000/390</t>
        </is>
      </c>
      <c r="E18195" s="3" t="inlineStr">
        <is>
          <t>COS - Overrider Comm External Sales - Morne</t>
        </is>
      </c>
      <c r="F18195" s="3" t="n">
        <v>0</v>
      </c>
      <c r="G18195" s="3" t="n">
        <v>11953.32</v>
      </c>
    </row>
    <row r="18196">
      <c r="A18196" s="3" t="inlineStr">
        <is>
          <t>Trademark Holdings (Pty) Ltd</t>
        </is>
      </c>
      <c r="B18196" s="4" t="n">
        <v>45323</v>
      </c>
      <c r="C18196" s="3" t="inlineStr">
        <is>
          <t>Expenses</t>
        </is>
      </c>
      <c r="D18196" s="3" t="inlineStr">
        <is>
          <t>2000/400</t>
        </is>
      </c>
      <c r="E18196" s="3" t="inlineStr">
        <is>
          <t>COS - Commission on external sales</t>
        </is>
      </c>
      <c r="F18196" s="3" t="n">
        <v>0</v>
      </c>
      <c r="G18196" s="3" t="n">
        <v>115000</v>
      </c>
    </row>
    <row r="18197">
      <c r="A18197" s="3" t="inlineStr">
        <is>
          <t>Opportunity Global Sales (PTY) LTD</t>
        </is>
      </c>
      <c r="B18197" s="4" t="n">
        <v>45323</v>
      </c>
      <c r="C18197" s="3" t="inlineStr">
        <is>
          <t>Expenses</t>
        </is>
      </c>
      <c r="D18197" s="3" t="inlineStr">
        <is>
          <t>2000/550</t>
        </is>
      </c>
      <c r="E18197" s="3" t="inlineStr">
        <is>
          <t>COS - Electricity Costs Heron Fields</t>
        </is>
      </c>
      <c r="F18197" s="3" t="n">
        <v>0</v>
      </c>
      <c r="G18197" s="3" t="n">
        <v>447.83</v>
      </c>
    </row>
    <row r="18198">
      <c r="A18198" s="3" t="inlineStr">
        <is>
          <t>Opportunity Global Sales (PTY) LTD</t>
        </is>
      </c>
      <c r="B18198" s="4" t="n">
        <v>45323</v>
      </c>
      <c r="C18198" s="3" t="inlineStr">
        <is>
          <t>Expenses</t>
        </is>
      </c>
      <c r="D18198" s="3" t="inlineStr">
        <is>
          <t>2000/600</t>
        </is>
      </c>
      <c r="E18198" s="3" t="inlineStr">
        <is>
          <t>COS - Heron Fields Show House</t>
        </is>
      </c>
      <c r="F18198" s="3" t="n">
        <v>0</v>
      </c>
      <c r="G18198" s="3" t="n">
        <v>201.97</v>
      </c>
    </row>
    <row r="18199">
      <c r="A18199" s="3" t="inlineStr">
        <is>
          <t>Endulini (Pty) Ltd</t>
        </is>
      </c>
      <c r="B18199" s="4" t="n">
        <v>45323</v>
      </c>
      <c r="C18199" s="3" t="inlineStr">
        <is>
          <t>Expenses</t>
        </is>
      </c>
      <c r="D18199" s="3" t="inlineStr">
        <is>
          <t>2000/600</t>
        </is>
      </c>
      <c r="E18199" s="3" t="inlineStr">
        <is>
          <t>COS - Legal fees</t>
        </is>
      </c>
      <c r="F18199" s="3" t="n">
        <v>0</v>
      </c>
      <c r="G18199" s="3" t="n">
        <v>341904.45</v>
      </c>
    </row>
    <row r="18200">
      <c r="A18200" s="3" t="inlineStr">
        <is>
          <t>Quinate Consulting (Pty) Ltd</t>
        </is>
      </c>
      <c r="B18200" s="4" t="n">
        <v>45323</v>
      </c>
      <c r="C18200" s="3" t="inlineStr">
        <is>
          <t>Expenses</t>
        </is>
      </c>
      <c r="D18200" s="3" t="inlineStr">
        <is>
          <t>2001/120</t>
        </is>
      </c>
      <c r="E18200" s="3" t="inlineStr">
        <is>
          <t>COS - Commission - South Wark</t>
        </is>
      </c>
      <c r="F18200" s="3" t="n">
        <v>0</v>
      </c>
      <c r="G18200" s="3" t="n">
        <v>-869.5700000000001</v>
      </c>
    </row>
    <row r="18201">
      <c r="A18201" s="3" t="inlineStr">
        <is>
          <t>Quinate Consulting (Pty) Ltd</t>
        </is>
      </c>
      <c r="B18201" s="4" t="n">
        <v>45323</v>
      </c>
      <c r="C18201" s="3" t="inlineStr">
        <is>
          <t>Expenses</t>
        </is>
      </c>
      <c r="D18201" s="3" t="inlineStr">
        <is>
          <t>2001/210</t>
        </is>
      </c>
      <c r="E18201" s="3" t="inlineStr">
        <is>
          <t>COS - NHBRC</t>
        </is>
      </c>
      <c r="F18201" s="3" t="n">
        <v>0</v>
      </c>
      <c r="G18201" s="3" t="n">
        <v>457.67</v>
      </c>
    </row>
    <row r="18202">
      <c r="A18202" s="3" t="inlineStr">
        <is>
          <t>Quinate Consulting (Pty) Ltd</t>
        </is>
      </c>
      <c r="B18202" s="4" t="n">
        <v>45323</v>
      </c>
      <c r="C18202" s="3" t="inlineStr">
        <is>
          <t>Expenses</t>
        </is>
      </c>
      <c r="D18202" s="3" t="inlineStr">
        <is>
          <t>2200/000</t>
        </is>
      </c>
      <c r="E18202" s="3" t="inlineStr">
        <is>
          <t>COS - C2M Certificate for transfer</t>
        </is>
      </c>
      <c r="F18202" s="3" t="n">
        <v>0</v>
      </c>
      <c r="G18202" s="3" t="n">
        <v>2000</v>
      </c>
    </row>
    <row r="18203">
      <c r="A18203" s="3" t="inlineStr">
        <is>
          <t>Noble Shield (Pty) Ltd ta Go Letting</t>
        </is>
      </c>
      <c r="B18203" s="4" t="n">
        <v>45323</v>
      </c>
      <c r="C18203" s="3" t="inlineStr">
        <is>
          <t>Revenue</t>
        </is>
      </c>
      <c r="D18203" s="3" t="inlineStr">
        <is>
          <t>2400/011</t>
        </is>
      </c>
      <c r="E18203" s="3" t="inlineStr">
        <is>
          <t>Recovery of Electrity _AND_ Water - Rentals</t>
        </is>
      </c>
      <c r="F18203" s="3" t="n">
        <v>0</v>
      </c>
      <c r="G18203" s="3" t="n">
        <v>-1000</v>
      </c>
    </row>
    <row r="18204">
      <c r="A18204" s="3" t="inlineStr">
        <is>
          <t>Quinate Consulting (Pty) Ltd</t>
        </is>
      </c>
      <c r="B18204" s="4" t="n">
        <v>45323</v>
      </c>
      <c r="C18204" s="3" t="inlineStr">
        <is>
          <t>Revenue</t>
        </is>
      </c>
      <c r="D18204" s="3" t="inlineStr">
        <is>
          <t>2400/200</t>
        </is>
      </c>
      <c r="E18204" s="3" t="inlineStr">
        <is>
          <t>Recovery Acc - Electricity SH</t>
        </is>
      </c>
      <c r="F18204" s="3" t="n">
        <v>0</v>
      </c>
      <c r="G18204" s="3" t="n">
        <v>-310930.99</v>
      </c>
    </row>
    <row r="18205">
      <c r="A18205" s="3" t="inlineStr">
        <is>
          <t>Quinate Consulting (Pty) Ltd</t>
        </is>
      </c>
      <c r="B18205" s="4" t="n">
        <v>45323</v>
      </c>
      <c r="C18205" s="3" t="inlineStr">
        <is>
          <t>Revenue</t>
        </is>
      </c>
      <c r="D18205" s="3" t="inlineStr">
        <is>
          <t>2400/300</t>
        </is>
      </c>
      <c r="E18205" s="3" t="inlineStr">
        <is>
          <t>Recovery Account - Electricity SW</t>
        </is>
      </c>
      <c r="F18205" s="3" t="n">
        <v>0</v>
      </c>
      <c r="G18205" s="3" t="n">
        <v>-231367.11</v>
      </c>
    </row>
    <row r="18206">
      <c r="A18206" s="3" t="inlineStr">
        <is>
          <t>Endulini (Pty) Ltd</t>
        </is>
      </c>
      <c r="B18206" s="4" t="n">
        <v>45323</v>
      </c>
      <c r="C18206" s="3" t="inlineStr">
        <is>
          <t>Revenue</t>
        </is>
      </c>
      <c r="D18206" s="3" t="inlineStr">
        <is>
          <t>2750/000</t>
        </is>
      </c>
      <c r="E18206" s="3" t="inlineStr">
        <is>
          <t>Interest Received</t>
        </is>
      </c>
      <c r="F18206" s="3" t="n">
        <v>0</v>
      </c>
      <c r="G18206" s="3" t="n">
        <v>-1767.18</v>
      </c>
    </row>
    <row r="18207">
      <c r="A18207" s="3" t="inlineStr">
        <is>
          <t>Opportunity Global Investment (PTY) LTD</t>
        </is>
      </c>
      <c r="B18207" s="4" t="n">
        <v>45323</v>
      </c>
      <c r="C18207" s="3" t="inlineStr">
        <is>
          <t>Revenue</t>
        </is>
      </c>
      <c r="D18207" s="3" t="inlineStr">
        <is>
          <t>2750/000</t>
        </is>
      </c>
      <c r="E18207" s="3" t="inlineStr">
        <is>
          <t>Interest Received - Bank</t>
        </is>
      </c>
      <c r="F18207" s="3" t="n">
        <v>0</v>
      </c>
      <c r="G18207" s="3" t="n">
        <v>-355.23</v>
      </c>
    </row>
    <row r="18208">
      <c r="A18208" s="3" t="inlineStr">
        <is>
          <t>Opportunity Global Sales (PTY) LTD</t>
        </is>
      </c>
      <c r="B18208" s="4" t="n">
        <v>45323</v>
      </c>
      <c r="C18208" s="3" t="inlineStr">
        <is>
          <t>Revenue</t>
        </is>
      </c>
      <c r="D18208" s="3" t="inlineStr">
        <is>
          <t>2750/000</t>
        </is>
      </c>
      <c r="E18208" s="3" t="inlineStr">
        <is>
          <t>Interest Received - Bank</t>
        </is>
      </c>
      <c r="F18208" s="3" t="n">
        <v>0</v>
      </c>
      <c r="G18208" s="3" t="n">
        <v>-18.82</v>
      </c>
    </row>
    <row r="18209">
      <c r="A18209" s="3" t="inlineStr">
        <is>
          <t>Noble Shield (Pty) Ltd ta Go Letting</t>
        </is>
      </c>
      <c r="B18209" s="4" t="n">
        <v>45323</v>
      </c>
      <c r="C18209" s="3" t="inlineStr">
        <is>
          <t>Revenue</t>
        </is>
      </c>
      <c r="D18209" s="3" t="inlineStr">
        <is>
          <t>2750/100</t>
        </is>
      </c>
      <c r="E18209" s="3" t="inlineStr">
        <is>
          <t>Interest Received - bank</t>
        </is>
      </c>
      <c r="F18209" s="3" t="n">
        <v>0</v>
      </c>
      <c r="G18209" s="3" t="n">
        <v>-1.81</v>
      </c>
    </row>
    <row r="18210">
      <c r="A18210" s="3" t="inlineStr">
        <is>
          <t>Quinate Consulting (Pty) Ltd</t>
        </is>
      </c>
      <c r="B18210" s="4" t="n">
        <v>45323</v>
      </c>
      <c r="C18210" s="3" t="inlineStr">
        <is>
          <t>Revenue</t>
        </is>
      </c>
      <c r="D18210" s="3" t="inlineStr">
        <is>
          <t>2751/000</t>
        </is>
      </c>
      <c r="E18210" s="3" t="inlineStr">
        <is>
          <t>Interest Received - Bank</t>
        </is>
      </c>
      <c r="F18210" s="3" t="n">
        <v>0</v>
      </c>
      <c r="G18210" s="3" t="n">
        <v>-4542.18</v>
      </c>
    </row>
    <row r="18211">
      <c r="A18211" s="3" t="inlineStr">
        <is>
          <t>Opportunity Global Investment (PTY) LTD</t>
        </is>
      </c>
      <c r="B18211" s="4" t="n">
        <v>45323</v>
      </c>
      <c r="C18211" s="3" t="inlineStr">
        <is>
          <t>Revenue</t>
        </is>
      </c>
      <c r="D18211" s="3" t="inlineStr">
        <is>
          <t>2753/000</t>
        </is>
      </c>
      <c r="E18211" s="3" t="inlineStr">
        <is>
          <t>Interest received - Momentum</t>
        </is>
      </c>
      <c r="F18211" s="3" t="n">
        <v>0</v>
      </c>
      <c r="G18211" s="3" t="n">
        <v>-297.69</v>
      </c>
    </row>
    <row r="18212">
      <c r="A18212" s="3" t="inlineStr">
        <is>
          <t>Endulini (Pty) Ltd</t>
        </is>
      </c>
      <c r="B18212" s="4" t="n">
        <v>45323</v>
      </c>
      <c r="C18212" s="3" t="inlineStr">
        <is>
          <t>Revenue</t>
        </is>
      </c>
      <c r="D18212" s="3" t="inlineStr">
        <is>
          <t>2755/001</t>
        </is>
      </c>
      <c r="E18212" s="3" t="inlineStr">
        <is>
          <t>Interest Received - Momentum</t>
        </is>
      </c>
      <c r="F18212" s="3" t="n">
        <v>0</v>
      </c>
      <c r="G18212" s="3" t="n">
        <v>-117.79</v>
      </c>
    </row>
    <row r="18213">
      <c r="A18213" s="3" t="inlineStr">
        <is>
          <t>Quinate Consulting (Pty) Ltd</t>
        </is>
      </c>
      <c r="B18213" s="4" t="n">
        <v>45323</v>
      </c>
      <c r="C18213" s="3" t="inlineStr">
        <is>
          <t>Revenue</t>
        </is>
      </c>
      <c r="D18213" s="3" t="inlineStr">
        <is>
          <t>2755/001</t>
        </is>
      </c>
      <c r="E18213" s="3" t="inlineStr">
        <is>
          <t>Interest Received - Momentum</t>
        </is>
      </c>
      <c r="F18213" s="3" t="n">
        <v>0</v>
      </c>
      <c r="G18213" s="3" t="n">
        <v>-30.67</v>
      </c>
    </row>
    <row r="18214">
      <c r="A18214" s="3" t="inlineStr">
        <is>
          <t>Opportunity Global Investment (PTY) LTD</t>
        </is>
      </c>
      <c r="B18214" s="4" t="n">
        <v>45323</v>
      </c>
      <c r="C18214" s="3" t="inlineStr">
        <is>
          <t>Expenses</t>
        </is>
      </c>
      <c r="D18214" s="3" t="inlineStr">
        <is>
          <t>3000/100</t>
        </is>
      </c>
      <c r="E18214" s="3" t="inlineStr">
        <is>
          <t>Accounting Fees - Secretarial</t>
        </is>
      </c>
      <c r="F18214" s="3" t="n">
        <v>0</v>
      </c>
      <c r="G18214" s="3" t="n">
        <v>890</v>
      </c>
    </row>
    <row r="18215">
      <c r="A18215" s="3" t="inlineStr">
        <is>
          <t>Opportunity Global Investment (PTY) LTD</t>
        </is>
      </c>
      <c r="B18215" s="4" t="n">
        <v>45323</v>
      </c>
      <c r="C18215" s="3" t="inlineStr">
        <is>
          <t>Expenses</t>
        </is>
      </c>
      <c r="D18215" s="3" t="inlineStr">
        <is>
          <t>3000/150</t>
        </is>
      </c>
      <c r="E18215" s="3" t="inlineStr">
        <is>
          <t>Accounting Fees - Audit</t>
        </is>
      </c>
      <c r="F18215" s="3" t="n">
        <v>0</v>
      </c>
      <c r="G18215" s="3" t="n">
        <v>12217.01</v>
      </c>
    </row>
    <row r="18216">
      <c r="A18216" s="3" t="inlineStr">
        <is>
          <t>Trademark Holdings (Pty) Ltd</t>
        </is>
      </c>
      <c r="B18216" s="4" t="n">
        <v>45323</v>
      </c>
      <c r="C18216" s="3" t="inlineStr">
        <is>
          <t>Expenses</t>
        </is>
      </c>
      <c r="D18216" s="3" t="inlineStr">
        <is>
          <t>3000/300</t>
        </is>
      </c>
      <c r="E18216" s="3" t="inlineStr">
        <is>
          <t>Accounting Fees - Audit</t>
        </is>
      </c>
      <c r="F18216" s="3" t="n">
        <v>0</v>
      </c>
      <c r="G18216" s="3" t="n">
        <v>22517</v>
      </c>
    </row>
    <row r="18217">
      <c r="A18217" s="3" t="inlineStr">
        <is>
          <t>Trademark Holdings (Pty) Ltd</t>
        </is>
      </c>
      <c r="B18217" s="4" t="n">
        <v>45323</v>
      </c>
      <c r="C18217" s="3" t="inlineStr">
        <is>
          <t>Expenses</t>
        </is>
      </c>
      <c r="D18217" s="3" t="inlineStr">
        <is>
          <t>3000/400</t>
        </is>
      </c>
      <c r="E18217" s="3" t="inlineStr">
        <is>
          <t>Accounting Fees - CiPC</t>
        </is>
      </c>
      <c r="F18217" s="3" t="n">
        <v>0</v>
      </c>
      <c r="G18217" s="3" t="n">
        <v>1322.5</v>
      </c>
    </row>
    <row r="18218">
      <c r="A18218" s="3" t="inlineStr">
        <is>
          <t>Quinate Consulting (Pty) Ltd</t>
        </is>
      </c>
      <c r="B18218" s="4" t="n">
        <v>45323</v>
      </c>
      <c r="C18218" s="3" t="inlineStr">
        <is>
          <t>Expenses</t>
        </is>
      </c>
      <c r="D18218" s="3" t="inlineStr">
        <is>
          <t>3001/000</t>
        </is>
      </c>
      <c r="E18218" s="3" t="inlineStr">
        <is>
          <t>Accounting fees - Other</t>
        </is>
      </c>
      <c r="F18218" s="3" t="n">
        <v>0</v>
      </c>
      <c r="G18218" s="3" t="n">
        <v>12640</v>
      </c>
    </row>
    <row r="18219">
      <c r="A18219" s="3" t="inlineStr">
        <is>
          <t>Quinate Consulting (Pty) Ltd</t>
        </is>
      </c>
      <c r="B18219" s="4" t="n">
        <v>45323</v>
      </c>
      <c r="C18219" s="3" t="inlineStr">
        <is>
          <t>Expenses</t>
        </is>
      </c>
      <c r="D18219" s="3" t="inlineStr">
        <is>
          <t>3002/000</t>
        </is>
      </c>
      <c r="E18219" s="3" t="inlineStr">
        <is>
          <t>Accounting Fees - Tax Dept.</t>
        </is>
      </c>
      <c r="F18219" s="3" t="n">
        <v>0</v>
      </c>
      <c r="G18219" s="3" t="n">
        <v>540</v>
      </c>
    </row>
    <row r="18220">
      <c r="A18220" s="3" t="inlineStr">
        <is>
          <t>Quinate Consulting (Pty) Ltd</t>
        </is>
      </c>
      <c r="B18220" s="4" t="n">
        <v>45323</v>
      </c>
      <c r="C18220" s="3" t="inlineStr">
        <is>
          <t>Expenses</t>
        </is>
      </c>
      <c r="D18220" s="3" t="inlineStr">
        <is>
          <t>3005/000</t>
        </is>
      </c>
      <c r="E18220" s="3" t="inlineStr">
        <is>
          <t>Accounting fees - Audit</t>
        </is>
      </c>
      <c r="F18220" s="3" t="n">
        <v>0</v>
      </c>
      <c r="G18220" s="3" t="n">
        <v>41581</v>
      </c>
    </row>
    <row r="18221">
      <c r="A18221" s="3" t="inlineStr">
        <is>
          <t>Opportunity Management Holdings (PTY) LTD</t>
        </is>
      </c>
      <c r="B18221" s="4" t="n">
        <v>45323</v>
      </c>
      <c r="C18221" s="3" t="inlineStr">
        <is>
          <t>Expenses</t>
        </is>
      </c>
      <c r="D18221" s="3" t="inlineStr">
        <is>
          <t>3005/000</t>
        </is>
      </c>
      <c r="E18221" s="3" t="inlineStr">
        <is>
          <t>Accounting fees - Deric Dudley</t>
        </is>
      </c>
      <c r="F18221" s="3" t="n">
        <v>0</v>
      </c>
      <c r="G18221" s="3" t="n">
        <v>289427.94</v>
      </c>
    </row>
    <row r="18222">
      <c r="A18222" s="3" t="inlineStr">
        <is>
          <t>Opportunity Management Holdings (PTY) LTD</t>
        </is>
      </c>
      <c r="B18222" s="4" t="n">
        <v>45323</v>
      </c>
      <c r="C18222" s="3" t="inlineStr">
        <is>
          <t>Expenses</t>
        </is>
      </c>
      <c r="D18222" s="3" t="inlineStr">
        <is>
          <t>3006/000</t>
        </is>
      </c>
      <c r="E18222" s="3" t="inlineStr">
        <is>
          <t>Accounting fees - CIPC</t>
        </is>
      </c>
      <c r="F18222" s="3" t="n">
        <v>0</v>
      </c>
      <c r="G18222" s="3" t="n">
        <v>500</v>
      </c>
    </row>
    <row r="18223">
      <c r="A18223" s="3" t="inlineStr">
        <is>
          <t>Endulini (Pty) Ltd</t>
        </is>
      </c>
      <c r="B18223" s="4" t="n">
        <v>45323</v>
      </c>
      <c r="C18223" s="3" t="inlineStr">
        <is>
          <t>Expenses</t>
        </is>
      </c>
      <c r="D18223" s="3" t="inlineStr">
        <is>
          <t>3050/000</t>
        </is>
      </c>
      <c r="E18223" s="3" t="inlineStr">
        <is>
          <t>Advertising _AND_ Promotions</t>
        </is>
      </c>
      <c r="F18223" s="3" t="n">
        <v>0</v>
      </c>
      <c r="G18223" s="3" t="n">
        <v>4595</v>
      </c>
    </row>
    <row r="18224">
      <c r="A18224" s="3" t="inlineStr">
        <is>
          <t>Noble Shield (Pty) Ltd ta Go Letting</t>
        </is>
      </c>
      <c r="B18224" s="4" t="n">
        <v>45323</v>
      </c>
      <c r="C18224" s="3" t="inlineStr">
        <is>
          <t>Expenses</t>
        </is>
      </c>
      <c r="D18224" s="3" t="inlineStr">
        <is>
          <t>3050/000</t>
        </is>
      </c>
      <c r="E18224" s="3" t="inlineStr">
        <is>
          <t>Advertising _AND_ Promotions</t>
        </is>
      </c>
      <c r="F18224" s="3" t="n">
        <v>0</v>
      </c>
      <c r="G18224" s="3" t="n">
        <v>1322.5</v>
      </c>
    </row>
    <row r="18225">
      <c r="A18225" s="3" t="inlineStr">
        <is>
          <t>Opportunity Management Holdings (PTY) LTD</t>
        </is>
      </c>
      <c r="B18225" s="4" t="n">
        <v>45323</v>
      </c>
      <c r="C18225" s="3" t="inlineStr">
        <is>
          <t>Expenses</t>
        </is>
      </c>
      <c r="D18225" s="3" t="inlineStr">
        <is>
          <t>3050/000</t>
        </is>
      </c>
      <c r="E18225" s="3" t="inlineStr">
        <is>
          <t>Advertising _AND_ Promotions</t>
        </is>
      </c>
      <c r="F18225" s="3" t="n">
        <v>0</v>
      </c>
      <c r="G18225" s="3" t="n">
        <v>3761.41</v>
      </c>
    </row>
    <row r="18226">
      <c r="A18226" s="3" t="inlineStr">
        <is>
          <t>Opportunity Global Investment (PTY) LTD</t>
        </is>
      </c>
      <c r="B18226" s="4" t="n">
        <v>45323</v>
      </c>
      <c r="C18226" s="3" t="inlineStr">
        <is>
          <t>Expenses</t>
        </is>
      </c>
      <c r="D18226" s="3" t="inlineStr">
        <is>
          <t>3050/000</t>
        </is>
      </c>
      <c r="E18226" s="3" t="inlineStr">
        <is>
          <t>Advertising and Promotions</t>
        </is>
      </c>
      <c r="F18226" s="3" t="n">
        <v>0</v>
      </c>
      <c r="G18226" s="3" t="n">
        <v>3510.76</v>
      </c>
    </row>
    <row r="18227">
      <c r="A18227" s="3" t="inlineStr">
        <is>
          <t>Opportunity Global Sales (PTY) LTD</t>
        </is>
      </c>
      <c r="B18227" s="4" t="n">
        <v>45323</v>
      </c>
      <c r="C18227" s="3" t="inlineStr">
        <is>
          <t>Expenses</t>
        </is>
      </c>
      <c r="D18227" s="3" t="inlineStr">
        <is>
          <t>3050/000</t>
        </is>
      </c>
      <c r="E18227" s="3" t="inlineStr">
        <is>
          <t>Advertising and Promotions</t>
        </is>
      </c>
      <c r="F18227" s="3" t="n">
        <v>0</v>
      </c>
      <c r="G18227" s="3" t="n">
        <v>18164.18</v>
      </c>
    </row>
    <row r="18228">
      <c r="A18228" s="3" t="inlineStr">
        <is>
          <t>Endulini (Pty) Ltd</t>
        </is>
      </c>
      <c r="B18228" s="4" t="n">
        <v>45323</v>
      </c>
      <c r="C18228" s="3" t="inlineStr">
        <is>
          <t>Expenses</t>
        </is>
      </c>
      <c r="D18228" s="3" t="inlineStr">
        <is>
          <t>3050/001</t>
        </is>
      </c>
      <c r="E18228" s="3" t="inlineStr">
        <is>
          <t>Advertising _AND_ Promotions - Media Agenda</t>
        </is>
      </c>
      <c r="F18228" s="3" t="n">
        <v>0</v>
      </c>
      <c r="G18228" s="3" t="n">
        <v>4887.5</v>
      </c>
    </row>
    <row r="18229">
      <c r="A18229" s="3" t="inlineStr">
        <is>
          <t>Noble Shield (Pty) Ltd ta Go Letting</t>
        </is>
      </c>
      <c r="B18229" s="4" t="n">
        <v>45323</v>
      </c>
      <c r="C18229" s="3" t="inlineStr">
        <is>
          <t>Expenses</t>
        </is>
      </c>
      <c r="D18229" s="3" t="inlineStr">
        <is>
          <t>3050/020</t>
        </is>
      </c>
      <c r="E18229" s="3" t="inlineStr">
        <is>
          <t>Adverting &amp; Marketing - Other</t>
        </is>
      </c>
      <c r="F18229" s="3" t="n">
        <v>0</v>
      </c>
      <c r="G18229" s="3" t="n">
        <v>134.9</v>
      </c>
    </row>
    <row r="18230">
      <c r="A18230" s="3" t="inlineStr">
        <is>
          <t>Noble Shield (Pty) Ltd ta Go Letting</t>
        </is>
      </c>
      <c r="B18230" s="4" t="n">
        <v>45323</v>
      </c>
      <c r="C18230" s="3" t="inlineStr">
        <is>
          <t>Expenses</t>
        </is>
      </c>
      <c r="D18230" s="3" t="inlineStr">
        <is>
          <t>3050/050</t>
        </is>
      </c>
      <c r="E18230" s="3" t="inlineStr">
        <is>
          <t>Advertising - Prop 24</t>
        </is>
      </c>
      <c r="F18230" s="3" t="n">
        <v>0</v>
      </c>
      <c r="G18230" s="3" t="n">
        <v>17368.45</v>
      </c>
    </row>
    <row r="18231">
      <c r="A18231" s="3" t="inlineStr">
        <is>
          <t>Opportunity Global Sales (PTY) LTD</t>
        </is>
      </c>
      <c r="B18231" s="4" t="n">
        <v>45323</v>
      </c>
      <c r="C18231" s="3" t="inlineStr">
        <is>
          <t>Expenses</t>
        </is>
      </c>
      <c r="D18231" s="3" t="inlineStr">
        <is>
          <t>3050/100</t>
        </is>
      </c>
      <c r="E18231" s="3" t="inlineStr">
        <is>
          <t>Advertising - Facebook</t>
        </is>
      </c>
      <c r="F18231" s="3" t="n">
        <v>0</v>
      </c>
      <c r="G18231" s="3" t="n">
        <v>2279.78</v>
      </c>
    </row>
    <row r="18232">
      <c r="A18232" s="3" t="inlineStr">
        <is>
          <t>Opportunity Global Sales (PTY) LTD</t>
        </is>
      </c>
      <c r="B18232" s="4" t="n">
        <v>45323</v>
      </c>
      <c r="C18232" s="3" t="inlineStr">
        <is>
          <t>Expenses</t>
        </is>
      </c>
      <c r="D18232" s="3" t="inlineStr">
        <is>
          <t>3050/140</t>
        </is>
      </c>
      <c r="E18232" s="3" t="inlineStr">
        <is>
          <t>Advertising - Media Agenda</t>
        </is>
      </c>
      <c r="F18232" s="3" t="n">
        <v>0</v>
      </c>
      <c r="G18232" s="3" t="n">
        <v>18462.5</v>
      </c>
    </row>
    <row r="18233">
      <c r="A18233" s="3" t="inlineStr">
        <is>
          <t>Opportunity Global Sales (PTY) LTD</t>
        </is>
      </c>
      <c r="B18233" s="4" t="n">
        <v>45323</v>
      </c>
      <c r="C18233" s="3" t="inlineStr">
        <is>
          <t>Expenses</t>
        </is>
      </c>
      <c r="D18233" s="3" t="inlineStr">
        <is>
          <t>3050/200</t>
        </is>
      </c>
      <c r="E18233" s="3" t="inlineStr">
        <is>
          <t>Advertising - Design</t>
        </is>
      </c>
      <c r="F18233" s="3" t="n">
        <v>0</v>
      </c>
      <c r="G18233" s="3" t="n">
        <v>35000</v>
      </c>
    </row>
    <row r="18234">
      <c r="A18234" s="3" t="inlineStr">
        <is>
          <t>Opportunity Global Investment (PTY) LTD</t>
        </is>
      </c>
      <c r="B18234" s="4" t="n">
        <v>45323</v>
      </c>
      <c r="C18234" s="3" t="inlineStr">
        <is>
          <t>Expenses</t>
        </is>
      </c>
      <c r="D18234" s="3" t="inlineStr">
        <is>
          <t>3050/230</t>
        </is>
      </c>
      <c r="E18234" s="3" t="inlineStr">
        <is>
          <t>Advertising - Link on Advertising</t>
        </is>
      </c>
      <c r="F18234" s="3" t="n">
        <v>0</v>
      </c>
      <c r="G18234" s="3" t="n">
        <v>2370</v>
      </c>
    </row>
    <row r="18235">
      <c r="A18235" s="3" t="inlineStr">
        <is>
          <t>Opportunity Global Investment (PTY) LTD</t>
        </is>
      </c>
      <c r="B18235" s="4" t="n">
        <v>45323</v>
      </c>
      <c r="C18235" s="3" t="inlineStr">
        <is>
          <t>Expenses</t>
        </is>
      </c>
      <c r="D18235" s="3" t="inlineStr">
        <is>
          <t>3050/240</t>
        </is>
      </c>
      <c r="E18235" s="3" t="inlineStr">
        <is>
          <t>Advertising - Realmarketing</t>
        </is>
      </c>
      <c r="F18235" s="3" t="n">
        <v>0</v>
      </c>
      <c r="G18235" s="3" t="n">
        <v>191000</v>
      </c>
    </row>
    <row r="18236">
      <c r="A18236" s="3" t="inlineStr">
        <is>
          <t>Opportunity Global Investment (PTY) LTD</t>
        </is>
      </c>
      <c r="B18236" s="4" t="n">
        <v>45323</v>
      </c>
      <c r="C18236" s="3" t="inlineStr">
        <is>
          <t>Expenses</t>
        </is>
      </c>
      <c r="D18236" s="3" t="inlineStr">
        <is>
          <t>3050/250</t>
        </is>
      </c>
      <c r="E18236" s="3" t="inlineStr">
        <is>
          <t>Advertising - General</t>
        </is>
      </c>
      <c r="F18236" s="3" t="n">
        <v>0</v>
      </c>
      <c r="G18236" s="3" t="n">
        <v>52599.6</v>
      </c>
    </row>
    <row r="18237">
      <c r="A18237" s="3" t="inlineStr">
        <is>
          <t>Opportunity Global Sales (PTY) LTD</t>
        </is>
      </c>
      <c r="B18237" s="4" t="n">
        <v>45323</v>
      </c>
      <c r="C18237" s="3" t="inlineStr">
        <is>
          <t>Expenses</t>
        </is>
      </c>
      <c r="D18237" s="3" t="inlineStr">
        <is>
          <t>3050/250</t>
        </is>
      </c>
      <c r="E18237" s="3" t="inlineStr">
        <is>
          <t>Advertising - General</t>
        </is>
      </c>
      <c r="F18237" s="3" t="n">
        <v>0</v>
      </c>
      <c r="G18237" s="3" t="n">
        <v>81097.08</v>
      </c>
    </row>
    <row r="18238">
      <c r="A18238" s="3" t="inlineStr">
        <is>
          <t>Opportunity Global Investment (PTY) LTD</t>
        </is>
      </c>
      <c r="B18238" s="4" t="n">
        <v>45323</v>
      </c>
      <c r="C18238" s="3" t="inlineStr">
        <is>
          <t>Expenses</t>
        </is>
      </c>
      <c r="D18238" s="3" t="inlineStr">
        <is>
          <t>3050/260</t>
        </is>
      </c>
      <c r="E18238" s="3" t="inlineStr">
        <is>
          <t>Advertising - Media Agenda</t>
        </is>
      </c>
      <c r="F18238" s="3" t="n">
        <v>0</v>
      </c>
      <c r="G18238" s="3" t="n">
        <v>1437.5</v>
      </c>
    </row>
    <row r="18239">
      <c r="A18239" s="3" t="inlineStr">
        <is>
          <t>Opportunity Global Investment (PTY) LTD</t>
        </is>
      </c>
      <c r="B18239" s="4" t="n">
        <v>45323</v>
      </c>
      <c r="C18239" s="3" t="inlineStr">
        <is>
          <t>Expenses</t>
        </is>
      </c>
      <c r="D18239" s="3" t="inlineStr">
        <is>
          <t>3050/270</t>
        </is>
      </c>
      <c r="E18239" s="3" t="inlineStr">
        <is>
          <t>Advertising - Radia and TV Interviews</t>
        </is>
      </c>
      <c r="F18239" s="3" t="n">
        <v>0</v>
      </c>
      <c r="G18239" s="3" t="n">
        <v>140897.5</v>
      </c>
    </row>
    <row r="18240">
      <c r="A18240" s="3" t="inlineStr">
        <is>
          <t>Opportunity Global Investment (PTY) LTD</t>
        </is>
      </c>
      <c r="B18240" s="4" t="n">
        <v>45323</v>
      </c>
      <c r="C18240" s="3" t="inlineStr">
        <is>
          <t>Expenses</t>
        </is>
      </c>
      <c r="D18240" s="3" t="inlineStr">
        <is>
          <t>3050/290</t>
        </is>
      </c>
      <c r="E18240" s="3" t="inlineStr">
        <is>
          <t>Advertising - Serene Living</t>
        </is>
      </c>
      <c r="F18240" s="3" t="n">
        <v>0</v>
      </c>
      <c r="G18240" s="3" t="n">
        <v>715946</v>
      </c>
    </row>
    <row r="18241">
      <c r="A18241" s="3" t="inlineStr">
        <is>
          <t>Opportunity Global Investment (PTY) LTD</t>
        </is>
      </c>
      <c r="B18241" s="4" t="n">
        <v>45323</v>
      </c>
      <c r="C18241" s="3" t="inlineStr">
        <is>
          <t>Expenses</t>
        </is>
      </c>
      <c r="D18241" s="3" t="inlineStr">
        <is>
          <t>3050/295</t>
        </is>
      </c>
      <c r="E18241" s="3" t="inlineStr">
        <is>
          <t>Advertising - Reale Activation</t>
        </is>
      </c>
      <c r="F18241" s="3" t="n">
        <v>0</v>
      </c>
      <c r="G18241" s="3" t="n">
        <v>30397.22</v>
      </c>
    </row>
    <row r="18242">
      <c r="A18242" s="3" t="inlineStr">
        <is>
          <t>Opportunity Global Investment (PTY) LTD</t>
        </is>
      </c>
      <c r="B18242" s="4" t="n">
        <v>45323</v>
      </c>
      <c r="C18242" s="3" t="inlineStr">
        <is>
          <t>Expenses</t>
        </is>
      </c>
      <c r="D18242" s="3" t="inlineStr">
        <is>
          <t>3050/300</t>
        </is>
      </c>
      <c r="E18242" s="3" t="inlineStr">
        <is>
          <t>Advertising - Design</t>
        </is>
      </c>
      <c r="F18242" s="3" t="n">
        <v>0</v>
      </c>
      <c r="G18242" s="3" t="n">
        <v>7750</v>
      </c>
    </row>
    <row r="18243">
      <c r="A18243" s="3" t="inlineStr">
        <is>
          <t>Endulini (Pty) Ltd</t>
        </is>
      </c>
      <c r="B18243" s="4" t="n">
        <v>45323</v>
      </c>
      <c r="C18243" s="3" t="inlineStr">
        <is>
          <t>Expenses</t>
        </is>
      </c>
      <c r="D18243" s="3" t="inlineStr">
        <is>
          <t>3050/300</t>
        </is>
      </c>
      <c r="E18243" s="3" t="inlineStr">
        <is>
          <t>Advertiving - Real Marketing</t>
        </is>
      </c>
      <c r="F18243" s="3" t="n">
        <v>0</v>
      </c>
      <c r="G18243" s="3" t="n">
        <v>10250</v>
      </c>
    </row>
    <row r="18244">
      <c r="A18244" s="3" t="inlineStr">
        <is>
          <t>Opportunity Global Sales (PTY) LTD</t>
        </is>
      </c>
      <c r="B18244" s="4" t="n">
        <v>45323</v>
      </c>
      <c r="C18244" s="3" t="inlineStr">
        <is>
          <t>Expenses</t>
        </is>
      </c>
      <c r="D18244" s="3" t="inlineStr">
        <is>
          <t>3050/300</t>
        </is>
      </c>
      <c r="E18244" s="3" t="inlineStr">
        <is>
          <t>Repairs and Maintenance - Endulini Sales Office</t>
        </is>
      </c>
      <c r="F18244" s="3" t="n">
        <v>0</v>
      </c>
      <c r="G18244" s="3" t="n">
        <v>86.95999999999999</v>
      </c>
    </row>
    <row r="18245">
      <c r="A18245" s="3" t="inlineStr">
        <is>
          <t>Quinate Consulting (Pty) Ltd</t>
        </is>
      </c>
      <c r="B18245" s="4" t="n">
        <v>45323</v>
      </c>
      <c r="C18245" s="3" t="inlineStr">
        <is>
          <t>Expenses</t>
        </is>
      </c>
      <c r="D18245" s="3" t="inlineStr">
        <is>
          <t>3050/400</t>
        </is>
      </c>
      <c r="E18245" s="3" t="inlineStr">
        <is>
          <t>Advertising - Prop24</t>
        </is>
      </c>
      <c r="F18245" s="3" t="n">
        <v>0</v>
      </c>
      <c r="G18245" s="3" t="n">
        <v>118856.75</v>
      </c>
    </row>
    <row r="18246">
      <c r="A18246" s="3" t="inlineStr">
        <is>
          <t>Opportunity Global Sales (PTY) LTD</t>
        </is>
      </c>
      <c r="B18246" s="4" t="n">
        <v>45323</v>
      </c>
      <c r="C18246" s="3" t="inlineStr">
        <is>
          <t>Expenses</t>
        </is>
      </c>
      <c r="D18246" s="3" t="inlineStr">
        <is>
          <t>3050/400</t>
        </is>
      </c>
      <c r="E18246" s="3" t="inlineStr">
        <is>
          <t>Repairs &amp; Maintenance Heron sales office</t>
        </is>
      </c>
      <c r="F18246" s="3" t="n">
        <v>0</v>
      </c>
      <c r="G18246" s="3" t="n">
        <v>196.5</v>
      </c>
    </row>
    <row r="18247">
      <c r="A18247" s="3" t="inlineStr">
        <is>
          <t>Quinate Consulting (Pty) Ltd</t>
        </is>
      </c>
      <c r="B18247" s="4" t="n">
        <v>45323</v>
      </c>
      <c r="C18247" s="3" t="inlineStr">
        <is>
          <t>Expenses</t>
        </is>
      </c>
      <c r="D18247" s="3" t="inlineStr">
        <is>
          <t>3050/450</t>
        </is>
      </c>
      <c r="E18247" s="3" t="inlineStr">
        <is>
          <t>Advertising - Facebook</t>
        </is>
      </c>
      <c r="F18247" s="3" t="n">
        <v>0</v>
      </c>
      <c r="G18247" s="3" t="n">
        <v>51955.16</v>
      </c>
    </row>
    <row r="18248">
      <c r="A18248" s="3" t="inlineStr">
        <is>
          <t>Opportunity Global Investment (PTY) LTD</t>
        </is>
      </c>
      <c r="B18248" s="4" t="n">
        <v>45323</v>
      </c>
      <c r="C18248" s="3" t="inlineStr">
        <is>
          <t>Expenses</t>
        </is>
      </c>
      <c r="D18248" s="3" t="inlineStr">
        <is>
          <t>3051/000</t>
        </is>
      </c>
      <c r="E18248" s="3" t="inlineStr">
        <is>
          <t>Advertising - Facebook</t>
        </is>
      </c>
      <c r="F18248" s="3" t="n">
        <v>0</v>
      </c>
      <c r="G18248" s="3" t="n">
        <v>186897.54</v>
      </c>
    </row>
    <row r="18249">
      <c r="A18249" s="3" t="inlineStr">
        <is>
          <t>Opportunity Global Investment (PTY) LTD</t>
        </is>
      </c>
      <c r="B18249" s="4" t="n">
        <v>45323</v>
      </c>
      <c r="C18249" s="3" t="inlineStr">
        <is>
          <t>Expenses</t>
        </is>
      </c>
      <c r="D18249" s="3" t="inlineStr">
        <is>
          <t>3053/000</t>
        </is>
      </c>
      <c r="E18249" s="3" t="inlineStr">
        <is>
          <t>Advertising - Google Ads</t>
        </is>
      </c>
      <c r="F18249" s="3" t="n">
        <v>0</v>
      </c>
      <c r="G18249" s="3" t="n">
        <v>7619.61</v>
      </c>
    </row>
    <row r="18250">
      <c r="A18250" s="3" t="inlineStr">
        <is>
          <t>Endulini (Pty) Ltd</t>
        </is>
      </c>
      <c r="B18250" s="4" t="n">
        <v>45323</v>
      </c>
      <c r="C18250" s="3" t="inlineStr">
        <is>
          <t>Expenses</t>
        </is>
      </c>
      <c r="D18250" s="3" t="inlineStr">
        <is>
          <t>3200/000</t>
        </is>
      </c>
      <c r="E18250" s="3" t="inlineStr">
        <is>
          <t>Bank Charges</t>
        </is>
      </c>
      <c r="F18250" s="3" t="n">
        <v>0</v>
      </c>
      <c r="G18250" s="3" t="n">
        <v>2195.4</v>
      </c>
    </row>
    <row r="18251">
      <c r="A18251" s="3" t="inlineStr">
        <is>
          <t>Noble Shield (Pty) Ltd ta Go Letting</t>
        </is>
      </c>
      <c r="B18251" s="4" t="n">
        <v>45323</v>
      </c>
      <c r="C18251" s="3" t="inlineStr">
        <is>
          <t>Expenses</t>
        </is>
      </c>
      <c r="D18251" s="3" t="inlineStr">
        <is>
          <t>3200/000</t>
        </is>
      </c>
      <c r="E18251" s="3" t="inlineStr">
        <is>
          <t>Bank Charges</t>
        </is>
      </c>
      <c r="F18251" s="3" t="n">
        <v>0</v>
      </c>
      <c r="G18251" s="3" t="n">
        <v>2836.24</v>
      </c>
    </row>
    <row r="18252">
      <c r="A18252" s="3" t="inlineStr">
        <is>
          <t>Opportunity Global Investment (PTY) LTD</t>
        </is>
      </c>
      <c r="B18252" s="4" t="n">
        <v>45323</v>
      </c>
      <c r="C18252" s="3" t="inlineStr">
        <is>
          <t>Expenses</t>
        </is>
      </c>
      <c r="D18252" s="3" t="inlineStr">
        <is>
          <t>3200/000</t>
        </is>
      </c>
      <c r="E18252" s="3" t="inlineStr">
        <is>
          <t>Bank Charges</t>
        </is>
      </c>
      <c r="F18252" s="3" t="n">
        <v>0</v>
      </c>
      <c r="G18252" s="3" t="n">
        <v>6171.56</v>
      </c>
    </row>
    <row r="18253">
      <c r="A18253" s="3" t="inlineStr">
        <is>
          <t>Opportunity Global Sales (PTY) LTD</t>
        </is>
      </c>
      <c r="B18253" s="4" t="n">
        <v>45323</v>
      </c>
      <c r="C18253" s="3" t="inlineStr">
        <is>
          <t>Expenses</t>
        </is>
      </c>
      <c r="D18253" s="3" t="inlineStr">
        <is>
          <t>3200/000</t>
        </is>
      </c>
      <c r="E18253" s="3" t="inlineStr">
        <is>
          <t>Bank Charges</t>
        </is>
      </c>
      <c r="F18253" s="3" t="n">
        <v>0</v>
      </c>
      <c r="G18253" s="3" t="n">
        <v>5581.46</v>
      </c>
    </row>
    <row r="18254">
      <c r="A18254" s="3" t="inlineStr">
        <is>
          <t>Opportunity Management Holdings (PTY) LTD</t>
        </is>
      </c>
      <c r="B18254" s="4" t="n">
        <v>45323</v>
      </c>
      <c r="C18254" s="3" t="inlineStr">
        <is>
          <t>Expenses</t>
        </is>
      </c>
      <c r="D18254" s="3" t="inlineStr">
        <is>
          <t>3200/000</t>
        </is>
      </c>
      <c r="E18254" s="3" t="inlineStr">
        <is>
          <t>Bank Charges</t>
        </is>
      </c>
      <c r="F18254" s="3" t="n">
        <v>0</v>
      </c>
      <c r="G18254" s="3" t="n">
        <v>4202.83</v>
      </c>
    </row>
    <row r="18255">
      <c r="A18255" s="3" t="inlineStr">
        <is>
          <t>Quinate Consulting (Pty) Ltd</t>
        </is>
      </c>
      <c r="B18255" s="4" t="n">
        <v>45323</v>
      </c>
      <c r="C18255" s="3" t="inlineStr">
        <is>
          <t>Expenses</t>
        </is>
      </c>
      <c r="D18255" s="3" t="inlineStr">
        <is>
          <t>3200/000</t>
        </is>
      </c>
      <c r="E18255" s="3" t="inlineStr">
        <is>
          <t>Bank Charges</t>
        </is>
      </c>
      <c r="F18255" s="3" t="n">
        <v>0</v>
      </c>
      <c r="G18255" s="3" t="n">
        <v>9231.41</v>
      </c>
    </row>
    <row r="18256">
      <c r="A18256" s="3" t="inlineStr">
        <is>
          <t>Trademark Holdings (Pty) Ltd</t>
        </is>
      </c>
      <c r="B18256" s="4" t="n">
        <v>45323</v>
      </c>
      <c r="C18256" s="3" t="inlineStr">
        <is>
          <t>Expenses</t>
        </is>
      </c>
      <c r="D18256" s="3" t="inlineStr">
        <is>
          <t>3200/000</t>
        </is>
      </c>
      <c r="E18256" s="3" t="inlineStr">
        <is>
          <t>Bank Charges</t>
        </is>
      </c>
      <c r="F18256" s="3" t="n">
        <v>0</v>
      </c>
      <c r="G18256" s="3" t="n">
        <v>1585.65</v>
      </c>
    </row>
    <row r="18257">
      <c r="A18257" s="3" t="inlineStr">
        <is>
          <t>Quinate Consulting (Pty) Ltd</t>
        </is>
      </c>
      <c r="B18257" s="4" t="n">
        <v>45323</v>
      </c>
      <c r="C18257" s="3" t="inlineStr">
        <is>
          <t>Expenses</t>
        </is>
      </c>
      <c r="D18257" s="3" t="inlineStr">
        <is>
          <t>3220/000</t>
        </is>
      </c>
      <c r="E18257" s="3" t="inlineStr">
        <is>
          <t>Bank Charges - Bond Fees</t>
        </is>
      </c>
      <c r="F18257" s="3" t="n">
        <v>0</v>
      </c>
      <c r="G18257" s="3" t="n">
        <v>12278.48</v>
      </c>
    </row>
    <row r="18258">
      <c r="A18258" s="3" t="inlineStr">
        <is>
          <t>Noble Shield (Pty) Ltd ta Go Letting</t>
        </is>
      </c>
      <c r="B18258" s="4" t="n">
        <v>45323</v>
      </c>
      <c r="C18258" s="3" t="inlineStr">
        <is>
          <t>Expenses</t>
        </is>
      </c>
      <c r="D18258" s="3" t="inlineStr">
        <is>
          <t>3230/000</t>
        </is>
      </c>
      <c r="E18258" s="3" t="inlineStr">
        <is>
          <t>Cell Phone - NM</t>
        </is>
      </c>
      <c r="F18258" s="3" t="n">
        <v>0</v>
      </c>
      <c r="G18258" s="3" t="n">
        <v>11387.84</v>
      </c>
    </row>
    <row r="18259">
      <c r="A18259" s="3" t="inlineStr">
        <is>
          <t>Noble Shield (Pty) Ltd ta Go Letting</t>
        </is>
      </c>
      <c r="B18259" s="4" t="n">
        <v>45323</v>
      </c>
      <c r="C18259" s="3" t="inlineStr">
        <is>
          <t>Expenses</t>
        </is>
      </c>
      <c r="D18259" s="3" t="inlineStr">
        <is>
          <t>3233/000</t>
        </is>
      </c>
      <c r="E18259" s="3" t="inlineStr">
        <is>
          <t>Cell Data - Other</t>
        </is>
      </c>
      <c r="F18259" s="3" t="n">
        <v>199</v>
      </c>
      <c r="G18259" s="3" t="n">
        <v>770.04</v>
      </c>
    </row>
    <row r="18260">
      <c r="A18260" s="3" t="inlineStr">
        <is>
          <t>Noble Shield (Pty) Ltd ta Go Letting</t>
        </is>
      </c>
      <c r="B18260" s="4" t="n">
        <v>45323</v>
      </c>
      <c r="C18260" s="3" t="inlineStr">
        <is>
          <t>Expenses</t>
        </is>
      </c>
      <c r="D18260" s="3" t="inlineStr">
        <is>
          <t>3233/100</t>
        </is>
      </c>
      <c r="E18260" s="3" t="inlineStr">
        <is>
          <t>Cell Data - Sales office Wifi</t>
        </is>
      </c>
      <c r="F18260" s="3" t="n">
        <v>315</v>
      </c>
      <c r="G18260" s="3" t="n">
        <v>2386.91</v>
      </c>
    </row>
    <row r="18261">
      <c r="A18261" s="3" t="inlineStr">
        <is>
          <t>Opportunity Global Investment (PTY) LTD</t>
        </is>
      </c>
      <c r="B18261" s="4" t="n">
        <v>45323</v>
      </c>
      <c r="C18261" s="3" t="inlineStr">
        <is>
          <t>Expenses</t>
        </is>
      </c>
      <c r="D18261" s="3" t="inlineStr">
        <is>
          <t>3250/000</t>
        </is>
      </c>
      <c r="E18261" s="3" t="inlineStr">
        <is>
          <t>Cleaning</t>
        </is>
      </c>
      <c r="F18261" s="3" t="n">
        <v>0</v>
      </c>
      <c r="G18261" s="3" t="n">
        <v>29700</v>
      </c>
    </row>
    <row r="18262">
      <c r="A18262" s="3" t="inlineStr">
        <is>
          <t>Opportunity Global Sales (PTY) LTD</t>
        </is>
      </c>
      <c r="B18262" s="4" t="n">
        <v>45323</v>
      </c>
      <c r="C18262" s="3" t="inlineStr">
        <is>
          <t>Expenses</t>
        </is>
      </c>
      <c r="D18262" s="3" t="inlineStr">
        <is>
          <t>3250/000</t>
        </is>
      </c>
      <c r="E18262" s="3" t="inlineStr">
        <is>
          <t>Cleaning</t>
        </is>
      </c>
      <c r="F18262" s="3" t="n">
        <v>0</v>
      </c>
      <c r="G18262" s="3" t="n">
        <v>9561.91</v>
      </c>
    </row>
    <row r="18263">
      <c r="A18263" s="3" t="inlineStr">
        <is>
          <t>Opportunity Management Holdings (PTY) LTD</t>
        </is>
      </c>
      <c r="B18263" s="4" t="n">
        <v>45323</v>
      </c>
      <c r="C18263" s="3" t="inlineStr">
        <is>
          <t>Expenses</t>
        </is>
      </c>
      <c r="D18263" s="3" t="inlineStr">
        <is>
          <t>3250/000</t>
        </is>
      </c>
      <c r="E18263" s="3" t="inlineStr">
        <is>
          <t>Cleaning</t>
        </is>
      </c>
      <c r="F18263" s="3" t="n">
        <v>0</v>
      </c>
      <c r="G18263" s="3" t="n">
        <v>14562.32</v>
      </c>
    </row>
    <row r="18264">
      <c r="A18264" s="3" t="inlineStr">
        <is>
          <t>Trademark Holdings (Pty) Ltd</t>
        </is>
      </c>
      <c r="B18264" s="4" t="n">
        <v>45323</v>
      </c>
      <c r="C18264" s="3" t="inlineStr">
        <is>
          <t>Expenses</t>
        </is>
      </c>
      <c r="D18264" s="3" t="inlineStr">
        <is>
          <t>3250/000</t>
        </is>
      </c>
      <c r="E18264" s="3" t="inlineStr">
        <is>
          <t>Cleaning</t>
        </is>
      </c>
      <c r="F18264" s="3" t="n">
        <v>0</v>
      </c>
      <c r="G18264" s="3" t="n">
        <v>5434</v>
      </c>
    </row>
    <row r="18265">
      <c r="A18265" s="3" t="inlineStr">
        <is>
          <t>Opportunity Global Investment (PTY) LTD</t>
        </is>
      </c>
      <c r="B18265" s="4" t="n">
        <v>45323</v>
      </c>
      <c r="C18265" s="3" t="inlineStr">
        <is>
          <t>Expenses</t>
        </is>
      </c>
      <c r="D18265" s="3" t="inlineStr">
        <is>
          <t>3300/000</t>
        </is>
      </c>
      <c r="E18265" s="3" t="inlineStr">
        <is>
          <t>Computer Expenses</t>
        </is>
      </c>
      <c r="F18265" s="3" t="n">
        <v>0</v>
      </c>
      <c r="G18265" s="3" t="n">
        <v>4148.44</v>
      </c>
    </row>
    <row r="18266">
      <c r="A18266" s="3" t="inlineStr">
        <is>
          <t>Opportunity Management Holdings (PTY) LTD</t>
        </is>
      </c>
      <c r="B18266" s="4" t="n">
        <v>45323</v>
      </c>
      <c r="C18266" s="3" t="inlineStr">
        <is>
          <t>Expenses</t>
        </is>
      </c>
      <c r="D18266" s="3" t="inlineStr">
        <is>
          <t>3300/000</t>
        </is>
      </c>
      <c r="E18266" s="3" t="inlineStr">
        <is>
          <t>Computer Expenses</t>
        </is>
      </c>
      <c r="F18266" s="3" t="n">
        <v>0</v>
      </c>
      <c r="G18266" s="3" t="n">
        <v>1153.91</v>
      </c>
    </row>
    <row r="18267">
      <c r="A18267" s="3" t="inlineStr">
        <is>
          <t>Noble Shield (Pty) Ltd ta Go Letting</t>
        </is>
      </c>
      <c r="B18267" s="4" t="n">
        <v>45323</v>
      </c>
      <c r="C18267" s="3" t="inlineStr">
        <is>
          <t>Expenses</t>
        </is>
      </c>
      <c r="D18267" s="3" t="inlineStr">
        <is>
          <t>3300/120</t>
        </is>
      </c>
      <c r="E18267" s="3" t="inlineStr">
        <is>
          <t>Computer IT - Software Propworx</t>
        </is>
      </c>
      <c r="F18267" s="3" t="n">
        <v>2576</v>
      </c>
      <c r="G18267" s="3" t="n">
        <v>15456</v>
      </c>
    </row>
    <row r="18268">
      <c r="A18268" s="3" t="inlineStr">
        <is>
          <t>Noble Shield (Pty) Ltd ta Go Letting</t>
        </is>
      </c>
      <c r="B18268" s="4" t="n">
        <v>45323</v>
      </c>
      <c r="C18268" s="3" t="inlineStr">
        <is>
          <t>Expenses</t>
        </is>
      </c>
      <c r="D18268" s="3" t="inlineStr">
        <is>
          <t>3300/130</t>
        </is>
      </c>
      <c r="E18268" s="3" t="inlineStr">
        <is>
          <t>Computer IT - Internet/Hosting Fees</t>
        </is>
      </c>
      <c r="F18268" s="3" t="n">
        <v>0</v>
      </c>
      <c r="G18268" s="3" t="n">
        <v>790</v>
      </c>
    </row>
    <row r="18269">
      <c r="A18269" s="3" t="inlineStr">
        <is>
          <t>Noble Shield (Pty) Ltd ta Go Letting</t>
        </is>
      </c>
      <c r="B18269" s="4" t="n">
        <v>45323</v>
      </c>
      <c r="C18269" s="3" t="inlineStr">
        <is>
          <t>Expenses</t>
        </is>
      </c>
      <c r="D18269" s="3" t="inlineStr">
        <is>
          <t>3300/170</t>
        </is>
      </c>
      <c r="E18269" s="3" t="inlineStr">
        <is>
          <t>Computer IT - VDB office Fibre</t>
        </is>
      </c>
      <c r="F18269" s="3" t="n">
        <v>0</v>
      </c>
      <c r="G18269" s="3" t="n">
        <v>3160</v>
      </c>
    </row>
    <row r="18270">
      <c r="A18270" s="3" t="inlineStr">
        <is>
          <t>Trademark Holdings (Pty) Ltd</t>
        </is>
      </c>
      <c r="B18270" s="4" t="n">
        <v>45323</v>
      </c>
      <c r="C18270" s="3" t="inlineStr">
        <is>
          <t>Expenses</t>
        </is>
      </c>
      <c r="D18270" s="3" t="inlineStr">
        <is>
          <t>3350/000</t>
        </is>
      </c>
      <c r="E18270" s="3" t="inlineStr">
        <is>
          <t>Consulting Fees</t>
        </is>
      </c>
      <c r="F18270" s="3" t="n">
        <v>0</v>
      </c>
      <c r="G18270" s="3" t="n">
        <v>110400</v>
      </c>
    </row>
    <row r="18271">
      <c r="A18271" s="3" t="inlineStr">
        <is>
          <t>Opportunity Management Holdings (PTY) LTD</t>
        </is>
      </c>
      <c r="B18271" s="4" t="n">
        <v>45323</v>
      </c>
      <c r="C18271" s="3" t="inlineStr">
        <is>
          <t>Expenses</t>
        </is>
      </c>
      <c r="D18271" s="3" t="inlineStr">
        <is>
          <t>3350/100</t>
        </is>
      </c>
      <c r="E18271" s="3" t="inlineStr">
        <is>
          <t>Consulting Fee - Dirk Coetzee</t>
        </is>
      </c>
      <c r="F18271" s="3" t="n">
        <v>0</v>
      </c>
      <c r="G18271" s="3" t="n">
        <v>85000</v>
      </c>
    </row>
    <row r="18272">
      <c r="A18272" s="3" t="inlineStr">
        <is>
          <t>Endulini (Pty) Ltd</t>
        </is>
      </c>
      <c r="B18272" s="4" t="n">
        <v>45323</v>
      </c>
      <c r="C18272" s="3" t="inlineStr">
        <is>
          <t>Expenses</t>
        </is>
      </c>
      <c r="D18272" s="3" t="inlineStr">
        <is>
          <t>3350/100</t>
        </is>
      </c>
      <c r="E18272" s="3" t="inlineStr">
        <is>
          <t>Consulting Fees - Admin and Finance</t>
        </is>
      </c>
      <c r="F18272" s="3" t="n">
        <v>0</v>
      </c>
      <c r="G18272" s="3" t="n">
        <v>477091.76</v>
      </c>
    </row>
    <row r="18273">
      <c r="A18273" s="3" t="inlineStr">
        <is>
          <t>Opportunity Global Investment (PTY) LTD</t>
        </is>
      </c>
      <c r="B18273" s="4" t="n">
        <v>45323</v>
      </c>
      <c r="C18273" s="3" t="inlineStr">
        <is>
          <t>Expenses</t>
        </is>
      </c>
      <c r="D18273" s="3" t="inlineStr">
        <is>
          <t>3350/100</t>
        </is>
      </c>
      <c r="E18273" s="3" t="inlineStr">
        <is>
          <t>Consulting Fees - Admin and Finance</t>
        </is>
      </c>
      <c r="F18273" s="3" t="n">
        <v>0</v>
      </c>
      <c r="G18273" s="3" t="n">
        <v>170619.06</v>
      </c>
    </row>
    <row r="18274">
      <c r="A18274" s="3" t="inlineStr">
        <is>
          <t>Opportunity Global Sales (PTY) LTD</t>
        </is>
      </c>
      <c r="B18274" s="4" t="n">
        <v>45323</v>
      </c>
      <c r="C18274" s="3" t="inlineStr">
        <is>
          <t>Expenses</t>
        </is>
      </c>
      <c r="D18274" s="3" t="inlineStr">
        <is>
          <t>3350/100</t>
        </is>
      </c>
      <c r="E18274" s="3" t="inlineStr">
        <is>
          <t>Consulting Fees - Admin and Finance</t>
        </is>
      </c>
      <c r="F18274" s="3" t="n">
        <v>0</v>
      </c>
      <c r="G18274" s="3" t="n">
        <v>149727</v>
      </c>
    </row>
    <row r="18275">
      <c r="A18275" s="3" t="inlineStr">
        <is>
          <t>Opportunity Global Sales (PTY) LTD</t>
        </is>
      </c>
      <c r="B18275" s="4" t="n">
        <v>45323</v>
      </c>
      <c r="C18275" s="3" t="inlineStr">
        <is>
          <t>Expenses</t>
        </is>
      </c>
      <c r="D18275" s="3" t="inlineStr">
        <is>
          <t>3350/200</t>
        </is>
      </c>
      <c r="E18275" s="3" t="inlineStr">
        <is>
          <t>Consulting Fees - Agent Karien Muller</t>
        </is>
      </c>
      <c r="F18275" s="3" t="n">
        <v>0</v>
      </c>
      <c r="G18275" s="3" t="n">
        <v>10000</v>
      </c>
    </row>
    <row r="18276">
      <c r="A18276" s="3" t="inlineStr">
        <is>
          <t>Opportunity Global Investment (PTY) LTD</t>
        </is>
      </c>
      <c r="B18276" s="4" t="n">
        <v>45323</v>
      </c>
      <c r="C18276" s="3" t="inlineStr">
        <is>
          <t>Expenses</t>
        </is>
      </c>
      <c r="D18276" s="3" t="inlineStr">
        <is>
          <t>3350/200</t>
        </is>
      </c>
      <c r="E18276" s="3" t="inlineStr">
        <is>
          <t>Consulting Fees - Rockfin</t>
        </is>
      </c>
      <c r="F18276" s="3" t="n">
        <v>0</v>
      </c>
      <c r="G18276" s="3" t="n">
        <v>101700</v>
      </c>
    </row>
    <row r="18277">
      <c r="A18277" s="3" t="inlineStr">
        <is>
          <t>Opportunity Management Holdings (PTY) LTD</t>
        </is>
      </c>
      <c r="B18277" s="4" t="n">
        <v>45323</v>
      </c>
      <c r="C18277" s="3" t="inlineStr">
        <is>
          <t>Expenses</t>
        </is>
      </c>
      <c r="D18277" s="3" t="inlineStr">
        <is>
          <t>3350/300</t>
        </is>
      </c>
      <c r="E18277" s="3" t="inlineStr">
        <is>
          <t>Consulting Fee - HR Joblaw</t>
        </is>
      </c>
      <c r="F18277" s="3" t="n">
        <v>1600.83</v>
      </c>
      <c r="G18277" s="3" t="n">
        <v>9604.98</v>
      </c>
    </row>
    <row r="18278">
      <c r="A18278" s="3" t="inlineStr">
        <is>
          <t>Quinate Consulting (Pty) Ltd</t>
        </is>
      </c>
      <c r="B18278" s="4" t="n">
        <v>45323</v>
      </c>
      <c r="C18278" s="3" t="inlineStr">
        <is>
          <t>Expenses</t>
        </is>
      </c>
      <c r="D18278" s="3" t="inlineStr">
        <is>
          <t>3350/300</t>
        </is>
      </c>
      <c r="E18278" s="3" t="inlineStr">
        <is>
          <t>Consulting Fees - Admin and Finance</t>
        </is>
      </c>
      <c r="F18278" s="3" t="n">
        <v>0</v>
      </c>
      <c r="G18278" s="3" t="n">
        <v>58025</v>
      </c>
    </row>
    <row r="18279">
      <c r="A18279" s="3" t="inlineStr">
        <is>
          <t>Opportunity Global Investment (PTY) LTD</t>
        </is>
      </c>
      <c r="B18279" s="4" t="n">
        <v>45323</v>
      </c>
      <c r="C18279" s="3" t="inlineStr">
        <is>
          <t>Expenses</t>
        </is>
      </c>
      <c r="D18279" s="3" t="inlineStr">
        <is>
          <t>3350/300</t>
        </is>
      </c>
      <c r="E18279" s="3" t="inlineStr">
        <is>
          <t>Consulting Fees - BLCS</t>
        </is>
      </c>
      <c r="F18279" s="3" t="n">
        <v>0</v>
      </c>
      <c r="G18279" s="3" t="n">
        <v>22000</v>
      </c>
    </row>
    <row r="18280">
      <c r="A18280" s="3" t="inlineStr">
        <is>
          <t>Opportunity Global Investment (PTY) LTD</t>
        </is>
      </c>
      <c r="B18280" s="4" t="n">
        <v>45323</v>
      </c>
      <c r="C18280" s="3" t="inlineStr">
        <is>
          <t>Expenses</t>
        </is>
      </c>
      <c r="D18280" s="3" t="inlineStr">
        <is>
          <t>3350/400</t>
        </is>
      </c>
      <c r="E18280" s="3" t="inlineStr">
        <is>
          <t>Consulting Fees: Solaris Law</t>
        </is>
      </c>
      <c r="F18280" s="3" t="n">
        <v>0</v>
      </c>
      <c r="G18280" s="3" t="n">
        <v>80145</v>
      </c>
    </row>
    <row r="18281">
      <c r="A18281" s="3" t="inlineStr">
        <is>
          <t>Opportunity Global Investment (PTY) LTD</t>
        </is>
      </c>
      <c r="B18281" s="4" t="n">
        <v>45323</v>
      </c>
      <c r="C18281" s="3" t="inlineStr">
        <is>
          <t>Expenses</t>
        </is>
      </c>
      <c r="D18281" s="3" t="inlineStr">
        <is>
          <t>3351/000</t>
        </is>
      </c>
      <c r="E18281" s="3" t="inlineStr">
        <is>
          <t>Consulting Fees - HR Joblaw</t>
        </is>
      </c>
      <c r="F18281" s="3" t="n">
        <v>1600.83</v>
      </c>
      <c r="G18281" s="3" t="n">
        <v>4802.49</v>
      </c>
    </row>
    <row r="18282">
      <c r="A18282" s="3" t="inlineStr">
        <is>
          <t>Quinate Consulting (Pty) Ltd</t>
        </is>
      </c>
      <c r="B18282" s="4" t="n">
        <v>45323</v>
      </c>
      <c r="C18282" s="3" t="inlineStr">
        <is>
          <t>Expenses</t>
        </is>
      </c>
      <c r="D18282" s="3" t="inlineStr">
        <is>
          <t>3351/000</t>
        </is>
      </c>
      <c r="E18282" s="3" t="inlineStr">
        <is>
          <t>Consulting fees - Trustees</t>
        </is>
      </c>
      <c r="F18282" s="3" t="n">
        <v>0</v>
      </c>
      <c r="G18282" s="3" t="n">
        <v>109821.74</v>
      </c>
    </row>
    <row r="18283">
      <c r="A18283" s="3" t="inlineStr">
        <is>
          <t>Opportunity Global Investment (PTY) LTD</t>
        </is>
      </c>
      <c r="B18283" s="4" t="n">
        <v>45323</v>
      </c>
      <c r="C18283" s="3" t="inlineStr">
        <is>
          <t>Expenses</t>
        </is>
      </c>
      <c r="D18283" s="3" t="inlineStr">
        <is>
          <t>3354/000</t>
        </is>
      </c>
      <c r="E18283" s="3" t="inlineStr">
        <is>
          <t>Consulting Fees - Karien Muller</t>
        </is>
      </c>
      <c r="F18283" s="3" t="n">
        <v>0</v>
      </c>
      <c r="G18283" s="3" t="n">
        <v>12500</v>
      </c>
    </row>
    <row r="18284">
      <c r="A18284" s="3" t="inlineStr">
        <is>
          <t>Opportunity Global Investment (PTY) LTD</t>
        </is>
      </c>
      <c r="B18284" s="4" t="n">
        <v>45323</v>
      </c>
      <c r="C18284" s="3" t="inlineStr">
        <is>
          <t>Expenses</t>
        </is>
      </c>
      <c r="D18284" s="3" t="inlineStr">
        <is>
          <t>3355/00</t>
        </is>
      </c>
      <c r="E18284" s="3" t="inlineStr">
        <is>
          <t>Consulting fees - F Geldenhuys</t>
        </is>
      </c>
      <c r="F18284" s="3" t="n">
        <v>0</v>
      </c>
      <c r="G18284" s="3" t="n">
        <v>61500</v>
      </c>
    </row>
    <row r="18285">
      <c r="A18285" s="3" t="inlineStr">
        <is>
          <t>Opportunity Management Holdings (PTY) LTD</t>
        </is>
      </c>
      <c r="B18285" s="4" t="n">
        <v>45323</v>
      </c>
      <c r="C18285" s="3" t="inlineStr">
        <is>
          <t>Expenses</t>
        </is>
      </c>
      <c r="D18285" s="3" t="inlineStr">
        <is>
          <t>3400/000</t>
        </is>
      </c>
      <c r="E18285" s="3" t="inlineStr">
        <is>
          <t>Courier _AND_ Postage</t>
        </is>
      </c>
      <c r="F18285" s="3" t="n">
        <v>0</v>
      </c>
      <c r="G18285" s="3" t="n">
        <v>664.3200000000001</v>
      </c>
    </row>
    <row r="18286">
      <c r="A18286" s="3" t="inlineStr">
        <is>
          <t>Quinate Consulting (Pty) Ltd</t>
        </is>
      </c>
      <c r="B18286" s="4" t="n">
        <v>45323</v>
      </c>
      <c r="C18286" s="3" t="inlineStr">
        <is>
          <t>Expenses</t>
        </is>
      </c>
      <c r="D18286" s="3" t="inlineStr">
        <is>
          <t>3450/001</t>
        </is>
      </c>
      <c r="E18286" s="3" t="inlineStr">
        <is>
          <t>Depreciation - Computer Equipment</t>
        </is>
      </c>
      <c r="F18286" s="3" t="n">
        <v>0</v>
      </c>
      <c r="G18286" s="3" t="n">
        <v>24837.14</v>
      </c>
    </row>
    <row r="18287">
      <c r="A18287" s="3" t="inlineStr">
        <is>
          <t>Opportunity Global Investment (PTY) LTD</t>
        </is>
      </c>
      <c r="B18287" s="4" t="n">
        <v>45323</v>
      </c>
      <c r="C18287" s="3" t="inlineStr">
        <is>
          <t>Expenses</t>
        </is>
      </c>
      <c r="D18287" s="3" t="inlineStr">
        <is>
          <t>3450/001</t>
        </is>
      </c>
      <c r="E18287" s="3" t="inlineStr">
        <is>
          <t>Depreciation - Computer equipment</t>
        </is>
      </c>
      <c r="F18287" s="3" t="n">
        <v>0</v>
      </c>
      <c r="G18287" s="3" t="n">
        <v>9680.940000000001</v>
      </c>
    </row>
    <row r="18288">
      <c r="A18288" s="3" t="inlineStr">
        <is>
          <t>Quinate Consulting (Pty) Ltd</t>
        </is>
      </c>
      <c r="B18288" s="4" t="n">
        <v>45323</v>
      </c>
      <c r="C18288" s="3" t="inlineStr">
        <is>
          <t>Expenses</t>
        </is>
      </c>
      <c r="D18288" s="3" t="inlineStr">
        <is>
          <t>3450/002</t>
        </is>
      </c>
      <c r="E18288" s="3" t="inlineStr">
        <is>
          <t>Depreciation - Site Containers</t>
        </is>
      </c>
      <c r="F18288" s="3" t="n">
        <v>0</v>
      </c>
      <c r="G18288" s="3" t="n">
        <v>3507.24</v>
      </c>
    </row>
    <row r="18289">
      <c r="A18289" s="3" t="inlineStr">
        <is>
          <t>Opportunity Global Sales (PTY) LTD</t>
        </is>
      </c>
      <c r="B18289" s="4" t="n">
        <v>45323</v>
      </c>
      <c r="C18289" s="3" t="inlineStr">
        <is>
          <t>Expenses</t>
        </is>
      </c>
      <c r="D18289" s="3" t="inlineStr">
        <is>
          <t>3450/030</t>
        </is>
      </c>
      <c r="E18289" s="3" t="inlineStr">
        <is>
          <t>Depreciation - Furniture and Fittings</t>
        </is>
      </c>
      <c r="F18289" s="3" t="n">
        <v>0</v>
      </c>
      <c r="G18289" s="3" t="n">
        <v>4488.57</v>
      </c>
    </row>
    <row r="18290">
      <c r="A18290" s="3" t="inlineStr">
        <is>
          <t>Opportunity Management Holdings (PTY) LTD</t>
        </is>
      </c>
      <c r="B18290" s="4" t="n">
        <v>45323</v>
      </c>
      <c r="C18290" s="3" t="inlineStr">
        <is>
          <t>Expenses</t>
        </is>
      </c>
      <c r="D18290" s="3" t="inlineStr">
        <is>
          <t>3451/000</t>
        </is>
      </c>
      <c r="E18290" s="3" t="inlineStr">
        <is>
          <t>Depreciation - Computer Equipment</t>
        </is>
      </c>
      <c r="F18290" s="3" t="n">
        <v>0</v>
      </c>
      <c r="G18290" s="3" t="n">
        <v>5175.9</v>
      </c>
    </row>
    <row r="18291">
      <c r="A18291" s="3" t="inlineStr">
        <is>
          <t>Quinate Consulting (Pty) Ltd</t>
        </is>
      </c>
      <c r="B18291" s="4" t="n">
        <v>45323</v>
      </c>
      <c r="C18291" s="3" t="inlineStr">
        <is>
          <t>Expenses</t>
        </is>
      </c>
      <c r="D18291" s="3" t="inlineStr">
        <is>
          <t>3600/000</t>
        </is>
      </c>
      <c r="E18291" s="3" t="inlineStr">
        <is>
          <t>Donations</t>
        </is>
      </c>
      <c r="F18291" s="3" t="n">
        <v>572.45</v>
      </c>
      <c r="G18291" s="3" t="n">
        <v>6869.4</v>
      </c>
    </row>
    <row r="18292">
      <c r="A18292" s="3" t="inlineStr">
        <is>
          <t>Noble Shield (Pty) Ltd ta Go Letting</t>
        </is>
      </c>
      <c r="B18292" s="4" t="n">
        <v>45323</v>
      </c>
      <c r="C18292" s="3" t="inlineStr">
        <is>
          <t>Expenses</t>
        </is>
      </c>
      <c r="D18292" s="3" t="inlineStr">
        <is>
          <t>3650/000</t>
        </is>
      </c>
      <c r="E18292" s="3" t="inlineStr">
        <is>
          <t>Electricity _AND_ Water</t>
        </is>
      </c>
      <c r="F18292" s="3" t="n">
        <v>0</v>
      </c>
      <c r="G18292" s="3" t="n">
        <v>2500</v>
      </c>
    </row>
    <row r="18293">
      <c r="A18293" s="3" t="inlineStr">
        <is>
          <t>Opportunity Global Investment (PTY) LTD</t>
        </is>
      </c>
      <c r="B18293" s="4" t="n">
        <v>45323</v>
      </c>
      <c r="C18293" s="3" t="inlineStr">
        <is>
          <t>Expenses</t>
        </is>
      </c>
      <c r="D18293" s="3" t="inlineStr">
        <is>
          <t>3650/000</t>
        </is>
      </c>
      <c r="E18293" s="3" t="inlineStr">
        <is>
          <t>Electricity _AND_ Water</t>
        </is>
      </c>
      <c r="F18293" s="3" t="n">
        <v>0</v>
      </c>
      <c r="G18293" s="3" t="n">
        <v>32450</v>
      </c>
    </row>
    <row r="18294">
      <c r="A18294" s="3" t="inlineStr">
        <is>
          <t>Noble Shield (Pty) Ltd ta Go Letting</t>
        </is>
      </c>
      <c r="B18294" s="4" t="n">
        <v>45323</v>
      </c>
      <c r="C18294" s="3" t="inlineStr">
        <is>
          <t>Expenses</t>
        </is>
      </c>
      <c r="D18294" s="3" t="inlineStr">
        <is>
          <t>3651/000</t>
        </is>
      </c>
      <c r="E18294" s="3" t="inlineStr">
        <is>
          <t>Electricity _AND_ Water - Rentals</t>
        </is>
      </c>
      <c r="F18294" s="3" t="n">
        <v>0</v>
      </c>
      <c r="G18294" s="3" t="n">
        <v>2000</v>
      </c>
    </row>
    <row r="18295">
      <c r="A18295" s="3" t="inlineStr">
        <is>
          <t>Quinate Consulting (Pty) Ltd</t>
        </is>
      </c>
      <c r="B18295" s="4" t="n">
        <v>45323</v>
      </c>
      <c r="C18295" s="3" t="inlineStr">
        <is>
          <t>Expenses</t>
        </is>
      </c>
      <c r="D18295" s="3" t="inlineStr">
        <is>
          <t>3651/000</t>
        </is>
      </c>
      <c r="E18295" s="3" t="inlineStr">
        <is>
          <t>Electricity _AND_ Water - Southwark</t>
        </is>
      </c>
      <c r="F18295" s="3" t="n">
        <v>0</v>
      </c>
      <c r="G18295" s="3" t="n">
        <v>279411.26</v>
      </c>
    </row>
    <row r="18296">
      <c r="A18296" s="3" t="inlineStr">
        <is>
          <t>Quinate Consulting (Pty) Ltd</t>
        </is>
      </c>
      <c r="B18296" s="4" t="n">
        <v>45323</v>
      </c>
      <c r="C18296" s="3" t="inlineStr">
        <is>
          <t>Expenses</t>
        </is>
      </c>
      <c r="D18296" s="3" t="inlineStr">
        <is>
          <t>3652/000</t>
        </is>
      </c>
      <c r="E18296" s="3" t="inlineStr">
        <is>
          <t>Electricity _AND_ Water - Soho</t>
        </is>
      </c>
      <c r="F18296" s="3" t="n">
        <v>0</v>
      </c>
      <c r="G18296" s="3" t="n">
        <v>293909.56</v>
      </c>
    </row>
    <row r="18297">
      <c r="A18297" s="3" t="inlineStr">
        <is>
          <t>Quinate Consulting (Pty) Ltd</t>
        </is>
      </c>
      <c r="B18297" s="4" t="n">
        <v>45323</v>
      </c>
      <c r="C18297" s="3" t="inlineStr">
        <is>
          <t>Expenses</t>
        </is>
      </c>
      <c r="D18297" s="3" t="inlineStr">
        <is>
          <t>3653/000</t>
        </is>
      </c>
      <c r="E18297" s="3" t="inlineStr">
        <is>
          <t>Electricity _AND_ Water - Endulini</t>
        </is>
      </c>
      <c r="F18297" s="3" t="n">
        <v>7807.05</v>
      </c>
      <c r="G18297" s="3" t="n">
        <v>4776.4</v>
      </c>
    </row>
    <row r="18298">
      <c r="A18298" s="3" t="inlineStr">
        <is>
          <t>Noble Shield (Pty) Ltd ta Go Letting</t>
        </is>
      </c>
      <c r="B18298" s="4" t="n">
        <v>45323</v>
      </c>
      <c r="C18298" s="3" t="inlineStr">
        <is>
          <t>Expenses</t>
        </is>
      </c>
      <c r="D18298" s="3" t="inlineStr">
        <is>
          <t>3700/000</t>
        </is>
      </c>
      <c r="E18298" s="3" t="inlineStr">
        <is>
          <t>Entertainment Expenses</t>
        </is>
      </c>
      <c r="F18298" s="3" t="n">
        <v>0</v>
      </c>
      <c r="G18298" s="3" t="n">
        <v>1650</v>
      </c>
    </row>
    <row r="18299">
      <c r="A18299" s="3" t="inlineStr">
        <is>
          <t>Opportunity Global Investment (PTY) LTD</t>
        </is>
      </c>
      <c r="B18299" s="4" t="n">
        <v>45323</v>
      </c>
      <c r="C18299" s="3" t="inlineStr">
        <is>
          <t>Expenses</t>
        </is>
      </c>
      <c r="D18299" s="3" t="inlineStr">
        <is>
          <t>3700/000</t>
        </is>
      </c>
      <c r="E18299" s="3" t="inlineStr">
        <is>
          <t>Entertainment Expenses</t>
        </is>
      </c>
      <c r="F18299" s="3" t="n">
        <v>0</v>
      </c>
      <c r="G18299" s="3" t="n">
        <v>6737.99</v>
      </c>
    </row>
    <row r="18300">
      <c r="A18300" s="3" t="inlineStr">
        <is>
          <t>Opportunity Global Sales (PTY) LTD</t>
        </is>
      </c>
      <c r="B18300" s="4" t="n">
        <v>45323</v>
      </c>
      <c r="C18300" s="3" t="inlineStr">
        <is>
          <t>Expenses</t>
        </is>
      </c>
      <c r="D18300" s="3" t="inlineStr">
        <is>
          <t>3700/000</t>
        </is>
      </c>
      <c r="E18300" s="3" t="inlineStr">
        <is>
          <t>Entertainment Expenses</t>
        </is>
      </c>
      <c r="F18300" s="3" t="n">
        <v>0</v>
      </c>
      <c r="G18300" s="3" t="n">
        <v>3970</v>
      </c>
    </row>
    <row r="18301">
      <c r="A18301" s="3" t="inlineStr">
        <is>
          <t>Opportunity Management Holdings (PTY) LTD</t>
        </is>
      </c>
      <c r="B18301" s="4" t="n">
        <v>45323</v>
      </c>
      <c r="C18301" s="3" t="inlineStr">
        <is>
          <t>Expenses</t>
        </is>
      </c>
      <c r="D18301" s="3" t="inlineStr">
        <is>
          <t>3700/000</t>
        </is>
      </c>
      <c r="E18301" s="3" t="inlineStr">
        <is>
          <t>Entertainment Expenses</t>
        </is>
      </c>
      <c r="F18301" s="3" t="n">
        <v>0</v>
      </c>
      <c r="G18301" s="3" t="n">
        <v>1126.13</v>
      </c>
    </row>
    <row r="18302">
      <c r="A18302" s="3" t="inlineStr">
        <is>
          <t>Quinate Consulting (Pty) Ltd</t>
        </is>
      </c>
      <c r="B18302" s="4" t="n">
        <v>45323</v>
      </c>
      <c r="C18302" s="3" t="inlineStr">
        <is>
          <t>Expenses</t>
        </is>
      </c>
      <c r="D18302" s="3" t="inlineStr">
        <is>
          <t>3700/000</t>
        </is>
      </c>
      <c r="E18302" s="3" t="inlineStr">
        <is>
          <t>Entertainment Expenses</t>
        </is>
      </c>
      <c r="F18302" s="3" t="n">
        <v>1228.07</v>
      </c>
      <c r="G18302" s="3" t="n">
        <v>12973.12</v>
      </c>
    </row>
    <row r="18303">
      <c r="A18303" s="3" t="inlineStr">
        <is>
          <t>Opportunity Management Holdings (PTY) LTD</t>
        </is>
      </c>
      <c r="B18303" s="4" t="n">
        <v>45323</v>
      </c>
      <c r="C18303" s="3" t="inlineStr">
        <is>
          <t>Expenses</t>
        </is>
      </c>
      <c r="D18303" s="3" t="inlineStr">
        <is>
          <t>3800/000</t>
        </is>
      </c>
      <c r="E18303" s="3" t="inlineStr">
        <is>
          <t>General Expenses</t>
        </is>
      </c>
      <c r="F18303" s="3" t="n">
        <v>0</v>
      </c>
      <c r="G18303" s="3" t="n">
        <v>418.94</v>
      </c>
    </row>
    <row r="18304">
      <c r="A18304" s="3" t="inlineStr">
        <is>
          <t>Opportunity Global Investment (PTY) LTD</t>
        </is>
      </c>
      <c r="B18304" s="4" t="n">
        <v>45323</v>
      </c>
      <c r="C18304" s="3" t="inlineStr">
        <is>
          <t>Expenses</t>
        </is>
      </c>
      <c r="D18304" s="3" t="inlineStr">
        <is>
          <t>3800/010</t>
        </is>
      </c>
      <c r="E18304" s="3" t="inlineStr">
        <is>
          <t>General Expences - Gifts</t>
        </is>
      </c>
      <c r="F18304" s="3" t="n">
        <v>0</v>
      </c>
      <c r="G18304" s="3" t="n">
        <v>8198.870000000001</v>
      </c>
    </row>
    <row r="18305">
      <c r="A18305" s="3" t="inlineStr">
        <is>
          <t>Opportunity Global Sales (PTY) LTD</t>
        </is>
      </c>
      <c r="B18305" s="4" t="n">
        <v>45323</v>
      </c>
      <c r="C18305" s="3" t="inlineStr">
        <is>
          <t>Expenses</t>
        </is>
      </c>
      <c r="D18305" s="3" t="inlineStr">
        <is>
          <t>3800/010</t>
        </is>
      </c>
      <c r="E18305" s="3" t="inlineStr">
        <is>
          <t>General Expences - Gifts</t>
        </is>
      </c>
      <c r="F18305" s="3" t="n">
        <v>0</v>
      </c>
      <c r="G18305" s="3" t="n">
        <v>1719.75</v>
      </c>
    </row>
    <row r="18306">
      <c r="A18306" s="3" t="inlineStr">
        <is>
          <t>Opportunity Management Holdings (PTY) LTD</t>
        </is>
      </c>
      <c r="B18306" s="4" t="n">
        <v>45323</v>
      </c>
      <c r="C18306" s="3" t="inlineStr">
        <is>
          <t>Expenses</t>
        </is>
      </c>
      <c r="D18306" s="3" t="inlineStr">
        <is>
          <t>3800/010</t>
        </is>
      </c>
      <c r="E18306" s="3" t="inlineStr">
        <is>
          <t>General Expenses - Gifts</t>
        </is>
      </c>
      <c r="F18306" s="3" t="n">
        <v>0</v>
      </c>
      <c r="G18306" s="3" t="n">
        <v>808.5700000000001</v>
      </c>
    </row>
    <row r="18307">
      <c r="A18307" s="3" t="inlineStr">
        <is>
          <t>Opportunity Management Holdings (PTY) LTD</t>
        </is>
      </c>
      <c r="B18307" s="4" t="n">
        <v>45323</v>
      </c>
      <c r="C18307" s="3" t="inlineStr">
        <is>
          <t>Expenses</t>
        </is>
      </c>
      <c r="D18307" s="3" t="inlineStr">
        <is>
          <t>3800/030</t>
        </is>
      </c>
      <c r="E18307" s="3" t="inlineStr">
        <is>
          <t>General Expenses: Showhouse Heron View</t>
        </is>
      </c>
      <c r="F18307" s="3" t="n">
        <v>0</v>
      </c>
      <c r="G18307" s="3" t="n">
        <v>987.72</v>
      </c>
    </row>
    <row r="18308">
      <c r="A18308" s="3" t="inlineStr">
        <is>
          <t>Opportunity Management Holdings (PTY) LTD</t>
        </is>
      </c>
      <c r="B18308" s="4" t="n">
        <v>45323</v>
      </c>
      <c r="C18308" s="3" t="inlineStr">
        <is>
          <t>Expenses</t>
        </is>
      </c>
      <c r="D18308" s="3" t="inlineStr">
        <is>
          <t>3850/000</t>
        </is>
      </c>
      <c r="E18308" s="3" t="inlineStr">
        <is>
          <t>Insurance - Momentum</t>
        </is>
      </c>
      <c r="F18308" s="3" t="n">
        <v>1969.99</v>
      </c>
      <c r="G18308" s="3" t="n">
        <v>10724.22</v>
      </c>
    </row>
    <row r="18309">
      <c r="A18309" s="3" t="inlineStr">
        <is>
          <t>Noble Shield (Pty) Ltd ta Go Letting</t>
        </is>
      </c>
      <c r="B18309" s="4" t="n">
        <v>45323</v>
      </c>
      <c r="C18309" s="3" t="inlineStr">
        <is>
          <t>Expenses</t>
        </is>
      </c>
      <c r="D18309" s="3" t="inlineStr">
        <is>
          <t>3850/100</t>
        </is>
      </c>
      <c r="E18309" s="3" t="inlineStr">
        <is>
          <t>Insurance - Santam</t>
        </is>
      </c>
      <c r="F18309" s="3" t="n">
        <v>4249.41</v>
      </c>
      <c r="G18309" s="3" t="n">
        <v>25496.46</v>
      </c>
    </row>
    <row r="18310">
      <c r="A18310" s="3" t="inlineStr">
        <is>
          <t>Noble Shield (Pty) Ltd ta Go Letting</t>
        </is>
      </c>
      <c r="B18310" s="4" t="n">
        <v>45323</v>
      </c>
      <c r="C18310" s="3" t="inlineStr">
        <is>
          <t>Expenses</t>
        </is>
      </c>
      <c r="D18310" s="3" t="inlineStr">
        <is>
          <t>3850/200</t>
        </is>
      </c>
      <c r="E18310" s="3" t="inlineStr">
        <is>
          <t>Insurance - A_AND_G</t>
        </is>
      </c>
      <c r="F18310" s="3" t="n">
        <v>2244.46</v>
      </c>
      <c r="G18310" s="3" t="n">
        <v>13466.76</v>
      </c>
    </row>
    <row r="18311">
      <c r="A18311" s="3" t="inlineStr">
        <is>
          <t>Quinate Consulting (Pty) Ltd</t>
        </is>
      </c>
      <c r="B18311" s="4" t="n">
        <v>45323</v>
      </c>
      <c r="C18311" s="3" t="inlineStr">
        <is>
          <t>Expenses</t>
        </is>
      </c>
      <c r="D18311" s="3" t="inlineStr">
        <is>
          <t>3851/000</t>
        </is>
      </c>
      <c r="E18311" s="3" t="inlineStr">
        <is>
          <t>Insurance - Momentum</t>
        </is>
      </c>
      <c r="F18311" s="3" t="n">
        <v>0</v>
      </c>
      <c r="G18311" s="3" t="n">
        <v>93034.36</v>
      </c>
    </row>
    <row r="18312">
      <c r="A18312" s="3" t="inlineStr">
        <is>
          <t>Quinate Consulting (Pty) Ltd</t>
        </is>
      </c>
      <c r="B18312" s="4" t="n">
        <v>45323</v>
      </c>
      <c r="C18312" s="3" t="inlineStr">
        <is>
          <t>Expenses</t>
        </is>
      </c>
      <c r="D18312" s="3" t="inlineStr">
        <is>
          <t>3900/000</t>
        </is>
      </c>
      <c r="E18312" s="3" t="inlineStr">
        <is>
          <t>Interest Paid</t>
        </is>
      </c>
      <c r="F18312" s="3" t="n">
        <v>0</v>
      </c>
      <c r="G18312" s="3" t="n">
        <v>1307.76</v>
      </c>
    </row>
    <row r="18313">
      <c r="A18313" s="3" t="inlineStr">
        <is>
          <t>Quinate Consulting (Pty) Ltd</t>
        </is>
      </c>
      <c r="B18313" s="4" t="n">
        <v>45323</v>
      </c>
      <c r="C18313" s="3" t="inlineStr">
        <is>
          <t>Expenses</t>
        </is>
      </c>
      <c r="D18313" s="3" t="inlineStr">
        <is>
          <t>3900/050</t>
        </is>
      </c>
      <c r="E18313" s="3" t="inlineStr">
        <is>
          <t>Interest Paid - STD Bond Accounts</t>
        </is>
      </c>
      <c r="F18313" s="3" t="n">
        <v>0</v>
      </c>
      <c r="G18313" s="3" t="n">
        <v>727666.6</v>
      </c>
    </row>
    <row r="18314">
      <c r="A18314" s="3" t="inlineStr">
        <is>
          <t>Endulini (Pty) Ltd</t>
        </is>
      </c>
      <c r="B18314" s="4" t="n">
        <v>45323</v>
      </c>
      <c r="C18314" s="3" t="inlineStr">
        <is>
          <t>Expenses</t>
        </is>
      </c>
      <c r="D18314" s="3" t="inlineStr">
        <is>
          <t>3900/111</t>
        </is>
      </c>
      <c r="E18314" s="3" t="inlineStr">
        <is>
          <t>Interest Paid - Investors @ 6.25%</t>
        </is>
      </c>
      <c r="F18314" s="3" t="n">
        <v>0</v>
      </c>
      <c r="G18314" s="3" t="n">
        <v>34051.46</v>
      </c>
    </row>
    <row r="18315">
      <c r="A18315" s="3" t="inlineStr">
        <is>
          <t>Endulini (Pty) Ltd</t>
        </is>
      </c>
      <c r="B18315" s="4" t="n">
        <v>45323</v>
      </c>
      <c r="C18315" s="3" t="inlineStr">
        <is>
          <t>Expenses</t>
        </is>
      </c>
      <c r="D18315" s="3" t="inlineStr">
        <is>
          <t>3900/112</t>
        </is>
      </c>
      <c r="E18315" s="3" t="inlineStr">
        <is>
          <t>Interest Paid - Investors @ 6.5%</t>
        </is>
      </c>
      <c r="F18315" s="3" t="n">
        <v>0</v>
      </c>
      <c r="G18315" s="3" t="n">
        <v>3437</v>
      </c>
    </row>
    <row r="18316">
      <c r="A18316" s="3" t="inlineStr">
        <is>
          <t>Endulini (Pty) Ltd</t>
        </is>
      </c>
      <c r="B18316" s="4" t="n">
        <v>45323</v>
      </c>
      <c r="C18316" s="3" t="inlineStr">
        <is>
          <t>Expenses</t>
        </is>
      </c>
      <c r="D18316" s="3" t="inlineStr">
        <is>
          <t>3900/113</t>
        </is>
      </c>
      <c r="E18316" s="3" t="inlineStr">
        <is>
          <t>Interest Paid - Investors @ 6.75%</t>
        </is>
      </c>
      <c r="F18316" s="3" t="n">
        <v>0</v>
      </c>
      <c r="G18316" s="3" t="n">
        <v>4281.16</v>
      </c>
    </row>
    <row r="18317">
      <c r="A18317" s="3" t="inlineStr">
        <is>
          <t>Endulini (Pty) Ltd</t>
        </is>
      </c>
      <c r="B18317" s="4" t="n">
        <v>45323</v>
      </c>
      <c r="C18317" s="3" t="inlineStr">
        <is>
          <t>Expenses</t>
        </is>
      </c>
      <c r="D18317" s="3" t="inlineStr">
        <is>
          <t>3900/120</t>
        </is>
      </c>
      <c r="E18317" s="3" t="inlineStr">
        <is>
          <t>Interest Paid - Investors @ 7%</t>
        </is>
      </c>
      <c r="F18317" s="3" t="n">
        <v>0</v>
      </c>
      <c r="G18317" s="3" t="n">
        <v>12250.2</v>
      </c>
    </row>
    <row r="18318">
      <c r="A18318" s="3" t="inlineStr">
        <is>
          <t>Endulini (Pty) Ltd</t>
        </is>
      </c>
      <c r="B18318" s="4" t="n">
        <v>45323</v>
      </c>
      <c r="C18318" s="3" t="inlineStr">
        <is>
          <t>Expenses</t>
        </is>
      </c>
      <c r="D18318" s="3" t="inlineStr">
        <is>
          <t>3900/122</t>
        </is>
      </c>
      <c r="E18318" s="3" t="inlineStr">
        <is>
          <t>Interest Paid - Investors @ 7.5%</t>
        </is>
      </c>
      <c r="F18318" s="3" t="n">
        <v>0</v>
      </c>
      <c r="G18318" s="3" t="n">
        <v>200.84</v>
      </c>
    </row>
    <row r="18319">
      <c r="A18319" s="3" t="inlineStr">
        <is>
          <t>Quinate Consulting (Pty) Ltd</t>
        </is>
      </c>
      <c r="B18319" s="4" t="n">
        <v>45323</v>
      </c>
      <c r="C18319" s="3" t="inlineStr">
        <is>
          <t>Expenses</t>
        </is>
      </c>
      <c r="D18319" s="3" t="inlineStr">
        <is>
          <t>3900/152</t>
        </is>
      </c>
      <c r="E18319" s="3" t="inlineStr">
        <is>
          <t>Interest Paid - Gengis</t>
        </is>
      </c>
      <c r="F18319" s="3" t="n">
        <v>0</v>
      </c>
      <c r="G18319" s="3" t="n">
        <v>38224.1</v>
      </c>
    </row>
    <row r="18320">
      <c r="A18320" s="3" t="inlineStr">
        <is>
          <t>Endulini (Pty) Ltd</t>
        </is>
      </c>
      <c r="B18320" s="4" t="n">
        <v>45323</v>
      </c>
      <c r="C18320" s="3" t="inlineStr">
        <is>
          <t>Expenses</t>
        </is>
      </c>
      <c r="D18320" s="3" t="inlineStr">
        <is>
          <t>3900/190</t>
        </is>
      </c>
      <c r="E18320" s="3" t="inlineStr">
        <is>
          <t>Interest Paid - Investors @ 14%</t>
        </is>
      </c>
      <c r="F18320" s="3" t="n">
        <v>0</v>
      </c>
      <c r="G18320" s="3" t="n">
        <v>348884.25</v>
      </c>
    </row>
    <row r="18321">
      <c r="A18321" s="3" t="inlineStr">
        <is>
          <t>Endulini (Pty) Ltd</t>
        </is>
      </c>
      <c r="B18321" s="4" t="n">
        <v>45323</v>
      </c>
      <c r="C18321" s="3" t="inlineStr">
        <is>
          <t>Expenses</t>
        </is>
      </c>
      <c r="D18321" s="3" t="inlineStr">
        <is>
          <t>3900/200</t>
        </is>
      </c>
      <c r="E18321" s="3" t="inlineStr">
        <is>
          <t>Interest Paid - Investors @ 15%</t>
        </is>
      </c>
      <c r="F18321" s="3" t="n">
        <v>0</v>
      </c>
      <c r="G18321" s="3" t="n">
        <v>155679.44</v>
      </c>
    </row>
    <row r="18322">
      <c r="A18322" s="3" t="inlineStr">
        <is>
          <t>Endulini (Pty) Ltd</t>
        </is>
      </c>
      <c r="B18322" s="4" t="n">
        <v>45323</v>
      </c>
      <c r="C18322" s="3" t="inlineStr">
        <is>
          <t>Expenses</t>
        </is>
      </c>
      <c r="D18322" s="3" t="inlineStr">
        <is>
          <t>3900/210</t>
        </is>
      </c>
      <c r="E18322" s="3" t="inlineStr">
        <is>
          <t>Interest Paid - Investors @ 16%</t>
        </is>
      </c>
      <c r="F18322" s="3" t="n">
        <v>0</v>
      </c>
      <c r="G18322" s="3" t="n">
        <v>125545.2</v>
      </c>
    </row>
    <row r="18323">
      <c r="A18323" s="3" t="inlineStr">
        <is>
          <t>Endulini (Pty) Ltd</t>
        </is>
      </c>
      <c r="B18323" s="4" t="n">
        <v>45323</v>
      </c>
      <c r="C18323" s="3" t="inlineStr">
        <is>
          <t>Expenses</t>
        </is>
      </c>
      <c r="D18323" s="3" t="inlineStr">
        <is>
          <t>3900/230</t>
        </is>
      </c>
      <c r="E18323" s="3" t="inlineStr">
        <is>
          <t>Interest Paid - Investors @ 18%</t>
        </is>
      </c>
      <c r="F18323" s="3" t="n">
        <v>0</v>
      </c>
      <c r="G18323" s="3" t="n">
        <v>1123218.86</v>
      </c>
    </row>
    <row r="18324">
      <c r="A18324" s="3" t="inlineStr">
        <is>
          <t>Opportunity Management Holdings (PTY) LTD</t>
        </is>
      </c>
      <c r="B18324" s="4" t="n">
        <v>45323</v>
      </c>
      <c r="C18324" s="3" t="inlineStr">
        <is>
          <t>Expenses</t>
        </is>
      </c>
      <c r="D18324" s="3" t="inlineStr">
        <is>
          <t>3960/000</t>
        </is>
      </c>
      <c r="E18324" s="3" t="inlineStr">
        <is>
          <t>Internet Fees</t>
        </is>
      </c>
      <c r="F18324" s="3" t="n">
        <v>0</v>
      </c>
      <c r="G18324" s="3" t="n">
        <v>3353.24</v>
      </c>
    </row>
    <row r="18325">
      <c r="A18325" s="3" t="inlineStr">
        <is>
          <t>Quinate Consulting (Pty) Ltd</t>
        </is>
      </c>
      <c r="B18325" s="4" t="n">
        <v>45323</v>
      </c>
      <c r="C18325" s="3" t="inlineStr">
        <is>
          <t>Expenses</t>
        </is>
      </c>
      <c r="D18325" s="3" t="inlineStr">
        <is>
          <t>4000/000</t>
        </is>
      </c>
      <c r="E18325" s="3" t="inlineStr">
        <is>
          <t>Legal Fees</t>
        </is>
      </c>
      <c r="F18325" s="3" t="n">
        <v>0</v>
      </c>
      <c r="G18325" s="3" t="n">
        <v>32576</v>
      </c>
    </row>
    <row r="18326">
      <c r="A18326" s="3" t="inlineStr">
        <is>
          <t>Quinate Consulting (Pty) Ltd</t>
        </is>
      </c>
      <c r="B18326" s="4" t="n">
        <v>45323</v>
      </c>
      <c r="C18326" s="3" t="inlineStr">
        <is>
          <t>Expenses</t>
        </is>
      </c>
      <c r="D18326" s="3" t="inlineStr">
        <is>
          <t>4065/000</t>
        </is>
      </c>
      <c r="E18326" s="3" t="inlineStr">
        <is>
          <t>Levies - SoHo</t>
        </is>
      </c>
      <c r="F18326" s="3" t="n">
        <v>6804.15</v>
      </c>
      <c r="G18326" s="3" t="n">
        <v>81165.11</v>
      </c>
    </row>
    <row r="18327">
      <c r="A18327" s="3" t="inlineStr">
        <is>
          <t>Quinate Consulting (Pty) Ltd</t>
        </is>
      </c>
      <c r="B18327" s="4" t="n">
        <v>45323</v>
      </c>
      <c r="C18327" s="3" t="inlineStr">
        <is>
          <t>Expenses</t>
        </is>
      </c>
      <c r="D18327" s="3" t="inlineStr">
        <is>
          <t>4066/000</t>
        </is>
      </c>
      <c r="E18327" s="3" t="inlineStr">
        <is>
          <t>Levies - Southwark</t>
        </is>
      </c>
      <c r="F18327" s="3" t="n">
        <v>3422.18</v>
      </c>
      <c r="G18327" s="3" t="n">
        <v>41066.16</v>
      </c>
    </row>
    <row r="18328">
      <c r="A18328" s="3" t="inlineStr">
        <is>
          <t>Quinate Consulting (Pty) Ltd</t>
        </is>
      </c>
      <c r="B18328" s="4" t="n">
        <v>45323</v>
      </c>
      <c r="C18328" s="3" t="inlineStr">
        <is>
          <t>Expenses</t>
        </is>
      </c>
      <c r="D18328" s="3" t="inlineStr">
        <is>
          <t>4067/000</t>
        </is>
      </c>
      <c r="E18328" s="3" t="inlineStr">
        <is>
          <t>Levies - C4 Property</t>
        </is>
      </c>
      <c r="F18328" s="3" t="n">
        <v>14735.82</v>
      </c>
      <c r="G18328" s="3" t="n">
        <v>110478.76</v>
      </c>
    </row>
    <row r="18329">
      <c r="A18329" s="3" t="inlineStr">
        <is>
          <t>Quinate Consulting (Pty) Ltd</t>
        </is>
      </c>
      <c r="B18329" s="4" t="n">
        <v>45323</v>
      </c>
      <c r="C18329" s="3" t="inlineStr">
        <is>
          <t>Expenses</t>
        </is>
      </c>
      <c r="D18329" s="3" t="inlineStr">
        <is>
          <t>4068/000</t>
        </is>
      </c>
      <c r="E18329" s="3" t="inlineStr">
        <is>
          <t>Levies Endulini</t>
        </is>
      </c>
      <c r="F18329" s="3" t="n">
        <v>0</v>
      </c>
      <c r="G18329" s="3" t="n">
        <v>5049.31</v>
      </c>
    </row>
    <row r="18330">
      <c r="A18330" s="3" t="inlineStr">
        <is>
          <t>Endulini (Pty) Ltd</t>
        </is>
      </c>
      <c r="B18330" s="4" t="n">
        <v>45323</v>
      </c>
      <c r="C18330" s="3" t="inlineStr">
        <is>
          <t>Expenses</t>
        </is>
      </c>
      <c r="D18330" s="3" t="inlineStr">
        <is>
          <t>4100/001</t>
        </is>
      </c>
      <c r="E18330" s="3" t="inlineStr">
        <is>
          <t>Momentum Admin Fee</t>
        </is>
      </c>
      <c r="F18330" s="3" t="n">
        <v>0</v>
      </c>
      <c r="G18330" s="3" t="n">
        <v>7.42</v>
      </c>
    </row>
    <row r="18331">
      <c r="A18331" s="3" t="inlineStr">
        <is>
          <t>Quinate Consulting (Pty) Ltd</t>
        </is>
      </c>
      <c r="B18331" s="4" t="n">
        <v>45323</v>
      </c>
      <c r="C18331" s="3" t="inlineStr">
        <is>
          <t>Expenses</t>
        </is>
      </c>
      <c r="D18331" s="3" t="inlineStr">
        <is>
          <t>4100/001</t>
        </is>
      </c>
      <c r="E18331" s="3" t="inlineStr">
        <is>
          <t>Momentum Advise Fee</t>
        </is>
      </c>
      <c r="F18331" s="3" t="n">
        <v>0</v>
      </c>
      <c r="G18331" s="3" t="n">
        <v>1.82</v>
      </c>
    </row>
    <row r="18332">
      <c r="A18332" s="3" t="inlineStr">
        <is>
          <t>Opportunity Global Investment (PTY) LTD</t>
        </is>
      </c>
      <c r="B18332" s="4" t="n">
        <v>45323</v>
      </c>
      <c r="C18332" s="3" t="inlineStr">
        <is>
          <t>Expenses</t>
        </is>
      </c>
      <c r="D18332" s="3" t="inlineStr">
        <is>
          <t>4100/100</t>
        </is>
      </c>
      <c r="E18332" s="3" t="inlineStr">
        <is>
          <t>Members Salaries - Nick Morgan</t>
        </is>
      </c>
      <c r="F18332" s="3" t="n">
        <v>0</v>
      </c>
      <c r="G18332" s="3" t="n">
        <v>453767.74</v>
      </c>
    </row>
    <row r="18333">
      <c r="A18333" s="3" t="inlineStr">
        <is>
          <t>Opportunity Management Holdings (PTY) LTD</t>
        </is>
      </c>
      <c r="B18333" s="4" t="n">
        <v>45323</v>
      </c>
      <c r="C18333" s="3" t="inlineStr">
        <is>
          <t>Expenses</t>
        </is>
      </c>
      <c r="D18333" s="3" t="inlineStr">
        <is>
          <t>4150/010</t>
        </is>
      </c>
      <c r="E18333" s="3" t="inlineStr">
        <is>
          <t>Motor Vehicle - Petrol _AND_ Oil</t>
        </is>
      </c>
      <c r="F18333" s="3" t="n">
        <v>1350</v>
      </c>
      <c r="G18333" s="3" t="n">
        <v>1350</v>
      </c>
    </row>
    <row r="18334">
      <c r="A18334" s="3" t="inlineStr">
        <is>
          <t>Opportunity Global Investment (PTY) LTD</t>
        </is>
      </c>
      <c r="B18334" s="4" t="n">
        <v>45323</v>
      </c>
      <c r="C18334" s="3" t="inlineStr">
        <is>
          <t>Expenses</t>
        </is>
      </c>
      <c r="D18334" s="3" t="inlineStr">
        <is>
          <t>4200/000</t>
        </is>
      </c>
      <c r="E18334" s="3" t="inlineStr">
        <is>
          <t>Printing _AND_ Stationery</t>
        </is>
      </c>
      <c r="F18334" s="3" t="n">
        <v>0</v>
      </c>
      <c r="G18334" s="3" t="n">
        <v>26446.57</v>
      </c>
    </row>
    <row r="18335">
      <c r="A18335" s="3" t="inlineStr">
        <is>
          <t>Opportunity Global Sales (PTY) LTD</t>
        </is>
      </c>
      <c r="B18335" s="4" t="n">
        <v>45323</v>
      </c>
      <c r="C18335" s="3" t="inlineStr">
        <is>
          <t>Expenses</t>
        </is>
      </c>
      <c r="D18335" s="3" t="inlineStr">
        <is>
          <t>4200/000</t>
        </is>
      </c>
      <c r="E18335" s="3" t="inlineStr">
        <is>
          <t>Printing _AND_ Stationery</t>
        </is>
      </c>
      <c r="F18335" s="3" t="n">
        <v>0</v>
      </c>
      <c r="G18335" s="3" t="n">
        <v>286.96</v>
      </c>
    </row>
    <row r="18336">
      <c r="A18336" s="3" t="inlineStr">
        <is>
          <t>Opportunity Management Holdings (PTY) LTD</t>
        </is>
      </c>
      <c r="B18336" s="4" t="n">
        <v>45323</v>
      </c>
      <c r="C18336" s="3" t="inlineStr">
        <is>
          <t>Expenses</t>
        </is>
      </c>
      <c r="D18336" s="3" t="inlineStr">
        <is>
          <t>4200/000</t>
        </is>
      </c>
      <c r="E18336" s="3" t="inlineStr">
        <is>
          <t>Printing _AND_ Stationery</t>
        </is>
      </c>
      <c r="F18336" s="3" t="n">
        <v>0</v>
      </c>
      <c r="G18336" s="3" t="n">
        <v>1147.8</v>
      </c>
    </row>
    <row r="18337">
      <c r="A18337" s="3" t="inlineStr">
        <is>
          <t>Quinate Consulting (Pty) Ltd</t>
        </is>
      </c>
      <c r="B18337" s="4" t="n">
        <v>45323</v>
      </c>
      <c r="C18337" s="3" t="inlineStr">
        <is>
          <t>Expenses</t>
        </is>
      </c>
      <c r="D18337" s="3" t="inlineStr">
        <is>
          <t>4200/000</t>
        </is>
      </c>
      <c r="E18337" s="3" t="inlineStr">
        <is>
          <t>Printing _AND_ Stationery</t>
        </is>
      </c>
      <c r="F18337" s="3" t="n">
        <v>0</v>
      </c>
      <c r="G18337" s="3" t="n">
        <v>62.61</v>
      </c>
    </row>
    <row r="18338">
      <c r="A18338" s="3" t="inlineStr">
        <is>
          <t>Noble Shield (Pty) Ltd ta Go Letting</t>
        </is>
      </c>
      <c r="B18338" s="4" t="n">
        <v>45323</v>
      </c>
      <c r="C18338" s="3" t="inlineStr">
        <is>
          <t>Expenses</t>
        </is>
      </c>
      <c r="D18338" s="3" t="inlineStr">
        <is>
          <t>4200/100</t>
        </is>
      </c>
      <c r="E18338" s="3" t="inlineStr">
        <is>
          <t>Printing - Merchant West- Printer Rental</t>
        </is>
      </c>
      <c r="F18338" s="3" t="n">
        <v>0</v>
      </c>
      <c r="G18338" s="3" t="n">
        <v>12170.92</v>
      </c>
    </row>
    <row r="18339">
      <c r="A18339" s="3" t="inlineStr">
        <is>
          <t>Noble Shield (Pty) Ltd ta Go Letting</t>
        </is>
      </c>
      <c r="B18339" s="4" t="n">
        <v>45323</v>
      </c>
      <c r="C18339" s="3" t="inlineStr">
        <is>
          <t>Expenses</t>
        </is>
      </c>
      <c r="D18339" s="3" t="inlineStr">
        <is>
          <t>4200/120</t>
        </is>
      </c>
      <c r="E18339" s="3" t="inlineStr">
        <is>
          <t>Printing - Ivy Line - Prints</t>
        </is>
      </c>
      <c r="F18339" s="3" t="n">
        <v>0</v>
      </c>
      <c r="G18339" s="3" t="n">
        <v>4515.53</v>
      </c>
    </row>
    <row r="18340">
      <c r="A18340" s="3" t="inlineStr">
        <is>
          <t>Noble Shield (Pty) Ltd ta Go Letting</t>
        </is>
      </c>
      <c r="B18340" s="4" t="n">
        <v>45323</v>
      </c>
      <c r="C18340" s="3" t="inlineStr">
        <is>
          <t>Expenses</t>
        </is>
      </c>
      <c r="D18340" s="3" t="inlineStr">
        <is>
          <t>4200/180</t>
        </is>
      </c>
      <c r="E18340" s="3" t="inlineStr">
        <is>
          <t>Printing - Ikon</t>
        </is>
      </c>
      <c r="F18340" s="3" t="n">
        <v>0</v>
      </c>
      <c r="G18340" s="3" t="n">
        <v>1268.09</v>
      </c>
    </row>
    <row r="18341">
      <c r="A18341" s="3" t="inlineStr">
        <is>
          <t>Noble Shield (Pty) Ltd ta Go Letting</t>
        </is>
      </c>
      <c r="B18341" s="4" t="n">
        <v>45323</v>
      </c>
      <c r="C18341" s="3" t="inlineStr">
        <is>
          <t>Expenses</t>
        </is>
      </c>
      <c r="D18341" s="3" t="inlineStr">
        <is>
          <t>4200/190</t>
        </is>
      </c>
      <c r="E18341" s="3" t="inlineStr">
        <is>
          <t>Printing - Centrafin printer rental</t>
        </is>
      </c>
      <c r="F18341" s="3" t="n">
        <v>3211.18</v>
      </c>
      <c r="G18341" s="3" t="n">
        <v>18099.36</v>
      </c>
    </row>
    <row r="18342">
      <c r="A18342" s="3" t="inlineStr">
        <is>
          <t>Noble Shield (Pty) Ltd ta Go Letting</t>
        </is>
      </c>
      <c r="B18342" s="4" t="n">
        <v>45323</v>
      </c>
      <c r="C18342" s="3" t="inlineStr">
        <is>
          <t>Expenses</t>
        </is>
      </c>
      <c r="D18342" s="3" t="inlineStr">
        <is>
          <t>4200/200</t>
        </is>
      </c>
      <c r="E18342" s="3" t="inlineStr">
        <is>
          <t>Printing - General Stationery VDB Office</t>
        </is>
      </c>
      <c r="F18342" s="3" t="n">
        <v>0</v>
      </c>
      <c r="G18342" s="3" t="n">
        <v>4845.69</v>
      </c>
    </row>
    <row r="18343">
      <c r="A18343" s="3" t="inlineStr">
        <is>
          <t>Opportunity Global Investment (PTY) LTD</t>
        </is>
      </c>
      <c r="B18343" s="4" t="n">
        <v>45323</v>
      </c>
      <c r="C18343" s="3" t="inlineStr">
        <is>
          <t>Expenses</t>
        </is>
      </c>
      <c r="D18343" s="3" t="inlineStr">
        <is>
          <t>4220/000</t>
        </is>
      </c>
      <c r="E18343" s="3" t="inlineStr">
        <is>
          <t>Motor Vehicle Expenses - Petrol _AND_ Oil</t>
        </is>
      </c>
      <c r="F18343" s="3" t="n">
        <v>0</v>
      </c>
      <c r="G18343" s="3" t="n">
        <v>24541.36</v>
      </c>
    </row>
    <row r="18344">
      <c r="A18344" s="3" t="inlineStr">
        <is>
          <t>Noble Shield (Pty) Ltd ta Go Letting</t>
        </is>
      </c>
      <c r="B18344" s="4" t="n">
        <v>45323</v>
      </c>
      <c r="C18344" s="3" t="inlineStr">
        <is>
          <t>Expenses</t>
        </is>
      </c>
      <c r="D18344" s="3" t="inlineStr">
        <is>
          <t>4290/000</t>
        </is>
      </c>
      <c r="E18344" s="3" t="inlineStr">
        <is>
          <t>Refreshments - CT Office</t>
        </is>
      </c>
      <c r="F18344" s="3" t="n">
        <v>0</v>
      </c>
      <c r="G18344" s="3" t="n">
        <v>6457.8</v>
      </c>
    </row>
    <row r="18345">
      <c r="A18345" s="3" t="inlineStr">
        <is>
          <t>Opportunity Global Investment (PTY) LTD</t>
        </is>
      </c>
      <c r="B18345" s="4" t="n">
        <v>45323</v>
      </c>
      <c r="C18345" s="3" t="inlineStr">
        <is>
          <t>Expenses</t>
        </is>
      </c>
      <c r="D18345" s="3" t="inlineStr">
        <is>
          <t>4290/000</t>
        </is>
      </c>
      <c r="E18345" s="3" t="inlineStr">
        <is>
          <t>Rent</t>
        </is>
      </c>
      <c r="F18345" s="3" t="n">
        <v>0</v>
      </c>
      <c r="G18345" s="3" t="n">
        <v>96470</v>
      </c>
    </row>
    <row r="18346">
      <c r="A18346" s="3" t="inlineStr">
        <is>
          <t>Noble Shield (Pty) Ltd ta Go Letting</t>
        </is>
      </c>
      <c r="B18346" s="4" t="n">
        <v>45323</v>
      </c>
      <c r="C18346" s="3" t="inlineStr">
        <is>
          <t>Expenses</t>
        </is>
      </c>
      <c r="D18346" s="3" t="inlineStr">
        <is>
          <t>4291/000</t>
        </is>
      </c>
      <c r="E18346" s="3" t="inlineStr">
        <is>
          <t>Refreshments - VDB Office</t>
        </is>
      </c>
      <c r="F18346" s="3" t="n">
        <v>0</v>
      </c>
      <c r="G18346" s="3" t="n">
        <v>3286.69</v>
      </c>
    </row>
    <row r="18347">
      <c r="A18347" s="3" t="inlineStr">
        <is>
          <t>Trademark Holdings (Pty) Ltd</t>
        </is>
      </c>
      <c r="B18347" s="4" t="n">
        <v>45323</v>
      </c>
      <c r="C18347" s="3" t="inlineStr">
        <is>
          <t>Expenses</t>
        </is>
      </c>
      <c r="D18347" s="3" t="inlineStr">
        <is>
          <t>4300/000</t>
        </is>
      </c>
      <c r="E18347" s="3" t="inlineStr">
        <is>
          <t>Rent Paid</t>
        </is>
      </c>
      <c r="F18347" s="3" t="n">
        <v>6000</v>
      </c>
      <c r="G18347" s="3" t="n">
        <v>40500</v>
      </c>
    </row>
    <row r="18348">
      <c r="A18348" s="3" t="inlineStr">
        <is>
          <t>Opportunity Global Investment (PTY) LTD</t>
        </is>
      </c>
      <c r="B18348" s="4" t="n">
        <v>45323</v>
      </c>
      <c r="C18348" s="3" t="inlineStr">
        <is>
          <t>Expenses</t>
        </is>
      </c>
      <c r="D18348" s="3" t="inlineStr">
        <is>
          <t>4310/000</t>
        </is>
      </c>
      <c r="E18348" s="3" t="inlineStr">
        <is>
          <t>Refreshments</t>
        </is>
      </c>
      <c r="F18348" s="3" t="n">
        <v>0</v>
      </c>
      <c r="G18348" s="3" t="n">
        <v>27779.26</v>
      </c>
    </row>
    <row r="18349">
      <c r="A18349" s="3" t="inlineStr">
        <is>
          <t>Opportunity Management Holdings (PTY) LTD</t>
        </is>
      </c>
      <c r="B18349" s="4" t="n">
        <v>45323</v>
      </c>
      <c r="C18349" s="3" t="inlineStr">
        <is>
          <t>Expenses</t>
        </is>
      </c>
      <c r="D18349" s="3" t="inlineStr">
        <is>
          <t>4310/000</t>
        </is>
      </c>
      <c r="E18349" s="3" t="inlineStr">
        <is>
          <t>Refreshments</t>
        </is>
      </c>
      <c r="F18349" s="3" t="n">
        <v>168</v>
      </c>
      <c r="G18349" s="3" t="n">
        <v>43721.37</v>
      </c>
    </row>
    <row r="18350">
      <c r="A18350" s="3" t="inlineStr">
        <is>
          <t>Quinate Consulting (Pty) Ltd</t>
        </is>
      </c>
      <c r="B18350" s="4" t="n">
        <v>45323</v>
      </c>
      <c r="C18350" s="3" t="inlineStr">
        <is>
          <t>Expenses</t>
        </is>
      </c>
      <c r="D18350" s="3" t="inlineStr">
        <is>
          <t>4312/000</t>
        </is>
      </c>
      <c r="E18350" s="3" t="inlineStr">
        <is>
          <t>Rates - SoHo Units</t>
        </is>
      </c>
      <c r="F18350" s="3" t="n">
        <v>920.38</v>
      </c>
      <c r="G18350" s="3" t="n">
        <v>30401.52</v>
      </c>
    </row>
    <row r="18351">
      <c r="A18351" s="3" t="inlineStr">
        <is>
          <t>Endulini (Pty) Ltd</t>
        </is>
      </c>
      <c r="B18351" s="4" t="n">
        <v>45323</v>
      </c>
      <c r="C18351" s="3" t="inlineStr">
        <is>
          <t>Expenses</t>
        </is>
      </c>
      <c r="D18351" s="3" t="inlineStr">
        <is>
          <t>4350/000</t>
        </is>
      </c>
      <c r="E18351" s="3" t="inlineStr">
        <is>
          <t>Repairs _AND_ Maintenance</t>
        </is>
      </c>
      <c r="F18351" s="3" t="n">
        <v>0</v>
      </c>
      <c r="G18351" s="3" t="n">
        <v>32808.94</v>
      </c>
    </row>
    <row r="18352">
      <c r="A18352" s="3" t="inlineStr">
        <is>
          <t>Opportunity Global Sales (PTY) LTD</t>
        </is>
      </c>
      <c r="B18352" s="4" t="n">
        <v>45323</v>
      </c>
      <c r="C18352" s="3" t="inlineStr">
        <is>
          <t>Expenses</t>
        </is>
      </c>
      <c r="D18352" s="3" t="inlineStr">
        <is>
          <t>4350/000</t>
        </is>
      </c>
      <c r="E18352" s="3" t="inlineStr">
        <is>
          <t>Repairs _AND_ Maintenance</t>
        </is>
      </c>
      <c r="F18352" s="3" t="n">
        <v>0</v>
      </c>
      <c r="G18352" s="3" t="n">
        <v>469.52</v>
      </c>
    </row>
    <row r="18353">
      <c r="A18353" s="3" t="inlineStr">
        <is>
          <t>Opportunity Management Holdings (PTY) LTD</t>
        </is>
      </c>
      <c r="B18353" s="4" t="n">
        <v>45323</v>
      </c>
      <c r="C18353" s="3" t="inlineStr">
        <is>
          <t>Expenses</t>
        </is>
      </c>
      <c r="D18353" s="3" t="inlineStr">
        <is>
          <t>4350/000</t>
        </is>
      </c>
      <c r="E18353" s="3" t="inlineStr">
        <is>
          <t>Repairs _AND_ Maintenance</t>
        </is>
      </c>
      <c r="F18353" s="3" t="n">
        <v>0</v>
      </c>
      <c r="G18353" s="3" t="n">
        <v>1641.09</v>
      </c>
    </row>
    <row r="18354">
      <c r="A18354" s="3" t="inlineStr">
        <is>
          <t>Quinate Consulting (Pty) Ltd</t>
        </is>
      </c>
      <c r="B18354" s="4" t="n">
        <v>45323</v>
      </c>
      <c r="C18354" s="3" t="inlineStr">
        <is>
          <t>Expenses</t>
        </is>
      </c>
      <c r="D18354" s="3" t="inlineStr">
        <is>
          <t>4350/000</t>
        </is>
      </c>
      <c r="E18354" s="3" t="inlineStr">
        <is>
          <t>Repairs and Maintenance - Southwark Units</t>
        </is>
      </c>
      <c r="F18354" s="3" t="n">
        <v>0</v>
      </c>
      <c r="G18354" s="3" t="n">
        <v>4760.7</v>
      </c>
    </row>
    <row r="18355">
      <c r="A18355" s="3" t="inlineStr">
        <is>
          <t>Endulini (Pty) Ltd</t>
        </is>
      </c>
      <c r="B18355" s="4" t="n">
        <v>45323</v>
      </c>
      <c r="C18355" s="3" t="inlineStr">
        <is>
          <t>Expenses</t>
        </is>
      </c>
      <c r="D18355" s="3" t="inlineStr">
        <is>
          <t>4351/000</t>
        </is>
      </c>
      <c r="E18355" s="3" t="inlineStr">
        <is>
          <t>Repair &amp; Maintenance - Rentals</t>
        </is>
      </c>
      <c r="F18355" s="3" t="n">
        <v>0</v>
      </c>
      <c r="G18355" s="3" t="n">
        <v>2015.79</v>
      </c>
    </row>
    <row r="18356">
      <c r="A18356" s="3" t="inlineStr">
        <is>
          <t>Noble Shield (Pty) Ltd ta Go Letting</t>
        </is>
      </c>
      <c r="B18356" s="4" t="n">
        <v>45323</v>
      </c>
      <c r="C18356" s="3" t="inlineStr">
        <is>
          <t>Expenses</t>
        </is>
      </c>
      <c r="D18356" s="3" t="inlineStr">
        <is>
          <t>4351/000</t>
        </is>
      </c>
      <c r="E18356" s="3" t="inlineStr">
        <is>
          <t>Repairs _AND_ Maintanence - Rentals</t>
        </is>
      </c>
      <c r="F18356" s="3" t="n">
        <v>0</v>
      </c>
      <c r="G18356" s="3" t="n">
        <v>286.75</v>
      </c>
    </row>
    <row r="18357">
      <c r="A18357" s="3" t="inlineStr">
        <is>
          <t>Quinate Consulting (Pty) Ltd</t>
        </is>
      </c>
      <c r="B18357" s="4" t="n">
        <v>45323</v>
      </c>
      <c r="C18357" s="3" t="inlineStr">
        <is>
          <t>Expenses</t>
        </is>
      </c>
      <c r="D18357" s="3" t="inlineStr">
        <is>
          <t>4351/100</t>
        </is>
      </c>
      <c r="E18357" s="3" t="inlineStr">
        <is>
          <t>Repairs and Maintenance -  Soho Units</t>
        </is>
      </c>
      <c r="F18357" s="3" t="n">
        <v>0</v>
      </c>
      <c r="G18357" s="3" t="n">
        <v>2400</v>
      </c>
    </row>
    <row r="18358">
      <c r="A18358" s="3" t="inlineStr">
        <is>
          <t>Opportunity Global Investment (PTY) LTD</t>
        </is>
      </c>
      <c r="B18358" s="4" t="n">
        <v>45323</v>
      </c>
      <c r="C18358" s="3" t="inlineStr">
        <is>
          <t>Expenses</t>
        </is>
      </c>
      <c r="D18358" s="3" t="inlineStr">
        <is>
          <t>4360/000</t>
        </is>
      </c>
      <c r="E18358" s="3" t="inlineStr">
        <is>
          <t>Secretarial - CIPC</t>
        </is>
      </c>
      <c r="F18358" s="3" t="n">
        <v>0</v>
      </c>
      <c r="G18358" s="3" t="n">
        <v>800</v>
      </c>
    </row>
    <row r="18359">
      <c r="A18359" s="3" t="inlineStr">
        <is>
          <t>Opportunity Global Investment (PTY) LTD</t>
        </is>
      </c>
      <c r="B18359" s="4" t="n">
        <v>45323</v>
      </c>
      <c r="C18359" s="3" t="inlineStr">
        <is>
          <t>Expenses</t>
        </is>
      </c>
      <c r="D18359" s="3" t="inlineStr">
        <is>
          <t>4390/000</t>
        </is>
      </c>
      <c r="E18359" s="3" t="inlineStr">
        <is>
          <t>Small Assets</t>
        </is>
      </c>
      <c r="F18359" s="3" t="n">
        <v>0</v>
      </c>
      <c r="G18359" s="3" t="n">
        <v>4693.04</v>
      </c>
    </row>
    <row r="18360">
      <c r="A18360" s="3" t="inlineStr">
        <is>
          <t>Opportunity Global Sales (PTY) LTD</t>
        </is>
      </c>
      <c r="B18360" s="4" t="n">
        <v>45323</v>
      </c>
      <c r="C18360" s="3" t="inlineStr">
        <is>
          <t>Expenses</t>
        </is>
      </c>
      <c r="D18360" s="3" t="inlineStr">
        <is>
          <t>4390/000</t>
        </is>
      </c>
      <c r="E18360" s="3" t="inlineStr">
        <is>
          <t>Small Assets</t>
        </is>
      </c>
      <c r="F18360" s="3" t="n">
        <v>0</v>
      </c>
      <c r="G18360" s="3" t="n">
        <v>1477.39</v>
      </c>
    </row>
    <row r="18361">
      <c r="A18361" s="3" t="inlineStr">
        <is>
          <t>Opportunity Management Holdings (PTY) LTD</t>
        </is>
      </c>
      <c r="B18361" s="4" t="n">
        <v>45323</v>
      </c>
      <c r="C18361" s="3" t="inlineStr">
        <is>
          <t>Expenses</t>
        </is>
      </c>
      <c r="D18361" s="3" t="inlineStr">
        <is>
          <t>4390/000</t>
        </is>
      </c>
      <c r="E18361" s="3" t="inlineStr">
        <is>
          <t>Small Assets</t>
        </is>
      </c>
      <c r="F18361" s="3" t="n">
        <v>0</v>
      </c>
      <c r="G18361" s="3" t="n">
        <v>7208.26</v>
      </c>
    </row>
    <row r="18362">
      <c r="A18362" s="3" t="inlineStr">
        <is>
          <t>Noble Shield (Pty) Ltd ta Go Letting</t>
        </is>
      </c>
      <c r="B18362" s="4" t="n">
        <v>45323</v>
      </c>
      <c r="C18362" s="3" t="inlineStr">
        <is>
          <t>Expenses</t>
        </is>
      </c>
      <c r="D18362" s="3" t="inlineStr">
        <is>
          <t>4400/000</t>
        </is>
      </c>
      <c r="E18362" s="3" t="inlineStr">
        <is>
          <t>Salaries _AND_ Wages</t>
        </is>
      </c>
      <c r="F18362" s="3" t="n">
        <v>0</v>
      </c>
      <c r="G18362" s="3" t="n">
        <v>134578.5</v>
      </c>
    </row>
    <row r="18363">
      <c r="A18363" s="3" t="inlineStr">
        <is>
          <t>Opportunity Global Sales (PTY) LTD</t>
        </is>
      </c>
      <c r="B18363" s="4" t="n">
        <v>45323</v>
      </c>
      <c r="C18363" s="3" t="inlineStr">
        <is>
          <t>Expenses</t>
        </is>
      </c>
      <c r="D18363" s="3" t="inlineStr">
        <is>
          <t>4400/000</t>
        </is>
      </c>
      <c r="E18363" s="3" t="inlineStr">
        <is>
          <t>Salaries _AND_ Wages</t>
        </is>
      </c>
      <c r="F18363" s="3" t="n">
        <v>0</v>
      </c>
      <c r="G18363" s="3" t="n">
        <v>587851.02</v>
      </c>
    </row>
    <row r="18364">
      <c r="A18364" s="3" t="inlineStr">
        <is>
          <t>Opportunity Management Holdings (PTY) LTD</t>
        </is>
      </c>
      <c r="B18364" s="4" t="n">
        <v>45323</v>
      </c>
      <c r="C18364" s="3" t="inlineStr">
        <is>
          <t>Expenses</t>
        </is>
      </c>
      <c r="D18364" s="3" t="inlineStr">
        <is>
          <t>4400/000</t>
        </is>
      </c>
      <c r="E18364" s="3" t="inlineStr">
        <is>
          <t>Salaries _AND_ Wages</t>
        </is>
      </c>
      <c r="F18364" s="3" t="n">
        <v>0</v>
      </c>
      <c r="G18364" s="3" t="n">
        <v>1085925.44</v>
      </c>
    </row>
    <row r="18365">
      <c r="A18365" s="3" t="inlineStr">
        <is>
          <t>Trademark Holdings (Pty) Ltd</t>
        </is>
      </c>
      <c r="B18365" s="4" t="n">
        <v>45323</v>
      </c>
      <c r="C18365" s="3" t="inlineStr">
        <is>
          <t>Expenses</t>
        </is>
      </c>
      <c r="D18365" s="3" t="inlineStr">
        <is>
          <t>4400/000</t>
        </is>
      </c>
      <c r="E18365" s="3" t="inlineStr">
        <is>
          <t>Salaries _AND_ Wages</t>
        </is>
      </c>
      <c r="F18365" s="3" t="n">
        <v>0</v>
      </c>
      <c r="G18365" s="3" t="n">
        <v>62147.25</v>
      </c>
    </row>
    <row r="18366">
      <c r="A18366" s="3" t="inlineStr">
        <is>
          <t>Opportunity Global Investment (PTY) LTD</t>
        </is>
      </c>
      <c r="B18366" s="4" t="n">
        <v>45323</v>
      </c>
      <c r="C18366" s="3" t="inlineStr">
        <is>
          <t>Expenses</t>
        </is>
      </c>
      <c r="D18366" s="3" t="inlineStr">
        <is>
          <t>4450/000</t>
        </is>
      </c>
      <c r="E18366" s="3" t="inlineStr">
        <is>
          <t>Staff Training</t>
        </is>
      </c>
      <c r="F18366" s="3" t="n">
        <v>0</v>
      </c>
      <c r="G18366" s="3" t="n">
        <v>5895.64</v>
      </c>
    </row>
    <row r="18367">
      <c r="A18367" s="3" t="inlineStr">
        <is>
          <t>Opportunity Global Sales (PTY) LTD</t>
        </is>
      </c>
      <c r="B18367" s="4" t="n">
        <v>45323</v>
      </c>
      <c r="C18367" s="3" t="inlineStr">
        <is>
          <t>Expenses</t>
        </is>
      </c>
      <c r="D18367" s="3" t="inlineStr">
        <is>
          <t>4450/000</t>
        </is>
      </c>
      <c r="E18367" s="3" t="inlineStr">
        <is>
          <t>Staff Training</t>
        </is>
      </c>
      <c r="F18367" s="3" t="n">
        <v>0</v>
      </c>
      <c r="G18367" s="3" t="n">
        <v>695.65</v>
      </c>
    </row>
    <row r="18368">
      <c r="A18368" s="3" t="inlineStr">
        <is>
          <t>Noble Shield (Pty) Ltd ta Go Letting</t>
        </is>
      </c>
      <c r="B18368" s="4" t="n">
        <v>45323</v>
      </c>
      <c r="C18368" s="3" t="inlineStr">
        <is>
          <t>Expenses</t>
        </is>
      </c>
      <c r="D18368" s="3" t="inlineStr">
        <is>
          <t>4500/000</t>
        </is>
      </c>
      <c r="E18368" s="3" t="inlineStr">
        <is>
          <t>Staff Welfare</t>
        </is>
      </c>
      <c r="F18368" s="3" t="n">
        <v>0</v>
      </c>
      <c r="G18368" s="3" t="n">
        <v>3762.25</v>
      </c>
    </row>
    <row r="18369">
      <c r="A18369" s="3" t="inlineStr">
        <is>
          <t>Opportunity Global Investment (PTY) LTD</t>
        </is>
      </c>
      <c r="B18369" s="4" t="n">
        <v>45323</v>
      </c>
      <c r="C18369" s="3" t="inlineStr">
        <is>
          <t>Expenses</t>
        </is>
      </c>
      <c r="D18369" s="3" t="inlineStr">
        <is>
          <t>4500/000</t>
        </is>
      </c>
      <c r="E18369" s="3" t="inlineStr">
        <is>
          <t>Staff Welfare</t>
        </is>
      </c>
      <c r="F18369" s="3" t="n">
        <v>0</v>
      </c>
      <c r="G18369" s="3" t="n">
        <v>2654.34</v>
      </c>
    </row>
    <row r="18370">
      <c r="A18370" s="3" t="inlineStr">
        <is>
          <t>Opportunity Global Sales (PTY) LTD</t>
        </is>
      </c>
      <c r="B18370" s="4" t="n">
        <v>45323</v>
      </c>
      <c r="C18370" s="3" t="inlineStr">
        <is>
          <t>Expenses</t>
        </is>
      </c>
      <c r="D18370" s="3" t="inlineStr">
        <is>
          <t>4500/000</t>
        </is>
      </c>
      <c r="E18370" s="3" t="inlineStr">
        <is>
          <t>Staff Welfare</t>
        </is>
      </c>
      <c r="F18370" s="3" t="n">
        <v>0</v>
      </c>
      <c r="G18370" s="3" t="n">
        <v>2955.21</v>
      </c>
    </row>
    <row r="18371">
      <c r="A18371" s="3" t="inlineStr">
        <is>
          <t>Opportunity Management Holdings (PTY) LTD</t>
        </is>
      </c>
      <c r="B18371" s="4" t="n">
        <v>45323</v>
      </c>
      <c r="C18371" s="3" t="inlineStr">
        <is>
          <t>Expenses</t>
        </is>
      </c>
      <c r="D18371" s="3" t="inlineStr">
        <is>
          <t>4500/000</t>
        </is>
      </c>
      <c r="E18371" s="3" t="inlineStr">
        <is>
          <t>Staff Welfare</t>
        </is>
      </c>
      <c r="F18371" s="3" t="n">
        <v>1607.06</v>
      </c>
      <c r="G18371" s="3" t="n">
        <v>50672.78</v>
      </c>
    </row>
    <row r="18372">
      <c r="A18372" s="3" t="inlineStr">
        <is>
          <t>Quinate Consulting (Pty) Ltd</t>
        </is>
      </c>
      <c r="B18372" s="4" t="n">
        <v>45323</v>
      </c>
      <c r="C18372" s="3" t="inlineStr">
        <is>
          <t>Expenses</t>
        </is>
      </c>
      <c r="D18372" s="3" t="inlineStr">
        <is>
          <t>4500/000</t>
        </is>
      </c>
      <c r="E18372" s="3" t="inlineStr">
        <is>
          <t>Staff Welfare</t>
        </is>
      </c>
      <c r="F18372" s="3" t="n">
        <v>0</v>
      </c>
      <c r="G18372" s="3" t="n">
        <v>1463.8</v>
      </c>
    </row>
    <row r="18373">
      <c r="A18373" s="3" t="inlineStr">
        <is>
          <t>Noble Shield (Pty) Ltd ta Go Letting</t>
        </is>
      </c>
      <c r="B18373" s="4" t="n">
        <v>45323</v>
      </c>
      <c r="C18373" s="3" t="inlineStr">
        <is>
          <t>Expenses</t>
        </is>
      </c>
      <c r="D18373" s="3" t="inlineStr">
        <is>
          <t>4520/000</t>
        </is>
      </c>
      <c r="E18373" s="3" t="inlineStr">
        <is>
          <t>Security</t>
        </is>
      </c>
      <c r="F18373" s="3" t="n">
        <v>884</v>
      </c>
      <c r="G18373" s="3" t="n">
        <v>5459.44</v>
      </c>
    </row>
    <row r="18374">
      <c r="A18374" s="3" t="inlineStr">
        <is>
          <t>Opportunity Global Investment (PTY) LTD</t>
        </is>
      </c>
      <c r="B18374" s="4" t="n">
        <v>45323</v>
      </c>
      <c r="C18374" s="3" t="inlineStr">
        <is>
          <t>Expenses</t>
        </is>
      </c>
      <c r="D18374" s="3" t="inlineStr">
        <is>
          <t>4550/000</t>
        </is>
      </c>
      <c r="E18374" s="3" t="inlineStr">
        <is>
          <t>Subscriptions</t>
        </is>
      </c>
      <c r="F18374" s="3" t="n">
        <v>0</v>
      </c>
      <c r="G18374" s="3" t="n">
        <v>8643.32</v>
      </c>
    </row>
    <row r="18375">
      <c r="A18375" s="3" t="inlineStr">
        <is>
          <t>Opportunity Global Sales (PTY) LTD</t>
        </is>
      </c>
      <c r="B18375" s="4" t="n">
        <v>45323</v>
      </c>
      <c r="C18375" s="3" t="inlineStr">
        <is>
          <t>Expenses</t>
        </is>
      </c>
      <c r="D18375" s="3" t="inlineStr">
        <is>
          <t>4550/000</t>
        </is>
      </c>
      <c r="E18375" s="3" t="inlineStr">
        <is>
          <t>Subscriptions - General</t>
        </is>
      </c>
      <c r="F18375" s="3" t="n">
        <v>0</v>
      </c>
      <c r="G18375" s="3" t="n">
        <v>1422.61</v>
      </c>
    </row>
    <row r="18376">
      <c r="A18376" s="3" t="inlineStr">
        <is>
          <t>Quinate Consulting (Pty) Ltd</t>
        </is>
      </c>
      <c r="B18376" s="4" t="n">
        <v>45323</v>
      </c>
      <c r="C18376" s="3" t="inlineStr">
        <is>
          <t>Expenses</t>
        </is>
      </c>
      <c r="D18376" s="3" t="inlineStr">
        <is>
          <t>4550/000</t>
        </is>
      </c>
      <c r="E18376" s="3" t="inlineStr">
        <is>
          <t>Subscriptions / Licenses</t>
        </is>
      </c>
      <c r="F18376" s="3" t="n">
        <v>0</v>
      </c>
      <c r="G18376" s="3" t="n">
        <v>133055.96</v>
      </c>
    </row>
    <row r="18377">
      <c r="A18377" s="3" t="inlineStr">
        <is>
          <t>Opportunity Management Holdings (PTY) LTD</t>
        </is>
      </c>
      <c r="B18377" s="4" t="n">
        <v>45323</v>
      </c>
      <c r="C18377" s="3" t="inlineStr">
        <is>
          <t>Expenses</t>
        </is>
      </c>
      <c r="D18377" s="3" t="inlineStr">
        <is>
          <t>4550/000</t>
        </is>
      </c>
      <c r="E18377" s="3" t="inlineStr">
        <is>
          <t>Subscriptions _AND_ Lisences</t>
        </is>
      </c>
      <c r="F18377" s="3" t="n">
        <v>11577.83</v>
      </c>
      <c r="G18377" s="3" t="n">
        <v>34986.94</v>
      </c>
    </row>
    <row r="18378">
      <c r="A18378" s="3" t="inlineStr">
        <is>
          <t>Noble Shield (Pty) Ltd ta Go Letting</t>
        </is>
      </c>
      <c r="B18378" s="4" t="n">
        <v>45323</v>
      </c>
      <c r="C18378" s="3" t="inlineStr">
        <is>
          <t>Expenses</t>
        </is>
      </c>
      <c r="D18378" s="3" t="inlineStr">
        <is>
          <t>4550/100</t>
        </is>
      </c>
      <c r="E18378" s="3" t="inlineStr">
        <is>
          <t>Subscriptions - EAAB</t>
        </is>
      </c>
      <c r="F18378" s="3" t="n">
        <v>0</v>
      </c>
      <c r="G18378" s="3" t="n">
        <v>1604</v>
      </c>
    </row>
    <row r="18379">
      <c r="A18379" s="3" t="inlineStr">
        <is>
          <t>Trademark Holdings (Pty) Ltd</t>
        </is>
      </c>
      <c r="B18379" s="4" t="n">
        <v>45323</v>
      </c>
      <c r="C18379" s="3" t="inlineStr">
        <is>
          <t>Expenses</t>
        </is>
      </c>
      <c r="D18379" s="3" t="inlineStr">
        <is>
          <t>4550/100</t>
        </is>
      </c>
      <c r="E18379" s="3" t="inlineStr">
        <is>
          <t>Subscriptions - EAAB</t>
        </is>
      </c>
      <c r="F18379" s="3" t="n">
        <v>0</v>
      </c>
      <c r="G18379" s="3" t="n">
        <v>1604</v>
      </c>
    </row>
    <row r="18380">
      <c r="A18380" s="3" t="inlineStr">
        <is>
          <t>Opportunity Global Investment (PTY) LTD</t>
        </is>
      </c>
      <c r="B18380" s="4" t="n">
        <v>45323</v>
      </c>
      <c r="C18380" s="3" t="inlineStr">
        <is>
          <t>Expenses</t>
        </is>
      </c>
      <c r="D18380" s="3" t="inlineStr">
        <is>
          <t>4550/100</t>
        </is>
      </c>
      <c r="E18380" s="3" t="inlineStr">
        <is>
          <t>Subscriptions - Zoho</t>
        </is>
      </c>
      <c r="F18380" s="3" t="n">
        <v>0</v>
      </c>
      <c r="G18380" s="3" t="n">
        <v>12375</v>
      </c>
    </row>
    <row r="18381">
      <c r="A18381" s="3" t="inlineStr">
        <is>
          <t>Opportunity Global Sales (PTY) LTD</t>
        </is>
      </c>
      <c r="B18381" s="4" t="n">
        <v>45323</v>
      </c>
      <c r="C18381" s="3" t="inlineStr">
        <is>
          <t>Expenses</t>
        </is>
      </c>
      <c r="D18381" s="3" t="inlineStr">
        <is>
          <t>4550/150</t>
        </is>
      </c>
      <c r="E18381" s="3" t="inlineStr">
        <is>
          <t>Subscription - Webbox</t>
        </is>
      </c>
      <c r="F18381" s="3" t="n">
        <v>0</v>
      </c>
      <c r="G18381" s="3" t="n">
        <v>6743</v>
      </c>
    </row>
    <row r="18382">
      <c r="A18382" s="3" t="inlineStr">
        <is>
          <t>Opportunity Global Investment (PTY) LTD</t>
        </is>
      </c>
      <c r="B18382" s="4" t="n">
        <v>45323</v>
      </c>
      <c r="C18382" s="3" t="inlineStr">
        <is>
          <t>Expenses</t>
        </is>
      </c>
      <c r="D18382" s="3" t="inlineStr">
        <is>
          <t>4550/250</t>
        </is>
      </c>
      <c r="E18382" s="3" t="inlineStr">
        <is>
          <t>Subscriptions - LinkedIn</t>
        </is>
      </c>
      <c r="F18382" s="3" t="n">
        <v>0</v>
      </c>
      <c r="G18382" s="3" t="n">
        <v>12005.88</v>
      </c>
    </row>
    <row r="18383">
      <c r="A18383" s="3" t="inlineStr">
        <is>
          <t>Opportunity Global Investment (PTY) LTD</t>
        </is>
      </c>
      <c r="B18383" s="4" t="n">
        <v>45323</v>
      </c>
      <c r="C18383" s="3" t="inlineStr">
        <is>
          <t>Expenses</t>
        </is>
      </c>
      <c r="D18383" s="3" t="inlineStr">
        <is>
          <t>4550/350</t>
        </is>
      </c>
      <c r="E18383" s="3" t="inlineStr">
        <is>
          <t>Subscriptions - Xero</t>
        </is>
      </c>
      <c r="F18383" s="3" t="n">
        <v>0</v>
      </c>
      <c r="G18383" s="3" t="n">
        <v>6600</v>
      </c>
    </row>
    <row r="18384">
      <c r="A18384" s="3" t="inlineStr">
        <is>
          <t>Opportunity Global Investment (PTY) LTD</t>
        </is>
      </c>
      <c r="B18384" s="4" t="n">
        <v>45323</v>
      </c>
      <c r="C18384" s="3" t="inlineStr">
        <is>
          <t>Expenses</t>
        </is>
      </c>
      <c r="D18384" s="3" t="inlineStr">
        <is>
          <t>4550/400</t>
        </is>
      </c>
      <c r="E18384" s="3" t="inlineStr">
        <is>
          <t>Subscriptions - Moneyweb</t>
        </is>
      </c>
      <c r="F18384" s="3" t="n">
        <v>0</v>
      </c>
      <c r="G18384" s="3" t="n">
        <v>657.39</v>
      </c>
    </row>
    <row r="18385">
      <c r="A18385" s="3" t="inlineStr">
        <is>
          <t>Trademark Holdings (Pty) Ltd</t>
        </is>
      </c>
      <c r="B18385" s="4" t="n">
        <v>45323</v>
      </c>
      <c r="C18385" s="3" t="inlineStr">
        <is>
          <t>Expenses</t>
        </is>
      </c>
      <c r="D18385" s="3" t="inlineStr">
        <is>
          <t>4550/400</t>
        </is>
      </c>
      <c r="E18385" s="3" t="inlineStr">
        <is>
          <t>Subscriptions - Xero</t>
        </is>
      </c>
      <c r="F18385" s="3" t="n">
        <v>0</v>
      </c>
      <c r="G18385" s="3" t="n">
        <v>3000</v>
      </c>
    </row>
    <row r="18386">
      <c r="A18386" s="3" t="inlineStr">
        <is>
          <t>Opportunity Global Investment (PTY) LTD</t>
        </is>
      </c>
      <c r="B18386" s="4" t="n">
        <v>45323</v>
      </c>
      <c r="C18386" s="3" t="inlineStr">
        <is>
          <t>Expenses</t>
        </is>
      </c>
      <c r="D18386" s="3" t="inlineStr">
        <is>
          <t>4550/450</t>
        </is>
      </c>
      <c r="E18386" s="3" t="inlineStr">
        <is>
          <t>Subscriptions - Adobe</t>
        </is>
      </c>
      <c r="F18386" s="3" t="n">
        <v>0</v>
      </c>
      <c r="G18386" s="3" t="n">
        <v>6648</v>
      </c>
    </row>
    <row r="18387">
      <c r="A18387" s="3" t="inlineStr">
        <is>
          <t>Opportunity Global Investment (PTY) LTD</t>
        </is>
      </c>
      <c r="B18387" s="4" t="n">
        <v>45323</v>
      </c>
      <c r="C18387" s="3" t="inlineStr">
        <is>
          <t>Expenses</t>
        </is>
      </c>
      <c r="D18387" s="3" t="inlineStr">
        <is>
          <t>4550/500</t>
        </is>
      </c>
      <c r="E18387" s="3" t="inlineStr">
        <is>
          <t>Subscriptions - Pandadoc</t>
        </is>
      </c>
      <c r="F18387" s="3" t="n">
        <v>0</v>
      </c>
      <c r="G18387" s="3" t="n">
        <v>6268.87</v>
      </c>
    </row>
    <row r="18388">
      <c r="A18388" s="3" t="inlineStr">
        <is>
          <t>Noble Shield (Pty) Ltd ta Go Letting</t>
        </is>
      </c>
      <c r="B18388" s="4" t="n">
        <v>45323</v>
      </c>
      <c r="C18388" s="3" t="inlineStr">
        <is>
          <t>Expenses</t>
        </is>
      </c>
      <c r="D18388" s="3" t="inlineStr">
        <is>
          <t>4550/600</t>
        </is>
      </c>
      <c r="E18388" s="3" t="inlineStr">
        <is>
          <t>Subscriptions - Webbox</t>
        </is>
      </c>
      <c r="F18388" s="3" t="n">
        <v>1753.75</v>
      </c>
      <c r="G18388" s="3" t="n">
        <v>10325.85</v>
      </c>
    </row>
    <row r="18389">
      <c r="A18389" s="3" t="inlineStr">
        <is>
          <t>Noble Shield (Pty) Ltd ta Go Letting</t>
        </is>
      </c>
      <c r="B18389" s="4" t="n">
        <v>45323</v>
      </c>
      <c r="C18389" s="3" t="inlineStr">
        <is>
          <t>Expenses</t>
        </is>
      </c>
      <c r="D18389" s="3" t="inlineStr">
        <is>
          <t>4550/650</t>
        </is>
      </c>
      <c r="E18389" s="3" t="inlineStr">
        <is>
          <t>Subscriptions - Xero</t>
        </is>
      </c>
      <c r="F18389" s="3" t="n">
        <v>0</v>
      </c>
      <c r="G18389" s="3" t="n">
        <v>3000</v>
      </c>
    </row>
    <row r="18390">
      <c r="A18390" s="3" t="inlineStr">
        <is>
          <t>Noble Shield (Pty) Ltd ta Go Letting</t>
        </is>
      </c>
      <c r="B18390" s="4" t="n">
        <v>45323</v>
      </c>
      <c r="C18390" s="3" t="inlineStr">
        <is>
          <t>Expenses</t>
        </is>
      </c>
      <c r="D18390" s="3" t="inlineStr">
        <is>
          <t>4550/800</t>
        </is>
      </c>
      <c r="E18390" s="3" t="inlineStr">
        <is>
          <t>Subscriptions - Adobe</t>
        </is>
      </c>
      <c r="F18390" s="3" t="n">
        <v>0</v>
      </c>
      <c r="G18390" s="3" t="n">
        <v>914.5599999999999</v>
      </c>
    </row>
    <row r="18391">
      <c r="A18391" s="3" t="inlineStr">
        <is>
          <t>Opportunity Global Sales (PTY) LTD</t>
        </is>
      </c>
      <c r="B18391" s="4" t="n">
        <v>45323</v>
      </c>
      <c r="C18391" s="3" t="inlineStr">
        <is>
          <t>Expenses</t>
        </is>
      </c>
      <c r="D18391" s="3" t="inlineStr">
        <is>
          <t>4551/000</t>
        </is>
      </c>
      <c r="E18391" s="3" t="inlineStr">
        <is>
          <t>Subscriptions - Payprop</t>
        </is>
      </c>
      <c r="F18391" s="3" t="n">
        <v>0</v>
      </c>
      <c r="G18391" s="3" t="n">
        <v>14361.5</v>
      </c>
    </row>
    <row r="18392">
      <c r="A18392" s="3" t="inlineStr">
        <is>
          <t>Quinate Consulting (Pty) Ltd</t>
        </is>
      </c>
      <c r="B18392" s="4" t="n">
        <v>45323</v>
      </c>
      <c r="C18392" s="3" t="inlineStr">
        <is>
          <t>Expenses</t>
        </is>
      </c>
      <c r="D18392" s="3" t="inlineStr">
        <is>
          <t>4552/000</t>
        </is>
      </c>
      <c r="E18392" s="3" t="inlineStr">
        <is>
          <t>Subscriptions - CIPC</t>
        </is>
      </c>
      <c r="F18392" s="3" t="n">
        <v>0</v>
      </c>
      <c r="G18392" s="3" t="n">
        <v>4050</v>
      </c>
    </row>
    <row r="18393">
      <c r="A18393" s="3" t="inlineStr">
        <is>
          <t>Endulini (Pty) Ltd</t>
        </is>
      </c>
      <c r="B18393" s="4" t="n">
        <v>45323</v>
      </c>
      <c r="C18393" s="3" t="inlineStr">
        <is>
          <t>Expenses</t>
        </is>
      </c>
      <c r="D18393" s="3" t="inlineStr">
        <is>
          <t>4552/000</t>
        </is>
      </c>
      <c r="E18393" s="3" t="inlineStr">
        <is>
          <t>Subscriptions - Xero</t>
        </is>
      </c>
      <c r="F18393" s="3" t="n">
        <v>0</v>
      </c>
      <c r="G18393" s="3" t="n">
        <v>6600</v>
      </c>
    </row>
    <row r="18394">
      <c r="A18394" s="3" t="inlineStr">
        <is>
          <t>Opportunity Global Sales (PTY) LTD</t>
        </is>
      </c>
      <c r="B18394" s="4" t="n">
        <v>45323</v>
      </c>
      <c r="C18394" s="3" t="inlineStr">
        <is>
          <t>Expenses</t>
        </is>
      </c>
      <c r="D18394" s="3" t="inlineStr">
        <is>
          <t>4552/000</t>
        </is>
      </c>
      <c r="E18394" s="3" t="inlineStr">
        <is>
          <t>Subscriptions - Xero</t>
        </is>
      </c>
      <c r="F18394" s="3" t="n">
        <v>0</v>
      </c>
      <c r="G18394" s="3" t="n">
        <v>6600</v>
      </c>
    </row>
    <row r="18395">
      <c r="A18395" s="3" t="inlineStr">
        <is>
          <t>Opportunity Management Holdings (PTY) LTD</t>
        </is>
      </c>
      <c r="B18395" s="4" t="n">
        <v>45323</v>
      </c>
      <c r="C18395" s="3" t="inlineStr">
        <is>
          <t>Expenses</t>
        </is>
      </c>
      <c r="D18395" s="3" t="inlineStr">
        <is>
          <t>4552/000</t>
        </is>
      </c>
      <c r="E18395" s="3" t="inlineStr">
        <is>
          <t>Subscriptions - Xero</t>
        </is>
      </c>
      <c r="F18395" s="3" t="n">
        <v>0</v>
      </c>
      <c r="G18395" s="3" t="n">
        <v>3000</v>
      </c>
    </row>
    <row r="18396">
      <c r="A18396" s="3" t="inlineStr">
        <is>
          <t>Opportunity Global Sales (PTY) LTD</t>
        </is>
      </c>
      <c r="B18396" s="4" t="n">
        <v>45323</v>
      </c>
      <c r="C18396" s="3" t="inlineStr">
        <is>
          <t>Expenses</t>
        </is>
      </c>
      <c r="D18396" s="3" t="inlineStr">
        <is>
          <t>4553/000</t>
        </is>
      </c>
      <c r="E18396" s="3" t="inlineStr">
        <is>
          <t>Subscriptions - CMA</t>
        </is>
      </c>
      <c r="F18396" s="3" t="n">
        <v>0</v>
      </c>
      <c r="G18396" s="3" t="n">
        <v>7480</v>
      </c>
    </row>
    <row r="18397">
      <c r="A18397" s="3" t="inlineStr">
        <is>
          <t>Quinate Consulting (Pty) Ltd</t>
        </is>
      </c>
      <c r="B18397" s="4" t="n">
        <v>45323</v>
      </c>
      <c r="C18397" s="3" t="inlineStr">
        <is>
          <t>Expenses</t>
        </is>
      </c>
      <c r="D18397" s="3" t="inlineStr">
        <is>
          <t>4554/000</t>
        </is>
      </c>
      <c r="E18397" s="3" t="inlineStr">
        <is>
          <t>Subscriptions - Xero</t>
        </is>
      </c>
      <c r="F18397" s="3" t="n">
        <v>0</v>
      </c>
      <c r="G18397" s="3" t="n">
        <v>6600</v>
      </c>
    </row>
    <row r="18398">
      <c r="A18398" s="3" t="inlineStr">
        <is>
          <t>Opportunity Global Sales (PTY) LTD</t>
        </is>
      </c>
      <c r="B18398" s="4" t="n">
        <v>45323</v>
      </c>
      <c r="C18398" s="3" t="inlineStr">
        <is>
          <t>Expenses</t>
        </is>
      </c>
      <c r="D18398" s="3" t="inlineStr">
        <is>
          <t>4554/000</t>
        </is>
      </c>
      <c r="E18398" s="3" t="inlineStr">
        <is>
          <t>Subscriptions - Zoho</t>
        </is>
      </c>
      <c r="F18398" s="3" t="n">
        <v>0</v>
      </c>
      <c r="G18398" s="3" t="n">
        <v>8250</v>
      </c>
    </row>
    <row r="18399">
      <c r="A18399" s="3" t="inlineStr">
        <is>
          <t>Quinate Consulting (Pty) Ltd</t>
        </is>
      </c>
      <c r="B18399" s="4" t="n">
        <v>45323</v>
      </c>
      <c r="C18399" s="3" t="inlineStr">
        <is>
          <t>Expenses</t>
        </is>
      </c>
      <c r="D18399" s="3" t="inlineStr">
        <is>
          <t>4555/000</t>
        </is>
      </c>
      <c r="E18399" s="3" t="inlineStr">
        <is>
          <t>Subscriptions - OUMS</t>
        </is>
      </c>
      <c r="F18399" s="3" t="n">
        <v>13465.42</v>
      </c>
      <c r="G18399" s="3" t="n">
        <v>111087.91</v>
      </c>
    </row>
    <row r="18400">
      <c r="A18400" s="3" t="inlineStr">
        <is>
          <t>Opportunity Global Sales (PTY) LTD</t>
        </is>
      </c>
      <c r="B18400" s="4" t="n">
        <v>45323</v>
      </c>
      <c r="C18400" s="3" t="inlineStr">
        <is>
          <t>Expenses</t>
        </is>
      </c>
      <c r="D18400" s="3" t="inlineStr">
        <is>
          <t>4556/000</t>
        </is>
      </c>
      <c r="E18400" s="3" t="inlineStr">
        <is>
          <t>Subscription: Sjoon</t>
        </is>
      </c>
      <c r="F18400" s="3" t="n">
        <v>0</v>
      </c>
      <c r="G18400" s="3" t="n">
        <v>1408.69</v>
      </c>
    </row>
    <row r="18401">
      <c r="A18401" s="3" t="inlineStr">
        <is>
          <t>Noble Shield (Pty) Ltd ta Go Letting</t>
        </is>
      </c>
      <c r="B18401" s="4" t="n">
        <v>45323</v>
      </c>
      <c r="C18401" s="3" t="inlineStr">
        <is>
          <t>Expenses</t>
        </is>
      </c>
      <c r="D18401" s="3" t="inlineStr">
        <is>
          <t>4560/000</t>
        </is>
      </c>
      <c r="E18401" s="3" t="inlineStr">
        <is>
          <t>Small Assets - under R7000</t>
        </is>
      </c>
      <c r="F18401" s="3" t="n">
        <v>0</v>
      </c>
      <c r="G18401" s="3" t="n">
        <v>6716</v>
      </c>
    </row>
    <row r="18402">
      <c r="A18402" s="3" t="inlineStr">
        <is>
          <t>Opportunity Global Investment (PTY) LTD</t>
        </is>
      </c>
      <c r="B18402" s="4" t="n">
        <v>45323</v>
      </c>
      <c r="C18402" s="3" t="inlineStr">
        <is>
          <t>Expenses</t>
        </is>
      </c>
      <c r="D18402" s="3" t="inlineStr">
        <is>
          <t>4600/000</t>
        </is>
      </c>
      <c r="E18402" s="3" t="inlineStr">
        <is>
          <t>Telephone _AND_ Fax</t>
        </is>
      </c>
      <c r="F18402" s="3" t="n">
        <v>0</v>
      </c>
      <c r="G18402" s="3" t="n">
        <v>36905</v>
      </c>
    </row>
    <row r="18403">
      <c r="A18403" s="3" t="inlineStr">
        <is>
          <t>Opportunity Management Holdings (PTY) LTD</t>
        </is>
      </c>
      <c r="B18403" s="4" t="n">
        <v>45323</v>
      </c>
      <c r="C18403" s="3" t="inlineStr">
        <is>
          <t>Expenses</t>
        </is>
      </c>
      <c r="D18403" s="3" t="inlineStr">
        <is>
          <t>4600/000</t>
        </is>
      </c>
      <c r="E18403" s="3" t="inlineStr">
        <is>
          <t>Telephone _AND_ Fax</t>
        </is>
      </c>
      <c r="F18403" s="3" t="n">
        <v>0</v>
      </c>
      <c r="G18403" s="3" t="n">
        <v>178.26</v>
      </c>
    </row>
    <row r="18404">
      <c r="A18404" s="3" t="inlineStr">
        <is>
          <t>Trademark Holdings (Pty) Ltd</t>
        </is>
      </c>
      <c r="B18404" s="4" t="n">
        <v>45323</v>
      </c>
      <c r="C18404" s="3" t="inlineStr">
        <is>
          <t>Expenses</t>
        </is>
      </c>
      <c r="D18404" s="3" t="inlineStr">
        <is>
          <t>4600/000</t>
        </is>
      </c>
      <c r="E18404" s="3" t="inlineStr">
        <is>
          <t>Telephone _AND_ Fax</t>
        </is>
      </c>
      <c r="F18404" s="3" t="n">
        <v>414.79</v>
      </c>
      <c r="G18404" s="3" t="n">
        <v>7161.28</v>
      </c>
    </row>
    <row r="18405">
      <c r="A18405" s="3" t="inlineStr">
        <is>
          <t>Noble Shield (Pty) Ltd ta Go Letting</t>
        </is>
      </c>
      <c r="B18405" s="4" t="n">
        <v>45323</v>
      </c>
      <c r="C18405" s="3" t="inlineStr">
        <is>
          <t>Expenses</t>
        </is>
      </c>
      <c r="D18405" s="3" t="inlineStr">
        <is>
          <t>4610/000</t>
        </is>
      </c>
      <c r="E18405" s="3" t="inlineStr">
        <is>
          <t>Telephone - CT Office</t>
        </is>
      </c>
      <c r="F18405" s="3" t="n">
        <v>1097.08</v>
      </c>
      <c r="G18405" s="3" t="n">
        <v>7777.44</v>
      </c>
    </row>
    <row r="18406">
      <c r="A18406" s="3" t="inlineStr">
        <is>
          <t>Opportunity Global Investment (PTY) LTD</t>
        </is>
      </c>
      <c r="B18406" s="4" t="n">
        <v>45323</v>
      </c>
      <c r="C18406" s="3" t="inlineStr">
        <is>
          <t>Expenses</t>
        </is>
      </c>
      <c r="D18406" s="3" t="inlineStr">
        <is>
          <t>4650/000</t>
        </is>
      </c>
      <c r="E18406" s="3" t="inlineStr">
        <is>
          <t>Travel _AND_ Accommodation</t>
        </is>
      </c>
      <c r="F18406" s="3" t="n">
        <v>0</v>
      </c>
      <c r="G18406" s="3" t="n">
        <v>3435.65</v>
      </c>
    </row>
    <row r="18407">
      <c r="A18407" s="3" t="inlineStr">
        <is>
          <t>Quinate Consulting (Pty) Ltd</t>
        </is>
      </c>
      <c r="B18407" s="4" t="n">
        <v>45323</v>
      </c>
      <c r="C18407" s="3" t="inlineStr">
        <is>
          <t>Expenses</t>
        </is>
      </c>
      <c r="D18407" s="3" t="inlineStr">
        <is>
          <t>4650/010</t>
        </is>
      </c>
      <c r="E18407" s="3" t="inlineStr">
        <is>
          <t>Travel - Local Flights</t>
        </is>
      </c>
      <c r="F18407" s="3" t="n">
        <v>0</v>
      </c>
      <c r="G18407" s="3" t="n">
        <v>6253.04</v>
      </c>
    </row>
    <row r="18408">
      <c r="A18408" s="3" t="inlineStr">
        <is>
          <t>Quinate Consulting (Pty) Ltd</t>
        </is>
      </c>
      <c r="B18408" s="4" t="n">
        <v>45323</v>
      </c>
      <c r="C18408" s="3" t="inlineStr">
        <is>
          <t>Expenses</t>
        </is>
      </c>
      <c r="D18408" s="3" t="inlineStr">
        <is>
          <t>4650/020</t>
        </is>
      </c>
      <c r="E18408" s="3" t="inlineStr">
        <is>
          <t>Travel - Local Accomodation - B_AND_B</t>
        </is>
      </c>
      <c r="F18408" s="3" t="n">
        <v>0</v>
      </c>
      <c r="G18408" s="3" t="n">
        <v>6998.26</v>
      </c>
    </row>
    <row r="18409">
      <c r="A18409" s="3" t="inlineStr">
        <is>
          <t>Opportunity Global Investment (PTY) LTD</t>
        </is>
      </c>
      <c r="B18409" s="4" t="n">
        <v>45323</v>
      </c>
      <c r="C18409" s="3" t="inlineStr">
        <is>
          <t>Expenses</t>
        </is>
      </c>
      <c r="D18409" s="3" t="inlineStr">
        <is>
          <t>4650/020</t>
        </is>
      </c>
      <c r="E18409" s="3" t="inlineStr">
        <is>
          <t>Travel Accomodation - Car Hire</t>
        </is>
      </c>
      <c r="F18409" s="3" t="n">
        <v>0</v>
      </c>
      <c r="G18409" s="3" t="n">
        <v>1581.74</v>
      </c>
    </row>
    <row r="18410">
      <c r="A18410" s="3" t="inlineStr">
        <is>
          <t>Quinate Consulting (Pty) Ltd</t>
        </is>
      </c>
      <c r="B18410" s="4" t="n">
        <v>45323</v>
      </c>
      <c r="C18410" s="3" t="inlineStr">
        <is>
          <t>Expenses</t>
        </is>
      </c>
      <c r="D18410" s="3" t="inlineStr">
        <is>
          <t>4650/030</t>
        </is>
      </c>
      <c r="E18410" s="3" t="inlineStr">
        <is>
          <t>Travel - Parking</t>
        </is>
      </c>
      <c r="F18410" s="3" t="n">
        <v>0</v>
      </c>
      <c r="G18410" s="3" t="n">
        <v>10</v>
      </c>
    </row>
    <row r="18411">
      <c r="A18411" s="3" t="inlineStr">
        <is>
          <t>Opportunity Global Investment (PTY) LTD</t>
        </is>
      </c>
      <c r="B18411" s="4" t="n">
        <v>45323</v>
      </c>
      <c r="C18411" s="3" t="inlineStr">
        <is>
          <t>Expenses</t>
        </is>
      </c>
      <c r="D18411" s="3" t="inlineStr">
        <is>
          <t>4650/030</t>
        </is>
      </c>
      <c r="E18411" s="3" t="inlineStr">
        <is>
          <t>Travel _AND_ Accomodation - Local Accom</t>
        </is>
      </c>
      <c r="F18411" s="3" t="n">
        <v>0</v>
      </c>
      <c r="G18411" s="3" t="n">
        <v>1282.6</v>
      </c>
    </row>
    <row r="18412">
      <c r="A18412" s="3" t="inlineStr">
        <is>
          <t>Quinate Consulting (Pty) Ltd</t>
        </is>
      </c>
      <c r="B18412" s="4" t="n">
        <v>45323</v>
      </c>
      <c r="C18412" s="3" t="inlineStr">
        <is>
          <t>Expenses</t>
        </is>
      </c>
      <c r="D18412" s="3" t="inlineStr">
        <is>
          <t>4650/040</t>
        </is>
      </c>
      <c r="E18412" s="3" t="inlineStr">
        <is>
          <t>Travel - Local Car Hire</t>
        </is>
      </c>
      <c r="F18412" s="3" t="n">
        <v>0</v>
      </c>
      <c r="G18412" s="3" t="n">
        <v>510.6</v>
      </c>
    </row>
    <row r="18413">
      <c r="A18413" s="3" t="inlineStr">
        <is>
          <t>Opportunity Global Sales (PTY) LTD</t>
        </is>
      </c>
      <c r="B18413" s="4" t="n">
        <v>45323</v>
      </c>
      <c r="C18413" s="3" t="inlineStr">
        <is>
          <t>Expenses</t>
        </is>
      </c>
      <c r="D18413" s="3" t="inlineStr">
        <is>
          <t>4650/060</t>
        </is>
      </c>
      <c r="E18413" s="3" t="inlineStr">
        <is>
          <t>Travel _AND_ Accomodation - Parking_AND_Toll fee</t>
        </is>
      </c>
      <c r="F18413" s="3" t="n">
        <v>0</v>
      </c>
      <c r="G18413" s="3" t="n">
        <v>104.36</v>
      </c>
    </row>
    <row r="18414">
      <c r="A18414" s="3" t="inlineStr">
        <is>
          <t>Opportunity Global Sales (PTY) LTD</t>
        </is>
      </c>
      <c r="B18414" s="4" t="n">
        <v>45323</v>
      </c>
      <c r="C18414" s="3" t="inlineStr">
        <is>
          <t>Expenses</t>
        </is>
      </c>
      <c r="D18414" s="3" t="inlineStr">
        <is>
          <t>4650/070</t>
        </is>
      </c>
      <c r="E18414" s="3" t="inlineStr">
        <is>
          <t>Travel &amp; Accommodation - Petrol</t>
        </is>
      </c>
      <c r="F18414" s="3" t="n">
        <v>0</v>
      </c>
      <c r="G18414" s="3" t="n">
        <v>728.15</v>
      </c>
    </row>
    <row r="18415">
      <c r="A18415" s="3" t="inlineStr">
        <is>
          <t>Opportunity Global Investment (PTY) LTD</t>
        </is>
      </c>
      <c r="B18415" s="4" t="n">
        <v>45323</v>
      </c>
      <c r="C18415" s="3" t="inlineStr">
        <is>
          <t>Expenses</t>
        </is>
      </c>
      <c r="D18415" s="3" t="inlineStr">
        <is>
          <t>4650/090</t>
        </is>
      </c>
      <c r="E18415" s="3" t="inlineStr">
        <is>
          <t>Travel &amp; Accom - Fuel</t>
        </is>
      </c>
      <c r="F18415" s="3" t="n">
        <v>0</v>
      </c>
      <c r="G18415" s="3" t="n">
        <v>7651.54</v>
      </c>
    </row>
    <row r="18416">
      <c r="A18416" s="3" t="inlineStr">
        <is>
          <t>Opportunity Global Investment (PTY) LTD</t>
        </is>
      </c>
      <c r="B18416" s="4" t="n">
        <v>45323</v>
      </c>
      <c r="C18416" s="3" t="inlineStr">
        <is>
          <t>Expenses</t>
        </is>
      </c>
      <c r="D18416" s="3" t="inlineStr">
        <is>
          <t>4650/100</t>
        </is>
      </c>
      <c r="E18416" s="3" t="inlineStr">
        <is>
          <t>Travel &amp; Accomodation: Uber</t>
        </is>
      </c>
      <c r="F18416" s="3" t="n">
        <v>0</v>
      </c>
      <c r="G18416" s="3" t="n">
        <v>1609</v>
      </c>
    </row>
    <row r="18417">
      <c r="A18417" s="3" t="inlineStr">
        <is>
          <t>Noble Shield (Pty) Ltd ta Go Letting</t>
        </is>
      </c>
      <c r="B18417" s="4" t="n">
        <v>45323</v>
      </c>
      <c r="C18417" s="3" t="inlineStr">
        <is>
          <t>Expenses</t>
        </is>
      </c>
      <c r="D18417" s="3" t="inlineStr">
        <is>
          <t>4700/000</t>
        </is>
      </c>
      <c r="E18417" s="3" t="inlineStr">
        <is>
          <t>PAYE Contributions</t>
        </is>
      </c>
      <c r="F18417" s="3" t="n">
        <v>0</v>
      </c>
      <c r="G18417" s="3" t="n">
        <v>25687.38</v>
      </c>
    </row>
    <row r="18418">
      <c r="A18418" s="3" t="inlineStr">
        <is>
          <t>Trademark Holdings (Pty) Ltd</t>
        </is>
      </c>
      <c r="B18418" s="4" t="n">
        <v>45323</v>
      </c>
      <c r="C18418" s="3" t="inlineStr">
        <is>
          <t>Expenses</t>
        </is>
      </c>
      <c r="D18418" s="3" t="inlineStr">
        <is>
          <t>4700/000</t>
        </is>
      </c>
      <c r="E18418" s="3" t="inlineStr">
        <is>
          <t>PAYE Contributions</t>
        </is>
      </c>
      <c r="F18418" s="3" t="n">
        <v>0</v>
      </c>
      <c r="G18418" s="3" t="n">
        <v>25392.23</v>
      </c>
    </row>
    <row r="18419">
      <c r="A18419" s="3" t="inlineStr">
        <is>
          <t>Opportunity Global Investment (PTY) LTD</t>
        </is>
      </c>
      <c r="B18419" s="4" t="n">
        <v>45323</v>
      </c>
      <c r="C18419" s="3" t="inlineStr">
        <is>
          <t>Expenses</t>
        </is>
      </c>
      <c r="D18419" s="3" t="inlineStr">
        <is>
          <t>4700/000</t>
        </is>
      </c>
      <c r="E18419" s="3" t="inlineStr">
        <is>
          <t>UIF Contributions</t>
        </is>
      </c>
      <c r="F18419" s="3" t="n">
        <v>0</v>
      </c>
      <c r="G18419" s="3" t="n">
        <v>1948.32</v>
      </c>
    </row>
    <row r="18420">
      <c r="A18420" s="3" t="inlineStr">
        <is>
          <t>Opportunity Global Sales (PTY) LTD</t>
        </is>
      </c>
      <c r="B18420" s="4" t="n">
        <v>45323</v>
      </c>
      <c r="C18420" s="3" t="inlineStr">
        <is>
          <t>Expenses</t>
        </is>
      </c>
      <c r="D18420" s="3" t="inlineStr">
        <is>
          <t>4700/000</t>
        </is>
      </c>
      <c r="E18420" s="3" t="inlineStr">
        <is>
          <t>UIF Contributions</t>
        </is>
      </c>
      <c r="F18420" s="3" t="n">
        <v>0</v>
      </c>
      <c r="G18420" s="3" t="n">
        <v>3084.08</v>
      </c>
    </row>
    <row r="18421">
      <c r="A18421" s="3" t="inlineStr">
        <is>
          <t>Opportunity Global Sales (PTY) LTD</t>
        </is>
      </c>
      <c r="B18421" s="4" t="n">
        <v>45323</v>
      </c>
      <c r="C18421" s="3" t="inlineStr">
        <is>
          <t>Expenses</t>
        </is>
      </c>
      <c r="D18421" s="3" t="inlineStr">
        <is>
          <t>4701/000</t>
        </is>
      </c>
      <c r="E18421" s="3" t="inlineStr">
        <is>
          <t>UIF Employee Contribution</t>
        </is>
      </c>
      <c r="F18421" s="3" t="n">
        <v>0</v>
      </c>
      <c r="G18421" s="3" t="n">
        <v>3084.08</v>
      </c>
    </row>
    <row r="18422">
      <c r="A18422" s="3" t="inlineStr">
        <is>
          <t>Opportunity Global Investment (PTY) LTD</t>
        </is>
      </c>
      <c r="B18422" s="4" t="n">
        <v>45323</v>
      </c>
      <c r="C18422" s="3" t="inlineStr">
        <is>
          <t>Expenses</t>
        </is>
      </c>
      <c r="D18422" s="3" t="inlineStr">
        <is>
          <t>4701/000</t>
        </is>
      </c>
      <c r="E18422" s="3" t="inlineStr">
        <is>
          <t>UIF Employee Contributions</t>
        </is>
      </c>
      <c r="F18422" s="3" t="n">
        <v>0</v>
      </c>
      <c r="G18422" s="3" t="n">
        <v>1948.32</v>
      </c>
    </row>
    <row r="18423">
      <c r="A18423" s="3" t="inlineStr">
        <is>
          <t>Noble Shield (Pty) Ltd ta Go Letting</t>
        </is>
      </c>
      <c r="B18423" s="4" t="n">
        <v>45323</v>
      </c>
      <c r="C18423" s="3" t="inlineStr">
        <is>
          <t>Expenses</t>
        </is>
      </c>
      <c r="D18423" s="3" t="inlineStr">
        <is>
          <t>4710/000</t>
        </is>
      </c>
      <c r="E18423" s="3" t="inlineStr">
        <is>
          <t>UIF Company Contributions</t>
        </is>
      </c>
      <c r="F18423" s="3" t="n">
        <v>0</v>
      </c>
      <c r="G18423" s="3" t="n">
        <v>1226.25</v>
      </c>
    </row>
    <row r="18424">
      <c r="A18424" s="3" t="inlineStr">
        <is>
          <t>Trademark Holdings (Pty) Ltd</t>
        </is>
      </c>
      <c r="B18424" s="4" t="n">
        <v>45323</v>
      </c>
      <c r="C18424" s="3" t="inlineStr">
        <is>
          <t>Expenses</t>
        </is>
      </c>
      <c r="D18424" s="3" t="inlineStr">
        <is>
          <t>4710/000</t>
        </is>
      </c>
      <c r="E18424" s="3" t="inlineStr">
        <is>
          <t>UIF Company Contributions</t>
        </is>
      </c>
      <c r="F18424" s="3" t="n">
        <v>0</v>
      </c>
      <c r="G18424" s="3" t="n">
        <v>476.25</v>
      </c>
    </row>
    <row r="18425">
      <c r="A18425" s="3" t="inlineStr">
        <is>
          <t>Noble Shield (Pty) Ltd ta Go Letting</t>
        </is>
      </c>
      <c r="B18425" s="4" t="n">
        <v>45323</v>
      </c>
      <c r="C18425" s="3" t="inlineStr">
        <is>
          <t>Expenses</t>
        </is>
      </c>
      <c r="D18425" s="3" t="inlineStr">
        <is>
          <t>4711/000</t>
        </is>
      </c>
      <c r="E18425" s="3" t="inlineStr">
        <is>
          <t>UIF Employee Contribution</t>
        </is>
      </c>
      <c r="F18425" s="3" t="n">
        <v>0</v>
      </c>
      <c r="G18425" s="3" t="n">
        <v>1226.25</v>
      </c>
    </row>
    <row r="18426">
      <c r="A18426" s="3" t="inlineStr">
        <is>
          <t>Trademark Holdings (Pty) Ltd</t>
        </is>
      </c>
      <c r="B18426" s="4" t="n">
        <v>45323</v>
      </c>
      <c r="C18426" s="3" t="inlineStr">
        <is>
          <t>Expenses</t>
        </is>
      </c>
      <c r="D18426" s="3" t="inlineStr">
        <is>
          <t>4711/000</t>
        </is>
      </c>
      <c r="E18426" s="3" t="inlineStr">
        <is>
          <t>UIF Employee Contributions</t>
        </is>
      </c>
      <c r="F18426" s="3" t="n">
        <v>0</v>
      </c>
      <c r="G18426" s="3" t="n">
        <v>476.25</v>
      </c>
    </row>
    <row r="18427">
      <c r="A18427" s="3" t="inlineStr">
        <is>
          <t>Noble Shield (Pty) Ltd ta Go Letting</t>
        </is>
      </c>
      <c r="B18427" s="4" t="n">
        <v>45323</v>
      </c>
      <c r="C18427" s="3" t="inlineStr">
        <is>
          <t>Expenses</t>
        </is>
      </c>
      <c r="D18427" s="3" t="inlineStr">
        <is>
          <t>4720/000</t>
        </is>
      </c>
      <c r="E18427" s="3" t="inlineStr">
        <is>
          <t>SDL Contributions</t>
        </is>
      </c>
      <c r="F18427" s="3" t="n">
        <v>0</v>
      </c>
      <c r="G18427" s="3" t="n">
        <v>2248.21</v>
      </c>
    </row>
    <row r="18428">
      <c r="A18428" s="3" t="inlineStr">
        <is>
          <t>Trademark Holdings (Pty) Ltd</t>
        </is>
      </c>
      <c r="B18428" s="4" t="n">
        <v>45323</v>
      </c>
      <c r="C18428" s="3" t="inlineStr">
        <is>
          <t>Expenses</t>
        </is>
      </c>
      <c r="D18428" s="3" t="inlineStr">
        <is>
          <t>4720/000</t>
        </is>
      </c>
      <c r="E18428" s="3" t="inlineStr">
        <is>
          <t>SDL Contributions</t>
        </is>
      </c>
      <c r="F18428" s="3" t="n">
        <v>0</v>
      </c>
      <c r="G18428" s="3" t="n">
        <v>1556.8</v>
      </c>
    </row>
    <row r="18429">
      <c r="A18429" s="3" t="inlineStr">
        <is>
          <t>Opportunity Global Investment (PTY) LTD</t>
        </is>
      </c>
      <c r="B18429" s="4" t="n">
        <v>45323</v>
      </c>
      <c r="C18429" s="3" t="inlineStr">
        <is>
          <t>Expenses</t>
        </is>
      </c>
      <c r="D18429" s="3" t="inlineStr">
        <is>
          <t>4730/000</t>
        </is>
      </c>
      <c r="E18429" s="3" t="inlineStr">
        <is>
          <t>PAYE Contributions</t>
        </is>
      </c>
      <c r="F18429" s="3" t="n">
        <v>0</v>
      </c>
      <c r="G18429" s="3" t="n">
        <v>97044.94</v>
      </c>
    </row>
    <row r="18430">
      <c r="A18430" s="3" t="inlineStr">
        <is>
          <t>Opportunity Global Sales (PTY) LTD</t>
        </is>
      </c>
      <c r="B18430" s="4" t="n">
        <v>45323</v>
      </c>
      <c r="C18430" s="3" t="inlineStr">
        <is>
          <t>Expenses</t>
        </is>
      </c>
      <c r="D18430" s="3" t="inlineStr">
        <is>
          <t>4730/000</t>
        </is>
      </c>
      <c r="E18430" s="3" t="inlineStr">
        <is>
          <t>PAYE Contributions</t>
        </is>
      </c>
      <c r="F18430" s="3" t="n">
        <v>0</v>
      </c>
      <c r="G18430" s="3" t="n">
        <v>93490.56</v>
      </c>
    </row>
    <row r="18431">
      <c r="A18431" s="3" t="inlineStr">
        <is>
          <t>Opportunity Management Holdings (PTY) LTD</t>
        </is>
      </c>
      <c r="B18431" s="4" t="n">
        <v>45323</v>
      </c>
      <c r="C18431" s="3" t="inlineStr">
        <is>
          <t>Expenses</t>
        </is>
      </c>
      <c r="D18431" s="3" t="inlineStr">
        <is>
          <t>4730/000</t>
        </is>
      </c>
      <c r="E18431" s="3" t="inlineStr">
        <is>
          <t>PAYE Contributions</t>
        </is>
      </c>
      <c r="F18431" s="3" t="n">
        <v>0</v>
      </c>
      <c r="G18431" s="3" t="n">
        <v>201417.32</v>
      </c>
    </row>
    <row r="18432">
      <c r="A18432" s="3" t="inlineStr">
        <is>
          <t>Opportunity Global Investment (PTY) LTD</t>
        </is>
      </c>
      <c r="B18432" s="4" t="n">
        <v>45323</v>
      </c>
      <c r="C18432" s="3" t="inlineStr">
        <is>
          <t>Expenses</t>
        </is>
      </c>
      <c r="D18432" s="3" t="inlineStr">
        <is>
          <t>4740/000</t>
        </is>
      </c>
      <c r="E18432" s="3" t="inlineStr">
        <is>
          <t>SDL Contributions</t>
        </is>
      </c>
      <c r="F18432" s="3" t="n">
        <v>0</v>
      </c>
      <c r="G18432" s="3" t="n">
        <v>4742.1</v>
      </c>
    </row>
    <row r="18433">
      <c r="A18433" s="3" t="inlineStr">
        <is>
          <t>Opportunity Global Sales (PTY) LTD</t>
        </is>
      </c>
      <c r="B18433" s="4" t="n">
        <v>45323</v>
      </c>
      <c r="C18433" s="3" t="inlineStr">
        <is>
          <t>Expenses</t>
        </is>
      </c>
      <c r="D18433" s="3" t="inlineStr">
        <is>
          <t>4740/000</t>
        </is>
      </c>
      <c r="E18433" s="3" t="inlineStr">
        <is>
          <t>SDL Contributions</t>
        </is>
      </c>
      <c r="F18433" s="3" t="n">
        <v>0</v>
      </c>
      <c r="G18433" s="3" t="n">
        <v>21035.4</v>
      </c>
    </row>
    <row r="18434">
      <c r="A18434" s="3" t="inlineStr">
        <is>
          <t>Opportunity Management Holdings (PTY) LTD</t>
        </is>
      </c>
      <c r="B18434" s="4" t="n">
        <v>45323</v>
      </c>
      <c r="C18434" s="3" t="inlineStr">
        <is>
          <t>Expenses</t>
        </is>
      </c>
      <c r="D18434" s="3" t="inlineStr">
        <is>
          <t>4740/000</t>
        </is>
      </c>
      <c r="E18434" s="3" t="inlineStr">
        <is>
          <t>UIF Company Contribution</t>
        </is>
      </c>
      <c r="F18434" s="3" t="n">
        <v>0</v>
      </c>
      <c r="G18434" s="3" t="n">
        <v>7958.6</v>
      </c>
    </row>
    <row r="18435">
      <c r="A18435" s="3" t="inlineStr">
        <is>
          <t>Opportunity Management Holdings (PTY) LTD</t>
        </is>
      </c>
      <c r="B18435" s="4" t="n">
        <v>45323</v>
      </c>
      <c r="C18435" s="3" t="inlineStr">
        <is>
          <t>Expenses</t>
        </is>
      </c>
      <c r="D18435" s="3" t="inlineStr">
        <is>
          <t>4741/000</t>
        </is>
      </c>
      <c r="E18435" s="3" t="inlineStr">
        <is>
          <t>UIF Employee Contribution</t>
        </is>
      </c>
      <c r="F18435" s="3" t="n">
        <v>0</v>
      </c>
      <c r="G18435" s="3" t="n">
        <v>7958.6</v>
      </c>
    </row>
    <row r="18436">
      <c r="A18436" s="3" t="inlineStr">
        <is>
          <t>Opportunity Management Holdings (PTY) LTD</t>
        </is>
      </c>
      <c r="B18436" s="4" t="n">
        <v>45323</v>
      </c>
      <c r="C18436" s="3" t="inlineStr">
        <is>
          <t>Expenses</t>
        </is>
      </c>
      <c r="D18436" s="3" t="inlineStr">
        <is>
          <t>4750/000</t>
        </is>
      </c>
      <c r="E18436" s="3" t="inlineStr">
        <is>
          <t>SDL Contribution</t>
        </is>
      </c>
      <c r="F18436" s="3" t="n">
        <v>0</v>
      </c>
      <c r="G18436" s="3" t="n">
        <v>11990.6</v>
      </c>
    </row>
    <row r="18437">
      <c r="A18437" s="3" t="inlineStr">
        <is>
          <t>Noble Shield (Pty) Ltd ta Go Letting</t>
        </is>
      </c>
      <c r="B18437" s="4" t="n">
        <v>45323</v>
      </c>
      <c r="C18437" s="3" t="inlineStr">
        <is>
          <t>Equity</t>
        </is>
      </c>
      <c r="D18437" s="3" t="inlineStr">
        <is>
          <t>5100/000</t>
        </is>
      </c>
      <c r="E18437" s="3" t="inlineStr">
        <is>
          <t>Share Capital</t>
        </is>
      </c>
      <c r="F18437" s="3" t="n">
        <v>0</v>
      </c>
      <c r="G18437" s="3" t="n">
        <v>-1</v>
      </c>
    </row>
    <row r="18438">
      <c r="A18438" s="3" t="inlineStr">
        <is>
          <t>Opportunity Management Holdings (PTY) LTD</t>
        </is>
      </c>
      <c r="B18438" s="4" t="n">
        <v>45323</v>
      </c>
      <c r="C18438" s="3" t="inlineStr">
        <is>
          <t>Equity</t>
        </is>
      </c>
      <c r="D18438" s="3" t="inlineStr">
        <is>
          <t>5100/000</t>
        </is>
      </c>
      <c r="E18438" s="3" t="inlineStr">
        <is>
          <t>Share Capital / Members Contribution</t>
        </is>
      </c>
      <c r="F18438" s="3" t="n">
        <v>0</v>
      </c>
      <c r="G18438" s="3" t="n">
        <v>-120</v>
      </c>
    </row>
    <row r="18439">
      <c r="A18439" s="3" t="inlineStr">
        <is>
          <t>Quinate Consulting (Pty) Ltd</t>
        </is>
      </c>
      <c r="B18439" s="4" t="n">
        <v>45323</v>
      </c>
      <c r="C18439" s="3" t="inlineStr">
        <is>
          <t>Equity</t>
        </is>
      </c>
      <c r="D18439" s="3" t="inlineStr">
        <is>
          <t>5100/000</t>
        </is>
      </c>
      <c r="E18439" s="3" t="inlineStr">
        <is>
          <t>Share Capital / Members Contribution</t>
        </is>
      </c>
      <c r="F18439" s="3" t="n">
        <v>0</v>
      </c>
      <c r="G18439" s="3" t="n">
        <v>-120</v>
      </c>
    </row>
    <row r="18440">
      <c r="A18440" s="3" t="inlineStr">
        <is>
          <t>Trademark Holdings (Pty) Ltd</t>
        </is>
      </c>
      <c r="B18440" s="4" t="n">
        <v>45323</v>
      </c>
      <c r="C18440" s="3" t="inlineStr">
        <is>
          <t>Equity</t>
        </is>
      </c>
      <c r="D18440" s="3" t="inlineStr">
        <is>
          <t>5100/001</t>
        </is>
      </c>
      <c r="E18440" s="3" t="inlineStr">
        <is>
          <t>Share Capital - GFY Investments</t>
        </is>
      </c>
      <c r="F18440" s="3" t="n">
        <v>0</v>
      </c>
      <c r="G18440" s="3" t="n">
        <v>-60</v>
      </c>
    </row>
    <row r="18441">
      <c r="A18441" s="3" t="inlineStr">
        <is>
          <t>Trademark Holdings (Pty) Ltd</t>
        </is>
      </c>
      <c r="B18441" s="4" t="n">
        <v>45323</v>
      </c>
      <c r="C18441" s="3" t="inlineStr">
        <is>
          <t>Equity</t>
        </is>
      </c>
      <c r="D18441" s="3" t="inlineStr">
        <is>
          <t>5100/002</t>
        </is>
      </c>
      <c r="E18441" s="3" t="inlineStr">
        <is>
          <t>Share Capital - Zak Trust</t>
        </is>
      </c>
      <c r="F18441" s="3" t="n">
        <v>0</v>
      </c>
      <c r="G18441" s="3" t="n">
        <v>-60</v>
      </c>
    </row>
    <row r="18442">
      <c r="A18442" s="3" t="inlineStr">
        <is>
          <t>Opportunity Global Investment (PTY) LTD</t>
        </is>
      </c>
      <c r="B18442" s="4" t="n">
        <v>45323</v>
      </c>
      <c r="C18442" s="3" t="inlineStr">
        <is>
          <t>Equity</t>
        </is>
      </c>
      <c r="D18442" s="3" t="inlineStr">
        <is>
          <t>5101/000</t>
        </is>
      </c>
      <c r="E18442" s="3" t="inlineStr">
        <is>
          <t>Share Capital - Ordinary Type A</t>
        </is>
      </c>
      <c r="F18442" s="3" t="n">
        <v>0</v>
      </c>
      <c r="G18442" s="3" t="n">
        <v>-70</v>
      </c>
    </row>
    <row r="18443">
      <c r="A18443" s="3" t="inlineStr">
        <is>
          <t>Opportunity Global Investment (PTY) LTD</t>
        </is>
      </c>
      <c r="B18443" s="4" t="n">
        <v>45323</v>
      </c>
      <c r="C18443" s="3" t="inlineStr">
        <is>
          <t>Equity</t>
        </is>
      </c>
      <c r="D18443" s="3" t="inlineStr">
        <is>
          <t>5102/000</t>
        </is>
      </c>
      <c r="E18443" s="3" t="inlineStr">
        <is>
          <t>Share Capital - Ordinary Type B</t>
        </is>
      </c>
      <c r="F18443" s="3" t="n">
        <v>0</v>
      </c>
      <c r="G18443" s="3" t="n">
        <v>-30</v>
      </c>
    </row>
    <row r="18444">
      <c r="A18444" s="3" t="inlineStr">
        <is>
          <t>Endulini (Pty) Ltd</t>
        </is>
      </c>
      <c r="B18444" s="4" t="n">
        <v>45323</v>
      </c>
      <c r="C18444" s="3" t="inlineStr">
        <is>
          <t>Equity</t>
        </is>
      </c>
      <c r="D18444" s="3" t="inlineStr">
        <is>
          <t>5200/000</t>
        </is>
      </c>
      <c r="E18444" s="3" t="inlineStr">
        <is>
          <t>Retained Earnings / Loss</t>
        </is>
      </c>
      <c r="F18444" s="3" t="n">
        <v>0</v>
      </c>
      <c r="G18444" s="3" t="n">
        <v>-6017232.05</v>
      </c>
    </row>
    <row r="18445">
      <c r="A18445" s="3" t="inlineStr">
        <is>
          <t>Noble Shield (Pty) Ltd ta Go Letting</t>
        </is>
      </c>
      <c r="B18445" s="4" t="n">
        <v>45323</v>
      </c>
      <c r="C18445" s="3" t="inlineStr">
        <is>
          <t>Equity</t>
        </is>
      </c>
      <c r="D18445" s="3" t="inlineStr">
        <is>
          <t>5200/000</t>
        </is>
      </c>
      <c r="E18445" s="3" t="inlineStr">
        <is>
          <t>Retained Earnings / Loss</t>
        </is>
      </c>
      <c r="F18445" s="3" t="n">
        <v>0</v>
      </c>
      <c r="G18445" s="3" t="n">
        <v>-91943.62</v>
      </c>
    </row>
    <row r="18446">
      <c r="A18446" s="3" t="inlineStr">
        <is>
          <t>Opportunity Global Investment (PTY) LTD</t>
        </is>
      </c>
      <c r="B18446" s="4" t="n">
        <v>45323</v>
      </c>
      <c r="C18446" s="3" t="inlineStr">
        <is>
          <t>Equity</t>
        </is>
      </c>
      <c r="D18446" s="3" t="inlineStr">
        <is>
          <t>5200/000</t>
        </is>
      </c>
      <c r="E18446" s="3" t="inlineStr">
        <is>
          <t>Retained Earnings / Loss</t>
        </is>
      </c>
      <c r="F18446" s="3" t="n">
        <v>0</v>
      </c>
      <c r="G18446" s="3" t="n">
        <v>2134849.73</v>
      </c>
    </row>
    <row r="18447">
      <c r="A18447" s="3" t="inlineStr">
        <is>
          <t>Opportunity Global Sales (PTY) LTD</t>
        </is>
      </c>
      <c r="B18447" s="4" t="n">
        <v>45323</v>
      </c>
      <c r="C18447" s="3" t="inlineStr">
        <is>
          <t>Equity</t>
        </is>
      </c>
      <c r="D18447" s="3" t="inlineStr">
        <is>
          <t>5200/000</t>
        </is>
      </c>
      <c r="E18447" s="3" t="inlineStr">
        <is>
          <t>Retained Earnings / Loss</t>
        </is>
      </c>
      <c r="F18447" s="3" t="n">
        <v>0</v>
      </c>
      <c r="G18447" s="3" t="n">
        <v>-2287097.79</v>
      </c>
    </row>
    <row r="18448">
      <c r="A18448" s="3" t="inlineStr">
        <is>
          <t>Opportunity Management Holdings (PTY) LTD</t>
        </is>
      </c>
      <c r="B18448" s="4" t="n">
        <v>45323</v>
      </c>
      <c r="C18448" s="3" t="inlineStr">
        <is>
          <t>Equity</t>
        </is>
      </c>
      <c r="D18448" s="3" t="inlineStr">
        <is>
          <t>5200/000</t>
        </is>
      </c>
      <c r="E18448" s="3" t="inlineStr">
        <is>
          <t>Retained Earnings / Loss</t>
        </is>
      </c>
      <c r="F18448" s="3" t="n">
        <v>0</v>
      </c>
      <c r="G18448" s="3" t="n">
        <v>1215864.15</v>
      </c>
    </row>
    <row r="18449">
      <c r="A18449" s="3" t="inlineStr">
        <is>
          <t>Quinate Consulting (Pty) Ltd</t>
        </is>
      </c>
      <c r="B18449" s="4" t="n">
        <v>45323</v>
      </c>
      <c r="C18449" s="3" t="inlineStr">
        <is>
          <t>Equity</t>
        </is>
      </c>
      <c r="D18449" s="3" t="inlineStr">
        <is>
          <t>5200/000</t>
        </is>
      </c>
      <c r="E18449" s="3" t="inlineStr">
        <is>
          <t>Retained Earnings / Loss</t>
        </is>
      </c>
      <c r="F18449" s="3" t="n">
        <v>0</v>
      </c>
      <c r="G18449" s="3" t="n">
        <v>1549164.28</v>
      </c>
    </row>
    <row r="18450">
      <c r="A18450" s="3" t="inlineStr">
        <is>
          <t>Trademark Holdings (Pty) Ltd</t>
        </is>
      </c>
      <c r="B18450" s="4" t="n">
        <v>45323</v>
      </c>
      <c r="C18450" s="3" t="inlineStr">
        <is>
          <t>Equity</t>
        </is>
      </c>
      <c r="D18450" s="3" t="inlineStr">
        <is>
          <t>5200/000</t>
        </is>
      </c>
      <c r="E18450" s="3" t="inlineStr">
        <is>
          <t>Retained Earnings / Loss</t>
        </is>
      </c>
      <c r="F18450" s="3" t="n">
        <v>0</v>
      </c>
      <c r="G18450" s="3" t="n">
        <v>-163666.44</v>
      </c>
    </row>
    <row r="18451">
      <c r="A18451" s="3" t="inlineStr">
        <is>
          <t>Quinate Consulting (Pty) Ltd</t>
        </is>
      </c>
      <c r="B18451" s="4" t="n">
        <v>45323</v>
      </c>
      <c r="C18451" s="3" t="inlineStr">
        <is>
          <t>Assets</t>
        </is>
      </c>
      <c r="D18451" s="3" t="inlineStr">
        <is>
          <t>5400/011</t>
        </is>
      </c>
      <c r="E18451" s="3" t="inlineStr">
        <is>
          <t>Members Loan - Nick Morgan</t>
        </is>
      </c>
      <c r="F18451" s="3" t="n">
        <v>0</v>
      </c>
      <c r="G18451" s="3" t="n">
        <v>-85743.69</v>
      </c>
    </row>
    <row r="18452">
      <c r="A18452" s="3" t="inlineStr">
        <is>
          <t>Opportunity Management Holdings (PTY) LTD</t>
        </is>
      </c>
      <c r="B18452" s="4" t="n">
        <v>45323</v>
      </c>
      <c r="C18452" s="3" t="inlineStr">
        <is>
          <t>Assets</t>
        </is>
      </c>
      <c r="D18452" s="3" t="inlineStr">
        <is>
          <t>5400/500</t>
        </is>
      </c>
      <c r="E18452" s="3" t="inlineStr">
        <is>
          <t>Shareholder - Zak Loan</t>
        </is>
      </c>
      <c r="F18452" s="3" t="n">
        <v>0</v>
      </c>
      <c r="G18452" s="3" t="n">
        <v>-171798.21</v>
      </c>
    </row>
    <row r="18453">
      <c r="A18453" s="3" t="inlineStr">
        <is>
          <t>Quinate Consulting (Pty) Ltd</t>
        </is>
      </c>
      <c r="B18453" s="4" t="n">
        <v>45323</v>
      </c>
      <c r="C18453" s="3" t="inlineStr">
        <is>
          <t>Liabilities</t>
        </is>
      </c>
      <c r="D18453" s="3" t="inlineStr">
        <is>
          <t>5500/010</t>
        </is>
      </c>
      <c r="E18453" s="3" t="inlineStr">
        <is>
          <t>Loan - Wynand Haywood</t>
        </is>
      </c>
      <c r="F18453" s="3" t="n">
        <v>0</v>
      </c>
      <c r="G18453" s="3" t="n">
        <v>1928.67</v>
      </c>
    </row>
    <row r="18454">
      <c r="A18454" s="3" t="inlineStr">
        <is>
          <t>Quinate Consulting (Pty) Ltd</t>
        </is>
      </c>
      <c r="B18454" s="4" t="n">
        <v>45323</v>
      </c>
      <c r="C18454" s="3" t="inlineStr">
        <is>
          <t>Liabilities</t>
        </is>
      </c>
      <c r="D18454" s="3" t="inlineStr">
        <is>
          <t>5500/023</t>
        </is>
      </c>
      <c r="E18454" s="3" t="inlineStr">
        <is>
          <t>Loan - Noble Shield 1 Security Trust</t>
        </is>
      </c>
      <c r="F18454" s="3" t="n">
        <v>0</v>
      </c>
      <c r="G18454" s="3" t="n">
        <v>600</v>
      </c>
    </row>
    <row r="18455">
      <c r="A18455" s="3" t="inlineStr">
        <is>
          <t>Quinate Consulting (Pty) Ltd</t>
        </is>
      </c>
      <c r="B18455" s="4" t="n">
        <v>45323</v>
      </c>
      <c r="C18455" s="3" t="inlineStr">
        <is>
          <t>Liabilities</t>
        </is>
      </c>
      <c r="D18455" s="3" t="inlineStr">
        <is>
          <t>5500/025</t>
        </is>
      </c>
      <c r="E18455" s="3" t="inlineStr">
        <is>
          <t>Loan - Noble Shield 2 Security Trust</t>
        </is>
      </c>
      <c r="F18455" s="3" t="n">
        <v>0</v>
      </c>
      <c r="G18455" s="3" t="n">
        <v>250</v>
      </c>
    </row>
    <row r="18456">
      <c r="A18456" s="3" t="inlineStr">
        <is>
          <t>Quinate Consulting (Pty) Ltd</t>
        </is>
      </c>
      <c r="B18456" s="4" t="n">
        <v>45323</v>
      </c>
      <c r="C18456" s="3" t="inlineStr">
        <is>
          <t>Liabilities</t>
        </is>
      </c>
      <c r="D18456" s="3" t="inlineStr">
        <is>
          <t>5500/030</t>
        </is>
      </c>
      <c r="E18456" s="3" t="inlineStr">
        <is>
          <t>Loan - Heron Projects</t>
        </is>
      </c>
      <c r="F18456" s="3" t="n">
        <v>0</v>
      </c>
      <c r="G18456" s="3" t="n">
        <v>36800</v>
      </c>
    </row>
    <row r="18457">
      <c r="A18457" s="3" t="inlineStr">
        <is>
          <t>Opportunity Global Investment (PTY) LTD</t>
        </is>
      </c>
      <c r="B18457" s="4" t="n">
        <v>45323</v>
      </c>
      <c r="C18457" s="3" t="inlineStr">
        <is>
          <t>Liabilities</t>
        </is>
      </c>
      <c r="D18457" s="3" t="inlineStr">
        <is>
          <t>5500/100</t>
        </is>
      </c>
      <c r="E18457" s="3" t="inlineStr">
        <is>
          <t>Loan - Cape Projects Construction</t>
        </is>
      </c>
      <c r="F18457" s="3" t="n">
        <v>0</v>
      </c>
      <c r="G18457" s="3" t="n">
        <v>1571000</v>
      </c>
    </row>
    <row r="18458">
      <c r="A18458" s="3" t="inlineStr">
        <is>
          <t>Noble Shield (Pty) Ltd ta Go Letting</t>
        </is>
      </c>
      <c r="B18458" s="4" t="n">
        <v>45323</v>
      </c>
      <c r="C18458" s="3" t="inlineStr">
        <is>
          <t>Liabilities</t>
        </is>
      </c>
      <c r="D18458" s="3" t="inlineStr">
        <is>
          <t>5500/100</t>
        </is>
      </c>
      <c r="E18458" s="3" t="inlineStr">
        <is>
          <t>Loan - Jupiter Trust</t>
        </is>
      </c>
      <c r="F18458" s="3" t="n">
        <v>0</v>
      </c>
      <c r="G18458" s="3" t="n">
        <v>-100228.75</v>
      </c>
    </row>
    <row r="18459">
      <c r="A18459" s="3" t="inlineStr">
        <is>
          <t>Opportunity Management Holdings (PTY) LTD</t>
        </is>
      </c>
      <c r="B18459" s="4" t="n">
        <v>45323</v>
      </c>
      <c r="C18459" s="3" t="inlineStr">
        <is>
          <t>Liabilities</t>
        </is>
      </c>
      <c r="D18459" s="3" t="inlineStr">
        <is>
          <t>5500/100</t>
        </is>
      </c>
      <c r="E18459" s="3" t="inlineStr">
        <is>
          <t>Loan - Opportunity Global</t>
        </is>
      </c>
      <c r="F18459" s="3" t="n">
        <v>0</v>
      </c>
      <c r="G18459" s="3" t="n">
        <v>-20000</v>
      </c>
    </row>
    <row r="18460">
      <c r="A18460" s="3" t="inlineStr">
        <is>
          <t>Endulini (Pty) Ltd</t>
        </is>
      </c>
      <c r="B18460" s="4" t="n">
        <v>45323</v>
      </c>
      <c r="C18460" s="3" t="inlineStr">
        <is>
          <t>Liabilities</t>
        </is>
      </c>
      <c r="D18460" s="3" t="inlineStr">
        <is>
          <t>5500/100</t>
        </is>
      </c>
      <c r="E18460" s="3" t="inlineStr">
        <is>
          <t>Loan - Quinate Consulting</t>
        </is>
      </c>
      <c r="F18460" s="3" t="n">
        <v>0</v>
      </c>
      <c r="G18460" s="3" t="n">
        <v>-5711437.9</v>
      </c>
    </row>
    <row r="18461">
      <c r="A18461" s="3" t="inlineStr">
        <is>
          <t>Endulini (Pty) Ltd</t>
        </is>
      </c>
      <c r="B18461" s="4" t="n">
        <v>45323</v>
      </c>
      <c r="C18461" s="3" t="inlineStr">
        <is>
          <t>Liabilities</t>
        </is>
      </c>
      <c r="D18461" s="3" t="inlineStr">
        <is>
          <t>5500/150</t>
        </is>
      </c>
      <c r="E18461" s="3" t="inlineStr">
        <is>
          <t>Loan - Cape Projects Construction</t>
        </is>
      </c>
      <c r="F18461" s="3" t="n">
        <v>0</v>
      </c>
      <c r="G18461" s="3" t="n">
        <v>-14611500</v>
      </c>
    </row>
    <row r="18462">
      <c r="A18462" s="3" t="inlineStr">
        <is>
          <t>Quinate Consulting (Pty) Ltd</t>
        </is>
      </c>
      <c r="B18462" s="4" t="n">
        <v>45323</v>
      </c>
      <c r="C18462" s="3" t="inlineStr">
        <is>
          <t>Liabilities</t>
        </is>
      </c>
      <c r="D18462" s="3" t="inlineStr">
        <is>
          <t>5500/160</t>
        </is>
      </c>
      <c r="E18462" s="3" t="inlineStr">
        <is>
          <t>Loan - GFY Investment and Consulting</t>
        </is>
      </c>
      <c r="F18462" s="3" t="n">
        <v>0</v>
      </c>
      <c r="G18462" s="3" t="n">
        <v>-1750249.93</v>
      </c>
    </row>
    <row r="18463">
      <c r="A18463" s="3" t="inlineStr">
        <is>
          <t>Opportunity Management Holdings (PTY) LTD</t>
        </is>
      </c>
      <c r="B18463" s="4" t="n">
        <v>45323</v>
      </c>
      <c r="C18463" s="3" t="inlineStr">
        <is>
          <t>Liabilities</t>
        </is>
      </c>
      <c r="D18463" s="3" t="inlineStr">
        <is>
          <t>5500/200</t>
        </is>
      </c>
      <c r="E18463" s="3" t="inlineStr">
        <is>
          <t>Loan - Cape Projects</t>
        </is>
      </c>
      <c r="F18463" s="3" t="n">
        <v>0</v>
      </c>
      <c r="G18463" s="3" t="n">
        <v>-137399</v>
      </c>
    </row>
    <row r="18464">
      <c r="A18464" s="3" t="inlineStr">
        <is>
          <t>Trademark Holdings (Pty) Ltd</t>
        </is>
      </c>
      <c r="B18464" s="4" t="n">
        <v>45323</v>
      </c>
      <c r="C18464" s="3" t="inlineStr">
        <is>
          <t>Liabilities</t>
        </is>
      </c>
      <c r="D18464" s="3" t="inlineStr">
        <is>
          <t>5500/250</t>
        </is>
      </c>
      <c r="E18464" s="3" t="inlineStr">
        <is>
          <t>Loan - Noble Shield</t>
        </is>
      </c>
      <c r="F18464" s="3" t="n">
        <v>0</v>
      </c>
      <c r="G18464" s="3" t="n">
        <v>65165.59</v>
      </c>
    </row>
    <row r="18465">
      <c r="A18465" s="3" t="inlineStr">
        <is>
          <t>Opportunity Management Holdings (PTY) LTD</t>
        </is>
      </c>
      <c r="B18465" s="4" t="n">
        <v>45323</v>
      </c>
      <c r="C18465" s="3" t="inlineStr">
        <is>
          <t>Liabilities</t>
        </is>
      </c>
      <c r="D18465" s="3" t="inlineStr">
        <is>
          <t>5500/250</t>
        </is>
      </c>
      <c r="E18465" s="3" t="inlineStr">
        <is>
          <t>Loan - Quinate</t>
        </is>
      </c>
      <c r="F18465" s="3" t="n">
        <v>0</v>
      </c>
      <c r="G18465" s="3" t="n">
        <v>-70000</v>
      </c>
    </row>
    <row r="18466">
      <c r="A18466" s="3" t="inlineStr">
        <is>
          <t>Quinate Consulting (Pty) Ltd</t>
        </is>
      </c>
      <c r="B18466" s="4" t="n">
        <v>45323</v>
      </c>
      <c r="C18466" s="3" t="inlineStr">
        <is>
          <t>Liabilities</t>
        </is>
      </c>
      <c r="D18466" s="3" t="inlineStr">
        <is>
          <t>5500/300</t>
        </is>
      </c>
      <c r="E18466" s="3" t="inlineStr">
        <is>
          <t>Loan - Gengis</t>
        </is>
      </c>
      <c r="F18466" s="3" t="n">
        <v>0</v>
      </c>
      <c r="G18466" s="3" t="n">
        <v>-343607.11</v>
      </c>
    </row>
    <row r="18467">
      <c r="A18467" s="3" t="inlineStr">
        <is>
          <t>Opportunity Management Holdings (PTY) LTD</t>
        </is>
      </c>
      <c r="B18467" s="4" t="n">
        <v>45323</v>
      </c>
      <c r="C18467" s="3" t="inlineStr">
        <is>
          <t>Liabilities</t>
        </is>
      </c>
      <c r="D18467" s="3" t="inlineStr">
        <is>
          <t>5500/300</t>
        </is>
      </c>
      <c r="E18467" s="3" t="inlineStr">
        <is>
          <t>Loan - Opportunity Prop Management</t>
        </is>
      </c>
      <c r="F18467" s="3" t="n">
        <v>0</v>
      </c>
      <c r="G18467" s="3" t="n">
        <v>-1220204.15</v>
      </c>
    </row>
    <row r="18468">
      <c r="A18468" s="3" t="inlineStr">
        <is>
          <t>Noble Shield (Pty) Ltd ta Go Letting</t>
        </is>
      </c>
      <c r="B18468" s="4" t="n">
        <v>45323</v>
      </c>
      <c r="C18468" s="3" t="inlineStr">
        <is>
          <t>Liabilities</t>
        </is>
      </c>
      <c r="D18468" s="3" t="inlineStr">
        <is>
          <t>5500/300</t>
        </is>
      </c>
      <c r="E18468" s="3" t="inlineStr">
        <is>
          <t>Loan - Trademark Holdings</t>
        </is>
      </c>
      <c r="F18468" s="3" t="n">
        <v>0</v>
      </c>
      <c r="G18468" s="3" t="n">
        <v>-65165.59</v>
      </c>
    </row>
    <row r="18469">
      <c r="A18469" s="3" t="inlineStr">
        <is>
          <t>Opportunity Global Investment (PTY) LTD</t>
        </is>
      </c>
      <c r="B18469" s="4" t="n">
        <v>45323</v>
      </c>
      <c r="C18469" s="3" t="inlineStr">
        <is>
          <t>Liabilities</t>
        </is>
      </c>
      <c r="D18469" s="3" t="inlineStr">
        <is>
          <t>5500/350</t>
        </is>
      </c>
      <c r="E18469" s="3" t="inlineStr">
        <is>
          <t>Loan - Opportunity Management Holdings</t>
        </is>
      </c>
      <c r="F18469" s="3" t="n">
        <v>0</v>
      </c>
      <c r="G18469" s="3" t="n">
        <v>500</v>
      </c>
    </row>
    <row r="18470">
      <c r="A18470" s="3" t="inlineStr">
        <is>
          <t>Trademark Holdings (Pty) Ltd</t>
        </is>
      </c>
      <c r="B18470" s="4" t="n">
        <v>45323</v>
      </c>
      <c r="C18470" s="3" t="inlineStr">
        <is>
          <t>Liabilities</t>
        </is>
      </c>
      <c r="D18470" s="3" t="inlineStr">
        <is>
          <t>5500/350</t>
        </is>
      </c>
      <c r="E18470" s="3" t="inlineStr">
        <is>
          <t>Loan - Quinate Consulting</t>
        </is>
      </c>
      <c r="F18470" s="3" t="n">
        <v>0</v>
      </c>
      <c r="G18470" s="3" t="n">
        <v>-16413.38</v>
      </c>
    </row>
    <row r="18471">
      <c r="A18471" s="3" t="inlineStr">
        <is>
          <t>Trademark Holdings (Pty) Ltd</t>
        </is>
      </c>
      <c r="B18471" s="4" t="n">
        <v>45323</v>
      </c>
      <c r="C18471" s="3" t="inlineStr">
        <is>
          <t>Liabilities</t>
        </is>
      </c>
      <c r="D18471" s="3" t="inlineStr">
        <is>
          <t>5500/375</t>
        </is>
      </c>
      <c r="E18471" s="3" t="inlineStr">
        <is>
          <t>Loan - Opportunity Management Holdings Pty Ltd</t>
        </is>
      </c>
      <c r="F18471" s="3" t="n">
        <v>0</v>
      </c>
      <c r="G18471" s="3" t="n">
        <v>158800</v>
      </c>
    </row>
    <row r="18472">
      <c r="A18472" s="3" t="inlineStr">
        <is>
          <t>Trademark Holdings (Pty) Ltd</t>
        </is>
      </c>
      <c r="B18472" s="4" t="n">
        <v>45323</v>
      </c>
      <c r="C18472" s="3" t="inlineStr">
        <is>
          <t>Liabilities</t>
        </is>
      </c>
      <c r="D18472" s="3" t="inlineStr">
        <is>
          <t>5500/450</t>
        </is>
      </c>
      <c r="E18472" s="3" t="inlineStr">
        <is>
          <t>Loan - Cape Projects Construction</t>
        </is>
      </c>
      <c r="F18472" s="3" t="n">
        <v>0</v>
      </c>
      <c r="G18472" s="3" t="n">
        <v>18200</v>
      </c>
    </row>
    <row r="18473">
      <c r="A18473" s="3" t="inlineStr">
        <is>
          <t>Trademark Holdings (Pty) Ltd</t>
        </is>
      </c>
      <c r="B18473" s="4" t="n">
        <v>45323</v>
      </c>
      <c r="C18473" s="3" t="inlineStr">
        <is>
          <t>Liabilities</t>
        </is>
      </c>
      <c r="D18473" s="3" t="inlineStr">
        <is>
          <t>5500/500</t>
        </is>
      </c>
      <c r="E18473" s="3" t="inlineStr">
        <is>
          <t>Go Letting Brand Name</t>
        </is>
      </c>
      <c r="F18473" s="3" t="n">
        <v>0</v>
      </c>
      <c r="G18473" s="3" t="n">
        <v>93420</v>
      </c>
    </row>
    <row r="18474">
      <c r="A18474" s="3" t="inlineStr">
        <is>
          <t>Noble Shield (Pty) Ltd ta Go Letting</t>
        </is>
      </c>
      <c r="B18474" s="4" t="n">
        <v>45323</v>
      </c>
      <c r="C18474" s="3" t="inlineStr">
        <is>
          <t>Liabilities</t>
        </is>
      </c>
      <c r="D18474" s="3" t="inlineStr">
        <is>
          <t>5500/500</t>
        </is>
      </c>
      <c r="E18474" s="3" t="inlineStr">
        <is>
          <t>Loan - Cape Projects Construction</t>
        </is>
      </c>
      <c r="F18474" s="3" t="n">
        <v>0</v>
      </c>
      <c r="G18474" s="3" t="n">
        <v>200789.44</v>
      </c>
    </row>
    <row r="18475">
      <c r="A18475" s="3" t="inlineStr">
        <is>
          <t>Quinate Consulting (Pty) Ltd</t>
        </is>
      </c>
      <c r="B18475" s="4" t="n">
        <v>45323</v>
      </c>
      <c r="C18475" s="3" t="inlineStr">
        <is>
          <t>Liabilities</t>
        </is>
      </c>
      <c r="D18475" s="3" t="inlineStr">
        <is>
          <t>5500/500</t>
        </is>
      </c>
      <c r="E18475" s="3" t="inlineStr">
        <is>
          <t>Loan - Opportunity Development Struct.</t>
        </is>
      </c>
      <c r="F18475" s="3" t="n">
        <v>0</v>
      </c>
      <c r="G18475" s="3" t="n">
        <v>-2380000</v>
      </c>
    </row>
    <row r="18476">
      <c r="A18476" s="3" t="inlineStr">
        <is>
          <t>Opportunity Management Holdings (PTY) LTD</t>
        </is>
      </c>
      <c r="B18476" s="4" t="n">
        <v>45323</v>
      </c>
      <c r="C18476" s="3" t="inlineStr">
        <is>
          <t>Liabilities</t>
        </is>
      </c>
      <c r="D18476" s="3" t="inlineStr">
        <is>
          <t>5500/500</t>
        </is>
      </c>
      <c r="E18476" s="3" t="inlineStr">
        <is>
          <t>Loan - Opportunity Tradermark Holdings</t>
        </is>
      </c>
      <c r="F18476" s="3" t="n">
        <v>0</v>
      </c>
      <c r="G18476" s="3" t="n">
        <v>-158800</v>
      </c>
    </row>
    <row r="18477">
      <c r="A18477" s="3" t="inlineStr">
        <is>
          <t>Quinate Consulting (Pty) Ltd</t>
        </is>
      </c>
      <c r="B18477" s="4" t="n">
        <v>45323</v>
      </c>
      <c r="C18477" s="3" t="inlineStr">
        <is>
          <t>Liabilities</t>
        </is>
      </c>
      <c r="D18477" s="3" t="inlineStr">
        <is>
          <t>5500/520</t>
        </is>
      </c>
      <c r="E18477" s="3" t="inlineStr">
        <is>
          <t>Loan - Opportunity Management Holdings</t>
        </is>
      </c>
      <c r="F18477" s="3" t="n">
        <v>0</v>
      </c>
      <c r="G18477" s="3" t="n">
        <v>66100</v>
      </c>
    </row>
    <row r="18478">
      <c r="A18478" s="3" t="inlineStr">
        <is>
          <t>Opportunity Management Holdings (PTY) LTD</t>
        </is>
      </c>
      <c r="B18478" s="4" t="n">
        <v>45323</v>
      </c>
      <c r="C18478" s="3" t="inlineStr">
        <is>
          <t>Liabilities</t>
        </is>
      </c>
      <c r="D18478" s="3" t="inlineStr">
        <is>
          <t>5500/550</t>
        </is>
      </c>
      <c r="E18478" s="3" t="inlineStr">
        <is>
          <t>Loan - Heron Projects</t>
        </is>
      </c>
      <c r="F18478" s="3" t="n">
        <v>0</v>
      </c>
      <c r="G18478" s="3" t="n">
        <v>-55100</v>
      </c>
    </row>
    <row r="18479">
      <c r="A18479" s="3" t="inlineStr">
        <is>
          <t>Opportunity Global Investment (PTY) LTD</t>
        </is>
      </c>
      <c r="B18479" s="4" t="n">
        <v>45323</v>
      </c>
      <c r="C18479" s="3" t="inlineStr">
        <is>
          <t>Liabilities</t>
        </is>
      </c>
      <c r="D18479" s="3" t="inlineStr">
        <is>
          <t>5500/650</t>
        </is>
      </c>
      <c r="E18479" s="3" t="inlineStr">
        <is>
          <t>Loan - Opportunit Global - Sales</t>
        </is>
      </c>
      <c r="F18479" s="3" t="n">
        <v>0</v>
      </c>
      <c r="G18479" s="3" t="n">
        <v>-3947595.42</v>
      </c>
    </row>
    <row r="18480">
      <c r="A18480" s="3" t="inlineStr">
        <is>
          <t>Opportunity Global Sales (PTY) LTD</t>
        </is>
      </c>
      <c r="B18480" s="4" t="n">
        <v>45323</v>
      </c>
      <c r="C18480" s="3" t="inlineStr">
        <is>
          <t>Liabilities</t>
        </is>
      </c>
      <c r="D18480" s="3" t="inlineStr">
        <is>
          <t>5500/650</t>
        </is>
      </c>
      <c r="E18480" s="3" t="inlineStr">
        <is>
          <t>Loan - Opportunity Investments</t>
        </is>
      </c>
      <c r="F18480" s="3" t="n">
        <v>0</v>
      </c>
      <c r="G18480" s="3" t="n">
        <v>3947595.42</v>
      </c>
    </row>
    <row r="18481">
      <c r="A18481" s="3" t="inlineStr">
        <is>
          <t>Opportunity Management Holdings (PTY) LTD</t>
        </is>
      </c>
      <c r="B18481" s="4" t="n">
        <v>45323</v>
      </c>
      <c r="C18481" s="3" t="inlineStr">
        <is>
          <t>Liabilities</t>
        </is>
      </c>
      <c r="D18481" s="3" t="inlineStr">
        <is>
          <t>5500/700</t>
        </is>
      </c>
      <c r="E18481" s="3" t="inlineStr">
        <is>
          <t>Loan - Go Letting</t>
        </is>
      </c>
      <c r="F18481" s="3" t="n">
        <v>0</v>
      </c>
      <c r="G18481" s="3" t="n">
        <v>-120</v>
      </c>
    </row>
    <row r="18482">
      <c r="A18482" s="3" t="inlineStr">
        <is>
          <t>Quinate Consulting (Pty) Ltd</t>
        </is>
      </c>
      <c r="B18482" s="4" t="n">
        <v>45323</v>
      </c>
      <c r="C18482" s="3" t="inlineStr">
        <is>
          <t>Liabilities</t>
        </is>
      </c>
      <c r="D18482" s="3" t="inlineStr">
        <is>
          <t>5500/700</t>
        </is>
      </c>
      <c r="E18482" s="3" t="inlineStr">
        <is>
          <t>Loan - Trademark Holdings</t>
        </is>
      </c>
      <c r="F18482" s="3" t="n">
        <v>0</v>
      </c>
      <c r="G18482" s="3" t="n">
        <v>16413.38</v>
      </c>
    </row>
    <row r="18483">
      <c r="A18483" s="3" t="inlineStr">
        <is>
          <t>Opportunity Global Investment (PTY) LTD</t>
        </is>
      </c>
      <c r="B18483" s="4" t="n">
        <v>45323</v>
      </c>
      <c r="C18483" s="3" t="inlineStr">
        <is>
          <t>Liabilities</t>
        </is>
      </c>
      <c r="D18483" s="3" t="inlineStr">
        <is>
          <t>5500/750</t>
        </is>
      </c>
      <c r="E18483" s="3" t="inlineStr">
        <is>
          <t>Loan - Heron Projects</t>
        </is>
      </c>
      <c r="F18483" s="3" t="n">
        <v>0</v>
      </c>
      <c r="G18483" s="3" t="n">
        <v>-1973000</v>
      </c>
    </row>
    <row r="18484">
      <c r="A18484" s="3" t="inlineStr">
        <is>
          <t>Opportunity Global Investment (PTY) LTD</t>
        </is>
      </c>
      <c r="B18484" s="4" t="n">
        <v>45323</v>
      </c>
      <c r="C18484" s="3" t="inlineStr">
        <is>
          <t>Liabilities</t>
        </is>
      </c>
      <c r="D18484" s="3" t="inlineStr">
        <is>
          <t>5500/850</t>
        </is>
      </c>
      <c r="E18484" s="3" t="inlineStr">
        <is>
          <t>Loan - Nick Morgan</t>
        </is>
      </c>
      <c r="F18484" s="3" t="n">
        <v>0</v>
      </c>
      <c r="G18484" s="3" t="n">
        <v>6200</v>
      </c>
    </row>
    <row r="18485">
      <c r="A18485" s="3" t="inlineStr">
        <is>
          <t>Quinate Consulting (Pty) Ltd</t>
        </is>
      </c>
      <c r="B18485" s="4" t="n">
        <v>45323</v>
      </c>
      <c r="C18485" s="3" t="inlineStr">
        <is>
          <t>Liabilities</t>
        </is>
      </c>
      <c r="D18485" s="3" t="inlineStr">
        <is>
          <t>5501/000</t>
        </is>
      </c>
      <c r="E18485" s="3" t="inlineStr">
        <is>
          <t>Loan - Endulini Project</t>
        </is>
      </c>
      <c r="F18485" s="3" t="n">
        <v>0</v>
      </c>
      <c r="G18485" s="3" t="n">
        <v>-2756.97</v>
      </c>
    </row>
    <row r="18486">
      <c r="A18486" s="3" t="inlineStr">
        <is>
          <t>Quinate Consulting (Pty) Ltd</t>
        </is>
      </c>
      <c r="B18486" s="4" t="n">
        <v>45323</v>
      </c>
      <c r="C18486" s="3" t="inlineStr">
        <is>
          <t>Liabilities</t>
        </is>
      </c>
      <c r="D18486" s="3" t="inlineStr">
        <is>
          <t>5501/001</t>
        </is>
      </c>
      <c r="E18486" s="3" t="inlineStr">
        <is>
          <t>Loan - Endulini CIP Costs</t>
        </is>
      </c>
      <c r="F18486" s="3" t="n">
        <v>0</v>
      </c>
      <c r="G18486" s="3" t="n">
        <v>5714194.87</v>
      </c>
    </row>
    <row r="18487">
      <c r="A18487" s="3" t="inlineStr">
        <is>
          <t>Quinate Consulting (Pty) Ltd</t>
        </is>
      </c>
      <c r="B18487" s="4" t="n">
        <v>45323</v>
      </c>
      <c r="C18487" s="3" t="inlineStr">
        <is>
          <t>Liabilities</t>
        </is>
      </c>
      <c r="D18487" s="3" t="inlineStr">
        <is>
          <t>5501/002</t>
        </is>
      </c>
      <c r="E18487" s="3" t="inlineStr">
        <is>
          <t>Loan - Purple Block</t>
        </is>
      </c>
      <c r="F18487" s="3" t="n">
        <v>0</v>
      </c>
      <c r="G18487" s="3" t="n">
        <v>171148.82</v>
      </c>
    </row>
    <row r="18488">
      <c r="A18488" s="3" t="inlineStr">
        <is>
          <t>Noble Shield (Pty) Ltd ta Go Letting</t>
        </is>
      </c>
      <c r="B18488" s="4" t="n">
        <v>45323</v>
      </c>
      <c r="C18488" s="3" t="inlineStr">
        <is>
          <t>Assets</t>
        </is>
      </c>
      <c r="D18488" s="3" t="inlineStr">
        <is>
          <t>6250/010</t>
        </is>
      </c>
      <c r="E18488" s="3" t="inlineStr">
        <is>
          <t>Computer Equipment - @ Cost</t>
        </is>
      </c>
      <c r="F18488" s="3" t="n">
        <v>0</v>
      </c>
      <c r="G18488" s="3" t="n">
        <v>20397</v>
      </c>
    </row>
    <row r="18489">
      <c r="A18489" s="3" t="inlineStr">
        <is>
          <t>Opportunity Global Investment (PTY) LTD</t>
        </is>
      </c>
      <c r="B18489" s="4" t="n">
        <v>45323</v>
      </c>
      <c r="C18489" s="3" t="inlineStr">
        <is>
          <t>Assets</t>
        </is>
      </c>
      <c r="D18489" s="3" t="inlineStr">
        <is>
          <t>6250/010</t>
        </is>
      </c>
      <c r="E18489" s="3" t="inlineStr">
        <is>
          <t>Computer Equipment - @ Cost</t>
        </is>
      </c>
      <c r="F18489" s="3" t="n">
        <v>0</v>
      </c>
      <c r="G18489" s="3" t="n">
        <v>31683.04</v>
      </c>
    </row>
    <row r="18490">
      <c r="A18490" s="3" t="inlineStr">
        <is>
          <t>Opportunity Management Holdings (PTY) LTD</t>
        </is>
      </c>
      <c r="B18490" s="4" t="n">
        <v>45323</v>
      </c>
      <c r="C18490" s="3" t="inlineStr">
        <is>
          <t>Assets</t>
        </is>
      </c>
      <c r="D18490" s="3" t="inlineStr">
        <is>
          <t>6250/010</t>
        </is>
      </c>
      <c r="E18490" s="3" t="inlineStr">
        <is>
          <t>Computer Equipment - @ Cost</t>
        </is>
      </c>
      <c r="F18490" s="3" t="n">
        <v>0</v>
      </c>
      <c r="G18490" s="3" t="n">
        <v>52177.85</v>
      </c>
    </row>
    <row r="18491">
      <c r="A18491" s="3" t="inlineStr">
        <is>
          <t>Quinate Consulting (Pty) Ltd</t>
        </is>
      </c>
      <c r="B18491" s="4" t="n">
        <v>45323</v>
      </c>
      <c r="C18491" s="3" t="inlineStr">
        <is>
          <t>Assets</t>
        </is>
      </c>
      <c r="D18491" s="3" t="inlineStr">
        <is>
          <t>6250/010</t>
        </is>
      </c>
      <c r="E18491" s="3" t="inlineStr">
        <is>
          <t>Computer Equipment - @ Cost</t>
        </is>
      </c>
      <c r="F18491" s="3" t="n">
        <v>0</v>
      </c>
      <c r="G18491" s="3" t="n">
        <v>137059.7</v>
      </c>
    </row>
    <row r="18492">
      <c r="A18492" s="3" t="inlineStr">
        <is>
          <t>Noble Shield (Pty) Ltd ta Go Letting</t>
        </is>
      </c>
      <c r="B18492" s="4" t="n">
        <v>45323</v>
      </c>
      <c r="C18492" s="3" t="inlineStr">
        <is>
          <t>Assets</t>
        </is>
      </c>
      <c r="D18492" s="3" t="inlineStr">
        <is>
          <t>6250/020</t>
        </is>
      </c>
      <c r="E18492" s="3" t="inlineStr">
        <is>
          <t>Computer Equipment - Accum Depre</t>
        </is>
      </c>
      <c r="F18492" s="3" t="n">
        <v>0</v>
      </c>
      <c r="G18492" s="3" t="n">
        <v>-12040.89</v>
      </c>
    </row>
    <row r="18493">
      <c r="A18493" s="3" t="inlineStr">
        <is>
          <t>Opportunity Global Investment (PTY) LTD</t>
        </is>
      </c>
      <c r="B18493" s="4" t="n">
        <v>45323</v>
      </c>
      <c r="C18493" s="3" t="inlineStr">
        <is>
          <t>Assets</t>
        </is>
      </c>
      <c r="D18493" s="3" t="inlineStr">
        <is>
          <t>6250/020</t>
        </is>
      </c>
      <c r="E18493" s="3" t="inlineStr">
        <is>
          <t>Computer Equipment - Accum Depre</t>
        </is>
      </c>
      <c r="F18493" s="3" t="n">
        <v>0</v>
      </c>
      <c r="G18493" s="3" t="n">
        <v>-11441.1</v>
      </c>
    </row>
    <row r="18494">
      <c r="A18494" s="3" t="inlineStr">
        <is>
          <t>Opportunity Management Holdings (PTY) LTD</t>
        </is>
      </c>
      <c r="B18494" s="4" t="n">
        <v>45323</v>
      </c>
      <c r="C18494" s="3" t="inlineStr">
        <is>
          <t>Assets</t>
        </is>
      </c>
      <c r="D18494" s="3" t="inlineStr">
        <is>
          <t>6250/020</t>
        </is>
      </c>
      <c r="E18494" s="3" t="inlineStr">
        <is>
          <t>Computer Equipment - Accum Depre</t>
        </is>
      </c>
      <c r="F18494" s="3" t="n">
        <v>0</v>
      </c>
      <c r="G18494" s="3" t="n">
        <v>-16996.17</v>
      </c>
    </row>
    <row r="18495">
      <c r="A18495" s="3" t="inlineStr">
        <is>
          <t>Quinate Consulting (Pty) Ltd</t>
        </is>
      </c>
      <c r="B18495" s="4" t="n">
        <v>45323</v>
      </c>
      <c r="C18495" s="3" t="inlineStr">
        <is>
          <t>Assets</t>
        </is>
      </c>
      <c r="D18495" s="3" t="inlineStr">
        <is>
          <t>6250/020</t>
        </is>
      </c>
      <c r="E18495" s="3" t="inlineStr">
        <is>
          <t>Computer Equipment - Accum Depre</t>
        </is>
      </c>
      <c r="F18495" s="3" t="n">
        <v>0</v>
      </c>
      <c r="G18495" s="3" t="n">
        <v>-123210.96</v>
      </c>
    </row>
    <row r="18496">
      <c r="A18496" s="3" t="inlineStr">
        <is>
          <t>Opportunity Management Holdings (PTY) LTD</t>
        </is>
      </c>
      <c r="B18496" s="4" t="n">
        <v>45323</v>
      </c>
      <c r="C18496" s="3" t="inlineStr">
        <is>
          <t>Assets</t>
        </is>
      </c>
      <c r="D18496" s="3" t="inlineStr">
        <is>
          <t>6250/030</t>
        </is>
      </c>
      <c r="E18496" s="3" t="inlineStr">
        <is>
          <t>Acc Depreciation - Computer Equipment</t>
        </is>
      </c>
      <c r="F18496" s="3" t="n">
        <v>0</v>
      </c>
      <c r="G18496" s="3" t="n">
        <v>-9441.25</v>
      </c>
    </row>
    <row r="18497">
      <c r="A18497" s="3" t="inlineStr">
        <is>
          <t>Quinate Consulting (Pty) Ltd</t>
        </is>
      </c>
      <c r="B18497" s="4" t="n">
        <v>45323</v>
      </c>
      <c r="C18497" s="3" t="inlineStr">
        <is>
          <t>Assets</t>
        </is>
      </c>
      <c r="D18497" s="3" t="inlineStr">
        <is>
          <t>6270/010</t>
        </is>
      </c>
      <c r="E18497" s="3" t="inlineStr">
        <is>
          <t>Site Containers - @ Cost</t>
        </is>
      </c>
      <c r="F18497" s="3" t="n">
        <v>0</v>
      </c>
      <c r="G18497" s="3" t="n">
        <v>19130.44</v>
      </c>
    </row>
    <row r="18498">
      <c r="A18498" s="3" t="inlineStr">
        <is>
          <t>Quinate Consulting (Pty) Ltd</t>
        </is>
      </c>
      <c r="B18498" s="4" t="n">
        <v>45323</v>
      </c>
      <c r="C18498" s="3" t="inlineStr">
        <is>
          <t>Assets</t>
        </is>
      </c>
      <c r="D18498" s="3" t="inlineStr">
        <is>
          <t>6270/020</t>
        </is>
      </c>
      <c r="E18498" s="3" t="inlineStr">
        <is>
          <t>Site Containers - Accum Depre</t>
        </is>
      </c>
      <c r="F18498" s="3" t="n">
        <v>0</v>
      </c>
      <c r="G18498" s="3" t="n">
        <v>-11159.42</v>
      </c>
    </row>
    <row r="18499">
      <c r="A18499" s="3" t="inlineStr">
        <is>
          <t>Noble Shield (Pty) Ltd ta Go Letting</t>
        </is>
      </c>
      <c r="B18499" s="4" t="n">
        <v>45323</v>
      </c>
      <c r="C18499" s="3" t="inlineStr">
        <is>
          <t>Assets</t>
        </is>
      </c>
      <c r="D18499" s="3" t="inlineStr">
        <is>
          <t>6350/010</t>
        </is>
      </c>
      <c r="E18499" s="3" t="inlineStr">
        <is>
          <t>Furniture _AND_ Fittings - @ Cost</t>
        </is>
      </c>
      <c r="F18499" s="3" t="n">
        <v>0</v>
      </c>
      <c r="G18499" s="3" t="n">
        <v>2242</v>
      </c>
    </row>
    <row r="18500">
      <c r="A18500" s="3" t="inlineStr">
        <is>
          <t>Opportunity Global Sales (PTY) LTD</t>
        </is>
      </c>
      <c r="B18500" s="4" t="n">
        <v>45323</v>
      </c>
      <c r="C18500" s="3" t="inlineStr">
        <is>
          <t>Assets</t>
        </is>
      </c>
      <c r="D18500" s="3" t="inlineStr">
        <is>
          <t>6350/010</t>
        </is>
      </c>
      <c r="E18500" s="3" t="inlineStr">
        <is>
          <t>Furniture _AND_ Fittings - @ Cost</t>
        </is>
      </c>
      <c r="F18500" s="3" t="n">
        <v>0</v>
      </c>
      <c r="G18500" s="3" t="n">
        <v>29379.7</v>
      </c>
    </row>
    <row r="18501">
      <c r="A18501" s="3" t="inlineStr">
        <is>
          <t>Noble Shield (Pty) Ltd ta Go Letting</t>
        </is>
      </c>
      <c r="B18501" s="4" t="n">
        <v>45323</v>
      </c>
      <c r="C18501" s="3" t="inlineStr">
        <is>
          <t>Assets</t>
        </is>
      </c>
      <c r="D18501" s="3" t="inlineStr">
        <is>
          <t>6350/020</t>
        </is>
      </c>
      <c r="E18501" s="3" t="inlineStr">
        <is>
          <t>Furniture _AND_ Fittings - Accum Depre</t>
        </is>
      </c>
      <c r="F18501" s="3" t="n">
        <v>0</v>
      </c>
      <c r="G18501" s="3" t="n">
        <v>-2239</v>
      </c>
    </row>
    <row r="18502">
      <c r="A18502" s="3" t="inlineStr">
        <is>
          <t>Opportunity Global Sales (PTY) LTD</t>
        </is>
      </c>
      <c r="B18502" s="4" t="n">
        <v>45323</v>
      </c>
      <c r="C18502" s="3" t="inlineStr">
        <is>
          <t>Assets</t>
        </is>
      </c>
      <c r="D18502" s="3" t="inlineStr">
        <is>
          <t>6350/020</t>
        </is>
      </c>
      <c r="E18502" s="3" t="inlineStr">
        <is>
          <t>Furniture _AND_ Fittings - Accum Depre</t>
        </is>
      </c>
      <c r="F18502" s="3" t="n">
        <v>0</v>
      </c>
      <c r="G18502" s="3" t="n">
        <v>-7752.98</v>
      </c>
    </row>
    <row r="18503">
      <c r="A18503" s="3" t="inlineStr">
        <is>
          <t>Opportunity Management Holdings (PTY) LTD</t>
        </is>
      </c>
      <c r="B18503" s="4" t="n">
        <v>45323</v>
      </c>
      <c r="C18503" s="3" t="inlineStr">
        <is>
          <t>Liabilities</t>
        </is>
      </c>
      <c r="D18503" s="3" t="inlineStr">
        <is>
          <t>6500/000</t>
        </is>
      </c>
      <c r="E18503" s="3" t="inlineStr">
        <is>
          <t>Deposits - Held</t>
        </is>
      </c>
      <c r="F18503" s="3" t="n">
        <v>0</v>
      </c>
      <c r="G18503" s="3" t="n">
        <v>-12028.1</v>
      </c>
    </row>
    <row r="18504">
      <c r="A18504" s="3" t="inlineStr">
        <is>
          <t>Opportunity Management Holdings (PTY) LTD</t>
        </is>
      </c>
      <c r="B18504" s="4" t="n">
        <v>45323</v>
      </c>
      <c r="C18504" s="3" t="inlineStr">
        <is>
          <t>Liabilities</t>
        </is>
      </c>
      <c r="D18504" s="3" t="inlineStr">
        <is>
          <t>6510/000</t>
        </is>
      </c>
      <c r="E18504" s="3" t="inlineStr">
        <is>
          <t>Deposits Paid - Anicol Properties</t>
        </is>
      </c>
      <c r="F18504" s="3" t="n">
        <v>0</v>
      </c>
      <c r="G18504" s="3" t="n">
        <v>13755</v>
      </c>
    </row>
    <row r="18505">
      <c r="A18505" s="3" t="inlineStr">
        <is>
          <t>Opportunity Management Holdings (PTY) LTD</t>
        </is>
      </c>
      <c r="B18505" s="4" t="n">
        <v>45323</v>
      </c>
      <c r="C18505" s="3" t="inlineStr">
        <is>
          <t>Liabilities</t>
        </is>
      </c>
      <c r="D18505" s="3" t="inlineStr">
        <is>
          <t>6515/000</t>
        </is>
      </c>
      <c r="E18505" s="3" t="inlineStr">
        <is>
          <t>Deposits Paid</t>
        </is>
      </c>
      <c r="F18505" s="3" t="n">
        <v>0</v>
      </c>
      <c r="G18505" s="3" t="n">
        <v>3852.5</v>
      </c>
    </row>
    <row r="18506">
      <c r="A18506" s="3" t="inlineStr">
        <is>
          <t>Quinate Consulting (Pty) Ltd</t>
        </is>
      </c>
      <c r="B18506" s="4" t="n">
        <v>45323</v>
      </c>
      <c r="C18506" s="3" t="inlineStr">
        <is>
          <t>Assets</t>
        </is>
      </c>
      <c r="D18506" s="3" t="inlineStr">
        <is>
          <t>6600/010</t>
        </is>
      </c>
      <c r="E18506" s="3" t="inlineStr">
        <is>
          <t>Other Fixed Assets - @ Cost</t>
        </is>
      </c>
      <c r="F18506" s="3" t="n">
        <v>0</v>
      </c>
      <c r="G18506" s="3" t="n">
        <v>14442.5</v>
      </c>
    </row>
    <row r="18507">
      <c r="A18507" s="3" t="inlineStr">
        <is>
          <t>Quinate Consulting (Pty) Ltd</t>
        </is>
      </c>
      <c r="B18507" s="4" t="n">
        <v>45323</v>
      </c>
      <c r="C18507" s="3" t="inlineStr">
        <is>
          <t>Assets</t>
        </is>
      </c>
      <c r="D18507" s="3" t="inlineStr">
        <is>
          <t>6600/020</t>
        </is>
      </c>
      <c r="E18507" s="3" t="inlineStr">
        <is>
          <t>Other Fixed Assets - Accum Depre</t>
        </is>
      </c>
      <c r="F18507" s="3" t="n">
        <v>0</v>
      </c>
      <c r="G18507" s="3" t="n">
        <v>-14441.5</v>
      </c>
    </row>
    <row r="18508">
      <c r="A18508" s="3" t="inlineStr">
        <is>
          <t>Noble Shield (Pty) Ltd ta Go Letting</t>
        </is>
      </c>
      <c r="B18508" s="4" t="n">
        <v>45323</v>
      </c>
      <c r="C18508" s="3" t="inlineStr">
        <is>
          <t>Assets</t>
        </is>
      </c>
      <c r="D18508" s="3" t="inlineStr">
        <is>
          <t>7000/100</t>
        </is>
      </c>
      <c r="E18508" s="3" t="inlineStr">
        <is>
          <t>Goodwill - Purchase of Go Letting</t>
        </is>
      </c>
      <c r="F18508" s="3" t="n">
        <v>0</v>
      </c>
      <c r="G18508" s="3" t="n">
        <v>106580</v>
      </c>
    </row>
    <row r="18509">
      <c r="A18509" s="3" t="inlineStr">
        <is>
          <t>Opportunity Management Holdings (PTY) LTD</t>
        </is>
      </c>
      <c r="B18509" s="4" t="n">
        <v>45323</v>
      </c>
      <c r="C18509" s="3" t="inlineStr">
        <is>
          <t>Assets</t>
        </is>
      </c>
      <c r="D18509" s="3" t="inlineStr">
        <is>
          <t>7200/000</t>
        </is>
      </c>
      <c r="E18509" s="3" t="inlineStr">
        <is>
          <t>Shares in Subsidiary Companies</t>
        </is>
      </c>
      <c r="F18509" s="3" t="n">
        <v>0</v>
      </c>
      <c r="G18509" s="3" t="n">
        <v>120</v>
      </c>
    </row>
    <row r="18510">
      <c r="A18510" s="3" t="inlineStr">
        <is>
          <t>Endulini (Pty) Ltd</t>
        </is>
      </c>
      <c r="B18510" s="4" t="n">
        <v>45323</v>
      </c>
      <c r="C18510" s="3" t="inlineStr">
        <is>
          <t>Assets</t>
        </is>
      </c>
      <c r="D18510" s="3" t="inlineStr">
        <is>
          <t>7610/100</t>
        </is>
      </c>
      <c r="E18510" s="3" t="inlineStr">
        <is>
          <t>Endulini Land</t>
        </is>
      </c>
      <c r="F18510" s="3" t="n">
        <v>0</v>
      </c>
      <c r="G18510" s="3" t="n">
        <v>10572851.37</v>
      </c>
    </row>
    <row r="18511">
      <c r="A18511" s="3" t="inlineStr">
        <is>
          <t>Endulini (Pty) Ltd</t>
        </is>
      </c>
      <c r="B18511" s="4" t="n">
        <v>45323</v>
      </c>
      <c r="C18511" s="3" t="inlineStr">
        <is>
          <t>Assets</t>
        </is>
      </c>
      <c r="D18511" s="3" t="inlineStr">
        <is>
          <t>7610/111</t>
        </is>
      </c>
      <c r="E18511" s="3" t="inlineStr">
        <is>
          <t>Endulini Closing Stock February 2021</t>
        </is>
      </c>
      <c r="F18511" s="3" t="n">
        <v>0</v>
      </c>
      <c r="G18511" s="3" t="n">
        <v>14368610.11</v>
      </c>
    </row>
    <row r="18512">
      <c r="A18512" s="3" t="inlineStr">
        <is>
          <t>Endulini (Pty) Ltd</t>
        </is>
      </c>
      <c r="B18512" s="4" t="n">
        <v>45323</v>
      </c>
      <c r="C18512" s="3" t="inlineStr">
        <is>
          <t>Assets</t>
        </is>
      </c>
      <c r="D18512" s="3" t="inlineStr">
        <is>
          <t>7610/180</t>
        </is>
      </c>
      <c r="E18512" s="3" t="inlineStr">
        <is>
          <t>Endulini CIP Architects</t>
        </is>
      </c>
      <c r="F18512" s="3" t="n">
        <v>0</v>
      </c>
      <c r="G18512" s="3" t="n">
        <v>1292111.71</v>
      </c>
    </row>
    <row r="18513">
      <c r="A18513" s="3" t="inlineStr">
        <is>
          <t>Endulini (Pty) Ltd</t>
        </is>
      </c>
      <c r="B18513" s="4" t="n">
        <v>45323</v>
      </c>
      <c r="C18513" s="3" t="inlineStr">
        <is>
          <t>Assets</t>
        </is>
      </c>
      <c r="D18513" s="3" t="inlineStr">
        <is>
          <t>7610/200</t>
        </is>
      </c>
      <c r="E18513" s="3" t="inlineStr">
        <is>
          <t>Endulini CIP CoCT Land Use App</t>
        </is>
      </c>
      <c r="F18513" s="3" t="n">
        <v>0</v>
      </c>
      <c r="G18513" s="3" t="n">
        <v>232891.06</v>
      </c>
    </row>
    <row r="18514">
      <c r="A18514" s="3" t="inlineStr">
        <is>
          <t>Endulini (Pty) Ltd</t>
        </is>
      </c>
      <c r="B18514" s="4" t="n">
        <v>45323</v>
      </c>
      <c r="C18514" s="3" t="inlineStr">
        <is>
          <t>Assets</t>
        </is>
      </c>
      <c r="D18514" s="3" t="inlineStr">
        <is>
          <t>7610/205</t>
        </is>
      </c>
      <c r="E18514" s="3" t="inlineStr">
        <is>
          <t>Endulini CIP Site Establishments</t>
        </is>
      </c>
      <c r="F18514" s="3" t="n">
        <v>0</v>
      </c>
      <c r="G18514" s="3" t="n">
        <v>32428975.01</v>
      </c>
    </row>
    <row r="18515">
      <c r="A18515" s="3" t="inlineStr">
        <is>
          <t>Endulini (Pty) Ltd</t>
        </is>
      </c>
      <c r="B18515" s="4" t="n">
        <v>45323</v>
      </c>
      <c r="C18515" s="3" t="inlineStr">
        <is>
          <t>Assets</t>
        </is>
      </c>
      <c r="D18515" s="3" t="inlineStr">
        <is>
          <t>7610/209</t>
        </is>
      </c>
      <c r="E18515" s="3" t="inlineStr">
        <is>
          <t>Endulini CIP Construction Management</t>
        </is>
      </c>
      <c r="F18515" s="3" t="n">
        <v>0</v>
      </c>
      <c r="G18515" s="3" t="n">
        <v>223375</v>
      </c>
    </row>
    <row r="18516">
      <c r="A18516" s="3" t="inlineStr">
        <is>
          <t>Endulini (Pty) Ltd</t>
        </is>
      </c>
      <c r="B18516" s="4" t="n">
        <v>45323</v>
      </c>
      <c r="C18516" s="3" t="inlineStr">
        <is>
          <t>Assets</t>
        </is>
      </c>
      <c r="D18516" s="3" t="inlineStr">
        <is>
          <t>7610/210</t>
        </is>
      </c>
      <c r="E18516" s="3" t="inlineStr">
        <is>
          <t>Endulini CIP Civil Works</t>
        </is>
      </c>
      <c r="F18516" s="3" t="n">
        <v>0</v>
      </c>
      <c r="G18516" s="3" t="n">
        <v>6295702.14</v>
      </c>
    </row>
    <row r="18517">
      <c r="A18517" s="3" t="inlineStr">
        <is>
          <t>Endulini (Pty) Ltd</t>
        </is>
      </c>
      <c r="B18517" s="4" t="n">
        <v>45323</v>
      </c>
      <c r="C18517" s="3" t="inlineStr">
        <is>
          <t>Assets</t>
        </is>
      </c>
      <c r="D18517" s="3" t="inlineStr">
        <is>
          <t>7610/215</t>
        </is>
      </c>
      <c r="E18517" s="3" t="inlineStr">
        <is>
          <t>Endulini CIP Civil Engineers</t>
        </is>
      </c>
      <c r="F18517" s="3" t="n">
        <v>0</v>
      </c>
      <c r="G18517" s="3" t="n">
        <v>183000</v>
      </c>
    </row>
    <row r="18518">
      <c r="A18518" s="3" t="inlineStr">
        <is>
          <t>Endulini (Pty) Ltd</t>
        </is>
      </c>
      <c r="B18518" s="4" t="n">
        <v>45323</v>
      </c>
      <c r="C18518" s="3" t="inlineStr">
        <is>
          <t>Assets</t>
        </is>
      </c>
      <c r="D18518" s="3" t="inlineStr">
        <is>
          <t>7610/220</t>
        </is>
      </c>
      <c r="E18518" s="3" t="inlineStr">
        <is>
          <t>Endulini CIP Structuring Project Fee Opp Invest</t>
        </is>
      </c>
      <c r="F18518" s="3" t="n">
        <v>0</v>
      </c>
      <c r="G18518" s="3" t="n">
        <v>483735.96</v>
      </c>
    </row>
    <row r="18519">
      <c r="A18519" s="3" t="inlineStr">
        <is>
          <t>Endulini (Pty) Ltd</t>
        </is>
      </c>
      <c r="B18519" s="4" t="n">
        <v>45323</v>
      </c>
      <c r="C18519" s="3" t="inlineStr">
        <is>
          <t>Assets</t>
        </is>
      </c>
      <c r="D18519" s="3" t="inlineStr">
        <is>
          <t>7610/225</t>
        </is>
      </c>
      <c r="E18519" s="3" t="inlineStr">
        <is>
          <t>Endulini CIP Structural engineering fee</t>
        </is>
      </c>
      <c r="F18519" s="3" t="n">
        <v>0</v>
      </c>
      <c r="G18519" s="3" t="n">
        <v>288645.08</v>
      </c>
    </row>
    <row r="18520">
      <c r="A18520" s="3" t="inlineStr">
        <is>
          <t>Endulini (Pty) Ltd</t>
        </is>
      </c>
      <c r="B18520" s="4" t="n">
        <v>45323</v>
      </c>
      <c r="C18520" s="3" t="inlineStr">
        <is>
          <t>Assets</t>
        </is>
      </c>
      <c r="D18520" s="3" t="inlineStr">
        <is>
          <t>7610/230</t>
        </is>
      </c>
      <c r="E18520" s="3" t="inlineStr">
        <is>
          <t>Endulini CIP Mechanical Engineering</t>
        </is>
      </c>
      <c r="F18520" s="3" t="n">
        <v>0</v>
      </c>
      <c r="G18520" s="3" t="n">
        <v>15570</v>
      </c>
    </row>
    <row r="18521">
      <c r="A18521" s="3" t="inlineStr">
        <is>
          <t>Endulini (Pty) Ltd</t>
        </is>
      </c>
      <c r="B18521" s="4" t="n">
        <v>45323</v>
      </c>
      <c r="C18521" s="3" t="inlineStr">
        <is>
          <t>Assets</t>
        </is>
      </c>
      <c r="D18521" s="3" t="inlineStr">
        <is>
          <t>7610/235</t>
        </is>
      </c>
      <c r="E18521" s="3" t="inlineStr">
        <is>
          <t>Endulini CIP Electrical Installation</t>
        </is>
      </c>
      <c r="F18521" s="3" t="n">
        <v>0</v>
      </c>
      <c r="G18521" s="3" t="n">
        <v>1034019.08</v>
      </c>
    </row>
    <row r="18522">
      <c r="A18522" s="3" t="inlineStr">
        <is>
          <t>Endulini (Pty) Ltd</t>
        </is>
      </c>
      <c r="B18522" s="4" t="n">
        <v>45323</v>
      </c>
      <c r="C18522" s="3" t="inlineStr">
        <is>
          <t>Assets</t>
        </is>
      </c>
      <c r="D18522" s="3" t="inlineStr">
        <is>
          <t>7610/250</t>
        </is>
      </c>
      <c r="E18522" s="3" t="inlineStr">
        <is>
          <t>Endulini CIP Boundary Wall</t>
        </is>
      </c>
      <c r="F18522" s="3" t="n">
        <v>0</v>
      </c>
      <c r="G18522" s="3" t="n">
        <v>88400.8</v>
      </c>
    </row>
    <row r="18523">
      <c r="A18523" s="3" t="inlineStr">
        <is>
          <t>Endulini (Pty) Ltd</t>
        </is>
      </c>
      <c r="B18523" s="4" t="n">
        <v>45323</v>
      </c>
      <c r="C18523" s="3" t="inlineStr">
        <is>
          <t>Assets</t>
        </is>
      </c>
      <c r="D18523" s="3" t="inlineStr">
        <is>
          <t>7610/290</t>
        </is>
      </c>
      <c r="E18523" s="3" t="inlineStr">
        <is>
          <t>Endulini CIP Development Management Fees</t>
        </is>
      </c>
      <c r="F18523" s="3" t="n">
        <v>0</v>
      </c>
      <c r="G18523" s="3" t="n">
        <v>665322.71</v>
      </c>
    </row>
    <row r="18524">
      <c r="A18524" s="3" t="inlineStr">
        <is>
          <t>Endulini (Pty) Ltd</t>
        </is>
      </c>
      <c r="B18524" s="4" t="n">
        <v>45323</v>
      </c>
      <c r="C18524" s="3" t="inlineStr">
        <is>
          <t>Assets</t>
        </is>
      </c>
      <c r="D18524" s="3" t="inlineStr">
        <is>
          <t>7610/310</t>
        </is>
      </c>
      <c r="E18524" s="3" t="inlineStr">
        <is>
          <t>Endulini CIP Enviromental consultants</t>
        </is>
      </c>
      <c r="F18524" s="3" t="n">
        <v>0</v>
      </c>
      <c r="G18524" s="3" t="n">
        <v>115730</v>
      </c>
    </row>
    <row r="18525">
      <c r="A18525" s="3" t="inlineStr">
        <is>
          <t>Endulini (Pty) Ltd</t>
        </is>
      </c>
      <c r="B18525" s="4" t="n">
        <v>45323</v>
      </c>
      <c r="C18525" s="3" t="inlineStr">
        <is>
          <t>Assets</t>
        </is>
      </c>
      <c r="D18525" s="3" t="inlineStr">
        <is>
          <t>7610/320</t>
        </is>
      </c>
      <c r="E18525" s="3" t="inlineStr">
        <is>
          <t>Endulini CIP Geotechnical</t>
        </is>
      </c>
      <c r="F18525" s="3" t="n">
        <v>0</v>
      </c>
      <c r="G18525" s="3" t="n">
        <v>13575</v>
      </c>
    </row>
    <row r="18526">
      <c r="A18526" s="3" t="inlineStr">
        <is>
          <t>Endulini (Pty) Ltd</t>
        </is>
      </c>
      <c r="B18526" s="4" t="n">
        <v>45323</v>
      </c>
      <c r="C18526" s="3" t="inlineStr">
        <is>
          <t>Assets</t>
        </is>
      </c>
      <c r="D18526" s="3" t="inlineStr">
        <is>
          <t>7610/330</t>
        </is>
      </c>
      <c r="E18526" s="3" t="inlineStr">
        <is>
          <t>Endulini CIP Health and Safety</t>
        </is>
      </c>
      <c r="F18526" s="3" t="n">
        <v>0</v>
      </c>
      <c r="G18526" s="3" t="n">
        <v>40200</v>
      </c>
    </row>
    <row r="18527">
      <c r="A18527" s="3" t="inlineStr">
        <is>
          <t>Endulini (Pty) Ltd</t>
        </is>
      </c>
      <c r="B18527" s="4" t="n">
        <v>45323</v>
      </c>
      <c r="C18527" s="3" t="inlineStr">
        <is>
          <t>Assets</t>
        </is>
      </c>
      <c r="D18527" s="3" t="inlineStr">
        <is>
          <t>7610/390</t>
        </is>
      </c>
      <c r="E18527" s="3" t="inlineStr">
        <is>
          <t>Endulini CIP Land Surveyor</t>
        </is>
      </c>
      <c r="F18527" s="3" t="n">
        <v>0</v>
      </c>
      <c r="G18527" s="3" t="n">
        <v>186021.2</v>
      </c>
    </row>
    <row r="18528">
      <c r="A18528" s="3" t="inlineStr">
        <is>
          <t>Endulini (Pty) Ltd</t>
        </is>
      </c>
      <c r="B18528" s="4" t="n">
        <v>45323</v>
      </c>
      <c r="C18528" s="3" t="inlineStr">
        <is>
          <t>Assets</t>
        </is>
      </c>
      <c r="D18528" s="3" t="inlineStr">
        <is>
          <t>7610/392</t>
        </is>
      </c>
      <c r="E18528" s="3" t="inlineStr">
        <is>
          <t>Endulini CIP Landscaping</t>
        </is>
      </c>
      <c r="F18528" s="3" t="n">
        <v>0</v>
      </c>
      <c r="G18528" s="3" t="n">
        <v>6100</v>
      </c>
    </row>
    <row r="18529">
      <c r="A18529" s="3" t="inlineStr">
        <is>
          <t>Endulini (Pty) Ltd</t>
        </is>
      </c>
      <c r="B18529" s="4" t="n">
        <v>45323</v>
      </c>
      <c r="C18529" s="3" t="inlineStr">
        <is>
          <t>Assets</t>
        </is>
      </c>
      <c r="D18529" s="3" t="inlineStr">
        <is>
          <t>7610/395</t>
        </is>
      </c>
      <c r="E18529" s="3" t="inlineStr">
        <is>
          <t>Endulini CIP NHBRC</t>
        </is>
      </c>
      <c r="F18529" s="3" t="n">
        <v>0</v>
      </c>
      <c r="G18529" s="3" t="n">
        <v>928847.49</v>
      </c>
    </row>
    <row r="18530">
      <c r="A18530" s="3" t="inlineStr">
        <is>
          <t>Endulini (Pty) Ltd</t>
        </is>
      </c>
      <c r="B18530" s="4" t="n">
        <v>45323</v>
      </c>
      <c r="C18530" s="3" t="inlineStr">
        <is>
          <t>Assets</t>
        </is>
      </c>
      <c r="D18530" s="3" t="inlineStr">
        <is>
          <t>7610/400</t>
        </is>
      </c>
      <c r="E18530" s="3" t="inlineStr">
        <is>
          <t>Endulini CIP Quantity Surveyor</t>
        </is>
      </c>
      <c r="F18530" s="3" t="n">
        <v>0</v>
      </c>
      <c r="G18530" s="3" t="n">
        <v>82136.36</v>
      </c>
    </row>
    <row r="18531">
      <c r="A18531" s="3" t="inlineStr">
        <is>
          <t>Endulini (Pty) Ltd</t>
        </is>
      </c>
      <c r="B18531" s="4" t="n">
        <v>45323</v>
      </c>
      <c r="C18531" s="3" t="inlineStr">
        <is>
          <t>Assets</t>
        </is>
      </c>
      <c r="D18531" s="3" t="inlineStr">
        <is>
          <t>7610/600</t>
        </is>
      </c>
      <c r="E18531" s="3" t="inlineStr">
        <is>
          <t>Endulini CIP Town Planning</t>
        </is>
      </c>
      <c r="F18531" s="3" t="n">
        <v>0</v>
      </c>
      <c r="G18531" s="3" t="n">
        <v>21105</v>
      </c>
    </row>
    <row r="18532">
      <c r="A18532" s="3" t="inlineStr">
        <is>
          <t>Endulini (Pty) Ltd</t>
        </is>
      </c>
      <c r="B18532" s="4" t="n">
        <v>45323</v>
      </c>
      <c r="C18532" s="3" t="inlineStr">
        <is>
          <t>Assets</t>
        </is>
      </c>
      <c r="D18532" s="3" t="inlineStr">
        <is>
          <t>7610/620</t>
        </is>
      </c>
      <c r="E18532" s="3" t="inlineStr">
        <is>
          <t>Endulini CIP Traffic Impact</t>
        </is>
      </c>
      <c r="F18532" s="3" t="n">
        <v>0</v>
      </c>
      <c r="G18532" s="3" t="n">
        <v>24915</v>
      </c>
    </row>
    <row r="18533">
      <c r="A18533" s="3" t="inlineStr">
        <is>
          <t>Endulini (Pty) Ltd</t>
        </is>
      </c>
      <c r="B18533" s="4" t="n">
        <v>45323</v>
      </c>
      <c r="C18533" s="3" t="inlineStr">
        <is>
          <t>Assets</t>
        </is>
      </c>
      <c r="D18533" s="3" t="inlineStr">
        <is>
          <t>7610/630</t>
        </is>
      </c>
      <c r="E18533" s="3" t="inlineStr">
        <is>
          <t>Endulini CIP CoCT Development Contributi</t>
        </is>
      </c>
      <c r="F18533" s="3" t="n">
        <v>0</v>
      </c>
      <c r="G18533" s="3" t="n">
        <v>661860.3100000001</v>
      </c>
    </row>
    <row r="18534">
      <c r="A18534" s="3" t="inlineStr">
        <is>
          <t>Endulini (Pty) Ltd</t>
        </is>
      </c>
      <c r="B18534" s="4" t="n">
        <v>45323</v>
      </c>
      <c r="C18534" s="3" t="inlineStr">
        <is>
          <t>Assets</t>
        </is>
      </c>
      <c r="D18534" s="3" t="inlineStr">
        <is>
          <t>7610/640</t>
        </is>
      </c>
      <c r="E18534" s="3" t="inlineStr">
        <is>
          <t>Endulini CIP CoCT Building plan application</t>
        </is>
      </c>
      <c r="F18534" s="3" t="n">
        <v>0</v>
      </c>
      <c r="G18534" s="3" t="n">
        <v>111203.22</v>
      </c>
    </row>
    <row r="18535">
      <c r="A18535" s="3" t="inlineStr">
        <is>
          <t>Endulini (Pty) Ltd</t>
        </is>
      </c>
      <c r="B18535" s="4" t="n">
        <v>45323</v>
      </c>
      <c r="C18535" s="3" t="inlineStr">
        <is>
          <t>Assets</t>
        </is>
      </c>
      <c r="D18535" s="3" t="inlineStr">
        <is>
          <t>7610/900</t>
        </is>
      </c>
      <c r="E18535" s="3" t="inlineStr">
        <is>
          <t>Endulini CIP Cost of Sales</t>
        </is>
      </c>
      <c r="F18535" s="3" t="n">
        <v>0</v>
      </c>
      <c r="G18535" s="3" t="n">
        <v>-28210981.9</v>
      </c>
    </row>
    <row r="18536">
      <c r="A18536" s="3" t="inlineStr">
        <is>
          <t>Quinate Consulting (Pty) Ltd</t>
        </is>
      </c>
      <c r="B18536" s="4" t="n">
        <v>45323</v>
      </c>
      <c r="C18536" s="3" t="inlineStr">
        <is>
          <t>Assets</t>
        </is>
      </c>
      <c r="D18536" s="3" t="inlineStr">
        <is>
          <t>7800/104</t>
        </is>
      </c>
      <c r="E18536" s="3" t="inlineStr">
        <is>
          <t>Stock - Closing Stock SW - 28 Feb 21</t>
        </is>
      </c>
      <c r="F18536" s="3" t="n">
        <v>0</v>
      </c>
      <c r="G18536" s="3" t="n">
        <v>2874478.88</v>
      </c>
    </row>
    <row r="18537">
      <c r="A18537" s="3" t="inlineStr">
        <is>
          <t>Quinate Consulting (Pty) Ltd</t>
        </is>
      </c>
      <c r="B18537" s="4" t="n">
        <v>45323</v>
      </c>
      <c r="C18537" s="3" t="inlineStr">
        <is>
          <t>Assets</t>
        </is>
      </c>
      <c r="D18537" s="3" t="inlineStr">
        <is>
          <t>7800/105</t>
        </is>
      </c>
      <c r="E18537" s="3" t="inlineStr">
        <is>
          <t>Stock - Closing Stock SH - 28 Feb 21</t>
        </is>
      </c>
      <c r="F18537" s="3" t="n">
        <v>0</v>
      </c>
      <c r="G18537" s="3" t="n">
        <v>2843477.6</v>
      </c>
    </row>
    <row r="18538">
      <c r="A18538" s="3" t="inlineStr">
        <is>
          <t>Endulini (Pty) Ltd</t>
        </is>
      </c>
      <c r="B18538" s="4" t="n">
        <v>45323</v>
      </c>
      <c r="C18538" s="3" t="inlineStr">
        <is>
          <t>Assets</t>
        </is>
      </c>
      <c r="D18538" s="3" t="inlineStr">
        <is>
          <t>8000/000</t>
        </is>
      </c>
      <c r="E18538" s="3" t="inlineStr">
        <is>
          <t>Customer Control Account</t>
        </is>
      </c>
      <c r="F18538" s="3" t="n">
        <v>0</v>
      </c>
      <c r="G18538" s="3" t="n">
        <v>335821.57</v>
      </c>
    </row>
    <row r="18539">
      <c r="A18539" s="3" t="inlineStr">
        <is>
          <t>Noble Shield (Pty) Ltd ta Go Letting</t>
        </is>
      </c>
      <c r="B18539" s="4" t="n">
        <v>45323</v>
      </c>
      <c r="C18539" s="3" t="inlineStr">
        <is>
          <t>Assets</t>
        </is>
      </c>
      <c r="D18539" s="3" t="inlineStr">
        <is>
          <t>8000/000</t>
        </is>
      </c>
      <c r="E18539" s="3" t="inlineStr">
        <is>
          <t>Customer Control Account</t>
        </is>
      </c>
      <c r="F18539" s="3" t="n">
        <v>0</v>
      </c>
      <c r="G18539" s="3" t="n">
        <v>60289.32</v>
      </c>
    </row>
    <row r="18540">
      <c r="A18540" s="3" t="inlineStr">
        <is>
          <t>Opportunity Global Investment (PTY) LTD</t>
        </is>
      </c>
      <c r="B18540" s="4" t="n">
        <v>45323</v>
      </c>
      <c r="C18540" s="3" t="inlineStr">
        <is>
          <t>Assets</t>
        </is>
      </c>
      <c r="D18540" s="3" t="inlineStr">
        <is>
          <t>8000/000</t>
        </is>
      </c>
      <c r="E18540" s="3" t="inlineStr">
        <is>
          <t>Customer Control Account</t>
        </is>
      </c>
      <c r="F18540" s="3" t="n">
        <v>0</v>
      </c>
      <c r="G18540" s="3" t="n">
        <v>15899.15</v>
      </c>
    </row>
    <row r="18541">
      <c r="A18541" s="3" t="inlineStr">
        <is>
          <t>Opportunity Global Sales (PTY) LTD</t>
        </is>
      </c>
      <c r="B18541" s="4" t="n">
        <v>45323</v>
      </c>
      <c r="C18541" s="3" t="inlineStr">
        <is>
          <t>Assets</t>
        </is>
      </c>
      <c r="D18541" s="3" t="inlineStr">
        <is>
          <t>8000/000</t>
        </is>
      </c>
      <c r="E18541" s="3" t="inlineStr">
        <is>
          <t>Customer Control Account</t>
        </is>
      </c>
      <c r="F18541" s="3" t="n">
        <v>81995</v>
      </c>
      <c r="G18541" s="3" t="n">
        <v>663493.33</v>
      </c>
    </row>
    <row r="18542">
      <c r="A18542" s="3" t="inlineStr">
        <is>
          <t>Opportunity Management Holdings (PTY) LTD</t>
        </is>
      </c>
      <c r="B18542" s="4" t="n">
        <v>45323</v>
      </c>
      <c r="C18542" s="3" t="inlineStr">
        <is>
          <t>Assets</t>
        </is>
      </c>
      <c r="D18542" s="3" t="inlineStr">
        <is>
          <t>8000/000</t>
        </is>
      </c>
      <c r="E18542" s="3" t="inlineStr">
        <is>
          <t>Customer Control Account</t>
        </is>
      </c>
      <c r="F18542" s="3" t="n">
        <v>0</v>
      </c>
      <c r="G18542" s="3" t="n">
        <v>515768.32</v>
      </c>
    </row>
    <row r="18543">
      <c r="A18543" s="3" t="inlineStr">
        <is>
          <t>Quinate Consulting (Pty) Ltd</t>
        </is>
      </c>
      <c r="B18543" s="4" t="n">
        <v>45323</v>
      </c>
      <c r="C18543" s="3" t="inlineStr">
        <is>
          <t>Assets</t>
        </is>
      </c>
      <c r="D18543" s="3" t="inlineStr">
        <is>
          <t>8000/000</t>
        </is>
      </c>
      <c r="E18543" s="3" t="inlineStr">
        <is>
          <t>Customer Control Account</t>
        </is>
      </c>
      <c r="F18543" s="3" t="n">
        <v>50995</v>
      </c>
      <c r="G18543" s="3" t="n">
        <v>115749.88</v>
      </c>
    </row>
    <row r="18544">
      <c r="A18544" s="3" t="inlineStr">
        <is>
          <t>Quinate Consulting (Pty) Ltd</t>
        </is>
      </c>
      <c r="B18544" s="4" t="n">
        <v>45323</v>
      </c>
      <c r="C18544" s="3" t="inlineStr">
        <is>
          <t>Assets</t>
        </is>
      </c>
      <c r="D18544" s="3" t="inlineStr">
        <is>
          <t>8001</t>
        </is>
      </c>
      <c r="E18544" s="3" t="inlineStr">
        <is>
          <t>Customer Control</t>
        </is>
      </c>
      <c r="F18544" s="3" t="n">
        <v>0</v>
      </c>
      <c r="G18544" s="3" t="n">
        <v>29487.49</v>
      </c>
    </row>
    <row r="18545">
      <c r="A18545" s="3" t="inlineStr">
        <is>
          <t>Quinate Consulting (Pty) Ltd</t>
        </is>
      </c>
      <c r="B18545" s="4" t="n">
        <v>45323</v>
      </c>
      <c r="C18545" s="3" t="inlineStr">
        <is>
          <t>Assets</t>
        </is>
      </c>
      <c r="D18545" s="3" t="inlineStr">
        <is>
          <t>8200/010</t>
        </is>
      </c>
      <c r="E18545" s="3" t="inlineStr">
        <is>
          <t>Prepayments / Prepaid Expenses</t>
        </is>
      </c>
      <c r="F18545" s="3" t="n">
        <v>0</v>
      </c>
      <c r="G18545" s="3" t="n">
        <v>109675</v>
      </c>
    </row>
    <row r="18546">
      <c r="A18546" s="3" t="inlineStr">
        <is>
          <t>Opportunity Management Holdings (PTY) LTD</t>
        </is>
      </c>
      <c r="B18546" s="4" t="n">
        <v>45323</v>
      </c>
      <c r="C18546" s="3" t="inlineStr">
        <is>
          <t>Assets</t>
        </is>
      </c>
      <c r="D18546" s="3" t="inlineStr">
        <is>
          <t>8200/020</t>
        </is>
      </c>
      <c r="E18546" s="3" t="inlineStr">
        <is>
          <t>Staff Loan - Nicolene Smit</t>
        </is>
      </c>
      <c r="F18546" s="3" t="n">
        <v>0</v>
      </c>
      <c r="G18546" s="3" t="n">
        <v>1500</v>
      </c>
    </row>
    <row r="18547">
      <c r="A18547" s="3" t="inlineStr">
        <is>
          <t>Opportunity Global Sales (PTY) LTD</t>
        </is>
      </c>
      <c r="B18547" s="4" t="n">
        <v>45323</v>
      </c>
      <c r="C18547" s="3" t="inlineStr">
        <is>
          <t>Assets</t>
        </is>
      </c>
      <c r="D18547" s="3" t="inlineStr">
        <is>
          <t>8300/200</t>
        </is>
      </c>
      <c r="E18547" s="3" t="inlineStr">
        <is>
          <t>Staff Loan - Mario Stoop</t>
        </is>
      </c>
      <c r="F18547" s="3" t="n">
        <v>0</v>
      </c>
      <c r="G18547" s="3" t="n">
        <v>4500</v>
      </c>
    </row>
    <row r="18548">
      <c r="A18548" s="3" t="inlineStr">
        <is>
          <t>Opportunity Global Investment (PTY) LTD</t>
        </is>
      </c>
      <c r="B18548" s="4" t="n">
        <v>45323</v>
      </c>
      <c r="C18548" s="3" t="inlineStr">
        <is>
          <t>Assets</t>
        </is>
      </c>
      <c r="D18548" s="3" t="inlineStr">
        <is>
          <t>8400/000</t>
        </is>
      </c>
      <c r="E18548" s="3" t="inlineStr">
        <is>
          <t>FNB 62093491696</t>
        </is>
      </c>
      <c r="F18548" s="3" t="n">
        <v>-1840.95</v>
      </c>
      <c r="G18548" s="3" t="n">
        <v>54726.4</v>
      </c>
    </row>
    <row r="18549">
      <c r="A18549" s="3" t="inlineStr">
        <is>
          <t>Opportunity Global Sales (PTY) LTD</t>
        </is>
      </c>
      <c r="B18549" s="4" t="n">
        <v>45323</v>
      </c>
      <c r="C18549" s="3" t="inlineStr">
        <is>
          <t>Assets</t>
        </is>
      </c>
      <c r="D18549" s="3" t="inlineStr">
        <is>
          <t>8400/000</t>
        </is>
      </c>
      <c r="E18549" s="3" t="inlineStr">
        <is>
          <t>FNB 62835620875</t>
        </is>
      </c>
      <c r="F18549" s="3" t="n">
        <v>3562.71</v>
      </c>
      <c r="G18549" s="3" t="n">
        <v>57057.64</v>
      </c>
    </row>
    <row r="18550">
      <c r="A18550" s="3" t="inlineStr">
        <is>
          <t>Quinate Consulting (Pty) Ltd</t>
        </is>
      </c>
      <c r="B18550" s="4" t="n">
        <v>45323</v>
      </c>
      <c r="C18550" s="3" t="inlineStr">
        <is>
          <t>Assets</t>
        </is>
      </c>
      <c r="D18550" s="3" t="inlineStr">
        <is>
          <t>8400/000</t>
        </is>
      </c>
      <c r="E18550" s="3" t="inlineStr">
        <is>
          <t>RMB - 62736659189 - Call Acc</t>
        </is>
      </c>
      <c r="F18550" s="3" t="n">
        <v>0</v>
      </c>
      <c r="G18550" s="3" t="n">
        <v>1296340.96</v>
      </c>
    </row>
    <row r="18551">
      <c r="A18551" s="3" t="inlineStr">
        <is>
          <t>Trademark Holdings (Pty) Ltd</t>
        </is>
      </c>
      <c r="B18551" s="4" t="n">
        <v>45323</v>
      </c>
      <c r="C18551" s="3" t="inlineStr">
        <is>
          <t>Assets</t>
        </is>
      </c>
      <c r="D18551" s="3" t="inlineStr">
        <is>
          <t>8400/000</t>
        </is>
      </c>
      <c r="E18551" s="3" t="inlineStr">
        <is>
          <t>RMB 623 693 03640</t>
        </is>
      </c>
      <c r="F18551" s="3" t="n">
        <v>3292.27</v>
      </c>
      <c r="G18551" s="3" t="n">
        <v>43309.96</v>
      </c>
    </row>
    <row r="18552">
      <c r="A18552" s="3" t="inlineStr">
        <is>
          <t>Noble Shield (Pty) Ltd ta Go Letting</t>
        </is>
      </c>
      <c r="B18552" s="4" t="n">
        <v>45323</v>
      </c>
      <c r="C18552" s="3" t="inlineStr">
        <is>
          <t>Assets</t>
        </is>
      </c>
      <c r="D18552" s="3" t="inlineStr">
        <is>
          <t>8400/000</t>
        </is>
      </c>
      <c r="E18552" s="3" t="inlineStr">
        <is>
          <t>RMB 6250 573 3833</t>
        </is>
      </c>
      <c r="F18552" s="3" t="n">
        <v>3667.98</v>
      </c>
      <c r="G18552" s="3" t="n">
        <v>48065.98</v>
      </c>
    </row>
    <row r="18553">
      <c r="A18553" s="3" t="inlineStr">
        <is>
          <t>Endulini (Pty) Ltd</t>
        </is>
      </c>
      <c r="B18553" s="4" t="n">
        <v>45323</v>
      </c>
      <c r="C18553" s="3" t="inlineStr">
        <is>
          <t>Assets</t>
        </is>
      </c>
      <c r="D18553" s="3" t="inlineStr">
        <is>
          <t>8400/000</t>
        </is>
      </c>
      <c r="E18553" s="3" t="inlineStr">
        <is>
          <t>RMB 62906944576</t>
        </is>
      </c>
      <c r="F18553" s="3" t="n">
        <v>0</v>
      </c>
      <c r="G18553" s="3" t="n">
        <v>25470.03</v>
      </c>
    </row>
    <row r="18554">
      <c r="A18554" s="3" t="inlineStr">
        <is>
          <t>Opportunity Management Holdings (PTY) LTD</t>
        </is>
      </c>
      <c r="B18554" s="4" t="n">
        <v>45323</v>
      </c>
      <c r="C18554" s="3" t="inlineStr">
        <is>
          <t>Assets</t>
        </is>
      </c>
      <c r="D18554" s="3" t="inlineStr">
        <is>
          <t>8400/000</t>
        </is>
      </c>
      <c r="E18554" s="3" t="inlineStr">
        <is>
          <t>RMB Cheq - 62312246920</t>
        </is>
      </c>
      <c r="F18554" s="3" t="n">
        <v>-8081.1</v>
      </c>
      <c r="G18554" s="3" t="n">
        <v>121921.05</v>
      </c>
    </row>
    <row r="18555">
      <c r="A18555" s="3" t="inlineStr">
        <is>
          <t>Opportunity Global Investment (PTY) LTD</t>
        </is>
      </c>
      <c r="B18555" s="4" t="n">
        <v>45323</v>
      </c>
      <c r="C18555" s="3" t="inlineStr">
        <is>
          <t>Assets</t>
        </is>
      </c>
      <c r="D18555" s="3" t="inlineStr">
        <is>
          <t>8405/000</t>
        </is>
      </c>
      <c r="E18555" s="3" t="inlineStr">
        <is>
          <t>FNB Trust 62762449265</t>
        </is>
      </c>
      <c r="F18555" s="3" t="n">
        <v>0</v>
      </c>
      <c r="G18555" s="3" t="n">
        <v>1141.1</v>
      </c>
    </row>
    <row r="18556">
      <c r="A18556" s="3" t="inlineStr">
        <is>
          <t>Endulini (Pty) Ltd</t>
        </is>
      </c>
      <c r="B18556" s="4" t="n">
        <v>45323</v>
      </c>
      <c r="C18556" s="3" t="inlineStr">
        <is>
          <t>Assets</t>
        </is>
      </c>
      <c r="D18556" s="3" t="inlineStr">
        <is>
          <t>8410/000</t>
        </is>
      </c>
      <c r="E18556" s="3" t="inlineStr">
        <is>
          <t>Momentum Investor Account : RU 502229883</t>
        </is>
      </c>
      <c r="F18556" s="3" t="n">
        <v>0</v>
      </c>
      <c r="G18556" s="3" t="n">
        <v>24.03</v>
      </c>
    </row>
    <row r="18557">
      <c r="A18557" s="3" t="inlineStr">
        <is>
          <t>Opportunity Management Holdings (PTY) LTD</t>
        </is>
      </c>
      <c r="B18557" s="4" t="n">
        <v>45323</v>
      </c>
      <c r="C18557" s="3" t="inlineStr">
        <is>
          <t>Assets</t>
        </is>
      </c>
      <c r="D18557" s="3" t="inlineStr">
        <is>
          <t>8410/000</t>
        </is>
      </c>
      <c r="E18557" s="3" t="inlineStr">
        <is>
          <t>RMB Call Acc - 62312248851</t>
        </is>
      </c>
      <c r="F18557" s="3" t="n">
        <v>0</v>
      </c>
      <c r="G18557" s="3" t="n">
        <v>1432.34</v>
      </c>
    </row>
    <row r="18558">
      <c r="A18558" s="3" t="inlineStr">
        <is>
          <t>Noble Shield (Pty) Ltd ta Go Letting</t>
        </is>
      </c>
      <c r="B18558" s="4" t="n">
        <v>45323</v>
      </c>
      <c r="C18558" s="3" t="inlineStr">
        <is>
          <t>Assets</t>
        </is>
      </c>
      <c r="D18558" s="3" t="inlineStr">
        <is>
          <t>8410/000</t>
        </is>
      </c>
      <c r="E18558" s="3" t="inlineStr">
        <is>
          <t>RMB Trust Acc - 6250 615 1365</t>
        </is>
      </c>
      <c r="F18558" s="3" t="n">
        <v>0</v>
      </c>
      <c r="G18558" s="3" t="n">
        <v>629.13</v>
      </c>
    </row>
    <row r="18559">
      <c r="A18559" s="3" t="inlineStr">
        <is>
          <t>Quinate Consulting (Pty) Ltd</t>
        </is>
      </c>
      <c r="B18559" s="4" t="n">
        <v>45323</v>
      </c>
      <c r="C18559" s="3" t="inlineStr">
        <is>
          <t>Assets</t>
        </is>
      </c>
      <c r="D18559" s="3" t="inlineStr">
        <is>
          <t>8415/000</t>
        </is>
      </c>
      <c r="E18559" s="3" t="inlineStr">
        <is>
          <t>STD Acc 071 958 959 - Facility Acc</t>
        </is>
      </c>
      <c r="F18559" s="3" t="n">
        <v>0</v>
      </c>
      <c r="G18559" s="3" t="n">
        <v>2361.21</v>
      </c>
    </row>
    <row r="18560">
      <c r="A18560" s="3" t="inlineStr">
        <is>
          <t>Trademark Holdings (Pty) Ltd</t>
        </is>
      </c>
      <c r="B18560" s="4" t="n">
        <v>45323</v>
      </c>
      <c r="C18560" s="3" t="inlineStr">
        <is>
          <t>Assets</t>
        </is>
      </c>
      <c r="D18560" s="3" t="inlineStr">
        <is>
          <t>8420/000</t>
        </is>
      </c>
      <c r="E18560" s="3" t="inlineStr">
        <is>
          <t>FNB Credit Card</t>
        </is>
      </c>
      <c r="F18560" s="3" t="n">
        <v>0</v>
      </c>
      <c r="G18560" s="3" t="n">
        <v>624</v>
      </c>
    </row>
    <row r="18561">
      <c r="A18561" s="3" t="inlineStr">
        <is>
          <t>Quinate Consulting (Pty) Ltd</t>
        </is>
      </c>
      <c r="B18561" s="4" t="n">
        <v>45323</v>
      </c>
      <c r="C18561" s="3" t="inlineStr">
        <is>
          <t>Assets</t>
        </is>
      </c>
      <c r="D18561" s="3" t="inlineStr">
        <is>
          <t>8430/000</t>
        </is>
      </c>
      <c r="E18561" s="3" t="inlineStr">
        <is>
          <t>Momentum Investment Acc - RU502230185</t>
        </is>
      </c>
      <c r="F18561" s="3" t="n">
        <v>0</v>
      </c>
      <c r="G18561" s="3" t="n">
        <v>563.74</v>
      </c>
    </row>
    <row r="18562">
      <c r="A18562" s="3" t="inlineStr">
        <is>
          <t>Opportunity Global Investment (PTY) LTD</t>
        </is>
      </c>
      <c r="B18562" s="4" t="n">
        <v>45323</v>
      </c>
      <c r="C18562" s="3" t="inlineStr">
        <is>
          <t>Assets</t>
        </is>
      </c>
      <c r="D18562" s="3" t="inlineStr">
        <is>
          <t>8440/000</t>
        </is>
      </c>
      <c r="E18562" s="3" t="inlineStr">
        <is>
          <t>FNB - Call 627602764438</t>
        </is>
      </c>
      <c r="F18562" s="3" t="n">
        <v>0</v>
      </c>
      <c r="G18562" s="3" t="n">
        <v>-841.9299999999999</v>
      </c>
    </row>
    <row r="18563">
      <c r="A18563" s="3" t="inlineStr">
        <is>
          <t>Opportunity Global Investment (PTY) LTD</t>
        </is>
      </c>
      <c r="B18563" s="4" t="n">
        <v>45323</v>
      </c>
      <c r="C18563" s="3" t="inlineStr">
        <is>
          <t>Assets</t>
        </is>
      </c>
      <c r="D18563" s="3" t="inlineStr">
        <is>
          <t>8445/000</t>
        </is>
      </c>
      <c r="E18563" s="3" t="inlineStr">
        <is>
          <t>Momentum RU502230096</t>
        </is>
      </c>
      <c r="F18563" s="3" t="n">
        <v>0</v>
      </c>
      <c r="G18563" s="3" t="n">
        <v>4973.81</v>
      </c>
    </row>
    <row r="18564">
      <c r="A18564" s="3" t="inlineStr">
        <is>
          <t>Quinate Consulting (Pty) Ltd</t>
        </is>
      </c>
      <c r="B18564" s="4" t="n">
        <v>45323</v>
      </c>
      <c r="C18564" s="3" t="inlineStr">
        <is>
          <t>Assets</t>
        </is>
      </c>
      <c r="D18564" s="3" t="inlineStr">
        <is>
          <t>8450/000</t>
        </is>
      </c>
      <c r="E18564" s="3" t="inlineStr">
        <is>
          <t>A RMB 62275810820</t>
        </is>
      </c>
      <c r="F18564" s="3" t="n">
        <v>-9437.870000000001</v>
      </c>
      <c r="G18564" s="3" t="n">
        <v>1267022.09</v>
      </c>
    </row>
    <row r="18565">
      <c r="A18565" s="3" t="inlineStr">
        <is>
          <t>Opportunity Management Holdings (PTY) LTD</t>
        </is>
      </c>
      <c r="B18565" s="4" t="n">
        <v>45323</v>
      </c>
      <c r="C18565" s="3" t="inlineStr">
        <is>
          <t>Assets</t>
        </is>
      </c>
      <c r="D18565" s="3" t="inlineStr">
        <is>
          <t>8450/000</t>
        </is>
      </c>
      <c r="E18565" s="3" t="inlineStr">
        <is>
          <t>Petty Cash - CT Office</t>
        </is>
      </c>
      <c r="F18565" s="3" t="n">
        <v>0</v>
      </c>
      <c r="G18565" s="3" t="n">
        <v>1016.2</v>
      </c>
    </row>
    <row r="18566">
      <c r="A18566" s="3" t="inlineStr">
        <is>
          <t>Quinate Consulting (Pty) Ltd</t>
        </is>
      </c>
      <c r="B18566" s="4" t="n">
        <v>45323</v>
      </c>
      <c r="C18566" s="3" t="inlineStr">
        <is>
          <t>Assets</t>
        </is>
      </c>
      <c r="D18566" s="3" t="inlineStr">
        <is>
          <t>8470/000</t>
        </is>
      </c>
      <c r="E18566" s="3" t="inlineStr">
        <is>
          <t>ABSA: Quinate</t>
        </is>
      </c>
      <c r="F18566" s="3" t="n">
        <v>0</v>
      </c>
      <c r="G18566" s="3" t="n">
        <v>500</v>
      </c>
    </row>
    <row r="18567">
      <c r="A18567" s="3" t="inlineStr">
        <is>
          <t>Quinate Consulting (Pty) Ltd</t>
        </is>
      </c>
      <c r="B18567" s="4" t="n">
        <v>45323</v>
      </c>
      <c r="C18567" s="3" t="inlineStr">
        <is>
          <t>Liabilities</t>
        </is>
      </c>
      <c r="D18567" s="3" t="inlineStr">
        <is>
          <t>8480/100</t>
        </is>
      </c>
      <c r="E18567" s="3" t="inlineStr">
        <is>
          <t>Bond - SH20 - STD Bank 532010558</t>
        </is>
      </c>
      <c r="F18567" s="3" t="n">
        <v>0</v>
      </c>
      <c r="G18567" s="3" t="n">
        <v>-1324520.09</v>
      </c>
    </row>
    <row r="18568">
      <c r="A18568" s="3" t="inlineStr">
        <is>
          <t>Quinate Consulting (Pty) Ltd</t>
        </is>
      </c>
      <c r="B18568" s="4" t="n">
        <v>45323</v>
      </c>
      <c r="C18568" s="3" t="inlineStr">
        <is>
          <t>Liabilities</t>
        </is>
      </c>
      <c r="D18568" s="3" t="inlineStr">
        <is>
          <t>8480/200</t>
        </is>
      </c>
      <c r="E18568" s="3" t="inlineStr">
        <is>
          <t>Bond - SH23 - STD Bank 532010035</t>
        </is>
      </c>
      <c r="F18568" s="3" t="n">
        <v>0</v>
      </c>
      <c r="G18568" s="3" t="n">
        <v>-1324645.77</v>
      </c>
    </row>
    <row r="18569">
      <c r="A18569" s="3" t="inlineStr">
        <is>
          <t>Quinate Consulting (Pty) Ltd</t>
        </is>
      </c>
      <c r="B18569" s="4" t="n">
        <v>45323</v>
      </c>
      <c r="C18569" s="3" t="inlineStr">
        <is>
          <t>Liabilities</t>
        </is>
      </c>
      <c r="D18569" s="3" t="inlineStr">
        <is>
          <t>8480/300</t>
        </is>
      </c>
      <c r="E18569" s="3" t="inlineStr">
        <is>
          <t>Bond - SH24 - STD Bank 532372662</t>
        </is>
      </c>
      <c r="F18569" s="3" t="n">
        <v>0</v>
      </c>
      <c r="G18569" s="3" t="n">
        <v>-1441054.14</v>
      </c>
    </row>
    <row r="18570">
      <c r="A18570" s="3" t="inlineStr">
        <is>
          <t>Quinate Consulting (Pty) Ltd</t>
        </is>
      </c>
      <c r="B18570" s="4" t="n">
        <v>45323</v>
      </c>
      <c r="C18570" s="3" t="inlineStr">
        <is>
          <t>Liabilities</t>
        </is>
      </c>
      <c r="D18570" s="3" t="inlineStr">
        <is>
          <t>8480/400</t>
        </is>
      </c>
      <c r="E18570" s="3" t="inlineStr">
        <is>
          <t>Bond - SW01 - STD Bank 532920627</t>
        </is>
      </c>
      <c r="F18570" s="3" t="n">
        <v>0</v>
      </c>
      <c r="G18570" s="3" t="n">
        <v>-1288657.46</v>
      </c>
    </row>
    <row r="18571">
      <c r="A18571" s="3" t="inlineStr">
        <is>
          <t>Quinate Consulting (Pty) Ltd</t>
        </is>
      </c>
      <c r="B18571" s="4" t="n">
        <v>45323</v>
      </c>
      <c r="C18571" s="3" t="inlineStr">
        <is>
          <t>Liabilities</t>
        </is>
      </c>
      <c r="D18571" s="3" t="inlineStr">
        <is>
          <t>8480/401</t>
        </is>
      </c>
      <c r="E18571" s="3" t="inlineStr">
        <is>
          <t>Bond - SW21 - STD Bank 532920597</t>
        </is>
      </c>
      <c r="F18571" s="3" t="n">
        <v>0</v>
      </c>
      <c r="G18571" s="3" t="n">
        <v>-1289168.79</v>
      </c>
    </row>
    <row r="18572">
      <c r="A18572" s="3" t="inlineStr">
        <is>
          <t>Endulini (Pty) Ltd</t>
        </is>
      </c>
      <c r="B18572" s="4" t="n">
        <v>45323</v>
      </c>
      <c r="C18572" s="3" t="inlineStr">
        <is>
          <t>Liabilities</t>
        </is>
      </c>
      <c r="D18572" s="3" t="inlineStr">
        <is>
          <t>860</t>
        </is>
      </c>
      <c r="E18572" s="3" t="inlineStr">
        <is>
          <t>Rounding</t>
        </is>
      </c>
      <c r="F18572" s="3" t="n">
        <v>0</v>
      </c>
      <c r="G18572" s="3" t="n">
        <v>0.04</v>
      </c>
    </row>
    <row r="18573">
      <c r="A18573" s="3" t="inlineStr">
        <is>
          <t>Opportunity Global Investment (PTY) LTD</t>
        </is>
      </c>
      <c r="B18573" s="4" t="n">
        <v>45323</v>
      </c>
      <c r="C18573" s="3" t="inlineStr">
        <is>
          <t>Liabilities</t>
        </is>
      </c>
      <c r="D18573" s="3" t="inlineStr">
        <is>
          <t>860</t>
        </is>
      </c>
      <c r="E18573" s="3" t="inlineStr">
        <is>
          <t>Rounding</t>
        </is>
      </c>
      <c r="F18573" s="3" t="n">
        <v>0</v>
      </c>
      <c r="G18573" s="3" t="n">
        <v>-0.29</v>
      </c>
    </row>
    <row r="18574">
      <c r="A18574" s="3" t="inlineStr">
        <is>
          <t>Opportunity Global Sales (PTY) LTD</t>
        </is>
      </c>
      <c r="B18574" s="4" t="n">
        <v>45323</v>
      </c>
      <c r="C18574" s="3" t="inlineStr">
        <is>
          <t>Liabilities</t>
        </is>
      </c>
      <c r="D18574" s="3" t="inlineStr">
        <is>
          <t>860</t>
        </is>
      </c>
      <c r="E18574" s="3" t="inlineStr">
        <is>
          <t>Rounding</t>
        </is>
      </c>
      <c r="F18574" s="3" t="n">
        <v>0</v>
      </c>
      <c r="G18574" s="3" t="n">
        <v>-0.99</v>
      </c>
    </row>
    <row r="18575">
      <c r="A18575" s="3" t="inlineStr">
        <is>
          <t>Opportunity Management Holdings (PTY) LTD</t>
        </is>
      </c>
      <c r="B18575" s="4" t="n">
        <v>45323</v>
      </c>
      <c r="C18575" s="3" t="inlineStr">
        <is>
          <t>Liabilities</t>
        </is>
      </c>
      <c r="D18575" s="3" t="inlineStr">
        <is>
          <t>860</t>
        </is>
      </c>
      <c r="E18575" s="3" t="inlineStr">
        <is>
          <t>Rounding</t>
        </is>
      </c>
      <c r="F18575" s="3" t="n">
        <v>0</v>
      </c>
      <c r="G18575" s="3" t="n">
        <v>-0.01</v>
      </c>
    </row>
    <row r="18576">
      <c r="A18576" s="3" t="inlineStr">
        <is>
          <t>Quinate Consulting (Pty) Ltd</t>
        </is>
      </c>
      <c r="B18576" s="4" t="n">
        <v>45323</v>
      </c>
      <c r="C18576" s="3" t="inlineStr">
        <is>
          <t>Liabilities</t>
        </is>
      </c>
      <c r="D18576" s="3" t="inlineStr">
        <is>
          <t>860</t>
        </is>
      </c>
      <c r="E18576" s="3" t="inlineStr">
        <is>
          <t>Rounding</t>
        </is>
      </c>
      <c r="F18576" s="3" t="n">
        <v>0</v>
      </c>
      <c r="G18576" s="3" t="n">
        <v>-4.96</v>
      </c>
    </row>
    <row r="18577">
      <c r="A18577" s="3" t="inlineStr">
        <is>
          <t>Trademark Holdings (Pty) Ltd</t>
        </is>
      </c>
      <c r="B18577" s="4" t="n">
        <v>45323</v>
      </c>
      <c r="C18577" s="3" t="inlineStr">
        <is>
          <t>Liabilities</t>
        </is>
      </c>
      <c r="D18577" s="3" t="inlineStr">
        <is>
          <t>860</t>
        </is>
      </c>
      <c r="E18577" s="3" t="inlineStr">
        <is>
          <t>Rounding</t>
        </is>
      </c>
      <c r="F18577" s="3" t="n">
        <v>0</v>
      </c>
      <c r="G18577" s="3" t="n">
        <v>0.2</v>
      </c>
    </row>
    <row r="18578">
      <c r="A18578" s="3" t="inlineStr">
        <is>
          <t>Endulini (Pty) Ltd</t>
        </is>
      </c>
      <c r="B18578" s="4" t="n">
        <v>45323</v>
      </c>
      <c r="C18578" s="3" t="inlineStr">
        <is>
          <t>Liabilities</t>
        </is>
      </c>
      <c r="D18578" s="3" t="inlineStr">
        <is>
          <t>9000/000</t>
        </is>
      </c>
      <c r="E18578" s="3" t="inlineStr">
        <is>
          <t>Supplier Control Account</t>
        </is>
      </c>
      <c r="F18578" s="3" t="n">
        <v>-2267.05</v>
      </c>
      <c r="G18578" s="3" t="n">
        <v>-342915.76</v>
      </c>
    </row>
    <row r="18579">
      <c r="A18579" s="3" t="inlineStr">
        <is>
          <t>Noble Shield (Pty) Ltd ta Go Letting</t>
        </is>
      </c>
      <c r="B18579" s="4" t="n">
        <v>45323</v>
      </c>
      <c r="C18579" s="3" t="inlineStr">
        <is>
          <t>Liabilities</t>
        </is>
      </c>
      <c r="D18579" s="3" t="inlineStr">
        <is>
          <t>9000/000</t>
        </is>
      </c>
      <c r="E18579" s="3" t="inlineStr">
        <is>
          <t>Supplier Control Account</t>
        </is>
      </c>
      <c r="F18579" s="3" t="n">
        <v>-627.3</v>
      </c>
      <c r="G18579" s="3" t="n">
        <v>-24447.3</v>
      </c>
    </row>
    <row r="18580">
      <c r="A18580" s="3" t="inlineStr">
        <is>
          <t>Opportunity Global Investment (PTY) LTD</t>
        </is>
      </c>
      <c r="B18580" s="4" t="n">
        <v>45323</v>
      </c>
      <c r="C18580" s="3" t="inlineStr">
        <is>
          <t>Liabilities</t>
        </is>
      </c>
      <c r="D18580" s="3" t="inlineStr">
        <is>
          <t>9000/000</t>
        </is>
      </c>
      <c r="E18580" s="3" t="inlineStr">
        <is>
          <t>Supplier Control Account</t>
        </is>
      </c>
      <c r="F18580" s="3" t="n">
        <v>0</v>
      </c>
      <c r="G18580" s="3" t="n">
        <v>-113419.16</v>
      </c>
    </row>
    <row r="18581">
      <c r="A18581" s="3" t="inlineStr">
        <is>
          <t>Opportunity Global Sales (PTY) LTD</t>
        </is>
      </c>
      <c r="B18581" s="4" t="n">
        <v>45323</v>
      </c>
      <c r="C18581" s="3" t="inlineStr">
        <is>
          <t>Liabilities</t>
        </is>
      </c>
      <c r="D18581" s="3" t="inlineStr">
        <is>
          <t>9000/000</t>
        </is>
      </c>
      <c r="E18581" s="3" t="inlineStr">
        <is>
          <t>Supplier Control Account</t>
        </is>
      </c>
      <c r="F18581" s="3" t="n">
        <v>0</v>
      </c>
      <c r="G18581" s="3" t="n">
        <v>-3816.91</v>
      </c>
    </row>
    <row r="18582">
      <c r="A18582" s="3" t="inlineStr">
        <is>
          <t>Opportunity Management Holdings (PTY) LTD</t>
        </is>
      </c>
      <c r="B18582" s="4" t="n">
        <v>45323</v>
      </c>
      <c r="C18582" s="3" t="inlineStr">
        <is>
          <t>Liabilities</t>
        </is>
      </c>
      <c r="D18582" s="3" t="inlineStr">
        <is>
          <t>9000/000</t>
        </is>
      </c>
      <c r="E18582" s="3" t="inlineStr">
        <is>
          <t>Supplier Control Account</t>
        </is>
      </c>
      <c r="F18582" s="3" t="n">
        <v>-12705.95</v>
      </c>
      <c r="G18582" s="3" t="n">
        <v>-299134.72</v>
      </c>
    </row>
    <row r="18583">
      <c r="A18583" s="3" t="inlineStr">
        <is>
          <t>Quinate Consulting (Pty) Ltd</t>
        </is>
      </c>
      <c r="B18583" s="4" t="n">
        <v>45323</v>
      </c>
      <c r="C18583" s="3" t="inlineStr">
        <is>
          <t>Liabilities</t>
        </is>
      </c>
      <c r="D18583" s="3" t="inlineStr">
        <is>
          <t>9000/000</t>
        </is>
      </c>
      <c r="E18583" s="3" t="inlineStr">
        <is>
          <t>Supplier Control Account</t>
        </is>
      </c>
      <c r="F18583" s="3" t="n">
        <v>-29489.58</v>
      </c>
      <c r="G18583" s="3" t="n">
        <v>402135.6</v>
      </c>
    </row>
    <row r="18584">
      <c r="A18584" s="3" t="inlineStr">
        <is>
          <t>Trademark Holdings (Pty) Ltd</t>
        </is>
      </c>
      <c r="B18584" s="4" t="n">
        <v>45323</v>
      </c>
      <c r="C18584" s="3" t="inlineStr">
        <is>
          <t>Liabilities</t>
        </is>
      </c>
      <c r="D18584" s="3" t="inlineStr">
        <is>
          <t>9000/000</t>
        </is>
      </c>
      <c r="E18584" s="3" t="inlineStr">
        <is>
          <t>Supplier Control Account</t>
        </is>
      </c>
      <c r="F18584" s="3" t="n">
        <v>-5474.79</v>
      </c>
      <c r="G18584" s="3" t="n">
        <v>-21977.2</v>
      </c>
    </row>
    <row r="18585">
      <c r="A18585" s="3" t="inlineStr">
        <is>
          <t>Quinate Consulting (Pty) Ltd</t>
        </is>
      </c>
      <c r="B18585" s="4" t="n">
        <v>45323</v>
      </c>
      <c r="C18585" s="3" t="inlineStr">
        <is>
          <t>Liabilities</t>
        </is>
      </c>
      <c r="D18585" s="3" t="inlineStr">
        <is>
          <t>9001</t>
        </is>
      </c>
      <c r="E18585" s="3" t="inlineStr">
        <is>
          <t>Supplier Control</t>
        </is>
      </c>
      <c r="F18585" s="3" t="n">
        <v>0</v>
      </c>
      <c r="G18585" s="3" t="n">
        <v>-347315.41</v>
      </c>
    </row>
    <row r="18586">
      <c r="A18586" s="3" t="inlineStr">
        <is>
          <t>Opportunity Management Holdings (PTY) LTD</t>
        </is>
      </c>
      <c r="B18586" s="4" t="n">
        <v>45323</v>
      </c>
      <c r="C18586" s="3" t="inlineStr">
        <is>
          <t>Liabilities</t>
        </is>
      </c>
      <c r="D18586" s="3" t="inlineStr">
        <is>
          <t>9100/000</t>
        </is>
      </c>
      <c r="E18586" s="3" t="inlineStr">
        <is>
          <t>PAYE/UIF/SDL Accrual - Prior Years ADJ</t>
        </is>
      </c>
      <c r="F18586" s="3" t="n">
        <v>0</v>
      </c>
      <c r="G18586" s="3" t="n">
        <v>-33739.36</v>
      </c>
    </row>
    <row r="18587">
      <c r="A18587" s="3" t="inlineStr">
        <is>
          <t>Opportunity Management Holdings (PTY) LTD</t>
        </is>
      </c>
      <c r="B18587" s="4" t="n">
        <v>45323</v>
      </c>
      <c r="C18587" s="3" t="inlineStr">
        <is>
          <t>Assets</t>
        </is>
      </c>
      <c r="D18587" s="3" t="inlineStr">
        <is>
          <t>9110/000</t>
        </is>
      </c>
      <c r="E18587" s="3" t="inlineStr">
        <is>
          <t>Deposit Received</t>
        </is>
      </c>
      <c r="F18587" s="3" t="n">
        <v>0</v>
      </c>
      <c r="G18587" s="3" t="n">
        <v>-3852.5</v>
      </c>
    </row>
    <row r="18588">
      <c r="A18588" s="3" t="inlineStr">
        <is>
          <t>Opportunity Global Investment (PTY) LTD</t>
        </is>
      </c>
      <c r="B18588" s="4" t="n">
        <v>45323</v>
      </c>
      <c r="C18588" s="3" t="inlineStr">
        <is>
          <t>Liabilities</t>
        </is>
      </c>
      <c r="D18588" s="3" t="inlineStr">
        <is>
          <t>9110/000</t>
        </is>
      </c>
      <c r="E18588" s="3" t="inlineStr">
        <is>
          <t>Taxation B/S</t>
        </is>
      </c>
      <c r="F18588" s="3" t="n">
        <v>0</v>
      </c>
      <c r="G18588" s="3" t="n">
        <v>67163.81</v>
      </c>
    </row>
    <row r="18589">
      <c r="A18589" s="3" t="inlineStr">
        <is>
          <t>Noble Shield (Pty) Ltd ta Go Letting</t>
        </is>
      </c>
      <c r="B18589" s="4" t="n">
        <v>45323</v>
      </c>
      <c r="C18589" s="3" t="inlineStr">
        <is>
          <t>Liabilities</t>
        </is>
      </c>
      <c r="D18589" s="3" t="inlineStr">
        <is>
          <t>9250/010</t>
        </is>
      </c>
      <c r="E18589" s="3" t="inlineStr">
        <is>
          <t>SALARY CONTROL</t>
        </is>
      </c>
      <c r="F18589" s="3" t="n">
        <v>0</v>
      </c>
      <c r="G18589" s="3" t="n">
        <v>-18457.95</v>
      </c>
    </row>
    <row r="18590">
      <c r="A18590" s="3" t="inlineStr">
        <is>
          <t>Opportunity Global Investment (PTY) LTD</t>
        </is>
      </c>
      <c r="B18590" s="4" t="n">
        <v>45323</v>
      </c>
      <c r="C18590" s="3" t="inlineStr">
        <is>
          <t>Liabilities</t>
        </is>
      </c>
      <c r="D18590" s="3" t="inlineStr">
        <is>
          <t>9250/010</t>
        </is>
      </c>
      <c r="E18590" s="3" t="inlineStr">
        <is>
          <t>SALARY CONTROL</t>
        </is>
      </c>
      <c r="F18590" s="3" t="n">
        <v>0</v>
      </c>
      <c r="G18590" s="3" t="n">
        <v>0.01</v>
      </c>
    </row>
    <row r="18591">
      <c r="A18591" s="3" t="inlineStr">
        <is>
          <t>Opportunity Global Sales (PTY) LTD</t>
        </is>
      </c>
      <c r="B18591" s="4" t="n">
        <v>45323</v>
      </c>
      <c r="C18591" s="3" t="inlineStr">
        <is>
          <t>Liabilities</t>
        </is>
      </c>
      <c r="D18591" s="3" t="inlineStr">
        <is>
          <t>9250/010</t>
        </is>
      </c>
      <c r="E18591" s="3" t="inlineStr">
        <is>
          <t>SALARY CONTROL</t>
        </is>
      </c>
      <c r="F18591" s="3" t="n">
        <v>0</v>
      </c>
      <c r="G18591" s="3" t="n">
        <v>-2031.61</v>
      </c>
    </row>
    <row r="18592">
      <c r="A18592" s="3" t="inlineStr">
        <is>
          <t>Trademark Holdings (Pty) Ltd</t>
        </is>
      </c>
      <c r="B18592" s="4" t="n">
        <v>45323</v>
      </c>
      <c r="C18592" s="3" t="inlineStr">
        <is>
          <t>Liabilities</t>
        </is>
      </c>
      <c r="D18592" s="3" t="inlineStr">
        <is>
          <t>9250/010</t>
        </is>
      </c>
      <c r="E18592" s="3" t="inlineStr">
        <is>
          <t>SALARY CONTROL</t>
        </is>
      </c>
      <c r="F18592" s="3" t="n">
        <v>0</v>
      </c>
      <c r="G18592" s="3" t="n">
        <v>-18458.73</v>
      </c>
    </row>
    <row r="18593">
      <c r="A18593" s="3" t="inlineStr">
        <is>
          <t>Noble Shield (Pty) Ltd ta Go Letting</t>
        </is>
      </c>
      <c r="B18593" s="4" t="n">
        <v>45323</v>
      </c>
      <c r="C18593" s="3" t="inlineStr">
        <is>
          <t>Liabilities</t>
        </is>
      </c>
      <c r="D18593" s="3" t="inlineStr">
        <is>
          <t>9250/020</t>
        </is>
      </c>
      <c r="E18593" s="3" t="inlineStr">
        <is>
          <t>PAYE, UIF AND SDL CONTROL</t>
        </is>
      </c>
      <c r="F18593" s="3" t="n">
        <v>0</v>
      </c>
      <c r="G18593" s="3" t="n">
        <v>-6036.62</v>
      </c>
    </row>
    <row r="18594">
      <c r="A18594" s="3" t="inlineStr">
        <is>
          <t>Opportunity Global Investment (PTY) LTD</t>
        </is>
      </c>
      <c r="B18594" s="4" t="n">
        <v>45323</v>
      </c>
      <c r="C18594" s="3" t="inlineStr">
        <is>
          <t>Liabilities</t>
        </is>
      </c>
      <c r="D18594" s="3" t="inlineStr">
        <is>
          <t>9250/020</t>
        </is>
      </c>
      <c r="E18594" s="3" t="inlineStr">
        <is>
          <t>PAYE, UIF AND SDL CONTROL</t>
        </is>
      </c>
      <c r="F18594" s="3" t="n">
        <v>0</v>
      </c>
      <c r="G18594" s="3" t="n">
        <v>-86798.05</v>
      </c>
    </row>
    <row r="18595">
      <c r="A18595" s="3" t="inlineStr">
        <is>
          <t>Opportunity Management Holdings (PTY) LTD</t>
        </is>
      </c>
      <c r="B18595" s="4" t="n">
        <v>45323</v>
      </c>
      <c r="C18595" s="3" t="inlineStr">
        <is>
          <t>Liabilities</t>
        </is>
      </c>
      <c r="D18595" s="3" t="inlineStr">
        <is>
          <t>9250/020</t>
        </is>
      </c>
      <c r="E18595" s="3" t="inlineStr">
        <is>
          <t>PAYE, UIF AND SDL CONTROL</t>
        </is>
      </c>
      <c r="F18595" s="3" t="n">
        <v>0</v>
      </c>
      <c r="G18595" s="3" t="n">
        <v>-44239.57</v>
      </c>
    </row>
    <row r="18596">
      <c r="A18596" s="3" t="inlineStr">
        <is>
          <t>Quinate Consulting (Pty) Ltd</t>
        </is>
      </c>
      <c r="B18596" s="4" t="n">
        <v>45323</v>
      </c>
      <c r="C18596" s="3" t="inlineStr">
        <is>
          <t>Liabilities</t>
        </is>
      </c>
      <c r="D18596" s="3" t="inlineStr">
        <is>
          <t>9250/020</t>
        </is>
      </c>
      <c r="E18596" s="3" t="inlineStr">
        <is>
          <t>PAYE, UIF AND SDL CONTROL</t>
        </is>
      </c>
      <c r="F18596" s="3" t="n">
        <v>0</v>
      </c>
      <c r="G18596" s="3" t="n">
        <v>-10759.36</v>
      </c>
    </row>
    <row r="18597">
      <c r="A18597" s="3" t="inlineStr">
        <is>
          <t>Trademark Holdings (Pty) Ltd</t>
        </is>
      </c>
      <c r="B18597" s="4" t="n">
        <v>45323</v>
      </c>
      <c r="C18597" s="3" t="inlineStr">
        <is>
          <t>Liabilities</t>
        </is>
      </c>
      <c r="D18597" s="3" t="inlineStr">
        <is>
          <t>9250/020</t>
        </is>
      </c>
      <c r="E18597" s="3" t="inlineStr">
        <is>
          <t>PAYE, UIF AND SDL CONTROL</t>
        </is>
      </c>
      <c r="F18597" s="3" t="n">
        <v>0</v>
      </c>
      <c r="G18597" s="3" t="n">
        <v>-5222.21</v>
      </c>
    </row>
    <row r="18598">
      <c r="A18598" s="3" t="inlineStr">
        <is>
          <t>Opportunity Global Investment (PTY) LTD</t>
        </is>
      </c>
      <c r="B18598" s="4" t="n">
        <v>45323</v>
      </c>
      <c r="C18598" s="3" t="inlineStr">
        <is>
          <t>Liabilities</t>
        </is>
      </c>
      <c r="D18598" s="3" t="inlineStr">
        <is>
          <t>9400/030</t>
        </is>
      </c>
      <c r="E18598" s="3" t="inlineStr">
        <is>
          <t>Accrued Expenses - PAYE_AND_UIF</t>
        </is>
      </c>
      <c r="F18598" s="3" t="n">
        <v>0</v>
      </c>
      <c r="G18598" s="3" t="n">
        <v>-2</v>
      </c>
    </row>
    <row r="18599">
      <c r="A18599" s="3" t="inlineStr">
        <is>
          <t>Trademark Holdings (Pty) Ltd</t>
        </is>
      </c>
      <c r="B18599" s="4" t="n">
        <v>45323</v>
      </c>
      <c r="C18599" s="3" t="inlineStr">
        <is>
          <t>Liabilities</t>
        </is>
      </c>
      <c r="D18599" s="3" t="inlineStr">
        <is>
          <t>9400/400</t>
        </is>
      </c>
      <c r="E18599" s="3" t="inlineStr">
        <is>
          <t>Deemed Dividend Tax</t>
        </is>
      </c>
      <c r="F18599" s="3" t="n">
        <v>0</v>
      </c>
      <c r="G18599" s="3" t="n">
        <v>-699.13</v>
      </c>
    </row>
    <row r="18600">
      <c r="A18600" s="3" t="inlineStr">
        <is>
          <t>Opportunity Global Investment (PTY) LTD</t>
        </is>
      </c>
      <c r="B18600" s="4" t="n">
        <v>45323</v>
      </c>
      <c r="C18600" s="3" t="inlineStr">
        <is>
          <t>Liabilities</t>
        </is>
      </c>
      <c r="D18600" s="3" t="inlineStr">
        <is>
          <t>9500/000</t>
        </is>
      </c>
      <c r="E18600" s="3" t="inlineStr">
        <is>
          <t>VAT Control Account</t>
        </is>
      </c>
      <c r="F18600" s="3" t="n">
        <v>240.12</v>
      </c>
      <c r="G18600" s="3" t="n">
        <v>1124486.86</v>
      </c>
    </row>
    <row r="18601">
      <c r="A18601" s="3" t="inlineStr">
        <is>
          <t>Opportunity Global Sales (PTY) LTD</t>
        </is>
      </c>
      <c r="B18601" s="4" t="n">
        <v>45323</v>
      </c>
      <c r="C18601" s="3" t="inlineStr">
        <is>
          <t>Liabilities</t>
        </is>
      </c>
      <c r="D18601" s="3" t="inlineStr">
        <is>
          <t>9500/000</t>
        </is>
      </c>
      <c r="E18601" s="3" t="inlineStr">
        <is>
          <t>VAT Control Account</t>
        </is>
      </c>
      <c r="F18601" s="3" t="n">
        <v>-11159.7</v>
      </c>
      <c r="G18601" s="3" t="n">
        <v>-1212461.27</v>
      </c>
    </row>
    <row r="18602">
      <c r="A18602" s="3" t="inlineStr">
        <is>
          <t>Opportunity Management Holdings (PTY) LTD</t>
        </is>
      </c>
      <c r="B18602" s="4" t="n">
        <v>45323</v>
      </c>
      <c r="C18602" s="3" t="inlineStr">
        <is>
          <t>Liabilities</t>
        </is>
      </c>
      <c r="D18602" s="3" t="inlineStr">
        <is>
          <t>9500/000</t>
        </is>
      </c>
      <c r="E18602" s="3" t="inlineStr">
        <is>
          <t>VAT Control Account</t>
        </is>
      </c>
      <c r="F18602" s="3" t="n">
        <v>2513.34</v>
      </c>
      <c r="G18602" s="3" t="n">
        <v>78890.28999999999</v>
      </c>
    </row>
    <row r="18603">
      <c r="A18603" s="3" t="inlineStr">
        <is>
          <t>Endulini (Pty) Ltd</t>
        </is>
      </c>
      <c r="B18603" s="4" t="n">
        <v>45323</v>
      </c>
      <c r="C18603" s="3" t="inlineStr">
        <is>
          <t>Liabilities</t>
        </is>
      </c>
      <c r="D18603" s="3" t="inlineStr">
        <is>
          <t>9500/000</t>
        </is>
      </c>
      <c r="E18603" s="3" t="inlineStr">
        <is>
          <t>Vat / Tax Control Account</t>
        </is>
      </c>
      <c r="F18603" s="3" t="n">
        <v>0</v>
      </c>
      <c r="G18603" s="3" t="n">
        <v>-3452460.29</v>
      </c>
    </row>
    <row r="18604">
      <c r="A18604" s="3" t="inlineStr">
        <is>
          <t>Noble Shield (Pty) Ltd ta Go Letting</t>
        </is>
      </c>
      <c r="B18604" s="4" t="n">
        <v>45323</v>
      </c>
      <c r="C18604" s="3" t="inlineStr">
        <is>
          <t>Liabilities</t>
        </is>
      </c>
      <c r="D18604" s="3" t="inlineStr">
        <is>
          <t>9500/000</t>
        </is>
      </c>
      <c r="E18604" s="3" t="inlineStr">
        <is>
          <t>Vat / Tax Control Account</t>
        </is>
      </c>
      <c r="F18604" s="3" t="n">
        <v>0</v>
      </c>
      <c r="G18604" s="3" t="n">
        <v>2461.52</v>
      </c>
    </row>
    <row r="18605">
      <c r="A18605" s="3" t="inlineStr">
        <is>
          <t>Quinate Consulting (Pty) Ltd</t>
        </is>
      </c>
      <c r="B18605" s="4" t="n">
        <v>45323</v>
      </c>
      <c r="C18605" s="3" t="inlineStr">
        <is>
          <t>Liabilities</t>
        </is>
      </c>
      <c r="D18605" s="3" t="inlineStr">
        <is>
          <t>9500/000</t>
        </is>
      </c>
      <c r="E18605" s="3" t="inlineStr">
        <is>
          <t>Vat Control Account</t>
        </is>
      </c>
      <c r="F18605" s="3" t="n">
        <v>171.93</v>
      </c>
      <c r="G18605" s="3" t="n">
        <v>2162481.34</v>
      </c>
    </row>
    <row r="18606">
      <c r="A18606" s="3" t="inlineStr">
        <is>
          <t>Opportunity Management Holdings (PTY) LTD</t>
        </is>
      </c>
      <c r="B18606" s="4" t="n">
        <v>45323</v>
      </c>
      <c r="C18606" s="3" t="inlineStr">
        <is>
          <t>Liabilities</t>
        </is>
      </c>
      <c r="D18606" s="3" t="inlineStr">
        <is>
          <t>9501/000</t>
        </is>
      </c>
      <c r="E18606" s="3" t="inlineStr">
        <is>
          <t>Vat Adjustments - C2M</t>
        </is>
      </c>
      <c r="F18606" s="3" t="n">
        <v>0</v>
      </c>
      <c r="G18606" s="3" t="n">
        <v>47274.04</v>
      </c>
    </row>
    <row r="18607">
      <c r="A18607" s="3" t="inlineStr">
        <is>
          <t>Endulini (Pty) Ltd</t>
        </is>
      </c>
      <c r="B18607" s="4" t="n">
        <v>45323</v>
      </c>
      <c r="C18607" s="3" t="inlineStr">
        <is>
          <t>Liabilities</t>
        </is>
      </c>
      <c r="D18607" s="3" t="inlineStr">
        <is>
          <t>9899/A202</t>
        </is>
      </c>
      <c r="E18607" s="3" t="inlineStr">
        <is>
          <t>Sales - Unit Reg Control A202</t>
        </is>
      </c>
      <c r="F18607" s="3" t="n">
        <v>0</v>
      </c>
      <c r="G18607" s="3" t="n">
        <v>-1086734.26</v>
      </c>
    </row>
    <row r="18608">
      <c r="A18608" s="3" t="inlineStr">
        <is>
          <t>Endulini (Pty) Ltd</t>
        </is>
      </c>
      <c r="B18608" s="4" t="n">
        <v>45323</v>
      </c>
      <c r="C18608" s="3" t="inlineStr">
        <is>
          <t>Liabilities</t>
        </is>
      </c>
      <c r="D18608" s="3" t="inlineStr">
        <is>
          <t>9899/A209</t>
        </is>
      </c>
      <c r="E18608" s="3" t="inlineStr">
        <is>
          <t>Sales - Unit Reg Control A209</t>
        </is>
      </c>
      <c r="F18608" s="3" t="n">
        <v>0</v>
      </c>
      <c r="G18608" s="3" t="n">
        <v>-1218800.14</v>
      </c>
    </row>
    <row r="18609">
      <c r="A18609" s="3" t="inlineStr">
        <is>
          <t>Endulini (Pty) Ltd</t>
        </is>
      </c>
      <c r="B18609" s="4" t="n">
        <v>45323</v>
      </c>
      <c r="C18609" s="3" t="inlineStr">
        <is>
          <t>Liabilities</t>
        </is>
      </c>
      <c r="D18609" s="3" t="inlineStr">
        <is>
          <t>9899/B203</t>
        </is>
      </c>
      <c r="E18609" s="3" t="inlineStr">
        <is>
          <t>Sales - Unit Reg Control B203</t>
        </is>
      </c>
      <c r="F18609" s="3" t="n">
        <v>0</v>
      </c>
      <c r="G18609" s="3" t="n">
        <v>-1179884.01</v>
      </c>
    </row>
    <row r="18610">
      <c r="A18610" s="3" t="inlineStr">
        <is>
          <t>Endulini (Pty) Ltd</t>
        </is>
      </c>
      <c r="B18610" s="4" t="n">
        <v>45323</v>
      </c>
      <c r="C18610" s="3" t="inlineStr">
        <is>
          <t>Liabilities</t>
        </is>
      </c>
      <c r="D18610" s="3" t="inlineStr">
        <is>
          <t>9899/C302</t>
        </is>
      </c>
      <c r="E18610" s="3" t="inlineStr">
        <is>
          <t>Sales - Unit Reg Control C302</t>
        </is>
      </c>
      <c r="F18610" s="3" t="n">
        <v>0</v>
      </c>
      <c r="G18610" s="3" t="n">
        <v>-1253795.14</v>
      </c>
    </row>
    <row r="18611">
      <c r="A18611" s="3" t="inlineStr">
        <is>
          <t>Quinate Consulting (Pty) Ltd</t>
        </is>
      </c>
      <c r="B18611" s="4" t="n">
        <v>45323</v>
      </c>
      <c r="C18611" s="3" t="inlineStr">
        <is>
          <t>Liabilities</t>
        </is>
      </c>
      <c r="D18611" s="3" t="inlineStr">
        <is>
          <t>9960/000</t>
        </is>
      </c>
      <c r="E18611" s="3" t="inlineStr">
        <is>
          <t>Deposits - Southwark Rentals</t>
        </is>
      </c>
      <c r="F18611" s="3" t="n">
        <v>0</v>
      </c>
      <c r="G18611" s="3" t="n">
        <v>-23000</v>
      </c>
    </row>
    <row r="18612">
      <c r="A18612" s="3" t="inlineStr">
        <is>
          <t>Noble Shield (Pty) Ltd ta Go Letting</t>
        </is>
      </c>
      <c r="B18612" s="4" t="n">
        <v>45323</v>
      </c>
      <c r="C18612" s="3" t="inlineStr">
        <is>
          <t>Expenses</t>
        </is>
      </c>
      <c r="D18612" s="3" t="inlineStr">
        <is>
          <t>ACB Link</t>
        </is>
      </c>
      <c r="E18612" s="3" t="inlineStr">
        <is>
          <t>Subscriptions - TPN</t>
        </is>
      </c>
      <c r="F18612" s="3" t="n">
        <v>0</v>
      </c>
      <c r="G18612" s="3" t="n">
        <v>14874.69</v>
      </c>
    </row>
    <row r="18613">
      <c r="A18613" s="3" t="inlineStr">
        <is>
          <t>Trademark Holdings (Pty) Ltd</t>
        </is>
      </c>
      <c r="B18613" s="4" t="n">
        <v>45323</v>
      </c>
      <c r="C18613" s="3" t="inlineStr">
        <is>
          <t>Liabilities</t>
        </is>
      </c>
      <c r="D18613" s="3" t="inlineStr">
        <is>
          <t>B/S</t>
        </is>
      </c>
      <c r="E18613" s="3" t="inlineStr">
        <is>
          <t>Taxation Payable</t>
        </is>
      </c>
      <c r="F18613" s="3" t="n">
        <v>0</v>
      </c>
      <c r="G18613" s="3" t="n">
        <v>1722</v>
      </c>
    </row>
    <row r="18614">
      <c r="A18614" s="3" t="inlineStr">
        <is>
          <t>Quinate Consulting (Pty) Ltd</t>
        </is>
      </c>
      <c r="B18614" s="4" t="n">
        <v>45323</v>
      </c>
      <c r="C18614" s="3" t="inlineStr">
        <is>
          <t>Liabilities</t>
        </is>
      </c>
      <c r="D18614" s="3" t="inlineStr">
        <is>
          <t xml:space="preserve">B/S </t>
        </is>
      </c>
      <c r="E18614" s="3" t="inlineStr">
        <is>
          <t>Taxation Payable</t>
        </is>
      </c>
      <c r="F18614" s="3" t="n">
        <v>0</v>
      </c>
      <c r="G18614" s="3" t="n">
        <v>-15486</v>
      </c>
    </row>
    <row r="18615">
      <c r="A18615" s="3" t="inlineStr">
        <is>
          <t>Quinate Consulting (Pty) Ltd</t>
        </is>
      </c>
      <c r="B18615" s="4" t="n">
        <v>45323</v>
      </c>
      <c r="C18615" s="3" t="inlineStr">
        <is>
          <t>Liabilities</t>
        </is>
      </c>
      <c r="D18615" s="3" t="inlineStr">
        <is>
          <t>FV</t>
        </is>
      </c>
      <c r="E18615" s="3" t="inlineStr">
        <is>
          <t>Loan - Cape Projects Constuction</t>
        </is>
      </c>
      <c r="F18615" s="3" t="n">
        <v>0</v>
      </c>
      <c r="G18615" s="3" t="n">
        <v>-6293763.77</v>
      </c>
    </row>
    <row r="18616">
      <c r="A18616" s="3" t="inlineStr">
        <is>
          <t>Quinate Consulting (Pty) Ltd</t>
        </is>
      </c>
      <c r="B18616" s="4" t="n">
        <v>45323</v>
      </c>
      <c r="C18616" s="3" t="inlineStr">
        <is>
          <t>Liabilities</t>
        </is>
      </c>
      <c r="D18616" s="3" t="inlineStr">
        <is>
          <t>Sharehold OppDev</t>
        </is>
      </c>
      <c r="E18616" s="3" t="inlineStr">
        <is>
          <t>Loan - Justine Morgan</t>
        </is>
      </c>
      <c r="F18616" s="3" t="n">
        <v>0</v>
      </c>
      <c r="G18616" s="3" t="n">
        <v>-563766.76</v>
      </c>
    </row>
    <row r="18617">
      <c r="A18617" s="3" t="inlineStr">
        <is>
          <t>Opportunity Global Investment (PTY) LTD</t>
        </is>
      </c>
      <c r="B18617" s="4" t="n">
        <v>45323</v>
      </c>
      <c r="C18617" s="3" t="inlineStr">
        <is>
          <t>Expenses</t>
        </is>
      </c>
      <c r="D18617" s="3" t="inlineStr">
        <is>
          <t>Swiftshutter</t>
        </is>
      </c>
      <c r="E18617" s="3" t="inlineStr">
        <is>
          <t>Advertising - Rousseau Lotter</t>
        </is>
      </c>
      <c r="F18617" s="3" t="n">
        <v>0</v>
      </c>
      <c r="G18617" s="3" t="n">
        <v>15400</v>
      </c>
    </row>
    <row r="18618">
      <c r="A18618" s="3" t="inlineStr">
        <is>
          <t>Opportunity Global Property (PTY) LTD</t>
        </is>
      </c>
      <c r="B18618" s="4" t="n">
        <v>45351</v>
      </c>
      <c r="C18618" s="3" t="inlineStr">
        <is>
          <t>Revenue</t>
        </is>
      </c>
      <c r="D18618" s="3" t="inlineStr">
        <is>
          <t>1000/009</t>
        </is>
      </c>
      <c r="E18618" s="3" t="inlineStr">
        <is>
          <t>Sales - Comm on Payprop</t>
        </is>
      </c>
      <c r="F18618" s="3" t="n">
        <v>-23291.71</v>
      </c>
      <c r="G18618" s="3" t="n">
        <v>-188787.29</v>
      </c>
    </row>
    <row r="18619">
      <c r="A18619" s="3" t="inlineStr">
        <is>
          <t>Opportunity Global Sales (PTY) LTD</t>
        </is>
      </c>
      <c r="B18619" s="4" t="n">
        <v>45351</v>
      </c>
      <c r="C18619" s="3" t="inlineStr">
        <is>
          <t>Revenue</t>
        </is>
      </c>
      <c r="D18619" s="3" t="inlineStr">
        <is>
          <t>1000/009</t>
        </is>
      </c>
      <c r="E18619" s="3" t="inlineStr">
        <is>
          <t>Sales - Comm on Payprop</t>
        </is>
      </c>
      <c r="F18619" s="3" t="n">
        <v>-23291.71</v>
      </c>
      <c r="G18619" s="3" t="n">
        <v>-188787.29</v>
      </c>
    </row>
    <row r="18620">
      <c r="A18620" s="3" t="inlineStr">
        <is>
          <t>Quinate Consulting (Pty) Ltd</t>
        </is>
      </c>
      <c r="B18620" s="4" t="n">
        <v>45351</v>
      </c>
      <c r="C18620" s="3" t="inlineStr">
        <is>
          <t>Revenue</t>
        </is>
      </c>
      <c r="D18620" s="3" t="inlineStr">
        <is>
          <t>1000/011</t>
        </is>
      </c>
      <c r="E18620" s="3" t="inlineStr">
        <is>
          <t>Rent Received - Soho Unit 23</t>
        </is>
      </c>
      <c r="F18620" s="3" t="n">
        <v>-12500</v>
      </c>
      <c r="G18620" s="3" t="n">
        <v>-150000</v>
      </c>
    </row>
    <row r="18621">
      <c r="A18621" s="3" t="inlineStr">
        <is>
          <t>Quinate Consulting (Pty) Ltd</t>
        </is>
      </c>
      <c r="B18621" s="4" t="n">
        <v>45351</v>
      </c>
      <c r="C18621" s="3" t="inlineStr">
        <is>
          <t>Revenue</t>
        </is>
      </c>
      <c r="D18621" s="3" t="inlineStr">
        <is>
          <t>1000/012</t>
        </is>
      </c>
      <c r="E18621" s="3" t="inlineStr">
        <is>
          <t>Rent Received - Soho Unit 24</t>
        </is>
      </c>
      <c r="F18621" s="3" t="n">
        <v>-14445</v>
      </c>
      <c r="G18621" s="3" t="n">
        <v>-173340</v>
      </c>
    </row>
    <row r="18622">
      <c r="A18622" s="3" t="inlineStr">
        <is>
          <t>Quinate Consulting (Pty) Ltd</t>
        </is>
      </c>
      <c r="B18622" s="4" t="n">
        <v>45351</v>
      </c>
      <c r="C18622" s="3" t="inlineStr">
        <is>
          <t>Revenue</t>
        </is>
      </c>
      <c r="D18622" s="3" t="inlineStr">
        <is>
          <t>1000/013</t>
        </is>
      </c>
      <c r="E18622" s="3" t="inlineStr">
        <is>
          <t>Rent Recieved - Soho Unit 20</t>
        </is>
      </c>
      <c r="F18622" s="3" t="n">
        <v>-13750</v>
      </c>
      <c r="G18622" s="3" t="n">
        <v>-151250</v>
      </c>
    </row>
    <row r="18623">
      <c r="A18623" s="3" t="inlineStr">
        <is>
          <t>Quinate Consulting (Pty) Ltd</t>
        </is>
      </c>
      <c r="B18623" s="4" t="n">
        <v>45351</v>
      </c>
      <c r="C18623" s="3" t="inlineStr">
        <is>
          <t>Revenue</t>
        </is>
      </c>
      <c r="D18623" s="3" t="inlineStr">
        <is>
          <t>1000/015</t>
        </is>
      </c>
      <c r="E18623" s="3" t="inlineStr">
        <is>
          <t>Rent Received - Southwark Unit 1</t>
        </is>
      </c>
      <c r="F18623" s="3" t="n">
        <v>0</v>
      </c>
      <c r="G18623" s="3" t="n">
        <v>-81500</v>
      </c>
    </row>
    <row r="18624">
      <c r="A18624" s="3" t="inlineStr">
        <is>
          <t>Quinate Consulting (Pty) Ltd</t>
        </is>
      </c>
      <c r="B18624" s="4" t="n">
        <v>45351</v>
      </c>
      <c r="C18624" s="3" t="inlineStr">
        <is>
          <t>Revenue</t>
        </is>
      </c>
      <c r="D18624" s="3" t="inlineStr">
        <is>
          <t>1000/016</t>
        </is>
      </c>
      <c r="E18624" s="3" t="inlineStr">
        <is>
          <t>Rent Recieved - Southwark Unit 21</t>
        </is>
      </c>
      <c r="F18624" s="3" t="n">
        <v>-11000</v>
      </c>
      <c r="G18624" s="3" t="n">
        <v>-123000</v>
      </c>
    </row>
    <row r="18625">
      <c r="A18625" s="3" t="inlineStr">
        <is>
          <t>Opportunity Global Property (PTY) LTD</t>
        </is>
      </c>
      <c r="B18625" s="4" t="n">
        <v>45351</v>
      </c>
      <c r="C18625" s="3" t="inlineStr">
        <is>
          <t>Revenue</t>
        </is>
      </c>
      <c r="D18625" s="3" t="inlineStr">
        <is>
          <t>1000/030</t>
        </is>
      </c>
      <c r="E18625" s="3" t="inlineStr">
        <is>
          <t>Sales - Comm on Heron View Land Purchase</t>
        </is>
      </c>
      <c r="F18625" s="3" t="n">
        <v>0</v>
      </c>
      <c r="G18625" s="3" t="n">
        <v>-73473.91</v>
      </c>
    </row>
    <row r="18626">
      <c r="A18626" s="3" t="inlineStr">
        <is>
          <t>Opportunity Global Sales (PTY) LTD</t>
        </is>
      </c>
      <c r="B18626" s="4" t="n">
        <v>45351</v>
      </c>
      <c r="C18626" s="3" t="inlineStr">
        <is>
          <t>Revenue</t>
        </is>
      </c>
      <c r="D18626" s="3" t="inlineStr">
        <is>
          <t>1000/030</t>
        </is>
      </c>
      <c r="E18626" s="3" t="inlineStr">
        <is>
          <t>Sales - Comm on Heron View Land Purchase</t>
        </is>
      </c>
      <c r="F18626" s="3" t="n">
        <v>0</v>
      </c>
      <c r="G18626" s="3" t="n">
        <v>-73473.91</v>
      </c>
    </row>
    <row r="18627">
      <c r="A18627" s="3" t="inlineStr">
        <is>
          <t>Opportunity Global Property (PTY) LTD</t>
        </is>
      </c>
      <c r="B18627" s="4" t="n">
        <v>45351</v>
      </c>
      <c r="C18627" s="3" t="inlineStr">
        <is>
          <t>Revenue</t>
        </is>
      </c>
      <c r="D18627" s="3" t="inlineStr">
        <is>
          <t>1000/100</t>
        </is>
      </c>
      <c r="E18627" s="3" t="inlineStr">
        <is>
          <t>Sales - Comm on External Sales</t>
        </is>
      </c>
      <c r="F18627" s="3" t="n">
        <v>0</v>
      </c>
      <c r="G18627" s="3" t="n">
        <v>-159137.61</v>
      </c>
    </row>
    <row r="18628">
      <c r="A18628" s="3" t="inlineStr">
        <is>
          <t>Opportunity Global Sales (PTY) LTD</t>
        </is>
      </c>
      <c r="B18628" s="4" t="n">
        <v>45351</v>
      </c>
      <c r="C18628" s="3" t="inlineStr">
        <is>
          <t>Revenue</t>
        </is>
      </c>
      <c r="D18628" s="3" t="inlineStr">
        <is>
          <t>1000/100</t>
        </is>
      </c>
      <c r="E18628" s="3" t="inlineStr">
        <is>
          <t>Sales - Comm on External Sales</t>
        </is>
      </c>
      <c r="F18628" s="3" t="n">
        <v>0</v>
      </c>
      <c r="G18628" s="3" t="n">
        <v>-159137.61</v>
      </c>
    </row>
    <row r="18629">
      <c r="A18629" s="3" t="inlineStr">
        <is>
          <t>Noble Shield (Pty) Ltd ta Go Letting</t>
        </is>
      </c>
      <c r="B18629" s="4" t="n">
        <v>45351</v>
      </c>
      <c r="C18629" s="3" t="inlineStr">
        <is>
          <t>Revenue</t>
        </is>
      </c>
      <c r="D18629" s="3" t="inlineStr">
        <is>
          <t>1000/100</t>
        </is>
      </c>
      <c r="E18629" s="3" t="inlineStr">
        <is>
          <t>Sales - Payprop 328 - Michelle</t>
        </is>
      </c>
      <c r="F18629" s="3" t="n">
        <v>-84956.06</v>
      </c>
      <c r="G18629" s="3" t="n">
        <v>-616063.01</v>
      </c>
    </row>
    <row r="18630">
      <c r="A18630" s="3" t="inlineStr">
        <is>
          <t>Opportunity Global Property (PTY) LTD</t>
        </is>
      </c>
      <c r="B18630" s="4" t="n">
        <v>45351</v>
      </c>
      <c r="C18630" s="3" t="inlineStr">
        <is>
          <t>Revenue</t>
        </is>
      </c>
      <c r="D18630" s="3" t="inlineStr">
        <is>
          <t>1000/120</t>
        </is>
      </c>
      <c r="E18630" s="3" t="inlineStr">
        <is>
          <t>Sales - Admin Fees on Rental Units</t>
        </is>
      </c>
      <c r="F18630" s="3" t="n">
        <v>-3043.48</v>
      </c>
      <c r="G18630" s="3" t="n">
        <v>-77647.82000000001</v>
      </c>
    </row>
    <row r="18631">
      <c r="A18631" s="3" t="inlineStr">
        <is>
          <t>Opportunity Global Sales (PTY) LTD</t>
        </is>
      </c>
      <c r="B18631" s="4" t="n">
        <v>45351</v>
      </c>
      <c r="C18631" s="3" t="inlineStr">
        <is>
          <t>Revenue</t>
        </is>
      </c>
      <c r="D18631" s="3" t="inlineStr">
        <is>
          <t>1000/120</t>
        </is>
      </c>
      <c r="E18631" s="3" t="inlineStr">
        <is>
          <t>Sales - Admin Fees on Rental Units</t>
        </is>
      </c>
      <c r="F18631" s="3" t="n">
        <v>-3043.48</v>
      </c>
      <c r="G18631" s="3" t="n">
        <v>-77647.82000000001</v>
      </c>
    </row>
    <row r="18632">
      <c r="A18632" s="3" t="inlineStr">
        <is>
          <t>Opportunity Global Property (PTY) LTD</t>
        </is>
      </c>
      <c r="B18632" s="4" t="n">
        <v>45351</v>
      </c>
      <c r="C18632" s="3" t="inlineStr">
        <is>
          <t>Revenue</t>
        </is>
      </c>
      <c r="D18632" s="3" t="inlineStr">
        <is>
          <t>1000/121</t>
        </is>
      </c>
      <c r="E18632" s="3" t="inlineStr">
        <is>
          <t>Sales - Admin Fees on Rental Units Endulini</t>
        </is>
      </c>
      <c r="F18632" s="3" t="n">
        <v>0</v>
      </c>
      <c r="G18632" s="3" t="n">
        <v>-434.78</v>
      </c>
    </row>
    <row r="18633">
      <c r="A18633" s="3" t="inlineStr">
        <is>
          <t>Opportunity Global Sales (PTY) LTD</t>
        </is>
      </c>
      <c r="B18633" s="4" t="n">
        <v>45351</v>
      </c>
      <c r="C18633" s="3" t="inlineStr">
        <is>
          <t>Revenue</t>
        </is>
      </c>
      <c r="D18633" s="3" t="inlineStr">
        <is>
          <t>1000/121</t>
        </is>
      </c>
      <c r="E18633" s="3" t="inlineStr">
        <is>
          <t>Sales - Admin Fees on Rental Units Endulini</t>
        </is>
      </c>
      <c r="F18633" s="3" t="n">
        <v>0</v>
      </c>
      <c r="G18633" s="3" t="n">
        <v>-434.78</v>
      </c>
    </row>
    <row r="18634">
      <c r="A18634" s="3" t="inlineStr">
        <is>
          <t>Opportunity Global Property (PTY) LTD</t>
        </is>
      </c>
      <c r="B18634" s="4" t="n">
        <v>45351</v>
      </c>
      <c r="C18634" s="3" t="inlineStr">
        <is>
          <t>Revenue</t>
        </is>
      </c>
      <c r="D18634" s="3" t="inlineStr">
        <is>
          <t>1000/122</t>
        </is>
      </c>
      <c r="E18634" s="3" t="inlineStr">
        <is>
          <t>Sales - Admin Fees on Rental Units Heron Fields</t>
        </is>
      </c>
      <c r="F18634" s="3" t="n">
        <v>0</v>
      </c>
      <c r="G18634" s="3" t="n">
        <v>-6521.77</v>
      </c>
    </row>
    <row r="18635">
      <c r="A18635" s="3" t="inlineStr">
        <is>
          <t>Opportunity Global Sales (PTY) LTD</t>
        </is>
      </c>
      <c r="B18635" s="4" t="n">
        <v>45351</v>
      </c>
      <c r="C18635" s="3" t="inlineStr">
        <is>
          <t>Revenue</t>
        </is>
      </c>
      <c r="D18635" s="3" t="inlineStr">
        <is>
          <t>1000/122</t>
        </is>
      </c>
      <c r="E18635" s="3" t="inlineStr">
        <is>
          <t>Sales - Admin Fees on Rental Units Heron Fields</t>
        </is>
      </c>
      <c r="F18635" s="3" t="n">
        <v>0</v>
      </c>
      <c r="G18635" s="3" t="n">
        <v>-6521.77</v>
      </c>
    </row>
    <row r="18636">
      <c r="A18636" s="3" t="inlineStr">
        <is>
          <t>Opportunity Global Property (PTY) LTD</t>
        </is>
      </c>
      <c r="B18636" s="4" t="n">
        <v>45351</v>
      </c>
      <c r="C18636" s="3" t="inlineStr">
        <is>
          <t>Revenue</t>
        </is>
      </c>
      <c r="D18636" s="3" t="inlineStr">
        <is>
          <t>1000/150</t>
        </is>
      </c>
      <c r="E18636" s="3" t="inlineStr">
        <is>
          <t>Sales - Comm on External Rental</t>
        </is>
      </c>
      <c r="F18636" s="3" t="n">
        <v>-23913.05</v>
      </c>
      <c r="G18636" s="3" t="n">
        <v>-638491.11</v>
      </c>
    </row>
    <row r="18637">
      <c r="A18637" s="3" t="inlineStr">
        <is>
          <t>Opportunity Global Sales (PTY) LTD</t>
        </is>
      </c>
      <c r="B18637" s="4" t="n">
        <v>45351</v>
      </c>
      <c r="C18637" s="3" t="inlineStr">
        <is>
          <t>Revenue</t>
        </is>
      </c>
      <c r="D18637" s="3" t="inlineStr">
        <is>
          <t>1000/150</t>
        </is>
      </c>
      <c r="E18637" s="3" t="inlineStr">
        <is>
          <t>Sales - Comm on External Rental</t>
        </is>
      </c>
      <c r="F18637" s="3" t="n">
        <v>-23913.05</v>
      </c>
      <c r="G18637" s="3" t="n">
        <v>-638491.11</v>
      </c>
    </row>
    <row r="18638">
      <c r="A18638" s="3" t="inlineStr">
        <is>
          <t>Opportunity Global Property (PTY) LTD</t>
        </is>
      </c>
      <c r="B18638" s="4" t="n">
        <v>45351</v>
      </c>
      <c r="C18638" s="3" t="inlineStr">
        <is>
          <t>Revenue</t>
        </is>
      </c>
      <c r="D18638" s="3" t="inlineStr">
        <is>
          <t>1000/250</t>
        </is>
      </c>
      <c r="E18638" s="3" t="inlineStr">
        <is>
          <t>Sales - Comm on Endulini</t>
        </is>
      </c>
      <c r="F18638" s="3" t="n">
        <v>0</v>
      </c>
      <c r="G18638" s="3" t="n">
        <v>-137817.4</v>
      </c>
    </row>
    <row r="18639">
      <c r="A18639" s="3" t="inlineStr">
        <is>
          <t>Opportunity Global Sales (PTY) LTD</t>
        </is>
      </c>
      <c r="B18639" s="4" t="n">
        <v>45351</v>
      </c>
      <c r="C18639" s="3" t="inlineStr">
        <is>
          <t>Revenue</t>
        </is>
      </c>
      <c r="D18639" s="3" t="inlineStr">
        <is>
          <t>1000/250</t>
        </is>
      </c>
      <c r="E18639" s="3" t="inlineStr">
        <is>
          <t>Sales - Comm on Endulini</t>
        </is>
      </c>
      <c r="F18639" s="3" t="n">
        <v>0</v>
      </c>
      <c r="G18639" s="3" t="n">
        <v>-137817.4</v>
      </c>
    </row>
    <row r="18640">
      <c r="A18640" s="3" t="inlineStr">
        <is>
          <t>Opportunity Global Property (PTY) LTD</t>
        </is>
      </c>
      <c r="B18640" s="4" t="n">
        <v>45351</v>
      </c>
      <c r="C18640" s="3" t="inlineStr">
        <is>
          <t>Revenue</t>
        </is>
      </c>
      <c r="D18640" s="3" t="inlineStr">
        <is>
          <t>1000/300</t>
        </is>
      </c>
      <c r="E18640" s="3" t="inlineStr">
        <is>
          <t>Sales - Comm on Heron Fields</t>
        </is>
      </c>
      <c r="F18640" s="3" t="n">
        <v>0</v>
      </c>
      <c r="G18640" s="3" t="n">
        <v>-1340039.14</v>
      </c>
    </row>
    <row r="18641">
      <c r="A18641" s="3" t="inlineStr">
        <is>
          <t>Opportunity Global Sales (PTY) LTD</t>
        </is>
      </c>
      <c r="B18641" s="4" t="n">
        <v>45351</v>
      </c>
      <c r="C18641" s="3" t="inlineStr">
        <is>
          <t>Revenue</t>
        </is>
      </c>
      <c r="D18641" s="3" t="inlineStr">
        <is>
          <t>1000/300</t>
        </is>
      </c>
      <c r="E18641" s="3" t="inlineStr">
        <is>
          <t>Sales - Comm on Heron Fields</t>
        </is>
      </c>
      <c r="F18641" s="3" t="n">
        <v>0</v>
      </c>
      <c r="G18641" s="3" t="n">
        <v>-1340039.14</v>
      </c>
    </row>
    <row r="18642">
      <c r="A18642" s="3" t="inlineStr">
        <is>
          <t>Trademark Holdings (Pty) Ltd</t>
        </is>
      </c>
      <c r="B18642" s="4" t="n">
        <v>45351</v>
      </c>
      <c r="C18642" s="3" t="inlineStr">
        <is>
          <t>Revenue</t>
        </is>
      </c>
      <c r="D18642" s="3" t="inlineStr">
        <is>
          <t>1000/300</t>
        </is>
      </c>
      <c r="E18642" s="3" t="inlineStr">
        <is>
          <t>Sales - Payprop - Lara</t>
        </is>
      </c>
      <c r="F18642" s="3" t="n">
        <v>-95180.81</v>
      </c>
      <c r="G18642" s="3" t="n">
        <v>-676870.73</v>
      </c>
    </row>
    <row r="18643">
      <c r="A18643" s="3" t="inlineStr">
        <is>
          <t>Opportunity Global Investment (PTY) LTD</t>
        </is>
      </c>
      <c r="B18643" s="4" t="n">
        <v>45351</v>
      </c>
      <c r="C18643" s="3" t="inlineStr">
        <is>
          <t>Revenue</t>
        </is>
      </c>
      <c r="D18643" s="3" t="inlineStr">
        <is>
          <t>1000/360</t>
        </is>
      </c>
      <c r="E18643" s="3" t="inlineStr">
        <is>
          <t>Sales - Investor Management - Heron View</t>
        </is>
      </c>
      <c r="F18643" s="3" t="n">
        <v>0</v>
      </c>
      <c r="G18643" s="3" t="n">
        <v>-1826086.96</v>
      </c>
    </row>
    <row r="18644">
      <c r="A18644" s="3" t="inlineStr">
        <is>
          <t>Opportunity Private Capital (PTY) LTD</t>
        </is>
      </c>
      <c r="B18644" s="4" t="n">
        <v>45351</v>
      </c>
      <c r="C18644" s="3" t="inlineStr">
        <is>
          <t>Revenue</t>
        </is>
      </c>
      <c r="D18644" s="3" t="inlineStr">
        <is>
          <t>1000/360</t>
        </is>
      </c>
      <c r="E18644" s="3" t="inlineStr">
        <is>
          <t>Sales - Investor Management - Heron View</t>
        </is>
      </c>
      <c r="F18644" s="3" t="n">
        <v>0</v>
      </c>
      <c r="G18644" s="3" t="n">
        <v>-1826086.96</v>
      </c>
    </row>
    <row r="18645">
      <c r="A18645" s="3" t="inlineStr">
        <is>
          <t>Opportunity Global Investment (PTY) LTD</t>
        </is>
      </c>
      <c r="B18645" s="4" t="n">
        <v>45351</v>
      </c>
      <c r="C18645" s="3" t="inlineStr">
        <is>
          <t>Revenue</t>
        </is>
      </c>
      <c r="D18645" s="3" t="inlineStr">
        <is>
          <t>1000/370</t>
        </is>
      </c>
      <c r="E18645" s="3" t="inlineStr">
        <is>
          <t>Sales - Investor Management - Purple Blok</t>
        </is>
      </c>
      <c r="F18645" s="3" t="n">
        <v>-33231.68</v>
      </c>
      <c r="G18645" s="3" t="n">
        <v>-33231.68</v>
      </c>
    </row>
    <row r="18646">
      <c r="A18646" s="3" t="inlineStr">
        <is>
          <t>Opportunity Private Capital (PTY) LTD</t>
        </is>
      </c>
      <c r="B18646" s="4" t="n">
        <v>45351</v>
      </c>
      <c r="C18646" s="3" t="inlineStr">
        <is>
          <t>Revenue</t>
        </is>
      </c>
      <c r="D18646" s="3" t="inlineStr">
        <is>
          <t>1000/370</t>
        </is>
      </c>
      <c r="E18646" s="3" t="inlineStr">
        <is>
          <t>Sales - Investor Management - Purple Blok</t>
        </is>
      </c>
      <c r="F18646" s="3" t="n">
        <v>-33231.68</v>
      </c>
      <c r="G18646" s="3" t="n">
        <v>-33231.68</v>
      </c>
    </row>
    <row r="18647">
      <c r="A18647" s="3" t="inlineStr">
        <is>
          <t>Opportunity Global Property (PTY) LTD</t>
        </is>
      </c>
      <c r="B18647" s="4" t="n">
        <v>45351</v>
      </c>
      <c r="C18647" s="3" t="inlineStr">
        <is>
          <t>Revenue</t>
        </is>
      </c>
      <c r="D18647" s="3" t="inlineStr">
        <is>
          <t>1000/400</t>
        </is>
      </c>
      <c r="E18647" s="3" t="inlineStr">
        <is>
          <t>Sales - Commission on Heron View</t>
        </is>
      </c>
      <c r="F18647" s="3" t="n">
        <v>-556486.98</v>
      </c>
      <c r="G18647" s="3" t="n">
        <v>-1982052.17</v>
      </c>
    </row>
    <row r="18648">
      <c r="A18648" s="3" t="inlineStr">
        <is>
          <t>Opportunity Global Sales (PTY) LTD</t>
        </is>
      </c>
      <c r="B18648" s="4" t="n">
        <v>45351</v>
      </c>
      <c r="C18648" s="3" t="inlineStr">
        <is>
          <t>Revenue</t>
        </is>
      </c>
      <c r="D18648" s="3" t="inlineStr">
        <is>
          <t>1000/400</t>
        </is>
      </c>
      <c r="E18648" s="3" t="inlineStr">
        <is>
          <t>Sales - Commission on Heron View</t>
        </is>
      </c>
      <c r="F18648" s="3" t="n">
        <v>-556486.98</v>
      </c>
      <c r="G18648" s="3" t="n">
        <v>-1982052.17</v>
      </c>
    </row>
    <row r="18649">
      <c r="A18649" s="3" t="inlineStr">
        <is>
          <t>Noble Shield (Pty) Ltd ta Go Letting</t>
        </is>
      </c>
      <c r="B18649" s="4" t="n">
        <v>45351</v>
      </c>
      <c r="C18649" s="3" t="inlineStr">
        <is>
          <t>Revenue</t>
        </is>
      </c>
      <c r="D18649" s="3" t="inlineStr">
        <is>
          <t>1000/420</t>
        </is>
      </c>
      <c r="E18649" s="3" t="inlineStr">
        <is>
          <t>Sales - Commission Received - External</t>
        </is>
      </c>
      <c r="F18649" s="3" t="n">
        <v>0</v>
      </c>
      <c r="G18649" s="3" t="n">
        <v>-134000</v>
      </c>
    </row>
    <row r="18650">
      <c r="A18650" s="3" t="inlineStr">
        <is>
          <t>Trademark Holdings (Pty) Ltd</t>
        </is>
      </c>
      <c r="B18650" s="4" t="n">
        <v>45351</v>
      </c>
      <c r="C18650" s="3" t="inlineStr">
        <is>
          <t>Revenue</t>
        </is>
      </c>
      <c r="D18650" s="3" t="inlineStr">
        <is>
          <t>1000/500</t>
        </is>
      </c>
      <c r="E18650" s="3" t="inlineStr">
        <is>
          <t>Sales - Commission external sale</t>
        </is>
      </c>
      <c r="F18650" s="3" t="n">
        <v>0</v>
      </c>
      <c r="G18650" s="3" t="n">
        <v>-50000</v>
      </c>
    </row>
    <row r="18651">
      <c r="A18651" s="3" t="inlineStr">
        <is>
          <t>Quinate Consulting (Pty) Ltd</t>
        </is>
      </c>
      <c r="B18651" s="4" t="n">
        <v>45351</v>
      </c>
      <c r="C18651" s="3" t="inlineStr">
        <is>
          <t>Revenue</t>
        </is>
      </c>
      <c r="D18651" s="3" t="inlineStr">
        <is>
          <t>1002/200</t>
        </is>
      </c>
      <c r="E18651" s="3" t="inlineStr">
        <is>
          <t>Sales - Vodacom tower</t>
        </is>
      </c>
      <c r="F18651" s="3" t="n">
        <v>0</v>
      </c>
      <c r="G18651" s="3" t="n">
        <v>-428524.8</v>
      </c>
    </row>
    <row r="18652">
      <c r="A18652" s="3" t="inlineStr">
        <is>
          <t>Quinate Consulting (Pty) Ltd</t>
        </is>
      </c>
      <c r="B18652" s="4" t="n">
        <v>45351</v>
      </c>
      <c r="C18652" s="3" t="inlineStr">
        <is>
          <t>Revenue</t>
        </is>
      </c>
      <c r="D18652" s="3" t="inlineStr">
        <is>
          <t>1004/000</t>
        </is>
      </c>
      <c r="E18652" s="3" t="inlineStr">
        <is>
          <t>Interest received</t>
        </is>
      </c>
      <c r="F18652" s="3" t="n">
        <v>-5335.65</v>
      </c>
      <c r="G18652" s="3" t="n">
        <v>-25444.72</v>
      </c>
    </row>
    <row r="18653">
      <c r="A18653" s="3" t="inlineStr">
        <is>
          <t>Quinate Consulting (Pty) Ltd</t>
        </is>
      </c>
      <c r="B18653" s="4" t="n">
        <v>45351</v>
      </c>
      <c r="C18653" s="3" t="inlineStr">
        <is>
          <t>Revenue</t>
        </is>
      </c>
      <c r="D18653" s="3" t="inlineStr">
        <is>
          <t>1006/100</t>
        </is>
      </c>
      <c r="E18653" s="3" t="inlineStr">
        <is>
          <t>Rental income - Payprop</t>
        </is>
      </c>
      <c r="F18653" s="3" t="n">
        <v>-67000</v>
      </c>
      <c r="G18653" s="3" t="n">
        <v>-592238.74</v>
      </c>
    </row>
    <row r="18654">
      <c r="A18654" s="3" t="inlineStr">
        <is>
          <t>Quinate Consulting (Pty) Ltd</t>
        </is>
      </c>
      <c r="B18654" s="4" t="n">
        <v>45351</v>
      </c>
      <c r="C18654" s="3" t="inlineStr">
        <is>
          <t>Revenue</t>
        </is>
      </c>
      <c r="D18654" s="3" t="inlineStr">
        <is>
          <t>1006/110</t>
        </is>
      </c>
      <c r="E18654" s="3" t="inlineStr">
        <is>
          <t>Rental Income - E201</t>
        </is>
      </c>
      <c r="F18654" s="3" t="n">
        <v>0</v>
      </c>
      <c r="G18654" s="3" t="n">
        <v>-59000</v>
      </c>
    </row>
    <row r="18655">
      <c r="A18655" s="3" t="inlineStr">
        <is>
          <t>Quinate Consulting (Pty) Ltd</t>
        </is>
      </c>
      <c r="B18655" s="4" t="n">
        <v>45351</v>
      </c>
      <c r="C18655" s="3" t="inlineStr">
        <is>
          <t>Revenue</t>
        </is>
      </c>
      <c r="D18655" s="3" t="inlineStr">
        <is>
          <t>1006/120</t>
        </is>
      </c>
      <c r="E18655" s="3" t="inlineStr">
        <is>
          <t>Rental Income - D203</t>
        </is>
      </c>
      <c r="F18655" s="3" t="n">
        <v>0</v>
      </c>
      <c r="G18655" s="3" t="n">
        <v>-65000</v>
      </c>
    </row>
    <row r="18656">
      <c r="A18656" s="3" t="inlineStr">
        <is>
          <t>Quinate Consulting (Pty) Ltd</t>
        </is>
      </c>
      <c r="B18656" s="4" t="n">
        <v>45351</v>
      </c>
      <c r="C18656" s="3" t="inlineStr">
        <is>
          <t>Revenue</t>
        </is>
      </c>
      <c r="D18656" s="3" t="inlineStr">
        <is>
          <t>1006/130</t>
        </is>
      </c>
      <c r="E18656" s="3" t="inlineStr">
        <is>
          <t>Rental Income - C301</t>
        </is>
      </c>
      <c r="F18656" s="3" t="n">
        <v>0</v>
      </c>
      <c r="G18656" s="3" t="n">
        <v>-19000</v>
      </c>
    </row>
    <row r="18657">
      <c r="A18657" s="3" t="inlineStr">
        <is>
          <t>Quinate Consulting (Pty) Ltd</t>
        </is>
      </c>
      <c r="B18657" s="4" t="n">
        <v>45351</v>
      </c>
      <c r="C18657" s="3" t="inlineStr">
        <is>
          <t>Revenue</t>
        </is>
      </c>
      <c r="D18657" s="3" t="inlineStr">
        <is>
          <t>1006/140</t>
        </is>
      </c>
      <c r="E18657" s="3" t="inlineStr">
        <is>
          <t>Rental Income - A108</t>
        </is>
      </c>
      <c r="F18657" s="3" t="n">
        <v>0</v>
      </c>
      <c r="G18657" s="3" t="n">
        <v>-72000</v>
      </c>
    </row>
    <row r="18658">
      <c r="A18658" s="3" t="inlineStr">
        <is>
          <t>Quinate Consulting (Pty) Ltd</t>
        </is>
      </c>
      <c r="B18658" s="4" t="n">
        <v>45351</v>
      </c>
      <c r="C18658" s="3" t="inlineStr">
        <is>
          <t>Revenue</t>
        </is>
      </c>
      <c r="D18658" s="3" t="inlineStr">
        <is>
          <t>1006/150</t>
        </is>
      </c>
      <c r="E18658" s="3" t="inlineStr">
        <is>
          <t>Rental Income - A303</t>
        </is>
      </c>
      <c r="F18658" s="3" t="n">
        <v>0</v>
      </c>
      <c r="G18658" s="3" t="n">
        <v>-37000</v>
      </c>
    </row>
    <row r="18659">
      <c r="A18659" s="3" t="inlineStr">
        <is>
          <t>Quinate Consulting (Pty) Ltd</t>
        </is>
      </c>
      <c r="B18659" s="4" t="n">
        <v>45351</v>
      </c>
      <c r="C18659" s="3" t="inlineStr">
        <is>
          <t>Revenue</t>
        </is>
      </c>
      <c r="D18659" s="3" t="inlineStr">
        <is>
          <t>1006/160</t>
        </is>
      </c>
      <c r="E18659" s="3" t="inlineStr">
        <is>
          <t>Rental Income - A306</t>
        </is>
      </c>
      <c r="F18659" s="3" t="n">
        <v>0</v>
      </c>
      <c r="G18659" s="3" t="n">
        <v>-38030</v>
      </c>
    </row>
    <row r="18660">
      <c r="A18660" s="3" t="inlineStr">
        <is>
          <t>Quinate Consulting (Pty) Ltd</t>
        </is>
      </c>
      <c r="B18660" s="4" t="n">
        <v>45351</v>
      </c>
      <c r="C18660" s="3" t="inlineStr">
        <is>
          <t>Revenue</t>
        </is>
      </c>
      <c r="D18660" s="3" t="inlineStr">
        <is>
          <t>1006/170</t>
        </is>
      </c>
      <c r="E18660" s="3" t="inlineStr">
        <is>
          <t>Rental Income - C102</t>
        </is>
      </c>
      <c r="F18660" s="3" t="n">
        <v>0</v>
      </c>
      <c r="G18660" s="3" t="n">
        <v>-72000</v>
      </c>
    </row>
    <row r="18661">
      <c r="A18661" s="3" t="inlineStr">
        <is>
          <t>Quinate Consulting (Pty) Ltd</t>
        </is>
      </c>
      <c r="B18661" s="4" t="n">
        <v>45351</v>
      </c>
      <c r="C18661" s="3" t="inlineStr">
        <is>
          <t>Revenue</t>
        </is>
      </c>
      <c r="D18661" s="3" t="inlineStr">
        <is>
          <t>1006/180</t>
        </is>
      </c>
      <c r="E18661" s="3" t="inlineStr">
        <is>
          <t>Rental Income - A307</t>
        </is>
      </c>
      <c r="F18661" s="3" t="n">
        <v>0</v>
      </c>
      <c r="G18661" s="3" t="n">
        <v>-37000</v>
      </c>
    </row>
    <row r="18662">
      <c r="A18662" s="3" t="inlineStr">
        <is>
          <t>Quinate Consulting (Pty) Ltd</t>
        </is>
      </c>
      <c r="B18662" s="4" t="n">
        <v>45351</v>
      </c>
      <c r="C18662" s="3" t="inlineStr">
        <is>
          <t>Revenue</t>
        </is>
      </c>
      <c r="D18662" s="3" t="inlineStr">
        <is>
          <t>1006/190</t>
        </is>
      </c>
      <c r="E18662" s="3" t="inlineStr">
        <is>
          <t>Rental Income - A209</t>
        </is>
      </c>
      <c r="F18662" s="3" t="n">
        <v>0</v>
      </c>
      <c r="G18662" s="3" t="n">
        <v>-82989.12</v>
      </c>
    </row>
    <row r="18663">
      <c r="A18663" s="3" t="inlineStr">
        <is>
          <t>Endulini (Pty) Ltd</t>
        </is>
      </c>
      <c r="B18663" s="4" t="n">
        <v>45351</v>
      </c>
      <c r="C18663" s="3" t="inlineStr">
        <is>
          <t>Revenue</t>
        </is>
      </c>
      <c r="D18663" s="3" t="inlineStr">
        <is>
          <t>1100/000</t>
        </is>
      </c>
      <c r="E18663" s="3" t="inlineStr">
        <is>
          <t>Sales - Endulini</t>
        </is>
      </c>
      <c r="F18663" s="3" t="n">
        <v>0</v>
      </c>
      <c r="G18663" s="3" t="n">
        <v>-10668869.56</v>
      </c>
    </row>
    <row r="18664">
      <c r="A18664" s="3" t="inlineStr">
        <is>
          <t>Opportunity Management Holdings (PTY) LTD</t>
        </is>
      </c>
      <c r="B18664" s="4" t="n">
        <v>45351</v>
      </c>
      <c r="C18664" s="3" t="inlineStr">
        <is>
          <t>Revenue</t>
        </is>
      </c>
      <c r="D18664" s="3" t="inlineStr">
        <is>
          <t>1100/001</t>
        </is>
      </c>
      <c r="E18664" s="3" t="inlineStr">
        <is>
          <t>Salary Recharges</t>
        </is>
      </c>
      <c r="F18664" s="3" t="n">
        <v>-327712.16</v>
      </c>
      <c r="G18664" s="3" t="n">
        <v>-2018940.35</v>
      </c>
    </row>
    <row r="18665">
      <c r="A18665" s="3" t="inlineStr">
        <is>
          <t>Endulini (Pty) Ltd</t>
        </is>
      </c>
      <c r="B18665" s="4" t="n">
        <v>45351</v>
      </c>
      <c r="C18665" s="3" t="inlineStr">
        <is>
          <t>Revenue</t>
        </is>
      </c>
      <c r="D18665" s="3" t="inlineStr">
        <is>
          <t>1100/200</t>
        </is>
      </c>
      <c r="E18665" s="3" t="inlineStr">
        <is>
          <t>Sales - Endulini occupational rent</t>
        </is>
      </c>
      <c r="F18665" s="3" t="n">
        <v>0</v>
      </c>
      <c r="G18665" s="3" t="n">
        <v>1679.94</v>
      </c>
    </row>
    <row r="18666">
      <c r="A18666" s="3" t="inlineStr">
        <is>
          <t>Endulini (Pty) Ltd</t>
        </is>
      </c>
      <c r="B18666" s="4" t="n">
        <v>45351</v>
      </c>
      <c r="C18666" s="3" t="inlineStr">
        <is>
          <t>Expenses</t>
        </is>
      </c>
      <c r="D18666" s="3" t="inlineStr">
        <is>
          <t>2000/001</t>
        </is>
      </c>
      <c r="E18666" s="3" t="inlineStr">
        <is>
          <t>COS - CIP Construction</t>
        </is>
      </c>
      <c r="F18666" s="3" t="n">
        <v>0</v>
      </c>
      <c r="G18666" s="3" t="n">
        <v>2000</v>
      </c>
    </row>
    <row r="18667">
      <c r="A18667" s="3" t="inlineStr">
        <is>
          <t>Quinate Consulting (Pty) Ltd</t>
        </is>
      </c>
      <c r="B18667" s="4" t="n">
        <v>45351</v>
      </c>
      <c r="C18667" s="3" t="inlineStr">
        <is>
          <t>Expenses</t>
        </is>
      </c>
      <c r="D18667" s="3" t="inlineStr">
        <is>
          <t>2000/009</t>
        </is>
      </c>
      <c r="E18667" s="3" t="inlineStr">
        <is>
          <t>COS - Admin fees</t>
        </is>
      </c>
      <c r="F18667" s="3" t="n">
        <v>0</v>
      </c>
      <c r="G18667" s="3" t="n">
        <v>869.5700000000001</v>
      </c>
    </row>
    <row r="18668">
      <c r="A18668" s="3" t="inlineStr">
        <is>
          <t>Opportunity Global Property (PTY) LTD</t>
        </is>
      </c>
      <c r="B18668" s="4" t="n">
        <v>45351</v>
      </c>
      <c r="C18668" s="3" t="inlineStr">
        <is>
          <t>Expenses</t>
        </is>
      </c>
      <c r="D18668" s="3" t="inlineStr">
        <is>
          <t>2000/010</t>
        </is>
      </c>
      <c r="E18668" s="3" t="inlineStr">
        <is>
          <t>COS - PAYE on Commission</t>
        </is>
      </c>
      <c r="F18668" s="3" t="n">
        <v>17790.32</v>
      </c>
      <c r="G18668" s="3" t="n">
        <v>295914.43</v>
      </c>
    </row>
    <row r="18669">
      <c r="A18669" s="3" t="inlineStr">
        <is>
          <t>Opportunity Global Sales (PTY) LTD</t>
        </is>
      </c>
      <c r="B18669" s="4" t="n">
        <v>45351</v>
      </c>
      <c r="C18669" s="3" t="inlineStr">
        <is>
          <t>Expenses</t>
        </is>
      </c>
      <c r="D18669" s="3" t="inlineStr">
        <is>
          <t>2000/010</t>
        </is>
      </c>
      <c r="E18669" s="3" t="inlineStr">
        <is>
          <t>COS - PAYE on Commission</t>
        </is>
      </c>
      <c r="F18669" s="3" t="n">
        <v>17790.32</v>
      </c>
      <c r="G18669" s="3" t="n">
        <v>295914.43</v>
      </c>
    </row>
    <row r="18670">
      <c r="A18670" s="3" t="inlineStr">
        <is>
          <t>Quinate Consulting (Pty) Ltd</t>
        </is>
      </c>
      <c r="B18670" s="4" t="n">
        <v>45351</v>
      </c>
      <c r="C18670" s="3" t="inlineStr">
        <is>
          <t>Expenses</t>
        </is>
      </c>
      <c r="D18670" s="3" t="inlineStr">
        <is>
          <t>2000/060</t>
        </is>
      </c>
      <c r="E18670" s="3" t="inlineStr">
        <is>
          <t>COS - Commission Endulini</t>
        </is>
      </c>
      <c r="F18670" s="3" t="n">
        <v>0</v>
      </c>
      <c r="G18670" s="3" t="n">
        <v>11382.61</v>
      </c>
    </row>
    <row r="18671">
      <c r="A18671" s="3" t="inlineStr">
        <is>
          <t>Endulini (Pty) Ltd</t>
        </is>
      </c>
      <c r="B18671" s="4" t="n">
        <v>45351</v>
      </c>
      <c r="C18671" s="3" t="inlineStr">
        <is>
          <t>Expenses</t>
        </is>
      </c>
      <c r="D18671" s="3" t="inlineStr">
        <is>
          <t>2000/100</t>
        </is>
      </c>
      <c r="E18671" s="3" t="inlineStr">
        <is>
          <t>COS - Commission Endulini</t>
        </is>
      </c>
      <c r="F18671" s="3" t="n">
        <v>0</v>
      </c>
      <c r="G18671" s="3" t="n">
        <v>196943.48</v>
      </c>
    </row>
    <row r="18672">
      <c r="A18672" s="3" t="inlineStr">
        <is>
          <t>Noble Shield (Pty) Ltd ta Go Letting</t>
        </is>
      </c>
      <c r="B18672" s="4" t="n">
        <v>45351</v>
      </c>
      <c r="C18672" s="3" t="inlineStr">
        <is>
          <t>Expenses</t>
        </is>
      </c>
      <c r="D18672" s="3" t="inlineStr">
        <is>
          <t>2000/100</t>
        </is>
      </c>
      <c r="E18672" s="3" t="inlineStr">
        <is>
          <t>COS - Commission Paid</t>
        </is>
      </c>
      <c r="F18672" s="3" t="n">
        <v>15650.88</v>
      </c>
      <c r="G18672" s="3" t="n">
        <v>93978.78</v>
      </c>
    </row>
    <row r="18673">
      <c r="A18673" s="3" t="inlineStr">
        <is>
          <t>Opportunity Global Property (PTY) LTD</t>
        </is>
      </c>
      <c r="B18673" s="4" t="n">
        <v>45351</v>
      </c>
      <c r="C18673" s="3" t="inlineStr">
        <is>
          <t>Expenses</t>
        </is>
      </c>
      <c r="D18673" s="3" t="inlineStr">
        <is>
          <t>2000/125</t>
        </is>
      </c>
      <c r="E18673" s="3" t="inlineStr">
        <is>
          <t>Commission Paid - Referal commission</t>
        </is>
      </c>
      <c r="F18673" s="3" t="n">
        <v>0</v>
      </c>
      <c r="G18673" s="3" t="n">
        <v>75342.61</v>
      </c>
    </row>
    <row r="18674">
      <c r="A18674" s="3" t="inlineStr">
        <is>
          <t>Opportunity Global Sales (PTY) LTD</t>
        </is>
      </c>
      <c r="B18674" s="4" t="n">
        <v>45351</v>
      </c>
      <c r="C18674" s="3" t="inlineStr">
        <is>
          <t>Expenses</t>
        </is>
      </c>
      <c r="D18674" s="3" t="inlineStr">
        <is>
          <t>2000/125</t>
        </is>
      </c>
      <c r="E18674" s="3" t="inlineStr">
        <is>
          <t>Commission Paid - Referal commission</t>
        </is>
      </c>
      <c r="F18674" s="3" t="n">
        <v>0</v>
      </c>
      <c r="G18674" s="3" t="n">
        <v>75342.61</v>
      </c>
    </row>
    <row r="18675">
      <c r="A18675" s="3" t="inlineStr">
        <is>
          <t>Opportunity Global Property (PTY) LTD</t>
        </is>
      </c>
      <c r="B18675" s="4" t="n">
        <v>45351</v>
      </c>
      <c r="C18675" s="3" t="inlineStr">
        <is>
          <t>Expenses</t>
        </is>
      </c>
      <c r="D18675" s="3" t="inlineStr">
        <is>
          <t>2000/135</t>
        </is>
      </c>
      <c r="E18675" s="3" t="inlineStr">
        <is>
          <t>COS - Sales Comm External - Minette</t>
        </is>
      </c>
      <c r="F18675" s="3" t="n">
        <v>8000</v>
      </c>
      <c r="G18675" s="3" t="n">
        <v>65739.13</v>
      </c>
    </row>
    <row r="18676">
      <c r="A18676" s="3" t="inlineStr">
        <is>
          <t>Opportunity Global Sales (PTY) LTD</t>
        </is>
      </c>
      <c r="B18676" s="4" t="n">
        <v>45351</v>
      </c>
      <c r="C18676" s="3" t="inlineStr">
        <is>
          <t>Expenses</t>
        </is>
      </c>
      <c r="D18676" s="3" t="inlineStr">
        <is>
          <t>2000/135</t>
        </is>
      </c>
      <c r="E18676" s="3" t="inlineStr">
        <is>
          <t>COS - Sales Comm External - Minette</t>
        </is>
      </c>
      <c r="F18676" s="3" t="n">
        <v>8000</v>
      </c>
      <c r="G18676" s="3" t="n">
        <v>65739.13</v>
      </c>
    </row>
    <row r="18677">
      <c r="A18677" s="3" t="inlineStr">
        <is>
          <t>Opportunity Global Investment (PTY) LTD</t>
        </is>
      </c>
      <c r="B18677" s="4" t="n">
        <v>45351</v>
      </c>
      <c r="C18677" s="3" t="inlineStr">
        <is>
          <t>Expenses</t>
        </is>
      </c>
      <c r="D18677" s="3" t="inlineStr">
        <is>
          <t>2000/135</t>
        </is>
      </c>
      <c r="E18677" s="3" t="inlineStr">
        <is>
          <t>Referral commission - Heron View</t>
        </is>
      </c>
      <c r="F18677" s="3" t="n">
        <v>0</v>
      </c>
      <c r="G18677" s="3" t="n">
        <v>72231.21000000001</v>
      </c>
    </row>
    <row r="18678">
      <c r="A18678" s="3" t="inlineStr">
        <is>
          <t>Opportunity Private Capital (PTY) LTD</t>
        </is>
      </c>
      <c r="B18678" s="4" t="n">
        <v>45351</v>
      </c>
      <c r="C18678" s="3" t="inlineStr">
        <is>
          <t>Expenses</t>
        </is>
      </c>
      <c r="D18678" s="3" t="inlineStr">
        <is>
          <t>2000/135</t>
        </is>
      </c>
      <c r="E18678" s="3" t="inlineStr">
        <is>
          <t>Referral commission - Heron View</t>
        </is>
      </c>
      <c r="F18678" s="3" t="n">
        <v>0</v>
      </c>
      <c r="G18678" s="3" t="n">
        <v>72231.21000000001</v>
      </c>
    </row>
    <row r="18679">
      <c r="A18679" s="3" t="inlineStr">
        <is>
          <t>Opportunity Global Property (PTY) LTD</t>
        </is>
      </c>
      <c r="B18679" s="4" t="n">
        <v>45351</v>
      </c>
      <c r="C18679" s="3" t="inlineStr">
        <is>
          <t>Expenses</t>
        </is>
      </c>
      <c r="D18679" s="3" t="inlineStr">
        <is>
          <t>2000/137</t>
        </is>
      </c>
      <c r="E18679" s="3" t="inlineStr">
        <is>
          <t>COS - Rental Comm External - Minette</t>
        </is>
      </c>
      <c r="F18679" s="3" t="n">
        <v>21062.27</v>
      </c>
      <c r="G18679" s="3" t="n">
        <v>261979.25</v>
      </c>
    </row>
    <row r="18680">
      <c r="A18680" s="3" t="inlineStr">
        <is>
          <t>Opportunity Global Sales (PTY) LTD</t>
        </is>
      </c>
      <c r="B18680" s="4" t="n">
        <v>45351</v>
      </c>
      <c r="C18680" s="3" t="inlineStr">
        <is>
          <t>Expenses</t>
        </is>
      </c>
      <c r="D18680" s="3" t="inlineStr">
        <is>
          <t>2000/137</t>
        </is>
      </c>
      <c r="E18680" s="3" t="inlineStr">
        <is>
          <t>COS - Rental Comm External - Minette</t>
        </is>
      </c>
      <c r="F18680" s="3" t="n">
        <v>21062.27</v>
      </c>
      <c r="G18680" s="3" t="n">
        <v>261979.25</v>
      </c>
    </row>
    <row r="18681">
      <c r="A18681" s="3" t="inlineStr">
        <is>
          <t>Opportunity Global Property (PTY) LTD</t>
        </is>
      </c>
      <c r="B18681" s="4" t="n">
        <v>45351</v>
      </c>
      <c r="C18681" s="3" t="inlineStr">
        <is>
          <t>Expenses</t>
        </is>
      </c>
      <c r="D18681" s="3" t="inlineStr">
        <is>
          <t>2000/139</t>
        </is>
      </c>
      <c r="E18681" s="3" t="inlineStr">
        <is>
          <t>COS - Sales Comm Heron Fields - Minette</t>
        </is>
      </c>
      <c r="F18681" s="3" t="n">
        <v>0</v>
      </c>
      <c r="G18681" s="3" t="n">
        <v>68099.48</v>
      </c>
    </row>
    <row r="18682">
      <c r="A18682" s="3" t="inlineStr">
        <is>
          <t>Opportunity Global Sales (PTY) LTD</t>
        </is>
      </c>
      <c r="B18682" s="4" t="n">
        <v>45351</v>
      </c>
      <c r="C18682" s="3" t="inlineStr">
        <is>
          <t>Expenses</t>
        </is>
      </c>
      <c r="D18682" s="3" t="inlineStr">
        <is>
          <t>2000/139</t>
        </is>
      </c>
      <c r="E18682" s="3" t="inlineStr">
        <is>
          <t>COS - Sales Comm Heron Fields - Minette</t>
        </is>
      </c>
      <c r="F18682" s="3" t="n">
        <v>0</v>
      </c>
      <c r="G18682" s="3" t="n">
        <v>68099.48</v>
      </c>
    </row>
    <row r="18683">
      <c r="A18683" s="3" t="inlineStr">
        <is>
          <t>Opportunity Global Investment (PTY) LTD</t>
        </is>
      </c>
      <c r="B18683" s="4" t="n">
        <v>45351</v>
      </c>
      <c r="C18683" s="3" t="inlineStr">
        <is>
          <t>Expenses</t>
        </is>
      </c>
      <c r="D18683" s="3" t="inlineStr">
        <is>
          <t>2000/140</t>
        </is>
      </c>
      <c r="E18683" s="3" t="inlineStr">
        <is>
          <t>Referral commission - F Geldenhuys</t>
        </is>
      </c>
      <c r="F18683" s="3" t="n">
        <v>0</v>
      </c>
      <c r="G18683" s="3" t="n">
        <v>89400</v>
      </c>
    </row>
    <row r="18684">
      <c r="A18684" s="3" t="inlineStr">
        <is>
          <t>Opportunity Private Capital (PTY) LTD</t>
        </is>
      </c>
      <c r="B18684" s="4" t="n">
        <v>45351</v>
      </c>
      <c r="C18684" s="3" t="inlineStr">
        <is>
          <t>Expenses</t>
        </is>
      </c>
      <c r="D18684" s="3" t="inlineStr">
        <is>
          <t>2000/140</t>
        </is>
      </c>
      <c r="E18684" s="3" t="inlineStr">
        <is>
          <t>Referral commission - F Geldenhuys</t>
        </is>
      </c>
      <c r="F18684" s="3" t="n">
        <v>0</v>
      </c>
      <c r="G18684" s="3" t="n">
        <v>89400</v>
      </c>
    </row>
    <row r="18685">
      <c r="A18685" s="3" t="inlineStr">
        <is>
          <t>Opportunity Global Investment (PTY) LTD</t>
        </is>
      </c>
      <c r="B18685" s="4" t="n">
        <v>45351</v>
      </c>
      <c r="C18685" s="3" t="inlineStr">
        <is>
          <t>Expenses</t>
        </is>
      </c>
      <c r="D18685" s="3" t="inlineStr">
        <is>
          <t>2000/145</t>
        </is>
      </c>
      <c r="E18685" s="3" t="inlineStr">
        <is>
          <t>Referral commission - W Thomason</t>
        </is>
      </c>
      <c r="F18685" s="3" t="n">
        <v>0</v>
      </c>
      <c r="G18685" s="3" t="n">
        <v>12000</v>
      </c>
    </row>
    <row r="18686">
      <c r="A18686" s="3" t="inlineStr">
        <is>
          <t>Opportunity Private Capital (PTY) LTD</t>
        </is>
      </c>
      <c r="B18686" s="4" t="n">
        <v>45351</v>
      </c>
      <c r="C18686" s="3" t="inlineStr">
        <is>
          <t>Expenses</t>
        </is>
      </c>
      <c r="D18686" s="3" t="inlineStr">
        <is>
          <t>2000/145</t>
        </is>
      </c>
      <c r="E18686" s="3" t="inlineStr">
        <is>
          <t>Referral commission - W Thomason</t>
        </is>
      </c>
      <c r="F18686" s="3" t="n">
        <v>0</v>
      </c>
      <c r="G18686" s="3" t="n">
        <v>12000</v>
      </c>
    </row>
    <row r="18687">
      <c r="A18687" s="3" t="inlineStr">
        <is>
          <t>Opportunity Global Property (PTY) LTD</t>
        </is>
      </c>
      <c r="B18687" s="4" t="n">
        <v>45351</v>
      </c>
      <c r="C18687" s="3" t="inlineStr">
        <is>
          <t>Expenses</t>
        </is>
      </c>
      <c r="D18687" s="3" t="inlineStr">
        <is>
          <t>2000/147</t>
        </is>
      </c>
      <c r="E18687" s="3" t="inlineStr">
        <is>
          <t>COS - Sales Comm Heron Fields - Yvette</t>
        </is>
      </c>
      <c r="F18687" s="3" t="n">
        <v>0</v>
      </c>
      <c r="G18687" s="3" t="n">
        <v>185656.48</v>
      </c>
    </row>
    <row r="18688">
      <c r="A18688" s="3" t="inlineStr">
        <is>
          <t>Opportunity Global Sales (PTY) LTD</t>
        </is>
      </c>
      <c r="B18688" s="4" t="n">
        <v>45351</v>
      </c>
      <c r="C18688" s="3" t="inlineStr">
        <is>
          <t>Expenses</t>
        </is>
      </c>
      <c r="D18688" s="3" t="inlineStr">
        <is>
          <t>2000/147</t>
        </is>
      </c>
      <c r="E18688" s="3" t="inlineStr">
        <is>
          <t>COS - Sales Comm Heron Fields - Yvette</t>
        </is>
      </c>
      <c r="F18688" s="3" t="n">
        <v>0</v>
      </c>
      <c r="G18688" s="3" t="n">
        <v>185656.48</v>
      </c>
    </row>
    <row r="18689">
      <c r="A18689" s="3" t="inlineStr">
        <is>
          <t>Endulini (Pty) Ltd</t>
        </is>
      </c>
      <c r="B18689" s="4" t="n">
        <v>45351</v>
      </c>
      <c r="C18689" s="3" t="inlineStr">
        <is>
          <t>Expenses</t>
        </is>
      </c>
      <c r="D18689" s="3" t="inlineStr">
        <is>
          <t>2000/150</t>
        </is>
      </c>
      <c r="E18689" s="3" t="inlineStr">
        <is>
          <t>COS - Levies special agreement</t>
        </is>
      </c>
      <c r="F18689" s="3" t="n">
        <v>2267.05</v>
      </c>
      <c r="G18689" s="3" t="n">
        <v>74508.59</v>
      </c>
    </row>
    <row r="18690">
      <c r="A18690" s="3" t="inlineStr">
        <is>
          <t>Opportunity Global Property (PTY) LTD</t>
        </is>
      </c>
      <c r="B18690" s="4" t="n">
        <v>45351</v>
      </c>
      <c r="C18690" s="3" t="inlineStr">
        <is>
          <t>Expenses</t>
        </is>
      </c>
      <c r="D18690" s="3" t="inlineStr">
        <is>
          <t>2000/160</t>
        </is>
      </c>
      <c r="E18690" s="3" t="inlineStr">
        <is>
          <t>COS - Sales Comm Heron View - Minette</t>
        </is>
      </c>
      <c r="F18690" s="3" t="n">
        <v>23511.64</v>
      </c>
      <c r="G18690" s="3" t="n">
        <v>369159.62</v>
      </c>
    </row>
    <row r="18691">
      <c r="A18691" s="3" t="inlineStr">
        <is>
          <t>Opportunity Global Sales (PTY) LTD</t>
        </is>
      </c>
      <c r="B18691" s="4" t="n">
        <v>45351</v>
      </c>
      <c r="C18691" s="3" t="inlineStr">
        <is>
          <t>Expenses</t>
        </is>
      </c>
      <c r="D18691" s="3" t="inlineStr">
        <is>
          <t>2000/160</t>
        </is>
      </c>
      <c r="E18691" s="3" t="inlineStr">
        <is>
          <t>COS - Sales Comm Heron View - Minette</t>
        </is>
      </c>
      <c r="F18691" s="3" t="n">
        <v>23511.64</v>
      </c>
      <c r="G18691" s="3" t="n">
        <v>369159.62</v>
      </c>
    </row>
    <row r="18692">
      <c r="A18692" s="3" t="inlineStr">
        <is>
          <t>Opportunity Global Property (PTY) LTD</t>
        </is>
      </c>
      <c r="B18692" s="4" t="n">
        <v>45351</v>
      </c>
      <c r="C18692" s="3" t="inlineStr">
        <is>
          <t>Expenses</t>
        </is>
      </c>
      <c r="D18692" s="3" t="inlineStr">
        <is>
          <t>2000/162</t>
        </is>
      </c>
      <c r="E18692" s="3" t="inlineStr">
        <is>
          <t>COS - Sales Comm Heron View - Yvette</t>
        </is>
      </c>
      <c r="F18692" s="3" t="n">
        <v>16161.37</v>
      </c>
      <c r="G18692" s="3" t="n">
        <v>267946.05</v>
      </c>
    </row>
    <row r="18693">
      <c r="A18693" s="3" t="inlineStr">
        <is>
          <t>Opportunity Global Sales (PTY) LTD</t>
        </is>
      </c>
      <c r="B18693" s="4" t="n">
        <v>45351</v>
      </c>
      <c r="C18693" s="3" t="inlineStr">
        <is>
          <t>Expenses</t>
        </is>
      </c>
      <c r="D18693" s="3" t="inlineStr">
        <is>
          <t>2000/162</t>
        </is>
      </c>
      <c r="E18693" s="3" t="inlineStr">
        <is>
          <t>COS - Sales Comm Heron View - Yvette</t>
        </is>
      </c>
      <c r="F18693" s="3" t="n">
        <v>16161.37</v>
      </c>
      <c r="G18693" s="3" t="n">
        <v>267946.05</v>
      </c>
    </row>
    <row r="18694">
      <c r="A18694" s="3" t="inlineStr">
        <is>
          <t>Opportunity Global Property (PTY) LTD</t>
        </is>
      </c>
      <c r="B18694" s="4" t="n">
        <v>45351</v>
      </c>
      <c r="C18694" s="3" t="inlineStr">
        <is>
          <t>Expenses</t>
        </is>
      </c>
      <c r="D18694" s="3" t="inlineStr">
        <is>
          <t>2000/165</t>
        </is>
      </c>
      <c r="E18694" s="3" t="inlineStr">
        <is>
          <t>COS - Sales Comm External - Yvette</t>
        </is>
      </c>
      <c r="F18694" s="3" t="n">
        <v>0</v>
      </c>
      <c r="G18694" s="3" t="n">
        <v>5885.55</v>
      </c>
    </row>
    <row r="18695">
      <c r="A18695" s="3" t="inlineStr">
        <is>
          <t>Opportunity Global Sales (PTY) LTD</t>
        </is>
      </c>
      <c r="B18695" s="4" t="n">
        <v>45351</v>
      </c>
      <c r="C18695" s="3" t="inlineStr">
        <is>
          <t>Expenses</t>
        </is>
      </c>
      <c r="D18695" s="3" t="inlineStr">
        <is>
          <t>2000/165</t>
        </is>
      </c>
      <c r="E18695" s="3" t="inlineStr">
        <is>
          <t>COS - Sales Comm External - Yvette</t>
        </is>
      </c>
      <c r="F18695" s="3" t="n">
        <v>0</v>
      </c>
      <c r="G18695" s="3" t="n">
        <v>5885.55</v>
      </c>
    </row>
    <row r="18696">
      <c r="A18696" s="3" t="inlineStr">
        <is>
          <t>Opportunity Global Property (PTY) LTD</t>
        </is>
      </c>
      <c r="B18696" s="4" t="n">
        <v>45351</v>
      </c>
      <c r="C18696" s="3" t="inlineStr">
        <is>
          <t>Expenses</t>
        </is>
      </c>
      <c r="D18696" s="3" t="inlineStr">
        <is>
          <t>2000/166</t>
        </is>
      </c>
      <c r="E18696" s="3" t="inlineStr">
        <is>
          <t>COS - Sales Comm Heron View - Morne</t>
        </is>
      </c>
      <c r="F18696" s="3" t="n">
        <v>39910.42</v>
      </c>
      <c r="G18696" s="3" t="n">
        <v>123644.3</v>
      </c>
    </row>
    <row r="18697">
      <c r="A18697" s="3" t="inlineStr">
        <is>
          <t>Opportunity Global Sales (PTY) LTD</t>
        </is>
      </c>
      <c r="B18697" s="4" t="n">
        <v>45351</v>
      </c>
      <c r="C18697" s="3" t="inlineStr">
        <is>
          <t>Expenses</t>
        </is>
      </c>
      <c r="D18697" s="3" t="inlineStr">
        <is>
          <t>2000/166</t>
        </is>
      </c>
      <c r="E18697" s="3" t="inlineStr">
        <is>
          <t>COS - Sales Comm Heron View - Morne</t>
        </is>
      </c>
      <c r="F18697" s="3" t="n">
        <v>39910.42</v>
      </c>
      <c r="G18697" s="3" t="n">
        <v>123644.3</v>
      </c>
    </row>
    <row r="18698">
      <c r="A18698" s="3" t="inlineStr">
        <is>
          <t>Opportunity Global Property (PTY) LTD</t>
        </is>
      </c>
      <c r="B18698" s="4" t="n">
        <v>45351</v>
      </c>
      <c r="C18698" s="3" t="inlineStr">
        <is>
          <t>Expenses</t>
        </is>
      </c>
      <c r="D18698" s="3" t="inlineStr">
        <is>
          <t>2000/167</t>
        </is>
      </c>
      <c r="E18698" s="3" t="inlineStr">
        <is>
          <t>COS - Sales Comm Endulini - Morne</t>
        </is>
      </c>
      <c r="F18698" s="3" t="n">
        <v>0</v>
      </c>
      <c r="G18698" s="3" t="n">
        <v>12173.05</v>
      </c>
    </row>
    <row r="18699">
      <c r="A18699" s="3" t="inlineStr">
        <is>
          <t>Opportunity Global Sales (PTY) LTD</t>
        </is>
      </c>
      <c r="B18699" s="4" t="n">
        <v>45351</v>
      </c>
      <c r="C18699" s="3" t="inlineStr">
        <is>
          <t>Expenses</t>
        </is>
      </c>
      <c r="D18699" s="3" t="inlineStr">
        <is>
          <t>2000/167</t>
        </is>
      </c>
      <c r="E18699" s="3" t="inlineStr">
        <is>
          <t>COS - Sales Comm Endulini - Morne</t>
        </is>
      </c>
      <c r="F18699" s="3" t="n">
        <v>0</v>
      </c>
      <c r="G18699" s="3" t="n">
        <v>12173.05</v>
      </c>
    </row>
    <row r="18700">
      <c r="A18700" s="3" t="inlineStr">
        <is>
          <t>Noble Shield (Pty) Ltd ta Go Letting</t>
        </is>
      </c>
      <c r="B18700" s="4" t="n">
        <v>45351</v>
      </c>
      <c r="C18700" s="3" t="inlineStr">
        <is>
          <t>Expenses</t>
        </is>
      </c>
      <c r="D18700" s="3" t="inlineStr">
        <is>
          <t>2000/200</t>
        </is>
      </c>
      <c r="E18700" s="3" t="inlineStr">
        <is>
          <t>COS - Commission on external sales</t>
        </is>
      </c>
      <c r="F18700" s="3" t="n">
        <v>0</v>
      </c>
      <c r="G18700" s="3" t="n">
        <v>115400</v>
      </c>
    </row>
    <row r="18701">
      <c r="A18701" s="3" t="inlineStr">
        <is>
          <t>Endulini (Pty) Ltd</t>
        </is>
      </c>
      <c r="B18701" s="4" t="n">
        <v>45351</v>
      </c>
      <c r="C18701" s="3" t="inlineStr">
        <is>
          <t>Expenses</t>
        </is>
      </c>
      <c r="D18701" s="3" t="inlineStr">
        <is>
          <t>2000/200</t>
        </is>
      </c>
      <c r="E18701" s="3" t="inlineStr">
        <is>
          <t>COS - Rates clearance</t>
        </is>
      </c>
      <c r="F18701" s="3" t="n">
        <v>0</v>
      </c>
      <c r="G18701" s="3" t="n">
        <v>65240.02</v>
      </c>
    </row>
    <row r="18702">
      <c r="A18702" s="3" t="inlineStr">
        <is>
          <t>Opportunity Global Property (PTY) LTD</t>
        </is>
      </c>
      <c r="B18702" s="4" t="n">
        <v>45351</v>
      </c>
      <c r="C18702" s="3" t="inlineStr">
        <is>
          <t>Expenses</t>
        </is>
      </c>
      <c r="D18702" s="3" t="inlineStr">
        <is>
          <t>2000/270</t>
        </is>
      </c>
      <c r="E18702" s="3" t="inlineStr">
        <is>
          <t>COS - Comm Rentals - Mario - External</t>
        </is>
      </c>
      <c r="F18702" s="3" t="n">
        <v>1102.61</v>
      </c>
      <c r="G18702" s="3" t="n">
        <v>7236.56</v>
      </c>
    </row>
    <row r="18703">
      <c r="A18703" s="3" t="inlineStr">
        <is>
          <t>Opportunity Global Sales (PTY) LTD</t>
        </is>
      </c>
      <c r="B18703" s="4" t="n">
        <v>45351</v>
      </c>
      <c r="C18703" s="3" t="inlineStr">
        <is>
          <t>Expenses</t>
        </is>
      </c>
      <c r="D18703" s="3" t="inlineStr">
        <is>
          <t>2000/270</t>
        </is>
      </c>
      <c r="E18703" s="3" t="inlineStr">
        <is>
          <t>COS - Comm Rentals - Mario - External</t>
        </is>
      </c>
      <c r="F18703" s="3" t="n">
        <v>1102.61</v>
      </c>
      <c r="G18703" s="3" t="n">
        <v>7236.56</v>
      </c>
    </row>
    <row r="18704">
      <c r="A18704" s="3" t="inlineStr">
        <is>
          <t>Opportunity Global Property (PTY) LTD</t>
        </is>
      </c>
      <c r="B18704" s="4" t="n">
        <v>45351</v>
      </c>
      <c r="C18704" s="3" t="inlineStr">
        <is>
          <t>Expenses</t>
        </is>
      </c>
      <c r="D18704" s="3" t="inlineStr">
        <is>
          <t>2000/275</t>
        </is>
      </c>
      <c r="E18704" s="3" t="inlineStr">
        <is>
          <t>COS - Comm Rentals - Mario - Endulini</t>
        </is>
      </c>
      <c r="F18704" s="3" t="n">
        <v>451.48</v>
      </c>
      <c r="G18704" s="3" t="n">
        <v>27970.08</v>
      </c>
    </row>
    <row r="18705">
      <c r="A18705" s="3" t="inlineStr">
        <is>
          <t>Opportunity Global Sales (PTY) LTD</t>
        </is>
      </c>
      <c r="B18705" s="4" t="n">
        <v>45351</v>
      </c>
      <c r="C18705" s="3" t="inlineStr">
        <is>
          <t>Expenses</t>
        </is>
      </c>
      <c r="D18705" s="3" t="inlineStr">
        <is>
          <t>2000/275</t>
        </is>
      </c>
      <c r="E18705" s="3" t="inlineStr">
        <is>
          <t>COS - Comm Rentals - Mario - Endulini</t>
        </is>
      </c>
      <c r="F18705" s="3" t="n">
        <v>451.48</v>
      </c>
      <c r="G18705" s="3" t="n">
        <v>27970.08</v>
      </c>
    </row>
    <row r="18706">
      <c r="A18706" s="3" t="inlineStr">
        <is>
          <t>Opportunity Global Property (PTY) LTD</t>
        </is>
      </c>
      <c r="B18706" s="4" t="n">
        <v>45351</v>
      </c>
      <c r="C18706" s="3" t="inlineStr">
        <is>
          <t>Expenses</t>
        </is>
      </c>
      <c r="D18706" s="3" t="inlineStr">
        <is>
          <t>2000/280</t>
        </is>
      </c>
      <c r="E18706" s="3" t="inlineStr">
        <is>
          <t>COS - Comm Rentals - Mario - Heron Fields</t>
        </is>
      </c>
      <c r="F18706" s="3" t="n">
        <v>1934.78</v>
      </c>
      <c r="G18706" s="3" t="n">
        <v>25863.47</v>
      </c>
    </row>
    <row r="18707">
      <c r="A18707" s="3" t="inlineStr">
        <is>
          <t>Opportunity Global Sales (PTY) LTD</t>
        </is>
      </c>
      <c r="B18707" s="4" t="n">
        <v>45351</v>
      </c>
      <c r="C18707" s="3" t="inlineStr">
        <is>
          <t>Expenses</t>
        </is>
      </c>
      <c r="D18707" s="3" t="inlineStr">
        <is>
          <t>2000/280</t>
        </is>
      </c>
      <c r="E18707" s="3" t="inlineStr">
        <is>
          <t>COS - Comm Rentals - Mario - Heron Fields</t>
        </is>
      </c>
      <c r="F18707" s="3" t="n">
        <v>1934.78</v>
      </c>
      <c r="G18707" s="3" t="n">
        <v>25863.47</v>
      </c>
    </row>
    <row r="18708">
      <c r="A18708" s="3" t="inlineStr">
        <is>
          <t>Trademark Holdings (Pty) Ltd</t>
        </is>
      </c>
      <c r="B18708" s="4" t="n">
        <v>45351</v>
      </c>
      <c r="C18708" s="3" t="inlineStr">
        <is>
          <t>Expenses</t>
        </is>
      </c>
      <c r="D18708" s="3" t="inlineStr">
        <is>
          <t>2000/300</t>
        </is>
      </c>
      <c r="E18708" s="3" t="inlineStr">
        <is>
          <t>COS - Commission Paid</t>
        </is>
      </c>
      <c r="F18708" s="3" t="n">
        <v>17298.66</v>
      </c>
      <c r="G18708" s="3" t="n">
        <v>99962.98</v>
      </c>
    </row>
    <row r="18709">
      <c r="A18709" s="3" t="inlineStr">
        <is>
          <t>Opportunity Global Property (PTY) LTD</t>
        </is>
      </c>
      <c r="B18709" s="4" t="n">
        <v>45351</v>
      </c>
      <c r="C18709" s="3" t="inlineStr">
        <is>
          <t>Expenses</t>
        </is>
      </c>
      <c r="D18709" s="3" t="inlineStr">
        <is>
          <t>2000/364</t>
        </is>
      </c>
      <c r="E18709" s="3" t="inlineStr">
        <is>
          <t>COS - Overrider Comm Heron View - Leonie</t>
        </is>
      </c>
      <c r="F18709" s="3" t="n">
        <v>1399.91</v>
      </c>
      <c r="G18709" s="3" t="n">
        <v>1399.91</v>
      </c>
    </row>
    <row r="18710">
      <c r="A18710" s="3" t="inlineStr">
        <is>
          <t>Opportunity Global Sales (PTY) LTD</t>
        </is>
      </c>
      <c r="B18710" s="4" t="n">
        <v>45351</v>
      </c>
      <c r="C18710" s="3" t="inlineStr">
        <is>
          <t>Expenses</t>
        </is>
      </c>
      <c r="D18710" s="3" t="inlineStr">
        <is>
          <t>2000/364</t>
        </is>
      </c>
      <c r="E18710" s="3" t="inlineStr">
        <is>
          <t>COS - Overrider Comm Heron View - Leonie</t>
        </is>
      </c>
      <c r="F18710" s="3" t="n">
        <v>1399.91</v>
      </c>
      <c r="G18710" s="3" t="n">
        <v>1399.91</v>
      </c>
    </row>
    <row r="18711">
      <c r="A18711" s="3" t="inlineStr">
        <is>
          <t>Opportunity Global Property (PTY) LTD</t>
        </is>
      </c>
      <c r="B18711" s="4" t="n">
        <v>45351</v>
      </c>
      <c r="C18711" s="3" t="inlineStr">
        <is>
          <t>Expenses</t>
        </is>
      </c>
      <c r="D18711" s="3" t="inlineStr">
        <is>
          <t>2000/370</t>
        </is>
      </c>
      <c r="E18711" s="3" t="inlineStr">
        <is>
          <t>COS - Overrider Comm Endulini - Morne</t>
        </is>
      </c>
      <c r="F18711" s="3" t="n">
        <v>0</v>
      </c>
      <c r="G18711" s="3" t="n">
        <v>12173.04</v>
      </c>
    </row>
    <row r="18712">
      <c r="A18712" s="3" t="inlineStr">
        <is>
          <t>Opportunity Global Sales (PTY) LTD</t>
        </is>
      </c>
      <c r="B18712" s="4" t="n">
        <v>45351</v>
      </c>
      <c r="C18712" s="3" t="inlineStr">
        <is>
          <t>Expenses</t>
        </is>
      </c>
      <c r="D18712" s="3" t="inlineStr">
        <is>
          <t>2000/370</t>
        </is>
      </c>
      <c r="E18712" s="3" t="inlineStr">
        <is>
          <t>COS - Overrider Comm Endulini - Morne</t>
        </is>
      </c>
      <c r="F18712" s="3" t="n">
        <v>0</v>
      </c>
      <c r="G18712" s="3" t="n">
        <v>12173.04</v>
      </c>
    </row>
    <row r="18713">
      <c r="A18713" s="3" t="inlineStr">
        <is>
          <t>Opportunity Global Property (PTY) LTD</t>
        </is>
      </c>
      <c r="B18713" s="4" t="n">
        <v>45351</v>
      </c>
      <c r="C18713" s="3" t="inlineStr">
        <is>
          <t>Expenses</t>
        </is>
      </c>
      <c r="D18713" s="3" t="inlineStr">
        <is>
          <t>2000/380</t>
        </is>
      </c>
      <c r="E18713" s="3" t="inlineStr">
        <is>
          <t>COS - Overrider Comm Heron Fields - Morne</t>
        </is>
      </c>
      <c r="F18713" s="3" t="n">
        <v>0</v>
      </c>
      <c r="G18713" s="3" t="n">
        <v>30622.7</v>
      </c>
    </row>
    <row r="18714">
      <c r="A18714" s="3" t="inlineStr">
        <is>
          <t>Opportunity Global Sales (PTY) LTD</t>
        </is>
      </c>
      <c r="B18714" s="4" t="n">
        <v>45351</v>
      </c>
      <c r="C18714" s="3" t="inlineStr">
        <is>
          <t>Expenses</t>
        </is>
      </c>
      <c r="D18714" s="3" t="inlineStr">
        <is>
          <t>2000/380</t>
        </is>
      </c>
      <c r="E18714" s="3" t="inlineStr">
        <is>
          <t>COS - Overrider Comm Heron Fields - Morne</t>
        </is>
      </c>
      <c r="F18714" s="3" t="n">
        <v>0</v>
      </c>
      <c r="G18714" s="3" t="n">
        <v>30622.7</v>
      </c>
    </row>
    <row r="18715">
      <c r="A18715" s="3" t="inlineStr">
        <is>
          <t>Opportunity Global Property (PTY) LTD</t>
        </is>
      </c>
      <c r="B18715" s="4" t="n">
        <v>45351</v>
      </c>
      <c r="C18715" s="3" t="inlineStr">
        <is>
          <t>Expenses</t>
        </is>
      </c>
      <c r="D18715" s="3" t="inlineStr">
        <is>
          <t>2000/383</t>
        </is>
      </c>
      <c r="E18715" s="3" t="inlineStr">
        <is>
          <t>COS - Overrider Comm Heron View - Morne</t>
        </is>
      </c>
      <c r="F18715" s="3" t="n">
        <v>1095.59</v>
      </c>
      <c r="G18715" s="3" t="n">
        <v>64367.76</v>
      </c>
    </row>
    <row r="18716">
      <c r="A18716" s="3" t="inlineStr">
        <is>
          <t>Opportunity Global Sales (PTY) LTD</t>
        </is>
      </c>
      <c r="B18716" s="4" t="n">
        <v>45351</v>
      </c>
      <c r="C18716" s="3" t="inlineStr">
        <is>
          <t>Expenses</t>
        </is>
      </c>
      <c r="D18716" s="3" t="inlineStr">
        <is>
          <t>2000/383</t>
        </is>
      </c>
      <c r="E18716" s="3" t="inlineStr">
        <is>
          <t>COS - Overrider Comm Heron View - Morne</t>
        </is>
      </c>
      <c r="F18716" s="3" t="n">
        <v>1095.59</v>
      </c>
      <c r="G18716" s="3" t="n">
        <v>64367.76</v>
      </c>
    </row>
    <row r="18717">
      <c r="A18717" s="3" t="inlineStr">
        <is>
          <t>Opportunity Global Sales (PTY) LTD</t>
        </is>
      </c>
      <c r="B18717" s="4" t="n">
        <v>45351</v>
      </c>
      <c r="C18717" s="3" t="inlineStr">
        <is>
          <t>Expenses</t>
        </is>
      </c>
      <c r="D18717" s="3" t="inlineStr">
        <is>
          <t>2000/383</t>
        </is>
      </c>
      <c r="E18717" s="3" t="inlineStr">
        <is>
          <t>COS - Overrider Comm Heron Views - Morne</t>
        </is>
      </c>
      <c r="F18717" s="3" t="n">
        <v>1095.59</v>
      </c>
      <c r="G18717" s="3" t="n">
        <v>64367.76</v>
      </c>
    </row>
    <row r="18718">
      <c r="A18718" s="3" t="inlineStr">
        <is>
          <t>Opportunity Global Property (PTY) LTD</t>
        </is>
      </c>
      <c r="B18718" s="4" t="n">
        <v>45351</v>
      </c>
      <c r="C18718" s="3" t="inlineStr">
        <is>
          <t>Expenses</t>
        </is>
      </c>
      <c r="D18718" s="3" t="inlineStr">
        <is>
          <t>2000/390</t>
        </is>
      </c>
      <c r="E18718" s="3" t="inlineStr">
        <is>
          <t>COS - Overrider Comm External Sales - Morne</t>
        </is>
      </c>
      <c r="F18718" s="3" t="n">
        <v>750</v>
      </c>
      <c r="G18718" s="3" t="n">
        <v>12703.32</v>
      </c>
    </row>
    <row r="18719">
      <c r="A18719" s="3" t="inlineStr">
        <is>
          <t>Opportunity Global Sales (PTY) LTD</t>
        </is>
      </c>
      <c r="B18719" s="4" t="n">
        <v>45351</v>
      </c>
      <c r="C18719" s="3" t="inlineStr">
        <is>
          <t>Expenses</t>
        </is>
      </c>
      <c r="D18719" s="3" t="inlineStr">
        <is>
          <t>2000/390</t>
        </is>
      </c>
      <c r="E18719" s="3" t="inlineStr">
        <is>
          <t>COS - Overrider Comm External Sales - Morne</t>
        </is>
      </c>
      <c r="F18719" s="3" t="n">
        <v>750</v>
      </c>
      <c r="G18719" s="3" t="n">
        <v>12703.32</v>
      </c>
    </row>
    <row r="18720">
      <c r="A18720" s="3" t="inlineStr">
        <is>
          <t>Trademark Holdings (Pty) Ltd</t>
        </is>
      </c>
      <c r="B18720" s="4" t="n">
        <v>45351</v>
      </c>
      <c r="C18720" s="3" t="inlineStr">
        <is>
          <t>Expenses</t>
        </is>
      </c>
      <c r="D18720" s="3" t="inlineStr">
        <is>
          <t>2000/400</t>
        </is>
      </c>
      <c r="E18720" s="3" t="inlineStr">
        <is>
          <t>COS - Commission on external sales</t>
        </is>
      </c>
      <c r="F18720" s="3" t="n">
        <v>0</v>
      </c>
      <c r="G18720" s="3" t="n">
        <v>115000</v>
      </c>
    </row>
    <row r="18721">
      <c r="A18721" s="3" t="inlineStr">
        <is>
          <t>Opportunity Global Property (PTY) LTD</t>
        </is>
      </c>
      <c r="B18721" s="4" t="n">
        <v>45351</v>
      </c>
      <c r="C18721" s="3" t="inlineStr">
        <is>
          <t>Expenses</t>
        </is>
      </c>
      <c r="D18721" s="3" t="inlineStr">
        <is>
          <t>2000/550</t>
        </is>
      </c>
      <c r="E18721" s="3" t="inlineStr">
        <is>
          <t>COS - Electricity Costs Heron Fields</t>
        </is>
      </c>
      <c r="F18721" s="3" t="n">
        <v>0</v>
      </c>
      <c r="G18721" s="3" t="n">
        <v>447.83</v>
      </c>
    </row>
    <row r="18722">
      <c r="A18722" s="3" t="inlineStr">
        <is>
          <t>Opportunity Global Sales (PTY) LTD</t>
        </is>
      </c>
      <c r="B18722" s="4" t="n">
        <v>45351</v>
      </c>
      <c r="C18722" s="3" t="inlineStr">
        <is>
          <t>Expenses</t>
        </is>
      </c>
      <c r="D18722" s="3" t="inlineStr">
        <is>
          <t>2000/550</t>
        </is>
      </c>
      <c r="E18722" s="3" t="inlineStr">
        <is>
          <t>COS - Electricity Costs Heron Fields</t>
        </is>
      </c>
      <c r="F18722" s="3" t="n">
        <v>0</v>
      </c>
      <c r="G18722" s="3" t="n">
        <v>447.83</v>
      </c>
    </row>
    <row r="18723">
      <c r="A18723" s="3" t="inlineStr">
        <is>
          <t>Opportunity Global Property (PTY) LTD</t>
        </is>
      </c>
      <c r="B18723" s="4" t="n">
        <v>45351</v>
      </c>
      <c r="C18723" s="3" t="inlineStr">
        <is>
          <t>Expenses</t>
        </is>
      </c>
      <c r="D18723" s="3" t="inlineStr">
        <is>
          <t>2000/600</t>
        </is>
      </c>
      <c r="E18723" s="3" t="inlineStr">
        <is>
          <t>COS - Heron Fields Show House</t>
        </is>
      </c>
      <c r="F18723" s="3" t="n">
        <v>0</v>
      </c>
      <c r="G18723" s="3" t="n">
        <v>201.97</v>
      </c>
    </row>
    <row r="18724">
      <c r="A18724" s="3" t="inlineStr">
        <is>
          <t>Opportunity Global Sales (PTY) LTD</t>
        </is>
      </c>
      <c r="B18724" s="4" t="n">
        <v>45351</v>
      </c>
      <c r="C18724" s="3" t="inlineStr">
        <is>
          <t>Expenses</t>
        </is>
      </c>
      <c r="D18724" s="3" t="inlineStr">
        <is>
          <t>2000/600</t>
        </is>
      </c>
      <c r="E18724" s="3" t="inlineStr">
        <is>
          <t>COS - Heron Fields Show House</t>
        </is>
      </c>
      <c r="F18724" s="3" t="n">
        <v>0</v>
      </c>
      <c r="G18724" s="3" t="n">
        <v>201.97</v>
      </c>
    </row>
    <row r="18725">
      <c r="A18725" s="3" t="inlineStr">
        <is>
          <t>Endulini (Pty) Ltd</t>
        </is>
      </c>
      <c r="B18725" s="4" t="n">
        <v>45351</v>
      </c>
      <c r="C18725" s="3" t="inlineStr">
        <is>
          <t>Expenses</t>
        </is>
      </c>
      <c r="D18725" s="3" t="inlineStr">
        <is>
          <t>2000/600</t>
        </is>
      </c>
      <c r="E18725" s="3" t="inlineStr">
        <is>
          <t>COS - Legal fees</t>
        </is>
      </c>
      <c r="F18725" s="3" t="n">
        <v>0</v>
      </c>
      <c r="G18725" s="3" t="n">
        <v>341904.45</v>
      </c>
    </row>
    <row r="18726">
      <c r="A18726" s="3" t="inlineStr">
        <is>
          <t>Quinate Consulting (Pty) Ltd</t>
        </is>
      </c>
      <c r="B18726" s="4" t="n">
        <v>45351</v>
      </c>
      <c r="C18726" s="3" t="inlineStr">
        <is>
          <t>Expenses</t>
        </is>
      </c>
      <c r="D18726" s="3" t="inlineStr">
        <is>
          <t>2001/120</t>
        </is>
      </c>
      <c r="E18726" s="3" t="inlineStr">
        <is>
          <t>COS - Commission - South Wark</t>
        </is>
      </c>
      <c r="F18726" s="3" t="n">
        <v>0</v>
      </c>
      <c r="G18726" s="3" t="n">
        <v>-869.5700000000001</v>
      </c>
    </row>
    <row r="18727">
      <c r="A18727" s="3" t="inlineStr">
        <is>
          <t>Quinate Consulting (Pty) Ltd</t>
        </is>
      </c>
      <c r="B18727" s="4" t="n">
        <v>45351</v>
      </c>
      <c r="C18727" s="3" t="inlineStr">
        <is>
          <t>Expenses</t>
        </is>
      </c>
      <c r="D18727" s="3" t="inlineStr">
        <is>
          <t>2001/210</t>
        </is>
      </c>
      <c r="E18727" s="3" t="inlineStr">
        <is>
          <t>COS - NHBRC</t>
        </is>
      </c>
      <c r="F18727" s="3" t="n">
        <v>0</v>
      </c>
      <c r="G18727" s="3" t="n">
        <v>457.67</v>
      </c>
    </row>
    <row r="18728">
      <c r="A18728" s="3" t="inlineStr">
        <is>
          <t>Quinate Consulting (Pty) Ltd</t>
        </is>
      </c>
      <c r="B18728" s="4" t="n">
        <v>45351</v>
      </c>
      <c r="C18728" s="3" t="inlineStr">
        <is>
          <t>Expenses</t>
        </is>
      </c>
      <c r="D18728" s="3" t="inlineStr">
        <is>
          <t>2200/000</t>
        </is>
      </c>
      <c r="E18728" s="3" t="inlineStr">
        <is>
          <t>COS - C2M Certificate for transfer</t>
        </is>
      </c>
      <c r="F18728" s="3" t="n">
        <v>0</v>
      </c>
      <c r="G18728" s="3" t="n">
        <v>2000</v>
      </c>
    </row>
    <row r="18729">
      <c r="A18729" s="3" t="inlineStr">
        <is>
          <t>Noble Shield (Pty) Ltd ta Go Letting</t>
        </is>
      </c>
      <c r="B18729" s="4" t="n">
        <v>45351</v>
      </c>
      <c r="C18729" s="3" t="inlineStr">
        <is>
          <t>Revenue</t>
        </is>
      </c>
      <c r="D18729" s="3" t="inlineStr">
        <is>
          <t>2400/011</t>
        </is>
      </c>
      <c r="E18729" s="3" t="inlineStr">
        <is>
          <t>Recovery of Electrity _AND_ Water - Rentals</t>
        </is>
      </c>
      <c r="F18729" s="3" t="n">
        <v>0</v>
      </c>
      <c r="G18729" s="3" t="n">
        <v>-1000</v>
      </c>
    </row>
    <row r="18730">
      <c r="A18730" s="3" t="inlineStr">
        <is>
          <t>Quinate Consulting (Pty) Ltd</t>
        </is>
      </c>
      <c r="B18730" s="4" t="n">
        <v>45351</v>
      </c>
      <c r="C18730" s="3" t="inlineStr">
        <is>
          <t>Revenue</t>
        </is>
      </c>
      <c r="D18730" s="3" t="inlineStr">
        <is>
          <t>2400/200</t>
        </is>
      </c>
      <c r="E18730" s="3" t="inlineStr">
        <is>
          <t>Recovery Acc - Electricity SH</t>
        </is>
      </c>
      <c r="F18730" s="3" t="n">
        <v>-23684.3</v>
      </c>
      <c r="G18730" s="3" t="n">
        <v>-334615.29</v>
      </c>
    </row>
    <row r="18731">
      <c r="A18731" s="3" t="inlineStr">
        <is>
          <t>Quinate Consulting (Pty) Ltd</t>
        </is>
      </c>
      <c r="B18731" s="4" t="n">
        <v>45351</v>
      </c>
      <c r="C18731" s="3" t="inlineStr">
        <is>
          <t>Revenue</t>
        </is>
      </c>
      <c r="D18731" s="3" t="inlineStr">
        <is>
          <t>2400/300</t>
        </is>
      </c>
      <c r="E18731" s="3" t="inlineStr">
        <is>
          <t>Recovery Account - Electricity SW</t>
        </is>
      </c>
      <c r="F18731" s="3" t="n">
        <v>-16318.92</v>
      </c>
      <c r="G18731" s="3" t="n">
        <v>-247686.03</v>
      </c>
    </row>
    <row r="18732">
      <c r="A18732" s="3" t="inlineStr">
        <is>
          <t>Endulini (Pty) Ltd</t>
        </is>
      </c>
      <c r="B18732" s="4" t="n">
        <v>45351</v>
      </c>
      <c r="C18732" s="3" t="inlineStr">
        <is>
          <t>Revenue</t>
        </is>
      </c>
      <c r="D18732" s="3" t="inlineStr">
        <is>
          <t>2750/000</t>
        </is>
      </c>
      <c r="E18732" s="3" t="inlineStr">
        <is>
          <t>Interest Received</t>
        </is>
      </c>
      <c r="F18732" s="3" t="n">
        <v>0</v>
      </c>
      <c r="G18732" s="3" t="n">
        <v>-1767.18</v>
      </c>
    </row>
    <row r="18733">
      <c r="A18733" s="3" t="inlineStr">
        <is>
          <t>Opportunity Global Investment (PTY) LTD</t>
        </is>
      </c>
      <c r="B18733" s="4" t="n">
        <v>45351</v>
      </c>
      <c r="C18733" s="3" t="inlineStr">
        <is>
          <t>Revenue</t>
        </is>
      </c>
      <c r="D18733" s="3" t="inlineStr">
        <is>
          <t>2750/000</t>
        </is>
      </c>
      <c r="E18733" s="3" t="inlineStr">
        <is>
          <t>Interest Received - Bank</t>
        </is>
      </c>
      <c r="F18733" s="3" t="n">
        <v>0</v>
      </c>
      <c r="G18733" s="3" t="n">
        <v>-355.23</v>
      </c>
    </row>
    <row r="18734">
      <c r="A18734" s="3" t="inlineStr">
        <is>
          <t>Opportunity Global Property (PTY) LTD</t>
        </is>
      </c>
      <c r="B18734" s="4" t="n">
        <v>45351</v>
      </c>
      <c r="C18734" s="3" t="inlineStr">
        <is>
          <t>Revenue</t>
        </is>
      </c>
      <c r="D18734" s="3" t="inlineStr">
        <is>
          <t>2750/000</t>
        </is>
      </c>
      <c r="E18734" s="3" t="inlineStr">
        <is>
          <t>Interest Received - Bank</t>
        </is>
      </c>
      <c r="F18734" s="3" t="n">
        <v>0</v>
      </c>
      <c r="G18734" s="3" t="n">
        <v>-18.82</v>
      </c>
    </row>
    <row r="18735">
      <c r="A18735" s="3" t="inlineStr">
        <is>
          <t>Opportunity Global Sales (PTY) LTD</t>
        </is>
      </c>
      <c r="B18735" s="4" t="n">
        <v>45351</v>
      </c>
      <c r="C18735" s="3" t="inlineStr">
        <is>
          <t>Revenue</t>
        </is>
      </c>
      <c r="D18735" s="3" t="inlineStr">
        <is>
          <t>2750/000</t>
        </is>
      </c>
      <c r="E18735" s="3" t="inlineStr">
        <is>
          <t>Interest Received - Bank</t>
        </is>
      </c>
      <c r="F18735" s="3" t="n">
        <v>0</v>
      </c>
      <c r="G18735" s="3" t="n">
        <v>-18.82</v>
      </c>
    </row>
    <row r="18736">
      <c r="A18736" s="3" t="inlineStr">
        <is>
          <t>Opportunity Private Capital (PTY) LTD</t>
        </is>
      </c>
      <c r="B18736" s="4" t="n">
        <v>45351</v>
      </c>
      <c r="C18736" s="3" t="inlineStr">
        <is>
          <t>Revenue</t>
        </is>
      </c>
      <c r="D18736" s="3" t="inlineStr">
        <is>
          <t>2750/000</t>
        </is>
      </c>
      <c r="E18736" s="3" t="inlineStr">
        <is>
          <t>Interest Received - Bank</t>
        </is>
      </c>
      <c r="F18736" s="3" t="n">
        <v>0</v>
      </c>
      <c r="G18736" s="3" t="n">
        <v>-355.23</v>
      </c>
    </row>
    <row r="18737">
      <c r="A18737" s="3" t="inlineStr">
        <is>
          <t>Noble Shield (Pty) Ltd ta Go Letting</t>
        </is>
      </c>
      <c r="B18737" s="4" t="n">
        <v>45351</v>
      </c>
      <c r="C18737" s="3" t="inlineStr">
        <is>
          <t>Revenue</t>
        </is>
      </c>
      <c r="D18737" s="3" t="inlineStr">
        <is>
          <t>2750/100</t>
        </is>
      </c>
      <c r="E18737" s="3" t="inlineStr">
        <is>
          <t>Interest Received - bank</t>
        </is>
      </c>
      <c r="F18737" s="3" t="n">
        <v>-0.59</v>
      </c>
      <c r="G18737" s="3" t="n">
        <v>-2.4</v>
      </c>
    </row>
    <row r="18738">
      <c r="A18738" s="3" t="inlineStr">
        <is>
          <t>Quinate Consulting (Pty) Ltd</t>
        </is>
      </c>
      <c r="B18738" s="4" t="n">
        <v>45351</v>
      </c>
      <c r="C18738" s="3" t="inlineStr">
        <is>
          <t>Revenue</t>
        </is>
      </c>
      <c r="D18738" s="3" t="inlineStr">
        <is>
          <t>2751/000</t>
        </is>
      </c>
      <c r="E18738" s="3" t="inlineStr">
        <is>
          <t>Interest Received - Bank</t>
        </is>
      </c>
      <c r="F18738" s="3" t="n">
        <v>-105.3</v>
      </c>
      <c r="G18738" s="3" t="n">
        <v>-4647.48</v>
      </c>
    </row>
    <row r="18739">
      <c r="A18739" s="3" t="inlineStr">
        <is>
          <t>Opportunity Global Investment (PTY) LTD</t>
        </is>
      </c>
      <c r="B18739" s="4" t="n">
        <v>45351</v>
      </c>
      <c r="C18739" s="3" t="inlineStr">
        <is>
          <t>Revenue</t>
        </is>
      </c>
      <c r="D18739" s="3" t="inlineStr">
        <is>
          <t>2753/000</t>
        </is>
      </c>
      <c r="E18739" s="3" t="inlineStr">
        <is>
          <t>Interest received - Momentum</t>
        </is>
      </c>
      <c r="F18739" s="3" t="n">
        <v>-108.08</v>
      </c>
      <c r="G18739" s="3" t="n">
        <v>-405.77</v>
      </c>
    </row>
    <row r="18740">
      <c r="A18740" s="3" t="inlineStr">
        <is>
          <t>Opportunity Private Capital (PTY) LTD</t>
        </is>
      </c>
      <c r="B18740" s="4" t="n">
        <v>45351</v>
      </c>
      <c r="C18740" s="3" t="inlineStr">
        <is>
          <t>Revenue</t>
        </is>
      </c>
      <c r="D18740" s="3" t="inlineStr">
        <is>
          <t>2753/000</t>
        </is>
      </c>
      <c r="E18740" s="3" t="inlineStr">
        <is>
          <t>Interest received - Momentum</t>
        </is>
      </c>
      <c r="F18740" s="3" t="n">
        <v>-108.08</v>
      </c>
      <c r="G18740" s="3" t="n">
        <v>-405.77</v>
      </c>
    </row>
    <row r="18741">
      <c r="A18741" s="3" t="inlineStr">
        <is>
          <t>Endulini (Pty) Ltd</t>
        </is>
      </c>
      <c r="B18741" s="4" t="n">
        <v>45351</v>
      </c>
      <c r="C18741" s="3" t="inlineStr">
        <is>
          <t>Revenue</t>
        </is>
      </c>
      <c r="D18741" s="3" t="inlineStr">
        <is>
          <t>2755/001</t>
        </is>
      </c>
      <c r="E18741" s="3" t="inlineStr">
        <is>
          <t>Interest Received - Momentum</t>
        </is>
      </c>
      <c r="F18741" s="3" t="n">
        <v>-0.53</v>
      </c>
      <c r="G18741" s="3" t="n">
        <v>-118.32</v>
      </c>
    </row>
    <row r="18742">
      <c r="A18742" s="3" t="inlineStr">
        <is>
          <t>Quinate Consulting (Pty) Ltd</t>
        </is>
      </c>
      <c r="B18742" s="4" t="n">
        <v>45351</v>
      </c>
      <c r="C18742" s="3" t="inlineStr">
        <is>
          <t>Revenue</t>
        </is>
      </c>
      <c r="D18742" s="3" t="inlineStr">
        <is>
          <t>2755/001</t>
        </is>
      </c>
      <c r="E18742" s="3" t="inlineStr">
        <is>
          <t>Interest Received - Momentum</t>
        </is>
      </c>
      <c r="F18742" s="3" t="n">
        <v>-12.24</v>
      </c>
      <c r="G18742" s="3" t="n">
        <v>-42.91</v>
      </c>
    </row>
    <row r="18743">
      <c r="A18743" s="3" t="inlineStr">
        <is>
          <t>Opportunity Global Investment (PTY) LTD</t>
        </is>
      </c>
      <c r="B18743" s="4" t="n">
        <v>45351</v>
      </c>
      <c r="C18743" s="3" t="inlineStr">
        <is>
          <t>Expenses</t>
        </is>
      </c>
      <c r="D18743" s="3" t="inlineStr">
        <is>
          <t>3000/100</t>
        </is>
      </c>
      <c r="E18743" s="3" t="inlineStr">
        <is>
          <t>Accounting Fees - Secretarial</t>
        </is>
      </c>
      <c r="F18743" s="3" t="n">
        <v>1000</v>
      </c>
      <c r="G18743" s="3" t="n">
        <v>1890</v>
      </c>
    </row>
    <row r="18744">
      <c r="A18744" s="3" t="inlineStr">
        <is>
          <t>Opportunity Private Capital (PTY) LTD</t>
        </is>
      </c>
      <c r="B18744" s="4" t="n">
        <v>45351</v>
      </c>
      <c r="C18744" s="3" t="inlineStr">
        <is>
          <t>Expenses</t>
        </is>
      </c>
      <c r="D18744" s="3" t="inlineStr">
        <is>
          <t>3000/100</t>
        </is>
      </c>
      <c r="E18744" s="3" t="inlineStr">
        <is>
          <t>Accounting Fees - Secretarial</t>
        </is>
      </c>
      <c r="F18744" s="3" t="n">
        <v>1000</v>
      </c>
      <c r="G18744" s="3" t="n">
        <v>1890</v>
      </c>
    </row>
    <row r="18745">
      <c r="A18745" s="3" t="inlineStr">
        <is>
          <t>Opportunity Global Investment (PTY) LTD</t>
        </is>
      </c>
      <c r="B18745" s="4" t="n">
        <v>45351</v>
      </c>
      <c r="C18745" s="3" t="inlineStr">
        <is>
          <t>Expenses</t>
        </is>
      </c>
      <c r="D18745" s="3" t="inlineStr">
        <is>
          <t>3000/150</t>
        </is>
      </c>
      <c r="E18745" s="3" t="inlineStr">
        <is>
          <t>Accounting Fees - Audit</t>
        </is>
      </c>
      <c r="F18745" s="3" t="n">
        <v>0</v>
      </c>
      <c r="G18745" s="3" t="n">
        <v>12217.01</v>
      </c>
    </row>
    <row r="18746">
      <c r="A18746" s="3" t="inlineStr">
        <is>
          <t>Opportunity Private Capital (PTY) LTD</t>
        </is>
      </c>
      <c r="B18746" s="4" t="n">
        <v>45351</v>
      </c>
      <c r="C18746" s="3" t="inlineStr">
        <is>
          <t>Expenses</t>
        </is>
      </c>
      <c r="D18746" s="3" t="inlineStr">
        <is>
          <t>3000/150</t>
        </is>
      </c>
      <c r="E18746" s="3" t="inlineStr">
        <is>
          <t>Accounting Fees - Audit</t>
        </is>
      </c>
      <c r="F18746" s="3" t="n">
        <v>0</v>
      </c>
      <c r="G18746" s="3" t="n">
        <v>12217.01</v>
      </c>
    </row>
    <row r="18747">
      <c r="A18747" s="3" t="inlineStr">
        <is>
          <t>Trademark Holdings (Pty) Ltd</t>
        </is>
      </c>
      <c r="B18747" s="4" t="n">
        <v>45351</v>
      </c>
      <c r="C18747" s="3" t="inlineStr">
        <is>
          <t>Expenses</t>
        </is>
      </c>
      <c r="D18747" s="3" t="inlineStr">
        <is>
          <t>3000/300</t>
        </is>
      </c>
      <c r="E18747" s="3" t="inlineStr">
        <is>
          <t>Accounting Fees - Audit</t>
        </is>
      </c>
      <c r="F18747" s="3" t="n">
        <v>0</v>
      </c>
      <c r="G18747" s="3" t="n">
        <v>22517</v>
      </c>
    </row>
    <row r="18748">
      <c r="A18748" s="3" t="inlineStr">
        <is>
          <t>Trademark Holdings (Pty) Ltd</t>
        </is>
      </c>
      <c r="B18748" s="4" t="n">
        <v>45351</v>
      </c>
      <c r="C18748" s="3" t="inlineStr">
        <is>
          <t>Expenses</t>
        </is>
      </c>
      <c r="D18748" s="3" t="inlineStr">
        <is>
          <t>3000/400</t>
        </is>
      </c>
      <c r="E18748" s="3" t="inlineStr">
        <is>
          <t>Accounting Fees - CiPC</t>
        </is>
      </c>
      <c r="F18748" s="3" t="n">
        <v>0</v>
      </c>
      <c r="G18748" s="3" t="n">
        <v>1322.5</v>
      </c>
    </row>
    <row r="18749">
      <c r="A18749" s="3" t="inlineStr">
        <is>
          <t>Quinate Consulting (Pty) Ltd</t>
        </is>
      </c>
      <c r="B18749" s="4" t="n">
        <v>45351</v>
      </c>
      <c r="C18749" s="3" t="inlineStr">
        <is>
          <t>Expenses</t>
        </is>
      </c>
      <c r="D18749" s="3" t="inlineStr">
        <is>
          <t>3001/000</t>
        </is>
      </c>
      <c r="E18749" s="3" t="inlineStr">
        <is>
          <t>Accounting fees - Other</t>
        </is>
      </c>
      <c r="F18749" s="3" t="n">
        <v>0</v>
      </c>
      <c r="G18749" s="3" t="n">
        <v>12640</v>
      </c>
    </row>
    <row r="18750">
      <c r="A18750" s="3" t="inlineStr">
        <is>
          <t>Quinate Consulting (Pty) Ltd</t>
        </is>
      </c>
      <c r="B18750" s="4" t="n">
        <v>45351</v>
      </c>
      <c r="C18750" s="3" t="inlineStr">
        <is>
          <t>Expenses</t>
        </is>
      </c>
      <c r="D18750" s="3" t="inlineStr">
        <is>
          <t>3002/000</t>
        </is>
      </c>
      <c r="E18750" s="3" t="inlineStr">
        <is>
          <t>Accounting Fees - Tax Dept.</t>
        </is>
      </c>
      <c r="F18750" s="3" t="n">
        <v>0</v>
      </c>
      <c r="G18750" s="3" t="n">
        <v>540</v>
      </c>
    </row>
    <row r="18751">
      <c r="A18751" s="3" t="inlineStr">
        <is>
          <t>Quinate Consulting (Pty) Ltd</t>
        </is>
      </c>
      <c r="B18751" s="4" t="n">
        <v>45351</v>
      </c>
      <c r="C18751" s="3" t="inlineStr">
        <is>
          <t>Expenses</t>
        </is>
      </c>
      <c r="D18751" s="3" t="inlineStr">
        <is>
          <t>3005/000</t>
        </is>
      </c>
      <c r="E18751" s="3" t="inlineStr">
        <is>
          <t>Accounting fees - Audit</t>
        </is>
      </c>
      <c r="F18751" s="3" t="n">
        <v>0</v>
      </c>
      <c r="G18751" s="3" t="n">
        <v>41581</v>
      </c>
    </row>
    <row r="18752">
      <c r="A18752" s="3" t="inlineStr">
        <is>
          <t>Opportunity Management Holdings (PTY) LTD</t>
        </is>
      </c>
      <c r="B18752" s="4" t="n">
        <v>45351</v>
      </c>
      <c r="C18752" s="3" t="inlineStr">
        <is>
          <t>Expenses</t>
        </is>
      </c>
      <c r="D18752" s="3" t="inlineStr">
        <is>
          <t>3005/000</t>
        </is>
      </c>
      <c r="E18752" s="3" t="inlineStr">
        <is>
          <t>Accounting fees - Deric Dudley</t>
        </is>
      </c>
      <c r="F18752" s="3" t="n">
        <v>0</v>
      </c>
      <c r="G18752" s="3" t="n">
        <v>289427.94</v>
      </c>
    </row>
    <row r="18753">
      <c r="A18753" s="3" t="inlineStr">
        <is>
          <t>Opportunity Management Holdings (PTY) LTD</t>
        </is>
      </c>
      <c r="B18753" s="4" t="n">
        <v>45351</v>
      </c>
      <c r="C18753" s="3" t="inlineStr">
        <is>
          <t>Expenses</t>
        </is>
      </c>
      <c r="D18753" s="3" t="inlineStr">
        <is>
          <t>3006/000</t>
        </is>
      </c>
      <c r="E18753" s="3" t="inlineStr">
        <is>
          <t>Accounting fees - CIPC</t>
        </is>
      </c>
      <c r="F18753" s="3" t="n">
        <v>0</v>
      </c>
      <c r="G18753" s="3" t="n">
        <v>500</v>
      </c>
    </row>
    <row r="18754">
      <c r="A18754" s="3" t="inlineStr">
        <is>
          <t>Endulini (Pty) Ltd</t>
        </is>
      </c>
      <c r="B18754" s="4" t="n">
        <v>45351</v>
      </c>
      <c r="C18754" s="3" t="inlineStr">
        <is>
          <t>Expenses</t>
        </is>
      </c>
      <c r="D18754" s="3" t="inlineStr">
        <is>
          <t>3050/000</t>
        </is>
      </c>
      <c r="E18754" s="3" t="inlineStr">
        <is>
          <t>Advertising _AND_ Promotions</t>
        </is>
      </c>
      <c r="F18754" s="3" t="n">
        <v>0</v>
      </c>
      <c r="G18754" s="3" t="n">
        <v>4595</v>
      </c>
    </row>
    <row r="18755">
      <c r="A18755" s="3" t="inlineStr">
        <is>
          <t>Noble Shield (Pty) Ltd ta Go Letting</t>
        </is>
      </c>
      <c r="B18755" s="4" t="n">
        <v>45351</v>
      </c>
      <c r="C18755" s="3" t="inlineStr">
        <is>
          <t>Expenses</t>
        </is>
      </c>
      <c r="D18755" s="3" t="inlineStr">
        <is>
          <t>3050/000</t>
        </is>
      </c>
      <c r="E18755" s="3" t="inlineStr">
        <is>
          <t>Advertising _AND_ Promotions</t>
        </is>
      </c>
      <c r="F18755" s="3" t="n">
        <v>0</v>
      </c>
      <c r="G18755" s="3" t="n">
        <v>1322.5</v>
      </c>
    </row>
    <row r="18756">
      <c r="A18756" s="3" t="inlineStr">
        <is>
          <t>Opportunity Management Holdings (PTY) LTD</t>
        </is>
      </c>
      <c r="B18756" s="4" t="n">
        <v>45351</v>
      </c>
      <c r="C18756" s="3" t="inlineStr">
        <is>
          <t>Expenses</t>
        </is>
      </c>
      <c r="D18756" s="3" t="inlineStr">
        <is>
          <t>3050/000</t>
        </is>
      </c>
      <c r="E18756" s="3" t="inlineStr">
        <is>
          <t>Advertising _AND_ Promotions</t>
        </is>
      </c>
      <c r="F18756" s="3" t="n">
        <v>0</v>
      </c>
      <c r="G18756" s="3" t="n">
        <v>3761.41</v>
      </c>
    </row>
    <row r="18757">
      <c r="A18757" s="3" t="inlineStr">
        <is>
          <t>Opportunity Global Investment (PTY) LTD</t>
        </is>
      </c>
      <c r="B18757" s="4" t="n">
        <v>45351</v>
      </c>
      <c r="C18757" s="3" t="inlineStr">
        <is>
          <t>Expenses</t>
        </is>
      </c>
      <c r="D18757" s="3" t="inlineStr">
        <is>
          <t>3050/000</t>
        </is>
      </c>
      <c r="E18757" s="3" t="inlineStr">
        <is>
          <t>Advertising and Promotions</t>
        </is>
      </c>
      <c r="F18757" s="3" t="n">
        <v>0</v>
      </c>
      <c r="G18757" s="3" t="n">
        <v>3510.76</v>
      </c>
    </row>
    <row r="18758">
      <c r="A18758" s="3" t="inlineStr">
        <is>
          <t>Opportunity Global Property (PTY) LTD</t>
        </is>
      </c>
      <c r="B18758" s="4" t="n">
        <v>45351</v>
      </c>
      <c r="C18758" s="3" t="inlineStr">
        <is>
          <t>Expenses</t>
        </is>
      </c>
      <c r="D18758" s="3" t="inlineStr">
        <is>
          <t>3050/000</t>
        </is>
      </c>
      <c r="E18758" s="3" t="inlineStr">
        <is>
          <t>Advertising and Promotions</t>
        </is>
      </c>
      <c r="F18758" s="3" t="n">
        <v>0</v>
      </c>
      <c r="G18758" s="3" t="n">
        <v>18164.18</v>
      </c>
    </row>
    <row r="18759">
      <c r="A18759" s="3" t="inlineStr">
        <is>
          <t>Opportunity Global Sales (PTY) LTD</t>
        </is>
      </c>
      <c r="B18759" s="4" t="n">
        <v>45351</v>
      </c>
      <c r="C18759" s="3" t="inlineStr">
        <is>
          <t>Expenses</t>
        </is>
      </c>
      <c r="D18759" s="3" t="inlineStr">
        <is>
          <t>3050/000</t>
        </is>
      </c>
      <c r="E18759" s="3" t="inlineStr">
        <is>
          <t>Advertising and Promotions</t>
        </is>
      </c>
      <c r="F18759" s="3" t="n">
        <v>0</v>
      </c>
      <c r="G18759" s="3" t="n">
        <v>18164.18</v>
      </c>
    </row>
    <row r="18760">
      <c r="A18760" s="3" t="inlineStr">
        <is>
          <t>Opportunity Private Capital (PTY) LTD</t>
        </is>
      </c>
      <c r="B18760" s="4" t="n">
        <v>45351</v>
      </c>
      <c r="C18760" s="3" t="inlineStr">
        <is>
          <t>Expenses</t>
        </is>
      </c>
      <c r="D18760" s="3" t="inlineStr">
        <is>
          <t>3050/000</t>
        </is>
      </c>
      <c r="E18760" s="3" t="inlineStr">
        <is>
          <t>Advertising and Promotions</t>
        </is>
      </c>
      <c r="F18760" s="3" t="n">
        <v>0</v>
      </c>
      <c r="G18760" s="3" t="n">
        <v>3510.76</v>
      </c>
    </row>
    <row r="18761">
      <c r="A18761" s="3" t="inlineStr">
        <is>
          <t>Endulini (Pty) Ltd</t>
        </is>
      </c>
      <c r="B18761" s="4" t="n">
        <v>45351</v>
      </c>
      <c r="C18761" s="3" t="inlineStr">
        <is>
          <t>Expenses</t>
        </is>
      </c>
      <c r="D18761" s="3" t="inlineStr">
        <is>
          <t>3050/001</t>
        </is>
      </c>
      <c r="E18761" s="3" t="inlineStr">
        <is>
          <t>Advertising _AND_ Promotions - Media Agenda</t>
        </is>
      </c>
      <c r="F18761" s="3" t="n">
        <v>0</v>
      </c>
      <c r="G18761" s="3" t="n">
        <v>4887.5</v>
      </c>
    </row>
    <row r="18762">
      <c r="A18762" s="3" t="inlineStr">
        <is>
          <t>Endulini (Pty) Ltd</t>
        </is>
      </c>
      <c r="B18762" s="4" t="n">
        <v>45351</v>
      </c>
      <c r="C18762" s="3" t="inlineStr">
        <is>
          <t>Expenses</t>
        </is>
      </c>
      <c r="D18762" s="3" t="inlineStr">
        <is>
          <t>3050/002</t>
        </is>
      </c>
      <c r="E18762" s="3" t="inlineStr">
        <is>
          <t>Advertising - Other</t>
        </is>
      </c>
      <c r="F18762" s="3" t="n">
        <v>1150</v>
      </c>
      <c r="G18762" s="3" t="n">
        <v>1150</v>
      </c>
    </row>
    <row r="18763">
      <c r="A18763" s="3" t="inlineStr">
        <is>
          <t>Noble Shield (Pty) Ltd ta Go Letting</t>
        </is>
      </c>
      <c r="B18763" s="4" t="n">
        <v>45351</v>
      </c>
      <c r="C18763" s="3" t="inlineStr">
        <is>
          <t>Expenses</t>
        </is>
      </c>
      <c r="D18763" s="3" t="inlineStr">
        <is>
          <t>3050/020</t>
        </is>
      </c>
      <c r="E18763" s="3" t="inlineStr">
        <is>
          <t>Adverting &amp; Marketing - Other</t>
        </is>
      </c>
      <c r="F18763" s="3" t="n">
        <v>0</v>
      </c>
      <c r="G18763" s="3" t="n">
        <v>134.9</v>
      </c>
    </row>
    <row r="18764">
      <c r="A18764" s="3" t="inlineStr">
        <is>
          <t>Noble Shield (Pty) Ltd ta Go Letting</t>
        </is>
      </c>
      <c r="B18764" s="4" t="n">
        <v>45351</v>
      </c>
      <c r="C18764" s="3" t="inlineStr">
        <is>
          <t>Expenses</t>
        </is>
      </c>
      <c r="D18764" s="3" t="inlineStr">
        <is>
          <t>3050/050</t>
        </is>
      </c>
      <c r="E18764" s="3" t="inlineStr">
        <is>
          <t>Advertising - Prop 24</t>
        </is>
      </c>
      <c r="F18764" s="3" t="n">
        <v>4491.9</v>
      </c>
      <c r="G18764" s="3" t="n">
        <v>21860.35</v>
      </c>
    </row>
    <row r="18765">
      <c r="A18765" s="3" t="inlineStr">
        <is>
          <t>Opportunity Global Property (PTY) LTD</t>
        </is>
      </c>
      <c r="B18765" s="4" t="n">
        <v>45351</v>
      </c>
      <c r="C18765" s="3" t="inlineStr">
        <is>
          <t>Expenses</t>
        </is>
      </c>
      <c r="D18765" s="3" t="inlineStr">
        <is>
          <t>3050/100</t>
        </is>
      </c>
      <c r="E18765" s="3" t="inlineStr">
        <is>
          <t>Advertising - Facebook</t>
        </is>
      </c>
      <c r="F18765" s="3" t="n">
        <v>0</v>
      </c>
      <c r="G18765" s="3" t="n">
        <v>2279.78</v>
      </c>
    </row>
    <row r="18766">
      <c r="A18766" s="3" t="inlineStr">
        <is>
          <t>Opportunity Global Sales (PTY) LTD</t>
        </is>
      </c>
      <c r="B18766" s="4" t="n">
        <v>45351</v>
      </c>
      <c r="C18766" s="3" t="inlineStr">
        <is>
          <t>Expenses</t>
        </is>
      </c>
      <c r="D18766" s="3" t="inlineStr">
        <is>
          <t>3050/100</t>
        </is>
      </c>
      <c r="E18766" s="3" t="inlineStr">
        <is>
          <t>Advertising - Facebook</t>
        </is>
      </c>
      <c r="F18766" s="3" t="n">
        <v>0</v>
      </c>
      <c r="G18766" s="3" t="n">
        <v>2279.78</v>
      </c>
    </row>
    <row r="18767">
      <c r="A18767" s="3" t="inlineStr">
        <is>
          <t>Opportunity Global Property (PTY) LTD</t>
        </is>
      </c>
      <c r="B18767" s="4" t="n">
        <v>45351</v>
      </c>
      <c r="C18767" s="3" t="inlineStr">
        <is>
          <t>Expenses</t>
        </is>
      </c>
      <c r="D18767" s="3" t="inlineStr">
        <is>
          <t>3050/140</t>
        </is>
      </c>
      <c r="E18767" s="3" t="inlineStr">
        <is>
          <t>Advertising - Media Agenda</t>
        </is>
      </c>
      <c r="F18767" s="3" t="n">
        <v>0</v>
      </c>
      <c r="G18767" s="3" t="n">
        <v>18462.5</v>
      </c>
    </row>
    <row r="18768">
      <c r="A18768" s="3" t="inlineStr">
        <is>
          <t>Opportunity Global Sales (PTY) LTD</t>
        </is>
      </c>
      <c r="B18768" s="4" t="n">
        <v>45351</v>
      </c>
      <c r="C18768" s="3" t="inlineStr">
        <is>
          <t>Expenses</t>
        </is>
      </c>
      <c r="D18768" s="3" t="inlineStr">
        <is>
          <t>3050/140</t>
        </is>
      </c>
      <c r="E18768" s="3" t="inlineStr">
        <is>
          <t>Advertising - Media Agenda</t>
        </is>
      </c>
      <c r="F18768" s="3" t="n">
        <v>0</v>
      </c>
      <c r="G18768" s="3" t="n">
        <v>18462.5</v>
      </c>
    </row>
    <row r="18769">
      <c r="A18769" s="3" t="inlineStr">
        <is>
          <t>Opportunity Global Property (PTY) LTD</t>
        </is>
      </c>
      <c r="B18769" s="4" t="n">
        <v>45351</v>
      </c>
      <c r="C18769" s="3" t="inlineStr">
        <is>
          <t>Expenses</t>
        </is>
      </c>
      <c r="D18769" s="3" t="inlineStr">
        <is>
          <t>3050/200</t>
        </is>
      </c>
      <c r="E18769" s="3" t="inlineStr">
        <is>
          <t>Advertising - Design</t>
        </is>
      </c>
      <c r="F18769" s="3" t="n">
        <v>0</v>
      </c>
      <c r="G18769" s="3" t="n">
        <v>35000</v>
      </c>
    </row>
    <row r="18770">
      <c r="A18770" s="3" t="inlineStr">
        <is>
          <t>Opportunity Global Sales (PTY) LTD</t>
        </is>
      </c>
      <c r="B18770" s="4" t="n">
        <v>45351</v>
      </c>
      <c r="C18770" s="3" t="inlineStr">
        <is>
          <t>Expenses</t>
        </is>
      </c>
      <c r="D18770" s="3" t="inlineStr">
        <is>
          <t>3050/200</t>
        </is>
      </c>
      <c r="E18770" s="3" t="inlineStr">
        <is>
          <t>Advertising - Design</t>
        </is>
      </c>
      <c r="F18770" s="3" t="n">
        <v>0</v>
      </c>
      <c r="G18770" s="3" t="n">
        <v>35000</v>
      </c>
    </row>
    <row r="18771">
      <c r="A18771" s="3" t="inlineStr">
        <is>
          <t>Opportunity Global Investment (PTY) LTD</t>
        </is>
      </c>
      <c r="B18771" s="4" t="n">
        <v>45351</v>
      </c>
      <c r="C18771" s="3" t="inlineStr">
        <is>
          <t>Expenses</t>
        </is>
      </c>
      <c r="D18771" s="3" t="inlineStr">
        <is>
          <t>3050/230</t>
        </is>
      </c>
      <c r="E18771" s="3" t="inlineStr">
        <is>
          <t>Advertising - Link on Advertising</t>
        </is>
      </c>
      <c r="F18771" s="3" t="n">
        <v>395</v>
      </c>
      <c r="G18771" s="3" t="n">
        <v>2765</v>
      </c>
    </row>
    <row r="18772">
      <c r="A18772" s="3" t="inlineStr">
        <is>
          <t>Opportunity Private Capital (PTY) LTD</t>
        </is>
      </c>
      <c r="B18772" s="4" t="n">
        <v>45351</v>
      </c>
      <c r="C18772" s="3" t="inlineStr">
        <is>
          <t>Expenses</t>
        </is>
      </c>
      <c r="D18772" s="3" t="inlineStr">
        <is>
          <t>3050/230</t>
        </is>
      </c>
      <c r="E18772" s="3" t="inlineStr">
        <is>
          <t>Advertising - Link on Advertising</t>
        </is>
      </c>
      <c r="F18772" s="3" t="n">
        <v>395</v>
      </c>
      <c r="G18772" s="3" t="n">
        <v>2765</v>
      </c>
    </row>
    <row r="18773">
      <c r="A18773" s="3" t="inlineStr">
        <is>
          <t>Opportunity Global Investment (PTY) LTD</t>
        </is>
      </c>
      <c r="B18773" s="4" t="n">
        <v>45351</v>
      </c>
      <c r="C18773" s="3" t="inlineStr">
        <is>
          <t>Expenses</t>
        </is>
      </c>
      <c r="D18773" s="3" t="inlineStr">
        <is>
          <t>3050/240</t>
        </is>
      </c>
      <c r="E18773" s="3" t="inlineStr">
        <is>
          <t>Advertising - Realmarketing</t>
        </is>
      </c>
      <c r="F18773" s="3" t="n">
        <v>0</v>
      </c>
      <c r="G18773" s="3" t="n">
        <v>191000</v>
      </c>
    </row>
    <row r="18774">
      <c r="A18774" s="3" t="inlineStr">
        <is>
          <t>Opportunity Private Capital (PTY) LTD</t>
        </is>
      </c>
      <c r="B18774" s="4" t="n">
        <v>45351</v>
      </c>
      <c r="C18774" s="3" t="inlineStr">
        <is>
          <t>Expenses</t>
        </is>
      </c>
      <c r="D18774" s="3" t="inlineStr">
        <is>
          <t>3050/240</t>
        </is>
      </c>
      <c r="E18774" s="3" t="inlineStr">
        <is>
          <t>Advertising - Realmarketing</t>
        </is>
      </c>
      <c r="F18774" s="3" t="n">
        <v>0</v>
      </c>
      <c r="G18774" s="3" t="n">
        <v>191000</v>
      </c>
    </row>
    <row r="18775">
      <c r="A18775" s="3" t="inlineStr">
        <is>
          <t>Opportunity Global Investment (PTY) LTD</t>
        </is>
      </c>
      <c r="B18775" s="4" t="n">
        <v>45351</v>
      </c>
      <c r="C18775" s="3" t="inlineStr">
        <is>
          <t>Expenses</t>
        </is>
      </c>
      <c r="D18775" s="3" t="inlineStr">
        <is>
          <t>3050/250</t>
        </is>
      </c>
      <c r="E18775" s="3" t="inlineStr">
        <is>
          <t>Advertising - General</t>
        </is>
      </c>
      <c r="F18775" s="3" t="n">
        <v>95.64</v>
      </c>
      <c r="G18775" s="3" t="n">
        <v>52695.24</v>
      </c>
    </row>
    <row r="18776">
      <c r="A18776" s="3" t="inlineStr">
        <is>
          <t>Opportunity Global Property (PTY) LTD</t>
        </is>
      </c>
      <c r="B18776" s="4" t="n">
        <v>45351</v>
      </c>
      <c r="C18776" s="3" t="inlineStr">
        <is>
          <t>Expenses</t>
        </is>
      </c>
      <c r="D18776" s="3" t="inlineStr">
        <is>
          <t>3050/250</t>
        </is>
      </c>
      <c r="E18776" s="3" t="inlineStr">
        <is>
          <t>Advertising - General</t>
        </is>
      </c>
      <c r="F18776" s="3" t="n">
        <v>25338.76</v>
      </c>
      <c r="G18776" s="3" t="n">
        <v>106435.84</v>
      </c>
    </row>
    <row r="18777">
      <c r="A18777" s="3" t="inlineStr">
        <is>
          <t>Opportunity Global Sales (PTY) LTD</t>
        </is>
      </c>
      <c r="B18777" s="4" t="n">
        <v>45351</v>
      </c>
      <c r="C18777" s="3" t="inlineStr">
        <is>
          <t>Expenses</t>
        </is>
      </c>
      <c r="D18777" s="3" t="inlineStr">
        <is>
          <t>3050/250</t>
        </is>
      </c>
      <c r="E18777" s="3" t="inlineStr">
        <is>
          <t>Advertising - General</t>
        </is>
      </c>
      <c r="F18777" s="3" t="n">
        <v>25338.76</v>
      </c>
      <c r="G18777" s="3" t="n">
        <v>106435.84</v>
      </c>
    </row>
    <row r="18778">
      <c r="A18778" s="3" t="inlineStr">
        <is>
          <t>Opportunity Private Capital (PTY) LTD</t>
        </is>
      </c>
      <c r="B18778" s="4" t="n">
        <v>45351</v>
      </c>
      <c r="C18778" s="3" t="inlineStr">
        <is>
          <t>Expenses</t>
        </is>
      </c>
      <c r="D18778" s="3" t="inlineStr">
        <is>
          <t>3050/250</t>
        </is>
      </c>
      <c r="E18778" s="3" t="inlineStr">
        <is>
          <t>Advertising - General</t>
        </is>
      </c>
      <c r="F18778" s="3" t="n">
        <v>95.64</v>
      </c>
      <c r="G18778" s="3" t="n">
        <v>52695.24</v>
      </c>
    </row>
    <row r="18779">
      <c r="A18779" s="3" t="inlineStr">
        <is>
          <t>Opportunity Global Investment (PTY) LTD</t>
        </is>
      </c>
      <c r="B18779" s="4" t="n">
        <v>45351</v>
      </c>
      <c r="C18779" s="3" t="inlineStr">
        <is>
          <t>Expenses</t>
        </is>
      </c>
      <c r="D18779" s="3" t="inlineStr">
        <is>
          <t>3050/260</t>
        </is>
      </c>
      <c r="E18779" s="3" t="inlineStr">
        <is>
          <t>Advertising - Media Agenda</t>
        </is>
      </c>
      <c r="F18779" s="3" t="n">
        <v>0</v>
      </c>
      <c r="G18779" s="3" t="n">
        <v>1437.5</v>
      </c>
    </row>
    <row r="18780">
      <c r="A18780" s="3" t="inlineStr">
        <is>
          <t>Opportunity Private Capital (PTY) LTD</t>
        </is>
      </c>
      <c r="B18780" s="4" t="n">
        <v>45351</v>
      </c>
      <c r="C18780" s="3" t="inlineStr">
        <is>
          <t>Expenses</t>
        </is>
      </c>
      <c r="D18780" s="3" t="inlineStr">
        <is>
          <t>3050/260</t>
        </is>
      </c>
      <c r="E18780" s="3" t="inlineStr">
        <is>
          <t>Advertising - Media Agenda</t>
        </is>
      </c>
      <c r="F18780" s="3" t="n">
        <v>0</v>
      </c>
      <c r="G18780" s="3" t="n">
        <v>1437.5</v>
      </c>
    </row>
    <row r="18781">
      <c r="A18781" s="3" t="inlineStr">
        <is>
          <t>Opportunity Global Investment (PTY) LTD</t>
        </is>
      </c>
      <c r="B18781" s="4" t="n">
        <v>45351</v>
      </c>
      <c r="C18781" s="3" t="inlineStr">
        <is>
          <t>Expenses</t>
        </is>
      </c>
      <c r="D18781" s="3" t="inlineStr">
        <is>
          <t>3050/270</t>
        </is>
      </c>
      <c r="E18781" s="3" t="inlineStr">
        <is>
          <t>Advertising - Radia and TV Interviews</t>
        </is>
      </c>
      <c r="F18781" s="3" t="n">
        <v>0</v>
      </c>
      <c r="G18781" s="3" t="n">
        <v>140897.5</v>
      </c>
    </row>
    <row r="18782">
      <c r="A18782" s="3" t="inlineStr">
        <is>
          <t>Opportunity Private Capital (PTY) LTD</t>
        </is>
      </c>
      <c r="B18782" s="4" t="n">
        <v>45351</v>
      </c>
      <c r="C18782" s="3" t="inlineStr">
        <is>
          <t>Expenses</t>
        </is>
      </c>
      <c r="D18782" s="3" t="inlineStr">
        <is>
          <t>3050/270</t>
        </is>
      </c>
      <c r="E18782" s="3" t="inlineStr">
        <is>
          <t>Advertising - Radia and TV Interviews</t>
        </is>
      </c>
      <c r="F18782" s="3" t="n">
        <v>0</v>
      </c>
      <c r="G18782" s="3" t="n">
        <v>140897.5</v>
      </c>
    </row>
    <row r="18783">
      <c r="A18783" s="3" t="inlineStr">
        <is>
          <t>Opportunity Global Investment (PTY) LTD</t>
        </is>
      </c>
      <c r="B18783" s="4" t="n">
        <v>45351</v>
      </c>
      <c r="C18783" s="3" t="inlineStr">
        <is>
          <t>Expenses</t>
        </is>
      </c>
      <c r="D18783" s="3" t="inlineStr">
        <is>
          <t>3050/290</t>
        </is>
      </c>
      <c r="E18783" s="3" t="inlineStr">
        <is>
          <t>Advertising - Serene Living</t>
        </is>
      </c>
      <c r="F18783" s="3" t="n">
        <v>65086</v>
      </c>
      <c r="G18783" s="3" t="n">
        <v>781032</v>
      </c>
    </row>
    <row r="18784">
      <c r="A18784" s="3" t="inlineStr">
        <is>
          <t>Opportunity Private Capital (PTY) LTD</t>
        </is>
      </c>
      <c r="B18784" s="4" t="n">
        <v>45351</v>
      </c>
      <c r="C18784" s="3" t="inlineStr">
        <is>
          <t>Expenses</t>
        </is>
      </c>
      <c r="D18784" s="3" t="inlineStr">
        <is>
          <t>3050/290</t>
        </is>
      </c>
      <c r="E18784" s="3" t="inlineStr">
        <is>
          <t>Advertising - Serene Living</t>
        </is>
      </c>
      <c r="F18784" s="3" t="n">
        <v>65086</v>
      </c>
      <c r="G18784" s="3" t="n">
        <v>781032</v>
      </c>
    </row>
    <row r="18785">
      <c r="A18785" s="3" t="inlineStr">
        <is>
          <t>Opportunity Global Investment (PTY) LTD</t>
        </is>
      </c>
      <c r="B18785" s="4" t="n">
        <v>45351</v>
      </c>
      <c r="C18785" s="3" t="inlineStr">
        <is>
          <t>Expenses</t>
        </is>
      </c>
      <c r="D18785" s="3" t="inlineStr">
        <is>
          <t>3050/295</t>
        </is>
      </c>
      <c r="E18785" s="3" t="inlineStr">
        <is>
          <t>Advertising - Reale Activation</t>
        </is>
      </c>
      <c r="F18785" s="3" t="n">
        <v>0</v>
      </c>
      <c r="G18785" s="3" t="n">
        <v>30397.22</v>
      </c>
    </row>
    <row r="18786">
      <c r="A18786" s="3" t="inlineStr">
        <is>
          <t>Opportunity Private Capital (PTY) LTD</t>
        </is>
      </c>
      <c r="B18786" s="4" t="n">
        <v>45351</v>
      </c>
      <c r="C18786" s="3" t="inlineStr">
        <is>
          <t>Expenses</t>
        </is>
      </c>
      <c r="D18786" s="3" t="inlineStr">
        <is>
          <t>3050/295</t>
        </is>
      </c>
      <c r="E18786" s="3" t="inlineStr">
        <is>
          <t>Advertising - Reale Activation</t>
        </is>
      </c>
      <c r="F18786" s="3" t="n">
        <v>0</v>
      </c>
      <c r="G18786" s="3" t="n">
        <v>30397.22</v>
      </c>
    </row>
    <row r="18787">
      <c r="A18787" s="3" t="inlineStr">
        <is>
          <t>Opportunity Global Investment (PTY) LTD</t>
        </is>
      </c>
      <c r="B18787" s="4" t="n">
        <v>45351</v>
      </c>
      <c r="C18787" s="3" t="inlineStr">
        <is>
          <t>Expenses</t>
        </is>
      </c>
      <c r="D18787" s="3" t="inlineStr">
        <is>
          <t>3050/300</t>
        </is>
      </c>
      <c r="E18787" s="3" t="inlineStr">
        <is>
          <t>Advertising - Design</t>
        </is>
      </c>
      <c r="F18787" s="3" t="n">
        <v>0</v>
      </c>
      <c r="G18787" s="3" t="n">
        <v>7750</v>
      </c>
    </row>
    <row r="18788">
      <c r="A18788" s="3" t="inlineStr">
        <is>
          <t>Opportunity Private Capital (PTY) LTD</t>
        </is>
      </c>
      <c r="B18788" s="4" t="n">
        <v>45351</v>
      </c>
      <c r="C18788" s="3" t="inlineStr">
        <is>
          <t>Expenses</t>
        </is>
      </c>
      <c r="D18788" s="3" t="inlineStr">
        <is>
          <t>3050/300</t>
        </is>
      </c>
      <c r="E18788" s="3" t="inlineStr">
        <is>
          <t>Advertising - Design</t>
        </is>
      </c>
      <c r="F18788" s="3" t="n">
        <v>0</v>
      </c>
      <c r="G18788" s="3" t="n">
        <v>7750</v>
      </c>
    </row>
    <row r="18789">
      <c r="A18789" s="3" t="inlineStr">
        <is>
          <t>Endulini (Pty) Ltd</t>
        </is>
      </c>
      <c r="B18789" s="4" t="n">
        <v>45351</v>
      </c>
      <c r="C18789" s="3" t="inlineStr">
        <is>
          <t>Expenses</t>
        </is>
      </c>
      <c r="D18789" s="3" t="inlineStr">
        <is>
          <t>3050/300</t>
        </is>
      </c>
      <c r="E18789" s="3" t="inlineStr">
        <is>
          <t>Advertiving - Real Marketing</t>
        </is>
      </c>
      <c r="F18789" s="3" t="n">
        <v>0</v>
      </c>
      <c r="G18789" s="3" t="n">
        <v>10250</v>
      </c>
    </row>
    <row r="18790">
      <c r="A18790" s="3" t="inlineStr">
        <is>
          <t>Opportunity Global Property (PTY) LTD</t>
        </is>
      </c>
      <c r="B18790" s="4" t="n">
        <v>45351</v>
      </c>
      <c r="C18790" s="3" t="inlineStr">
        <is>
          <t>Expenses</t>
        </is>
      </c>
      <c r="D18790" s="3" t="inlineStr">
        <is>
          <t>3050/300</t>
        </is>
      </c>
      <c r="E18790" s="3" t="inlineStr">
        <is>
          <t>Repairs and Maintenance - Endulini Sales Office</t>
        </is>
      </c>
      <c r="F18790" s="3" t="n">
        <v>0</v>
      </c>
      <c r="G18790" s="3" t="n">
        <v>86.95999999999999</v>
      </c>
    </row>
    <row r="18791">
      <c r="A18791" s="3" t="inlineStr">
        <is>
          <t>Opportunity Global Sales (PTY) LTD</t>
        </is>
      </c>
      <c r="B18791" s="4" t="n">
        <v>45351</v>
      </c>
      <c r="C18791" s="3" t="inlineStr">
        <is>
          <t>Expenses</t>
        </is>
      </c>
      <c r="D18791" s="3" t="inlineStr">
        <is>
          <t>3050/300</t>
        </is>
      </c>
      <c r="E18791" s="3" t="inlineStr">
        <is>
          <t>Repairs and Maintenance - Endulini Sales Office</t>
        </is>
      </c>
      <c r="F18791" s="3" t="n">
        <v>0</v>
      </c>
      <c r="G18791" s="3" t="n">
        <v>86.95999999999999</v>
      </c>
    </row>
    <row r="18792">
      <c r="A18792" s="3" t="inlineStr">
        <is>
          <t>Quinate Consulting (Pty) Ltd</t>
        </is>
      </c>
      <c r="B18792" s="4" t="n">
        <v>45351</v>
      </c>
      <c r="C18792" s="3" t="inlineStr">
        <is>
          <t>Expenses</t>
        </is>
      </c>
      <c r="D18792" s="3" t="inlineStr">
        <is>
          <t>3050/400</t>
        </is>
      </c>
      <c r="E18792" s="3" t="inlineStr">
        <is>
          <t>Advertising - Prop24</t>
        </is>
      </c>
      <c r="F18792" s="3" t="n">
        <v>9701</v>
      </c>
      <c r="G18792" s="3" t="n">
        <v>128557.75</v>
      </c>
    </row>
    <row r="18793">
      <c r="A18793" s="3" t="inlineStr">
        <is>
          <t>Opportunity Global Property (PTY) LTD</t>
        </is>
      </c>
      <c r="B18793" s="4" t="n">
        <v>45351</v>
      </c>
      <c r="C18793" s="3" t="inlineStr">
        <is>
          <t>Expenses</t>
        </is>
      </c>
      <c r="D18793" s="3" t="inlineStr">
        <is>
          <t>3050/400</t>
        </is>
      </c>
      <c r="E18793" s="3" t="inlineStr">
        <is>
          <t>Repairs &amp; Maintenance Heron sales office</t>
        </is>
      </c>
      <c r="F18793" s="3" t="n">
        <v>0</v>
      </c>
      <c r="G18793" s="3" t="n">
        <v>196.5</v>
      </c>
    </row>
    <row r="18794">
      <c r="A18794" s="3" t="inlineStr">
        <is>
          <t>Opportunity Global Sales (PTY) LTD</t>
        </is>
      </c>
      <c r="B18794" s="4" t="n">
        <v>45351</v>
      </c>
      <c r="C18794" s="3" t="inlineStr">
        <is>
          <t>Expenses</t>
        </is>
      </c>
      <c r="D18794" s="3" t="inlineStr">
        <is>
          <t>3050/400</t>
        </is>
      </c>
      <c r="E18794" s="3" t="inlineStr">
        <is>
          <t>Repairs &amp; Maintenance Heron sales office</t>
        </is>
      </c>
      <c r="F18794" s="3" t="n">
        <v>0</v>
      </c>
      <c r="G18794" s="3" t="n">
        <v>196.5</v>
      </c>
    </row>
    <row r="18795">
      <c r="A18795" s="3" t="inlineStr">
        <is>
          <t>Quinate Consulting (Pty) Ltd</t>
        </is>
      </c>
      <c r="B18795" s="4" t="n">
        <v>45351</v>
      </c>
      <c r="C18795" s="3" t="inlineStr">
        <is>
          <t>Expenses</t>
        </is>
      </c>
      <c r="D18795" s="3" t="inlineStr">
        <is>
          <t>3050/450</t>
        </is>
      </c>
      <c r="E18795" s="3" t="inlineStr">
        <is>
          <t>Advertising - Facebook</t>
        </is>
      </c>
      <c r="F18795" s="3" t="n">
        <v>0</v>
      </c>
      <c r="G18795" s="3" t="n">
        <v>51955.16</v>
      </c>
    </row>
    <row r="18796">
      <c r="A18796" s="3" t="inlineStr">
        <is>
          <t>Opportunity Global Investment (PTY) LTD</t>
        </is>
      </c>
      <c r="B18796" s="4" t="n">
        <v>45351</v>
      </c>
      <c r="C18796" s="3" t="inlineStr">
        <is>
          <t>Expenses</t>
        </is>
      </c>
      <c r="D18796" s="3" t="inlineStr">
        <is>
          <t>3051/000</t>
        </is>
      </c>
      <c r="E18796" s="3" t="inlineStr">
        <is>
          <t>Advertising - Facebook</t>
        </is>
      </c>
      <c r="F18796" s="3" t="n">
        <v>18723.74</v>
      </c>
      <c r="G18796" s="3" t="n">
        <v>205621.28</v>
      </c>
    </row>
    <row r="18797">
      <c r="A18797" s="3" t="inlineStr">
        <is>
          <t>Opportunity Private Capital (PTY) LTD</t>
        </is>
      </c>
      <c r="B18797" s="4" t="n">
        <v>45351</v>
      </c>
      <c r="C18797" s="3" t="inlineStr">
        <is>
          <t>Expenses</t>
        </is>
      </c>
      <c r="D18797" s="3" t="inlineStr">
        <is>
          <t>3051/000</t>
        </is>
      </c>
      <c r="E18797" s="3" t="inlineStr">
        <is>
          <t>Advertising - Facebook</t>
        </is>
      </c>
      <c r="F18797" s="3" t="n">
        <v>18723.74</v>
      </c>
      <c r="G18797" s="3" t="n">
        <v>205621.28</v>
      </c>
    </row>
    <row r="18798">
      <c r="A18798" s="3" t="inlineStr">
        <is>
          <t>Opportunity Global Investment (PTY) LTD</t>
        </is>
      </c>
      <c r="B18798" s="4" t="n">
        <v>45351</v>
      </c>
      <c r="C18798" s="3" t="inlineStr">
        <is>
          <t>Expenses</t>
        </is>
      </c>
      <c r="D18798" s="3" t="inlineStr">
        <is>
          <t>3053/000</t>
        </is>
      </c>
      <c r="E18798" s="3" t="inlineStr">
        <is>
          <t>Advertising - Google Ads</t>
        </is>
      </c>
      <c r="F18798" s="3" t="n">
        <v>0</v>
      </c>
      <c r="G18798" s="3" t="n">
        <v>7619.61</v>
      </c>
    </row>
    <row r="18799">
      <c r="A18799" s="3" t="inlineStr">
        <is>
          <t>Opportunity Private Capital (PTY) LTD</t>
        </is>
      </c>
      <c r="B18799" s="4" t="n">
        <v>45351</v>
      </c>
      <c r="C18799" s="3" t="inlineStr">
        <is>
          <t>Expenses</t>
        </is>
      </c>
      <c r="D18799" s="3" t="inlineStr">
        <is>
          <t>3053/000</t>
        </is>
      </c>
      <c r="E18799" s="3" t="inlineStr">
        <is>
          <t>Advertising - Google Ads</t>
        </is>
      </c>
      <c r="F18799" s="3" t="n">
        <v>0</v>
      </c>
      <c r="G18799" s="3" t="n">
        <v>7619.61</v>
      </c>
    </row>
    <row r="18800">
      <c r="A18800" s="3" t="inlineStr">
        <is>
          <t>Endulini (Pty) Ltd</t>
        </is>
      </c>
      <c r="B18800" s="4" t="n">
        <v>45351</v>
      </c>
      <c r="C18800" s="3" t="inlineStr">
        <is>
          <t>Expenses</t>
        </is>
      </c>
      <c r="D18800" s="3" t="inlineStr">
        <is>
          <t>3200/000</t>
        </is>
      </c>
      <c r="E18800" s="3" t="inlineStr">
        <is>
          <t>Bank Charges</t>
        </is>
      </c>
      <c r="F18800" s="3" t="n">
        <v>126.88</v>
      </c>
      <c r="G18800" s="3" t="n">
        <v>2322.28</v>
      </c>
    </row>
    <row r="18801">
      <c r="A18801" s="3" t="inlineStr">
        <is>
          <t>Noble Shield (Pty) Ltd ta Go Letting</t>
        </is>
      </c>
      <c r="B18801" s="4" t="n">
        <v>45351</v>
      </c>
      <c r="C18801" s="3" t="inlineStr">
        <is>
          <t>Expenses</t>
        </is>
      </c>
      <c r="D18801" s="3" t="inlineStr">
        <is>
          <t>3200/000</t>
        </is>
      </c>
      <c r="E18801" s="3" t="inlineStr">
        <is>
          <t>Bank Charges</t>
        </is>
      </c>
      <c r="F18801" s="3" t="n">
        <v>656.1900000000001</v>
      </c>
      <c r="G18801" s="3" t="n">
        <v>3492.43</v>
      </c>
    </row>
    <row r="18802">
      <c r="A18802" s="3" t="inlineStr">
        <is>
          <t>Opportunity Global Investment (PTY) LTD</t>
        </is>
      </c>
      <c r="B18802" s="4" t="n">
        <v>45351</v>
      </c>
      <c r="C18802" s="3" t="inlineStr">
        <is>
          <t>Expenses</t>
        </is>
      </c>
      <c r="D18802" s="3" t="inlineStr">
        <is>
          <t>3200/000</t>
        </is>
      </c>
      <c r="E18802" s="3" t="inlineStr">
        <is>
          <t>Bank Charges</t>
        </is>
      </c>
      <c r="F18802" s="3" t="n">
        <v>1088.54</v>
      </c>
      <c r="G18802" s="3" t="n">
        <v>7260.1</v>
      </c>
    </row>
    <row r="18803">
      <c r="A18803" s="3" t="inlineStr">
        <is>
          <t>Opportunity Global Property (PTY) LTD</t>
        </is>
      </c>
      <c r="B18803" s="4" t="n">
        <v>45351</v>
      </c>
      <c r="C18803" s="3" t="inlineStr">
        <is>
          <t>Expenses</t>
        </is>
      </c>
      <c r="D18803" s="3" t="inlineStr">
        <is>
          <t>3200/000</t>
        </is>
      </c>
      <c r="E18803" s="3" t="inlineStr">
        <is>
          <t>Bank Charges</t>
        </is>
      </c>
      <c r="F18803" s="3" t="n">
        <v>556.96</v>
      </c>
      <c r="G18803" s="3" t="n">
        <v>6138.42</v>
      </c>
    </row>
    <row r="18804">
      <c r="A18804" s="3" t="inlineStr">
        <is>
          <t>Opportunity Global Sales (PTY) LTD</t>
        </is>
      </c>
      <c r="B18804" s="4" t="n">
        <v>45351</v>
      </c>
      <c r="C18804" s="3" t="inlineStr">
        <is>
          <t>Expenses</t>
        </is>
      </c>
      <c r="D18804" s="3" t="inlineStr">
        <is>
          <t>3200/000</t>
        </is>
      </c>
      <c r="E18804" s="3" t="inlineStr">
        <is>
          <t>Bank Charges</t>
        </is>
      </c>
      <c r="F18804" s="3" t="n">
        <v>556.96</v>
      </c>
      <c r="G18804" s="3" t="n">
        <v>6138.42</v>
      </c>
    </row>
    <row r="18805">
      <c r="A18805" s="3" t="inlineStr">
        <is>
          <t>Opportunity Management Holdings (PTY) LTD</t>
        </is>
      </c>
      <c r="B18805" s="4" t="n">
        <v>45351</v>
      </c>
      <c r="C18805" s="3" t="inlineStr">
        <is>
          <t>Expenses</t>
        </is>
      </c>
      <c r="D18805" s="3" t="inlineStr">
        <is>
          <t>3200/000</t>
        </is>
      </c>
      <c r="E18805" s="3" t="inlineStr">
        <is>
          <t>Bank Charges</t>
        </is>
      </c>
      <c r="F18805" s="3" t="n">
        <v>898.75</v>
      </c>
      <c r="G18805" s="3" t="n">
        <v>5101.58</v>
      </c>
    </row>
    <row r="18806">
      <c r="A18806" s="3" t="inlineStr">
        <is>
          <t>Opportunity Private Capital (PTY) LTD</t>
        </is>
      </c>
      <c r="B18806" s="4" t="n">
        <v>45351</v>
      </c>
      <c r="C18806" s="3" t="inlineStr">
        <is>
          <t>Expenses</t>
        </is>
      </c>
      <c r="D18806" s="3" t="inlineStr">
        <is>
          <t>3200/000</t>
        </is>
      </c>
      <c r="E18806" s="3" t="inlineStr">
        <is>
          <t>Bank Charges</t>
        </is>
      </c>
      <c r="F18806" s="3" t="n">
        <v>1088.54</v>
      </c>
      <c r="G18806" s="3" t="n">
        <v>7260.1</v>
      </c>
    </row>
    <row r="18807">
      <c r="A18807" s="3" t="inlineStr">
        <is>
          <t>Quinate Consulting (Pty) Ltd</t>
        </is>
      </c>
      <c r="B18807" s="4" t="n">
        <v>45351</v>
      </c>
      <c r="C18807" s="3" t="inlineStr">
        <is>
          <t>Expenses</t>
        </is>
      </c>
      <c r="D18807" s="3" t="inlineStr">
        <is>
          <t>3200/000</t>
        </is>
      </c>
      <c r="E18807" s="3" t="inlineStr">
        <is>
          <t>Bank Charges</t>
        </is>
      </c>
      <c r="F18807" s="3" t="n">
        <v>471.98</v>
      </c>
      <c r="G18807" s="3" t="n">
        <v>9703.389999999999</v>
      </c>
    </row>
    <row r="18808">
      <c r="A18808" s="3" t="inlineStr">
        <is>
          <t>Trademark Holdings (Pty) Ltd</t>
        </is>
      </c>
      <c r="B18808" s="4" t="n">
        <v>45351</v>
      </c>
      <c r="C18808" s="3" t="inlineStr">
        <is>
          <t>Expenses</t>
        </is>
      </c>
      <c r="D18808" s="3" t="inlineStr">
        <is>
          <t>3200/000</t>
        </is>
      </c>
      <c r="E18808" s="3" t="inlineStr">
        <is>
          <t>Bank Charges</t>
        </is>
      </c>
      <c r="F18808" s="3" t="n">
        <v>326.28</v>
      </c>
      <c r="G18808" s="3" t="n">
        <v>1911.93</v>
      </c>
    </row>
    <row r="18809">
      <c r="A18809" s="3" t="inlineStr">
        <is>
          <t>Quinate Consulting (Pty) Ltd</t>
        </is>
      </c>
      <c r="B18809" s="4" t="n">
        <v>45351</v>
      </c>
      <c r="C18809" s="3" t="inlineStr">
        <is>
          <t>Expenses</t>
        </is>
      </c>
      <c r="D18809" s="3" t="inlineStr">
        <is>
          <t>3220/000</t>
        </is>
      </c>
      <c r="E18809" s="3" t="inlineStr">
        <is>
          <t>Bank Charges - Bond Fees</t>
        </is>
      </c>
      <c r="F18809" s="3" t="n">
        <v>1043.5</v>
      </c>
      <c r="G18809" s="3" t="n">
        <v>13321.98</v>
      </c>
    </row>
    <row r="18810">
      <c r="A18810" s="3" t="inlineStr">
        <is>
          <t>Noble Shield (Pty) Ltd ta Go Letting</t>
        </is>
      </c>
      <c r="B18810" s="4" t="n">
        <v>45351</v>
      </c>
      <c r="C18810" s="3" t="inlineStr">
        <is>
          <t>Expenses</t>
        </is>
      </c>
      <c r="D18810" s="3" t="inlineStr">
        <is>
          <t>3230/000</t>
        </is>
      </c>
      <c r="E18810" s="3" t="inlineStr">
        <is>
          <t>Cell Phone - NM</t>
        </is>
      </c>
      <c r="F18810" s="3" t="n">
        <v>2276.34</v>
      </c>
      <c r="G18810" s="3" t="n">
        <v>13664.18</v>
      </c>
    </row>
    <row r="18811">
      <c r="A18811" s="3" t="inlineStr">
        <is>
          <t>Noble Shield (Pty) Ltd ta Go Letting</t>
        </is>
      </c>
      <c r="B18811" s="4" t="n">
        <v>45351</v>
      </c>
      <c r="C18811" s="3" t="inlineStr">
        <is>
          <t>Expenses</t>
        </is>
      </c>
      <c r="D18811" s="3" t="inlineStr">
        <is>
          <t>3233/000</t>
        </is>
      </c>
      <c r="E18811" s="3" t="inlineStr">
        <is>
          <t>Cell Data - Other</t>
        </is>
      </c>
      <c r="F18811" s="3" t="n">
        <v>199</v>
      </c>
      <c r="G18811" s="3" t="n">
        <v>770.04</v>
      </c>
    </row>
    <row r="18812">
      <c r="A18812" s="3" t="inlineStr">
        <is>
          <t>Noble Shield (Pty) Ltd ta Go Letting</t>
        </is>
      </c>
      <c r="B18812" s="4" t="n">
        <v>45351</v>
      </c>
      <c r="C18812" s="3" t="inlineStr">
        <is>
          <t>Expenses</t>
        </is>
      </c>
      <c r="D18812" s="3" t="inlineStr">
        <is>
          <t>3233/100</t>
        </is>
      </c>
      <c r="E18812" s="3" t="inlineStr">
        <is>
          <t>Cell Data - Sales office Wifi</t>
        </is>
      </c>
      <c r="F18812" s="3" t="n">
        <v>315</v>
      </c>
      <c r="G18812" s="3" t="n">
        <v>2386.91</v>
      </c>
    </row>
    <row r="18813">
      <c r="A18813" s="3" t="inlineStr">
        <is>
          <t>Opportunity Global Investment (PTY) LTD</t>
        </is>
      </c>
      <c r="B18813" s="4" t="n">
        <v>45351</v>
      </c>
      <c r="C18813" s="3" t="inlineStr">
        <is>
          <t>Expenses</t>
        </is>
      </c>
      <c r="D18813" s="3" t="inlineStr">
        <is>
          <t>3250/000</t>
        </is>
      </c>
      <c r="E18813" s="3" t="inlineStr">
        <is>
          <t>Cleaning</t>
        </is>
      </c>
      <c r="F18813" s="3" t="n">
        <v>2700</v>
      </c>
      <c r="G18813" s="3" t="n">
        <v>32400</v>
      </c>
    </row>
    <row r="18814">
      <c r="A18814" s="3" t="inlineStr">
        <is>
          <t>Opportunity Global Property (PTY) LTD</t>
        </is>
      </c>
      <c r="B18814" s="4" t="n">
        <v>45351</v>
      </c>
      <c r="C18814" s="3" t="inlineStr">
        <is>
          <t>Expenses</t>
        </is>
      </c>
      <c r="D18814" s="3" t="inlineStr">
        <is>
          <t>3250/000</t>
        </is>
      </c>
      <c r="E18814" s="3" t="inlineStr">
        <is>
          <t>Cleaning</t>
        </is>
      </c>
      <c r="F18814" s="3" t="n">
        <v>3326.87</v>
      </c>
      <c r="G18814" s="3" t="n">
        <v>12888.78</v>
      </c>
    </row>
    <row r="18815">
      <c r="A18815" s="3" t="inlineStr">
        <is>
          <t>Opportunity Global Sales (PTY) LTD</t>
        </is>
      </c>
      <c r="B18815" s="4" t="n">
        <v>45351</v>
      </c>
      <c r="C18815" s="3" t="inlineStr">
        <is>
          <t>Expenses</t>
        </is>
      </c>
      <c r="D18815" s="3" t="inlineStr">
        <is>
          <t>3250/000</t>
        </is>
      </c>
      <c r="E18815" s="3" t="inlineStr">
        <is>
          <t>Cleaning</t>
        </is>
      </c>
      <c r="F18815" s="3" t="n">
        <v>3326.87</v>
      </c>
      <c r="G18815" s="3" t="n">
        <v>12888.78</v>
      </c>
    </row>
    <row r="18816">
      <c r="A18816" s="3" t="inlineStr">
        <is>
          <t>Opportunity Management Holdings (PTY) LTD</t>
        </is>
      </c>
      <c r="B18816" s="4" t="n">
        <v>45351</v>
      </c>
      <c r="C18816" s="3" t="inlineStr">
        <is>
          <t>Expenses</t>
        </is>
      </c>
      <c r="D18816" s="3" t="inlineStr">
        <is>
          <t>3250/000</t>
        </is>
      </c>
      <c r="E18816" s="3" t="inlineStr">
        <is>
          <t>Cleaning</t>
        </is>
      </c>
      <c r="F18816" s="3" t="n">
        <v>2982.83</v>
      </c>
      <c r="G18816" s="3" t="n">
        <v>17545.15</v>
      </c>
    </row>
    <row r="18817">
      <c r="A18817" s="3" t="inlineStr">
        <is>
          <t>Opportunity Private Capital (PTY) LTD</t>
        </is>
      </c>
      <c r="B18817" s="4" t="n">
        <v>45351</v>
      </c>
      <c r="C18817" s="3" t="inlineStr">
        <is>
          <t>Expenses</t>
        </is>
      </c>
      <c r="D18817" s="3" t="inlineStr">
        <is>
          <t>3250/000</t>
        </is>
      </c>
      <c r="E18817" s="3" t="inlineStr">
        <is>
          <t>Cleaning</t>
        </is>
      </c>
      <c r="F18817" s="3" t="n">
        <v>2700</v>
      </c>
      <c r="G18817" s="3" t="n">
        <v>32400</v>
      </c>
    </row>
    <row r="18818">
      <c r="A18818" s="3" t="inlineStr">
        <is>
          <t>Trademark Holdings (Pty) Ltd</t>
        </is>
      </c>
      <c r="B18818" s="4" t="n">
        <v>45351</v>
      </c>
      <c r="C18818" s="3" t="inlineStr">
        <is>
          <t>Expenses</t>
        </is>
      </c>
      <c r="D18818" s="3" t="inlineStr">
        <is>
          <t>3250/000</t>
        </is>
      </c>
      <c r="E18818" s="3" t="inlineStr">
        <is>
          <t>Cleaning</t>
        </is>
      </c>
      <c r="F18818" s="3" t="n">
        <v>1144</v>
      </c>
      <c r="G18818" s="3" t="n">
        <v>6578</v>
      </c>
    </row>
    <row r="18819">
      <c r="A18819" s="3" t="inlineStr">
        <is>
          <t>Opportunity Global Investment (PTY) LTD</t>
        </is>
      </c>
      <c r="B18819" s="4" t="n">
        <v>45351</v>
      </c>
      <c r="C18819" s="3" t="inlineStr">
        <is>
          <t>Expenses</t>
        </is>
      </c>
      <c r="D18819" s="3" t="inlineStr">
        <is>
          <t>3300/000</t>
        </is>
      </c>
      <c r="E18819" s="3" t="inlineStr">
        <is>
          <t>Computer Expenses</t>
        </is>
      </c>
      <c r="F18819" s="3" t="n">
        <v>3004.34</v>
      </c>
      <c r="G18819" s="3" t="n">
        <v>7152.78</v>
      </c>
    </row>
    <row r="18820">
      <c r="A18820" s="3" t="inlineStr">
        <is>
          <t>Opportunity Management Holdings (PTY) LTD</t>
        </is>
      </c>
      <c r="B18820" s="4" t="n">
        <v>45351</v>
      </c>
      <c r="C18820" s="3" t="inlineStr">
        <is>
          <t>Expenses</t>
        </is>
      </c>
      <c r="D18820" s="3" t="inlineStr">
        <is>
          <t>3300/000</t>
        </is>
      </c>
      <c r="E18820" s="3" t="inlineStr">
        <is>
          <t>Computer Expenses</t>
        </is>
      </c>
      <c r="F18820" s="3" t="n">
        <v>112.17</v>
      </c>
      <c r="G18820" s="3" t="n">
        <v>1266.08</v>
      </c>
    </row>
    <row r="18821">
      <c r="A18821" s="3" t="inlineStr">
        <is>
          <t>Opportunity Private Capital (PTY) LTD</t>
        </is>
      </c>
      <c r="B18821" s="4" t="n">
        <v>45351</v>
      </c>
      <c r="C18821" s="3" t="inlineStr">
        <is>
          <t>Expenses</t>
        </is>
      </c>
      <c r="D18821" s="3" t="inlineStr">
        <is>
          <t>3300/000</t>
        </is>
      </c>
      <c r="E18821" s="3" t="inlineStr">
        <is>
          <t>Computer Expenses</t>
        </is>
      </c>
      <c r="F18821" s="3" t="n">
        <v>3004.34</v>
      </c>
      <c r="G18821" s="3" t="n">
        <v>7152.78</v>
      </c>
    </row>
    <row r="18822">
      <c r="A18822" s="3" t="inlineStr">
        <is>
          <t>Noble Shield (Pty) Ltd ta Go Letting</t>
        </is>
      </c>
      <c r="B18822" s="4" t="n">
        <v>45351</v>
      </c>
      <c r="C18822" s="3" t="inlineStr">
        <is>
          <t>Expenses</t>
        </is>
      </c>
      <c r="D18822" s="3" t="inlineStr">
        <is>
          <t>3300/120</t>
        </is>
      </c>
      <c r="E18822" s="3" t="inlineStr">
        <is>
          <t>Computer IT - Software Propworx</t>
        </is>
      </c>
      <c r="F18822" s="3" t="n">
        <v>2576</v>
      </c>
      <c r="G18822" s="3" t="n">
        <v>15456</v>
      </c>
    </row>
    <row r="18823">
      <c r="A18823" s="3" t="inlineStr">
        <is>
          <t>Noble Shield (Pty) Ltd ta Go Letting</t>
        </is>
      </c>
      <c r="B18823" s="4" t="n">
        <v>45351</v>
      </c>
      <c r="C18823" s="3" t="inlineStr">
        <is>
          <t>Expenses</t>
        </is>
      </c>
      <c r="D18823" s="3" t="inlineStr">
        <is>
          <t>3300/130</t>
        </is>
      </c>
      <c r="E18823" s="3" t="inlineStr">
        <is>
          <t>Computer IT - Internet/Hosting Fees</t>
        </is>
      </c>
      <c r="F18823" s="3" t="n">
        <v>790</v>
      </c>
      <c r="G18823" s="3" t="n">
        <v>1580</v>
      </c>
    </row>
    <row r="18824">
      <c r="A18824" s="3" t="inlineStr">
        <is>
          <t>Noble Shield (Pty) Ltd ta Go Letting</t>
        </is>
      </c>
      <c r="B18824" s="4" t="n">
        <v>45351</v>
      </c>
      <c r="C18824" s="3" t="inlineStr">
        <is>
          <t>Expenses</t>
        </is>
      </c>
      <c r="D18824" s="3" t="inlineStr">
        <is>
          <t>3300/170</t>
        </is>
      </c>
      <c r="E18824" s="3" t="inlineStr">
        <is>
          <t>Computer IT - VDB office Fibre</t>
        </is>
      </c>
      <c r="F18824" s="3" t="n">
        <v>790</v>
      </c>
      <c r="G18824" s="3" t="n">
        <v>3950</v>
      </c>
    </row>
    <row r="18825">
      <c r="A18825" s="3" t="inlineStr">
        <is>
          <t>Trademark Holdings (Pty) Ltd</t>
        </is>
      </c>
      <c r="B18825" s="4" t="n">
        <v>45351</v>
      </c>
      <c r="C18825" s="3" t="inlineStr">
        <is>
          <t>Expenses</t>
        </is>
      </c>
      <c r="D18825" s="3" t="inlineStr">
        <is>
          <t>3350/000</t>
        </is>
      </c>
      <c r="E18825" s="3" t="inlineStr">
        <is>
          <t>Consulting Fees</t>
        </is>
      </c>
      <c r="F18825" s="3" t="n">
        <v>22000</v>
      </c>
      <c r="G18825" s="3" t="n">
        <v>132400</v>
      </c>
    </row>
    <row r="18826">
      <c r="A18826" s="3" t="inlineStr">
        <is>
          <t>Opportunity Management Holdings (PTY) LTD</t>
        </is>
      </c>
      <c r="B18826" s="4" t="n">
        <v>45351</v>
      </c>
      <c r="C18826" s="3" t="inlineStr">
        <is>
          <t>Expenses</t>
        </is>
      </c>
      <c r="D18826" s="3" t="inlineStr">
        <is>
          <t>3350/100</t>
        </is>
      </c>
      <c r="E18826" s="3" t="inlineStr">
        <is>
          <t>Consulting Fee - Dirk Coetzee</t>
        </is>
      </c>
      <c r="F18826" s="3" t="n">
        <v>17000</v>
      </c>
      <c r="G18826" s="3" t="n">
        <v>102000</v>
      </c>
    </row>
    <row r="18827">
      <c r="A18827" s="3" t="inlineStr">
        <is>
          <t>Endulini (Pty) Ltd</t>
        </is>
      </c>
      <c r="B18827" s="4" t="n">
        <v>45351</v>
      </c>
      <c r="C18827" s="3" t="inlineStr">
        <is>
          <t>Expenses</t>
        </is>
      </c>
      <c r="D18827" s="3" t="inlineStr">
        <is>
          <t>3350/100</t>
        </is>
      </c>
      <c r="E18827" s="3" t="inlineStr">
        <is>
          <t>Consulting Fees - Admin and Finance</t>
        </is>
      </c>
      <c r="F18827" s="3" t="n">
        <v>39928.83</v>
      </c>
      <c r="G18827" s="3" t="n">
        <v>517020.59</v>
      </c>
    </row>
    <row r="18828">
      <c r="A18828" s="3" t="inlineStr">
        <is>
          <t>Opportunity Global Investment (PTY) LTD</t>
        </is>
      </c>
      <c r="B18828" s="4" t="n">
        <v>45351</v>
      </c>
      <c r="C18828" s="3" t="inlineStr">
        <is>
          <t>Expenses</t>
        </is>
      </c>
      <c r="D18828" s="3" t="inlineStr">
        <is>
          <t>3350/100</t>
        </is>
      </c>
      <c r="E18828" s="3" t="inlineStr">
        <is>
          <t>Consulting Fees - Admin and Finance</t>
        </is>
      </c>
      <c r="F18828" s="3" t="n">
        <v>11955</v>
      </c>
      <c r="G18828" s="3" t="n">
        <v>182574.06</v>
      </c>
    </row>
    <row r="18829">
      <c r="A18829" s="3" t="inlineStr">
        <is>
          <t>Opportunity Global Property (PTY) LTD</t>
        </is>
      </c>
      <c r="B18829" s="4" t="n">
        <v>45351</v>
      </c>
      <c r="C18829" s="3" t="inlineStr">
        <is>
          <t>Expenses</t>
        </is>
      </c>
      <c r="D18829" s="3" t="inlineStr">
        <is>
          <t>3350/100</t>
        </is>
      </c>
      <c r="E18829" s="3" t="inlineStr">
        <is>
          <t>Consulting Fees - Admin and Finance</t>
        </is>
      </c>
      <c r="F18829" s="3" t="n">
        <v>10355</v>
      </c>
      <c r="G18829" s="3" t="n">
        <v>160082</v>
      </c>
    </row>
    <row r="18830">
      <c r="A18830" s="3" t="inlineStr">
        <is>
          <t>Opportunity Global Sales (PTY) LTD</t>
        </is>
      </c>
      <c r="B18830" s="4" t="n">
        <v>45351</v>
      </c>
      <c r="C18830" s="3" t="inlineStr">
        <is>
          <t>Expenses</t>
        </is>
      </c>
      <c r="D18830" s="3" t="inlineStr">
        <is>
          <t>3350/100</t>
        </is>
      </c>
      <c r="E18830" s="3" t="inlineStr">
        <is>
          <t>Consulting Fees - Admin and Finance</t>
        </is>
      </c>
      <c r="F18830" s="3" t="n">
        <v>10355</v>
      </c>
      <c r="G18830" s="3" t="n">
        <v>160082</v>
      </c>
    </row>
    <row r="18831">
      <c r="A18831" s="3" t="inlineStr">
        <is>
          <t>Opportunity Private Capital (PTY) LTD</t>
        </is>
      </c>
      <c r="B18831" s="4" t="n">
        <v>45351</v>
      </c>
      <c r="C18831" s="3" t="inlineStr">
        <is>
          <t>Expenses</t>
        </is>
      </c>
      <c r="D18831" s="3" t="inlineStr">
        <is>
          <t>3350/100</t>
        </is>
      </c>
      <c r="E18831" s="3" t="inlineStr">
        <is>
          <t>Consulting Fees - Admin and Finance</t>
        </is>
      </c>
      <c r="F18831" s="3" t="n">
        <v>11955</v>
      </c>
      <c r="G18831" s="3" t="n">
        <v>182574.06</v>
      </c>
    </row>
    <row r="18832">
      <c r="A18832" s="3" t="inlineStr">
        <is>
          <t>Opportunity Global Property (PTY) LTD</t>
        </is>
      </c>
      <c r="B18832" s="4" t="n">
        <v>45351</v>
      </c>
      <c r="C18832" s="3" t="inlineStr">
        <is>
          <t>Expenses</t>
        </is>
      </c>
      <c r="D18832" s="3" t="inlineStr">
        <is>
          <t>3350/200</t>
        </is>
      </c>
      <c r="E18832" s="3" t="inlineStr">
        <is>
          <t>Consulting Fees - Agent Karien Muller</t>
        </is>
      </c>
      <c r="F18832" s="3" t="n">
        <v>0</v>
      </c>
      <c r="G18832" s="3" t="n">
        <v>10000</v>
      </c>
    </row>
    <row r="18833">
      <c r="A18833" s="3" t="inlineStr">
        <is>
          <t>Opportunity Global Sales (PTY) LTD</t>
        </is>
      </c>
      <c r="B18833" s="4" t="n">
        <v>45351</v>
      </c>
      <c r="C18833" s="3" t="inlineStr">
        <is>
          <t>Expenses</t>
        </is>
      </c>
      <c r="D18833" s="3" t="inlineStr">
        <is>
          <t>3350/200</t>
        </is>
      </c>
      <c r="E18833" s="3" t="inlineStr">
        <is>
          <t>Consulting Fees - Agent Karien Muller</t>
        </is>
      </c>
      <c r="F18833" s="3" t="n">
        <v>0</v>
      </c>
      <c r="G18833" s="3" t="n">
        <v>10000</v>
      </c>
    </row>
    <row r="18834">
      <c r="A18834" s="3" t="inlineStr">
        <is>
          <t>Opportunity Global Investment (PTY) LTD</t>
        </is>
      </c>
      <c r="B18834" s="4" t="n">
        <v>45351</v>
      </c>
      <c r="C18834" s="3" t="inlineStr">
        <is>
          <t>Expenses</t>
        </is>
      </c>
      <c r="D18834" s="3" t="inlineStr">
        <is>
          <t>3350/200</t>
        </is>
      </c>
      <c r="E18834" s="3" t="inlineStr">
        <is>
          <t>Consulting Fees - Rockfin</t>
        </is>
      </c>
      <c r="F18834" s="3" t="n">
        <v>0</v>
      </c>
      <c r="G18834" s="3" t="n">
        <v>101700</v>
      </c>
    </row>
    <row r="18835">
      <c r="A18835" s="3" t="inlineStr">
        <is>
          <t>Opportunity Private Capital (PTY) LTD</t>
        </is>
      </c>
      <c r="B18835" s="4" t="n">
        <v>45351</v>
      </c>
      <c r="C18835" s="3" t="inlineStr">
        <is>
          <t>Expenses</t>
        </is>
      </c>
      <c r="D18835" s="3" t="inlineStr">
        <is>
          <t>3350/200</t>
        </is>
      </c>
      <c r="E18835" s="3" t="inlineStr">
        <is>
          <t>Consulting Fees - Rockfin</t>
        </is>
      </c>
      <c r="F18835" s="3" t="n">
        <v>0</v>
      </c>
      <c r="G18835" s="3" t="n">
        <v>101700</v>
      </c>
    </row>
    <row r="18836">
      <c r="A18836" s="3" t="inlineStr">
        <is>
          <t>Opportunity Management Holdings (PTY) LTD</t>
        </is>
      </c>
      <c r="B18836" s="4" t="n">
        <v>45351</v>
      </c>
      <c r="C18836" s="3" t="inlineStr">
        <is>
          <t>Expenses</t>
        </is>
      </c>
      <c r="D18836" s="3" t="inlineStr">
        <is>
          <t>3350/300</t>
        </is>
      </c>
      <c r="E18836" s="3" t="inlineStr">
        <is>
          <t>Consulting Fee - HR Joblaw</t>
        </is>
      </c>
      <c r="F18836" s="3" t="n">
        <v>1600.83</v>
      </c>
      <c r="G18836" s="3" t="n">
        <v>9604.98</v>
      </c>
    </row>
    <row r="18837">
      <c r="A18837" s="3" t="inlineStr">
        <is>
          <t>Quinate Consulting (Pty) Ltd</t>
        </is>
      </c>
      <c r="B18837" s="4" t="n">
        <v>45351</v>
      </c>
      <c r="C18837" s="3" t="inlineStr">
        <is>
          <t>Expenses</t>
        </is>
      </c>
      <c r="D18837" s="3" t="inlineStr">
        <is>
          <t>3350/300</t>
        </is>
      </c>
      <c r="E18837" s="3" t="inlineStr">
        <is>
          <t>Consulting Fees - Admin and Finance</t>
        </is>
      </c>
      <c r="F18837" s="3" t="n">
        <v>15000</v>
      </c>
      <c r="G18837" s="3" t="n">
        <v>73025</v>
      </c>
    </row>
    <row r="18838">
      <c r="A18838" s="3" t="inlineStr">
        <is>
          <t>Opportunity Global Investment (PTY) LTD</t>
        </is>
      </c>
      <c r="B18838" s="4" t="n">
        <v>45351</v>
      </c>
      <c r="C18838" s="3" t="inlineStr">
        <is>
          <t>Expenses</t>
        </is>
      </c>
      <c r="D18838" s="3" t="inlineStr">
        <is>
          <t>3350/300</t>
        </is>
      </c>
      <c r="E18838" s="3" t="inlineStr">
        <is>
          <t>Consulting Fees - BLCS</t>
        </is>
      </c>
      <c r="F18838" s="3" t="n">
        <v>0</v>
      </c>
      <c r="G18838" s="3" t="n">
        <v>22000</v>
      </c>
    </row>
    <row r="18839">
      <c r="A18839" s="3" t="inlineStr">
        <is>
          <t>Opportunity Private Capital (PTY) LTD</t>
        </is>
      </c>
      <c r="B18839" s="4" t="n">
        <v>45351</v>
      </c>
      <c r="C18839" s="3" t="inlineStr">
        <is>
          <t>Expenses</t>
        </is>
      </c>
      <c r="D18839" s="3" t="inlineStr">
        <is>
          <t>3350/300</t>
        </is>
      </c>
      <c r="E18839" s="3" t="inlineStr">
        <is>
          <t>Consulting Fees - BLCS</t>
        </is>
      </c>
      <c r="F18839" s="3" t="n">
        <v>0</v>
      </c>
      <c r="G18839" s="3" t="n">
        <v>22000</v>
      </c>
    </row>
    <row r="18840">
      <c r="A18840" s="3" t="inlineStr">
        <is>
          <t>Opportunity Management Holdings (PTY) LTD</t>
        </is>
      </c>
      <c r="B18840" s="4" t="n">
        <v>45351</v>
      </c>
      <c r="C18840" s="3" t="inlineStr">
        <is>
          <t>Expenses</t>
        </is>
      </c>
      <c r="D18840" s="3" t="inlineStr">
        <is>
          <t>3350/400</t>
        </is>
      </c>
      <c r="E18840" s="3" t="inlineStr">
        <is>
          <t>Consulting Fees - Johan Prinsloo</t>
        </is>
      </c>
      <c r="F18840" s="3" t="n">
        <v>50992.16</v>
      </c>
      <c r="G18840" s="3" t="n">
        <v>50992.16</v>
      </c>
    </row>
    <row r="18841">
      <c r="A18841" s="3" t="inlineStr">
        <is>
          <t>Opportunity Global Investment (PTY) LTD</t>
        </is>
      </c>
      <c r="B18841" s="4" t="n">
        <v>45351</v>
      </c>
      <c r="C18841" s="3" t="inlineStr">
        <is>
          <t>Expenses</t>
        </is>
      </c>
      <c r="D18841" s="3" t="inlineStr">
        <is>
          <t>3350/400</t>
        </is>
      </c>
      <c r="E18841" s="3" t="inlineStr">
        <is>
          <t>Consulting Fees: Solaris Law</t>
        </is>
      </c>
      <c r="F18841" s="3" t="n">
        <v>0</v>
      </c>
      <c r="G18841" s="3" t="n">
        <v>80145</v>
      </c>
    </row>
    <row r="18842">
      <c r="A18842" s="3" t="inlineStr">
        <is>
          <t>Opportunity Private Capital (PTY) LTD</t>
        </is>
      </c>
      <c r="B18842" s="4" t="n">
        <v>45351</v>
      </c>
      <c r="C18842" s="3" t="inlineStr">
        <is>
          <t>Expenses</t>
        </is>
      </c>
      <c r="D18842" s="3" t="inlineStr">
        <is>
          <t>3350/400</t>
        </is>
      </c>
      <c r="E18842" s="3" t="inlineStr">
        <is>
          <t>Consulting Fees: Solaris Law</t>
        </is>
      </c>
      <c r="F18842" s="3" t="n">
        <v>0</v>
      </c>
      <c r="G18842" s="3" t="n">
        <v>80145</v>
      </c>
    </row>
    <row r="18843">
      <c r="A18843" s="3" t="inlineStr">
        <is>
          <t>Opportunity Global Investment (PTY) LTD</t>
        </is>
      </c>
      <c r="B18843" s="4" t="n">
        <v>45351</v>
      </c>
      <c r="C18843" s="3" t="inlineStr">
        <is>
          <t>Expenses</t>
        </is>
      </c>
      <c r="D18843" s="3" t="inlineStr">
        <is>
          <t>3351/000</t>
        </is>
      </c>
      <c r="E18843" s="3" t="inlineStr">
        <is>
          <t>Consulting Fees - HR Joblaw</t>
        </is>
      </c>
      <c r="F18843" s="3" t="n">
        <v>1600.83</v>
      </c>
      <c r="G18843" s="3" t="n">
        <v>4802.49</v>
      </c>
    </row>
    <row r="18844">
      <c r="A18844" s="3" t="inlineStr">
        <is>
          <t>Opportunity Private Capital (PTY) LTD</t>
        </is>
      </c>
      <c r="B18844" s="4" t="n">
        <v>45351</v>
      </c>
      <c r="C18844" s="3" t="inlineStr">
        <is>
          <t>Expenses</t>
        </is>
      </c>
      <c r="D18844" s="3" t="inlineStr">
        <is>
          <t>3351/000</t>
        </is>
      </c>
      <c r="E18844" s="3" t="inlineStr">
        <is>
          <t>Consulting Fees - HR Joblaw</t>
        </is>
      </c>
      <c r="F18844" s="3" t="n">
        <v>1600.83</v>
      </c>
      <c r="G18844" s="3" t="n">
        <v>4802.49</v>
      </c>
    </row>
    <row r="18845">
      <c r="A18845" s="3" t="inlineStr">
        <is>
          <t>Quinate Consulting (Pty) Ltd</t>
        </is>
      </c>
      <c r="B18845" s="4" t="n">
        <v>45351</v>
      </c>
      <c r="C18845" s="3" t="inlineStr">
        <is>
          <t>Expenses</t>
        </is>
      </c>
      <c r="D18845" s="3" t="inlineStr">
        <is>
          <t>3351/000</t>
        </is>
      </c>
      <c r="E18845" s="3" t="inlineStr">
        <is>
          <t>Consulting fees - Trustees</t>
        </is>
      </c>
      <c r="F18845" s="3" t="n">
        <v>4200</v>
      </c>
      <c r="G18845" s="3" t="n">
        <v>114021.74</v>
      </c>
    </row>
    <row r="18846">
      <c r="A18846" s="3" t="inlineStr">
        <is>
          <t>Opportunity Global Investment (PTY) LTD</t>
        </is>
      </c>
      <c r="B18846" s="4" t="n">
        <v>45351</v>
      </c>
      <c r="C18846" s="3" t="inlineStr">
        <is>
          <t>Expenses</t>
        </is>
      </c>
      <c r="D18846" s="3" t="inlineStr">
        <is>
          <t>3354/000</t>
        </is>
      </c>
      <c r="E18846" s="3" t="inlineStr">
        <is>
          <t>Consulting Fees - Karien Muller</t>
        </is>
      </c>
      <c r="F18846" s="3" t="n">
        <v>0</v>
      </c>
      <c r="G18846" s="3" t="n">
        <v>12500</v>
      </c>
    </row>
    <row r="18847">
      <c r="A18847" s="3" t="inlineStr">
        <is>
          <t>Opportunity Private Capital (PTY) LTD</t>
        </is>
      </c>
      <c r="B18847" s="4" t="n">
        <v>45351</v>
      </c>
      <c r="C18847" s="3" t="inlineStr">
        <is>
          <t>Expenses</t>
        </is>
      </c>
      <c r="D18847" s="3" t="inlineStr">
        <is>
          <t>3354/000</t>
        </is>
      </c>
      <c r="E18847" s="3" t="inlineStr">
        <is>
          <t>Consulting Fees - Karien Muller</t>
        </is>
      </c>
      <c r="F18847" s="3" t="n">
        <v>0</v>
      </c>
      <c r="G18847" s="3" t="n">
        <v>12500</v>
      </c>
    </row>
    <row r="18848">
      <c r="A18848" s="3" t="inlineStr">
        <is>
          <t>Opportunity Global Investment (PTY) LTD</t>
        </is>
      </c>
      <c r="B18848" s="4" t="n">
        <v>45351</v>
      </c>
      <c r="C18848" s="3" t="inlineStr">
        <is>
          <t>Expenses</t>
        </is>
      </c>
      <c r="D18848" s="3" t="inlineStr">
        <is>
          <t>3355/00</t>
        </is>
      </c>
      <c r="E18848" s="3" t="inlineStr">
        <is>
          <t>Consulting fees - F Geldenhuys</t>
        </is>
      </c>
      <c r="F18848" s="3" t="n">
        <v>10000</v>
      </c>
      <c r="G18848" s="3" t="n">
        <v>71500</v>
      </c>
    </row>
    <row r="18849">
      <c r="A18849" s="3" t="inlineStr">
        <is>
          <t>Opportunity Private Capital (PTY) LTD</t>
        </is>
      </c>
      <c r="B18849" s="4" t="n">
        <v>45351</v>
      </c>
      <c r="C18849" s="3" t="inlineStr">
        <is>
          <t>Expenses</t>
        </is>
      </c>
      <c r="D18849" s="3" t="inlineStr">
        <is>
          <t>3355/00</t>
        </is>
      </c>
      <c r="E18849" s="3" t="inlineStr">
        <is>
          <t>Consulting fees - F Geldenhuys</t>
        </is>
      </c>
      <c r="F18849" s="3" t="n">
        <v>10000</v>
      </c>
      <c r="G18849" s="3" t="n">
        <v>71500</v>
      </c>
    </row>
    <row r="18850">
      <c r="A18850" s="3" t="inlineStr">
        <is>
          <t>Opportunity Management Holdings (PTY) LTD</t>
        </is>
      </c>
      <c r="B18850" s="4" t="n">
        <v>45351</v>
      </c>
      <c r="C18850" s="3" t="inlineStr">
        <is>
          <t>Expenses</t>
        </is>
      </c>
      <c r="D18850" s="3" t="inlineStr">
        <is>
          <t>3400/000</t>
        </is>
      </c>
      <c r="E18850" s="3" t="inlineStr">
        <is>
          <t>Courier _AND_ Postage</t>
        </is>
      </c>
      <c r="F18850" s="3" t="n">
        <v>0</v>
      </c>
      <c r="G18850" s="3" t="n">
        <v>664.3200000000001</v>
      </c>
    </row>
    <row r="18851">
      <c r="A18851" s="3" t="inlineStr">
        <is>
          <t>Quinate Consulting (Pty) Ltd</t>
        </is>
      </c>
      <c r="B18851" s="4" t="n">
        <v>45351</v>
      </c>
      <c r="C18851" s="3" t="inlineStr">
        <is>
          <t>Expenses</t>
        </is>
      </c>
      <c r="D18851" s="3" t="inlineStr">
        <is>
          <t>3450/001</t>
        </is>
      </c>
      <c r="E18851" s="3" t="inlineStr">
        <is>
          <t>Depreciation - Computer Equipment</t>
        </is>
      </c>
      <c r="F18851" s="3" t="n">
        <v>1571.06</v>
      </c>
      <c r="G18851" s="3" t="n">
        <v>26408.2</v>
      </c>
    </row>
    <row r="18852">
      <c r="A18852" s="3" t="inlineStr">
        <is>
          <t>Opportunity Global Investment (PTY) LTD</t>
        </is>
      </c>
      <c r="B18852" s="4" t="n">
        <v>45351</v>
      </c>
      <c r="C18852" s="3" t="inlineStr">
        <is>
          <t>Expenses</t>
        </is>
      </c>
      <c r="D18852" s="3" t="inlineStr">
        <is>
          <t>3450/001</t>
        </is>
      </c>
      <c r="E18852" s="3" t="inlineStr">
        <is>
          <t>Depreciation - Computer equipment</t>
        </is>
      </c>
      <c r="F18852" s="3" t="n">
        <v>880.08</v>
      </c>
      <c r="G18852" s="3" t="n">
        <v>10561.02</v>
      </c>
    </row>
    <row r="18853">
      <c r="A18853" s="3" t="inlineStr">
        <is>
          <t>Opportunity Private Capital (PTY) LTD</t>
        </is>
      </c>
      <c r="B18853" s="4" t="n">
        <v>45351</v>
      </c>
      <c r="C18853" s="3" t="inlineStr">
        <is>
          <t>Expenses</t>
        </is>
      </c>
      <c r="D18853" s="3" t="inlineStr">
        <is>
          <t>3450/001</t>
        </is>
      </c>
      <c r="E18853" s="3" t="inlineStr">
        <is>
          <t>Depreciation - Computer equipment</t>
        </is>
      </c>
      <c r="F18853" s="3" t="n">
        <v>880.08</v>
      </c>
      <c r="G18853" s="3" t="n">
        <v>10561.02</v>
      </c>
    </row>
    <row r="18854">
      <c r="A18854" s="3" t="inlineStr">
        <is>
          <t>Quinate Consulting (Pty) Ltd</t>
        </is>
      </c>
      <c r="B18854" s="4" t="n">
        <v>45351</v>
      </c>
      <c r="C18854" s="3" t="inlineStr">
        <is>
          <t>Expenses</t>
        </is>
      </c>
      <c r="D18854" s="3" t="inlineStr">
        <is>
          <t>3450/002</t>
        </is>
      </c>
      <c r="E18854" s="3" t="inlineStr">
        <is>
          <t>Depreciation - Site Containers</t>
        </is>
      </c>
      <c r="F18854" s="3" t="n">
        <v>318.84</v>
      </c>
      <c r="G18854" s="3" t="n">
        <v>3826.08</v>
      </c>
    </row>
    <row r="18855">
      <c r="A18855" s="3" t="inlineStr">
        <is>
          <t>Opportunity Global Property (PTY) LTD</t>
        </is>
      </c>
      <c r="B18855" s="4" t="n">
        <v>45351</v>
      </c>
      <c r="C18855" s="3" t="inlineStr">
        <is>
          <t>Expenses</t>
        </is>
      </c>
      <c r="D18855" s="3" t="inlineStr">
        <is>
          <t>3450/030</t>
        </is>
      </c>
      <c r="E18855" s="3" t="inlineStr">
        <is>
          <t>Depreciation - Furniture and Fittings</t>
        </is>
      </c>
      <c r="F18855" s="3" t="n">
        <v>408.05</v>
      </c>
      <c r="G18855" s="3" t="n">
        <v>4896.62</v>
      </c>
    </row>
    <row r="18856">
      <c r="A18856" s="3" t="inlineStr">
        <is>
          <t>Opportunity Global Sales (PTY) LTD</t>
        </is>
      </c>
      <c r="B18856" s="4" t="n">
        <v>45351</v>
      </c>
      <c r="C18856" s="3" t="inlineStr">
        <is>
          <t>Expenses</t>
        </is>
      </c>
      <c r="D18856" s="3" t="inlineStr">
        <is>
          <t>3450/030</t>
        </is>
      </c>
      <c r="E18856" s="3" t="inlineStr">
        <is>
          <t>Depreciation - Furniture and Fittings</t>
        </is>
      </c>
      <c r="F18856" s="3" t="n">
        <v>408.05</v>
      </c>
      <c r="G18856" s="3" t="n">
        <v>4896.62</v>
      </c>
    </row>
    <row r="18857">
      <c r="A18857" s="3" t="inlineStr">
        <is>
          <t>Opportunity Management Holdings (PTY) LTD</t>
        </is>
      </c>
      <c r="B18857" s="4" t="n">
        <v>45351</v>
      </c>
      <c r="C18857" s="3" t="inlineStr">
        <is>
          <t>Expenses</t>
        </is>
      </c>
      <c r="D18857" s="3" t="inlineStr">
        <is>
          <t>3451/000</t>
        </is>
      </c>
      <c r="E18857" s="3" t="inlineStr">
        <is>
          <t>Depreciation - Computer Equipment</t>
        </is>
      </c>
      <c r="F18857" s="3" t="n">
        <v>1035.18</v>
      </c>
      <c r="G18857" s="3" t="n">
        <v>6211.08</v>
      </c>
    </row>
    <row r="18858">
      <c r="A18858" s="3" t="inlineStr">
        <is>
          <t>Quinate Consulting (Pty) Ltd</t>
        </is>
      </c>
      <c r="B18858" s="4" t="n">
        <v>45351</v>
      </c>
      <c r="C18858" s="3" t="inlineStr">
        <is>
          <t>Expenses</t>
        </is>
      </c>
      <c r="D18858" s="3" t="inlineStr">
        <is>
          <t>3600/000</t>
        </is>
      </c>
      <c r="E18858" s="3" t="inlineStr">
        <is>
          <t>Donations</t>
        </is>
      </c>
      <c r="F18858" s="3" t="n">
        <v>572.45</v>
      </c>
      <c r="G18858" s="3" t="n">
        <v>6869.4</v>
      </c>
    </row>
    <row r="18859">
      <c r="A18859" s="3" t="inlineStr">
        <is>
          <t>Noble Shield (Pty) Ltd ta Go Letting</t>
        </is>
      </c>
      <c r="B18859" s="4" t="n">
        <v>45351</v>
      </c>
      <c r="C18859" s="3" t="inlineStr">
        <is>
          <t>Expenses</t>
        </is>
      </c>
      <c r="D18859" s="3" t="inlineStr">
        <is>
          <t>3650/000</t>
        </is>
      </c>
      <c r="E18859" s="3" t="inlineStr">
        <is>
          <t>Electricity _AND_ Water</t>
        </is>
      </c>
      <c r="F18859" s="3" t="n">
        <v>0</v>
      </c>
      <c r="G18859" s="3" t="n">
        <v>2500</v>
      </c>
    </row>
    <row r="18860">
      <c r="A18860" s="3" t="inlineStr">
        <is>
          <t>Opportunity Global Investment (PTY) LTD</t>
        </is>
      </c>
      <c r="B18860" s="4" t="n">
        <v>45351</v>
      </c>
      <c r="C18860" s="3" t="inlineStr">
        <is>
          <t>Expenses</t>
        </is>
      </c>
      <c r="D18860" s="3" t="inlineStr">
        <is>
          <t>3650/000</t>
        </is>
      </c>
      <c r="E18860" s="3" t="inlineStr">
        <is>
          <t>Electricity _AND_ Water</t>
        </is>
      </c>
      <c r="F18860" s="3" t="n">
        <v>2950</v>
      </c>
      <c r="G18860" s="3" t="n">
        <v>35400</v>
      </c>
    </row>
    <row r="18861">
      <c r="A18861" s="3" t="inlineStr">
        <is>
          <t>Opportunity Private Capital (PTY) LTD</t>
        </is>
      </c>
      <c r="B18861" s="4" t="n">
        <v>45351</v>
      </c>
      <c r="C18861" s="3" t="inlineStr">
        <is>
          <t>Expenses</t>
        </is>
      </c>
      <c r="D18861" s="3" t="inlineStr">
        <is>
          <t>3650/000</t>
        </is>
      </c>
      <c r="E18861" s="3" t="inlineStr">
        <is>
          <t>Electricity _AND_ Water</t>
        </is>
      </c>
      <c r="F18861" s="3" t="n">
        <v>2950</v>
      </c>
      <c r="G18861" s="3" t="n">
        <v>35400</v>
      </c>
    </row>
    <row r="18862">
      <c r="A18862" s="3" t="inlineStr">
        <is>
          <t>Noble Shield (Pty) Ltd ta Go Letting</t>
        </is>
      </c>
      <c r="B18862" s="4" t="n">
        <v>45351</v>
      </c>
      <c r="C18862" s="3" t="inlineStr">
        <is>
          <t>Expenses</t>
        </is>
      </c>
      <c r="D18862" s="3" t="inlineStr">
        <is>
          <t>3651/000</t>
        </is>
      </c>
      <c r="E18862" s="3" t="inlineStr">
        <is>
          <t>Electricity _AND_ Water - Rentals</t>
        </is>
      </c>
      <c r="F18862" s="3" t="n">
        <v>-1000</v>
      </c>
      <c r="G18862" s="3" t="n">
        <v>1000</v>
      </c>
    </row>
    <row r="18863">
      <c r="A18863" s="3" t="inlineStr">
        <is>
          <t>Quinate Consulting (Pty) Ltd</t>
        </is>
      </c>
      <c r="B18863" s="4" t="n">
        <v>45351</v>
      </c>
      <c r="C18863" s="3" t="inlineStr">
        <is>
          <t>Expenses</t>
        </is>
      </c>
      <c r="D18863" s="3" t="inlineStr">
        <is>
          <t>3651/000</t>
        </is>
      </c>
      <c r="E18863" s="3" t="inlineStr">
        <is>
          <t>Electricity _AND_ Water - Southwark</t>
        </is>
      </c>
      <c r="F18863" s="3" t="n">
        <v>11424.78</v>
      </c>
      <c r="G18863" s="3" t="n">
        <v>290836.04</v>
      </c>
    </row>
    <row r="18864">
      <c r="A18864" s="3" t="inlineStr">
        <is>
          <t>Quinate Consulting (Pty) Ltd</t>
        </is>
      </c>
      <c r="B18864" s="4" t="n">
        <v>45351</v>
      </c>
      <c r="C18864" s="3" t="inlineStr">
        <is>
          <t>Expenses</t>
        </is>
      </c>
      <c r="D18864" s="3" t="inlineStr">
        <is>
          <t>3652/000</t>
        </is>
      </c>
      <c r="E18864" s="3" t="inlineStr">
        <is>
          <t>Electricity _AND_ Water - Soho</t>
        </is>
      </c>
      <c r="F18864" s="3" t="n">
        <v>22284.44</v>
      </c>
      <c r="G18864" s="3" t="n">
        <v>316194</v>
      </c>
    </row>
    <row r="18865">
      <c r="A18865" s="3" t="inlineStr">
        <is>
          <t>Quinate Consulting (Pty) Ltd</t>
        </is>
      </c>
      <c r="B18865" s="4" t="n">
        <v>45351</v>
      </c>
      <c r="C18865" s="3" t="inlineStr">
        <is>
          <t>Expenses</t>
        </is>
      </c>
      <c r="D18865" s="3" t="inlineStr">
        <is>
          <t>3653/000</t>
        </is>
      </c>
      <c r="E18865" s="3" t="inlineStr">
        <is>
          <t>Electricity _AND_ Water - Endulini</t>
        </is>
      </c>
      <c r="F18865" s="3" t="n">
        <v>-517.14</v>
      </c>
      <c r="G18865" s="3" t="n">
        <v>-3547.79</v>
      </c>
    </row>
    <row r="18866">
      <c r="A18866" s="3" t="inlineStr">
        <is>
          <t>Noble Shield (Pty) Ltd ta Go Letting</t>
        </is>
      </c>
      <c r="B18866" s="4" t="n">
        <v>45351</v>
      </c>
      <c r="C18866" s="3" t="inlineStr">
        <is>
          <t>Expenses</t>
        </is>
      </c>
      <c r="D18866" s="3" t="inlineStr">
        <is>
          <t>3700/000</t>
        </is>
      </c>
      <c r="E18866" s="3" t="inlineStr">
        <is>
          <t>Entertainment Expenses</t>
        </is>
      </c>
      <c r="F18866" s="3" t="n">
        <v>0</v>
      </c>
      <c r="G18866" s="3" t="n">
        <v>1650</v>
      </c>
    </row>
    <row r="18867">
      <c r="A18867" s="3" t="inlineStr">
        <is>
          <t>Opportunity Global Investment (PTY) LTD</t>
        </is>
      </c>
      <c r="B18867" s="4" t="n">
        <v>45351</v>
      </c>
      <c r="C18867" s="3" t="inlineStr">
        <is>
          <t>Expenses</t>
        </is>
      </c>
      <c r="D18867" s="3" t="inlineStr">
        <is>
          <t>3700/000</t>
        </is>
      </c>
      <c r="E18867" s="3" t="inlineStr">
        <is>
          <t>Entertainment Expenses</t>
        </is>
      </c>
      <c r="F18867" s="3" t="n">
        <v>293.04</v>
      </c>
      <c r="G18867" s="3" t="n">
        <v>7031.03</v>
      </c>
    </row>
    <row r="18868">
      <c r="A18868" s="3" t="inlineStr">
        <is>
          <t>Opportunity Global Property (PTY) LTD</t>
        </is>
      </c>
      <c r="B18868" s="4" t="n">
        <v>45351</v>
      </c>
      <c r="C18868" s="3" t="inlineStr">
        <is>
          <t>Expenses</t>
        </is>
      </c>
      <c r="D18868" s="3" t="inlineStr">
        <is>
          <t>3700/000</t>
        </is>
      </c>
      <c r="E18868" s="3" t="inlineStr">
        <is>
          <t>Entertainment Expenses</t>
        </is>
      </c>
      <c r="F18868" s="3" t="n">
        <v>0</v>
      </c>
      <c r="G18868" s="3" t="n">
        <v>3970</v>
      </c>
    </row>
    <row r="18869">
      <c r="A18869" s="3" t="inlineStr">
        <is>
          <t>Opportunity Global Sales (PTY) LTD</t>
        </is>
      </c>
      <c r="B18869" s="4" t="n">
        <v>45351</v>
      </c>
      <c r="C18869" s="3" t="inlineStr">
        <is>
          <t>Expenses</t>
        </is>
      </c>
      <c r="D18869" s="3" t="inlineStr">
        <is>
          <t>3700/000</t>
        </is>
      </c>
      <c r="E18869" s="3" t="inlineStr">
        <is>
          <t>Entertainment Expenses</t>
        </is>
      </c>
      <c r="F18869" s="3" t="n">
        <v>0</v>
      </c>
      <c r="G18869" s="3" t="n">
        <v>3970</v>
      </c>
    </row>
    <row r="18870">
      <c r="A18870" s="3" t="inlineStr">
        <is>
          <t>Opportunity Management Holdings (PTY) LTD</t>
        </is>
      </c>
      <c r="B18870" s="4" t="n">
        <v>45351</v>
      </c>
      <c r="C18870" s="3" t="inlineStr">
        <is>
          <t>Expenses</t>
        </is>
      </c>
      <c r="D18870" s="3" t="inlineStr">
        <is>
          <t>3700/000</t>
        </is>
      </c>
      <c r="E18870" s="3" t="inlineStr">
        <is>
          <t>Entertainment Expenses</t>
        </is>
      </c>
      <c r="F18870" s="3" t="n">
        <v>0</v>
      </c>
      <c r="G18870" s="3" t="n">
        <v>1126.13</v>
      </c>
    </row>
    <row r="18871">
      <c r="A18871" s="3" t="inlineStr">
        <is>
          <t>Opportunity Private Capital (PTY) LTD</t>
        </is>
      </c>
      <c r="B18871" s="4" t="n">
        <v>45351</v>
      </c>
      <c r="C18871" s="3" t="inlineStr">
        <is>
          <t>Expenses</t>
        </is>
      </c>
      <c r="D18871" s="3" t="inlineStr">
        <is>
          <t>3700/000</t>
        </is>
      </c>
      <c r="E18871" s="3" t="inlineStr">
        <is>
          <t>Entertainment Expenses</t>
        </is>
      </c>
      <c r="F18871" s="3" t="n">
        <v>293.04</v>
      </c>
      <c r="G18871" s="3" t="n">
        <v>7031.03</v>
      </c>
    </row>
    <row r="18872">
      <c r="A18872" s="3" t="inlineStr">
        <is>
          <t>Quinate Consulting (Pty) Ltd</t>
        </is>
      </c>
      <c r="B18872" s="4" t="n">
        <v>45351</v>
      </c>
      <c r="C18872" s="3" t="inlineStr">
        <is>
          <t>Expenses</t>
        </is>
      </c>
      <c r="D18872" s="3" t="inlineStr">
        <is>
          <t>3700/000</t>
        </is>
      </c>
      <c r="E18872" s="3" t="inlineStr">
        <is>
          <t>Entertainment Expenses</t>
        </is>
      </c>
      <c r="F18872" s="3" t="n">
        <v>1593.07</v>
      </c>
      <c r="G18872" s="3" t="n">
        <v>13338.12</v>
      </c>
    </row>
    <row r="18873">
      <c r="A18873" s="3" t="inlineStr">
        <is>
          <t>Noble Shield (Pty) Ltd ta Go Letting</t>
        </is>
      </c>
      <c r="B18873" s="4" t="n">
        <v>45351</v>
      </c>
      <c r="C18873" s="3" t="inlineStr">
        <is>
          <t>Expenses</t>
        </is>
      </c>
      <c r="D18873" s="3" t="inlineStr">
        <is>
          <t>3800/000</t>
        </is>
      </c>
      <c r="E18873" s="3" t="inlineStr">
        <is>
          <t>General Expenses</t>
        </is>
      </c>
      <c r="F18873" s="3" t="n">
        <v>49.99</v>
      </c>
      <c r="G18873" s="3" t="n">
        <v>49.99</v>
      </c>
    </row>
    <row r="18874">
      <c r="A18874" s="3" t="inlineStr">
        <is>
          <t>Opportunity Global Property (PTY) LTD</t>
        </is>
      </c>
      <c r="B18874" s="4" t="n">
        <v>45351</v>
      </c>
      <c r="C18874" s="3" t="inlineStr">
        <is>
          <t>Expenses</t>
        </is>
      </c>
      <c r="D18874" s="3" t="inlineStr">
        <is>
          <t>3800/000</t>
        </is>
      </c>
      <c r="E18874" s="3" t="inlineStr">
        <is>
          <t>General Expenses</t>
        </is>
      </c>
      <c r="F18874" s="3" t="n">
        <v>596.27</v>
      </c>
      <c r="G18874" s="3" t="n">
        <v>596.27</v>
      </c>
    </row>
    <row r="18875">
      <c r="A18875" s="3" t="inlineStr">
        <is>
          <t>Opportunity Global Sales (PTY) LTD</t>
        </is>
      </c>
      <c r="B18875" s="4" t="n">
        <v>45351</v>
      </c>
      <c r="C18875" s="3" t="inlineStr">
        <is>
          <t>Expenses</t>
        </is>
      </c>
      <c r="D18875" s="3" t="inlineStr">
        <is>
          <t>3800/000</t>
        </is>
      </c>
      <c r="E18875" s="3" t="inlineStr">
        <is>
          <t>General Expenses</t>
        </is>
      </c>
      <c r="F18875" s="3" t="n">
        <v>596.27</v>
      </c>
      <c r="G18875" s="3" t="n">
        <v>596.27</v>
      </c>
    </row>
    <row r="18876">
      <c r="A18876" s="3" t="inlineStr">
        <is>
          <t>Opportunity Management Holdings (PTY) LTD</t>
        </is>
      </c>
      <c r="B18876" s="4" t="n">
        <v>45351</v>
      </c>
      <c r="C18876" s="3" t="inlineStr">
        <is>
          <t>Expenses</t>
        </is>
      </c>
      <c r="D18876" s="3" t="inlineStr">
        <is>
          <t>3800/000</t>
        </is>
      </c>
      <c r="E18876" s="3" t="inlineStr">
        <is>
          <t>General Expenses</t>
        </is>
      </c>
      <c r="F18876" s="3" t="n">
        <v>1093.68</v>
      </c>
      <c r="G18876" s="3" t="n">
        <v>1512.62</v>
      </c>
    </row>
    <row r="18877">
      <c r="A18877" s="3" t="inlineStr">
        <is>
          <t>Opportunity Global Investment (PTY) LTD</t>
        </is>
      </c>
      <c r="B18877" s="4" t="n">
        <v>45351</v>
      </c>
      <c r="C18877" s="3" t="inlineStr">
        <is>
          <t>Expenses</t>
        </is>
      </c>
      <c r="D18877" s="3" t="inlineStr">
        <is>
          <t>3800/010</t>
        </is>
      </c>
      <c r="E18877" s="3" t="inlineStr">
        <is>
          <t>General Expences - Gifts</t>
        </is>
      </c>
      <c r="F18877" s="3" t="n">
        <v>0</v>
      </c>
      <c r="G18877" s="3" t="n">
        <v>8198.870000000001</v>
      </c>
    </row>
    <row r="18878">
      <c r="A18878" s="3" t="inlineStr">
        <is>
          <t>Opportunity Global Property (PTY) LTD</t>
        </is>
      </c>
      <c r="B18878" s="4" t="n">
        <v>45351</v>
      </c>
      <c r="C18878" s="3" t="inlineStr">
        <is>
          <t>Expenses</t>
        </is>
      </c>
      <c r="D18878" s="3" t="inlineStr">
        <is>
          <t>3800/010</t>
        </is>
      </c>
      <c r="E18878" s="3" t="inlineStr">
        <is>
          <t>General Expences - Gifts</t>
        </is>
      </c>
      <c r="F18878" s="3" t="n">
        <v>842.24</v>
      </c>
      <c r="G18878" s="3" t="n">
        <v>2561.99</v>
      </c>
    </row>
    <row r="18879">
      <c r="A18879" s="3" t="inlineStr">
        <is>
          <t>Opportunity Global Sales (PTY) LTD</t>
        </is>
      </c>
      <c r="B18879" s="4" t="n">
        <v>45351</v>
      </c>
      <c r="C18879" s="3" t="inlineStr">
        <is>
          <t>Expenses</t>
        </is>
      </c>
      <c r="D18879" s="3" t="inlineStr">
        <is>
          <t>3800/010</t>
        </is>
      </c>
      <c r="E18879" s="3" t="inlineStr">
        <is>
          <t>General Expences - Gifts</t>
        </is>
      </c>
      <c r="F18879" s="3" t="n">
        <v>842.24</v>
      </c>
      <c r="G18879" s="3" t="n">
        <v>2561.99</v>
      </c>
    </row>
    <row r="18880">
      <c r="A18880" s="3" t="inlineStr">
        <is>
          <t>Opportunity Private Capital (PTY) LTD</t>
        </is>
      </c>
      <c r="B18880" s="4" t="n">
        <v>45351</v>
      </c>
      <c r="C18880" s="3" t="inlineStr">
        <is>
          <t>Expenses</t>
        </is>
      </c>
      <c r="D18880" s="3" t="inlineStr">
        <is>
          <t>3800/010</t>
        </is>
      </c>
      <c r="E18880" s="3" t="inlineStr">
        <is>
          <t>General Expences - Gifts</t>
        </is>
      </c>
      <c r="F18880" s="3" t="n">
        <v>0</v>
      </c>
      <c r="G18880" s="3" t="n">
        <v>8198.870000000001</v>
      </c>
    </row>
    <row r="18881">
      <c r="A18881" s="3" t="inlineStr">
        <is>
          <t>Opportunity Management Holdings (PTY) LTD</t>
        </is>
      </c>
      <c r="B18881" s="4" t="n">
        <v>45351</v>
      </c>
      <c r="C18881" s="3" t="inlineStr">
        <is>
          <t>Expenses</t>
        </is>
      </c>
      <c r="D18881" s="3" t="inlineStr">
        <is>
          <t>3800/010</t>
        </is>
      </c>
      <c r="E18881" s="3" t="inlineStr">
        <is>
          <t>General Expenses - Gifts</t>
        </is>
      </c>
      <c r="F18881" s="3" t="n">
        <v>8400</v>
      </c>
      <c r="G18881" s="3" t="n">
        <v>9208.57</v>
      </c>
    </row>
    <row r="18882">
      <c r="A18882" s="3" t="inlineStr">
        <is>
          <t>Opportunity Management Holdings (PTY) LTD</t>
        </is>
      </c>
      <c r="B18882" s="4" t="n">
        <v>45351</v>
      </c>
      <c r="C18882" s="3" t="inlineStr">
        <is>
          <t>Expenses</t>
        </is>
      </c>
      <c r="D18882" s="3" t="inlineStr">
        <is>
          <t>3800/030</t>
        </is>
      </c>
      <c r="E18882" s="3" t="inlineStr">
        <is>
          <t>General Expenses: Showhouse Heron View</t>
        </is>
      </c>
      <c r="F18882" s="3" t="n">
        <v>0</v>
      </c>
      <c r="G18882" s="3" t="n">
        <v>987.72</v>
      </c>
    </row>
    <row r="18883">
      <c r="A18883" s="3" t="inlineStr">
        <is>
          <t>Opportunity Management Holdings (PTY) LTD</t>
        </is>
      </c>
      <c r="B18883" s="4" t="n">
        <v>45351</v>
      </c>
      <c r="C18883" s="3" t="inlineStr">
        <is>
          <t>Expenses</t>
        </is>
      </c>
      <c r="D18883" s="3" t="inlineStr">
        <is>
          <t>3850/000</t>
        </is>
      </c>
      <c r="E18883" s="3" t="inlineStr">
        <is>
          <t>Insurance - Momentum</t>
        </is>
      </c>
      <c r="F18883" s="3" t="n">
        <v>1969.99</v>
      </c>
      <c r="G18883" s="3" t="n">
        <v>10724.22</v>
      </c>
    </row>
    <row r="18884">
      <c r="A18884" s="3" t="inlineStr">
        <is>
          <t>Noble Shield (Pty) Ltd ta Go Letting</t>
        </is>
      </c>
      <c r="B18884" s="4" t="n">
        <v>45351</v>
      </c>
      <c r="C18884" s="3" t="inlineStr">
        <is>
          <t>Expenses</t>
        </is>
      </c>
      <c r="D18884" s="3" t="inlineStr">
        <is>
          <t>3850/100</t>
        </is>
      </c>
      <c r="E18884" s="3" t="inlineStr">
        <is>
          <t>Insurance - Santam</t>
        </is>
      </c>
      <c r="F18884" s="3" t="n">
        <v>4249.41</v>
      </c>
      <c r="G18884" s="3" t="n">
        <v>25496.46</v>
      </c>
    </row>
    <row r="18885">
      <c r="A18885" s="3" t="inlineStr">
        <is>
          <t>Noble Shield (Pty) Ltd ta Go Letting</t>
        </is>
      </c>
      <c r="B18885" s="4" t="n">
        <v>45351</v>
      </c>
      <c r="C18885" s="3" t="inlineStr">
        <is>
          <t>Expenses</t>
        </is>
      </c>
      <c r="D18885" s="3" t="inlineStr">
        <is>
          <t>3850/200</t>
        </is>
      </c>
      <c r="E18885" s="3" t="inlineStr">
        <is>
          <t>Insurance - A_AND_G</t>
        </is>
      </c>
      <c r="F18885" s="3" t="n">
        <v>2244.46</v>
      </c>
      <c r="G18885" s="3" t="n">
        <v>13466.76</v>
      </c>
    </row>
    <row r="18886">
      <c r="A18886" s="3" t="inlineStr">
        <is>
          <t>Quinate Consulting (Pty) Ltd</t>
        </is>
      </c>
      <c r="B18886" s="4" t="n">
        <v>45351</v>
      </c>
      <c r="C18886" s="3" t="inlineStr">
        <is>
          <t>Expenses</t>
        </is>
      </c>
      <c r="D18886" s="3" t="inlineStr">
        <is>
          <t>3851/000</t>
        </is>
      </c>
      <c r="E18886" s="3" t="inlineStr">
        <is>
          <t>Insurance - Momentum</t>
        </is>
      </c>
      <c r="F18886" s="3" t="n">
        <v>9274.969999999999</v>
      </c>
      <c r="G18886" s="3" t="n">
        <v>102309.33</v>
      </c>
    </row>
    <row r="18887">
      <c r="A18887" s="3" t="inlineStr">
        <is>
          <t>Quinate Consulting (Pty) Ltd</t>
        </is>
      </c>
      <c r="B18887" s="4" t="n">
        <v>45351</v>
      </c>
      <c r="C18887" s="3" t="inlineStr">
        <is>
          <t>Expenses</t>
        </is>
      </c>
      <c r="D18887" s="3" t="inlineStr">
        <is>
          <t>3900/000</t>
        </is>
      </c>
      <c r="E18887" s="3" t="inlineStr">
        <is>
          <t>Interest Paid</t>
        </is>
      </c>
      <c r="F18887" s="3" t="n">
        <v>0</v>
      </c>
      <c r="G18887" s="3" t="n">
        <v>1307.76</v>
      </c>
    </row>
    <row r="18888">
      <c r="A18888" s="3" t="inlineStr">
        <is>
          <t>Quinate Consulting (Pty) Ltd</t>
        </is>
      </c>
      <c r="B18888" s="4" t="n">
        <v>45351</v>
      </c>
      <c r="C18888" s="3" t="inlineStr">
        <is>
          <t>Expenses</t>
        </is>
      </c>
      <c r="D18888" s="3" t="inlineStr">
        <is>
          <t>3900/050</t>
        </is>
      </c>
      <c r="E18888" s="3" t="inlineStr">
        <is>
          <t>Interest Paid - STD Bond Accounts</t>
        </is>
      </c>
      <c r="F18888" s="3" t="n">
        <v>58957.48</v>
      </c>
      <c r="G18888" s="3" t="n">
        <v>786624.08</v>
      </c>
    </row>
    <row r="18889">
      <c r="A18889" s="3" t="inlineStr">
        <is>
          <t>Endulini (Pty) Ltd</t>
        </is>
      </c>
      <c r="B18889" s="4" t="n">
        <v>45351</v>
      </c>
      <c r="C18889" s="3" t="inlineStr">
        <is>
          <t>Expenses</t>
        </is>
      </c>
      <c r="D18889" s="3" t="inlineStr">
        <is>
          <t>3900/111</t>
        </is>
      </c>
      <c r="E18889" s="3" t="inlineStr">
        <is>
          <t>Interest Paid - Investors @ 6.25%</t>
        </is>
      </c>
      <c r="F18889" s="3" t="n">
        <v>0</v>
      </c>
      <c r="G18889" s="3" t="n">
        <v>34051.46</v>
      </c>
    </row>
    <row r="18890">
      <c r="A18890" s="3" t="inlineStr">
        <is>
          <t>Endulini (Pty) Ltd</t>
        </is>
      </c>
      <c r="B18890" s="4" t="n">
        <v>45351</v>
      </c>
      <c r="C18890" s="3" t="inlineStr">
        <is>
          <t>Expenses</t>
        </is>
      </c>
      <c r="D18890" s="3" t="inlineStr">
        <is>
          <t>3900/112</t>
        </is>
      </c>
      <c r="E18890" s="3" t="inlineStr">
        <is>
          <t>Interest Paid - Investors @ 6.5%</t>
        </is>
      </c>
      <c r="F18890" s="3" t="n">
        <v>0</v>
      </c>
      <c r="G18890" s="3" t="n">
        <v>3437</v>
      </c>
    </row>
    <row r="18891">
      <c r="A18891" s="3" t="inlineStr">
        <is>
          <t>Endulini (Pty) Ltd</t>
        </is>
      </c>
      <c r="B18891" s="4" t="n">
        <v>45351</v>
      </c>
      <c r="C18891" s="3" t="inlineStr">
        <is>
          <t>Expenses</t>
        </is>
      </c>
      <c r="D18891" s="3" t="inlineStr">
        <is>
          <t>3900/113</t>
        </is>
      </c>
      <c r="E18891" s="3" t="inlineStr">
        <is>
          <t>Interest Paid - Investors @ 6.75%</t>
        </is>
      </c>
      <c r="F18891" s="3" t="n">
        <v>0</v>
      </c>
      <c r="G18891" s="3" t="n">
        <v>4281.16</v>
      </c>
    </row>
    <row r="18892">
      <c r="A18892" s="3" t="inlineStr">
        <is>
          <t>Endulini (Pty) Ltd</t>
        </is>
      </c>
      <c r="B18892" s="4" t="n">
        <v>45351</v>
      </c>
      <c r="C18892" s="3" t="inlineStr">
        <is>
          <t>Expenses</t>
        </is>
      </c>
      <c r="D18892" s="3" t="inlineStr">
        <is>
          <t>3900/120</t>
        </is>
      </c>
      <c r="E18892" s="3" t="inlineStr">
        <is>
          <t>Interest Paid - Investors @ 7%</t>
        </is>
      </c>
      <c r="F18892" s="3" t="n">
        <v>0</v>
      </c>
      <c r="G18892" s="3" t="n">
        <v>12250.2</v>
      </c>
    </row>
    <row r="18893">
      <c r="A18893" s="3" t="inlineStr">
        <is>
          <t>Endulini (Pty) Ltd</t>
        </is>
      </c>
      <c r="B18893" s="4" t="n">
        <v>45351</v>
      </c>
      <c r="C18893" s="3" t="inlineStr">
        <is>
          <t>Expenses</t>
        </is>
      </c>
      <c r="D18893" s="3" t="inlineStr">
        <is>
          <t>3900/122</t>
        </is>
      </c>
      <c r="E18893" s="3" t="inlineStr">
        <is>
          <t>Interest Paid - Investors @ 7.5%</t>
        </is>
      </c>
      <c r="F18893" s="3" t="n">
        <v>0</v>
      </c>
      <c r="G18893" s="3" t="n">
        <v>200.84</v>
      </c>
    </row>
    <row r="18894">
      <c r="A18894" s="3" t="inlineStr">
        <is>
          <t>Quinate Consulting (Pty) Ltd</t>
        </is>
      </c>
      <c r="B18894" s="4" t="n">
        <v>45351</v>
      </c>
      <c r="C18894" s="3" t="inlineStr">
        <is>
          <t>Expenses</t>
        </is>
      </c>
      <c r="D18894" s="3" t="inlineStr">
        <is>
          <t>3900/152</t>
        </is>
      </c>
      <c r="E18894" s="3" t="inlineStr">
        <is>
          <t>Interest Paid - Gengis</t>
        </is>
      </c>
      <c r="F18894" s="3" t="n">
        <v>269769.14</v>
      </c>
      <c r="G18894" s="3" t="n">
        <v>307993.24</v>
      </c>
    </row>
    <row r="18895">
      <c r="A18895" s="3" t="inlineStr">
        <is>
          <t>Endulini (Pty) Ltd</t>
        </is>
      </c>
      <c r="B18895" s="4" t="n">
        <v>45351</v>
      </c>
      <c r="C18895" s="3" t="inlineStr">
        <is>
          <t>Expenses</t>
        </is>
      </c>
      <c r="D18895" s="3" t="inlineStr">
        <is>
          <t>3900/190</t>
        </is>
      </c>
      <c r="E18895" s="3" t="inlineStr">
        <is>
          <t>Interest Paid - Investors @ 14%</t>
        </is>
      </c>
      <c r="F18895" s="3" t="n">
        <v>0</v>
      </c>
      <c r="G18895" s="3" t="n">
        <v>348884.25</v>
      </c>
    </row>
    <row r="18896">
      <c r="A18896" s="3" t="inlineStr">
        <is>
          <t>Endulini (Pty) Ltd</t>
        </is>
      </c>
      <c r="B18896" s="4" t="n">
        <v>45351</v>
      </c>
      <c r="C18896" s="3" t="inlineStr">
        <is>
          <t>Expenses</t>
        </is>
      </c>
      <c r="D18896" s="3" t="inlineStr">
        <is>
          <t>3900/200</t>
        </is>
      </c>
      <c r="E18896" s="3" t="inlineStr">
        <is>
          <t>Interest Paid - Investors @ 15%</t>
        </is>
      </c>
      <c r="F18896" s="3" t="n">
        <v>0</v>
      </c>
      <c r="G18896" s="3" t="n">
        <v>155679.44</v>
      </c>
    </row>
    <row r="18897">
      <c r="A18897" s="3" t="inlineStr">
        <is>
          <t>Endulini (Pty) Ltd</t>
        </is>
      </c>
      <c r="B18897" s="4" t="n">
        <v>45351</v>
      </c>
      <c r="C18897" s="3" t="inlineStr">
        <is>
          <t>Expenses</t>
        </is>
      </c>
      <c r="D18897" s="3" t="inlineStr">
        <is>
          <t>3900/210</t>
        </is>
      </c>
      <c r="E18897" s="3" t="inlineStr">
        <is>
          <t>Interest Paid - Investors @ 16%</t>
        </is>
      </c>
      <c r="F18897" s="3" t="n">
        <v>0</v>
      </c>
      <c r="G18897" s="3" t="n">
        <v>125545.2</v>
      </c>
    </row>
    <row r="18898">
      <c r="A18898" s="3" t="inlineStr">
        <is>
          <t>Endulini (Pty) Ltd</t>
        </is>
      </c>
      <c r="B18898" s="4" t="n">
        <v>45351</v>
      </c>
      <c r="C18898" s="3" t="inlineStr">
        <is>
          <t>Expenses</t>
        </is>
      </c>
      <c r="D18898" s="3" t="inlineStr">
        <is>
          <t>3900/230</t>
        </is>
      </c>
      <c r="E18898" s="3" t="inlineStr">
        <is>
          <t>Interest Paid - Investors @ 18%</t>
        </is>
      </c>
      <c r="F18898" s="3" t="n">
        <v>0</v>
      </c>
      <c r="G18898" s="3" t="n">
        <v>1123218.86</v>
      </c>
    </row>
    <row r="18899">
      <c r="A18899" s="3" t="inlineStr">
        <is>
          <t>Opportunity Management Holdings (PTY) LTD</t>
        </is>
      </c>
      <c r="B18899" s="4" t="n">
        <v>45351</v>
      </c>
      <c r="C18899" s="3" t="inlineStr">
        <is>
          <t>Expenses</t>
        </is>
      </c>
      <c r="D18899" s="3" t="inlineStr">
        <is>
          <t>3960/000</t>
        </is>
      </c>
      <c r="E18899" s="3" t="inlineStr">
        <is>
          <t>Internet Fees</t>
        </is>
      </c>
      <c r="F18899" s="3" t="n">
        <v>0</v>
      </c>
      <c r="G18899" s="3" t="n">
        <v>3353.24</v>
      </c>
    </row>
    <row r="18900">
      <c r="A18900" s="3" t="inlineStr">
        <is>
          <t>Quinate Consulting (Pty) Ltd</t>
        </is>
      </c>
      <c r="B18900" s="4" t="n">
        <v>45351</v>
      </c>
      <c r="C18900" s="3" t="inlineStr">
        <is>
          <t>Expenses</t>
        </is>
      </c>
      <c r="D18900" s="3" t="inlineStr">
        <is>
          <t>4000/000</t>
        </is>
      </c>
      <c r="E18900" s="3" t="inlineStr">
        <is>
          <t>Legal Fees</t>
        </is>
      </c>
      <c r="F18900" s="3" t="n">
        <v>0</v>
      </c>
      <c r="G18900" s="3" t="n">
        <v>32576</v>
      </c>
    </row>
    <row r="18901">
      <c r="A18901" s="3" t="inlineStr">
        <is>
          <t>Quinate Consulting (Pty) Ltd</t>
        </is>
      </c>
      <c r="B18901" s="4" t="n">
        <v>45351</v>
      </c>
      <c r="C18901" s="3" t="inlineStr">
        <is>
          <t>Expenses</t>
        </is>
      </c>
      <c r="D18901" s="3" t="inlineStr">
        <is>
          <t>4065/000</t>
        </is>
      </c>
      <c r="E18901" s="3" t="inlineStr">
        <is>
          <t>Levies - SoHo</t>
        </is>
      </c>
      <c r="F18901" s="3" t="n">
        <v>13987.53</v>
      </c>
      <c r="G18901" s="3" t="n">
        <v>88348.49000000001</v>
      </c>
    </row>
    <row r="18902">
      <c r="A18902" s="3" t="inlineStr">
        <is>
          <t>Quinate Consulting (Pty) Ltd</t>
        </is>
      </c>
      <c r="B18902" s="4" t="n">
        <v>45351</v>
      </c>
      <c r="C18902" s="3" t="inlineStr">
        <is>
          <t>Expenses</t>
        </is>
      </c>
      <c r="D18902" s="3" t="inlineStr">
        <is>
          <t>4066/000</t>
        </is>
      </c>
      <c r="E18902" s="3" t="inlineStr">
        <is>
          <t>Levies - Southwark</t>
        </is>
      </c>
      <c r="F18902" s="3" t="n">
        <v>3422.18</v>
      </c>
      <c r="G18902" s="3" t="n">
        <v>41066.16</v>
      </c>
    </row>
    <row r="18903">
      <c r="A18903" s="3" t="inlineStr">
        <is>
          <t>Quinate Consulting (Pty) Ltd</t>
        </is>
      </c>
      <c r="B18903" s="4" t="n">
        <v>45351</v>
      </c>
      <c r="C18903" s="3" t="inlineStr">
        <is>
          <t>Expenses</t>
        </is>
      </c>
      <c r="D18903" s="3" t="inlineStr">
        <is>
          <t>4067/000</t>
        </is>
      </c>
      <c r="E18903" s="3" t="inlineStr">
        <is>
          <t>Levies - C4 Property</t>
        </is>
      </c>
      <c r="F18903" s="3" t="n">
        <v>14735.82</v>
      </c>
      <c r="G18903" s="3" t="n">
        <v>110478.76</v>
      </c>
    </row>
    <row r="18904">
      <c r="A18904" s="3" t="inlineStr">
        <is>
          <t>Quinate Consulting (Pty) Ltd</t>
        </is>
      </c>
      <c r="B18904" s="4" t="n">
        <v>45351</v>
      </c>
      <c r="C18904" s="3" t="inlineStr">
        <is>
          <t>Expenses</t>
        </is>
      </c>
      <c r="D18904" s="3" t="inlineStr">
        <is>
          <t>4068/000</t>
        </is>
      </c>
      <c r="E18904" s="3" t="inlineStr">
        <is>
          <t>Levies Endulini</t>
        </is>
      </c>
      <c r="F18904" s="3" t="n">
        <v>0</v>
      </c>
      <c r="G18904" s="3" t="n">
        <v>5049.31</v>
      </c>
    </row>
    <row r="18905">
      <c r="A18905" s="3" t="inlineStr">
        <is>
          <t>Endulini (Pty) Ltd</t>
        </is>
      </c>
      <c r="B18905" s="4" t="n">
        <v>45351</v>
      </c>
      <c r="C18905" s="3" t="inlineStr">
        <is>
          <t>Expenses</t>
        </is>
      </c>
      <c r="D18905" s="3" t="inlineStr">
        <is>
          <t>4100/001</t>
        </is>
      </c>
      <c r="E18905" s="3" t="inlineStr">
        <is>
          <t>Momentum Admin Fee</t>
        </is>
      </c>
      <c r="F18905" s="3" t="n">
        <v>0.03</v>
      </c>
      <c r="G18905" s="3" t="n">
        <v>7.45</v>
      </c>
    </row>
    <row r="18906">
      <c r="A18906" s="3" t="inlineStr">
        <is>
          <t>Quinate Consulting (Pty) Ltd</t>
        </is>
      </c>
      <c r="B18906" s="4" t="n">
        <v>45351</v>
      </c>
      <c r="C18906" s="3" t="inlineStr">
        <is>
          <t>Expenses</t>
        </is>
      </c>
      <c r="D18906" s="3" t="inlineStr">
        <is>
          <t>4100/001</t>
        </is>
      </c>
      <c r="E18906" s="3" t="inlineStr">
        <is>
          <t>Momentum Advise Fee</t>
        </is>
      </c>
      <c r="F18906" s="3" t="n">
        <v>0.96</v>
      </c>
      <c r="G18906" s="3" t="n">
        <v>2.78</v>
      </c>
    </row>
    <row r="18907">
      <c r="A18907" s="3" t="inlineStr">
        <is>
          <t>Opportunity Global Investment (PTY) LTD</t>
        </is>
      </c>
      <c r="B18907" s="4" t="n">
        <v>45351</v>
      </c>
      <c r="C18907" s="3" t="inlineStr">
        <is>
          <t>Expenses</t>
        </is>
      </c>
      <c r="D18907" s="3" t="inlineStr">
        <is>
          <t>4100/100</t>
        </is>
      </c>
      <c r="E18907" s="3" t="inlineStr">
        <is>
          <t>Members Salaries - Nick Morgan</t>
        </is>
      </c>
      <c r="F18907" s="3" t="n">
        <v>41251.62</v>
      </c>
      <c r="G18907" s="3" t="n">
        <v>495019.36</v>
      </c>
    </row>
    <row r="18908">
      <c r="A18908" s="3" t="inlineStr">
        <is>
          <t>Opportunity Private Capital (PTY) LTD</t>
        </is>
      </c>
      <c r="B18908" s="4" t="n">
        <v>45351</v>
      </c>
      <c r="C18908" s="3" t="inlineStr">
        <is>
          <t>Expenses</t>
        </is>
      </c>
      <c r="D18908" s="3" t="inlineStr">
        <is>
          <t>4100/100</t>
        </is>
      </c>
      <c r="E18908" s="3" t="inlineStr">
        <is>
          <t>Members Salaries - Nick Morgan</t>
        </is>
      </c>
      <c r="F18908" s="3" t="n">
        <v>41251.62</v>
      </c>
      <c r="G18908" s="3" t="n">
        <v>495019.36</v>
      </c>
    </row>
    <row r="18909">
      <c r="A18909" s="3" t="inlineStr">
        <is>
          <t>Opportunity Management Holdings (PTY) LTD</t>
        </is>
      </c>
      <c r="B18909" s="4" t="n">
        <v>45351</v>
      </c>
      <c r="C18909" s="3" t="inlineStr">
        <is>
          <t>Expenses</t>
        </is>
      </c>
      <c r="D18909" s="3" t="inlineStr">
        <is>
          <t>4150/010</t>
        </is>
      </c>
      <c r="E18909" s="3" t="inlineStr">
        <is>
          <t>Motor Vehicle - Petrol _AND_ Oil</t>
        </is>
      </c>
      <c r="F18909" s="3" t="n">
        <v>1350</v>
      </c>
      <c r="G18909" s="3" t="n">
        <v>1350</v>
      </c>
    </row>
    <row r="18910">
      <c r="A18910" s="3" t="inlineStr">
        <is>
          <t>Opportunity Global Investment (PTY) LTD</t>
        </is>
      </c>
      <c r="B18910" s="4" t="n">
        <v>45351</v>
      </c>
      <c r="C18910" s="3" t="inlineStr">
        <is>
          <t>Expenses</t>
        </is>
      </c>
      <c r="D18910" s="3" t="inlineStr">
        <is>
          <t>4200/000</t>
        </is>
      </c>
      <c r="E18910" s="3" t="inlineStr">
        <is>
          <t>Printing _AND_ Stationery</t>
        </is>
      </c>
      <c r="F18910" s="3" t="n">
        <v>2367</v>
      </c>
      <c r="G18910" s="3" t="n">
        <v>28813.57</v>
      </c>
    </row>
    <row r="18911">
      <c r="A18911" s="3" t="inlineStr">
        <is>
          <t>Opportunity Global Property (PTY) LTD</t>
        </is>
      </c>
      <c r="B18911" s="4" t="n">
        <v>45351</v>
      </c>
      <c r="C18911" s="3" t="inlineStr">
        <is>
          <t>Expenses</t>
        </is>
      </c>
      <c r="D18911" s="3" t="inlineStr">
        <is>
          <t>4200/000</t>
        </is>
      </c>
      <c r="E18911" s="3" t="inlineStr">
        <is>
          <t>Printing _AND_ Stationery</t>
        </is>
      </c>
      <c r="F18911" s="3" t="n">
        <v>0</v>
      </c>
      <c r="G18911" s="3" t="n">
        <v>286.96</v>
      </c>
    </row>
    <row r="18912">
      <c r="A18912" s="3" t="inlineStr">
        <is>
          <t>Opportunity Global Sales (PTY) LTD</t>
        </is>
      </c>
      <c r="B18912" s="4" t="n">
        <v>45351</v>
      </c>
      <c r="C18912" s="3" t="inlineStr">
        <is>
          <t>Expenses</t>
        </is>
      </c>
      <c r="D18912" s="3" t="inlineStr">
        <is>
          <t>4200/000</t>
        </is>
      </c>
      <c r="E18912" s="3" t="inlineStr">
        <is>
          <t>Printing _AND_ Stationery</t>
        </is>
      </c>
      <c r="F18912" s="3" t="n">
        <v>0</v>
      </c>
      <c r="G18912" s="3" t="n">
        <v>286.96</v>
      </c>
    </row>
    <row r="18913">
      <c r="A18913" s="3" t="inlineStr">
        <is>
          <t>Opportunity Management Holdings (PTY) LTD</t>
        </is>
      </c>
      <c r="B18913" s="4" t="n">
        <v>45351</v>
      </c>
      <c r="C18913" s="3" t="inlineStr">
        <is>
          <t>Expenses</t>
        </is>
      </c>
      <c r="D18913" s="3" t="inlineStr">
        <is>
          <t>4200/000</t>
        </is>
      </c>
      <c r="E18913" s="3" t="inlineStr">
        <is>
          <t>Printing _AND_ Stationery</t>
        </is>
      </c>
      <c r="F18913" s="3" t="n">
        <v>0</v>
      </c>
      <c r="G18913" s="3" t="n">
        <v>1147.8</v>
      </c>
    </row>
    <row r="18914">
      <c r="A18914" s="3" t="inlineStr">
        <is>
          <t>Opportunity Private Capital (PTY) LTD</t>
        </is>
      </c>
      <c r="B18914" s="4" t="n">
        <v>45351</v>
      </c>
      <c r="C18914" s="3" t="inlineStr">
        <is>
          <t>Expenses</t>
        </is>
      </c>
      <c r="D18914" s="3" t="inlineStr">
        <is>
          <t>4200/000</t>
        </is>
      </c>
      <c r="E18914" s="3" t="inlineStr">
        <is>
          <t>Printing _AND_ Stationery</t>
        </is>
      </c>
      <c r="F18914" s="3" t="n">
        <v>2367</v>
      </c>
      <c r="G18914" s="3" t="n">
        <v>28813.57</v>
      </c>
    </row>
    <row r="18915">
      <c r="A18915" s="3" t="inlineStr">
        <is>
          <t>Quinate Consulting (Pty) Ltd</t>
        </is>
      </c>
      <c r="B18915" s="4" t="n">
        <v>45351</v>
      </c>
      <c r="C18915" s="3" t="inlineStr">
        <is>
          <t>Expenses</t>
        </is>
      </c>
      <c r="D18915" s="3" t="inlineStr">
        <is>
          <t>4200/000</t>
        </is>
      </c>
      <c r="E18915" s="3" t="inlineStr">
        <is>
          <t>Printing _AND_ Stationery</t>
        </is>
      </c>
      <c r="F18915" s="3" t="n">
        <v>2930.73</v>
      </c>
      <c r="G18915" s="3" t="n">
        <v>2993.34</v>
      </c>
    </row>
    <row r="18916">
      <c r="A18916" s="3" t="inlineStr">
        <is>
          <t>Noble Shield (Pty) Ltd ta Go Letting</t>
        </is>
      </c>
      <c r="B18916" s="4" t="n">
        <v>45351</v>
      </c>
      <c r="C18916" s="3" t="inlineStr">
        <is>
          <t>Expenses</t>
        </is>
      </c>
      <c r="D18916" s="3" t="inlineStr">
        <is>
          <t>4200/100</t>
        </is>
      </c>
      <c r="E18916" s="3" t="inlineStr">
        <is>
          <t>Printing - Merchant West- Printer Rental</t>
        </is>
      </c>
      <c r="F18916" s="3" t="n">
        <v>1953.85</v>
      </c>
      <c r="G18916" s="3" t="n">
        <v>14124.77</v>
      </c>
    </row>
    <row r="18917">
      <c r="A18917" s="3" t="inlineStr">
        <is>
          <t>Noble Shield (Pty) Ltd ta Go Letting</t>
        </is>
      </c>
      <c r="B18917" s="4" t="n">
        <v>45351</v>
      </c>
      <c r="C18917" s="3" t="inlineStr">
        <is>
          <t>Expenses</t>
        </is>
      </c>
      <c r="D18917" s="3" t="inlineStr">
        <is>
          <t>4200/120</t>
        </is>
      </c>
      <c r="E18917" s="3" t="inlineStr">
        <is>
          <t>Printing - Ivy Line - Prints</t>
        </is>
      </c>
      <c r="F18917" s="3" t="n">
        <v>591.51</v>
      </c>
      <c r="G18917" s="3" t="n">
        <v>5107.04</v>
      </c>
    </row>
    <row r="18918">
      <c r="A18918" s="3" t="inlineStr">
        <is>
          <t>Noble Shield (Pty) Ltd ta Go Letting</t>
        </is>
      </c>
      <c r="B18918" s="4" t="n">
        <v>45351</v>
      </c>
      <c r="C18918" s="3" t="inlineStr">
        <is>
          <t>Expenses</t>
        </is>
      </c>
      <c r="D18918" s="3" t="inlineStr">
        <is>
          <t>4200/180</t>
        </is>
      </c>
      <c r="E18918" s="3" t="inlineStr">
        <is>
          <t>Printing - Ikon</t>
        </is>
      </c>
      <c r="F18918" s="3" t="n">
        <v>675.74</v>
      </c>
      <c r="G18918" s="3" t="n">
        <v>1943.83</v>
      </c>
    </row>
    <row r="18919">
      <c r="A18919" s="3" t="inlineStr">
        <is>
          <t>Noble Shield (Pty) Ltd ta Go Letting</t>
        </is>
      </c>
      <c r="B18919" s="4" t="n">
        <v>45351</v>
      </c>
      <c r="C18919" s="3" t="inlineStr">
        <is>
          <t>Expenses</t>
        </is>
      </c>
      <c r="D18919" s="3" t="inlineStr">
        <is>
          <t>4200/190</t>
        </is>
      </c>
      <c r="E18919" s="3" t="inlineStr">
        <is>
          <t>Printing - Centrafin printer rental</t>
        </is>
      </c>
      <c r="F18919" s="3" t="n">
        <v>3211.18</v>
      </c>
      <c r="G18919" s="3" t="n">
        <v>18099.36</v>
      </c>
    </row>
    <row r="18920">
      <c r="A18920" s="3" t="inlineStr">
        <is>
          <t>Noble Shield (Pty) Ltd ta Go Letting</t>
        </is>
      </c>
      <c r="B18920" s="4" t="n">
        <v>45351</v>
      </c>
      <c r="C18920" s="3" t="inlineStr">
        <is>
          <t>Expenses</t>
        </is>
      </c>
      <c r="D18920" s="3" t="inlineStr">
        <is>
          <t>4200/200</t>
        </is>
      </c>
      <c r="E18920" s="3" t="inlineStr">
        <is>
          <t>Printing - General Stationery VDB Office</t>
        </is>
      </c>
      <c r="F18920" s="3" t="n">
        <v>0</v>
      </c>
      <c r="G18920" s="3" t="n">
        <v>4845.69</v>
      </c>
    </row>
    <row r="18921">
      <c r="A18921" s="3" t="inlineStr">
        <is>
          <t>Opportunity Global Investment (PTY) LTD</t>
        </is>
      </c>
      <c r="B18921" s="4" t="n">
        <v>45351</v>
      </c>
      <c r="C18921" s="3" t="inlineStr">
        <is>
          <t>Expenses</t>
        </is>
      </c>
      <c r="D18921" s="3" t="inlineStr">
        <is>
          <t>4220/000</t>
        </is>
      </c>
      <c r="E18921" s="3" t="inlineStr">
        <is>
          <t>Motor Vehicle Expenses - Petrol _AND_ Oil</t>
        </is>
      </c>
      <c r="F18921" s="3" t="n">
        <v>3319.44</v>
      </c>
      <c r="G18921" s="3" t="n">
        <v>27860.8</v>
      </c>
    </row>
    <row r="18922">
      <c r="A18922" s="3" t="inlineStr">
        <is>
          <t>Opportunity Global Property (PTY) LTD</t>
        </is>
      </c>
      <c r="B18922" s="4" t="n">
        <v>45351</v>
      </c>
      <c r="C18922" s="3" t="inlineStr">
        <is>
          <t>Expenses</t>
        </is>
      </c>
      <c r="D18922" s="3" t="inlineStr">
        <is>
          <t>4220/000</t>
        </is>
      </c>
      <c r="E18922" s="3" t="inlineStr">
        <is>
          <t>Motor Vehicle Expenses - Petrol _AND_ Oil</t>
        </is>
      </c>
      <c r="F18922" s="3" t="n">
        <v>347.83</v>
      </c>
      <c r="G18922" s="3" t="n">
        <v>347.83</v>
      </c>
    </row>
    <row r="18923">
      <c r="A18923" s="3" t="inlineStr">
        <is>
          <t>Opportunity Global Sales (PTY) LTD</t>
        </is>
      </c>
      <c r="B18923" s="4" t="n">
        <v>45351</v>
      </c>
      <c r="C18923" s="3" t="inlineStr">
        <is>
          <t>Expenses</t>
        </is>
      </c>
      <c r="D18923" s="3" t="inlineStr">
        <is>
          <t>4220/000</t>
        </is>
      </c>
      <c r="E18923" s="3" t="inlineStr">
        <is>
          <t>Motor Vehicle Expenses - Petrol _AND_ Oil</t>
        </is>
      </c>
      <c r="F18923" s="3" t="n">
        <v>347.83</v>
      </c>
      <c r="G18923" s="3" t="n">
        <v>347.83</v>
      </c>
    </row>
    <row r="18924">
      <c r="A18924" s="3" t="inlineStr">
        <is>
          <t>Opportunity Private Capital (PTY) LTD</t>
        </is>
      </c>
      <c r="B18924" s="4" t="n">
        <v>45351</v>
      </c>
      <c r="C18924" s="3" t="inlineStr">
        <is>
          <t>Expenses</t>
        </is>
      </c>
      <c r="D18924" s="3" t="inlineStr">
        <is>
          <t>4220/000</t>
        </is>
      </c>
      <c r="E18924" s="3" t="inlineStr">
        <is>
          <t>Motor Vehicle Expenses - Petrol _AND_ Oil</t>
        </is>
      </c>
      <c r="F18924" s="3" t="n">
        <v>3319.44</v>
      </c>
      <c r="G18924" s="3" t="n">
        <v>27860.8</v>
      </c>
    </row>
    <row r="18925">
      <c r="A18925" s="3" t="inlineStr">
        <is>
          <t>Noble Shield (Pty) Ltd ta Go Letting</t>
        </is>
      </c>
      <c r="B18925" s="4" t="n">
        <v>45351</v>
      </c>
      <c r="C18925" s="3" t="inlineStr">
        <is>
          <t>Expenses</t>
        </is>
      </c>
      <c r="D18925" s="3" t="inlineStr">
        <is>
          <t>4290/000</t>
        </is>
      </c>
      <c r="E18925" s="3" t="inlineStr">
        <is>
          <t>Refreshments - CT Office</t>
        </is>
      </c>
      <c r="F18925" s="3" t="n">
        <v>3199.66</v>
      </c>
      <c r="G18925" s="3" t="n">
        <v>9657.459999999999</v>
      </c>
    </row>
    <row r="18926">
      <c r="A18926" s="3" t="inlineStr">
        <is>
          <t>Opportunity Global Investment (PTY) LTD</t>
        </is>
      </c>
      <c r="B18926" s="4" t="n">
        <v>45351</v>
      </c>
      <c r="C18926" s="3" t="inlineStr">
        <is>
          <t>Expenses</t>
        </is>
      </c>
      <c r="D18926" s="3" t="inlineStr">
        <is>
          <t>4290/000</t>
        </is>
      </c>
      <c r="E18926" s="3" t="inlineStr">
        <is>
          <t>Rent</t>
        </is>
      </c>
      <c r="F18926" s="3" t="n">
        <v>8770</v>
      </c>
      <c r="G18926" s="3" t="n">
        <v>105240</v>
      </c>
    </row>
    <row r="18927">
      <c r="A18927" s="3" t="inlineStr">
        <is>
          <t>Opportunity Private Capital (PTY) LTD</t>
        </is>
      </c>
      <c r="B18927" s="4" t="n">
        <v>45351</v>
      </c>
      <c r="C18927" s="3" t="inlineStr">
        <is>
          <t>Expenses</t>
        </is>
      </c>
      <c r="D18927" s="3" t="inlineStr">
        <is>
          <t>4290/000</t>
        </is>
      </c>
      <c r="E18927" s="3" t="inlineStr">
        <is>
          <t>Rent</t>
        </is>
      </c>
      <c r="F18927" s="3" t="n">
        <v>8770</v>
      </c>
      <c r="G18927" s="3" t="n">
        <v>105240</v>
      </c>
    </row>
    <row r="18928">
      <c r="A18928" s="3" t="inlineStr">
        <is>
          <t>Noble Shield (Pty) Ltd ta Go Letting</t>
        </is>
      </c>
      <c r="B18928" s="4" t="n">
        <v>45351</v>
      </c>
      <c r="C18928" s="3" t="inlineStr">
        <is>
          <t>Expenses</t>
        </is>
      </c>
      <c r="D18928" s="3" t="inlineStr">
        <is>
          <t>4291/000</t>
        </is>
      </c>
      <c r="E18928" s="3" t="inlineStr">
        <is>
          <t>Refreshments - VDB Office</t>
        </is>
      </c>
      <c r="F18928" s="3" t="n">
        <v>0</v>
      </c>
      <c r="G18928" s="3" t="n">
        <v>3286.69</v>
      </c>
    </row>
    <row r="18929">
      <c r="A18929" s="3" t="inlineStr">
        <is>
          <t>Trademark Holdings (Pty) Ltd</t>
        </is>
      </c>
      <c r="B18929" s="4" t="n">
        <v>45351</v>
      </c>
      <c r="C18929" s="3" t="inlineStr">
        <is>
          <t>Expenses</t>
        </is>
      </c>
      <c r="D18929" s="3" t="inlineStr">
        <is>
          <t>4300/000</t>
        </is>
      </c>
      <c r="E18929" s="3" t="inlineStr">
        <is>
          <t>Rent Paid</t>
        </is>
      </c>
      <c r="F18929" s="3" t="n">
        <v>6940</v>
      </c>
      <c r="G18929" s="3" t="n">
        <v>41440</v>
      </c>
    </row>
    <row r="18930">
      <c r="A18930" s="3" t="inlineStr">
        <is>
          <t>Opportunity Global Investment (PTY) LTD</t>
        </is>
      </c>
      <c r="B18930" s="4" t="n">
        <v>45351</v>
      </c>
      <c r="C18930" s="3" t="inlineStr">
        <is>
          <t>Expenses</t>
        </is>
      </c>
      <c r="D18930" s="3" t="inlineStr">
        <is>
          <t>4310/000</t>
        </is>
      </c>
      <c r="E18930" s="3" t="inlineStr">
        <is>
          <t>Refreshments</t>
        </is>
      </c>
      <c r="F18930" s="3" t="n">
        <v>2521</v>
      </c>
      <c r="G18930" s="3" t="n">
        <v>30300.26</v>
      </c>
    </row>
    <row r="18931">
      <c r="A18931" s="3" t="inlineStr">
        <is>
          <t>Opportunity Management Holdings (PTY) LTD</t>
        </is>
      </c>
      <c r="B18931" s="4" t="n">
        <v>45351</v>
      </c>
      <c r="C18931" s="3" t="inlineStr">
        <is>
          <t>Expenses</t>
        </is>
      </c>
      <c r="D18931" s="3" t="inlineStr">
        <is>
          <t>4310/000</t>
        </is>
      </c>
      <c r="E18931" s="3" t="inlineStr">
        <is>
          <t>Refreshments</t>
        </is>
      </c>
      <c r="F18931" s="3" t="n">
        <v>821.65</v>
      </c>
      <c r="G18931" s="3" t="n">
        <v>44375.02</v>
      </c>
    </row>
    <row r="18932">
      <c r="A18932" s="3" t="inlineStr">
        <is>
          <t>Opportunity Private Capital (PTY) LTD</t>
        </is>
      </c>
      <c r="B18932" s="4" t="n">
        <v>45351</v>
      </c>
      <c r="C18932" s="3" t="inlineStr">
        <is>
          <t>Expenses</t>
        </is>
      </c>
      <c r="D18932" s="3" t="inlineStr">
        <is>
          <t>4310/000</t>
        </is>
      </c>
      <c r="E18932" s="3" t="inlineStr">
        <is>
          <t>Refreshments</t>
        </is>
      </c>
      <c r="F18932" s="3" t="n">
        <v>2521</v>
      </c>
      <c r="G18932" s="3" t="n">
        <v>30300.26</v>
      </c>
    </row>
    <row r="18933">
      <c r="A18933" s="3" t="inlineStr">
        <is>
          <t>Quinate Consulting (Pty) Ltd</t>
        </is>
      </c>
      <c r="B18933" s="4" t="n">
        <v>45351</v>
      </c>
      <c r="C18933" s="3" t="inlineStr">
        <is>
          <t>Expenses</t>
        </is>
      </c>
      <c r="D18933" s="3" t="inlineStr">
        <is>
          <t>4312/000</t>
        </is>
      </c>
      <c r="E18933" s="3" t="inlineStr">
        <is>
          <t>Rates - SoHo Units</t>
        </is>
      </c>
      <c r="F18933" s="3" t="n">
        <v>2357.41</v>
      </c>
      <c r="G18933" s="3" t="n">
        <v>31838.55</v>
      </c>
    </row>
    <row r="18934">
      <c r="A18934" s="3" t="inlineStr">
        <is>
          <t>Endulini (Pty) Ltd</t>
        </is>
      </c>
      <c r="B18934" s="4" t="n">
        <v>45351</v>
      </c>
      <c r="C18934" s="3" t="inlineStr">
        <is>
          <t>Expenses</t>
        </is>
      </c>
      <c r="D18934" s="3" t="inlineStr">
        <is>
          <t>4350/000</t>
        </is>
      </c>
      <c r="E18934" s="3" t="inlineStr">
        <is>
          <t>Repairs _AND_ Maintenance</t>
        </is>
      </c>
      <c r="F18934" s="3" t="n">
        <v>0</v>
      </c>
      <c r="G18934" s="3" t="n">
        <v>32808.94</v>
      </c>
    </row>
    <row r="18935">
      <c r="A18935" s="3" t="inlineStr">
        <is>
          <t>Opportunity Global Property (PTY) LTD</t>
        </is>
      </c>
      <c r="B18935" s="4" t="n">
        <v>45351</v>
      </c>
      <c r="C18935" s="3" t="inlineStr">
        <is>
          <t>Expenses</t>
        </is>
      </c>
      <c r="D18935" s="3" t="inlineStr">
        <is>
          <t>4350/000</t>
        </is>
      </c>
      <c r="E18935" s="3" t="inlineStr">
        <is>
          <t>Repairs _AND_ Maintenance</t>
        </is>
      </c>
      <c r="F18935" s="3" t="n">
        <v>0</v>
      </c>
      <c r="G18935" s="3" t="n">
        <v>469.52</v>
      </c>
    </row>
    <row r="18936">
      <c r="A18936" s="3" t="inlineStr">
        <is>
          <t>Opportunity Global Sales (PTY) LTD</t>
        </is>
      </c>
      <c r="B18936" s="4" t="n">
        <v>45351</v>
      </c>
      <c r="C18936" s="3" t="inlineStr">
        <is>
          <t>Expenses</t>
        </is>
      </c>
      <c r="D18936" s="3" t="inlineStr">
        <is>
          <t>4350/000</t>
        </is>
      </c>
      <c r="E18936" s="3" t="inlineStr">
        <is>
          <t>Repairs _AND_ Maintenance</t>
        </is>
      </c>
      <c r="F18936" s="3" t="n">
        <v>0</v>
      </c>
      <c r="G18936" s="3" t="n">
        <v>469.52</v>
      </c>
    </row>
    <row r="18937">
      <c r="A18937" s="3" t="inlineStr">
        <is>
          <t>Opportunity Management Holdings (PTY) LTD</t>
        </is>
      </c>
      <c r="B18937" s="4" t="n">
        <v>45351</v>
      </c>
      <c r="C18937" s="3" t="inlineStr">
        <is>
          <t>Expenses</t>
        </is>
      </c>
      <c r="D18937" s="3" t="inlineStr">
        <is>
          <t>4350/000</t>
        </is>
      </c>
      <c r="E18937" s="3" t="inlineStr">
        <is>
          <t>Repairs _AND_ Maintenance</t>
        </is>
      </c>
      <c r="F18937" s="3" t="n">
        <v>0</v>
      </c>
      <c r="G18937" s="3" t="n">
        <v>1641.09</v>
      </c>
    </row>
    <row r="18938">
      <c r="A18938" s="3" t="inlineStr">
        <is>
          <t>Quinate Consulting (Pty) Ltd</t>
        </is>
      </c>
      <c r="B18938" s="4" t="n">
        <v>45351</v>
      </c>
      <c r="C18938" s="3" t="inlineStr">
        <is>
          <t>Expenses</t>
        </is>
      </c>
      <c r="D18938" s="3" t="inlineStr">
        <is>
          <t>4350/000</t>
        </is>
      </c>
      <c r="E18938" s="3" t="inlineStr">
        <is>
          <t>Repairs and Maintenance - Southwark Units</t>
        </is>
      </c>
      <c r="F18938" s="3" t="n">
        <v>3573</v>
      </c>
      <c r="G18938" s="3" t="n">
        <v>8333.700000000001</v>
      </c>
    </row>
    <row r="18939">
      <c r="A18939" s="3" t="inlineStr">
        <is>
          <t>Endulini (Pty) Ltd</t>
        </is>
      </c>
      <c r="B18939" s="4" t="n">
        <v>45351</v>
      </c>
      <c r="C18939" s="3" t="inlineStr">
        <is>
          <t>Expenses</t>
        </is>
      </c>
      <c r="D18939" s="3" t="inlineStr">
        <is>
          <t>4351/000</t>
        </is>
      </c>
      <c r="E18939" s="3" t="inlineStr">
        <is>
          <t>Repair &amp; Maintenance - Rentals</t>
        </is>
      </c>
      <c r="F18939" s="3" t="n">
        <v>0</v>
      </c>
      <c r="G18939" s="3" t="n">
        <v>2015.79</v>
      </c>
    </row>
    <row r="18940">
      <c r="A18940" s="3" t="inlineStr">
        <is>
          <t>Noble Shield (Pty) Ltd ta Go Letting</t>
        </is>
      </c>
      <c r="B18940" s="4" t="n">
        <v>45351</v>
      </c>
      <c r="C18940" s="3" t="inlineStr">
        <is>
          <t>Expenses</t>
        </is>
      </c>
      <c r="D18940" s="3" t="inlineStr">
        <is>
          <t>4351/000</t>
        </is>
      </c>
      <c r="E18940" s="3" t="inlineStr">
        <is>
          <t>Repairs _AND_ Maintanence - Rentals</t>
        </is>
      </c>
      <c r="F18940" s="3" t="n">
        <v>0</v>
      </c>
      <c r="G18940" s="3" t="n">
        <v>286.75</v>
      </c>
    </row>
    <row r="18941">
      <c r="A18941" s="3" t="inlineStr">
        <is>
          <t>Quinate Consulting (Pty) Ltd</t>
        </is>
      </c>
      <c r="B18941" s="4" t="n">
        <v>45351</v>
      </c>
      <c r="C18941" s="3" t="inlineStr">
        <is>
          <t>Expenses</t>
        </is>
      </c>
      <c r="D18941" s="3" t="inlineStr">
        <is>
          <t>4351/100</t>
        </is>
      </c>
      <c r="E18941" s="3" t="inlineStr">
        <is>
          <t>Repairs and Maintenance -  Soho Units</t>
        </is>
      </c>
      <c r="F18941" s="3" t="n">
        <v>0</v>
      </c>
      <c r="G18941" s="3" t="n">
        <v>2400</v>
      </c>
    </row>
    <row r="18942">
      <c r="A18942" s="3" t="inlineStr">
        <is>
          <t>Opportunity Global Investment (PTY) LTD</t>
        </is>
      </c>
      <c r="B18942" s="4" t="n">
        <v>45351</v>
      </c>
      <c r="C18942" s="3" t="inlineStr">
        <is>
          <t>Expenses</t>
        </is>
      </c>
      <c r="D18942" s="3" t="inlineStr">
        <is>
          <t>4360/000</t>
        </is>
      </c>
      <c r="E18942" s="3" t="inlineStr">
        <is>
          <t>Secretarial - CIPC</t>
        </is>
      </c>
      <c r="F18942" s="3" t="n">
        <v>0</v>
      </c>
      <c r="G18942" s="3" t="n">
        <v>800</v>
      </c>
    </row>
    <row r="18943">
      <c r="A18943" s="3" t="inlineStr">
        <is>
          <t>Opportunity Private Capital (PTY) LTD</t>
        </is>
      </c>
      <c r="B18943" s="4" t="n">
        <v>45351</v>
      </c>
      <c r="C18943" s="3" t="inlineStr">
        <is>
          <t>Expenses</t>
        </is>
      </c>
      <c r="D18943" s="3" t="inlineStr">
        <is>
          <t>4360/000</t>
        </is>
      </c>
      <c r="E18943" s="3" t="inlineStr">
        <is>
          <t>Secretarial - CIPC</t>
        </is>
      </c>
      <c r="F18943" s="3" t="n">
        <v>0</v>
      </c>
      <c r="G18943" s="3" t="n">
        <v>800</v>
      </c>
    </row>
    <row r="18944">
      <c r="A18944" s="3" t="inlineStr">
        <is>
          <t>Opportunity Global Investment (PTY) LTD</t>
        </is>
      </c>
      <c r="B18944" s="4" t="n">
        <v>45351</v>
      </c>
      <c r="C18944" s="3" t="inlineStr">
        <is>
          <t>Expenses</t>
        </is>
      </c>
      <c r="D18944" s="3" t="inlineStr">
        <is>
          <t>4390/000</t>
        </is>
      </c>
      <c r="E18944" s="3" t="inlineStr">
        <is>
          <t>Small Assets</t>
        </is>
      </c>
      <c r="F18944" s="3" t="n">
        <v>0</v>
      </c>
      <c r="G18944" s="3" t="n">
        <v>4693.04</v>
      </c>
    </row>
    <row r="18945">
      <c r="A18945" s="3" t="inlineStr">
        <is>
          <t>Opportunity Global Property (PTY) LTD</t>
        </is>
      </c>
      <c r="B18945" s="4" t="n">
        <v>45351</v>
      </c>
      <c r="C18945" s="3" t="inlineStr">
        <is>
          <t>Expenses</t>
        </is>
      </c>
      <c r="D18945" s="3" t="inlineStr">
        <is>
          <t>4390/000</t>
        </is>
      </c>
      <c r="E18945" s="3" t="inlineStr">
        <is>
          <t>Small Assets</t>
        </is>
      </c>
      <c r="F18945" s="3" t="n">
        <v>0</v>
      </c>
      <c r="G18945" s="3" t="n">
        <v>1477.39</v>
      </c>
    </row>
    <row r="18946">
      <c r="A18946" s="3" t="inlineStr">
        <is>
          <t>Opportunity Global Sales (PTY) LTD</t>
        </is>
      </c>
      <c r="B18946" s="4" t="n">
        <v>45351</v>
      </c>
      <c r="C18946" s="3" t="inlineStr">
        <is>
          <t>Expenses</t>
        </is>
      </c>
      <c r="D18946" s="3" t="inlineStr">
        <is>
          <t>4390/000</t>
        </is>
      </c>
      <c r="E18946" s="3" t="inlineStr">
        <is>
          <t>Small Assets</t>
        </is>
      </c>
      <c r="F18946" s="3" t="n">
        <v>0</v>
      </c>
      <c r="G18946" s="3" t="n">
        <v>1477.39</v>
      </c>
    </row>
    <row r="18947">
      <c r="A18947" s="3" t="inlineStr">
        <is>
          <t>Opportunity Management Holdings (PTY) LTD</t>
        </is>
      </c>
      <c r="B18947" s="4" t="n">
        <v>45351</v>
      </c>
      <c r="C18947" s="3" t="inlineStr">
        <is>
          <t>Expenses</t>
        </is>
      </c>
      <c r="D18947" s="3" t="inlineStr">
        <is>
          <t>4390/000</t>
        </is>
      </c>
      <c r="E18947" s="3" t="inlineStr">
        <is>
          <t>Small Assets</t>
        </is>
      </c>
      <c r="F18947" s="3" t="n">
        <v>0</v>
      </c>
      <c r="G18947" s="3" t="n">
        <v>7208.26</v>
      </c>
    </row>
    <row r="18948">
      <c r="A18948" s="3" t="inlineStr">
        <is>
          <t>Opportunity Private Capital (PTY) LTD</t>
        </is>
      </c>
      <c r="B18948" s="4" t="n">
        <v>45351</v>
      </c>
      <c r="C18948" s="3" t="inlineStr">
        <is>
          <t>Expenses</t>
        </is>
      </c>
      <c r="D18948" s="3" t="inlineStr">
        <is>
          <t>4390/000</t>
        </is>
      </c>
      <c r="E18948" s="3" t="inlineStr">
        <is>
          <t>Small Assets</t>
        </is>
      </c>
      <c r="F18948" s="3" t="n">
        <v>0</v>
      </c>
      <c r="G18948" s="3" t="n">
        <v>4693.04</v>
      </c>
    </row>
    <row r="18949">
      <c r="A18949" s="3" t="inlineStr">
        <is>
          <t>Noble Shield (Pty) Ltd ta Go Letting</t>
        </is>
      </c>
      <c r="B18949" s="4" t="n">
        <v>45351</v>
      </c>
      <c r="C18949" s="3" t="inlineStr">
        <is>
          <t>Expenses</t>
        </is>
      </c>
      <c r="D18949" s="3" t="inlineStr">
        <is>
          <t>4400/000</t>
        </is>
      </c>
      <c r="E18949" s="3" t="inlineStr">
        <is>
          <t>Salaries _AND_ Wages</t>
        </is>
      </c>
      <c r="F18949" s="3" t="n">
        <v>29656.2</v>
      </c>
      <c r="G18949" s="3" t="n">
        <v>164234.7</v>
      </c>
    </row>
    <row r="18950">
      <c r="A18950" s="3" t="inlineStr">
        <is>
          <t>Opportunity Global Property (PTY) LTD</t>
        </is>
      </c>
      <c r="B18950" s="4" t="n">
        <v>45351</v>
      </c>
      <c r="C18950" s="3" t="inlineStr">
        <is>
          <t>Expenses</t>
        </is>
      </c>
      <c r="D18950" s="3" t="inlineStr">
        <is>
          <t>4400/000</t>
        </is>
      </c>
      <c r="E18950" s="3" t="inlineStr">
        <is>
          <t>Salaries _AND_ Wages</t>
        </is>
      </c>
      <c r="F18950" s="3" t="n">
        <v>66098.89999999999</v>
      </c>
      <c r="G18950" s="3" t="n">
        <v>653949.92</v>
      </c>
    </row>
    <row r="18951">
      <c r="A18951" s="3" t="inlineStr">
        <is>
          <t>Opportunity Global Sales (PTY) LTD</t>
        </is>
      </c>
      <c r="B18951" s="4" t="n">
        <v>45351</v>
      </c>
      <c r="C18951" s="3" t="inlineStr">
        <is>
          <t>Expenses</t>
        </is>
      </c>
      <c r="D18951" s="3" t="inlineStr">
        <is>
          <t>4400/000</t>
        </is>
      </c>
      <c r="E18951" s="3" t="inlineStr">
        <is>
          <t>Salaries _AND_ Wages</t>
        </is>
      </c>
      <c r="F18951" s="3" t="n">
        <v>66098.89999999999</v>
      </c>
      <c r="G18951" s="3" t="n">
        <v>653949.92</v>
      </c>
    </row>
    <row r="18952">
      <c r="A18952" s="3" t="inlineStr">
        <is>
          <t>Opportunity Management Holdings (PTY) LTD</t>
        </is>
      </c>
      <c r="B18952" s="4" t="n">
        <v>45351</v>
      </c>
      <c r="C18952" s="3" t="inlineStr">
        <is>
          <t>Expenses</t>
        </is>
      </c>
      <c r="D18952" s="3" t="inlineStr">
        <is>
          <t>4400/000</t>
        </is>
      </c>
      <c r="E18952" s="3" t="inlineStr">
        <is>
          <t>Salaries _AND_ Wages</t>
        </is>
      </c>
      <c r="F18952" s="3" t="n">
        <v>219127.6</v>
      </c>
      <c r="G18952" s="3" t="n">
        <v>1305053.04</v>
      </c>
    </row>
    <row r="18953">
      <c r="A18953" s="3" t="inlineStr">
        <is>
          <t>Trademark Holdings (Pty) Ltd</t>
        </is>
      </c>
      <c r="B18953" s="4" t="n">
        <v>45351</v>
      </c>
      <c r="C18953" s="3" t="inlineStr">
        <is>
          <t>Expenses</t>
        </is>
      </c>
      <c r="D18953" s="3" t="inlineStr">
        <is>
          <t>4400/000</t>
        </is>
      </c>
      <c r="E18953" s="3" t="inlineStr">
        <is>
          <t>Salaries _AND_ Wages</t>
        </is>
      </c>
      <c r="F18953" s="3" t="n">
        <v>12429.45</v>
      </c>
      <c r="G18953" s="3" t="n">
        <v>74576.7</v>
      </c>
    </row>
    <row r="18954">
      <c r="A18954" s="3" t="inlineStr">
        <is>
          <t>Opportunity Global Investment (PTY) LTD</t>
        </is>
      </c>
      <c r="B18954" s="4" t="n">
        <v>45351</v>
      </c>
      <c r="C18954" s="3" t="inlineStr">
        <is>
          <t>Expenses</t>
        </is>
      </c>
      <c r="D18954" s="3" t="inlineStr">
        <is>
          <t>4450/000</t>
        </is>
      </c>
      <c r="E18954" s="3" t="inlineStr">
        <is>
          <t>Staff Training</t>
        </is>
      </c>
      <c r="F18954" s="3" t="n">
        <v>4781.74</v>
      </c>
      <c r="G18954" s="3" t="n">
        <v>10677.38</v>
      </c>
    </row>
    <row r="18955">
      <c r="A18955" s="3" t="inlineStr">
        <is>
          <t>Opportunity Global Property (PTY) LTD</t>
        </is>
      </c>
      <c r="B18955" s="4" t="n">
        <v>45351</v>
      </c>
      <c r="C18955" s="3" t="inlineStr">
        <is>
          <t>Expenses</t>
        </is>
      </c>
      <c r="D18955" s="3" t="inlineStr">
        <is>
          <t>4450/000</t>
        </is>
      </c>
      <c r="E18955" s="3" t="inlineStr">
        <is>
          <t>Staff Training</t>
        </is>
      </c>
      <c r="F18955" s="3" t="n">
        <v>0</v>
      </c>
      <c r="G18955" s="3" t="n">
        <v>695.65</v>
      </c>
    </row>
    <row r="18956">
      <c r="A18956" s="3" t="inlineStr">
        <is>
          <t>Opportunity Global Sales (PTY) LTD</t>
        </is>
      </c>
      <c r="B18956" s="4" t="n">
        <v>45351</v>
      </c>
      <c r="C18956" s="3" t="inlineStr">
        <is>
          <t>Expenses</t>
        </is>
      </c>
      <c r="D18956" s="3" t="inlineStr">
        <is>
          <t>4450/000</t>
        </is>
      </c>
      <c r="E18956" s="3" t="inlineStr">
        <is>
          <t>Staff Training</t>
        </is>
      </c>
      <c r="F18956" s="3" t="n">
        <v>0</v>
      </c>
      <c r="G18956" s="3" t="n">
        <v>695.65</v>
      </c>
    </row>
    <row r="18957">
      <c r="A18957" s="3" t="inlineStr">
        <is>
          <t>Opportunity Private Capital (PTY) LTD</t>
        </is>
      </c>
      <c r="B18957" s="4" t="n">
        <v>45351</v>
      </c>
      <c r="C18957" s="3" t="inlineStr">
        <is>
          <t>Expenses</t>
        </is>
      </c>
      <c r="D18957" s="3" t="inlineStr">
        <is>
          <t>4450/000</t>
        </is>
      </c>
      <c r="E18957" s="3" t="inlineStr">
        <is>
          <t>Staff Training</t>
        </is>
      </c>
      <c r="F18957" s="3" t="n">
        <v>4781.74</v>
      </c>
      <c r="G18957" s="3" t="n">
        <v>10677.38</v>
      </c>
    </row>
    <row r="18958">
      <c r="A18958" s="3" t="inlineStr">
        <is>
          <t>Noble Shield (Pty) Ltd ta Go Letting</t>
        </is>
      </c>
      <c r="B18958" s="4" t="n">
        <v>45351</v>
      </c>
      <c r="C18958" s="3" t="inlineStr">
        <is>
          <t>Expenses</t>
        </is>
      </c>
      <c r="D18958" s="3" t="inlineStr">
        <is>
          <t>4500/000</t>
        </is>
      </c>
      <c r="E18958" s="3" t="inlineStr">
        <is>
          <t>Staff Welfare</t>
        </is>
      </c>
      <c r="F18958" s="3" t="n">
        <v>1837.15</v>
      </c>
      <c r="G18958" s="3" t="n">
        <v>5599.4</v>
      </c>
    </row>
    <row r="18959">
      <c r="A18959" s="3" t="inlineStr">
        <is>
          <t>Opportunity Global Investment (PTY) LTD</t>
        </is>
      </c>
      <c r="B18959" s="4" t="n">
        <v>45351</v>
      </c>
      <c r="C18959" s="3" t="inlineStr">
        <is>
          <t>Expenses</t>
        </is>
      </c>
      <c r="D18959" s="3" t="inlineStr">
        <is>
          <t>4500/000</t>
        </is>
      </c>
      <c r="E18959" s="3" t="inlineStr">
        <is>
          <t>Staff Welfare</t>
        </is>
      </c>
      <c r="F18959" s="3" t="n">
        <v>0</v>
      </c>
      <c r="G18959" s="3" t="n">
        <v>2654.34</v>
      </c>
    </row>
    <row r="18960">
      <c r="A18960" s="3" t="inlineStr">
        <is>
          <t>Opportunity Global Property (PTY) LTD</t>
        </is>
      </c>
      <c r="B18960" s="4" t="n">
        <v>45351</v>
      </c>
      <c r="C18960" s="3" t="inlineStr">
        <is>
          <t>Expenses</t>
        </is>
      </c>
      <c r="D18960" s="3" t="inlineStr">
        <is>
          <t>4500/000</t>
        </is>
      </c>
      <c r="E18960" s="3" t="inlineStr">
        <is>
          <t>Staff Welfare</t>
        </is>
      </c>
      <c r="F18960" s="3" t="n">
        <v>172</v>
      </c>
      <c r="G18960" s="3" t="n">
        <v>3127.21</v>
      </c>
    </row>
    <row r="18961">
      <c r="A18961" s="3" t="inlineStr">
        <is>
          <t>Opportunity Global Sales (PTY) LTD</t>
        </is>
      </c>
      <c r="B18961" s="4" t="n">
        <v>45351</v>
      </c>
      <c r="C18961" s="3" t="inlineStr">
        <is>
          <t>Expenses</t>
        </is>
      </c>
      <c r="D18961" s="3" t="inlineStr">
        <is>
          <t>4500/000</t>
        </is>
      </c>
      <c r="E18961" s="3" t="inlineStr">
        <is>
          <t>Staff Welfare</t>
        </is>
      </c>
      <c r="F18961" s="3" t="n">
        <v>172</v>
      </c>
      <c r="G18961" s="3" t="n">
        <v>3127.21</v>
      </c>
    </row>
    <row r="18962">
      <c r="A18962" s="3" t="inlineStr">
        <is>
          <t>Opportunity Management Holdings (PTY) LTD</t>
        </is>
      </c>
      <c r="B18962" s="4" t="n">
        <v>45351</v>
      </c>
      <c r="C18962" s="3" t="inlineStr">
        <is>
          <t>Expenses</t>
        </is>
      </c>
      <c r="D18962" s="3" t="inlineStr">
        <is>
          <t>4500/000</t>
        </is>
      </c>
      <c r="E18962" s="3" t="inlineStr">
        <is>
          <t>Staff Welfare</t>
        </is>
      </c>
      <c r="F18962" s="3" t="n">
        <v>16548.7</v>
      </c>
      <c r="G18962" s="3" t="n">
        <v>65614.42</v>
      </c>
    </row>
    <row r="18963">
      <c r="A18963" s="3" t="inlineStr">
        <is>
          <t>Opportunity Private Capital (PTY) LTD</t>
        </is>
      </c>
      <c r="B18963" s="4" t="n">
        <v>45351</v>
      </c>
      <c r="C18963" s="3" t="inlineStr">
        <is>
          <t>Expenses</t>
        </is>
      </c>
      <c r="D18963" s="3" t="inlineStr">
        <is>
          <t>4500/000</t>
        </is>
      </c>
      <c r="E18963" s="3" t="inlineStr">
        <is>
          <t>Staff Welfare</t>
        </is>
      </c>
      <c r="F18963" s="3" t="n">
        <v>0</v>
      </c>
      <c r="G18963" s="3" t="n">
        <v>2654.34</v>
      </c>
    </row>
    <row r="18964">
      <c r="A18964" s="3" t="inlineStr">
        <is>
          <t>Quinate Consulting (Pty) Ltd</t>
        </is>
      </c>
      <c r="B18964" s="4" t="n">
        <v>45351</v>
      </c>
      <c r="C18964" s="3" t="inlineStr">
        <is>
          <t>Expenses</t>
        </is>
      </c>
      <c r="D18964" s="3" t="inlineStr">
        <is>
          <t>4500/000</t>
        </is>
      </c>
      <c r="E18964" s="3" t="inlineStr">
        <is>
          <t>Staff Welfare</t>
        </is>
      </c>
      <c r="F18964" s="3" t="n">
        <v>76</v>
      </c>
      <c r="G18964" s="3" t="n">
        <v>1539.8</v>
      </c>
    </row>
    <row r="18965">
      <c r="A18965" s="3" t="inlineStr">
        <is>
          <t>Noble Shield (Pty) Ltd ta Go Letting</t>
        </is>
      </c>
      <c r="B18965" s="4" t="n">
        <v>45351</v>
      </c>
      <c r="C18965" s="3" t="inlineStr">
        <is>
          <t>Expenses</t>
        </is>
      </c>
      <c r="D18965" s="3" t="inlineStr">
        <is>
          <t>4520/000</t>
        </is>
      </c>
      <c r="E18965" s="3" t="inlineStr">
        <is>
          <t>Security</t>
        </is>
      </c>
      <c r="F18965" s="3" t="n">
        <v>884</v>
      </c>
      <c r="G18965" s="3" t="n">
        <v>5459.44</v>
      </c>
    </row>
    <row r="18966">
      <c r="A18966" s="3" t="inlineStr">
        <is>
          <t>Opportunity Global Investment (PTY) LTD</t>
        </is>
      </c>
      <c r="B18966" s="4" t="n">
        <v>45351</v>
      </c>
      <c r="C18966" s="3" t="inlineStr">
        <is>
          <t>Expenses</t>
        </is>
      </c>
      <c r="D18966" s="3" t="inlineStr">
        <is>
          <t>4550/000</t>
        </is>
      </c>
      <c r="E18966" s="3" t="inlineStr">
        <is>
          <t>Subscriptions</t>
        </is>
      </c>
      <c r="F18966" s="3" t="n">
        <v>0</v>
      </c>
      <c r="G18966" s="3" t="n">
        <v>8643.32</v>
      </c>
    </row>
    <row r="18967">
      <c r="A18967" s="3" t="inlineStr">
        <is>
          <t>Opportunity Private Capital (PTY) LTD</t>
        </is>
      </c>
      <c r="B18967" s="4" t="n">
        <v>45351</v>
      </c>
      <c r="C18967" s="3" t="inlineStr">
        <is>
          <t>Expenses</t>
        </is>
      </c>
      <c r="D18967" s="3" t="inlineStr">
        <is>
          <t>4550/000</t>
        </is>
      </c>
      <c r="E18967" s="3" t="inlineStr">
        <is>
          <t>Subscriptions</t>
        </is>
      </c>
      <c r="F18967" s="3" t="n">
        <v>0</v>
      </c>
      <c r="G18967" s="3" t="n">
        <v>8643.32</v>
      </c>
    </row>
    <row r="18968">
      <c r="A18968" s="3" t="inlineStr">
        <is>
          <t>Opportunity Global Property (PTY) LTD</t>
        </is>
      </c>
      <c r="B18968" s="4" t="n">
        <v>45351</v>
      </c>
      <c r="C18968" s="3" t="inlineStr">
        <is>
          <t>Expenses</t>
        </is>
      </c>
      <c r="D18968" s="3" t="inlineStr">
        <is>
          <t>4550/000</t>
        </is>
      </c>
      <c r="E18968" s="3" t="inlineStr">
        <is>
          <t>Subscriptions - General</t>
        </is>
      </c>
      <c r="F18968" s="3" t="n">
        <v>239.13</v>
      </c>
      <c r="G18968" s="3" t="n">
        <v>1661.74</v>
      </c>
    </row>
    <row r="18969">
      <c r="A18969" s="3" t="inlineStr">
        <is>
          <t>Opportunity Global Sales (PTY) LTD</t>
        </is>
      </c>
      <c r="B18969" s="4" t="n">
        <v>45351</v>
      </c>
      <c r="C18969" s="3" t="inlineStr">
        <is>
          <t>Expenses</t>
        </is>
      </c>
      <c r="D18969" s="3" t="inlineStr">
        <is>
          <t>4550/000</t>
        </is>
      </c>
      <c r="E18969" s="3" t="inlineStr">
        <is>
          <t>Subscriptions - General</t>
        </is>
      </c>
      <c r="F18969" s="3" t="n">
        <v>239.13</v>
      </c>
      <c r="G18969" s="3" t="n">
        <v>1661.74</v>
      </c>
    </row>
    <row r="18970">
      <c r="A18970" s="3" t="inlineStr">
        <is>
          <t>Quinate Consulting (Pty) Ltd</t>
        </is>
      </c>
      <c r="B18970" s="4" t="n">
        <v>45351</v>
      </c>
      <c r="C18970" s="3" t="inlineStr">
        <is>
          <t>Expenses</t>
        </is>
      </c>
      <c r="D18970" s="3" t="inlineStr">
        <is>
          <t>4550/000</t>
        </is>
      </c>
      <c r="E18970" s="3" t="inlineStr">
        <is>
          <t>Subscriptions / Licenses</t>
        </is>
      </c>
      <c r="F18970" s="3" t="n">
        <v>15315.89</v>
      </c>
      <c r="G18970" s="3" t="n">
        <v>148371.85</v>
      </c>
    </row>
    <row r="18971">
      <c r="A18971" s="3" t="inlineStr">
        <is>
          <t>Opportunity Management Holdings (PTY) LTD</t>
        </is>
      </c>
      <c r="B18971" s="4" t="n">
        <v>45351</v>
      </c>
      <c r="C18971" s="3" t="inlineStr">
        <is>
          <t>Expenses</t>
        </is>
      </c>
      <c r="D18971" s="3" t="inlineStr">
        <is>
          <t>4550/000</t>
        </is>
      </c>
      <c r="E18971" s="3" t="inlineStr">
        <is>
          <t>Subscriptions _AND_ Lisences</t>
        </is>
      </c>
      <c r="F18971" s="3" t="n">
        <v>12487</v>
      </c>
      <c r="G18971" s="3" t="n">
        <v>35896.11</v>
      </c>
    </row>
    <row r="18972">
      <c r="A18972" s="3" t="inlineStr">
        <is>
          <t>Noble Shield (Pty) Ltd ta Go Letting</t>
        </is>
      </c>
      <c r="B18972" s="4" t="n">
        <v>45351</v>
      </c>
      <c r="C18972" s="3" t="inlineStr">
        <is>
          <t>Expenses</t>
        </is>
      </c>
      <c r="D18972" s="3" t="inlineStr">
        <is>
          <t>4550/100</t>
        </is>
      </c>
      <c r="E18972" s="3" t="inlineStr">
        <is>
          <t>Subscriptions - EAAB</t>
        </is>
      </c>
      <c r="F18972" s="3" t="n">
        <v>0</v>
      </c>
      <c r="G18972" s="3" t="n">
        <v>1604</v>
      </c>
    </row>
    <row r="18973">
      <c r="A18973" s="3" t="inlineStr">
        <is>
          <t>Trademark Holdings (Pty) Ltd</t>
        </is>
      </c>
      <c r="B18973" s="4" t="n">
        <v>45351</v>
      </c>
      <c r="C18973" s="3" t="inlineStr">
        <is>
          <t>Expenses</t>
        </is>
      </c>
      <c r="D18973" s="3" t="inlineStr">
        <is>
          <t>4550/100</t>
        </is>
      </c>
      <c r="E18973" s="3" t="inlineStr">
        <is>
          <t>Subscriptions - EAAB</t>
        </is>
      </c>
      <c r="F18973" s="3" t="n">
        <v>0</v>
      </c>
      <c r="G18973" s="3" t="n">
        <v>1604</v>
      </c>
    </row>
    <row r="18974">
      <c r="A18974" s="3" t="inlineStr">
        <is>
          <t>Opportunity Global Investment (PTY) LTD</t>
        </is>
      </c>
      <c r="B18974" s="4" t="n">
        <v>45351</v>
      </c>
      <c r="C18974" s="3" t="inlineStr">
        <is>
          <t>Expenses</t>
        </is>
      </c>
      <c r="D18974" s="3" t="inlineStr">
        <is>
          <t>4550/100</t>
        </is>
      </c>
      <c r="E18974" s="3" t="inlineStr">
        <is>
          <t>Subscriptions - Zoho</t>
        </is>
      </c>
      <c r="F18974" s="3" t="n">
        <v>1125</v>
      </c>
      <c r="G18974" s="3" t="n">
        <v>13500</v>
      </c>
    </row>
    <row r="18975">
      <c r="A18975" s="3" t="inlineStr">
        <is>
          <t>Opportunity Private Capital (PTY) LTD</t>
        </is>
      </c>
      <c r="B18975" s="4" t="n">
        <v>45351</v>
      </c>
      <c r="C18975" s="3" t="inlineStr">
        <is>
          <t>Expenses</t>
        </is>
      </c>
      <c r="D18975" s="3" t="inlineStr">
        <is>
          <t>4550/100</t>
        </is>
      </c>
      <c r="E18975" s="3" t="inlineStr">
        <is>
          <t>Subscriptions - Zoho</t>
        </is>
      </c>
      <c r="F18975" s="3" t="n">
        <v>1125</v>
      </c>
      <c r="G18975" s="3" t="n">
        <v>13500</v>
      </c>
    </row>
    <row r="18976">
      <c r="A18976" s="3" t="inlineStr">
        <is>
          <t>Opportunity Global Property (PTY) LTD</t>
        </is>
      </c>
      <c r="B18976" s="4" t="n">
        <v>45351</v>
      </c>
      <c r="C18976" s="3" t="inlineStr">
        <is>
          <t>Expenses</t>
        </is>
      </c>
      <c r="D18976" s="3" t="inlineStr">
        <is>
          <t>4550/150</t>
        </is>
      </c>
      <c r="E18976" s="3" t="inlineStr">
        <is>
          <t>Subscription - Webbox</t>
        </is>
      </c>
      <c r="F18976" s="3" t="n">
        <v>0</v>
      </c>
      <c r="G18976" s="3" t="n">
        <v>6743</v>
      </c>
    </row>
    <row r="18977">
      <c r="A18977" s="3" t="inlineStr">
        <is>
          <t>Opportunity Global Sales (PTY) LTD</t>
        </is>
      </c>
      <c r="B18977" s="4" t="n">
        <v>45351</v>
      </c>
      <c r="C18977" s="3" t="inlineStr">
        <is>
          <t>Expenses</t>
        </is>
      </c>
      <c r="D18977" s="3" t="inlineStr">
        <is>
          <t>4550/150</t>
        </is>
      </c>
      <c r="E18977" s="3" t="inlineStr">
        <is>
          <t>Subscription - Webbox</t>
        </is>
      </c>
      <c r="F18977" s="3" t="n">
        <v>0</v>
      </c>
      <c r="G18977" s="3" t="n">
        <v>6743</v>
      </c>
    </row>
    <row r="18978">
      <c r="A18978" s="3" t="inlineStr">
        <is>
          <t>Opportunity Global Investment (PTY) LTD</t>
        </is>
      </c>
      <c r="B18978" s="4" t="n">
        <v>45351</v>
      </c>
      <c r="C18978" s="3" t="inlineStr">
        <is>
          <t>Expenses</t>
        </is>
      </c>
      <c r="D18978" s="3" t="inlineStr">
        <is>
          <t>4550/250</t>
        </is>
      </c>
      <c r="E18978" s="3" t="inlineStr">
        <is>
          <t>Subscriptions - LinkedIn</t>
        </is>
      </c>
      <c r="F18978" s="3" t="n">
        <v>1000.49</v>
      </c>
      <c r="G18978" s="3" t="n">
        <v>13006.37</v>
      </c>
    </row>
    <row r="18979">
      <c r="A18979" s="3" t="inlineStr">
        <is>
          <t>Opportunity Private Capital (PTY) LTD</t>
        </is>
      </c>
      <c r="B18979" s="4" t="n">
        <v>45351</v>
      </c>
      <c r="C18979" s="3" t="inlineStr">
        <is>
          <t>Expenses</t>
        </is>
      </c>
      <c r="D18979" s="3" t="inlineStr">
        <is>
          <t>4550/250</t>
        </is>
      </c>
      <c r="E18979" s="3" t="inlineStr">
        <is>
          <t>Subscriptions - LinkedIn</t>
        </is>
      </c>
      <c r="F18979" s="3" t="n">
        <v>1000.49</v>
      </c>
      <c r="G18979" s="3" t="n">
        <v>13006.37</v>
      </c>
    </row>
    <row r="18980">
      <c r="A18980" s="3" t="inlineStr">
        <is>
          <t>Opportunity Global Investment (PTY) LTD</t>
        </is>
      </c>
      <c r="B18980" s="4" t="n">
        <v>45351</v>
      </c>
      <c r="C18980" s="3" t="inlineStr">
        <is>
          <t>Expenses</t>
        </is>
      </c>
      <c r="D18980" s="3" t="inlineStr">
        <is>
          <t>4550/350</t>
        </is>
      </c>
      <c r="E18980" s="3" t="inlineStr">
        <is>
          <t>Subscriptions - Xero</t>
        </is>
      </c>
      <c r="F18980" s="3" t="n">
        <v>600</v>
      </c>
      <c r="G18980" s="3" t="n">
        <v>7200</v>
      </c>
    </row>
    <row r="18981">
      <c r="A18981" s="3" t="inlineStr">
        <is>
          <t>Opportunity Private Capital (PTY) LTD</t>
        </is>
      </c>
      <c r="B18981" s="4" t="n">
        <v>45351</v>
      </c>
      <c r="C18981" s="3" t="inlineStr">
        <is>
          <t>Expenses</t>
        </is>
      </c>
      <c r="D18981" s="3" t="inlineStr">
        <is>
          <t>4550/350</t>
        </is>
      </c>
      <c r="E18981" s="3" t="inlineStr">
        <is>
          <t>Subscriptions - Xero</t>
        </is>
      </c>
      <c r="F18981" s="3" t="n">
        <v>600</v>
      </c>
      <c r="G18981" s="3" t="n">
        <v>7200</v>
      </c>
    </row>
    <row r="18982">
      <c r="A18982" s="3" t="inlineStr">
        <is>
          <t>Opportunity Global Investment (PTY) LTD</t>
        </is>
      </c>
      <c r="B18982" s="4" t="n">
        <v>45351</v>
      </c>
      <c r="C18982" s="3" t="inlineStr">
        <is>
          <t>Expenses</t>
        </is>
      </c>
      <c r="D18982" s="3" t="inlineStr">
        <is>
          <t>4550/400</t>
        </is>
      </c>
      <c r="E18982" s="3" t="inlineStr">
        <is>
          <t>Subscriptions - Moneyweb</t>
        </is>
      </c>
      <c r="F18982" s="3" t="n">
        <v>60.87</v>
      </c>
      <c r="G18982" s="3" t="n">
        <v>718.26</v>
      </c>
    </row>
    <row r="18983">
      <c r="A18983" s="3" t="inlineStr">
        <is>
          <t>Opportunity Private Capital (PTY) LTD</t>
        </is>
      </c>
      <c r="B18983" s="4" t="n">
        <v>45351</v>
      </c>
      <c r="C18983" s="3" t="inlineStr">
        <is>
          <t>Expenses</t>
        </is>
      </c>
      <c r="D18983" s="3" t="inlineStr">
        <is>
          <t>4550/400</t>
        </is>
      </c>
      <c r="E18983" s="3" t="inlineStr">
        <is>
          <t>Subscriptions - Moneyweb</t>
        </is>
      </c>
      <c r="F18983" s="3" t="n">
        <v>60.87</v>
      </c>
      <c r="G18983" s="3" t="n">
        <v>718.26</v>
      </c>
    </row>
    <row r="18984">
      <c r="A18984" s="3" t="inlineStr">
        <is>
          <t>Trademark Holdings (Pty) Ltd</t>
        </is>
      </c>
      <c r="B18984" s="4" t="n">
        <v>45351</v>
      </c>
      <c r="C18984" s="3" t="inlineStr">
        <is>
          <t>Expenses</t>
        </is>
      </c>
      <c r="D18984" s="3" t="inlineStr">
        <is>
          <t>4550/400</t>
        </is>
      </c>
      <c r="E18984" s="3" t="inlineStr">
        <is>
          <t>Subscriptions - Xero</t>
        </is>
      </c>
      <c r="F18984" s="3" t="n">
        <v>600</v>
      </c>
      <c r="G18984" s="3" t="n">
        <v>3600</v>
      </c>
    </row>
    <row r="18985">
      <c r="A18985" s="3" t="inlineStr">
        <is>
          <t>Opportunity Global Investment (PTY) LTD</t>
        </is>
      </c>
      <c r="B18985" s="4" t="n">
        <v>45351</v>
      </c>
      <c r="C18985" s="3" t="inlineStr">
        <is>
          <t>Expenses</t>
        </is>
      </c>
      <c r="D18985" s="3" t="inlineStr">
        <is>
          <t>4550/450</t>
        </is>
      </c>
      <c r="E18985" s="3" t="inlineStr">
        <is>
          <t>Subscriptions - Adobe</t>
        </is>
      </c>
      <c r="F18985" s="3" t="n">
        <v>869.62</v>
      </c>
      <c r="G18985" s="3" t="n">
        <v>7517.62</v>
      </c>
    </row>
    <row r="18986">
      <c r="A18986" s="3" t="inlineStr">
        <is>
          <t>Opportunity Private Capital (PTY) LTD</t>
        </is>
      </c>
      <c r="B18986" s="4" t="n">
        <v>45351</v>
      </c>
      <c r="C18986" s="3" t="inlineStr">
        <is>
          <t>Expenses</t>
        </is>
      </c>
      <c r="D18986" s="3" t="inlineStr">
        <is>
          <t>4550/450</t>
        </is>
      </c>
      <c r="E18986" s="3" t="inlineStr">
        <is>
          <t>Subscriptions - Adobe</t>
        </is>
      </c>
      <c r="F18986" s="3" t="n">
        <v>869.62</v>
      </c>
      <c r="G18986" s="3" t="n">
        <v>7517.62</v>
      </c>
    </row>
    <row r="18987">
      <c r="A18987" s="3" t="inlineStr">
        <is>
          <t>Opportunity Global Investment (PTY) LTD</t>
        </is>
      </c>
      <c r="B18987" s="4" t="n">
        <v>45351</v>
      </c>
      <c r="C18987" s="3" t="inlineStr">
        <is>
          <t>Expenses</t>
        </is>
      </c>
      <c r="D18987" s="3" t="inlineStr">
        <is>
          <t>4550/500</t>
        </is>
      </c>
      <c r="E18987" s="3" t="inlineStr">
        <is>
          <t>Subscriptions - Pandadoc</t>
        </is>
      </c>
      <c r="F18987" s="3" t="n">
        <v>678.65</v>
      </c>
      <c r="G18987" s="3" t="n">
        <v>6947.52</v>
      </c>
    </row>
    <row r="18988">
      <c r="A18988" s="3" t="inlineStr">
        <is>
          <t>Opportunity Private Capital (PTY) LTD</t>
        </is>
      </c>
      <c r="B18988" s="4" t="n">
        <v>45351</v>
      </c>
      <c r="C18988" s="3" t="inlineStr">
        <is>
          <t>Expenses</t>
        </is>
      </c>
      <c r="D18988" s="3" t="inlineStr">
        <is>
          <t>4550/500</t>
        </is>
      </c>
      <c r="E18988" s="3" t="inlineStr">
        <is>
          <t>Subscriptions - Pandadoc</t>
        </is>
      </c>
      <c r="F18988" s="3" t="n">
        <v>678.65</v>
      </c>
      <c r="G18988" s="3" t="n">
        <v>6947.52</v>
      </c>
    </row>
    <row r="18989">
      <c r="A18989" s="3" t="inlineStr">
        <is>
          <t>Noble Shield (Pty) Ltd ta Go Letting</t>
        </is>
      </c>
      <c r="B18989" s="4" t="n">
        <v>45351</v>
      </c>
      <c r="C18989" s="3" t="inlineStr">
        <is>
          <t>Expenses</t>
        </is>
      </c>
      <c r="D18989" s="3" t="inlineStr">
        <is>
          <t>4550/600</t>
        </is>
      </c>
      <c r="E18989" s="3" t="inlineStr">
        <is>
          <t>Subscriptions - Webbox</t>
        </is>
      </c>
      <c r="F18989" s="3" t="n">
        <v>1753.75</v>
      </c>
      <c r="G18989" s="3" t="n">
        <v>10325.85</v>
      </c>
    </row>
    <row r="18990">
      <c r="A18990" s="3" t="inlineStr">
        <is>
          <t>Noble Shield (Pty) Ltd ta Go Letting</t>
        </is>
      </c>
      <c r="B18990" s="4" t="n">
        <v>45351</v>
      </c>
      <c r="C18990" s="3" t="inlineStr">
        <is>
          <t>Expenses</t>
        </is>
      </c>
      <c r="D18990" s="3" t="inlineStr">
        <is>
          <t>4550/650</t>
        </is>
      </c>
      <c r="E18990" s="3" t="inlineStr">
        <is>
          <t>Subscriptions - Xero</t>
        </is>
      </c>
      <c r="F18990" s="3" t="n">
        <v>600</v>
      </c>
      <c r="G18990" s="3" t="n">
        <v>3600</v>
      </c>
    </row>
    <row r="18991">
      <c r="A18991" s="3" t="inlineStr">
        <is>
          <t>Noble Shield (Pty) Ltd ta Go Letting</t>
        </is>
      </c>
      <c r="B18991" s="4" t="n">
        <v>45351</v>
      </c>
      <c r="C18991" s="3" t="inlineStr">
        <is>
          <t>Expenses</t>
        </is>
      </c>
      <c r="D18991" s="3" t="inlineStr">
        <is>
          <t>4550/800</t>
        </is>
      </c>
      <c r="E18991" s="3" t="inlineStr">
        <is>
          <t>Subscriptions - Adobe</t>
        </is>
      </c>
      <c r="F18991" s="3" t="n">
        <v>0</v>
      </c>
      <c r="G18991" s="3" t="n">
        <v>914.5599999999999</v>
      </c>
    </row>
    <row r="18992">
      <c r="A18992" s="3" t="inlineStr">
        <is>
          <t>Opportunity Global Property (PTY) LTD</t>
        </is>
      </c>
      <c r="B18992" s="4" t="n">
        <v>45351</v>
      </c>
      <c r="C18992" s="3" t="inlineStr">
        <is>
          <t>Expenses</t>
        </is>
      </c>
      <c r="D18992" s="3" t="inlineStr">
        <is>
          <t>4551/000</t>
        </is>
      </c>
      <c r="E18992" s="3" t="inlineStr">
        <is>
          <t>Subscriptions - Payprop</t>
        </is>
      </c>
      <c r="F18992" s="3" t="n">
        <v>1409.09</v>
      </c>
      <c r="G18992" s="3" t="n">
        <v>15770.59</v>
      </c>
    </row>
    <row r="18993">
      <c r="A18993" s="3" t="inlineStr">
        <is>
          <t>Opportunity Global Sales (PTY) LTD</t>
        </is>
      </c>
      <c r="B18993" s="4" t="n">
        <v>45351</v>
      </c>
      <c r="C18993" s="3" t="inlineStr">
        <is>
          <t>Expenses</t>
        </is>
      </c>
      <c r="D18993" s="3" t="inlineStr">
        <is>
          <t>4551/000</t>
        </is>
      </c>
      <c r="E18993" s="3" t="inlineStr">
        <is>
          <t>Subscriptions - Payprop</t>
        </is>
      </c>
      <c r="F18993" s="3" t="n">
        <v>1409.09</v>
      </c>
      <c r="G18993" s="3" t="n">
        <v>15770.59</v>
      </c>
    </row>
    <row r="18994">
      <c r="A18994" s="3" t="inlineStr">
        <is>
          <t>Quinate Consulting (Pty) Ltd</t>
        </is>
      </c>
      <c r="B18994" s="4" t="n">
        <v>45351</v>
      </c>
      <c r="C18994" s="3" t="inlineStr">
        <is>
          <t>Expenses</t>
        </is>
      </c>
      <c r="D18994" s="3" t="inlineStr">
        <is>
          <t>4552/000</t>
        </is>
      </c>
      <c r="E18994" s="3" t="inlineStr">
        <is>
          <t>Subscriptions - CIPC</t>
        </is>
      </c>
      <c r="F18994" s="3" t="n">
        <v>0</v>
      </c>
      <c r="G18994" s="3" t="n">
        <v>4050</v>
      </c>
    </row>
    <row r="18995">
      <c r="A18995" s="3" t="inlineStr">
        <is>
          <t>Endulini (Pty) Ltd</t>
        </is>
      </c>
      <c r="B18995" s="4" t="n">
        <v>45351</v>
      </c>
      <c r="C18995" s="3" t="inlineStr">
        <is>
          <t>Expenses</t>
        </is>
      </c>
      <c r="D18995" s="3" t="inlineStr">
        <is>
          <t>4552/000</t>
        </is>
      </c>
      <c r="E18995" s="3" t="inlineStr">
        <is>
          <t>Subscriptions - Xero</t>
        </is>
      </c>
      <c r="F18995" s="3" t="n">
        <v>600</v>
      </c>
      <c r="G18995" s="3" t="n">
        <v>7200</v>
      </c>
    </row>
    <row r="18996">
      <c r="A18996" s="3" t="inlineStr">
        <is>
          <t>Opportunity Global Property (PTY) LTD</t>
        </is>
      </c>
      <c r="B18996" s="4" t="n">
        <v>45351</v>
      </c>
      <c r="C18996" s="3" t="inlineStr">
        <is>
          <t>Expenses</t>
        </is>
      </c>
      <c r="D18996" s="3" t="inlineStr">
        <is>
          <t>4552/000</t>
        </is>
      </c>
      <c r="E18996" s="3" t="inlineStr">
        <is>
          <t>Subscriptions - Xero</t>
        </is>
      </c>
      <c r="F18996" s="3" t="n">
        <v>600</v>
      </c>
      <c r="G18996" s="3" t="n">
        <v>7200</v>
      </c>
    </row>
    <row r="18997">
      <c r="A18997" s="3" t="inlineStr">
        <is>
          <t>Opportunity Global Sales (PTY) LTD</t>
        </is>
      </c>
      <c r="B18997" s="4" t="n">
        <v>45351</v>
      </c>
      <c r="C18997" s="3" t="inlineStr">
        <is>
          <t>Expenses</t>
        </is>
      </c>
      <c r="D18997" s="3" t="inlineStr">
        <is>
          <t>4552/000</t>
        </is>
      </c>
      <c r="E18997" s="3" t="inlineStr">
        <is>
          <t>Subscriptions - Xero</t>
        </is>
      </c>
      <c r="F18997" s="3" t="n">
        <v>600</v>
      </c>
      <c r="G18997" s="3" t="n">
        <v>7200</v>
      </c>
    </row>
    <row r="18998">
      <c r="A18998" s="3" t="inlineStr">
        <is>
          <t>Opportunity Management Holdings (PTY) LTD</t>
        </is>
      </c>
      <c r="B18998" s="4" t="n">
        <v>45351</v>
      </c>
      <c r="C18998" s="3" t="inlineStr">
        <is>
          <t>Expenses</t>
        </is>
      </c>
      <c r="D18998" s="3" t="inlineStr">
        <is>
          <t>4552/000</t>
        </is>
      </c>
      <c r="E18998" s="3" t="inlineStr">
        <is>
          <t>Subscriptions - Xero</t>
        </is>
      </c>
      <c r="F18998" s="3" t="n">
        <v>600</v>
      </c>
      <c r="G18998" s="3" t="n">
        <v>3600</v>
      </c>
    </row>
    <row r="18999">
      <c r="A18999" s="3" t="inlineStr">
        <is>
          <t>Opportunity Global Property (PTY) LTD</t>
        </is>
      </c>
      <c r="B18999" s="4" t="n">
        <v>45351</v>
      </c>
      <c r="C18999" s="3" t="inlineStr">
        <is>
          <t>Expenses</t>
        </is>
      </c>
      <c r="D18999" s="3" t="inlineStr">
        <is>
          <t>4553/000</t>
        </is>
      </c>
      <c r="E18999" s="3" t="inlineStr">
        <is>
          <t>Subscriptions - CMA</t>
        </is>
      </c>
      <c r="F18999" s="3" t="n">
        <v>680</v>
      </c>
      <c r="G18999" s="3" t="n">
        <v>8160</v>
      </c>
    </row>
    <row r="19000">
      <c r="A19000" s="3" t="inlineStr">
        <is>
          <t>Opportunity Global Sales (PTY) LTD</t>
        </is>
      </c>
      <c r="B19000" s="4" t="n">
        <v>45351</v>
      </c>
      <c r="C19000" s="3" t="inlineStr">
        <is>
          <t>Expenses</t>
        </is>
      </c>
      <c r="D19000" s="3" t="inlineStr">
        <is>
          <t>4553/000</t>
        </is>
      </c>
      <c r="E19000" s="3" t="inlineStr">
        <is>
          <t>Subscriptions - CMA</t>
        </is>
      </c>
      <c r="F19000" s="3" t="n">
        <v>680</v>
      </c>
      <c r="G19000" s="3" t="n">
        <v>8160</v>
      </c>
    </row>
    <row r="19001">
      <c r="A19001" s="3" t="inlineStr">
        <is>
          <t>Quinate Consulting (Pty) Ltd</t>
        </is>
      </c>
      <c r="B19001" s="4" t="n">
        <v>45351</v>
      </c>
      <c r="C19001" s="3" t="inlineStr">
        <is>
          <t>Expenses</t>
        </is>
      </c>
      <c r="D19001" s="3" t="inlineStr">
        <is>
          <t>4554/000</t>
        </is>
      </c>
      <c r="E19001" s="3" t="inlineStr">
        <is>
          <t>Subscriptions - Xero</t>
        </is>
      </c>
      <c r="F19001" s="3" t="n">
        <v>600</v>
      </c>
      <c r="G19001" s="3" t="n">
        <v>7200</v>
      </c>
    </row>
    <row r="19002">
      <c r="A19002" s="3" t="inlineStr">
        <is>
          <t>Opportunity Global Property (PTY) LTD</t>
        </is>
      </c>
      <c r="B19002" s="4" t="n">
        <v>45351</v>
      </c>
      <c r="C19002" s="3" t="inlineStr">
        <is>
          <t>Expenses</t>
        </is>
      </c>
      <c r="D19002" s="3" t="inlineStr">
        <is>
          <t>4554/000</t>
        </is>
      </c>
      <c r="E19002" s="3" t="inlineStr">
        <is>
          <t>Subscriptions - Zoho</t>
        </is>
      </c>
      <c r="F19002" s="3" t="n">
        <v>750</v>
      </c>
      <c r="G19002" s="3" t="n">
        <v>9000</v>
      </c>
    </row>
    <row r="19003">
      <c r="A19003" s="3" t="inlineStr">
        <is>
          <t>Opportunity Global Sales (PTY) LTD</t>
        </is>
      </c>
      <c r="B19003" s="4" t="n">
        <v>45351</v>
      </c>
      <c r="C19003" s="3" t="inlineStr">
        <is>
          <t>Expenses</t>
        </is>
      </c>
      <c r="D19003" s="3" t="inlineStr">
        <is>
          <t>4554/000</t>
        </is>
      </c>
      <c r="E19003" s="3" t="inlineStr">
        <is>
          <t>Subscriptions - Zoho</t>
        </is>
      </c>
      <c r="F19003" s="3" t="n">
        <v>750</v>
      </c>
      <c r="G19003" s="3" t="n">
        <v>9000</v>
      </c>
    </row>
    <row r="19004">
      <c r="A19004" s="3" t="inlineStr">
        <is>
          <t>Quinate Consulting (Pty) Ltd</t>
        </is>
      </c>
      <c r="B19004" s="4" t="n">
        <v>45351</v>
      </c>
      <c r="C19004" s="3" t="inlineStr">
        <is>
          <t>Expenses</t>
        </is>
      </c>
      <c r="D19004" s="3" t="inlineStr">
        <is>
          <t>4555/000</t>
        </is>
      </c>
      <c r="E19004" s="3" t="inlineStr">
        <is>
          <t>Subscriptions - OUMS</t>
        </is>
      </c>
      <c r="F19004" s="3" t="n">
        <v>13465.42</v>
      </c>
      <c r="G19004" s="3" t="n">
        <v>111087.91</v>
      </c>
    </row>
    <row r="19005">
      <c r="A19005" s="3" t="inlineStr">
        <is>
          <t>Opportunity Global Property (PTY) LTD</t>
        </is>
      </c>
      <c r="B19005" s="4" t="n">
        <v>45351</v>
      </c>
      <c r="C19005" s="3" t="inlineStr">
        <is>
          <t>Expenses</t>
        </is>
      </c>
      <c r="D19005" s="3" t="inlineStr">
        <is>
          <t>4556/000</t>
        </is>
      </c>
      <c r="E19005" s="3" t="inlineStr">
        <is>
          <t>Subscription: Sjoon</t>
        </is>
      </c>
      <c r="F19005" s="3" t="n">
        <v>217.39</v>
      </c>
      <c r="G19005" s="3" t="n">
        <v>1626.08</v>
      </c>
    </row>
    <row r="19006">
      <c r="A19006" s="3" t="inlineStr">
        <is>
          <t>Opportunity Global Sales (PTY) LTD</t>
        </is>
      </c>
      <c r="B19006" s="4" t="n">
        <v>45351</v>
      </c>
      <c r="C19006" s="3" t="inlineStr">
        <is>
          <t>Expenses</t>
        </is>
      </c>
      <c r="D19006" s="3" t="inlineStr">
        <is>
          <t>4556/000</t>
        </is>
      </c>
      <c r="E19006" s="3" t="inlineStr">
        <is>
          <t>Subscription: Sjoon</t>
        </is>
      </c>
      <c r="F19006" s="3" t="n">
        <v>217.39</v>
      </c>
      <c r="G19006" s="3" t="n">
        <v>1626.08</v>
      </c>
    </row>
    <row r="19007">
      <c r="A19007" s="3" t="inlineStr">
        <is>
          <t>Noble Shield (Pty) Ltd ta Go Letting</t>
        </is>
      </c>
      <c r="B19007" s="4" t="n">
        <v>45351</v>
      </c>
      <c r="C19007" s="3" t="inlineStr">
        <is>
          <t>Expenses</t>
        </is>
      </c>
      <c r="D19007" s="3" t="inlineStr">
        <is>
          <t>4560/000</t>
        </is>
      </c>
      <c r="E19007" s="3" t="inlineStr">
        <is>
          <t>Small Assets - under R7000</t>
        </is>
      </c>
      <c r="F19007" s="3" t="n">
        <v>0</v>
      </c>
      <c r="G19007" s="3" t="n">
        <v>6716</v>
      </c>
    </row>
    <row r="19008">
      <c r="A19008" s="3" t="inlineStr">
        <is>
          <t>Opportunity Global Investment (PTY) LTD</t>
        </is>
      </c>
      <c r="B19008" s="4" t="n">
        <v>45351</v>
      </c>
      <c r="C19008" s="3" t="inlineStr">
        <is>
          <t>Expenses</t>
        </is>
      </c>
      <c r="D19008" s="3" t="inlineStr">
        <is>
          <t>4600/000</t>
        </is>
      </c>
      <c r="E19008" s="3" t="inlineStr">
        <is>
          <t>Telephone _AND_ Fax</t>
        </is>
      </c>
      <c r="F19008" s="3" t="n">
        <v>3355</v>
      </c>
      <c r="G19008" s="3" t="n">
        <v>40260</v>
      </c>
    </row>
    <row r="19009">
      <c r="A19009" s="3" t="inlineStr">
        <is>
          <t>Opportunity Management Holdings (PTY) LTD</t>
        </is>
      </c>
      <c r="B19009" s="4" t="n">
        <v>45351</v>
      </c>
      <c r="C19009" s="3" t="inlineStr">
        <is>
          <t>Expenses</t>
        </is>
      </c>
      <c r="D19009" s="3" t="inlineStr">
        <is>
          <t>4600/000</t>
        </is>
      </c>
      <c r="E19009" s="3" t="inlineStr">
        <is>
          <t>Telephone _AND_ Fax</t>
        </is>
      </c>
      <c r="F19009" s="3" t="n">
        <v>173.91</v>
      </c>
      <c r="G19009" s="3" t="n">
        <v>352.17</v>
      </c>
    </row>
    <row r="19010">
      <c r="A19010" s="3" t="inlineStr">
        <is>
          <t>Opportunity Private Capital (PTY) LTD</t>
        </is>
      </c>
      <c r="B19010" s="4" t="n">
        <v>45351</v>
      </c>
      <c r="C19010" s="3" t="inlineStr">
        <is>
          <t>Expenses</t>
        </is>
      </c>
      <c r="D19010" s="3" t="inlineStr">
        <is>
          <t>4600/000</t>
        </is>
      </c>
      <c r="E19010" s="3" t="inlineStr">
        <is>
          <t>Telephone _AND_ Fax</t>
        </is>
      </c>
      <c r="F19010" s="3" t="n">
        <v>3355</v>
      </c>
      <c r="G19010" s="3" t="n">
        <v>40260</v>
      </c>
    </row>
    <row r="19011">
      <c r="A19011" s="3" t="inlineStr">
        <is>
          <t>Trademark Holdings (Pty) Ltd</t>
        </is>
      </c>
      <c r="B19011" s="4" t="n">
        <v>45351</v>
      </c>
      <c r="C19011" s="3" t="inlineStr">
        <is>
          <t>Expenses</t>
        </is>
      </c>
      <c r="D19011" s="3" t="inlineStr">
        <is>
          <t>4600/000</t>
        </is>
      </c>
      <c r="E19011" s="3" t="inlineStr">
        <is>
          <t>Telephone _AND_ Fax</t>
        </is>
      </c>
      <c r="F19011" s="3" t="n">
        <v>1146.82</v>
      </c>
      <c r="G19011" s="3" t="n">
        <v>7893.31</v>
      </c>
    </row>
    <row r="19012">
      <c r="A19012" s="3" t="inlineStr">
        <is>
          <t>Noble Shield (Pty) Ltd ta Go Letting</t>
        </is>
      </c>
      <c r="B19012" s="4" t="n">
        <v>45351</v>
      </c>
      <c r="C19012" s="3" t="inlineStr">
        <is>
          <t>Expenses</t>
        </is>
      </c>
      <c r="D19012" s="3" t="inlineStr">
        <is>
          <t>4610/000</t>
        </is>
      </c>
      <c r="E19012" s="3" t="inlineStr">
        <is>
          <t>Telephone - CT Office</t>
        </is>
      </c>
      <c r="F19012" s="3" t="n">
        <v>1097.08</v>
      </c>
      <c r="G19012" s="3" t="n">
        <v>7777.44</v>
      </c>
    </row>
    <row r="19013">
      <c r="A19013" s="3" t="inlineStr">
        <is>
          <t>Opportunity Global Investment (PTY) LTD</t>
        </is>
      </c>
      <c r="B19013" s="4" t="n">
        <v>45351</v>
      </c>
      <c r="C19013" s="3" t="inlineStr">
        <is>
          <t>Expenses</t>
        </is>
      </c>
      <c r="D19013" s="3" t="inlineStr">
        <is>
          <t>4650/000</t>
        </is>
      </c>
      <c r="E19013" s="3" t="inlineStr">
        <is>
          <t>Travel _AND_ Accommodation</t>
        </is>
      </c>
      <c r="F19013" s="3" t="n">
        <v>0</v>
      </c>
      <c r="G19013" s="3" t="n">
        <v>3435.65</v>
      </c>
    </row>
    <row r="19014">
      <c r="A19014" s="3" t="inlineStr">
        <is>
          <t>Opportunity Private Capital (PTY) LTD</t>
        </is>
      </c>
      <c r="B19014" s="4" t="n">
        <v>45351</v>
      </c>
      <c r="C19014" s="3" t="inlineStr">
        <is>
          <t>Expenses</t>
        </is>
      </c>
      <c r="D19014" s="3" t="inlineStr">
        <is>
          <t>4650/000</t>
        </is>
      </c>
      <c r="E19014" s="3" t="inlineStr">
        <is>
          <t>Travel _AND_ Accommodation</t>
        </is>
      </c>
      <c r="F19014" s="3" t="n">
        <v>0</v>
      </c>
      <c r="G19014" s="3" t="n">
        <v>3435.65</v>
      </c>
    </row>
    <row r="19015">
      <c r="A19015" s="3" t="inlineStr">
        <is>
          <t>Quinate Consulting (Pty) Ltd</t>
        </is>
      </c>
      <c r="B19015" s="4" t="n">
        <v>45351</v>
      </c>
      <c r="C19015" s="3" t="inlineStr">
        <is>
          <t>Expenses</t>
        </is>
      </c>
      <c r="D19015" s="3" t="inlineStr">
        <is>
          <t>4650/010</t>
        </is>
      </c>
      <c r="E19015" s="3" t="inlineStr">
        <is>
          <t>Travel - Local Flights</t>
        </is>
      </c>
      <c r="F19015" s="3" t="n">
        <v>0</v>
      </c>
      <c r="G19015" s="3" t="n">
        <v>6253.04</v>
      </c>
    </row>
    <row r="19016">
      <c r="A19016" s="3" t="inlineStr">
        <is>
          <t>Quinate Consulting (Pty) Ltd</t>
        </is>
      </c>
      <c r="B19016" s="4" t="n">
        <v>45351</v>
      </c>
      <c r="C19016" s="3" t="inlineStr">
        <is>
          <t>Expenses</t>
        </is>
      </c>
      <c r="D19016" s="3" t="inlineStr">
        <is>
          <t>4650/020</t>
        </is>
      </c>
      <c r="E19016" s="3" t="inlineStr">
        <is>
          <t>Travel - Local Accomodation - B_AND_B</t>
        </is>
      </c>
      <c r="F19016" s="3" t="n">
        <v>0</v>
      </c>
      <c r="G19016" s="3" t="n">
        <v>6998.26</v>
      </c>
    </row>
    <row r="19017">
      <c r="A19017" s="3" t="inlineStr">
        <is>
          <t>Opportunity Global Investment (PTY) LTD</t>
        </is>
      </c>
      <c r="B19017" s="4" t="n">
        <v>45351</v>
      </c>
      <c r="C19017" s="3" t="inlineStr">
        <is>
          <t>Expenses</t>
        </is>
      </c>
      <c r="D19017" s="3" t="inlineStr">
        <is>
          <t>4650/020</t>
        </is>
      </c>
      <c r="E19017" s="3" t="inlineStr">
        <is>
          <t>Travel Accomodation - Car Hire</t>
        </is>
      </c>
      <c r="F19017" s="3" t="n">
        <v>0</v>
      </c>
      <c r="G19017" s="3" t="n">
        <v>1581.74</v>
      </c>
    </row>
    <row r="19018">
      <c r="A19018" s="3" t="inlineStr">
        <is>
          <t>Opportunity Private Capital (PTY) LTD</t>
        </is>
      </c>
      <c r="B19018" s="4" t="n">
        <v>45351</v>
      </c>
      <c r="C19018" s="3" t="inlineStr">
        <is>
          <t>Expenses</t>
        </is>
      </c>
      <c r="D19018" s="3" t="inlineStr">
        <is>
          <t>4650/020</t>
        </is>
      </c>
      <c r="E19018" s="3" t="inlineStr">
        <is>
          <t>Travel Accomodation - Car Hire</t>
        </is>
      </c>
      <c r="F19018" s="3" t="n">
        <v>0</v>
      </c>
      <c r="G19018" s="3" t="n">
        <v>1581.74</v>
      </c>
    </row>
    <row r="19019">
      <c r="A19019" s="3" t="inlineStr">
        <is>
          <t>Quinate Consulting (Pty) Ltd</t>
        </is>
      </c>
      <c r="B19019" s="4" t="n">
        <v>45351</v>
      </c>
      <c r="C19019" s="3" t="inlineStr">
        <is>
          <t>Expenses</t>
        </is>
      </c>
      <c r="D19019" s="3" t="inlineStr">
        <is>
          <t>4650/030</t>
        </is>
      </c>
      <c r="E19019" s="3" t="inlineStr">
        <is>
          <t>Travel - Parking</t>
        </is>
      </c>
      <c r="F19019" s="3" t="n">
        <v>0</v>
      </c>
      <c r="G19019" s="3" t="n">
        <v>10</v>
      </c>
    </row>
    <row r="19020">
      <c r="A19020" s="3" t="inlineStr">
        <is>
          <t>Opportunity Global Investment (PTY) LTD</t>
        </is>
      </c>
      <c r="B19020" s="4" t="n">
        <v>45351</v>
      </c>
      <c r="C19020" s="3" t="inlineStr">
        <is>
          <t>Expenses</t>
        </is>
      </c>
      <c r="D19020" s="3" t="inlineStr">
        <is>
          <t>4650/030</t>
        </is>
      </c>
      <c r="E19020" s="3" t="inlineStr">
        <is>
          <t>Travel _AND_ Accomodation - Local Accom</t>
        </is>
      </c>
      <c r="F19020" s="3" t="n">
        <v>0</v>
      </c>
      <c r="G19020" s="3" t="n">
        <v>1282.6</v>
      </c>
    </row>
    <row r="19021">
      <c r="A19021" s="3" t="inlineStr">
        <is>
          <t>Opportunity Private Capital (PTY) LTD</t>
        </is>
      </c>
      <c r="B19021" s="4" t="n">
        <v>45351</v>
      </c>
      <c r="C19021" s="3" t="inlineStr">
        <is>
          <t>Expenses</t>
        </is>
      </c>
      <c r="D19021" s="3" t="inlineStr">
        <is>
          <t>4650/030</t>
        </is>
      </c>
      <c r="E19021" s="3" t="inlineStr">
        <is>
          <t>Travel _AND_ Accomodation - Local Accom</t>
        </is>
      </c>
      <c r="F19021" s="3" t="n">
        <v>0</v>
      </c>
      <c r="G19021" s="3" t="n">
        <v>1282.6</v>
      </c>
    </row>
    <row r="19022">
      <c r="A19022" s="3" t="inlineStr">
        <is>
          <t>Quinate Consulting (Pty) Ltd</t>
        </is>
      </c>
      <c r="B19022" s="4" t="n">
        <v>45351</v>
      </c>
      <c r="C19022" s="3" t="inlineStr">
        <is>
          <t>Expenses</t>
        </is>
      </c>
      <c r="D19022" s="3" t="inlineStr">
        <is>
          <t>4650/040</t>
        </is>
      </c>
      <c r="E19022" s="3" t="inlineStr">
        <is>
          <t>Travel - Local Car Hire</t>
        </is>
      </c>
      <c r="F19022" s="3" t="n">
        <v>0</v>
      </c>
      <c r="G19022" s="3" t="n">
        <v>510.6</v>
      </c>
    </row>
    <row r="19023">
      <c r="A19023" s="3" t="inlineStr">
        <is>
          <t>Opportunity Global Investment (PTY) LTD</t>
        </is>
      </c>
      <c r="B19023" s="4" t="n">
        <v>45351</v>
      </c>
      <c r="C19023" s="3" t="inlineStr">
        <is>
          <t>Expenses</t>
        </is>
      </c>
      <c r="D19023" s="3" t="inlineStr">
        <is>
          <t>4650/060</t>
        </is>
      </c>
      <c r="E19023" s="3" t="inlineStr">
        <is>
          <t>Travel _AND_ Accomodation - Parking_AND_Toll fee</t>
        </is>
      </c>
      <c r="F19023" s="3" t="n">
        <v>143.48</v>
      </c>
      <c r="G19023" s="3" t="n">
        <v>143.48</v>
      </c>
    </row>
    <row r="19024">
      <c r="A19024" s="3" t="inlineStr">
        <is>
          <t>Opportunity Global Property (PTY) LTD</t>
        </is>
      </c>
      <c r="B19024" s="4" t="n">
        <v>45351</v>
      </c>
      <c r="C19024" s="3" t="inlineStr">
        <is>
          <t>Expenses</t>
        </is>
      </c>
      <c r="D19024" s="3" t="inlineStr">
        <is>
          <t>4650/060</t>
        </is>
      </c>
      <c r="E19024" s="3" t="inlineStr">
        <is>
          <t>Travel _AND_ Accomodation - Parking_AND_Toll fee</t>
        </is>
      </c>
      <c r="F19024" s="3" t="n">
        <v>0</v>
      </c>
      <c r="G19024" s="3" t="n">
        <v>104.36</v>
      </c>
    </row>
    <row r="19025">
      <c r="A19025" s="3" t="inlineStr">
        <is>
          <t>Opportunity Global Sales (PTY) LTD</t>
        </is>
      </c>
      <c r="B19025" s="4" t="n">
        <v>45351</v>
      </c>
      <c r="C19025" s="3" t="inlineStr">
        <is>
          <t>Expenses</t>
        </is>
      </c>
      <c r="D19025" s="3" t="inlineStr">
        <is>
          <t>4650/060</t>
        </is>
      </c>
      <c r="E19025" s="3" t="inlineStr">
        <is>
          <t>Travel _AND_ Accomodation - Parking_AND_Toll fee</t>
        </is>
      </c>
      <c r="F19025" s="3" t="n">
        <v>0</v>
      </c>
      <c r="G19025" s="3" t="n">
        <v>104.36</v>
      </c>
    </row>
    <row r="19026">
      <c r="A19026" s="3" t="inlineStr">
        <is>
          <t>Opportunity Private Capital (PTY) LTD</t>
        </is>
      </c>
      <c r="B19026" s="4" t="n">
        <v>45351</v>
      </c>
      <c r="C19026" s="3" t="inlineStr">
        <is>
          <t>Expenses</t>
        </is>
      </c>
      <c r="D19026" s="3" t="inlineStr">
        <is>
          <t>4650/060</t>
        </is>
      </c>
      <c r="E19026" s="3" t="inlineStr">
        <is>
          <t>Travel _AND_ Accomodation - Parking_AND_Toll fee</t>
        </is>
      </c>
      <c r="F19026" s="3" t="n">
        <v>143.48</v>
      </c>
      <c r="G19026" s="3" t="n">
        <v>143.48</v>
      </c>
    </row>
    <row r="19027">
      <c r="A19027" s="3" t="inlineStr">
        <is>
          <t>Opportunity Global Property (PTY) LTD</t>
        </is>
      </c>
      <c r="B19027" s="4" t="n">
        <v>45351</v>
      </c>
      <c r="C19027" s="3" t="inlineStr">
        <is>
          <t>Expenses</t>
        </is>
      </c>
      <c r="D19027" s="3" t="inlineStr">
        <is>
          <t>4650/070</t>
        </is>
      </c>
      <c r="E19027" s="3" t="inlineStr">
        <is>
          <t>Travel &amp; Accommodation - Petrol</t>
        </is>
      </c>
      <c r="F19027" s="3" t="n">
        <v>392.08</v>
      </c>
      <c r="G19027" s="3" t="n">
        <v>1120.23</v>
      </c>
    </row>
    <row r="19028">
      <c r="A19028" s="3" t="inlineStr">
        <is>
          <t>Opportunity Global Sales (PTY) LTD</t>
        </is>
      </c>
      <c r="B19028" s="4" t="n">
        <v>45351</v>
      </c>
      <c r="C19028" s="3" t="inlineStr">
        <is>
          <t>Expenses</t>
        </is>
      </c>
      <c r="D19028" s="3" t="inlineStr">
        <is>
          <t>4650/070</t>
        </is>
      </c>
      <c r="E19028" s="3" t="inlineStr">
        <is>
          <t>Travel &amp; Accommodation - Petrol</t>
        </is>
      </c>
      <c r="F19028" s="3" t="n">
        <v>392.08</v>
      </c>
      <c r="G19028" s="3" t="n">
        <v>1120.23</v>
      </c>
    </row>
    <row r="19029">
      <c r="A19029" s="3" t="inlineStr">
        <is>
          <t>Opportunity Global Investment (PTY) LTD</t>
        </is>
      </c>
      <c r="B19029" s="4" t="n">
        <v>45351</v>
      </c>
      <c r="C19029" s="3" t="inlineStr">
        <is>
          <t>Expenses</t>
        </is>
      </c>
      <c r="D19029" s="3" t="inlineStr">
        <is>
          <t>4650/090</t>
        </is>
      </c>
      <c r="E19029" s="3" t="inlineStr">
        <is>
          <t>Travel &amp; Accom - Fuel</t>
        </is>
      </c>
      <c r="F19029" s="3" t="n">
        <v>0</v>
      </c>
      <c r="G19029" s="3" t="n">
        <v>7651.54</v>
      </c>
    </row>
    <row r="19030">
      <c r="A19030" s="3" t="inlineStr">
        <is>
          <t>Opportunity Private Capital (PTY) LTD</t>
        </is>
      </c>
      <c r="B19030" s="4" t="n">
        <v>45351</v>
      </c>
      <c r="C19030" s="3" t="inlineStr">
        <is>
          <t>Expenses</t>
        </is>
      </c>
      <c r="D19030" s="3" t="inlineStr">
        <is>
          <t>4650/090</t>
        </is>
      </c>
      <c r="E19030" s="3" t="inlineStr">
        <is>
          <t>Travel &amp; Accom - Fuel</t>
        </is>
      </c>
      <c r="F19030" s="3" t="n">
        <v>0</v>
      </c>
      <c r="G19030" s="3" t="n">
        <v>7651.54</v>
      </c>
    </row>
    <row r="19031">
      <c r="A19031" s="3" t="inlineStr">
        <is>
          <t>Opportunity Global Investment (PTY) LTD</t>
        </is>
      </c>
      <c r="B19031" s="4" t="n">
        <v>45351</v>
      </c>
      <c r="C19031" s="3" t="inlineStr">
        <is>
          <t>Expenses</t>
        </is>
      </c>
      <c r="D19031" s="3" t="inlineStr">
        <is>
          <t>4650/100</t>
        </is>
      </c>
      <c r="E19031" s="3" t="inlineStr">
        <is>
          <t>Travel &amp; Accomodation: Uber</t>
        </is>
      </c>
      <c r="F19031" s="3" t="n">
        <v>0</v>
      </c>
      <c r="G19031" s="3" t="n">
        <v>1609</v>
      </c>
    </row>
    <row r="19032">
      <c r="A19032" s="3" t="inlineStr">
        <is>
          <t>Opportunity Private Capital (PTY) LTD</t>
        </is>
      </c>
      <c r="B19032" s="4" t="n">
        <v>45351</v>
      </c>
      <c r="C19032" s="3" t="inlineStr">
        <is>
          <t>Expenses</t>
        </is>
      </c>
      <c r="D19032" s="3" t="inlineStr">
        <is>
          <t>4650/100</t>
        </is>
      </c>
      <c r="E19032" s="3" t="inlineStr">
        <is>
          <t>Travel &amp; Accomodation: Uber</t>
        </is>
      </c>
      <c r="F19032" s="3" t="n">
        <v>0</v>
      </c>
      <c r="G19032" s="3" t="n">
        <v>1609</v>
      </c>
    </row>
    <row r="19033">
      <c r="A19033" s="3" t="inlineStr">
        <is>
          <t>Noble Shield (Pty) Ltd ta Go Letting</t>
        </is>
      </c>
      <c r="B19033" s="4" t="n">
        <v>45351</v>
      </c>
      <c r="C19033" s="3" t="inlineStr">
        <is>
          <t>Expenses</t>
        </is>
      </c>
      <c r="D19033" s="3" t="inlineStr">
        <is>
          <t>4700/000</t>
        </is>
      </c>
      <c r="E19033" s="3" t="inlineStr">
        <is>
          <t>PAYE Contributions</t>
        </is>
      </c>
      <c r="F19033" s="3" t="n">
        <v>5510.31</v>
      </c>
      <c r="G19033" s="3" t="n">
        <v>31197.69</v>
      </c>
    </row>
    <row r="19034">
      <c r="A19034" s="3" t="inlineStr">
        <is>
          <t>Trademark Holdings (Pty) Ltd</t>
        </is>
      </c>
      <c r="B19034" s="4" t="n">
        <v>45351</v>
      </c>
      <c r="C19034" s="3" t="inlineStr">
        <is>
          <t>Expenses</t>
        </is>
      </c>
      <c r="D19034" s="3" t="inlineStr">
        <is>
          <t>4700/000</t>
        </is>
      </c>
      <c r="E19034" s="3" t="inlineStr">
        <is>
          <t>PAYE Contributions</t>
        </is>
      </c>
      <c r="F19034" s="3" t="n">
        <v>10570.51</v>
      </c>
      <c r="G19034" s="3" t="n">
        <v>35962.74</v>
      </c>
    </row>
    <row r="19035">
      <c r="A19035" s="3" t="inlineStr">
        <is>
          <t>Opportunity Global Investment (PTY) LTD</t>
        </is>
      </c>
      <c r="B19035" s="4" t="n">
        <v>45351</v>
      </c>
      <c r="C19035" s="3" t="inlineStr">
        <is>
          <t>Expenses</t>
        </is>
      </c>
      <c r="D19035" s="3" t="inlineStr">
        <is>
          <t>4700/000</t>
        </is>
      </c>
      <c r="E19035" s="3" t="inlineStr">
        <is>
          <t>UIF Contributions</t>
        </is>
      </c>
      <c r="F19035" s="3" t="n">
        <v>177.12</v>
      </c>
      <c r="G19035" s="3" t="n">
        <v>2125.44</v>
      </c>
    </row>
    <row r="19036">
      <c r="A19036" s="3" t="inlineStr">
        <is>
          <t>Opportunity Global Property (PTY) LTD</t>
        </is>
      </c>
      <c r="B19036" s="4" t="n">
        <v>45351</v>
      </c>
      <c r="C19036" s="3" t="inlineStr">
        <is>
          <t>Expenses</t>
        </is>
      </c>
      <c r="D19036" s="3" t="inlineStr">
        <is>
          <t>4700/000</t>
        </is>
      </c>
      <c r="E19036" s="3" t="inlineStr">
        <is>
          <t>UIF Contributions</t>
        </is>
      </c>
      <c r="F19036" s="3" t="n">
        <v>317.12</v>
      </c>
      <c r="G19036" s="3" t="n">
        <v>3401.2</v>
      </c>
    </row>
    <row r="19037">
      <c r="A19037" s="3" t="inlineStr">
        <is>
          <t>Opportunity Global Sales (PTY) LTD</t>
        </is>
      </c>
      <c r="B19037" s="4" t="n">
        <v>45351</v>
      </c>
      <c r="C19037" s="3" t="inlineStr">
        <is>
          <t>Expenses</t>
        </is>
      </c>
      <c r="D19037" s="3" t="inlineStr">
        <is>
          <t>4700/000</t>
        </is>
      </c>
      <c r="E19037" s="3" t="inlineStr">
        <is>
          <t>UIF Contributions</t>
        </is>
      </c>
      <c r="F19037" s="3" t="n">
        <v>317.12</v>
      </c>
      <c r="G19037" s="3" t="n">
        <v>3401.2</v>
      </c>
    </row>
    <row r="19038">
      <c r="A19038" s="3" t="inlineStr">
        <is>
          <t>Opportunity Private Capital (PTY) LTD</t>
        </is>
      </c>
      <c r="B19038" s="4" t="n">
        <v>45351</v>
      </c>
      <c r="C19038" s="3" t="inlineStr">
        <is>
          <t>Expenses</t>
        </is>
      </c>
      <c r="D19038" s="3" t="inlineStr">
        <is>
          <t>4700/000</t>
        </is>
      </c>
      <c r="E19038" s="3" t="inlineStr">
        <is>
          <t>UIF Contributions</t>
        </is>
      </c>
      <c r="F19038" s="3" t="n">
        <v>177.12</v>
      </c>
      <c r="G19038" s="3" t="n">
        <v>2125.44</v>
      </c>
    </row>
    <row r="19039">
      <c r="A19039" s="3" t="inlineStr">
        <is>
          <t>Opportunity Global Property (PTY) LTD</t>
        </is>
      </c>
      <c r="B19039" s="4" t="n">
        <v>45351</v>
      </c>
      <c r="C19039" s="3" t="inlineStr">
        <is>
          <t>Expenses</t>
        </is>
      </c>
      <c r="D19039" s="3" t="inlineStr">
        <is>
          <t>4701/000</t>
        </is>
      </c>
      <c r="E19039" s="3" t="inlineStr">
        <is>
          <t>UIF Employee Contribution</t>
        </is>
      </c>
      <c r="F19039" s="3" t="n">
        <v>317.12</v>
      </c>
      <c r="G19039" s="3" t="n">
        <v>3401.2</v>
      </c>
    </row>
    <row r="19040">
      <c r="A19040" s="3" t="inlineStr">
        <is>
          <t>Opportunity Global Sales (PTY) LTD</t>
        </is>
      </c>
      <c r="B19040" s="4" t="n">
        <v>45351</v>
      </c>
      <c r="C19040" s="3" t="inlineStr">
        <is>
          <t>Expenses</t>
        </is>
      </c>
      <c r="D19040" s="3" t="inlineStr">
        <is>
          <t>4701/000</t>
        </is>
      </c>
      <c r="E19040" s="3" t="inlineStr">
        <is>
          <t>UIF Employee Contribution</t>
        </is>
      </c>
      <c r="F19040" s="3" t="n">
        <v>317.12</v>
      </c>
      <c r="G19040" s="3" t="n">
        <v>3401.2</v>
      </c>
    </row>
    <row r="19041">
      <c r="A19041" s="3" t="inlineStr">
        <is>
          <t>Opportunity Global Investment (PTY) LTD</t>
        </is>
      </c>
      <c r="B19041" s="4" t="n">
        <v>45351</v>
      </c>
      <c r="C19041" s="3" t="inlineStr">
        <is>
          <t>Expenses</t>
        </is>
      </c>
      <c r="D19041" s="3" t="inlineStr">
        <is>
          <t>4701/000</t>
        </is>
      </c>
      <c r="E19041" s="3" t="inlineStr">
        <is>
          <t>UIF Employee Contributions</t>
        </is>
      </c>
      <c r="F19041" s="3" t="n">
        <v>177.12</v>
      </c>
      <c r="G19041" s="3" t="n">
        <v>2125.44</v>
      </c>
    </row>
    <row r="19042">
      <c r="A19042" s="3" t="inlineStr">
        <is>
          <t>Opportunity Private Capital (PTY) LTD</t>
        </is>
      </c>
      <c r="B19042" s="4" t="n">
        <v>45351</v>
      </c>
      <c r="C19042" s="3" t="inlineStr">
        <is>
          <t>Expenses</t>
        </is>
      </c>
      <c r="D19042" s="3" t="inlineStr">
        <is>
          <t>4701/000</t>
        </is>
      </c>
      <c r="E19042" s="3" t="inlineStr">
        <is>
          <t>UIF Employee Contributions</t>
        </is>
      </c>
      <c r="F19042" s="3" t="n">
        <v>177.12</v>
      </c>
      <c r="G19042" s="3" t="n">
        <v>2125.44</v>
      </c>
    </row>
    <row r="19043">
      <c r="A19043" s="3" t="inlineStr">
        <is>
          <t>Noble Shield (Pty) Ltd ta Go Letting</t>
        </is>
      </c>
      <c r="B19043" s="4" t="n">
        <v>45351</v>
      </c>
      <c r="C19043" s="3" t="inlineStr">
        <is>
          <t>Expenses</t>
        </is>
      </c>
      <c r="D19043" s="3" t="inlineStr">
        <is>
          <t>4710/000</t>
        </is>
      </c>
      <c r="E19043" s="3" t="inlineStr">
        <is>
          <t>UIF Company Contributions</t>
        </is>
      </c>
      <c r="F19043" s="3" t="n">
        <v>276.75</v>
      </c>
      <c r="G19043" s="3" t="n">
        <v>1503</v>
      </c>
    </row>
    <row r="19044">
      <c r="A19044" s="3" t="inlineStr">
        <is>
          <t>Trademark Holdings (Pty) Ltd</t>
        </is>
      </c>
      <c r="B19044" s="4" t="n">
        <v>45351</v>
      </c>
      <c r="C19044" s="3" t="inlineStr">
        <is>
          <t>Expenses</t>
        </is>
      </c>
      <c r="D19044" s="3" t="inlineStr">
        <is>
          <t>4710/000</t>
        </is>
      </c>
      <c r="E19044" s="3" t="inlineStr">
        <is>
          <t>UIF Company Contributions</t>
        </is>
      </c>
      <c r="F19044" s="3" t="n">
        <v>95.25</v>
      </c>
      <c r="G19044" s="3" t="n">
        <v>571.5</v>
      </c>
    </row>
    <row r="19045">
      <c r="A19045" s="3" t="inlineStr">
        <is>
          <t>Noble Shield (Pty) Ltd ta Go Letting</t>
        </is>
      </c>
      <c r="B19045" s="4" t="n">
        <v>45351</v>
      </c>
      <c r="C19045" s="3" t="inlineStr">
        <is>
          <t>Expenses</t>
        </is>
      </c>
      <c r="D19045" s="3" t="inlineStr">
        <is>
          <t>4711/000</t>
        </is>
      </c>
      <c r="E19045" s="3" t="inlineStr">
        <is>
          <t>UIF Employee Contribution</t>
        </is>
      </c>
      <c r="F19045" s="3" t="n">
        <v>276.75</v>
      </c>
      <c r="G19045" s="3" t="n">
        <v>1503</v>
      </c>
    </row>
    <row r="19046">
      <c r="A19046" s="3" t="inlineStr">
        <is>
          <t>Trademark Holdings (Pty) Ltd</t>
        </is>
      </c>
      <c r="B19046" s="4" t="n">
        <v>45351</v>
      </c>
      <c r="C19046" s="3" t="inlineStr">
        <is>
          <t>Expenses</t>
        </is>
      </c>
      <c r="D19046" s="3" t="inlineStr">
        <is>
          <t>4711/000</t>
        </is>
      </c>
      <c r="E19046" s="3" t="inlineStr">
        <is>
          <t>UIF Employee Contributions</t>
        </is>
      </c>
      <c r="F19046" s="3" t="n">
        <v>95.25</v>
      </c>
      <c r="G19046" s="3" t="n">
        <v>571.5</v>
      </c>
    </row>
    <row r="19047">
      <c r="A19047" s="3" t="inlineStr">
        <is>
          <t>Noble Shield (Pty) Ltd ta Go Letting</t>
        </is>
      </c>
      <c r="B19047" s="4" t="n">
        <v>45351</v>
      </c>
      <c r="C19047" s="3" t="inlineStr">
        <is>
          <t>Expenses</t>
        </is>
      </c>
      <c r="D19047" s="3" t="inlineStr">
        <is>
          <t>4720/000</t>
        </is>
      </c>
      <c r="E19047" s="3" t="inlineStr">
        <is>
          <t>SDL Contributions</t>
        </is>
      </c>
      <c r="F19047" s="3" t="n">
        <v>480.94</v>
      </c>
      <c r="G19047" s="3" t="n">
        <v>2729.15</v>
      </c>
    </row>
    <row r="19048">
      <c r="A19048" s="3" t="inlineStr">
        <is>
          <t>Trademark Holdings (Pty) Ltd</t>
        </is>
      </c>
      <c r="B19048" s="4" t="n">
        <v>45351</v>
      </c>
      <c r="C19048" s="3" t="inlineStr">
        <is>
          <t>Expenses</t>
        </is>
      </c>
      <c r="D19048" s="3" t="inlineStr">
        <is>
          <t>4720/000</t>
        </is>
      </c>
      <c r="E19048" s="3" t="inlineStr">
        <is>
          <t>SDL Contributions</t>
        </is>
      </c>
      <c r="F19048" s="3" t="n">
        <v>321.71</v>
      </c>
      <c r="G19048" s="3" t="n">
        <v>1878.51</v>
      </c>
    </row>
    <row r="19049">
      <c r="A19049" s="3" t="inlineStr">
        <is>
          <t>Opportunity Global Investment (PTY) LTD</t>
        </is>
      </c>
      <c r="B19049" s="4" t="n">
        <v>45351</v>
      </c>
      <c r="C19049" s="3" t="inlineStr">
        <is>
          <t>Expenses</t>
        </is>
      </c>
      <c r="D19049" s="3" t="inlineStr">
        <is>
          <t>4730/000</t>
        </is>
      </c>
      <c r="E19049" s="3" t="inlineStr">
        <is>
          <t>PAYE Contributions</t>
        </is>
      </c>
      <c r="F19049" s="3" t="n">
        <v>8822.27</v>
      </c>
      <c r="G19049" s="3" t="n">
        <v>105867.21</v>
      </c>
    </row>
    <row r="19050">
      <c r="A19050" s="3" t="inlineStr">
        <is>
          <t>Opportunity Global Property (PTY) LTD</t>
        </is>
      </c>
      <c r="B19050" s="4" t="n">
        <v>45351</v>
      </c>
      <c r="C19050" s="3" t="inlineStr">
        <is>
          <t>Expenses</t>
        </is>
      </c>
      <c r="D19050" s="3" t="inlineStr">
        <is>
          <t>4730/000</t>
        </is>
      </c>
      <c r="E19050" s="3" t="inlineStr">
        <is>
          <t>PAYE Contributions</t>
        </is>
      </c>
      <c r="F19050" s="3" t="n">
        <v>6389.98</v>
      </c>
      <c r="G19050" s="3" t="n">
        <v>99880.53999999999</v>
      </c>
    </row>
    <row r="19051">
      <c r="A19051" s="3" t="inlineStr">
        <is>
          <t>Opportunity Global Sales (PTY) LTD</t>
        </is>
      </c>
      <c r="B19051" s="4" t="n">
        <v>45351</v>
      </c>
      <c r="C19051" s="3" t="inlineStr">
        <is>
          <t>Expenses</t>
        </is>
      </c>
      <c r="D19051" s="3" t="inlineStr">
        <is>
          <t>4730/000</t>
        </is>
      </c>
      <c r="E19051" s="3" t="inlineStr">
        <is>
          <t>PAYE Contributions</t>
        </is>
      </c>
      <c r="F19051" s="3" t="n">
        <v>6389.98</v>
      </c>
      <c r="G19051" s="3" t="n">
        <v>99880.53999999999</v>
      </c>
    </row>
    <row r="19052">
      <c r="A19052" s="3" t="inlineStr">
        <is>
          <t>Opportunity Management Holdings (PTY) LTD</t>
        </is>
      </c>
      <c r="B19052" s="4" t="n">
        <v>45351</v>
      </c>
      <c r="C19052" s="3" t="inlineStr">
        <is>
          <t>Expenses</t>
        </is>
      </c>
      <c r="D19052" s="3" t="inlineStr">
        <is>
          <t>4730/000</t>
        </is>
      </c>
      <c r="E19052" s="3" t="inlineStr">
        <is>
          <t>PAYE Contributions</t>
        </is>
      </c>
      <c r="F19052" s="3" t="n">
        <v>38987.59</v>
      </c>
      <c r="G19052" s="3" t="n">
        <v>240404.91</v>
      </c>
    </row>
    <row r="19053">
      <c r="A19053" s="3" t="inlineStr">
        <is>
          <t>Opportunity Private Capital (PTY) LTD</t>
        </is>
      </c>
      <c r="B19053" s="4" t="n">
        <v>45351</v>
      </c>
      <c r="C19053" s="3" t="inlineStr">
        <is>
          <t>Expenses</t>
        </is>
      </c>
      <c r="D19053" s="3" t="inlineStr">
        <is>
          <t>4730/000</t>
        </is>
      </c>
      <c r="E19053" s="3" t="inlineStr">
        <is>
          <t>PAYE Contributions</t>
        </is>
      </c>
      <c r="F19053" s="3" t="n">
        <v>8822.27</v>
      </c>
      <c r="G19053" s="3" t="n">
        <v>105867.21</v>
      </c>
    </row>
    <row r="19054">
      <c r="A19054" s="3" t="inlineStr">
        <is>
          <t>Opportunity Global Investment (PTY) LTD</t>
        </is>
      </c>
      <c r="B19054" s="4" t="n">
        <v>45351</v>
      </c>
      <c r="C19054" s="3" t="inlineStr">
        <is>
          <t>Expenses</t>
        </is>
      </c>
      <c r="D19054" s="3" t="inlineStr">
        <is>
          <t>4740/000</t>
        </is>
      </c>
      <c r="E19054" s="3" t="inlineStr">
        <is>
          <t>SDL Contributions</t>
        </is>
      </c>
      <c r="F19054" s="3" t="n">
        <v>431.1</v>
      </c>
      <c r="G19054" s="3" t="n">
        <v>5173.2</v>
      </c>
    </row>
    <row r="19055">
      <c r="A19055" s="3" t="inlineStr">
        <is>
          <t>Opportunity Global Property (PTY) LTD</t>
        </is>
      </c>
      <c r="B19055" s="4" t="n">
        <v>45351</v>
      </c>
      <c r="C19055" s="3" t="inlineStr">
        <is>
          <t>Expenses</t>
        </is>
      </c>
      <c r="D19055" s="3" t="inlineStr">
        <is>
          <t>4740/000</t>
        </is>
      </c>
      <c r="E19055" s="3" t="inlineStr">
        <is>
          <t>SDL Contributions</t>
        </is>
      </c>
      <c r="F19055" s="3" t="n">
        <v>1450.33</v>
      </c>
      <c r="G19055" s="3" t="n">
        <v>22485.73</v>
      </c>
    </row>
    <row r="19056">
      <c r="A19056" s="3" t="inlineStr">
        <is>
          <t>Opportunity Global Sales (PTY) LTD</t>
        </is>
      </c>
      <c r="B19056" s="4" t="n">
        <v>45351</v>
      </c>
      <c r="C19056" s="3" t="inlineStr">
        <is>
          <t>Expenses</t>
        </is>
      </c>
      <c r="D19056" s="3" t="inlineStr">
        <is>
          <t>4740/000</t>
        </is>
      </c>
      <c r="E19056" s="3" t="inlineStr">
        <is>
          <t>SDL Contributions</t>
        </is>
      </c>
      <c r="F19056" s="3" t="n">
        <v>1450.33</v>
      </c>
      <c r="G19056" s="3" t="n">
        <v>22485.73</v>
      </c>
    </row>
    <row r="19057">
      <c r="A19057" s="3" t="inlineStr">
        <is>
          <t>Opportunity Private Capital (PTY) LTD</t>
        </is>
      </c>
      <c r="B19057" s="4" t="n">
        <v>45351</v>
      </c>
      <c r="C19057" s="3" t="inlineStr">
        <is>
          <t>Expenses</t>
        </is>
      </c>
      <c r="D19057" s="3" t="inlineStr">
        <is>
          <t>4740/000</t>
        </is>
      </c>
      <c r="E19057" s="3" t="inlineStr">
        <is>
          <t>SDL Contributions</t>
        </is>
      </c>
      <c r="F19057" s="3" t="n">
        <v>431.1</v>
      </c>
      <c r="G19057" s="3" t="n">
        <v>5173.2</v>
      </c>
    </row>
    <row r="19058">
      <c r="A19058" s="3" t="inlineStr">
        <is>
          <t>Opportunity Management Holdings (PTY) LTD</t>
        </is>
      </c>
      <c r="B19058" s="4" t="n">
        <v>45351</v>
      </c>
      <c r="C19058" s="3" t="inlineStr">
        <is>
          <t>Expenses</t>
        </is>
      </c>
      <c r="D19058" s="3" t="inlineStr">
        <is>
          <t>4740/000</t>
        </is>
      </c>
      <c r="E19058" s="3" t="inlineStr">
        <is>
          <t>UIF Company Contribution</t>
        </is>
      </c>
      <c r="F19058" s="3" t="n">
        <v>1604.8</v>
      </c>
      <c r="G19058" s="3" t="n">
        <v>9563.4</v>
      </c>
    </row>
    <row r="19059">
      <c r="A19059" s="3" t="inlineStr">
        <is>
          <t>Opportunity Management Holdings (PTY) LTD</t>
        </is>
      </c>
      <c r="B19059" s="4" t="n">
        <v>45351</v>
      </c>
      <c r="C19059" s="3" t="inlineStr">
        <is>
          <t>Expenses</t>
        </is>
      </c>
      <c r="D19059" s="3" t="inlineStr">
        <is>
          <t>4741/000</t>
        </is>
      </c>
      <c r="E19059" s="3" t="inlineStr">
        <is>
          <t>UIF Employee Contribution</t>
        </is>
      </c>
      <c r="F19059" s="3" t="n">
        <v>1604.8</v>
      </c>
      <c r="G19059" s="3" t="n">
        <v>9563.4</v>
      </c>
    </row>
    <row r="19060">
      <c r="A19060" s="3" t="inlineStr">
        <is>
          <t>Opportunity Management Holdings (PTY) LTD</t>
        </is>
      </c>
      <c r="B19060" s="4" t="n">
        <v>45351</v>
      </c>
      <c r="C19060" s="3" t="inlineStr">
        <is>
          <t>Expenses</t>
        </is>
      </c>
      <c r="D19060" s="3" t="inlineStr">
        <is>
          <t>4750/000</t>
        </is>
      </c>
      <c r="E19060" s="3" t="inlineStr">
        <is>
          <t>SDL Contribution</t>
        </is>
      </c>
      <c r="F19060" s="3" t="n">
        <v>2411.2</v>
      </c>
      <c r="G19060" s="3" t="n">
        <v>14401.8</v>
      </c>
    </row>
    <row r="19061">
      <c r="A19061" s="3" t="inlineStr">
        <is>
          <t>Opportunity Global Property (PTY) LTD</t>
        </is>
      </c>
      <c r="B19061" s="4" t="n">
        <v>45351</v>
      </c>
      <c r="C19061" s="3" t="inlineStr">
        <is>
          <t>Assets</t>
        </is>
      </c>
      <c r="D19061" s="3" t="inlineStr">
        <is>
          <t>5000/001</t>
        </is>
      </c>
      <c r="E19061" s="3" t="inlineStr">
        <is>
          <t>Loan - Cape Projects</t>
        </is>
      </c>
      <c r="F19061" s="3" t="n">
        <v>235000</v>
      </c>
      <c r="G19061" s="3" t="n">
        <v>235000</v>
      </c>
    </row>
    <row r="19062">
      <c r="A19062" s="3" t="inlineStr">
        <is>
          <t>Opportunity Global Sales (PTY) LTD</t>
        </is>
      </c>
      <c r="B19062" s="4" t="n">
        <v>45351</v>
      </c>
      <c r="C19062" s="3" t="inlineStr">
        <is>
          <t>Assets</t>
        </is>
      </c>
      <c r="D19062" s="3" t="inlineStr">
        <is>
          <t>5000/001</t>
        </is>
      </c>
      <c r="E19062" s="3" t="inlineStr">
        <is>
          <t>Loan - Cape Projects</t>
        </is>
      </c>
      <c r="F19062" s="3" t="n">
        <v>235000</v>
      </c>
      <c r="G19062" s="3" t="n">
        <v>235000</v>
      </c>
    </row>
    <row r="19063">
      <c r="A19063" s="3" t="inlineStr">
        <is>
          <t>Opportunity Global Property (PTY) LTD</t>
        </is>
      </c>
      <c r="B19063" s="4" t="n">
        <v>45351</v>
      </c>
      <c r="C19063" s="3" t="inlineStr">
        <is>
          <t>Liabilities</t>
        </is>
      </c>
      <c r="D19063" s="3" t="inlineStr">
        <is>
          <t>5000/006</t>
        </is>
      </c>
      <c r="E19063" s="3" t="inlineStr">
        <is>
          <t>Loan - Purple Blok</t>
        </is>
      </c>
      <c r="F19063" s="3" t="n">
        <v>44000</v>
      </c>
      <c r="G19063" s="3" t="n">
        <v>44000</v>
      </c>
    </row>
    <row r="19064">
      <c r="A19064" s="3" t="inlineStr">
        <is>
          <t>Opportunity Global Sales (PTY) LTD</t>
        </is>
      </c>
      <c r="B19064" s="4" t="n">
        <v>45351</v>
      </c>
      <c r="C19064" s="3" t="inlineStr">
        <is>
          <t>Liabilities</t>
        </is>
      </c>
      <c r="D19064" s="3" t="inlineStr">
        <is>
          <t>5000/006</t>
        </is>
      </c>
      <c r="E19064" s="3" t="inlineStr">
        <is>
          <t>Loan - Purple Blok</t>
        </is>
      </c>
      <c r="F19064" s="3" t="n">
        <v>44000</v>
      </c>
      <c r="G19064" s="3" t="n">
        <v>44000</v>
      </c>
    </row>
    <row r="19065">
      <c r="A19065" s="3" t="inlineStr">
        <is>
          <t>Noble Shield (Pty) Ltd ta Go Letting</t>
        </is>
      </c>
      <c r="B19065" s="4" t="n">
        <v>45351</v>
      </c>
      <c r="C19065" s="3" t="inlineStr">
        <is>
          <t>Equity</t>
        </is>
      </c>
      <c r="D19065" s="3" t="inlineStr">
        <is>
          <t>5100/000</t>
        </is>
      </c>
      <c r="E19065" s="3" t="inlineStr">
        <is>
          <t>Share Capital</t>
        </is>
      </c>
      <c r="F19065" s="3" t="n">
        <v>0</v>
      </c>
      <c r="G19065" s="3" t="n">
        <v>-1</v>
      </c>
    </row>
    <row r="19066">
      <c r="A19066" s="3" t="inlineStr">
        <is>
          <t>Opportunity Management Holdings (PTY) LTD</t>
        </is>
      </c>
      <c r="B19066" s="4" t="n">
        <v>45351</v>
      </c>
      <c r="C19066" s="3" t="inlineStr">
        <is>
          <t>Equity</t>
        </is>
      </c>
      <c r="D19066" s="3" t="inlineStr">
        <is>
          <t>5100/000</t>
        </is>
      </c>
      <c r="E19066" s="3" t="inlineStr">
        <is>
          <t>Share Capital / Members Contribution</t>
        </is>
      </c>
      <c r="F19066" s="3" t="n">
        <v>0</v>
      </c>
      <c r="G19066" s="3" t="n">
        <v>-120</v>
      </c>
    </row>
    <row r="19067">
      <c r="A19067" s="3" t="inlineStr">
        <is>
          <t>Quinate Consulting (Pty) Ltd</t>
        </is>
      </c>
      <c r="B19067" s="4" t="n">
        <v>45351</v>
      </c>
      <c r="C19067" s="3" t="inlineStr">
        <is>
          <t>Equity</t>
        </is>
      </c>
      <c r="D19067" s="3" t="inlineStr">
        <is>
          <t>5100/000</t>
        </is>
      </c>
      <c r="E19067" s="3" t="inlineStr">
        <is>
          <t>Share Capital / Members Contribution</t>
        </is>
      </c>
      <c r="F19067" s="3" t="n">
        <v>0</v>
      </c>
      <c r="G19067" s="3" t="n">
        <v>-120</v>
      </c>
    </row>
    <row r="19068">
      <c r="A19068" s="3" t="inlineStr">
        <is>
          <t>Trademark Holdings (Pty) Ltd</t>
        </is>
      </c>
      <c r="B19068" s="4" t="n">
        <v>45351</v>
      </c>
      <c r="C19068" s="3" t="inlineStr">
        <is>
          <t>Equity</t>
        </is>
      </c>
      <c r="D19068" s="3" t="inlineStr">
        <is>
          <t>5100/001</t>
        </is>
      </c>
      <c r="E19068" s="3" t="inlineStr">
        <is>
          <t>Share Capital - GFY Investments</t>
        </is>
      </c>
      <c r="F19068" s="3" t="n">
        <v>0</v>
      </c>
      <c r="G19068" s="3" t="n">
        <v>-60</v>
      </c>
    </row>
    <row r="19069">
      <c r="A19069" s="3" t="inlineStr">
        <is>
          <t>Trademark Holdings (Pty) Ltd</t>
        </is>
      </c>
      <c r="B19069" s="4" t="n">
        <v>45351</v>
      </c>
      <c r="C19069" s="3" t="inlineStr">
        <is>
          <t>Equity</t>
        </is>
      </c>
      <c r="D19069" s="3" t="inlineStr">
        <is>
          <t>5100/002</t>
        </is>
      </c>
      <c r="E19069" s="3" t="inlineStr">
        <is>
          <t>Share Capital - Zak Trust</t>
        </is>
      </c>
      <c r="F19069" s="3" t="n">
        <v>0</v>
      </c>
      <c r="G19069" s="3" t="n">
        <v>-60</v>
      </c>
    </row>
    <row r="19070">
      <c r="A19070" s="3" t="inlineStr">
        <is>
          <t>Opportunity Global Investment (PTY) LTD</t>
        </is>
      </c>
      <c r="B19070" s="4" t="n">
        <v>45351</v>
      </c>
      <c r="C19070" s="3" t="inlineStr">
        <is>
          <t>Equity</t>
        </is>
      </c>
      <c r="D19070" s="3" t="inlineStr">
        <is>
          <t>5101/000</t>
        </is>
      </c>
      <c r="E19070" s="3" t="inlineStr">
        <is>
          <t>Share Capital - Ordinary Type A</t>
        </is>
      </c>
      <c r="F19070" s="3" t="n">
        <v>0</v>
      </c>
      <c r="G19070" s="3" t="n">
        <v>-70</v>
      </c>
    </row>
    <row r="19071">
      <c r="A19071" s="3" t="inlineStr">
        <is>
          <t>Opportunity Private Capital (PTY) LTD</t>
        </is>
      </c>
      <c r="B19071" s="4" t="n">
        <v>45351</v>
      </c>
      <c r="C19071" s="3" t="inlineStr">
        <is>
          <t>Equity</t>
        </is>
      </c>
      <c r="D19071" s="3" t="inlineStr">
        <is>
          <t>5101/000</t>
        </is>
      </c>
      <c r="E19071" s="3" t="inlineStr">
        <is>
          <t>Share Capital - Ordinary Type A</t>
        </is>
      </c>
      <c r="F19071" s="3" t="n">
        <v>0</v>
      </c>
      <c r="G19071" s="3" t="n">
        <v>-70</v>
      </c>
    </row>
    <row r="19072">
      <c r="A19072" s="3" t="inlineStr">
        <is>
          <t>Opportunity Global Investment (PTY) LTD</t>
        </is>
      </c>
      <c r="B19072" s="4" t="n">
        <v>45351</v>
      </c>
      <c r="C19072" s="3" t="inlineStr">
        <is>
          <t>Equity</t>
        </is>
      </c>
      <c r="D19072" s="3" t="inlineStr">
        <is>
          <t>5102/000</t>
        </is>
      </c>
      <c r="E19072" s="3" t="inlineStr">
        <is>
          <t>Share Capital - Ordinary Type B</t>
        </is>
      </c>
      <c r="F19072" s="3" t="n">
        <v>0</v>
      </c>
      <c r="G19072" s="3" t="n">
        <v>-30</v>
      </c>
    </row>
    <row r="19073">
      <c r="A19073" s="3" t="inlineStr">
        <is>
          <t>Opportunity Private Capital (PTY) LTD</t>
        </is>
      </c>
      <c r="B19073" s="4" t="n">
        <v>45351</v>
      </c>
      <c r="C19073" s="3" t="inlineStr">
        <is>
          <t>Equity</t>
        </is>
      </c>
      <c r="D19073" s="3" t="inlineStr">
        <is>
          <t>5102/000</t>
        </is>
      </c>
      <c r="E19073" s="3" t="inlineStr">
        <is>
          <t>Share Capital - Ordinary Type B</t>
        </is>
      </c>
      <c r="F19073" s="3" t="n">
        <v>0</v>
      </c>
      <c r="G19073" s="3" t="n">
        <v>-30</v>
      </c>
    </row>
    <row r="19074">
      <c r="A19074" s="3" t="inlineStr">
        <is>
          <t>Endulini (Pty) Ltd</t>
        </is>
      </c>
      <c r="B19074" s="4" t="n">
        <v>45351</v>
      </c>
      <c r="C19074" s="3" t="inlineStr">
        <is>
          <t>Equity</t>
        </is>
      </c>
      <c r="D19074" s="3" t="inlineStr">
        <is>
          <t>5200/000</t>
        </is>
      </c>
      <c r="E19074" s="3" t="inlineStr">
        <is>
          <t>Retained Earnings / Loss</t>
        </is>
      </c>
      <c r="F19074" s="3" t="n">
        <v>0</v>
      </c>
      <c r="G19074" s="3" t="n">
        <v>-6017232.05</v>
      </c>
    </row>
    <row r="19075">
      <c r="A19075" s="3" t="inlineStr">
        <is>
          <t>Noble Shield (Pty) Ltd ta Go Letting</t>
        </is>
      </c>
      <c r="B19075" s="4" t="n">
        <v>45351</v>
      </c>
      <c r="C19075" s="3" t="inlineStr">
        <is>
          <t>Equity</t>
        </is>
      </c>
      <c r="D19075" s="3" t="inlineStr">
        <is>
          <t>5200/000</t>
        </is>
      </c>
      <c r="E19075" s="3" t="inlineStr">
        <is>
          <t>Retained Earnings / Loss</t>
        </is>
      </c>
      <c r="F19075" s="3" t="n">
        <v>0</v>
      </c>
      <c r="G19075" s="3" t="n">
        <v>-91943.62</v>
      </c>
    </row>
    <row r="19076">
      <c r="A19076" s="3" t="inlineStr">
        <is>
          <t>Opportunity Global Investment (PTY) LTD</t>
        </is>
      </c>
      <c r="B19076" s="4" t="n">
        <v>45351</v>
      </c>
      <c r="C19076" s="3" t="inlineStr">
        <is>
          <t>Equity</t>
        </is>
      </c>
      <c r="D19076" s="3" t="inlineStr">
        <is>
          <t>5200/000</t>
        </is>
      </c>
      <c r="E19076" s="3" t="inlineStr">
        <is>
          <t>Retained Earnings / Loss</t>
        </is>
      </c>
      <c r="F19076" s="3" t="n">
        <v>0</v>
      </c>
      <c r="G19076" s="3" t="n">
        <v>2134849.73</v>
      </c>
    </row>
    <row r="19077">
      <c r="A19077" s="3" t="inlineStr">
        <is>
          <t>Opportunity Global Property (PTY) LTD</t>
        </is>
      </c>
      <c r="B19077" s="4" t="n">
        <v>45351</v>
      </c>
      <c r="C19077" s="3" t="inlineStr">
        <is>
          <t>Equity</t>
        </is>
      </c>
      <c r="D19077" s="3" t="inlineStr">
        <is>
          <t>5200/000</t>
        </is>
      </c>
      <c r="E19077" s="3" t="inlineStr">
        <is>
          <t>Retained Earnings / Loss</t>
        </is>
      </c>
      <c r="F19077" s="3" t="n">
        <v>0</v>
      </c>
      <c r="G19077" s="3" t="n">
        <v>-2287097.79</v>
      </c>
    </row>
    <row r="19078">
      <c r="A19078" s="3" t="inlineStr">
        <is>
          <t>Opportunity Global Sales (PTY) LTD</t>
        </is>
      </c>
      <c r="B19078" s="4" t="n">
        <v>45351</v>
      </c>
      <c r="C19078" s="3" t="inlineStr">
        <is>
          <t>Equity</t>
        </is>
      </c>
      <c r="D19078" s="3" t="inlineStr">
        <is>
          <t>5200/000</t>
        </is>
      </c>
      <c r="E19078" s="3" t="inlineStr">
        <is>
          <t>Retained Earnings / Loss</t>
        </is>
      </c>
      <c r="F19078" s="3" t="n">
        <v>0</v>
      </c>
      <c r="G19078" s="3" t="n">
        <v>-2287097.79</v>
      </c>
    </row>
    <row r="19079">
      <c r="A19079" s="3" t="inlineStr">
        <is>
          <t>Opportunity Management Holdings (PTY) LTD</t>
        </is>
      </c>
      <c r="B19079" s="4" t="n">
        <v>45351</v>
      </c>
      <c r="C19079" s="3" t="inlineStr">
        <is>
          <t>Equity</t>
        </is>
      </c>
      <c r="D19079" s="3" t="inlineStr">
        <is>
          <t>5200/000</t>
        </is>
      </c>
      <c r="E19079" s="3" t="inlineStr">
        <is>
          <t>Retained Earnings / Loss</t>
        </is>
      </c>
      <c r="F19079" s="3" t="n">
        <v>0</v>
      </c>
      <c r="G19079" s="3" t="n">
        <v>1215864.15</v>
      </c>
    </row>
    <row r="19080">
      <c r="A19080" s="3" t="inlineStr">
        <is>
          <t>Opportunity Private Capital (PTY) LTD</t>
        </is>
      </c>
      <c r="B19080" s="4" t="n">
        <v>45351</v>
      </c>
      <c r="C19080" s="3" t="inlineStr">
        <is>
          <t>Equity</t>
        </is>
      </c>
      <c r="D19080" s="3" t="inlineStr">
        <is>
          <t>5200/000</t>
        </is>
      </c>
      <c r="E19080" s="3" t="inlineStr">
        <is>
          <t>Retained Earnings / Loss</t>
        </is>
      </c>
      <c r="F19080" s="3" t="n">
        <v>0</v>
      </c>
      <c r="G19080" s="3" t="n">
        <v>2134849.73</v>
      </c>
    </row>
    <row r="19081">
      <c r="A19081" s="3" t="inlineStr">
        <is>
          <t>Quinate Consulting (Pty) Ltd</t>
        </is>
      </c>
      <c r="B19081" s="4" t="n">
        <v>45351</v>
      </c>
      <c r="C19081" s="3" t="inlineStr">
        <is>
          <t>Equity</t>
        </is>
      </c>
      <c r="D19081" s="3" t="inlineStr">
        <is>
          <t>5200/000</t>
        </is>
      </c>
      <c r="E19081" s="3" t="inlineStr">
        <is>
          <t>Retained Earnings / Loss</t>
        </is>
      </c>
      <c r="F19081" s="3" t="n">
        <v>0</v>
      </c>
      <c r="G19081" s="3" t="n">
        <v>1549164.28</v>
      </c>
    </row>
    <row r="19082">
      <c r="A19082" s="3" t="inlineStr">
        <is>
          <t>Trademark Holdings (Pty) Ltd</t>
        </is>
      </c>
      <c r="B19082" s="4" t="n">
        <v>45351</v>
      </c>
      <c r="C19082" s="3" t="inlineStr">
        <is>
          <t>Equity</t>
        </is>
      </c>
      <c r="D19082" s="3" t="inlineStr">
        <is>
          <t>5200/000</t>
        </is>
      </c>
      <c r="E19082" s="3" t="inlineStr">
        <is>
          <t>Retained Earnings / Loss</t>
        </is>
      </c>
      <c r="F19082" s="3" t="n">
        <v>0</v>
      </c>
      <c r="G19082" s="3" t="n">
        <v>-163666.44</v>
      </c>
    </row>
    <row r="19083">
      <c r="A19083" s="3" t="inlineStr">
        <is>
          <t>Quinate Consulting (Pty) Ltd</t>
        </is>
      </c>
      <c r="B19083" s="4" t="n">
        <v>45351</v>
      </c>
      <c r="C19083" s="3" t="inlineStr">
        <is>
          <t>Assets</t>
        </is>
      </c>
      <c r="D19083" s="3" t="inlineStr">
        <is>
          <t>5400/011</t>
        </is>
      </c>
      <c r="E19083" s="3" t="inlineStr">
        <is>
          <t>Members Loan - Nick Morgan</t>
        </is>
      </c>
      <c r="F19083" s="3" t="n">
        <v>0</v>
      </c>
      <c r="G19083" s="3" t="n">
        <v>-85743.69</v>
      </c>
    </row>
    <row r="19084">
      <c r="A19084" s="3" t="inlineStr">
        <is>
          <t>Opportunity Management Holdings (PTY) LTD</t>
        </is>
      </c>
      <c r="B19084" s="4" t="n">
        <v>45351</v>
      </c>
      <c r="C19084" s="3" t="inlineStr">
        <is>
          <t>Assets</t>
        </is>
      </c>
      <c r="D19084" s="3" t="inlineStr">
        <is>
          <t>5400/500</t>
        </is>
      </c>
      <c r="E19084" s="3" t="inlineStr">
        <is>
          <t>Shareholder - Zak Loan</t>
        </is>
      </c>
      <c r="F19084" s="3" t="n">
        <v>0</v>
      </c>
      <c r="G19084" s="3" t="n">
        <v>-171798.21</v>
      </c>
    </row>
    <row r="19085">
      <c r="A19085" s="3" t="inlineStr">
        <is>
          <t>Quinate Consulting (Pty) Ltd</t>
        </is>
      </c>
      <c r="B19085" s="4" t="n">
        <v>45351</v>
      </c>
      <c r="C19085" s="3" t="inlineStr">
        <is>
          <t>Liabilities</t>
        </is>
      </c>
      <c r="D19085" s="3" t="inlineStr">
        <is>
          <t>5500/010</t>
        </is>
      </c>
      <c r="E19085" s="3" t="inlineStr">
        <is>
          <t>Loan - Wynand Haywood</t>
        </is>
      </c>
      <c r="F19085" s="3" t="n">
        <v>0</v>
      </c>
      <c r="G19085" s="3" t="n">
        <v>1928.67</v>
      </c>
    </row>
    <row r="19086">
      <c r="A19086" s="3" t="inlineStr">
        <is>
          <t>Quinate Consulting (Pty) Ltd</t>
        </is>
      </c>
      <c r="B19086" s="4" t="n">
        <v>45351</v>
      </c>
      <c r="C19086" s="3" t="inlineStr">
        <is>
          <t>Liabilities</t>
        </is>
      </c>
      <c r="D19086" s="3" t="inlineStr">
        <is>
          <t>5500/023</t>
        </is>
      </c>
      <c r="E19086" s="3" t="inlineStr">
        <is>
          <t>Loan - Noble Shield 1 Security Trust</t>
        </is>
      </c>
      <c r="F19086" s="3" t="n">
        <v>0</v>
      </c>
      <c r="G19086" s="3" t="n">
        <v>600</v>
      </c>
    </row>
    <row r="19087">
      <c r="A19087" s="3" t="inlineStr">
        <is>
          <t>Quinate Consulting (Pty) Ltd</t>
        </is>
      </c>
      <c r="B19087" s="4" t="n">
        <v>45351</v>
      </c>
      <c r="C19087" s="3" t="inlineStr">
        <is>
          <t>Liabilities</t>
        </is>
      </c>
      <c r="D19087" s="3" t="inlineStr">
        <is>
          <t>5500/025</t>
        </is>
      </c>
      <c r="E19087" s="3" t="inlineStr">
        <is>
          <t>Loan - Noble Shield 2 Security Trust</t>
        </is>
      </c>
      <c r="F19087" s="3" t="n">
        <v>0</v>
      </c>
      <c r="G19087" s="3" t="n">
        <v>250</v>
      </c>
    </row>
    <row r="19088">
      <c r="A19088" s="3" t="inlineStr">
        <is>
          <t>Quinate Consulting (Pty) Ltd</t>
        </is>
      </c>
      <c r="B19088" s="4" t="n">
        <v>45351</v>
      </c>
      <c r="C19088" s="3" t="inlineStr">
        <is>
          <t>Liabilities</t>
        </is>
      </c>
      <c r="D19088" s="3" t="inlineStr">
        <is>
          <t>5500/030</t>
        </is>
      </c>
      <c r="E19088" s="3" t="inlineStr">
        <is>
          <t>Loan - Heron Projects</t>
        </is>
      </c>
      <c r="F19088" s="3" t="n">
        <v>0</v>
      </c>
      <c r="G19088" s="3" t="n">
        <v>36800</v>
      </c>
    </row>
    <row r="19089">
      <c r="A19089" s="3" t="inlineStr">
        <is>
          <t>Opportunity Global Investment (PTY) LTD</t>
        </is>
      </c>
      <c r="B19089" s="4" t="n">
        <v>45351</v>
      </c>
      <c r="C19089" s="3" t="inlineStr">
        <is>
          <t>Liabilities</t>
        </is>
      </c>
      <c r="D19089" s="3" t="inlineStr">
        <is>
          <t>5500/100</t>
        </is>
      </c>
      <c r="E19089" s="3" t="inlineStr">
        <is>
          <t>Loan - Cape Projects Construction</t>
        </is>
      </c>
      <c r="F19089" s="3" t="n">
        <v>-50000</v>
      </c>
      <c r="G19089" s="3" t="n">
        <v>1521000</v>
      </c>
    </row>
    <row r="19090">
      <c r="A19090" s="3" t="inlineStr">
        <is>
          <t>Opportunity Private Capital (PTY) LTD</t>
        </is>
      </c>
      <c r="B19090" s="4" t="n">
        <v>45351</v>
      </c>
      <c r="C19090" s="3" t="inlineStr">
        <is>
          <t>Liabilities</t>
        </is>
      </c>
      <c r="D19090" s="3" t="inlineStr">
        <is>
          <t>5500/100</t>
        </is>
      </c>
      <c r="E19090" s="3" t="inlineStr">
        <is>
          <t>Loan - Cape Projects Construction</t>
        </is>
      </c>
      <c r="F19090" s="3" t="n">
        <v>-50000</v>
      </c>
      <c r="G19090" s="3" t="n">
        <v>1521000</v>
      </c>
    </row>
    <row r="19091">
      <c r="A19091" s="3" t="inlineStr">
        <is>
          <t>Noble Shield (Pty) Ltd ta Go Letting</t>
        </is>
      </c>
      <c r="B19091" s="4" t="n">
        <v>45351</v>
      </c>
      <c r="C19091" s="3" t="inlineStr">
        <is>
          <t>Liabilities</t>
        </is>
      </c>
      <c r="D19091" s="3" t="inlineStr">
        <is>
          <t>5500/100</t>
        </is>
      </c>
      <c r="E19091" s="3" t="inlineStr">
        <is>
          <t>Loan - Jupiter Trust</t>
        </is>
      </c>
      <c r="F19091" s="3" t="n">
        <v>0</v>
      </c>
      <c r="G19091" s="3" t="n">
        <v>-100228.75</v>
      </c>
    </row>
    <row r="19092">
      <c r="A19092" s="3" t="inlineStr">
        <is>
          <t>Opportunity Management Holdings (PTY) LTD</t>
        </is>
      </c>
      <c r="B19092" s="4" t="n">
        <v>45351</v>
      </c>
      <c r="C19092" s="3" t="inlineStr">
        <is>
          <t>Liabilities</t>
        </is>
      </c>
      <c r="D19092" s="3" t="inlineStr">
        <is>
          <t>5500/100</t>
        </is>
      </c>
      <c r="E19092" s="3" t="inlineStr">
        <is>
          <t>Loan - Opportunity Global</t>
        </is>
      </c>
      <c r="F19092" s="3" t="n">
        <v>0</v>
      </c>
      <c r="G19092" s="3" t="n">
        <v>-20000</v>
      </c>
    </row>
    <row r="19093">
      <c r="A19093" s="3" t="inlineStr">
        <is>
          <t>Endulini (Pty) Ltd</t>
        </is>
      </c>
      <c r="B19093" s="4" t="n">
        <v>45351</v>
      </c>
      <c r="C19093" s="3" t="inlineStr">
        <is>
          <t>Liabilities</t>
        </is>
      </c>
      <c r="D19093" s="3" t="inlineStr">
        <is>
          <t>5500/100</t>
        </is>
      </c>
      <c r="E19093" s="3" t="inlineStr">
        <is>
          <t>Loan - Quinate Consulting</t>
        </is>
      </c>
      <c r="F19093" s="3" t="n">
        <v>29400</v>
      </c>
      <c r="G19093" s="3" t="n">
        <v>-5682037.9</v>
      </c>
    </row>
    <row r="19094">
      <c r="A19094" s="3" t="inlineStr">
        <is>
          <t>Endulini (Pty) Ltd</t>
        </is>
      </c>
      <c r="B19094" s="4" t="n">
        <v>45351</v>
      </c>
      <c r="C19094" s="3" t="inlineStr">
        <is>
          <t>Liabilities</t>
        </is>
      </c>
      <c r="D19094" s="3" t="inlineStr">
        <is>
          <t>5500/150</t>
        </is>
      </c>
      <c r="E19094" s="3" t="inlineStr">
        <is>
          <t>Loan - Cape Projects Construction</t>
        </is>
      </c>
      <c r="F19094" s="3" t="n">
        <v>-2580000</v>
      </c>
      <c r="G19094" s="3" t="n">
        <v>-17191500</v>
      </c>
    </row>
    <row r="19095">
      <c r="A19095" s="3" t="inlineStr">
        <is>
          <t>Quinate Consulting (Pty) Ltd</t>
        </is>
      </c>
      <c r="B19095" s="4" t="n">
        <v>45351</v>
      </c>
      <c r="C19095" s="3" t="inlineStr">
        <is>
          <t>Liabilities</t>
        </is>
      </c>
      <c r="D19095" s="3" t="inlineStr">
        <is>
          <t>5500/160</t>
        </is>
      </c>
      <c r="E19095" s="3" t="inlineStr">
        <is>
          <t>Loan - GFY Investment and Consulting</t>
        </is>
      </c>
      <c r="F19095" s="3" t="n">
        <v>344962.46</v>
      </c>
      <c r="G19095" s="3" t="n">
        <v>-1405287.47</v>
      </c>
    </row>
    <row r="19096">
      <c r="A19096" s="3" t="inlineStr">
        <is>
          <t>Opportunity Management Holdings (PTY) LTD</t>
        </is>
      </c>
      <c r="B19096" s="4" t="n">
        <v>45351</v>
      </c>
      <c r="C19096" s="3" t="inlineStr">
        <is>
          <t>Liabilities</t>
        </is>
      </c>
      <c r="D19096" s="3" t="inlineStr">
        <is>
          <t>5500/200</t>
        </is>
      </c>
      <c r="E19096" s="3" t="inlineStr">
        <is>
          <t>Loan - Cape Projects</t>
        </is>
      </c>
      <c r="F19096" s="3" t="n">
        <v>-130000</v>
      </c>
      <c r="G19096" s="3" t="n">
        <v>-267399</v>
      </c>
    </row>
    <row r="19097">
      <c r="A19097" s="3" t="inlineStr">
        <is>
          <t>Endulini (Pty) Ltd</t>
        </is>
      </c>
      <c r="B19097" s="4" t="n">
        <v>45351</v>
      </c>
      <c r="C19097" s="3" t="inlineStr">
        <is>
          <t>Liabilities</t>
        </is>
      </c>
      <c r="D19097" s="3" t="inlineStr">
        <is>
          <t>5500/200</t>
        </is>
      </c>
      <c r="E19097" s="3" t="inlineStr">
        <is>
          <t>Loan - Opportunity Management Holdings</t>
        </is>
      </c>
      <c r="F19097" s="3" t="n">
        <v>-1780000</v>
      </c>
      <c r="G19097" s="3" t="n">
        <v>-1780000</v>
      </c>
    </row>
    <row r="19098">
      <c r="A19098" s="3" t="inlineStr">
        <is>
          <t>Trademark Holdings (Pty) Ltd</t>
        </is>
      </c>
      <c r="B19098" s="4" t="n">
        <v>45351</v>
      </c>
      <c r="C19098" s="3" t="inlineStr">
        <is>
          <t>Liabilities</t>
        </is>
      </c>
      <c r="D19098" s="3" t="inlineStr">
        <is>
          <t>5500/250</t>
        </is>
      </c>
      <c r="E19098" s="3" t="inlineStr">
        <is>
          <t>Loan - Noble Shield</t>
        </is>
      </c>
      <c r="F19098" s="3" t="n">
        <v>0</v>
      </c>
      <c r="G19098" s="3" t="n">
        <v>65165.59</v>
      </c>
    </row>
    <row r="19099">
      <c r="A19099" s="3" t="inlineStr">
        <is>
          <t>Opportunity Global Property (PTY) LTD</t>
        </is>
      </c>
      <c r="B19099" s="4" t="n">
        <v>45351</v>
      </c>
      <c r="C19099" s="3" t="inlineStr">
        <is>
          <t>Liabilities</t>
        </is>
      </c>
      <c r="D19099" s="3" t="inlineStr">
        <is>
          <t>5500/250</t>
        </is>
      </c>
      <c r="E19099" s="3" t="inlineStr">
        <is>
          <t>Loan - OPP Residential</t>
        </is>
      </c>
      <c r="F19099" s="3" t="n">
        <v>150000</v>
      </c>
      <c r="G19099" s="3" t="n">
        <v>150000</v>
      </c>
    </row>
    <row r="19100">
      <c r="A19100" s="3" t="inlineStr">
        <is>
          <t>Opportunity Global Sales (PTY) LTD</t>
        </is>
      </c>
      <c r="B19100" s="4" t="n">
        <v>45351</v>
      </c>
      <c r="C19100" s="3" t="inlineStr">
        <is>
          <t>Liabilities</t>
        </is>
      </c>
      <c r="D19100" s="3" t="inlineStr">
        <is>
          <t>5500/250</t>
        </is>
      </c>
      <c r="E19100" s="3" t="inlineStr">
        <is>
          <t>Loan - OPP Residential</t>
        </is>
      </c>
      <c r="F19100" s="3" t="n">
        <v>150000</v>
      </c>
      <c r="G19100" s="3" t="n">
        <v>150000</v>
      </c>
    </row>
    <row r="19101">
      <c r="A19101" s="3" t="inlineStr">
        <is>
          <t>Opportunity Management Holdings (PTY) LTD</t>
        </is>
      </c>
      <c r="B19101" s="4" t="n">
        <v>45351</v>
      </c>
      <c r="C19101" s="3" t="inlineStr">
        <is>
          <t>Liabilities</t>
        </is>
      </c>
      <c r="D19101" s="3" t="inlineStr">
        <is>
          <t>5500/250</t>
        </is>
      </c>
      <c r="E19101" s="3" t="inlineStr">
        <is>
          <t>Loan - Quinate</t>
        </is>
      </c>
      <c r="F19101" s="3" t="n">
        <v>-60000</v>
      </c>
      <c r="G19101" s="3" t="n">
        <v>-130000</v>
      </c>
    </row>
    <row r="19102">
      <c r="A19102" s="3" t="inlineStr">
        <is>
          <t>Quinate Consulting (Pty) Ltd</t>
        </is>
      </c>
      <c r="B19102" s="4" t="n">
        <v>45351</v>
      </c>
      <c r="C19102" s="3" t="inlineStr">
        <is>
          <t>Liabilities</t>
        </is>
      </c>
      <c r="D19102" s="3" t="inlineStr">
        <is>
          <t>5500/300</t>
        </is>
      </c>
      <c r="E19102" s="3" t="inlineStr">
        <is>
          <t>Loan - Gengis</t>
        </is>
      </c>
      <c r="F19102" s="3" t="n">
        <v>-685694.84</v>
      </c>
      <c r="G19102" s="3" t="n">
        <v>-1029301.95</v>
      </c>
    </row>
    <row r="19103">
      <c r="A19103" s="3" t="inlineStr">
        <is>
          <t>Opportunity Management Holdings (PTY) LTD</t>
        </is>
      </c>
      <c r="B19103" s="4" t="n">
        <v>45351</v>
      </c>
      <c r="C19103" s="3" t="inlineStr">
        <is>
          <t>Liabilities</t>
        </is>
      </c>
      <c r="D19103" s="3" t="inlineStr">
        <is>
          <t>5500/300</t>
        </is>
      </c>
      <c r="E19103" s="3" t="inlineStr">
        <is>
          <t>Loan - Opportunity Prop Management</t>
        </is>
      </c>
      <c r="F19103" s="3" t="n">
        <v>0</v>
      </c>
      <c r="G19103" s="3" t="n">
        <v>-1220204.15</v>
      </c>
    </row>
    <row r="19104">
      <c r="A19104" s="3" t="inlineStr">
        <is>
          <t>Noble Shield (Pty) Ltd ta Go Letting</t>
        </is>
      </c>
      <c r="B19104" s="4" t="n">
        <v>45351</v>
      </c>
      <c r="C19104" s="3" t="inlineStr">
        <is>
          <t>Liabilities</t>
        </is>
      </c>
      <c r="D19104" s="3" t="inlineStr">
        <is>
          <t>5500/300</t>
        </is>
      </c>
      <c r="E19104" s="3" t="inlineStr">
        <is>
          <t>Loan - Trademark Holdings</t>
        </is>
      </c>
      <c r="F19104" s="3" t="n">
        <v>0</v>
      </c>
      <c r="G19104" s="3" t="n">
        <v>-65165.59</v>
      </c>
    </row>
    <row r="19105">
      <c r="A19105" s="3" t="inlineStr">
        <is>
          <t>Opportunity Management Holdings (PTY) LTD</t>
        </is>
      </c>
      <c r="B19105" s="4" t="n">
        <v>45351</v>
      </c>
      <c r="C19105" s="3" t="inlineStr">
        <is>
          <t>Liabilities</t>
        </is>
      </c>
      <c r="D19105" s="3" t="inlineStr">
        <is>
          <t>5500/350</t>
        </is>
      </c>
      <c r="E19105" s="3" t="inlineStr">
        <is>
          <t>Loan - Endulini</t>
        </is>
      </c>
      <c r="F19105" s="3" t="n">
        <v>-20000</v>
      </c>
      <c r="G19105" s="3" t="n">
        <v>-20000</v>
      </c>
    </row>
    <row r="19106">
      <c r="A19106" s="3" t="inlineStr">
        <is>
          <t>Opportunity Global Investment (PTY) LTD</t>
        </is>
      </c>
      <c r="B19106" s="4" t="n">
        <v>45351</v>
      </c>
      <c r="C19106" s="3" t="inlineStr">
        <is>
          <t>Liabilities</t>
        </is>
      </c>
      <c r="D19106" s="3" t="inlineStr">
        <is>
          <t>5500/350</t>
        </is>
      </c>
      <c r="E19106" s="3" t="inlineStr">
        <is>
          <t>Loan - Opportunity Management Holdings</t>
        </is>
      </c>
      <c r="F19106" s="3" t="n">
        <v>0</v>
      </c>
      <c r="G19106" s="3" t="n">
        <v>500</v>
      </c>
    </row>
    <row r="19107">
      <c r="A19107" s="3" t="inlineStr">
        <is>
          <t>Opportunity Private Capital (PTY) LTD</t>
        </is>
      </c>
      <c r="B19107" s="4" t="n">
        <v>45351</v>
      </c>
      <c r="C19107" s="3" t="inlineStr">
        <is>
          <t>Liabilities</t>
        </is>
      </c>
      <c r="D19107" s="3" t="inlineStr">
        <is>
          <t>5500/350</t>
        </is>
      </c>
      <c r="E19107" s="3" t="inlineStr">
        <is>
          <t>Loan - Opportunity Management Holdings</t>
        </is>
      </c>
      <c r="F19107" s="3" t="n">
        <v>0</v>
      </c>
      <c r="G19107" s="3" t="n">
        <v>500</v>
      </c>
    </row>
    <row r="19108">
      <c r="A19108" s="3" t="inlineStr">
        <is>
          <t>Trademark Holdings (Pty) Ltd</t>
        </is>
      </c>
      <c r="B19108" s="4" t="n">
        <v>45351</v>
      </c>
      <c r="C19108" s="3" t="inlineStr">
        <is>
          <t>Liabilities</t>
        </is>
      </c>
      <c r="D19108" s="3" t="inlineStr">
        <is>
          <t>5500/350</t>
        </is>
      </c>
      <c r="E19108" s="3" t="inlineStr">
        <is>
          <t>Loan - Quinate Consulting</t>
        </is>
      </c>
      <c r="F19108" s="3" t="n">
        <v>0</v>
      </c>
      <c r="G19108" s="3" t="n">
        <v>-16413.38</v>
      </c>
    </row>
    <row r="19109">
      <c r="A19109" s="3" t="inlineStr">
        <is>
          <t>Trademark Holdings (Pty) Ltd</t>
        </is>
      </c>
      <c r="B19109" s="4" t="n">
        <v>45351</v>
      </c>
      <c r="C19109" s="3" t="inlineStr">
        <is>
          <t>Liabilities</t>
        </is>
      </c>
      <c r="D19109" s="3" t="inlineStr">
        <is>
          <t>5500/375</t>
        </is>
      </c>
      <c r="E19109" s="3" t="inlineStr">
        <is>
          <t>Loan - Opportunity Management Holdings Pty Ltd</t>
        </is>
      </c>
      <c r="F19109" s="3" t="n">
        <v>0</v>
      </c>
      <c r="G19109" s="3" t="n">
        <v>158800</v>
      </c>
    </row>
    <row r="19110">
      <c r="A19110" s="3" t="inlineStr">
        <is>
          <t>Trademark Holdings (Pty) Ltd</t>
        </is>
      </c>
      <c r="B19110" s="4" t="n">
        <v>45351</v>
      </c>
      <c r="C19110" s="3" t="inlineStr">
        <is>
          <t>Liabilities</t>
        </is>
      </c>
      <c r="D19110" s="3" t="inlineStr">
        <is>
          <t>5500/450</t>
        </is>
      </c>
      <c r="E19110" s="3" t="inlineStr">
        <is>
          <t>Loan - Cape Projects Construction</t>
        </is>
      </c>
      <c r="F19110" s="3" t="n">
        <v>-600</v>
      </c>
      <c r="G19110" s="3" t="n">
        <v>17600</v>
      </c>
    </row>
    <row r="19111">
      <c r="A19111" s="3" t="inlineStr">
        <is>
          <t>Trademark Holdings (Pty) Ltd</t>
        </is>
      </c>
      <c r="B19111" s="4" t="n">
        <v>45351</v>
      </c>
      <c r="C19111" s="3" t="inlineStr">
        <is>
          <t>Liabilities</t>
        </is>
      </c>
      <c r="D19111" s="3" t="inlineStr">
        <is>
          <t>5500/500</t>
        </is>
      </c>
      <c r="E19111" s="3" t="inlineStr">
        <is>
          <t>Go Letting Brand Name</t>
        </is>
      </c>
      <c r="F19111" s="3" t="n">
        <v>0</v>
      </c>
      <c r="G19111" s="3" t="n">
        <v>93420</v>
      </c>
    </row>
    <row r="19112">
      <c r="A19112" s="3" t="inlineStr">
        <is>
          <t>Noble Shield (Pty) Ltd ta Go Letting</t>
        </is>
      </c>
      <c r="B19112" s="4" t="n">
        <v>45351</v>
      </c>
      <c r="C19112" s="3" t="inlineStr">
        <is>
          <t>Liabilities</t>
        </is>
      </c>
      <c r="D19112" s="3" t="inlineStr">
        <is>
          <t>5500/500</t>
        </is>
      </c>
      <c r="E19112" s="3" t="inlineStr">
        <is>
          <t>Loan - Cape Projects Construction</t>
        </is>
      </c>
      <c r="F19112" s="3" t="n">
        <v>-600</v>
      </c>
      <c r="G19112" s="3" t="n">
        <v>200189.44</v>
      </c>
    </row>
    <row r="19113">
      <c r="A19113" s="3" t="inlineStr">
        <is>
          <t>Quinate Consulting (Pty) Ltd</t>
        </is>
      </c>
      <c r="B19113" s="4" t="n">
        <v>45351</v>
      </c>
      <c r="C19113" s="3" t="inlineStr">
        <is>
          <t>Liabilities</t>
        </is>
      </c>
      <c r="D19113" s="3" t="inlineStr">
        <is>
          <t>5500/500</t>
        </is>
      </c>
      <c r="E19113" s="3" t="inlineStr">
        <is>
          <t>Loan - Opportunity Development Struct.</t>
        </is>
      </c>
      <c r="F19113" s="3" t="n">
        <v>0</v>
      </c>
      <c r="G19113" s="3" t="n">
        <v>-2380000</v>
      </c>
    </row>
    <row r="19114">
      <c r="A19114" s="3" t="inlineStr">
        <is>
          <t>Opportunity Management Holdings (PTY) LTD</t>
        </is>
      </c>
      <c r="B19114" s="4" t="n">
        <v>45351</v>
      </c>
      <c r="C19114" s="3" t="inlineStr">
        <is>
          <t>Liabilities</t>
        </is>
      </c>
      <c r="D19114" s="3" t="inlineStr">
        <is>
          <t>5500/500</t>
        </is>
      </c>
      <c r="E19114" s="3" t="inlineStr">
        <is>
          <t>Loan - Opportunity Tradermark Holdings</t>
        </is>
      </c>
      <c r="F19114" s="3" t="n">
        <v>0</v>
      </c>
      <c r="G19114" s="3" t="n">
        <v>-158800</v>
      </c>
    </row>
    <row r="19115">
      <c r="A19115" s="3" t="inlineStr">
        <is>
          <t>Quinate Consulting (Pty) Ltd</t>
        </is>
      </c>
      <c r="B19115" s="4" t="n">
        <v>45351</v>
      </c>
      <c r="C19115" s="3" t="inlineStr">
        <is>
          <t>Liabilities</t>
        </is>
      </c>
      <c r="D19115" s="3" t="inlineStr">
        <is>
          <t>5500/520</t>
        </is>
      </c>
      <c r="E19115" s="3" t="inlineStr">
        <is>
          <t>Loan - Opportunity Management Holdings</t>
        </is>
      </c>
      <c r="F19115" s="3" t="n">
        <v>60000</v>
      </c>
      <c r="G19115" s="3" t="n">
        <v>126100</v>
      </c>
    </row>
    <row r="19116">
      <c r="A19116" s="3" t="inlineStr">
        <is>
          <t>Opportunity Management Holdings (PTY) LTD</t>
        </is>
      </c>
      <c r="B19116" s="4" t="n">
        <v>45351</v>
      </c>
      <c r="C19116" s="3" t="inlineStr">
        <is>
          <t>Liabilities</t>
        </is>
      </c>
      <c r="D19116" s="3" t="inlineStr">
        <is>
          <t>5500/550</t>
        </is>
      </c>
      <c r="E19116" s="3" t="inlineStr">
        <is>
          <t>Loan - Heron Projects</t>
        </is>
      </c>
      <c r="F19116" s="3" t="n">
        <v>140000</v>
      </c>
      <c r="G19116" s="3" t="n">
        <v>84900</v>
      </c>
    </row>
    <row r="19117">
      <c r="A19117" s="3" t="inlineStr">
        <is>
          <t>Opportunity Global Investment (PTY) LTD</t>
        </is>
      </c>
      <c r="B19117" s="4" t="n">
        <v>45351</v>
      </c>
      <c r="C19117" s="3" t="inlineStr">
        <is>
          <t>Liabilities</t>
        </is>
      </c>
      <c r="D19117" s="3" t="inlineStr">
        <is>
          <t>5500/650</t>
        </is>
      </c>
      <c r="E19117" s="3" t="inlineStr">
        <is>
          <t>Loan - Opportunit Global - Sales</t>
        </is>
      </c>
      <c r="F19117" s="3" t="n">
        <v>-223135.13</v>
      </c>
      <c r="G19117" s="3" t="n">
        <v>-4170730.55</v>
      </c>
    </row>
    <row r="19118">
      <c r="A19118" s="3" t="inlineStr">
        <is>
          <t>Opportunity Private Capital (PTY) LTD</t>
        </is>
      </c>
      <c r="B19118" s="4" t="n">
        <v>45351</v>
      </c>
      <c r="C19118" s="3" t="inlineStr">
        <is>
          <t>Liabilities</t>
        </is>
      </c>
      <c r="D19118" s="3" t="inlineStr">
        <is>
          <t>5500/650</t>
        </is>
      </c>
      <c r="E19118" s="3" t="inlineStr">
        <is>
          <t>Loan - Opportunit Global - Sales</t>
        </is>
      </c>
      <c r="F19118" s="3" t="n">
        <v>-223135.13</v>
      </c>
      <c r="G19118" s="3" t="n">
        <v>-4170730.55</v>
      </c>
    </row>
    <row r="19119">
      <c r="A19119" s="3" t="inlineStr">
        <is>
          <t>Opportunity Global Property (PTY) LTD</t>
        </is>
      </c>
      <c r="B19119" s="4" t="n">
        <v>45351</v>
      </c>
      <c r="C19119" s="3" t="inlineStr">
        <is>
          <t>Liabilities</t>
        </is>
      </c>
      <c r="D19119" s="3" t="inlineStr">
        <is>
          <t>5500/650</t>
        </is>
      </c>
      <c r="E19119" s="3" t="inlineStr">
        <is>
          <t>Loan - Opportunity Investments</t>
        </is>
      </c>
      <c r="F19119" s="3" t="n">
        <v>73135.13</v>
      </c>
      <c r="G19119" s="3" t="n">
        <v>4020730.55</v>
      </c>
    </row>
    <row r="19120">
      <c r="A19120" s="3" t="inlineStr">
        <is>
          <t>Opportunity Global Sales (PTY) LTD</t>
        </is>
      </c>
      <c r="B19120" s="4" t="n">
        <v>45351</v>
      </c>
      <c r="C19120" s="3" t="inlineStr">
        <is>
          <t>Liabilities</t>
        </is>
      </c>
      <c r="D19120" s="3" t="inlineStr">
        <is>
          <t>5500/650</t>
        </is>
      </c>
      <c r="E19120" s="3" t="inlineStr">
        <is>
          <t>Loan - Opportunity Investments</t>
        </is>
      </c>
      <c r="F19120" s="3" t="n">
        <v>73135.13</v>
      </c>
      <c r="G19120" s="3" t="n">
        <v>4020730.55</v>
      </c>
    </row>
    <row r="19121">
      <c r="A19121" s="3" t="inlineStr">
        <is>
          <t>Opportunity Management Holdings (PTY) LTD</t>
        </is>
      </c>
      <c r="B19121" s="4" t="n">
        <v>45351</v>
      </c>
      <c r="C19121" s="3" t="inlineStr">
        <is>
          <t>Liabilities</t>
        </is>
      </c>
      <c r="D19121" s="3" t="inlineStr">
        <is>
          <t>5500/700</t>
        </is>
      </c>
      <c r="E19121" s="3" t="inlineStr">
        <is>
          <t>Loan - Go Letting</t>
        </is>
      </c>
      <c r="F19121" s="3" t="n">
        <v>0</v>
      </c>
      <c r="G19121" s="3" t="n">
        <v>-120</v>
      </c>
    </row>
    <row r="19122">
      <c r="A19122" s="3" t="inlineStr">
        <is>
          <t>Quinate Consulting (Pty) Ltd</t>
        </is>
      </c>
      <c r="B19122" s="4" t="n">
        <v>45351</v>
      </c>
      <c r="C19122" s="3" t="inlineStr">
        <is>
          <t>Liabilities</t>
        </is>
      </c>
      <c r="D19122" s="3" t="inlineStr">
        <is>
          <t>5500/700</t>
        </is>
      </c>
      <c r="E19122" s="3" t="inlineStr">
        <is>
          <t>Loan - Trademark Holdings</t>
        </is>
      </c>
      <c r="F19122" s="3" t="n">
        <v>0</v>
      </c>
      <c r="G19122" s="3" t="n">
        <v>16413.38</v>
      </c>
    </row>
    <row r="19123">
      <c r="A19123" s="3" t="inlineStr">
        <is>
          <t>Opportunity Global Investment (PTY) LTD</t>
        </is>
      </c>
      <c r="B19123" s="4" t="n">
        <v>45351</v>
      </c>
      <c r="C19123" s="3" t="inlineStr">
        <is>
          <t>Liabilities</t>
        </is>
      </c>
      <c r="D19123" s="3" t="inlineStr">
        <is>
          <t>5500/750</t>
        </is>
      </c>
      <c r="E19123" s="3" t="inlineStr">
        <is>
          <t>Loan - Heron Projects</t>
        </is>
      </c>
      <c r="F19123" s="3" t="n">
        <v>-80000</v>
      </c>
      <c r="G19123" s="3" t="n">
        <v>-2053000</v>
      </c>
    </row>
    <row r="19124">
      <c r="A19124" s="3" t="inlineStr">
        <is>
          <t>Opportunity Private Capital (PTY) LTD</t>
        </is>
      </c>
      <c r="B19124" s="4" t="n">
        <v>45351</v>
      </c>
      <c r="C19124" s="3" t="inlineStr">
        <is>
          <t>Liabilities</t>
        </is>
      </c>
      <c r="D19124" s="3" t="inlineStr">
        <is>
          <t>5500/750</t>
        </is>
      </c>
      <c r="E19124" s="3" t="inlineStr">
        <is>
          <t>Loan - Heron Projects</t>
        </is>
      </c>
      <c r="F19124" s="3" t="n">
        <v>-80000</v>
      </c>
      <c r="G19124" s="3" t="n">
        <v>-2053000</v>
      </c>
    </row>
    <row r="19125">
      <c r="A19125" s="3" t="inlineStr">
        <is>
          <t>Opportunity Global Investment (PTY) LTD</t>
        </is>
      </c>
      <c r="B19125" s="4" t="n">
        <v>45351</v>
      </c>
      <c r="C19125" s="3" t="inlineStr">
        <is>
          <t>Liabilities</t>
        </is>
      </c>
      <c r="D19125" s="3" t="inlineStr">
        <is>
          <t>5500/850</t>
        </is>
      </c>
      <c r="E19125" s="3" t="inlineStr">
        <is>
          <t>Loan - Nick Morgan</t>
        </is>
      </c>
      <c r="F19125" s="3" t="n">
        <v>0</v>
      </c>
      <c r="G19125" s="3" t="n">
        <v>6200</v>
      </c>
    </row>
    <row r="19126">
      <c r="A19126" s="3" t="inlineStr">
        <is>
          <t>Opportunity Private Capital (PTY) LTD</t>
        </is>
      </c>
      <c r="B19126" s="4" t="n">
        <v>45351</v>
      </c>
      <c r="C19126" s="3" t="inlineStr">
        <is>
          <t>Liabilities</t>
        </is>
      </c>
      <c r="D19126" s="3" t="inlineStr">
        <is>
          <t>5500/850</t>
        </is>
      </c>
      <c r="E19126" s="3" t="inlineStr">
        <is>
          <t>Loan - Nick Morgan</t>
        </is>
      </c>
      <c r="F19126" s="3" t="n">
        <v>0</v>
      </c>
      <c r="G19126" s="3" t="n">
        <v>6200</v>
      </c>
    </row>
    <row r="19127">
      <c r="A19127" s="3" t="inlineStr">
        <is>
          <t>Quinate Consulting (Pty) Ltd</t>
        </is>
      </c>
      <c r="B19127" s="4" t="n">
        <v>45351</v>
      </c>
      <c r="C19127" s="3" t="inlineStr">
        <is>
          <t>Liabilities</t>
        </is>
      </c>
      <c r="D19127" s="3" t="inlineStr">
        <is>
          <t>5501/000</t>
        </is>
      </c>
      <c r="E19127" s="3" t="inlineStr">
        <is>
          <t>Loan - Endulini Project</t>
        </is>
      </c>
      <c r="F19127" s="3" t="n">
        <v>-30000</v>
      </c>
      <c r="G19127" s="3" t="n">
        <v>-32756.97</v>
      </c>
    </row>
    <row r="19128">
      <c r="A19128" s="3" t="inlineStr">
        <is>
          <t>Quinate Consulting (Pty) Ltd</t>
        </is>
      </c>
      <c r="B19128" s="4" t="n">
        <v>45351</v>
      </c>
      <c r="C19128" s="3" t="inlineStr">
        <is>
          <t>Liabilities</t>
        </is>
      </c>
      <c r="D19128" s="3" t="inlineStr">
        <is>
          <t>5501/001</t>
        </is>
      </c>
      <c r="E19128" s="3" t="inlineStr">
        <is>
          <t>Loan - Endulini CIP Costs</t>
        </is>
      </c>
      <c r="F19128" s="3" t="n">
        <v>600</v>
      </c>
      <c r="G19128" s="3" t="n">
        <v>5714794.87</v>
      </c>
    </row>
    <row r="19129">
      <c r="A19129" s="3" t="inlineStr">
        <is>
          <t>Quinate Consulting (Pty) Ltd</t>
        </is>
      </c>
      <c r="B19129" s="4" t="n">
        <v>45351</v>
      </c>
      <c r="C19129" s="3" t="inlineStr">
        <is>
          <t>Liabilities</t>
        </is>
      </c>
      <c r="D19129" s="3" t="inlineStr">
        <is>
          <t>5501/002</t>
        </is>
      </c>
      <c r="E19129" s="3" t="inlineStr">
        <is>
          <t>Loan - Purple Block</t>
        </is>
      </c>
      <c r="F19129" s="3" t="n">
        <v>0</v>
      </c>
      <c r="G19129" s="3" t="n">
        <v>171148.82</v>
      </c>
    </row>
    <row r="19130">
      <c r="A19130" s="3" t="inlineStr">
        <is>
          <t>Noble Shield (Pty) Ltd ta Go Letting</t>
        </is>
      </c>
      <c r="B19130" s="4" t="n">
        <v>45351</v>
      </c>
      <c r="C19130" s="3" t="inlineStr">
        <is>
          <t>Assets</t>
        </is>
      </c>
      <c r="D19130" s="3" t="inlineStr">
        <is>
          <t>6250/010</t>
        </is>
      </c>
      <c r="E19130" s="3" t="inlineStr">
        <is>
          <t>Computer Equipment - @ Cost</t>
        </is>
      </c>
      <c r="F19130" s="3" t="n">
        <v>0</v>
      </c>
      <c r="G19130" s="3" t="n">
        <v>20397</v>
      </c>
    </row>
    <row r="19131">
      <c r="A19131" s="3" t="inlineStr">
        <is>
          <t>Opportunity Global Investment (PTY) LTD</t>
        </is>
      </c>
      <c r="B19131" s="4" t="n">
        <v>45351</v>
      </c>
      <c r="C19131" s="3" t="inlineStr">
        <is>
          <t>Assets</t>
        </is>
      </c>
      <c r="D19131" s="3" t="inlineStr">
        <is>
          <t>6250/010</t>
        </is>
      </c>
      <c r="E19131" s="3" t="inlineStr">
        <is>
          <t>Computer Equipment - @ Cost</t>
        </is>
      </c>
      <c r="F19131" s="3" t="n">
        <v>0</v>
      </c>
      <c r="G19131" s="3" t="n">
        <v>31683.04</v>
      </c>
    </row>
    <row r="19132">
      <c r="A19132" s="3" t="inlineStr">
        <is>
          <t>Opportunity Management Holdings (PTY) LTD</t>
        </is>
      </c>
      <c r="B19132" s="4" t="n">
        <v>45351</v>
      </c>
      <c r="C19132" s="3" t="inlineStr">
        <is>
          <t>Assets</t>
        </is>
      </c>
      <c r="D19132" s="3" t="inlineStr">
        <is>
          <t>6250/010</t>
        </is>
      </c>
      <c r="E19132" s="3" t="inlineStr">
        <is>
          <t>Computer Equipment - @ Cost</t>
        </is>
      </c>
      <c r="F19132" s="3" t="n">
        <v>0</v>
      </c>
      <c r="G19132" s="3" t="n">
        <v>52177.85</v>
      </c>
    </row>
    <row r="19133">
      <c r="A19133" s="3" t="inlineStr">
        <is>
          <t>Opportunity Private Capital (PTY) LTD</t>
        </is>
      </c>
      <c r="B19133" s="4" t="n">
        <v>45351</v>
      </c>
      <c r="C19133" s="3" t="inlineStr">
        <is>
          <t>Assets</t>
        </is>
      </c>
      <c r="D19133" s="3" t="inlineStr">
        <is>
          <t>6250/010</t>
        </is>
      </c>
      <c r="E19133" s="3" t="inlineStr">
        <is>
          <t>Computer Equipment - @ Cost</t>
        </is>
      </c>
      <c r="F19133" s="3" t="n">
        <v>0</v>
      </c>
      <c r="G19133" s="3" t="n">
        <v>31683.04</v>
      </c>
    </row>
    <row r="19134">
      <c r="A19134" s="3" t="inlineStr">
        <is>
          <t>Quinate Consulting (Pty) Ltd</t>
        </is>
      </c>
      <c r="B19134" s="4" t="n">
        <v>45351</v>
      </c>
      <c r="C19134" s="3" t="inlineStr">
        <is>
          <t>Assets</t>
        </is>
      </c>
      <c r="D19134" s="3" t="inlineStr">
        <is>
          <t>6250/010</t>
        </is>
      </c>
      <c r="E19134" s="3" t="inlineStr">
        <is>
          <t>Computer Equipment - @ Cost</t>
        </is>
      </c>
      <c r="F19134" s="3" t="n">
        <v>0</v>
      </c>
      <c r="G19134" s="3" t="n">
        <v>137059.7</v>
      </c>
    </row>
    <row r="19135">
      <c r="A19135" s="3" t="inlineStr">
        <is>
          <t>Noble Shield (Pty) Ltd ta Go Letting</t>
        </is>
      </c>
      <c r="B19135" s="4" t="n">
        <v>45351</v>
      </c>
      <c r="C19135" s="3" t="inlineStr">
        <is>
          <t>Assets</t>
        </is>
      </c>
      <c r="D19135" s="3" t="inlineStr">
        <is>
          <t>6250/020</t>
        </is>
      </c>
      <c r="E19135" s="3" t="inlineStr">
        <is>
          <t>Computer Equipment - Accum Depre</t>
        </is>
      </c>
      <c r="F19135" s="3" t="n">
        <v>0</v>
      </c>
      <c r="G19135" s="3" t="n">
        <v>-12040.89</v>
      </c>
    </row>
    <row r="19136">
      <c r="A19136" s="3" t="inlineStr">
        <is>
          <t>Opportunity Global Investment (PTY) LTD</t>
        </is>
      </c>
      <c r="B19136" s="4" t="n">
        <v>45351</v>
      </c>
      <c r="C19136" s="3" t="inlineStr">
        <is>
          <t>Assets</t>
        </is>
      </c>
      <c r="D19136" s="3" t="inlineStr">
        <is>
          <t>6250/020</t>
        </is>
      </c>
      <c r="E19136" s="3" t="inlineStr">
        <is>
          <t>Computer Equipment - Accum Depre</t>
        </is>
      </c>
      <c r="F19136" s="3" t="n">
        <v>-880.08</v>
      </c>
      <c r="G19136" s="3" t="n">
        <v>-12321.18</v>
      </c>
    </row>
    <row r="19137">
      <c r="A19137" s="3" t="inlineStr">
        <is>
          <t>Opportunity Management Holdings (PTY) LTD</t>
        </is>
      </c>
      <c r="B19137" s="4" t="n">
        <v>45351</v>
      </c>
      <c r="C19137" s="3" t="inlineStr">
        <is>
          <t>Assets</t>
        </is>
      </c>
      <c r="D19137" s="3" t="inlineStr">
        <is>
          <t>6250/020</t>
        </is>
      </c>
      <c r="E19137" s="3" t="inlineStr">
        <is>
          <t>Computer Equipment - Accum Depre</t>
        </is>
      </c>
      <c r="F19137" s="3" t="n">
        <v>-1035.18</v>
      </c>
      <c r="G19137" s="3" t="n">
        <v>-18031.35</v>
      </c>
    </row>
    <row r="19138">
      <c r="A19138" s="3" t="inlineStr">
        <is>
          <t>Opportunity Private Capital (PTY) LTD</t>
        </is>
      </c>
      <c r="B19138" s="4" t="n">
        <v>45351</v>
      </c>
      <c r="C19138" s="3" t="inlineStr">
        <is>
          <t>Assets</t>
        </is>
      </c>
      <c r="D19138" s="3" t="inlineStr">
        <is>
          <t>6250/020</t>
        </is>
      </c>
      <c r="E19138" s="3" t="inlineStr">
        <is>
          <t>Computer Equipment - Accum Depre</t>
        </is>
      </c>
      <c r="F19138" s="3" t="n">
        <v>-880.08</v>
      </c>
      <c r="G19138" s="3" t="n">
        <v>-12321.18</v>
      </c>
    </row>
    <row r="19139">
      <c r="A19139" s="3" t="inlineStr">
        <is>
          <t>Quinate Consulting (Pty) Ltd</t>
        </is>
      </c>
      <c r="B19139" s="4" t="n">
        <v>45351</v>
      </c>
      <c r="C19139" s="3" t="inlineStr">
        <is>
          <t>Assets</t>
        </is>
      </c>
      <c r="D19139" s="3" t="inlineStr">
        <is>
          <t>6250/020</t>
        </is>
      </c>
      <c r="E19139" s="3" t="inlineStr">
        <is>
          <t>Computer Equipment - Accum Depre</t>
        </is>
      </c>
      <c r="F19139" s="3" t="n">
        <v>-1571.06</v>
      </c>
      <c r="G19139" s="3" t="n">
        <v>-124782.02</v>
      </c>
    </row>
    <row r="19140">
      <c r="A19140" s="3" t="inlineStr">
        <is>
          <t>Opportunity Management Holdings (PTY) LTD</t>
        </is>
      </c>
      <c r="B19140" s="4" t="n">
        <v>45351</v>
      </c>
      <c r="C19140" s="3" t="inlineStr">
        <is>
          <t>Assets</t>
        </is>
      </c>
      <c r="D19140" s="3" t="inlineStr">
        <is>
          <t>6250/030</t>
        </is>
      </c>
      <c r="E19140" s="3" t="inlineStr">
        <is>
          <t>Acc Depreciation - Computer Equipment</t>
        </is>
      </c>
      <c r="F19140" s="3" t="n">
        <v>0</v>
      </c>
      <c r="G19140" s="3" t="n">
        <v>-9441.25</v>
      </c>
    </row>
    <row r="19141">
      <c r="A19141" s="3" t="inlineStr">
        <is>
          <t>Quinate Consulting (Pty) Ltd</t>
        </is>
      </c>
      <c r="B19141" s="4" t="n">
        <v>45351</v>
      </c>
      <c r="C19141" s="3" t="inlineStr">
        <is>
          <t>Assets</t>
        </is>
      </c>
      <c r="D19141" s="3" t="inlineStr">
        <is>
          <t>6270/010</t>
        </is>
      </c>
      <c r="E19141" s="3" t="inlineStr">
        <is>
          <t>Site Containers - @ Cost</t>
        </is>
      </c>
      <c r="F19141" s="3" t="n">
        <v>0</v>
      </c>
      <c r="G19141" s="3" t="n">
        <v>19130.44</v>
      </c>
    </row>
    <row r="19142">
      <c r="A19142" s="3" t="inlineStr">
        <is>
          <t>Quinate Consulting (Pty) Ltd</t>
        </is>
      </c>
      <c r="B19142" s="4" t="n">
        <v>45351</v>
      </c>
      <c r="C19142" s="3" t="inlineStr">
        <is>
          <t>Assets</t>
        </is>
      </c>
      <c r="D19142" s="3" t="inlineStr">
        <is>
          <t>6270/020</t>
        </is>
      </c>
      <c r="E19142" s="3" t="inlineStr">
        <is>
          <t>Site Containers - Accum Depre</t>
        </is>
      </c>
      <c r="F19142" s="3" t="n">
        <v>-318.84</v>
      </c>
      <c r="G19142" s="3" t="n">
        <v>-11478.26</v>
      </c>
    </row>
    <row r="19143">
      <c r="A19143" s="3" t="inlineStr">
        <is>
          <t>Noble Shield (Pty) Ltd ta Go Letting</t>
        </is>
      </c>
      <c r="B19143" s="4" t="n">
        <v>45351</v>
      </c>
      <c r="C19143" s="3" t="inlineStr">
        <is>
          <t>Assets</t>
        </is>
      </c>
      <c r="D19143" s="3" t="inlineStr">
        <is>
          <t>6350/010</t>
        </is>
      </c>
      <c r="E19143" s="3" t="inlineStr">
        <is>
          <t>Furniture _AND_ Fittings - @ Cost</t>
        </is>
      </c>
      <c r="F19143" s="3" t="n">
        <v>0</v>
      </c>
      <c r="G19143" s="3" t="n">
        <v>2242</v>
      </c>
    </row>
    <row r="19144">
      <c r="A19144" s="3" t="inlineStr">
        <is>
          <t>Opportunity Global Property (PTY) LTD</t>
        </is>
      </c>
      <c r="B19144" s="4" t="n">
        <v>45351</v>
      </c>
      <c r="C19144" s="3" t="inlineStr">
        <is>
          <t>Assets</t>
        </is>
      </c>
      <c r="D19144" s="3" t="inlineStr">
        <is>
          <t>6350/010</t>
        </is>
      </c>
      <c r="E19144" s="3" t="inlineStr">
        <is>
          <t>Furniture _AND_ Fittings - @ Cost</t>
        </is>
      </c>
      <c r="F19144" s="3" t="n">
        <v>0</v>
      </c>
      <c r="G19144" s="3" t="n">
        <v>29379.7</v>
      </c>
    </row>
    <row r="19145">
      <c r="A19145" s="3" t="inlineStr">
        <is>
          <t>Opportunity Global Sales (PTY) LTD</t>
        </is>
      </c>
      <c r="B19145" s="4" t="n">
        <v>45351</v>
      </c>
      <c r="C19145" s="3" t="inlineStr">
        <is>
          <t>Assets</t>
        </is>
      </c>
      <c r="D19145" s="3" t="inlineStr">
        <is>
          <t>6350/010</t>
        </is>
      </c>
      <c r="E19145" s="3" t="inlineStr">
        <is>
          <t>Furniture _AND_ Fittings - @ Cost</t>
        </is>
      </c>
      <c r="F19145" s="3" t="n">
        <v>0</v>
      </c>
      <c r="G19145" s="3" t="n">
        <v>29379.7</v>
      </c>
    </row>
    <row r="19146">
      <c r="A19146" s="3" t="inlineStr">
        <is>
          <t>Noble Shield (Pty) Ltd ta Go Letting</t>
        </is>
      </c>
      <c r="B19146" s="4" t="n">
        <v>45351</v>
      </c>
      <c r="C19146" s="3" t="inlineStr">
        <is>
          <t>Assets</t>
        </is>
      </c>
      <c r="D19146" s="3" t="inlineStr">
        <is>
          <t>6350/020</t>
        </is>
      </c>
      <c r="E19146" s="3" t="inlineStr">
        <is>
          <t>Furniture _AND_ Fittings - Accum Depre</t>
        </is>
      </c>
      <c r="F19146" s="3" t="n">
        <v>0</v>
      </c>
      <c r="G19146" s="3" t="n">
        <v>-2239</v>
      </c>
    </row>
    <row r="19147">
      <c r="A19147" s="3" t="inlineStr">
        <is>
          <t>Opportunity Global Property (PTY) LTD</t>
        </is>
      </c>
      <c r="B19147" s="4" t="n">
        <v>45351</v>
      </c>
      <c r="C19147" s="3" t="inlineStr">
        <is>
          <t>Assets</t>
        </is>
      </c>
      <c r="D19147" s="3" t="inlineStr">
        <is>
          <t>6350/020</t>
        </is>
      </c>
      <c r="E19147" s="3" t="inlineStr">
        <is>
          <t>Furniture _AND_ Fittings - Accum Depre</t>
        </is>
      </c>
      <c r="F19147" s="3" t="n">
        <v>-408.05</v>
      </c>
      <c r="G19147" s="3" t="n">
        <v>-8161.03</v>
      </c>
    </row>
    <row r="19148">
      <c r="A19148" s="3" t="inlineStr">
        <is>
          <t>Opportunity Global Sales (PTY) LTD</t>
        </is>
      </c>
      <c r="B19148" s="4" t="n">
        <v>45351</v>
      </c>
      <c r="C19148" s="3" t="inlineStr">
        <is>
          <t>Assets</t>
        </is>
      </c>
      <c r="D19148" s="3" t="inlineStr">
        <is>
          <t>6350/020</t>
        </is>
      </c>
      <c r="E19148" s="3" t="inlineStr">
        <is>
          <t>Furniture _AND_ Fittings - Accum Depre</t>
        </is>
      </c>
      <c r="F19148" s="3" t="n">
        <v>-408.05</v>
      </c>
      <c r="G19148" s="3" t="n">
        <v>-8161.03</v>
      </c>
    </row>
    <row r="19149">
      <c r="A19149" s="3" t="inlineStr">
        <is>
          <t>Opportunity Management Holdings (PTY) LTD</t>
        </is>
      </c>
      <c r="B19149" s="4" t="n">
        <v>45351</v>
      </c>
      <c r="C19149" s="3" t="inlineStr">
        <is>
          <t>Liabilities</t>
        </is>
      </c>
      <c r="D19149" s="3" t="inlineStr">
        <is>
          <t>6500/000</t>
        </is>
      </c>
      <c r="E19149" s="3" t="inlineStr">
        <is>
          <t>Deposits - Held</t>
        </is>
      </c>
      <c r="F19149" s="3" t="n">
        <v>0</v>
      </c>
      <c r="G19149" s="3" t="n">
        <v>-12028.1</v>
      </c>
    </row>
    <row r="19150">
      <c r="A19150" s="3" t="inlineStr">
        <is>
          <t>Opportunity Management Holdings (PTY) LTD</t>
        </is>
      </c>
      <c r="B19150" s="4" t="n">
        <v>45351</v>
      </c>
      <c r="C19150" s="3" t="inlineStr">
        <is>
          <t>Liabilities</t>
        </is>
      </c>
      <c r="D19150" s="3" t="inlineStr">
        <is>
          <t>6510/000</t>
        </is>
      </c>
      <c r="E19150" s="3" t="inlineStr">
        <is>
          <t>Deposits Paid - Anicol Properties</t>
        </is>
      </c>
      <c r="F19150" s="3" t="n">
        <v>0</v>
      </c>
      <c r="G19150" s="3" t="n">
        <v>13755</v>
      </c>
    </row>
    <row r="19151">
      <c r="A19151" s="3" t="inlineStr">
        <is>
          <t>Opportunity Management Holdings (PTY) LTD</t>
        </is>
      </c>
      <c r="B19151" s="4" t="n">
        <v>45351</v>
      </c>
      <c r="C19151" s="3" t="inlineStr">
        <is>
          <t>Liabilities</t>
        </is>
      </c>
      <c r="D19151" s="3" t="inlineStr">
        <is>
          <t>6515/000</t>
        </is>
      </c>
      <c r="E19151" s="3" t="inlineStr">
        <is>
          <t>Deposits Paid</t>
        </is>
      </c>
      <c r="F19151" s="3" t="n">
        <v>0</v>
      </c>
      <c r="G19151" s="3" t="n">
        <v>3852.5</v>
      </c>
    </row>
    <row r="19152">
      <c r="A19152" s="3" t="inlineStr">
        <is>
          <t>Quinate Consulting (Pty) Ltd</t>
        </is>
      </c>
      <c r="B19152" s="4" t="n">
        <v>45351</v>
      </c>
      <c r="C19152" s="3" t="inlineStr">
        <is>
          <t>Assets</t>
        </is>
      </c>
      <c r="D19152" s="3" t="inlineStr">
        <is>
          <t>6600/010</t>
        </is>
      </c>
      <c r="E19152" s="3" t="inlineStr">
        <is>
          <t>Other Fixed Assets - @ Cost</t>
        </is>
      </c>
      <c r="F19152" s="3" t="n">
        <v>0</v>
      </c>
      <c r="G19152" s="3" t="n">
        <v>14442.5</v>
      </c>
    </row>
    <row r="19153">
      <c r="A19153" s="3" t="inlineStr">
        <is>
          <t>Quinate Consulting (Pty) Ltd</t>
        </is>
      </c>
      <c r="B19153" s="4" t="n">
        <v>45351</v>
      </c>
      <c r="C19153" s="3" t="inlineStr">
        <is>
          <t>Assets</t>
        </is>
      </c>
      <c r="D19153" s="3" t="inlineStr">
        <is>
          <t>6600/020</t>
        </is>
      </c>
      <c r="E19153" s="3" t="inlineStr">
        <is>
          <t>Other Fixed Assets - Accum Depre</t>
        </is>
      </c>
      <c r="F19153" s="3" t="n">
        <v>0</v>
      </c>
      <c r="G19153" s="3" t="n">
        <v>-14441.5</v>
      </c>
    </row>
    <row r="19154">
      <c r="A19154" s="3" t="inlineStr">
        <is>
          <t>Noble Shield (Pty) Ltd ta Go Letting</t>
        </is>
      </c>
      <c r="B19154" s="4" t="n">
        <v>45351</v>
      </c>
      <c r="C19154" s="3" t="inlineStr">
        <is>
          <t>Assets</t>
        </is>
      </c>
      <c r="D19154" s="3" t="inlineStr">
        <is>
          <t>7000/100</t>
        </is>
      </c>
      <c r="E19154" s="3" t="inlineStr">
        <is>
          <t>Goodwill - Purchase of Go Letting</t>
        </is>
      </c>
      <c r="F19154" s="3" t="n">
        <v>0</v>
      </c>
      <c r="G19154" s="3" t="n">
        <v>106580</v>
      </c>
    </row>
    <row r="19155">
      <c r="A19155" s="3" t="inlineStr">
        <is>
          <t>Opportunity Management Holdings (PTY) LTD</t>
        </is>
      </c>
      <c r="B19155" s="4" t="n">
        <v>45351</v>
      </c>
      <c r="C19155" s="3" t="inlineStr">
        <is>
          <t>Assets</t>
        </is>
      </c>
      <c r="D19155" s="3" t="inlineStr">
        <is>
          <t>7200/000</t>
        </is>
      </c>
      <c r="E19155" s="3" t="inlineStr">
        <is>
          <t>Shares in Subsidiary Companies</t>
        </is>
      </c>
      <c r="F19155" s="3" t="n">
        <v>0</v>
      </c>
      <c r="G19155" s="3" t="n">
        <v>120</v>
      </c>
    </row>
    <row r="19156">
      <c r="A19156" s="3" t="inlineStr">
        <is>
          <t>Endulini (Pty) Ltd</t>
        </is>
      </c>
      <c r="B19156" s="4" t="n">
        <v>45351</v>
      </c>
      <c r="C19156" s="3" t="inlineStr">
        <is>
          <t>Assets</t>
        </is>
      </c>
      <c r="D19156" s="3" t="inlineStr">
        <is>
          <t>7610/100</t>
        </is>
      </c>
      <c r="E19156" s="3" t="inlineStr">
        <is>
          <t>Endulini Land</t>
        </is>
      </c>
      <c r="F19156" s="3" t="n">
        <v>0</v>
      </c>
      <c r="G19156" s="3" t="n">
        <v>10572851.37</v>
      </c>
    </row>
    <row r="19157">
      <c r="A19157" s="3" t="inlineStr">
        <is>
          <t>Endulini (Pty) Ltd</t>
        </is>
      </c>
      <c r="B19157" s="4" t="n">
        <v>45351</v>
      </c>
      <c r="C19157" s="3" t="inlineStr">
        <is>
          <t>Assets</t>
        </is>
      </c>
      <c r="D19157" s="3" t="inlineStr">
        <is>
          <t>7610/111</t>
        </is>
      </c>
      <c r="E19157" s="3" t="inlineStr">
        <is>
          <t>Endulini Closing Stock February 2021</t>
        </is>
      </c>
      <c r="F19157" s="3" t="n">
        <v>0</v>
      </c>
      <c r="G19157" s="3" t="n">
        <v>14368610.11</v>
      </c>
    </row>
    <row r="19158">
      <c r="A19158" s="3" t="inlineStr">
        <is>
          <t>Endulini (Pty) Ltd</t>
        </is>
      </c>
      <c r="B19158" s="4" t="n">
        <v>45351</v>
      </c>
      <c r="C19158" s="3" t="inlineStr">
        <is>
          <t>Assets</t>
        </is>
      </c>
      <c r="D19158" s="3" t="inlineStr">
        <is>
          <t>7610/180</t>
        </is>
      </c>
      <c r="E19158" s="3" t="inlineStr">
        <is>
          <t>Endulini CIP Architects</t>
        </is>
      </c>
      <c r="F19158" s="3" t="n">
        <v>0</v>
      </c>
      <c r="G19158" s="3" t="n">
        <v>1292111.71</v>
      </c>
    </row>
    <row r="19159">
      <c r="A19159" s="3" t="inlineStr">
        <is>
          <t>Endulini (Pty) Ltd</t>
        </is>
      </c>
      <c r="B19159" s="4" t="n">
        <v>45351</v>
      </c>
      <c r="C19159" s="3" t="inlineStr">
        <is>
          <t>Assets</t>
        </is>
      </c>
      <c r="D19159" s="3" t="inlineStr">
        <is>
          <t>7610/200</t>
        </is>
      </c>
      <c r="E19159" s="3" t="inlineStr">
        <is>
          <t>Endulini CIP CoCT Land Use App</t>
        </is>
      </c>
      <c r="F19159" s="3" t="n">
        <v>0</v>
      </c>
      <c r="G19159" s="3" t="n">
        <v>232891.06</v>
      </c>
    </row>
    <row r="19160">
      <c r="A19160" s="3" t="inlineStr">
        <is>
          <t>Endulini (Pty) Ltd</t>
        </is>
      </c>
      <c r="B19160" s="4" t="n">
        <v>45351</v>
      </c>
      <c r="C19160" s="3" t="inlineStr">
        <is>
          <t>Assets</t>
        </is>
      </c>
      <c r="D19160" s="3" t="inlineStr">
        <is>
          <t>7610/205</t>
        </is>
      </c>
      <c r="E19160" s="3" t="inlineStr">
        <is>
          <t>Endulini CIP Site Establishments</t>
        </is>
      </c>
      <c r="F19160" s="3" t="n">
        <v>0</v>
      </c>
      <c r="G19160" s="3" t="n">
        <v>32428975.01</v>
      </c>
    </row>
    <row r="19161">
      <c r="A19161" s="3" t="inlineStr">
        <is>
          <t>Endulini (Pty) Ltd</t>
        </is>
      </c>
      <c r="B19161" s="4" t="n">
        <v>45351</v>
      </c>
      <c r="C19161" s="3" t="inlineStr">
        <is>
          <t>Assets</t>
        </is>
      </c>
      <c r="D19161" s="3" t="inlineStr">
        <is>
          <t>7610/209</t>
        </is>
      </c>
      <c r="E19161" s="3" t="inlineStr">
        <is>
          <t>Endulini CIP Construction Management</t>
        </is>
      </c>
      <c r="F19161" s="3" t="n">
        <v>0</v>
      </c>
      <c r="G19161" s="3" t="n">
        <v>223375</v>
      </c>
    </row>
    <row r="19162">
      <c r="A19162" s="3" t="inlineStr">
        <is>
          <t>Endulini (Pty) Ltd</t>
        </is>
      </c>
      <c r="B19162" s="4" t="n">
        <v>45351</v>
      </c>
      <c r="C19162" s="3" t="inlineStr">
        <is>
          <t>Assets</t>
        </is>
      </c>
      <c r="D19162" s="3" t="inlineStr">
        <is>
          <t>7610/210</t>
        </is>
      </c>
      <c r="E19162" s="3" t="inlineStr">
        <is>
          <t>Endulini CIP Civil Works</t>
        </is>
      </c>
      <c r="F19162" s="3" t="n">
        <v>0</v>
      </c>
      <c r="G19162" s="3" t="n">
        <v>6295702.14</v>
      </c>
    </row>
    <row r="19163">
      <c r="A19163" s="3" t="inlineStr">
        <is>
          <t>Endulini (Pty) Ltd</t>
        </is>
      </c>
      <c r="B19163" s="4" t="n">
        <v>45351</v>
      </c>
      <c r="C19163" s="3" t="inlineStr">
        <is>
          <t>Assets</t>
        </is>
      </c>
      <c r="D19163" s="3" t="inlineStr">
        <is>
          <t>7610/215</t>
        </is>
      </c>
      <c r="E19163" s="3" t="inlineStr">
        <is>
          <t>Endulini CIP Civil Engineers</t>
        </is>
      </c>
      <c r="F19163" s="3" t="n">
        <v>0</v>
      </c>
      <c r="G19163" s="3" t="n">
        <v>183000</v>
      </c>
    </row>
    <row r="19164">
      <c r="A19164" s="3" t="inlineStr">
        <is>
          <t>Endulini (Pty) Ltd</t>
        </is>
      </c>
      <c r="B19164" s="4" t="n">
        <v>45351</v>
      </c>
      <c r="C19164" s="3" t="inlineStr">
        <is>
          <t>Assets</t>
        </is>
      </c>
      <c r="D19164" s="3" t="inlineStr">
        <is>
          <t>7610/220</t>
        </is>
      </c>
      <c r="E19164" s="3" t="inlineStr">
        <is>
          <t>Endulini CIP Structuring Project Fee Opp Invest</t>
        </is>
      </c>
      <c r="F19164" s="3" t="n">
        <v>0</v>
      </c>
      <c r="G19164" s="3" t="n">
        <v>483735.96</v>
      </c>
    </row>
    <row r="19165">
      <c r="A19165" s="3" t="inlineStr">
        <is>
          <t>Endulini (Pty) Ltd</t>
        </is>
      </c>
      <c r="B19165" s="4" t="n">
        <v>45351</v>
      </c>
      <c r="C19165" s="3" t="inlineStr">
        <is>
          <t>Assets</t>
        </is>
      </c>
      <c r="D19165" s="3" t="inlineStr">
        <is>
          <t>7610/225</t>
        </is>
      </c>
      <c r="E19165" s="3" t="inlineStr">
        <is>
          <t>Endulini CIP Structural engineering fee</t>
        </is>
      </c>
      <c r="F19165" s="3" t="n">
        <v>0</v>
      </c>
      <c r="G19165" s="3" t="n">
        <v>288645.08</v>
      </c>
    </row>
    <row r="19166">
      <c r="A19166" s="3" t="inlineStr">
        <is>
          <t>Endulini (Pty) Ltd</t>
        </is>
      </c>
      <c r="B19166" s="4" t="n">
        <v>45351</v>
      </c>
      <c r="C19166" s="3" t="inlineStr">
        <is>
          <t>Assets</t>
        </is>
      </c>
      <c r="D19166" s="3" t="inlineStr">
        <is>
          <t>7610/230</t>
        </is>
      </c>
      <c r="E19166" s="3" t="inlineStr">
        <is>
          <t>Endulini CIP Mechanical Engineering</t>
        </is>
      </c>
      <c r="F19166" s="3" t="n">
        <v>0</v>
      </c>
      <c r="G19166" s="3" t="n">
        <v>15570</v>
      </c>
    </row>
    <row r="19167">
      <c r="A19167" s="3" t="inlineStr">
        <is>
          <t>Endulini (Pty) Ltd</t>
        </is>
      </c>
      <c r="B19167" s="4" t="n">
        <v>45351</v>
      </c>
      <c r="C19167" s="3" t="inlineStr">
        <is>
          <t>Assets</t>
        </is>
      </c>
      <c r="D19167" s="3" t="inlineStr">
        <is>
          <t>7610/235</t>
        </is>
      </c>
      <c r="E19167" s="3" t="inlineStr">
        <is>
          <t>Endulini CIP Electrical Installation</t>
        </is>
      </c>
      <c r="F19167" s="3" t="n">
        <v>0</v>
      </c>
      <c r="G19167" s="3" t="n">
        <v>1034019.08</v>
      </c>
    </row>
    <row r="19168">
      <c r="A19168" s="3" t="inlineStr">
        <is>
          <t>Endulini (Pty) Ltd</t>
        </is>
      </c>
      <c r="B19168" s="4" t="n">
        <v>45351</v>
      </c>
      <c r="C19168" s="3" t="inlineStr">
        <is>
          <t>Assets</t>
        </is>
      </c>
      <c r="D19168" s="3" t="inlineStr">
        <is>
          <t>7610/250</t>
        </is>
      </c>
      <c r="E19168" s="3" t="inlineStr">
        <is>
          <t>Endulini CIP Boundary Wall</t>
        </is>
      </c>
      <c r="F19168" s="3" t="n">
        <v>0</v>
      </c>
      <c r="G19168" s="3" t="n">
        <v>88400.8</v>
      </c>
    </row>
    <row r="19169">
      <c r="A19169" s="3" t="inlineStr">
        <is>
          <t>Endulini (Pty) Ltd</t>
        </is>
      </c>
      <c r="B19169" s="4" t="n">
        <v>45351</v>
      </c>
      <c r="C19169" s="3" t="inlineStr">
        <is>
          <t>Assets</t>
        </is>
      </c>
      <c r="D19169" s="3" t="inlineStr">
        <is>
          <t>7610/290</t>
        </is>
      </c>
      <c r="E19169" s="3" t="inlineStr">
        <is>
          <t>Endulini CIP Development Management Fees</t>
        </is>
      </c>
      <c r="F19169" s="3" t="n">
        <v>0</v>
      </c>
      <c r="G19169" s="3" t="n">
        <v>665322.71</v>
      </c>
    </row>
    <row r="19170">
      <c r="A19170" s="3" t="inlineStr">
        <is>
          <t>Endulini (Pty) Ltd</t>
        </is>
      </c>
      <c r="B19170" s="4" t="n">
        <v>45351</v>
      </c>
      <c r="C19170" s="3" t="inlineStr">
        <is>
          <t>Assets</t>
        </is>
      </c>
      <c r="D19170" s="3" t="inlineStr">
        <is>
          <t>7610/310</t>
        </is>
      </c>
      <c r="E19170" s="3" t="inlineStr">
        <is>
          <t>Endulini CIP Enviromental consultants</t>
        </is>
      </c>
      <c r="F19170" s="3" t="n">
        <v>0</v>
      </c>
      <c r="G19170" s="3" t="n">
        <v>115730</v>
      </c>
    </row>
    <row r="19171">
      <c r="A19171" s="3" t="inlineStr">
        <is>
          <t>Endulini (Pty) Ltd</t>
        </is>
      </c>
      <c r="B19171" s="4" t="n">
        <v>45351</v>
      </c>
      <c r="C19171" s="3" t="inlineStr">
        <is>
          <t>Assets</t>
        </is>
      </c>
      <c r="D19171" s="3" t="inlineStr">
        <is>
          <t>7610/320</t>
        </is>
      </c>
      <c r="E19171" s="3" t="inlineStr">
        <is>
          <t>Endulini CIP Geotechnical</t>
        </is>
      </c>
      <c r="F19171" s="3" t="n">
        <v>0</v>
      </c>
      <c r="G19171" s="3" t="n">
        <v>13575</v>
      </c>
    </row>
    <row r="19172">
      <c r="A19172" s="3" t="inlineStr">
        <is>
          <t>Endulini (Pty) Ltd</t>
        </is>
      </c>
      <c r="B19172" s="4" t="n">
        <v>45351</v>
      </c>
      <c r="C19172" s="3" t="inlineStr">
        <is>
          <t>Assets</t>
        </is>
      </c>
      <c r="D19172" s="3" t="inlineStr">
        <is>
          <t>7610/330</t>
        </is>
      </c>
      <c r="E19172" s="3" t="inlineStr">
        <is>
          <t>Endulini CIP Health and Safety</t>
        </is>
      </c>
      <c r="F19172" s="3" t="n">
        <v>0</v>
      </c>
      <c r="G19172" s="3" t="n">
        <v>40200</v>
      </c>
    </row>
    <row r="19173">
      <c r="A19173" s="3" t="inlineStr">
        <is>
          <t>Endulini (Pty) Ltd</t>
        </is>
      </c>
      <c r="B19173" s="4" t="n">
        <v>45351</v>
      </c>
      <c r="C19173" s="3" t="inlineStr">
        <is>
          <t>Assets</t>
        </is>
      </c>
      <c r="D19173" s="3" t="inlineStr">
        <is>
          <t>7610/390</t>
        </is>
      </c>
      <c r="E19173" s="3" t="inlineStr">
        <is>
          <t>Endulini CIP Land Surveyor</t>
        </is>
      </c>
      <c r="F19173" s="3" t="n">
        <v>0</v>
      </c>
      <c r="G19173" s="3" t="n">
        <v>186021.2</v>
      </c>
    </row>
    <row r="19174">
      <c r="A19174" s="3" t="inlineStr">
        <is>
          <t>Endulini (Pty) Ltd</t>
        </is>
      </c>
      <c r="B19174" s="4" t="n">
        <v>45351</v>
      </c>
      <c r="C19174" s="3" t="inlineStr">
        <is>
          <t>Assets</t>
        </is>
      </c>
      <c r="D19174" s="3" t="inlineStr">
        <is>
          <t>7610/392</t>
        </is>
      </c>
      <c r="E19174" s="3" t="inlineStr">
        <is>
          <t>Endulini CIP Landscaping</t>
        </is>
      </c>
      <c r="F19174" s="3" t="n">
        <v>0</v>
      </c>
      <c r="G19174" s="3" t="n">
        <v>6100</v>
      </c>
    </row>
    <row r="19175">
      <c r="A19175" s="3" t="inlineStr">
        <is>
          <t>Endulini (Pty) Ltd</t>
        </is>
      </c>
      <c r="B19175" s="4" t="n">
        <v>45351</v>
      </c>
      <c r="C19175" s="3" t="inlineStr">
        <is>
          <t>Assets</t>
        </is>
      </c>
      <c r="D19175" s="3" t="inlineStr">
        <is>
          <t>7610/395</t>
        </is>
      </c>
      <c r="E19175" s="3" t="inlineStr">
        <is>
          <t>Endulini CIP NHBRC</t>
        </is>
      </c>
      <c r="F19175" s="3" t="n">
        <v>0</v>
      </c>
      <c r="G19175" s="3" t="n">
        <v>928847.49</v>
      </c>
    </row>
    <row r="19176">
      <c r="A19176" s="3" t="inlineStr">
        <is>
          <t>Endulini (Pty) Ltd</t>
        </is>
      </c>
      <c r="B19176" s="4" t="n">
        <v>45351</v>
      </c>
      <c r="C19176" s="3" t="inlineStr">
        <is>
          <t>Assets</t>
        </is>
      </c>
      <c r="D19176" s="3" t="inlineStr">
        <is>
          <t>7610/400</t>
        </is>
      </c>
      <c r="E19176" s="3" t="inlineStr">
        <is>
          <t>Endulini CIP Quantity Surveyor</t>
        </is>
      </c>
      <c r="F19176" s="3" t="n">
        <v>0</v>
      </c>
      <c r="G19176" s="3" t="n">
        <v>82136.36</v>
      </c>
    </row>
    <row r="19177">
      <c r="A19177" s="3" t="inlineStr">
        <is>
          <t>Endulini (Pty) Ltd</t>
        </is>
      </c>
      <c r="B19177" s="4" t="n">
        <v>45351</v>
      </c>
      <c r="C19177" s="3" t="inlineStr">
        <is>
          <t>Assets</t>
        </is>
      </c>
      <c r="D19177" s="3" t="inlineStr">
        <is>
          <t>7610/600</t>
        </is>
      </c>
      <c r="E19177" s="3" t="inlineStr">
        <is>
          <t>Endulini CIP Town Planning</t>
        </is>
      </c>
      <c r="F19177" s="3" t="n">
        <v>0</v>
      </c>
      <c r="G19177" s="3" t="n">
        <v>21105</v>
      </c>
    </row>
    <row r="19178">
      <c r="A19178" s="3" t="inlineStr">
        <is>
          <t>Endulini (Pty) Ltd</t>
        </is>
      </c>
      <c r="B19178" s="4" t="n">
        <v>45351</v>
      </c>
      <c r="C19178" s="3" t="inlineStr">
        <is>
          <t>Assets</t>
        </is>
      </c>
      <c r="D19178" s="3" t="inlineStr">
        <is>
          <t>7610/620</t>
        </is>
      </c>
      <c r="E19178" s="3" t="inlineStr">
        <is>
          <t>Endulini CIP Traffic Impact</t>
        </is>
      </c>
      <c r="F19178" s="3" t="n">
        <v>0</v>
      </c>
      <c r="G19178" s="3" t="n">
        <v>24915</v>
      </c>
    </row>
    <row r="19179">
      <c r="A19179" s="3" t="inlineStr">
        <is>
          <t>Endulini (Pty) Ltd</t>
        </is>
      </c>
      <c r="B19179" s="4" t="n">
        <v>45351</v>
      </c>
      <c r="C19179" s="3" t="inlineStr">
        <is>
          <t>Assets</t>
        </is>
      </c>
      <c r="D19179" s="3" t="inlineStr">
        <is>
          <t>7610/630</t>
        </is>
      </c>
      <c r="E19179" s="3" t="inlineStr">
        <is>
          <t>Endulini CIP CoCT Development Contributi</t>
        </is>
      </c>
      <c r="F19179" s="3" t="n">
        <v>0</v>
      </c>
      <c r="G19179" s="3" t="n">
        <v>661860.3100000001</v>
      </c>
    </row>
    <row r="19180">
      <c r="A19180" s="3" t="inlineStr">
        <is>
          <t>Endulini (Pty) Ltd</t>
        </is>
      </c>
      <c r="B19180" s="4" t="n">
        <v>45351</v>
      </c>
      <c r="C19180" s="3" t="inlineStr">
        <is>
          <t>Assets</t>
        </is>
      </c>
      <c r="D19180" s="3" t="inlineStr">
        <is>
          <t>7610/640</t>
        </is>
      </c>
      <c r="E19180" s="3" t="inlineStr">
        <is>
          <t>Endulini CIP CoCT Building plan application</t>
        </is>
      </c>
      <c r="F19180" s="3" t="n">
        <v>0</v>
      </c>
      <c r="G19180" s="3" t="n">
        <v>111203.22</v>
      </c>
    </row>
    <row r="19181">
      <c r="A19181" s="3" t="inlineStr">
        <is>
          <t>Endulini (Pty) Ltd</t>
        </is>
      </c>
      <c r="B19181" s="4" t="n">
        <v>45351</v>
      </c>
      <c r="C19181" s="3" t="inlineStr">
        <is>
          <t>Assets</t>
        </is>
      </c>
      <c r="D19181" s="3" t="inlineStr">
        <is>
          <t>7610/900</t>
        </is>
      </c>
      <c r="E19181" s="3" t="inlineStr">
        <is>
          <t>Endulini CIP Cost of Sales</t>
        </is>
      </c>
      <c r="F19181" s="3" t="n">
        <v>0</v>
      </c>
      <c r="G19181" s="3" t="n">
        <v>-28210981.9</v>
      </c>
    </row>
    <row r="19182">
      <c r="A19182" s="3" t="inlineStr">
        <is>
          <t>Quinate Consulting (Pty) Ltd</t>
        </is>
      </c>
      <c r="B19182" s="4" t="n">
        <v>45351</v>
      </c>
      <c r="C19182" s="3" t="inlineStr">
        <is>
          <t>Assets</t>
        </is>
      </c>
      <c r="D19182" s="3" t="inlineStr">
        <is>
          <t>7800/104</t>
        </is>
      </c>
      <c r="E19182" s="3" t="inlineStr">
        <is>
          <t>Stock - Closing Stock SW - 28 Feb 21</t>
        </is>
      </c>
      <c r="F19182" s="3" t="n">
        <v>0</v>
      </c>
      <c r="G19182" s="3" t="n">
        <v>2874478.88</v>
      </c>
    </row>
    <row r="19183">
      <c r="A19183" s="3" t="inlineStr">
        <is>
          <t>Quinate Consulting (Pty) Ltd</t>
        </is>
      </c>
      <c r="B19183" s="4" t="n">
        <v>45351</v>
      </c>
      <c r="C19183" s="3" t="inlineStr">
        <is>
          <t>Assets</t>
        </is>
      </c>
      <c r="D19183" s="3" t="inlineStr">
        <is>
          <t>7800/105</t>
        </is>
      </c>
      <c r="E19183" s="3" t="inlineStr">
        <is>
          <t>Stock - Closing Stock SH - 28 Feb 21</t>
        </is>
      </c>
      <c r="F19183" s="3" t="n">
        <v>0</v>
      </c>
      <c r="G19183" s="3" t="n">
        <v>2843477.6</v>
      </c>
    </row>
    <row r="19184">
      <c r="A19184" s="3" t="inlineStr">
        <is>
          <t>Endulini (Pty) Ltd</t>
        </is>
      </c>
      <c r="B19184" s="4" t="n">
        <v>45351</v>
      </c>
      <c r="C19184" s="3" t="inlineStr">
        <is>
          <t>Assets</t>
        </is>
      </c>
      <c r="D19184" s="3" t="inlineStr">
        <is>
          <t>8000/000</t>
        </is>
      </c>
      <c r="E19184" s="3" t="inlineStr">
        <is>
          <t>Customer Control Account</t>
        </is>
      </c>
      <c r="F19184" s="3" t="n">
        <v>0</v>
      </c>
      <c r="G19184" s="3" t="n">
        <v>335821.57</v>
      </c>
    </row>
    <row r="19185">
      <c r="A19185" s="3" t="inlineStr">
        <is>
          <t>Noble Shield (Pty) Ltd ta Go Letting</t>
        </is>
      </c>
      <c r="B19185" s="4" t="n">
        <v>45351</v>
      </c>
      <c r="C19185" s="3" t="inlineStr">
        <is>
          <t>Assets</t>
        </is>
      </c>
      <c r="D19185" s="3" t="inlineStr">
        <is>
          <t>8000/000</t>
        </is>
      </c>
      <c r="E19185" s="3" t="inlineStr">
        <is>
          <t>Customer Control Account</t>
        </is>
      </c>
      <c r="F19185" s="3" t="n">
        <v>0</v>
      </c>
      <c r="G19185" s="3" t="n">
        <v>60289.32</v>
      </c>
    </row>
    <row r="19186">
      <c r="A19186" s="3" t="inlineStr">
        <is>
          <t>Opportunity Global Investment (PTY) LTD</t>
        </is>
      </c>
      <c r="B19186" s="4" t="n">
        <v>45351</v>
      </c>
      <c r="C19186" s="3" t="inlineStr">
        <is>
          <t>Assets</t>
        </is>
      </c>
      <c r="D19186" s="3" t="inlineStr">
        <is>
          <t>8000/000</t>
        </is>
      </c>
      <c r="E19186" s="3" t="inlineStr">
        <is>
          <t>Customer Control Account</t>
        </is>
      </c>
      <c r="F19186" s="3" t="n">
        <v>38216.43</v>
      </c>
      <c r="G19186" s="3" t="n">
        <v>54115.58</v>
      </c>
    </row>
    <row r="19187">
      <c r="A19187" s="3" t="inlineStr">
        <is>
          <t>Opportunity Global Property (PTY) LTD</t>
        </is>
      </c>
      <c r="B19187" s="4" t="n">
        <v>45351</v>
      </c>
      <c r="C19187" s="3" t="inlineStr">
        <is>
          <t>Assets</t>
        </is>
      </c>
      <c r="D19187" s="3" t="inlineStr">
        <is>
          <t>8000/000</t>
        </is>
      </c>
      <c r="E19187" s="3" t="inlineStr">
        <is>
          <t>Customer Control Account</t>
        </is>
      </c>
      <c r="F19187" s="3" t="n">
        <v>-45000</v>
      </c>
      <c r="G19187" s="3" t="n">
        <v>536498.33</v>
      </c>
    </row>
    <row r="19188">
      <c r="A19188" s="3" t="inlineStr">
        <is>
          <t>Opportunity Global Sales (PTY) LTD</t>
        </is>
      </c>
      <c r="B19188" s="4" t="n">
        <v>45351</v>
      </c>
      <c r="C19188" s="3" t="inlineStr">
        <is>
          <t>Assets</t>
        </is>
      </c>
      <c r="D19188" s="3" t="inlineStr">
        <is>
          <t>8000/000</t>
        </is>
      </c>
      <c r="E19188" s="3" t="inlineStr">
        <is>
          <t>Customer Control Account</t>
        </is>
      </c>
      <c r="F19188" s="3" t="n">
        <v>-45000</v>
      </c>
      <c r="G19188" s="3" t="n">
        <v>536498.33</v>
      </c>
    </row>
    <row r="19189">
      <c r="A19189" s="3" t="inlineStr">
        <is>
          <t>Opportunity Management Holdings (PTY) LTD</t>
        </is>
      </c>
      <c r="B19189" s="4" t="n">
        <v>45351</v>
      </c>
      <c r="C19189" s="3" t="inlineStr">
        <is>
          <t>Assets</t>
        </is>
      </c>
      <c r="D19189" s="3" t="inlineStr">
        <is>
          <t>8000/000</t>
        </is>
      </c>
      <c r="E19189" s="3" t="inlineStr">
        <is>
          <t>Customer Control Account</t>
        </is>
      </c>
      <c r="F19189" s="3" t="n">
        <v>38558.15</v>
      </c>
      <c r="G19189" s="3" t="n">
        <v>554326.47</v>
      </c>
    </row>
    <row r="19190">
      <c r="A19190" s="3" t="inlineStr">
        <is>
          <t>Opportunity Private Capital (PTY) LTD</t>
        </is>
      </c>
      <c r="B19190" s="4" t="n">
        <v>45351</v>
      </c>
      <c r="C19190" s="3" t="inlineStr">
        <is>
          <t>Assets</t>
        </is>
      </c>
      <c r="D19190" s="3" t="inlineStr">
        <is>
          <t>8000/000</t>
        </is>
      </c>
      <c r="E19190" s="3" t="inlineStr">
        <is>
          <t>Customer Control Account</t>
        </is>
      </c>
      <c r="F19190" s="3" t="n">
        <v>38216.43</v>
      </c>
      <c r="G19190" s="3" t="n">
        <v>54115.58</v>
      </c>
    </row>
    <row r="19191">
      <c r="A19191" s="3" t="inlineStr">
        <is>
          <t>Quinate Consulting (Pty) Ltd</t>
        </is>
      </c>
      <c r="B19191" s="4" t="n">
        <v>45351</v>
      </c>
      <c r="C19191" s="3" t="inlineStr">
        <is>
          <t>Assets</t>
        </is>
      </c>
      <c r="D19191" s="3" t="inlineStr">
        <is>
          <t>8000/000</t>
        </is>
      </c>
      <c r="E19191" s="3" t="inlineStr">
        <is>
          <t>Customer Control Account</t>
        </is>
      </c>
      <c r="F19191" s="3" t="n">
        <v>1771.76</v>
      </c>
      <c r="G19191" s="3" t="n">
        <v>66526.64</v>
      </c>
    </row>
    <row r="19192">
      <c r="A19192" s="3" t="inlineStr">
        <is>
          <t>Quinate Consulting (Pty) Ltd</t>
        </is>
      </c>
      <c r="B19192" s="4" t="n">
        <v>45351</v>
      </c>
      <c r="C19192" s="3" t="inlineStr">
        <is>
          <t>Assets</t>
        </is>
      </c>
      <c r="D19192" s="3" t="inlineStr">
        <is>
          <t>8001</t>
        </is>
      </c>
      <c r="E19192" s="3" t="inlineStr">
        <is>
          <t>Customer Control</t>
        </is>
      </c>
      <c r="F19192" s="3" t="n">
        <v>0</v>
      </c>
      <c r="G19192" s="3" t="n">
        <v>29487.49</v>
      </c>
    </row>
    <row r="19193">
      <c r="A19193" s="3" t="inlineStr">
        <is>
          <t>Quinate Consulting (Pty) Ltd</t>
        </is>
      </c>
      <c r="B19193" s="4" t="n">
        <v>45351</v>
      </c>
      <c r="C19193" s="3" t="inlineStr">
        <is>
          <t>Assets</t>
        </is>
      </c>
      <c r="D19193" s="3" t="inlineStr">
        <is>
          <t>8200/010</t>
        </is>
      </c>
      <c r="E19193" s="3" t="inlineStr">
        <is>
          <t>Prepayments / Prepaid Expenses</t>
        </is>
      </c>
      <c r="F19193" s="3" t="n">
        <v>0</v>
      </c>
      <c r="G19193" s="3" t="n">
        <v>109675</v>
      </c>
    </row>
    <row r="19194">
      <c r="A19194" s="3" t="inlineStr">
        <is>
          <t>Opportunity Management Holdings (PTY) LTD</t>
        </is>
      </c>
      <c r="B19194" s="4" t="n">
        <v>45351</v>
      </c>
      <c r="C19194" s="3" t="inlineStr">
        <is>
          <t>Assets</t>
        </is>
      </c>
      <c r="D19194" s="3" t="inlineStr">
        <is>
          <t>8200/020</t>
        </is>
      </c>
      <c r="E19194" s="3" t="inlineStr">
        <is>
          <t>Staff Loan - Nicolene Smit</t>
        </is>
      </c>
      <c r="F19194" s="3" t="n">
        <v>-500</v>
      </c>
      <c r="G19194" s="3" t="n">
        <v>1000</v>
      </c>
    </row>
    <row r="19195">
      <c r="A19195" s="3" t="inlineStr">
        <is>
          <t>Opportunity Global Property (PTY) LTD</t>
        </is>
      </c>
      <c r="B19195" s="4" t="n">
        <v>45351</v>
      </c>
      <c r="C19195" s="3" t="inlineStr">
        <is>
          <t>Assets</t>
        </is>
      </c>
      <c r="D19195" s="3" t="inlineStr">
        <is>
          <t>8300/200</t>
        </is>
      </c>
      <c r="E19195" s="3" t="inlineStr">
        <is>
          <t>Staff Loan - Mario Stoop</t>
        </is>
      </c>
      <c r="F19195" s="3" t="n">
        <v>-1500</v>
      </c>
      <c r="G19195" s="3" t="n">
        <v>3000</v>
      </c>
    </row>
    <row r="19196">
      <c r="A19196" s="3" t="inlineStr">
        <is>
          <t>Opportunity Global Sales (PTY) LTD</t>
        </is>
      </c>
      <c r="B19196" s="4" t="n">
        <v>45351</v>
      </c>
      <c r="C19196" s="3" t="inlineStr">
        <is>
          <t>Assets</t>
        </is>
      </c>
      <c r="D19196" s="3" t="inlineStr">
        <is>
          <t>8300/200</t>
        </is>
      </c>
      <c r="E19196" s="3" t="inlineStr">
        <is>
          <t>Staff Loan - Mario Stoop</t>
        </is>
      </c>
      <c r="F19196" s="3" t="n">
        <v>-1500</v>
      </c>
      <c r="G19196" s="3" t="n">
        <v>3000</v>
      </c>
    </row>
    <row r="19197">
      <c r="A19197" s="3" t="inlineStr">
        <is>
          <t>Opportunity Global Investment (PTY) LTD</t>
        </is>
      </c>
      <c r="B19197" s="4" t="n">
        <v>45351</v>
      </c>
      <c r="C19197" s="3" t="inlineStr">
        <is>
          <t>Assets</t>
        </is>
      </c>
      <c r="D19197" s="3" t="inlineStr">
        <is>
          <t>8400/000</t>
        </is>
      </c>
      <c r="E19197" s="3" t="inlineStr">
        <is>
          <t>FNB 62093491696</t>
        </is>
      </c>
      <c r="F19197" s="3" t="n">
        <v>-7145.17</v>
      </c>
      <c r="G19197" s="3" t="n">
        <v>49422.18</v>
      </c>
    </row>
    <row r="19198">
      <c r="A19198" s="3" t="inlineStr">
        <is>
          <t>Opportunity Private Capital (PTY) LTD</t>
        </is>
      </c>
      <c r="B19198" s="4" t="n">
        <v>45351</v>
      </c>
      <c r="C19198" s="3" t="inlineStr">
        <is>
          <t>Assets</t>
        </is>
      </c>
      <c r="D19198" s="3" t="inlineStr">
        <is>
          <t>8400/000</t>
        </is>
      </c>
      <c r="E19198" s="3" t="inlineStr">
        <is>
          <t>FNB 62093491696</t>
        </is>
      </c>
      <c r="F19198" s="3" t="n">
        <v>-7145.17</v>
      </c>
      <c r="G19198" s="3" t="n">
        <v>49422.18</v>
      </c>
    </row>
    <row r="19199">
      <c r="A19199" s="3" t="inlineStr">
        <is>
          <t>Opportunity Global Property (PTY) LTD</t>
        </is>
      </c>
      <c r="B19199" s="4" t="n">
        <v>45351</v>
      </c>
      <c r="C19199" s="3" t="inlineStr">
        <is>
          <t>Assets</t>
        </is>
      </c>
      <c r="D19199" s="3" t="inlineStr">
        <is>
          <t>8400/000</t>
        </is>
      </c>
      <c r="E19199" s="3" t="inlineStr">
        <is>
          <t>FNB 62835620875</t>
        </is>
      </c>
      <c r="F19199" s="3" t="n">
        <v>8654.15</v>
      </c>
      <c r="G19199" s="3" t="n">
        <v>62149.08</v>
      </c>
    </row>
    <row r="19200">
      <c r="A19200" s="3" t="inlineStr">
        <is>
          <t>Opportunity Global Sales (PTY) LTD</t>
        </is>
      </c>
      <c r="B19200" s="4" t="n">
        <v>45351</v>
      </c>
      <c r="C19200" s="3" t="inlineStr">
        <is>
          <t>Assets</t>
        </is>
      </c>
      <c r="D19200" s="3" t="inlineStr">
        <is>
          <t>8400/000</t>
        </is>
      </c>
      <c r="E19200" s="3" t="inlineStr">
        <is>
          <t>FNB 62835620875</t>
        </is>
      </c>
      <c r="F19200" s="3" t="n">
        <v>8654.15</v>
      </c>
      <c r="G19200" s="3" t="n">
        <v>62149.08</v>
      </c>
    </row>
    <row r="19201">
      <c r="A19201" s="3" t="inlineStr">
        <is>
          <t>Quinate Consulting (Pty) Ltd</t>
        </is>
      </c>
      <c r="B19201" s="4" t="n">
        <v>45351</v>
      </c>
      <c r="C19201" s="3" t="inlineStr">
        <is>
          <t>Assets</t>
        </is>
      </c>
      <c r="D19201" s="3" t="inlineStr">
        <is>
          <t>8400/000</t>
        </is>
      </c>
      <c r="E19201" s="3" t="inlineStr">
        <is>
          <t>RMB - 62736659189 - Call Acc</t>
        </is>
      </c>
      <c r="F19201" s="3" t="n">
        <v>-487498.9</v>
      </c>
      <c r="G19201" s="3" t="n">
        <v>808842.0600000001</v>
      </c>
    </row>
    <row r="19202">
      <c r="A19202" s="3" t="inlineStr">
        <is>
          <t>Trademark Holdings (Pty) Ltd</t>
        </is>
      </c>
      <c r="B19202" s="4" t="n">
        <v>45351</v>
      </c>
      <c r="C19202" s="3" t="inlineStr">
        <is>
          <t>Assets</t>
        </is>
      </c>
      <c r="D19202" s="3" t="inlineStr">
        <is>
          <t>8400/000</t>
        </is>
      </c>
      <c r="E19202" s="3" t="inlineStr">
        <is>
          <t>RMB 623 693 03640</t>
        </is>
      </c>
      <c r="F19202" s="3" t="n">
        <v>30137.7</v>
      </c>
      <c r="G19202" s="3" t="n">
        <v>70155.39</v>
      </c>
    </row>
    <row r="19203">
      <c r="A19203" s="3" t="inlineStr">
        <is>
          <t>Noble Shield (Pty) Ltd ta Go Letting</t>
        </is>
      </c>
      <c r="B19203" s="4" t="n">
        <v>45351</v>
      </c>
      <c r="C19203" s="3" t="inlineStr">
        <is>
          <t>Assets</t>
        </is>
      </c>
      <c r="D19203" s="3" t="inlineStr">
        <is>
          <t>8400/000</t>
        </is>
      </c>
      <c r="E19203" s="3" t="inlineStr">
        <is>
          <t>RMB 6250 573 3833</t>
        </is>
      </c>
      <c r="F19203" s="3" t="n">
        <v>3706.19</v>
      </c>
      <c r="G19203" s="3" t="n">
        <v>48104.19</v>
      </c>
    </row>
    <row r="19204">
      <c r="A19204" s="3" t="inlineStr">
        <is>
          <t>Endulini (Pty) Ltd</t>
        </is>
      </c>
      <c r="B19204" s="4" t="n">
        <v>45351</v>
      </c>
      <c r="C19204" s="3" t="inlineStr">
        <is>
          <t>Assets</t>
        </is>
      </c>
      <c r="D19204" s="3" t="inlineStr">
        <is>
          <t>8400/000</t>
        </is>
      </c>
      <c r="E19204" s="3" t="inlineStr">
        <is>
          <t>RMB 62906944576</t>
        </is>
      </c>
      <c r="F19204" s="3" t="n">
        <v>8597.379999999999</v>
      </c>
      <c r="G19204" s="3" t="n">
        <v>34067.41</v>
      </c>
    </row>
    <row r="19205">
      <c r="A19205" s="3" t="inlineStr">
        <is>
          <t>Opportunity Management Holdings (PTY) LTD</t>
        </is>
      </c>
      <c r="B19205" s="4" t="n">
        <v>45351</v>
      </c>
      <c r="C19205" s="3" t="inlineStr">
        <is>
          <t>Assets</t>
        </is>
      </c>
      <c r="D19205" s="3" t="inlineStr">
        <is>
          <t>8400/000</t>
        </is>
      </c>
      <c r="E19205" s="3" t="inlineStr">
        <is>
          <t>RMB Cheq - 62312246920</t>
        </is>
      </c>
      <c r="F19205" s="3" t="n">
        <v>-67757.13</v>
      </c>
      <c r="G19205" s="3" t="n">
        <v>62245.02</v>
      </c>
    </row>
    <row r="19206">
      <c r="A19206" s="3" t="inlineStr">
        <is>
          <t>Opportunity Global Investment (PTY) LTD</t>
        </is>
      </c>
      <c r="B19206" s="4" t="n">
        <v>45351</v>
      </c>
      <c r="C19206" s="3" t="inlineStr">
        <is>
          <t>Assets</t>
        </is>
      </c>
      <c r="D19206" s="3" t="inlineStr">
        <is>
          <t>8405/000</t>
        </is>
      </c>
      <c r="E19206" s="3" t="inlineStr">
        <is>
          <t>FNB Trust 62762449265</t>
        </is>
      </c>
      <c r="F19206" s="3" t="n">
        <v>0</v>
      </c>
      <c r="G19206" s="3" t="n">
        <v>1141.1</v>
      </c>
    </row>
    <row r="19207">
      <c r="A19207" s="3" t="inlineStr">
        <is>
          <t>Opportunity Private Capital (PTY) LTD</t>
        </is>
      </c>
      <c r="B19207" s="4" t="n">
        <v>45351</v>
      </c>
      <c r="C19207" s="3" t="inlineStr">
        <is>
          <t>Assets</t>
        </is>
      </c>
      <c r="D19207" s="3" t="inlineStr">
        <is>
          <t>8405/000</t>
        </is>
      </c>
      <c r="E19207" s="3" t="inlineStr">
        <is>
          <t>FNB Trust 62762449265</t>
        </is>
      </c>
      <c r="F19207" s="3" t="n">
        <v>0</v>
      </c>
      <c r="G19207" s="3" t="n">
        <v>1141.1</v>
      </c>
    </row>
    <row r="19208">
      <c r="A19208" s="3" t="inlineStr">
        <is>
          <t>Endulini (Pty) Ltd</t>
        </is>
      </c>
      <c r="B19208" s="4" t="n">
        <v>45351</v>
      </c>
      <c r="C19208" s="3" t="inlineStr">
        <is>
          <t>Assets</t>
        </is>
      </c>
      <c r="D19208" s="3" t="inlineStr">
        <is>
          <t>8410/000</t>
        </is>
      </c>
      <c r="E19208" s="3" t="inlineStr">
        <is>
          <t>Momentum Investor Account : RU 502229883</t>
        </is>
      </c>
      <c r="F19208" s="3" t="n">
        <v>0.49</v>
      </c>
      <c r="G19208" s="3" t="n">
        <v>24.52</v>
      </c>
    </row>
    <row r="19209">
      <c r="A19209" s="3" t="inlineStr">
        <is>
          <t>Opportunity Management Holdings (PTY) LTD</t>
        </is>
      </c>
      <c r="B19209" s="4" t="n">
        <v>45351</v>
      </c>
      <c r="C19209" s="3" t="inlineStr">
        <is>
          <t>Assets</t>
        </is>
      </c>
      <c r="D19209" s="3" t="inlineStr">
        <is>
          <t>8410/000</t>
        </is>
      </c>
      <c r="E19209" s="3" t="inlineStr">
        <is>
          <t>RMB Call Acc - 62312248851</t>
        </is>
      </c>
      <c r="F19209" s="3" t="n">
        <v>0</v>
      </c>
      <c r="G19209" s="3" t="n">
        <v>1432.34</v>
      </c>
    </row>
    <row r="19210">
      <c r="A19210" s="3" t="inlineStr">
        <is>
          <t>Noble Shield (Pty) Ltd ta Go Letting</t>
        </is>
      </c>
      <c r="B19210" s="4" t="n">
        <v>45351</v>
      </c>
      <c r="C19210" s="3" t="inlineStr">
        <is>
          <t>Assets</t>
        </is>
      </c>
      <c r="D19210" s="3" t="inlineStr">
        <is>
          <t>8410/000</t>
        </is>
      </c>
      <c r="E19210" s="3" t="inlineStr">
        <is>
          <t>RMB Trust Acc - 6250 615 1365</t>
        </is>
      </c>
      <c r="F19210" s="3" t="n">
        <v>-149.06</v>
      </c>
      <c r="G19210" s="3" t="n">
        <v>480.07</v>
      </c>
    </row>
    <row r="19211">
      <c r="A19211" s="3" t="inlineStr">
        <is>
          <t>Quinate Consulting (Pty) Ltd</t>
        </is>
      </c>
      <c r="B19211" s="4" t="n">
        <v>45351</v>
      </c>
      <c r="C19211" s="3" t="inlineStr">
        <is>
          <t>Assets</t>
        </is>
      </c>
      <c r="D19211" s="3" t="inlineStr">
        <is>
          <t>8415/000</t>
        </is>
      </c>
      <c r="E19211" s="3" t="inlineStr">
        <is>
          <t>STD Acc 071 958 959 - Facility Acc</t>
        </is>
      </c>
      <c r="F19211" s="3" t="n">
        <v>-85</v>
      </c>
      <c r="G19211" s="3" t="n">
        <v>2276.21</v>
      </c>
    </row>
    <row r="19212">
      <c r="A19212" s="3" t="inlineStr">
        <is>
          <t>Trademark Holdings (Pty) Ltd</t>
        </is>
      </c>
      <c r="B19212" s="4" t="n">
        <v>45351</v>
      </c>
      <c r="C19212" s="3" t="inlineStr">
        <is>
          <t>Assets</t>
        </is>
      </c>
      <c r="D19212" s="3" t="inlineStr">
        <is>
          <t>8420/000</t>
        </is>
      </c>
      <c r="E19212" s="3" t="inlineStr">
        <is>
          <t>FNB Credit Card</t>
        </is>
      </c>
      <c r="F19212" s="3" t="n">
        <v>0</v>
      </c>
      <c r="G19212" s="3" t="n">
        <v>624</v>
      </c>
    </row>
    <row r="19213">
      <c r="A19213" s="3" t="inlineStr">
        <is>
          <t>Quinate Consulting (Pty) Ltd</t>
        </is>
      </c>
      <c r="B19213" s="4" t="n">
        <v>45351</v>
      </c>
      <c r="C19213" s="3" t="inlineStr">
        <is>
          <t>Assets</t>
        </is>
      </c>
      <c r="D19213" s="3" t="inlineStr">
        <is>
          <t>8430/000</t>
        </is>
      </c>
      <c r="E19213" s="3" t="inlineStr">
        <is>
          <t>Momentum Investment Acc - RU502230185</t>
        </is>
      </c>
      <c r="F19213" s="3" t="n">
        <v>11.14</v>
      </c>
      <c r="G19213" s="3" t="n">
        <v>574.88</v>
      </c>
    </row>
    <row r="19214">
      <c r="A19214" s="3" t="inlineStr">
        <is>
          <t>Opportunity Global Investment (PTY) LTD</t>
        </is>
      </c>
      <c r="B19214" s="4" t="n">
        <v>45351</v>
      </c>
      <c r="C19214" s="3" t="inlineStr">
        <is>
          <t>Assets</t>
        </is>
      </c>
      <c r="D19214" s="3" t="inlineStr">
        <is>
          <t>8440/000</t>
        </is>
      </c>
      <c r="E19214" s="3" t="inlineStr">
        <is>
          <t>FNB - Call 627602764438</t>
        </is>
      </c>
      <c r="F19214" s="3" t="n">
        <v>-838.77</v>
      </c>
      <c r="G19214" s="3" t="n">
        <v>-1680.7</v>
      </c>
    </row>
    <row r="19215">
      <c r="A19215" s="3" t="inlineStr">
        <is>
          <t>Opportunity Private Capital (PTY) LTD</t>
        </is>
      </c>
      <c r="B19215" s="4" t="n">
        <v>45351</v>
      </c>
      <c r="C19215" s="3" t="inlineStr">
        <is>
          <t>Assets</t>
        </is>
      </c>
      <c r="D19215" s="3" t="inlineStr">
        <is>
          <t>8440/000</t>
        </is>
      </c>
      <c r="E19215" s="3" t="inlineStr">
        <is>
          <t>FNB - Call 627602764438</t>
        </is>
      </c>
      <c r="F19215" s="3" t="n">
        <v>-838.77</v>
      </c>
      <c r="G19215" s="3" t="n">
        <v>-1680.7</v>
      </c>
    </row>
    <row r="19216">
      <c r="A19216" s="3" t="inlineStr">
        <is>
          <t>Opportunity Global Investment (PTY) LTD</t>
        </is>
      </c>
      <c r="B19216" s="4" t="n">
        <v>45351</v>
      </c>
      <c r="C19216" s="3" t="inlineStr">
        <is>
          <t>Assets</t>
        </is>
      </c>
      <c r="D19216" s="3" t="inlineStr">
        <is>
          <t>8445/000</t>
        </is>
      </c>
      <c r="E19216" s="3" t="inlineStr">
        <is>
          <t>Momentum RU502230096</t>
        </is>
      </c>
      <c r="F19216" s="3" t="n">
        <v>108.08</v>
      </c>
      <c r="G19216" s="3" t="n">
        <v>5081.89</v>
      </c>
    </row>
    <row r="19217">
      <c r="A19217" s="3" t="inlineStr">
        <is>
          <t>Opportunity Private Capital (PTY) LTD</t>
        </is>
      </c>
      <c r="B19217" s="4" t="n">
        <v>45351</v>
      </c>
      <c r="C19217" s="3" t="inlineStr">
        <is>
          <t>Assets</t>
        </is>
      </c>
      <c r="D19217" s="3" t="inlineStr">
        <is>
          <t>8445/000</t>
        </is>
      </c>
      <c r="E19217" s="3" t="inlineStr">
        <is>
          <t>Momentum RU502230096</t>
        </is>
      </c>
      <c r="F19217" s="3" t="n">
        <v>108.08</v>
      </c>
      <c r="G19217" s="3" t="n">
        <v>5081.89</v>
      </c>
    </row>
    <row r="19218">
      <c r="A19218" s="3" t="inlineStr">
        <is>
          <t>Quinate Consulting (Pty) Ltd</t>
        </is>
      </c>
      <c r="B19218" s="4" t="n">
        <v>45351</v>
      </c>
      <c r="C19218" s="3" t="inlineStr">
        <is>
          <t>Assets</t>
        </is>
      </c>
      <c r="D19218" s="3" t="inlineStr">
        <is>
          <t>8450/000</t>
        </is>
      </c>
      <c r="E19218" s="3" t="inlineStr">
        <is>
          <t>A RMB 62275810820</t>
        </is>
      </c>
      <c r="F19218" s="3" t="n">
        <v>-1097566.61</v>
      </c>
      <c r="G19218" s="3" t="n">
        <v>178893.35</v>
      </c>
    </row>
    <row r="19219">
      <c r="A19219" s="3" t="inlineStr">
        <is>
          <t>Opportunity Management Holdings (PTY) LTD</t>
        </is>
      </c>
      <c r="B19219" s="4" t="n">
        <v>45351</v>
      </c>
      <c r="C19219" s="3" t="inlineStr">
        <is>
          <t>Assets</t>
        </is>
      </c>
      <c r="D19219" s="3" t="inlineStr">
        <is>
          <t>8450/000</t>
        </is>
      </c>
      <c r="E19219" s="3" t="inlineStr">
        <is>
          <t>Petty Cash - CT Office</t>
        </is>
      </c>
      <c r="F19219" s="3" t="n">
        <v>0</v>
      </c>
      <c r="G19219" s="3" t="n">
        <v>1016.2</v>
      </c>
    </row>
    <row r="19220">
      <c r="A19220" s="3" t="inlineStr">
        <is>
          <t>Quinate Consulting (Pty) Ltd</t>
        </is>
      </c>
      <c r="B19220" s="4" t="n">
        <v>45351</v>
      </c>
      <c r="C19220" s="3" t="inlineStr">
        <is>
          <t>Assets</t>
        </is>
      </c>
      <c r="D19220" s="3" t="inlineStr">
        <is>
          <t>8470/000</t>
        </is>
      </c>
      <c r="E19220" s="3" t="inlineStr">
        <is>
          <t>ABSA: Quinate</t>
        </is>
      </c>
      <c r="F19220" s="3" t="n">
        <v>0</v>
      </c>
      <c r="G19220" s="3" t="n">
        <v>500</v>
      </c>
    </row>
    <row r="19221">
      <c r="A19221" s="3" t="inlineStr">
        <is>
          <t>Quinate Consulting (Pty) Ltd</t>
        </is>
      </c>
      <c r="B19221" s="4" t="n">
        <v>45351</v>
      </c>
      <c r="C19221" s="3" t="inlineStr">
        <is>
          <t>Liabilities</t>
        </is>
      </c>
      <c r="D19221" s="3" t="inlineStr">
        <is>
          <t>8480/100</t>
        </is>
      </c>
      <c r="E19221" s="3" t="inlineStr">
        <is>
          <t>Bond - SH20 - STD Bank 532010558</t>
        </is>
      </c>
      <c r="F19221" s="3" t="n">
        <v>4305.39</v>
      </c>
      <c r="G19221" s="3" t="n">
        <v>-1320214.7</v>
      </c>
    </row>
    <row r="19222">
      <c r="A19222" s="3" t="inlineStr">
        <is>
          <t>Quinate Consulting (Pty) Ltd</t>
        </is>
      </c>
      <c r="B19222" s="4" t="n">
        <v>45351</v>
      </c>
      <c r="C19222" s="3" t="inlineStr">
        <is>
          <t>Liabilities</t>
        </is>
      </c>
      <c r="D19222" s="3" t="inlineStr">
        <is>
          <t>8480/200</t>
        </is>
      </c>
      <c r="E19222" s="3" t="inlineStr">
        <is>
          <t>Bond - SH23 - STD Bank 532010035</t>
        </is>
      </c>
      <c r="F19222" s="3" t="n">
        <v>4541.13</v>
      </c>
      <c r="G19222" s="3" t="n">
        <v>-1320104.64</v>
      </c>
    </row>
    <row r="19223">
      <c r="A19223" s="3" t="inlineStr">
        <is>
          <t>Quinate Consulting (Pty) Ltd</t>
        </is>
      </c>
      <c r="B19223" s="4" t="n">
        <v>45351</v>
      </c>
      <c r="C19223" s="3" t="inlineStr">
        <is>
          <t>Liabilities</t>
        </is>
      </c>
      <c r="D19223" s="3" t="inlineStr">
        <is>
          <t>8480/300</t>
        </is>
      </c>
      <c r="E19223" s="3" t="inlineStr">
        <is>
          <t>Bond - SH24 - STD Bank 532372662</t>
        </is>
      </c>
      <c r="F19223" s="3" t="n">
        <v>2549.98</v>
      </c>
      <c r="G19223" s="3" t="n">
        <v>-1438504.16</v>
      </c>
    </row>
    <row r="19224">
      <c r="A19224" s="3" t="inlineStr">
        <is>
          <t>Quinate Consulting (Pty) Ltd</t>
        </is>
      </c>
      <c r="B19224" s="4" t="n">
        <v>45351</v>
      </c>
      <c r="C19224" s="3" t="inlineStr">
        <is>
          <t>Liabilities</t>
        </is>
      </c>
      <c r="D19224" s="3" t="inlineStr">
        <is>
          <t>8480/400</t>
        </is>
      </c>
      <c r="E19224" s="3" t="inlineStr">
        <is>
          <t>Bond - SW01 - STD Bank 532920627</t>
        </is>
      </c>
      <c r="F19224" s="3" t="n">
        <v>2169.61</v>
      </c>
      <c r="G19224" s="3" t="n">
        <v>-1286487.85</v>
      </c>
    </row>
    <row r="19225">
      <c r="A19225" s="3" t="inlineStr">
        <is>
          <t>Quinate Consulting (Pty) Ltd</t>
        </is>
      </c>
      <c r="B19225" s="4" t="n">
        <v>45351</v>
      </c>
      <c r="C19225" s="3" t="inlineStr">
        <is>
          <t>Liabilities</t>
        </is>
      </c>
      <c r="D19225" s="3" t="inlineStr">
        <is>
          <t>8480/401</t>
        </is>
      </c>
      <c r="E19225" s="3" t="inlineStr">
        <is>
          <t>Bond - SW21 - STD Bank 532920597</t>
        </is>
      </c>
      <c r="F19225" s="3" t="n">
        <v>2170.49</v>
      </c>
      <c r="G19225" s="3" t="n">
        <v>-1286998.3</v>
      </c>
    </row>
    <row r="19226">
      <c r="A19226" s="3" t="inlineStr">
        <is>
          <t>Endulini (Pty) Ltd</t>
        </is>
      </c>
      <c r="B19226" s="4" t="n">
        <v>45351</v>
      </c>
      <c r="C19226" s="3" t="inlineStr">
        <is>
          <t>Liabilities</t>
        </is>
      </c>
      <c r="D19226" s="3" t="inlineStr">
        <is>
          <t>860</t>
        </is>
      </c>
      <c r="E19226" s="3" t="inlineStr">
        <is>
          <t>Rounding</t>
        </is>
      </c>
      <c r="F19226" s="3" t="n">
        <v>0</v>
      </c>
      <c r="G19226" s="3" t="n">
        <v>0.04</v>
      </c>
    </row>
    <row r="19227">
      <c r="A19227" s="3" t="inlineStr">
        <is>
          <t>Opportunity Global Investment (PTY) LTD</t>
        </is>
      </c>
      <c r="B19227" s="4" t="n">
        <v>45351</v>
      </c>
      <c r="C19227" s="3" t="inlineStr">
        <is>
          <t>Liabilities</t>
        </is>
      </c>
      <c r="D19227" s="3" t="inlineStr">
        <is>
          <t>860</t>
        </is>
      </c>
      <c r="E19227" s="3" t="inlineStr">
        <is>
          <t>Rounding</t>
        </is>
      </c>
      <c r="F19227" s="3" t="n">
        <v>0</v>
      </c>
      <c r="G19227" s="3" t="n">
        <v>-0.29</v>
      </c>
    </row>
    <row r="19228">
      <c r="A19228" s="3" t="inlineStr">
        <is>
          <t>Opportunity Global Property (PTY) LTD</t>
        </is>
      </c>
      <c r="B19228" s="4" t="n">
        <v>45351</v>
      </c>
      <c r="C19228" s="3" t="inlineStr">
        <is>
          <t>Liabilities</t>
        </is>
      </c>
      <c r="D19228" s="3" t="inlineStr">
        <is>
          <t>860</t>
        </is>
      </c>
      <c r="E19228" s="3" t="inlineStr">
        <is>
          <t>Rounding</t>
        </is>
      </c>
      <c r="F19228" s="3" t="n">
        <v>0</v>
      </c>
      <c r="G19228" s="3" t="n">
        <v>-0.99</v>
      </c>
    </row>
    <row r="19229">
      <c r="A19229" s="3" t="inlineStr">
        <is>
          <t>Opportunity Global Sales (PTY) LTD</t>
        </is>
      </c>
      <c r="B19229" s="4" t="n">
        <v>45351</v>
      </c>
      <c r="C19229" s="3" t="inlineStr">
        <is>
          <t>Liabilities</t>
        </is>
      </c>
      <c r="D19229" s="3" t="inlineStr">
        <is>
          <t>860</t>
        </is>
      </c>
      <c r="E19229" s="3" t="inlineStr">
        <is>
          <t>Rounding</t>
        </is>
      </c>
      <c r="F19229" s="3" t="n">
        <v>0</v>
      </c>
      <c r="G19229" s="3" t="n">
        <v>-0.99</v>
      </c>
    </row>
    <row r="19230">
      <c r="A19230" s="3" t="inlineStr">
        <is>
          <t>Opportunity Management Holdings (PTY) LTD</t>
        </is>
      </c>
      <c r="B19230" s="4" t="n">
        <v>45351</v>
      </c>
      <c r="C19230" s="3" t="inlineStr">
        <is>
          <t>Liabilities</t>
        </is>
      </c>
      <c r="D19230" s="3" t="inlineStr">
        <is>
          <t>860</t>
        </is>
      </c>
      <c r="E19230" s="3" t="inlineStr">
        <is>
          <t>Rounding</t>
        </is>
      </c>
      <c r="F19230" s="3" t="n">
        <v>0</v>
      </c>
      <c r="G19230" s="3" t="n">
        <v>-0.01</v>
      </c>
    </row>
    <row r="19231">
      <c r="A19231" s="3" t="inlineStr">
        <is>
          <t>Opportunity Private Capital (PTY) LTD</t>
        </is>
      </c>
      <c r="B19231" s="4" t="n">
        <v>45351</v>
      </c>
      <c r="C19231" s="3" t="inlineStr">
        <is>
          <t>Liabilities</t>
        </is>
      </c>
      <c r="D19231" s="3" t="inlineStr">
        <is>
          <t>860</t>
        </is>
      </c>
      <c r="E19231" s="3" t="inlineStr">
        <is>
          <t>Rounding</t>
        </is>
      </c>
      <c r="F19231" s="3" t="n">
        <v>0</v>
      </c>
      <c r="G19231" s="3" t="n">
        <v>-0.29</v>
      </c>
    </row>
    <row r="19232">
      <c r="A19232" s="3" t="inlineStr">
        <is>
          <t>Quinate Consulting (Pty) Ltd</t>
        </is>
      </c>
      <c r="B19232" s="4" t="n">
        <v>45351</v>
      </c>
      <c r="C19232" s="3" t="inlineStr">
        <is>
          <t>Liabilities</t>
        </is>
      </c>
      <c r="D19232" s="3" t="inlineStr">
        <is>
          <t>860</t>
        </is>
      </c>
      <c r="E19232" s="3" t="inlineStr">
        <is>
          <t>Rounding</t>
        </is>
      </c>
      <c r="F19232" s="3" t="n">
        <v>-1.06</v>
      </c>
      <c r="G19232" s="3" t="n">
        <v>-6.02</v>
      </c>
    </row>
    <row r="19233">
      <c r="A19233" s="3" t="inlineStr">
        <is>
          <t>Trademark Holdings (Pty) Ltd</t>
        </is>
      </c>
      <c r="B19233" s="4" t="n">
        <v>45351</v>
      </c>
      <c r="C19233" s="3" t="inlineStr">
        <is>
          <t>Liabilities</t>
        </is>
      </c>
      <c r="D19233" s="3" t="inlineStr">
        <is>
          <t>860</t>
        </is>
      </c>
      <c r="E19233" s="3" t="inlineStr">
        <is>
          <t>Rounding</t>
        </is>
      </c>
      <c r="F19233" s="3" t="n">
        <v>0</v>
      </c>
      <c r="G19233" s="3" t="n">
        <v>0.2</v>
      </c>
    </row>
    <row r="19234">
      <c r="A19234" s="3" t="inlineStr">
        <is>
          <t>Endulini (Pty) Ltd</t>
        </is>
      </c>
      <c r="B19234" s="4" t="n">
        <v>45351</v>
      </c>
      <c r="C19234" s="3" t="inlineStr">
        <is>
          <t>Liabilities</t>
        </is>
      </c>
      <c r="D19234" s="3" t="inlineStr">
        <is>
          <t>9000/000</t>
        </is>
      </c>
      <c r="E19234" s="3" t="inlineStr">
        <is>
          <t>Supplier Control Account</t>
        </is>
      </c>
      <c r="F19234" s="3" t="n">
        <v>4271921.5</v>
      </c>
      <c r="G19234" s="3" t="n">
        <v>3931272.79</v>
      </c>
    </row>
    <row r="19235">
      <c r="A19235" s="3" t="inlineStr">
        <is>
          <t>Noble Shield (Pty) Ltd ta Go Letting</t>
        </is>
      </c>
      <c r="B19235" s="4" t="n">
        <v>45351</v>
      </c>
      <c r="C19235" s="3" t="inlineStr">
        <is>
          <t>Liabilities</t>
        </is>
      </c>
      <c r="D19235" s="3" t="inlineStr">
        <is>
          <t>9000/000</t>
        </is>
      </c>
      <c r="E19235" s="3" t="inlineStr">
        <is>
          <t>Supplier Control Account</t>
        </is>
      </c>
      <c r="F19235" s="3" t="n">
        <v>-2688.71</v>
      </c>
      <c r="G19235" s="3" t="n">
        <v>-26508.71</v>
      </c>
    </row>
    <row r="19236">
      <c r="A19236" s="3" t="inlineStr">
        <is>
          <t>Opportunity Global Investment (PTY) LTD</t>
        </is>
      </c>
      <c r="B19236" s="4" t="n">
        <v>45351</v>
      </c>
      <c r="C19236" s="3" t="inlineStr">
        <is>
          <t>Liabilities</t>
        </is>
      </c>
      <c r="D19236" s="3" t="inlineStr">
        <is>
          <t>9000/000</t>
        </is>
      </c>
      <c r="E19236" s="3" t="inlineStr">
        <is>
          <t>Supplier Control Account</t>
        </is>
      </c>
      <c r="F19236" s="3" t="n">
        <v>87118.75</v>
      </c>
      <c r="G19236" s="3" t="n">
        <v>-26300.41</v>
      </c>
    </row>
    <row r="19237">
      <c r="A19237" s="3" t="inlineStr">
        <is>
          <t>Opportunity Global Property (PTY) LTD</t>
        </is>
      </c>
      <c r="B19237" s="4" t="n">
        <v>45351</v>
      </c>
      <c r="C19237" s="3" t="inlineStr">
        <is>
          <t>Liabilities</t>
        </is>
      </c>
      <c r="D19237" s="3" t="inlineStr">
        <is>
          <t>9000/000</t>
        </is>
      </c>
      <c r="E19237" s="3" t="inlineStr">
        <is>
          <t>Supplier Control Account</t>
        </is>
      </c>
      <c r="F19237" s="3" t="n">
        <v>-20377.65</v>
      </c>
      <c r="G19237" s="3" t="n">
        <v>-24194.56</v>
      </c>
    </row>
    <row r="19238">
      <c r="A19238" s="3" t="inlineStr">
        <is>
          <t>Opportunity Global Sales (PTY) LTD</t>
        </is>
      </c>
      <c r="B19238" s="4" t="n">
        <v>45351</v>
      </c>
      <c r="C19238" s="3" t="inlineStr">
        <is>
          <t>Liabilities</t>
        </is>
      </c>
      <c r="D19238" s="3" t="inlineStr">
        <is>
          <t>9000/000</t>
        </is>
      </c>
      <c r="E19238" s="3" t="inlineStr">
        <is>
          <t>Supplier Control Account</t>
        </is>
      </c>
      <c r="F19238" s="3" t="n">
        <v>-20377.65</v>
      </c>
      <c r="G19238" s="3" t="n">
        <v>-24194.56</v>
      </c>
    </row>
    <row r="19239">
      <c r="A19239" s="3" t="inlineStr">
        <is>
          <t>Opportunity Management Holdings (PTY) LTD</t>
        </is>
      </c>
      <c r="B19239" s="4" t="n">
        <v>45351</v>
      </c>
      <c r="C19239" s="3" t="inlineStr">
        <is>
          <t>Liabilities</t>
        </is>
      </c>
      <c r="D19239" s="3" t="inlineStr">
        <is>
          <t>9000/000</t>
        </is>
      </c>
      <c r="E19239" s="3" t="inlineStr">
        <is>
          <t>Supplier Control Account</t>
        </is>
      </c>
      <c r="F19239" s="3" t="n">
        <v>-1113.23</v>
      </c>
      <c r="G19239" s="3" t="n">
        <v>-287542</v>
      </c>
    </row>
    <row r="19240">
      <c r="A19240" s="3" t="inlineStr">
        <is>
          <t>Opportunity Private Capital (PTY) LTD</t>
        </is>
      </c>
      <c r="B19240" s="4" t="n">
        <v>45351</v>
      </c>
      <c r="C19240" s="3" t="inlineStr">
        <is>
          <t>Liabilities</t>
        </is>
      </c>
      <c r="D19240" s="3" t="inlineStr">
        <is>
          <t>9000/000</t>
        </is>
      </c>
      <c r="E19240" s="3" t="inlineStr">
        <is>
          <t>Supplier Control Account</t>
        </is>
      </c>
      <c r="F19240" s="3" t="n">
        <v>87118.75</v>
      </c>
      <c r="G19240" s="3" t="n">
        <v>-26300.41</v>
      </c>
    </row>
    <row r="19241">
      <c r="A19241" s="3" t="inlineStr">
        <is>
          <t>Quinate Consulting (Pty) Ltd</t>
        </is>
      </c>
      <c r="B19241" s="4" t="n">
        <v>45351</v>
      </c>
      <c r="C19241" s="3" t="inlineStr">
        <is>
          <t>Liabilities</t>
        </is>
      </c>
      <c r="D19241" s="3" t="inlineStr">
        <is>
          <t>9000/000</t>
        </is>
      </c>
      <c r="E19241" s="3" t="inlineStr">
        <is>
          <t>Supplier Control Account</t>
        </is>
      </c>
      <c r="F19241" s="3" t="n">
        <v>-25289.08</v>
      </c>
      <c r="G19241" s="3" t="n">
        <v>406336.1</v>
      </c>
    </row>
    <row r="19242">
      <c r="A19242" s="3" t="inlineStr">
        <is>
          <t>Trademark Holdings (Pty) Ltd</t>
        </is>
      </c>
      <c r="B19242" s="4" t="n">
        <v>45351</v>
      </c>
      <c r="C19242" s="3" t="inlineStr">
        <is>
          <t>Liabilities</t>
        </is>
      </c>
      <c r="D19242" s="3" t="inlineStr">
        <is>
          <t>9000/000</t>
        </is>
      </c>
      <c r="E19242" s="3" t="inlineStr">
        <is>
          <t>Supplier Control Account</t>
        </is>
      </c>
      <c r="F19242" s="3" t="n">
        <v>282.12</v>
      </c>
      <c r="G19242" s="3" t="n">
        <v>-16220.29</v>
      </c>
    </row>
    <row r="19243">
      <c r="A19243" s="3" t="inlineStr">
        <is>
          <t>Quinate Consulting (Pty) Ltd</t>
        </is>
      </c>
      <c r="B19243" s="4" t="n">
        <v>45351</v>
      </c>
      <c r="C19243" s="3" t="inlineStr">
        <is>
          <t>Liabilities</t>
        </is>
      </c>
      <c r="D19243" s="3" t="inlineStr">
        <is>
          <t>9001</t>
        </is>
      </c>
      <c r="E19243" s="3" t="inlineStr">
        <is>
          <t>Supplier Control</t>
        </is>
      </c>
      <c r="F19243" s="3" t="n">
        <v>0</v>
      </c>
      <c r="G19243" s="3" t="n">
        <v>-347315.41</v>
      </c>
    </row>
    <row r="19244">
      <c r="A19244" s="3" t="inlineStr">
        <is>
          <t>Opportunity Management Holdings (PTY) LTD</t>
        </is>
      </c>
      <c r="B19244" s="4" t="n">
        <v>45351</v>
      </c>
      <c r="C19244" s="3" t="inlineStr">
        <is>
          <t>Liabilities</t>
        </is>
      </c>
      <c r="D19244" s="3" t="inlineStr">
        <is>
          <t>9100/000</t>
        </is>
      </c>
      <c r="E19244" s="3" t="inlineStr">
        <is>
          <t>PAYE/UIF/SDL Accrual - Prior Years ADJ</t>
        </is>
      </c>
      <c r="F19244" s="3" t="n">
        <v>0</v>
      </c>
      <c r="G19244" s="3" t="n">
        <v>-33739.36</v>
      </c>
    </row>
    <row r="19245">
      <c r="A19245" s="3" t="inlineStr">
        <is>
          <t>Opportunity Management Holdings (PTY) LTD</t>
        </is>
      </c>
      <c r="B19245" s="4" t="n">
        <v>45351</v>
      </c>
      <c r="C19245" s="3" t="inlineStr">
        <is>
          <t>Assets</t>
        </is>
      </c>
      <c r="D19245" s="3" t="inlineStr">
        <is>
          <t>9110/000</t>
        </is>
      </c>
      <c r="E19245" s="3" t="inlineStr">
        <is>
          <t>Deposit Received</t>
        </is>
      </c>
      <c r="F19245" s="3" t="n">
        <v>0</v>
      </c>
      <c r="G19245" s="3" t="n">
        <v>-3852.5</v>
      </c>
    </row>
    <row r="19246">
      <c r="A19246" s="3" t="inlineStr">
        <is>
          <t>Opportunity Global Investment (PTY) LTD</t>
        </is>
      </c>
      <c r="B19246" s="4" t="n">
        <v>45351</v>
      </c>
      <c r="C19246" s="3" t="inlineStr">
        <is>
          <t>Liabilities</t>
        </is>
      </c>
      <c r="D19246" s="3" t="inlineStr">
        <is>
          <t>9110/000</t>
        </is>
      </c>
      <c r="E19246" s="3" t="inlineStr">
        <is>
          <t>Taxation B/S</t>
        </is>
      </c>
      <c r="F19246" s="3" t="n">
        <v>30114.18</v>
      </c>
      <c r="G19246" s="3" t="n">
        <v>97277.99000000001</v>
      </c>
    </row>
    <row r="19247">
      <c r="A19247" s="3" t="inlineStr">
        <is>
          <t>Opportunity Private Capital (PTY) LTD</t>
        </is>
      </c>
      <c r="B19247" s="4" t="n">
        <v>45351</v>
      </c>
      <c r="C19247" s="3" t="inlineStr">
        <is>
          <t>Liabilities</t>
        </is>
      </c>
      <c r="D19247" s="3" t="inlineStr">
        <is>
          <t>9110/000</t>
        </is>
      </c>
      <c r="E19247" s="3" t="inlineStr">
        <is>
          <t>Taxation B/S</t>
        </is>
      </c>
      <c r="F19247" s="3" t="n">
        <v>30114.18</v>
      </c>
      <c r="G19247" s="3" t="n">
        <v>97277.99000000001</v>
      </c>
    </row>
    <row r="19248">
      <c r="A19248" s="3" t="inlineStr">
        <is>
          <t>Noble Shield (Pty) Ltd ta Go Letting</t>
        </is>
      </c>
      <c r="B19248" s="4" t="n">
        <v>45351</v>
      </c>
      <c r="C19248" s="3" t="inlineStr">
        <is>
          <t>Liabilities</t>
        </is>
      </c>
      <c r="D19248" s="3" t="inlineStr">
        <is>
          <t>9250/010</t>
        </is>
      </c>
      <c r="E19248" s="3" t="inlineStr">
        <is>
          <t>SALARY CONTROL</t>
        </is>
      </c>
      <c r="F19248" s="3" t="n">
        <v>-97.68000000000001</v>
      </c>
      <c r="G19248" s="3" t="n">
        <v>-18555.63</v>
      </c>
    </row>
    <row r="19249">
      <c r="A19249" s="3" t="inlineStr">
        <is>
          <t>Opportunity Global Investment (PTY) LTD</t>
        </is>
      </c>
      <c r="B19249" s="4" t="n">
        <v>45351</v>
      </c>
      <c r="C19249" s="3" t="inlineStr">
        <is>
          <t>Liabilities</t>
        </is>
      </c>
      <c r="D19249" s="3" t="inlineStr">
        <is>
          <t>9250/010</t>
        </is>
      </c>
      <c r="E19249" s="3" t="inlineStr">
        <is>
          <t>SALARY CONTROL</t>
        </is>
      </c>
      <c r="F19249" s="3" t="n">
        <v>-0.01</v>
      </c>
      <c r="G19249" s="3" t="n">
        <v>0</v>
      </c>
    </row>
    <row r="19250">
      <c r="A19250" s="3" t="inlineStr">
        <is>
          <t>Opportunity Global Property (PTY) LTD</t>
        </is>
      </c>
      <c r="B19250" s="4" t="n">
        <v>45351</v>
      </c>
      <c r="C19250" s="3" t="inlineStr">
        <is>
          <t>Liabilities</t>
        </is>
      </c>
      <c r="D19250" s="3" t="inlineStr">
        <is>
          <t>9250/010</t>
        </is>
      </c>
      <c r="E19250" s="3" t="inlineStr">
        <is>
          <t>SALARY CONTROL</t>
        </is>
      </c>
      <c r="F19250" s="3" t="n">
        <v>-5541.79</v>
      </c>
      <c r="G19250" s="3" t="n">
        <v>-7573.4</v>
      </c>
    </row>
    <row r="19251">
      <c r="A19251" s="3" t="inlineStr">
        <is>
          <t>Opportunity Global Sales (PTY) LTD</t>
        </is>
      </c>
      <c r="B19251" s="4" t="n">
        <v>45351</v>
      </c>
      <c r="C19251" s="3" t="inlineStr">
        <is>
          <t>Liabilities</t>
        </is>
      </c>
      <c r="D19251" s="3" t="inlineStr">
        <is>
          <t>9250/010</t>
        </is>
      </c>
      <c r="E19251" s="3" t="inlineStr">
        <is>
          <t>SALARY CONTROL</t>
        </is>
      </c>
      <c r="F19251" s="3" t="n">
        <v>-5541.79</v>
      </c>
      <c r="G19251" s="3" t="n">
        <v>-7573.4</v>
      </c>
    </row>
    <row r="19252">
      <c r="A19252" s="3" t="inlineStr">
        <is>
          <t>Opportunity Private Capital (PTY) LTD</t>
        </is>
      </c>
      <c r="B19252" s="4" t="n">
        <v>45351</v>
      </c>
      <c r="C19252" s="3" t="inlineStr">
        <is>
          <t>Liabilities</t>
        </is>
      </c>
      <c r="D19252" s="3" t="inlineStr">
        <is>
          <t>9250/010</t>
        </is>
      </c>
      <c r="E19252" s="3" t="inlineStr">
        <is>
          <t>SALARY CONTROL</t>
        </is>
      </c>
      <c r="F19252" s="3" t="n">
        <v>-0.01</v>
      </c>
      <c r="G19252" s="3" t="n">
        <v>0</v>
      </c>
    </row>
    <row r="19253">
      <c r="A19253" s="3" t="inlineStr">
        <is>
          <t>Trademark Holdings (Pty) Ltd</t>
        </is>
      </c>
      <c r="B19253" s="4" t="n">
        <v>45351</v>
      </c>
      <c r="C19253" s="3" t="inlineStr">
        <is>
          <t>Liabilities</t>
        </is>
      </c>
      <c r="D19253" s="3" t="inlineStr">
        <is>
          <t>9250/010</t>
        </is>
      </c>
      <c r="E19253" s="3" t="inlineStr">
        <is>
          <t>SALARY CONTROL</t>
        </is>
      </c>
      <c r="F19253" s="3" t="n">
        <v>-1747.23</v>
      </c>
      <c r="G19253" s="3" t="n">
        <v>-20205.96</v>
      </c>
    </row>
    <row r="19254">
      <c r="A19254" s="3" t="inlineStr">
        <is>
          <t>Noble Shield (Pty) Ltd ta Go Letting</t>
        </is>
      </c>
      <c r="B19254" s="4" t="n">
        <v>45351</v>
      </c>
      <c r="C19254" s="3" t="inlineStr">
        <is>
          <t>Liabilities</t>
        </is>
      </c>
      <c r="D19254" s="3" t="inlineStr">
        <is>
          <t>9250/020</t>
        </is>
      </c>
      <c r="E19254" s="3" t="inlineStr">
        <is>
          <t>PAYE, UIF AND SDL CONTROL</t>
        </is>
      </c>
      <c r="F19254" s="3" t="n">
        <v>-508.13</v>
      </c>
      <c r="G19254" s="3" t="n">
        <v>-6544.75</v>
      </c>
    </row>
    <row r="19255">
      <c r="A19255" s="3" t="inlineStr">
        <is>
          <t>Opportunity Global Investment (PTY) LTD</t>
        </is>
      </c>
      <c r="B19255" s="4" t="n">
        <v>45351</v>
      </c>
      <c r="C19255" s="3" t="inlineStr">
        <is>
          <t>Liabilities</t>
        </is>
      </c>
      <c r="D19255" s="3" t="inlineStr">
        <is>
          <t>9250/020</t>
        </is>
      </c>
      <c r="E19255" s="3" t="inlineStr">
        <is>
          <t>PAYE, UIF AND SDL CONTROL</t>
        </is>
      </c>
      <c r="F19255" s="3" t="n">
        <v>995.78</v>
      </c>
      <c r="G19255" s="3" t="n">
        <v>-85802.27</v>
      </c>
    </row>
    <row r="19256">
      <c r="A19256" s="3" t="inlineStr">
        <is>
          <t>Opportunity Management Holdings (PTY) LTD</t>
        </is>
      </c>
      <c r="B19256" s="4" t="n">
        <v>45351</v>
      </c>
      <c r="C19256" s="3" t="inlineStr">
        <is>
          <t>Liabilities</t>
        </is>
      </c>
      <c r="D19256" s="3" t="inlineStr">
        <is>
          <t>9250/020</t>
        </is>
      </c>
      <c r="E19256" s="3" t="inlineStr">
        <is>
          <t>PAYE, UIF AND SDL CONTROL</t>
        </is>
      </c>
      <c r="F19256" s="3" t="n">
        <v>-368.82</v>
      </c>
      <c r="G19256" s="3" t="n">
        <v>-44608.39</v>
      </c>
    </row>
    <row r="19257">
      <c r="A19257" s="3" t="inlineStr">
        <is>
          <t>Opportunity Private Capital (PTY) LTD</t>
        </is>
      </c>
      <c r="B19257" s="4" t="n">
        <v>45351</v>
      </c>
      <c r="C19257" s="3" t="inlineStr">
        <is>
          <t>Liabilities</t>
        </is>
      </c>
      <c r="D19257" s="3" t="inlineStr">
        <is>
          <t>9250/020</t>
        </is>
      </c>
      <c r="E19257" s="3" t="inlineStr">
        <is>
          <t>PAYE, UIF AND SDL CONTROL</t>
        </is>
      </c>
      <c r="F19257" s="3" t="n">
        <v>995.78</v>
      </c>
      <c r="G19257" s="3" t="n">
        <v>-85802.27</v>
      </c>
    </row>
    <row r="19258">
      <c r="A19258" s="3" t="inlineStr">
        <is>
          <t>Quinate Consulting (Pty) Ltd</t>
        </is>
      </c>
      <c r="B19258" s="4" t="n">
        <v>45351</v>
      </c>
      <c r="C19258" s="3" t="inlineStr">
        <is>
          <t>Liabilities</t>
        </is>
      </c>
      <c r="D19258" s="3" t="inlineStr">
        <is>
          <t>9250/020</t>
        </is>
      </c>
      <c r="E19258" s="3" t="inlineStr">
        <is>
          <t>PAYE, UIF AND SDL CONTROL</t>
        </is>
      </c>
      <c r="F19258" s="3" t="n">
        <v>0</v>
      </c>
      <c r="G19258" s="3" t="n">
        <v>-10759.36</v>
      </c>
    </row>
    <row r="19259">
      <c r="A19259" s="3" t="inlineStr">
        <is>
          <t>Trademark Holdings (Pty) Ltd</t>
        </is>
      </c>
      <c r="B19259" s="4" t="n">
        <v>45351</v>
      </c>
      <c r="C19259" s="3" t="inlineStr">
        <is>
          <t>Liabilities</t>
        </is>
      </c>
      <c r="D19259" s="3" t="inlineStr">
        <is>
          <t>9250/020</t>
        </is>
      </c>
      <c r="E19259" s="3" t="inlineStr">
        <is>
          <t>PAYE, UIF AND SDL CONTROL</t>
        </is>
      </c>
      <c r="F19259" s="3" t="n">
        <v>-5859.71</v>
      </c>
      <c r="G19259" s="3" t="n">
        <v>-11081.92</v>
      </c>
    </row>
    <row r="19260">
      <c r="A19260" s="3" t="inlineStr">
        <is>
          <t>Opportunity Management Holdings (PTY) LTD</t>
        </is>
      </c>
      <c r="B19260" s="4" t="n">
        <v>45351</v>
      </c>
      <c r="C19260" s="3" t="inlineStr">
        <is>
          <t>Liabilities</t>
        </is>
      </c>
      <c r="D19260" s="3" t="inlineStr">
        <is>
          <t>9300/000</t>
        </is>
      </c>
      <c r="E19260" s="3" t="inlineStr">
        <is>
          <t>Taxation Payable B/S</t>
        </is>
      </c>
      <c r="F19260" s="3" t="n">
        <v>89955.09</v>
      </c>
      <c r="G19260" s="3" t="n">
        <v>89955.09</v>
      </c>
    </row>
    <row r="19261">
      <c r="A19261" s="3" t="inlineStr">
        <is>
          <t>Opportunity Global Investment (PTY) LTD</t>
        </is>
      </c>
      <c r="B19261" s="4" t="n">
        <v>45351</v>
      </c>
      <c r="C19261" s="3" t="inlineStr">
        <is>
          <t>Liabilities</t>
        </is>
      </c>
      <c r="D19261" s="3" t="inlineStr">
        <is>
          <t>9400/030</t>
        </is>
      </c>
      <c r="E19261" s="3" t="inlineStr">
        <is>
          <t>Accrued Expenses - PAYE_AND_UIF</t>
        </is>
      </c>
      <c r="F19261" s="3" t="n">
        <v>0</v>
      </c>
      <c r="G19261" s="3" t="n">
        <v>-2</v>
      </c>
    </row>
    <row r="19262">
      <c r="A19262" s="3" t="inlineStr">
        <is>
          <t>Opportunity Private Capital (PTY) LTD</t>
        </is>
      </c>
      <c r="B19262" s="4" t="n">
        <v>45351</v>
      </c>
      <c r="C19262" s="3" t="inlineStr">
        <is>
          <t>Liabilities</t>
        </is>
      </c>
      <c r="D19262" s="3" t="inlineStr">
        <is>
          <t>9400/030</t>
        </is>
      </c>
      <c r="E19262" s="3" t="inlineStr">
        <is>
          <t>Accrued Expenses - PAYE_AND_UIF</t>
        </is>
      </c>
      <c r="F19262" s="3" t="n">
        <v>0</v>
      </c>
      <c r="G19262" s="3" t="n">
        <v>-2</v>
      </c>
    </row>
    <row r="19263">
      <c r="A19263" s="3" t="inlineStr">
        <is>
          <t>Trademark Holdings (Pty) Ltd</t>
        </is>
      </c>
      <c r="B19263" s="4" t="n">
        <v>45351</v>
      </c>
      <c r="C19263" s="3" t="inlineStr">
        <is>
          <t>Liabilities</t>
        </is>
      </c>
      <c r="D19263" s="3" t="inlineStr">
        <is>
          <t>9400/400</t>
        </is>
      </c>
      <c r="E19263" s="3" t="inlineStr">
        <is>
          <t>Deemed Dividend Tax</t>
        </is>
      </c>
      <c r="F19263" s="3" t="n">
        <v>0</v>
      </c>
      <c r="G19263" s="3" t="n">
        <v>-699.13</v>
      </c>
    </row>
    <row r="19264">
      <c r="A19264" s="3" t="inlineStr">
        <is>
          <t>Opportunity Global Investment (PTY) LTD</t>
        </is>
      </c>
      <c r="B19264" s="4" t="n">
        <v>45351</v>
      </c>
      <c r="C19264" s="3" t="inlineStr">
        <is>
          <t>Liabilities</t>
        </is>
      </c>
      <c r="D19264" s="3" t="inlineStr">
        <is>
          <t>9500/000</t>
        </is>
      </c>
      <c r="E19264" s="3" t="inlineStr">
        <is>
          <t>VAT Control Account</t>
        </is>
      </c>
      <c r="F19264" s="3" t="n">
        <v>38561.97</v>
      </c>
      <c r="G19264" s="3" t="n">
        <v>1162808.71</v>
      </c>
    </row>
    <row r="19265">
      <c r="A19265" s="3" t="inlineStr">
        <is>
          <t>Opportunity Global Property (PTY) LTD</t>
        </is>
      </c>
      <c r="B19265" s="4" t="n">
        <v>45351</v>
      </c>
      <c r="C19265" s="3" t="inlineStr">
        <is>
          <t>Liabilities</t>
        </is>
      </c>
      <c r="D19265" s="3" t="inlineStr">
        <is>
          <t>9500/000</t>
        </is>
      </c>
      <c r="E19265" s="3" t="inlineStr">
        <is>
          <t>VAT Control Account</t>
        </is>
      </c>
      <c r="F19265" s="3" t="n">
        <v>-85202.08</v>
      </c>
      <c r="G19265" s="3" t="n">
        <v>-1286503.65</v>
      </c>
    </row>
    <row r="19266">
      <c r="A19266" s="3" t="inlineStr">
        <is>
          <t>Opportunity Global Sales (PTY) LTD</t>
        </is>
      </c>
      <c r="B19266" s="4" t="n">
        <v>45351</v>
      </c>
      <c r="C19266" s="3" t="inlineStr">
        <is>
          <t>Liabilities</t>
        </is>
      </c>
      <c r="D19266" s="3" t="inlineStr">
        <is>
          <t>9500/000</t>
        </is>
      </c>
      <c r="E19266" s="3" t="inlineStr">
        <is>
          <t>VAT Control Account</t>
        </is>
      </c>
      <c r="F19266" s="3" t="n">
        <v>-85202.08</v>
      </c>
      <c r="G19266" s="3" t="n">
        <v>-1286503.65</v>
      </c>
    </row>
    <row r="19267">
      <c r="A19267" s="3" t="inlineStr">
        <is>
          <t>Opportunity Management Holdings (PTY) LTD</t>
        </is>
      </c>
      <c r="B19267" s="4" t="n">
        <v>45351</v>
      </c>
      <c r="C19267" s="3" t="inlineStr">
        <is>
          <t>Liabilities</t>
        </is>
      </c>
      <c r="D19267" s="3" t="inlineStr">
        <is>
          <t>9500/000</t>
        </is>
      </c>
      <c r="E19267" s="3" t="inlineStr">
        <is>
          <t>VAT Control Account</t>
        </is>
      </c>
      <c r="F19267" s="3" t="n">
        <v>-41829.56</v>
      </c>
      <c r="G19267" s="3" t="n">
        <v>34547.39</v>
      </c>
    </row>
    <row r="19268">
      <c r="A19268" s="3" t="inlineStr">
        <is>
          <t>Opportunity Private Capital (PTY) LTD</t>
        </is>
      </c>
      <c r="B19268" s="4" t="n">
        <v>45351</v>
      </c>
      <c r="C19268" s="3" t="inlineStr">
        <is>
          <t>Liabilities</t>
        </is>
      </c>
      <c r="D19268" s="3" t="inlineStr">
        <is>
          <t>9500/000</t>
        </is>
      </c>
      <c r="E19268" s="3" t="inlineStr">
        <is>
          <t>VAT Control Account</t>
        </is>
      </c>
      <c r="F19268" s="3" t="n">
        <v>38561.97</v>
      </c>
      <c r="G19268" s="3" t="n">
        <v>1162808.71</v>
      </c>
    </row>
    <row r="19269">
      <c r="A19269" s="3" t="inlineStr">
        <is>
          <t>Endulini (Pty) Ltd</t>
        </is>
      </c>
      <c r="B19269" s="4" t="n">
        <v>45351</v>
      </c>
      <c r="C19269" s="3" t="inlineStr">
        <is>
          <t>Liabilities</t>
        </is>
      </c>
      <c r="D19269" s="3" t="inlineStr">
        <is>
          <t>9500/000</t>
        </is>
      </c>
      <c r="E19269" s="3" t="inlineStr">
        <is>
          <t>Vat / Tax Control Account</t>
        </is>
      </c>
      <c r="F19269" s="3" t="n">
        <v>6008.37</v>
      </c>
      <c r="G19269" s="3" t="n">
        <v>-3446451.92</v>
      </c>
    </row>
    <row r="19270">
      <c r="A19270" s="3" t="inlineStr">
        <is>
          <t>Noble Shield (Pty) Ltd ta Go Letting</t>
        </is>
      </c>
      <c r="B19270" s="4" t="n">
        <v>45351</v>
      </c>
      <c r="C19270" s="3" t="inlineStr">
        <is>
          <t>Liabilities</t>
        </is>
      </c>
      <c r="D19270" s="3" t="inlineStr">
        <is>
          <t>9500/000</t>
        </is>
      </c>
      <c r="E19270" s="3" t="inlineStr">
        <is>
          <t>Vat / Tax Control Account</t>
        </is>
      </c>
      <c r="F19270" s="3" t="n">
        <v>0</v>
      </c>
      <c r="G19270" s="3" t="n">
        <v>2461.52</v>
      </c>
    </row>
    <row r="19271">
      <c r="A19271" s="3" t="inlineStr">
        <is>
          <t>Quinate Consulting (Pty) Ltd</t>
        </is>
      </c>
      <c r="B19271" s="4" t="n">
        <v>45351</v>
      </c>
      <c r="C19271" s="3" t="inlineStr">
        <is>
          <t>Liabilities</t>
        </is>
      </c>
      <c r="D19271" s="3" t="inlineStr">
        <is>
          <t>9500/000</t>
        </is>
      </c>
      <c r="E19271" s="3" t="inlineStr">
        <is>
          <t>Vat Control Account</t>
        </is>
      </c>
      <c r="F19271" s="3" t="n">
        <v>1069197.57</v>
      </c>
      <c r="G19271" s="3" t="n">
        <v>3231506.98</v>
      </c>
    </row>
    <row r="19272">
      <c r="A19272" s="3" t="inlineStr">
        <is>
          <t>Opportunity Management Holdings (PTY) LTD</t>
        </is>
      </c>
      <c r="B19272" s="4" t="n">
        <v>45351</v>
      </c>
      <c r="C19272" s="3" t="inlineStr">
        <is>
          <t>Liabilities</t>
        </is>
      </c>
      <c r="D19272" s="3" t="inlineStr">
        <is>
          <t>9501/000</t>
        </is>
      </c>
      <c r="E19272" s="3" t="inlineStr">
        <is>
          <t>Vat Adjustments - C2M</t>
        </is>
      </c>
      <c r="F19272" s="3" t="n">
        <v>0</v>
      </c>
      <c r="G19272" s="3" t="n">
        <v>47274.04</v>
      </c>
    </row>
    <row r="19273">
      <c r="A19273" s="3" t="inlineStr">
        <is>
          <t>Endulini (Pty) Ltd</t>
        </is>
      </c>
      <c r="B19273" s="4" t="n">
        <v>45351</v>
      </c>
      <c r="C19273" s="3" t="inlineStr">
        <is>
          <t>Liabilities</t>
        </is>
      </c>
      <c r="D19273" s="3" t="inlineStr">
        <is>
          <t>9899/A202</t>
        </is>
      </c>
      <c r="E19273" s="3" t="inlineStr">
        <is>
          <t>Sales - Unit Reg Control A202</t>
        </is>
      </c>
      <c r="F19273" s="3" t="n">
        <v>0</v>
      </c>
      <c r="G19273" s="3" t="n">
        <v>-1086734.26</v>
      </c>
    </row>
    <row r="19274">
      <c r="A19274" s="3" t="inlineStr">
        <is>
          <t>Endulini (Pty) Ltd</t>
        </is>
      </c>
      <c r="B19274" s="4" t="n">
        <v>45351</v>
      </c>
      <c r="C19274" s="3" t="inlineStr">
        <is>
          <t>Liabilities</t>
        </is>
      </c>
      <c r="D19274" s="3" t="inlineStr">
        <is>
          <t>9899/A209</t>
        </is>
      </c>
      <c r="E19274" s="3" t="inlineStr">
        <is>
          <t>Sales - Unit Reg Control A209</t>
        </is>
      </c>
      <c r="F19274" s="3" t="n">
        <v>0</v>
      </c>
      <c r="G19274" s="3" t="n">
        <v>-1218800.14</v>
      </c>
    </row>
    <row r="19275">
      <c r="A19275" s="3" t="inlineStr">
        <is>
          <t>Endulini (Pty) Ltd</t>
        </is>
      </c>
      <c r="B19275" s="4" t="n">
        <v>45351</v>
      </c>
      <c r="C19275" s="3" t="inlineStr">
        <is>
          <t>Liabilities</t>
        </is>
      </c>
      <c r="D19275" s="3" t="inlineStr">
        <is>
          <t>9899/B203</t>
        </is>
      </c>
      <c r="E19275" s="3" t="inlineStr">
        <is>
          <t>Sales - Unit Reg Control B203</t>
        </is>
      </c>
      <c r="F19275" s="3" t="n">
        <v>0</v>
      </c>
      <c r="G19275" s="3" t="n">
        <v>-1179884.01</v>
      </c>
    </row>
    <row r="19276">
      <c r="A19276" s="3" t="inlineStr">
        <is>
          <t>Endulini (Pty) Ltd</t>
        </is>
      </c>
      <c r="B19276" s="4" t="n">
        <v>45351</v>
      </c>
      <c r="C19276" s="3" t="inlineStr">
        <is>
          <t>Liabilities</t>
        </is>
      </c>
      <c r="D19276" s="3" t="inlineStr">
        <is>
          <t>9899/C302</t>
        </is>
      </c>
      <c r="E19276" s="3" t="inlineStr">
        <is>
          <t>Sales - Unit Reg Control C302</t>
        </is>
      </c>
      <c r="F19276" s="3" t="n">
        <v>0</v>
      </c>
      <c r="G19276" s="3" t="n">
        <v>-1253795.14</v>
      </c>
    </row>
    <row r="19277">
      <c r="A19277" s="3" t="inlineStr">
        <is>
          <t>Quinate Consulting (Pty) Ltd</t>
        </is>
      </c>
      <c r="B19277" s="4" t="n">
        <v>45351</v>
      </c>
      <c r="C19277" s="3" t="inlineStr">
        <is>
          <t>Liabilities</t>
        </is>
      </c>
      <c r="D19277" s="3" t="inlineStr">
        <is>
          <t>9960/000</t>
        </is>
      </c>
      <c r="E19277" s="3" t="inlineStr">
        <is>
          <t>Deposits - Southwark Rentals</t>
        </is>
      </c>
      <c r="F19277" s="3" t="n">
        <v>0</v>
      </c>
      <c r="G19277" s="3" t="n">
        <v>-23000</v>
      </c>
    </row>
    <row r="19278">
      <c r="A19278" s="3" t="inlineStr">
        <is>
          <t>Noble Shield (Pty) Ltd ta Go Letting</t>
        </is>
      </c>
      <c r="B19278" s="4" t="n">
        <v>45351</v>
      </c>
      <c r="C19278" s="3" t="inlineStr">
        <is>
          <t>Expenses</t>
        </is>
      </c>
      <c r="D19278" s="3" t="inlineStr">
        <is>
          <t>ACB Link</t>
        </is>
      </c>
      <c r="E19278" s="3" t="inlineStr">
        <is>
          <t>Subscriptions - TPN</t>
        </is>
      </c>
      <c r="F19278" s="3" t="n">
        <v>0</v>
      </c>
      <c r="G19278" s="3" t="n">
        <v>14874.69</v>
      </c>
    </row>
    <row r="19279">
      <c r="A19279" s="3" t="inlineStr">
        <is>
          <t>Trademark Holdings (Pty) Ltd</t>
        </is>
      </c>
      <c r="B19279" s="4" t="n">
        <v>45351</v>
      </c>
      <c r="C19279" s="3" t="inlineStr">
        <is>
          <t>Liabilities</t>
        </is>
      </c>
      <c r="D19279" s="3" t="inlineStr">
        <is>
          <t>B/S</t>
        </is>
      </c>
      <c r="E19279" s="3" t="inlineStr">
        <is>
          <t>Taxation Payable</t>
        </is>
      </c>
      <c r="F19279" s="3" t="n">
        <v>0</v>
      </c>
      <c r="G19279" s="3" t="n">
        <v>1722</v>
      </c>
    </row>
    <row r="19280">
      <c r="A19280" s="3" t="inlineStr">
        <is>
          <t>Quinate Consulting (Pty) Ltd</t>
        </is>
      </c>
      <c r="B19280" s="4" t="n">
        <v>45351</v>
      </c>
      <c r="C19280" s="3" t="inlineStr">
        <is>
          <t>Liabilities</t>
        </is>
      </c>
      <c r="D19280" s="3" t="inlineStr">
        <is>
          <t xml:space="preserve">B/S </t>
        </is>
      </c>
      <c r="E19280" s="3" t="inlineStr">
        <is>
          <t>Taxation Payable</t>
        </is>
      </c>
      <c r="F19280" s="3" t="n">
        <v>0</v>
      </c>
      <c r="G19280" s="3" t="n">
        <v>-15486</v>
      </c>
    </row>
    <row r="19281">
      <c r="A19281" s="3" t="inlineStr">
        <is>
          <t>Quinate Consulting (Pty) Ltd</t>
        </is>
      </c>
      <c r="B19281" s="4" t="n">
        <v>45351</v>
      </c>
      <c r="C19281" s="3" t="inlineStr">
        <is>
          <t>Liabilities</t>
        </is>
      </c>
      <c r="D19281" s="3" t="inlineStr">
        <is>
          <t>FV</t>
        </is>
      </c>
      <c r="E19281" s="3" t="inlineStr">
        <is>
          <t>Loan - Cape Projects Constuction</t>
        </is>
      </c>
      <c r="F19281" s="3" t="n">
        <v>-40000</v>
      </c>
      <c r="G19281" s="3" t="n">
        <v>-6333763.77</v>
      </c>
    </row>
    <row r="19282">
      <c r="A19282" s="3" t="inlineStr">
        <is>
          <t>Quinate Consulting (Pty) Ltd</t>
        </is>
      </c>
      <c r="B19282" s="4" t="n">
        <v>45351</v>
      </c>
      <c r="C19282" s="3" t="inlineStr">
        <is>
          <t>Liabilities</t>
        </is>
      </c>
      <c r="D19282" s="3" t="inlineStr">
        <is>
          <t>Sharehold OppDev</t>
        </is>
      </c>
      <c r="E19282" s="3" t="inlineStr">
        <is>
          <t>Loan - Justine Morgan</t>
        </is>
      </c>
      <c r="F19282" s="3" t="n">
        <v>563766.76</v>
      </c>
      <c r="G19282" s="3" t="n">
        <v>0</v>
      </c>
    </row>
    <row r="19283">
      <c r="A19283" s="3" t="inlineStr">
        <is>
          <t>Opportunity Global Investment (PTY) LTD</t>
        </is>
      </c>
      <c r="B19283" s="4" t="n">
        <v>45351</v>
      </c>
      <c r="C19283" s="3" t="inlineStr">
        <is>
          <t>Expenses</t>
        </is>
      </c>
      <c r="D19283" s="3" t="inlineStr">
        <is>
          <t>Swiftshutter</t>
        </is>
      </c>
      <c r="E19283" s="3" t="inlineStr">
        <is>
          <t>Advertising - Rousseau Lotter</t>
        </is>
      </c>
      <c r="F19283" s="3" t="n">
        <v>0</v>
      </c>
      <c r="G19283" s="3" t="n">
        <v>15400</v>
      </c>
    </row>
    <row r="19284">
      <c r="A19284" s="3" t="inlineStr">
        <is>
          <t>Opportunity Private Capital (PTY) LTD</t>
        </is>
      </c>
      <c r="B19284" s="4" t="n">
        <v>45351</v>
      </c>
      <c r="C19284" s="3" t="inlineStr">
        <is>
          <t>Expenses</t>
        </is>
      </c>
      <c r="D19284" s="3" t="inlineStr">
        <is>
          <t>Swiftshutter</t>
        </is>
      </c>
      <c r="E19284" s="3" t="inlineStr">
        <is>
          <t>Advertising - Rousseau Lotter</t>
        </is>
      </c>
      <c r="F19284" s="3" t="n">
        <v>0</v>
      </c>
      <c r="G19284" s="3" t="n">
        <v>15400</v>
      </c>
    </row>
    <row r="19285">
      <c r="A19285" s="3" t="inlineStr">
        <is>
          <t>Opportunity Global Property (PTY) LTD</t>
        </is>
      </c>
      <c r="B19285" s="4" t="n">
        <v>45352</v>
      </c>
      <c r="C19285" s="3" t="inlineStr">
        <is>
          <t>Revenue</t>
        </is>
      </c>
      <c r="D19285" s="3" t="inlineStr">
        <is>
          <t>1000/009</t>
        </is>
      </c>
      <c r="E19285" s="3" t="inlineStr">
        <is>
          <t>Sales - Comm on Payprop</t>
        </is>
      </c>
      <c r="F19285" s="3" t="n">
        <v>-1565.63</v>
      </c>
      <c r="G19285" s="3" t="n">
        <v>-1565.63</v>
      </c>
    </row>
    <row r="19286">
      <c r="A19286" s="3" t="inlineStr">
        <is>
          <t>Quinate Consulting (Pty) Ltd</t>
        </is>
      </c>
      <c r="B19286" s="4" t="n">
        <v>45352</v>
      </c>
      <c r="C19286" s="3" t="inlineStr">
        <is>
          <t>Revenue</t>
        </is>
      </c>
      <c r="D19286" s="3" t="inlineStr">
        <is>
          <t>1000/012</t>
        </is>
      </c>
      <c r="E19286" s="3" t="inlineStr">
        <is>
          <t>Rent Received - Soho Unit 24</t>
        </is>
      </c>
      <c r="F19286" s="3" t="n">
        <v>-13565.22</v>
      </c>
      <c r="G19286" s="3" t="n">
        <v>-13565.22</v>
      </c>
    </row>
    <row r="19287">
      <c r="A19287" s="3" t="inlineStr">
        <is>
          <t>Quinate Consulting (Pty) Ltd</t>
        </is>
      </c>
      <c r="B19287" s="4" t="n">
        <v>45352</v>
      </c>
      <c r="C19287" s="3" t="inlineStr">
        <is>
          <t>Revenue</t>
        </is>
      </c>
      <c r="D19287" s="3" t="inlineStr">
        <is>
          <t>1000/013</t>
        </is>
      </c>
      <c r="E19287" s="3" t="inlineStr">
        <is>
          <t>Rent Recieved - Soho Unit 20</t>
        </is>
      </c>
      <c r="F19287" s="3" t="n">
        <v>-13750</v>
      </c>
      <c r="G19287" s="3" t="n">
        <v>-13750</v>
      </c>
    </row>
    <row r="19288">
      <c r="A19288" s="3" t="inlineStr">
        <is>
          <t>Quinate Consulting (Pty) Ltd</t>
        </is>
      </c>
      <c r="B19288" s="4" t="n">
        <v>45352</v>
      </c>
      <c r="C19288" s="3" t="inlineStr">
        <is>
          <t>Revenue</t>
        </is>
      </c>
      <c r="D19288" s="3" t="inlineStr">
        <is>
          <t>1000/016</t>
        </is>
      </c>
      <c r="E19288" s="3" t="inlineStr">
        <is>
          <t>Rent Recieved - Southwark Unit 21</t>
        </is>
      </c>
      <c r="F19288" s="3" t="n">
        <v>-11000</v>
      </c>
      <c r="G19288" s="3" t="n">
        <v>-11000</v>
      </c>
    </row>
    <row r="19289">
      <c r="A19289" s="3" t="inlineStr">
        <is>
          <t>Noble Shield (Pty) Ltd ta Go Letting</t>
        </is>
      </c>
      <c r="B19289" s="4" t="n">
        <v>45352</v>
      </c>
      <c r="C19289" s="3" t="inlineStr">
        <is>
          <t>Revenue</t>
        </is>
      </c>
      <c r="D19289" s="3" t="inlineStr">
        <is>
          <t>1000/100</t>
        </is>
      </c>
      <c r="E19289" s="3" t="inlineStr">
        <is>
          <t>Sales - Payprop 328 - Michelle</t>
        </is>
      </c>
      <c r="F19289" s="3" t="n">
        <v>-17079.52</v>
      </c>
      <c r="G19289" s="3" t="n">
        <v>-633142.53</v>
      </c>
    </row>
    <row r="19290">
      <c r="A19290" s="3" t="inlineStr">
        <is>
          <t>Trademark Holdings (Pty) Ltd</t>
        </is>
      </c>
      <c r="B19290" s="4" t="n">
        <v>45352</v>
      </c>
      <c r="C19290" s="3" t="inlineStr">
        <is>
          <t>Revenue</t>
        </is>
      </c>
      <c r="D19290" s="3" t="inlineStr">
        <is>
          <t>1000/300</t>
        </is>
      </c>
      <c r="E19290" s="3" t="inlineStr">
        <is>
          <t>Sales - Payprop - Lara</t>
        </is>
      </c>
      <c r="F19290" s="3" t="n">
        <v>-18318.16</v>
      </c>
      <c r="G19290" s="3" t="n">
        <v>-695188.89</v>
      </c>
    </row>
    <row r="19291">
      <c r="A19291" s="3" t="inlineStr">
        <is>
          <t>Noble Shield (Pty) Ltd ta Go Letting</t>
        </is>
      </c>
      <c r="B19291" s="4" t="n">
        <v>45352</v>
      </c>
      <c r="C19291" s="3" t="inlineStr">
        <is>
          <t>Revenue</t>
        </is>
      </c>
      <c r="D19291" s="3" t="inlineStr">
        <is>
          <t>1000/420</t>
        </is>
      </c>
      <c r="E19291" s="3" t="inlineStr">
        <is>
          <t>Sales - Commission Received - External</t>
        </is>
      </c>
      <c r="F19291" s="3" t="n">
        <v>-40000</v>
      </c>
      <c r="G19291" s="3" t="n">
        <v>-174000</v>
      </c>
    </row>
    <row r="19292">
      <c r="A19292" s="3" t="inlineStr">
        <is>
          <t>Trademark Holdings (Pty) Ltd</t>
        </is>
      </c>
      <c r="B19292" s="4" t="n">
        <v>45352</v>
      </c>
      <c r="C19292" s="3" t="inlineStr">
        <is>
          <t>Revenue</t>
        </is>
      </c>
      <c r="D19292" s="3" t="inlineStr">
        <is>
          <t>1000/500</t>
        </is>
      </c>
      <c r="E19292" s="3" t="inlineStr">
        <is>
          <t>Sales - Commission external sale</t>
        </is>
      </c>
      <c r="F19292" s="3" t="n">
        <v>0</v>
      </c>
      <c r="G19292" s="3" t="n">
        <v>-50000</v>
      </c>
    </row>
    <row r="19293">
      <c r="A19293" s="3" t="inlineStr">
        <is>
          <t>Quinate Consulting (Pty) Ltd</t>
        </is>
      </c>
      <c r="B19293" s="4" t="n">
        <v>45352</v>
      </c>
      <c r="C19293" s="3" t="inlineStr">
        <is>
          <t>Revenue</t>
        </is>
      </c>
      <c r="D19293" s="3" t="inlineStr">
        <is>
          <t>1006/100</t>
        </is>
      </c>
      <c r="E19293" s="3" t="inlineStr">
        <is>
          <t>Rental income - Payprop</t>
        </is>
      </c>
      <c r="F19293" s="3" t="n">
        <v>-9500</v>
      </c>
      <c r="G19293" s="3" t="n">
        <v>-9500</v>
      </c>
    </row>
    <row r="19294">
      <c r="A19294" s="3" t="inlineStr">
        <is>
          <t>Opportunity Management Holdings (PTY) LTD</t>
        </is>
      </c>
      <c r="B19294" s="4" t="n">
        <v>45352</v>
      </c>
      <c r="C19294" s="3" t="inlineStr">
        <is>
          <t>Revenue</t>
        </is>
      </c>
      <c r="D19294" s="3" t="inlineStr">
        <is>
          <t>1100/001</t>
        </is>
      </c>
      <c r="E19294" s="3" t="inlineStr">
        <is>
          <t>Salary Recharges</t>
        </is>
      </c>
      <c r="F19294" s="3" t="n">
        <v>0</v>
      </c>
      <c r="G19294" s="3" t="n">
        <v>-2018940.35</v>
      </c>
    </row>
    <row r="19295">
      <c r="A19295" s="3" t="inlineStr">
        <is>
          <t>Noble Shield (Pty) Ltd ta Go Letting</t>
        </is>
      </c>
      <c r="B19295" s="4" t="n">
        <v>45352</v>
      </c>
      <c r="C19295" s="3" t="inlineStr">
        <is>
          <t>Expenses</t>
        </is>
      </c>
      <c r="D19295" s="3" t="inlineStr">
        <is>
          <t>2000/100</t>
        </is>
      </c>
      <c r="E19295" s="3" t="inlineStr">
        <is>
          <t>COS - Commission Paid</t>
        </is>
      </c>
      <c r="F19295" s="3" t="n">
        <v>0</v>
      </c>
      <c r="G19295" s="3" t="n">
        <v>93978.78</v>
      </c>
    </row>
    <row r="19296">
      <c r="A19296" s="3" t="inlineStr">
        <is>
          <t>Endulini (Pty) Ltd</t>
        </is>
      </c>
      <c r="B19296" s="4" t="n">
        <v>45352</v>
      </c>
      <c r="C19296" s="3" t="inlineStr">
        <is>
          <t>Expenses</t>
        </is>
      </c>
      <c r="D19296" s="3" t="inlineStr">
        <is>
          <t>2000/150</t>
        </is>
      </c>
      <c r="E19296" s="3" t="inlineStr">
        <is>
          <t>COS - Levies special agreement</t>
        </is>
      </c>
      <c r="F19296" s="3" t="n">
        <v>2267.05</v>
      </c>
      <c r="G19296" s="3" t="n">
        <v>2267.05</v>
      </c>
    </row>
    <row r="19297">
      <c r="A19297" s="3" t="inlineStr">
        <is>
          <t>Opportunity Global Property (PTY) LTD</t>
        </is>
      </c>
      <c r="B19297" s="4" t="n">
        <v>45352</v>
      </c>
      <c r="C19297" s="3" t="inlineStr">
        <is>
          <t>Expenses</t>
        </is>
      </c>
      <c r="D19297" s="3" t="inlineStr">
        <is>
          <t>2000/166</t>
        </is>
      </c>
      <c r="E19297" s="3" t="inlineStr">
        <is>
          <t>COS - Sales Comm Heron View - Morne</t>
        </is>
      </c>
      <c r="F19297" s="3" t="n">
        <v>40606.09</v>
      </c>
      <c r="G19297" s="3" t="n">
        <v>40606.09</v>
      </c>
    </row>
    <row r="19298">
      <c r="A19298" s="3" t="inlineStr">
        <is>
          <t>Noble Shield (Pty) Ltd ta Go Letting</t>
        </is>
      </c>
      <c r="B19298" s="4" t="n">
        <v>45352</v>
      </c>
      <c r="C19298" s="3" t="inlineStr">
        <is>
          <t>Expenses</t>
        </is>
      </c>
      <c r="D19298" s="3" t="inlineStr">
        <is>
          <t>2000/200</t>
        </is>
      </c>
      <c r="E19298" s="3" t="inlineStr">
        <is>
          <t>COS - Commission on external sales</t>
        </is>
      </c>
      <c r="F19298" s="3" t="n">
        <v>0</v>
      </c>
      <c r="G19298" s="3" t="n">
        <v>115400</v>
      </c>
    </row>
    <row r="19299">
      <c r="A19299" s="3" t="inlineStr">
        <is>
          <t>Trademark Holdings (Pty) Ltd</t>
        </is>
      </c>
      <c r="B19299" s="4" t="n">
        <v>45352</v>
      </c>
      <c r="C19299" s="3" t="inlineStr">
        <is>
          <t>Expenses</t>
        </is>
      </c>
      <c r="D19299" s="3" t="inlineStr">
        <is>
          <t>2000/300</t>
        </is>
      </c>
      <c r="E19299" s="3" t="inlineStr">
        <is>
          <t>COS - Commission Paid</t>
        </is>
      </c>
      <c r="F19299" s="3" t="n">
        <v>0</v>
      </c>
      <c r="G19299" s="3" t="n">
        <v>99962.98</v>
      </c>
    </row>
    <row r="19300">
      <c r="A19300" s="3" t="inlineStr">
        <is>
          <t>Trademark Holdings (Pty) Ltd</t>
        </is>
      </c>
      <c r="B19300" s="4" t="n">
        <v>45352</v>
      </c>
      <c r="C19300" s="3" t="inlineStr">
        <is>
          <t>Expenses</t>
        </is>
      </c>
      <c r="D19300" s="3" t="inlineStr">
        <is>
          <t>2000/400</t>
        </is>
      </c>
      <c r="E19300" s="3" t="inlineStr">
        <is>
          <t>COS - Commission on external sales</t>
        </is>
      </c>
      <c r="F19300" s="3" t="n">
        <v>0</v>
      </c>
      <c r="G19300" s="3" t="n">
        <v>115000</v>
      </c>
    </row>
    <row r="19301">
      <c r="A19301" s="3" t="inlineStr">
        <is>
          <t>Noble Shield (Pty) Ltd ta Go Letting</t>
        </is>
      </c>
      <c r="B19301" s="4" t="n">
        <v>45352</v>
      </c>
      <c r="C19301" s="3" t="inlineStr">
        <is>
          <t>Revenue</t>
        </is>
      </c>
      <c r="D19301" s="3" t="inlineStr">
        <is>
          <t>2400/011</t>
        </is>
      </c>
      <c r="E19301" s="3" t="inlineStr">
        <is>
          <t>Recovery of Electrity _AND_ Water - Rentals</t>
        </is>
      </c>
      <c r="F19301" s="3" t="n">
        <v>0</v>
      </c>
      <c r="G19301" s="3" t="n">
        <v>-1000</v>
      </c>
    </row>
    <row r="19302">
      <c r="A19302" s="3" t="inlineStr">
        <is>
          <t>Noble Shield (Pty) Ltd ta Go Letting</t>
        </is>
      </c>
      <c r="B19302" s="4" t="n">
        <v>45352</v>
      </c>
      <c r="C19302" s="3" t="inlineStr">
        <is>
          <t>Revenue</t>
        </is>
      </c>
      <c r="D19302" s="3" t="inlineStr">
        <is>
          <t>2750/100</t>
        </is>
      </c>
      <c r="E19302" s="3" t="inlineStr">
        <is>
          <t>Interest Received - bank</t>
        </is>
      </c>
      <c r="F19302" s="3" t="n">
        <v>0</v>
      </c>
      <c r="G19302" s="3" t="n">
        <v>-2.4</v>
      </c>
    </row>
    <row r="19303">
      <c r="A19303" s="3" t="inlineStr">
        <is>
          <t>Trademark Holdings (Pty) Ltd</t>
        </is>
      </c>
      <c r="B19303" s="4" t="n">
        <v>45352</v>
      </c>
      <c r="C19303" s="3" t="inlineStr">
        <is>
          <t>Expenses</t>
        </is>
      </c>
      <c r="D19303" s="3" t="inlineStr">
        <is>
          <t>3000/300</t>
        </is>
      </c>
      <c r="E19303" s="3" t="inlineStr">
        <is>
          <t>Accounting Fees - Audit</t>
        </is>
      </c>
      <c r="F19303" s="3" t="n">
        <v>0</v>
      </c>
      <c r="G19303" s="3" t="n">
        <v>22517</v>
      </c>
    </row>
    <row r="19304">
      <c r="A19304" s="3" t="inlineStr">
        <is>
          <t>Trademark Holdings (Pty) Ltd</t>
        </is>
      </c>
      <c r="B19304" s="4" t="n">
        <v>45352</v>
      </c>
      <c r="C19304" s="3" t="inlineStr">
        <is>
          <t>Expenses</t>
        </is>
      </c>
      <c r="D19304" s="3" t="inlineStr">
        <is>
          <t>3000/400</t>
        </is>
      </c>
      <c r="E19304" s="3" t="inlineStr">
        <is>
          <t>Accounting Fees - CiPC</t>
        </is>
      </c>
      <c r="F19304" s="3" t="n">
        <v>0</v>
      </c>
      <c r="G19304" s="3" t="n">
        <v>1322.5</v>
      </c>
    </row>
    <row r="19305">
      <c r="A19305" s="3" t="inlineStr">
        <is>
          <t>Opportunity Management Holdings (PTY) LTD</t>
        </is>
      </c>
      <c r="B19305" s="4" t="n">
        <v>45352</v>
      </c>
      <c r="C19305" s="3" t="inlineStr">
        <is>
          <t>Expenses</t>
        </is>
      </c>
      <c r="D19305" s="3" t="inlineStr">
        <is>
          <t>3005/000</t>
        </is>
      </c>
      <c r="E19305" s="3" t="inlineStr">
        <is>
          <t>Accounting fees - Deric Dudley</t>
        </is>
      </c>
      <c r="F19305" s="3" t="n">
        <v>0</v>
      </c>
      <c r="G19305" s="3" t="n">
        <v>289427.94</v>
      </c>
    </row>
    <row r="19306">
      <c r="A19306" s="3" t="inlineStr">
        <is>
          <t>Opportunity Management Holdings (PTY) LTD</t>
        </is>
      </c>
      <c r="B19306" s="4" t="n">
        <v>45352</v>
      </c>
      <c r="C19306" s="3" t="inlineStr">
        <is>
          <t>Expenses</t>
        </is>
      </c>
      <c r="D19306" s="3" t="inlineStr">
        <is>
          <t>3006/000</t>
        </is>
      </c>
      <c r="E19306" s="3" t="inlineStr">
        <is>
          <t>Accounting fees - CIPC</t>
        </is>
      </c>
      <c r="F19306" s="3" t="n">
        <v>0</v>
      </c>
      <c r="G19306" s="3" t="n">
        <v>500</v>
      </c>
    </row>
    <row r="19307">
      <c r="A19307" s="3" t="inlineStr">
        <is>
          <t>Noble Shield (Pty) Ltd ta Go Letting</t>
        </is>
      </c>
      <c r="B19307" s="4" t="n">
        <v>45352</v>
      </c>
      <c r="C19307" s="3" t="inlineStr">
        <is>
          <t>Expenses</t>
        </is>
      </c>
      <c r="D19307" s="3" t="inlineStr">
        <is>
          <t>3050/000</t>
        </is>
      </c>
      <c r="E19307" s="3" t="inlineStr">
        <is>
          <t>Advertising _AND_ Promotions</t>
        </is>
      </c>
      <c r="F19307" s="3" t="n">
        <v>0</v>
      </c>
      <c r="G19307" s="3" t="n">
        <v>1322.5</v>
      </c>
    </row>
    <row r="19308">
      <c r="A19308" s="3" t="inlineStr">
        <is>
          <t>Opportunity Management Holdings (PTY) LTD</t>
        </is>
      </c>
      <c r="B19308" s="4" t="n">
        <v>45352</v>
      </c>
      <c r="C19308" s="3" t="inlineStr">
        <is>
          <t>Expenses</t>
        </is>
      </c>
      <c r="D19308" s="3" t="inlineStr">
        <is>
          <t>3050/000</t>
        </is>
      </c>
      <c r="E19308" s="3" t="inlineStr">
        <is>
          <t>Advertising _AND_ Promotions</t>
        </is>
      </c>
      <c r="F19308" s="3" t="n">
        <v>0</v>
      </c>
      <c r="G19308" s="3" t="n">
        <v>3761.41</v>
      </c>
    </row>
    <row r="19309">
      <c r="A19309" s="3" t="inlineStr">
        <is>
          <t>Noble Shield (Pty) Ltd ta Go Letting</t>
        </is>
      </c>
      <c r="B19309" s="4" t="n">
        <v>45352</v>
      </c>
      <c r="C19309" s="3" t="inlineStr">
        <is>
          <t>Expenses</t>
        </is>
      </c>
      <c r="D19309" s="3" t="inlineStr">
        <is>
          <t>3050/020</t>
        </is>
      </c>
      <c r="E19309" s="3" t="inlineStr">
        <is>
          <t>Adverting &amp; Marketing - Other</t>
        </is>
      </c>
      <c r="F19309" s="3" t="n">
        <v>0</v>
      </c>
      <c r="G19309" s="3" t="n">
        <v>134.9</v>
      </c>
    </row>
    <row r="19310">
      <c r="A19310" s="3" t="inlineStr">
        <is>
          <t>Noble Shield (Pty) Ltd ta Go Letting</t>
        </is>
      </c>
      <c r="B19310" s="4" t="n">
        <v>45352</v>
      </c>
      <c r="C19310" s="3" t="inlineStr">
        <is>
          <t>Expenses</t>
        </is>
      </c>
      <c r="D19310" s="3" t="inlineStr">
        <is>
          <t>3050/050</t>
        </is>
      </c>
      <c r="E19310" s="3" t="inlineStr">
        <is>
          <t>Advertising - Prop 24</t>
        </is>
      </c>
      <c r="F19310" s="3" t="n">
        <v>0</v>
      </c>
      <c r="G19310" s="3" t="n">
        <v>21860.35</v>
      </c>
    </row>
    <row r="19311">
      <c r="A19311" s="3" t="inlineStr">
        <is>
          <t>Opportunity Global Property (PTY) LTD</t>
        </is>
      </c>
      <c r="B19311" s="4" t="n">
        <v>45352</v>
      </c>
      <c r="C19311" s="3" t="inlineStr">
        <is>
          <t>Expenses</t>
        </is>
      </c>
      <c r="D19311" s="3" t="inlineStr">
        <is>
          <t>3050/250</t>
        </is>
      </c>
      <c r="E19311" s="3" t="inlineStr">
        <is>
          <t>Advertising - General</t>
        </is>
      </c>
      <c r="F19311" s="3" t="n">
        <v>10000</v>
      </c>
      <c r="G19311" s="3" t="n">
        <v>10000</v>
      </c>
    </row>
    <row r="19312">
      <c r="A19312" s="3" t="inlineStr">
        <is>
          <t>Opportunity Global Property (PTY) LTD</t>
        </is>
      </c>
      <c r="B19312" s="4" t="n">
        <v>45352</v>
      </c>
      <c r="C19312" s="3" t="inlineStr">
        <is>
          <t>Expenses</t>
        </is>
      </c>
      <c r="D19312" s="3" t="inlineStr">
        <is>
          <t>3050/380</t>
        </is>
      </c>
      <c r="E19312" s="3" t="inlineStr">
        <is>
          <t>Advertising &amp; Marketing - Syte</t>
        </is>
      </c>
      <c r="F19312" s="3" t="n">
        <v>23750</v>
      </c>
      <c r="G19312" s="3" t="n">
        <v>23750</v>
      </c>
    </row>
    <row r="19313">
      <c r="A19313" s="3" t="inlineStr">
        <is>
          <t>Noble Shield (Pty) Ltd ta Go Letting</t>
        </is>
      </c>
      <c r="B19313" s="4" t="n">
        <v>45352</v>
      </c>
      <c r="C19313" s="3" t="inlineStr">
        <is>
          <t>Expenses</t>
        </is>
      </c>
      <c r="D19313" s="3" t="inlineStr">
        <is>
          <t>3200/000</t>
        </is>
      </c>
      <c r="E19313" s="3" t="inlineStr">
        <is>
          <t>Bank Charges</t>
        </is>
      </c>
      <c r="F19313" s="3" t="n">
        <v>0</v>
      </c>
      <c r="G19313" s="3" t="n">
        <v>3492.43</v>
      </c>
    </row>
    <row r="19314">
      <c r="A19314" s="3" t="inlineStr">
        <is>
          <t>Opportunity Management Holdings (PTY) LTD</t>
        </is>
      </c>
      <c r="B19314" s="4" t="n">
        <v>45352</v>
      </c>
      <c r="C19314" s="3" t="inlineStr">
        <is>
          <t>Expenses</t>
        </is>
      </c>
      <c r="D19314" s="3" t="inlineStr">
        <is>
          <t>3200/000</t>
        </is>
      </c>
      <c r="E19314" s="3" t="inlineStr">
        <is>
          <t>Bank Charges</t>
        </is>
      </c>
      <c r="F19314" s="3" t="n">
        <v>0</v>
      </c>
      <c r="G19314" s="3" t="n">
        <v>5101.58</v>
      </c>
    </row>
    <row r="19315">
      <c r="A19315" s="3" t="inlineStr">
        <is>
          <t>Trademark Holdings (Pty) Ltd</t>
        </is>
      </c>
      <c r="B19315" s="4" t="n">
        <v>45352</v>
      </c>
      <c r="C19315" s="3" t="inlineStr">
        <is>
          <t>Expenses</t>
        </is>
      </c>
      <c r="D19315" s="3" t="inlineStr">
        <is>
          <t>3200/000</t>
        </is>
      </c>
      <c r="E19315" s="3" t="inlineStr">
        <is>
          <t>Bank Charges</t>
        </is>
      </c>
      <c r="F19315" s="3" t="n">
        <v>0</v>
      </c>
      <c r="G19315" s="3" t="n">
        <v>1911.93</v>
      </c>
    </row>
    <row r="19316">
      <c r="A19316" s="3" t="inlineStr">
        <is>
          <t>Noble Shield (Pty) Ltd ta Go Letting</t>
        </is>
      </c>
      <c r="B19316" s="4" t="n">
        <v>45352</v>
      </c>
      <c r="C19316" s="3" t="inlineStr">
        <is>
          <t>Expenses</t>
        </is>
      </c>
      <c r="D19316" s="3" t="inlineStr">
        <is>
          <t>3230/000</t>
        </is>
      </c>
      <c r="E19316" s="3" t="inlineStr">
        <is>
          <t>Cell Phone - NM</t>
        </is>
      </c>
      <c r="F19316" s="3" t="n">
        <v>0</v>
      </c>
      <c r="G19316" s="3" t="n">
        <v>13664.18</v>
      </c>
    </row>
    <row r="19317">
      <c r="A19317" s="3" t="inlineStr">
        <is>
          <t>Noble Shield (Pty) Ltd ta Go Letting</t>
        </is>
      </c>
      <c r="B19317" s="4" t="n">
        <v>45352</v>
      </c>
      <c r="C19317" s="3" t="inlineStr">
        <is>
          <t>Expenses</t>
        </is>
      </c>
      <c r="D19317" s="3" t="inlineStr">
        <is>
          <t>3233/000</t>
        </is>
      </c>
      <c r="E19317" s="3" t="inlineStr">
        <is>
          <t>Cell Data - Other</t>
        </is>
      </c>
      <c r="F19317" s="3" t="n">
        <v>199</v>
      </c>
      <c r="G19317" s="3" t="n">
        <v>969.04</v>
      </c>
    </row>
    <row r="19318">
      <c r="A19318" s="3" t="inlineStr">
        <is>
          <t>Noble Shield (Pty) Ltd ta Go Letting</t>
        </is>
      </c>
      <c r="B19318" s="4" t="n">
        <v>45352</v>
      </c>
      <c r="C19318" s="3" t="inlineStr">
        <is>
          <t>Expenses</t>
        </is>
      </c>
      <c r="D19318" s="3" t="inlineStr">
        <is>
          <t>3233/100</t>
        </is>
      </c>
      <c r="E19318" s="3" t="inlineStr">
        <is>
          <t>Cell Data - Sales office Wifi</t>
        </is>
      </c>
      <c r="F19318" s="3" t="n">
        <v>315</v>
      </c>
      <c r="G19318" s="3" t="n">
        <v>2701.91</v>
      </c>
    </row>
    <row r="19319">
      <c r="A19319" s="3" t="inlineStr">
        <is>
          <t>Opportunity Global Property (PTY) LTD</t>
        </is>
      </c>
      <c r="B19319" s="4" t="n">
        <v>45352</v>
      </c>
      <c r="C19319" s="3" t="inlineStr">
        <is>
          <t>Expenses</t>
        </is>
      </c>
      <c r="D19319" s="3" t="inlineStr">
        <is>
          <t>3250/000</t>
        </is>
      </c>
      <c r="E19319" s="3" t="inlineStr">
        <is>
          <t>Cleaning</t>
        </is>
      </c>
      <c r="F19319" s="3" t="n">
        <v>1078.16</v>
      </c>
      <c r="G19319" s="3" t="n">
        <v>1078.16</v>
      </c>
    </row>
    <row r="19320">
      <c r="A19320" s="3" t="inlineStr">
        <is>
          <t>Opportunity Management Holdings (PTY) LTD</t>
        </is>
      </c>
      <c r="B19320" s="4" t="n">
        <v>45352</v>
      </c>
      <c r="C19320" s="3" t="inlineStr">
        <is>
          <t>Expenses</t>
        </is>
      </c>
      <c r="D19320" s="3" t="inlineStr">
        <is>
          <t>3250/000</t>
        </is>
      </c>
      <c r="E19320" s="3" t="inlineStr">
        <is>
          <t>Cleaning</t>
        </is>
      </c>
      <c r="F19320" s="3" t="n">
        <v>0</v>
      </c>
      <c r="G19320" s="3" t="n">
        <v>17545.15</v>
      </c>
    </row>
    <row r="19321">
      <c r="A19321" s="3" t="inlineStr">
        <is>
          <t>Trademark Holdings (Pty) Ltd</t>
        </is>
      </c>
      <c r="B19321" s="4" t="n">
        <v>45352</v>
      </c>
      <c r="C19321" s="3" t="inlineStr">
        <is>
          <t>Expenses</t>
        </is>
      </c>
      <c r="D19321" s="3" t="inlineStr">
        <is>
          <t>3250/000</t>
        </is>
      </c>
      <c r="E19321" s="3" t="inlineStr">
        <is>
          <t>Cleaning</t>
        </is>
      </c>
      <c r="F19321" s="3" t="n">
        <v>0</v>
      </c>
      <c r="G19321" s="3" t="n">
        <v>6578</v>
      </c>
    </row>
    <row r="19322">
      <c r="A19322" s="3" t="inlineStr">
        <is>
          <t>Opportunity Management Holdings (PTY) LTD</t>
        </is>
      </c>
      <c r="B19322" s="4" t="n">
        <v>45352</v>
      </c>
      <c r="C19322" s="3" t="inlineStr">
        <is>
          <t>Expenses</t>
        </is>
      </c>
      <c r="D19322" s="3" t="inlineStr">
        <is>
          <t>3300/000</t>
        </is>
      </c>
      <c r="E19322" s="3" t="inlineStr">
        <is>
          <t>Computer Expenses</t>
        </is>
      </c>
      <c r="F19322" s="3" t="n">
        <v>0</v>
      </c>
      <c r="G19322" s="3" t="n">
        <v>1266.08</v>
      </c>
    </row>
    <row r="19323">
      <c r="A19323" s="3" t="inlineStr">
        <is>
          <t>Noble Shield (Pty) Ltd ta Go Letting</t>
        </is>
      </c>
      <c r="B19323" s="4" t="n">
        <v>45352</v>
      </c>
      <c r="C19323" s="3" t="inlineStr">
        <is>
          <t>Expenses</t>
        </is>
      </c>
      <c r="D19323" s="3" t="inlineStr">
        <is>
          <t>3300/120</t>
        </is>
      </c>
      <c r="E19323" s="3" t="inlineStr">
        <is>
          <t>Computer IT - Software Propworx</t>
        </is>
      </c>
      <c r="F19323" s="3" t="n">
        <v>2576</v>
      </c>
      <c r="G19323" s="3" t="n">
        <v>18032</v>
      </c>
    </row>
    <row r="19324">
      <c r="A19324" s="3" t="inlineStr">
        <is>
          <t>Noble Shield (Pty) Ltd ta Go Letting</t>
        </is>
      </c>
      <c r="B19324" s="4" t="n">
        <v>45352</v>
      </c>
      <c r="C19324" s="3" t="inlineStr">
        <is>
          <t>Expenses</t>
        </is>
      </c>
      <c r="D19324" s="3" t="inlineStr">
        <is>
          <t>3300/130</t>
        </is>
      </c>
      <c r="E19324" s="3" t="inlineStr">
        <is>
          <t>Computer IT - Internet/Hosting Fees</t>
        </is>
      </c>
      <c r="F19324" s="3" t="n">
        <v>0</v>
      </c>
      <c r="G19324" s="3" t="n">
        <v>1580</v>
      </c>
    </row>
    <row r="19325">
      <c r="A19325" s="3" t="inlineStr">
        <is>
          <t>Noble Shield (Pty) Ltd ta Go Letting</t>
        </is>
      </c>
      <c r="B19325" s="4" t="n">
        <v>45352</v>
      </c>
      <c r="C19325" s="3" t="inlineStr">
        <is>
          <t>Expenses</t>
        </is>
      </c>
      <c r="D19325" s="3" t="inlineStr">
        <is>
          <t>3300/170</t>
        </is>
      </c>
      <c r="E19325" s="3" t="inlineStr">
        <is>
          <t>Computer IT - VDB office Fibre</t>
        </is>
      </c>
      <c r="F19325" s="3" t="n">
        <v>0</v>
      </c>
      <c r="G19325" s="3" t="n">
        <v>3950</v>
      </c>
    </row>
    <row r="19326">
      <c r="A19326" s="3" t="inlineStr">
        <is>
          <t>Trademark Holdings (Pty) Ltd</t>
        </is>
      </c>
      <c r="B19326" s="4" t="n">
        <v>45352</v>
      </c>
      <c r="C19326" s="3" t="inlineStr">
        <is>
          <t>Expenses</t>
        </is>
      </c>
      <c r="D19326" s="3" t="inlineStr">
        <is>
          <t>3350/000</t>
        </is>
      </c>
      <c r="E19326" s="3" t="inlineStr">
        <is>
          <t>Consulting Fees</t>
        </is>
      </c>
      <c r="F19326" s="3" t="n">
        <v>0</v>
      </c>
      <c r="G19326" s="3" t="n">
        <v>132400</v>
      </c>
    </row>
    <row r="19327">
      <c r="A19327" s="3" t="inlineStr">
        <is>
          <t>Opportunity Management Holdings (PTY) LTD</t>
        </is>
      </c>
      <c r="B19327" s="4" t="n">
        <v>45352</v>
      </c>
      <c r="C19327" s="3" t="inlineStr">
        <is>
          <t>Expenses</t>
        </is>
      </c>
      <c r="D19327" s="3" t="inlineStr">
        <is>
          <t>3350/100</t>
        </is>
      </c>
      <c r="E19327" s="3" t="inlineStr">
        <is>
          <t>Consulting Fee - Dirk Coetzee</t>
        </is>
      </c>
      <c r="F19327" s="3" t="n">
        <v>0</v>
      </c>
      <c r="G19327" s="3" t="n">
        <v>102000</v>
      </c>
    </row>
    <row r="19328">
      <c r="A19328" s="3" t="inlineStr">
        <is>
          <t>Opportunity Management Holdings (PTY) LTD</t>
        </is>
      </c>
      <c r="B19328" s="4" t="n">
        <v>45352</v>
      </c>
      <c r="C19328" s="3" t="inlineStr">
        <is>
          <t>Expenses</t>
        </is>
      </c>
      <c r="D19328" s="3" t="inlineStr">
        <is>
          <t>3350/300</t>
        </is>
      </c>
      <c r="E19328" s="3" t="inlineStr">
        <is>
          <t>Consulting Fee - HR Joblaw</t>
        </is>
      </c>
      <c r="F19328" s="3" t="n">
        <v>1600.83</v>
      </c>
      <c r="G19328" s="3" t="n">
        <v>11205.81</v>
      </c>
    </row>
    <row r="19329">
      <c r="A19329" s="3" t="inlineStr">
        <is>
          <t>Opportunity Management Holdings (PTY) LTD</t>
        </is>
      </c>
      <c r="B19329" s="4" t="n">
        <v>45352</v>
      </c>
      <c r="C19329" s="3" t="inlineStr">
        <is>
          <t>Expenses</t>
        </is>
      </c>
      <c r="D19329" s="3" t="inlineStr">
        <is>
          <t>3350/400</t>
        </is>
      </c>
      <c r="E19329" s="3" t="inlineStr">
        <is>
          <t>Consulting Fees - Johan Prinsloo</t>
        </is>
      </c>
      <c r="F19329" s="3" t="n">
        <v>0</v>
      </c>
      <c r="G19329" s="3" t="n">
        <v>50992.16</v>
      </c>
    </row>
    <row r="19330">
      <c r="A19330" s="3" t="inlineStr">
        <is>
          <t>Opportunity Private Capital (PTY) LTD</t>
        </is>
      </c>
      <c r="B19330" s="4" t="n">
        <v>45352</v>
      </c>
      <c r="C19330" s="3" t="inlineStr">
        <is>
          <t>Expenses</t>
        </is>
      </c>
      <c r="D19330" s="3" t="inlineStr">
        <is>
          <t>3351/000</t>
        </is>
      </c>
      <c r="E19330" s="3" t="inlineStr">
        <is>
          <t>Consulting Fees - HR Joblaw</t>
        </is>
      </c>
      <c r="F19330" s="3" t="n">
        <v>1600.83</v>
      </c>
      <c r="G19330" s="3" t="n">
        <v>1600.83</v>
      </c>
    </row>
    <row r="19331">
      <c r="A19331" s="3" t="inlineStr">
        <is>
          <t>Opportunity Private Capital (PTY) LTD</t>
        </is>
      </c>
      <c r="B19331" s="4" t="n">
        <v>45352</v>
      </c>
      <c r="C19331" s="3" t="inlineStr">
        <is>
          <t>Expenses</t>
        </is>
      </c>
      <c r="D19331" s="3" t="inlineStr">
        <is>
          <t>3355/00</t>
        </is>
      </c>
      <c r="E19331" s="3" t="inlineStr">
        <is>
          <t>Consulting fees - F Geldenhuys</t>
        </is>
      </c>
      <c r="F19331" s="3" t="n">
        <v>30000</v>
      </c>
      <c r="G19331" s="3" t="n">
        <v>30000</v>
      </c>
    </row>
    <row r="19332">
      <c r="A19332" s="3" t="inlineStr">
        <is>
          <t>Opportunity Management Holdings (PTY) LTD</t>
        </is>
      </c>
      <c r="B19332" s="4" t="n">
        <v>45352</v>
      </c>
      <c r="C19332" s="3" t="inlineStr">
        <is>
          <t>Expenses</t>
        </is>
      </c>
      <c r="D19332" s="3" t="inlineStr">
        <is>
          <t>3400/000</t>
        </is>
      </c>
      <c r="E19332" s="3" t="inlineStr">
        <is>
          <t>Courier _AND_ Postage</t>
        </is>
      </c>
      <c r="F19332" s="3" t="n">
        <v>0</v>
      </c>
      <c r="G19332" s="3" t="n">
        <v>664.3200000000001</v>
      </c>
    </row>
    <row r="19333">
      <c r="A19333" s="3" t="inlineStr">
        <is>
          <t>Opportunity Management Holdings (PTY) LTD</t>
        </is>
      </c>
      <c r="B19333" s="4" t="n">
        <v>45352</v>
      </c>
      <c r="C19333" s="3" t="inlineStr">
        <is>
          <t>Expenses</t>
        </is>
      </c>
      <c r="D19333" s="3" t="inlineStr">
        <is>
          <t>3451/000</t>
        </is>
      </c>
      <c r="E19333" s="3" t="inlineStr">
        <is>
          <t>Depreciation - Computer Equipment</t>
        </is>
      </c>
      <c r="F19333" s="3" t="n">
        <v>0</v>
      </c>
      <c r="G19333" s="3" t="n">
        <v>6211.08</v>
      </c>
    </row>
    <row r="19334">
      <c r="A19334" s="3" t="inlineStr">
        <is>
          <t>Quinate Consulting (Pty) Ltd</t>
        </is>
      </c>
      <c r="B19334" s="4" t="n">
        <v>45352</v>
      </c>
      <c r="C19334" s="3" t="inlineStr">
        <is>
          <t>Expenses</t>
        </is>
      </c>
      <c r="D19334" s="3" t="inlineStr">
        <is>
          <t>3600/000</t>
        </is>
      </c>
      <c r="E19334" s="3" t="inlineStr">
        <is>
          <t>Donations</t>
        </is>
      </c>
      <c r="F19334" s="3" t="n">
        <v>572.45</v>
      </c>
      <c r="G19334" s="3" t="n">
        <v>572.45</v>
      </c>
    </row>
    <row r="19335">
      <c r="A19335" s="3" t="inlineStr">
        <is>
          <t>Noble Shield (Pty) Ltd ta Go Letting</t>
        </is>
      </c>
      <c r="B19335" s="4" t="n">
        <v>45352</v>
      </c>
      <c r="C19335" s="3" t="inlineStr">
        <is>
          <t>Expenses</t>
        </is>
      </c>
      <c r="D19335" s="3" t="inlineStr">
        <is>
          <t>3650/000</t>
        </is>
      </c>
      <c r="E19335" s="3" t="inlineStr">
        <is>
          <t>Electricity _AND_ Water</t>
        </is>
      </c>
      <c r="F19335" s="3" t="n">
        <v>1000</v>
      </c>
      <c r="G19335" s="3" t="n">
        <v>3500</v>
      </c>
    </row>
    <row r="19336">
      <c r="A19336" s="3" t="inlineStr">
        <is>
          <t>Noble Shield (Pty) Ltd ta Go Letting</t>
        </is>
      </c>
      <c r="B19336" s="4" t="n">
        <v>45352</v>
      </c>
      <c r="C19336" s="3" t="inlineStr">
        <is>
          <t>Expenses</t>
        </is>
      </c>
      <c r="D19336" s="3" t="inlineStr">
        <is>
          <t>3651/000</t>
        </is>
      </c>
      <c r="E19336" s="3" t="inlineStr">
        <is>
          <t>Electricity _AND_ Water - Rentals</t>
        </is>
      </c>
      <c r="F19336" s="3" t="n">
        <v>0</v>
      </c>
      <c r="G19336" s="3" t="n">
        <v>1000</v>
      </c>
    </row>
    <row r="19337">
      <c r="A19337" s="3" t="inlineStr">
        <is>
          <t>Quinate Consulting (Pty) Ltd</t>
        </is>
      </c>
      <c r="B19337" s="4" t="n">
        <v>45352</v>
      </c>
      <c r="C19337" s="3" t="inlineStr">
        <is>
          <t>Expenses</t>
        </is>
      </c>
      <c r="D19337" s="3" t="inlineStr">
        <is>
          <t>3652/000</t>
        </is>
      </c>
      <c r="E19337" s="3" t="inlineStr">
        <is>
          <t>Electricity _AND_ Water - Soho</t>
        </is>
      </c>
      <c r="F19337" s="3" t="n">
        <v>773.66</v>
      </c>
      <c r="G19337" s="3" t="n">
        <v>773.66</v>
      </c>
    </row>
    <row r="19338">
      <c r="A19338" s="3" t="inlineStr">
        <is>
          <t>Noble Shield (Pty) Ltd ta Go Letting</t>
        </is>
      </c>
      <c r="B19338" s="4" t="n">
        <v>45352</v>
      </c>
      <c r="C19338" s="3" t="inlineStr">
        <is>
          <t>Expenses</t>
        </is>
      </c>
      <c r="D19338" s="3" t="inlineStr">
        <is>
          <t>3700/000</t>
        </is>
      </c>
      <c r="E19338" s="3" t="inlineStr">
        <is>
          <t>Entertainment Expenses</t>
        </is>
      </c>
      <c r="F19338" s="3" t="n">
        <v>0</v>
      </c>
      <c r="G19338" s="3" t="n">
        <v>1650</v>
      </c>
    </row>
    <row r="19339">
      <c r="A19339" s="3" t="inlineStr">
        <is>
          <t>Opportunity Management Holdings (PTY) LTD</t>
        </is>
      </c>
      <c r="B19339" s="4" t="n">
        <v>45352</v>
      </c>
      <c r="C19339" s="3" t="inlineStr">
        <is>
          <t>Expenses</t>
        </is>
      </c>
      <c r="D19339" s="3" t="inlineStr">
        <is>
          <t>3700/000</t>
        </is>
      </c>
      <c r="E19339" s="3" t="inlineStr">
        <is>
          <t>Entertainment Expenses</t>
        </is>
      </c>
      <c r="F19339" s="3" t="n">
        <v>0</v>
      </c>
      <c r="G19339" s="3" t="n">
        <v>1126.13</v>
      </c>
    </row>
    <row r="19340">
      <c r="A19340" s="3" t="inlineStr">
        <is>
          <t>Noble Shield (Pty) Ltd ta Go Letting</t>
        </is>
      </c>
      <c r="B19340" s="4" t="n">
        <v>45352</v>
      </c>
      <c r="C19340" s="3" t="inlineStr">
        <is>
          <t>Expenses</t>
        </is>
      </c>
      <c r="D19340" s="3" t="inlineStr">
        <is>
          <t>3800/000</t>
        </is>
      </c>
      <c r="E19340" s="3" t="inlineStr">
        <is>
          <t>General Expenses</t>
        </is>
      </c>
      <c r="F19340" s="3" t="n">
        <v>0</v>
      </c>
      <c r="G19340" s="3" t="n">
        <v>49.99</v>
      </c>
    </row>
    <row r="19341">
      <c r="A19341" s="3" t="inlineStr">
        <is>
          <t>Opportunity Global Property (PTY) LTD</t>
        </is>
      </c>
      <c r="B19341" s="4" t="n">
        <v>45352</v>
      </c>
      <c r="C19341" s="3" t="inlineStr">
        <is>
          <t>Expenses</t>
        </is>
      </c>
      <c r="D19341" s="3" t="inlineStr">
        <is>
          <t>3800/000</t>
        </is>
      </c>
      <c r="E19341" s="3" t="inlineStr">
        <is>
          <t>General Expenses</t>
        </is>
      </c>
      <c r="F19341" s="3" t="n">
        <v>156.5</v>
      </c>
      <c r="G19341" s="3" t="n">
        <v>156.5</v>
      </c>
    </row>
    <row r="19342">
      <c r="A19342" s="3" t="inlineStr">
        <is>
          <t>Opportunity Management Holdings (PTY) LTD</t>
        </is>
      </c>
      <c r="B19342" s="4" t="n">
        <v>45352</v>
      </c>
      <c r="C19342" s="3" t="inlineStr">
        <is>
          <t>Expenses</t>
        </is>
      </c>
      <c r="D19342" s="3" t="inlineStr">
        <is>
          <t>3800/000</t>
        </is>
      </c>
      <c r="E19342" s="3" t="inlineStr">
        <is>
          <t>General Expenses</t>
        </is>
      </c>
      <c r="F19342" s="3" t="n">
        <v>0</v>
      </c>
      <c r="G19342" s="3" t="n">
        <v>1512.62</v>
      </c>
    </row>
    <row r="19343">
      <c r="A19343" s="3" t="inlineStr">
        <is>
          <t>Quinate Consulting (Pty) Ltd</t>
        </is>
      </c>
      <c r="B19343" s="4" t="n">
        <v>45352</v>
      </c>
      <c r="C19343" s="3" t="inlineStr">
        <is>
          <t>Expenses</t>
        </is>
      </c>
      <c r="D19343" s="3" t="inlineStr">
        <is>
          <t>3800/000</t>
        </is>
      </c>
      <c r="E19343" s="3" t="inlineStr">
        <is>
          <t>General Expenses</t>
        </is>
      </c>
      <c r="F19343" s="3" t="n">
        <v>1338.11</v>
      </c>
      <c r="G19343" s="3" t="n">
        <v>1338.11</v>
      </c>
    </row>
    <row r="19344">
      <c r="A19344" s="3" t="inlineStr">
        <is>
          <t>Opportunity Management Holdings (PTY) LTD</t>
        </is>
      </c>
      <c r="B19344" s="4" t="n">
        <v>45352</v>
      </c>
      <c r="C19344" s="3" t="inlineStr">
        <is>
          <t>Expenses</t>
        </is>
      </c>
      <c r="D19344" s="3" t="inlineStr">
        <is>
          <t>3800/010</t>
        </is>
      </c>
      <c r="E19344" s="3" t="inlineStr">
        <is>
          <t>General Expenses - Gifts</t>
        </is>
      </c>
      <c r="F19344" s="3" t="n">
        <v>0</v>
      </c>
      <c r="G19344" s="3" t="n">
        <v>9208.57</v>
      </c>
    </row>
    <row r="19345">
      <c r="A19345" s="3" t="inlineStr">
        <is>
          <t>Opportunity Management Holdings (PTY) LTD</t>
        </is>
      </c>
      <c r="B19345" s="4" t="n">
        <v>45352</v>
      </c>
      <c r="C19345" s="3" t="inlineStr">
        <is>
          <t>Expenses</t>
        </is>
      </c>
      <c r="D19345" s="3" t="inlineStr">
        <is>
          <t>3800/030</t>
        </is>
      </c>
      <c r="E19345" s="3" t="inlineStr">
        <is>
          <t>General Expenses: Showhouse Heron View</t>
        </is>
      </c>
      <c r="F19345" s="3" t="n">
        <v>0</v>
      </c>
      <c r="G19345" s="3" t="n">
        <v>987.72</v>
      </c>
    </row>
    <row r="19346">
      <c r="A19346" s="3" t="inlineStr">
        <is>
          <t>Opportunity Management Holdings (PTY) LTD</t>
        </is>
      </c>
      <c r="B19346" s="4" t="n">
        <v>45352</v>
      </c>
      <c r="C19346" s="3" t="inlineStr">
        <is>
          <t>Expenses</t>
        </is>
      </c>
      <c r="D19346" s="3" t="inlineStr">
        <is>
          <t>3850/000</t>
        </is>
      </c>
      <c r="E19346" s="3" t="inlineStr">
        <is>
          <t>Insurance - Momentum</t>
        </is>
      </c>
      <c r="F19346" s="3" t="n">
        <v>1969.99</v>
      </c>
      <c r="G19346" s="3" t="n">
        <v>12694.21</v>
      </c>
    </row>
    <row r="19347">
      <c r="A19347" s="3" t="inlineStr">
        <is>
          <t>Noble Shield (Pty) Ltd ta Go Letting</t>
        </is>
      </c>
      <c r="B19347" s="4" t="n">
        <v>45352</v>
      </c>
      <c r="C19347" s="3" t="inlineStr">
        <is>
          <t>Expenses</t>
        </is>
      </c>
      <c r="D19347" s="3" t="inlineStr">
        <is>
          <t>3850/100</t>
        </is>
      </c>
      <c r="E19347" s="3" t="inlineStr">
        <is>
          <t>Insurance - Santam</t>
        </is>
      </c>
      <c r="F19347" s="3" t="n">
        <v>4249.41</v>
      </c>
      <c r="G19347" s="3" t="n">
        <v>29745.87</v>
      </c>
    </row>
    <row r="19348">
      <c r="A19348" s="3" t="inlineStr">
        <is>
          <t>Noble Shield (Pty) Ltd ta Go Letting</t>
        </is>
      </c>
      <c r="B19348" s="4" t="n">
        <v>45352</v>
      </c>
      <c r="C19348" s="3" t="inlineStr">
        <is>
          <t>Expenses</t>
        </is>
      </c>
      <c r="D19348" s="3" t="inlineStr">
        <is>
          <t>3850/200</t>
        </is>
      </c>
      <c r="E19348" s="3" t="inlineStr">
        <is>
          <t>Insurance - A_AND_G</t>
        </is>
      </c>
      <c r="F19348" s="3" t="n">
        <v>2394.42</v>
      </c>
      <c r="G19348" s="3" t="n">
        <v>15861.18</v>
      </c>
    </row>
    <row r="19349">
      <c r="A19349" s="3" t="inlineStr">
        <is>
          <t>Opportunity Management Holdings (PTY) LTD</t>
        </is>
      </c>
      <c r="B19349" s="4" t="n">
        <v>45352</v>
      </c>
      <c r="C19349" s="3" t="inlineStr">
        <is>
          <t>Expenses</t>
        </is>
      </c>
      <c r="D19349" s="3" t="inlineStr">
        <is>
          <t>3960/000</t>
        </is>
      </c>
      <c r="E19349" s="3" t="inlineStr">
        <is>
          <t>Internet Fees</t>
        </is>
      </c>
      <c r="F19349" s="3" t="n">
        <v>0</v>
      </c>
      <c r="G19349" s="3" t="n">
        <v>3353.24</v>
      </c>
    </row>
    <row r="19350">
      <c r="A19350" s="3" t="inlineStr">
        <is>
          <t>Quinate Consulting (Pty) Ltd</t>
        </is>
      </c>
      <c r="B19350" s="4" t="n">
        <v>45352</v>
      </c>
      <c r="C19350" s="3" t="inlineStr">
        <is>
          <t>Expenses</t>
        </is>
      </c>
      <c r="D19350" s="3" t="inlineStr">
        <is>
          <t>4066/000</t>
        </is>
      </c>
      <c r="E19350" s="3" t="inlineStr">
        <is>
          <t>Levies - Southwark</t>
        </is>
      </c>
      <c r="F19350" s="3" t="n">
        <v>3650.29</v>
      </c>
      <c r="G19350" s="3" t="n">
        <v>3650.29</v>
      </c>
    </row>
    <row r="19351">
      <c r="A19351" s="3" t="inlineStr">
        <is>
          <t>Quinate Consulting (Pty) Ltd</t>
        </is>
      </c>
      <c r="B19351" s="4" t="n">
        <v>45352</v>
      </c>
      <c r="C19351" s="3" t="inlineStr">
        <is>
          <t>Expenses</t>
        </is>
      </c>
      <c r="D19351" s="3" t="inlineStr">
        <is>
          <t>4067/000</t>
        </is>
      </c>
      <c r="E19351" s="3" t="inlineStr">
        <is>
          <t>Levies - C4 Property</t>
        </is>
      </c>
      <c r="F19351" s="3" t="n">
        <v>21276.19</v>
      </c>
      <c r="G19351" s="3" t="n">
        <v>21276.19</v>
      </c>
    </row>
    <row r="19352">
      <c r="A19352" s="3" t="inlineStr">
        <is>
          <t>Opportunity Management Holdings (PTY) LTD</t>
        </is>
      </c>
      <c r="B19352" s="4" t="n">
        <v>45352</v>
      </c>
      <c r="C19352" s="3" t="inlineStr">
        <is>
          <t>Expenses</t>
        </is>
      </c>
      <c r="D19352" s="3" t="inlineStr">
        <is>
          <t>4150/010</t>
        </is>
      </c>
      <c r="E19352" s="3" t="inlineStr">
        <is>
          <t>Motor Vehicle - Petrol _AND_ Oil</t>
        </is>
      </c>
      <c r="F19352" s="3" t="n">
        <v>0</v>
      </c>
      <c r="G19352" s="3" t="n">
        <v>1350</v>
      </c>
    </row>
    <row r="19353">
      <c r="A19353" s="3" t="inlineStr">
        <is>
          <t>Opportunity Management Holdings (PTY) LTD</t>
        </is>
      </c>
      <c r="B19353" s="4" t="n">
        <v>45352</v>
      </c>
      <c r="C19353" s="3" t="inlineStr">
        <is>
          <t>Expenses</t>
        </is>
      </c>
      <c r="D19353" s="3" t="inlineStr">
        <is>
          <t>4200/000</t>
        </is>
      </c>
      <c r="E19353" s="3" t="inlineStr">
        <is>
          <t>Printing _AND_ Stationery</t>
        </is>
      </c>
      <c r="F19353" s="3" t="n">
        <v>0</v>
      </c>
      <c r="G19353" s="3" t="n">
        <v>1147.8</v>
      </c>
    </row>
    <row r="19354">
      <c r="A19354" s="3" t="inlineStr">
        <is>
          <t>Noble Shield (Pty) Ltd ta Go Letting</t>
        </is>
      </c>
      <c r="B19354" s="4" t="n">
        <v>45352</v>
      </c>
      <c r="C19354" s="3" t="inlineStr">
        <is>
          <t>Expenses</t>
        </is>
      </c>
      <c r="D19354" s="3" t="inlineStr">
        <is>
          <t>4200/100</t>
        </is>
      </c>
      <c r="E19354" s="3" t="inlineStr">
        <is>
          <t>Printing - Merchant West- Printer Rental</t>
        </is>
      </c>
      <c r="F19354" s="3" t="n">
        <v>0</v>
      </c>
      <c r="G19354" s="3" t="n">
        <v>14124.77</v>
      </c>
    </row>
    <row r="19355">
      <c r="A19355" s="3" t="inlineStr">
        <is>
          <t>Noble Shield (Pty) Ltd ta Go Letting</t>
        </is>
      </c>
      <c r="B19355" s="4" t="n">
        <v>45352</v>
      </c>
      <c r="C19355" s="3" t="inlineStr">
        <is>
          <t>Expenses</t>
        </is>
      </c>
      <c r="D19355" s="3" t="inlineStr">
        <is>
          <t>4200/120</t>
        </is>
      </c>
      <c r="E19355" s="3" t="inlineStr">
        <is>
          <t>Printing - Ivy Line - Prints</t>
        </is>
      </c>
      <c r="F19355" s="3" t="n">
        <v>0</v>
      </c>
      <c r="G19355" s="3" t="n">
        <v>5107.04</v>
      </c>
    </row>
    <row r="19356">
      <c r="A19356" s="3" t="inlineStr">
        <is>
          <t>Noble Shield (Pty) Ltd ta Go Letting</t>
        </is>
      </c>
      <c r="B19356" s="4" t="n">
        <v>45352</v>
      </c>
      <c r="C19356" s="3" t="inlineStr">
        <is>
          <t>Expenses</t>
        </is>
      </c>
      <c r="D19356" s="3" t="inlineStr">
        <is>
          <t>4200/180</t>
        </is>
      </c>
      <c r="E19356" s="3" t="inlineStr">
        <is>
          <t>Printing - Ikon</t>
        </is>
      </c>
      <c r="F19356" s="3" t="n">
        <v>0</v>
      </c>
      <c r="G19356" s="3" t="n">
        <v>1943.83</v>
      </c>
    </row>
    <row r="19357">
      <c r="A19357" s="3" t="inlineStr">
        <is>
          <t>Noble Shield (Pty) Ltd ta Go Letting</t>
        </is>
      </c>
      <c r="B19357" s="4" t="n">
        <v>45352</v>
      </c>
      <c r="C19357" s="3" t="inlineStr">
        <is>
          <t>Expenses</t>
        </is>
      </c>
      <c r="D19357" s="3" t="inlineStr">
        <is>
          <t>4200/190</t>
        </is>
      </c>
      <c r="E19357" s="3" t="inlineStr">
        <is>
          <t>Printing - Centrafin printer rental</t>
        </is>
      </c>
      <c r="F19357" s="3" t="n">
        <v>6422.36</v>
      </c>
      <c r="G19357" s="3" t="n">
        <v>24521.72</v>
      </c>
    </row>
    <row r="19358">
      <c r="A19358" s="3" t="inlineStr">
        <is>
          <t>Noble Shield (Pty) Ltd ta Go Letting</t>
        </is>
      </c>
      <c r="B19358" s="4" t="n">
        <v>45352</v>
      </c>
      <c r="C19358" s="3" t="inlineStr">
        <is>
          <t>Expenses</t>
        </is>
      </c>
      <c r="D19358" s="3" t="inlineStr">
        <is>
          <t>4200/200</t>
        </is>
      </c>
      <c r="E19358" s="3" t="inlineStr">
        <is>
          <t>Printing - General Stationery VDB Office</t>
        </is>
      </c>
      <c r="F19358" s="3" t="n">
        <v>0</v>
      </c>
      <c r="G19358" s="3" t="n">
        <v>4845.69</v>
      </c>
    </row>
    <row r="19359">
      <c r="A19359" s="3" t="inlineStr">
        <is>
          <t>Opportunity Private Capital (PTY) LTD</t>
        </is>
      </c>
      <c r="B19359" s="4" t="n">
        <v>45352</v>
      </c>
      <c r="C19359" s="3" t="inlineStr">
        <is>
          <t>Expenses</t>
        </is>
      </c>
      <c r="D19359" s="3" t="inlineStr">
        <is>
          <t>4220/000</t>
        </is>
      </c>
      <c r="E19359" s="3" t="inlineStr">
        <is>
          <t>Motor Vehicle Expenses - Petrol _AND_ Oil</t>
        </is>
      </c>
      <c r="F19359" s="3" t="n">
        <v>780.09</v>
      </c>
      <c r="G19359" s="3" t="n">
        <v>780.09</v>
      </c>
    </row>
    <row r="19360">
      <c r="A19360" s="3" t="inlineStr">
        <is>
          <t>Noble Shield (Pty) Ltd ta Go Letting</t>
        </is>
      </c>
      <c r="B19360" s="4" t="n">
        <v>45352</v>
      </c>
      <c r="C19360" s="3" t="inlineStr">
        <is>
          <t>Expenses</t>
        </is>
      </c>
      <c r="D19360" s="3" t="inlineStr">
        <is>
          <t>4290/000</t>
        </is>
      </c>
      <c r="E19360" s="3" t="inlineStr">
        <is>
          <t>Refreshments - CT Office</t>
        </is>
      </c>
      <c r="F19360" s="3" t="n">
        <v>0</v>
      </c>
      <c r="G19360" s="3" t="n">
        <v>9657.459999999999</v>
      </c>
    </row>
    <row r="19361">
      <c r="A19361" s="3" t="inlineStr">
        <is>
          <t>Noble Shield (Pty) Ltd ta Go Letting</t>
        </is>
      </c>
      <c r="B19361" s="4" t="n">
        <v>45352</v>
      </c>
      <c r="C19361" s="3" t="inlineStr">
        <is>
          <t>Expenses</t>
        </is>
      </c>
      <c r="D19361" s="3" t="inlineStr">
        <is>
          <t>4291/000</t>
        </is>
      </c>
      <c r="E19361" s="3" t="inlineStr">
        <is>
          <t>Refreshments - VDB Office</t>
        </is>
      </c>
      <c r="F19361" s="3" t="n">
        <v>0</v>
      </c>
      <c r="G19361" s="3" t="n">
        <v>3286.69</v>
      </c>
    </row>
    <row r="19362">
      <c r="A19362" s="3" t="inlineStr">
        <is>
          <t>Trademark Holdings (Pty) Ltd</t>
        </is>
      </c>
      <c r="B19362" s="4" t="n">
        <v>45352</v>
      </c>
      <c r="C19362" s="3" t="inlineStr">
        <is>
          <t>Expenses</t>
        </is>
      </c>
      <c r="D19362" s="3" t="inlineStr">
        <is>
          <t>4300/000</t>
        </is>
      </c>
      <c r="E19362" s="3" t="inlineStr">
        <is>
          <t>Rent Paid</t>
        </is>
      </c>
      <c r="F19362" s="3" t="n">
        <v>6000</v>
      </c>
      <c r="G19362" s="3" t="n">
        <v>47440</v>
      </c>
    </row>
    <row r="19363">
      <c r="A19363" s="3" t="inlineStr">
        <is>
          <t>Opportunity Management Holdings (PTY) LTD</t>
        </is>
      </c>
      <c r="B19363" s="4" t="n">
        <v>45352</v>
      </c>
      <c r="C19363" s="3" t="inlineStr">
        <is>
          <t>Expenses</t>
        </is>
      </c>
      <c r="D19363" s="3" t="inlineStr">
        <is>
          <t>4310/000</t>
        </is>
      </c>
      <c r="E19363" s="3" t="inlineStr">
        <is>
          <t>Refreshments</t>
        </is>
      </c>
      <c r="F19363" s="3" t="n">
        <v>58.03</v>
      </c>
      <c r="G19363" s="3" t="n">
        <v>44433.05</v>
      </c>
    </row>
    <row r="19364">
      <c r="A19364" s="3" t="inlineStr">
        <is>
          <t>Opportunity Management Holdings (PTY) LTD</t>
        </is>
      </c>
      <c r="B19364" s="4" t="n">
        <v>45352</v>
      </c>
      <c r="C19364" s="3" t="inlineStr">
        <is>
          <t>Expenses</t>
        </is>
      </c>
      <c r="D19364" s="3" t="inlineStr">
        <is>
          <t>4350/000</t>
        </is>
      </c>
      <c r="E19364" s="3" t="inlineStr">
        <is>
          <t>Repairs _AND_ Maintenance</t>
        </is>
      </c>
      <c r="F19364" s="3" t="n">
        <v>0</v>
      </c>
      <c r="G19364" s="3" t="n">
        <v>1641.09</v>
      </c>
    </row>
    <row r="19365">
      <c r="A19365" s="3" t="inlineStr">
        <is>
          <t>Noble Shield (Pty) Ltd ta Go Letting</t>
        </is>
      </c>
      <c r="B19365" s="4" t="n">
        <v>45352</v>
      </c>
      <c r="C19365" s="3" t="inlineStr">
        <is>
          <t>Expenses</t>
        </is>
      </c>
      <c r="D19365" s="3" t="inlineStr">
        <is>
          <t>4351/000</t>
        </is>
      </c>
      <c r="E19365" s="3" t="inlineStr">
        <is>
          <t>Repairs _AND_ Maintanence - Rentals</t>
        </is>
      </c>
      <c r="F19365" s="3" t="n">
        <v>0</v>
      </c>
      <c r="G19365" s="3" t="n">
        <v>286.75</v>
      </c>
    </row>
    <row r="19366">
      <c r="A19366" s="3" t="inlineStr">
        <is>
          <t>Opportunity Management Holdings (PTY) LTD</t>
        </is>
      </c>
      <c r="B19366" s="4" t="n">
        <v>45352</v>
      </c>
      <c r="C19366" s="3" t="inlineStr">
        <is>
          <t>Expenses</t>
        </is>
      </c>
      <c r="D19366" s="3" t="inlineStr">
        <is>
          <t>4390/000</t>
        </is>
      </c>
      <c r="E19366" s="3" t="inlineStr">
        <is>
          <t>Small Assets</t>
        </is>
      </c>
      <c r="F19366" s="3" t="n">
        <v>0</v>
      </c>
      <c r="G19366" s="3" t="n">
        <v>7208.26</v>
      </c>
    </row>
    <row r="19367">
      <c r="A19367" s="3" t="inlineStr">
        <is>
          <t>Noble Shield (Pty) Ltd ta Go Letting</t>
        </is>
      </c>
      <c r="B19367" s="4" t="n">
        <v>45352</v>
      </c>
      <c r="C19367" s="3" t="inlineStr">
        <is>
          <t>Expenses</t>
        </is>
      </c>
      <c r="D19367" s="3" t="inlineStr">
        <is>
          <t>4400/000</t>
        </is>
      </c>
      <c r="E19367" s="3" t="inlineStr">
        <is>
          <t>Salaries _AND_ Wages</t>
        </is>
      </c>
      <c r="F19367" s="3" t="n">
        <v>0</v>
      </c>
      <c r="G19367" s="3" t="n">
        <v>164234.7</v>
      </c>
    </row>
    <row r="19368">
      <c r="A19368" s="3" t="inlineStr">
        <is>
          <t>Opportunity Management Holdings (PTY) LTD</t>
        </is>
      </c>
      <c r="B19368" s="4" t="n">
        <v>45352</v>
      </c>
      <c r="C19368" s="3" t="inlineStr">
        <is>
          <t>Expenses</t>
        </is>
      </c>
      <c r="D19368" s="3" t="inlineStr">
        <is>
          <t>4400/000</t>
        </is>
      </c>
      <c r="E19368" s="3" t="inlineStr">
        <is>
          <t>Salaries _AND_ Wages</t>
        </is>
      </c>
      <c r="F19368" s="3" t="n">
        <v>0</v>
      </c>
      <c r="G19368" s="3" t="n">
        <v>1305053.04</v>
      </c>
    </row>
    <row r="19369">
      <c r="A19369" s="3" t="inlineStr">
        <is>
          <t>Trademark Holdings (Pty) Ltd</t>
        </is>
      </c>
      <c r="B19369" s="4" t="n">
        <v>45352</v>
      </c>
      <c r="C19369" s="3" t="inlineStr">
        <is>
          <t>Expenses</t>
        </is>
      </c>
      <c r="D19369" s="3" t="inlineStr">
        <is>
          <t>4400/000</t>
        </is>
      </c>
      <c r="E19369" s="3" t="inlineStr">
        <is>
          <t>Salaries _AND_ Wages</t>
        </is>
      </c>
      <c r="F19369" s="3" t="n">
        <v>0</v>
      </c>
      <c r="G19369" s="3" t="n">
        <v>74576.7</v>
      </c>
    </row>
    <row r="19370">
      <c r="A19370" s="3" t="inlineStr">
        <is>
          <t>Noble Shield (Pty) Ltd ta Go Letting</t>
        </is>
      </c>
      <c r="B19370" s="4" t="n">
        <v>45352</v>
      </c>
      <c r="C19370" s="3" t="inlineStr">
        <is>
          <t>Expenses</t>
        </is>
      </c>
      <c r="D19370" s="3" t="inlineStr">
        <is>
          <t>4500/000</t>
        </is>
      </c>
      <c r="E19370" s="3" t="inlineStr">
        <is>
          <t>Staff Welfare</t>
        </is>
      </c>
      <c r="F19370" s="3" t="n">
        <v>0</v>
      </c>
      <c r="G19370" s="3" t="n">
        <v>5599.4</v>
      </c>
    </row>
    <row r="19371">
      <c r="A19371" s="3" t="inlineStr">
        <is>
          <t>Opportunity Management Holdings (PTY) LTD</t>
        </is>
      </c>
      <c r="B19371" s="4" t="n">
        <v>45352</v>
      </c>
      <c r="C19371" s="3" t="inlineStr">
        <is>
          <t>Expenses</t>
        </is>
      </c>
      <c r="D19371" s="3" t="inlineStr">
        <is>
          <t>4500/000</t>
        </is>
      </c>
      <c r="E19371" s="3" t="inlineStr">
        <is>
          <t>Staff Welfare</t>
        </is>
      </c>
      <c r="F19371" s="3" t="n">
        <v>0</v>
      </c>
      <c r="G19371" s="3" t="n">
        <v>65614.42</v>
      </c>
    </row>
    <row r="19372">
      <c r="A19372" s="3" t="inlineStr">
        <is>
          <t>Noble Shield (Pty) Ltd ta Go Letting</t>
        </is>
      </c>
      <c r="B19372" s="4" t="n">
        <v>45352</v>
      </c>
      <c r="C19372" s="3" t="inlineStr">
        <is>
          <t>Expenses</t>
        </is>
      </c>
      <c r="D19372" s="3" t="inlineStr">
        <is>
          <t>4520/000</t>
        </is>
      </c>
      <c r="E19372" s="3" t="inlineStr">
        <is>
          <t>Security</t>
        </is>
      </c>
      <c r="F19372" s="3" t="n">
        <v>884</v>
      </c>
      <c r="G19372" s="3" t="n">
        <v>6343.44</v>
      </c>
    </row>
    <row r="19373">
      <c r="A19373" s="3" t="inlineStr">
        <is>
          <t>Opportunity Management Holdings (PTY) LTD</t>
        </is>
      </c>
      <c r="B19373" s="4" t="n">
        <v>45352</v>
      </c>
      <c r="C19373" s="3" t="inlineStr">
        <is>
          <t>Expenses</t>
        </is>
      </c>
      <c r="D19373" s="3" t="inlineStr">
        <is>
          <t>4550/000</t>
        </is>
      </c>
      <c r="E19373" s="3" t="inlineStr">
        <is>
          <t>Subscriptions _AND_ Lisences</t>
        </is>
      </c>
      <c r="F19373" s="3" t="n">
        <v>2130</v>
      </c>
      <c r="G19373" s="3" t="n">
        <v>38026.11</v>
      </c>
    </row>
    <row r="19374">
      <c r="A19374" s="3" t="inlineStr">
        <is>
          <t>Noble Shield (Pty) Ltd ta Go Letting</t>
        </is>
      </c>
      <c r="B19374" s="4" t="n">
        <v>45352</v>
      </c>
      <c r="C19374" s="3" t="inlineStr">
        <is>
          <t>Expenses</t>
        </is>
      </c>
      <c r="D19374" s="3" t="inlineStr">
        <is>
          <t>4550/100</t>
        </is>
      </c>
      <c r="E19374" s="3" t="inlineStr">
        <is>
          <t>Subscriptions - EAAB</t>
        </is>
      </c>
      <c r="F19374" s="3" t="n">
        <v>0</v>
      </c>
      <c r="G19374" s="3" t="n">
        <v>1604</v>
      </c>
    </row>
    <row r="19375">
      <c r="A19375" s="3" t="inlineStr">
        <is>
          <t>Trademark Holdings (Pty) Ltd</t>
        </is>
      </c>
      <c r="B19375" s="4" t="n">
        <v>45352</v>
      </c>
      <c r="C19375" s="3" t="inlineStr">
        <is>
          <t>Expenses</t>
        </is>
      </c>
      <c r="D19375" s="3" t="inlineStr">
        <is>
          <t>4550/100</t>
        </is>
      </c>
      <c r="E19375" s="3" t="inlineStr">
        <is>
          <t>Subscriptions - EAAB</t>
        </is>
      </c>
      <c r="F19375" s="3" t="n">
        <v>0</v>
      </c>
      <c r="G19375" s="3" t="n">
        <v>1604</v>
      </c>
    </row>
    <row r="19376">
      <c r="A19376" s="3" t="inlineStr">
        <is>
          <t>Trademark Holdings (Pty) Ltd</t>
        </is>
      </c>
      <c r="B19376" s="4" t="n">
        <v>45352</v>
      </c>
      <c r="C19376" s="3" t="inlineStr">
        <is>
          <t>Expenses</t>
        </is>
      </c>
      <c r="D19376" s="3" t="inlineStr">
        <is>
          <t>4550/400</t>
        </is>
      </c>
      <c r="E19376" s="3" t="inlineStr">
        <is>
          <t>Subscriptions - Xero</t>
        </is>
      </c>
      <c r="F19376" s="3" t="n">
        <v>0</v>
      </c>
      <c r="G19376" s="3" t="n">
        <v>3600</v>
      </c>
    </row>
    <row r="19377">
      <c r="A19377" s="3" t="inlineStr">
        <is>
          <t>Opportunity Private Capital (PTY) LTD</t>
        </is>
      </c>
      <c r="B19377" s="4" t="n">
        <v>45352</v>
      </c>
      <c r="C19377" s="3" t="inlineStr">
        <is>
          <t>Expenses</t>
        </is>
      </c>
      <c r="D19377" s="3" t="inlineStr">
        <is>
          <t>4550/600</t>
        </is>
      </c>
      <c r="E19377" s="3" t="inlineStr">
        <is>
          <t>Subscription - Private Property</t>
        </is>
      </c>
      <c r="F19377" s="3" t="n">
        <v>2679</v>
      </c>
      <c r="G19377" s="3" t="n">
        <v>2679</v>
      </c>
    </row>
    <row r="19378">
      <c r="A19378" s="3" t="inlineStr">
        <is>
          <t>Noble Shield (Pty) Ltd ta Go Letting</t>
        </is>
      </c>
      <c r="B19378" s="4" t="n">
        <v>45352</v>
      </c>
      <c r="C19378" s="3" t="inlineStr">
        <is>
          <t>Expenses</t>
        </is>
      </c>
      <c r="D19378" s="3" t="inlineStr">
        <is>
          <t>4550/600</t>
        </is>
      </c>
      <c r="E19378" s="3" t="inlineStr">
        <is>
          <t>Subscriptions - Webbox</t>
        </is>
      </c>
      <c r="F19378" s="3" t="n">
        <v>1753.75</v>
      </c>
      <c r="G19378" s="3" t="n">
        <v>12079.6</v>
      </c>
    </row>
    <row r="19379">
      <c r="A19379" s="3" t="inlineStr">
        <is>
          <t>Noble Shield (Pty) Ltd ta Go Letting</t>
        </is>
      </c>
      <c r="B19379" s="4" t="n">
        <v>45352</v>
      </c>
      <c r="C19379" s="3" t="inlineStr">
        <is>
          <t>Expenses</t>
        </is>
      </c>
      <c r="D19379" s="3" t="inlineStr">
        <is>
          <t>4550/650</t>
        </is>
      </c>
      <c r="E19379" s="3" t="inlineStr">
        <is>
          <t>Subscriptions - Xero</t>
        </is>
      </c>
      <c r="F19379" s="3" t="n">
        <v>0</v>
      </c>
      <c r="G19379" s="3" t="n">
        <v>3600</v>
      </c>
    </row>
    <row r="19380">
      <c r="A19380" s="3" t="inlineStr">
        <is>
          <t>Noble Shield (Pty) Ltd ta Go Letting</t>
        </is>
      </c>
      <c r="B19380" s="4" t="n">
        <v>45352</v>
      </c>
      <c r="C19380" s="3" t="inlineStr">
        <is>
          <t>Expenses</t>
        </is>
      </c>
      <c r="D19380" s="3" t="inlineStr">
        <is>
          <t>4550/800</t>
        </is>
      </c>
      <c r="E19380" s="3" t="inlineStr">
        <is>
          <t>Subscriptions - Adobe</t>
        </is>
      </c>
      <c r="F19380" s="3" t="n">
        <v>0</v>
      </c>
      <c r="G19380" s="3" t="n">
        <v>914.5599999999999</v>
      </c>
    </row>
    <row r="19381">
      <c r="A19381" s="3" t="inlineStr">
        <is>
          <t>Opportunity Management Holdings (PTY) LTD</t>
        </is>
      </c>
      <c r="B19381" s="4" t="n">
        <v>45352</v>
      </c>
      <c r="C19381" s="3" t="inlineStr">
        <is>
          <t>Expenses</t>
        </is>
      </c>
      <c r="D19381" s="3" t="inlineStr">
        <is>
          <t>4552/000</t>
        </is>
      </c>
      <c r="E19381" s="3" t="inlineStr">
        <is>
          <t>Subscriptions - Xero</t>
        </is>
      </c>
      <c r="F19381" s="3" t="n">
        <v>0</v>
      </c>
      <c r="G19381" s="3" t="n">
        <v>3600</v>
      </c>
    </row>
    <row r="19382">
      <c r="A19382" s="3" t="inlineStr">
        <is>
          <t>Quinate Consulting (Pty) Ltd</t>
        </is>
      </c>
      <c r="B19382" s="4" t="n">
        <v>45352</v>
      </c>
      <c r="C19382" s="3" t="inlineStr">
        <is>
          <t>Expenses</t>
        </is>
      </c>
      <c r="D19382" s="3" t="inlineStr">
        <is>
          <t>4555/000</t>
        </is>
      </c>
      <c r="E19382" s="3" t="inlineStr">
        <is>
          <t>Subscriptions - OUMS</t>
        </is>
      </c>
      <c r="F19382" s="3" t="n">
        <v>13465.42</v>
      </c>
      <c r="G19382" s="3" t="n">
        <v>13465.42</v>
      </c>
    </row>
    <row r="19383">
      <c r="A19383" s="3" t="inlineStr">
        <is>
          <t>Noble Shield (Pty) Ltd ta Go Letting</t>
        </is>
      </c>
      <c r="B19383" s="4" t="n">
        <v>45352</v>
      </c>
      <c r="C19383" s="3" t="inlineStr">
        <is>
          <t>Expenses</t>
        </is>
      </c>
      <c r="D19383" s="3" t="inlineStr">
        <is>
          <t>4560/000</t>
        </is>
      </c>
      <c r="E19383" s="3" t="inlineStr">
        <is>
          <t>Small Assets - under R7000</t>
        </is>
      </c>
      <c r="F19383" s="3" t="n">
        <v>0</v>
      </c>
      <c r="G19383" s="3" t="n">
        <v>6716</v>
      </c>
    </row>
    <row r="19384">
      <c r="A19384" s="3" t="inlineStr">
        <is>
          <t>Opportunity Management Holdings (PTY) LTD</t>
        </is>
      </c>
      <c r="B19384" s="4" t="n">
        <v>45352</v>
      </c>
      <c r="C19384" s="3" t="inlineStr">
        <is>
          <t>Expenses</t>
        </is>
      </c>
      <c r="D19384" s="3" t="inlineStr">
        <is>
          <t>4600/000</t>
        </is>
      </c>
      <c r="E19384" s="3" t="inlineStr">
        <is>
          <t>Telephone _AND_ Fax</t>
        </is>
      </c>
      <c r="F19384" s="3" t="n">
        <v>0</v>
      </c>
      <c r="G19384" s="3" t="n">
        <v>352.17</v>
      </c>
    </row>
    <row r="19385">
      <c r="A19385" s="3" t="inlineStr">
        <is>
          <t>Opportunity Private Capital (PTY) LTD</t>
        </is>
      </c>
      <c r="B19385" s="4" t="n">
        <v>45352</v>
      </c>
      <c r="C19385" s="3" t="inlineStr">
        <is>
          <t>Expenses</t>
        </is>
      </c>
      <c r="D19385" s="3" t="inlineStr">
        <is>
          <t>4600/000</t>
        </is>
      </c>
      <c r="E19385" s="3" t="inlineStr">
        <is>
          <t>Telephone _AND_ Fax</t>
        </is>
      </c>
      <c r="F19385" s="3" t="n">
        <v>320</v>
      </c>
      <c r="G19385" s="3" t="n">
        <v>320</v>
      </c>
    </row>
    <row r="19386">
      <c r="A19386" s="3" t="inlineStr">
        <is>
          <t>Trademark Holdings (Pty) Ltd</t>
        </is>
      </c>
      <c r="B19386" s="4" t="n">
        <v>45352</v>
      </c>
      <c r="C19386" s="3" t="inlineStr">
        <is>
          <t>Expenses</t>
        </is>
      </c>
      <c r="D19386" s="3" t="inlineStr">
        <is>
          <t>4600/000</t>
        </is>
      </c>
      <c r="E19386" s="3" t="inlineStr">
        <is>
          <t>Telephone _AND_ Fax</t>
        </is>
      </c>
      <c r="F19386" s="3" t="n">
        <v>406.74</v>
      </c>
      <c r="G19386" s="3" t="n">
        <v>8300.049999999999</v>
      </c>
    </row>
    <row r="19387">
      <c r="A19387" s="3" t="inlineStr">
        <is>
          <t>Noble Shield (Pty) Ltd ta Go Letting</t>
        </is>
      </c>
      <c r="B19387" s="4" t="n">
        <v>45352</v>
      </c>
      <c r="C19387" s="3" t="inlineStr">
        <is>
          <t>Expenses</t>
        </is>
      </c>
      <c r="D19387" s="3" t="inlineStr">
        <is>
          <t>4610/000</t>
        </is>
      </c>
      <c r="E19387" s="3" t="inlineStr">
        <is>
          <t>Telephone - CT Office</t>
        </is>
      </c>
      <c r="F19387" s="3" t="n">
        <v>1173.69</v>
      </c>
      <c r="G19387" s="3" t="n">
        <v>8951.129999999999</v>
      </c>
    </row>
    <row r="19388">
      <c r="A19388" s="3" t="inlineStr">
        <is>
          <t>Noble Shield (Pty) Ltd ta Go Letting</t>
        </is>
      </c>
      <c r="B19388" s="4" t="n">
        <v>45352</v>
      </c>
      <c r="C19388" s="3" t="inlineStr">
        <is>
          <t>Expenses</t>
        </is>
      </c>
      <c r="D19388" s="3" t="inlineStr">
        <is>
          <t>4700/000</t>
        </is>
      </c>
      <c r="E19388" s="3" t="inlineStr">
        <is>
          <t>PAYE Contributions</t>
        </is>
      </c>
      <c r="F19388" s="3" t="n">
        <v>0</v>
      </c>
      <c r="G19388" s="3" t="n">
        <v>31197.69</v>
      </c>
    </row>
    <row r="19389">
      <c r="A19389" s="3" t="inlineStr">
        <is>
          <t>Trademark Holdings (Pty) Ltd</t>
        </is>
      </c>
      <c r="B19389" s="4" t="n">
        <v>45352</v>
      </c>
      <c r="C19389" s="3" t="inlineStr">
        <is>
          <t>Expenses</t>
        </is>
      </c>
      <c r="D19389" s="3" t="inlineStr">
        <is>
          <t>4700/000</t>
        </is>
      </c>
      <c r="E19389" s="3" t="inlineStr">
        <is>
          <t>PAYE Contributions</t>
        </is>
      </c>
      <c r="F19389" s="3" t="n">
        <v>0</v>
      </c>
      <c r="G19389" s="3" t="n">
        <v>35962.74</v>
      </c>
    </row>
    <row r="19390">
      <c r="A19390" s="3" t="inlineStr">
        <is>
          <t>Noble Shield (Pty) Ltd ta Go Letting</t>
        </is>
      </c>
      <c r="B19390" s="4" t="n">
        <v>45352</v>
      </c>
      <c r="C19390" s="3" t="inlineStr">
        <is>
          <t>Expenses</t>
        </is>
      </c>
      <c r="D19390" s="3" t="inlineStr">
        <is>
          <t>4710/000</t>
        </is>
      </c>
      <c r="E19390" s="3" t="inlineStr">
        <is>
          <t>UIF Company Contributions</t>
        </is>
      </c>
      <c r="F19390" s="3" t="n">
        <v>0</v>
      </c>
      <c r="G19390" s="3" t="n">
        <v>1503</v>
      </c>
    </row>
    <row r="19391">
      <c r="A19391" s="3" t="inlineStr">
        <is>
          <t>Trademark Holdings (Pty) Ltd</t>
        </is>
      </c>
      <c r="B19391" s="4" t="n">
        <v>45352</v>
      </c>
      <c r="C19391" s="3" t="inlineStr">
        <is>
          <t>Expenses</t>
        </is>
      </c>
      <c r="D19391" s="3" t="inlineStr">
        <is>
          <t>4710/000</t>
        </is>
      </c>
      <c r="E19391" s="3" t="inlineStr">
        <is>
          <t>UIF Company Contributions</t>
        </is>
      </c>
      <c r="F19391" s="3" t="n">
        <v>0</v>
      </c>
      <c r="G19391" s="3" t="n">
        <v>571.5</v>
      </c>
    </row>
    <row r="19392">
      <c r="A19392" s="3" t="inlineStr">
        <is>
          <t>Noble Shield (Pty) Ltd ta Go Letting</t>
        </is>
      </c>
      <c r="B19392" s="4" t="n">
        <v>45352</v>
      </c>
      <c r="C19392" s="3" t="inlineStr">
        <is>
          <t>Expenses</t>
        </is>
      </c>
      <c r="D19392" s="3" t="inlineStr">
        <is>
          <t>4711/000</t>
        </is>
      </c>
      <c r="E19392" s="3" t="inlineStr">
        <is>
          <t>UIF Employee Contribution</t>
        </is>
      </c>
      <c r="F19392" s="3" t="n">
        <v>0</v>
      </c>
      <c r="G19392" s="3" t="n">
        <v>1503</v>
      </c>
    </row>
    <row r="19393">
      <c r="A19393" s="3" t="inlineStr">
        <is>
          <t>Trademark Holdings (Pty) Ltd</t>
        </is>
      </c>
      <c r="B19393" s="4" t="n">
        <v>45352</v>
      </c>
      <c r="C19393" s="3" t="inlineStr">
        <is>
          <t>Expenses</t>
        </is>
      </c>
      <c r="D19393" s="3" t="inlineStr">
        <is>
          <t>4711/000</t>
        </is>
      </c>
      <c r="E19393" s="3" t="inlineStr">
        <is>
          <t>UIF Employee Contributions</t>
        </is>
      </c>
      <c r="F19393" s="3" t="n">
        <v>0</v>
      </c>
      <c r="G19393" s="3" t="n">
        <v>571.5</v>
      </c>
    </row>
    <row r="19394">
      <c r="A19394" s="3" t="inlineStr">
        <is>
          <t>Noble Shield (Pty) Ltd ta Go Letting</t>
        </is>
      </c>
      <c r="B19394" s="4" t="n">
        <v>45352</v>
      </c>
      <c r="C19394" s="3" t="inlineStr">
        <is>
          <t>Expenses</t>
        </is>
      </c>
      <c r="D19394" s="3" t="inlineStr">
        <is>
          <t>4720/000</t>
        </is>
      </c>
      <c r="E19394" s="3" t="inlineStr">
        <is>
          <t>SDL Contributions</t>
        </is>
      </c>
      <c r="F19394" s="3" t="n">
        <v>0</v>
      </c>
      <c r="G19394" s="3" t="n">
        <v>2729.15</v>
      </c>
    </row>
    <row r="19395">
      <c r="A19395" s="3" t="inlineStr">
        <is>
          <t>Trademark Holdings (Pty) Ltd</t>
        </is>
      </c>
      <c r="B19395" s="4" t="n">
        <v>45352</v>
      </c>
      <c r="C19395" s="3" t="inlineStr">
        <is>
          <t>Expenses</t>
        </is>
      </c>
      <c r="D19395" s="3" t="inlineStr">
        <is>
          <t>4720/000</t>
        </is>
      </c>
      <c r="E19395" s="3" t="inlineStr">
        <is>
          <t>SDL Contributions</t>
        </is>
      </c>
      <c r="F19395" s="3" t="n">
        <v>0</v>
      </c>
      <c r="G19395" s="3" t="n">
        <v>1878.51</v>
      </c>
    </row>
    <row r="19396">
      <c r="A19396" s="3" t="inlineStr">
        <is>
          <t>Opportunity Management Holdings (PTY) LTD</t>
        </is>
      </c>
      <c r="B19396" s="4" t="n">
        <v>45352</v>
      </c>
      <c r="C19396" s="3" t="inlineStr">
        <is>
          <t>Expenses</t>
        </is>
      </c>
      <c r="D19396" s="3" t="inlineStr">
        <is>
          <t>4730/000</t>
        </is>
      </c>
      <c r="E19396" s="3" t="inlineStr">
        <is>
          <t>PAYE Contributions</t>
        </is>
      </c>
      <c r="F19396" s="3" t="n">
        <v>0</v>
      </c>
      <c r="G19396" s="3" t="n">
        <v>240404.91</v>
      </c>
    </row>
    <row r="19397">
      <c r="A19397" s="3" t="inlineStr">
        <is>
          <t>Opportunity Management Holdings (PTY) LTD</t>
        </is>
      </c>
      <c r="B19397" s="4" t="n">
        <v>45352</v>
      </c>
      <c r="C19397" s="3" t="inlineStr">
        <is>
          <t>Expenses</t>
        </is>
      </c>
      <c r="D19397" s="3" t="inlineStr">
        <is>
          <t>4740/000</t>
        </is>
      </c>
      <c r="E19397" s="3" t="inlineStr">
        <is>
          <t>UIF Company Contribution</t>
        </is>
      </c>
      <c r="F19397" s="3" t="n">
        <v>0</v>
      </c>
      <c r="G19397" s="3" t="n">
        <v>9563.4</v>
      </c>
    </row>
    <row r="19398">
      <c r="A19398" s="3" t="inlineStr">
        <is>
          <t>Opportunity Management Holdings (PTY) LTD</t>
        </is>
      </c>
      <c r="B19398" s="4" t="n">
        <v>45352</v>
      </c>
      <c r="C19398" s="3" t="inlineStr">
        <is>
          <t>Expenses</t>
        </is>
      </c>
      <c r="D19398" s="3" t="inlineStr">
        <is>
          <t>4741/000</t>
        </is>
      </c>
      <c r="E19398" s="3" t="inlineStr">
        <is>
          <t>UIF Employee Contribution</t>
        </is>
      </c>
      <c r="F19398" s="3" t="n">
        <v>0</v>
      </c>
      <c r="G19398" s="3" t="n">
        <v>9563.4</v>
      </c>
    </row>
    <row r="19399">
      <c r="A19399" s="3" t="inlineStr">
        <is>
          <t>Opportunity Management Holdings (PTY) LTD</t>
        </is>
      </c>
      <c r="B19399" s="4" t="n">
        <v>45352</v>
      </c>
      <c r="C19399" s="3" t="inlineStr">
        <is>
          <t>Expenses</t>
        </is>
      </c>
      <c r="D19399" s="3" t="inlineStr">
        <is>
          <t>4750/000</t>
        </is>
      </c>
      <c r="E19399" s="3" t="inlineStr">
        <is>
          <t>SDL Contribution</t>
        </is>
      </c>
      <c r="F19399" s="3" t="n">
        <v>0</v>
      </c>
      <c r="G19399" s="3" t="n">
        <v>14401.8</v>
      </c>
    </row>
    <row r="19400">
      <c r="A19400" s="3" t="inlineStr">
        <is>
          <t>Opportunity Global Property (PTY) LTD</t>
        </is>
      </c>
      <c r="B19400" s="4" t="n">
        <v>45352</v>
      </c>
      <c r="C19400" s="3" t="inlineStr">
        <is>
          <t>Assets</t>
        </is>
      </c>
      <c r="D19400" s="3" t="inlineStr">
        <is>
          <t>5000/001</t>
        </is>
      </c>
      <c r="E19400" s="3" t="inlineStr">
        <is>
          <t>Loan - Cape Projects</t>
        </is>
      </c>
      <c r="F19400" s="3" t="n">
        <v>0</v>
      </c>
      <c r="G19400" s="3" t="n">
        <v>235000</v>
      </c>
    </row>
    <row r="19401">
      <c r="A19401" s="3" t="inlineStr">
        <is>
          <t>Opportunity Global Property (PTY) LTD</t>
        </is>
      </c>
      <c r="B19401" s="4" t="n">
        <v>45352</v>
      </c>
      <c r="C19401" s="3" t="inlineStr">
        <is>
          <t>Liabilities</t>
        </is>
      </c>
      <c r="D19401" s="3" t="inlineStr">
        <is>
          <t>5000/006</t>
        </is>
      </c>
      <c r="E19401" s="3" t="inlineStr">
        <is>
          <t>Loan - Purple Blok</t>
        </is>
      </c>
      <c r="F19401" s="3" t="n">
        <v>0</v>
      </c>
      <c r="G19401" s="3" t="n">
        <v>44000</v>
      </c>
    </row>
    <row r="19402">
      <c r="A19402" s="3" t="inlineStr">
        <is>
          <t>Noble Shield (Pty) Ltd ta Go Letting</t>
        </is>
      </c>
      <c r="B19402" s="4" t="n">
        <v>45352</v>
      </c>
      <c r="C19402" s="3" t="inlineStr">
        <is>
          <t>Equity</t>
        </is>
      </c>
      <c r="D19402" s="3" t="inlineStr">
        <is>
          <t>5100/000</t>
        </is>
      </c>
      <c r="E19402" s="3" t="inlineStr">
        <is>
          <t>Share Capital</t>
        </is>
      </c>
      <c r="F19402" s="3" t="n">
        <v>0</v>
      </c>
      <c r="G19402" s="3" t="n">
        <v>-1</v>
      </c>
    </row>
    <row r="19403">
      <c r="A19403" s="3" t="inlineStr">
        <is>
          <t>Opportunity Management Holdings (PTY) LTD</t>
        </is>
      </c>
      <c r="B19403" s="4" t="n">
        <v>45352</v>
      </c>
      <c r="C19403" s="3" t="inlineStr">
        <is>
          <t>Equity</t>
        </is>
      </c>
      <c r="D19403" s="3" t="inlineStr">
        <is>
          <t>5100/000</t>
        </is>
      </c>
      <c r="E19403" s="3" t="inlineStr">
        <is>
          <t>Share Capital / Members Contribution</t>
        </is>
      </c>
      <c r="F19403" s="3" t="n">
        <v>0</v>
      </c>
      <c r="G19403" s="3" t="n">
        <v>-120</v>
      </c>
    </row>
    <row r="19404">
      <c r="A19404" s="3" t="inlineStr">
        <is>
          <t>Quinate Consulting (Pty) Ltd</t>
        </is>
      </c>
      <c r="B19404" s="4" t="n">
        <v>45352</v>
      </c>
      <c r="C19404" s="3" t="inlineStr">
        <is>
          <t>Equity</t>
        </is>
      </c>
      <c r="D19404" s="3" t="inlineStr">
        <is>
          <t>5100/000</t>
        </is>
      </c>
      <c r="E19404" s="3" t="inlineStr">
        <is>
          <t>Share Capital / Members Contribution</t>
        </is>
      </c>
      <c r="F19404" s="3" t="n">
        <v>0</v>
      </c>
      <c r="G19404" s="3" t="n">
        <v>-120</v>
      </c>
    </row>
    <row r="19405">
      <c r="A19405" s="3" t="inlineStr">
        <is>
          <t>Trademark Holdings (Pty) Ltd</t>
        </is>
      </c>
      <c r="B19405" s="4" t="n">
        <v>45352</v>
      </c>
      <c r="C19405" s="3" t="inlineStr">
        <is>
          <t>Equity</t>
        </is>
      </c>
      <c r="D19405" s="3" t="inlineStr">
        <is>
          <t>5100/001</t>
        </is>
      </c>
      <c r="E19405" s="3" t="inlineStr">
        <is>
          <t>Share Capital - GFY Investments</t>
        </is>
      </c>
      <c r="F19405" s="3" t="n">
        <v>0</v>
      </c>
      <c r="G19405" s="3" t="n">
        <v>-60</v>
      </c>
    </row>
    <row r="19406">
      <c r="A19406" s="3" t="inlineStr">
        <is>
          <t>Trademark Holdings (Pty) Ltd</t>
        </is>
      </c>
      <c r="B19406" s="4" t="n">
        <v>45352</v>
      </c>
      <c r="C19406" s="3" t="inlineStr">
        <is>
          <t>Equity</t>
        </is>
      </c>
      <c r="D19406" s="3" t="inlineStr">
        <is>
          <t>5100/002</t>
        </is>
      </c>
      <c r="E19406" s="3" t="inlineStr">
        <is>
          <t>Share Capital - Zak Trust</t>
        </is>
      </c>
      <c r="F19406" s="3" t="n">
        <v>0</v>
      </c>
      <c r="G19406" s="3" t="n">
        <v>-60</v>
      </c>
    </row>
    <row r="19407">
      <c r="A19407" s="3" t="inlineStr">
        <is>
          <t>Opportunity Private Capital (PTY) LTD</t>
        </is>
      </c>
      <c r="B19407" s="4" t="n">
        <v>45352</v>
      </c>
      <c r="C19407" s="3" t="inlineStr">
        <is>
          <t>Equity</t>
        </is>
      </c>
      <c r="D19407" s="3" t="inlineStr">
        <is>
          <t>5101/000</t>
        </is>
      </c>
      <c r="E19407" s="3" t="inlineStr">
        <is>
          <t>Share Capital - Ordinary Type A</t>
        </is>
      </c>
      <c r="F19407" s="3" t="n">
        <v>0</v>
      </c>
      <c r="G19407" s="3" t="n">
        <v>-70</v>
      </c>
    </row>
    <row r="19408">
      <c r="A19408" s="3" t="inlineStr">
        <is>
          <t>Opportunity Private Capital (PTY) LTD</t>
        </is>
      </c>
      <c r="B19408" s="4" t="n">
        <v>45352</v>
      </c>
      <c r="C19408" s="3" t="inlineStr">
        <is>
          <t>Equity</t>
        </is>
      </c>
      <c r="D19408" s="3" t="inlineStr">
        <is>
          <t>5102/000</t>
        </is>
      </c>
      <c r="E19408" s="3" t="inlineStr">
        <is>
          <t>Share Capital - Ordinary Type B</t>
        </is>
      </c>
      <c r="F19408" s="3" t="n">
        <v>0</v>
      </c>
      <c r="G19408" s="3" t="n">
        <v>-30</v>
      </c>
    </row>
    <row r="19409">
      <c r="A19409" s="3" t="inlineStr">
        <is>
          <t>Endulini (Pty) Ltd</t>
        </is>
      </c>
      <c r="B19409" s="4" t="n">
        <v>45352</v>
      </c>
      <c r="C19409" s="3" t="inlineStr">
        <is>
          <t>Equity</t>
        </is>
      </c>
      <c r="D19409" s="3" t="inlineStr">
        <is>
          <t>5200/000</t>
        </is>
      </c>
      <c r="E19409" s="3" t="inlineStr">
        <is>
          <t>Retained Earnings / Loss</t>
        </is>
      </c>
      <c r="F19409" s="3" t="n">
        <v>0</v>
      </c>
      <c r="G19409" s="3" t="n">
        <v>-13615904.67</v>
      </c>
    </row>
    <row r="19410">
      <c r="A19410" s="3" t="inlineStr">
        <is>
          <t>Noble Shield (Pty) Ltd ta Go Letting</t>
        </is>
      </c>
      <c r="B19410" s="4" t="n">
        <v>45352</v>
      </c>
      <c r="C19410" s="3" t="inlineStr">
        <is>
          <t>Equity</t>
        </is>
      </c>
      <c r="D19410" s="3" t="inlineStr">
        <is>
          <t>5200/000</t>
        </is>
      </c>
      <c r="E19410" s="3" t="inlineStr">
        <is>
          <t>Retained Earnings / Loss</t>
        </is>
      </c>
      <c r="F19410" s="3" t="n">
        <v>0</v>
      </c>
      <c r="G19410" s="3" t="n">
        <v>-91943.62</v>
      </c>
    </row>
    <row r="19411">
      <c r="A19411" s="3" t="inlineStr">
        <is>
          <t>Opportunity Global Property (PTY) LTD</t>
        </is>
      </c>
      <c r="B19411" s="4" t="n">
        <v>45352</v>
      </c>
      <c r="C19411" s="3" t="inlineStr">
        <is>
          <t>Equity</t>
        </is>
      </c>
      <c r="D19411" s="3" t="inlineStr">
        <is>
          <t>5200/000</t>
        </is>
      </c>
      <c r="E19411" s="3" t="inlineStr">
        <is>
          <t>Retained Earnings / Loss</t>
        </is>
      </c>
      <c r="F19411" s="3" t="n">
        <v>0</v>
      </c>
      <c r="G19411" s="3" t="n">
        <v>-3754324.03</v>
      </c>
    </row>
    <row r="19412">
      <c r="A19412" s="3" t="inlineStr">
        <is>
          <t>Opportunity Management Holdings (PTY) LTD</t>
        </is>
      </c>
      <c r="B19412" s="4" t="n">
        <v>45352</v>
      </c>
      <c r="C19412" s="3" t="inlineStr">
        <is>
          <t>Equity</t>
        </is>
      </c>
      <c r="D19412" s="3" t="inlineStr">
        <is>
          <t>5200/000</t>
        </is>
      </c>
      <c r="E19412" s="3" t="inlineStr">
        <is>
          <t>Retained Earnings / Loss</t>
        </is>
      </c>
      <c r="F19412" s="3" t="n">
        <v>0</v>
      </c>
      <c r="G19412" s="3" t="n">
        <v>1215864.15</v>
      </c>
    </row>
    <row r="19413">
      <c r="A19413" s="3" t="inlineStr">
        <is>
          <t>Opportunity Private Capital (PTY) LTD</t>
        </is>
      </c>
      <c r="B19413" s="4" t="n">
        <v>45352</v>
      </c>
      <c r="C19413" s="3" t="inlineStr">
        <is>
          <t>Equity</t>
        </is>
      </c>
      <c r="D19413" s="3" t="inlineStr">
        <is>
          <t>5200/000</t>
        </is>
      </c>
      <c r="E19413" s="3" t="inlineStr">
        <is>
          <t>Retained Earnings / Loss</t>
        </is>
      </c>
      <c r="F19413" s="3" t="n">
        <v>0</v>
      </c>
      <c r="G19413" s="3" t="n">
        <v>3408751.91</v>
      </c>
    </row>
    <row r="19414">
      <c r="A19414" s="3" t="inlineStr">
        <is>
          <t>Quinate Consulting (Pty) Ltd</t>
        </is>
      </c>
      <c r="B19414" s="4" t="n">
        <v>45352</v>
      </c>
      <c r="C19414" s="3" t="inlineStr">
        <is>
          <t>Equity</t>
        </is>
      </c>
      <c r="D19414" s="3" t="inlineStr">
        <is>
          <t>5200/000</t>
        </is>
      </c>
      <c r="E19414" s="3" t="inlineStr">
        <is>
          <t>Retained Earnings / Loss</t>
        </is>
      </c>
      <c r="F19414" s="3" t="n">
        <v>0</v>
      </c>
      <c r="G19414" s="3" t="n">
        <v>1654577.5</v>
      </c>
    </row>
    <row r="19415">
      <c r="A19415" s="3" t="inlineStr">
        <is>
          <t>Trademark Holdings (Pty) Ltd</t>
        </is>
      </c>
      <c r="B19415" s="4" t="n">
        <v>45352</v>
      </c>
      <c r="C19415" s="3" t="inlineStr">
        <is>
          <t>Equity</t>
        </is>
      </c>
      <c r="D19415" s="3" t="inlineStr">
        <is>
          <t>5200/000</t>
        </is>
      </c>
      <c r="E19415" s="3" t="inlineStr">
        <is>
          <t>Retained Earnings / Loss</t>
        </is>
      </c>
      <c r="F19415" s="3" t="n">
        <v>0</v>
      </c>
      <c r="G19415" s="3" t="n">
        <v>-163666.44</v>
      </c>
    </row>
    <row r="19416">
      <c r="A19416" s="3" t="inlineStr">
        <is>
          <t>Quinate Consulting (Pty) Ltd</t>
        </is>
      </c>
      <c r="B19416" s="4" t="n">
        <v>45352</v>
      </c>
      <c r="C19416" s="3" t="inlineStr">
        <is>
          <t>Assets</t>
        </is>
      </c>
      <c r="D19416" s="3" t="inlineStr">
        <is>
          <t>5400/011</t>
        </is>
      </c>
      <c r="E19416" s="3" t="inlineStr">
        <is>
          <t>Members Loan - Nick Morgan</t>
        </is>
      </c>
      <c r="F19416" s="3" t="n">
        <v>0</v>
      </c>
      <c r="G19416" s="3" t="n">
        <v>-85743.69</v>
      </c>
    </row>
    <row r="19417">
      <c r="A19417" s="3" t="inlineStr">
        <is>
          <t>Opportunity Management Holdings (PTY) LTD</t>
        </is>
      </c>
      <c r="B19417" s="4" t="n">
        <v>45352</v>
      </c>
      <c r="C19417" s="3" t="inlineStr">
        <is>
          <t>Assets</t>
        </is>
      </c>
      <c r="D19417" s="3" t="inlineStr">
        <is>
          <t>5400/500</t>
        </is>
      </c>
      <c r="E19417" s="3" t="inlineStr">
        <is>
          <t>Shareholder - Zak Loan</t>
        </is>
      </c>
      <c r="F19417" s="3" t="n">
        <v>0</v>
      </c>
      <c r="G19417" s="3" t="n">
        <v>-171798.21</v>
      </c>
    </row>
    <row r="19418">
      <c r="A19418" s="3" t="inlineStr">
        <is>
          <t>Quinate Consulting (Pty) Ltd</t>
        </is>
      </c>
      <c r="B19418" s="4" t="n">
        <v>45352</v>
      </c>
      <c r="C19418" s="3" t="inlineStr">
        <is>
          <t>Liabilities</t>
        </is>
      </c>
      <c r="D19418" s="3" t="inlineStr">
        <is>
          <t>5500/010</t>
        </is>
      </c>
      <c r="E19418" s="3" t="inlineStr">
        <is>
          <t>Loan - Wynand Haywood</t>
        </is>
      </c>
      <c r="F19418" s="3" t="n">
        <v>0</v>
      </c>
      <c r="G19418" s="3" t="n">
        <v>1928.67</v>
      </c>
    </row>
    <row r="19419">
      <c r="A19419" s="3" t="inlineStr">
        <is>
          <t>Quinate Consulting (Pty) Ltd</t>
        </is>
      </c>
      <c r="B19419" s="4" t="n">
        <v>45352</v>
      </c>
      <c r="C19419" s="3" t="inlineStr">
        <is>
          <t>Liabilities</t>
        </is>
      </c>
      <c r="D19419" s="3" t="inlineStr">
        <is>
          <t>5500/023</t>
        </is>
      </c>
      <c r="E19419" s="3" t="inlineStr">
        <is>
          <t>Loan - Noble Shield 1 Security Trust</t>
        </is>
      </c>
      <c r="F19419" s="3" t="n">
        <v>0</v>
      </c>
      <c r="G19419" s="3" t="n">
        <v>600</v>
      </c>
    </row>
    <row r="19420">
      <c r="A19420" s="3" t="inlineStr">
        <is>
          <t>Quinate Consulting (Pty) Ltd</t>
        </is>
      </c>
      <c r="B19420" s="4" t="n">
        <v>45352</v>
      </c>
      <c r="C19420" s="3" t="inlineStr">
        <is>
          <t>Liabilities</t>
        </is>
      </c>
      <c r="D19420" s="3" t="inlineStr">
        <is>
          <t>5500/025</t>
        </is>
      </c>
      <c r="E19420" s="3" t="inlineStr">
        <is>
          <t>Loan - Noble Shield 2 Security Trust</t>
        </is>
      </c>
      <c r="F19420" s="3" t="n">
        <v>0</v>
      </c>
      <c r="G19420" s="3" t="n">
        <v>250</v>
      </c>
    </row>
    <row r="19421">
      <c r="A19421" s="3" t="inlineStr">
        <is>
          <t>Quinate Consulting (Pty) Ltd</t>
        </is>
      </c>
      <c r="B19421" s="4" t="n">
        <v>45352</v>
      </c>
      <c r="C19421" s="3" t="inlineStr">
        <is>
          <t>Liabilities</t>
        </is>
      </c>
      <c r="D19421" s="3" t="inlineStr">
        <is>
          <t>5500/030</t>
        </is>
      </c>
      <c r="E19421" s="3" t="inlineStr">
        <is>
          <t>Loan - Heron Projects</t>
        </is>
      </c>
      <c r="F19421" s="3" t="n">
        <v>0</v>
      </c>
      <c r="G19421" s="3" t="n">
        <v>46000</v>
      </c>
    </row>
    <row r="19422">
      <c r="A19422" s="3" t="inlineStr">
        <is>
          <t>Quinate Consulting (Pty) Ltd</t>
        </is>
      </c>
      <c r="B19422" s="4" t="n">
        <v>45352</v>
      </c>
      <c r="C19422" s="3" t="inlineStr">
        <is>
          <t>Liabilities</t>
        </is>
      </c>
      <c r="D19422" s="3" t="inlineStr">
        <is>
          <t>5500/040</t>
        </is>
      </c>
      <c r="E19422" s="3" t="inlineStr">
        <is>
          <t>Loan - Noble Shield Holdings Pty Ltd</t>
        </is>
      </c>
      <c r="F19422" s="3" t="n">
        <v>0</v>
      </c>
      <c r="G19422" s="3" t="n">
        <v>20731</v>
      </c>
    </row>
    <row r="19423">
      <c r="A19423" s="3" t="inlineStr">
        <is>
          <t>Opportunity Private Capital (PTY) LTD</t>
        </is>
      </c>
      <c r="B19423" s="4" t="n">
        <v>45352</v>
      </c>
      <c r="C19423" s="3" t="inlineStr">
        <is>
          <t>Liabilities</t>
        </is>
      </c>
      <c r="D19423" s="3" t="inlineStr">
        <is>
          <t>5500/100</t>
        </is>
      </c>
      <c r="E19423" s="3" t="inlineStr">
        <is>
          <t>Loan - Cape Projects Construction</t>
        </is>
      </c>
      <c r="F19423" s="3" t="n">
        <v>0</v>
      </c>
      <c r="G19423" s="3" t="n">
        <v>1521000</v>
      </c>
    </row>
    <row r="19424">
      <c r="A19424" s="3" t="inlineStr">
        <is>
          <t>Noble Shield (Pty) Ltd ta Go Letting</t>
        </is>
      </c>
      <c r="B19424" s="4" t="n">
        <v>45352</v>
      </c>
      <c r="C19424" s="3" t="inlineStr">
        <is>
          <t>Liabilities</t>
        </is>
      </c>
      <c r="D19424" s="3" t="inlineStr">
        <is>
          <t>5500/100</t>
        </is>
      </c>
      <c r="E19424" s="3" t="inlineStr">
        <is>
          <t>Loan - Jupiter Trust</t>
        </is>
      </c>
      <c r="F19424" s="3" t="n">
        <v>0</v>
      </c>
      <c r="G19424" s="3" t="n">
        <v>-100228.75</v>
      </c>
    </row>
    <row r="19425">
      <c r="A19425" s="3" t="inlineStr">
        <is>
          <t>Opportunity Management Holdings (PTY) LTD</t>
        </is>
      </c>
      <c r="B19425" s="4" t="n">
        <v>45352</v>
      </c>
      <c r="C19425" s="3" t="inlineStr">
        <is>
          <t>Liabilities</t>
        </is>
      </c>
      <c r="D19425" s="3" t="inlineStr">
        <is>
          <t>5500/100</t>
        </is>
      </c>
      <c r="E19425" s="3" t="inlineStr">
        <is>
          <t>Loan - Opportunity Global</t>
        </is>
      </c>
      <c r="F19425" s="3" t="n">
        <v>0</v>
      </c>
      <c r="G19425" s="3" t="n">
        <v>-20000</v>
      </c>
    </row>
    <row r="19426">
      <c r="A19426" s="3" t="inlineStr">
        <is>
          <t>Endulini (Pty) Ltd</t>
        </is>
      </c>
      <c r="B19426" s="4" t="n">
        <v>45352</v>
      </c>
      <c r="C19426" s="3" t="inlineStr">
        <is>
          <t>Liabilities</t>
        </is>
      </c>
      <c r="D19426" s="3" t="inlineStr">
        <is>
          <t>5500/100</t>
        </is>
      </c>
      <c r="E19426" s="3" t="inlineStr">
        <is>
          <t>Loan - Quinate Consulting</t>
        </is>
      </c>
      <c r="F19426" s="3" t="n">
        <v>0</v>
      </c>
      <c r="G19426" s="3" t="n">
        <v>-5682037.9</v>
      </c>
    </row>
    <row r="19427">
      <c r="A19427" s="3" t="inlineStr">
        <is>
          <t>Endulini (Pty) Ltd</t>
        </is>
      </c>
      <c r="B19427" s="4" t="n">
        <v>45352</v>
      </c>
      <c r="C19427" s="3" t="inlineStr">
        <is>
          <t>Liabilities</t>
        </is>
      </c>
      <c r="D19427" s="3" t="inlineStr">
        <is>
          <t>5500/150</t>
        </is>
      </c>
      <c r="E19427" s="3" t="inlineStr">
        <is>
          <t>Loan - Cape Projects Construction</t>
        </is>
      </c>
      <c r="F19427" s="3" t="n">
        <v>0</v>
      </c>
      <c r="G19427" s="3" t="n">
        <v>-17191500</v>
      </c>
    </row>
    <row r="19428">
      <c r="A19428" s="3" t="inlineStr">
        <is>
          <t>Quinate Consulting (Pty) Ltd</t>
        </is>
      </c>
      <c r="B19428" s="4" t="n">
        <v>45352</v>
      </c>
      <c r="C19428" s="3" t="inlineStr">
        <is>
          <t>Liabilities</t>
        </is>
      </c>
      <c r="D19428" s="3" t="inlineStr">
        <is>
          <t>5500/160</t>
        </is>
      </c>
      <c r="E19428" s="3" t="inlineStr">
        <is>
          <t>Loan - GFY Investment and Consulting</t>
        </is>
      </c>
      <c r="F19428" s="3" t="n">
        <v>0</v>
      </c>
      <c r="G19428" s="3" t="n">
        <v>-1405287.47</v>
      </c>
    </row>
    <row r="19429">
      <c r="A19429" s="3" t="inlineStr">
        <is>
          <t>Opportunity Management Holdings (PTY) LTD</t>
        </is>
      </c>
      <c r="B19429" s="4" t="n">
        <v>45352</v>
      </c>
      <c r="C19429" s="3" t="inlineStr">
        <is>
          <t>Liabilities</t>
        </is>
      </c>
      <c r="D19429" s="3" t="inlineStr">
        <is>
          <t>5500/200</t>
        </is>
      </c>
      <c r="E19429" s="3" t="inlineStr">
        <is>
          <t>Loan - Cape Projects</t>
        </is>
      </c>
      <c r="F19429" s="3" t="n">
        <v>0</v>
      </c>
      <c r="G19429" s="3" t="n">
        <v>-267399</v>
      </c>
    </row>
    <row r="19430">
      <c r="A19430" s="3" t="inlineStr">
        <is>
          <t>Endulini (Pty) Ltd</t>
        </is>
      </c>
      <c r="B19430" s="4" t="n">
        <v>45352</v>
      </c>
      <c r="C19430" s="3" t="inlineStr">
        <is>
          <t>Liabilities</t>
        </is>
      </c>
      <c r="D19430" s="3" t="inlineStr">
        <is>
          <t>5500/200</t>
        </is>
      </c>
      <c r="E19430" s="3" t="inlineStr">
        <is>
          <t>Loan - Opportunity Management Holdings</t>
        </is>
      </c>
      <c r="F19430" s="3" t="n">
        <v>0</v>
      </c>
      <c r="G19430" s="3" t="n">
        <v>20000</v>
      </c>
    </row>
    <row r="19431">
      <c r="A19431" s="3" t="inlineStr">
        <is>
          <t>Endulini (Pty) Ltd</t>
        </is>
      </c>
      <c r="B19431" s="4" t="n">
        <v>45352</v>
      </c>
      <c r="C19431" s="3" t="inlineStr">
        <is>
          <t>Liabilities</t>
        </is>
      </c>
      <c r="D19431" s="3" t="inlineStr">
        <is>
          <t>5500/250</t>
        </is>
      </c>
      <c r="E19431" s="3" t="inlineStr">
        <is>
          <t>Loan - Heron Projects</t>
        </is>
      </c>
      <c r="F19431" s="3" t="n">
        <v>0</v>
      </c>
      <c r="G19431" s="3" t="n">
        <v>-1800000</v>
      </c>
    </row>
    <row r="19432">
      <c r="A19432" s="3" t="inlineStr">
        <is>
          <t>Trademark Holdings (Pty) Ltd</t>
        </is>
      </c>
      <c r="B19432" s="4" t="n">
        <v>45352</v>
      </c>
      <c r="C19432" s="3" t="inlineStr">
        <is>
          <t>Liabilities</t>
        </is>
      </c>
      <c r="D19432" s="3" t="inlineStr">
        <is>
          <t>5500/250</t>
        </is>
      </c>
      <c r="E19432" s="3" t="inlineStr">
        <is>
          <t>Loan - Noble Shield</t>
        </is>
      </c>
      <c r="F19432" s="3" t="n">
        <v>0</v>
      </c>
      <c r="G19432" s="3" t="n">
        <v>65165.59</v>
      </c>
    </row>
    <row r="19433">
      <c r="A19433" s="3" t="inlineStr">
        <is>
          <t>Opportunity Management Holdings (PTY) LTD</t>
        </is>
      </c>
      <c r="B19433" s="4" t="n">
        <v>45352</v>
      </c>
      <c r="C19433" s="3" t="inlineStr">
        <is>
          <t>Liabilities</t>
        </is>
      </c>
      <c r="D19433" s="3" t="inlineStr">
        <is>
          <t>5500/250</t>
        </is>
      </c>
      <c r="E19433" s="3" t="inlineStr">
        <is>
          <t>Loan - Quinate</t>
        </is>
      </c>
      <c r="F19433" s="3" t="n">
        <v>0</v>
      </c>
      <c r="G19433" s="3" t="n">
        <v>-130000</v>
      </c>
    </row>
    <row r="19434">
      <c r="A19434" s="3" t="inlineStr">
        <is>
          <t>Quinate Consulting (Pty) Ltd</t>
        </is>
      </c>
      <c r="B19434" s="4" t="n">
        <v>45352</v>
      </c>
      <c r="C19434" s="3" t="inlineStr">
        <is>
          <t>Liabilities</t>
        </is>
      </c>
      <c r="D19434" s="3" t="inlineStr">
        <is>
          <t>5500/300</t>
        </is>
      </c>
      <c r="E19434" s="3" t="inlineStr">
        <is>
          <t>Loan - Gengis</t>
        </is>
      </c>
      <c r="F19434" s="3" t="n">
        <v>0</v>
      </c>
      <c r="G19434" s="3" t="n">
        <v>-1029301.95</v>
      </c>
    </row>
    <row r="19435">
      <c r="A19435" s="3" t="inlineStr">
        <is>
          <t>Opportunity Management Holdings (PTY) LTD</t>
        </is>
      </c>
      <c r="B19435" s="4" t="n">
        <v>45352</v>
      </c>
      <c r="C19435" s="3" t="inlineStr">
        <is>
          <t>Liabilities</t>
        </is>
      </c>
      <c r="D19435" s="3" t="inlineStr">
        <is>
          <t>5500/300</t>
        </is>
      </c>
      <c r="E19435" s="3" t="inlineStr">
        <is>
          <t>Loan - Opportunity Prop Management</t>
        </is>
      </c>
      <c r="F19435" s="3" t="n">
        <v>0</v>
      </c>
      <c r="G19435" s="3" t="n">
        <v>-1220204.15</v>
      </c>
    </row>
    <row r="19436">
      <c r="A19436" s="3" t="inlineStr">
        <is>
          <t>Noble Shield (Pty) Ltd ta Go Letting</t>
        </is>
      </c>
      <c r="B19436" s="4" t="n">
        <v>45352</v>
      </c>
      <c r="C19436" s="3" t="inlineStr">
        <is>
          <t>Liabilities</t>
        </is>
      </c>
      <c r="D19436" s="3" t="inlineStr">
        <is>
          <t>5500/300</t>
        </is>
      </c>
      <c r="E19436" s="3" t="inlineStr">
        <is>
          <t>Loan - Trademark Holdings</t>
        </is>
      </c>
      <c r="F19436" s="3" t="n">
        <v>0</v>
      </c>
      <c r="G19436" s="3" t="n">
        <v>-65165.59</v>
      </c>
    </row>
    <row r="19437">
      <c r="A19437" s="3" t="inlineStr">
        <is>
          <t>Opportunity Management Holdings (PTY) LTD</t>
        </is>
      </c>
      <c r="B19437" s="4" t="n">
        <v>45352</v>
      </c>
      <c r="C19437" s="3" t="inlineStr">
        <is>
          <t>Liabilities</t>
        </is>
      </c>
      <c r="D19437" s="3" t="inlineStr">
        <is>
          <t>5500/350</t>
        </is>
      </c>
      <c r="E19437" s="3" t="inlineStr">
        <is>
          <t>Loan - Endulini</t>
        </is>
      </c>
      <c r="F19437" s="3" t="n">
        <v>0</v>
      </c>
      <c r="G19437" s="3" t="n">
        <v>-20000</v>
      </c>
    </row>
    <row r="19438">
      <c r="A19438" s="3" t="inlineStr">
        <is>
          <t>Opportunity Private Capital (PTY) LTD</t>
        </is>
      </c>
      <c r="B19438" s="4" t="n">
        <v>45352</v>
      </c>
      <c r="C19438" s="3" t="inlineStr">
        <is>
          <t>Liabilities</t>
        </is>
      </c>
      <c r="D19438" s="3" t="inlineStr">
        <is>
          <t>5500/350</t>
        </is>
      </c>
      <c r="E19438" s="3" t="inlineStr">
        <is>
          <t>Loan - Opportunity Management Holdings</t>
        </is>
      </c>
      <c r="F19438" s="3" t="n">
        <v>0</v>
      </c>
      <c r="G19438" s="3" t="n">
        <v>500</v>
      </c>
    </row>
    <row r="19439">
      <c r="A19439" s="3" t="inlineStr">
        <is>
          <t>Trademark Holdings (Pty) Ltd</t>
        </is>
      </c>
      <c r="B19439" s="4" t="n">
        <v>45352</v>
      </c>
      <c r="C19439" s="3" t="inlineStr">
        <is>
          <t>Liabilities</t>
        </is>
      </c>
      <c r="D19439" s="3" t="inlineStr">
        <is>
          <t>5500/350</t>
        </is>
      </c>
      <c r="E19439" s="3" t="inlineStr">
        <is>
          <t>Loan - Quinate Consulting</t>
        </is>
      </c>
      <c r="F19439" s="3" t="n">
        <v>0</v>
      </c>
      <c r="G19439" s="3" t="n">
        <v>-16413.38</v>
      </c>
    </row>
    <row r="19440">
      <c r="A19440" s="3" t="inlineStr">
        <is>
          <t>Trademark Holdings (Pty) Ltd</t>
        </is>
      </c>
      <c r="B19440" s="4" t="n">
        <v>45352</v>
      </c>
      <c r="C19440" s="3" t="inlineStr">
        <is>
          <t>Liabilities</t>
        </is>
      </c>
      <c r="D19440" s="3" t="inlineStr">
        <is>
          <t>5500/375</t>
        </is>
      </c>
      <c r="E19440" s="3" t="inlineStr">
        <is>
          <t>Loan - Opportunity Management Holdings Pty Ltd</t>
        </is>
      </c>
      <c r="F19440" s="3" t="n">
        <v>0</v>
      </c>
      <c r="G19440" s="3" t="n">
        <v>158800</v>
      </c>
    </row>
    <row r="19441">
      <c r="A19441" s="3" t="inlineStr">
        <is>
          <t>Trademark Holdings (Pty) Ltd</t>
        </is>
      </c>
      <c r="B19441" s="4" t="n">
        <v>45352</v>
      </c>
      <c r="C19441" s="3" t="inlineStr">
        <is>
          <t>Liabilities</t>
        </is>
      </c>
      <c r="D19441" s="3" t="inlineStr">
        <is>
          <t>5500/450</t>
        </is>
      </c>
      <c r="E19441" s="3" t="inlineStr">
        <is>
          <t>Loan - Cape Projects Construction</t>
        </is>
      </c>
      <c r="F19441" s="3" t="n">
        <v>0</v>
      </c>
      <c r="G19441" s="3" t="n">
        <v>17600</v>
      </c>
    </row>
    <row r="19442">
      <c r="A19442" s="3" t="inlineStr">
        <is>
          <t>Trademark Holdings (Pty) Ltd</t>
        </is>
      </c>
      <c r="B19442" s="4" t="n">
        <v>45352</v>
      </c>
      <c r="C19442" s="3" t="inlineStr">
        <is>
          <t>Liabilities</t>
        </is>
      </c>
      <c r="D19442" s="3" t="inlineStr">
        <is>
          <t>5500/500</t>
        </is>
      </c>
      <c r="E19442" s="3" t="inlineStr">
        <is>
          <t>Go Letting Brand Name</t>
        </is>
      </c>
      <c r="F19442" s="3" t="n">
        <v>0</v>
      </c>
      <c r="G19442" s="3" t="n">
        <v>93420</v>
      </c>
    </row>
    <row r="19443">
      <c r="A19443" s="3" t="inlineStr">
        <is>
          <t>Noble Shield (Pty) Ltd ta Go Letting</t>
        </is>
      </c>
      <c r="B19443" s="4" t="n">
        <v>45352</v>
      </c>
      <c r="C19443" s="3" t="inlineStr">
        <is>
          <t>Liabilities</t>
        </is>
      </c>
      <c r="D19443" s="3" t="inlineStr">
        <is>
          <t>5500/500</t>
        </is>
      </c>
      <c r="E19443" s="3" t="inlineStr">
        <is>
          <t>Loan - Cape Projects Construction</t>
        </is>
      </c>
      <c r="F19443" s="3" t="n">
        <v>0</v>
      </c>
      <c r="G19443" s="3" t="n">
        <v>200189.44</v>
      </c>
    </row>
    <row r="19444">
      <c r="A19444" s="3" t="inlineStr">
        <is>
          <t>Quinate Consulting (Pty) Ltd</t>
        </is>
      </c>
      <c r="B19444" s="4" t="n">
        <v>45352</v>
      </c>
      <c r="C19444" s="3" t="inlineStr">
        <is>
          <t>Liabilities</t>
        </is>
      </c>
      <c r="D19444" s="3" t="inlineStr">
        <is>
          <t>5500/500</t>
        </is>
      </c>
      <c r="E19444" s="3" t="inlineStr">
        <is>
          <t>Loan - Opportunity Development Struct.</t>
        </is>
      </c>
      <c r="F19444" s="3" t="n">
        <v>0</v>
      </c>
      <c r="G19444" s="3" t="n">
        <v>-2380000</v>
      </c>
    </row>
    <row r="19445">
      <c r="A19445" s="3" t="inlineStr">
        <is>
          <t>Opportunity Management Holdings (PTY) LTD</t>
        </is>
      </c>
      <c r="B19445" s="4" t="n">
        <v>45352</v>
      </c>
      <c r="C19445" s="3" t="inlineStr">
        <is>
          <t>Liabilities</t>
        </is>
      </c>
      <c r="D19445" s="3" t="inlineStr">
        <is>
          <t>5500/500</t>
        </is>
      </c>
      <c r="E19445" s="3" t="inlineStr">
        <is>
          <t>Loan - Opportunity Tradermark Holdings</t>
        </is>
      </c>
      <c r="F19445" s="3" t="n">
        <v>0</v>
      </c>
      <c r="G19445" s="3" t="n">
        <v>-158800</v>
      </c>
    </row>
    <row r="19446">
      <c r="A19446" s="3" t="inlineStr">
        <is>
          <t>Quinate Consulting (Pty) Ltd</t>
        </is>
      </c>
      <c r="B19446" s="4" t="n">
        <v>45352</v>
      </c>
      <c r="C19446" s="3" t="inlineStr">
        <is>
          <t>Liabilities</t>
        </is>
      </c>
      <c r="D19446" s="3" t="inlineStr">
        <is>
          <t>5500/520</t>
        </is>
      </c>
      <c r="E19446" s="3" t="inlineStr">
        <is>
          <t>Loan - Opportunity Management Holdings</t>
        </is>
      </c>
      <c r="F19446" s="3" t="n">
        <v>0</v>
      </c>
      <c r="G19446" s="3" t="n">
        <v>126100</v>
      </c>
    </row>
    <row r="19447">
      <c r="A19447" s="3" t="inlineStr">
        <is>
          <t>Opportunity Management Holdings (PTY) LTD</t>
        </is>
      </c>
      <c r="B19447" s="4" t="n">
        <v>45352</v>
      </c>
      <c r="C19447" s="3" t="inlineStr">
        <is>
          <t>Liabilities</t>
        </is>
      </c>
      <c r="D19447" s="3" t="inlineStr">
        <is>
          <t>5500/550</t>
        </is>
      </c>
      <c r="E19447" s="3" t="inlineStr">
        <is>
          <t>Loan - Heron Projects</t>
        </is>
      </c>
      <c r="F19447" s="3" t="n">
        <v>0</v>
      </c>
      <c r="G19447" s="3" t="n">
        <v>84900</v>
      </c>
    </row>
    <row r="19448">
      <c r="A19448" s="3" t="inlineStr">
        <is>
          <t>Opportunity Private Capital (PTY) LTD</t>
        </is>
      </c>
      <c r="B19448" s="4" t="n">
        <v>45352</v>
      </c>
      <c r="C19448" s="3" t="inlineStr">
        <is>
          <t>Liabilities</t>
        </is>
      </c>
      <c r="D19448" s="3" t="inlineStr">
        <is>
          <t>5500/650</t>
        </is>
      </c>
      <c r="E19448" s="3" t="inlineStr">
        <is>
          <t>Loan - Opportunit Global - Sales</t>
        </is>
      </c>
      <c r="F19448" s="3" t="n">
        <v>0</v>
      </c>
      <c r="G19448" s="3" t="n">
        <v>-4170730.55</v>
      </c>
    </row>
    <row r="19449">
      <c r="A19449" s="3" t="inlineStr">
        <is>
          <t>Opportunity Global Property (PTY) LTD</t>
        </is>
      </c>
      <c r="B19449" s="4" t="n">
        <v>45352</v>
      </c>
      <c r="C19449" s="3" t="inlineStr">
        <is>
          <t>Liabilities</t>
        </is>
      </c>
      <c r="D19449" s="3" t="inlineStr">
        <is>
          <t>5500/650</t>
        </is>
      </c>
      <c r="E19449" s="3" t="inlineStr">
        <is>
          <t>Loan - Opportunity Investments</t>
        </is>
      </c>
      <c r="F19449" s="3" t="n">
        <v>0</v>
      </c>
      <c r="G19449" s="3" t="n">
        <v>4170730.55</v>
      </c>
    </row>
    <row r="19450">
      <c r="A19450" s="3" t="inlineStr">
        <is>
          <t>Opportunity Management Holdings (PTY) LTD</t>
        </is>
      </c>
      <c r="B19450" s="4" t="n">
        <v>45352</v>
      </c>
      <c r="C19450" s="3" t="inlineStr">
        <is>
          <t>Liabilities</t>
        </is>
      </c>
      <c r="D19450" s="3" t="inlineStr">
        <is>
          <t>5500/700</t>
        </is>
      </c>
      <c r="E19450" s="3" t="inlineStr">
        <is>
          <t>Loan - Go Letting</t>
        </is>
      </c>
      <c r="F19450" s="3" t="n">
        <v>0</v>
      </c>
      <c r="G19450" s="3" t="n">
        <v>-120</v>
      </c>
    </row>
    <row r="19451">
      <c r="A19451" s="3" t="inlineStr">
        <is>
          <t>Quinate Consulting (Pty) Ltd</t>
        </is>
      </c>
      <c r="B19451" s="4" t="n">
        <v>45352</v>
      </c>
      <c r="C19451" s="3" t="inlineStr">
        <is>
          <t>Liabilities</t>
        </is>
      </c>
      <c r="D19451" s="3" t="inlineStr">
        <is>
          <t>5500/700</t>
        </is>
      </c>
      <c r="E19451" s="3" t="inlineStr">
        <is>
          <t>Loan - Trademark Holdings</t>
        </is>
      </c>
      <c r="F19451" s="3" t="n">
        <v>0</v>
      </c>
      <c r="G19451" s="3" t="n">
        <v>16413.38</v>
      </c>
    </row>
    <row r="19452">
      <c r="A19452" s="3" t="inlineStr">
        <is>
          <t>Opportunity Private Capital (PTY) LTD</t>
        </is>
      </c>
      <c r="B19452" s="4" t="n">
        <v>45352</v>
      </c>
      <c r="C19452" s="3" t="inlineStr">
        <is>
          <t>Liabilities</t>
        </is>
      </c>
      <c r="D19452" s="3" t="inlineStr">
        <is>
          <t>5500/750</t>
        </is>
      </c>
      <c r="E19452" s="3" t="inlineStr">
        <is>
          <t>Loan - Heron Projects</t>
        </is>
      </c>
      <c r="F19452" s="3" t="n">
        <v>0</v>
      </c>
      <c r="G19452" s="3" t="n">
        <v>-2053000</v>
      </c>
    </row>
    <row r="19453">
      <c r="A19453" s="3" t="inlineStr">
        <is>
          <t>Opportunity Private Capital (PTY) LTD</t>
        </is>
      </c>
      <c r="B19453" s="4" t="n">
        <v>45352</v>
      </c>
      <c r="C19453" s="3" t="inlineStr">
        <is>
          <t>Liabilities</t>
        </is>
      </c>
      <c r="D19453" s="3" t="inlineStr">
        <is>
          <t>5500/850</t>
        </is>
      </c>
      <c r="E19453" s="3" t="inlineStr">
        <is>
          <t>Loan - Nick Morgan</t>
        </is>
      </c>
      <c r="F19453" s="3" t="n">
        <v>0</v>
      </c>
      <c r="G19453" s="3" t="n">
        <v>6200</v>
      </c>
    </row>
    <row r="19454">
      <c r="A19454" s="3" t="inlineStr">
        <is>
          <t>Quinate Consulting (Pty) Ltd</t>
        </is>
      </c>
      <c r="B19454" s="4" t="n">
        <v>45352</v>
      </c>
      <c r="C19454" s="3" t="inlineStr">
        <is>
          <t>Liabilities</t>
        </is>
      </c>
      <c r="D19454" s="3" t="inlineStr">
        <is>
          <t>5501/001</t>
        </is>
      </c>
      <c r="E19454" s="3" t="inlineStr">
        <is>
          <t>Loan - Endulini CIP Costs</t>
        </is>
      </c>
      <c r="F19454" s="3" t="n">
        <v>0</v>
      </c>
      <c r="G19454" s="3" t="n">
        <v>5682037.9</v>
      </c>
    </row>
    <row r="19455">
      <c r="A19455" s="3" t="inlineStr">
        <is>
          <t>Quinate Consulting (Pty) Ltd</t>
        </is>
      </c>
      <c r="B19455" s="4" t="n">
        <v>45352</v>
      </c>
      <c r="C19455" s="3" t="inlineStr">
        <is>
          <t>Liabilities</t>
        </is>
      </c>
      <c r="D19455" s="3" t="inlineStr">
        <is>
          <t>5501/002</t>
        </is>
      </c>
      <c r="E19455" s="3" t="inlineStr">
        <is>
          <t>Loan - Purple Block</t>
        </is>
      </c>
      <c r="F19455" s="3" t="n">
        <v>0</v>
      </c>
      <c r="G19455" s="3" t="n">
        <v>171148.82</v>
      </c>
    </row>
    <row r="19456">
      <c r="A19456" s="3" t="inlineStr">
        <is>
          <t>Noble Shield (Pty) Ltd ta Go Letting</t>
        </is>
      </c>
      <c r="B19456" s="4" t="n">
        <v>45352</v>
      </c>
      <c r="C19456" s="3" t="inlineStr">
        <is>
          <t>Assets</t>
        </is>
      </c>
      <c r="D19456" s="3" t="inlineStr">
        <is>
          <t>6250/010</t>
        </is>
      </c>
      <c r="E19456" s="3" t="inlineStr">
        <is>
          <t>Computer Equipment - @ Cost</t>
        </is>
      </c>
      <c r="F19456" s="3" t="n">
        <v>0</v>
      </c>
      <c r="G19456" s="3" t="n">
        <v>20397</v>
      </c>
    </row>
    <row r="19457">
      <c r="A19457" s="3" t="inlineStr">
        <is>
          <t>Opportunity Management Holdings (PTY) LTD</t>
        </is>
      </c>
      <c r="B19457" s="4" t="n">
        <v>45352</v>
      </c>
      <c r="C19457" s="3" t="inlineStr">
        <is>
          <t>Assets</t>
        </is>
      </c>
      <c r="D19457" s="3" t="inlineStr">
        <is>
          <t>6250/010</t>
        </is>
      </c>
      <c r="E19457" s="3" t="inlineStr">
        <is>
          <t>Computer Equipment - @ Cost</t>
        </is>
      </c>
      <c r="F19457" s="3" t="n">
        <v>0</v>
      </c>
      <c r="G19457" s="3" t="n">
        <v>52177.85</v>
      </c>
    </row>
    <row r="19458">
      <c r="A19458" s="3" t="inlineStr">
        <is>
          <t>Opportunity Private Capital (PTY) LTD</t>
        </is>
      </c>
      <c r="B19458" s="4" t="n">
        <v>45352</v>
      </c>
      <c r="C19458" s="3" t="inlineStr">
        <is>
          <t>Assets</t>
        </is>
      </c>
      <c r="D19458" s="3" t="inlineStr">
        <is>
          <t>6250/010</t>
        </is>
      </c>
      <c r="E19458" s="3" t="inlineStr">
        <is>
          <t>Computer Equipment - @ Cost</t>
        </is>
      </c>
      <c r="F19458" s="3" t="n">
        <v>0</v>
      </c>
      <c r="G19458" s="3" t="n">
        <v>31683.04</v>
      </c>
    </row>
    <row r="19459">
      <c r="A19459" s="3" t="inlineStr">
        <is>
          <t>Quinate Consulting (Pty) Ltd</t>
        </is>
      </c>
      <c r="B19459" s="4" t="n">
        <v>45352</v>
      </c>
      <c r="C19459" s="3" t="inlineStr">
        <is>
          <t>Assets</t>
        </is>
      </c>
      <c r="D19459" s="3" t="inlineStr">
        <is>
          <t>6250/010</t>
        </is>
      </c>
      <c r="E19459" s="3" t="inlineStr">
        <is>
          <t>Computer Equipment - @ Cost</t>
        </is>
      </c>
      <c r="F19459" s="3" t="n">
        <v>0</v>
      </c>
      <c r="G19459" s="3" t="n">
        <v>137059.7</v>
      </c>
    </row>
    <row r="19460">
      <c r="A19460" s="3" t="inlineStr">
        <is>
          <t>Noble Shield (Pty) Ltd ta Go Letting</t>
        </is>
      </c>
      <c r="B19460" s="4" t="n">
        <v>45352</v>
      </c>
      <c r="C19460" s="3" t="inlineStr">
        <is>
          <t>Assets</t>
        </is>
      </c>
      <c r="D19460" s="3" t="inlineStr">
        <is>
          <t>6250/020</t>
        </is>
      </c>
      <c r="E19460" s="3" t="inlineStr">
        <is>
          <t>Computer Equipment - Accum Depre</t>
        </is>
      </c>
      <c r="F19460" s="3" t="n">
        <v>0</v>
      </c>
      <c r="G19460" s="3" t="n">
        <v>-12040.89</v>
      </c>
    </row>
    <row r="19461">
      <c r="A19461" s="3" t="inlineStr">
        <is>
          <t>Opportunity Management Holdings (PTY) LTD</t>
        </is>
      </c>
      <c r="B19461" s="4" t="n">
        <v>45352</v>
      </c>
      <c r="C19461" s="3" t="inlineStr">
        <is>
          <t>Assets</t>
        </is>
      </c>
      <c r="D19461" s="3" t="inlineStr">
        <is>
          <t>6250/020</t>
        </is>
      </c>
      <c r="E19461" s="3" t="inlineStr">
        <is>
          <t>Computer Equipment - Accum Depre</t>
        </is>
      </c>
      <c r="F19461" s="3" t="n">
        <v>0</v>
      </c>
      <c r="G19461" s="3" t="n">
        <v>-18031.35</v>
      </c>
    </row>
    <row r="19462">
      <c r="A19462" s="3" t="inlineStr">
        <is>
          <t>Opportunity Private Capital (PTY) LTD</t>
        </is>
      </c>
      <c r="B19462" s="4" t="n">
        <v>45352</v>
      </c>
      <c r="C19462" s="3" t="inlineStr">
        <is>
          <t>Assets</t>
        </is>
      </c>
      <c r="D19462" s="3" t="inlineStr">
        <is>
          <t>6250/020</t>
        </is>
      </c>
      <c r="E19462" s="3" t="inlineStr">
        <is>
          <t>Computer Equipment - Accum Depre</t>
        </is>
      </c>
      <c r="F19462" s="3" t="n">
        <v>0</v>
      </c>
      <c r="G19462" s="3" t="n">
        <v>-12321.18</v>
      </c>
    </row>
    <row r="19463">
      <c r="A19463" s="3" t="inlineStr">
        <is>
          <t>Quinate Consulting (Pty) Ltd</t>
        </is>
      </c>
      <c r="B19463" s="4" t="n">
        <v>45352</v>
      </c>
      <c r="C19463" s="3" t="inlineStr">
        <is>
          <t>Assets</t>
        </is>
      </c>
      <c r="D19463" s="3" t="inlineStr">
        <is>
          <t>6250/020</t>
        </is>
      </c>
      <c r="E19463" s="3" t="inlineStr">
        <is>
          <t>Computer Equipment - Accum Depre</t>
        </is>
      </c>
      <c r="F19463" s="3" t="n">
        <v>0</v>
      </c>
      <c r="G19463" s="3" t="n">
        <v>-124782.02</v>
      </c>
    </row>
    <row r="19464">
      <c r="A19464" s="3" t="inlineStr">
        <is>
          <t>Opportunity Management Holdings (PTY) LTD</t>
        </is>
      </c>
      <c r="B19464" s="4" t="n">
        <v>45352</v>
      </c>
      <c r="C19464" s="3" t="inlineStr">
        <is>
          <t>Assets</t>
        </is>
      </c>
      <c r="D19464" s="3" t="inlineStr">
        <is>
          <t>6250/030</t>
        </is>
      </c>
      <c r="E19464" s="3" t="inlineStr">
        <is>
          <t>Acc Depreciation - Computer Equipment</t>
        </is>
      </c>
      <c r="F19464" s="3" t="n">
        <v>0</v>
      </c>
      <c r="G19464" s="3" t="n">
        <v>-9441.25</v>
      </c>
    </row>
    <row r="19465">
      <c r="A19465" s="3" t="inlineStr">
        <is>
          <t>Quinate Consulting (Pty) Ltd</t>
        </is>
      </c>
      <c r="B19465" s="4" t="n">
        <v>45352</v>
      </c>
      <c r="C19465" s="3" t="inlineStr">
        <is>
          <t>Assets</t>
        </is>
      </c>
      <c r="D19465" s="3" t="inlineStr">
        <is>
          <t>6270/010</t>
        </is>
      </c>
      <c r="E19465" s="3" t="inlineStr">
        <is>
          <t>Site Containers - @ Cost</t>
        </is>
      </c>
      <c r="F19465" s="3" t="n">
        <v>0</v>
      </c>
      <c r="G19465" s="3" t="n">
        <v>19130.44</v>
      </c>
    </row>
    <row r="19466">
      <c r="A19466" s="3" t="inlineStr">
        <is>
          <t>Quinate Consulting (Pty) Ltd</t>
        </is>
      </c>
      <c r="B19466" s="4" t="n">
        <v>45352</v>
      </c>
      <c r="C19466" s="3" t="inlineStr">
        <is>
          <t>Assets</t>
        </is>
      </c>
      <c r="D19466" s="3" t="inlineStr">
        <is>
          <t>6270/020</t>
        </is>
      </c>
      <c r="E19466" s="3" t="inlineStr">
        <is>
          <t>Site Containers - Accum Depre</t>
        </is>
      </c>
      <c r="F19466" s="3" t="n">
        <v>0</v>
      </c>
      <c r="G19466" s="3" t="n">
        <v>-11478.26</v>
      </c>
    </row>
    <row r="19467">
      <c r="A19467" s="3" t="inlineStr">
        <is>
          <t>Noble Shield (Pty) Ltd ta Go Letting</t>
        </is>
      </c>
      <c r="B19467" s="4" t="n">
        <v>45352</v>
      </c>
      <c r="C19467" s="3" t="inlineStr">
        <is>
          <t>Assets</t>
        </is>
      </c>
      <c r="D19467" s="3" t="inlineStr">
        <is>
          <t>6350/010</t>
        </is>
      </c>
      <c r="E19467" s="3" t="inlineStr">
        <is>
          <t>Furniture _AND_ Fittings - @ Cost</t>
        </is>
      </c>
      <c r="F19467" s="3" t="n">
        <v>0</v>
      </c>
      <c r="G19467" s="3" t="n">
        <v>2242</v>
      </c>
    </row>
    <row r="19468">
      <c r="A19468" s="3" t="inlineStr">
        <is>
          <t>Opportunity Global Property (PTY) LTD</t>
        </is>
      </c>
      <c r="B19468" s="4" t="n">
        <v>45352</v>
      </c>
      <c r="C19468" s="3" t="inlineStr">
        <is>
          <t>Assets</t>
        </is>
      </c>
      <c r="D19468" s="3" t="inlineStr">
        <is>
          <t>6350/010</t>
        </is>
      </c>
      <c r="E19468" s="3" t="inlineStr">
        <is>
          <t>Furniture _AND_ Fittings - @ Cost</t>
        </is>
      </c>
      <c r="F19468" s="3" t="n">
        <v>0</v>
      </c>
      <c r="G19468" s="3" t="n">
        <v>29379.7</v>
      </c>
    </row>
    <row r="19469">
      <c r="A19469" s="3" t="inlineStr">
        <is>
          <t>Noble Shield (Pty) Ltd ta Go Letting</t>
        </is>
      </c>
      <c r="B19469" s="4" t="n">
        <v>45352</v>
      </c>
      <c r="C19469" s="3" t="inlineStr">
        <is>
          <t>Assets</t>
        </is>
      </c>
      <c r="D19469" s="3" t="inlineStr">
        <is>
          <t>6350/020</t>
        </is>
      </c>
      <c r="E19469" s="3" t="inlineStr">
        <is>
          <t>Furniture _AND_ Fittings - Accum Depre</t>
        </is>
      </c>
      <c r="F19469" s="3" t="n">
        <v>0</v>
      </c>
      <c r="G19469" s="3" t="n">
        <v>-2239</v>
      </c>
    </row>
    <row r="19470">
      <c r="A19470" s="3" t="inlineStr">
        <is>
          <t>Opportunity Global Property (PTY) LTD</t>
        </is>
      </c>
      <c r="B19470" s="4" t="n">
        <v>45352</v>
      </c>
      <c r="C19470" s="3" t="inlineStr">
        <is>
          <t>Assets</t>
        </is>
      </c>
      <c r="D19470" s="3" t="inlineStr">
        <is>
          <t>6350/020</t>
        </is>
      </c>
      <c r="E19470" s="3" t="inlineStr">
        <is>
          <t>Furniture _AND_ Fittings - Accum Depre</t>
        </is>
      </c>
      <c r="F19470" s="3" t="n">
        <v>0</v>
      </c>
      <c r="G19470" s="3" t="n">
        <v>-8161.03</v>
      </c>
    </row>
    <row r="19471">
      <c r="A19471" s="3" t="inlineStr">
        <is>
          <t>Opportunity Management Holdings (PTY) LTD</t>
        </is>
      </c>
      <c r="B19471" s="4" t="n">
        <v>45352</v>
      </c>
      <c r="C19471" s="3" t="inlineStr">
        <is>
          <t>Liabilities</t>
        </is>
      </c>
      <c r="D19471" s="3" t="inlineStr">
        <is>
          <t>6500/000</t>
        </is>
      </c>
      <c r="E19471" s="3" t="inlineStr">
        <is>
          <t>Deposits - Held</t>
        </is>
      </c>
      <c r="F19471" s="3" t="n">
        <v>0</v>
      </c>
      <c r="G19471" s="3" t="n">
        <v>-12028.1</v>
      </c>
    </row>
    <row r="19472">
      <c r="A19472" s="3" t="inlineStr">
        <is>
          <t>Opportunity Management Holdings (PTY) LTD</t>
        </is>
      </c>
      <c r="B19472" s="4" t="n">
        <v>45352</v>
      </c>
      <c r="C19472" s="3" t="inlineStr">
        <is>
          <t>Liabilities</t>
        </is>
      </c>
      <c r="D19472" s="3" t="inlineStr">
        <is>
          <t>6510/000</t>
        </is>
      </c>
      <c r="E19472" s="3" t="inlineStr">
        <is>
          <t>Deposits Paid - Anicol Properties</t>
        </is>
      </c>
      <c r="F19472" s="3" t="n">
        <v>0</v>
      </c>
      <c r="G19472" s="3" t="n">
        <v>13755</v>
      </c>
    </row>
    <row r="19473">
      <c r="A19473" s="3" t="inlineStr">
        <is>
          <t>Opportunity Management Holdings (PTY) LTD</t>
        </is>
      </c>
      <c r="B19473" s="4" t="n">
        <v>45352</v>
      </c>
      <c r="C19473" s="3" t="inlineStr">
        <is>
          <t>Liabilities</t>
        </is>
      </c>
      <c r="D19473" s="3" t="inlineStr">
        <is>
          <t>6515/000</t>
        </is>
      </c>
      <c r="E19473" s="3" t="inlineStr">
        <is>
          <t>Deposits Paid</t>
        </is>
      </c>
      <c r="F19473" s="3" t="n">
        <v>0</v>
      </c>
      <c r="G19473" s="3" t="n">
        <v>3852.5</v>
      </c>
    </row>
    <row r="19474">
      <c r="A19474" s="3" t="inlineStr">
        <is>
          <t>Quinate Consulting (Pty) Ltd</t>
        </is>
      </c>
      <c r="B19474" s="4" t="n">
        <v>45352</v>
      </c>
      <c r="C19474" s="3" t="inlineStr">
        <is>
          <t>Assets</t>
        </is>
      </c>
      <c r="D19474" s="3" t="inlineStr">
        <is>
          <t>6600/010</t>
        </is>
      </c>
      <c r="E19474" s="3" t="inlineStr">
        <is>
          <t>Other Fixed Assets - @ Cost</t>
        </is>
      </c>
      <c r="F19474" s="3" t="n">
        <v>0</v>
      </c>
      <c r="G19474" s="3" t="n">
        <v>14442.5</v>
      </c>
    </row>
    <row r="19475">
      <c r="A19475" s="3" t="inlineStr">
        <is>
          <t>Quinate Consulting (Pty) Ltd</t>
        </is>
      </c>
      <c r="B19475" s="4" t="n">
        <v>45352</v>
      </c>
      <c r="C19475" s="3" t="inlineStr">
        <is>
          <t>Assets</t>
        </is>
      </c>
      <c r="D19475" s="3" t="inlineStr">
        <is>
          <t>6600/020</t>
        </is>
      </c>
      <c r="E19475" s="3" t="inlineStr">
        <is>
          <t>Other Fixed Assets - Accum Depre</t>
        </is>
      </c>
      <c r="F19475" s="3" t="n">
        <v>0</v>
      </c>
      <c r="G19475" s="3" t="n">
        <v>-14441.5</v>
      </c>
    </row>
    <row r="19476">
      <c r="A19476" s="3" t="inlineStr">
        <is>
          <t>Noble Shield (Pty) Ltd ta Go Letting</t>
        </is>
      </c>
      <c r="B19476" s="4" t="n">
        <v>45352</v>
      </c>
      <c r="C19476" s="3" t="inlineStr">
        <is>
          <t>Assets</t>
        </is>
      </c>
      <c r="D19476" s="3" t="inlineStr">
        <is>
          <t>7000/100</t>
        </is>
      </c>
      <c r="E19476" s="3" t="inlineStr">
        <is>
          <t>Goodwill - Purchase of Go Letting</t>
        </is>
      </c>
      <c r="F19476" s="3" t="n">
        <v>0</v>
      </c>
      <c r="G19476" s="3" t="n">
        <v>106580</v>
      </c>
    </row>
    <row r="19477">
      <c r="A19477" s="3" t="inlineStr">
        <is>
          <t>Opportunity Management Holdings (PTY) LTD</t>
        </is>
      </c>
      <c r="B19477" s="4" t="n">
        <v>45352</v>
      </c>
      <c r="C19477" s="3" t="inlineStr">
        <is>
          <t>Assets</t>
        </is>
      </c>
      <c r="D19477" s="3" t="inlineStr">
        <is>
          <t>7200/000</t>
        </is>
      </c>
      <c r="E19477" s="3" t="inlineStr">
        <is>
          <t>Shares in Subsidiary Companies</t>
        </is>
      </c>
      <c r="F19477" s="3" t="n">
        <v>0</v>
      </c>
      <c r="G19477" s="3" t="n">
        <v>120</v>
      </c>
    </row>
    <row r="19478">
      <c r="A19478" s="3" t="inlineStr">
        <is>
          <t>Endulini (Pty) Ltd</t>
        </is>
      </c>
      <c r="B19478" s="4" t="n">
        <v>45352</v>
      </c>
      <c r="C19478" s="3" t="inlineStr">
        <is>
          <t>Assets</t>
        </is>
      </c>
      <c r="D19478" s="3" t="inlineStr">
        <is>
          <t>7610/100</t>
        </is>
      </c>
      <c r="E19478" s="3" t="inlineStr">
        <is>
          <t>Endulini Land</t>
        </is>
      </c>
      <c r="F19478" s="3" t="n">
        <v>0</v>
      </c>
      <c r="G19478" s="3" t="n">
        <v>10572851.37</v>
      </c>
    </row>
    <row r="19479">
      <c r="A19479" s="3" t="inlineStr">
        <is>
          <t>Endulini (Pty) Ltd</t>
        </is>
      </c>
      <c r="B19479" s="4" t="n">
        <v>45352</v>
      </c>
      <c r="C19479" s="3" t="inlineStr">
        <is>
          <t>Assets</t>
        </is>
      </c>
      <c r="D19479" s="3" t="inlineStr">
        <is>
          <t>7610/111</t>
        </is>
      </c>
      <c r="E19479" s="3" t="inlineStr">
        <is>
          <t>Endulini Closing Stock February 2021</t>
        </is>
      </c>
      <c r="F19479" s="3" t="n">
        <v>0</v>
      </c>
      <c r="G19479" s="3" t="n">
        <v>14368610.11</v>
      </c>
    </row>
    <row r="19480">
      <c r="A19480" s="3" t="inlineStr">
        <is>
          <t>Endulini (Pty) Ltd</t>
        </is>
      </c>
      <c r="B19480" s="4" t="n">
        <v>45352</v>
      </c>
      <c r="C19480" s="3" t="inlineStr">
        <is>
          <t>Assets</t>
        </is>
      </c>
      <c r="D19480" s="3" t="inlineStr">
        <is>
          <t>7610/180</t>
        </is>
      </c>
      <c r="E19480" s="3" t="inlineStr">
        <is>
          <t>Endulini CIP Architects</t>
        </is>
      </c>
      <c r="F19480" s="3" t="n">
        <v>0</v>
      </c>
      <c r="G19480" s="3" t="n">
        <v>1292111.71</v>
      </c>
    </row>
    <row r="19481">
      <c r="A19481" s="3" t="inlineStr">
        <is>
          <t>Endulini (Pty) Ltd</t>
        </is>
      </c>
      <c r="B19481" s="4" t="n">
        <v>45352</v>
      </c>
      <c r="C19481" s="3" t="inlineStr">
        <is>
          <t>Assets</t>
        </is>
      </c>
      <c r="D19481" s="3" t="inlineStr">
        <is>
          <t>7610/200</t>
        </is>
      </c>
      <c r="E19481" s="3" t="inlineStr">
        <is>
          <t>Endulini CIP CoCT Land Use App</t>
        </is>
      </c>
      <c r="F19481" s="3" t="n">
        <v>0</v>
      </c>
      <c r="G19481" s="3" t="n">
        <v>232891.06</v>
      </c>
    </row>
    <row r="19482">
      <c r="A19482" s="3" t="inlineStr">
        <is>
          <t>Endulini (Pty) Ltd</t>
        </is>
      </c>
      <c r="B19482" s="4" t="n">
        <v>45352</v>
      </c>
      <c r="C19482" s="3" t="inlineStr">
        <is>
          <t>Assets</t>
        </is>
      </c>
      <c r="D19482" s="3" t="inlineStr">
        <is>
          <t>7610/205</t>
        </is>
      </c>
      <c r="E19482" s="3" t="inlineStr">
        <is>
          <t>Endulini CIP Site Establishments</t>
        </is>
      </c>
      <c r="F19482" s="3" t="n">
        <v>0</v>
      </c>
      <c r="G19482" s="3" t="n">
        <v>32428975.01</v>
      </c>
    </row>
    <row r="19483">
      <c r="A19483" s="3" t="inlineStr">
        <is>
          <t>Endulini (Pty) Ltd</t>
        </is>
      </c>
      <c r="B19483" s="4" t="n">
        <v>45352</v>
      </c>
      <c r="C19483" s="3" t="inlineStr">
        <is>
          <t>Assets</t>
        </is>
      </c>
      <c r="D19483" s="3" t="inlineStr">
        <is>
          <t>7610/209</t>
        </is>
      </c>
      <c r="E19483" s="3" t="inlineStr">
        <is>
          <t>Endulini CIP Construction Management</t>
        </is>
      </c>
      <c r="F19483" s="3" t="n">
        <v>0</v>
      </c>
      <c r="G19483" s="3" t="n">
        <v>223375</v>
      </c>
    </row>
    <row r="19484">
      <c r="A19484" s="3" t="inlineStr">
        <is>
          <t>Endulini (Pty) Ltd</t>
        </is>
      </c>
      <c r="B19484" s="4" t="n">
        <v>45352</v>
      </c>
      <c r="C19484" s="3" t="inlineStr">
        <is>
          <t>Assets</t>
        </is>
      </c>
      <c r="D19484" s="3" t="inlineStr">
        <is>
          <t>7610/210</t>
        </is>
      </c>
      <c r="E19484" s="3" t="inlineStr">
        <is>
          <t>Endulini CIP Civil Works</t>
        </is>
      </c>
      <c r="F19484" s="3" t="n">
        <v>0</v>
      </c>
      <c r="G19484" s="3" t="n">
        <v>6295702.14</v>
      </c>
    </row>
    <row r="19485">
      <c r="A19485" s="3" t="inlineStr">
        <is>
          <t>Endulini (Pty) Ltd</t>
        </is>
      </c>
      <c r="B19485" s="4" t="n">
        <v>45352</v>
      </c>
      <c r="C19485" s="3" t="inlineStr">
        <is>
          <t>Assets</t>
        </is>
      </c>
      <c r="D19485" s="3" t="inlineStr">
        <is>
          <t>7610/215</t>
        </is>
      </c>
      <c r="E19485" s="3" t="inlineStr">
        <is>
          <t>Endulini CIP Civil Engineers</t>
        </is>
      </c>
      <c r="F19485" s="3" t="n">
        <v>0</v>
      </c>
      <c r="G19485" s="3" t="n">
        <v>183000</v>
      </c>
    </row>
    <row r="19486">
      <c r="A19486" s="3" t="inlineStr">
        <is>
          <t>Endulini (Pty) Ltd</t>
        </is>
      </c>
      <c r="B19486" s="4" t="n">
        <v>45352</v>
      </c>
      <c r="C19486" s="3" t="inlineStr">
        <is>
          <t>Assets</t>
        </is>
      </c>
      <c r="D19486" s="3" t="inlineStr">
        <is>
          <t>7610/220</t>
        </is>
      </c>
      <c r="E19486" s="3" t="inlineStr">
        <is>
          <t>Endulini CIP Structuring Project Fee Opp Invest</t>
        </is>
      </c>
      <c r="F19486" s="3" t="n">
        <v>0</v>
      </c>
      <c r="G19486" s="3" t="n">
        <v>483735.96</v>
      </c>
    </row>
    <row r="19487">
      <c r="A19487" s="3" t="inlineStr">
        <is>
          <t>Endulini (Pty) Ltd</t>
        </is>
      </c>
      <c r="B19487" s="4" t="n">
        <v>45352</v>
      </c>
      <c r="C19487" s="3" t="inlineStr">
        <is>
          <t>Assets</t>
        </is>
      </c>
      <c r="D19487" s="3" t="inlineStr">
        <is>
          <t>7610/225</t>
        </is>
      </c>
      <c r="E19487" s="3" t="inlineStr">
        <is>
          <t>Endulini CIP Structural engineering fee</t>
        </is>
      </c>
      <c r="F19487" s="3" t="n">
        <v>0</v>
      </c>
      <c r="G19487" s="3" t="n">
        <v>288645.08</v>
      </c>
    </row>
    <row r="19488">
      <c r="A19488" s="3" t="inlineStr">
        <is>
          <t>Endulini (Pty) Ltd</t>
        </is>
      </c>
      <c r="B19488" s="4" t="n">
        <v>45352</v>
      </c>
      <c r="C19488" s="3" t="inlineStr">
        <is>
          <t>Assets</t>
        </is>
      </c>
      <c r="D19488" s="3" t="inlineStr">
        <is>
          <t>7610/230</t>
        </is>
      </c>
      <c r="E19488" s="3" t="inlineStr">
        <is>
          <t>Endulini CIP Mechanical Engineering</t>
        </is>
      </c>
      <c r="F19488" s="3" t="n">
        <v>0</v>
      </c>
      <c r="G19488" s="3" t="n">
        <v>15570</v>
      </c>
    </row>
    <row r="19489">
      <c r="A19489" s="3" t="inlineStr">
        <is>
          <t>Endulini (Pty) Ltd</t>
        </is>
      </c>
      <c r="B19489" s="4" t="n">
        <v>45352</v>
      </c>
      <c r="C19489" s="3" t="inlineStr">
        <is>
          <t>Assets</t>
        </is>
      </c>
      <c r="D19489" s="3" t="inlineStr">
        <is>
          <t>7610/235</t>
        </is>
      </c>
      <c r="E19489" s="3" t="inlineStr">
        <is>
          <t>Endulini CIP Electrical Installation</t>
        </is>
      </c>
      <c r="F19489" s="3" t="n">
        <v>0</v>
      </c>
      <c r="G19489" s="3" t="n">
        <v>1034019.08</v>
      </c>
    </row>
    <row r="19490">
      <c r="A19490" s="3" t="inlineStr">
        <is>
          <t>Endulini (Pty) Ltd</t>
        </is>
      </c>
      <c r="B19490" s="4" t="n">
        <v>45352</v>
      </c>
      <c r="C19490" s="3" t="inlineStr">
        <is>
          <t>Assets</t>
        </is>
      </c>
      <c r="D19490" s="3" t="inlineStr">
        <is>
          <t>7610/250</t>
        </is>
      </c>
      <c r="E19490" s="3" t="inlineStr">
        <is>
          <t>Endulini CIP Boundary Wall</t>
        </is>
      </c>
      <c r="F19490" s="3" t="n">
        <v>0</v>
      </c>
      <c r="G19490" s="3" t="n">
        <v>88400.8</v>
      </c>
    </row>
    <row r="19491">
      <c r="A19491" s="3" t="inlineStr">
        <is>
          <t>Endulini (Pty) Ltd</t>
        </is>
      </c>
      <c r="B19491" s="4" t="n">
        <v>45352</v>
      </c>
      <c r="C19491" s="3" t="inlineStr">
        <is>
          <t>Assets</t>
        </is>
      </c>
      <c r="D19491" s="3" t="inlineStr">
        <is>
          <t>7610/290</t>
        </is>
      </c>
      <c r="E19491" s="3" t="inlineStr">
        <is>
          <t>Endulini CIP Development Management Fees</t>
        </is>
      </c>
      <c r="F19491" s="3" t="n">
        <v>0</v>
      </c>
      <c r="G19491" s="3" t="n">
        <v>665322.71</v>
      </c>
    </row>
    <row r="19492">
      <c r="A19492" s="3" t="inlineStr">
        <is>
          <t>Endulini (Pty) Ltd</t>
        </is>
      </c>
      <c r="B19492" s="4" t="n">
        <v>45352</v>
      </c>
      <c r="C19492" s="3" t="inlineStr">
        <is>
          <t>Assets</t>
        </is>
      </c>
      <c r="D19492" s="3" t="inlineStr">
        <is>
          <t>7610/310</t>
        </is>
      </c>
      <c r="E19492" s="3" t="inlineStr">
        <is>
          <t>Endulini CIP Enviromental consultants</t>
        </is>
      </c>
      <c r="F19492" s="3" t="n">
        <v>0</v>
      </c>
      <c r="G19492" s="3" t="n">
        <v>115730</v>
      </c>
    </row>
    <row r="19493">
      <c r="A19493" s="3" t="inlineStr">
        <is>
          <t>Endulini (Pty) Ltd</t>
        </is>
      </c>
      <c r="B19493" s="4" t="n">
        <v>45352</v>
      </c>
      <c r="C19493" s="3" t="inlineStr">
        <is>
          <t>Assets</t>
        </is>
      </c>
      <c r="D19493" s="3" t="inlineStr">
        <is>
          <t>7610/320</t>
        </is>
      </c>
      <c r="E19493" s="3" t="inlineStr">
        <is>
          <t>Endulini CIP Geotechnical</t>
        </is>
      </c>
      <c r="F19493" s="3" t="n">
        <v>0</v>
      </c>
      <c r="G19493" s="3" t="n">
        <v>13575</v>
      </c>
    </row>
    <row r="19494">
      <c r="A19494" s="3" t="inlineStr">
        <is>
          <t>Endulini (Pty) Ltd</t>
        </is>
      </c>
      <c r="B19494" s="4" t="n">
        <v>45352</v>
      </c>
      <c r="C19494" s="3" t="inlineStr">
        <is>
          <t>Assets</t>
        </is>
      </c>
      <c r="D19494" s="3" t="inlineStr">
        <is>
          <t>7610/330</t>
        </is>
      </c>
      <c r="E19494" s="3" t="inlineStr">
        <is>
          <t>Endulini CIP Health and Safety</t>
        </is>
      </c>
      <c r="F19494" s="3" t="n">
        <v>0</v>
      </c>
      <c r="G19494" s="3" t="n">
        <v>40200</v>
      </c>
    </row>
    <row r="19495">
      <c r="A19495" s="3" t="inlineStr">
        <is>
          <t>Endulini (Pty) Ltd</t>
        </is>
      </c>
      <c r="B19495" s="4" t="n">
        <v>45352</v>
      </c>
      <c r="C19495" s="3" t="inlineStr">
        <is>
          <t>Assets</t>
        </is>
      </c>
      <c r="D19495" s="3" t="inlineStr">
        <is>
          <t>7610/390</t>
        </is>
      </c>
      <c r="E19495" s="3" t="inlineStr">
        <is>
          <t>Endulini CIP Land Surveyor</t>
        </is>
      </c>
      <c r="F19495" s="3" t="n">
        <v>0</v>
      </c>
      <c r="G19495" s="3" t="n">
        <v>186021.2</v>
      </c>
    </row>
    <row r="19496">
      <c r="A19496" s="3" t="inlineStr">
        <is>
          <t>Endulini (Pty) Ltd</t>
        </is>
      </c>
      <c r="B19496" s="4" t="n">
        <v>45352</v>
      </c>
      <c r="C19496" s="3" t="inlineStr">
        <is>
          <t>Assets</t>
        </is>
      </c>
      <c r="D19496" s="3" t="inlineStr">
        <is>
          <t>7610/392</t>
        </is>
      </c>
      <c r="E19496" s="3" t="inlineStr">
        <is>
          <t>Endulini CIP Landscaping</t>
        </is>
      </c>
      <c r="F19496" s="3" t="n">
        <v>0</v>
      </c>
      <c r="G19496" s="3" t="n">
        <v>6100</v>
      </c>
    </row>
    <row r="19497">
      <c r="A19497" s="3" t="inlineStr">
        <is>
          <t>Endulini (Pty) Ltd</t>
        </is>
      </c>
      <c r="B19497" s="4" t="n">
        <v>45352</v>
      </c>
      <c r="C19497" s="3" t="inlineStr">
        <is>
          <t>Assets</t>
        </is>
      </c>
      <c r="D19497" s="3" t="inlineStr">
        <is>
          <t>7610/395</t>
        </is>
      </c>
      <c r="E19497" s="3" t="inlineStr">
        <is>
          <t>Endulini CIP NHBRC</t>
        </is>
      </c>
      <c r="F19497" s="3" t="n">
        <v>0</v>
      </c>
      <c r="G19497" s="3" t="n">
        <v>928847.49</v>
      </c>
    </row>
    <row r="19498">
      <c r="A19498" s="3" t="inlineStr">
        <is>
          <t>Endulini (Pty) Ltd</t>
        </is>
      </c>
      <c r="B19498" s="4" t="n">
        <v>45352</v>
      </c>
      <c r="C19498" s="3" t="inlineStr">
        <is>
          <t>Assets</t>
        </is>
      </c>
      <c r="D19498" s="3" t="inlineStr">
        <is>
          <t>7610/400</t>
        </is>
      </c>
      <c r="E19498" s="3" t="inlineStr">
        <is>
          <t>Endulini CIP Quantity Surveyor</t>
        </is>
      </c>
      <c r="F19498" s="3" t="n">
        <v>0</v>
      </c>
      <c r="G19498" s="3" t="n">
        <v>82136.36</v>
      </c>
    </row>
    <row r="19499">
      <c r="A19499" s="3" t="inlineStr">
        <is>
          <t>Endulini (Pty) Ltd</t>
        </is>
      </c>
      <c r="B19499" s="4" t="n">
        <v>45352</v>
      </c>
      <c r="C19499" s="3" t="inlineStr">
        <is>
          <t>Assets</t>
        </is>
      </c>
      <c r="D19499" s="3" t="inlineStr">
        <is>
          <t>7610/600</t>
        </is>
      </c>
      <c r="E19499" s="3" t="inlineStr">
        <is>
          <t>Endulini CIP Town Planning</t>
        </is>
      </c>
      <c r="F19499" s="3" t="n">
        <v>0</v>
      </c>
      <c r="G19499" s="3" t="n">
        <v>21105</v>
      </c>
    </row>
    <row r="19500">
      <c r="A19500" s="3" t="inlineStr">
        <is>
          <t>Endulini (Pty) Ltd</t>
        </is>
      </c>
      <c r="B19500" s="4" t="n">
        <v>45352</v>
      </c>
      <c r="C19500" s="3" t="inlineStr">
        <is>
          <t>Assets</t>
        </is>
      </c>
      <c r="D19500" s="3" t="inlineStr">
        <is>
          <t>7610/620</t>
        </is>
      </c>
      <c r="E19500" s="3" t="inlineStr">
        <is>
          <t>Endulini CIP Traffic Impact</t>
        </is>
      </c>
      <c r="F19500" s="3" t="n">
        <v>0</v>
      </c>
      <c r="G19500" s="3" t="n">
        <v>24915</v>
      </c>
    </row>
    <row r="19501">
      <c r="A19501" s="3" t="inlineStr">
        <is>
          <t>Endulini (Pty) Ltd</t>
        </is>
      </c>
      <c r="B19501" s="4" t="n">
        <v>45352</v>
      </c>
      <c r="C19501" s="3" t="inlineStr">
        <is>
          <t>Assets</t>
        </is>
      </c>
      <c r="D19501" s="3" t="inlineStr">
        <is>
          <t>7610/630</t>
        </is>
      </c>
      <c r="E19501" s="3" t="inlineStr">
        <is>
          <t>Endulini CIP CoCT Development Contributi</t>
        </is>
      </c>
      <c r="F19501" s="3" t="n">
        <v>0</v>
      </c>
      <c r="G19501" s="3" t="n">
        <v>661860.3100000001</v>
      </c>
    </row>
    <row r="19502">
      <c r="A19502" s="3" t="inlineStr">
        <is>
          <t>Endulini (Pty) Ltd</t>
        </is>
      </c>
      <c r="B19502" s="4" t="n">
        <v>45352</v>
      </c>
      <c r="C19502" s="3" t="inlineStr">
        <is>
          <t>Assets</t>
        </is>
      </c>
      <c r="D19502" s="3" t="inlineStr">
        <is>
          <t>7610/640</t>
        </is>
      </c>
      <c r="E19502" s="3" t="inlineStr">
        <is>
          <t>Endulini CIP CoCT Building plan application</t>
        </is>
      </c>
      <c r="F19502" s="3" t="n">
        <v>0</v>
      </c>
      <c r="G19502" s="3" t="n">
        <v>111203.22</v>
      </c>
    </row>
    <row r="19503">
      <c r="A19503" s="3" t="inlineStr">
        <is>
          <t>Endulini (Pty) Ltd</t>
        </is>
      </c>
      <c r="B19503" s="4" t="n">
        <v>45352</v>
      </c>
      <c r="C19503" s="3" t="inlineStr">
        <is>
          <t>Assets</t>
        </is>
      </c>
      <c r="D19503" s="3" t="inlineStr">
        <is>
          <t>7610/900</t>
        </is>
      </c>
      <c r="E19503" s="3" t="inlineStr">
        <is>
          <t>Endulini CIP Cost of Sales</t>
        </is>
      </c>
      <c r="F19503" s="3" t="n">
        <v>0</v>
      </c>
      <c r="G19503" s="3" t="n">
        <v>-28210981.9</v>
      </c>
    </row>
    <row r="19504">
      <c r="A19504" s="3" t="inlineStr">
        <is>
          <t>Quinate Consulting (Pty) Ltd</t>
        </is>
      </c>
      <c r="B19504" s="4" t="n">
        <v>45352</v>
      </c>
      <c r="C19504" s="3" t="inlineStr">
        <is>
          <t>Assets</t>
        </is>
      </c>
      <c r="D19504" s="3" t="inlineStr">
        <is>
          <t>7800/104</t>
        </is>
      </c>
      <c r="E19504" s="3" t="inlineStr">
        <is>
          <t>Stock - Closing Stock SW - 28 Feb 21</t>
        </is>
      </c>
      <c r="F19504" s="3" t="n">
        <v>0</v>
      </c>
      <c r="G19504" s="3" t="n">
        <v>2874478.88</v>
      </c>
    </row>
    <row r="19505">
      <c r="A19505" s="3" t="inlineStr">
        <is>
          <t>Quinate Consulting (Pty) Ltd</t>
        </is>
      </c>
      <c r="B19505" s="4" t="n">
        <v>45352</v>
      </c>
      <c r="C19505" s="3" t="inlineStr">
        <is>
          <t>Assets</t>
        </is>
      </c>
      <c r="D19505" s="3" t="inlineStr">
        <is>
          <t>7800/105</t>
        </is>
      </c>
      <c r="E19505" s="3" t="inlineStr">
        <is>
          <t>Stock - Closing Stock SH - 28 Feb 21</t>
        </is>
      </c>
      <c r="F19505" s="3" t="n">
        <v>0</v>
      </c>
      <c r="G19505" s="3" t="n">
        <v>2843477.6</v>
      </c>
    </row>
    <row r="19506">
      <c r="A19506" s="3" t="inlineStr">
        <is>
          <t>Endulini (Pty) Ltd</t>
        </is>
      </c>
      <c r="B19506" s="4" t="n">
        <v>45352</v>
      </c>
      <c r="C19506" s="3" t="inlineStr">
        <is>
          <t>Assets</t>
        </is>
      </c>
      <c r="D19506" s="3" t="inlineStr">
        <is>
          <t>8000/000</t>
        </is>
      </c>
      <c r="E19506" s="3" t="inlineStr">
        <is>
          <t>Customer Control Account</t>
        </is>
      </c>
      <c r="F19506" s="3" t="n">
        <v>0</v>
      </c>
      <c r="G19506" s="3" t="n">
        <v>335821.57</v>
      </c>
    </row>
    <row r="19507">
      <c r="A19507" s="3" t="inlineStr">
        <is>
          <t>Noble Shield (Pty) Ltd ta Go Letting</t>
        </is>
      </c>
      <c r="B19507" s="4" t="n">
        <v>45352</v>
      </c>
      <c r="C19507" s="3" t="inlineStr">
        <is>
          <t>Assets</t>
        </is>
      </c>
      <c r="D19507" s="3" t="inlineStr">
        <is>
          <t>8000/000</t>
        </is>
      </c>
      <c r="E19507" s="3" t="inlineStr">
        <is>
          <t>Customer Control Account</t>
        </is>
      </c>
      <c r="F19507" s="3" t="n">
        <v>40000</v>
      </c>
      <c r="G19507" s="3" t="n">
        <v>100289.32</v>
      </c>
    </row>
    <row r="19508">
      <c r="A19508" s="3" t="inlineStr">
        <is>
          <t>Opportunity Global Property (PTY) LTD</t>
        </is>
      </c>
      <c r="B19508" s="4" t="n">
        <v>45352</v>
      </c>
      <c r="C19508" s="3" t="inlineStr">
        <is>
          <t>Assets</t>
        </is>
      </c>
      <c r="D19508" s="3" t="inlineStr">
        <is>
          <t>8000/000</t>
        </is>
      </c>
      <c r="E19508" s="3" t="inlineStr">
        <is>
          <t>Customer Control Account</t>
        </is>
      </c>
      <c r="F19508" s="3" t="n">
        <v>0</v>
      </c>
      <c r="G19508" s="3" t="n">
        <v>536498.33</v>
      </c>
    </row>
    <row r="19509">
      <c r="A19509" s="3" t="inlineStr">
        <is>
          <t>Opportunity Management Holdings (PTY) LTD</t>
        </is>
      </c>
      <c r="B19509" s="4" t="n">
        <v>45352</v>
      </c>
      <c r="C19509" s="3" t="inlineStr">
        <is>
          <t>Assets</t>
        </is>
      </c>
      <c r="D19509" s="3" t="inlineStr">
        <is>
          <t>8000/000</t>
        </is>
      </c>
      <c r="E19509" s="3" t="inlineStr">
        <is>
          <t>Customer Control Account</t>
        </is>
      </c>
      <c r="F19509" s="3" t="n">
        <v>0</v>
      </c>
      <c r="G19509" s="3" t="n">
        <v>554326.47</v>
      </c>
    </row>
    <row r="19510">
      <c r="A19510" s="3" t="inlineStr">
        <is>
          <t>Opportunity Private Capital (PTY) LTD</t>
        </is>
      </c>
      <c r="B19510" s="4" t="n">
        <v>45352</v>
      </c>
      <c r="C19510" s="3" t="inlineStr">
        <is>
          <t>Assets</t>
        </is>
      </c>
      <c r="D19510" s="3" t="inlineStr">
        <is>
          <t>8000/000</t>
        </is>
      </c>
      <c r="E19510" s="3" t="inlineStr">
        <is>
          <t>Customer Control Account</t>
        </is>
      </c>
      <c r="F19510" s="3" t="n">
        <v>0</v>
      </c>
      <c r="G19510" s="3" t="n">
        <v>54115.58</v>
      </c>
    </row>
    <row r="19511">
      <c r="A19511" s="3" t="inlineStr">
        <is>
          <t>Quinate Consulting (Pty) Ltd</t>
        </is>
      </c>
      <c r="B19511" s="4" t="n">
        <v>45352</v>
      </c>
      <c r="C19511" s="3" t="inlineStr">
        <is>
          <t>Assets</t>
        </is>
      </c>
      <c r="D19511" s="3" t="inlineStr">
        <is>
          <t>8000/000</t>
        </is>
      </c>
      <c r="E19511" s="3" t="inlineStr">
        <is>
          <t>Customer Control Account</t>
        </is>
      </c>
      <c r="F19511" s="3" t="n">
        <v>38536.8</v>
      </c>
      <c r="G19511" s="3" t="n">
        <v>105063.44</v>
      </c>
    </row>
    <row r="19512">
      <c r="A19512" s="3" t="inlineStr">
        <is>
          <t>Quinate Consulting (Pty) Ltd</t>
        </is>
      </c>
      <c r="B19512" s="4" t="n">
        <v>45352</v>
      </c>
      <c r="C19512" s="3" t="inlineStr">
        <is>
          <t>Assets</t>
        </is>
      </c>
      <c r="D19512" s="3" t="inlineStr">
        <is>
          <t>8001</t>
        </is>
      </c>
      <c r="E19512" s="3" t="inlineStr">
        <is>
          <t>Customer Control</t>
        </is>
      </c>
      <c r="F19512" s="3" t="n">
        <v>0</v>
      </c>
      <c r="G19512" s="3" t="n">
        <v>29487.49</v>
      </c>
    </row>
    <row r="19513">
      <c r="A19513" s="3" t="inlineStr">
        <is>
          <t>Quinate Consulting (Pty) Ltd</t>
        </is>
      </c>
      <c r="B19513" s="4" t="n">
        <v>45352</v>
      </c>
      <c r="C19513" s="3" t="inlineStr">
        <is>
          <t>Assets</t>
        </is>
      </c>
      <c r="D19513" s="3" t="inlineStr">
        <is>
          <t>8200/010</t>
        </is>
      </c>
      <c r="E19513" s="3" t="inlineStr">
        <is>
          <t>Prepayments / Prepaid Expenses</t>
        </is>
      </c>
      <c r="F19513" s="3" t="n">
        <v>0</v>
      </c>
      <c r="G19513" s="3" t="n">
        <v>109675</v>
      </c>
    </row>
    <row r="19514">
      <c r="A19514" s="3" t="inlineStr">
        <is>
          <t>Opportunity Management Holdings (PTY) LTD</t>
        </is>
      </c>
      <c r="B19514" s="4" t="n">
        <v>45352</v>
      </c>
      <c r="C19514" s="3" t="inlineStr">
        <is>
          <t>Assets</t>
        </is>
      </c>
      <c r="D19514" s="3" t="inlineStr">
        <is>
          <t>8200/020</t>
        </is>
      </c>
      <c r="E19514" s="3" t="inlineStr">
        <is>
          <t>Staff Loan - Nicolene Smit</t>
        </is>
      </c>
      <c r="F19514" s="3" t="n">
        <v>0</v>
      </c>
      <c r="G19514" s="3" t="n">
        <v>1000</v>
      </c>
    </row>
    <row r="19515">
      <c r="A19515" s="3" t="inlineStr">
        <is>
          <t>Opportunity Global Property (PTY) LTD</t>
        </is>
      </c>
      <c r="B19515" s="4" t="n">
        <v>45352</v>
      </c>
      <c r="C19515" s="3" t="inlineStr">
        <is>
          <t>Assets</t>
        </is>
      </c>
      <c r="D19515" s="3" t="inlineStr">
        <is>
          <t>8300/200</t>
        </is>
      </c>
      <c r="E19515" s="3" t="inlineStr">
        <is>
          <t>Staff Loan - Mario Stoop</t>
        </is>
      </c>
      <c r="F19515" s="3" t="n">
        <v>0</v>
      </c>
      <c r="G19515" s="3" t="n">
        <v>3000</v>
      </c>
    </row>
    <row r="19516">
      <c r="A19516" s="3" t="inlineStr">
        <is>
          <t>Opportunity Private Capital (PTY) LTD</t>
        </is>
      </c>
      <c r="B19516" s="4" t="n">
        <v>45352</v>
      </c>
      <c r="C19516" s="3" t="inlineStr">
        <is>
          <t>Assets</t>
        </is>
      </c>
      <c r="D19516" s="3" t="inlineStr">
        <is>
          <t>8400/000</t>
        </is>
      </c>
      <c r="E19516" s="3" t="inlineStr">
        <is>
          <t>FNB 62093491696</t>
        </is>
      </c>
      <c r="F19516" s="3" t="n">
        <v>-4512.3</v>
      </c>
      <c r="G19516" s="3" t="n">
        <v>44909.88</v>
      </c>
    </row>
    <row r="19517">
      <c r="A19517" s="3" t="inlineStr">
        <is>
          <t>Opportunity Global Property (PTY) LTD</t>
        </is>
      </c>
      <c r="B19517" s="4" t="n">
        <v>45352</v>
      </c>
      <c r="C19517" s="3" t="inlineStr">
        <is>
          <t>Assets</t>
        </is>
      </c>
      <c r="D19517" s="3" t="inlineStr">
        <is>
          <t>8400/000</t>
        </is>
      </c>
      <c r="E19517" s="3" t="inlineStr">
        <is>
          <t>FNB 62835620875</t>
        </is>
      </c>
      <c r="F19517" s="3" t="n">
        <v>-34677.74</v>
      </c>
      <c r="G19517" s="3" t="n">
        <v>27471.34</v>
      </c>
    </row>
    <row r="19518">
      <c r="A19518" s="3" t="inlineStr">
        <is>
          <t>Quinate Consulting (Pty) Ltd</t>
        </is>
      </c>
      <c r="B19518" s="4" t="n">
        <v>45352</v>
      </c>
      <c r="C19518" s="3" t="inlineStr">
        <is>
          <t>Assets</t>
        </is>
      </c>
      <c r="D19518" s="3" t="inlineStr">
        <is>
          <t>8400/000</t>
        </is>
      </c>
      <c r="E19518" s="3" t="inlineStr">
        <is>
          <t>RMB - 62736659189 - Call Acc</t>
        </is>
      </c>
      <c r="F19518" s="3" t="n">
        <v>0</v>
      </c>
      <c r="G19518" s="3" t="n">
        <v>808842.0600000001</v>
      </c>
    </row>
    <row r="19519">
      <c r="A19519" s="3" t="inlineStr">
        <is>
          <t>Trademark Holdings (Pty) Ltd</t>
        </is>
      </c>
      <c r="B19519" s="4" t="n">
        <v>45352</v>
      </c>
      <c r="C19519" s="3" t="inlineStr">
        <is>
          <t>Assets</t>
        </is>
      </c>
      <c r="D19519" s="3" t="inlineStr">
        <is>
          <t>8400/000</t>
        </is>
      </c>
      <c r="E19519" s="3" t="inlineStr">
        <is>
          <t>RMB 623 693 03640</t>
        </is>
      </c>
      <c r="F19519" s="3" t="n">
        <v>-9969.25</v>
      </c>
      <c r="G19519" s="3" t="n">
        <v>60186.14</v>
      </c>
    </row>
    <row r="19520">
      <c r="A19520" s="3" t="inlineStr">
        <is>
          <t>Noble Shield (Pty) Ltd ta Go Letting</t>
        </is>
      </c>
      <c r="B19520" s="4" t="n">
        <v>45352</v>
      </c>
      <c r="C19520" s="3" t="inlineStr">
        <is>
          <t>Assets</t>
        </is>
      </c>
      <c r="D19520" s="3" t="inlineStr">
        <is>
          <t>8400/000</t>
        </is>
      </c>
      <c r="E19520" s="3" t="inlineStr">
        <is>
          <t>RMB 6250 573 3833</t>
        </is>
      </c>
      <c r="F19520" s="3" t="n">
        <v>-18806.37</v>
      </c>
      <c r="G19520" s="3" t="n">
        <v>29297.82</v>
      </c>
    </row>
    <row r="19521">
      <c r="A19521" s="3" t="inlineStr">
        <is>
          <t>Endulini (Pty) Ltd</t>
        </is>
      </c>
      <c r="B19521" s="4" t="n">
        <v>45352</v>
      </c>
      <c r="C19521" s="3" t="inlineStr">
        <is>
          <t>Assets</t>
        </is>
      </c>
      <c r="D19521" s="3" t="inlineStr">
        <is>
          <t>8400/000</t>
        </is>
      </c>
      <c r="E19521" s="3" t="inlineStr">
        <is>
          <t>RMB 62906944576</t>
        </is>
      </c>
      <c r="F19521" s="3" t="n">
        <v>-1150</v>
      </c>
      <c r="G19521" s="3" t="n">
        <v>32917.41</v>
      </c>
    </row>
    <row r="19522">
      <c r="A19522" s="3" t="inlineStr">
        <is>
          <t>Opportunity Management Holdings (PTY) LTD</t>
        </is>
      </c>
      <c r="B19522" s="4" t="n">
        <v>45352</v>
      </c>
      <c r="C19522" s="3" t="inlineStr">
        <is>
          <t>Assets</t>
        </is>
      </c>
      <c r="D19522" s="3" t="inlineStr">
        <is>
          <t>8400/000</t>
        </is>
      </c>
      <c r="E19522" s="3" t="inlineStr">
        <is>
          <t>RMB Cheq - 62312246920</t>
        </is>
      </c>
      <c r="F19522" s="3" t="n">
        <v>-4781.72</v>
      </c>
      <c r="G19522" s="3" t="n">
        <v>39281.47</v>
      </c>
    </row>
    <row r="19523">
      <c r="A19523" s="3" t="inlineStr">
        <is>
          <t>Opportunity Private Capital (PTY) LTD</t>
        </is>
      </c>
      <c r="B19523" s="4" t="n">
        <v>45352</v>
      </c>
      <c r="C19523" s="3" t="inlineStr">
        <is>
          <t>Assets</t>
        </is>
      </c>
      <c r="D19523" s="3" t="inlineStr">
        <is>
          <t>8405/000</t>
        </is>
      </c>
      <c r="E19523" s="3" t="inlineStr">
        <is>
          <t>FNB Trust 62762449265</t>
        </is>
      </c>
      <c r="F19523" s="3" t="n">
        <v>0</v>
      </c>
      <c r="G19523" s="3" t="n">
        <v>1141.1</v>
      </c>
    </row>
    <row r="19524">
      <c r="A19524" s="3" t="inlineStr">
        <is>
          <t>Endulini (Pty) Ltd</t>
        </is>
      </c>
      <c r="B19524" s="4" t="n">
        <v>45352</v>
      </c>
      <c r="C19524" s="3" t="inlineStr">
        <is>
          <t>Assets</t>
        </is>
      </c>
      <c r="D19524" s="3" t="inlineStr">
        <is>
          <t>8410/000</t>
        </is>
      </c>
      <c r="E19524" s="3" t="inlineStr">
        <is>
          <t>Momentum Investor Account : RU 502229883</t>
        </is>
      </c>
      <c r="F19524" s="3" t="n">
        <v>0</v>
      </c>
      <c r="G19524" s="3" t="n">
        <v>24.52</v>
      </c>
    </row>
    <row r="19525">
      <c r="A19525" s="3" t="inlineStr">
        <is>
          <t>Opportunity Management Holdings (PTY) LTD</t>
        </is>
      </c>
      <c r="B19525" s="4" t="n">
        <v>45352</v>
      </c>
      <c r="C19525" s="3" t="inlineStr">
        <is>
          <t>Assets</t>
        </is>
      </c>
      <c r="D19525" s="3" t="inlineStr">
        <is>
          <t>8410/000</t>
        </is>
      </c>
      <c r="E19525" s="3" t="inlineStr">
        <is>
          <t>RMB Call Acc - 62312248851</t>
        </is>
      </c>
      <c r="F19525" s="3" t="n">
        <v>0</v>
      </c>
      <c r="G19525" s="3" t="n">
        <v>1432.34</v>
      </c>
    </row>
    <row r="19526">
      <c r="A19526" s="3" t="inlineStr">
        <is>
          <t>Noble Shield (Pty) Ltd ta Go Letting</t>
        </is>
      </c>
      <c r="B19526" s="4" t="n">
        <v>45352</v>
      </c>
      <c r="C19526" s="3" t="inlineStr">
        <is>
          <t>Assets</t>
        </is>
      </c>
      <c r="D19526" s="3" t="inlineStr">
        <is>
          <t>8410/000</t>
        </is>
      </c>
      <c r="E19526" s="3" t="inlineStr">
        <is>
          <t>RMB Trust Acc - 6250 615 1365</t>
        </is>
      </c>
      <c r="F19526" s="3" t="n">
        <v>0</v>
      </c>
      <c r="G19526" s="3" t="n">
        <v>480.07</v>
      </c>
    </row>
    <row r="19527">
      <c r="A19527" s="3" t="inlineStr">
        <is>
          <t>Quinate Consulting (Pty) Ltd</t>
        </is>
      </c>
      <c r="B19527" s="4" t="n">
        <v>45352</v>
      </c>
      <c r="C19527" s="3" t="inlineStr">
        <is>
          <t>Assets</t>
        </is>
      </c>
      <c r="D19527" s="3" t="inlineStr">
        <is>
          <t>8415/000</t>
        </is>
      </c>
      <c r="E19527" s="3" t="inlineStr">
        <is>
          <t>STD Acc 071 958 959 - Facility Acc</t>
        </is>
      </c>
      <c r="F19527" s="3" t="n">
        <v>0</v>
      </c>
      <c r="G19527" s="3" t="n">
        <v>2276.21</v>
      </c>
    </row>
    <row r="19528">
      <c r="A19528" s="3" t="inlineStr">
        <is>
          <t>Trademark Holdings (Pty) Ltd</t>
        </is>
      </c>
      <c r="B19528" s="4" t="n">
        <v>45352</v>
      </c>
      <c r="C19528" s="3" t="inlineStr">
        <is>
          <t>Assets</t>
        </is>
      </c>
      <c r="D19528" s="3" t="inlineStr">
        <is>
          <t>8420/000</t>
        </is>
      </c>
      <c r="E19528" s="3" t="inlineStr">
        <is>
          <t>FNB Credit Card</t>
        </is>
      </c>
      <c r="F19528" s="3" t="n">
        <v>0</v>
      </c>
      <c r="G19528" s="3" t="n">
        <v>624</v>
      </c>
    </row>
    <row r="19529">
      <c r="A19529" s="3" t="inlineStr">
        <is>
          <t>Quinate Consulting (Pty) Ltd</t>
        </is>
      </c>
      <c r="B19529" s="4" t="n">
        <v>45352</v>
      </c>
      <c r="C19529" s="3" t="inlineStr">
        <is>
          <t>Assets</t>
        </is>
      </c>
      <c r="D19529" s="3" t="inlineStr">
        <is>
          <t>8430/000</t>
        </is>
      </c>
      <c r="E19529" s="3" t="inlineStr">
        <is>
          <t>Momentum Investment Acc - RU502230185</t>
        </is>
      </c>
      <c r="F19529" s="3" t="n">
        <v>0</v>
      </c>
      <c r="G19529" s="3" t="n">
        <v>574.88</v>
      </c>
    </row>
    <row r="19530">
      <c r="A19530" s="3" t="inlineStr">
        <is>
          <t>Opportunity Private Capital (PTY) LTD</t>
        </is>
      </c>
      <c r="B19530" s="4" t="n">
        <v>45352</v>
      </c>
      <c r="C19530" s="3" t="inlineStr">
        <is>
          <t>Assets</t>
        </is>
      </c>
      <c r="D19530" s="3" t="inlineStr">
        <is>
          <t>8440/000</t>
        </is>
      </c>
      <c r="E19530" s="3" t="inlineStr">
        <is>
          <t>FNB - Call 627602764438</t>
        </is>
      </c>
      <c r="F19530" s="3" t="n">
        <v>0</v>
      </c>
      <c r="G19530" s="3" t="n">
        <v>-1680.7</v>
      </c>
    </row>
    <row r="19531">
      <c r="A19531" s="3" t="inlineStr">
        <is>
          <t>Opportunity Private Capital (PTY) LTD</t>
        </is>
      </c>
      <c r="B19531" s="4" t="n">
        <v>45352</v>
      </c>
      <c r="C19531" s="3" t="inlineStr">
        <is>
          <t>Assets</t>
        </is>
      </c>
      <c r="D19531" s="3" t="inlineStr">
        <is>
          <t>8445/000</t>
        </is>
      </c>
      <c r="E19531" s="3" t="inlineStr">
        <is>
          <t>Momentum RU502230096</t>
        </is>
      </c>
      <c r="F19531" s="3" t="n">
        <v>0</v>
      </c>
      <c r="G19531" s="3" t="n">
        <v>5081.89</v>
      </c>
    </row>
    <row r="19532">
      <c r="A19532" s="3" t="inlineStr">
        <is>
          <t>Quinate Consulting (Pty) Ltd</t>
        </is>
      </c>
      <c r="B19532" s="4" t="n">
        <v>45352</v>
      </c>
      <c r="C19532" s="3" t="inlineStr">
        <is>
          <t>Assets</t>
        </is>
      </c>
      <c r="D19532" s="3" t="inlineStr">
        <is>
          <t>8450/000</t>
        </is>
      </c>
      <c r="E19532" s="3" t="inlineStr">
        <is>
          <t>A RMB 62275810820</t>
        </is>
      </c>
      <c r="F19532" s="3" t="n">
        <v>-11300.57</v>
      </c>
      <c r="G19532" s="3" t="n">
        <v>158392.78</v>
      </c>
    </row>
    <row r="19533">
      <c r="A19533" s="3" t="inlineStr">
        <is>
          <t>Opportunity Management Holdings (PTY) LTD</t>
        </is>
      </c>
      <c r="B19533" s="4" t="n">
        <v>45352</v>
      </c>
      <c r="C19533" s="3" t="inlineStr">
        <is>
          <t>Assets</t>
        </is>
      </c>
      <c r="D19533" s="3" t="inlineStr">
        <is>
          <t>8450/000</t>
        </is>
      </c>
      <c r="E19533" s="3" t="inlineStr">
        <is>
          <t>Petty Cash - CT Office</t>
        </is>
      </c>
      <c r="F19533" s="3" t="n">
        <v>0</v>
      </c>
      <c r="G19533" s="3" t="n">
        <v>1016.2</v>
      </c>
    </row>
    <row r="19534">
      <c r="A19534" s="3" t="inlineStr">
        <is>
          <t>Quinate Consulting (Pty) Ltd</t>
        </is>
      </c>
      <c r="B19534" s="4" t="n">
        <v>45352</v>
      </c>
      <c r="C19534" s="3" t="inlineStr">
        <is>
          <t>Assets</t>
        </is>
      </c>
      <c r="D19534" s="3" t="inlineStr">
        <is>
          <t>8470/000</t>
        </is>
      </c>
      <c r="E19534" s="3" t="inlineStr">
        <is>
          <t>ABSA: Quinate</t>
        </is>
      </c>
      <c r="F19534" s="3" t="n">
        <v>0</v>
      </c>
      <c r="G19534" s="3" t="n">
        <v>500</v>
      </c>
    </row>
    <row r="19535">
      <c r="A19535" s="3" t="inlineStr">
        <is>
          <t>Quinate Consulting (Pty) Ltd</t>
        </is>
      </c>
      <c r="B19535" s="4" t="n">
        <v>45352</v>
      </c>
      <c r="C19535" s="3" t="inlineStr">
        <is>
          <t>Liabilities</t>
        </is>
      </c>
      <c r="D19535" s="3" t="inlineStr">
        <is>
          <t>8480/100</t>
        </is>
      </c>
      <c r="E19535" s="3" t="inlineStr">
        <is>
          <t>Bond - SH20 - STD Bank 532010558</t>
        </is>
      </c>
      <c r="F19535" s="3" t="n">
        <v>0</v>
      </c>
      <c r="G19535" s="3" t="n">
        <v>-1320214.7</v>
      </c>
    </row>
    <row r="19536">
      <c r="A19536" s="3" t="inlineStr">
        <is>
          <t>Quinate Consulting (Pty) Ltd</t>
        </is>
      </c>
      <c r="B19536" s="4" t="n">
        <v>45352</v>
      </c>
      <c r="C19536" s="3" t="inlineStr">
        <is>
          <t>Liabilities</t>
        </is>
      </c>
      <c r="D19536" s="3" t="inlineStr">
        <is>
          <t>8480/200</t>
        </is>
      </c>
      <c r="E19536" s="3" t="inlineStr">
        <is>
          <t>Bond - SH23 - STD Bank 532010035</t>
        </is>
      </c>
      <c r="F19536" s="3" t="n">
        <v>0</v>
      </c>
      <c r="G19536" s="3" t="n">
        <v>-1320104.64</v>
      </c>
    </row>
    <row r="19537">
      <c r="A19537" s="3" t="inlineStr">
        <is>
          <t>Quinate Consulting (Pty) Ltd</t>
        </is>
      </c>
      <c r="B19537" s="4" t="n">
        <v>45352</v>
      </c>
      <c r="C19537" s="3" t="inlineStr">
        <is>
          <t>Liabilities</t>
        </is>
      </c>
      <c r="D19537" s="3" t="inlineStr">
        <is>
          <t>8480/300</t>
        </is>
      </c>
      <c r="E19537" s="3" t="inlineStr">
        <is>
          <t>Bond - SH24 - STD Bank 532372662</t>
        </is>
      </c>
      <c r="F19537" s="3" t="n">
        <v>0</v>
      </c>
      <c r="G19537" s="3" t="n">
        <v>-1438504.16</v>
      </c>
    </row>
    <row r="19538">
      <c r="A19538" s="3" t="inlineStr">
        <is>
          <t>Quinate Consulting (Pty) Ltd</t>
        </is>
      </c>
      <c r="B19538" s="4" t="n">
        <v>45352</v>
      </c>
      <c r="C19538" s="3" t="inlineStr">
        <is>
          <t>Liabilities</t>
        </is>
      </c>
      <c r="D19538" s="3" t="inlineStr">
        <is>
          <t>8480/400</t>
        </is>
      </c>
      <c r="E19538" s="3" t="inlineStr">
        <is>
          <t>Bond - SW01 - STD Bank 532920627</t>
        </is>
      </c>
      <c r="F19538" s="3" t="n">
        <v>0</v>
      </c>
      <c r="G19538" s="3" t="n">
        <v>-1286487.85</v>
      </c>
    </row>
    <row r="19539">
      <c r="A19539" s="3" t="inlineStr">
        <is>
          <t>Quinate Consulting (Pty) Ltd</t>
        </is>
      </c>
      <c r="B19539" s="4" t="n">
        <v>45352</v>
      </c>
      <c r="C19539" s="3" t="inlineStr">
        <is>
          <t>Liabilities</t>
        </is>
      </c>
      <c r="D19539" s="3" t="inlineStr">
        <is>
          <t>8480/401</t>
        </is>
      </c>
      <c r="E19539" s="3" t="inlineStr">
        <is>
          <t>Bond - SW21 - STD Bank 532920597</t>
        </is>
      </c>
      <c r="F19539" s="3" t="n">
        <v>0</v>
      </c>
      <c r="G19539" s="3" t="n">
        <v>-1286998.3</v>
      </c>
    </row>
    <row r="19540">
      <c r="A19540" s="3" t="inlineStr">
        <is>
          <t>Endulini (Pty) Ltd</t>
        </is>
      </c>
      <c r="B19540" s="4" t="n">
        <v>45352</v>
      </c>
      <c r="C19540" s="3" t="inlineStr">
        <is>
          <t>Liabilities</t>
        </is>
      </c>
      <c r="D19540" s="3" t="inlineStr">
        <is>
          <t>860</t>
        </is>
      </c>
      <c r="E19540" s="3" t="inlineStr">
        <is>
          <t>Rounding</t>
        </is>
      </c>
      <c r="F19540" s="3" t="n">
        <v>0</v>
      </c>
      <c r="G19540" s="3" t="n">
        <v>0.04</v>
      </c>
    </row>
    <row r="19541">
      <c r="A19541" s="3" t="inlineStr">
        <is>
          <t>Opportunity Global Property (PTY) LTD</t>
        </is>
      </c>
      <c r="B19541" s="4" t="n">
        <v>45352</v>
      </c>
      <c r="C19541" s="3" t="inlineStr">
        <is>
          <t>Liabilities</t>
        </is>
      </c>
      <c r="D19541" s="3" t="inlineStr">
        <is>
          <t>860</t>
        </is>
      </c>
      <c r="E19541" s="3" t="inlineStr">
        <is>
          <t>Rounding</t>
        </is>
      </c>
      <c r="F19541" s="3" t="n">
        <v>0</v>
      </c>
      <c r="G19541" s="3" t="n">
        <v>-0.99</v>
      </c>
    </row>
    <row r="19542">
      <c r="A19542" s="3" t="inlineStr">
        <is>
          <t>Opportunity Management Holdings (PTY) LTD</t>
        </is>
      </c>
      <c r="B19542" s="4" t="n">
        <v>45352</v>
      </c>
      <c r="C19542" s="3" t="inlineStr">
        <is>
          <t>Liabilities</t>
        </is>
      </c>
      <c r="D19542" s="3" t="inlineStr">
        <is>
          <t>860</t>
        </is>
      </c>
      <c r="E19542" s="3" t="inlineStr">
        <is>
          <t>Rounding</t>
        </is>
      </c>
      <c r="F19542" s="3" t="n">
        <v>0</v>
      </c>
      <c r="G19542" s="3" t="n">
        <v>-0.01</v>
      </c>
    </row>
    <row r="19543">
      <c r="A19543" s="3" t="inlineStr">
        <is>
          <t>Opportunity Private Capital (PTY) LTD</t>
        </is>
      </c>
      <c r="B19543" s="4" t="n">
        <v>45352</v>
      </c>
      <c r="C19543" s="3" t="inlineStr">
        <is>
          <t>Liabilities</t>
        </is>
      </c>
      <c r="D19543" s="3" t="inlineStr">
        <is>
          <t>860</t>
        </is>
      </c>
      <c r="E19543" s="3" t="inlineStr">
        <is>
          <t>Rounding</t>
        </is>
      </c>
      <c r="F19543" s="3" t="n">
        <v>0</v>
      </c>
      <c r="G19543" s="3" t="n">
        <v>-0.29</v>
      </c>
    </row>
    <row r="19544">
      <c r="A19544" s="3" t="inlineStr">
        <is>
          <t>Quinate Consulting (Pty) Ltd</t>
        </is>
      </c>
      <c r="B19544" s="4" t="n">
        <v>45352</v>
      </c>
      <c r="C19544" s="3" t="inlineStr">
        <is>
          <t>Liabilities</t>
        </is>
      </c>
      <c r="D19544" s="3" t="inlineStr">
        <is>
          <t>860</t>
        </is>
      </c>
      <c r="E19544" s="3" t="inlineStr">
        <is>
          <t>Rounding</t>
        </is>
      </c>
      <c r="F19544" s="3" t="n">
        <v>0.38</v>
      </c>
      <c r="G19544" s="3" t="n">
        <v>-5.64</v>
      </c>
    </row>
    <row r="19545">
      <c r="A19545" s="3" t="inlineStr">
        <is>
          <t>Trademark Holdings (Pty) Ltd</t>
        </is>
      </c>
      <c r="B19545" s="4" t="n">
        <v>45352</v>
      </c>
      <c r="C19545" s="3" t="inlineStr">
        <is>
          <t>Liabilities</t>
        </is>
      </c>
      <c r="D19545" s="3" t="inlineStr">
        <is>
          <t>860</t>
        </is>
      </c>
      <c r="E19545" s="3" t="inlineStr">
        <is>
          <t>Rounding</t>
        </is>
      </c>
      <c r="F19545" s="3" t="n">
        <v>0</v>
      </c>
      <c r="G19545" s="3" t="n">
        <v>0.2</v>
      </c>
    </row>
    <row r="19546">
      <c r="A19546" s="3" t="inlineStr">
        <is>
          <t>Endulini (Pty) Ltd</t>
        </is>
      </c>
      <c r="B19546" s="4" t="n">
        <v>45352</v>
      </c>
      <c r="C19546" s="3" t="inlineStr">
        <is>
          <t>Liabilities</t>
        </is>
      </c>
      <c r="D19546" s="3" t="inlineStr">
        <is>
          <t>9000/000</t>
        </is>
      </c>
      <c r="E19546" s="3" t="inlineStr">
        <is>
          <t>Supplier Control Account</t>
        </is>
      </c>
      <c r="F19546" s="3" t="n">
        <v>-1117.05</v>
      </c>
      <c r="G19546" s="3" t="n">
        <v>3930155.74</v>
      </c>
    </row>
    <row r="19547">
      <c r="A19547" s="3" t="inlineStr">
        <is>
          <t>Noble Shield (Pty) Ltd ta Go Letting</t>
        </is>
      </c>
      <c r="B19547" s="4" t="n">
        <v>45352</v>
      </c>
      <c r="C19547" s="3" t="inlineStr">
        <is>
          <t>Liabilities</t>
        </is>
      </c>
      <c r="D19547" s="3" t="inlineStr">
        <is>
          <t>9000/000</t>
        </is>
      </c>
      <c r="E19547" s="3" t="inlineStr">
        <is>
          <t>Supplier Control Account</t>
        </is>
      </c>
      <c r="F19547" s="3" t="n">
        <v>-5862.62</v>
      </c>
      <c r="G19547" s="3" t="n">
        <v>-32371.33</v>
      </c>
    </row>
    <row r="19548">
      <c r="A19548" s="3" t="inlineStr">
        <is>
          <t>Opportunity Global Property (PTY) LTD</t>
        </is>
      </c>
      <c r="B19548" s="4" t="n">
        <v>45352</v>
      </c>
      <c r="C19548" s="3" t="inlineStr">
        <is>
          <t>Liabilities</t>
        </is>
      </c>
      <c r="D19548" s="3" t="inlineStr">
        <is>
          <t>9000/000</t>
        </is>
      </c>
      <c r="E19548" s="3" t="inlineStr">
        <is>
          <t>Supplier Control Account</t>
        </is>
      </c>
      <c r="F19548" s="3" t="n">
        <v>-56619.51</v>
      </c>
      <c r="G19548" s="3" t="n">
        <v>-80814.07000000001</v>
      </c>
    </row>
    <row r="19549">
      <c r="A19549" s="3" t="inlineStr">
        <is>
          <t>Opportunity Management Holdings (PTY) LTD</t>
        </is>
      </c>
      <c r="B19549" s="4" t="n">
        <v>45352</v>
      </c>
      <c r="C19549" s="3" t="inlineStr">
        <is>
          <t>Liabilities</t>
        </is>
      </c>
      <c r="D19549" s="3" t="inlineStr">
        <is>
          <t>9000/000</t>
        </is>
      </c>
      <c r="E19549" s="3" t="inlineStr">
        <is>
          <t>Supplier Control Account</t>
        </is>
      </c>
      <c r="F19549" s="3" t="n">
        <v>-1840.95</v>
      </c>
      <c r="G19549" s="3" t="n">
        <v>-289382.95</v>
      </c>
    </row>
    <row r="19550">
      <c r="A19550" s="3" t="inlineStr">
        <is>
          <t>Opportunity Private Capital (PTY) LTD</t>
        </is>
      </c>
      <c r="B19550" s="4" t="n">
        <v>45352</v>
      </c>
      <c r="C19550" s="3" t="inlineStr">
        <is>
          <t>Liabilities</t>
        </is>
      </c>
      <c r="D19550" s="3" t="inlineStr">
        <is>
          <t>9000/000</t>
        </is>
      </c>
      <c r="E19550" s="3" t="inlineStr">
        <is>
          <t>Supplier Control Account</t>
        </is>
      </c>
      <c r="F19550" s="3" t="n">
        <v>-31626.6</v>
      </c>
      <c r="G19550" s="3" t="n">
        <v>-44178.76</v>
      </c>
    </row>
    <row r="19551">
      <c r="A19551" s="3" t="inlineStr">
        <is>
          <t>Quinate Consulting (Pty) Ltd</t>
        </is>
      </c>
      <c r="B19551" s="4" t="n">
        <v>45352</v>
      </c>
      <c r="C19551" s="3" t="inlineStr">
        <is>
          <t>Liabilities</t>
        </is>
      </c>
      <c r="D19551" s="3" t="inlineStr">
        <is>
          <t>9000/000</t>
        </is>
      </c>
      <c r="E19551" s="3" t="inlineStr">
        <is>
          <t>Supplier Control Account</t>
        </is>
      </c>
      <c r="F19551" s="3" t="n">
        <v>-18578.78</v>
      </c>
      <c r="G19551" s="3" t="n">
        <v>387757.32</v>
      </c>
    </row>
    <row r="19552">
      <c r="A19552" s="3" t="inlineStr">
        <is>
          <t>Trademark Holdings (Pty) Ltd</t>
        </is>
      </c>
      <c r="B19552" s="4" t="n">
        <v>45352</v>
      </c>
      <c r="C19552" s="3" t="inlineStr">
        <is>
          <t>Liabilities</t>
        </is>
      </c>
      <c r="D19552" s="3" t="inlineStr">
        <is>
          <t>9000/000</t>
        </is>
      </c>
      <c r="E19552" s="3" t="inlineStr">
        <is>
          <t>Supplier Control Account</t>
        </is>
      </c>
      <c r="F19552" s="3" t="n">
        <v>1677.26</v>
      </c>
      <c r="G19552" s="3" t="n">
        <v>-14543.03</v>
      </c>
    </row>
    <row r="19553">
      <c r="A19553" s="3" t="inlineStr">
        <is>
          <t>Quinate Consulting (Pty) Ltd</t>
        </is>
      </c>
      <c r="B19553" s="4" t="n">
        <v>45352</v>
      </c>
      <c r="C19553" s="3" t="inlineStr">
        <is>
          <t>Liabilities</t>
        </is>
      </c>
      <c r="D19553" s="3" t="inlineStr">
        <is>
          <t>9001</t>
        </is>
      </c>
      <c r="E19553" s="3" t="inlineStr">
        <is>
          <t>Supplier Control</t>
        </is>
      </c>
      <c r="F19553" s="3" t="n">
        <v>0</v>
      </c>
      <c r="G19553" s="3" t="n">
        <v>-347315.41</v>
      </c>
    </row>
    <row r="19554">
      <c r="A19554" s="3" t="inlineStr">
        <is>
          <t>Opportunity Management Holdings (PTY) LTD</t>
        </is>
      </c>
      <c r="B19554" s="4" t="n">
        <v>45352</v>
      </c>
      <c r="C19554" s="3" t="inlineStr">
        <is>
          <t>Liabilities</t>
        </is>
      </c>
      <c r="D19554" s="3" t="inlineStr">
        <is>
          <t>9100/000</t>
        </is>
      </c>
      <c r="E19554" s="3" t="inlineStr">
        <is>
          <t>PAYE/UIF/SDL Accrual - Prior Years ADJ</t>
        </is>
      </c>
      <c r="F19554" s="3" t="n">
        <v>0</v>
      </c>
      <c r="G19554" s="3" t="n">
        <v>-33739.36</v>
      </c>
    </row>
    <row r="19555">
      <c r="A19555" s="3" t="inlineStr">
        <is>
          <t>Opportunity Management Holdings (PTY) LTD</t>
        </is>
      </c>
      <c r="B19555" s="4" t="n">
        <v>45352</v>
      </c>
      <c r="C19555" s="3" t="inlineStr">
        <is>
          <t>Assets</t>
        </is>
      </c>
      <c r="D19555" s="3" t="inlineStr">
        <is>
          <t>9110/000</t>
        </is>
      </c>
      <c r="E19555" s="3" t="inlineStr">
        <is>
          <t>Deposit Received</t>
        </is>
      </c>
      <c r="F19555" s="3" t="n">
        <v>0</v>
      </c>
      <c r="G19555" s="3" t="n">
        <v>-3852.5</v>
      </c>
    </row>
    <row r="19556">
      <c r="A19556" s="3" t="inlineStr">
        <is>
          <t>Opportunity Private Capital (PTY) LTD</t>
        </is>
      </c>
      <c r="B19556" s="4" t="n">
        <v>45352</v>
      </c>
      <c r="C19556" s="3" t="inlineStr">
        <is>
          <t>Liabilities</t>
        </is>
      </c>
      <c r="D19556" s="3" t="inlineStr">
        <is>
          <t>9110/000</t>
        </is>
      </c>
      <c r="E19556" s="3" t="inlineStr">
        <is>
          <t>Taxation B/S</t>
        </is>
      </c>
      <c r="F19556" s="3" t="n">
        <v>0</v>
      </c>
      <c r="G19556" s="3" t="n">
        <v>97277.99000000001</v>
      </c>
    </row>
    <row r="19557">
      <c r="A19557" s="3" t="inlineStr">
        <is>
          <t>Noble Shield (Pty) Ltd ta Go Letting</t>
        </is>
      </c>
      <c r="B19557" s="4" t="n">
        <v>45352</v>
      </c>
      <c r="C19557" s="3" t="inlineStr">
        <is>
          <t>Liabilities</t>
        </is>
      </c>
      <c r="D19557" s="3" t="inlineStr">
        <is>
          <t>9250/010</t>
        </is>
      </c>
      <c r="E19557" s="3" t="inlineStr">
        <is>
          <t>SALARY CONTROL</t>
        </is>
      </c>
      <c r="F19557" s="3" t="n">
        <v>18555.63</v>
      </c>
      <c r="G19557" s="3" t="n">
        <v>0</v>
      </c>
    </row>
    <row r="19558">
      <c r="A19558" s="3" t="inlineStr">
        <is>
          <t>Opportunity Global Property (PTY) LTD</t>
        </is>
      </c>
      <c r="B19558" s="4" t="n">
        <v>45352</v>
      </c>
      <c r="C19558" s="3" t="inlineStr">
        <is>
          <t>Liabilities</t>
        </is>
      </c>
      <c r="D19558" s="3" t="inlineStr">
        <is>
          <t>9250/010</t>
        </is>
      </c>
      <c r="E19558" s="3" t="inlineStr">
        <is>
          <t>SALARY CONTROL</t>
        </is>
      </c>
      <c r="F19558" s="3" t="n">
        <v>13913.04</v>
      </c>
      <c r="G19558" s="3" t="n">
        <v>6339.64</v>
      </c>
    </row>
    <row r="19559">
      <c r="A19559" s="3" t="inlineStr">
        <is>
          <t>Trademark Holdings (Pty) Ltd</t>
        </is>
      </c>
      <c r="B19559" s="4" t="n">
        <v>45352</v>
      </c>
      <c r="C19559" s="3" t="inlineStr">
        <is>
          <t>Liabilities</t>
        </is>
      </c>
      <c r="D19559" s="3" t="inlineStr">
        <is>
          <t>9250/010</t>
        </is>
      </c>
      <c r="E19559" s="3" t="inlineStr">
        <is>
          <t>SALARY CONTROL</t>
        </is>
      </c>
      <c r="F19559" s="3" t="n">
        <v>20203.41</v>
      </c>
      <c r="G19559" s="3" t="n">
        <v>-2.55</v>
      </c>
    </row>
    <row r="19560">
      <c r="A19560" s="3" t="inlineStr">
        <is>
          <t>Noble Shield (Pty) Ltd ta Go Letting</t>
        </is>
      </c>
      <c r="B19560" s="4" t="n">
        <v>45352</v>
      </c>
      <c r="C19560" s="3" t="inlineStr">
        <is>
          <t>Liabilities</t>
        </is>
      </c>
      <c r="D19560" s="3" t="inlineStr">
        <is>
          <t>9250/020</t>
        </is>
      </c>
      <c r="E19560" s="3" t="inlineStr">
        <is>
          <t>PAYE, UIF AND SDL CONTROL</t>
        </is>
      </c>
      <c r="F19560" s="3" t="n">
        <v>0</v>
      </c>
      <c r="G19560" s="3" t="n">
        <v>-6544.75</v>
      </c>
    </row>
    <row r="19561">
      <c r="A19561" s="3" t="inlineStr">
        <is>
          <t>Opportunity Management Holdings (PTY) LTD</t>
        </is>
      </c>
      <c r="B19561" s="4" t="n">
        <v>45352</v>
      </c>
      <c r="C19561" s="3" t="inlineStr">
        <is>
          <t>Liabilities</t>
        </is>
      </c>
      <c r="D19561" s="3" t="inlineStr">
        <is>
          <t>9250/020</t>
        </is>
      </c>
      <c r="E19561" s="3" t="inlineStr">
        <is>
          <t>PAYE, UIF AND SDL CONTROL</t>
        </is>
      </c>
      <c r="F19561" s="3" t="n">
        <v>0</v>
      </c>
      <c r="G19561" s="3" t="n">
        <v>-44608.39</v>
      </c>
    </row>
    <row r="19562">
      <c r="A19562" s="3" t="inlineStr">
        <is>
          <t>Opportunity Private Capital (PTY) LTD</t>
        </is>
      </c>
      <c r="B19562" s="4" t="n">
        <v>45352</v>
      </c>
      <c r="C19562" s="3" t="inlineStr">
        <is>
          <t>Liabilities</t>
        </is>
      </c>
      <c r="D19562" s="3" t="inlineStr">
        <is>
          <t>9250/020</t>
        </is>
      </c>
      <c r="E19562" s="3" t="inlineStr">
        <is>
          <t>PAYE, UIF AND SDL CONTROL</t>
        </is>
      </c>
      <c r="F19562" s="3" t="n">
        <v>0</v>
      </c>
      <c r="G19562" s="3" t="n">
        <v>-85802.27</v>
      </c>
    </row>
    <row r="19563">
      <c r="A19563" s="3" t="inlineStr">
        <is>
          <t>Quinate Consulting (Pty) Ltd</t>
        </is>
      </c>
      <c r="B19563" s="4" t="n">
        <v>45352</v>
      </c>
      <c r="C19563" s="3" t="inlineStr">
        <is>
          <t>Liabilities</t>
        </is>
      </c>
      <c r="D19563" s="3" t="inlineStr">
        <is>
          <t>9250/020</t>
        </is>
      </c>
      <c r="E19563" s="3" t="inlineStr">
        <is>
          <t>PAYE, UIF AND SDL CONTROL</t>
        </is>
      </c>
      <c r="F19563" s="3" t="n">
        <v>0</v>
      </c>
      <c r="G19563" s="3" t="n">
        <v>-10759.36</v>
      </c>
    </row>
    <row r="19564">
      <c r="A19564" s="3" t="inlineStr">
        <is>
          <t>Trademark Holdings (Pty) Ltd</t>
        </is>
      </c>
      <c r="B19564" s="4" t="n">
        <v>45352</v>
      </c>
      <c r="C19564" s="3" t="inlineStr">
        <is>
          <t>Liabilities</t>
        </is>
      </c>
      <c r="D19564" s="3" t="inlineStr">
        <is>
          <t>9250/020</t>
        </is>
      </c>
      <c r="E19564" s="3" t="inlineStr">
        <is>
          <t>PAYE, UIF AND SDL CONTROL</t>
        </is>
      </c>
      <c r="F19564" s="3" t="n">
        <v>0</v>
      </c>
      <c r="G19564" s="3" t="n">
        <v>-11081.92</v>
      </c>
    </row>
    <row r="19565">
      <c r="A19565" s="3" t="inlineStr">
        <is>
          <t>Opportunity Management Holdings (PTY) LTD</t>
        </is>
      </c>
      <c r="B19565" s="4" t="n">
        <v>45352</v>
      </c>
      <c r="C19565" s="3" t="inlineStr">
        <is>
          <t>Liabilities</t>
        </is>
      </c>
      <c r="D19565" s="3" t="inlineStr">
        <is>
          <t>9300/000</t>
        </is>
      </c>
      <c r="E19565" s="3" t="inlineStr">
        <is>
          <t>Taxation Payable B/S</t>
        </is>
      </c>
      <c r="F19565" s="3" t="n">
        <v>0</v>
      </c>
      <c r="G19565" s="3" t="n">
        <v>89955.09</v>
      </c>
    </row>
    <row r="19566">
      <c r="A19566" s="3" t="inlineStr">
        <is>
          <t>Opportunity Private Capital (PTY) LTD</t>
        </is>
      </c>
      <c r="B19566" s="4" t="n">
        <v>45352</v>
      </c>
      <c r="C19566" s="3" t="inlineStr">
        <is>
          <t>Liabilities</t>
        </is>
      </c>
      <c r="D19566" s="3" t="inlineStr">
        <is>
          <t>9400/030</t>
        </is>
      </c>
      <c r="E19566" s="3" t="inlineStr">
        <is>
          <t>Accrued Expenses - PAYE_AND_UIF</t>
        </is>
      </c>
      <c r="F19566" s="3" t="n">
        <v>0</v>
      </c>
      <c r="G19566" s="3" t="n">
        <v>-2</v>
      </c>
    </row>
    <row r="19567">
      <c r="A19567" s="3" t="inlineStr">
        <is>
          <t>Trademark Holdings (Pty) Ltd</t>
        </is>
      </c>
      <c r="B19567" s="4" t="n">
        <v>45352</v>
      </c>
      <c r="C19567" s="3" t="inlineStr">
        <is>
          <t>Liabilities</t>
        </is>
      </c>
      <c r="D19567" s="3" t="inlineStr">
        <is>
          <t>9400/400</t>
        </is>
      </c>
      <c r="E19567" s="3" t="inlineStr">
        <is>
          <t>Deemed Dividend Tax</t>
        </is>
      </c>
      <c r="F19567" s="3" t="n">
        <v>0</v>
      </c>
      <c r="G19567" s="3" t="n">
        <v>-699.13</v>
      </c>
    </row>
    <row r="19568">
      <c r="A19568" s="3" t="inlineStr">
        <is>
          <t>Opportunity Global Property (PTY) LTD</t>
        </is>
      </c>
      <c r="B19568" s="4" t="n">
        <v>45352</v>
      </c>
      <c r="C19568" s="3" t="inlineStr">
        <is>
          <t>Liabilities</t>
        </is>
      </c>
      <c r="D19568" s="3" t="inlineStr">
        <is>
          <t>9500/000</t>
        </is>
      </c>
      <c r="E19568" s="3" t="inlineStr">
        <is>
          <t>VAT Control Account</t>
        </is>
      </c>
      <c r="F19568" s="3" t="n">
        <v>3359.09</v>
      </c>
      <c r="G19568" s="3" t="n">
        <v>-1283144.56</v>
      </c>
    </row>
    <row r="19569">
      <c r="A19569" s="3" t="inlineStr">
        <is>
          <t>Opportunity Management Holdings (PTY) LTD</t>
        </is>
      </c>
      <c r="B19569" s="4" t="n">
        <v>45352</v>
      </c>
      <c r="C19569" s="3" t="inlineStr">
        <is>
          <t>Liabilities</t>
        </is>
      </c>
      <c r="D19569" s="3" t="inlineStr">
        <is>
          <t>9500/000</t>
        </is>
      </c>
      <c r="E19569" s="3" t="inlineStr">
        <is>
          <t>VAT Control Account</t>
        </is>
      </c>
      <c r="F19569" s="3" t="n">
        <v>863.8200000000001</v>
      </c>
      <c r="G19569" s="3" t="n">
        <v>53593.04</v>
      </c>
    </row>
    <row r="19570">
      <c r="A19570" s="3" t="inlineStr">
        <is>
          <t>Opportunity Private Capital (PTY) LTD</t>
        </is>
      </c>
      <c r="B19570" s="4" t="n">
        <v>45352</v>
      </c>
      <c r="C19570" s="3" t="inlineStr">
        <is>
          <t>Liabilities</t>
        </is>
      </c>
      <c r="D19570" s="3" t="inlineStr">
        <is>
          <t>9500/000</t>
        </is>
      </c>
      <c r="E19570" s="3" t="inlineStr">
        <is>
          <t>VAT Control Account</t>
        </is>
      </c>
      <c r="F19570" s="3" t="n">
        <v>758.98</v>
      </c>
      <c r="G19570" s="3" t="n">
        <v>1161774.44</v>
      </c>
    </row>
    <row r="19571">
      <c r="A19571" s="3" t="inlineStr">
        <is>
          <t>Endulini (Pty) Ltd</t>
        </is>
      </c>
      <c r="B19571" s="4" t="n">
        <v>45352</v>
      </c>
      <c r="C19571" s="3" t="inlineStr">
        <is>
          <t>Liabilities</t>
        </is>
      </c>
      <c r="D19571" s="3" t="inlineStr">
        <is>
          <t>9500/000</t>
        </is>
      </c>
      <c r="E19571" s="3" t="inlineStr">
        <is>
          <t>Vat / Tax Control Account</t>
        </is>
      </c>
      <c r="F19571" s="3" t="n">
        <v>0</v>
      </c>
      <c r="G19571" s="3" t="n">
        <v>-3446451.92</v>
      </c>
    </row>
    <row r="19572">
      <c r="A19572" s="3" t="inlineStr">
        <is>
          <t>Noble Shield (Pty) Ltd ta Go Letting</t>
        </is>
      </c>
      <c r="B19572" s="4" t="n">
        <v>45352</v>
      </c>
      <c r="C19572" s="3" t="inlineStr">
        <is>
          <t>Liabilities</t>
        </is>
      </c>
      <c r="D19572" s="3" t="inlineStr">
        <is>
          <t>9500/000</t>
        </is>
      </c>
      <c r="E19572" s="3" t="inlineStr">
        <is>
          <t>Vat / Tax Control Account</t>
        </is>
      </c>
      <c r="F19572" s="3" t="n">
        <v>0</v>
      </c>
      <c r="G19572" s="3" t="n">
        <v>2461.52</v>
      </c>
    </row>
    <row r="19573">
      <c r="A19573" s="3" t="inlineStr">
        <is>
          <t>Quinate Consulting (Pty) Ltd</t>
        </is>
      </c>
      <c r="B19573" s="4" t="n">
        <v>45352</v>
      </c>
      <c r="C19573" s="3" t="inlineStr">
        <is>
          <t>Liabilities</t>
        </is>
      </c>
      <c r="D19573" s="3" t="inlineStr">
        <is>
          <t>9500/000</t>
        </is>
      </c>
      <c r="E19573" s="3" t="inlineStr">
        <is>
          <t>Vat Control Account</t>
        </is>
      </c>
      <c r="F19573" s="3" t="n">
        <v>-1918.73</v>
      </c>
      <c r="G19573" s="3" t="n">
        <v>3229588.25</v>
      </c>
    </row>
    <row r="19574">
      <c r="A19574" s="3" t="inlineStr">
        <is>
          <t>Opportunity Management Holdings (PTY) LTD</t>
        </is>
      </c>
      <c r="B19574" s="4" t="n">
        <v>45352</v>
      </c>
      <c r="C19574" s="3" t="inlineStr">
        <is>
          <t>Liabilities</t>
        </is>
      </c>
      <c r="D19574" s="3" t="inlineStr">
        <is>
          <t>9501/000</t>
        </is>
      </c>
      <c r="E19574" s="3" t="inlineStr">
        <is>
          <t>Vat Adjustments - C2M</t>
        </is>
      </c>
      <c r="F19574" s="3" t="n">
        <v>0</v>
      </c>
      <c r="G19574" s="3" t="n">
        <v>47274.04</v>
      </c>
    </row>
    <row r="19575">
      <c r="A19575" s="3" t="inlineStr">
        <is>
          <t>Endulini (Pty) Ltd</t>
        </is>
      </c>
      <c r="B19575" s="4" t="n">
        <v>45352</v>
      </c>
      <c r="C19575" s="3" t="inlineStr">
        <is>
          <t>Liabilities</t>
        </is>
      </c>
      <c r="D19575" s="3" t="inlineStr">
        <is>
          <t>9899/A202</t>
        </is>
      </c>
      <c r="E19575" s="3" t="inlineStr">
        <is>
          <t>Sales - Unit Reg Control A202</t>
        </is>
      </c>
      <c r="F19575" s="3" t="n">
        <v>0</v>
      </c>
      <c r="G19575" s="3" t="n">
        <v>-1086734.26</v>
      </c>
    </row>
    <row r="19576">
      <c r="A19576" s="3" t="inlineStr">
        <is>
          <t>Endulini (Pty) Ltd</t>
        </is>
      </c>
      <c r="B19576" s="4" t="n">
        <v>45352</v>
      </c>
      <c r="C19576" s="3" t="inlineStr">
        <is>
          <t>Liabilities</t>
        </is>
      </c>
      <c r="D19576" s="3" t="inlineStr">
        <is>
          <t>9899/A209</t>
        </is>
      </c>
      <c r="E19576" s="3" t="inlineStr">
        <is>
          <t>Sales - Unit Reg Control A209</t>
        </is>
      </c>
      <c r="F19576" s="3" t="n">
        <v>0</v>
      </c>
      <c r="G19576" s="3" t="n">
        <v>-1218800.14</v>
      </c>
    </row>
    <row r="19577">
      <c r="A19577" s="3" t="inlineStr">
        <is>
          <t>Endulini (Pty) Ltd</t>
        </is>
      </c>
      <c r="B19577" s="4" t="n">
        <v>45352</v>
      </c>
      <c r="C19577" s="3" t="inlineStr">
        <is>
          <t>Liabilities</t>
        </is>
      </c>
      <c r="D19577" s="3" t="inlineStr">
        <is>
          <t>9899/B203</t>
        </is>
      </c>
      <c r="E19577" s="3" t="inlineStr">
        <is>
          <t>Sales - Unit Reg Control B203</t>
        </is>
      </c>
      <c r="F19577" s="3" t="n">
        <v>0</v>
      </c>
      <c r="G19577" s="3" t="n">
        <v>-1179884.01</v>
      </c>
    </row>
    <row r="19578">
      <c r="A19578" s="3" t="inlineStr">
        <is>
          <t>Endulini (Pty) Ltd</t>
        </is>
      </c>
      <c r="B19578" s="4" t="n">
        <v>45352</v>
      </c>
      <c r="C19578" s="3" t="inlineStr">
        <is>
          <t>Liabilities</t>
        </is>
      </c>
      <c r="D19578" s="3" t="inlineStr">
        <is>
          <t>9899/C302</t>
        </is>
      </c>
      <c r="E19578" s="3" t="inlineStr">
        <is>
          <t>Sales - Unit Reg Control C302</t>
        </is>
      </c>
      <c r="F19578" s="3" t="n">
        <v>0</v>
      </c>
      <c r="G19578" s="3" t="n">
        <v>-1253795.14</v>
      </c>
    </row>
    <row r="19579">
      <c r="A19579" s="3" t="inlineStr">
        <is>
          <t>Quinate Consulting (Pty) Ltd</t>
        </is>
      </c>
      <c r="B19579" s="4" t="n">
        <v>45352</v>
      </c>
      <c r="C19579" s="3" t="inlineStr">
        <is>
          <t>Liabilities</t>
        </is>
      </c>
      <c r="D19579" s="3" t="inlineStr">
        <is>
          <t>9960/000</t>
        </is>
      </c>
      <c r="E19579" s="3" t="inlineStr">
        <is>
          <t>Deposits - Southwark Rentals</t>
        </is>
      </c>
      <c r="F19579" s="3" t="n">
        <v>0</v>
      </c>
      <c r="G19579" s="3" t="n">
        <v>-23000</v>
      </c>
    </row>
    <row r="19580">
      <c r="A19580" s="3" t="inlineStr">
        <is>
          <t>Noble Shield (Pty) Ltd ta Go Letting</t>
        </is>
      </c>
      <c r="B19580" s="4" t="n">
        <v>45352</v>
      </c>
      <c r="C19580" s="3" t="inlineStr">
        <is>
          <t>Expenses</t>
        </is>
      </c>
      <c r="D19580" s="3" t="inlineStr">
        <is>
          <t>ACB Link</t>
        </is>
      </c>
      <c r="E19580" s="3" t="inlineStr">
        <is>
          <t>Subscriptions - TPN</t>
        </is>
      </c>
      <c r="F19580" s="3" t="n">
        <v>2225.25</v>
      </c>
      <c r="G19580" s="3" t="n">
        <v>17099.94</v>
      </c>
    </row>
    <row r="19581">
      <c r="A19581" s="3" t="inlineStr">
        <is>
          <t>Trademark Holdings (Pty) Ltd</t>
        </is>
      </c>
      <c r="B19581" s="4" t="n">
        <v>45352</v>
      </c>
      <c r="C19581" s="3" t="inlineStr">
        <is>
          <t>Liabilities</t>
        </is>
      </c>
      <c r="D19581" s="3" t="inlineStr">
        <is>
          <t>B/S</t>
        </is>
      </c>
      <c r="E19581" s="3" t="inlineStr">
        <is>
          <t>Taxation Payable</t>
        </is>
      </c>
      <c r="F19581" s="3" t="n">
        <v>0</v>
      </c>
      <c r="G19581" s="3" t="n">
        <v>1722</v>
      </c>
    </row>
    <row r="19582">
      <c r="A19582" s="3" t="inlineStr">
        <is>
          <t>Quinate Consulting (Pty) Ltd</t>
        </is>
      </c>
      <c r="B19582" s="4" t="n">
        <v>45352</v>
      </c>
      <c r="C19582" s="3" t="inlineStr">
        <is>
          <t>Liabilities</t>
        </is>
      </c>
      <c r="D19582" s="3" t="inlineStr">
        <is>
          <t xml:space="preserve">B/S </t>
        </is>
      </c>
      <c r="E19582" s="3" t="inlineStr">
        <is>
          <t>Taxation Payable</t>
        </is>
      </c>
      <c r="F19582" s="3" t="n">
        <v>0</v>
      </c>
      <c r="G19582" s="3" t="n">
        <v>-15486</v>
      </c>
    </row>
    <row r="19583">
      <c r="A19583" s="3" t="inlineStr">
        <is>
          <t>Quinate Consulting (Pty) Ltd</t>
        </is>
      </c>
      <c r="B19583" s="4" t="n">
        <v>45352</v>
      </c>
      <c r="C19583" s="3" t="inlineStr">
        <is>
          <t>Liabilities</t>
        </is>
      </c>
      <c r="D19583" s="3" t="inlineStr">
        <is>
          <t>FV</t>
        </is>
      </c>
      <c r="E19583" s="3" t="inlineStr">
        <is>
          <t>Loan - Cape Projects Constuction</t>
        </is>
      </c>
      <c r="F19583" s="3" t="n">
        <v>0</v>
      </c>
      <c r="G19583" s="3" t="n">
        <v>-6333763.77</v>
      </c>
    </row>
    <row r="19584">
      <c r="A19584" s="3" t="inlineStr">
        <is>
          <t>Opportunity Global Property (PTY) LTD</t>
        </is>
      </c>
      <c r="B19584" s="4" t="n">
        <v>45382</v>
      </c>
      <c r="C19584" s="3" t="inlineStr">
        <is>
          <t>Revenue</t>
        </is>
      </c>
      <c r="D19584" s="3" t="inlineStr">
        <is>
          <t>1000/009</t>
        </is>
      </c>
      <c r="E19584" s="3" t="inlineStr">
        <is>
          <t>Sales - Comm on Payprop</t>
        </is>
      </c>
      <c r="F19584" s="3" t="n">
        <v>-13428.08</v>
      </c>
      <c r="G19584" s="3" t="n">
        <v>-13428.08</v>
      </c>
    </row>
    <row r="19585">
      <c r="A19585" s="3" t="inlineStr">
        <is>
          <t>Opportunity Private Capital Sales (PTY) LTD</t>
        </is>
      </c>
      <c r="B19585" s="4" t="n">
        <v>45382</v>
      </c>
      <c r="C19585" s="3" t="inlineStr">
        <is>
          <t>Revenue</t>
        </is>
      </c>
      <c r="D19585" s="3" t="inlineStr">
        <is>
          <t>1000/009</t>
        </is>
      </c>
      <c r="E19585" s="3" t="inlineStr">
        <is>
          <t>Sales - Comm on Payprop</t>
        </is>
      </c>
      <c r="F19585" s="3" t="n">
        <v>-13428.08</v>
      </c>
      <c r="G19585" s="3" t="n">
        <v>-13428.08</v>
      </c>
    </row>
    <row r="19586">
      <c r="A19586" s="3" t="inlineStr">
        <is>
          <t>Quinate Consulting (Pty) Ltd</t>
        </is>
      </c>
      <c r="B19586" s="4" t="n">
        <v>45382</v>
      </c>
      <c r="C19586" s="3" t="inlineStr">
        <is>
          <t>Revenue</t>
        </is>
      </c>
      <c r="D19586" s="3" t="inlineStr">
        <is>
          <t>1000/011</t>
        </is>
      </c>
      <c r="E19586" s="3" t="inlineStr">
        <is>
          <t>Rent Received - Soho Unit 23</t>
        </is>
      </c>
      <c r="F19586" s="3" t="n">
        <v>-12500</v>
      </c>
      <c r="G19586" s="3" t="n">
        <v>-12500</v>
      </c>
    </row>
    <row r="19587">
      <c r="A19587" s="3" t="inlineStr">
        <is>
          <t>Quinate Consulting (Pty) Ltd</t>
        </is>
      </c>
      <c r="B19587" s="4" t="n">
        <v>45382</v>
      </c>
      <c r="C19587" s="3" t="inlineStr">
        <is>
          <t>Revenue</t>
        </is>
      </c>
      <c r="D19587" s="3" t="inlineStr">
        <is>
          <t>1000/012</t>
        </is>
      </c>
      <c r="E19587" s="3" t="inlineStr">
        <is>
          <t>Rent Received - Soho Unit 24</t>
        </is>
      </c>
      <c r="F19587" s="3" t="n">
        <v>-13565.22</v>
      </c>
      <c r="G19587" s="3" t="n">
        <v>-13565.22</v>
      </c>
    </row>
    <row r="19588">
      <c r="A19588" s="3" t="inlineStr">
        <is>
          <t>Quinate Consulting (Pty) Ltd</t>
        </is>
      </c>
      <c r="B19588" s="4" t="n">
        <v>45382</v>
      </c>
      <c r="C19588" s="3" t="inlineStr">
        <is>
          <t>Revenue</t>
        </is>
      </c>
      <c r="D19588" s="3" t="inlineStr">
        <is>
          <t>1000/013</t>
        </is>
      </c>
      <c r="E19588" s="3" t="inlineStr">
        <is>
          <t>Rent Recieved - Soho Unit 20</t>
        </is>
      </c>
      <c r="F19588" s="3" t="n">
        <v>-13750</v>
      </c>
      <c r="G19588" s="3" t="n">
        <v>-13750</v>
      </c>
    </row>
    <row r="19589">
      <c r="A19589" s="3" t="inlineStr">
        <is>
          <t>Quinate Consulting (Pty) Ltd</t>
        </is>
      </c>
      <c r="B19589" s="4" t="n">
        <v>45382</v>
      </c>
      <c r="C19589" s="3" t="inlineStr">
        <is>
          <t>Revenue</t>
        </is>
      </c>
      <c r="D19589" s="3" t="inlineStr">
        <is>
          <t>1000/016</t>
        </is>
      </c>
      <c r="E19589" s="3" t="inlineStr">
        <is>
          <t>Rent Recieved - Southwark Unit 21</t>
        </is>
      </c>
      <c r="F19589" s="3" t="n">
        <v>-11000</v>
      </c>
      <c r="G19589" s="3" t="n">
        <v>-11000</v>
      </c>
    </row>
    <row r="19590">
      <c r="A19590" s="3" t="inlineStr">
        <is>
          <t>Quinate Consulting (Pty) Ltd</t>
        </is>
      </c>
      <c r="B19590" s="4" t="n">
        <v>45382</v>
      </c>
      <c r="C19590" s="3" t="inlineStr">
        <is>
          <t>Revenue</t>
        </is>
      </c>
      <c r="D19590" s="3" t="inlineStr">
        <is>
          <t>1000/060</t>
        </is>
      </c>
      <c r="E19590" s="3" t="inlineStr">
        <is>
          <t>Fees - Electricity _AND_ Water</t>
        </is>
      </c>
      <c r="F19590" s="3" t="n">
        <v>-9</v>
      </c>
      <c r="G19590" s="3" t="n">
        <v>-9</v>
      </c>
    </row>
    <row r="19591">
      <c r="A19591" s="3" t="inlineStr">
        <is>
          <t>Noble Shield (Pty) Ltd ta Go Letting</t>
        </is>
      </c>
      <c r="B19591" s="4" t="n">
        <v>45382</v>
      </c>
      <c r="C19591" s="3" t="inlineStr">
        <is>
          <t>Revenue</t>
        </is>
      </c>
      <c r="D19591" s="3" t="inlineStr">
        <is>
          <t>1000/100</t>
        </is>
      </c>
      <c r="E19591" s="3" t="inlineStr">
        <is>
          <t>Sales - Payprop 328 - Michelle</t>
        </is>
      </c>
      <c r="F19591" s="3" t="n">
        <v>-83777.88</v>
      </c>
      <c r="G19591" s="3" t="n">
        <v>-699840.89</v>
      </c>
    </row>
    <row r="19592">
      <c r="A19592" s="3" t="inlineStr">
        <is>
          <t>Opportunity Global Property (PTY) LTD</t>
        </is>
      </c>
      <c r="B19592" s="4" t="n">
        <v>45382</v>
      </c>
      <c r="C19592" s="3" t="inlineStr">
        <is>
          <t>Revenue</t>
        </is>
      </c>
      <c r="D19592" s="3" t="inlineStr">
        <is>
          <t>1000/120</t>
        </is>
      </c>
      <c r="E19592" s="3" t="inlineStr">
        <is>
          <t>Sales - Admin Fees on Rental Units</t>
        </is>
      </c>
      <c r="F19592" s="3" t="n">
        <v>-14695.69</v>
      </c>
      <c r="G19592" s="3" t="n">
        <v>-14695.69</v>
      </c>
    </row>
    <row r="19593">
      <c r="A19593" s="3" t="inlineStr">
        <is>
          <t>Opportunity Private Capital Sales (PTY) LTD</t>
        </is>
      </c>
      <c r="B19593" s="4" t="n">
        <v>45382</v>
      </c>
      <c r="C19593" s="3" t="inlineStr">
        <is>
          <t>Revenue</t>
        </is>
      </c>
      <c r="D19593" s="3" t="inlineStr">
        <is>
          <t>1000/120</t>
        </is>
      </c>
      <c r="E19593" s="3" t="inlineStr">
        <is>
          <t>Sales - Admin Fees on Rental Units</t>
        </is>
      </c>
      <c r="F19593" s="3" t="n">
        <v>-15565.26</v>
      </c>
      <c r="G19593" s="3" t="n">
        <v>-15565.26</v>
      </c>
    </row>
    <row r="19594">
      <c r="A19594" s="3" t="inlineStr">
        <is>
          <t>Opportunity Global Property (PTY) LTD</t>
        </is>
      </c>
      <c r="B19594" s="4" t="n">
        <v>45382</v>
      </c>
      <c r="C19594" s="3" t="inlineStr">
        <is>
          <t>Expenses</t>
        </is>
      </c>
      <c r="D19594" s="3" t="inlineStr">
        <is>
          <t>1000/139</t>
        </is>
      </c>
      <c r="E19594" s="3" t="inlineStr">
        <is>
          <t>Sales - Rental comm - External</t>
        </is>
      </c>
      <c r="F19594" s="3" t="n">
        <v>5000</v>
      </c>
      <c r="G19594" s="3" t="n">
        <v>5000</v>
      </c>
    </row>
    <row r="19595">
      <c r="A19595" s="3" t="inlineStr">
        <is>
          <t>Opportunity Global Property (PTY) LTD</t>
        </is>
      </c>
      <c r="B19595" s="4" t="n">
        <v>45382</v>
      </c>
      <c r="C19595" s="3" t="inlineStr">
        <is>
          <t>Revenue</t>
        </is>
      </c>
      <c r="D19595" s="3" t="inlineStr">
        <is>
          <t>1000/150</t>
        </is>
      </c>
      <c r="E19595" s="3" t="inlineStr">
        <is>
          <t>Sales - Comm on External Rental</t>
        </is>
      </c>
      <c r="F19595" s="3" t="n">
        <v>-86086.96000000001</v>
      </c>
      <c r="G19595" s="3" t="n">
        <v>-86086.96000000001</v>
      </c>
    </row>
    <row r="19596">
      <c r="A19596" s="3" t="inlineStr">
        <is>
          <t>Opportunity Private Capital Sales (PTY) LTD</t>
        </is>
      </c>
      <c r="B19596" s="4" t="n">
        <v>45382</v>
      </c>
      <c r="C19596" s="3" t="inlineStr">
        <is>
          <t>Revenue</t>
        </is>
      </c>
      <c r="D19596" s="3" t="inlineStr">
        <is>
          <t>1000/150</t>
        </is>
      </c>
      <c r="E19596" s="3" t="inlineStr">
        <is>
          <t>Sales - Comm on External Rental</t>
        </is>
      </c>
      <c r="F19596" s="3" t="n">
        <v>-86086.96000000001</v>
      </c>
      <c r="G19596" s="3" t="n">
        <v>-86086.96000000001</v>
      </c>
    </row>
    <row r="19597">
      <c r="A19597" s="3" t="inlineStr">
        <is>
          <t>Trademark Holdings (Pty) Ltd</t>
        </is>
      </c>
      <c r="B19597" s="4" t="n">
        <v>45382</v>
      </c>
      <c r="C19597" s="3" t="inlineStr">
        <is>
          <t>Revenue</t>
        </is>
      </c>
      <c r="D19597" s="3" t="inlineStr">
        <is>
          <t>1000/300</t>
        </is>
      </c>
      <c r="E19597" s="3" t="inlineStr">
        <is>
          <t>Sales - Payprop - Lara</t>
        </is>
      </c>
      <c r="F19597" s="3" t="n">
        <v>-88048.99000000001</v>
      </c>
      <c r="G19597" s="3" t="n">
        <v>-764919.72</v>
      </c>
    </row>
    <row r="19598">
      <c r="A19598" s="3" t="inlineStr">
        <is>
          <t>Opportunity Private Capital (PTY) LTD</t>
        </is>
      </c>
      <c r="B19598" s="4" t="n">
        <v>45382</v>
      </c>
      <c r="C19598" s="3" t="inlineStr">
        <is>
          <t>Revenue</t>
        </is>
      </c>
      <c r="D19598" s="3" t="inlineStr">
        <is>
          <t>1000/370</t>
        </is>
      </c>
      <c r="E19598" s="3" t="inlineStr">
        <is>
          <t>Sales - Investor Management - Purple Blok</t>
        </is>
      </c>
      <c r="F19598" s="3" t="n">
        <v>-316505.89</v>
      </c>
      <c r="G19598" s="3" t="n">
        <v>-316505.89</v>
      </c>
    </row>
    <row r="19599">
      <c r="A19599" s="3" t="inlineStr">
        <is>
          <t>Opportunity Global Property (PTY) LTD</t>
        </is>
      </c>
      <c r="B19599" s="4" t="n">
        <v>45382</v>
      </c>
      <c r="C19599" s="3" t="inlineStr">
        <is>
          <t>Revenue</t>
        </is>
      </c>
      <c r="D19599" s="3" t="inlineStr">
        <is>
          <t>1000/400</t>
        </is>
      </c>
      <c r="E19599" s="3" t="inlineStr">
        <is>
          <t>Sales - Commission on Heron View</t>
        </is>
      </c>
      <c r="F19599" s="3" t="n">
        <v>-139991.31</v>
      </c>
      <c r="G19599" s="3" t="n">
        <v>-139991.31</v>
      </c>
    </row>
    <row r="19600">
      <c r="A19600" s="3" t="inlineStr">
        <is>
          <t>Opportunity Private Capital Sales (PTY) LTD</t>
        </is>
      </c>
      <c r="B19600" s="4" t="n">
        <v>45382</v>
      </c>
      <c r="C19600" s="3" t="inlineStr">
        <is>
          <t>Revenue</t>
        </is>
      </c>
      <c r="D19600" s="3" t="inlineStr">
        <is>
          <t>1000/400</t>
        </is>
      </c>
      <c r="E19600" s="3" t="inlineStr">
        <is>
          <t>Sales - Commission on Heron View</t>
        </is>
      </c>
      <c r="F19600" s="3" t="n">
        <v>-139991.31</v>
      </c>
      <c r="G19600" s="3" t="n">
        <v>-139991.31</v>
      </c>
    </row>
    <row r="19601">
      <c r="A19601" s="3" t="inlineStr">
        <is>
          <t>Noble Shield (Pty) Ltd ta Go Letting</t>
        </is>
      </c>
      <c r="B19601" s="4" t="n">
        <v>45382</v>
      </c>
      <c r="C19601" s="3" t="inlineStr">
        <is>
          <t>Revenue</t>
        </is>
      </c>
      <c r="D19601" s="3" t="inlineStr">
        <is>
          <t>1000/420</t>
        </is>
      </c>
      <c r="E19601" s="3" t="inlineStr">
        <is>
          <t>Sales - Commission Received - External</t>
        </is>
      </c>
      <c r="F19601" s="3" t="n">
        <v>-40000</v>
      </c>
      <c r="G19601" s="3" t="n">
        <v>-174000</v>
      </c>
    </row>
    <row r="19602">
      <c r="A19602" s="3" t="inlineStr">
        <is>
          <t>Trademark Holdings (Pty) Ltd</t>
        </is>
      </c>
      <c r="B19602" s="4" t="n">
        <v>45382</v>
      </c>
      <c r="C19602" s="3" t="inlineStr">
        <is>
          <t>Revenue</t>
        </is>
      </c>
      <c r="D19602" s="3" t="inlineStr">
        <is>
          <t>1000/500</t>
        </is>
      </c>
      <c r="E19602" s="3" t="inlineStr">
        <is>
          <t>Sales - Commission external sale</t>
        </is>
      </c>
      <c r="F19602" s="3" t="n">
        <v>0</v>
      </c>
      <c r="G19602" s="3" t="n">
        <v>-50000</v>
      </c>
    </row>
    <row r="19603">
      <c r="A19603" s="3" t="inlineStr">
        <is>
          <t>Quinate Consulting (Pty) Ltd</t>
        </is>
      </c>
      <c r="B19603" s="4" t="n">
        <v>45382</v>
      </c>
      <c r="C19603" s="3" t="inlineStr">
        <is>
          <t>Revenue</t>
        </is>
      </c>
      <c r="D19603" s="3" t="inlineStr">
        <is>
          <t>1006/100</t>
        </is>
      </c>
      <c r="E19603" s="3" t="inlineStr">
        <is>
          <t>Rental income - Payprop</t>
        </is>
      </c>
      <c r="F19603" s="3" t="n">
        <v>-59500</v>
      </c>
      <c r="G19603" s="3" t="n">
        <v>-59500</v>
      </c>
    </row>
    <row r="19604">
      <c r="A19604" s="3" t="inlineStr">
        <is>
          <t>Endulini (Pty) Ltd</t>
        </is>
      </c>
      <c r="B19604" s="4" t="n">
        <v>45382</v>
      </c>
      <c r="C19604" s="3" t="inlineStr">
        <is>
          <t>Revenue</t>
        </is>
      </c>
      <c r="D19604" s="3" t="inlineStr">
        <is>
          <t>1100/000</t>
        </is>
      </c>
      <c r="E19604" s="3" t="inlineStr">
        <is>
          <t>Sales - Endulini</t>
        </is>
      </c>
      <c r="F19604" s="3" t="n">
        <v>-1304347.83</v>
      </c>
      <c r="G19604" s="3" t="n">
        <v>-1304347.83</v>
      </c>
    </row>
    <row r="19605">
      <c r="A19605" s="3" t="inlineStr">
        <is>
          <t>Opportunity Management Holdings (PTY) LTD</t>
        </is>
      </c>
      <c r="B19605" s="4" t="n">
        <v>45382</v>
      </c>
      <c r="C19605" s="3" t="inlineStr">
        <is>
          <t>Revenue</t>
        </is>
      </c>
      <c r="D19605" s="3" t="inlineStr">
        <is>
          <t>1100/001</t>
        </is>
      </c>
      <c r="E19605" s="3" t="inlineStr">
        <is>
          <t>Salary Recharges</t>
        </is>
      </c>
      <c r="F19605" s="3" t="n">
        <v>-356360.8</v>
      </c>
      <c r="G19605" s="3" t="n">
        <v>-2375301.15</v>
      </c>
    </row>
    <row r="19606">
      <c r="A19606" s="3" t="inlineStr">
        <is>
          <t>Quinate Consulting (Pty) Ltd</t>
        </is>
      </c>
      <c r="B19606" s="4" t="n">
        <v>45382</v>
      </c>
      <c r="C19606" s="3" t="inlineStr">
        <is>
          <t>Expenses</t>
        </is>
      </c>
      <c r="D19606" s="3" t="inlineStr">
        <is>
          <t>2000/080</t>
        </is>
      </c>
      <c r="E19606" s="3" t="inlineStr">
        <is>
          <t>COS - Repairs &amp; Maintenance Endulini units</t>
        </is>
      </c>
      <c r="F19606" s="3" t="n">
        <v>2969.06</v>
      </c>
      <c r="G19606" s="3" t="n">
        <v>2969.06</v>
      </c>
    </row>
    <row r="19607">
      <c r="A19607" s="3" t="inlineStr">
        <is>
          <t>Noble Shield (Pty) Ltd ta Go Letting</t>
        </is>
      </c>
      <c r="B19607" s="4" t="n">
        <v>45382</v>
      </c>
      <c r="C19607" s="3" t="inlineStr">
        <is>
          <t>Expenses</t>
        </is>
      </c>
      <c r="D19607" s="3" t="inlineStr">
        <is>
          <t>2000/100</t>
        </is>
      </c>
      <c r="E19607" s="3" t="inlineStr">
        <is>
          <t>COS - Commission Paid</t>
        </is>
      </c>
      <c r="F19607" s="3" t="n">
        <v>15476.19</v>
      </c>
      <c r="G19607" s="3" t="n">
        <v>109454.97</v>
      </c>
    </row>
    <row r="19608">
      <c r="A19608" s="3" t="inlineStr">
        <is>
          <t>Endulini (Pty) Ltd</t>
        </is>
      </c>
      <c r="B19608" s="4" t="n">
        <v>45382</v>
      </c>
      <c r="C19608" s="3" t="inlineStr">
        <is>
          <t>Expenses</t>
        </is>
      </c>
      <c r="D19608" s="3" t="inlineStr">
        <is>
          <t>2000/150</t>
        </is>
      </c>
      <c r="E19608" s="3" t="inlineStr">
        <is>
          <t>COS - Levies special agreement</t>
        </is>
      </c>
      <c r="F19608" s="3" t="n">
        <v>2267.05</v>
      </c>
      <c r="G19608" s="3" t="n">
        <v>2267.05</v>
      </c>
    </row>
    <row r="19609">
      <c r="A19609" s="3" t="inlineStr">
        <is>
          <t>Opportunity Global Property (PTY) LTD</t>
        </is>
      </c>
      <c r="B19609" s="4" t="n">
        <v>45382</v>
      </c>
      <c r="C19609" s="3" t="inlineStr">
        <is>
          <t>Expenses</t>
        </is>
      </c>
      <c r="D19609" s="3" t="inlineStr">
        <is>
          <t>2000/166</t>
        </is>
      </c>
      <c r="E19609" s="3" t="inlineStr">
        <is>
          <t>COS - Sales Comm Heron View - Morne</t>
        </is>
      </c>
      <c r="F19609" s="3" t="n">
        <v>40606.09</v>
      </c>
      <c r="G19609" s="3" t="n">
        <v>40606.09</v>
      </c>
    </row>
    <row r="19610">
      <c r="A19610" s="3" t="inlineStr">
        <is>
          <t>Opportunity Private Capital Sales (PTY) LTD</t>
        </is>
      </c>
      <c r="B19610" s="4" t="n">
        <v>45382</v>
      </c>
      <c r="C19610" s="3" t="inlineStr">
        <is>
          <t>Expenses</t>
        </is>
      </c>
      <c r="D19610" s="3" t="inlineStr">
        <is>
          <t>2000/166</t>
        </is>
      </c>
      <c r="E19610" s="3" t="inlineStr">
        <is>
          <t>COS - Sales Comm Heron View - Morne</t>
        </is>
      </c>
      <c r="F19610" s="3" t="n">
        <v>40606.09</v>
      </c>
      <c r="G19610" s="3" t="n">
        <v>40606.09</v>
      </c>
    </row>
    <row r="19611">
      <c r="A19611" s="3" t="inlineStr">
        <is>
          <t>Noble Shield (Pty) Ltd ta Go Letting</t>
        </is>
      </c>
      <c r="B19611" s="4" t="n">
        <v>45382</v>
      </c>
      <c r="C19611" s="3" t="inlineStr">
        <is>
          <t>Expenses</t>
        </is>
      </c>
      <c r="D19611" s="3" t="inlineStr">
        <is>
          <t>2000/200</t>
        </is>
      </c>
      <c r="E19611" s="3" t="inlineStr">
        <is>
          <t>COS - Commission on external sales</t>
        </is>
      </c>
      <c r="F19611" s="3" t="n">
        <v>24000</v>
      </c>
      <c r="G19611" s="3" t="n">
        <v>139400</v>
      </c>
    </row>
    <row r="19612">
      <c r="A19612" s="3" t="inlineStr">
        <is>
          <t>Opportunity Global Property (PTY) LTD</t>
        </is>
      </c>
      <c r="B19612" s="4" t="n">
        <v>45382</v>
      </c>
      <c r="C19612" s="3" t="inlineStr">
        <is>
          <t>Expenses</t>
        </is>
      </c>
      <c r="D19612" s="3" t="inlineStr">
        <is>
          <t>2000/270</t>
        </is>
      </c>
      <c r="E19612" s="3" t="inlineStr">
        <is>
          <t>COS - Comm Rentals - Mario - External</t>
        </is>
      </c>
      <c r="F19612" s="3" t="n">
        <v>1102.61</v>
      </c>
      <c r="G19612" s="3" t="n">
        <v>1102.61</v>
      </c>
    </row>
    <row r="19613">
      <c r="A19613" s="3" t="inlineStr">
        <is>
          <t>Opportunity Private Capital Sales (PTY) LTD</t>
        </is>
      </c>
      <c r="B19613" s="4" t="n">
        <v>45382</v>
      </c>
      <c r="C19613" s="3" t="inlineStr">
        <is>
          <t>Expenses</t>
        </is>
      </c>
      <c r="D19613" s="3" t="inlineStr">
        <is>
          <t>2000/270</t>
        </is>
      </c>
      <c r="E19613" s="3" t="inlineStr">
        <is>
          <t>COS - Comm Rentals - Mario - External</t>
        </is>
      </c>
      <c r="F19613" s="3" t="n">
        <v>1102.61</v>
      </c>
      <c r="G19613" s="3" t="n">
        <v>1102.61</v>
      </c>
    </row>
    <row r="19614">
      <c r="A19614" s="3" t="inlineStr">
        <is>
          <t>Opportunity Global Property (PTY) LTD</t>
        </is>
      </c>
      <c r="B19614" s="4" t="n">
        <v>45382</v>
      </c>
      <c r="C19614" s="3" t="inlineStr">
        <is>
          <t>Expenses</t>
        </is>
      </c>
      <c r="D19614" s="3" t="inlineStr">
        <is>
          <t>2000/275</t>
        </is>
      </c>
      <c r="E19614" s="3" t="inlineStr">
        <is>
          <t>COS - Comm Rentals - Mario - Endulini</t>
        </is>
      </c>
      <c r="F19614" s="3" t="n">
        <v>2386.26</v>
      </c>
      <c r="G19614" s="3" t="n">
        <v>2386.26</v>
      </c>
    </row>
    <row r="19615">
      <c r="A19615" s="3" t="inlineStr">
        <is>
          <t>Opportunity Private Capital Sales (PTY) LTD</t>
        </is>
      </c>
      <c r="B19615" s="4" t="n">
        <v>45382</v>
      </c>
      <c r="C19615" s="3" t="inlineStr">
        <is>
          <t>Expenses</t>
        </is>
      </c>
      <c r="D19615" s="3" t="inlineStr">
        <is>
          <t>2000/275</t>
        </is>
      </c>
      <c r="E19615" s="3" t="inlineStr">
        <is>
          <t>COS - Comm Rentals - Mario - Endulini</t>
        </is>
      </c>
      <c r="F19615" s="3" t="n">
        <v>2386.26</v>
      </c>
      <c r="G19615" s="3" t="n">
        <v>2386.26</v>
      </c>
    </row>
    <row r="19616">
      <c r="A19616" s="3" t="inlineStr">
        <is>
          <t>Opportunity Global Property (PTY) LTD</t>
        </is>
      </c>
      <c r="B19616" s="4" t="n">
        <v>45382</v>
      </c>
      <c r="C19616" s="3" t="inlineStr">
        <is>
          <t>Expenses</t>
        </is>
      </c>
      <c r="D19616" s="3" t="inlineStr">
        <is>
          <t>2000/280</t>
        </is>
      </c>
      <c r="E19616" s="3" t="inlineStr">
        <is>
          <t>COS - Comm Rentals - Mario - Heron Fields</t>
        </is>
      </c>
      <c r="F19616" s="3" t="n">
        <v>7739.12</v>
      </c>
      <c r="G19616" s="3" t="n">
        <v>7739.12</v>
      </c>
    </row>
    <row r="19617">
      <c r="A19617" s="3" t="inlineStr">
        <is>
          <t>Opportunity Private Capital Sales (PTY) LTD</t>
        </is>
      </c>
      <c r="B19617" s="4" t="n">
        <v>45382</v>
      </c>
      <c r="C19617" s="3" t="inlineStr">
        <is>
          <t>Expenses</t>
        </is>
      </c>
      <c r="D19617" s="3" t="inlineStr">
        <is>
          <t>2000/280</t>
        </is>
      </c>
      <c r="E19617" s="3" t="inlineStr">
        <is>
          <t>COS - Comm Rentals - Mario - Heron Fields</t>
        </is>
      </c>
      <c r="F19617" s="3" t="n">
        <v>7739.12</v>
      </c>
      <c r="G19617" s="3" t="n">
        <v>7739.12</v>
      </c>
    </row>
    <row r="19618">
      <c r="A19618" s="3" t="inlineStr">
        <is>
          <t>Trademark Holdings (Pty) Ltd</t>
        </is>
      </c>
      <c r="B19618" s="4" t="n">
        <v>45382</v>
      </c>
      <c r="C19618" s="3" t="inlineStr">
        <is>
          <t>Expenses</t>
        </is>
      </c>
      <c r="D19618" s="3" t="inlineStr">
        <is>
          <t>2000/300</t>
        </is>
      </c>
      <c r="E19618" s="3" t="inlineStr">
        <is>
          <t>COS - Commission Paid</t>
        </is>
      </c>
      <c r="F19618" s="3" t="n">
        <v>16165.26</v>
      </c>
      <c r="G19618" s="3" t="n">
        <v>116128.24</v>
      </c>
    </row>
    <row r="19619">
      <c r="A19619" s="3" t="inlineStr">
        <is>
          <t>Trademark Holdings (Pty) Ltd</t>
        </is>
      </c>
      <c r="B19619" s="4" t="n">
        <v>45382</v>
      </c>
      <c r="C19619" s="3" t="inlineStr">
        <is>
          <t>Expenses</t>
        </is>
      </c>
      <c r="D19619" s="3" t="inlineStr">
        <is>
          <t>2000/400</t>
        </is>
      </c>
      <c r="E19619" s="3" t="inlineStr">
        <is>
          <t>COS - Commission on external sales</t>
        </is>
      </c>
      <c r="F19619" s="3" t="n">
        <v>0</v>
      </c>
      <c r="G19619" s="3" t="n">
        <v>115000</v>
      </c>
    </row>
    <row r="19620">
      <c r="A19620" s="3" t="inlineStr">
        <is>
          <t>Endulini (Pty) Ltd</t>
        </is>
      </c>
      <c r="B19620" s="4" t="n">
        <v>45382</v>
      </c>
      <c r="C19620" s="3" t="inlineStr">
        <is>
          <t>Expenses</t>
        </is>
      </c>
      <c r="D19620" s="3" t="inlineStr">
        <is>
          <t>2000/600</t>
        </is>
      </c>
      <c r="E19620" s="3" t="inlineStr">
        <is>
          <t>COS - Legal fees</t>
        </is>
      </c>
      <c r="F19620" s="3" t="n">
        <v>19504.25</v>
      </c>
      <c r="G19620" s="3" t="n">
        <v>19504.25</v>
      </c>
    </row>
    <row r="19621">
      <c r="A19621" s="3" t="inlineStr">
        <is>
          <t>Noble Shield (Pty) Ltd ta Go Letting</t>
        </is>
      </c>
      <c r="B19621" s="4" t="n">
        <v>45382</v>
      </c>
      <c r="C19621" s="3" t="inlineStr">
        <is>
          <t>Revenue</t>
        </is>
      </c>
      <c r="D19621" s="3" t="inlineStr">
        <is>
          <t>2400/011</t>
        </is>
      </c>
      <c r="E19621" s="3" t="inlineStr">
        <is>
          <t>Recovery of Electrity _AND_ Water - Rentals</t>
        </is>
      </c>
      <c r="F19621" s="3" t="n">
        <v>0</v>
      </c>
      <c r="G19621" s="3" t="n">
        <v>-1000</v>
      </c>
    </row>
    <row r="19622">
      <c r="A19622" s="3" t="inlineStr">
        <is>
          <t>Quinate Consulting (Pty) Ltd</t>
        </is>
      </c>
      <c r="B19622" s="4" t="n">
        <v>45382</v>
      </c>
      <c r="C19622" s="3" t="inlineStr">
        <is>
          <t>Revenue</t>
        </is>
      </c>
      <c r="D19622" s="3" t="inlineStr">
        <is>
          <t>2400/200</t>
        </is>
      </c>
      <c r="E19622" s="3" t="inlineStr">
        <is>
          <t>Recovery Acc - Electricity SH</t>
        </is>
      </c>
      <c r="F19622" s="3" t="n">
        <v>-21541.22</v>
      </c>
      <c r="G19622" s="3" t="n">
        <v>-21541.22</v>
      </c>
    </row>
    <row r="19623">
      <c r="A19623" s="3" t="inlineStr">
        <is>
          <t>Quinate Consulting (Pty) Ltd</t>
        </is>
      </c>
      <c r="B19623" s="4" t="n">
        <v>45382</v>
      </c>
      <c r="C19623" s="3" t="inlineStr">
        <is>
          <t>Revenue</t>
        </is>
      </c>
      <c r="D19623" s="3" t="inlineStr">
        <is>
          <t>2400/300</t>
        </is>
      </c>
      <c r="E19623" s="3" t="inlineStr">
        <is>
          <t>Recovery Account - Electricity SW</t>
        </is>
      </c>
      <c r="F19623" s="3" t="n">
        <v>-16215.75</v>
      </c>
      <c r="G19623" s="3" t="n">
        <v>-16215.75</v>
      </c>
    </row>
    <row r="19624">
      <c r="A19624" s="3" t="inlineStr">
        <is>
          <t>Opportunity Global Property (PTY) LTD</t>
        </is>
      </c>
      <c r="B19624" s="4" t="n">
        <v>45382</v>
      </c>
      <c r="C19624" s="3" t="inlineStr">
        <is>
          <t>Revenue</t>
        </is>
      </c>
      <c r="D19624" s="3" t="inlineStr">
        <is>
          <t>2750/000</t>
        </is>
      </c>
      <c r="E19624" s="3" t="inlineStr">
        <is>
          <t>Interest Received - Bank</t>
        </is>
      </c>
      <c r="F19624" s="3" t="n">
        <v>-0.61</v>
      </c>
      <c r="G19624" s="3" t="n">
        <v>-0.61</v>
      </c>
    </row>
    <row r="19625">
      <c r="A19625" s="3" t="inlineStr">
        <is>
          <t>Opportunity Private Capital Sales (PTY) LTD</t>
        </is>
      </c>
      <c r="B19625" s="4" t="n">
        <v>45382</v>
      </c>
      <c r="C19625" s="3" t="inlineStr">
        <is>
          <t>Revenue</t>
        </is>
      </c>
      <c r="D19625" s="3" t="inlineStr">
        <is>
          <t>2750/000</t>
        </is>
      </c>
      <c r="E19625" s="3" t="inlineStr">
        <is>
          <t>Interest Received - Bank</t>
        </is>
      </c>
      <c r="F19625" s="3" t="n">
        <v>-0.61</v>
      </c>
      <c r="G19625" s="3" t="n">
        <v>-0.61</v>
      </c>
    </row>
    <row r="19626">
      <c r="A19626" s="3" t="inlineStr">
        <is>
          <t>Noble Shield (Pty) Ltd ta Go Letting</t>
        </is>
      </c>
      <c r="B19626" s="4" t="n">
        <v>45382</v>
      </c>
      <c r="C19626" s="3" t="inlineStr">
        <is>
          <t>Revenue</t>
        </is>
      </c>
      <c r="D19626" s="3" t="inlineStr">
        <is>
          <t>2750/100</t>
        </is>
      </c>
      <c r="E19626" s="3" t="inlineStr">
        <is>
          <t>Interest Received - bank</t>
        </is>
      </c>
      <c r="F19626" s="3" t="n">
        <v>0</v>
      </c>
      <c r="G19626" s="3" t="n">
        <v>-2.4</v>
      </c>
    </row>
    <row r="19627">
      <c r="A19627" s="3" t="inlineStr">
        <is>
          <t>Opportunity Private Capital (PTY) LTD</t>
        </is>
      </c>
      <c r="B19627" s="4" t="n">
        <v>45382</v>
      </c>
      <c r="C19627" s="3" t="inlineStr">
        <is>
          <t>Expenses</t>
        </is>
      </c>
      <c r="D19627" s="3" t="inlineStr">
        <is>
          <t>3000/100</t>
        </is>
      </c>
      <c r="E19627" s="3" t="inlineStr">
        <is>
          <t>Accounting Fees - Secretarial</t>
        </is>
      </c>
      <c r="F19627" s="3" t="n">
        <v>919.5700000000001</v>
      </c>
      <c r="G19627" s="3" t="n">
        <v>919.5700000000001</v>
      </c>
    </row>
    <row r="19628">
      <c r="A19628" s="3" t="inlineStr">
        <is>
          <t>Trademark Holdings (Pty) Ltd</t>
        </is>
      </c>
      <c r="B19628" s="4" t="n">
        <v>45382</v>
      </c>
      <c r="C19628" s="3" t="inlineStr">
        <is>
          <t>Expenses</t>
        </is>
      </c>
      <c r="D19628" s="3" t="inlineStr">
        <is>
          <t>3000/300</t>
        </is>
      </c>
      <c r="E19628" s="3" t="inlineStr">
        <is>
          <t>Accounting Fees - Audit</t>
        </is>
      </c>
      <c r="F19628" s="3" t="n">
        <v>0</v>
      </c>
      <c r="G19628" s="3" t="n">
        <v>22517</v>
      </c>
    </row>
    <row r="19629">
      <c r="A19629" s="3" t="inlineStr">
        <is>
          <t>Trademark Holdings (Pty) Ltd</t>
        </is>
      </c>
      <c r="B19629" s="4" t="n">
        <v>45382</v>
      </c>
      <c r="C19629" s="3" t="inlineStr">
        <is>
          <t>Expenses</t>
        </is>
      </c>
      <c r="D19629" s="3" t="inlineStr">
        <is>
          <t>3000/400</t>
        </is>
      </c>
      <c r="E19629" s="3" t="inlineStr">
        <is>
          <t>Accounting Fees - CiPC</t>
        </is>
      </c>
      <c r="F19629" s="3" t="n">
        <v>0</v>
      </c>
      <c r="G19629" s="3" t="n">
        <v>1322.5</v>
      </c>
    </row>
    <row r="19630">
      <c r="A19630" s="3" t="inlineStr">
        <is>
          <t>Opportunity Management Holdings (PTY) LTD</t>
        </is>
      </c>
      <c r="B19630" s="4" t="n">
        <v>45382</v>
      </c>
      <c r="C19630" s="3" t="inlineStr">
        <is>
          <t>Expenses</t>
        </is>
      </c>
      <c r="D19630" s="3" t="inlineStr">
        <is>
          <t>3005/000</t>
        </is>
      </c>
      <c r="E19630" s="3" t="inlineStr">
        <is>
          <t>Accounting fees - Deric Dudley</t>
        </is>
      </c>
      <c r="F19630" s="3" t="n">
        <v>0</v>
      </c>
      <c r="G19630" s="3" t="n">
        <v>289427.94</v>
      </c>
    </row>
    <row r="19631">
      <c r="A19631" s="3" t="inlineStr">
        <is>
          <t>Opportunity Management Holdings (PTY) LTD</t>
        </is>
      </c>
      <c r="B19631" s="4" t="n">
        <v>45382</v>
      </c>
      <c r="C19631" s="3" t="inlineStr">
        <is>
          <t>Expenses</t>
        </is>
      </c>
      <c r="D19631" s="3" t="inlineStr">
        <is>
          <t>3006/000</t>
        </is>
      </c>
      <c r="E19631" s="3" t="inlineStr">
        <is>
          <t>Accounting fees - CIPC</t>
        </is>
      </c>
      <c r="F19631" s="3" t="n">
        <v>0</v>
      </c>
      <c r="G19631" s="3" t="n">
        <v>500</v>
      </c>
    </row>
    <row r="19632">
      <c r="A19632" s="3" t="inlineStr">
        <is>
          <t>Noble Shield (Pty) Ltd ta Go Letting</t>
        </is>
      </c>
      <c r="B19632" s="4" t="n">
        <v>45382</v>
      </c>
      <c r="C19632" s="3" t="inlineStr">
        <is>
          <t>Expenses</t>
        </is>
      </c>
      <c r="D19632" s="3" t="inlineStr">
        <is>
          <t>3050/000</t>
        </is>
      </c>
      <c r="E19632" s="3" t="inlineStr">
        <is>
          <t>Advertising _AND_ Promotions</t>
        </is>
      </c>
      <c r="F19632" s="3" t="n">
        <v>0</v>
      </c>
      <c r="G19632" s="3" t="n">
        <v>1322.5</v>
      </c>
    </row>
    <row r="19633">
      <c r="A19633" s="3" t="inlineStr">
        <is>
          <t>Opportunity Management Holdings (PTY) LTD</t>
        </is>
      </c>
      <c r="B19633" s="4" t="n">
        <v>45382</v>
      </c>
      <c r="C19633" s="3" t="inlineStr">
        <is>
          <t>Expenses</t>
        </is>
      </c>
      <c r="D19633" s="3" t="inlineStr">
        <is>
          <t>3050/000</t>
        </is>
      </c>
      <c r="E19633" s="3" t="inlineStr">
        <is>
          <t>Advertising _AND_ Promotions</t>
        </is>
      </c>
      <c r="F19633" s="3" t="n">
        <v>300</v>
      </c>
      <c r="G19633" s="3" t="n">
        <v>4061.41</v>
      </c>
    </row>
    <row r="19634">
      <c r="A19634" s="3" t="inlineStr">
        <is>
          <t>Opportunity Global Property (PTY) LTD</t>
        </is>
      </c>
      <c r="B19634" s="4" t="n">
        <v>45382</v>
      </c>
      <c r="C19634" s="3" t="inlineStr">
        <is>
          <t>Expenses</t>
        </is>
      </c>
      <c r="D19634" s="3" t="inlineStr">
        <is>
          <t>3050/000</t>
        </is>
      </c>
      <c r="E19634" s="3" t="inlineStr">
        <is>
          <t>Advertising and Promotions</t>
        </is>
      </c>
      <c r="F19634" s="3" t="n">
        <v>870</v>
      </c>
      <c r="G19634" s="3" t="n">
        <v>870</v>
      </c>
    </row>
    <row r="19635">
      <c r="A19635" s="3" t="inlineStr">
        <is>
          <t>Opportunity Private Capital Sales (PTY) LTD</t>
        </is>
      </c>
      <c r="B19635" s="4" t="n">
        <v>45382</v>
      </c>
      <c r="C19635" s="3" t="inlineStr">
        <is>
          <t>Expenses</t>
        </is>
      </c>
      <c r="D19635" s="3" t="inlineStr">
        <is>
          <t>3050/000</t>
        </is>
      </c>
      <c r="E19635" s="3" t="inlineStr">
        <is>
          <t>Advertising and Promotions</t>
        </is>
      </c>
      <c r="F19635" s="3" t="n">
        <v>870</v>
      </c>
      <c r="G19635" s="3" t="n">
        <v>870</v>
      </c>
    </row>
    <row r="19636">
      <c r="A19636" s="3" t="inlineStr">
        <is>
          <t>Noble Shield (Pty) Ltd ta Go Letting</t>
        </is>
      </c>
      <c r="B19636" s="4" t="n">
        <v>45382</v>
      </c>
      <c r="C19636" s="3" t="inlineStr">
        <is>
          <t>Expenses</t>
        </is>
      </c>
      <c r="D19636" s="3" t="inlineStr">
        <is>
          <t>3050/020</t>
        </is>
      </c>
      <c r="E19636" s="3" t="inlineStr">
        <is>
          <t>Adverting &amp; Marketing - Other</t>
        </is>
      </c>
      <c r="F19636" s="3" t="n">
        <v>0</v>
      </c>
      <c r="G19636" s="3" t="n">
        <v>134.9</v>
      </c>
    </row>
    <row r="19637">
      <c r="A19637" s="3" t="inlineStr">
        <is>
          <t>Noble Shield (Pty) Ltd ta Go Letting</t>
        </is>
      </c>
      <c r="B19637" s="4" t="n">
        <v>45382</v>
      </c>
      <c r="C19637" s="3" t="inlineStr">
        <is>
          <t>Expenses</t>
        </is>
      </c>
      <c r="D19637" s="3" t="inlineStr">
        <is>
          <t>3050/050</t>
        </is>
      </c>
      <c r="E19637" s="3" t="inlineStr">
        <is>
          <t>Advertising - Prop 24</t>
        </is>
      </c>
      <c r="F19637" s="3" t="n">
        <v>315.1</v>
      </c>
      <c r="G19637" s="3" t="n">
        <v>22175.45</v>
      </c>
    </row>
    <row r="19638">
      <c r="A19638" s="3" t="inlineStr">
        <is>
          <t>Opportunity Private Capital (PTY) LTD</t>
        </is>
      </c>
      <c r="B19638" s="4" t="n">
        <v>45382</v>
      </c>
      <c r="C19638" s="3" t="inlineStr">
        <is>
          <t>Expenses</t>
        </is>
      </c>
      <c r="D19638" s="3" t="inlineStr">
        <is>
          <t>3050/230</t>
        </is>
      </c>
      <c r="E19638" s="3" t="inlineStr">
        <is>
          <t>Advertising - Link on Advertising</t>
        </is>
      </c>
      <c r="F19638" s="3" t="n">
        <v>395</v>
      </c>
      <c r="G19638" s="3" t="n">
        <v>395</v>
      </c>
    </row>
    <row r="19639">
      <c r="A19639" s="3" t="inlineStr">
        <is>
          <t>Opportunity Global Property (PTY) LTD</t>
        </is>
      </c>
      <c r="B19639" s="4" t="n">
        <v>45382</v>
      </c>
      <c r="C19639" s="3" t="inlineStr">
        <is>
          <t>Expenses</t>
        </is>
      </c>
      <c r="D19639" s="3" t="inlineStr">
        <is>
          <t>3050/250</t>
        </is>
      </c>
      <c r="E19639" s="3" t="inlineStr">
        <is>
          <t>Advertising - General</t>
        </is>
      </c>
      <c r="F19639" s="3" t="n">
        <v>26579.08</v>
      </c>
      <c r="G19639" s="3" t="n">
        <v>26579.08</v>
      </c>
    </row>
    <row r="19640">
      <c r="A19640" s="3" t="inlineStr">
        <is>
          <t>Opportunity Private Capital (PTY) LTD</t>
        </is>
      </c>
      <c r="B19640" s="4" t="n">
        <v>45382</v>
      </c>
      <c r="C19640" s="3" t="inlineStr">
        <is>
          <t>Expenses</t>
        </is>
      </c>
      <c r="D19640" s="3" t="inlineStr">
        <is>
          <t>3050/250</t>
        </is>
      </c>
      <c r="E19640" s="3" t="inlineStr">
        <is>
          <t>Advertising - General</t>
        </is>
      </c>
      <c r="F19640" s="3" t="n">
        <v>95.64</v>
      </c>
      <c r="G19640" s="3" t="n">
        <v>95.64</v>
      </c>
    </row>
    <row r="19641">
      <c r="A19641" s="3" t="inlineStr">
        <is>
          <t>Opportunity Private Capital Sales (PTY) LTD</t>
        </is>
      </c>
      <c r="B19641" s="4" t="n">
        <v>45382</v>
      </c>
      <c r="C19641" s="3" t="inlineStr">
        <is>
          <t>Expenses</t>
        </is>
      </c>
      <c r="D19641" s="3" t="inlineStr">
        <is>
          <t>3050/250</t>
        </is>
      </c>
      <c r="E19641" s="3" t="inlineStr">
        <is>
          <t>Advertising - General</t>
        </is>
      </c>
      <c r="F19641" s="3" t="n">
        <v>26043.48</v>
      </c>
      <c r="G19641" s="3" t="n">
        <v>26043.48</v>
      </c>
    </row>
    <row r="19642">
      <c r="A19642" s="3" t="inlineStr">
        <is>
          <t>Opportunity Private Capital (PTY) LTD</t>
        </is>
      </c>
      <c r="B19642" s="4" t="n">
        <v>45382</v>
      </c>
      <c r="C19642" s="3" t="inlineStr">
        <is>
          <t>Expenses</t>
        </is>
      </c>
      <c r="D19642" s="3" t="inlineStr">
        <is>
          <t>3050/290</t>
        </is>
      </c>
      <c r="E19642" s="3" t="inlineStr">
        <is>
          <t>Advertising - Serene Living</t>
        </is>
      </c>
      <c r="F19642" s="3" t="n">
        <v>65086</v>
      </c>
      <c r="G19642" s="3" t="n">
        <v>65086</v>
      </c>
    </row>
    <row r="19643">
      <c r="A19643" s="3" t="inlineStr">
        <is>
          <t>Opportunity Global Property (PTY) LTD</t>
        </is>
      </c>
      <c r="B19643" s="4" t="n">
        <v>45382</v>
      </c>
      <c r="C19643" s="3" t="inlineStr">
        <is>
          <t>Expenses</t>
        </is>
      </c>
      <c r="D19643" s="3" t="inlineStr">
        <is>
          <t>3050/380</t>
        </is>
      </c>
      <c r="E19643" s="3" t="inlineStr">
        <is>
          <t>Advertising &amp; Marketing - Syte</t>
        </is>
      </c>
      <c r="F19643" s="3" t="n">
        <v>23750</v>
      </c>
      <c r="G19643" s="3" t="n">
        <v>23750</v>
      </c>
    </row>
    <row r="19644">
      <c r="A19644" s="3" t="inlineStr">
        <is>
          <t>Quinate Consulting (Pty) Ltd</t>
        </is>
      </c>
      <c r="B19644" s="4" t="n">
        <v>45382</v>
      </c>
      <c r="C19644" s="3" t="inlineStr">
        <is>
          <t>Expenses</t>
        </is>
      </c>
      <c r="D19644" s="3" t="inlineStr">
        <is>
          <t>3050/400</t>
        </is>
      </c>
      <c r="E19644" s="3" t="inlineStr">
        <is>
          <t>Advertising - Prop24</t>
        </is>
      </c>
      <c r="F19644" s="3" t="n">
        <v>510</v>
      </c>
      <c r="G19644" s="3" t="n">
        <v>510</v>
      </c>
    </row>
    <row r="19645">
      <c r="A19645" s="3" t="inlineStr">
        <is>
          <t>Opportunity Private Capital (PTY) LTD</t>
        </is>
      </c>
      <c r="B19645" s="4" t="n">
        <v>45382</v>
      </c>
      <c r="C19645" s="3" t="inlineStr">
        <is>
          <t>Expenses</t>
        </is>
      </c>
      <c r="D19645" s="3" t="inlineStr">
        <is>
          <t>3051/000</t>
        </is>
      </c>
      <c r="E19645" s="3" t="inlineStr">
        <is>
          <t>Advertising - Facebook</t>
        </is>
      </c>
      <c r="F19645" s="3" t="n">
        <v>21404.95</v>
      </c>
      <c r="G19645" s="3" t="n">
        <v>21404.95</v>
      </c>
    </row>
    <row r="19646">
      <c r="A19646" s="3" t="inlineStr">
        <is>
          <t>Endulini (Pty) Ltd</t>
        </is>
      </c>
      <c r="B19646" s="4" t="n">
        <v>45382</v>
      </c>
      <c r="C19646" s="3" t="inlineStr">
        <is>
          <t>Expenses</t>
        </is>
      </c>
      <c r="D19646" s="3" t="inlineStr">
        <is>
          <t>3200/000</t>
        </is>
      </c>
      <c r="E19646" s="3" t="inlineStr">
        <is>
          <t>Bank Charges</t>
        </is>
      </c>
      <c r="F19646" s="3" t="n">
        <v>226.47</v>
      </c>
      <c r="G19646" s="3" t="n">
        <v>226.47</v>
      </c>
    </row>
    <row r="19647">
      <c r="A19647" s="3" t="inlineStr">
        <is>
          <t>Noble Shield (Pty) Ltd ta Go Letting</t>
        </is>
      </c>
      <c r="B19647" s="4" t="n">
        <v>45382</v>
      </c>
      <c r="C19647" s="3" t="inlineStr">
        <is>
          <t>Expenses</t>
        </is>
      </c>
      <c r="D19647" s="3" t="inlineStr">
        <is>
          <t>3200/000</t>
        </is>
      </c>
      <c r="E19647" s="3" t="inlineStr">
        <is>
          <t>Bank Charges</t>
        </is>
      </c>
      <c r="F19647" s="3" t="n">
        <v>603.39</v>
      </c>
      <c r="G19647" s="3" t="n">
        <v>4095.82</v>
      </c>
    </row>
    <row r="19648">
      <c r="A19648" s="3" t="inlineStr">
        <is>
          <t>Opportunity Global Property (PTY) LTD</t>
        </is>
      </c>
      <c r="B19648" s="4" t="n">
        <v>45382</v>
      </c>
      <c r="C19648" s="3" t="inlineStr">
        <is>
          <t>Expenses</t>
        </is>
      </c>
      <c r="D19648" s="3" t="inlineStr">
        <is>
          <t>3200/000</t>
        </is>
      </c>
      <c r="E19648" s="3" t="inlineStr">
        <is>
          <t>Bank Charges</t>
        </is>
      </c>
      <c r="F19648" s="3" t="n">
        <v>961.24</v>
      </c>
      <c r="G19648" s="3" t="n">
        <v>961.24</v>
      </c>
    </row>
    <row r="19649">
      <c r="A19649" s="3" t="inlineStr">
        <is>
          <t>Opportunity Management Holdings (PTY) LTD</t>
        </is>
      </c>
      <c r="B19649" s="4" t="n">
        <v>45382</v>
      </c>
      <c r="C19649" s="3" t="inlineStr">
        <is>
          <t>Expenses</t>
        </is>
      </c>
      <c r="D19649" s="3" t="inlineStr">
        <is>
          <t>3200/000</t>
        </is>
      </c>
      <c r="E19649" s="3" t="inlineStr">
        <is>
          <t>Bank Charges</t>
        </is>
      </c>
      <c r="F19649" s="3" t="n">
        <v>974.3200000000001</v>
      </c>
      <c r="G19649" s="3" t="n">
        <v>6075.9</v>
      </c>
    </row>
    <row r="19650">
      <c r="A19650" s="3" t="inlineStr">
        <is>
          <t>Opportunity Private Capital (PTY) LTD</t>
        </is>
      </c>
      <c r="B19650" s="4" t="n">
        <v>45382</v>
      </c>
      <c r="C19650" s="3" t="inlineStr">
        <is>
          <t>Expenses</t>
        </is>
      </c>
      <c r="D19650" s="3" t="inlineStr">
        <is>
          <t>3200/000</t>
        </is>
      </c>
      <c r="E19650" s="3" t="inlineStr">
        <is>
          <t>Bank Charges</t>
        </is>
      </c>
      <c r="F19650" s="3" t="n">
        <v>430.63</v>
      </c>
      <c r="G19650" s="3" t="n">
        <v>430.63</v>
      </c>
    </row>
    <row r="19651">
      <c r="A19651" s="3" t="inlineStr">
        <is>
          <t>Opportunity Private Capital Sales (PTY) LTD</t>
        </is>
      </c>
      <c r="B19651" s="4" t="n">
        <v>45382</v>
      </c>
      <c r="C19651" s="3" t="inlineStr">
        <is>
          <t>Expenses</t>
        </is>
      </c>
      <c r="D19651" s="3" t="inlineStr">
        <is>
          <t>3200/000</t>
        </is>
      </c>
      <c r="E19651" s="3" t="inlineStr">
        <is>
          <t>Bank Charges</t>
        </is>
      </c>
      <c r="F19651" s="3" t="n">
        <v>961.24</v>
      </c>
      <c r="G19651" s="3" t="n">
        <v>961.24</v>
      </c>
    </row>
    <row r="19652">
      <c r="A19652" s="3" t="inlineStr">
        <is>
          <t>Quinate Consulting (Pty) Ltd</t>
        </is>
      </c>
      <c r="B19652" s="4" t="n">
        <v>45382</v>
      </c>
      <c r="C19652" s="3" t="inlineStr">
        <is>
          <t>Expenses</t>
        </is>
      </c>
      <c r="D19652" s="3" t="inlineStr">
        <is>
          <t>3200/000</t>
        </is>
      </c>
      <c r="E19652" s="3" t="inlineStr">
        <is>
          <t>Bank Charges</t>
        </is>
      </c>
      <c r="F19652" s="3" t="n">
        <v>490.57</v>
      </c>
      <c r="G19652" s="3" t="n">
        <v>490.57</v>
      </c>
    </row>
    <row r="19653">
      <c r="A19653" s="3" t="inlineStr">
        <is>
          <t>Trademark Holdings (Pty) Ltd</t>
        </is>
      </c>
      <c r="B19653" s="4" t="n">
        <v>45382</v>
      </c>
      <c r="C19653" s="3" t="inlineStr">
        <is>
          <t>Expenses</t>
        </is>
      </c>
      <c r="D19653" s="3" t="inlineStr">
        <is>
          <t>3200/000</t>
        </is>
      </c>
      <c r="E19653" s="3" t="inlineStr">
        <is>
          <t>Bank Charges</t>
        </is>
      </c>
      <c r="F19653" s="3" t="n">
        <v>385.31</v>
      </c>
      <c r="G19653" s="3" t="n">
        <v>2297.24</v>
      </c>
    </row>
    <row r="19654">
      <c r="A19654" s="3" t="inlineStr">
        <is>
          <t>Noble Shield (Pty) Ltd ta Go Letting</t>
        </is>
      </c>
      <c r="B19654" s="4" t="n">
        <v>45382</v>
      </c>
      <c r="C19654" s="3" t="inlineStr">
        <is>
          <t>Expenses</t>
        </is>
      </c>
      <c r="D19654" s="3" t="inlineStr">
        <is>
          <t>3230/000</t>
        </is>
      </c>
      <c r="E19654" s="3" t="inlineStr">
        <is>
          <t>Cell Phone - NM</t>
        </is>
      </c>
      <c r="F19654" s="3" t="n">
        <v>2338.58</v>
      </c>
      <c r="G19654" s="3" t="n">
        <v>16002.76</v>
      </c>
    </row>
    <row r="19655">
      <c r="A19655" s="3" t="inlineStr">
        <is>
          <t>Noble Shield (Pty) Ltd ta Go Letting</t>
        </is>
      </c>
      <c r="B19655" s="4" t="n">
        <v>45382</v>
      </c>
      <c r="C19655" s="3" t="inlineStr">
        <is>
          <t>Expenses</t>
        </is>
      </c>
      <c r="D19655" s="3" t="inlineStr">
        <is>
          <t>3233/000</t>
        </is>
      </c>
      <c r="E19655" s="3" t="inlineStr">
        <is>
          <t>Cell Data - Other</t>
        </is>
      </c>
      <c r="F19655" s="3" t="n">
        <v>199</v>
      </c>
      <c r="G19655" s="3" t="n">
        <v>969.04</v>
      </c>
    </row>
    <row r="19656">
      <c r="A19656" s="3" t="inlineStr">
        <is>
          <t>Noble Shield (Pty) Ltd ta Go Letting</t>
        </is>
      </c>
      <c r="B19656" s="4" t="n">
        <v>45382</v>
      </c>
      <c r="C19656" s="3" t="inlineStr">
        <is>
          <t>Expenses</t>
        </is>
      </c>
      <c r="D19656" s="3" t="inlineStr">
        <is>
          <t>3233/100</t>
        </is>
      </c>
      <c r="E19656" s="3" t="inlineStr">
        <is>
          <t>Cell Data - Sales office Wifi</t>
        </is>
      </c>
      <c r="F19656" s="3" t="n">
        <v>315</v>
      </c>
      <c r="G19656" s="3" t="n">
        <v>2701.91</v>
      </c>
    </row>
    <row r="19657">
      <c r="A19657" s="3" t="inlineStr">
        <is>
          <t>Opportunity Global Property (PTY) LTD</t>
        </is>
      </c>
      <c r="B19657" s="4" t="n">
        <v>45382</v>
      </c>
      <c r="C19657" s="3" t="inlineStr">
        <is>
          <t>Expenses</t>
        </is>
      </c>
      <c r="D19657" s="3" t="inlineStr">
        <is>
          <t>3250/000</t>
        </is>
      </c>
      <c r="E19657" s="3" t="inlineStr">
        <is>
          <t>Cleaning</t>
        </is>
      </c>
      <c r="F19657" s="3" t="n">
        <v>3478.16</v>
      </c>
      <c r="G19657" s="3" t="n">
        <v>3478.16</v>
      </c>
    </row>
    <row r="19658">
      <c r="A19658" s="3" t="inlineStr">
        <is>
          <t>Opportunity Management Holdings (PTY) LTD</t>
        </is>
      </c>
      <c r="B19658" s="4" t="n">
        <v>45382</v>
      </c>
      <c r="C19658" s="3" t="inlineStr">
        <is>
          <t>Expenses</t>
        </is>
      </c>
      <c r="D19658" s="3" t="inlineStr">
        <is>
          <t>3250/000</t>
        </is>
      </c>
      <c r="E19658" s="3" t="inlineStr">
        <is>
          <t>Cleaning</t>
        </is>
      </c>
      <c r="F19658" s="3" t="n">
        <v>3095.63</v>
      </c>
      <c r="G19658" s="3" t="n">
        <v>20640.78</v>
      </c>
    </row>
    <row r="19659">
      <c r="A19659" s="3" t="inlineStr">
        <is>
          <t>Opportunity Private Capital (PTY) LTD</t>
        </is>
      </c>
      <c r="B19659" s="4" t="n">
        <v>45382</v>
      </c>
      <c r="C19659" s="3" t="inlineStr">
        <is>
          <t>Expenses</t>
        </is>
      </c>
      <c r="D19659" s="3" t="inlineStr">
        <is>
          <t>3250/000</t>
        </is>
      </c>
      <c r="E19659" s="3" t="inlineStr">
        <is>
          <t>Cleaning</t>
        </is>
      </c>
      <c r="F19659" s="3" t="n">
        <v>2700</v>
      </c>
      <c r="G19659" s="3" t="n">
        <v>2700</v>
      </c>
    </row>
    <row r="19660">
      <c r="A19660" s="3" t="inlineStr">
        <is>
          <t>Opportunity Private Capital Sales (PTY) LTD</t>
        </is>
      </c>
      <c r="B19660" s="4" t="n">
        <v>45382</v>
      </c>
      <c r="C19660" s="3" t="inlineStr">
        <is>
          <t>Expenses</t>
        </is>
      </c>
      <c r="D19660" s="3" t="inlineStr">
        <is>
          <t>3250/000</t>
        </is>
      </c>
      <c r="E19660" s="3" t="inlineStr">
        <is>
          <t>Cleaning</t>
        </is>
      </c>
      <c r="F19660" s="3" t="n">
        <v>2878.16</v>
      </c>
      <c r="G19660" s="3" t="n">
        <v>2878.16</v>
      </c>
    </row>
    <row r="19661">
      <c r="A19661" s="3" t="inlineStr">
        <is>
          <t>Trademark Holdings (Pty) Ltd</t>
        </is>
      </c>
      <c r="B19661" s="4" t="n">
        <v>45382</v>
      </c>
      <c r="C19661" s="3" t="inlineStr">
        <is>
          <t>Expenses</t>
        </is>
      </c>
      <c r="D19661" s="3" t="inlineStr">
        <is>
          <t>3250/000</t>
        </is>
      </c>
      <c r="E19661" s="3" t="inlineStr">
        <is>
          <t>Cleaning</t>
        </is>
      </c>
      <c r="F19661" s="3" t="n">
        <v>1144</v>
      </c>
      <c r="G19661" s="3" t="n">
        <v>7722</v>
      </c>
    </row>
    <row r="19662">
      <c r="A19662" s="3" t="inlineStr">
        <is>
          <t>Opportunity Global Property (PTY) LTD</t>
        </is>
      </c>
      <c r="B19662" s="4" t="n">
        <v>45382</v>
      </c>
      <c r="C19662" s="3" t="inlineStr">
        <is>
          <t>Expenses</t>
        </is>
      </c>
      <c r="D19662" s="3" t="inlineStr">
        <is>
          <t>3300/000</t>
        </is>
      </c>
      <c r="E19662" s="3" t="inlineStr">
        <is>
          <t>Computer Expenses</t>
        </is>
      </c>
      <c r="F19662" s="3" t="n">
        <v>782.52</v>
      </c>
      <c r="G19662" s="3" t="n">
        <v>782.52</v>
      </c>
    </row>
    <row r="19663">
      <c r="A19663" s="3" t="inlineStr">
        <is>
          <t>Opportunity Management Holdings (PTY) LTD</t>
        </is>
      </c>
      <c r="B19663" s="4" t="n">
        <v>45382</v>
      </c>
      <c r="C19663" s="3" t="inlineStr">
        <is>
          <t>Expenses</t>
        </is>
      </c>
      <c r="D19663" s="3" t="inlineStr">
        <is>
          <t>3300/000</t>
        </is>
      </c>
      <c r="E19663" s="3" t="inlineStr">
        <is>
          <t>Computer Expenses</t>
        </is>
      </c>
      <c r="F19663" s="3" t="n">
        <v>0</v>
      </c>
      <c r="G19663" s="3" t="n">
        <v>1266.08</v>
      </c>
    </row>
    <row r="19664">
      <c r="A19664" s="3" t="inlineStr">
        <is>
          <t>Opportunity Private Capital Sales (PTY) LTD</t>
        </is>
      </c>
      <c r="B19664" s="4" t="n">
        <v>45382</v>
      </c>
      <c r="C19664" s="3" t="inlineStr">
        <is>
          <t>Expenses</t>
        </is>
      </c>
      <c r="D19664" s="3" t="inlineStr">
        <is>
          <t>3300/000</t>
        </is>
      </c>
      <c r="E19664" s="3" t="inlineStr">
        <is>
          <t>Computer Expenses</t>
        </is>
      </c>
      <c r="F19664" s="3" t="n">
        <v>782.52</v>
      </c>
      <c r="G19664" s="3" t="n">
        <v>782.52</v>
      </c>
    </row>
    <row r="19665">
      <c r="A19665" s="3" t="inlineStr">
        <is>
          <t>Noble Shield (Pty) Ltd ta Go Letting</t>
        </is>
      </c>
      <c r="B19665" s="4" t="n">
        <v>45382</v>
      </c>
      <c r="C19665" s="3" t="inlineStr">
        <is>
          <t>Expenses</t>
        </is>
      </c>
      <c r="D19665" s="3" t="inlineStr">
        <is>
          <t>3300/120</t>
        </is>
      </c>
      <c r="E19665" s="3" t="inlineStr">
        <is>
          <t>Computer IT - Software Propworx</t>
        </is>
      </c>
      <c r="F19665" s="3" t="n">
        <v>2576</v>
      </c>
      <c r="G19665" s="3" t="n">
        <v>18032</v>
      </c>
    </row>
    <row r="19666">
      <c r="A19666" s="3" t="inlineStr">
        <is>
          <t>Noble Shield (Pty) Ltd ta Go Letting</t>
        </is>
      </c>
      <c r="B19666" s="4" t="n">
        <v>45382</v>
      </c>
      <c r="C19666" s="3" t="inlineStr">
        <is>
          <t>Expenses</t>
        </is>
      </c>
      <c r="D19666" s="3" t="inlineStr">
        <is>
          <t>3300/130</t>
        </is>
      </c>
      <c r="E19666" s="3" t="inlineStr">
        <is>
          <t>Computer IT - Internet/Hosting Fees</t>
        </is>
      </c>
      <c r="F19666" s="3" t="n">
        <v>0</v>
      </c>
      <c r="G19666" s="3" t="n">
        <v>1580</v>
      </c>
    </row>
    <row r="19667">
      <c r="A19667" s="3" t="inlineStr">
        <is>
          <t>Noble Shield (Pty) Ltd ta Go Letting</t>
        </is>
      </c>
      <c r="B19667" s="4" t="n">
        <v>45382</v>
      </c>
      <c r="C19667" s="3" t="inlineStr">
        <is>
          <t>Expenses</t>
        </is>
      </c>
      <c r="D19667" s="3" t="inlineStr">
        <is>
          <t>3300/170</t>
        </is>
      </c>
      <c r="E19667" s="3" t="inlineStr">
        <is>
          <t>Computer IT - VDB office Fibre</t>
        </is>
      </c>
      <c r="F19667" s="3" t="n">
        <v>790</v>
      </c>
      <c r="G19667" s="3" t="n">
        <v>4740</v>
      </c>
    </row>
    <row r="19668">
      <c r="A19668" s="3" t="inlineStr">
        <is>
          <t>Trademark Holdings (Pty) Ltd</t>
        </is>
      </c>
      <c r="B19668" s="4" t="n">
        <v>45382</v>
      </c>
      <c r="C19668" s="3" t="inlineStr">
        <is>
          <t>Expenses</t>
        </is>
      </c>
      <c r="D19668" s="3" t="inlineStr">
        <is>
          <t>3350/000</t>
        </is>
      </c>
      <c r="E19668" s="3" t="inlineStr">
        <is>
          <t>Consulting Fees</t>
        </is>
      </c>
      <c r="F19668" s="3" t="n">
        <v>26400</v>
      </c>
      <c r="G19668" s="3" t="n">
        <v>158800</v>
      </c>
    </row>
    <row r="19669">
      <c r="A19669" s="3" t="inlineStr">
        <is>
          <t>Opportunity Management Holdings (PTY) LTD</t>
        </is>
      </c>
      <c r="B19669" s="4" t="n">
        <v>45382</v>
      </c>
      <c r="C19669" s="3" t="inlineStr">
        <is>
          <t>Expenses</t>
        </is>
      </c>
      <c r="D19669" s="3" t="inlineStr">
        <is>
          <t>3350/100</t>
        </is>
      </c>
      <c r="E19669" s="3" t="inlineStr">
        <is>
          <t>Consulting Fee - Dirk Coetzee</t>
        </is>
      </c>
      <c r="F19669" s="3" t="n">
        <v>17000</v>
      </c>
      <c r="G19669" s="3" t="n">
        <v>119000</v>
      </c>
    </row>
    <row r="19670">
      <c r="A19670" s="3" t="inlineStr">
        <is>
          <t>Endulini (Pty) Ltd</t>
        </is>
      </c>
      <c r="B19670" s="4" t="n">
        <v>45382</v>
      </c>
      <c r="C19670" s="3" t="inlineStr">
        <is>
          <t>Expenses</t>
        </is>
      </c>
      <c r="D19670" s="3" t="inlineStr">
        <is>
          <t>3350/100</t>
        </is>
      </c>
      <c r="E19670" s="3" t="inlineStr">
        <is>
          <t>Consulting Fees - Admin and Finance</t>
        </is>
      </c>
      <c r="F19670" s="3" t="n">
        <v>43709</v>
      </c>
      <c r="G19670" s="3" t="n">
        <v>43709</v>
      </c>
    </row>
    <row r="19671">
      <c r="A19671" s="3" t="inlineStr">
        <is>
          <t>Opportunity Global Property (PTY) LTD</t>
        </is>
      </c>
      <c r="B19671" s="4" t="n">
        <v>45382</v>
      </c>
      <c r="C19671" s="3" t="inlineStr">
        <is>
          <t>Expenses</t>
        </is>
      </c>
      <c r="D19671" s="3" t="inlineStr">
        <is>
          <t>3350/100</t>
        </is>
      </c>
      <c r="E19671" s="3" t="inlineStr">
        <is>
          <t>Consulting Fees - Admin and Finance</t>
        </is>
      </c>
      <c r="F19671" s="3" t="n">
        <v>10870.2</v>
      </c>
      <c r="G19671" s="3" t="n">
        <v>10870.2</v>
      </c>
    </row>
    <row r="19672">
      <c r="A19672" s="3" t="inlineStr">
        <is>
          <t>Opportunity Private Capital (PTY) LTD</t>
        </is>
      </c>
      <c r="B19672" s="4" t="n">
        <v>45382</v>
      </c>
      <c r="C19672" s="3" t="inlineStr">
        <is>
          <t>Expenses</t>
        </is>
      </c>
      <c r="D19672" s="3" t="inlineStr">
        <is>
          <t>3350/100</t>
        </is>
      </c>
      <c r="E19672" s="3" t="inlineStr">
        <is>
          <t>Consulting Fees - Admin and Finance</t>
        </is>
      </c>
      <c r="F19672" s="3" t="n">
        <v>12790.2</v>
      </c>
      <c r="G19672" s="3" t="n">
        <v>12790.2</v>
      </c>
    </row>
    <row r="19673">
      <c r="A19673" s="3" t="inlineStr">
        <is>
          <t>Opportunity Private Capital Sales (PTY) LTD</t>
        </is>
      </c>
      <c r="B19673" s="4" t="n">
        <v>45382</v>
      </c>
      <c r="C19673" s="3" t="inlineStr">
        <is>
          <t>Expenses</t>
        </is>
      </c>
      <c r="D19673" s="3" t="inlineStr">
        <is>
          <t>3350/100</t>
        </is>
      </c>
      <c r="E19673" s="3" t="inlineStr">
        <is>
          <t>Consulting Fees - Admin and Finance</t>
        </is>
      </c>
      <c r="F19673" s="3" t="n">
        <v>10870.2</v>
      </c>
      <c r="G19673" s="3" t="n">
        <v>10870.2</v>
      </c>
    </row>
    <row r="19674">
      <c r="A19674" s="3" t="inlineStr">
        <is>
          <t>Opportunity Private Capital (PTY) LTD</t>
        </is>
      </c>
      <c r="B19674" s="4" t="n">
        <v>45382</v>
      </c>
      <c r="C19674" s="3" t="inlineStr">
        <is>
          <t>Expenses</t>
        </is>
      </c>
      <c r="D19674" s="3" t="inlineStr">
        <is>
          <t>3350/200</t>
        </is>
      </c>
      <c r="E19674" s="3" t="inlineStr">
        <is>
          <t>Consulting Fees - Rockfin</t>
        </is>
      </c>
      <c r="F19674" s="3" t="n">
        <v>6000</v>
      </c>
      <c r="G19674" s="3" t="n">
        <v>6000</v>
      </c>
    </row>
    <row r="19675">
      <c r="A19675" s="3" t="inlineStr">
        <is>
          <t>Opportunity Management Holdings (PTY) LTD</t>
        </is>
      </c>
      <c r="B19675" s="4" t="n">
        <v>45382</v>
      </c>
      <c r="C19675" s="3" t="inlineStr">
        <is>
          <t>Expenses</t>
        </is>
      </c>
      <c r="D19675" s="3" t="inlineStr">
        <is>
          <t>3350/300</t>
        </is>
      </c>
      <c r="E19675" s="3" t="inlineStr">
        <is>
          <t>Consulting Fee - HR Joblaw</t>
        </is>
      </c>
      <c r="F19675" s="3" t="n">
        <v>1600.83</v>
      </c>
      <c r="G19675" s="3" t="n">
        <v>11205.81</v>
      </c>
    </row>
    <row r="19676">
      <c r="A19676" s="3" t="inlineStr">
        <is>
          <t>Quinate Consulting (Pty) Ltd</t>
        </is>
      </c>
      <c r="B19676" s="4" t="n">
        <v>45382</v>
      </c>
      <c r="C19676" s="3" t="inlineStr">
        <is>
          <t>Expenses</t>
        </is>
      </c>
      <c r="D19676" s="3" t="inlineStr">
        <is>
          <t>3350/300</t>
        </is>
      </c>
      <c r="E19676" s="3" t="inlineStr">
        <is>
          <t>Consulting Fees - Admin and Finance</t>
        </is>
      </c>
      <c r="F19676" s="3" t="n">
        <v>15000</v>
      </c>
      <c r="G19676" s="3" t="n">
        <v>15000</v>
      </c>
    </row>
    <row r="19677">
      <c r="A19677" s="3" t="inlineStr">
        <is>
          <t>Opportunity Private Capital (PTY) LTD</t>
        </is>
      </c>
      <c r="B19677" s="4" t="n">
        <v>45382</v>
      </c>
      <c r="C19677" s="3" t="inlineStr">
        <is>
          <t>Expenses</t>
        </is>
      </c>
      <c r="D19677" s="3" t="inlineStr">
        <is>
          <t>3350/300</t>
        </is>
      </c>
      <c r="E19677" s="3" t="inlineStr">
        <is>
          <t>Consulting Fees - BLCS</t>
        </is>
      </c>
      <c r="F19677" s="3" t="n">
        <v>16000</v>
      </c>
      <c r="G19677" s="3" t="n">
        <v>16000</v>
      </c>
    </row>
    <row r="19678">
      <c r="A19678" s="3" t="inlineStr">
        <is>
          <t>Opportunity Management Holdings (PTY) LTD</t>
        </is>
      </c>
      <c r="B19678" s="4" t="n">
        <v>45382</v>
      </c>
      <c r="C19678" s="3" t="inlineStr">
        <is>
          <t>Expenses</t>
        </is>
      </c>
      <c r="D19678" s="3" t="inlineStr">
        <is>
          <t>3350/400</t>
        </is>
      </c>
      <c r="E19678" s="3" t="inlineStr">
        <is>
          <t>Consulting Fees - Johan Prinsloo</t>
        </is>
      </c>
      <c r="F19678" s="3" t="n">
        <v>0</v>
      </c>
      <c r="G19678" s="3" t="n">
        <v>50992.16</v>
      </c>
    </row>
    <row r="19679">
      <c r="A19679" s="3" t="inlineStr">
        <is>
          <t>Opportunity Private Capital (PTY) LTD</t>
        </is>
      </c>
      <c r="B19679" s="4" t="n">
        <v>45382</v>
      </c>
      <c r="C19679" s="3" t="inlineStr">
        <is>
          <t>Expenses</t>
        </is>
      </c>
      <c r="D19679" s="3" t="inlineStr">
        <is>
          <t>3351/000</t>
        </is>
      </c>
      <c r="E19679" s="3" t="inlineStr">
        <is>
          <t>Consulting Fees - HR Joblaw</t>
        </is>
      </c>
      <c r="F19679" s="3" t="n">
        <v>13600.83</v>
      </c>
      <c r="G19679" s="3" t="n">
        <v>13600.83</v>
      </c>
    </row>
    <row r="19680">
      <c r="A19680" s="3" t="inlineStr">
        <is>
          <t>Quinate Consulting (Pty) Ltd</t>
        </is>
      </c>
      <c r="B19680" s="4" t="n">
        <v>45382</v>
      </c>
      <c r="C19680" s="3" t="inlineStr">
        <is>
          <t>Expenses</t>
        </is>
      </c>
      <c r="D19680" s="3" t="inlineStr">
        <is>
          <t>3351/000</t>
        </is>
      </c>
      <c r="E19680" s="3" t="inlineStr">
        <is>
          <t>Consulting fees - Trustees</t>
        </is>
      </c>
      <c r="F19680" s="3" t="n">
        <v>4200</v>
      </c>
      <c r="G19680" s="3" t="n">
        <v>4200</v>
      </c>
    </row>
    <row r="19681">
      <c r="A19681" s="3" t="inlineStr">
        <is>
          <t>Opportunity Private Capital (PTY) LTD</t>
        </is>
      </c>
      <c r="B19681" s="4" t="n">
        <v>45382</v>
      </c>
      <c r="C19681" s="3" t="inlineStr">
        <is>
          <t>Expenses</t>
        </is>
      </c>
      <c r="D19681" s="3" t="inlineStr">
        <is>
          <t>3355/00</t>
        </is>
      </c>
      <c r="E19681" s="3" t="inlineStr">
        <is>
          <t>Consulting fees - F Geldenhuys</t>
        </is>
      </c>
      <c r="F19681" s="3" t="n">
        <v>35000</v>
      </c>
      <c r="G19681" s="3" t="n">
        <v>35000</v>
      </c>
    </row>
    <row r="19682">
      <c r="A19682" s="3" t="inlineStr">
        <is>
          <t>Opportunity Management Holdings (PTY) LTD</t>
        </is>
      </c>
      <c r="B19682" s="4" t="n">
        <v>45382</v>
      </c>
      <c r="C19682" s="3" t="inlineStr">
        <is>
          <t>Expenses</t>
        </is>
      </c>
      <c r="D19682" s="3" t="inlineStr">
        <is>
          <t>3400/000</t>
        </is>
      </c>
      <c r="E19682" s="3" t="inlineStr">
        <is>
          <t>Courier _AND_ Postage</t>
        </is>
      </c>
      <c r="F19682" s="3" t="n">
        <v>0</v>
      </c>
      <c r="G19682" s="3" t="n">
        <v>664.3200000000001</v>
      </c>
    </row>
    <row r="19683">
      <c r="A19683" s="3" t="inlineStr">
        <is>
          <t>Opportunity Private Capital (PTY) LTD</t>
        </is>
      </c>
      <c r="B19683" s="4" t="n">
        <v>45382</v>
      </c>
      <c r="C19683" s="3" t="inlineStr">
        <is>
          <t>Expenses</t>
        </is>
      </c>
      <c r="D19683" s="3" t="inlineStr">
        <is>
          <t>3450/001</t>
        </is>
      </c>
      <c r="E19683" s="3" t="inlineStr">
        <is>
          <t>Depreciation - Computer equipment</t>
        </is>
      </c>
      <c r="F19683" s="3" t="n">
        <v>880.08</v>
      </c>
      <c r="G19683" s="3" t="n">
        <v>880.08</v>
      </c>
    </row>
    <row r="19684">
      <c r="A19684" s="3" t="inlineStr">
        <is>
          <t>Opportunity Management Holdings (PTY) LTD</t>
        </is>
      </c>
      <c r="B19684" s="4" t="n">
        <v>45382</v>
      </c>
      <c r="C19684" s="3" t="inlineStr">
        <is>
          <t>Expenses</t>
        </is>
      </c>
      <c r="D19684" s="3" t="inlineStr">
        <is>
          <t>3451/000</t>
        </is>
      </c>
      <c r="E19684" s="3" t="inlineStr">
        <is>
          <t>Depreciation - Computer Equipment</t>
        </is>
      </c>
      <c r="F19684" s="3" t="n">
        <v>1404.94</v>
      </c>
      <c r="G19684" s="3" t="n">
        <v>7616.02</v>
      </c>
    </row>
    <row r="19685">
      <c r="A19685" s="3" t="inlineStr">
        <is>
          <t>Quinate Consulting (Pty) Ltd</t>
        </is>
      </c>
      <c r="B19685" s="4" t="n">
        <v>45382</v>
      </c>
      <c r="C19685" s="3" t="inlineStr">
        <is>
          <t>Expenses</t>
        </is>
      </c>
      <c r="D19685" s="3" t="inlineStr">
        <is>
          <t>3600/000</t>
        </is>
      </c>
      <c r="E19685" s="3" t="inlineStr">
        <is>
          <t>Donations</t>
        </is>
      </c>
      <c r="F19685" s="3" t="n">
        <v>572.45</v>
      </c>
      <c r="G19685" s="3" t="n">
        <v>572.45</v>
      </c>
    </row>
    <row r="19686">
      <c r="A19686" s="3" t="inlineStr">
        <is>
          <t>Noble Shield (Pty) Ltd ta Go Letting</t>
        </is>
      </c>
      <c r="B19686" s="4" t="n">
        <v>45382</v>
      </c>
      <c r="C19686" s="3" t="inlineStr">
        <is>
          <t>Expenses</t>
        </is>
      </c>
      <c r="D19686" s="3" t="inlineStr">
        <is>
          <t>3650/000</t>
        </is>
      </c>
      <c r="E19686" s="3" t="inlineStr">
        <is>
          <t>Electricity _AND_ Water</t>
        </is>
      </c>
      <c r="F19686" s="3" t="n">
        <v>3900</v>
      </c>
      <c r="G19686" s="3" t="n">
        <v>6400</v>
      </c>
    </row>
    <row r="19687">
      <c r="A19687" s="3" t="inlineStr">
        <is>
          <t>Opportunity Private Capital (PTY) LTD</t>
        </is>
      </c>
      <c r="B19687" s="4" t="n">
        <v>45382</v>
      </c>
      <c r="C19687" s="3" t="inlineStr">
        <is>
          <t>Expenses</t>
        </is>
      </c>
      <c r="D19687" s="3" t="inlineStr">
        <is>
          <t>3650/000</t>
        </is>
      </c>
      <c r="E19687" s="3" t="inlineStr">
        <is>
          <t>Electricity _AND_ Water</t>
        </is>
      </c>
      <c r="F19687" s="3" t="n">
        <v>2950</v>
      </c>
      <c r="G19687" s="3" t="n">
        <v>2950</v>
      </c>
    </row>
    <row r="19688">
      <c r="A19688" s="3" t="inlineStr">
        <is>
          <t>Trademark Holdings (Pty) Ltd</t>
        </is>
      </c>
      <c r="B19688" s="4" t="n">
        <v>45382</v>
      </c>
      <c r="C19688" s="3" t="inlineStr">
        <is>
          <t>Expenses</t>
        </is>
      </c>
      <c r="D19688" s="3" t="inlineStr">
        <is>
          <t>3650/000</t>
        </is>
      </c>
      <c r="E19688" s="3" t="inlineStr">
        <is>
          <t>Electricity _AND_ Water</t>
        </is>
      </c>
      <c r="F19688" s="3" t="n">
        <v>15000</v>
      </c>
      <c r="G19688" s="3" t="n">
        <v>15000</v>
      </c>
    </row>
    <row r="19689">
      <c r="A19689" s="3" t="inlineStr">
        <is>
          <t>Noble Shield (Pty) Ltd ta Go Letting</t>
        </is>
      </c>
      <c r="B19689" s="4" t="n">
        <v>45382</v>
      </c>
      <c r="C19689" s="3" t="inlineStr">
        <is>
          <t>Expenses</t>
        </is>
      </c>
      <c r="D19689" s="3" t="inlineStr">
        <is>
          <t>3651/000</t>
        </is>
      </c>
      <c r="E19689" s="3" t="inlineStr">
        <is>
          <t>Electricity _AND_ Water - Rentals</t>
        </is>
      </c>
      <c r="F19689" s="3" t="n">
        <v>-1100</v>
      </c>
      <c r="G19689" s="3" t="n">
        <v>-100</v>
      </c>
    </row>
    <row r="19690">
      <c r="A19690" s="3" t="inlineStr">
        <is>
          <t>Quinate Consulting (Pty) Ltd</t>
        </is>
      </c>
      <c r="B19690" s="4" t="n">
        <v>45382</v>
      </c>
      <c r="C19690" s="3" t="inlineStr">
        <is>
          <t>Expenses</t>
        </is>
      </c>
      <c r="D19690" s="3" t="inlineStr">
        <is>
          <t>3651/000</t>
        </is>
      </c>
      <c r="E19690" s="3" t="inlineStr">
        <is>
          <t>Electricity _AND_ Water - Southwark</t>
        </is>
      </c>
      <c r="F19690" s="3" t="n">
        <v>14396.06</v>
      </c>
      <c r="G19690" s="3" t="n">
        <v>14396.06</v>
      </c>
    </row>
    <row r="19691">
      <c r="A19691" s="3" t="inlineStr">
        <is>
          <t>Quinate Consulting (Pty) Ltd</t>
        </is>
      </c>
      <c r="B19691" s="4" t="n">
        <v>45382</v>
      </c>
      <c r="C19691" s="3" t="inlineStr">
        <is>
          <t>Expenses</t>
        </is>
      </c>
      <c r="D19691" s="3" t="inlineStr">
        <is>
          <t>3652/000</t>
        </is>
      </c>
      <c r="E19691" s="3" t="inlineStr">
        <is>
          <t>Electricity _AND_ Water - Soho</t>
        </is>
      </c>
      <c r="F19691" s="3" t="n">
        <v>22670.43</v>
      </c>
      <c r="G19691" s="3" t="n">
        <v>22670.43</v>
      </c>
    </row>
    <row r="19692">
      <c r="A19692" s="3" t="inlineStr">
        <is>
          <t>Noble Shield (Pty) Ltd ta Go Letting</t>
        </is>
      </c>
      <c r="B19692" s="4" t="n">
        <v>45382</v>
      </c>
      <c r="C19692" s="3" t="inlineStr">
        <is>
          <t>Expenses</t>
        </is>
      </c>
      <c r="D19692" s="3" t="inlineStr">
        <is>
          <t>3700/000</t>
        </is>
      </c>
      <c r="E19692" s="3" t="inlineStr">
        <is>
          <t>Entertainment Expenses</t>
        </is>
      </c>
      <c r="F19692" s="3" t="n">
        <v>0</v>
      </c>
      <c r="G19692" s="3" t="n">
        <v>1650</v>
      </c>
    </row>
    <row r="19693">
      <c r="A19693" s="3" t="inlineStr">
        <is>
          <t>Opportunity Global Property (PTY) LTD</t>
        </is>
      </c>
      <c r="B19693" s="4" t="n">
        <v>45382</v>
      </c>
      <c r="C19693" s="3" t="inlineStr">
        <is>
          <t>Expenses</t>
        </is>
      </c>
      <c r="D19693" s="3" t="inlineStr">
        <is>
          <t>3700/000</t>
        </is>
      </c>
      <c r="E19693" s="3" t="inlineStr">
        <is>
          <t>Entertainment Expenses</t>
        </is>
      </c>
      <c r="F19693" s="3" t="n">
        <v>695.65</v>
      </c>
      <c r="G19693" s="3" t="n">
        <v>695.65</v>
      </c>
    </row>
    <row r="19694">
      <c r="A19694" s="3" t="inlineStr">
        <is>
          <t>Opportunity Management Holdings (PTY) LTD</t>
        </is>
      </c>
      <c r="B19694" s="4" t="n">
        <v>45382</v>
      </c>
      <c r="C19694" s="3" t="inlineStr">
        <is>
          <t>Expenses</t>
        </is>
      </c>
      <c r="D19694" s="3" t="inlineStr">
        <is>
          <t>3700/000</t>
        </is>
      </c>
      <c r="E19694" s="3" t="inlineStr">
        <is>
          <t>Entertainment Expenses</t>
        </is>
      </c>
      <c r="F19694" s="3" t="n">
        <v>0</v>
      </c>
      <c r="G19694" s="3" t="n">
        <v>1126.13</v>
      </c>
    </row>
    <row r="19695">
      <c r="A19695" s="3" t="inlineStr">
        <is>
          <t>Opportunity Private Capital (PTY) LTD</t>
        </is>
      </c>
      <c r="B19695" s="4" t="n">
        <v>45382</v>
      </c>
      <c r="C19695" s="3" t="inlineStr">
        <is>
          <t>Expenses</t>
        </is>
      </c>
      <c r="D19695" s="3" t="inlineStr">
        <is>
          <t>3700/000</t>
        </is>
      </c>
      <c r="E19695" s="3" t="inlineStr">
        <is>
          <t>Entertainment Expenses</t>
        </is>
      </c>
      <c r="F19695" s="3" t="n">
        <v>1117.38</v>
      </c>
      <c r="G19695" s="3" t="n">
        <v>1117.38</v>
      </c>
    </row>
    <row r="19696">
      <c r="A19696" s="3" t="inlineStr">
        <is>
          <t>Opportunity Private Capital Sales (PTY) LTD</t>
        </is>
      </c>
      <c r="B19696" s="4" t="n">
        <v>45382</v>
      </c>
      <c r="C19696" s="3" t="inlineStr">
        <is>
          <t>Expenses</t>
        </is>
      </c>
      <c r="D19696" s="3" t="inlineStr">
        <is>
          <t>3700/000</t>
        </is>
      </c>
      <c r="E19696" s="3" t="inlineStr">
        <is>
          <t>Entertainment Expenses</t>
        </is>
      </c>
      <c r="F19696" s="3" t="n">
        <v>478.26</v>
      </c>
      <c r="G19696" s="3" t="n">
        <v>478.26</v>
      </c>
    </row>
    <row r="19697">
      <c r="A19697" s="3" t="inlineStr">
        <is>
          <t>Noble Shield (Pty) Ltd ta Go Letting</t>
        </is>
      </c>
      <c r="B19697" s="4" t="n">
        <v>45382</v>
      </c>
      <c r="C19697" s="3" t="inlineStr">
        <is>
          <t>Expenses</t>
        </is>
      </c>
      <c r="D19697" s="3" t="inlineStr">
        <is>
          <t>3800/000</t>
        </is>
      </c>
      <c r="E19697" s="3" t="inlineStr">
        <is>
          <t>General Expenses</t>
        </is>
      </c>
      <c r="F19697" s="3" t="n">
        <v>269.99</v>
      </c>
      <c r="G19697" s="3" t="n">
        <v>319.98</v>
      </c>
    </row>
    <row r="19698">
      <c r="A19698" s="3" t="inlineStr">
        <is>
          <t>Opportunity Global Property (PTY) LTD</t>
        </is>
      </c>
      <c r="B19698" s="4" t="n">
        <v>45382</v>
      </c>
      <c r="C19698" s="3" t="inlineStr">
        <is>
          <t>Expenses</t>
        </is>
      </c>
      <c r="D19698" s="3" t="inlineStr">
        <is>
          <t>3800/000</t>
        </is>
      </c>
      <c r="E19698" s="3" t="inlineStr">
        <is>
          <t>General Expenses</t>
        </is>
      </c>
      <c r="F19698" s="3" t="n">
        <v>156.5</v>
      </c>
      <c r="G19698" s="3" t="n">
        <v>156.5</v>
      </c>
    </row>
    <row r="19699">
      <c r="A19699" s="3" t="inlineStr">
        <is>
          <t>Opportunity Management Holdings (PTY) LTD</t>
        </is>
      </c>
      <c r="B19699" s="4" t="n">
        <v>45382</v>
      </c>
      <c r="C19699" s="3" t="inlineStr">
        <is>
          <t>Expenses</t>
        </is>
      </c>
      <c r="D19699" s="3" t="inlineStr">
        <is>
          <t>3800/000</t>
        </is>
      </c>
      <c r="E19699" s="3" t="inlineStr">
        <is>
          <t>General Expenses</t>
        </is>
      </c>
      <c r="F19699" s="3" t="n">
        <v>5.68</v>
      </c>
      <c r="G19699" s="3" t="n">
        <v>1518.3</v>
      </c>
    </row>
    <row r="19700">
      <c r="A19700" s="3" t="inlineStr">
        <is>
          <t>Opportunity Private Capital Sales (PTY) LTD</t>
        </is>
      </c>
      <c r="B19700" s="4" t="n">
        <v>45382</v>
      </c>
      <c r="C19700" s="3" t="inlineStr">
        <is>
          <t>Expenses</t>
        </is>
      </c>
      <c r="D19700" s="3" t="inlineStr">
        <is>
          <t>3800/000</t>
        </is>
      </c>
      <c r="E19700" s="3" t="inlineStr">
        <is>
          <t>General Expenses</t>
        </is>
      </c>
      <c r="F19700" s="3" t="n">
        <v>156.5</v>
      </c>
      <c r="G19700" s="3" t="n">
        <v>156.5</v>
      </c>
    </row>
    <row r="19701">
      <c r="A19701" s="3" t="inlineStr">
        <is>
          <t>Quinate Consulting (Pty) Ltd</t>
        </is>
      </c>
      <c r="B19701" s="4" t="n">
        <v>45382</v>
      </c>
      <c r="C19701" s="3" t="inlineStr">
        <is>
          <t>Expenses</t>
        </is>
      </c>
      <c r="D19701" s="3" t="inlineStr">
        <is>
          <t>3800/000</t>
        </is>
      </c>
      <c r="E19701" s="3" t="inlineStr">
        <is>
          <t>General Expenses</t>
        </is>
      </c>
      <c r="F19701" s="3" t="n">
        <v>1338.11</v>
      </c>
      <c r="G19701" s="3" t="n">
        <v>1338.11</v>
      </c>
    </row>
    <row r="19702">
      <c r="A19702" s="3" t="inlineStr">
        <is>
          <t>Opportunity Management Holdings (PTY) LTD</t>
        </is>
      </c>
      <c r="B19702" s="4" t="n">
        <v>45382</v>
      </c>
      <c r="C19702" s="3" t="inlineStr">
        <is>
          <t>Expenses</t>
        </is>
      </c>
      <c r="D19702" s="3" t="inlineStr">
        <is>
          <t>3800/010</t>
        </is>
      </c>
      <c r="E19702" s="3" t="inlineStr">
        <is>
          <t>General Expenses - Gifts</t>
        </is>
      </c>
      <c r="F19702" s="3" t="n">
        <v>1755.08</v>
      </c>
      <c r="G19702" s="3" t="n">
        <v>10963.65</v>
      </c>
    </row>
    <row r="19703">
      <c r="A19703" s="3" t="inlineStr">
        <is>
          <t>Opportunity Management Holdings (PTY) LTD</t>
        </is>
      </c>
      <c r="B19703" s="4" t="n">
        <v>45382</v>
      </c>
      <c r="C19703" s="3" t="inlineStr">
        <is>
          <t>Expenses</t>
        </is>
      </c>
      <c r="D19703" s="3" t="inlineStr">
        <is>
          <t>3800/030</t>
        </is>
      </c>
      <c r="E19703" s="3" t="inlineStr">
        <is>
          <t>General Expenses: Showhouse Heron View</t>
        </is>
      </c>
      <c r="F19703" s="3" t="n">
        <v>0</v>
      </c>
      <c r="G19703" s="3" t="n">
        <v>987.72</v>
      </c>
    </row>
    <row r="19704">
      <c r="A19704" s="3" t="inlineStr">
        <is>
          <t>Opportunity Management Holdings (PTY) LTD</t>
        </is>
      </c>
      <c r="B19704" s="4" t="n">
        <v>45382</v>
      </c>
      <c r="C19704" s="3" t="inlineStr">
        <is>
          <t>Expenses</t>
        </is>
      </c>
      <c r="D19704" s="3" t="inlineStr">
        <is>
          <t>3850/000</t>
        </is>
      </c>
      <c r="E19704" s="3" t="inlineStr">
        <is>
          <t>Insurance - Momentum</t>
        </is>
      </c>
      <c r="F19704" s="3" t="n">
        <v>1969.99</v>
      </c>
      <c r="G19704" s="3" t="n">
        <v>12694.21</v>
      </c>
    </row>
    <row r="19705">
      <c r="A19705" s="3" t="inlineStr">
        <is>
          <t>Noble Shield (Pty) Ltd ta Go Letting</t>
        </is>
      </c>
      <c r="B19705" s="4" t="n">
        <v>45382</v>
      </c>
      <c r="C19705" s="3" t="inlineStr">
        <is>
          <t>Expenses</t>
        </is>
      </c>
      <c r="D19705" s="3" t="inlineStr">
        <is>
          <t>3850/100</t>
        </is>
      </c>
      <c r="E19705" s="3" t="inlineStr">
        <is>
          <t>Insurance - Santam</t>
        </is>
      </c>
      <c r="F19705" s="3" t="n">
        <v>4249.41</v>
      </c>
      <c r="G19705" s="3" t="n">
        <v>29745.87</v>
      </c>
    </row>
    <row r="19706">
      <c r="A19706" s="3" t="inlineStr">
        <is>
          <t>Noble Shield (Pty) Ltd ta Go Letting</t>
        </is>
      </c>
      <c r="B19706" s="4" t="n">
        <v>45382</v>
      </c>
      <c r="C19706" s="3" t="inlineStr">
        <is>
          <t>Expenses</t>
        </is>
      </c>
      <c r="D19706" s="3" t="inlineStr">
        <is>
          <t>3850/200</t>
        </is>
      </c>
      <c r="E19706" s="3" t="inlineStr">
        <is>
          <t>Insurance - A_AND_G</t>
        </is>
      </c>
      <c r="F19706" s="3" t="n">
        <v>4788.84</v>
      </c>
      <c r="G19706" s="3" t="n">
        <v>18255.6</v>
      </c>
    </row>
    <row r="19707">
      <c r="A19707" s="3" t="inlineStr">
        <is>
          <t>Quinate Consulting (Pty) Ltd</t>
        </is>
      </c>
      <c r="B19707" s="4" t="n">
        <v>45382</v>
      </c>
      <c r="C19707" s="3" t="inlineStr">
        <is>
          <t>Expenses</t>
        </is>
      </c>
      <c r="D19707" s="3" t="inlineStr">
        <is>
          <t>3851/000</t>
        </is>
      </c>
      <c r="E19707" s="3" t="inlineStr">
        <is>
          <t>Insurance - Momentum</t>
        </is>
      </c>
      <c r="F19707" s="3" t="n">
        <v>9274.969999999999</v>
      </c>
      <c r="G19707" s="3" t="n">
        <v>9274.969999999999</v>
      </c>
    </row>
    <row r="19708">
      <c r="A19708" s="3" t="inlineStr">
        <is>
          <t>Opportunity Management Holdings (PTY) LTD</t>
        </is>
      </c>
      <c r="B19708" s="4" t="n">
        <v>45382</v>
      </c>
      <c r="C19708" s="3" t="inlineStr">
        <is>
          <t>Expenses</t>
        </is>
      </c>
      <c r="D19708" s="3" t="inlineStr">
        <is>
          <t>3960/000</t>
        </is>
      </c>
      <c r="E19708" s="3" t="inlineStr">
        <is>
          <t>Internet Fees</t>
        </is>
      </c>
      <c r="F19708" s="3" t="n">
        <v>1256.26</v>
      </c>
      <c r="G19708" s="3" t="n">
        <v>4609.5</v>
      </c>
    </row>
    <row r="19709">
      <c r="A19709" s="3" t="inlineStr">
        <is>
          <t>Quinate Consulting (Pty) Ltd</t>
        </is>
      </c>
      <c r="B19709" s="4" t="n">
        <v>45382</v>
      </c>
      <c r="C19709" s="3" t="inlineStr">
        <is>
          <t>Expenses</t>
        </is>
      </c>
      <c r="D19709" s="3" t="inlineStr">
        <is>
          <t>4065/000</t>
        </is>
      </c>
      <c r="E19709" s="3" t="inlineStr">
        <is>
          <t>Levies - SoHo</t>
        </is>
      </c>
      <c r="F19709" s="3" t="n">
        <v>7183.38</v>
      </c>
      <c r="G19709" s="3" t="n">
        <v>7183.38</v>
      </c>
    </row>
    <row r="19710">
      <c r="A19710" s="3" t="inlineStr">
        <is>
          <t>Quinate Consulting (Pty) Ltd</t>
        </is>
      </c>
      <c r="B19710" s="4" t="n">
        <v>45382</v>
      </c>
      <c r="C19710" s="3" t="inlineStr">
        <is>
          <t>Expenses</t>
        </is>
      </c>
      <c r="D19710" s="3" t="inlineStr">
        <is>
          <t>4066/000</t>
        </is>
      </c>
      <c r="E19710" s="3" t="inlineStr">
        <is>
          <t>Levies - Southwark</t>
        </is>
      </c>
      <c r="F19710" s="3" t="n">
        <v>3650.29</v>
      </c>
      <c r="G19710" s="3" t="n">
        <v>3650.29</v>
      </c>
    </row>
    <row r="19711">
      <c r="A19711" s="3" t="inlineStr">
        <is>
          <t>Quinate Consulting (Pty) Ltd</t>
        </is>
      </c>
      <c r="B19711" s="4" t="n">
        <v>45382</v>
      </c>
      <c r="C19711" s="3" t="inlineStr">
        <is>
          <t>Expenses</t>
        </is>
      </c>
      <c r="D19711" s="3" t="inlineStr">
        <is>
          <t>4067/000</t>
        </is>
      </c>
      <c r="E19711" s="3" t="inlineStr">
        <is>
          <t>Levies - C4 Property</t>
        </is>
      </c>
      <c r="F19711" s="3" t="n">
        <v>21276.19</v>
      </c>
      <c r="G19711" s="3" t="n">
        <v>21276.19</v>
      </c>
    </row>
    <row r="19712">
      <c r="A19712" s="3" t="inlineStr">
        <is>
          <t>Opportunity Management Holdings (PTY) LTD</t>
        </is>
      </c>
      <c r="B19712" s="4" t="n">
        <v>45382</v>
      </c>
      <c r="C19712" s="3" t="inlineStr">
        <is>
          <t>Expenses</t>
        </is>
      </c>
      <c r="D19712" s="3" t="inlineStr">
        <is>
          <t>4090/000</t>
        </is>
      </c>
      <c r="E19712" s="3" t="inlineStr">
        <is>
          <t>Marketing - Website_AND_MultiMedia</t>
        </is>
      </c>
      <c r="F19712" s="3" t="n">
        <v>300</v>
      </c>
      <c r="G19712" s="3" t="n">
        <v>300</v>
      </c>
    </row>
    <row r="19713">
      <c r="A19713" s="3" t="inlineStr">
        <is>
          <t>Opportunity Management Holdings (PTY) LTD</t>
        </is>
      </c>
      <c r="B19713" s="4" t="n">
        <v>45382</v>
      </c>
      <c r="C19713" s="3" t="inlineStr">
        <is>
          <t>Expenses</t>
        </is>
      </c>
      <c r="D19713" s="3" t="inlineStr">
        <is>
          <t>4150/010</t>
        </is>
      </c>
      <c r="E19713" s="3" t="inlineStr">
        <is>
          <t>Motor Vehicle - Petrol _AND_ Oil</t>
        </is>
      </c>
      <c r="F19713" s="3" t="n">
        <v>0</v>
      </c>
      <c r="G19713" s="3" t="n">
        <v>1350</v>
      </c>
    </row>
    <row r="19714">
      <c r="A19714" s="3" t="inlineStr">
        <is>
          <t>Opportunity Management Holdings (PTY) LTD</t>
        </is>
      </c>
      <c r="B19714" s="4" t="n">
        <v>45382</v>
      </c>
      <c r="C19714" s="3" t="inlineStr">
        <is>
          <t>Expenses</t>
        </is>
      </c>
      <c r="D19714" s="3" t="inlineStr">
        <is>
          <t>4200/000</t>
        </is>
      </c>
      <c r="E19714" s="3" t="inlineStr">
        <is>
          <t>Printing _AND_ Stationery</t>
        </is>
      </c>
      <c r="F19714" s="3" t="n">
        <v>0</v>
      </c>
      <c r="G19714" s="3" t="n">
        <v>1147.8</v>
      </c>
    </row>
    <row r="19715">
      <c r="A19715" s="3" t="inlineStr">
        <is>
          <t>Opportunity Private Capital (PTY) LTD</t>
        </is>
      </c>
      <c r="B19715" s="4" t="n">
        <v>45382</v>
      </c>
      <c r="C19715" s="3" t="inlineStr">
        <is>
          <t>Expenses</t>
        </is>
      </c>
      <c r="D19715" s="3" t="inlineStr">
        <is>
          <t>4200/000</t>
        </is>
      </c>
      <c r="E19715" s="3" t="inlineStr">
        <is>
          <t>Printing _AND_ Stationery</t>
        </is>
      </c>
      <c r="F19715" s="3" t="n">
        <v>2367</v>
      </c>
      <c r="G19715" s="3" t="n">
        <v>2367</v>
      </c>
    </row>
    <row r="19716">
      <c r="A19716" s="3" t="inlineStr">
        <is>
          <t>Noble Shield (Pty) Ltd ta Go Letting</t>
        </is>
      </c>
      <c r="B19716" s="4" t="n">
        <v>45382</v>
      </c>
      <c r="C19716" s="3" t="inlineStr">
        <is>
          <t>Expenses</t>
        </is>
      </c>
      <c r="D19716" s="3" t="inlineStr">
        <is>
          <t>4200/100</t>
        </is>
      </c>
      <c r="E19716" s="3" t="inlineStr">
        <is>
          <t>Printing - Merchant West- Printer Rental</t>
        </is>
      </c>
      <c r="F19716" s="3" t="n">
        <v>1953.85</v>
      </c>
      <c r="G19716" s="3" t="n">
        <v>16078.62</v>
      </c>
    </row>
    <row r="19717">
      <c r="A19717" s="3" t="inlineStr">
        <is>
          <t>Noble Shield (Pty) Ltd ta Go Letting</t>
        </is>
      </c>
      <c r="B19717" s="4" t="n">
        <v>45382</v>
      </c>
      <c r="C19717" s="3" t="inlineStr">
        <is>
          <t>Expenses</t>
        </is>
      </c>
      <c r="D19717" s="3" t="inlineStr">
        <is>
          <t>4200/120</t>
        </is>
      </c>
      <c r="E19717" s="3" t="inlineStr">
        <is>
          <t>Printing - Ivy Line - Prints</t>
        </is>
      </c>
      <c r="F19717" s="3" t="n">
        <v>1394.1</v>
      </c>
      <c r="G19717" s="3" t="n">
        <v>6501.14</v>
      </c>
    </row>
    <row r="19718">
      <c r="A19718" s="3" t="inlineStr">
        <is>
          <t>Noble Shield (Pty) Ltd ta Go Letting</t>
        </is>
      </c>
      <c r="B19718" s="4" t="n">
        <v>45382</v>
      </c>
      <c r="C19718" s="3" t="inlineStr">
        <is>
          <t>Expenses</t>
        </is>
      </c>
      <c r="D19718" s="3" t="inlineStr">
        <is>
          <t>4200/180</t>
        </is>
      </c>
      <c r="E19718" s="3" t="inlineStr">
        <is>
          <t>Printing - Ikon</t>
        </is>
      </c>
      <c r="F19718" s="3" t="n">
        <v>260.03</v>
      </c>
      <c r="G19718" s="3" t="n">
        <v>2203.86</v>
      </c>
    </row>
    <row r="19719">
      <c r="A19719" s="3" t="inlineStr">
        <is>
          <t>Noble Shield (Pty) Ltd ta Go Letting</t>
        </is>
      </c>
      <c r="B19719" s="4" t="n">
        <v>45382</v>
      </c>
      <c r="C19719" s="3" t="inlineStr">
        <is>
          <t>Expenses</t>
        </is>
      </c>
      <c r="D19719" s="3" t="inlineStr">
        <is>
          <t>4200/190</t>
        </is>
      </c>
      <c r="E19719" s="3" t="inlineStr">
        <is>
          <t>Printing - Centrafin printer rental</t>
        </is>
      </c>
      <c r="F19719" s="3" t="n">
        <v>6422.36</v>
      </c>
      <c r="G19719" s="3" t="n">
        <v>24521.72</v>
      </c>
    </row>
    <row r="19720">
      <c r="A19720" s="3" t="inlineStr">
        <is>
          <t>Noble Shield (Pty) Ltd ta Go Letting</t>
        </is>
      </c>
      <c r="B19720" s="4" t="n">
        <v>45382</v>
      </c>
      <c r="C19720" s="3" t="inlineStr">
        <is>
          <t>Expenses</t>
        </is>
      </c>
      <c r="D19720" s="3" t="inlineStr">
        <is>
          <t>4200/200</t>
        </is>
      </c>
      <c r="E19720" s="3" t="inlineStr">
        <is>
          <t>Printing - General Stationery VDB Office</t>
        </is>
      </c>
      <c r="F19720" s="3" t="n">
        <v>1820.69</v>
      </c>
      <c r="G19720" s="3" t="n">
        <v>6666.38</v>
      </c>
    </row>
    <row r="19721">
      <c r="A19721" s="3" t="inlineStr">
        <is>
          <t>Opportunity Global Property (PTY) LTD</t>
        </is>
      </c>
      <c r="B19721" s="4" t="n">
        <v>45382</v>
      </c>
      <c r="C19721" s="3" t="inlineStr">
        <is>
          <t>Expenses</t>
        </is>
      </c>
      <c r="D19721" s="3" t="inlineStr">
        <is>
          <t>4220/000</t>
        </is>
      </c>
      <c r="E19721" s="3" t="inlineStr">
        <is>
          <t>Motor Vehicle Expenses - Petrol _AND_ Oil</t>
        </is>
      </c>
      <c r="F19721" s="3" t="n">
        <v>173.91</v>
      </c>
      <c r="G19721" s="3" t="n">
        <v>173.91</v>
      </c>
    </row>
    <row r="19722">
      <c r="A19722" s="3" t="inlineStr">
        <is>
          <t>Opportunity Private Capital (PTY) LTD</t>
        </is>
      </c>
      <c r="B19722" s="4" t="n">
        <v>45382</v>
      </c>
      <c r="C19722" s="3" t="inlineStr">
        <is>
          <t>Expenses</t>
        </is>
      </c>
      <c r="D19722" s="3" t="inlineStr">
        <is>
          <t>4220/000</t>
        </is>
      </c>
      <c r="E19722" s="3" t="inlineStr">
        <is>
          <t>Motor Vehicle Expenses - Petrol _AND_ Oil</t>
        </is>
      </c>
      <c r="F19722" s="3" t="n">
        <v>4088.95</v>
      </c>
      <c r="G19722" s="3" t="n">
        <v>4088.95</v>
      </c>
    </row>
    <row r="19723">
      <c r="A19723" s="3" t="inlineStr">
        <is>
          <t>Noble Shield (Pty) Ltd ta Go Letting</t>
        </is>
      </c>
      <c r="B19723" s="4" t="n">
        <v>45382</v>
      </c>
      <c r="C19723" s="3" t="inlineStr">
        <is>
          <t>Expenses</t>
        </is>
      </c>
      <c r="D19723" s="3" t="inlineStr">
        <is>
          <t>4290/000</t>
        </is>
      </c>
      <c r="E19723" s="3" t="inlineStr">
        <is>
          <t>Refreshments - CT Office</t>
        </is>
      </c>
      <c r="F19723" s="3" t="n">
        <v>1759.49</v>
      </c>
      <c r="G19723" s="3" t="n">
        <v>11416.95</v>
      </c>
    </row>
    <row r="19724">
      <c r="A19724" s="3" t="inlineStr">
        <is>
          <t>Opportunity Private Capital (PTY) LTD</t>
        </is>
      </c>
      <c r="B19724" s="4" t="n">
        <v>45382</v>
      </c>
      <c r="C19724" s="3" t="inlineStr">
        <is>
          <t>Expenses</t>
        </is>
      </c>
      <c r="D19724" s="3" t="inlineStr">
        <is>
          <t>4290/000</t>
        </is>
      </c>
      <c r="E19724" s="3" t="inlineStr">
        <is>
          <t>Rent</t>
        </is>
      </c>
      <c r="F19724" s="3" t="n">
        <v>8770</v>
      </c>
      <c r="G19724" s="3" t="n">
        <v>8770</v>
      </c>
    </row>
    <row r="19725">
      <c r="A19725" s="3" t="inlineStr">
        <is>
          <t>Noble Shield (Pty) Ltd ta Go Letting</t>
        </is>
      </c>
      <c r="B19725" s="4" t="n">
        <v>45382</v>
      </c>
      <c r="C19725" s="3" t="inlineStr">
        <is>
          <t>Expenses</t>
        </is>
      </c>
      <c r="D19725" s="3" t="inlineStr">
        <is>
          <t>4291/000</t>
        </is>
      </c>
      <c r="E19725" s="3" t="inlineStr">
        <is>
          <t>Refreshments - VDB Office</t>
        </is>
      </c>
      <c r="F19725" s="3" t="n">
        <v>534.08</v>
      </c>
      <c r="G19725" s="3" t="n">
        <v>3820.77</v>
      </c>
    </row>
    <row r="19726">
      <c r="A19726" s="3" t="inlineStr">
        <is>
          <t>Trademark Holdings (Pty) Ltd</t>
        </is>
      </c>
      <c r="B19726" s="4" t="n">
        <v>45382</v>
      </c>
      <c r="C19726" s="3" t="inlineStr">
        <is>
          <t>Expenses</t>
        </is>
      </c>
      <c r="D19726" s="3" t="inlineStr">
        <is>
          <t>4300/000</t>
        </is>
      </c>
      <c r="E19726" s="3" t="inlineStr">
        <is>
          <t>Rent Paid</t>
        </is>
      </c>
      <c r="F19726" s="3" t="n">
        <v>6950</v>
      </c>
      <c r="G19726" s="3" t="n">
        <v>48390</v>
      </c>
    </row>
    <row r="19727">
      <c r="A19727" s="3" t="inlineStr">
        <is>
          <t>Opportunity Management Holdings (PTY) LTD</t>
        </is>
      </c>
      <c r="B19727" s="4" t="n">
        <v>45382</v>
      </c>
      <c r="C19727" s="3" t="inlineStr">
        <is>
          <t>Expenses</t>
        </is>
      </c>
      <c r="D19727" s="3" t="inlineStr">
        <is>
          <t>4310/000</t>
        </is>
      </c>
      <c r="E19727" s="3" t="inlineStr">
        <is>
          <t>Refreshments</t>
        </is>
      </c>
      <c r="F19727" s="3" t="n">
        <v>3561.95</v>
      </c>
      <c r="G19727" s="3" t="n">
        <v>47936.97</v>
      </c>
    </row>
    <row r="19728">
      <c r="A19728" s="3" t="inlineStr">
        <is>
          <t>Opportunity Private Capital (PTY) LTD</t>
        </is>
      </c>
      <c r="B19728" s="4" t="n">
        <v>45382</v>
      </c>
      <c r="C19728" s="3" t="inlineStr">
        <is>
          <t>Expenses</t>
        </is>
      </c>
      <c r="D19728" s="3" t="inlineStr">
        <is>
          <t>4310/000</t>
        </is>
      </c>
      <c r="E19728" s="3" t="inlineStr">
        <is>
          <t>Refreshments</t>
        </is>
      </c>
      <c r="F19728" s="3" t="n">
        <v>2521</v>
      </c>
      <c r="G19728" s="3" t="n">
        <v>2521</v>
      </c>
    </row>
    <row r="19729">
      <c r="A19729" s="3" t="inlineStr">
        <is>
          <t>Opportunity Management Holdings (PTY) LTD</t>
        </is>
      </c>
      <c r="B19729" s="4" t="n">
        <v>45382</v>
      </c>
      <c r="C19729" s="3" t="inlineStr">
        <is>
          <t>Expenses</t>
        </is>
      </c>
      <c r="D19729" s="3" t="inlineStr">
        <is>
          <t>4350/000</t>
        </is>
      </c>
      <c r="E19729" s="3" t="inlineStr">
        <is>
          <t>Repairs _AND_ Maintenance</t>
        </is>
      </c>
      <c r="F19729" s="3" t="n">
        <v>0</v>
      </c>
      <c r="G19729" s="3" t="n">
        <v>1641.09</v>
      </c>
    </row>
    <row r="19730">
      <c r="A19730" s="3" t="inlineStr">
        <is>
          <t>Noble Shield (Pty) Ltd ta Go Letting</t>
        </is>
      </c>
      <c r="B19730" s="4" t="n">
        <v>45382</v>
      </c>
      <c r="C19730" s="3" t="inlineStr">
        <is>
          <t>Expenses</t>
        </is>
      </c>
      <c r="D19730" s="3" t="inlineStr">
        <is>
          <t>4351/000</t>
        </is>
      </c>
      <c r="E19730" s="3" t="inlineStr">
        <is>
          <t>Repairs _AND_ Maintanence - Rentals</t>
        </is>
      </c>
      <c r="F19730" s="3" t="n">
        <v>0</v>
      </c>
      <c r="G19730" s="3" t="n">
        <v>286.75</v>
      </c>
    </row>
    <row r="19731">
      <c r="A19731" s="3" t="inlineStr">
        <is>
          <t>Opportunity Management Holdings (PTY) LTD</t>
        </is>
      </c>
      <c r="B19731" s="4" t="n">
        <v>45382</v>
      </c>
      <c r="C19731" s="3" t="inlineStr">
        <is>
          <t>Expenses</t>
        </is>
      </c>
      <c r="D19731" s="3" t="inlineStr">
        <is>
          <t>4390/000</t>
        </is>
      </c>
      <c r="E19731" s="3" t="inlineStr">
        <is>
          <t>Small Assets</t>
        </is>
      </c>
      <c r="F19731" s="3" t="n">
        <v>0</v>
      </c>
      <c r="G19731" s="3" t="n">
        <v>7208.26</v>
      </c>
    </row>
    <row r="19732">
      <c r="A19732" s="3" t="inlineStr">
        <is>
          <t>Noble Shield (Pty) Ltd ta Go Letting</t>
        </is>
      </c>
      <c r="B19732" s="4" t="n">
        <v>45382</v>
      </c>
      <c r="C19732" s="3" t="inlineStr">
        <is>
          <t>Expenses</t>
        </is>
      </c>
      <c r="D19732" s="3" t="inlineStr">
        <is>
          <t>4400/000</t>
        </is>
      </c>
      <c r="E19732" s="3" t="inlineStr">
        <is>
          <t>Salaries _AND_ Wages</t>
        </is>
      </c>
      <c r="F19732" s="3" t="n">
        <v>29656.2</v>
      </c>
      <c r="G19732" s="3" t="n">
        <v>193890.9</v>
      </c>
    </row>
    <row r="19733">
      <c r="A19733" s="3" t="inlineStr">
        <is>
          <t>Opportunity Management Holdings (PTY) LTD</t>
        </is>
      </c>
      <c r="B19733" s="4" t="n">
        <v>45382</v>
      </c>
      <c r="C19733" s="3" t="inlineStr">
        <is>
          <t>Expenses</t>
        </is>
      </c>
      <c r="D19733" s="3" t="inlineStr">
        <is>
          <t>4400/000</t>
        </is>
      </c>
      <c r="E19733" s="3" t="inlineStr">
        <is>
          <t>Salaries _AND_ Wages</t>
        </is>
      </c>
      <c r="F19733" s="3" t="n">
        <v>229910.68</v>
      </c>
      <c r="G19733" s="3" t="n">
        <v>1534963.72</v>
      </c>
    </row>
    <row r="19734">
      <c r="A19734" s="3" t="inlineStr">
        <is>
          <t>Trademark Holdings (Pty) Ltd</t>
        </is>
      </c>
      <c r="B19734" s="4" t="n">
        <v>45382</v>
      </c>
      <c r="C19734" s="3" t="inlineStr">
        <is>
          <t>Expenses</t>
        </is>
      </c>
      <c r="D19734" s="3" t="inlineStr">
        <is>
          <t>4400/000</t>
        </is>
      </c>
      <c r="E19734" s="3" t="inlineStr">
        <is>
          <t>Salaries _AND_ Wages</t>
        </is>
      </c>
      <c r="F19734" s="3" t="n">
        <v>12429.45</v>
      </c>
      <c r="G19734" s="3" t="n">
        <v>87006.14999999999</v>
      </c>
    </row>
    <row r="19735">
      <c r="A19735" s="3" t="inlineStr">
        <is>
          <t>Opportunity Private Capital (PTY) LTD</t>
        </is>
      </c>
      <c r="B19735" s="4" t="n">
        <v>45382</v>
      </c>
      <c r="C19735" s="3" t="inlineStr">
        <is>
          <t>Expenses</t>
        </is>
      </c>
      <c r="D19735" s="3" t="inlineStr">
        <is>
          <t>4450/000</t>
        </is>
      </c>
      <c r="E19735" s="3" t="inlineStr">
        <is>
          <t>Staff Training</t>
        </is>
      </c>
      <c r="F19735" s="3" t="n">
        <v>3022.61</v>
      </c>
      <c r="G19735" s="3" t="n">
        <v>3022.61</v>
      </c>
    </row>
    <row r="19736">
      <c r="A19736" s="3" t="inlineStr">
        <is>
          <t>Noble Shield (Pty) Ltd ta Go Letting</t>
        </is>
      </c>
      <c r="B19736" s="4" t="n">
        <v>45382</v>
      </c>
      <c r="C19736" s="3" t="inlineStr">
        <is>
          <t>Expenses</t>
        </is>
      </c>
      <c r="D19736" s="3" t="inlineStr">
        <is>
          <t>4500/000</t>
        </is>
      </c>
      <c r="E19736" s="3" t="inlineStr">
        <is>
          <t>Staff Welfare</t>
        </is>
      </c>
      <c r="F19736" s="3" t="n">
        <v>0</v>
      </c>
      <c r="G19736" s="3" t="n">
        <v>5599.4</v>
      </c>
    </row>
    <row r="19737">
      <c r="A19737" s="3" t="inlineStr">
        <is>
          <t>Opportunity Global Property (PTY) LTD</t>
        </is>
      </c>
      <c r="B19737" s="4" t="n">
        <v>45382</v>
      </c>
      <c r="C19737" s="3" t="inlineStr">
        <is>
          <t>Expenses</t>
        </is>
      </c>
      <c r="D19737" s="3" t="inlineStr">
        <is>
          <t>4500/000</t>
        </is>
      </c>
      <c r="E19737" s="3" t="inlineStr">
        <is>
          <t>Staff Welfare</t>
        </is>
      </c>
      <c r="F19737" s="3" t="n">
        <v>1939.13</v>
      </c>
      <c r="G19737" s="3" t="n">
        <v>1939.13</v>
      </c>
    </row>
    <row r="19738">
      <c r="A19738" s="3" t="inlineStr">
        <is>
          <t>Opportunity Management Holdings (PTY) LTD</t>
        </is>
      </c>
      <c r="B19738" s="4" t="n">
        <v>45382</v>
      </c>
      <c r="C19738" s="3" t="inlineStr">
        <is>
          <t>Expenses</t>
        </is>
      </c>
      <c r="D19738" s="3" t="inlineStr">
        <is>
          <t>4500/000</t>
        </is>
      </c>
      <c r="E19738" s="3" t="inlineStr">
        <is>
          <t>Staff Welfare</t>
        </is>
      </c>
      <c r="F19738" s="3" t="n">
        <v>6679.91</v>
      </c>
      <c r="G19738" s="3" t="n">
        <v>72294.33</v>
      </c>
    </row>
    <row r="19739">
      <c r="A19739" s="3" t="inlineStr">
        <is>
          <t>Opportunity Private Capital Sales (PTY) LTD</t>
        </is>
      </c>
      <c r="B19739" s="4" t="n">
        <v>45382</v>
      </c>
      <c r="C19739" s="3" t="inlineStr">
        <is>
          <t>Expenses</t>
        </is>
      </c>
      <c r="D19739" s="3" t="inlineStr">
        <is>
          <t>4500/000</t>
        </is>
      </c>
      <c r="E19739" s="3" t="inlineStr">
        <is>
          <t>Staff Welfare</t>
        </is>
      </c>
      <c r="F19739" s="3" t="n">
        <v>200</v>
      </c>
      <c r="G19739" s="3" t="n">
        <v>200</v>
      </c>
    </row>
    <row r="19740">
      <c r="A19740" s="3" t="inlineStr">
        <is>
          <t>Noble Shield (Pty) Ltd ta Go Letting</t>
        </is>
      </c>
      <c r="B19740" s="4" t="n">
        <v>45382</v>
      </c>
      <c r="C19740" s="3" t="inlineStr">
        <is>
          <t>Expenses</t>
        </is>
      </c>
      <c r="D19740" s="3" t="inlineStr">
        <is>
          <t>4520/000</t>
        </is>
      </c>
      <c r="E19740" s="3" t="inlineStr">
        <is>
          <t>Security</t>
        </is>
      </c>
      <c r="F19740" s="3" t="n">
        <v>884</v>
      </c>
      <c r="G19740" s="3" t="n">
        <v>6343.44</v>
      </c>
    </row>
    <row r="19741">
      <c r="A19741" s="3" t="inlineStr">
        <is>
          <t>Quinate Consulting (Pty) Ltd</t>
        </is>
      </c>
      <c r="B19741" s="4" t="n">
        <v>45382</v>
      </c>
      <c r="C19741" s="3" t="inlineStr">
        <is>
          <t>Expenses</t>
        </is>
      </c>
      <c r="D19741" s="3" t="inlineStr">
        <is>
          <t>4550/000</t>
        </is>
      </c>
      <c r="E19741" s="3" t="inlineStr">
        <is>
          <t>Subscriptions / Licenses</t>
        </is>
      </c>
      <c r="F19741" s="3" t="n">
        <v>14747.07</v>
      </c>
      <c r="G19741" s="3" t="n">
        <v>14747.07</v>
      </c>
    </row>
    <row r="19742">
      <c r="A19742" s="3" t="inlineStr">
        <is>
          <t>Opportunity Management Holdings (PTY) LTD</t>
        </is>
      </c>
      <c r="B19742" s="4" t="n">
        <v>45382</v>
      </c>
      <c r="C19742" s="3" t="inlineStr">
        <is>
          <t>Expenses</t>
        </is>
      </c>
      <c r="D19742" s="3" t="inlineStr">
        <is>
          <t>4550/000</t>
        </is>
      </c>
      <c r="E19742" s="3" t="inlineStr">
        <is>
          <t>Subscriptions _AND_ Lisences</t>
        </is>
      </c>
      <c r="F19742" s="3" t="n">
        <v>3452.41</v>
      </c>
      <c r="G19742" s="3" t="n">
        <v>39348.52</v>
      </c>
    </row>
    <row r="19743">
      <c r="A19743" s="3" t="inlineStr">
        <is>
          <t>Noble Shield (Pty) Ltd ta Go Letting</t>
        </is>
      </c>
      <c r="B19743" s="4" t="n">
        <v>45382</v>
      </c>
      <c r="C19743" s="3" t="inlineStr">
        <is>
          <t>Expenses</t>
        </is>
      </c>
      <c r="D19743" s="3" t="inlineStr">
        <is>
          <t>4550/100</t>
        </is>
      </c>
      <c r="E19743" s="3" t="inlineStr">
        <is>
          <t>Subscriptions - EAAB</t>
        </is>
      </c>
      <c r="F19743" s="3" t="n">
        <v>3208</v>
      </c>
      <c r="G19743" s="3" t="n">
        <v>4812</v>
      </c>
    </row>
    <row r="19744">
      <c r="A19744" s="3" t="inlineStr">
        <is>
          <t>Trademark Holdings (Pty) Ltd</t>
        </is>
      </c>
      <c r="B19744" s="4" t="n">
        <v>45382</v>
      </c>
      <c r="C19744" s="3" t="inlineStr">
        <is>
          <t>Expenses</t>
        </is>
      </c>
      <c r="D19744" s="3" t="inlineStr">
        <is>
          <t>4550/100</t>
        </is>
      </c>
      <c r="E19744" s="3" t="inlineStr">
        <is>
          <t>Subscriptions - EAAB</t>
        </is>
      </c>
      <c r="F19744" s="3" t="n">
        <v>0</v>
      </c>
      <c r="G19744" s="3" t="n">
        <v>1604</v>
      </c>
    </row>
    <row r="19745">
      <c r="A19745" s="3" t="inlineStr">
        <is>
          <t>Opportunity Private Capital (PTY) LTD</t>
        </is>
      </c>
      <c r="B19745" s="4" t="n">
        <v>45382</v>
      </c>
      <c r="C19745" s="3" t="inlineStr">
        <is>
          <t>Expenses</t>
        </is>
      </c>
      <c r="D19745" s="3" t="inlineStr">
        <is>
          <t>4550/100</t>
        </is>
      </c>
      <c r="E19745" s="3" t="inlineStr">
        <is>
          <t>Subscriptions - Zoho</t>
        </is>
      </c>
      <c r="F19745" s="3" t="n">
        <v>1916.38</v>
      </c>
      <c r="G19745" s="3" t="n">
        <v>1916.38</v>
      </c>
    </row>
    <row r="19746">
      <c r="A19746" s="3" t="inlineStr">
        <is>
          <t>Opportunity Private Capital (PTY) LTD</t>
        </is>
      </c>
      <c r="B19746" s="4" t="n">
        <v>45382</v>
      </c>
      <c r="C19746" s="3" t="inlineStr">
        <is>
          <t>Expenses</t>
        </is>
      </c>
      <c r="D19746" s="3" t="inlineStr">
        <is>
          <t>4550/250</t>
        </is>
      </c>
      <c r="E19746" s="3" t="inlineStr">
        <is>
          <t>Subscriptions - LinkedIn</t>
        </is>
      </c>
      <c r="F19746" s="3" t="n">
        <v>1000.49</v>
      </c>
      <c r="G19746" s="3" t="n">
        <v>1000.49</v>
      </c>
    </row>
    <row r="19747">
      <c r="A19747" s="3" t="inlineStr">
        <is>
          <t>Opportunity Private Capital (PTY) LTD</t>
        </is>
      </c>
      <c r="B19747" s="4" t="n">
        <v>45382</v>
      </c>
      <c r="C19747" s="3" t="inlineStr">
        <is>
          <t>Expenses</t>
        </is>
      </c>
      <c r="D19747" s="3" t="inlineStr">
        <is>
          <t>4550/350</t>
        </is>
      </c>
      <c r="E19747" s="3" t="inlineStr">
        <is>
          <t>Subscriptions - Xero</t>
        </is>
      </c>
      <c r="F19747" s="3" t="n">
        <v>600</v>
      </c>
      <c r="G19747" s="3" t="n">
        <v>600</v>
      </c>
    </row>
    <row r="19748">
      <c r="A19748" s="3" t="inlineStr">
        <is>
          <t>Opportunity Private Capital (PTY) LTD</t>
        </is>
      </c>
      <c r="B19748" s="4" t="n">
        <v>45382</v>
      </c>
      <c r="C19748" s="3" t="inlineStr">
        <is>
          <t>Expenses</t>
        </is>
      </c>
      <c r="D19748" s="3" t="inlineStr">
        <is>
          <t>4550/400</t>
        </is>
      </c>
      <c r="E19748" s="3" t="inlineStr">
        <is>
          <t>Subscriptions - Moneyweb</t>
        </is>
      </c>
      <c r="F19748" s="3" t="n">
        <v>60.87</v>
      </c>
      <c r="G19748" s="3" t="n">
        <v>60.87</v>
      </c>
    </row>
    <row r="19749">
      <c r="A19749" s="3" t="inlineStr">
        <is>
          <t>Trademark Holdings (Pty) Ltd</t>
        </is>
      </c>
      <c r="B19749" s="4" t="n">
        <v>45382</v>
      </c>
      <c r="C19749" s="3" t="inlineStr">
        <is>
          <t>Expenses</t>
        </is>
      </c>
      <c r="D19749" s="3" t="inlineStr">
        <is>
          <t>4550/400</t>
        </is>
      </c>
      <c r="E19749" s="3" t="inlineStr">
        <is>
          <t>Subscriptions - Xero</t>
        </is>
      </c>
      <c r="F19749" s="3" t="n">
        <v>600</v>
      </c>
      <c r="G19749" s="3" t="n">
        <v>4200</v>
      </c>
    </row>
    <row r="19750">
      <c r="A19750" s="3" t="inlineStr">
        <is>
          <t>Opportunity Private Capital (PTY) LTD</t>
        </is>
      </c>
      <c r="B19750" s="4" t="n">
        <v>45382</v>
      </c>
      <c r="C19750" s="3" t="inlineStr">
        <is>
          <t>Expenses</t>
        </is>
      </c>
      <c r="D19750" s="3" t="inlineStr">
        <is>
          <t>4550/450</t>
        </is>
      </c>
      <c r="E19750" s="3" t="inlineStr">
        <is>
          <t>Subscriptions - Adobe</t>
        </is>
      </c>
      <c r="F19750" s="3" t="n">
        <v>913.54</v>
      </c>
      <c r="G19750" s="3" t="n">
        <v>913.54</v>
      </c>
    </row>
    <row r="19751">
      <c r="A19751" s="3" t="inlineStr">
        <is>
          <t>Opportunity Private Capital (PTY) LTD</t>
        </is>
      </c>
      <c r="B19751" s="4" t="n">
        <v>45382</v>
      </c>
      <c r="C19751" s="3" t="inlineStr">
        <is>
          <t>Expenses</t>
        </is>
      </c>
      <c r="D19751" s="3" t="inlineStr">
        <is>
          <t>4550/500</t>
        </is>
      </c>
      <c r="E19751" s="3" t="inlineStr">
        <is>
          <t>Subscriptions - Pandadoc</t>
        </is>
      </c>
      <c r="F19751" s="3" t="n">
        <v>670.41</v>
      </c>
      <c r="G19751" s="3" t="n">
        <v>670.41</v>
      </c>
    </row>
    <row r="19752">
      <c r="A19752" s="3" t="inlineStr">
        <is>
          <t>Opportunity Private Capital (PTY) LTD</t>
        </is>
      </c>
      <c r="B19752" s="4" t="n">
        <v>45382</v>
      </c>
      <c r="C19752" s="3" t="inlineStr">
        <is>
          <t>Expenses</t>
        </is>
      </c>
      <c r="D19752" s="3" t="inlineStr">
        <is>
          <t>4550/600</t>
        </is>
      </c>
      <c r="E19752" s="3" t="inlineStr">
        <is>
          <t>Subscription - Private Property</t>
        </is>
      </c>
      <c r="F19752" s="3" t="n">
        <v>2679</v>
      </c>
      <c r="G19752" s="3" t="n">
        <v>2679</v>
      </c>
    </row>
    <row r="19753">
      <c r="A19753" s="3" t="inlineStr">
        <is>
          <t>Noble Shield (Pty) Ltd ta Go Letting</t>
        </is>
      </c>
      <c r="B19753" s="4" t="n">
        <v>45382</v>
      </c>
      <c r="C19753" s="3" t="inlineStr">
        <is>
          <t>Expenses</t>
        </is>
      </c>
      <c r="D19753" s="3" t="inlineStr">
        <is>
          <t>4550/600</t>
        </is>
      </c>
      <c r="E19753" s="3" t="inlineStr">
        <is>
          <t>Subscriptions - Webbox</t>
        </is>
      </c>
      <c r="F19753" s="3" t="n">
        <v>1753.75</v>
      </c>
      <c r="G19753" s="3" t="n">
        <v>12079.6</v>
      </c>
    </row>
    <row r="19754">
      <c r="A19754" s="3" t="inlineStr">
        <is>
          <t>Noble Shield (Pty) Ltd ta Go Letting</t>
        </is>
      </c>
      <c r="B19754" s="4" t="n">
        <v>45382</v>
      </c>
      <c r="C19754" s="3" t="inlineStr">
        <is>
          <t>Expenses</t>
        </is>
      </c>
      <c r="D19754" s="3" t="inlineStr">
        <is>
          <t>4550/650</t>
        </is>
      </c>
      <c r="E19754" s="3" t="inlineStr">
        <is>
          <t>Subscriptions - Xero</t>
        </is>
      </c>
      <c r="F19754" s="3" t="n">
        <v>600</v>
      </c>
      <c r="G19754" s="3" t="n">
        <v>4200</v>
      </c>
    </row>
    <row r="19755">
      <c r="A19755" s="3" t="inlineStr">
        <is>
          <t>Noble Shield (Pty) Ltd ta Go Letting</t>
        </is>
      </c>
      <c r="B19755" s="4" t="n">
        <v>45382</v>
      </c>
      <c r="C19755" s="3" t="inlineStr">
        <is>
          <t>Expenses</t>
        </is>
      </c>
      <c r="D19755" s="3" t="inlineStr">
        <is>
          <t>4550/800</t>
        </is>
      </c>
      <c r="E19755" s="3" t="inlineStr">
        <is>
          <t>Subscriptions - Adobe</t>
        </is>
      </c>
      <c r="F19755" s="3" t="n">
        <v>0</v>
      </c>
      <c r="G19755" s="3" t="n">
        <v>914.5599999999999</v>
      </c>
    </row>
    <row r="19756">
      <c r="A19756" s="3" t="inlineStr">
        <is>
          <t>Opportunity Global Property (PTY) LTD</t>
        </is>
      </c>
      <c r="B19756" s="4" t="n">
        <v>45382</v>
      </c>
      <c r="C19756" s="3" t="inlineStr">
        <is>
          <t>Expenses</t>
        </is>
      </c>
      <c r="D19756" s="3" t="inlineStr">
        <is>
          <t>4551/000</t>
        </is>
      </c>
      <c r="E19756" s="3" t="inlineStr">
        <is>
          <t>Subscriptions - Payprop</t>
        </is>
      </c>
      <c r="F19756" s="3" t="n">
        <v>1740</v>
      </c>
      <c r="G19756" s="3" t="n">
        <v>1740</v>
      </c>
    </row>
    <row r="19757">
      <c r="A19757" s="3" t="inlineStr">
        <is>
          <t>Opportunity Private Capital Sales (PTY) LTD</t>
        </is>
      </c>
      <c r="B19757" s="4" t="n">
        <v>45382</v>
      </c>
      <c r="C19757" s="3" t="inlineStr">
        <is>
          <t>Expenses</t>
        </is>
      </c>
      <c r="D19757" s="3" t="inlineStr">
        <is>
          <t>4551/000</t>
        </is>
      </c>
      <c r="E19757" s="3" t="inlineStr">
        <is>
          <t>Subscriptions - Payprop</t>
        </is>
      </c>
      <c r="F19757" s="3" t="n">
        <v>1740</v>
      </c>
      <c r="G19757" s="3" t="n">
        <v>1740</v>
      </c>
    </row>
    <row r="19758">
      <c r="A19758" s="3" t="inlineStr">
        <is>
          <t>Opportunity Management Holdings (PTY) LTD</t>
        </is>
      </c>
      <c r="B19758" s="4" t="n">
        <v>45382</v>
      </c>
      <c r="C19758" s="3" t="inlineStr">
        <is>
          <t>Expenses</t>
        </is>
      </c>
      <c r="D19758" s="3" t="inlineStr">
        <is>
          <t>4552/000</t>
        </is>
      </c>
      <c r="E19758" s="3" t="inlineStr">
        <is>
          <t>Subscriptions - Xero</t>
        </is>
      </c>
      <c r="F19758" s="3" t="n">
        <v>600</v>
      </c>
      <c r="G19758" s="3" t="n">
        <v>4200</v>
      </c>
    </row>
    <row r="19759">
      <c r="A19759" s="3" t="inlineStr">
        <is>
          <t>Opportunity Global Property (PTY) LTD</t>
        </is>
      </c>
      <c r="B19759" s="4" t="n">
        <v>45382</v>
      </c>
      <c r="C19759" s="3" t="inlineStr">
        <is>
          <t>Expenses</t>
        </is>
      </c>
      <c r="D19759" s="3" t="inlineStr">
        <is>
          <t>4553/000</t>
        </is>
      </c>
      <c r="E19759" s="3" t="inlineStr">
        <is>
          <t>Subscriptions - CMA</t>
        </is>
      </c>
      <c r="F19759" s="3" t="n">
        <v>680</v>
      </c>
      <c r="G19759" s="3" t="n">
        <v>680</v>
      </c>
    </row>
    <row r="19760">
      <c r="A19760" s="3" t="inlineStr">
        <is>
          <t>Opportunity Private Capital Sales (PTY) LTD</t>
        </is>
      </c>
      <c r="B19760" s="4" t="n">
        <v>45382</v>
      </c>
      <c r="C19760" s="3" t="inlineStr">
        <is>
          <t>Expenses</t>
        </is>
      </c>
      <c r="D19760" s="3" t="inlineStr">
        <is>
          <t>4553/000</t>
        </is>
      </c>
      <c r="E19760" s="3" t="inlineStr">
        <is>
          <t>Subscriptions - CMA</t>
        </is>
      </c>
      <c r="F19760" s="3" t="n">
        <v>680</v>
      </c>
      <c r="G19760" s="3" t="n">
        <v>680</v>
      </c>
    </row>
    <row r="19761">
      <c r="A19761" s="3" t="inlineStr">
        <is>
          <t>Quinate Consulting (Pty) Ltd</t>
        </is>
      </c>
      <c r="B19761" s="4" t="n">
        <v>45382</v>
      </c>
      <c r="C19761" s="3" t="inlineStr">
        <is>
          <t>Expenses</t>
        </is>
      </c>
      <c r="D19761" s="3" t="inlineStr">
        <is>
          <t>4554/000</t>
        </is>
      </c>
      <c r="E19761" s="3" t="inlineStr">
        <is>
          <t>Subscriptions - Xero</t>
        </is>
      </c>
      <c r="F19761" s="3" t="n">
        <v>600</v>
      </c>
      <c r="G19761" s="3" t="n">
        <v>600</v>
      </c>
    </row>
    <row r="19762">
      <c r="A19762" s="3" t="inlineStr">
        <is>
          <t>Opportunity Global Property (PTY) LTD</t>
        </is>
      </c>
      <c r="B19762" s="4" t="n">
        <v>45382</v>
      </c>
      <c r="C19762" s="3" t="inlineStr">
        <is>
          <t>Expenses</t>
        </is>
      </c>
      <c r="D19762" s="3" t="inlineStr">
        <is>
          <t>4554/000</t>
        </is>
      </c>
      <c r="E19762" s="3" t="inlineStr">
        <is>
          <t>Subscriptions - Zoho</t>
        </is>
      </c>
      <c r="F19762" s="3" t="n">
        <v>750</v>
      </c>
      <c r="G19762" s="3" t="n">
        <v>750</v>
      </c>
    </row>
    <row r="19763">
      <c r="A19763" s="3" t="inlineStr">
        <is>
          <t>Opportunity Private Capital Sales (PTY) LTD</t>
        </is>
      </c>
      <c r="B19763" s="4" t="n">
        <v>45382</v>
      </c>
      <c r="C19763" s="3" t="inlineStr">
        <is>
          <t>Expenses</t>
        </is>
      </c>
      <c r="D19763" s="3" t="inlineStr">
        <is>
          <t>4554/000</t>
        </is>
      </c>
      <c r="E19763" s="3" t="inlineStr">
        <is>
          <t>Subscriptions - Zoho</t>
        </is>
      </c>
      <c r="F19763" s="3" t="n">
        <v>750</v>
      </c>
      <c r="G19763" s="3" t="n">
        <v>750</v>
      </c>
    </row>
    <row r="19764">
      <c r="A19764" s="3" t="inlineStr">
        <is>
          <t>Quinate Consulting (Pty) Ltd</t>
        </is>
      </c>
      <c r="B19764" s="4" t="n">
        <v>45382</v>
      </c>
      <c r="C19764" s="3" t="inlineStr">
        <is>
          <t>Expenses</t>
        </is>
      </c>
      <c r="D19764" s="3" t="inlineStr">
        <is>
          <t>4555/000</t>
        </is>
      </c>
      <c r="E19764" s="3" t="inlineStr">
        <is>
          <t>Subscriptions - OUMS</t>
        </is>
      </c>
      <c r="F19764" s="3" t="n">
        <v>13465.42</v>
      </c>
      <c r="G19764" s="3" t="n">
        <v>13465.42</v>
      </c>
    </row>
    <row r="19765">
      <c r="A19765" s="3" t="inlineStr">
        <is>
          <t>Opportunity Global Property (PTY) LTD</t>
        </is>
      </c>
      <c r="B19765" s="4" t="n">
        <v>45382</v>
      </c>
      <c r="C19765" s="3" t="inlineStr">
        <is>
          <t>Expenses</t>
        </is>
      </c>
      <c r="D19765" s="3" t="inlineStr">
        <is>
          <t>4556/000</t>
        </is>
      </c>
      <c r="E19765" s="3" t="inlineStr">
        <is>
          <t>Subscription: Sjoon</t>
        </is>
      </c>
      <c r="F19765" s="3" t="n">
        <v>217.39</v>
      </c>
      <c r="G19765" s="3" t="n">
        <v>217.39</v>
      </c>
    </row>
    <row r="19766">
      <c r="A19766" s="3" t="inlineStr">
        <is>
          <t>Opportunity Private Capital Sales (PTY) LTD</t>
        </is>
      </c>
      <c r="B19766" s="4" t="n">
        <v>45382</v>
      </c>
      <c r="C19766" s="3" t="inlineStr">
        <is>
          <t>Expenses</t>
        </is>
      </c>
      <c r="D19766" s="3" t="inlineStr">
        <is>
          <t>4556/000</t>
        </is>
      </c>
      <c r="E19766" s="3" t="inlineStr">
        <is>
          <t>Subscription: Sjoon</t>
        </is>
      </c>
      <c r="F19766" s="3" t="n">
        <v>217.39</v>
      </c>
      <c r="G19766" s="3" t="n">
        <v>217.39</v>
      </c>
    </row>
    <row r="19767">
      <c r="A19767" s="3" t="inlineStr">
        <is>
          <t>Opportunity Global Property (PTY) LTD</t>
        </is>
      </c>
      <c r="B19767" s="4" t="n">
        <v>45382</v>
      </c>
      <c r="C19767" s="3" t="inlineStr">
        <is>
          <t>Expenses</t>
        </is>
      </c>
      <c r="D19767" s="3" t="inlineStr">
        <is>
          <t>4557/000</t>
        </is>
      </c>
      <c r="E19767" s="3" t="inlineStr">
        <is>
          <t>Subscriptions - Lighthouse</t>
        </is>
      </c>
      <c r="F19767" s="3" t="n">
        <v>415</v>
      </c>
      <c r="G19767" s="3" t="n">
        <v>415</v>
      </c>
    </row>
    <row r="19768">
      <c r="A19768" s="3" t="inlineStr">
        <is>
          <t>Opportunity Private Capital Sales (PTY) LTD</t>
        </is>
      </c>
      <c r="B19768" s="4" t="n">
        <v>45382</v>
      </c>
      <c r="C19768" s="3" t="inlineStr">
        <is>
          <t>Expenses</t>
        </is>
      </c>
      <c r="D19768" s="3" t="inlineStr">
        <is>
          <t>4557/000</t>
        </is>
      </c>
      <c r="E19768" s="3" t="inlineStr">
        <is>
          <t>Subscriptions - Lighthouse</t>
        </is>
      </c>
      <c r="F19768" s="3" t="n">
        <v>415</v>
      </c>
      <c r="G19768" s="3" t="n">
        <v>415</v>
      </c>
    </row>
    <row r="19769">
      <c r="A19769" s="3" t="inlineStr">
        <is>
          <t>Noble Shield (Pty) Ltd ta Go Letting</t>
        </is>
      </c>
      <c r="B19769" s="4" t="n">
        <v>45382</v>
      </c>
      <c r="C19769" s="3" t="inlineStr">
        <is>
          <t>Expenses</t>
        </is>
      </c>
      <c r="D19769" s="3" t="inlineStr">
        <is>
          <t>4560/000</t>
        </is>
      </c>
      <c r="E19769" s="3" t="inlineStr">
        <is>
          <t>Small Assets - under R7000</t>
        </is>
      </c>
      <c r="F19769" s="3" t="n">
        <v>0</v>
      </c>
      <c r="G19769" s="3" t="n">
        <v>6716</v>
      </c>
    </row>
    <row r="19770">
      <c r="A19770" s="3" t="inlineStr">
        <is>
          <t>Opportunity Management Holdings (PTY) LTD</t>
        </is>
      </c>
      <c r="B19770" s="4" t="n">
        <v>45382</v>
      </c>
      <c r="C19770" s="3" t="inlineStr">
        <is>
          <t>Expenses</t>
        </is>
      </c>
      <c r="D19770" s="3" t="inlineStr">
        <is>
          <t>4600/000</t>
        </is>
      </c>
      <c r="E19770" s="3" t="inlineStr">
        <is>
          <t>Telephone _AND_ Fax</t>
        </is>
      </c>
      <c r="F19770" s="3" t="n">
        <v>0</v>
      </c>
      <c r="G19770" s="3" t="n">
        <v>352.17</v>
      </c>
    </row>
    <row r="19771">
      <c r="A19771" s="3" t="inlineStr">
        <is>
          <t>Opportunity Private Capital (PTY) LTD</t>
        </is>
      </c>
      <c r="B19771" s="4" t="n">
        <v>45382</v>
      </c>
      <c r="C19771" s="3" t="inlineStr">
        <is>
          <t>Expenses</t>
        </is>
      </c>
      <c r="D19771" s="3" t="inlineStr">
        <is>
          <t>4600/000</t>
        </is>
      </c>
      <c r="E19771" s="3" t="inlineStr">
        <is>
          <t>Telephone _AND_ Fax</t>
        </is>
      </c>
      <c r="F19771" s="3" t="n">
        <v>3675</v>
      </c>
      <c r="G19771" s="3" t="n">
        <v>3675</v>
      </c>
    </row>
    <row r="19772">
      <c r="A19772" s="3" t="inlineStr">
        <is>
          <t>Trademark Holdings (Pty) Ltd</t>
        </is>
      </c>
      <c r="B19772" s="4" t="n">
        <v>45382</v>
      </c>
      <c r="C19772" s="3" t="inlineStr">
        <is>
          <t>Expenses</t>
        </is>
      </c>
      <c r="D19772" s="3" t="inlineStr">
        <is>
          <t>4600/000</t>
        </is>
      </c>
      <c r="E19772" s="3" t="inlineStr">
        <is>
          <t>Telephone _AND_ Fax</t>
        </is>
      </c>
      <c r="F19772" s="3" t="n">
        <v>1545.51</v>
      </c>
      <c r="G19772" s="3" t="n">
        <v>9438.82</v>
      </c>
    </row>
    <row r="19773">
      <c r="A19773" s="3" t="inlineStr">
        <is>
          <t>Noble Shield (Pty) Ltd ta Go Letting</t>
        </is>
      </c>
      <c r="B19773" s="4" t="n">
        <v>45382</v>
      </c>
      <c r="C19773" s="3" t="inlineStr">
        <is>
          <t>Expenses</t>
        </is>
      </c>
      <c r="D19773" s="3" t="inlineStr">
        <is>
          <t>4610/000</t>
        </is>
      </c>
      <c r="E19773" s="3" t="inlineStr">
        <is>
          <t>Telephone - CT Office</t>
        </is>
      </c>
      <c r="F19773" s="3" t="n">
        <v>1173.69</v>
      </c>
      <c r="G19773" s="3" t="n">
        <v>8951.129999999999</v>
      </c>
    </row>
    <row r="19774">
      <c r="A19774" s="3" t="inlineStr">
        <is>
          <t>Opportunity Private Capital (PTY) LTD</t>
        </is>
      </c>
      <c r="B19774" s="4" t="n">
        <v>45382</v>
      </c>
      <c r="C19774" s="3" t="inlineStr">
        <is>
          <t>Expenses</t>
        </is>
      </c>
      <c r="D19774" s="3" t="inlineStr">
        <is>
          <t>4650/030</t>
        </is>
      </c>
      <c r="E19774" s="3" t="inlineStr">
        <is>
          <t>Travel _AND_ Accomodation - Local Accom</t>
        </is>
      </c>
      <c r="F19774" s="3" t="n">
        <v>5752.18</v>
      </c>
      <c r="G19774" s="3" t="n">
        <v>5752.18</v>
      </c>
    </row>
    <row r="19775">
      <c r="A19775" s="3" t="inlineStr">
        <is>
          <t>Noble Shield (Pty) Ltd ta Go Letting</t>
        </is>
      </c>
      <c r="B19775" s="4" t="n">
        <v>45382</v>
      </c>
      <c r="C19775" s="3" t="inlineStr">
        <is>
          <t>Expenses</t>
        </is>
      </c>
      <c r="D19775" s="3" t="inlineStr">
        <is>
          <t>4700/000</t>
        </is>
      </c>
      <c r="E19775" s="3" t="inlineStr">
        <is>
          <t>PAYE Contributions</t>
        </is>
      </c>
      <c r="F19775" s="3" t="n">
        <v>5448.94</v>
      </c>
      <c r="G19775" s="3" t="n">
        <v>36646.63</v>
      </c>
    </row>
    <row r="19776">
      <c r="A19776" s="3" t="inlineStr">
        <is>
          <t>Trademark Holdings (Pty) Ltd</t>
        </is>
      </c>
      <c r="B19776" s="4" t="n">
        <v>45382</v>
      </c>
      <c r="C19776" s="3" t="inlineStr">
        <is>
          <t>Expenses</t>
        </is>
      </c>
      <c r="D19776" s="3" t="inlineStr">
        <is>
          <t>4700/000</t>
        </is>
      </c>
      <c r="E19776" s="3" t="inlineStr">
        <is>
          <t>PAYE Contributions</t>
        </is>
      </c>
      <c r="F19776" s="3" t="n">
        <v>10809.9</v>
      </c>
      <c r="G19776" s="3" t="n">
        <v>46772.64</v>
      </c>
    </row>
    <row r="19777">
      <c r="A19777" s="3" t="inlineStr">
        <is>
          <t>Noble Shield (Pty) Ltd ta Go Letting</t>
        </is>
      </c>
      <c r="B19777" s="4" t="n">
        <v>45382</v>
      </c>
      <c r="C19777" s="3" t="inlineStr">
        <is>
          <t>Expenses</t>
        </is>
      </c>
      <c r="D19777" s="3" t="inlineStr">
        <is>
          <t>4710/000</t>
        </is>
      </c>
      <c r="E19777" s="3" t="inlineStr">
        <is>
          <t>UIF Company Contributions</t>
        </is>
      </c>
      <c r="F19777" s="3" t="n">
        <v>276.75</v>
      </c>
      <c r="G19777" s="3" t="n">
        <v>1779.75</v>
      </c>
    </row>
    <row r="19778">
      <c r="A19778" s="3" t="inlineStr">
        <is>
          <t>Trademark Holdings (Pty) Ltd</t>
        </is>
      </c>
      <c r="B19778" s="4" t="n">
        <v>45382</v>
      </c>
      <c r="C19778" s="3" t="inlineStr">
        <is>
          <t>Expenses</t>
        </is>
      </c>
      <c r="D19778" s="3" t="inlineStr">
        <is>
          <t>4710/000</t>
        </is>
      </c>
      <c r="E19778" s="3" t="inlineStr">
        <is>
          <t>UIF Company Contributions</t>
        </is>
      </c>
      <c r="F19778" s="3" t="n">
        <v>95.25</v>
      </c>
      <c r="G19778" s="3" t="n">
        <v>666.75</v>
      </c>
    </row>
    <row r="19779">
      <c r="A19779" s="3" t="inlineStr">
        <is>
          <t>Noble Shield (Pty) Ltd ta Go Letting</t>
        </is>
      </c>
      <c r="B19779" s="4" t="n">
        <v>45382</v>
      </c>
      <c r="C19779" s="3" t="inlineStr">
        <is>
          <t>Expenses</t>
        </is>
      </c>
      <c r="D19779" s="3" t="inlineStr">
        <is>
          <t>4711/000</t>
        </is>
      </c>
      <c r="E19779" s="3" t="inlineStr">
        <is>
          <t>UIF Employee Contribution</t>
        </is>
      </c>
      <c r="F19779" s="3" t="n">
        <v>276.75</v>
      </c>
      <c r="G19779" s="3" t="n">
        <v>1779.75</v>
      </c>
    </row>
    <row r="19780">
      <c r="A19780" s="3" t="inlineStr">
        <is>
          <t>Trademark Holdings (Pty) Ltd</t>
        </is>
      </c>
      <c r="B19780" s="4" t="n">
        <v>45382</v>
      </c>
      <c r="C19780" s="3" t="inlineStr">
        <is>
          <t>Expenses</t>
        </is>
      </c>
      <c r="D19780" s="3" t="inlineStr">
        <is>
          <t>4711/000</t>
        </is>
      </c>
      <c r="E19780" s="3" t="inlineStr">
        <is>
          <t>UIF Employee Contributions</t>
        </is>
      </c>
      <c r="F19780" s="3" t="n">
        <v>95.25</v>
      </c>
      <c r="G19780" s="3" t="n">
        <v>666.75</v>
      </c>
    </row>
    <row r="19781">
      <c r="A19781" s="3" t="inlineStr">
        <is>
          <t>Noble Shield (Pty) Ltd ta Go Letting</t>
        </is>
      </c>
      <c r="B19781" s="4" t="n">
        <v>45382</v>
      </c>
      <c r="C19781" s="3" t="inlineStr">
        <is>
          <t>Expenses</t>
        </is>
      </c>
      <c r="D19781" s="3" t="inlineStr">
        <is>
          <t>4720/000</t>
        </is>
      </c>
      <c r="E19781" s="3" t="inlineStr">
        <is>
          <t>SDL Contributions</t>
        </is>
      </c>
      <c r="F19781" s="3" t="n">
        <v>478.58</v>
      </c>
      <c r="G19781" s="3" t="n">
        <v>3207.73</v>
      </c>
    </row>
    <row r="19782">
      <c r="A19782" s="3" t="inlineStr">
        <is>
          <t>Trademark Holdings (Pty) Ltd</t>
        </is>
      </c>
      <c r="B19782" s="4" t="n">
        <v>45382</v>
      </c>
      <c r="C19782" s="3" t="inlineStr">
        <is>
          <t>Expenses</t>
        </is>
      </c>
      <c r="D19782" s="3" t="inlineStr">
        <is>
          <t>4720/000</t>
        </is>
      </c>
      <c r="E19782" s="3" t="inlineStr">
        <is>
          <t>SDL Contributions</t>
        </is>
      </c>
      <c r="F19782" s="3" t="n">
        <v>306.43</v>
      </c>
      <c r="G19782" s="3" t="n">
        <v>2184.94</v>
      </c>
    </row>
    <row r="19783">
      <c r="A19783" s="3" t="inlineStr">
        <is>
          <t>Opportunity Management Holdings (PTY) LTD</t>
        </is>
      </c>
      <c r="B19783" s="4" t="n">
        <v>45382</v>
      </c>
      <c r="C19783" s="3" t="inlineStr">
        <is>
          <t>Expenses</t>
        </is>
      </c>
      <c r="D19783" s="3" t="inlineStr">
        <is>
          <t>4730/000</t>
        </is>
      </c>
      <c r="E19783" s="3" t="inlineStr">
        <is>
          <t>PAYE Contributions</t>
        </is>
      </c>
      <c r="F19783" s="3" t="n">
        <v>40459.17</v>
      </c>
      <c r="G19783" s="3" t="n">
        <v>280864.08</v>
      </c>
    </row>
    <row r="19784">
      <c r="A19784" s="3" t="inlineStr">
        <is>
          <t>Opportunity Management Holdings (PTY) LTD</t>
        </is>
      </c>
      <c r="B19784" s="4" t="n">
        <v>45382</v>
      </c>
      <c r="C19784" s="3" t="inlineStr">
        <is>
          <t>Expenses</t>
        </is>
      </c>
      <c r="D19784" s="3" t="inlineStr">
        <is>
          <t>4740/000</t>
        </is>
      </c>
      <c r="E19784" s="3" t="inlineStr">
        <is>
          <t>UIF Company Contribution</t>
        </is>
      </c>
      <c r="F19784" s="3" t="n">
        <v>1686.89</v>
      </c>
      <c r="G19784" s="3" t="n">
        <v>11250.29</v>
      </c>
    </row>
    <row r="19785">
      <c r="A19785" s="3" t="inlineStr">
        <is>
          <t>Opportunity Management Holdings (PTY) LTD</t>
        </is>
      </c>
      <c r="B19785" s="4" t="n">
        <v>45382</v>
      </c>
      <c r="C19785" s="3" t="inlineStr">
        <is>
          <t>Expenses</t>
        </is>
      </c>
      <c r="D19785" s="3" t="inlineStr">
        <is>
          <t>4741/000</t>
        </is>
      </c>
      <c r="E19785" s="3" t="inlineStr">
        <is>
          <t>UIF Employee Contribution</t>
        </is>
      </c>
      <c r="F19785" s="3" t="n">
        <v>1686.89</v>
      </c>
      <c r="G19785" s="3" t="n">
        <v>11250.29</v>
      </c>
    </row>
    <row r="19786">
      <c r="A19786" s="3" t="inlineStr">
        <is>
          <t>Opportunity Management Holdings (PTY) LTD</t>
        </is>
      </c>
      <c r="B19786" s="4" t="n">
        <v>45382</v>
      </c>
      <c r="C19786" s="3" t="inlineStr">
        <is>
          <t>Expenses</t>
        </is>
      </c>
      <c r="D19786" s="3" t="inlineStr">
        <is>
          <t>4750/000</t>
        </is>
      </c>
      <c r="E19786" s="3" t="inlineStr">
        <is>
          <t>SDL Contribution</t>
        </is>
      </c>
      <c r="F19786" s="3" t="n">
        <v>2536.77</v>
      </c>
      <c r="G19786" s="3" t="n">
        <v>16938.57</v>
      </c>
    </row>
    <row r="19787">
      <c r="A19787" s="3" t="inlineStr">
        <is>
          <t>Opportunity Global Property (PTY) LTD</t>
        </is>
      </c>
      <c r="B19787" s="4" t="n">
        <v>45382</v>
      </c>
      <c r="C19787" s="3" t="inlineStr">
        <is>
          <t>Assets</t>
        </is>
      </c>
      <c r="D19787" s="3" t="inlineStr">
        <is>
          <t>5000/001</t>
        </is>
      </c>
      <c r="E19787" s="3" t="inlineStr">
        <is>
          <t>Loan - Cape Projects</t>
        </is>
      </c>
      <c r="F19787" s="3" t="n">
        <v>-75000</v>
      </c>
      <c r="G19787" s="3" t="n">
        <v>160000</v>
      </c>
    </row>
    <row r="19788">
      <c r="A19788" s="3" t="inlineStr">
        <is>
          <t>Opportunity Private Capital Sales (PTY) LTD</t>
        </is>
      </c>
      <c r="B19788" s="4" t="n">
        <v>45382</v>
      </c>
      <c r="C19788" s="3" t="inlineStr">
        <is>
          <t>Assets</t>
        </is>
      </c>
      <c r="D19788" s="3" t="inlineStr">
        <is>
          <t>5000/001</t>
        </is>
      </c>
      <c r="E19788" s="3" t="inlineStr">
        <is>
          <t>Loan - Cape Projects</t>
        </is>
      </c>
      <c r="F19788" s="3" t="n">
        <v>-45000</v>
      </c>
      <c r="G19788" s="3" t="n">
        <v>190000</v>
      </c>
    </row>
    <row r="19789">
      <c r="A19789" s="3" t="inlineStr">
        <is>
          <t>Opportunity Global Property (PTY) LTD</t>
        </is>
      </c>
      <c r="B19789" s="4" t="n">
        <v>45382</v>
      </c>
      <c r="C19789" s="3" t="inlineStr">
        <is>
          <t>Liabilities</t>
        </is>
      </c>
      <c r="D19789" s="3" t="inlineStr">
        <is>
          <t>5000/006</t>
        </is>
      </c>
      <c r="E19789" s="3" t="inlineStr">
        <is>
          <t>Loan - Purple Blok</t>
        </is>
      </c>
      <c r="F19789" s="3" t="n">
        <v>0</v>
      </c>
      <c r="G19789" s="3" t="n">
        <v>44000</v>
      </c>
    </row>
    <row r="19790">
      <c r="A19790" s="3" t="inlineStr">
        <is>
          <t>Opportunity Private Capital Sales (PTY) LTD</t>
        </is>
      </c>
      <c r="B19790" s="4" t="n">
        <v>45382</v>
      </c>
      <c r="C19790" s="3" t="inlineStr">
        <is>
          <t>Liabilities</t>
        </is>
      </c>
      <c r="D19790" s="3" t="inlineStr">
        <is>
          <t>5000/006</t>
        </is>
      </c>
      <c r="E19790" s="3" t="inlineStr">
        <is>
          <t>Loan - Purple Blok</t>
        </is>
      </c>
      <c r="F19790" s="3" t="n">
        <v>0</v>
      </c>
      <c r="G19790" s="3" t="n">
        <v>44000</v>
      </c>
    </row>
    <row r="19791">
      <c r="A19791" s="3" t="inlineStr">
        <is>
          <t>Noble Shield (Pty) Ltd ta Go Letting</t>
        </is>
      </c>
      <c r="B19791" s="4" t="n">
        <v>45382</v>
      </c>
      <c r="C19791" s="3" t="inlineStr">
        <is>
          <t>Equity</t>
        </is>
      </c>
      <c r="D19791" s="3" t="inlineStr">
        <is>
          <t>5100/000</t>
        </is>
      </c>
      <c r="E19791" s="3" t="inlineStr">
        <is>
          <t>Share Capital</t>
        </is>
      </c>
      <c r="F19791" s="3" t="n">
        <v>0</v>
      </c>
      <c r="G19791" s="3" t="n">
        <v>-1</v>
      </c>
    </row>
    <row r="19792">
      <c r="A19792" s="3" t="inlineStr">
        <is>
          <t>Opportunity Management Holdings (PTY) LTD</t>
        </is>
      </c>
      <c r="B19792" s="4" t="n">
        <v>45382</v>
      </c>
      <c r="C19792" s="3" t="inlineStr">
        <is>
          <t>Equity</t>
        </is>
      </c>
      <c r="D19792" s="3" t="inlineStr">
        <is>
          <t>5100/000</t>
        </is>
      </c>
      <c r="E19792" s="3" t="inlineStr">
        <is>
          <t>Share Capital / Members Contribution</t>
        </is>
      </c>
      <c r="F19792" s="3" t="n">
        <v>0</v>
      </c>
      <c r="G19792" s="3" t="n">
        <v>-120</v>
      </c>
    </row>
    <row r="19793">
      <c r="A19793" s="3" t="inlineStr">
        <is>
          <t>Quinate Consulting (Pty) Ltd</t>
        </is>
      </c>
      <c r="B19793" s="4" t="n">
        <v>45382</v>
      </c>
      <c r="C19793" s="3" t="inlineStr">
        <is>
          <t>Equity</t>
        </is>
      </c>
      <c r="D19793" s="3" t="inlineStr">
        <is>
          <t>5100/000</t>
        </is>
      </c>
      <c r="E19793" s="3" t="inlineStr">
        <is>
          <t>Share Capital / Members Contribution</t>
        </is>
      </c>
      <c r="F19793" s="3" t="n">
        <v>0</v>
      </c>
      <c r="G19793" s="3" t="n">
        <v>-120</v>
      </c>
    </row>
    <row r="19794">
      <c r="A19794" s="3" t="inlineStr">
        <is>
          <t>Trademark Holdings (Pty) Ltd</t>
        </is>
      </c>
      <c r="B19794" s="4" t="n">
        <v>45382</v>
      </c>
      <c r="C19794" s="3" t="inlineStr">
        <is>
          <t>Equity</t>
        </is>
      </c>
      <c r="D19794" s="3" t="inlineStr">
        <is>
          <t>5100/001</t>
        </is>
      </c>
      <c r="E19794" s="3" t="inlineStr">
        <is>
          <t>Share Capital - GFY Investments</t>
        </is>
      </c>
      <c r="F19794" s="3" t="n">
        <v>0</v>
      </c>
      <c r="G19794" s="3" t="n">
        <v>-60</v>
      </c>
    </row>
    <row r="19795">
      <c r="A19795" s="3" t="inlineStr">
        <is>
          <t>Trademark Holdings (Pty) Ltd</t>
        </is>
      </c>
      <c r="B19795" s="4" t="n">
        <v>45382</v>
      </c>
      <c r="C19795" s="3" t="inlineStr">
        <is>
          <t>Equity</t>
        </is>
      </c>
      <c r="D19795" s="3" t="inlineStr">
        <is>
          <t>5100/002</t>
        </is>
      </c>
      <c r="E19795" s="3" t="inlineStr">
        <is>
          <t>Share Capital - Zak Trust</t>
        </is>
      </c>
      <c r="F19795" s="3" t="n">
        <v>0</v>
      </c>
      <c r="G19795" s="3" t="n">
        <v>-60</v>
      </c>
    </row>
    <row r="19796">
      <c r="A19796" s="3" t="inlineStr">
        <is>
          <t>Opportunity Private Capital (PTY) LTD</t>
        </is>
      </c>
      <c r="B19796" s="4" t="n">
        <v>45382</v>
      </c>
      <c r="C19796" s="3" t="inlineStr">
        <is>
          <t>Equity</t>
        </is>
      </c>
      <c r="D19796" s="3" t="inlineStr">
        <is>
          <t>5101/000</t>
        </is>
      </c>
      <c r="E19796" s="3" t="inlineStr">
        <is>
          <t>Share Capital - Ordinary Type A</t>
        </is>
      </c>
      <c r="F19796" s="3" t="n">
        <v>0</v>
      </c>
      <c r="G19796" s="3" t="n">
        <v>-70</v>
      </c>
    </row>
    <row r="19797">
      <c r="A19797" s="3" t="inlineStr">
        <is>
          <t>Opportunity Private Capital (PTY) LTD</t>
        </is>
      </c>
      <c r="B19797" s="4" t="n">
        <v>45382</v>
      </c>
      <c r="C19797" s="3" t="inlineStr">
        <is>
          <t>Equity</t>
        </is>
      </c>
      <c r="D19797" s="3" t="inlineStr">
        <is>
          <t>5102/000</t>
        </is>
      </c>
      <c r="E19797" s="3" t="inlineStr">
        <is>
          <t>Share Capital - Ordinary Type B</t>
        </is>
      </c>
      <c r="F19797" s="3" t="n">
        <v>0</v>
      </c>
      <c r="G19797" s="3" t="n">
        <v>-30</v>
      </c>
    </row>
    <row r="19798">
      <c r="A19798" s="3" t="inlineStr">
        <is>
          <t>Endulini (Pty) Ltd</t>
        </is>
      </c>
      <c r="B19798" s="4" t="n">
        <v>45382</v>
      </c>
      <c r="C19798" s="3" t="inlineStr">
        <is>
          <t>Equity</t>
        </is>
      </c>
      <c r="D19798" s="3" t="inlineStr">
        <is>
          <t>5200/000</t>
        </is>
      </c>
      <c r="E19798" s="3" t="inlineStr">
        <is>
          <t>Retained Earnings / Loss</t>
        </is>
      </c>
      <c r="F19798" s="3" t="n">
        <v>0</v>
      </c>
      <c r="G19798" s="3" t="n">
        <v>-13615904.67</v>
      </c>
    </row>
    <row r="19799">
      <c r="A19799" s="3" t="inlineStr">
        <is>
          <t>Noble Shield (Pty) Ltd ta Go Letting</t>
        </is>
      </c>
      <c r="B19799" s="4" t="n">
        <v>45382</v>
      </c>
      <c r="C19799" s="3" t="inlineStr">
        <is>
          <t>Equity</t>
        </is>
      </c>
      <c r="D19799" s="3" t="inlineStr">
        <is>
          <t>5200/000</t>
        </is>
      </c>
      <c r="E19799" s="3" t="inlineStr">
        <is>
          <t>Retained Earnings / Loss</t>
        </is>
      </c>
      <c r="F19799" s="3" t="n">
        <v>0</v>
      </c>
      <c r="G19799" s="3" t="n">
        <v>-91943.62</v>
      </c>
    </row>
    <row r="19800">
      <c r="A19800" s="3" t="inlineStr">
        <is>
          <t>Opportunity Global Property (PTY) LTD</t>
        </is>
      </c>
      <c r="B19800" s="4" t="n">
        <v>45382</v>
      </c>
      <c r="C19800" s="3" t="inlineStr">
        <is>
          <t>Equity</t>
        </is>
      </c>
      <c r="D19800" s="3" t="inlineStr">
        <is>
          <t>5200/000</t>
        </is>
      </c>
      <c r="E19800" s="3" t="inlineStr">
        <is>
          <t>Retained Earnings / Loss</t>
        </is>
      </c>
      <c r="F19800" s="3" t="n">
        <v>0</v>
      </c>
      <c r="G19800" s="3" t="n">
        <v>-3754324.03</v>
      </c>
    </row>
    <row r="19801">
      <c r="A19801" s="3" t="inlineStr">
        <is>
          <t>Opportunity Management Holdings (PTY) LTD</t>
        </is>
      </c>
      <c r="B19801" s="4" t="n">
        <v>45382</v>
      </c>
      <c r="C19801" s="3" t="inlineStr">
        <is>
          <t>Equity</t>
        </is>
      </c>
      <c r="D19801" s="3" t="inlineStr">
        <is>
          <t>5200/000</t>
        </is>
      </c>
      <c r="E19801" s="3" t="inlineStr">
        <is>
          <t>Retained Earnings / Loss</t>
        </is>
      </c>
      <c r="F19801" s="3" t="n">
        <v>0</v>
      </c>
      <c r="G19801" s="3" t="n">
        <v>1215864.15</v>
      </c>
    </row>
    <row r="19802">
      <c r="A19802" s="3" t="inlineStr">
        <is>
          <t>Opportunity Private Capital (PTY) LTD</t>
        </is>
      </c>
      <c r="B19802" s="4" t="n">
        <v>45382</v>
      </c>
      <c r="C19802" s="3" t="inlineStr">
        <is>
          <t>Equity</t>
        </is>
      </c>
      <c r="D19802" s="3" t="inlineStr">
        <is>
          <t>5200/000</t>
        </is>
      </c>
      <c r="E19802" s="3" t="inlineStr">
        <is>
          <t>Retained Earnings / Loss</t>
        </is>
      </c>
      <c r="F19802" s="3" t="n">
        <v>0</v>
      </c>
      <c r="G19802" s="3" t="n">
        <v>3408751.91</v>
      </c>
    </row>
    <row r="19803">
      <c r="A19803" s="3" t="inlineStr">
        <is>
          <t>Opportunity Private Capital Sales (PTY) LTD</t>
        </is>
      </c>
      <c r="B19803" s="4" t="n">
        <v>45382</v>
      </c>
      <c r="C19803" s="3" t="inlineStr">
        <is>
          <t>Equity</t>
        </is>
      </c>
      <c r="D19803" s="3" t="inlineStr">
        <is>
          <t>5200/000</t>
        </is>
      </c>
      <c r="E19803" s="3" t="inlineStr">
        <is>
          <t>Retained Earnings / Loss</t>
        </is>
      </c>
      <c r="F19803" s="3" t="n">
        <v>0</v>
      </c>
      <c r="G19803" s="3" t="n">
        <v>-3754324.03</v>
      </c>
    </row>
    <row r="19804">
      <c r="A19804" s="3" t="inlineStr">
        <is>
          <t>Quinate Consulting (Pty) Ltd</t>
        </is>
      </c>
      <c r="B19804" s="4" t="n">
        <v>45382</v>
      </c>
      <c r="C19804" s="3" t="inlineStr">
        <is>
          <t>Equity</t>
        </is>
      </c>
      <c r="D19804" s="3" t="inlineStr">
        <is>
          <t>5200/000</t>
        </is>
      </c>
      <c r="E19804" s="3" t="inlineStr">
        <is>
          <t>Retained Earnings / Loss</t>
        </is>
      </c>
      <c r="F19804" s="3" t="n">
        <v>0</v>
      </c>
      <c r="G19804" s="3" t="n">
        <v>1675308.5</v>
      </c>
    </row>
    <row r="19805">
      <c r="A19805" s="3" t="inlineStr">
        <is>
          <t>Trademark Holdings (Pty) Ltd</t>
        </is>
      </c>
      <c r="B19805" s="4" t="n">
        <v>45382</v>
      </c>
      <c r="C19805" s="3" t="inlineStr">
        <is>
          <t>Equity</t>
        </is>
      </c>
      <c r="D19805" s="3" t="inlineStr">
        <is>
          <t>5200/000</t>
        </is>
      </c>
      <c r="E19805" s="3" t="inlineStr">
        <is>
          <t>Retained Earnings / Loss</t>
        </is>
      </c>
      <c r="F19805" s="3" t="n">
        <v>0</v>
      </c>
      <c r="G19805" s="3" t="n">
        <v>-163666.44</v>
      </c>
    </row>
    <row r="19806">
      <c r="A19806" s="3" t="inlineStr">
        <is>
          <t>Quinate Consulting (Pty) Ltd</t>
        </is>
      </c>
      <c r="B19806" s="4" t="n">
        <v>45382</v>
      </c>
      <c r="C19806" s="3" t="inlineStr">
        <is>
          <t>Assets</t>
        </is>
      </c>
      <c r="D19806" s="3" t="inlineStr">
        <is>
          <t>5400/011</t>
        </is>
      </c>
      <c r="E19806" s="3" t="inlineStr">
        <is>
          <t>Members Loan - Nick Morgan</t>
        </is>
      </c>
      <c r="F19806" s="3" t="n">
        <v>0</v>
      </c>
      <c r="G19806" s="3" t="n">
        <v>-85743.69</v>
      </c>
    </row>
    <row r="19807">
      <c r="A19807" s="3" t="inlineStr">
        <is>
          <t>Opportunity Management Holdings (PTY) LTD</t>
        </is>
      </c>
      <c r="B19807" s="4" t="n">
        <v>45382</v>
      </c>
      <c r="C19807" s="3" t="inlineStr">
        <is>
          <t>Assets</t>
        </is>
      </c>
      <c r="D19807" s="3" t="inlineStr">
        <is>
          <t>5400/500</t>
        </is>
      </c>
      <c r="E19807" s="3" t="inlineStr">
        <is>
          <t>Shareholder - Zak Loan</t>
        </is>
      </c>
      <c r="F19807" s="3" t="n">
        <v>0</v>
      </c>
      <c r="G19807" s="3" t="n">
        <v>-171798.21</v>
      </c>
    </row>
    <row r="19808">
      <c r="A19808" s="3" t="inlineStr">
        <is>
          <t>Quinate Consulting (Pty) Ltd</t>
        </is>
      </c>
      <c r="B19808" s="4" t="n">
        <v>45382</v>
      </c>
      <c r="C19808" s="3" t="inlineStr">
        <is>
          <t>Liabilities</t>
        </is>
      </c>
      <c r="D19808" s="3" t="inlineStr">
        <is>
          <t>5500/010</t>
        </is>
      </c>
      <c r="E19808" s="3" t="inlineStr">
        <is>
          <t>Loan - Wynand Haywood</t>
        </is>
      </c>
      <c r="F19808" s="3" t="n">
        <v>0</v>
      </c>
      <c r="G19808" s="3" t="n">
        <v>1928.67</v>
      </c>
    </row>
    <row r="19809">
      <c r="A19809" s="3" t="inlineStr">
        <is>
          <t>Quinate Consulting (Pty) Ltd</t>
        </is>
      </c>
      <c r="B19809" s="4" t="n">
        <v>45382</v>
      </c>
      <c r="C19809" s="3" t="inlineStr">
        <is>
          <t>Liabilities</t>
        </is>
      </c>
      <c r="D19809" s="3" t="inlineStr">
        <is>
          <t>5500/023</t>
        </is>
      </c>
      <c r="E19809" s="3" t="inlineStr">
        <is>
          <t>Loan - Noble Shield 1 Security Trust</t>
        </is>
      </c>
      <c r="F19809" s="3" t="n">
        <v>0</v>
      </c>
      <c r="G19809" s="3" t="n">
        <v>600</v>
      </c>
    </row>
    <row r="19810">
      <c r="A19810" s="3" t="inlineStr">
        <is>
          <t>Quinate Consulting (Pty) Ltd</t>
        </is>
      </c>
      <c r="B19810" s="4" t="n">
        <v>45382</v>
      </c>
      <c r="C19810" s="3" t="inlineStr">
        <is>
          <t>Liabilities</t>
        </is>
      </c>
      <c r="D19810" s="3" t="inlineStr">
        <is>
          <t>5500/025</t>
        </is>
      </c>
      <c r="E19810" s="3" t="inlineStr">
        <is>
          <t>Loan - Noble Shield 2 Security Trust</t>
        </is>
      </c>
      <c r="F19810" s="3" t="n">
        <v>0</v>
      </c>
      <c r="G19810" s="3" t="n">
        <v>250</v>
      </c>
    </row>
    <row r="19811">
      <c r="A19811" s="3" t="inlineStr">
        <is>
          <t>Quinate Consulting (Pty) Ltd</t>
        </is>
      </c>
      <c r="B19811" s="4" t="n">
        <v>45382</v>
      </c>
      <c r="C19811" s="3" t="inlineStr">
        <is>
          <t>Liabilities</t>
        </is>
      </c>
      <c r="D19811" s="3" t="inlineStr">
        <is>
          <t>5500/030</t>
        </is>
      </c>
      <c r="E19811" s="3" t="inlineStr">
        <is>
          <t>Loan - Heron Projects</t>
        </is>
      </c>
      <c r="F19811" s="3" t="n">
        <v>0</v>
      </c>
      <c r="G19811" s="3" t="n">
        <v>36800</v>
      </c>
    </row>
    <row r="19812">
      <c r="A19812" s="3" t="inlineStr">
        <is>
          <t>Opportunity Private Capital (PTY) LTD</t>
        </is>
      </c>
      <c r="B19812" s="4" t="n">
        <v>45382</v>
      </c>
      <c r="C19812" s="3" t="inlineStr">
        <is>
          <t>Liabilities</t>
        </is>
      </c>
      <c r="D19812" s="3" t="inlineStr">
        <is>
          <t>5500/100</t>
        </is>
      </c>
      <c r="E19812" s="3" t="inlineStr">
        <is>
          <t>Loan - Cape Projects Construction</t>
        </is>
      </c>
      <c r="F19812" s="3" t="n">
        <v>-275000</v>
      </c>
      <c r="G19812" s="3" t="n">
        <v>1246000</v>
      </c>
    </row>
    <row r="19813">
      <c r="A19813" s="3" t="inlineStr">
        <is>
          <t>Noble Shield (Pty) Ltd ta Go Letting</t>
        </is>
      </c>
      <c r="B19813" s="4" t="n">
        <v>45382</v>
      </c>
      <c r="C19813" s="3" t="inlineStr">
        <is>
          <t>Liabilities</t>
        </is>
      </c>
      <c r="D19813" s="3" t="inlineStr">
        <is>
          <t>5500/100</t>
        </is>
      </c>
      <c r="E19813" s="3" t="inlineStr">
        <is>
          <t>Loan - Jupiter Trust</t>
        </is>
      </c>
      <c r="F19813" s="3" t="n">
        <v>0</v>
      </c>
      <c r="G19813" s="3" t="n">
        <v>-100228.75</v>
      </c>
    </row>
    <row r="19814">
      <c r="A19814" s="3" t="inlineStr">
        <is>
          <t>Opportunity Management Holdings (PTY) LTD</t>
        </is>
      </c>
      <c r="B19814" s="4" t="n">
        <v>45382</v>
      </c>
      <c r="C19814" s="3" t="inlineStr">
        <is>
          <t>Liabilities</t>
        </is>
      </c>
      <c r="D19814" s="3" t="inlineStr">
        <is>
          <t>5500/100</t>
        </is>
      </c>
      <c r="E19814" s="3" t="inlineStr">
        <is>
          <t>Loan - Opportunity Global</t>
        </is>
      </c>
      <c r="F19814" s="3" t="n">
        <v>0</v>
      </c>
      <c r="G19814" s="3" t="n">
        <v>-20000</v>
      </c>
    </row>
    <row r="19815">
      <c r="A19815" s="3" t="inlineStr">
        <is>
          <t>Endulini (Pty) Ltd</t>
        </is>
      </c>
      <c r="B19815" s="4" t="n">
        <v>45382</v>
      </c>
      <c r="C19815" s="3" t="inlineStr">
        <is>
          <t>Liabilities</t>
        </is>
      </c>
      <c r="D19815" s="3" t="inlineStr">
        <is>
          <t>5500/100</t>
        </is>
      </c>
      <c r="E19815" s="3" t="inlineStr">
        <is>
          <t>Loan - Quinate Consulting</t>
        </is>
      </c>
      <c r="F19815" s="3" t="n">
        <v>141000</v>
      </c>
      <c r="G19815" s="3" t="n">
        <v>-5541037.9</v>
      </c>
    </row>
    <row r="19816">
      <c r="A19816" s="3" t="inlineStr">
        <is>
          <t>Opportunity Private Capital (PTY) LTD</t>
        </is>
      </c>
      <c r="B19816" s="4" t="n">
        <v>45382</v>
      </c>
      <c r="C19816" s="3" t="inlineStr">
        <is>
          <t>Liabilities</t>
        </is>
      </c>
      <c r="D19816" s="3" t="inlineStr">
        <is>
          <t>5500/140</t>
        </is>
      </c>
      <c r="E19816" s="3" t="inlineStr">
        <is>
          <t>Loan - Rockblock</t>
        </is>
      </c>
      <c r="F19816" s="3" t="n">
        <v>1000</v>
      </c>
      <c r="G19816" s="3" t="n">
        <v>1000</v>
      </c>
    </row>
    <row r="19817">
      <c r="A19817" s="3" t="inlineStr">
        <is>
          <t>Endulini (Pty) Ltd</t>
        </is>
      </c>
      <c r="B19817" s="4" t="n">
        <v>45382</v>
      </c>
      <c r="C19817" s="3" t="inlineStr">
        <is>
          <t>Liabilities</t>
        </is>
      </c>
      <c r="D19817" s="3" t="inlineStr">
        <is>
          <t>5500/150</t>
        </is>
      </c>
      <c r="E19817" s="3" t="inlineStr">
        <is>
          <t>Loan - Cape Projects Construction</t>
        </is>
      </c>
      <c r="F19817" s="3" t="n">
        <v>900000</v>
      </c>
      <c r="G19817" s="3" t="n">
        <v>-16291500</v>
      </c>
    </row>
    <row r="19818">
      <c r="A19818" s="3" t="inlineStr">
        <is>
          <t>Quinate Consulting (Pty) Ltd</t>
        </is>
      </c>
      <c r="B19818" s="4" t="n">
        <v>45382</v>
      </c>
      <c r="C19818" s="3" t="inlineStr">
        <is>
          <t>Liabilities</t>
        </is>
      </c>
      <c r="D19818" s="3" t="inlineStr">
        <is>
          <t>5500/160</t>
        </is>
      </c>
      <c r="E19818" s="3" t="inlineStr">
        <is>
          <t>Loan - GFY Investment and Consulting</t>
        </is>
      </c>
      <c r="F19818" s="3" t="n">
        <v>0</v>
      </c>
      <c r="G19818" s="3" t="n">
        <v>-1405287.47</v>
      </c>
    </row>
    <row r="19819">
      <c r="A19819" s="3" t="inlineStr">
        <is>
          <t>Opportunity Management Holdings (PTY) LTD</t>
        </is>
      </c>
      <c r="B19819" s="4" t="n">
        <v>45382</v>
      </c>
      <c r="C19819" s="3" t="inlineStr">
        <is>
          <t>Liabilities</t>
        </is>
      </c>
      <c r="D19819" s="3" t="inlineStr">
        <is>
          <t>5500/200</t>
        </is>
      </c>
      <c r="E19819" s="3" t="inlineStr">
        <is>
          <t>Loan - Cape Projects</t>
        </is>
      </c>
      <c r="F19819" s="3" t="n">
        <v>-50000</v>
      </c>
      <c r="G19819" s="3" t="n">
        <v>-317399</v>
      </c>
    </row>
    <row r="19820">
      <c r="A19820" s="3" t="inlineStr">
        <is>
          <t>Endulini (Pty) Ltd</t>
        </is>
      </c>
      <c r="B19820" s="4" t="n">
        <v>45382</v>
      </c>
      <c r="C19820" s="3" t="inlineStr">
        <is>
          <t>Liabilities</t>
        </is>
      </c>
      <c r="D19820" s="3" t="inlineStr">
        <is>
          <t>5500/200</t>
        </is>
      </c>
      <c r="E19820" s="3" t="inlineStr">
        <is>
          <t>Loan - Opportunity Management Holdings</t>
        </is>
      </c>
      <c r="F19820" s="3" t="n">
        <v>0</v>
      </c>
      <c r="G19820" s="3" t="n">
        <v>-1780000</v>
      </c>
    </row>
    <row r="19821">
      <c r="A19821" s="3" t="inlineStr">
        <is>
          <t>Trademark Holdings (Pty) Ltd</t>
        </is>
      </c>
      <c r="B19821" s="4" t="n">
        <v>45382</v>
      </c>
      <c r="C19821" s="3" t="inlineStr">
        <is>
          <t>Liabilities</t>
        </is>
      </c>
      <c r="D19821" s="3" t="inlineStr">
        <is>
          <t>5500/250</t>
        </is>
      </c>
      <c r="E19821" s="3" t="inlineStr">
        <is>
          <t>Loan - Noble Shield</t>
        </is>
      </c>
      <c r="F19821" s="3" t="n">
        <v>0</v>
      </c>
      <c r="G19821" s="3" t="n">
        <v>65165.59</v>
      </c>
    </row>
    <row r="19822">
      <c r="A19822" s="3" t="inlineStr">
        <is>
          <t>Opportunity Global Property (PTY) LTD</t>
        </is>
      </c>
      <c r="B19822" s="4" t="n">
        <v>45382</v>
      </c>
      <c r="C19822" s="3" t="inlineStr">
        <is>
          <t>Liabilities</t>
        </is>
      </c>
      <c r="D19822" s="3" t="inlineStr">
        <is>
          <t>5500/250</t>
        </is>
      </c>
      <c r="E19822" s="3" t="inlineStr">
        <is>
          <t>Loan - OPP Residential</t>
        </is>
      </c>
      <c r="F19822" s="3" t="n">
        <v>32000</v>
      </c>
      <c r="G19822" s="3" t="n">
        <v>32000</v>
      </c>
    </row>
    <row r="19823">
      <c r="A19823" s="3" t="inlineStr">
        <is>
          <t>Opportunity Private Capital Sales (PTY) LTD</t>
        </is>
      </c>
      <c r="B19823" s="4" t="n">
        <v>45382</v>
      </c>
      <c r="C19823" s="3" t="inlineStr">
        <is>
          <t>Liabilities</t>
        </is>
      </c>
      <c r="D19823" s="3" t="inlineStr">
        <is>
          <t>5500/250</t>
        </is>
      </c>
      <c r="E19823" s="3" t="inlineStr">
        <is>
          <t>Loan - OPP Residential</t>
        </is>
      </c>
      <c r="F19823" s="3" t="n">
        <v>32000</v>
      </c>
      <c r="G19823" s="3" t="n">
        <v>182000</v>
      </c>
    </row>
    <row r="19824">
      <c r="A19824" s="3" t="inlineStr">
        <is>
          <t>Opportunity Management Holdings (PTY) LTD</t>
        </is>
      </c>
      <c r="B19824" s="4" t="n">
        <v>45382</v>
      </c>
      <c r="C19824" s="3" t="inlineStr">
        <is>
          <t>Liabilities</t>
        </is>
      </c>
      <c r="D19824" s="3" t="inlineStr">
        <is>
          <t>5500/250</t>
        </is>
      </c>
      <c r="E19824" s="3" t="inlineStr">
        <is>
          <t>Loan - Quinate</t>
        </is>
      </c>
      <c r="F19824" s="3" t="n">
        <v>0</v>
      </c>
      <c r="G19824" s="3" t="n">
        <v>-130000</v>
      </c>
    </row>
    <row r="19825">
      <c r="A19825" s="3" t="inlineStr">
        <is>
          <t>Quinate Consulting (Pty) Ltd</t>
        </is>
      </c>
      <c r="B19825" s="4" t="n">
        <v>45382</v>
      </c>
      <c r="C19825" s="3" t="inlineStr">
        <is>
          <t>Liabilities</t>
        </is>
      </c>
      <c r="D19825" s="3" t="inlineStr">
        <is>
          <t>5500/300</t>
        </is>
      </c>
      <c r="E19825" s="3" t="inlineStr">
        <is>
          <t>Loan - Gengis</t>
        </is>
      </c>
      <c r="F19825" s="3" t="n">
        <v>0</v>
      </c>
      <c r="G19825" s="3" t="n">
        <v>-1029301.95</v>
      </c>
    </row>
    <row r="19826">
      <c r="A19826" s="3" t="inlineStr">
        <is>
          <t>Opportunity Management Holdings (PTY) LTD</t>
        </is>
      </c>
      <c r="B19826" s="4" t="n">
        <v>45382</v>
      </c>
      <c r="C19826" s="3" t="inlineStr">
        <is>
          <t>Liabilities</t>
        </is>
      </c>
      <c r="D19826" s="3" t="inlineStr">
        <is>
          <t>5500/300</t>
        </is>
      </c>
      <c r="E19826" s="3" t="inlineStr">
        <is>
          <t>Loan - Opportunity Prop Management</t>
        </is>
      </c>
      <c r="F19826" s="3" t="n">
        <v>0</v>
      </c>
      <c r="G19826" s="3" t="n">
        <v>-1220204.15</v>
      </c>
    </row>
    <row r="19827">
      <c r="A19827" s="3" t="inlineStr">
        <is>
          <t>Noble Shield (Pty) Ltd ta Go Letting</t>
        </is>
      </c>
      <c r="B19827" s="4" t="n">
        <v>45382</v>
      </c>
      <c r="C19827" s="3" t="inlineStr">
        <is>
          <t>Liabilities</t>
        </is>
      </c>
      <c r="D19827" s="3" t="inlineStr">
        <is>
          <t>5500/300</t>
        </is>
      </c>
      <c r="E19827" s="3" t="inlineStr">
        <is>
          <t>Loan - Trademark Holdings</t>
        </is>
      </c>
      <c r="F19827" s="3" t="n">
        <v>0</v>
      </c>
      <c r="G19827" s="3" t="n">
        <v>-65165.59</v>
      </c>
    </row>
    <row r="19828">
      <c r="A19828" s="3" t="inlineStr">
        <is>
          <t>Opportunity Management Holdings (PTY) LTD</t>
        </is>
      </c>
      <c r="B19828" s="4" t="n">
        <v>45382</v>
      </c>
      <c r="C19828" s="3" t="inlineStr">
        <is>
          <t>Liabilities</t>
        </is>
      </c>
      <c r="D19828" s="3" t="inlineStr">
        <is>
          <t>5500/350</t>
        </is>
      </c>
      <c r="E19828" s="3" t="inlineStr">
        <is>
          <t>Loan - Endulini</t>
        </is>
      </c>
      <c r="F19828" s="3" t="n">
        <v>0</v>
      </c>
      <c r="G19828" s="3" t="n">
        <v>-20000</v>
      </c>
    </row>
    <row r="19829">
      <c r="A19829" s="3" t="inlineStr">
        <is>
          <t>Opportunity Private Capital (PTY) LTD</t>
        </is>
      </c>
      <c r="B19829" s="4" t="n">
        <v>45382</v>
      </c>
      <c r="C19829" s="3" t="inlineStr">
        <is>
          <t>Liabilities</t>
        </is>
      </c>
      <c r="D19829" s="3" t="inlineStr">
        <is>
          <t>5500/350</t>
        </is>
      </c>
      <c r="E19829" s="3" t="inlineStr">
        <is>
          <t>Loan - Opportunity Management Holdings</t>
        </is>
      </c>
      <c r="F19829" s="3" t="n">
        <v>0</v>
      </c>
      <c r="G19829" s="3" t="n">
        <v>500</v>
      </c>
    </row>
    <row r="19830">
      <c r="A19830" s="3" t="inlineStr">
        <is>
          <t>Trademark Holdings (Pty) Ltd</t>
        </is>
      </c>
      <c r="B19830" s="4" t="n">
        <v>45382</v>
      </c>
      <c r="C19830" s="3" t="inlineStr">
        <is>
          <t>Liabilities</t>
        </is>
      </c>
      <c r="D19830" s="3" t="inlineStr">
        <is>
          <t>5500/350</t>
        </is>
      </c>
      <c r="E19830" s="3" t="inlineStr">
        <is>
          <t>Loan - Quinate Consulting</t>
        </is>
      </c>
      <c r="F19830" s="3" t="n">
        <v>0</v>
      </c>
      <c r="G19830" s="3" t="n">
        <v>-16413.38</v>
      </c>
    </row>
    <row r="19831">
      <c r="A19831" s="3" t="inlineStr">
        <is>
          <t>Opportunity Private Capital (PTY) LTD</t>
        </is>
      </c>
      <c r="B19831" s="4" t="n">
        <v>45382</v>
      </c>
      <c r="C19831" s="3" t="inlineStr">
        <is>
          <t>Liabilities</t>
        </is>
      </c>
      <c r="D19831" s="3" t="inlineStr">
        <is>
          <t>5500/360</t>
        </is>
      </c>
      <c r="E19831" s="3" t="inlineStr">
        <is>
          <t>Loan - Purple Block Projects</t>
        </is>
      </c>
      <c r="F19831" s="3" t="n">
        <v>-59545.78</v>
      </c>
      <c r="G19831" s="3" t="n">
        <v>-59545.78</v>
      </c>
    </row>
    <row r="19832">
      <c r="A19832" s="3" t="inlineStr">
        <is>
          <t>Trademark Holdings (Pty) Ltd</t>
        </is>
      </c>
      <c r="B19832" s="4" t="n">
        <v>45382</v>
      </c>
      <c r="C19832" s="3" t="inlineStr">
        <is>
          <t>Liabilities</t>
        </is>
      </c>
      <c r="D19832" s="3" t="inlineStr">
        <is>
          <t>5500/375</t>
        </is>
      </c>
      <c r="E19832" s="3" t="inlineStr">
        <is>
          <t>Loan - Opportunity Management Holdings Pty Ltd</t>
        </is>
      </c>
      <c r="F19832" s="3" t="n">
        <v>0</v>
      </c>
      <c r="G19832" s="3" t="n">
        <v>158800</v>
      </c>
    </row>
    <row r="19833">
      <c r="A19833" s="3" t="inlineStr">
        <is>
          <t>Trademark Holdings (Pty) Ltd</t>
        </is>
      </c>
      <c r="B19833" s="4" t="n">
        <v>45382</v>
      </c>
      <c r="C19833" s="3" t="inlineStr">
        <is>
          <t>Liabilities</t>
        </is>
      </c>
      <c r="D19833" s="3" t="inlineStr">
        <is>
          <t>5500/450</t>
        </is>
      </c>
      <c r="E19833" s="3" t="inlineStr">
        <is>
          <t>Loan - Cape Projects Construction</t>
        </is>
      </c>
      <c r="F19833" s="3" t="n">
        <v>39400</v>
      </c>
      <c r="G19833" s="3" t="n">
        <v>57000</v>
      </c>
    </row>
    <row r="19834">
      <c r="A19834" s="3" t="inlineStr">
        <is>
          <t>Trademark Holdings (Pty) Ltd</t>
        </is>
      </c>
      <c r="B19834" s="4" t="n">
        <v>45382</v>
      </c>
      <c r="C19834" s="3" t="inlineStr">
        <is>
          <t>Liabilities</t>
        </is>
      </c>
      <c r="D19834" s="3" t="inlineStr">
        <is>
          <t>5500/500</t>
        </is>
      </c>
      <c r="E19834" s="3" t="inlineStr">
        <is>
          <t>Go Letting Brand Name</t>
        </is>
      </c>
      <c r="F19834" s="3" t="n">
        <v>0</v>
      </c>
      <c r="G19834" s="3" t="n">
        <v>93420</v>
      </c>
    </row>
    <row r="19835">
      <c r="A19835" s="3" t="inlineStr">
        <is>
          <t>Noble Shield (Pty) Ltd ta Go Letting</t>
        </is>
      </c>
      <c r="B19835" s="4" t="n">
        <v>45382</v>
      </c>
      <c r="C19835" s="3" t="inlineStr">
        <is>
          <t>Liabilities</t>
        </is>
      </c>
      <c r="D19835" s="3" t="inlineStr">
        <is>
          <t>5500/500</t>
        </is>
      </c>
      <c r="E19835" s="3" t="inlineStr">
        <is>
          <t>Loan - Cape Projects Construction</t>
        </is>
      </c>
      <c r="F19835" s="3" t="n">
        <v>-600</v>
      </c>
      <c r="G19835" s="3" t="n">
        <v>199589.44</v>
      </c>
    </row>
    <row r="19836">
      <c r="A19836" s="3" t="inlineStr">
        <is>
          <t>Quinate Consulting (Pty) Ltd</t>
        </is>
      </c>
      <c r="B19836" s="4" t="n">
        <v>45382</v>
      </c>
      <c r="C19836" s="3" t="inlineStr">
        <is>
          <t>Liabilities</t>
        </is>
      </c>
      <c r="D19836" s="3" t="inlineStr">
        <is>
          <t>5500/500</t>
        </is>
      </c>
      <c r="E19836" s="3" t="inlineStr">
        <is>
          <t>Loan - Opportunity Development Struct.</t>
        </is>
      </c>
      <c r="F19836" s="3" t="n">
        <v>0</v>
      </c>
      <c r="G19836" s="3" t="n">
        <v>-2380000</v>
      </c>
    </row>
    <row r="19837">
      <c r="A19837" s="3" t="inlineStr">
        <is>
          <t>Opportunity Management Holdings (PTY) LTD</t>
        </is>
      </c>
      <c r="B19837" s="4" t="n">
        <v>45382</v>
      </c>
      <c r="C19837" s="3" t="inlineStr">
        <is>
          <t>Liabilities</t>
        </is>
      </c>
      <c r="D19837" s="3" t="inlineStr">
        <is>
          <t>5500/500</t>
        </is>
      </c>
      <c r="E19837" s="3" t="inlineStr">
        <is>
          <t>Loan - Opportunity Tradermark Holdings</t>
        </is>
      </c>
      <c r="F19837" s="3" t="n">
        <v>0</v>
      </c>
      <c r="G19837" s="3" t="n">
        <v>-158800</v>
      </c>
    </row>
    <row r="19838">
      <c r="A19838" s="3" t="inlineStr">
        <is>
          <t>Quinate Consulting (Pty) Ltd</t>
        </is>
      </c>
      <c r="B19838" s="4" t="n">
        <v>45382</v>
      </c>
      <c r="C19838" s="3" t="inlineStr">
        <is>
          <t>Liabilities</t>
        </is>
      </c>
      <c r="D19838" s="3" t="inlineStr">
        <is>
          <t>5500/520</t>
        </is>
      </c>
      <c r="E19838" s="3" t="inlineStr">
        <is>
          <t>Loan - Opportunity Management Holdings</t>
        </is>
      </c>
      <c r="F19838" s="3" t="n">
        <v>0</v>
      </c>
      <c r="G19838" s="3" t="n">
        <v>126100</v>
      </c>
    </row>
    <row r="19839">
      <c r="A19839" s="3" t="inlineStr">
        <is>
          <t>Opportunity Management Holdings (PTY) LTD</t>
        </is>
      </c>
      <c r="B19839" s="4" t="n">
        <v>45382</v>
      </c>
      <c r="C19839" s="3" t="inlineStr">
        <is>
          <t>Liabilities</t>
        </is>
      </c>
      <c r="D19839" s="3" t="inlineStr">
        <is>
          <t>5500/550</t>
        </is>
      </c>
      <c r="E19839" s="3" t="inlineStr">
        <is>
          <t>Loan - Heron Projects</t>
        </is>
      </c>
      <c r="F19839" s="3" t="n">
        <v>0</v>
      </c>
      <c r="G19839" s="3" t="n">
        <v>84900</v>
      </c>
    </row>
    <row r="19840">
      <c r="A19840" s="3" t="inlineStr">
        <is>
          <t>Opportunity Private Capital (PTY) LTD</t>
        </is>
      </c>
      <c r="B19840" s="4" t="n">
        <v>45382</v>
      </c>
      <c r="C19840" s="3" t="inlineStr">
        <is>
          <t>Liabilities</t>
        </is>
      </c>
      <c r="D19840" s="3" t="inlineStr">
        <is>
          <t>5500/650</t>
        </is>
      </c>
      <c r="E19840" s="3" t="inlineStr">
        <is>
          <t>Loan - Opportunit Global - Sales</t>
        </is>
      </c>
      <c r="F19840" s="3" t="n">
        <v>-8400</v>
      </c>
      <c r="G19840" s="3" t="n">
        <v>-4179130.55</v>
      </c>
    </row>
    <row r="19841">
      <c r="A19841" s="3" t="inlineStr">
        <is>
          <t>Opportunity Global Property (PTY) LTD</t>
        </is>
      </c>
      <c r="B19841" s="4" t="n">
        <v>45382</v>
      </c>
      <c r="C19841" s="3" t="inlineStr">
        <is>
          <t>Liabilities</t>
        </is>
      </c>
      <c r="D19841" s="3" t="inlineStr">
        <is>
          <t>5500/650</t>
        </is>
      </c>
      <c r="E19841" s="3" t="inlineStr">
        <is>
          <t>Loan - Opportunity Investments</t>
        </is>
      </c>
      <c r="F19841" s="3" t="n">
        <v>-23000</v>
      </c>
      <c r="G19841" s="3" t="n">
        <v>4147730.55</v>
      </c>
    </row>
    <row r="19842">
      <c r="A19842" s="3" t="inlineStr">
        <is>
          <t>Opportunity Private Capital Sales (PTY) LTD</t>
        </is>
      </c>
      <c r="B19842" s="4" t="n">
        <v>45382</v>
      </c>
      <c r="C19842" s="3" t="inlineStr">
        <is>
          <t>Liabilities</t>
        </is>
      </c>
      <c r="D19842" s="3" t="inlineStr">
        <is>
          <t>5500/650</t>
        </is>
      </c>
      <c r="E19842" s="3" t="inlineStr">
        <is>
          <t>Loan - Opportunity Investments</t>
        </is>
      </c>
      <c r="F19842" s="3" t="n">
        <v>-16000</v>
      </c>
      <c r="G19842" s="3" t="n">
        <v>4004730.55</v>
      </c>
    </row>
    <row r="19843">
      <c r="A19843" s="3" t="inlineStr">
        <is>
          <t>Opportunity Management Holdings (PTY) LTD</t>
        </is>
      </c>
      <c r="B19843" s="4" t="n">
        <v>45382</v>
      </c>
      <c r="C19843" s="3" t="inlineStr">
        <is>
          <t>Liabilities</t>
        </is>
      </c>
      <c r="D19843" s="3" t="inlineStr">
        <is>
          <t>5500/700</t>
        </is>
      </c>
      <c r="E19843" s="3" t="inlineStr">
        <is>
          <t>Loan - Go Letting</t>
        </is>
      </c>
      <c r="F19843" s="3" t="n">
        <v>0</v>
      </c>
      <c r="G19843" s="3" t="n">
        <v>-120</v>
      </c>
    </row>
    <row r="19844">
      <c r="A19844" s="3" t="inlineStr">
        <is>
          <t>Quinate Consulting (Pty) Ltd</t>
        </is>
      </c>
      <c r="B19844" s="4" t="n">
        <v>45382</v>
      </c>
      <c r="C19844" s="3" t="inlineStr">
        <is>
          <t>Liabilities</t>
        </is>
      </c>
      <c r="D19844" s="3" t="inlineStr">
        <is>
          <t>5500/700</t>
        </is>
      </c>
      <c r="E19844" s="3" t="inlineStr">
        <is>
          <t>Loan - Trademark Holdings</t>
        </is>
      </c>
      <c r="F19844" s="3" t="n">
        <v>0</v>
      </c>
      <c r="G19844" s="3" t="n">
        <v>16413.38</v>
      </c>
    </row>
    <row r="19845">
      <c r="A19845" s="3" t="inlineStr">
        <is>
          <t>Opportunity Private Capital (PTY) LTD</t>
        </is>
      </c>
      <c r="B19845" s="4" t="n">
        <v>45382</v>
      </c>
      <c r="C19845" s="3" t="inlineStr">
        <is>
          <t>Liabilities</t>
        </is>
      </c>
      <c r="D19845" s="3" t="inlineStr">
        <is>
          <t>5500/750</t>
        </is>
      </c>
      <c r="E19845" s="3" t="inlineStr">
        <is>
          <t>Loan - Heron Projects</t>
        </is>
      </c>
      <c r="F19845" s="3" t="n">
        <v>-410000</v>
      </c>
      <c r="G19845" s="3" t="n">
        <v>-2463000</v>
      </c>
    </row>
    <row r="19846">
      <c r="A19846" s="3" t="inlineStr">
        <is>
          <t>Opportunity Private Capital (PTY) LTD</t>
        </is>
      </c>
      <c r="B19846" s="4" t="n">
        <v>45382</v>
      </c>
      <c r="C19846" s="3" t="inlineStr">
        <is>
          <t>Liabilities</t>
        </is>
      </c>
      <c r="D19846" s="3" t="inlineStr">
        <is>
          <t>5500/850</t>
        </is>
      </c>
      <c r="E19846" s="3" t="inlineStr">
        <is>
          <t>Loan - Nick Morgan</t>
        </is>
      </c>
      <c r="F19846" s="3" t="n">
        <v>0</v>
      </c>
      <c r="G19846" s="3" t="n">
        <v>6200</v>
      </c>
    </row>
    <row r="19847">
      <c r="A19847" s="3" t="inlineStr">
        <is>
          <t>Quinate Consulting (Pty) Ltd</t>
        </is>
      </c>
      <c r="B19847" s="4" t="n">
        <v>45382</v>
      </c>
      <c r="C19847" s="3" t="inlineStr">
        <is>
          <t>Liabilities</t>
        </is>
      </c>
      <c r="D19847" s="3" t="inlineStr">
        <is>
          <t>5501/000</t>
        </is>
      </c>
      <c r="E19847" s="3" t="inlineStr">
        <is>
          <t>Loan - Endulini Project</t>
        </is>
      </c>
      <c r="F19847" s="3" t="n">
        <v>-200000</v>
      </c>
      <c r="G19847" s="3" t="n">
        <v>-232756.97</v>
      </c>
    </row>
    <row r="19848">
      <c r="A19848" s="3" t="inlineStr">
        <is>
          <t>Quinate Consulting (Pty) Ltd</t>
        </is>
      </c>
      <c r="B19848" s="4" t="n">
        <v>45382</v>
      </c>
      <c r="C19848" s="3" t="inlineStr">
        <is>
          <t>Liabilities</t>
        </is>
      </c>
      <c r="D19848" s="3" t="inlineStr">
        <is>
          <t>5501/001</t>
        </is>
      </c>
      <c r="E19848" s="3" t="inlineStr">
        <is>
          <t>Loan - Endulini CIP Costs</t>
        </is>
      </c>
      <c r="F19848" s="3" t="n">
        <v>59600</v>
      </c>
      <c r="G19848" s="3" t="n">
        <v>5774394.87</v>
      </c>
    </row>
    <row r="19849">
      <c r="A19849" s="3" t="inlineStr">
        <is>
          <t>Quinate Consulting (Pty) Ltd</t>
        </is>
      </c>
      <c r="B19849" s="4" t="n">
        <v>45382</v>
      </c>
      <c r="C19849" s="3" t="inlineStr">
        <is>
          <t>Liabilities</t>
        </is>
      </c>
      <c r="D19849" s="3" t="inlineStr">
        <is>
          <t>5501/002</t>
        </is>
      </c>
      <c r="E19849" s="3" t="inlineStr">
        <is>
          <t>Loan - Purple Block</t>
        </is>
      </c>
      <c r="F19849" s="3" t="n">
        <v>0</v>
      </c>
      <c r="G19849" s="3" t="n">
        <v>171148.82</v>
      </c>
    </row>
    <row r="19850">
      <c r="A19850" s="3" t="inlineStr">
        <is>
          <t>Noble Shield (Pty) Ltd ta Go Letting</t>
        </is>
      </c>
      <c r="B19850" s="4" t="n">
        <v>45382</v>
      </c>
      <c r="C19850" s="3" t="inlineStr">
        <is>
          <t>Assets</t>
        </is>
      </c>
      <c r="D19850" s="3" t="inlineStr">
        <is>
          <t>6250/010</t>
        </is>
      </c>
      <c r="E19850" s="3" t="inlineStr">
        <is>
          <t>Computer Equipment - @ Cost</t>
        </is>
      </c>
      <c r="F19850" s="3" t="n">
        <v>0</v>
      </c>
      <c r="G19850" s="3" t="n">
        <v>20397</v>
      </c>
    </row>
    <row r="19851">
      <c r="A19851" s="3" t="inlineStr">
        <is>
          <t>Opportunity Management Holdings (PTY) LTD</t>
        </is>
      </c>
      <c r="B19851" s="4" t="n">
        <v>45382</v>
      </c>
      <c r="C19851" s="3" t="inlineStr">
        <is>
          <t>Assets</t>
        </is>
      </c>
      <c r="D19851" s="3" t="inlineStr">
        <is>
          <t>6250/010</t>
        </is>
      </c>
      <c r="E19851" s="3" t="inlineStr">
        <is>
          <t>Computer Equipment - @ Cost</t>
        </is>
      </c>
      <c r="F19851" s="3" t="n">
        <v>14500</v>
      </c>
      <c r="G19851" s="3" t="n">
        <v>66677.85000000001</v>
      </c>
    </row>
    <row r="19852">
      <c r="A19852" s="3" t="inlineStr">
        <is>
          <t>Opportunity Private Capital (PTY) LTD</t>
        </is>
      </c>
      <c r="B19852" s="4" t="n">
        <v>45382</v>
      </c>
      <c r="C19852" s="3" t="inlineStr">
        <is>
          <t>Assets</t>
        </is>
      </c>
      <c r="D19852" s="3" t="inlineStr">
        <is>
          <t>6250/010</t>
        </is>
      </c>
      <c r="E19852" s="3" t="inlineStr">
        <is>
          <t>Computer Equipment - @ Cost</t>
        </is>
      </c>
      <c r="F19852" s="3" t="n">
        <v>0</v>
      </c>
      <c r="G19852" s="3" t="n">
        <v>31683.04</v>
      </c>
    </row>
    <row r="19853">
      <c r="A19853" s="3" t="inlineStr">
        <is>
          <t>Quinate Consulting (Pty) Ltd</t>
        </is>
      </c>
      <c r="B19853" s="4" t="n">
        <v>45382</v>
      </c>
      <c r="C19853" s="3" t="inlineStr">
        <is>
          <t>Assets</t>
        </is>
      </c>
      <c r="D19853" s="3" t="inlineStr">
        <is>
          <t>6250/010</t>
        </is>
      </c>
      <c r="E19853" s="3" t="inlineStr">
        <is>
          <t>Computer Equipment - @ Cost</t>
        </is>
      </c>
      <c r="F19853" s="3" t="n">
        <v>0</v>
      </c>
      <c r="G19853" s="3" t="n">
        <v>137059.7</v>
      </c>
    </row>
    <row r="19854">
      <c r="A19854" s="3" t="inlineStr">
        <is>
          <t>Noble Shield (Pty) Ltd ta Go Letting</t>
        </is>
      </c>
      <c r="B19854" s="4" t="n">
        <v>45382</v>
      </c>
      <c r="C19854" s="3" t="inlineStr">
        <is>
          <t>Assets</t>
        </is>
      </c>
      <c r="D19854" s="3" t="inlineStr">
        <is>
          <t>6250/020</t>
        </is>
      </c>
      <c r="E19854" s="3" t="inlineStr">
        <is>
          <t>Computer Equipment - Accum Depre</t>
        </is>
      </c>
      <c r="F19854" s="3" t="n">
        <v>0</v>
      </c>
      <c r="G19854" s="3" t="n">
        <v>-12040.89</v>
      </c>
    </row>
    <row r="19855">
      <c r="A19855" s="3" t="inlineStr">
        <is>
          <t>Opportunity Management Holdings (PTY) LTD</t>
        </is>
      </c>
      <c r="B19855" s="4" t="n">
        <v>45382</v>
      </c>
      <c r="C19855" s="3" t="inlineStr">
        <is>
          <t>Assets</t>
        </is>
      </c>
      <c r="D19855" s="3" t="inlineStr">
        <is>
          <t>6250/020</t>
        </is>
      </c>
      <c r="E19855" s="3" t="inlineStr">
        <is>
          <t>Computer Equipment - Accum Depre</t>
        </is>
      </c>
      <c r="F19855" s="3" t="n">
        <v>-1404.94</v>
      </c>
      <c r="G19855" s="3" t="n">
        <v>-19436.29</v>
      </c>
    </row>
    <row r="19856">
      <c r="A19856" s="3" t="inlineStr">
        <is>
          <t>Opportunity Private Capital (PTY) LTD</t>
        </is>
      </c>
      <c r="B19856" s="4" t="n">
        <v>45382</v>
      </c>
      <c r="C19856" s="3" t="inlineStr">
        <is>
          <t>Assets</t>
        </is>
      </c>
      <c r="D19856" s="3" t="inlineStr">
        <is>
          <t>6250/020</t>
        </is>
      </c>
      <c r="E19856" s="3" t="inlineStr">
        <is>
          <t>Computer Equipment - Accum Depre</t>
        </is>
      </c>
      <c r="F19856" s="3" t="n">
        <v>-880.08</v>
      </c>
      <c r="G19856" s="3" t="n">
        <v>-13201.26</v>
      </c>
    </row>
    <row r="19857">
      <c r="A19857" s="3" t="inlineStr">
        <is>
          <t>Quinate Consulting (Pty) Ltd</t>
        </is>
      </c>
      <c r="B19857" s="4" t="n">
        <v>45382</v>
      </c>
      <c r="C19857" s="3" t="inlineStr">
        <is>
          <t>Assets</t>
        </is>
      </c>
      <c r="D19857" s="3" t="inlineStr">
        <is>
          <t>6250/020</t>
        </is>
      </c>
      <c r="E19857" s="3" t="inlineStr">
        <is>
          <t>Computer Equipment - Accum Depre</t>
        </is>
      </c>
      <c r="F19857" s="3" t="n">
        <v>0</v>
      </c>
      <c r="G19857" s="3" t="n">
        <v>-124782.02</v>
      </c>
    </row>
    <row r="19858">
      <c r="A19858" s="3" t="inlineStr">
        <is>
          <t>Opportunity Management Holdings (PTY) LTD</t>
        </is>
      </c>
      <c r="B19858" s="4" t="n">
        <v>45382</v>
      </c>
      <c r="C19858" s="3" t="inlineStr">
        <is>
          <t>Assets</t>
        </is>
      </c>
      <c r="D19858" s="3" t="inlineStr">
        <is>
          <t>6250/030</t>
        </is>
      </c>
      <c r="E19858" s="3" t="inlineStr">
        <is>
          <t>Acc Depreciation - Computer Equipment</t>
        </is>
      </c>
      <c r="F19858" s="3" t="n">
        <v>0</v>
      </c>
      <c r="G19858" s="3" t="n">
        <v>-9441.25</v>
      </c>
    </row>
    <row r="19859">
      <c r="A19859" s="3" t="inlineStr">
        <is>
          <t>Quinate Consulting (Pty) Ltd</t>
        </is>
      </c>
      <c r="B19859" s="4" t="n">
        <v>45382</v>
      </c>
      <c r="C19859" s="3" t="inlineStr">
        <is>
          <t>Assets</t>
        </is>
      </c>
      <c r="D19859" s="3" t="inlineStr">
        <is>
          <t>6270/010</t>
        </is>
      </c>
      <c r="E19859" s="3" t="inlineStr">
        <is>
          <t>Site Containers - @ Cost</t>
        </is>
      </c>
      <c r="F19859" s="3" t="n">
        <v>0</v>
      </c>
      <c r="G19859" s="3" t="n">
        <v>19130.44</v>
      </c>
    </row>
    <row r="19860">
      <c r="A19860" s="3" t="inlineStr">
        <is>
          <t>Quinate Consulting (Pty) Ltd</t>
        </is>
      </c>
      <c r="B19860" s="4" t="n">
        <v>45382</v>
      </c>
      <c r="C19860" s="3" t="inlineStr">
        <is>
          <t>Assets</t>
        </is>
      </c>
      <c r="D19860" s="3" t="inlineStr">
        <is>
          <t>6270/020</t>
        </is>
      </c>
      <c r="E19860" s="3" t="inlineStr">
        <is>
          <t>Site Containers - Accum Depre</t>
        </is>
      </c>
      <c r="F19860" s="3" t="n">
        <v>0</v>
      </c>
      <c r="G19860" s="3" t="n">
        <v>-11478.26</v>
      </c>
    </row>
    <row r="19861">
      <c r="A19861" s="3" t="inlineStr">
        <is>
          <t>Noble Shield (Pty) Ltd ta Go Letting</t>
        </is>
      </c>
      <c r="B19861" s="4" t="n">
        <v>45382</v>
      </c>
      <c r="C19861" s="3" t="inlineStr">
        <is>
          <t>Assets</t>
        </is>
      </c>
      <c r="D19861" s="3" t="inlineStr">
        <is>
          <t>6350/010</t>
        </is>
      </c>
      <c r="E19861" s="3" t="inlineStr">
        <is>
          <t>Furniture _AND_ Fittings - @ Cost</t>
        </is>
      </c>
      <c r="F19861" s="3" t="n">
        <v>0</v>
      </c>
      <c r="G19861" s="3" t="n">
        <v>2242</v>
      </c>
    </row>
    <row r="19862">
      <c r="A19862" s="3" t="inlineStr">
        <is>
          <t>Opportunity Global Property (PTY) LTD</t>
        </is>
      </c>
      <c r="B19862" s="4" t="n">
        <v>45382</v>
      </c>
      <c r="C19862" s="3" t="inlineStr">
        <is>
          <t>Assets</t>
        </is>
      </c>
      <c r="D19862" s="3" t="inlineStr">
        <is>
          <t>6350/010</t>
        </is>
      </c>
      <c r="E19862" s="3" t="inlineStr">
        <is>
          <t>Furniture _AND_ Fittings - @ Cost</t>
        </is>
      </c>
      <c r="F19862" s="3" t="n">
        <v>0</v>
      </c>
      <c r="G19862" s="3" t="n">
        <v>29379.7</v>
      </c>
    </row>
    <row r="19863">
      <c r="A19863" s="3" t="inlineStr">
        <is>
          <t>Opportunity Private Capital Sales (PTY) LTD</t>
        </is>
      </c>
      <c r="B19863" s="4" t="n">
        <v>45382</v>
      </c>
      <c r="C19863" s="3" t="inlineStr">
        <is>
          <t>Assets</t>
        </is>
      </c>
      <c r="D19863" s="3" t="inlineStr">
        <is>
          <t>6350/010</t>
        </is>
      </c>
      <c r="E19863" s="3" t="inlineStr">
        <is>
          <t>Furniture _AND_ Fittings - @ Cost</t>
        </is>
      </c>
      <c r="F19863" s="3" t="n">
        <v>0</v>
      </c>
      <c r="G19863" s="3" t="n">
        <v>29379.7</v>
      </c>
    </row>
    <row r="19864">
      <c r="A19864" s="3" t="inlineStr">
        <is>
          <t>Noble Shield (Pty) Ltd ta Go Letting</t>
        </is>
      </c>
      <c r="B19864" s="4" t="n">
        <v>45382</v>
      </c>
      <c r="C19864" s="3" t="inlineStr">
        <is>
          <t>Assets</t>
        </is>
      </c>
      <c r="D19864" s="3" t="inlineStr">
        <is>
          <t>6350/020</t>
        </is>
      </c>
      <c r="E19864" s="3" t="inlineStr">
        <is>
          <t>Furniture _AND_ Fittings - Accum Depre</t>
        </is>
      </c>
      <c r="F19864" s="3" t="n">
        <v>0</v>
      </c>
      <c r="G19864" s="3" t="n">
        <v>-2239</v>
      </c>
    </row>
    <row r="19865">
      <c r="A19865" s="3" t="inlineStr">
        <is>
          <t>Opportunity Global Property (PTY) LTD</t>
        </is>
      </c>
      <c r="B19865" s="4" t="n">
        <v>45382</v>
      </c>
      <c r="C19865" s="3" t="inlineStr">
        <is>
          <t>Assets</t>
        </is>
      </c>
      <c r="D19865" s="3" t="inlineStr">
        <is>
          <t>6350/020</t>
        </is>
      </c>
      <c r="E19865" s="3" t="inlineStr">
        <is>
          <t>Furniture _AND_ Fittings - Accum Depre</t>
        </is>
      </c>
      <c r="F19865" s="3" t="n">
        <v>0</v>
      </c>
      <c r="G19865" s="3" t="n">
        <v>-8161.03</v>
      </c>
    </row>
    <row r="19866">
      <c r="A19866" s="3" t="inlineStr">
        <is>
          <t>Opportunity Private Capital Sales (PTY) LTD</t>
        </is>
      </c>
      <c r="B19866" s="4" t="n">
        <v>45382</v>
      </c>
      <c r="C19866" s="3" t="inlineStr">
        <is>
          <t>Assets</t>
        </is>
      </c>
      <c r="D19866" s="3" t="inlineStr">
        <is>
          <t>6350/020</t>
        </is>
      </c>
      <c r="E19866" s="3" t="inlineStr">
        <is>
          <t>Furniture _AND_ Fittings - Accum Depre</t>
        </is>
      </c>
      <c r="F19866" s="3" t="n">
        <v>0</v>
      </c>
      <c r="G19866" s="3" t="n">
        <v>-8161.03</v>
      </c>
    </row>
    <row r="19867">
      <c r="A19867" s="3" t="inlineStr">
        <is>
          <t>Opportunity Management Holdings (PTY) LTD</t>
        </is>
      </c>
      <c r="B19867" s="4" t="n">
        <v>45382</v>
      </c>
      <c r="C19867" s="3" t="inlineStr">
        <is>
          <t>Liabilities</t>
        </is>
      </c>
      <c r="D19867" s="3" t="inlineStr">
        <is>
          <t>6500/000</t>
        </is>
      </c>
      <c r="E19867" s="3" t="inlineStr">
        <is>
          <t>Deposits - Held</t>
        </is>
      </c>
      <c r="F19867" s="3" t="n">
        <v>0</v>
      </c>
      <c r="G19867" s="3" t="n">
        <v>-12028.1</v>
      </c>
    </row>
    <row r="19868">
      <c r="A19868" s="3" t="inlineStr">
        <is>
          <t>Opportunity Management Holdings (PTY) LTD</t>
        </is>
      </c>
      <c r="B19868" s="4" t="n">
        <v>45382</v>
      </c>
      <c r="C19868" s="3" t="inlineStr">
        <is>
          <t>Liabilities</t>
        </is>
      </c>
      <c r="D19868" s="3" t="inlineStr">
        <is>
          <t>6510/000</t>
        </is>
      </c>
      <c r="E19868" s="3" t="inlineStr">
        <is>
          <t>Deposits Paid - Anicol Properties</t>
        </is>
      </c>
      <c r="F19868" s="3" t="n">
        <v>0</v>
      </c>
      <c r="G19868" s="3" t="n">
        <v>13755</v>
      </c>
    </row>
    <row r="19869">
      <c r="A19869" s="3" t="inlineStr">
        <is>
          <t>Opportunity Management Holdings (PTY) LTD</t>
        </is>
      </c>
      <c r="B19869" s="4" t="n">
        <v>45382</v>
      </c>
      <c r="C19869" s="3" t="inlineStr">
        <is>
          <t>Liabilities</t>
        </is>
      </c>
      <c r="D19869" s="3" t="inlineStr">
        <is>
          <t>6515/000</t>
        </is>
      </c>
      <c r="E19869" s="3" t="inlineStr">
        <is>
          <t>Deposits Paid</t>
        </is>
      </c>
      <c r="F19869" s="3" t="n">
        <v>0</v>
      </c>
      <c r="G19869" s="3" t="n">
        <v>3852.5</v>
      </c>
    </row>
    <row r="19870">
      <c r="A19870" s="3" t="inlineStr">
        <is>
          <t>Quinate Consulting (Pty) Ltd</t>
        </is>
      </c>
      <c r="B19870" s="4" t="n">
        <v>45382</v>
      </c>
      <c r="C19870" s="3" t="inlineStr">
        <is>
          <t>Assets</t>
        </is>
      </c>
      <c r="D19870" s="3" t="inlineStr">
        <is>
          <t>6600/010</t>
        </is>
      </c>
      <c r="E19870" s="3" t="inlineStr">
        <is>
          <t>Other Fixed Assets - @ Cost</t>
        </is>
      </c>
      <c r="F19870" s="3" t="n">
        <v>0</v>
      </c>
      <c r="G19870" s="3" t="n">
        <v>14442.5</v>
      </c>
    </row>
    <row r="19871">
      <c r="A19871" s="3" t="inlineStr">
        <is>
          <t>Quinate Consulting (Pty) Ltd</t>
        </is>
      </c>
      <c r="B19871" s="4" t="n">
        <v>45382</v>
      </c>
      <c r="C19871" s="3" t="inlineStr">
        <is>
          <t>Assets</t>
        </is>
      </c>
      <c r="D19871" s="3" t="inlineStr">
        <is>
          <t>6600/020</t>
        </is>
      </c>
      <c r="E19871" s="3" t="inlineStr">
        <is>
          <t>Other Fixed Assets - Accum Depre</t>
        </is>
      </c>
      <c r="F19871" s="3" t="n">
        <v>0</v>
      </c>
      <c r="G19871" s="3" t="n">
        <v>-14441.5</v>
      </c>
    </row>
    <row r="19872">
      <c r="A19872" s="3" t="inlineStr">
        <is>
          <t>Noble Shield (Pty) Ltd ta Go Letting</t>
        </is>
      </c>
      <c r="B19872" s="4" t="n">
        <v>45382</v>
      </c>
      <c r="C19872" s="3" t="inlineStr">
        <is>
          <t>Assets</t>
        </is>
      </c>
      <c r="D19872" s="3" t="inlineStr">
        <is>
          <t>7000/100</t>
        </is>
      </c>
      <c r="E19872" s="3" t="inlineStr">
        <is>
          <t>Goodwill - Purchase of Go Letting</t>
        </is>
      </c>
      <c r="F19872" s="3" t="n">
        <v>0</v>
      </c>
      <c r="G19872" s="3" t="n">
        <v>106580</v>
      </c>
    </row>
    <row r="19873">
      <c r="A19873" s="3" t="inlineStr">
        <is>
          <t>Opportunity Private Capital (PTY) LTD</t>
        </is>
      </c>
      <c r="B19873" s="4" t="n">
        <v>45382</v>
      </c>
      <c r="C19873" s="3" t="inlineStr">
        <is>
          <t>Assets</t>
        </is>
      </c>
      <c r="D19873" s="3" t="inlineStr">
        <is>
          <t>7100/010</t>
        </is>
      </c>
      <c r="E19873" s="3" t="inlineStr">
        <is>
          <t>Investment - OMIGI D203</t>
        </is>
      </c>
      <c r="F19873" s="3" t="n">
        <v>250000</v>
      </c>
      <c r="G19873" s="3" t="n">
        <v>250000</v>
      </c>
    </row>
    <row r="19874">
      <c r="A19874" s="3" t="inlineStr">
        <is>
          <t>Opportunity Management Holdings (PTY) LTD</t>
        </is>
      </c>
      <c r="B19874" s="4" t="n">
        <v>45382</v>
      </c>
      <c r="C19874" s="3" t="inlineStr">
        <is>
          <t>Assets</t>
        </is>
      </c>
      <c r="D19874" s="3" t="inlineStr">
        <is>
          <t>7200/000</t>
        </is>
      </c>
      <c r="E19874" s="3" t="inlineStr">
        <is>
          <t>Shares in Subsidiary Companies</t>
        </is>
      </c>
      <c r="F19874" s="3" t="n">
        <v>0</v>
      </c>
      <c r="G19874" s="3" t="n">
        <v>120</v>
      </c>
    </row>
    <row r="19875">
      <c r="A19875" s="3" t="inlineStr">
        <is>
          <t>Endulini (Pty) Ltd</t>
        </is>
      </c>
      <c r="B19875" s="4" t="n">
        <v>45382</v>
      </c>
      <c r="C19875" s="3" t="inlineStr">
        <is>
          <t>Assets</t>
        </is>
      </c>
      <c r="D19875" s="3" t="inlineStr">
        <is>
          <t>7610/100</t>
        </is>
      </c>
      <c r="E19875" s="3" t="inlineStr">
        <is>
          <t>Endulini Land</t>
        </is>
      </c>
      <c r="F19875" s="3" t="n">
        <v>0</v>
      </c>
      <c r="G19875" s="3" t="n">
        <v>10572851.37</v>
      </c>
    </row>
    <row r="19876">
      <c r="A19876" s="3" t="inlineStr">
        <is>
          <t>Endulini (Pty) Ltd</t>
        </is>
      </c>
      <c r="B19876" s="4" t="n">
        <v>45382</v>
      </c>
      <c r="C19876" s="3" t="inlineStr">
        <is>
          <t>Assets</t>
        </is>
      </c>
      <c r="D19876" s="3" t="inlineStr">
        <is>
          <t>7610/111</t>
        </is>
      </c>
      <c r="E19876" s="3" t="inlineStr">
        <is>
          <t>Endulini Closing Stock February 2021</t>
        </is>
      </c>
      <c r="F19876" s="3" t="n">
        <v>0</v>
      </c>
      <c r="G19876" s="3" t="n">
        <v>14368610.11</v>
      </c>
    </row>
    <row r="19877">
      <c r="A19877" s="3" t="inlineStr">
        <is>
          <t>Endulini (Pty) Ltd</t>
        </is>
      </c>
      <c r="B19877" s="4" t="n">
        <v>45382</v>
      </c>
      <c r="C19877" s="3" t="inlineStr">
        <is>
          <t>Assets</t>
        </is>
      </c>
      <c r="D19877" s="3" t="inlineStr">
        <is>
          <t>7610/180</t>
        </is>
      </c>
      <c r="E19877" s="3" t="inlineStr">
        <is>
          <t>Endulini CIP Architects</t>
        </is>
      </c>
      <c r="F19877" s="3" t="n">
        <v>0</v>
      </c>
      <c r="G19877" s="3" t="n">
        <v>1292111.71</v>
      </c>
    </row>
    <row r="19878">
      <c r="A19878" s="3" t="inlineStr">
        <is>
          <t>Endulini (Pty) Ltd</t>
        </is>
      </c>
      <c r="B19878" s="4" t="n">
        <v>45382</v>
      </c>
      <c r="C19878" s="3" t="inlineStr">
        <is>
          <t>Assets</t>
        </is>
      </c>
      <c r="D19878" s="3" t="inlineStr">
        <is>
          <t>7610/200</t>
        </is>
      </c>
      <c r="E19878" s="3" t="inlineStr">
        <is>
          <t>Endulini CIP CoCT Land Use App</t>
        </is>
      </c>
      <c r="F19878" s="3" t="n">
        <v>0</v>
      </c>
      <c r="G19878" s="3" t="n">
        <v>232891.06</v>
      </c>
    </row>
    <row r="19879">
      <c r="A19879" s="3" t="inlineStr">
        <is>
          <t>Endulini (Pty) Ltd</t>
        </is>
      </c>
      <c r="B19879" s="4" t="n">
        <v>45382</v>
      </c>
      <c r="C19879" s="3" t="inlineStr">
        <is>
          <t>Assets</t>
        </is>
      </c>
      <c r="D19879" s="3" t="inlineStr">
        <is>
          <t>7610/205</t>
        </is>
      </c>
      <c r="E19879" s="3" t="inlineStr">
        <is>
          <t>Endulini CIP Site Establishments</t>
        </is>
      </c>
      <c r="F19879" s="3" t="n">
        <v>0</v>
      </c>
      <c r="G19879" s="3" t="n">
        <v>32428975.01</v>
      </c>
    </row>
    <row r="19880">
      <c r="A19880" s="3" t="inlineStr">
        <is>
          <t>Endulini (Pty) Ltd</t>
        </is>
      </c>
      <c r="B19880" s="4" t="n">
        <v>45382</v>
      </c>
      <c r="C19880" s="3" t="inlineStr">
        <is>
          <t>Assets</t>
        </is>
      </c>
      <c r="D19880" s="3" t="inlineStr">
        <is>
          <t>7610/209</t>
        </is>
      </c>
      <c r="E19880" s="3" t="inlineStr">
        <is>
          <t>Endulini CIP Construction Management</t>
        </is>
      </c>
      <c r="F19880" s="3" t="n">
        <v>0</v>
      </c>
      <c r="G19880" s="3" t="n">
        <v>223375</v>
      </c>
    </row>
    <row r="19881">
      <c r="A19881" s="3" t="inlineStr">
        <is>
          <t>Endulini (Pty) Ltd</t>
        </is>
      </c>
      <c r="B19881" s="4" t="n">
        <v>45382</v>
      </c>
      <c r="C19881" s="3" t="inlineStr">
        <is>
          <t>Assets</t>
        </is>
      </c>
      <c r="D19881" s="3" t="inlineStr">
        <is>
          <t>7610/210</t>
        </is>
      </c>
      <c r="E19881" s="3" t="inlineStr">
        <is>
          <t>Endulini CIP Civil Works</t>
        </is>
      </c>
      <c r="F19881" s="3" t="n">
        <v>0</v>
      </c>
      <c r="G19881" s="3" t="n">
        <v>6295702.14</v>
      </c>
    </row>
    <row r="19882">
      <c r="A19882" s="3" t="inlineStr">
        <is>
          <t>Endulini (Pty) Ltd</t>
        </is>
      </c>
      <c r="B19882" s="4" t="n">
        <v>45382</v>
      </c>
      <c r="C19882" s="3" t="inlineStr">
        <is>
          <t>Assets</t>
        </is>
      </c>
      <c r="D19882" s="3" t="inlineStr">
        <is>
          <t>7610/215</t>
        </is>
      </c>
      <c r="E19882" s="3" t="inlineStr">
        <is>
          <t>Endulini CIP Civil Engineers</t>
        </is>
      </c>
      <c r="F19882" s="3" t="n">
        <v>0</v>
      </c>
      <c r="G19882" s="3" t="n">
        <v>183000</v>
      </c>
    </row>
    <row r="19883">
      <c r="A19883" s="3" t="inlineStr">
        <is>
          <t>Endulini (Pty) Ltd</t>
        </is>
      </c>
      <c r="B19883" s="4" t="n">
        <v>45382</v>
      </c>
      <c r="C19883" s="3" t="inlineStr">
        <is>
          <t>Assets</t>
        </is>
      </c>
      <c r="D19883" s="3" t="inlineStr">
        <is>
          <t>7610/220</t>
        </is>
      </c>
      <c r="E19883" s="3" t="inlineStr">
        <is>
          <t>Endulini CIP Structuring Project Fee Opp Invest</t>
        </is>
      </c>
      <c r="F19883" s="3" t="n">
        <v>0</v>
      </c>
      <c r="G19883" s="3" t="n">
        <v>483735.96</v>
      </c>
    </row>
    <row r="19884">
      <c r="A19884" s="3" t="inlineStr">
        <is>
          <t>Endulini (Pty) Ltd</t>
        </is>
      </c>
      <c r="B19884" s="4" t="n">
        <v>45382</v>
      </c>
      <c r="C19884" s="3" t="inlineStr">
        <is>
          <t>Assets</t>
        </is>
      </c>
      <c r="D19884" s="3" t="inlineStr">
        <is>
          <t>7610/225</t>
        </is>
      </c>
      <c r="E19884" s="3" t="inlineStr">
        <is>
          <t>Endulini CIP Structural engineering fee</t>
        </is>
      </c>
      <c r="F19884" s="3" t="n">
        <v>0</v>
      </c>
      <c r="G19884" s="3" t="n">
        <v>288645.08</v>
      </c>
    </row>
    <row r="19885">
      <c r="A19885" s="3" t="inlineStr">
        <is>
          <t>Endulini (Pty) Ltd</t>
        </is>
      </c>
      <c r="B19885" s="4" t="n">
        <v>45382</v>
      </c>
      <c r="C19885" s="3" t="inlineStr">
        <is>
          <t>Assets</t>
        </is>
      </c>
      <c r="D19885" s="3" t="inlineStr">
        <is>
          <t>7610/230</t>
        </is>
      </c>
      <c r="E19885" s="3" t="inlineStr">
        <is>
          <t>Endulini CIP Mechanical Engineering</t>
        </is>
      </c>
      <c r="F19885" s="3" t="n">
        <v>0</v>
      </c>
      <c r="G19885" s="3" t="n">
        <v>15570</v>
      </c>
    </row>
    <row r="19886">
      <c r="A19886" s="3" t="inlineStr">
        <is>
          <t>Endulini (Pty) Ltd</t>
        </is>
      </c>
      <c r="B19886" s="4" t="n">
        <v>45382</v>
      </c>
      <c r="C19886" s="3" t="inlineStr">
        <is>
          <t>Assets</t>
        </is>
      </c>
      <c r="D19886" s="3" t="inlineStr">
        <is>
          <t>7610/235</t>
        </is>
      </c>
      <c r="E19886" s="3" t="inlineStr">
        <is>
          <t>Endulini CIP Electrical Installation</t>
        </is>
      </c>
      <c r="F19886" s="3" t="n">
        <v>0</v>
      </c>
      <c r="G19886" s="3" t="n">
        <v>1034019.08</v>
      </c>
    </row>
    <row r="19887">
      <c r="A19887" s="3" t="inlineStr">
        <is>
          <t>Endulini (Pty) Ltd</t>
        </is>
      </c>
      <c r="B19887" s="4" t="n">
        <v>45382</v>
      </c>
      <c r="C19887" s="3" t="inlineStr">
        <is>
          <t>Assets</t>
        </is>
      </c>
      <c r="D19887" s="3" t="inlineStr">
        <is>
          <t>7610/250</t>
        </is>
      </c>
      <c r="E19887" s="3" t="inlineStr">
        <is>
          <t>Endulini CIP Boundary Wall</t>
        </is>
      </c>
      <c r="F19887" s="3" t="n">
        <v>0</v>
      </c>
      <c r="G19887" s="3" t="n">
        <v>88400.8</v>
      </c>
    </row>
    <row r="19888">
      <c r="A19888" s="3" t="inlineStr">
        <is>
          <t>Endulini (Pty) Ltd</t>
        </is>
      </c>
      <c r="B19888" s="4" t="n">
        <v>45382</v>
      </c>
      <c r="C19888" s="3" t="inlineStr">
        <is>
          <t>Assets</t>
        </is>
      </c>
      <c r="D19888" s="3" t="inlineStr">
        <is>
          <t>7610/290</t>
        </is>
      </c>
      <c r="E19888" s="3" t="inlineStr">
        <is>
          <t>Endulini CIP Development Management Fees</t>
        </is>
      </c>
      <c r="F19888" s="3" t="n">
        <v>0</v>
      </c>
      <c r="G19888" s="3" t="n">
        <v>665322.71</v>
      </c>
    </row>
    <row r="19889">
      <c r="A19889" s="3" t="inlineStr">
        <is>
          <t>Endulini (Pty) Ltd</t>
        </is>
      </c>
      <c r="B19889" s="4" t="n">
        <v>45382</v>
      </c>
      <c r="C19889" s="3" t="inlineStr">
        <is>
          <t>Assets</t>
        </is>
      </c>
      <c r="D19889" s="3" t="inlineStr">
        <is>
          <t>7610/310</t>
        </is>
      </c>
      <c r="E19889" s="3" t="inlineStr">
        <is>
          <t>Endulini CIP Enviromental consultants</t>
        </is>
      </c>
      <c r="F19889" s="3" t="n">
        <v>0</v>
      </c>
      <c r="G19889" s="3" t="n">
        <v>115730</v>
      </c>
    </row>
    <row r="19890">
      <c r="A19890" s="3" t="inlineStr">
        <is>
          <t>Endulini (Pty) Ltd</t>
        </is>
      </c>
      <c r="B19890" s="4" t="n">
        <v>45382</v>
      </c>
      <c r="C19890" s="3" t="inlineStr">
        <is>
          <t>Assets</t>
        </is>
      </c>
      <c r="D19890" s="3" t="inlineStr">
        <is>
          <t>7610/320</t>
        </is>
      </c>
      <c r="E19890" s="3" t="inlineStr">
        <is>
          <t>Endulini CIP Geotechnical</t>
        </is>
      </c>
      <c r="F19890" s="3" t="n">
        <v>0</v>
      </c>
      <c r="G19890" s="3" t="n">
        <v>13575</v>
      </c>
    </row>
    <row r="19891">
      <c r="A19891" s="3" t="inlineStr">
        <is>
          <t>Endulini (Pty) Ltd</t>
        </is>
      </c>
      <c r="B19891" s="4" t="n">
        <v>45382</v>
      </c>
      <c r="C19891" s="3" t="inlineStr">
        <is>
          <t>Assets</t>
        </is>
      </c>
      <c r="D19891" s="3" t="inlineStr">
        <is>
          <t>7610/330</t>
        </is>
      </c>
      <c r="E19891" s="3" t="inlineStr">
        <is>
          <t>Endulini CIP Health and Safety</t>
        </is>
      </c>
      <c r="F19891" s="3" t="n">
        <v>0</v>
      </c>
      <c r="G19891" s="3" t="n">
        <v>40200</v>
      </c>
    </row>
    <row r="19892">
      <c r="A19892" s="3" t="inlineStr">
        <is>
          <t>Endulini (Pty) Ltd</t>
        </is>
      </c>
      <c r="B19892" s="4" t="n">
        <v>45382</v>
      </c>
      <c r="C19892" s="3" t="inlineStr">
        <is>
          <t>Assets</t>
        </is>
      </c>
      <c r="D19892" s="3" t="inlineStr">
        <is>
          <t>7610/390</t>
        </is>
      </c>
      <c r="E19892" s="3" t="inlineStr">
        <is>
          <t>Endulini CIP Land Surveyor</t>
        </is>
      </c>
      <c r="F19892" s="3" t="n">
        <v>0</v>
      </c>
      <c r="G19892" s="3" t="n">
        <v>186021.2</v>
      </c>
    </row>
    <row r="19893">
      <c r="A19893" s="3" t="inlineStr">
        <is>
          <t>Endulini (Pty) Ltd</t>
        </is>
      </c>
      <c r="B19893" s="4" t="n">
        <v>45382</v>
      </c>
      <c r="C19893" s="3" t="inlineStr">
        <is>
          <t>Assets</t>
        </is>
      </c>
      <c r="D19893" s="3" t="inlineStr">
        <is>
          <t>7610/392</t>
        </is>
      </c>
      <c r="E19893" s="3" t="inlineStr">
        <is>
          <t>Endulini CIP Landscaping</t>
        </is>
      </c>
      <c r="F19893" s="3" t="n">
        <v>0</v>
      </c>
      <c r="G19893" s="3" t="n">
        <v>6100</v>
      </c>
    </row>
    <row r="19894">
      <c r="A19894" s="3" t="inlineStr">
        <is>
          <t>Endulini (Pty) Ltd</t>
        </is>
      </c>
      <c r="B19894" s="4" t="n">
        <v>45382</v>
      </c>
      <c r="C19894" s="3" t="inlineStr">
        <is>
          <t>Assets</t>
        </is>
      </c>
      <c r="D19894" s="3" t="inlineStr">
        <is>
          <t>7610/395</t>
        </is>
      </c>
      <c r="E19894" s="3" t="inlineStr">
        <is>
          <t>Endulini CIP NHBRC</t>
        </is>
      </c>
      <c r="F19894" s="3" t="n">
        <v>0</v>
      </c>
      <c r="G19894" s="3" t="n">
        <v>928847.49</v>
      </c>
    </row>
    <row r="19895">
      <c r="A19895" s="3" t="inlineStr">
        <is>
          <t>Endulini (Pty) Ltd</t>
        </is>
      </c>
      <c r="B19895" s="4" t="n">
        <v>45382</v>
      </c>
      <c r="C19895" s="3" t="inlineStr">
        <is>
          <t>Assets</t>
        </is>
      </c>
      <c r="D19895" s="3" t="inlineStr">
        <is>
          <t>7610/400</t>
        </is>
      </c>
      <c r="E19895" s="3" t="inlineStr">
        <is>
          <t>Endulini CIP Quantity Surveyor</t>
        </is>
      </c>
      <c r="F19895" s="3" t="n">
        <v>0</v>
      </c>
      <c r="G19895" s="3" t="n">
        <v>82136.36</v>
      </c>
    </row>
    <row r="19896">
      <c r="A19896" s="3" t="inlineStr">
        <is>
          <t>Endulini (Pty) Ltd</t>
        </is>
      </c>
      <c r="B19896" s="4" t="n">
        <v>45382</v>
      </c>
      <c r="C19896" s="3" t="inlineStr">
        <is>
          <t>Assets</t>
        </is>
      </c>
      <c r="D19896" s="3" t="inlineStr">
        <is>
          <t>7610/600</t>
        </is>
      </c>
      <c r="E19896" s="3" t="inlineStr">
        <is>
          <t>Endulini CIP Town Planning</t>
        </is>
      </c>
      <c r="F19896" s="3" t="n">
        <v>0</v>
      </c>
      <c r="G19896" s="3" t="n">
        <v>21105</v>
      </c>
    </row>
    <row r="19897">
      <c r="A19897" s="3" t="inlineStr">
        <is>
          <t>Endulini (Pty) Ltd</t>
        </is>
      </c>
      <c r="B19897" s="4" t="n">
        <v>45382</v>
      </c>
      <c r="C19897" s="3" t="inlineStr">
        <is>
          <t>Assets</t>
        </is>
      </c>
      <c r="D19897" s="3" t="inlineStr">
        <is>
          <t>7610/620</t>
        </is>
      </c>
      <c r="E19897" s="3" t="inlineStr">
        <is>
          <t>Endulini CIP Traffic Impact</t>
        </is>
      </c>
      <c r="F19897" s="3" t="n">
        <v>0</v>
      </c>
      <c r="G19897" s="3" t="n">
        <v>24915</v>
      </c>
    </row>
    <row r="19898">
      <c r="A19898" s="3" t="inlineStr">
        <is>
          <t>Endulini (Pty) Ltd</t>
        </is>
      </c>
      <c r="B19898" s="4" t="n">
        <v>45382</v>
      </c>
      <c r="C19898" s="3" t="inlineStr">
        <is>
          <t>Assets</t>
        </is>
      </c>
      <c r="D19898" s="3" t="inlineStr">
        <is>
          <t>7610/630</t>
        </is>
      </c>
      <c r="E19898" s="3" t="inlineStr">
        <is>
          <t>Endulini CIP CoCT Development Contributi</t>
        </is>
      </c>
      <c r="F19898" s="3" t="n">
        <v>0</v>
      </c>
      <c r="G19898" s="3" t="n">
        <v>661860.3100000001</v>
      </c>
    </row>
    <row r="19899">
      <c r="A19899" s="3" t="inlineStr">
        <is>
          <t>Endulini (Pty) Ltd</t>
        </is>
      </c>
      <c r="B19899" s="4" t="n">
        <v>45382</v>
      </c>
      <c r="C19899" s="3" t="inlineStr">
        <is>
          <t>Assets</t>
        </is>
      </c>
      <c r="D19899" s="3" t="inlineStr">
        <is>
          <t>7610/640</t>
        </is>
      </c>
      <c r="E19899" s="3" t="inlineStr">
        <is>
          <t>Endulini CIP CoCT Building plan application</t>
        </is>
      </c>
      <c r="F19899" s="3" t="n">
        <v>0</v>
      </c>
      <c r="G19899" s="3" t="n">
        <v>111203.22</v>
      </c>
    </row>
    <row r="19900">
      <c r="A19900" s="3" t="inlineStr">
        <is>
          <t>Endulini (Pty) Ltd</t>
        </is>
      </c>
      <c r="B19900" s="4" t="n">
        <v>45382</v>
      </c>
      <c r="C19900" s="3" t="inlineStr">
        <is>
          <t>Assets</t>
        </is>
      </c>
      <c r="D19900" s="3" t="inlineStr">
        <is>
          <t>7610/900</t>
        </is>
      </c>
      <c r="E19900" s="3" t="inlineStr">
        <is>
          <t>Endulini CIP Cost of Sales</t>
        </is>
      </c>
      <c r="F19900" s="3" t="n">
        <v>0</v>
      </c>
      <c r="G19900" s="3" t="n">
        <v>-28210981.9</v>
      </c>
    </row>
    <row r="19901">
      <c r="A19901" s="3" t="inlineStr">
        <is>
          <t>Quinate Consulting (Pty) Ltd</t>
        </is>
      </c>
      <c r="B19901" s="4" t="n">
        <v>45382</v>
      </c>
      <c r="C19901" s="3" t="inlineStr">
        <is>
          <t>Assets</t>
        </is>
      </c>
      <c r="D19901" s="3" t="inlineStr">
        <is>
          <t>7800/104</t>
        </is>
      </c>
      <c r="E19901" s="3" t="inlineStr">
        <is>
          <t>Stock - Closing Stock SW - 28 Feb 21</t>
        </is>
      </c>
      <c r="F19901" s="3" t="n">
        <v>0</v>
      </c>
      <c r="G19901" s="3" t="n">
        <v>2874478.88</v>
      </c>
    </row>
    <row r="19902">
      <c r="A19902" s="3" t="inlineStr">
        <is>
          <t>Quinate Consulting (Pty) Ltd</t>
        </is>
      </c>
      <c r="B19902" s="4" t="n">
        <v>45382</v>
      </c>
      <c r="C19902" s="3" t="inlineStr">
        <is>
          <t>Assets</t>
        </is>
      </c>
      <c r="D19902" s="3" t="inlineStr">
        <is>
          <t>7800/105</t>
        </is>
      </c>
      <c r="E19902" s="3" t="inlineStr">
        <is>
          <t>Stock - Closing Stock SH - 28 Feb 21</t>
        </is>
      </c>
      <c r="F19902" s="3" t="n">
        <v>0</v>
      </c>
      <c r="G19902" s="3" t="n">
        <v>2843477.6</v>
      </c>
    </row>
    <row r="19903">
      <c r="A19903" s="3" t="inlineStr">
        <is>
          <t>Endulini (Pty) Ltd</t>
        </is>
      </c>
      <c r="B19903" s="4" t="n">
        <v>45382</v>
      </c>
      <c r="C19903" s="3" t="inlineStr">
        <is>
          <t>Assets</t>
        </is>
      </c>
      <c r="D19903" s="3" t="inlineStr">
        <is>
          <t>8000/000</t>
        </is>
      </c>
      <c r="E19903" s="3" t="inlineStr">
        <is>
          <t>Customer Control Account</t>
        </is>
      </c>
      <c r="F19903" s="3" t="n">
        <v>217660.67</v>
      </c>
      <c r="G19903" s="3" t="n">
        <v>553482.24</v>
      </c>
    </row>
    <row r="19904">
      <c r="A19904" s="3" t="inlineStr">
        <is>
          <t>Noble Shield (Pty) Ltd ta Go Letting</t>
        </is>
      </c>
      <c r="B19904" s="4" t="n">
        <v>45382</v>
      </c>
      <c r="C19904" s="3" t="inlineStr">
        <is>
          <t>Assets</t>
        </is>
      </c>
      <c r="D19904" s="3" t="inlineStr">
        <is>
          <t>8000/000</t>
        </is>
      </c>
      <c r="E19904" s="3" t="inlineStr">
        <is>
          <t>Customer Control Account</t>
        </is>
      </c>
      <c r="F19904" s="3" t="n">
        <v>0</v>
      </c>
      <c r="G19904" s="3" t="n">
        <v>60289.32</v>
      </c>
    </row>
    <row r="19905">
      <c r="A19905" s="3" t="inlineStr">
        <is>
          <t>Opportunity Global Property (PTY) LTD</t>
        </is>
      </c>
      <c r="B19905" s="4" t="n">
        <v>45382</v>
      </c>
      <c r="C19905" s="3" t="inlineStr">
        <is>
          <t>Assets</t>
        </is>
      </c>
      <c r="D19905" s="3" t="inlineStr">
        <is>
          <t>8000/000</t>
        </is>
      </c>
      <c r="E19905" s="3" t="inlineStr">
        <is>
          <t>Customer Control Account</t>
        </is>
      </c>
      <c r="F19905" s="3" t="n">
        <v>29400</v>
      </c>
      <c r="G19905" s="3" t="n">
        <v>565898.33</v>
      </c>
    </row>
    <row r="19906">
      <c r="A19906" s="3" t="inlineStr">
        <is>
          <t>Opportunity Management Holdings (PTY) LTD</t>
        </is>
      </c>
      <c r="B19906" s="4" t="n">
        <v>45382</v>
      </c>
      <c r="C19906" s="3" t="inlineStr">
        <is>
          <t>Assets</t>
        </is>
      </c>
      <c r="D19906" s="3" t="inlineStr">
        <is>
          <t>8000/000</t>
        </is>
      </c>
      <c r="E19906" s="3" t="inlineStr">
        <is>
          <t>Customer Control Account</t>
        </is>
      </c>
      <c r="F19906" s="3" t="n">
        <v>0</v>
      </c>
      <c r="G19906" s="3" t="n">
        <v>554326.47</v>
      </c>
    </row>
    <row r="19907">
      <c r="A19907" s="3" t="inlineStr">
        <is>
          <t>Opportunity Private Capital (PTY) LTD</t>
        </is>
      </c>
      <c r="B19907" s="4" t="n">
        <v>45382</v>
      </c>
      <c r="C19907" s="3" t="inlineStr">
        <is>
          <t>Assets</t>
        </is>
      </c>
      <c r="D19907" s="3" t="inlineStr">
        <is>
          <t>8000/000</t>
        </is>
      </c>
      <c r="E19907" s="3" t="inlineStr">
        <is>
          <t>Customer Control Account</t>
        </is>
      </c>
      <c r="F19907" s="3" t="n">
        <v>304436</v>
      </c>
      <c r="G19907" s="3" t="n">
        <v>358551.58</v>
      </c>
    </row>
    <row r="19908">
      <c r="A19908" s="3" t="inlineStr">
        <is>
          <t>Opportunity Private Capital Sales (PTY) LTD</t>
        </is>
      </c>
      <c r="B19908" s="4" t="n">
        <v>45382</v>
      </c>
      <c r="C19908" s="3" t="inlineStr">
        <is>
          <t>Assets</t>
        </is>
      </c>
      <c r="D19908" s="3" t="inlineStr">
        <is>
          <t>8000/000</t>
        </is>
      </c>
      <c r="E19908" s="3" t="inlineStr">
        <is>
          <t>Customer Control Account</t>
        </is>
      </c>
      <c r="F19908" s="3" t="n">
        <v>105395</v>
      </c>
      <c r="G19908" s="3" t="n">
        <v>641893.33</v>
      </c>
    </row>
    <row r="19909">
      <c r="A19909" s="3" t="inlineStr">
        <is>
          <t>Quinate Consulting (Pty) Ltd</t>
        </is>
      </c>
      <c r="B19909" s="4" t="n">
        <v>45382</v>
      </c>
      <c r="C19909" s="3" t="inlineStr">
        <is>
          <t>Assets</t>
        </is>
      </c>
      <c r="D19909" s="3" t="inlineStr">
        <is>
          <t>8000/000</t>
        </is>
      </c>
      <c r="E19909" s="3" t="inlineStr">
        <is>
          <t>Customer Control Account</t>
        </is>
      </c>
      <c r="F19909" s="3" t="n">
        <v>-18553.55</v>
      </c>
      <c r="G19909" s="3" t="n">
        <v>47973.09</v>
      </c>
    </row>
    <row r="19910">
      <c r="A19910" s="3" t="inlineStr">
        <is>
          <t>Quinate Consulting (Pty) Ltd</t>
        </is>
      </c>
      <c r="B19910" s="4" t="n">
        <v>45382</v>
      </c>
      <c r="C19910" s="3" t="inlineStr">
        <is>
          <t>Assets</t>
        </is>
      </c>
      <c r="D19910" s="3" t="inlineStr">
        <is>
          <t>8001</t>
        </is>
      </c>
      <c r="E19910" s="3" t="inlineStr">
        <is>
          <t>Customer Control</t>
        </is>
      </c>
      <c r="F19910" s="3" t="n">
        <v>0</v>
      </c>
      <c r="G19910" s="3" t="n">
        <v>29487.49</v>
      </c>
    </row>
    <row r="19911">
      <c r="A19911" s="3" t="inlineStr">
        <is>
          <t>Quinate Consulting (Pty) Ltd</t>
        </is>
      </c>
      <c r="B19911" s="4" t="n">
        <v>45382</v>
      </c>
      <c r="C19911" s="3" t="inlineStr">
        <is>
          <t>Assets</t>
        </is>
      </c>
      <c r="D19911" s="3" t="inlineStr">
        <is>
          <t>8200/010</t>
        </is>
      </c>
      <c r="E19911" s="3" t="inlineStr">
        <is>
          <t>Prepayments / Prepaid Expenses</t>
        </is>
      </c>
      <c r="F19911" s="3" t="n">
        <v>0</v>
      </c>
      <c r="G19911" s="3" t="n">
        <v>109675</v>
      </c>
    </row>
    <row r="19912">
      <c r="A19912" s="3" t="inlineStr">
        <is>
          <t>Opportunity Management Holdings (PTY) LTD</t>
        </is>
      </c>
      <c r="B19912" s="4" t="n">
        <v>45382</v>
      </c>
      <c r="C19912" s="3" t="inlineStr">
        <is>
          <t>Assets</t>
        </is>
      </c>
      <c r="D19912" s="3" t="inlineStr">
        <is>
          <t>8200/020</t>
        </is>
      </c>
      <c r="E19912" s="3" t="inlineStr">
        <is>
          <t>Staff Loan - Nicolene Smit</t>
        </is>
      </c>
      <c r="F19912" s="3" t="n">
        <v>-500</v>
      </c>
      <c r="G19912" s="3" t="n">
        <v>500</v>
      </c>
    </row>
    <row r="19913">
      <c r="A19913" s="3" t="inlineStr">
        <is>
          <t>Opportunity Global Property (PTY) LTD</t>
        </is>
      </c>
      <c r="B19913" s="4" t="n">
        <v>45382</v>
      </c>
      <c r="C19913" s="3" t="inlineStr">
        <is>
          <t>Assets</t>
        </is>
      </c>
      <c r="D19913" s="3" t="inlineStr">
        <is>
          <t>8300/200</t>
        </is>
      </c>
      <c r="E19913" s="3" t="inlineStr">
        <is>
          <t>Staff Loan - Mario Stoop</t>
        </is>
      </c>
      <c r="F19913" s="3" t="n">
        <v>0</v>
      </c>
      <c r="G19913" s="3" t="n">
        <v>3000</v>
      </c>
    </row>
    <row r="19914">
      <c r="A19914" s="3" t="inlineStr">
        <is>
          <t>Opportunity Private Capital Sales (PTY) LTD</t>
        </is>
      </c>
      <c r="B19914" s="4" t="n">
        <v>45382</v>
      </c>
      <c r="C19914" s="3" t="inlineStr">
        <is>
          <t>Assets</t>
        </is>
      </c>
      <c r="D19914" s="3" t="inlineStr">
        <is>
          <t>8300/200</t>
        </is>
      </c>
      <c r="E19914" s="3" t="inlineStr">
        <is>
          <t>Staff Loan - Mario Stoop</t>
        </is>
      </c>
      <c r="F19914" s="3" t="n">
        <v>0</v>
      </c>
      <c r="G19914" s="3" t="n">
        <v>3000</v>
      </c>
    </row>
    <row r="19915">
      <c r="A19915" s="3" t="inlineStr">
        <is>
          <t>Opportunity Private Capital (PTY) LTD</t>
        </is>
      </c>
      <c r="B19915" s="4" t="n">
        <v>45382</v>
      </c>
      <c r="C19915" s="3" t="inlineStr">
        <is>
          <t>Assets</t>
        </is>
      </c>
      <c r="D19915" s="3" t="inlineStr">
        <is>
          <t>8400/000</t>
        </is>
      </c>
      <c r="E19915" s="3" t="inlineStr">
        <is>
          <t>FNB 62093491696</t>
        </is>
      </c>
      <c r="F19915" s="3" t="n">
        <v>29217.06</v>
      </c>
      <c r="G19915" s="3" t="n">
        <v>78639.24000000001</v>
      </c>
    </row>
    <row r="19916">
      <c r="A19916" s="3" t="inlineStr">
        <is>
          <t>Opportunity Global Property (PTY) LTD</t>
        </is>
      </c>
      <c r="B19916" s="4" t="n">
        <v>45382</v>
      </c>
      <c r="C19916" s="3" t="inlineStr">
        <is>
          <t>Assets</t>
        </is>
      </c>
      <c r="D19916" s="3" t="inlineStr">
        <is>
          <t>8400/000</t>
        </is>
      </c>
      <c r="E19916" s="3" t="inlineStr">
        <is>
          <t>FNB 62835620875</t>
        </is>
      </c>
      <c r="F19916" s="3" t="n">
        <v>47579</v>
      </c>
      <c r="G19916" s="3" t="n">
        <v>109728.08</v>
      </c>
    </row>
    <row r="19917">
      <c r="A19917" s="3" t="inlineStr">
        <is>
          <t>Opportunity Private Capital Sales (PTY) LTD</t>
        </is>
      </c>
      <c r="B19917" s="4" t="n">
        <v>45382</v>
      </c>
      <c r="C19917" s="3" t="inlineStr">
        <is>
          <t>Assets</t>
        </is>
      </c>
      <c r="D19917" s="3" t="inlineStr">
        <is>
          <t>8400/000</t>
        </is>
      </c>
      <c r="E19917" s="3" t="inlineStr">
        <is>
          <t>FNB 62835620875</t>
        </is>
      </c>
      <c r="F19917" s="3" t="n">
        <v>-4585.24</v>
      </c>
      <c r="G19917" s="3" t="n">
        <v>57563.84</v>
      </c>
    </row>
    <row r="19918">
      <c r="A19918" s="3" t="inlineStr">
        <is>
          <t>Quinate Consulting (Pty) Ltd</t>
        </is>
      </c>
      <c r="B19918" s="4" t="n">
        <v>45382</v>
      </c>
      <c r="C19918" s="3" t="inlineStr">
        <is>
          <t>Assets</t>
        </is>
      </c>
      <c r="D19918" s="3" t="inlineStr">
        <is>
          <t>8400/000</t>
        </is>
      </c>
      <c r="E19918" s="3" t="inlineStr">
        <is>
          <t>RMB - 62736659189 - Call Acc</t>
        </is>
      </c>
      <c r="F19918" s="3" t="n">
        <v>-100099.98</v>
      </c>
      <c r="G19918" s="3" t="n">
        <v>708742.08</v>
      </c>
    </row>
    <row r="19919">
      <c r="A19919" s="3" t="inlineStr">
        <is>
          <t>Trademark Holdings (Pty) Ltd</t>
        </is>
      </c>
      <c r="B19919" s="4" t="n">
        <v>45382</v>
      </c>
      <c r="C19919" s="3" t="inlineStr">
        <is>
          <t>Assets</t>
        </is>
      </c>
      <c r="D19919" s="3" t="inlineStr">
        <is>
          <t>8400/000</t>
        </is>
      </c>
      <c r="E19919" s="3" t="inlineStr">
        <is>
          <t>RMB 623 693 03640</t>
        </is>
      </c>
      <c r="F19919" s="3" t="n">
        <v>-30690.91</v>
      </c>
      <c r="G19919" s="3" t="n">
        <v>39464.48</v>
      </c>
    </row>
    <row r="19920">
      <c r="A19920" s="3" t="inlineStr">
        <is>
          <t>Noble Shield (Pty) Ltd ta Go Letting</t>
        </is>
      </c>
      <c r="B19920" s="4" t="n">
        <v>45382</v>
      </c>
      <c r="C19920" s="3" t="inlineStr">
        <is>
          <t>Assets</t>
        </is>
      </c>
      <c r="D19920" s="3" t="inlineStr">
        <is>
          <t>8400/000</t>
        </is>
      </c>
      <c r="E19920" s="3" t="inlineStr">
        <is>
          <t>RMB 6250 573 3833</t>
        </is>
      </c>
      <c r="F19920" s="3" t="n">
        <v>2013.23</v>
      </c>
      <c r="G19920" s="3" t="n">
        <v>50117.42</v>
      </c>
    </row>
    <row r="19921">
      <c r="A19921" s="3" t="inlineStr">
        <is>
          <t>Endulini (Pty) Ltd</t>
        </is>
      </c>
      <c r="B19921" s="4" t="n">
        <v>45382</v>
      </c>
      <c r="C19921" s="3" t="inlineStr">
        <is>
          <t>Assets</t>
        </is>
      </c>
      <c r="D19921" s="3" t="inlineStr">
        <is>
          <t>8400/000</t>
        </is>
      </c>
      <c r="E19921" s="3" t="inlineStr">
        <is>
          <t>RMB 62906944576</t>
        </is>
      </c>
      <c r="F19921" s="3" t="n">
        <v>161396.64</v>
      </c>
      <c r="G19921" s="3" t="n">
        <v>195464.05</v>
      </c>
    </row>
    <row r="19922">
      <c r="A19922" s="3" t="inlineStr">
        <is>
          <t>Opportunity Management Holdings (PTY) LTD</t>
        </is>
      </c>
      <c r="B19922" s="4" t="n">
        <v>45382</v>
      </c>
      <c r="C19922" s="3" t="inlineStr">
        <is>
          <t>Assets</t>
        </is>
      </c>
      <c r="D19922" s="3" t="inlineStr">
        <is>
          <t>8400/000</t>
        </is>
      </c>
      <c r="E19922" s="3" t="inlineStr">
        <is>
          <t>RMB Cheq - 62312246920</t>
        </is>
      </c>
      <c r="F19922" s="3" t="n">
        <v>123257.53</v>
      </c>
      <c r="G19922" s="3" t="n">
        <v>167320.72</v>
      </c>
    </row>
    <row r="19923">
      <c r="A19923" s="3" t="inlineStr">
        <is>
          <t>Opportunity Global Property (PTY) LTD</t>
        </is>
      </c>
      <c r="B19923" s="4" t="n">
        <v>45382</v>
      </c>
      <c r="C19923" s="3" t="inlineStr">
        <is>
          <t>Assets</t>
        </is>
      </c>
      <c r="D19923" s="3" t="inlineStr">
        <is>
          <t>8405/000</t>
        </is>
      </c>
      <c r="E19923" s="3" t="inlineStr">
        <is>
          <t>FNB Trust 62762449265</t>
        </is>
      </c>
      <c r="F19923" s="3" t="n">
        <v>-141.72</v>
      </c>
      <c r="G19923" s="3" t="n">
        <v>-141.72</v>
      </c>
    </row>
    <row r="19924">
      <c r="A19924" s="3" t="inlineStr">
        <is>
          <t>Opportunity Private Capital (PTY) LTD</t>
        </is>
      </c>
      <c r="B19924" s="4" t="n">
        <v>45382</v>
      </c>
      <c r="C19924" s="3" t="inlineStr">
        <is>
          <t>Assets</t>
        </is>
      </c>
      <c r="D19924" s="3" t="inlineStr">
        <is>
          <t>8405/000</t>
        </is>
      </c>
      <c r="E19924" s="3" t="inlineStr">
        <is>
          <t>FNB Trust 62762449265</t>
        </is>
      </c>
      <c r="F19924" s="3" t="n">
        <v>0</v>
      </c>
      <c r="G19924" s="3" t="n">
        <v>1141.1</v>
      </c>
    </row>
    <row r="19925">
      <c r="A19925" s="3" t="inlineStr">
        <is>
          <t>Opportunity Private Capital Sales (PTY) LTD</t>
        </is>
      </c>
      <c r="B19925" s="4" t="n">
        <v>45382</v>
      </c>
      <c r="C19925" s="3" t="inlineStr">
        <is>
          <t>Assets</t>
        </is>
      </c>
      <c r="D19925" s="3" t="inlineStr">
        <is>
          <t>8405/000</t>
        </is>
      </c>
      <c r="E19925" s="3" t="inlineStr">
        <is>
          <t>FNB Trust 62762449265</t>
        </is>
      </c>
      <c r="F19925" s="3" t="n">
        <v>-141.72</v>
      </c>
      <c r="G19925" s="3" t="n">
        <v>-141.72</v>
      </c>
    </row>
    <row r="19926">
      <c r="A19926" s="3" t="inlineStr">
        <is>
          <t>Endulini (Pty) Ltd</t>
        </is>
      </c>
      <c r="B19926" s="4" t="n">
        <v>45382</v>
      </c>
      <c r="C19926" s="3" t="inlineStr">
        <is>
          <t>Assets</t>
        </is>
      </c>
      <c r="D19926" s="3" t="inlineStr">
        <is>
          <t>8410/000</t>
        </is>
      </c>
      <c r="E19926" s="3" t="inlineStr">
        <is>
          <t>Momentum Investor Account : RU 502229883</t>
        </is>
      </c>
      <c r="F19926" s="3" t="n">
        <v>0</v>
      </c>
      <c r="G19926" s="3" t="n">
        <v>24.52</v>
      </c>
    </row>
    <row r="19927">
      <c r="A19927" s="3" t="inlineStr">
        <is>
          <t>Opportunity Management Holdings (PTY) LTD</t>
        </is>
      </c>
      <c r="B19927" s="4" t="n">
        <v>45382</v>
      </c>
      <c r="C19927" s="3" t="inlineStr">
        <is>
          <t>Assets</t>
        </is>
      </c>
      <c r="D19927" s="3" t="inlineStr">
        <is>
          <t>8410/000</t>
        </is>
      </c>
      <c r="E19927" s="3" t="inlineStr">
        <is>
          <t>RMB Call Acc - 62312248851</t>
        </is>
      </c>
      <c r="F19927" s="3" t="n">
        <v>0</v>
      </c>
      <c r="G19927" s="3" t="n">
        <v>1432.34</v>
      </c>
    </row>
    <row r="19928">
      <c r="A19928" s="3" t="inlineStr">
        <is>
          <t>Noble Shield (Pty) Ltd ta Go Letting</t>
        </is>
      </c>
      <c r="B19928" s="4" t="n">
        <v>45382</v>
      </c>
      <c r="C19928" s="3" t="inlineStr">
        <is>
          <t>Assets</t>
        </is>
      </c>
      <c r="D19928" s="3" t="inlineStr">
        <is>
          <t>8410/000</t>
        </is>
      </c>
      <c r="E19928" s="3" t="inlineStr">
        <is>
          <t>RMB Trust Acc - 6250 615 1365</t>
        </is>
      </c>
      <c r="F19928" s="3" t="n">
        <v>-77.42</v>
      </c>
      <c r="G19928" s="3" t="n">
        <v>402.65</v>
      </c>
    </row>
    <row r="19929">
      <c r="A19929" s="3" t="inlineStr">
        <is>
          <t>Quinate Consulting (Pty) Ltd</t>
        </is>
      </c>
      <c r="B19929" s="4" t="n">
        <v>45382</v>
      </c>
      <c r="C19929" s="3" t="inlineStr">
        <is>
          <t>Assets</t>
        </is>
      </c>
      <c r="D19929" s="3" t="inlineStr">
        <is>
          <t>8415/000</t>
        </is>
      </c>
      <c r="E19929" s="3" t="inlineStr">
        <is>
          <t>STD Acc 071 958 959 - Facility Acc</t>
        </is>
      </c>
      <c r="F19929" s="3" t="n">
        <v>0</v>
      </c>
      <c r="G19929" s="3" t="n">
        <v>2276.21</v>
      </c>
    </row>
    <row r="19930">
      <c r="A19930" s="3" t="inlineStr">
        <is>
          <t>Trademark Holdings (Pty) Ltd</t>
        </is>
      </c>
      <c r="B19930" s="4" t="n">
        <v>45382</v>
      </c>
      <c r="C19930" s="3" t="inlineStr">
        <is>
          <t>Assets</t>
        </is>
      </c>
      <c r="D19930" s="3" t="inlineStr">
        <is>
          <t>8420/000</t>
        </is>
      </c>
      <c r="E19930" s="3" t="inlineStr">
        <is>
          <t>FNB Credit Card</t>
        </is>
      </c>
      <c r="F19930" s="3" t="n">
        <v>0</v>
      </c>
      <c r="G19930" s="3" t="n">
        <v>624</v>
      </c>
    </row>
    <row r="19931">
      <c r="A19931" s="3" t="inlineStr">
        <is>
          <t>Quinate Consulting (Pty) Ltd</t>
        </is>
      </c>
      <c r="B19931" s="4" t="n">
        <v>45382</v>
      </c>
      <c r="C19931" s="3" t="inlineStr">
        <is>
          <t>Assets</t>
        </is>
      </c>
      <c r="D19931" s="3" t="inlineStr">
        <is>
          <t>8430/000</t>
        </is>
      </c>
      <c r="E19931" s="3" t="inlineStr">
        <is>
          <t>Momentum Investment Acc - RU502230185</t>
        </is>
      </c>
      <c r="F19931" s="3" t="n">
        <v>0</v>
      </c>
      <c r="G19931" s="3" t="n">
        <v>574.88</v>
      </c>
    </row>
    <row r="19932">
      <c r="A19932" s="3" t="inlineStr">
        <is>
          <t>Opportunity Private Capital (PTY) LTD</t>
        </is>
      </c>
      <c r="B19932" s="4" t="n">
        <v>45382</v>
      </c>
      <c r="C19932" s="3" t="inlineStr">
        <is>
          <t>Assets</t>
        </is>
      </c>
      <c r="D19932" s="3" t="inlineStr">
        <is>
          <t>8440/000</t>
        </is>
      </c>
      <c r="E19932" s="3" t="inlineStr">
        <is>
          <t>FNB - Call 627602764438</t>
        </is>
      </c>
      <c r="F19932" s="3" t="n">
        <v>0</v>
      </c>
      <c r="G19932" s="3" t="n">
        <v>-1680.7</v>
      </c>
    </row>
    <row r="19933">
      <c r="A19933" s="3" t="inlineStr">
        <is>
          <t>Opportunity Private Capital (PTY) LTD</t>
        </is>
      </c>
      <c r="B19933" s="4" t="n">
        <v>45382</v>
      </c>
      <c r="C19933" s="3" t="inlineStr">
        <is>
          <t>Assets</t>
        </is>
      </c>
      <c r="D19933" s="3" t="inlineStr">
        <is>
          <t>8445/000</t>
        </is>
      </c>
      <c r="E19933" s="3" t="inlineStr">
        <is>
          <t>Momentum RU502230096</t>
        </is>
      </c>
      <c r="F19933" s="3" t="n">
        <v>0</v>
      </c>
      <c r="G19933" s="3" t="n">
        <v>5081.89</v>
      </c>
    </row>
    <row r="19934">
      <c r="A19934" s="3" t="inlineStr">
        <is>
          <t>Quinate Consulting (Pty) Ltd</t>
        </is>
      </c>
      <c r="B19934" s="4" t="n">
        <v>45382</v>
      </c>
      <c r="C19934" s="3" t="inlineStr">
        <is>
          <t>Assets</t>
        </is>
      </c>
      <c r="D19934" s="3" t="inlineStr">
        <is>
          <t>8450/000</t>
        </is>
      </c>
      <c r="E19934" s="3" t="inlineStr">
        <is>
          <t>A RMB 62275810820</t>
        </is>
      </c>
      <c r="F19934" s="3" t="n">
        <v>13051.04</v>
      </c>
      <c r="G19934" s="3" t="n">
        <v>191944.39</v>
      </c>
    </row>
    <row r="19935">
      <c r="A19935" s="3" t="inlineStr">
        <is>
          <t>Opportunity Management Holdings (PTY) LTD</t>
        </is>
      </c>
      <c r="B19935" s="4" t="n">
        <v>45382</v>
      </c>
      <c r="C19935" s="3" t="inlineStr">
        <is>
          <t>Assets</t>
        </is>
      </c>
      <c r="D19935" s="3" t="inlineStr">
        <is>
          <t>8450/000</t>
        </is>
      </c>
      <c r="E19935" s="3" t="inlineStr">
        <is>
          <t>Petty Cash - CT Office</t>
        </is>
      </c>
      <c r="F19935" s="3" t="n">
        <v>0</v>
      </c>
      <c r="G19935" s="3" t="n">
        <v>1016.2</v>
      </c>
    </row>
    <row r="19936">
      <c r="A19936" s="3" t="inlineStr">
        <is>
          <t>Quinate Consulting (Pty) Ltd</t>
        </is>
      </c>
      <c r="B19936" s="4" t="n">
        <v>45382</v>
      </c>
      <c r="C19936" s="3" t="inlineStr">
        <is>
          <t>Assets</t>
        </is>
      </c>
      <c r="D19936" s="3" t="inlineStr">
        <is>
          <t>8470/000</t>
        </is>
      </c>
      <c r="E19936" s="3" t="inlineStr">
        <is>
          <t>ABSA: Quinate</t>
        </is>
      </c>
      <c r="F19936" s="3" t="n">
        <v>0</v>
      </c>
      <c r="G19936" s="3" t="n">
        <v>500</v>
      </c>
    </row>
    <row r="19937">
      <c r="A19937" s="3" t="inlineStr">
        <is>
          <t>Quinate Consulting (Pty) Ltd</t>
        </is>
      </c>
      <c r="B19937" s="4" t="n">
        <v>45382</v>
      </c>
      <c r="C19937" s="3" t="inlineStr">
        <is>
          <t>Liabilities</t>
        </is>
      </c>
      <c r="D19937" s="3" t="inlineStr">
        <is>
          <t>8480/100</t>
        </is>
      </c>
      <c r="E19937" s="3" t="inlineStr">
        <is>
          <t>Bond - SH20 - STD Bank 532010558</t>
        </is>
      </c>
      <c r="F19937" s="3" t="n">
        <v>16629.24</v>
      </c>
      <c r="G19937" s="3" t="n">
        <v>-1303585.46</v>
      </c>
    </row>
    <row r="19938">
      <c r="A19938" s="3" t="inlineStr">
        <is>
          <t>Quinate Consulting (Pty) Ltd</t>
        </is>
      </c>
      <c r="B19938" s="4" t="n">
        <v>45382</v>
      </c>
      <c r="C19938" s="3" t="inlineStr">
        <is>
          <t>Liabilities</t>
        </is>
      </c>
      <c r="D19938" s="3" t="inlineStr">
        <is>
          <t>8480/200</t>
        </is>
      </c>
      <c r="E19938" s="3" t="inlineStr">
        <is>
          <t>Bond - SH23 - STD Bank 532010035</t>
        </is>
      </c>
      <c r="F19938" s="3" t="n">
        <v>16624.21</v>
      </c>
      <c r="G19938" s="3" t="n">
        <v>-1303480.43</v>
      </c>
    </row>
    <row r="19939">
      <c r="A19939" s="3" t="inlineStr">
        <is>
          <t>Quinate Consulting (Pty) Ltd</t>
        </is>
      </c>
      <c r="B19939" s="4" t="n">
        <v>45382</v>
      </c>
      <c r="C19939" s="3" t="inlineStr">
        <is>
          <t>Liabilities</t>
        </is>
      </c>
      <c r="D19939" s="3" t="inlineStr">
        <is>
          <t>8480/300</t>
        </is>
      </c>
      <c r="E19939" s="3" t="inlineStr">
        <is>
          <t>Bond - SH24 - STD Bank 532372662</t>
        </is>
      </c>
      <c r="F19939" s="3" t="n">
        <v>15793.82</v>
      </c>
      <c r="G19939" s="3" t="n">
        <v>-1422710.34</v>
      </c>
    </row>
    <row r="19940">
      <c r="A19940" s="3" t="inlineStr">
        <is>
          <t>Quinate Consulting (Pty) Ltd</t>
        </is>
      </c>
      <c r="B19940" s="4" t="n">
        <v>45382</v>
      </c>
      <c r="C19940" s="3" t="inlineStr">
        <is>
          <t>Liabilities</t>
        </is>
      </c>
      <c r="D19940" s="3" t="inlineStr">
        <is>
          <t>8480/400</t>
        </is>
      </c>
      <c r="E19940" s="3" t="inlineStr">
        <is>
          <t>Bond - SW01 - STD Bank 532920627</t>
        </is>
      </c>
      <c r="F19940" s="3" t="n">
        <v>13420.79</v>
      </c>
      <c r="G19940" s="3" t="n">
        <v>-1273067.06</v>
      </c>
    </row>
    <row r="19941">
      <c r="A19941" s="3" t="inlineStr">
        <is>
          <t>Quinate Consulting (Pty) Ltd</t>
        </is>
      </c>
      <c r="B19941" s="4" t="n">
        <v>45382</v>
      </c>
      <c r="C19941" s="3" t="inlineStr">
        <is>
          <t>Liabilities</t>
        </is>
      </c>
      <c r="D19941" s="3" t="inlineStr">
        <is>
          <t>8480/401</t>
        </is>
      </c>
      <c r="E19941" s="3" t="inlineStr">
        <is>
          <t>Bond - SW21 - STD Bank 532920597</t>
        </is>
      </c>
      <c r="F19941" s="3" t="n">
        <v>13426.02</v>
      </c>
      <c r="G19941" s="3" t="n">
        <v>-1273572.28</v>
      </c>
    </row>
    <row r="19942">
      <c r="A19942" s="3" t="inlineStr">
        <is>
          <t>Endulini (Pty) Ltd</t>
        </is>
      </c>
      <c r="B19942" s="4" t="n">
        <v>45382</v>
      </c>
      <c r="C19942" s="3" t="inlineStr">
        <is>
          <t>Liabilities</t>
        </is>
      </c>
      <c r="D19942" s="3" t="inlineStr">
        <is>
          <t>860</t>
        </is>
      </c>
      <c r="E19942" s="3" t="inlineStr">
        <is>
          <t>Rounding</t>
        </is>
      </c>
      <c r="F19942" s="3" t="n">
        <v>0</v>
      </c>
      <c r="G19942" s="3" t="n">
        <v>0.04</v>
      </c>
    </row>
    <row r="19943">
      <c r="A19943" s="3" t="inlineStr">
        <is>
          <t>Opportunity Global Property (PTY) LTD</t>
        </is>
      </c>
      <c r="B19943" s="4" t="n">
        <v>45382</v>
      </c>
      <c r="C19943" s="3" t="inlineStr">
        <is>
          <t>Liabilities</t>
        </is>
      </c>
      <c r="D19943" s="3" t="inlineStr">
        <is>
          <t>860</t>
        </is>
      </c>
      <c r="E19943" s="3" t="inlineStr">
        <is>
          <t>Rounding</t>
        </is>
      </c>
      <c r="F19943" s="3" t="n">
        <v>0</v>
      </c>
      <c r="G19943" s="3" t="n">
        <v>-0.99</v>
      </c>
    </row>
    <row r="19944">
      <c r="A19944" s="3" t="inlineStr">
        <is>
          <t>Opportunity Management Holdings (PTY) LTD</t>
        </is>
      </c>
      <c r="B19944" s="4" t="n">
        <v>45382</v>
      </c>
      <c r="C19944" s="3" t="inlineStr">
        <is>
          <t>Liabilities</t>
        </is>
      </c>
      <c r="D19944" s="3" t="inlineStr">
        <is>
          <t>860</t>
        </is>
      </c>
      <c r="E19944" s="3" t="inlineStr">
        <is>
          <t>Rounding</t>
        </is>
      </c>
      <c r="F19944" s="3" t="n">
        <v>0</v>
      </c>
      <c r="G19944" s="3" t="n">
        <v>-0.01</v>
      </c>
    </row>
    <row r="19945">
      <c r="A19945" s="3" t="inlineStr">
        <is>
          <t>Opportunity Private Capital (PTY) LTD</t>
        </is>
      </c>
      <c r="B19945" s="4" t="n">
        <v>45382</v>
      </c>
      <c r="C19945" s="3" t="inlineStr">
        <is>
          <t>Liabilities</t>
        </is>
      </c>
      <c r="D19945" s="3" t="inlineStr">
        <is>
          <t>860</t>
        </is>
      </c>
      <c r="E19945" s="3" t="inlineStr">
        <is>
          <t>Rounding</t>
        </is>
      </c>
      <c r="F19945" s="3" t="n">
        <v>0</v>
      </c>
      <c r="G19945" s="3" t="n">
        <v>-0.29</v>
      </c>
    </row>
    <row r="19946">
      <c r="A19946" s="3" t="inlineStr">
        <is>
          <t>Opportunity Private Capital Sales (PTY) LTD</t>
        </is>
      </c>
      <c r="B19946" s="4" t="n">
        <v>45382</v>
      </c>
      <c r="C19946" s="3" t="inlineStr">
        <is>
          <t>Liabilities</t>
        </is>
      </c>
      <c r="D19946" s="3" t="inlineStr">
        <is>
          <t>860</t>
        </is>
      </c>
      <c r="E19946" s="3" t="inlineStr">
        <is>
          <t>Rounding</t>
        </is>
      </c>
      <c r="F19946" s="3" t="n">
        <v>0</v>
      </c>
      <c r="G19946" s="3" t="n">
        <v>-0.99</v>
      </c>
    </row>
    <row r="19947">
      <c r="A19947" s="3" t="inlineStr">
        <is>
          <t>Quinate Consulting (Pty) Ltd</t>
        </is>
      </c>
      <c r="B19947" s="4" t="n">
        <v>45382</v>
      </c>
      <c r="C19947" s="3" t="inlineStr">
        <is>
          <t>Liabilities</t>
        </is>
      </c>
      <c r="D19947" s="3" t="inlineStr">
        <is>
          <t>860</t>
        </is>
      </c>
      <c r="E19947" s="3" t="inlineStr">
        <is>
          <t>Rounding</t>
        </is>
      </c>
      <c r="F19947" s="3" t="n">
        <v>0.38</v>
      </c>
      <c r="G19947" s="3" t="n">
        <v>-5.64</v>
      </c>
    </row>
    <row r="19948">
      <c r="A19948" s="3" t="inlineStr">
        <is>
          <t>Trademark Holdings (Pty) Ltd</t>
        </is>
      </c>
      <c r="B19948" s="4" t="n">
        <v>45382</v>
      </c>
      <c r="C19948" s="3" t="inlineStr">
        <is>
          <t>Liabilities</t>
        </is>
      </c>
      <c r="D19948" s="3" t="inlineStr">
        <is>
          <t>860</t>
        </is>
      </c>
      <c r="E19948" s="3" t="inlineStr">
        <is>
          <t>Rounding</t>
        </is>
      </c>
      <c r="F19948" s="3" t="n">
        <v>0</v>
      </c>
      <c r="G19948" s="3" t="n">
        <v>0.2</v>
      </c>
    </row>
    <row r="19949">
      <c r="A19949" s="3" t="inlineStr">
        <is>
          <t>Endulini (Pty) Ltd</t>
        </is>
      </c>
      <c r="B19949" s="4" t="n">
        <v>45382</v>
      </c>
      <c r="C19949" s="3" t="inlineStr">
        <is>
          <t>Liabilities</t>
        </is>
      </c>
      <c r="D19949" s="3" t="inlineStr">
        <is>
          <t>9000/000</t>
        </is>
      </c>
      <c r="E19949" s="3" t="inlineStr">
        <is>
          <t>Supplier Control Account</t>
        </is>
      </c>
      <c r="F19949" s="3" t="n">
        <v>-23125.55</v>
      </c>
      <c r="G19949" s="3" t="n">
        <v>3908147.24</v>
      </c>
    </row>
    <row r="19950">
      <c r="A19950" s="3" t="inlineStr">
        <is>
          <t>Noble Shield (Pty) Ltd ta Go Letting</t>
        </is>
      </c>
      <c r="B19950" s="4" t="n">
        <v>45382</v>
      </c>
      <c r="C19950" s="3" t="inlineStr">
        <is>
          <t>Liabilities</t>
        </is>
      </c>
      <c r="D19950" s="3" t="inlineStr">
        <is>
          <t>9000/000</t>
        </is>
      </c>
      <c r="E19950" s="3" t="inlineStr">
        <is>
          <t>Supplier Control Account</t>
        </is>
      </c>
      <c r="F19950" s="3" t="n">
        <v>1562.4</v>
      </c>
      <c r="G19950" s="3" t="n">
        <v>-24946.31</v>
      </c>
    </row>
    <row r="19951">
      <c r="A19951" s="3" t="inlineStr">
        <is>
          <t>Opportunity Global Property (PTY) LTD</t>
        </is>
      </c>
      <c r="B19951" s="4" t="n">
        <v>45382</v>
      </c>
      <c r="C19951" s="3" t="inlineStr">
        <is>
          <t>Liabilities</t>
        </is>
      </c>
      <c r="D19951" s="3" t="inlineStr">
        <is>
          <t>9000/000</t>
        </is>
      </c>
      <c r="E19951" s="3" t="inlineStr">
        <is>
          <t>Supplier Control Account</t>
        </is>
      </c>
      <c r="F19951" s="3" t="n">
        <v>-7564.77</v>
      </c>
      <c r="G19951" s="3" t="n">
        <v>-31759.33</v>
      </c>
    </row>
    <row r="19952">
      <c r="A19952" s="3" t="inlineStr">
        <is>
          <t>Opportunity Management Holdings (PTY) LTD</t>
        </is>
      </c>
      <c r="B19952" s="4" t="n">
        <v>45382</v>
      </c>
      <c r="C19952" s="3" t="inlineStr">
        <is>
          <t>Liabilities</t>
        </is>
      </c>
      <c r="D19952" s="3" t="inlineStr">
        <is>
          <t>9000/000</t>
        </is>
      </c>
      <c r="E19952" s="3" t="inlineStr">
        <is>
          <t>Supplier Control Account</t>
        </is>
      </c>
      <c r="F19952" s="3" t="n">
        <v>-3168.67</v>
      </c>
      <c r="G19952" s="3" t="n">
        <v>-290710.67</v>
      </c>
    </row>
    <row r="19953">
      <c r="A19953" s="3" t="inlineStr">
        <is>
          <t>Opportunity Private Capital (PTY) LTD</t>
        </is>
      </c>
      <c r="B19953" s="4" t="n">
        <v>45382</v>
      </c>
      <c r="C19953" s="3" t="inlineStr">
        <is>
          <t>Liabilities</t>
        </is>
      </c>
      <c r="D19953" s="3" t="inlineStr">
        <is>
          <t>9000/000</t>
        </is>
      </c>
      <c r="E19953" s="3" t="inlineStr">
        <is>
          <t>Supplier Control Account</t>
        </is>
      </c>
      <c r="F19953" s="3" t="n">
        <v>-21445.75</v>
      </c>
      <c r="G19953" s="3" t="n">
        <v>-33997.91</v>
      </c>
    </row>
    <row r="19954">
      <c r="A19954" s="3" t="inlineStr">
        <is>
          <t>Opportunity Private Capital Sales (PTY) LTD</t>
        </is>
      </c>
      <c r="B19954" s="4" t="n">
        <v>45382</v>
      </c>
      <c r="C19954" s="3" t="inlineStr">
        <is>
          <t>Liabilities</t>
        </is>
      </c>
      <c r="D19954" s="3" t="inlineStr">
        <is>
          <t>9000/000</t>
        </is>
      </c>
      <c r="E19954" s="3" t="inlineStr">
        <is>
          <t>Supplier Control Account</t>
        </is>
      </c>
      <c r="F19954" s="3" t="n">
        <v>-9453</v>
      </c>
      <c r="G19954" s="3" t="n">
        <v>-33647.56</v>
      </c>
    </row>
    <row r="19955">
      <c r="A19955" s="3" t="inlineStr">
        <is>
          <t>Quinate Consulting (Pty) Ltd</t>
        </is>
      </c>
      <c r="B19955" s="4" t="n">
        <v>45382</v>
      </c>
      <c r="C19955" s="3" t="inlineStr">
        <is>
          <t>Liabilities</t>
        </is>
      </c>
      <c r="D19955" s="3" t="inlineStr">
        <is>
          <t>9000/000</t>
        </is>
      </c>
      <c r="E19955" s="3" t="inlineStr">
        <is>
          <t>Supplier Control Account</t>
        </is>
      </c>
      <c r="F19955" s="3" t="n">
        <v>21822.73</v>
      </c>
      <c r="G19955" s="3" t="n">
        <v>428158.83</v>
      </c>
    </row>
    <row r="19956">
      <c r="A19956" s="3" t="inlineStr">
        <is>
          <t>Trademark Holdings (Pty) Ltd</t>
        </is>
      </c>
      <c r="B19956" s="4" t="n">
        <v>45382</v>
      </c>
      <c r="C19956" s="3" t="inlineStr">
        <is>
          <t>Liabilities</t>
        </is>
      </c>
      <c r="D19956" s="3" t="inlineStr">
        <is>
          <t>9000/000</t>
        </is>
      </c>
      <c r="E19956" s="3" t="inlineStr">
        <is>
          <t>Supplier Control Account</t>
        </is>
      </c>
      <c r="F19956" s="3" t="n">
        <v>6727.26</v>
      </c>
      <c r="G19956" s="3" t="n">
        <v>-9493.030000000001</v>
      </c>
    </row>
    <row r="19957">
      <c r="A19957" s="3" t="inlineStr">
        <is>
          <t>Quinate Consulting (Pty) Ltd</t>
        </is>
      </c>
      <c r="B19957" s="4" t="n">
        <v>45382</v>
      </c>
      <c r="C19957" s="3" t="inlineStr">
        <is>
          <t>Liabilities</t>
        </is>
      </c>
      <c r="D19957" s="3" t="inlineStr">
        <is>
          <t>9001</t>
        </is>
      </c>
      <c r="E19957" s="3" t="inlineStr">
        <is>
          <t>Supplier Control</t>
        </is>
      </c>
      <c r="F19957" s="3" t="n">
        <v>0</v>
      </c>
      <c r="G19957" s="3" t="n">
        <v>-347315.41</v>
      </c>
    </row>
    <row r="19958">
      <c r="A19958" s="3" t="inlineStr">
        <is>
          <t>Opportunity Management Holdings (PTY) LTD</t>
        </is>
      </c>
      <c r="B19958" s="4" t="n">
        <v>45382</v>
      </c>
      <c r="C19958" s="3" t="inlineStr">
        <is>
          <t>Liabilities</t>
        </is>
      </c>
      <c r="D19958" s="3" t="inlineStr">
        <is>
          <t>9100/000</t>
        </is>
      </c>
      <c r="E19958" s="3" t="inlineStr">
        <is>
          <t>PAYE/UIF/SDL Accrual - Prior Years ADJ</t>
        </is>
      </c>
      <c r="F19958" s="3" t="n">
        <v>0</v>
      </c>
      <c r="G19958" s="3" t="n">
        <v>-33739.36</v>
      </c>
    </row>
    <row r="19959">
      <c r="A19959" s="3" t="inlineStr">
        <is>
          <t>Opportunity Management Holdings (PTY) LTD</t>
        </is>
      </c>
      <c r="B19959" s="4" t="n">
        <v>45382</v>
      </c>
      <c r="C19959" s="3" t="inlineStr">
        <is>
          <t>Assets</t>
        </is>
      </c>
      <c r="D19959" s="3" t="inlineStr">
        <is>
          <t>9110/000</t>
        </is>
      </c>
      <c r="E19959" s="3" t="inlineStr">
        <is>
          <t>Deposit Received</t>
        </is>
      </c>
      <c r="F19959" s="3" t="n">
        <v>0</v>
      </c>
      <c r="G19959" s="3" t="n">
        <v>-3852.5</v>
      </c>
    </row>
    <row r="19960">
      <c r="A19960" s="3" t="inlineStr">
        <is>
          <t>Opportunity Private Capital (PTY) LTD</t>
        </is>
      </c>
      <c r="B19960" s="4" t="n">
        <v>45382</v>
      </c>
      <c r="C19960" s="3" t="inlineStr">
        <is>
          <t>Liabilities</t>
        </is>
      </c>
      <c r="D19960" s="3" t="inlineStr">
        <is>
          <t>9110/000</t>
        </is>
      </c>
      <c r="E19960" s="3" t="inlineStr">
        <is>
          <t>Taxation B/S</t>
        </is>
      </c>
      <c r="F19960" s="3" t="n">
        <v>0</v>
      </c>
      <c r="G19960" s="3" t="n">
        <v>97277.99000000001</v>
      </c>
    </row>
    <row r="19961">
      <c r="A19961" s="3" t="inlineStr">
        <is>
          <t>Noble Shield (Pty) Ltd ta Go Letting</t>
        </is>
      </c>
      <c r="B19961" s="4" t="n">
        <v>45382</v>
      </c>
      <c r="C19961" s="3" t="inlineStr">
        <is>
          <t>Liabilities</t>
        </is>
      </c>
      <c r="D19961" s="3" t="inlineStr">
        <is>
          <t>9250/010</t>
        </is>
      </c>
      <c r="E19961" s="3" t="inlineStr">
        <is>
          <t>SALARY CONTROL</t>
        </is>
      </c>
      <c r="F19961" s="3" t="n">
        <v>174.69</v>
      </c>
      <c r="G19961" s="3" t="n">
        <v>-18380.94</v>
      </c>
    </row>
    <row r="19962">
      <c r="A19962" s="3" t="inlineStr">
        <is>
          <t>Opportunity Global Property (PTY) LTD</t>
        </is>
      </c>
      <c r="B19962" s="4" t="n">
        <v>45382</v>
      </c>
      <c r="C19962" s="3" t="inlineStr">
        <is>
          <t>Liabilities</t>
        </is>
      </c>
      <c r="D19962" s="3" t="inlineStr">
        <is>
          <t>9250/010</t>
        </is>
      </c>
      <c r="E19962" s="3" t="inlineStr">
        <is>
          <t>SALARY CONTROL</t>
        </is>
      </c>
      <c r="F19962" s="3" t="n">
        <v>149102.55</v>
      </c>
      <c r="G19962" s="3" t="n">
        <v>141529.15</v>
      </c>
    </row>
    <row r="19963">
      <c r="A19963" s="3" t="inlineStr">
        <is>
          <t>Opportunity Management Holdings (PTY) LTD</t>
        </is>
      </c>
      <c r="B19963" s="4" t="n">
        <v>45382</v>
      </c>
      <c r="C19963" s="3" t="inlineStr">
        <is>
          <t>Liabilities</t>
        </is>
      </c>
      <c r="D19963" s="3" t="inlineStr">
        <is>
          <t>9250/010</t>
        </is>
      </c>
      <c r="E19963" s="3" t="inlineStr">
        <is>
          <t>SALARY CONTROL</t>
        </is>
      </c>
      <c r="F19963" s="3" t="n">
        <v>294410.68</v>
      </c>
      <c r="G19963" s="3" t="n">
        <v>294410.68</v>
      </c>
    </row>
    <row r="19964">
      <c r="A19964" s="3" t="inlineStr">
        <is>
          <t>Opportunity Private Capital (PTY) LTD</t>
        </is>
      </c>
      <c r="B19964" s="4" t="n">
        <v>45382</v>
      </c>
      <c r="C19964" s="3" t="inlineStr">
        <is>
          <t>Liabilities</t>
        </is>
      </c>
      <c r="D19964" s="3" t="inlineStr">
        <is>
          <t>9250/010</t>
        </is>
      </c>
      <c r="E19964" s="3" t="inlineStr">
        <is>
          <t>SALARY CONTROL</t>
        </is>
      </c>
      <c r="F19964" s="3" t="n">
        <v>81006.25</v>
      </c>
      <c r="G19964" s="3" t="n">
        <v>81006.25</v>
      </c>
    </row>
    <row r="19965">
      <c r="A19965" s="3" t="inlineStr">
        <is>
          <t>Opportunity Private Capital Sales (PTY) LTD</t>
        </is>
      </c>
      <c r="B19965" s="4" t="n">
        <v>45382</v>
      </c>
      <c r="C19965" s="3" t="inlineStr">
        <is>
          <t>Liabilities</t>
        </is>
      </c>
      <c r="D19965" s="3" t="inlineStr">
        <is>
          <t>9250/010</t>
        </is>
      </c>
      <c r="E19965" s="3" t="inlineStr">
        <is>
          <t>SALARY CONTROL</t>
        </is>
      </c>
      <c r="F19965" s="3" t="n">
        <v>127138.46</v>
      </c>
      <c r="G19965" s="3" t="n">
        <v>119565.06</v>
      </c>
    </row>
    <row r="19966">
      <c r="A19966" s="3" t="inlineStr">
        <is>
          <t>Trademark Holdings (Pty) Ltd</t>
        </is>
      </c>
      <c r="B19966" s="4" t="n">
        <v>45382</v>
      </c>
      <c r="C19966" s="3" t="inlineStr">
        <is>
          <t>Liabilities</t>
        </is>
      </c>
      <c r="D19966" s="3" t="inlineStr">
        <is>
          <t>9250/010</t>
        </is>
      </c>
      <c r="E19966" s="3" t="inlineStr">
        <is>
          <t>SALARY CONTROL</t>
        </is>
      </c>
      <c r="F19966" s="3" t="n">
        <v>1133.4</v>
      </c>
      <c r="G19966" s="3" t="n">
        <v>-19072.56</v>
      </c>
    </row>
    <row r="19967">
      <c r="A19967" s="3" t="inlineStr">
        <is>
          <t>Noble Shield (Pty) Ltd ta Go Letting</t>
        </is>
      </c>
      <c r="B19967" s="4" t="n">
        <v>45382</v>
      </c>
      <c r="C19967" s="3" t="inlineStr">
        <is>
          <t>Liabilities</t>
        </is>
      </c>
      <c r="D19967" s="3" t="inlineStr">
        <is>
          <t>9250/020</t>
        </is>
      </c>
      <c r="E19967" s="3" t="inlineStr">
        <is>
          <t>PAYE, UIF AND SDL CONTROL</t>
        </is>
      </c>
      <c r="F19967" s="3" t="n">
        <v>63.73</v>
      </c>
      <c r="G19967" s="3" t="n">
        <v>-6481.02</v>
      </c>
    </row>
    <row r="19968">
      <c r="A19968" s="3" t="inlineStr">
        <is>
          <t>Opportunity Management Holdings (PTY) LTD</t>
        </is>
      </c>
      <c r="B19968" s="4" t="n">
        <v>45382</v>
      </c>
      <c r="C19968" s="3" t="inlineStr">
        <is>
          <t>Liabilities</t>
        </is>
      </c>
      <c r="D19968" s="3" t="inlineStr">
        <is>
          <t>9250/020</t>
        </is>
      </c>
      <c r="E19968" s="3" t="inlineStr">
        <is>
          <t>PAYE, UIF AND SDL CONTROL</t>
        </is>
      </c>
      <c r="F19968" s="3" t="n">
        <v>-1761.33</v>
      </c>
      <c r="G19968" s="3" t="n">
        <v>-46369.72</v>
      </c>
    </row>
    <row r="19969">
      <c r="A19969" s="3" t="inlineStr">
        <is>
          <t>Opportunity Private Capital (PTY) LTD</t>
        </is>
      </c>
      <c r="B19969" s="4" t="n">
        <v>45382</v>
      </c>
      <c r="C19969" s="3" t="inlineStr">
        <is>
          <t>Liabilities</t>
        </is>
      </c>
      <c r="D19969" s="3" t="inlineStr">
        <is>
          <t>9250/020</t>
        </is>
      </c>
      <c r="E19969" s="3" t="inlineStr">
        <is>
          <t>PAYE, UIF AND SDL CONTROL</t>
        </is>
      </c>
      <c r="F19969" s="3" t="n">
        <v>57888.54</v>
      </c>
      <c r="G19969" s="3" t="n">
        <v>-27913.73</v>
      </c>
    </row>
    <row r="19970">
      <c r="A19970" s="3" t="inlineStr">
        <is>
          <t>Quinate Consulting (Pty) Ltd</t>
        </is>
      </c>
      <c r="B19970" s="4" t="n">
        <v>45382</v>
      </c>
      <c r="C19970" s="3" t="inlineStr">
        <is>
          <t>Liabilities</t>
        </is>
      </c>
      <c r="D19970" s="3" t="inlineStr">
        <is>
          <t>9250/020</t>
        </is>
      </c>
      <c r="E19970" s="3" t="inlineStr">
        <is>
          <t>PAYE, UIF AND SDL CONTROL</t>
        </is>
      </c>
      <c r="F19970" s="3" t="n">
        <v>0</v>
      </c>
      <c r="G19970" s="3" t="n">
        <v>-10759.36</v>
      </c>
    </row>
    <row r="19971">
      <c r="A19971" s="3" t="inlineStr">
        <is>
          <t>Trademark Holdings (Pty) Ltd</t>
        </is>
      </c>
      <c r="B19971" s="4" t="n">
        <v>45382</v>
      </c>
      <c r="C19971" s="3" t="inlineStr">
        <is>
          <t>Liabilities</t>
        </is>
      </c>
      <c r="D19971" s="3" t="inlineStr">
        <is>
          <t>9250/020</t>
        </is>
      </c>
      <c r="E19971" s="3" t="inlineStr">
        <is>
          <t>PAYE, UIF AND SDL CONTROL</t>
        </is>
      </c>
      <c r="F19971" s="3" t="n">
        <v>-5447.12</v>
      </c>
      <c r="G19971" s="3" t="n">
        <v>-16529.04</v>
      </c>
    </row>
    <row r="19972">
      <c r="A19972" s="3" t="inlineStr">
        <is>
          <t>Opportunity Management Holdings (PTY) LTD</t>
        </is>
      </c>
      <c r="B19972" s="4" t="n">
        <v>45382</v>
      </c>
      <c r="C19972" s="3" t="inlineStr">
        <is>
          <t>Liabilities</t>
        </is>
      </c>
      <c r="D19972" s="3" t="inlineStr">
        <is>
          <t>9300/000</t>
        </is>
      </c>
      <c r="E19972" s="3" t="inlineStr">
        <is>
          <t>Taxation Payable B/S</t>
        </is>
      </c>
      <c r="F19972" s="3" t="n">
        <v>0</v>
      </c>
      <c r="G19972" s="3" t="n">
        <v>89955.09</v>
      </c>
    </row>
    <row r="19973">
      <c r="A19973" s="3" t="inlineStr">
        <is>
          <t>Opportunity Private Capital (PTY) LTD</t>
        </is>
      </c>
      <c r="B19973" s="4" t="n">
        <v>45382</v>
      </c>
      <c r="C19973" s="3" t="inlineStr">
        <is>
          <t>Liabilities</t>
        </is>
      </c>
      <c r="D19973" s="3" t="inlineStr">
        <is>
          <t>9400/030</t>
        </is>
      </c>
      <c r="E19973" s="3" t="inlineStr">
        <is>
          <t>Accrued Expenses - PAYE_AND_UIF</t>
        </is>
      </c>
      <c r="F19973" s="3" t="n">
        <v>0</v>
      </c>
      <c r="G19973" s="3" t="n">
        <v>-2</v>
      </c>
    </row>
    <row r="19974">
      <c r="A19974" s="3" t="inlineStr">
        <is>
          <t>Trademark Holdings (Pty) Ltd</t>
        </is>
      </c>
      <c r="B19974" s="4" t="n">
        <v>45382</v>
      </c>
      <c r="C19974" s="3" t="inlineStr">
        <is>
          <t>Liabilities</t>
        </is>
      </c>
      <c r="D19974" s="3" t="inlineStr">
        <is>
          <t>9400/400</t>
        </is>
      </c>
      <c r="E19974" s="3" t="inlineStr">
        <is>
          <t>Deemed Dividend Tax</t>
        </is>
      </c>
      <c r="F19974" s="3" t="n">
        <v>0</v>
      </c>
      <c r="G19974" s="3" t="n">
        <v>-699.13</v>
      </c>
    </row>
    <row r="19975">
      <c r="A19975" s="3" t="inlineStr">
        <is>
          <t>Opportunity Global Property (PTY) LTD</t>
        </is>
      </c>
      <c r="B19975" s="4" t="n">
        <v>45382</v>
      </c>
      <c r="C19975" s="3" t="inlineStr">
        <is>
          <t>Liabilities</t>
        </is>
      </c>
      <c r="D19975" s="3" t="inlineStr">
        <is>
          <t>9500/000</t>
        </is>
      </c>
      <c r="E19975" s="3" t="inlineStr">
        <is>
          <t>VAT Control Account</t>
        </is>
      </c>
      <c r="F19975" s="3" t="n">
        <v>-29065.27</v>
      </c>
      <c r="G19975" s="3" t="n">
        <v>-1315568.92</v>
      </c>
    </row>
    <row r="19976">
      <c r="A19976" s="3" t="inlineStr">
        <is>
          <t>Opportunity Management Holdings (PTY) LTD</t>
        </is>
      </c>
      <c r="B19976" s="4" t="n">
        <v>45382</v>
      </c>
      <c r="C19976" s="3" t="inlineStr">
        <is>
          <t>Liabilities</t>
        </is>
      </c>
      <c r="D19976" s="3" t="inlineStr">
        <is>
          <t>9500/000</t>
        </is>
      </c>
      <c r="E19976" s="3" t="inlineStr">
        <is>
          <t>VAT Control Account</t>
        </is>
      </c>
      <c r="F19976" s="3" t="n">
        <v>-44799.19</v>
      </c>
      <c r="G19976" s="3" t="n">
        <v>7930.03</v>
      </c>
    </row>
    <row r="19977">
      <c r="A19977" s="3" t="inlineStr">
        <is>
          <t>Opportunity Private Capital (PTY) LTD</t>
        </is>
      </c>
      <c r="B19977" s="4" t="n">
        <v>45382</v>
      </c>
      <c r="C19977" s="3" t="inlineStr">
        <is>
          <t>Liabilities</t>
        </is>
      </c>
      <c r="D19977" s="3" t="inlineStr">
        <is>
          <t>9500/000</t>
        </is>
      </c>
      <c r="E19977" s="3" t="inlineStr">
        <is>
          <t>VAT Control Account</t>
        </is>
      </c>
      <c r="F19977" s="3" t="n">
        <v>91276.16</v>
      </c>
      <c r="G19977" s="3" t="n">
        <v>1252291.62</v>
      </c>
    </row>
    <row r="19978">
      <c r="A19978" s="3" t="inlineStr">
        <is>
          <t>Opportunity Private Capital Sales (PTY) LTD</t>
        </is>
      </c>
      <c r="B19978" s="4" t="n">
        <v>45382</v>
      </c>
      <c r="C19978" s="3" t="inlineStr">
        <is>
          <t>Liabilities</t>
        </is>
      </c>
      <c r="D19978" s="3" t="inlineStr">
        <is>
          <t>9500/000</t>
        </is>
      </c>
      <c r="E19978" s="3" t="inlineStr">
        <is>
          <t>VAT Control Account</t>
        </is>
      </c>
      <c r="F19978" s="3" t="n">
        <v>-33158.11</v>
      </c>
      <c r="G19978" s="3" t="n">
        <v>-1319661.76</v>
      </c>
    </row>
    <row r="19979">
      <c r="A19979" s="3" t="inlineStr">
        <is>
          <t>Endulini (Pty) Ltd</t>
        </is>
      </c>
      <c r="B19979" s="4" t="n">
        <v>45382</v>
      </c>
      <c r="C19979" s="3" t="inlineStr">
        <is>
          <t>Liabilities</t>
        </is>
      </c>
      <c r="D19979" s="3" t="inlineStr">
        <is>
          <t>9500/000</t>
        </is>
      </c>
      <c r="E19979" s="3" t="inlineStr">
        <is>
          <t>Vat / Tax Control Account</t>
        </is>
      </c>
      <c r="F19979" s="3" t="n">
        <v>-158290.7</v>
      </c>
      <c r="G19979" s="3" t="n">
        <v>-3604742.62</v>
      </c>
    </row>
    <row r="19980">
      <c r="A19980" s="3" t="inlineStr">
        <is>
          <t>Noble Shield (Pty) Ltd ta Go Letting</t>
        </is>
      </c>
      <c r="B19980" s="4" t="n">
        <v>45382</v>
      </c>
      <c r="C19980" s="3" t="inlineStr">
        <is>
          <t>Liabilities</t>
        </is>
      </c>
      <c r="D19980" s="3" t="inlineStr">
        <is>
          <t>9500/000</t>
        </is>
      </c>
      <c r="E19980" s="3" t="inlineStr">
        <is>
          <t>Vat / Tax Control Account</t>
        </is>
      </c>
      <c r="F19980" s="3" t="n">
        <v>0</v>
      </c>
      <c r="G19980" s="3" t="n">
        <v>2461.52</v>
      </c>
    </row>
    <row r="19981">
      <c r="A19981" s="3" t="inlineStr">
        <is>
          <t>Quinate Consulting (Pty) Ltd</t>
        </is>
      </c>
      <c r="B19981" s="4" t="n">
        <v>45382</v>
      </c>
      <c r="C19981" s="3" t="inlineStr">
        <is>
          <t>Liabilities</t>
        </is>
      </c>
      <c r="D19981" s="3" t="inlineStr">
        <is>
          <t>9500/000</t>
        </is>
      </c>
      <c r="E19981" s="3" t="inlineStr">
        <is>
          <t>Vat Control Account</t>
        </is>
      </c>
      <c r="F19981" s="3" t="n">
        <v>64022.49</v>
      </c>
      <c r="G19981" s="3" t="n">
        <v>3295529.47</v>
      </c>
    </row>
    <row r="19982">
      <c r="A19982" s="3" t="inlineStr">
        <is>
          <t>Opportunity Management Holdings (PTY) LTD</t>
        </is>
      </c>
      <c r="B19982" s="4" t="n">
        <v>45382</v>
      </c>
      <c r="C19982" s="3" t="inlineStr">
        <is>
          <t>Liabilities</t>
        </is>
      </c>
      <c r="D19982" s="3" t="inlineStr">
        <is>
          <t>9501/000</t>
        </is>
      </c>
      <c r="E19982" s="3" t="inlineStr">
        <is>
          <t>Vat Adjustments - C2M</t>
        </is>
      </c>
      <c r="F19982" s="3" t="n">
        <v>0</v>
      </c>
      <c r="G19982" s="3" t="n">
        <v>47274.04</v>
      </c>
    </row>
    <row r="19983">
      <c r="A19983" s="3" t="inlineStr">
        <is>
          <t>Endulini (Pty) Ltd</t>
        </is>
      </c>
      <c r="B19983" s="4" t="n">
        <v>45382</v>
      </c>
      <c r="C19983" s="3" t="inlineStr">
        <is>
          <t>Liabilities</t>
        </is>
      </c>
      <c r="D19983" s="3" t="inlineStr">
        <is>
          <t>9899/A202</t>
        </is>
      </c>
      <c r="E19983" s="3" t="inlineStr">
        <is>
          <t>Sales - Unit Reg Control A202</t>
        </is>
      </c>
      <c r="F19983" s="3" t="n">
        <v>0</v>
      </c>
      <c r="G19983" s="3" t="n">
        <v>-1086734.26</v>
      </c>
    </row>
    <row r="19984">
      <c r="A19984" s="3" t="inlineStr">
        <is>
          <t>Endulini (Pty) Ltd</t>
        </is>
      </c>
      <c r="B19984" s="4" t="n">
        <v>45382</v>
      </c>
      <c r="C19984" s="3" t="inlineStr">
        <is>
          <t>Liabilities</t>
        </is>
      </c>
      <c r="D19984" s="3" t="inlineStr">
        <is>
          <t>9899/A209</t>
        </is>
      </c>
      <c r="E19984" s="3" t="inlineStr">
        <is>
          <t>Sales - Unit Reg Control A209</t>
        </is>
      </c>
      <c r="F19984" s="3" t="n">
        <v>0</v>
      </c>
      <c r="G19984" s="3" t="n">
        <v>-1218800.14</v>
      </c>
    </row>
    <row r="19985">
      <c r="A19985" s="3" t="inlineStr">
        <is>
          <t>Endulini (Pty) Ltd</t>
        </is>
      </c>
      <c r="B19985" s="4" t="n">
        <v>45382</v>
      </c>
      <c r="C19985" s="3" t="inlineStr">
        <is>
          <t>Liabilities</t>
        </is>
      </c>
      <c r="D19985" s="3" t="inlineStr">
        <is>
          <t>9899/B203</t>
        </is>
      </c>
      <c r="E19985" s="3" t="inlineStr">
        <is>
          <t>Sales - Unit Reg Control B203</t>
        </is>
      </c>
      <c r="F19985" s="3" t="n">
        <v>0</v>
      </c>
      <c r="G19985" s="3" t="n">
        <v>-1179884.01</v>
      </c>
    </row>
    <row r="19986">
      <c r="A19986" s="3" t="inlineStr">
        <is>
          <t>Endulini (Pty) Ltd</t>
        </is>
      </c>
      <c r="B19986" s="4" t="n">
        <v>45382</v>
      </c>
      <c r="C19986" s="3" t="inlineStr">
        <is>
          <t>Liabilities</t>
        </is>
      </c>
      <c r="D19986" s="3" t="inlineStr">
        <is>
          <t>9899/C302</t>
        </is>
      </c>
      <c r="E19986" s="3" t="inlineStr">
        <is>
          <t>Sales - Unit Reg Control C302</t>
        </is>
      </c>
      <c r="F19986" s="3" t="n">
        <v>0</v>
      </c>
      <c r="G19986" s="3" t="n">
        <v>-1253795.14</v>
      </c>
    </row>
    <row r="19987">
      <c r="A19987" s="3" t="inlineStr">
        <is>
          <t>Quinate Consulting (Pty) Ltd</t>
        </is>
      </c>
      <c r="B19987" s="4" t="n">
        <v>45382</v>
      </c>
      <c r="C19987" s="3" t="inlineStr">
        <is>
          <t>Liabilities</t>
        </is>
      </c>
      <c r="D19987" s="3" t="inlineStr">
        <is>
          <t>9960/000</t>
        </is>
      </c>
      <c r="E19987" s="3" t="inlineStr">
        <is>
          <t>Deposits - Southwark Rentals</t>
        </is>
      </c>
      <c r="F19987" s="3" t="n">
        <v>0</v>
      </c>
      <c r="G19987" s="3" t="n">
        <v>-23000</v>
      </c>
    </row>
    <row r="19988">
      <c r="A19988" s="3" t="inlineStr">
        <is>
          <t>Noble Shield (Pty) Ltd ta Go Letting</t>
        </is>
      </c>
      <c r="B19988" s="4" t="n">
        <v>45382</v>
      </c>
      <c r="C19988" s="3" t="inlineStr">
        <is>
          <t>Expenses</t>
        </is>
      </c>
      <c r="D19988" s="3" t="inlineStr">
        <is>
          <t>ACB Link</t>
        </is>
      </c>
      <c r="E19988" s="3" t="inlineStr">
        <is>
          <t>Subscriptions - TPN</t>
        </is>
      </c>
      <c r="F19988" s="3" t="n">
        <v>4018.49</v>
      </c>
      <c r="G19988" s="3" t="n">
        <v>18893.18</v>
      </c>
    </row>
    <row r="19989">
      <c r="A19989" s="3" t="inlineStr">
        <is>
          <t>Trademark Holdings (Pty) Ltd</t>
        </is>
      </c>
      <c r="B19989" s="4" t="n">
        <v>45382</v>
      </c>
      <c r="C19989" s="3" t="inlineStr">
        <is>
          <t>Liabilities</t>
        </is>
      </c>
      <c r="D19989" s="3" t="inlineStr">
        <is>
          <t>B/S</t>
        </is>
      </c>
      <c r="E19989" s="3" t="inlineStr">
        <is>
          <t>Taxation Payable</t>
        </is>
      </c>
      <c r="F19989" s="3" t="n">
        <v>0</v>
      </c>
      <c r="G19989" s="3" t="n">
        <v>1722</v>
      </c>
    </row>
    <row r="19990">
      <c r="A19990" s="3" t="inlineStr">
        <is>
          <t>Quinate Consulting (Pty) Ltd</t>
        </is>
      </c>
      <c r="B19990" s="4" t="n">
        <v>45382</v>
      </c>
      <c r="C19990" s="3" t="inlineStr">
        <is>
          <t>Liabilities</t>
        </is>
      </c>
      <c r="D19990" s="3" t="inlineStr">
        <is>
          <t xml:space="preserve">B/S </t>
        </is>
      </c>
      <c r="E19990" s="3" t="inlineStr">
        <is>
          <t>Taxation Payable</t>
        </is>
      </c>
      <c r="F19990" s="3" t="n">
        <v>0</v>
      </c>
      <c r="G19990" s="3" t="n">
        <v>-15486</v>
      </c>
    </row>
    <row r="19991">
      <c r="A19991" s="3" t="inlineStr">
        <is>
          <t>Quinate Consulting (Pty) Ltd</t>
        </is>
      </c>
      <c r="B19991" s="4" t="n">
        <v>45382</v>
      </c>
      <c r="C19991" s="3" t="inlineStr">
        <is>
          <t>Liabilities</t>
        </is>
      </c>
      <c r="D19991" s="3" t="inlineStr">
        <is>
          <t>FV</t>
        </is>
      </c>
      <c r="E19991" s="3" t="inlineStr">
        <is>
          <t>Loan - Cape Projects Constuction</t>
        </is>
      </c>
      <c r="F19991" s="3" t="n">
        <v>100000</v>
      </c>
      <c r="G19991" s="3" t="n">
        <v>-6233763.77</v>
      </c>
    </row>
    <row r="19992">
      <c r="A19992" s="3" t="inlineStr">
        <is>
          <t>Opportunity Global Property (PTY) LTD</t>
        </is>
      </c>
      <c r="B19992" s="4" t="n">
        <v>45412</v>
      </c>
      <c r="C19992" s="3" t="inlineStr">
        <is>
          <t>Revenue</t>
        </is>
      </c>
      <c r="D19992" s="3" t="inlineStr">
        <is>
          <t>1000/009</t>
        </is>
      </c>
      <c r="E19992" s="3" t="inlineStr">
        <is>
          <t>Sales - Comm on Payprop</t>
        </is>
      </c>
      <c r="F19992" s="3" t="n">
        <v>-13865.95</v>
      </c>
      <c r="G19992" s="3" t="n">
        <v>-27294.03</v>
      </c>
    </row>
    <row r="19993">
      <c r="A19993" s="3" t="inlineStr">
        <is>
          <t>Quinate Consulting (Pty) Ltd</t>
        </is>
      </c>
      <c r="B19993" s="4" t="n">
        <v>45412</v>
      </c>
      <c r="C19993" s="3" t="inlineStr">
        <is>
          <t>Revenue</t>
        </is>
      </c>
      <c r="D19993" s="3" t="inlineStr">
        <is>
          <t>1000/011</t>
        </is>
      </c>
      <c r="E19993" s="3" t="inlineStr">
        <is>
          <t>Rent Received - Soho Unit 23</t>
        </is>
      </c>
      <c r="F19993" s="3" t="n">
        <v>-12500</v>
      </c>
      <c r="G19993" s="3" t="n">
        <v>-25000</v>
      </c>
    </row>
    <row r="19994">
      <c r="A19994" s="3" t="inlineStr">
        <is>
          <t>Quinate Consulting (Pty) Ltd</t>
        </is>
      </c>
      <c r="B19994" s="4" t="n">
        <v>45412</v>
      </c>
      <c r="C19994" s="3" t="inlineStr">
        <is>
          <t>Revenue</t>
        </is>
      </c>
      <c r="D19994" s="3" t="inlineStr">
        <is>
          <t>1000/012</t>
        </is>
      </c>
      <c r="E19994" s="3" t="inlineStr">
        <is>
          <t>Rent Received - Soho Unit 24</t>
        </is>
      </c>
      <c r="F19994" s="3" t="n">
        <v>-15600</v>
      </c>
      <c r="G19994" s="3" t="n">
        <v>-29165.22</v>
      </c>
    </row>
    <row r="19995">
      <c r="A19995" s="3" t="inlineStr">
        <is>
          <t>Quinate Consulting (Pty) Ltd</t>
        </is>
      </c>
      <c r="B19995" s="4" t="n">
        <v>45412</v>
      </c>
      <c r="C19995" s="3" t="inlineStr">
        <is>
          <t>Revenue</t>
        </is>
      </c>
      <c r="D19995" s="3" t="inlineStr">
        <is>
          <t>1000/013</t>
        </is>
      </c>
      <c r="E19995" s="3" t="inlineStr">
        <is>
          <t>Rent Recieved - Soho Unit 20</t>
        </is>
      </c>
      <c r="F19995" s="3" t="n">
        <v>-13750</v>
      </c>
      <c r="G19995" s="3" t="n">
        <v>-27500</v>
      </c>
    </row>
    <row r="19996">
      <c r="A19996" s="3" t="inlineStr">
        <is>
          <t>Quinate Consulting (Pty) Ltd</t>
        </is>
      </c>
      <c r="B19996" s="4" t="n">
        <v>45412</v>
      </c>
      <c r="C19996" s="3" t="inlineStr">
        <is>
          <t>Revenue</t>
        </is>
      </c>
      <c r="D19996" s="3" t="inlineStr">
        <is>
          <t>1000/016</t>
        </is>
      </c>
      <c r="E19996" s="3" t="inlineStr">
        <is>
          <t>Rent Recieved - Southwark Unit 21</t>
        </is>
      </c>
      <c r="F19996" s="3" t="n">
        <v>-11000</v>
      </c>
      <c r="G19996" s="3" t="n">
        <v>-22000</v>
      </c>
    </row>
    <row r="19997">
      <c r="A19997" s="3" t="inlineStr">
        <is>
          <t>Quinate Consulting (Pty) Ltd</t>
        </is>
      </c>
      <c r="B19997" s="4" t="n">
        <v>45412</v>
      </c>
      <c r="C19997" s="3" t="inlineStr">
        <is>
          <t>Revenue</t>
        </is>
      </c>
      <c r="D19997" s="3" t="inlineStr">
        <is>
          <t>1000/060</t>
        </is>
      </c>
      <c r="E19997" s="3" t="inlineStr">
        <is>
          <t>Fees - Electricity _AND_ Water</t>
        </is>
      </c>
      <c r="F19997" s="3" t="n">
        <v>-419.94</v>
      </c>
      <c r="G19997" s="3" t="n">
        <v>-428.94</v>
      </c>
    </row>
    <row r="19998">
      <c r="A19998" s="3" t="inlineStr">
        <is>
          <t>Opportunity Global Property (PTY) LTD</t>
        </is>
      </c>
      <c r="B19998" s="4" t="n">
        <v>45412</v>
      </c>
      <c r="C19998" s="3" t="inlineStr">
        <is>
          <t>Revenue</t>
        </is>
      </c>
      <c r="D19998" s="3" t="inlineStr">
        <is>
          <t>1000/100</t>
        </is>
      </c>
      <c r="E19998" s="3" t="inlineStr">
        <is>
          <t>Sales - Comm on External Sales</t>
        </is>
      </c>
      <c r="F19998" s="3" t="n">
        <v>-3913.04</v>
      </c>
      <c r="G19998" s="3" t="n">
        <v>-3913.04</v>
      </c>
    </row>
    <row r="19999">
      <c r="A19999" s="3" t="inlineStr">
        <is>
          <t>Noble Shield (Pty) Ltd ta Go Letting</t>
        </is>
      </c>
      <c r="B19999" s="4" t="n">
        <v>45412</v>
      </c>
      <c r="C19999" s="3" t="inlineStr">
        <is>
          <t>Revenue</t>
        </is>
      </c>
      <c r="D19999" s="3" t="inlineStr">
        <is>
          <t>1000/100</t>
        </is>
      </c>
      <c r="E19999" s="3" t="inlineStr">
        <is>
          <t>Sales - Payprop 328 - Michelle</t>
        </is>
      </c>
      <c r="F19999" s="3" t="n">
        <v>-85571.78999999999</v>
      </c>
      <c r="G19999" s="3" t="n">
        <v>-785412.6800000001</v>
      </c>
    </row>
    <row r="20000">
      <c r="A20000" s="3" t="inlineStr">
        <is>
          <t>Opportunity Global Property (PTY) LTD</t>
        </is>
      </c>
      <c r="B20000" s="4" t="n">
        <v>45412</v>
      </c>
      <c r="C20000" s="3" t="inlineStr">
        <is>
          <t>Revenue</t>
        </is>
      </c>
      <c r="D20000" s="3" t="inlineStr">
        <is>
          <t>1000/120</t>
        </is>
      </c>
      <c r="E20000" s="3" t="inlineStr">
        <is>
          <t>Sales - Admin Fees on Rental Units</t>
        </is>
      </c>
      <c r="F20000" s="3" t="n">
        <v>-11869.6</v>
      </c>
      <c r="G20000" s="3" t="n">
        <v>-26565.29</v>
      </c>
    </row>
    <row r="20001">
      <c r="A20001" s="3" t="inlineStr">
        <is>
          <t>Opportunity Global Property (PTY) LTD</t>
        </is>
      </c>
      <c r="B20001" s="4" t="n">
        <v>45412</v>
      </c>
      <c r="C20001" s="3" t="inlineStr">
        <is>
          <t>Expenses</t>
        </is>
      </c>
      <c r="D20001" s="3" t="inlineStr">
        <is>
          <t>1000/139</t>
        </is>
      </c>
      <c r="E20001" s="3" t="inlineStr">
        <is>
          <t>Sales - Rental comm - External</t>
        </is>
      </c>
      <c r="F20001" s="3" t="n">
        <v>0</v>
      </c>
      <c r="G20001" s="3" t="n">
        <v>5000</v>
      </c>
    </row>
    <row r="20002">
      <c r="A20002" s="3" t="inlineStr">
        <is>
          <t>Opportunity Global Property (PTY) LTD</t>
        </is>
      </c>
      <c r="B20002" s="4" t="n">
        <v>45412</v>
      </c>
      <c r="C20002" s="3" t="inlineStr">
        <is>
          <t>Revenue</t>
        </is>
      </c>
      <c r="D20002" s="3" t="inlineStr">
        <is>
          <t>1000/150</t>
        </is>
      </c>
      <c r="E20002" s="3" t="inlineStr">
        <is>
          <t>Sales - Comm on External Rental</t>
        </is>
      </c>
      <c r="F20002" s="3" t="n">
        <v>-39130.41</v>
      </c>
      <c r="G20002" s="3" t="n">
        <v>-125217.37</v>
      </c>
    </row>
    <row r="20003">
      <c r="A20003" s="3" t="inlineStr">
        <is>
          <t>Opportunity Global Property (PTY) LTD</t>
        </is>
      </c>
      <c r="B20003" s="4" t="n">
        <v>45412</v>
      </c>
      <c r="C20003" s="3" t="inlineStr">
        <is>
          <t>Revenue</t>
        </is>
      </c>
      <c r="D20003" s="3" t="inlineStr">
        <is>
          <t>1000/300</t>
        </is>
      </c>
      <c r="E20003" s="3" t="inlineStr">
        <is>
          <t>Sales - Comm on Heron Fields</t>
        </is>
      </c>
      <c r="F20003" s="3" t="n">
        <v>-65213.04</v>
      </c>
      <c r="G20003" s="3" t="n">
        <v>-65213.04</v>
      </c>
    </row>
    <row r="20004">
      <c r="A20004" s="3" t="inlineStr">
        <is>
          <t>Trademark Holdings (Pty) Ltd</t>
        </is>
      </c>
      <c r="B20004" s="4" t="n">
        <v>45412</v>
      </c>
      <c r="C20004" s="3" t="inlineStr">
        <is>
          <t>Revenue</t>
        </is>
      </c>
      <c r="D20004" s="3" t="inlineStr">
        <is>
          <t>1000/300</t>
        </is>
      </c>
      <c r="E20004" s="3" t="inlineStr">
        <is>
          <t>Sales - Payprop - Lara</t>
        </is>
      </c>
      <c r="F20004" s="3" t="n">
        <v>-79158.97</v>
      </c>
      <c r="G20004" s="3" t="n">
        <v>-844078.6899999999</v>
      </c>
    </row>
    <row r="20005">
      <c r="A20005" s="3" t="inlineStr">
        <is>
          <t>Opportunity Private Capital (PTY) LTD</t>
        </is>
      </c>
      <c r="B20005" s="4" t="n">
        <v>45412</v>
      </c>
      <c r="C20005" s="3" t="inlineStr">
        <is>
          <t>Revenue</t>
        </is>
      </c>
      <c r="D20005" s="3" t="inlineStr">
        <is>
          <t>1000/370</t>
        </is>
      </c>
      <c r="E20005" s="3" t="inlineStr">
        <is>
          <t>Sales - Investor Management - Purple Blok</t>
        </is>
      </c>
      <c r="F20005" s="3" t="n">
        <v>-547391.61</v>
      </c>
      <c r="G20005" s="3" t="n">
        <v>-863897.5</v>
      </c>
    </row>
    <row r="20006">
      <c r="A20006" s="3" t="inlineStr">
        <is>
          <t>Opportunity Global Property (PTY) LTD</t>
        </is>
      </c>
      <c r="B20006" s="4" t="n">
        <v>45412</v>
      </c>
      <c r="C20006" s="3" t="inlineStr">
        <is>
          <t>Revenue</t>
        </is>
      </c>
      <c r="D20006" s="3" t="inlineStr">
        <is>
          <t>1000/400</t>
        </is>
      </c>
      <c r="E20006" s="3" t="inlineStr">
        <is>
          <t>Sales - Commission on Heron View</t>
        </is>
      </c>
      <c r="F20006" s="3" t="n">
        <v>-65647.83</v>
      </c>
      <c r="G20006" s="3" t="n">
        <v>-205639.14</v>
      </c>
    </row>
    <row r="20007">
      <c r="A20007" s="3" t="inlineStr">
        <is>
          <t>Noble Shield (Pty) Ltd ta Go Letting</t>
        </is>
      </c>
      <c r="B20007" s="4" t="n">
        <v>45412</v>
      </c>
      <c r="C20007" s="3" t="inlineStr">
        <is>
          <t>Revenue</t>
        </is>
      </c>
      <c r="D20007" s="3" t="inlineStr">
        <is>
          <t>1000/420</t>
        </is>
      </c>
      <c r="E20007" s="3" t="inlineStr">
        <is>
          <t>Sales - Commission Received - External</t>
        </is>
      </c>
      <c r="F20007" s="3" t="n">
        <v>-40000</v>
      </c>
      <c r="G20007" s="3" t="n">
        <v>-214000</v>
      </c>
    </row>
    <row r="20008">
      <c r="A20008" s="3" t="inlineStr">
        <is>
          <t>Opportunity Private Capital (PTY) LTD</t>
        </is>
      </c>
      <c r="B20008" s="4" t="n">
        <v>45412</v>
      </c>
      <c r="C20008" s="3" t="inlineStr">
        <is>
          <t>Revenue</t>
        </is>
      </c>
      <c r="D20008" s="3" t="inlineStr">
        <is>
          <t>1000/500</t>
        </is>
      </c>
      <c r="E20008" s="3" t="inlineStr">
        <is>
          <t>OMIGI - D203 Commission</t>
        </is>
      </c>
      <c r="F20008" s="3" t="n">
        <v>-1019.37</v>
      </c>
      <c r="G20008" s="3" t="n">
        <v>-1019.37</v>
      </c>
    </row>
    <row r="20009">
      <c r="A20009" s="3" t="inlineStr">
        <is>
          <t>Trademark Holdings (Pty) Ltd</t>
        </is>
      </c>
      <c r="B20009" s="4" t="n">
        <v>45412</v>
      </c>
      <c r="C20009" s="3" t="inlineStr">
        <is>
          <t>Revenue</t>
        </is>
      </c>
      <c r="D20009" s="3" t="inlineStr">
        <is>
          <t>1000/500</t>
        </is>
      </c>
      <c r="E20009" s="3" t="inlineStr">
        <is>
          <t>Sales - Commission external sale</t>
        </is>
      </c>
      <c r="F20009" s="3" t="n">
        <v>0</v>
      </c>
      <c r="G20009" s="3" t="n">
        <v>-50000</v>
      </c>
    </row>
    <row r="20010">
      <c r="A20010" s="3" t="inlineStr">
        <is>
          <t>Quinate Consulting (Pty) Ltd</t>
        </is>
      </c>
      <c r="B20010" s="4" t="n">
        <v>45412</v>
      </c>
      <c r="C20010" s="3" t="inlineStr">
        <is>
          <t>Revenue</t>
        </is>
      </c>
      <c r="D20010" s="3" t="inlineStr">
        <is>
          <t>1004/000</t>
        </is>
      </c>
      <c r="E20010" s="3" t="inlineStr">
        <is>
          <t>Interest received</t>
        </is>
      </c>
      <c r="F20010" s="3" t="n">
        <v>0</v>
      </c>
      <c r="G20010" s="3" t="n">
        <v>-2725.3</v>
      </c>
    </row>
    <row r="20011">
      <c r="A20011" s="3" t="inlineStr">
        <is>
          <t>Quinate Consulting (Pty) Ltd</t>
        </is>
      </c>
      <c r="B20011" s="4" t="n">
        <v>45412</v>
      </c>
      <c r="C20011" s="3" t="inlineStr">
        <is>
          <t>Revenue</t>
        </is>
      </c>
      <c r="D20011" s="3" t="inlineStr">
        <is>
          <t>1006/100</t>
        </is>
      </c>
      <c r="E20011" s="3" t="inlineStr">
        <is>
          <t>Rental income - Payprop</t>
        </is>
      </c>
      <c r="F20011" s="3" t="n">
        <v>-89000</v>
      </c>
      <c r="G20011" s="3" t="n">
        <v>-148500</v>
      </c>
    </row>
    <row r="20012">
      <c r="A20012" s="3" t="inlineStr">
        <is>
          <t>Quinate Consulting (Pty) Ltd</t>
        </is>
      </c>
      <c r="B20012" s="4" t="n">
        <v>45412</v>
      </c>
      <c r="C20012" s="3" t="inlineStr">
        <is>
          <t>Revenue</t>
        </is>
      </c>
      <c r="D20012" s="3" t="inlineStr">
        <is>
          <t>1007/100</t>
        </is>
      </c>
      <c r="E20012" s="3" t="inlineStr">
        <is>
          <t>Rental Income - Payprop ABSA</t>
        </is>
      </c>
      <c r="F20012" s="3" t="n">
        <v>-8043.48</v>
      </c>
      <c r="G20012" s="3" t="n">
        <v>-8043.48</v>
      </c>
    </row>
    <row r="20013">
      <c r="A20013" s="3" t="inlineStr">
        <is>
          <t>Endulini (Pty) Ltd</t>
        </is>
      </c>
      <c r="B20013" s="4" t="n">
        <v>45412</v>
      </c>
      <c r="C20013" s="3" t="inlineStr">
        <is>
          <t>Revenue</t>
        </is>
      </c>
      <c r="D20013" s="3" t="inlineStr">
        <is>
          <t>1100/000</t>
        </is>
      </c>
      <c r="E20013" s="3" t="inlineStr">
        <is>
          <t>Sales - Endulini</t>
        </is>
      </c>
      <c r="F20013" s="3" t="n">
        <v>0</v>
      </c>
      <c r="G20013" s="3" t="n">
        <v>-1304347.83</v>
      </c>
    </row>
    <row r="20014">
      <c r="A20014" s="3" t="inlineStr">
        <is>
          <t>Opportunity Management Holdings (PTY) LTD</t>
        </is>
      </c>
      <c r="B20014" s="4" t="n">
        <v>45412</v>
      </c>
      <c r="C20014" s="3" t="inlineStr">
        <is>
          <t>Revenue</t>
        </is>
      </c>
      <c r="D20014" s="3" t="inlineStr">
        <is>
          <t>1100/001</t>
        </is>
      </c>
      <c r="E20014" s="3" t="inlineStr">
        <is>
          <t>Salary Recharges</t>
        </is>
      </c>
      <c r="F20014" s="3" t="n">
        <v>-370660.8</v>
      </c>
      <c r="G20014" s="3" t="n">
        <v>-2745961.95</v>
      </c>
    </row>
    <row r="20015">
      <c r="A20015" s="3" t="inlineStr">
        <is>
          <t>Opportunity Global Property (PTY) LTD</t>
        </is>
      </c>
      <c r="B20015" s="4" t="n">
        <v>45412</v>
      </c>
      <c r="C20015" s="3" t="inlineStr">
        <is>
          <t>Expenses</t>
        </is>
      </c>
      <c r="D20015" s="3" t="inlineStr">
        <is>
          <t>2000/010</t>
        </is>
      </c>
      <c r="E20015" s="3" t="inlineStr">
        <is>
          <t>COS - PAYE on Commission</t>
        </is>
      </c>
      <c r="F20015" s="3" t="n">
        <v>0</v>
      </c>
      <c r="G20015" s="3" t="n">
        <v>21634.94</v>
      </c>
    </row>
    <row r="20016">
      <c r="A20016" s="3" t="inlineStr">
        <is>
          <t>Quinate Consulting (Pty) Ltd</t>
        </is>
      </c>
      <c r="B20016" s="4" t="n">
        <v>45412</v>
      </c>
      <c r="C20016" s="3" t="inlineStr">
        <is>
          <t>Expenses</t>
        </is>
      </c>
      <c r="D20016" s="3" t="inlineStr">
        <is>
          <t>2000/080</t>
        </is>
      </c>
      <c r="E20016" s="3" t="inlineStr">
        <is>
          <t>COS - Repairs &amp; Maintenance Endulini units</t>
        </is>
      </c>
      <c r="F20016" s="3" t="n">
        <v>0</v>
      </c>
      <c r="G20016" s="3" t="n">
        <v>2969.06</v>
      </c>
    </row>
    <row r="20017">
      <c r="A20017" s="3" t="inlineStr">
        <is>
          <t>Noble Shield (Pty) Ltd ta Go Letting</t>
        </is>
      </c>
      <c r="B20017" s="4" t="n">
        <v>45412</v>
      </c>
      <c r="C20017" s="3" t="inlineStr">
        <is>
          <t>Expenses</t>
        </is>
      </c>
      <c r="D20017" s="3" t="inlineStr">
        <is>
          <t>2000/100</t>
        </is>
      </c>
      <c r="E20017" s="3" t="inlineStr">
        <is>
          <t>COS - Commission Paid</t>
        </is>
      </c>
      <c r="F20017" s="3" t="n">
        <v>15777.92</v>
      </c>
      <c r="G20017" s="3" t="n">
        <v>125232.89</v>
      </c>
    </row>
    <row r="20018">
      <c r="A20018" s="3" t="inlineStr">
        <is>
          <t>Opportunity Global Property (PTY) LTD</t>
        </is>
      </c>
      <c r="B20018" s="4" t="n">
        <v>45412</v>
      </c>
      <c r="C20018" s="3" t="inlineStr">
        <is>
          <t>Expenses</t>
        </is>
      </c>
      <c r="D20018" s="3" t="inlineStr">
        <is>
          <t>2000/135</t>
        </is>
      </c>
      <c r="E20018" s="3" t="inlineStr">
        <is>
          <t>COS - Sales Comm External - Minette</t>
        </is>
      </c>
      <c r="F20018" s="3" t="n">
        <v>0</v>
      </c>
      <c r="G20018" s="3" t="n">
        <v>7500</v>
      </c>
    </row>
    <row r="20019">
      <c r="A20019" s="3" t="inlineStr">
        <is>
          <t>Opportunity Private Capital (PTY) LTD</t>
        </is>
      </c>
      <c r="B20019" s="4" t="n">
        <v>45412</v>
      </c>
      <c r="C20019" s="3" t="inlineStr">
        <is>
          <t>Expenses</t>
        </is>
      </c>
      <c r="D20019" s="3" t="inlineStr">
        <is>
          <t>2000/135</t>
        </is>
      </c>
      <c r="E20019" s="3" t="inlineStr">
        <is>
          <t>Referral commission - Heron View</t>
        </is>
      </c>
      <c r="F20019" s="3" t="n">
        <v>175000</v>
      </c>
      <c r="G20019" s="3" t="n">
        <v>175000</v>
      </c>
    </row>
    <row r="20020">
      <c r="A20020" s="3" t="inlineStr">
        <is>
          <t>Opportunity Global Property (PTY) LTD</t>
        </is>
      </c>
      <c r="B20020" s="4" t="n">
        <v>45412</v>
      </c>
      <c r="C20020" s="3" t="inlineStr">
        <is>
          <t>Expenses</t>
        </is>
      </c>
      <c r="D20020" s="3" t="inlineStr">
        <is>
          <t>2000/137</t>
        </is>
      </c>
      <c r="E20020" s="3" t="inlineStr">
        <is>
          <t>COS - Rental Comm External - Minette</t>
        </is>
      </c>
      <c r="F20020" s="3" t="n">
        <v>0</v>
      </c>
      <c r="G20020" s="3" t="n">
        <v>29829.22</v>
      </c>
    </row>
    <row r="20021">
      <c r="A20021" s="3" t="inlineStr">
        <is>
          <t>Opportunity Private Capital (PTY) LTD</t>
        </is>
      </c>
      <c r="B20021" s="4" t="n">
        <v>45412</v>
      </c>
      <c r="C20021" s="3" t="inlineStr">
        <is>
          <t>Expenses</t>
        </is>
      </c>
      <c r="D20021" s="3" t="inlineStr">
        <is>
          <t>2000/146</t>
        </is>
      </c>
      <c r="E20021" s="3" t="inlineStr">
        <is>
          <t>Referral Commission - Goodwood</t>
        </is>
      </c>
      <c r="F20021" s="3" t="n">
        <v>52520</v>
      </c>
      <c r="G20021" s="3" t="n">
        <v>52520</v>
      </c>
    </row>
    <row r="20022">
      <c r="A20022" s="3" t="inlineStr">
        <is>
          <t>Endulini (Pty) Ltd</t>
        </is>
      </c>
      <c r="B20022" s="4" t="n">
        <v>45412</v>
      </c>
      <c r="C20022" s="3" t="inlineStr">
        <is>
          <t>Expenses</t>
        </is>
      </c>
      <c r="D20022" s="3" t="inlineStr">
        <is>
          <t>2000/150</t>
        </is>
      </c>
      <c r="E20022" s="3" t="inlineStr">
        <is>
          <t>COS - Levies special agreement</t>
        </is>
      </c>
      <c r="F20022" s="3" t="n">
        <v>0</v>
      </c>
      <c r="G20022" s="3" t="n">
        <v>2267.05</v>
      </c>
    </row>
    <row r="20023">
      <c r="A20023" s="3" t="inlineStr">
        <is>
          <t>Opportunity Global Property (PTY) LTD</t>
        </is>
      </c>
      <c r="B20023" s="4" t="n">
        <v>45412</v>
      </c>
      <c r="C20023" s="3" t="inlineStr">
        <is>
          <t>Expenses</t>
        </is>
      </c>
      <c r="D20023" s="3" t="inlineStr">
        <is>
          <t>2000/160</t>
        </is>
      </c>
      <c r="E20023" s="3" t="inlineStr">
        <is>
          <t>COS - Sales Comm Heron View - Minette</t>
        </is>
      </c>
      <c r="F20023" s="3" t="n">
        <v>0</v>
      </c>
      <c r="G20023" s="3" t="n">
        <v>11086.3</v>
      </c>
    </row>
    <row r="20024">
      <c r="A20024" s="3" t="inlineStr">
        <is>
          <t>Opportunity Global Property (PTY) LTD</t>
        </is>
      </c>
      <c r="B20024" s="4" t="n">
        <v>45412</v>
      </c>
      <c r="C20024" s="3" t="inlineStr">
        <is>
          <t>Expenses</t>
        </is>
      </c>
      <c r="D20024" s="3" t="inlineStr">
        <is>
          <t>2000/162</t>
        </is>
      </c>
      <c r="E20024" s="3" t="inlineStr">
        <is>
          <t>COS - Sales Comm Heron View - Yvette</t>
        </is>
      </c>
      <c r="F20024" s="3" t="n">
        <v>0</v>
      </c>
      <c r="G20024" s="3" t="n">
        <v>11021.09</v>
      </c>
    </row>
    <row r="20025">
      <c r="A20025" s="3" t="inlineStr">
        <is>
          <t>Opportunity Global Property (PTY) LTD</t>
        </is>
      </c>
      <c r="B20025" s="4" t="n">
        <v>45412</v>
      </c>
      <c r="C20025" s="3" t="inlineStr">
        <is>
          <t>Expenses</t>
        </is>
      </c>
      <c r="D20025" s="3" t="inlineStr">
        <is>
          <t>2000/166</t>
        </is>
      </c>
      <c r="E20025" s="3" t="inlineStr">
        <is>
          <t>COS - Sales Comm Heron View - Morne</t>
        </is>
      </c>
      <c r="F20025" s="3" t="n">
        <v>0</v>
      </c>
      <c r="G20025" s="3" t="n">
        <v>40606.09</v>
      </c>
    </row>
    <row r="20026">
      <c r="A20026" s="3" t="inlineStr">
        <is>
          <t>Noble Shield (Pty) Ltd ta Go Letting</t>
        </is>
      </c>
      <c r="B20026" s="4" t="n">
        <v>45412</v>
      </c>
      <c r="C20026" s="3" t="inlineStr">
        <is>
          <t>Expenses</t>
        </is>
      </c>
      <c r="D20026" s="3" t="inlineStr">
        <is>
          <t>2000/200</t>
        </is>
      </c>
      <c r="E20026" s="3" t="inlineStr">
        <is>
          <t>COS - Commission on external sales</t>
        </is>
      </c>
      <c r="F20026" s="3" t="n">
        <v>24000</v>
      </c>
      <c r="G20026" s="3" t="n">
        <v>163400</v>
      </c>
    </row>
    <row r="20027">
      <c r="A20027" s="3" t="inlineStr">
        <is>
          <t>Endulini (Pty) Ltd</t>
        </is>
      </c>
      <c r="B20027" s="4" t="n">
        <v>45412</v>
      </c>
      <c r="C20027" s="3" t="inlineStr">
        <is>
          <t>Expenses</t>
        </is>
      </c>
      <c r="D20027" s="3" t="inlineStr">
        <is>
          <t>2000/200</t>
        </is>
      </c>
      <c r="E20027" s="3" t="inlineStr">
        <is>
          <t>COS - Rates clearance</t>
        </is>
      </c>
      <c r="F20027" s="3" t="n">
        <v>13794.58</v>
      </c>
      <c r="G20027" s="3" t="n">
        <v>13794.58</v>
      </c>
    </row>
    <row r="20028">
      <c r="A20028" s="3" t="inlineStr">
        <is>
          <t>Opportunity Global Property (PTY) LTD</t>
        </is>
      </c>
      <c r="B20028" s="4" t="n">
        <v>45412</v>
      </c>
      <c r="C20028" s="3" t="inlineStr">
        <is>
          <t>Expenses</t>
        </is>
      </c>
      <c r="D20028" s="3" t="inlineStr">
        <is>
          <t>2000/270</t>
        </is>
      </c>
      <c r="E20028" s="3" t="inlineStr">
        <is>
          <t>COS - Comm Rentals - Mario - External</t>
        </is>
      </c>
      <c r="F20028" s="3" t="n">
        <v>1102.61</v>
      </c>
      <c r="G20028" s="3" t="n">
        <v>2205.22</v>
      </c>
    </row>
    <row r="20029">
      <c r="A20029" s="3" t="inlineStr">
        <is>
          <t>Opportunity Global Property (PTY) LTD</t>
        </is>
      </c>
      <c r="B20029" s="4" t="n">
        <v>45412</v>
      </c>
      <c r="C20029" s="3" t="inlineStr">
        <is>
          <t>Expenses</t>
        </is>
      </c>
      <c r="D20029" s="3" t="inlineStr">
        <is>
          <t>2000/275</t>
        </is>
      </c>
      <c r="E20029" s="3" t="inlineStr">
        <is>
          <t>COS - Comm Rentals - Mario - Endulini</t>
        </is>
      </c>
      <c r="F20029" s="3" t="n">
        <v>2386.26</v>
      </c>
      <c r="G20029" s="3" t="n">
        <v>4772.52</v>
      </c>
    </row>
    <row r="20030">
      <c r="A20030" s="3" t="inlineStr">
        <is>
          <t>Opportunity Global Property (PTY) LTD</t>
        </is>
      </c>
      <c r="B20030" s="4" t="n">
        <v>45412</v>
      </c>
      <c r="C20030" s="3" t="inlineStr">
        <is>
          <t>Expenses</t>
        </is>
      </c>
      <c r="D20030" s="3" t="inlineStr">
        <is>
          <t>2000/280</t>
        </is>
      </c>
      <c r="E20030" s="3" t="inlineStr">
        <is>
          <t>COS - Comm Rentals - Mario - Heron Fields</t>
        </is>
      </c>
      <c r="F20030" s="3" t="n">
        <v>4578.6</v>
      </c>
      <c r="G20030" s="3" t="n">
        <v>12317.72</v>
      </c>
    </row>
    <row r="20031">
      <c r="A20031" s="3" t="inlineStr">
        <is>
          <t>Trademark Holdings (Pty) Ltd</t>
        </is>
      </c>
      <c r="B20031" s="4" t="n">
        <v>45412</v>
      </c>
      <c r="C20031" s="3" t="inlineStr">
        <is>
          <t>Expenses</t>
        </is>
      </c>
      <c r="D20031" s="3" t="inlineStr">
        <is>
          <t>2000/300</t>
        </is>
      </c>
      <c r="E20031" s="3" t="inlineStr">
        <is>
          <t>COS - Commission Paid</t>
        </is>
      </c>
      <c r="F20031" s="3" t="n">
        <v>14592.76</v>
      </c>
      <c r="G20031" s="3" t="n">
        <v>130721</v>
      </c>
    </row>
    <row r="20032">
      <c r="A20032" s="3" t="inlineStr">
        <is>
          <t>Opportunity Global Property (PTY) LTD</t>
        </is>
      </c>
      <c r="B20032" s="4" t="n">
        <v>45412</v>
      </c>
      <c r="C20032" s="3" t="inlineStr">
        <is>
          <t>Expenses</t>
        </is>
      </c>
      <c r="D20032" s="3" t="inlineStr">
        <is>
          <t>2000/364</t>
        </is>
      </c>
      <c r="E20032" s="3" t="inlineStr">
        <is>
          <t>COS - Overrider Comm Heron View - Leonie</t>
        </is>
      </c>
      <c r="F20032" s="3" t="n">
        <v>0</v>
      </c>
      <c r="G20032" s="3" t="n">
        <v>1969.47</v>
      </c>
    </row>
    <row r="20033">
      <c r="A20033" s="3" t="inlineStr">
        <is>
          <t>Trademark Holdings (Pty) Ltd</t>
        </is>
      </c>
      <c r="B20033" s="4" t="n">
        <v>45412</v>
      </c>
      <c r="C20033" s="3" t="inlineStr">
        <is>
          <t>Expenses</t>
        </is>
      </c>
      <c r="D20033" s="3" t="inlineStr">
        <is>
          <t>2000/400</t>
        </is>
      </c>
      <c r="E20033" s="3" t="inlineStr">
        <is>
          <t>COS - Commission on external sales</t>
        </is>
      </c>
      <c r="F20033" s="3" t="n">
        <v>0</v>
      </c>
      <c r="G20033" s="3" t="n">
        <v>115000</v>
      </c>
    </row>
    <row r="20034">
      <c r="A20034" s="3" t="inlineStr">
        <is>
          <t>Endulini (Pty) Ltd</t>
        </is>
      </c>
      <c r="B20034" s="4" t="n">
        <v>45412</v>
      </c>
      <c r="C20034" s="3" t="inlineStr">
        <is>
          <t>Expenses</t>
        </is>
      </c>
      <c r="D20034" s="3" t="inlineStr">
        <is>
          <t>2000/600</t>
        </is>
      </c>
      <c r="E20034" s="3" t="inlineStr">
        <is>
          <t>COS - Legal fees</t>
        </is>
      </c>
      <c r="F20034" s="3" t="n">
        <v>0</v>
      </c>
      <c r="G20034" s="3" t="n">
        <v>19504.25</v>
      </c>
    </row>
    <row r="20035">
      <c r="A20035" s="3" t="inlineStr">
        <is>
          <t>Quinate Consulting (Pty) Ltd</t>
        </is>
      </c>
      <c r="B20035" s="4" t="n">
        <v>45412</v>
      </c>
      <c r="C20035" s="3" t="inlineStr">
        <is>
          <t>Expenses</t>
        </is>
      </c>
      <c r="D20035" s="3" t="inlineStr">
        <is>
          <t>2001/210</t>
        </is>
      </c>
      <c r="E20035" s="3" t="inlineStr">
        <is>
          <t>COS - NHBRC</t>
        </is>
      </c>
      <c r="F20035" s="3" t="n">
        <v>457.67</v>
      </c>
      <c r="G20035" s="3" t="n">
        <v>457.67</v>
      </c>
    </row>
    <row r="20036">
      <c r="A20036" s="3" t="inlineStr">
        <is>
          <t>Opportunity Management Holdings (PTY) LTD</t>
        </is>
      </c>
      <c r="B20036" s="4" t="n">
        <v>45412</v>
      </c>
      <c r="C20036" s="3" t="inlineStr">
        <is>
          <t>Expenses</t>
        </is>
      </c>
      <c r="D20036" s="3" t="inlineStr">
        <is>
          <t>2111/000</t>
        </is>
      </c>
      <c r="E20036" s="3" t="inlineStr">
        <is>
          <t>Heron Projects Accounting Management fee</t>
        </is>
      </c>
      <c r="F20036" s="3" t="n">
        <v>0</v>
      </c>
      <c r="G20036" s="3" t="n">
        <v>434782.61</v>
      </c>
    </row>
    <row r="20037">
      <c r="A20037" s="3" t="inlineStr">
        <is>
          <t>Noble Shield (Pty) Ltd ta Go Letting</t>
        </is>
      </c>
      <c r="B20037" s="4" t="n">
        <v>45412</v>
      </c>
      <c r="C20037" s="3" t="inlineStr">
        <is>
          <t>Revenue</t>
        </is>
      </c>
      <c r="D20037" s="3" t="inlineStr">
        <is>
          <t>2400/011</t>
        </is>
      </c>
      <c r="E20037" s="3" t="inlineStr">
        <is>
          <t>Recovery of Electrity _AND_ Water - Rentals</t>
        </is>
      </c>
      <c r="F20037" s="3" t="n">
        <v>0</v>
      </c>
      <c r="G20037" s="3" t="n">
        <v>-1000</v>
      </c>
    </row>
    <row r="20038">
      <c r="A20038" s="3" t="inlineStr">
        <is>
          <t>Quinate Consulting (Pty) Ltd</t>
        </is>
      </c>
      <c r="B20038" s="4" t="n">
        <v>45412</v>
      </c>
      <c r="C20038" s="3" t="inlineStr">
        <is>
          <t>Revenue</t>
        </is>
      </c>
      <c r="D20038" s="3" t="inlineStr">
        <is>
          <t>2400/200</t>
        </is>
      </c>
      <c r="E20038" s="3" t="inlineStr">
        <is>
          <t>Recovery Acc - Electricity SH</t>
        </is>
      </c>
      <c r="F20038" s="3" t="n">
        <v>-25067.05</v>
      </c>
      <c r="G20038" s="3" t="n">
        <v>-46608.27</v>
      </c>
    </row>
    <row r="20039">
      <c r="A20039" s="3" t="inlineStr">
        <is>
          <t>Quinate Consulting (Pty) Ltd</t>
        </is>
      </c>
      <c r="B20039" s="4" t="n">
        <v>45412</v>
      </c>
      <c r="C20039" s="3" t="inlineStr">
        <is>
          <t>Revenue</t>
        </is>
      </c>
      <c r="D20039" s="3" t="inlineStr">
        <is>
          <t>2400/300</t>
        </is>
      </c>
      <c r="E20039" s="3" t="inlineStr">
        <is>
          <t>Recovery Account - Electricity SW</t>
        </is>
      </c>
      <c r="F20039" s="3" t="n">
        <v>-18386.76</v>
      </c>
      <c r="G20039" s="3" t="n">
        <v>-34602.51</v>
      </c>
    </row>
    <row r="20040">
      <c r="A20040" s="3" t="inlineStr">
        <is>
          <t>Endulini (Pty) Ltd</t>
        </is>
      </c>
      <c r="B20040" s="4" t="n">
        <v>45412</v>
      </c>
      <c r="C20040" s="3" t="inlineStr">
        <is>
          <t>Revenue</t>
        </is>
      </c>
      <c r="D20040" s="3" t="inlineStr">
        <is>
          <t>2750/000</t>
        </is>
      </c>
      <c r="E20040" s="3" t="inlineStr">
        <is>
          <t>Interest Received</t>
        </is>
      </c>
      <c r="F20040" s="3" t="n">
        <v>-65.5</v>
      </c>
      <c r="G20040" s="3" t="n">
        <v>-65.5</v>
      </c>
    </row>
    <row r="20041">
      <c r="A20041" s="3" t="inlineStr">
        <is>
          <t>Opportunity Global Property (PTY) LTD</t>
        </is>
      </c>
      <c r="B20041" s="4" t="n">
        <v>45412</v>
      </c>
      <c r="C20041" s="3" t="inlineStr">
        <is>
          <t>Revenue</t>
        </is>
      </c>
      <c r="D20041" s="3" t="inlineStr">
        <is>
          <t>2750/000</t>
        </is>
      </c>
      <c r="E20041" s="3" t="inlineStr">
        <is>
          <t>Interest Received - Bank</t>
        </is>
      </c>
      <c r="F20041" s="3" t="n">
        <v>0</v>
      </c>
      <c r="G20041" s="3" t="n">
        <v>-0.61</v>
      </c>
    </row>
    <row r="20042">
      <c r="A20042" s="3" t="inlineStr">
        <is>
          <t>Opportunity Private Capital (PTY) LTD</t>
        </is>
      </c>
      <c r="B20042" s="4" t="n">
        <v>45412</v>
      </c>
      <c r="C20042" s="3" t="inlineStr">
        <is>
          <t>Revenue</t>
        </is>
      </c>
      <c r="D20042" s="3" t="inlineStr">
        <is>
          <t>2750/000</t>
        </is>
      </c>
      <c r="E20042" s="3" t="inlineStr">
        <is>
          <t>Interest Received - Bank</t>
        </is>
      </c>
      <c r="F20042" s="3" t="n">
        <v>-8.529999999999999</v>
      </c>
      <c r="G20042" s="3" t="n">
        <v>-8.529999999999999</v>
      </c>
    </row>
    <row r="20043">
      <c r="A20043" s="3" t="inlineStr">
        <is>
          <t>Noble Shield (Pty) Ltd ta Go Letting</t>
        </is>
      </c>
      <c r="B20043" s="4" t="n">
        <v>45412</v>
      </c>
      <c r="C20043" s="3" t="inlineStr">
        <is>
          <t>Revenue</t>
        </is>
      </c>
      <c r="D20043" s="3" t="inlineStr">
        <is>
          <t>2750/100</t>
        </is>
      </c>
      <c r="E20043" s="3" t="inlineStr">
        <is>
          <t>Interest Received - bank</t>
        </is>
      </c>
      <c r="F20043" s="3" t="n">
        <v>0</v>
      </c>
      <c r="G20043" s="3" t="n">
        <v>-2.4</v>
      </c>
    </row>
    <row r="20044">
      <c r="A20044" s="3" t="inlineStr">
        <is>
          <t>Noble Shield (Pty) Ltd ta Go Letting</t>
        </is>
      </c>
      <c r="B20044" s="4" t="n">
        <v>45412</v>
      </c>
      <c r="C20044" s="3" t="inlineStr">
        <is>
          <t>Expenses</t>
        </is>
      </c>
      <c r="D20044" s="3" t="inlineStr">
        <is>
          <t>3000/100</t>
        </is>
      </c>
      <c r="E20044" s="3" t="inlineStr">
        <is>
          <t>Accounting Fees - General</t>
        </is>
      </c>
      <c r="F20044" s="3" t="n">
        <v>4830</v>
      </c>
      <c r="G20044" s="3" t="n">
        <v>4830</v>
      </c>
    </row>
    <row r="20045">
      <c r="A20045" s="3" t="inlineStr">
        <is>
          <t>Opportunity Private Capital (PTY) LTD</t>
        </is>
      </c>
      <c r="B20045" s="4" t="n">
        <v>45412</v>
      </c>
      <c r="C20045" s="3" t="inlineStr">
        <is>
          <t>Expenses</t>
        </is>
      </c>
      <c r="D20045" s="3" t="inlineStr">
        <is>
          <t>3000/100</t>
        </is>
      </c>
      <c r="E20045" s="3" t="inlineStr">
        <is>
          <t>Accounting Fees - Secretarial</t>
        </is>
      </c>
      <c r="F20045" s="3" t="n">
        <v>0</v>
      </c>
      <c r="G20045" s="3" t="n">
        <v>919.5700000000001</v>
      </c>
    </row>
    <row r="20046">
      <c r="A20046" s="3" t="inlineStr">
        <is>
          <t>Noble Shield (Pty) Ltd ta Go Letting</t>
        </is>
      </c>
      <c r="B20046" s="4" t="n">
        <v>45412</v>
      </c>
      <c r="C20046" s="3" t="inlineStr">
        <is>
          <t>Expenses</t>
        </is>
      </c>
      <c r="D20046" s="3" t="inlineStr">
        <is>
          <t>3000/300</t>
        </is>
      </c>
      <c r="E20046" s="3" t="inlineStr">
        <is>
          <t>Accounting Fees - Audit</t>
        </is>
      </c>
      <c r="F20046" s="3" t="n">
        <v>19010.65</v>
      </c>
      <c r="G20046" s="3" t="n">
        <v>19010.65</v>
      </c>
    </row>
    <row r="20047">
      <c r="A20047" s="3" t="inlineStr">
        <is>
          <t>Trademark Holdings (Pty) Ltd</t>
        </is>
      </c>
      <c r="B20047" s="4" t="n">
        <v>45412</v>
      </c>
      <c r="C20047" s="3" t="inlineStr">
        <is>
          <t>Expenses</t>
        </is>
      </c>
      <c r="D20047" s="3" t="inlineStr">
        <is>
          <t>3000/300</t>
        </is>
      </c>
      <c r="E20047" s="3" t="inlineStr">
        <is>
          <t>Accounting Fees - Audit</t>
        </is>
      </c>
      <c r="F20047" s="3" t="n">
        <v>0</v>
      </c>
      <c r="G20047" s="3" t="n">
        <v>22517</v>
      </c>
    </row>
    <row r="20048">
      <c r="A20048" s="3" t="inlineStr">
        <is>
          <t>Trademark Holdings (Pty) Ltd</t>
        </is>
      </c>
      <c r="B20048" s="4" t="n">
        <v>45412</v>
      </c>
      <c r="C20048" s="3" t="inlineStr">
        <is>
          <t>Expenses</t>
        </is>
      </c>
      <c r="D20048" s="3" t="inlineStr">
        <is>
          <t>3000/400</t>
        </is>
      </c>
      <c r="E20048" s="3" t="inlineStr">
        <is>
          <t>Accounting Fees - CiPC</t>
        </is>
      </c>
      <c r="F20048" s="3" t="n">
        <v>0</v>
      </c>
      <c r="G20048" s="3" t="n">
        <v>1322.5</v>
      </c>
    </row>
    <row r="20049">
      <c r="A20049" s="3" t="inlineStr">
        <is>
          <t>Quinate Consulting (Pty) Ltd</t>
        </is>
      </c>
      <c r="B20049" s="4" t="n">
        <v>45412</v>
      </c>
      <c r="C20049" s="3" t="inlineStr">
        <is>
          <t>Expenses</t>
        </is>
      </c>
      <c r="D20049" s="3" t="inlineStr">
        <is>
          <t>3001/000</t>
        </is>
      </c>
      <c r="E20049" s="3" t="inlineStr">
        <is>
          <t>Accounting fees - Other</t>
        </is>
      </c>
      <c r="F20049" s="3" t="n">
        <v>1700</v>
      </c>
      <c r="G20049" s="3" t="n">
        <v>1700</v>
      </c>
    </row>
    <row r="20050">
      <c r="A20050" s="3" t="inlineStr">
        <is>
          <t>Opportunity Management Holdings (PTY) LTD</t>
        </is>
      </c>
      <c r="B20050" s="4" t="n">
        <v>45412</v>
      </c>
      <c r="C20050" s="3" t="inlineStr">
        <is>
          <t>Expenses</t>
        </is>
      </c>
      <c r="D20050" s="3" t="inlineStr">
        <is>
          <t>3003/000</t>
        </is>
      </c>
      <c r="E20050" s="3" t="inlineStr">
        <is>
          <t>Accounting Fee - Tax Dept</t>
        </is>
      </c>
      <c r="F20050" s="3" t="n">
        <v>750</v>
      </c>
      <c r="G20050" s="3" t="n">
        <v>750</v>
      </c>
    </row>
    <row r="20051">
      <c r="A20051" s="3" t="inlineStr">
        <is>
          <t>Opportunity Management Holdings (PTY) LTD</t>
        </is>
      </c>
      <c r="B20051" s="4" t="n">
        <v>45412</v>
      </c>
      <c r="C20051" s="3" t="inlineStr">
        <is>
          <t>Expenses</t>
        </is>
      </c>
      <c r="D20051" s="3" t="inlineStr">
        <is>
          <t>3005/000</t>
        </is>
      </c>
      <c r="E20051" s="3" t="inlineStr">
        <is>
          <t>Accounting fees - Deric Dudley</t>
        </is>
      </c>
      <c r="F20051" s="3" t="n">
        <v>0</v>
      </c>
      <c r="G20051" s="3" t="n">
        <v>289427.94</v>
      </c>
    </row>
    <row r="20052">
      <c r="A20052" s="3" t="inlineStr">
        <is>
          <t>Opportunity Management Holdings (PTY) LTD</t>
        </is>
      </c>
      <c r="B20052" s="4" t="n">
        <v>45412</v>
      </c>
      <c r="C20052" s="3" t="inlineStr">
        <is>
          <t>Expenses</t>
        </is>
      </c>
      <c r="D20052" s="3" t="inlineStr">
        <is>
          <t>3006/000</t>
        </is>
      </c>
      <c r="E20052" s="3" t="inlineStr">
        <is>
          <t>Accounting fees - CIPC</t>
        </is>
      </c>
      <c r="F20052" s="3" t="n">
        <v>0</v>
      </c>
      <c r="G20052" s="3" t="n">
        <v>500</v>
      </c>
    </row>
    <row r="20053">
      <c r="A20053" s="3" t="inlineStr">
        <is>
          <t>Noble Shield (Pty) Ltd ta Go Letting</t>
        </is>
      </c>
      <c r="B20053" s="4" t="n">
        <v>45412</v>
      </c>
      <c r="C20053" s="3" t="inlineStr">
        <is>
          <t>Expenses</t>
        </is>
      </c>
      <c r="D20053" s="3" t="inlineStr">
        <is>
          <t>3050/000</t>
        </is>
      </c>
      <c r="E20053" s="3" t="inlineStr">
        <is>
          <t>Advertising _AND_ Promotions</t>
        </is>
      </c>
      <c r="F20053" s="3" t="n">
        <v>0</v>
      </c>
      <c r="G20053" s="3" t="n">
        <v>1322.5</v>
      </c>
    </row>
    <row r="20054">
      <c r="A20054" s="3" t="inlineStr">
        <is>
          <t>Opportunity Management Holdings (PTY) LTD</t>
        </is>
      </c>
      <c r="B20054" s="4" t="n">
        <v>45412</v>
      </c>
      <c r="C20054" s="3" t="inlineStr">
        <is>
          <t>Expenses</t>
        </is>
      </c>
      <c r="D20054" s="3" t="inlineStr">
        <is>
          <t>3050/000</t>
        </is>
      </c>
      <c r="E20054" s="3" t="inlineStr">
        <is>
          <t>Advertising _AND_ Promotions</t>
        </is>
      </c>
      <c r="F20054" s="3" t="n">
        <v>0</v>
      </c>
      <c r="G20054" s="3" t="n">
        <v>4061.41</v>
      </c>
    </row>
    <row r="20055">
      <c r="A20055" s="3" t="inlineStr">
        <is>
          <t>Quinate Consulting (Pty) Ltd</t>
        </is>
      </c>
      <c r="B20055" s="4" t="n">
        <v>45412</v>
      </c>
      <c r="C20055" s="3" t="inlineStr">
        <is>
          <t>Expenses</t>
        </is>
      </c>
      <c r="D20055" s="3" t="inlineStr">
        <is>
          <t>3050/000</t>
        </is>
      </c>
      <c r="E20055" s="3" t="inlineStr">
        <is>
          <t>Advertising _AND_ Promotions</t>
        </is>
      </c>
      <c r="F20055" s="3" t="n">
        <v>2875</v>
      </c>
      <c r="G20055" s="3" t="n">
        <v>2875</v>
      </c>
    </row>
    <row r="20056">
      <c r="A20056" s="3" t="inlineStr">
        <is>
          <t>Opportunity Global Property (PTY) LTD</t>
        </is>
      </c>
      <c r="B20056" s="4" t="n">
        <v>45412</v>
      </c>
      <c r="C20056" s="3" t="inlineStr">
        <is>
          <t>Expenses</t>
        </is>
      </c>
      <c r="D20056" s="3" t="inlineStr">
        <is>
          <t>3050/000</t>
        </is>
      </c>
      <c r="E20056" s="3" t="inlineStr">
        <is>
          <t>Advertising and Promotions</t>
        </is>
      </c>
      <c r="F20056" s="3" t="n">
        <v>4852.17</v>
      </c>
      <c r="G20056" s="3" t="n">
        <v>5722.17</v>
      </c>
    </row>
    <row r="20057">
      <c r="A20057" s="3" t="inlineStr">
        <is>
          <t>Opportunity Private Capital (PTY) LTD</t>
        </is>
      </c>
      <c r="B20057" s="4" t="n">
        <v>45412</v>
      </c>
      <c r="C20057" s="3" t="inlineStr">
        <is>
          <t>Expenses</t>
        </is>
      </c>
      <c r="D20057" s="3" t="inlineStr">
        <is>
          <t>3050/000</t>
        </is>
      </c>
      <c r="E20057" s="3" t="inlineStr">
        <is>
          <t>Advertising and Promotions</t>
        </is>
      </c>
      <c r="F20057" s="3" t="n">
        <v>4800</v>
      </c>
      <c r="G20057" s="3" t="n">
        <v>4800</v>
      </c>
    </row>
    <row r="20058">
      <c r="A20058" s="3" t="inlineStr">
        <is>
          <t>Noble Shield (Pty) Ltd ta Go Letting</t>
        </is>
      </c>
      <c r="B20058" s="4" t="n">
        <v>45412</v>
      </c>
      <c r="C20058" s="3" t="inlineStr">
        <is>
          <t>Expenses</t>
        </is>
      </c>
      <c r="D20058" s="3" t="inlineStr">
        <is>
          <t>3050/020</t>
        </is>
      </c>
      <c r="E20058" s="3" t="inlineStr">
        <is>
          <t>Adverting &amp; Marketing - Other</t>
        </is>
      </c>
      <c r="F20058" s="3" t="n">
        <v>0</v>
      </c>
      <c r="G20058" s="3" t="n">
        <v>134.9</v>
      </c>
    </row>
    <row r="20059">
      <c r="A20059" s="3" t="inlineStr">
        <is>
          <t>Noble Shield (Pty) Ltd ta Go Letting</t>
        </is>
      </c>
      <c r="B20059" s="4" t="n">
        <v>45412</v>
      </c>
      <c r="C20059" s="3" t="inlineStr">
        <is>
          <t>Expenses</t>
        </is>
      </c>
      <c r="D20059" s="3" t="inlineStr">
        <is>
          <t>3050/050</t>
        </is>
      </c>
      <c r="E20059" s="3" t="inlineStr">
        <is>
          <t>Advertising - Prop 24</t>
        </is>
      </c>
      <c r="F20059" s="3" t="n">
        <v>8774.5</v>
      </c>
      <c r="G20059" s="3" t="n">
        <v>30949.95</v>
      </c>
    </row>
    <row r="20060">
      <c r="A20060" s="3" t="inlineStr">
        <is>
          <t>Opportunity Global Property (PTY) LTD</t>
        </is>
      </c>
      <c r="B20060" s="4" t="n">
        <v>45412</v>
      </c>
      <c r="C20060" s="3" t="inlineStr">
        <is>
          <t>Expenses</t>
        </is>
      </c>
      <c r="D20060" s="3" t="inlineStr">
        <is>
          <t>3050/100</t>
        </is>
      </c>
      <c r="E20060" s="3" t="inlineStr">
        <is>
          <t>Advertising - Facebook</t>
        </is>
      </c>
      <c r="F20060" s="3" t="n">
        <v>300</v>
      </c>
      <c r="G20060" s="3" t="n">
        <v>300</v>
      </c>
    </row>
    <row r="20061">
      <c r="A20061" s="3" t="inlineStr">
        <is>
          <t>Opportunity Private Capital (PTY) LTD</t>
        </is>
      </c>
      <c r="B20061" s="4" t="n">
        <v>45412</v>
      </c>
      <c r="C20061" s="3" t="inlineStr">
        <is>
          <t>Expenses</t>
        </is>
      </c>
      <c r="D20061" s="3" t="inlineStr">
        <is>
          <t>3050/230</t>
        </is>
      </c>
      <c r="E20061" s="3" t="inlineStr">
        <is>
          <t>Advertising - Link on Advertising</t>
        </is>
      </c>
      <c r="F20061" s="3" t="n">
        <v>395</v>
      </c>
      <c r="G20061" s="3" t="n">
        <v>790</v>
      </c>
    </row>
    <row r="20062">
      <c r="A20062" s="3" t="inlineStr">
        <is>
          <t>Opportunity Global Property (PTY) LTD</t>
        </is>
      </c>
      <c r="B20062" s="4" t="n">
        <v>45412</v>
      </c>
      <c r="C20062" s="3" t="inlineStr">
        <is>
          <t>Expenses</t>
        </is>
      </c>
      <c r="D20062" s="3" t="inlineStr">
        <is>
          <t>3050/250</t>
        </is>
      </c>
      <c r="E20062" s="3" t="inlineStr">
        <is>
          <t>Advertising - General</t>
        </is>
      </c>
      <c r="F20062" s="3" t="n">
        <v>1125</v>
      </c>
      <c r="G20062" s="3" t="n">
        <v>27704.08</v>
      </c>
    </row>
    <row r="20063">
      <c r="A20063" s="3" t="inlineStr">
        <is>
          <t>Opportunity Private Capital (PTY) LTD</t>
        </is>
      </c>
      <c r="B20063" s="4" t="n">
        <v>45412</v>
      </c>
      <c r="C20063" s="3" t="inlineStr">
        <is>
          <t>Expenses</t>
        </is>
      </c>
      <c r="D20063" s="3" t="inlineStr">
        <is>
          <t>3050/250</t>
        </is>
      </c>
      <c r="E20063" s="3" t="inlineStr">
        <is>
          <t>Advertising - General</t>
        </is>
      </c>
      <c r="F20063" s="3" t="n">
        <v>95.64</v>
      </c>
      <c r="G20063" s="3" t="n">
        <v>191.28</v>
      </c>
    </row>
    <row r="20064">
      <c r="A20064" s="3" t="inlineStr">
        <is>
          <t>Opportunity Private Capital (PTY) LTD</t>
        </is>
      </c>
      <c r="B20064" s="4" t="n">
        <v>45412</v>
      </c>
      <c r="C20064" s="3" t="inlineStr">
        <is>
          <t>Expenses</t>
        </is>
      </c>
      <c r="D20064" s="3" t="inlineStr">
        <is>
          <t>3050/290</t>
        </is>
      </c>
      <c r="E20064" s="3" t="inlineStr">
        <is>
          <t>Advertising - Serene Living</t>
        </is>
      </c>
      <c r="F20064" s="3" t="n">
        <v>65086</v>
      </c>
      <c r="G20064" s="3" t="n">
        <v>130172</v>
      </c>
    </row>
    <row r="20065">
      <c r="A20065" s="3" t="inlineStr">
        <is>
          <t>Opportunity Private Capital (PTY) LTD</t>
        </is>
      </c>
      <c r="B20065" s="4" t="n">
        <v>45412</v>
      </c>
      <c r="C20065" s="3" t="inlineStr">
        <is>
          <t>Expenses</t>
        </is>
      </c>
      <c r="D20065" s="3" t="inlineStr">
        <is>
          <t>3050/300</t>
        </is>
      </c>
      <c r="E20065" s="3" t="inlineStr">
        <is>
          <t>Advertising - Design</t>
        </is>
      </c>
      <c r="F20065" s="3" t="n">
        <v>2700</v>
      </c>
      <c r="G20065" s="3" t="n">
        <v>2700</v>
      </c>
    </row>
    <row r="20066">
      <c r="A20066" s="3" t="inlineStr">
        <is>
          <t>Opportunity Global Property (PTY) LTD</t>
        </is>
      </c>
      <c r="B20066" s="4" t="n">
        <v>45412</v>
      </c>
      <c r="C20066" s="3" t="inlineStr">
        <is>
          <t>Expenses</t>
        </is>
      </c>
      <c r="D20066" s="3" t="inlineStr">
        <is>
          <t>3050/380</t>
        </is>
      </c>
      <c r="E20066" s="3" t="inlineStr">
        <is>
          <t>Advertising &amp; Marketing - Syte</t>
        </is>
      </c>
      <c r="F20066" s="3" t="n">
        <v>16250</v>
      </c>
      <c r="G20066" s="3" t="n">
        <v>40000</v>
      </c>
    </row>
    <row r="20067">
      <c r="A20067" s="3" t="inlineStr">
        <is>
          <t>Quinate Consulting (Pty) Ltd</t>
        </is>
      </c>
      <c r="B20067" s="4" t="n">
        <v>45412</v>
      </c>
      <c r="C20067" s="3" t="inlineStr">
        <is>
          <t>Expenses</t>
        </is>
      </c>
      <c r="D20067" s="3" t="inlineStr">
        <is>
          <t>3050/400</t>
        </is>
      </c>
      <c r="E20067" s="3" t="inlineStr">
        <is>
          <t>Advertising - Prop24</t>
        </is>
      </c>
      <c r="F20067" s="3" t="n">
        <v>20401</v>
      </c>
      <c r="G20067" s="3" t="n">
        <v>20911</v>
      </c>
    </row>
    <row r="20068">
      <c r="A20068" s="3" t="inlineStr">
        <is>
          <t>Opportunity Private Capital (PTY) LTD</t>
        </is>
      </c>
      <c r="B20068" s="4" t="n">
        <v>45412</v>
      </c>
      <c r="C20068" s="3" t="inlineStr">
        <is>
          <t>Expenses</t>
        </is>
      </c>
      <c r="D20068" s="3" t="inlineStr">
        <is>
          <t>3051/000</t>
        </is>
      </c>
      <c r="E20068" s="3" t="inlineStr">
        <is>
          <t>Advertising - Facebook</t>
        </is>
      </c>
      <c r="F20068" s="3" t="n">
        <v>25001.76</v>
      </c>
      <c r="G20068" s="3" t="n">
        <v>46406.71</v>
      </c>
    </row>
    <row r="20069">
      <c r="A20069" s="3" t="inlineStr">
        <is>
          <t>Opportunity Private Capital (PTY) LTD</t>
        </is>
      </c>
      <c r="B20069" s="4" t="n">
        <v>45412</v>
      </c>
      <c r="C20069" s="3" t="inlineStr">
        <is>
          <t>Expenses</t>
        </is>
      </c>
      <c r="D20069" s="3" t="inlineStr">
        <is>
          <t>3053/000</t>
        </is>
      </c>
      <c r="E20069" s="3" t="inlineStr">
        <is>
          <t>Advertising - Google Ads</t>
        </is>
      </c>
      <c r="F20069" s="3" t="n">
        <v>3382.18</v>
      </c>
      <c r="G20069" s="3" t="n">
        <v>3382.18</v>
      </c>
    </row>
    <row r="20070">
      <c r="A20070" s="3" t="inlineStr">
        <is>
          <t>Endulini (Pty) Ltd</t>
        </is>
      </c>
      <c r="B20070" s="4" t="n">
        <v>45412</v>
      </c>
      <c r="C20070" s="3" t="inlineStr">
        <is>
          <t>Expenses</t>
        </is>
      </c>
      <c r="D20070" s="3" t="inlineStr">
        <is>
          <t>3200/000</t>
        </is>
      </c>
      <c r="E20070" s="3" t="inlineStr">
        <is>
          <t>Bank Charges</t>
        </is>
      </c>
      <c r="F20070" s="3" t="n">
        <v>246.53</v>
      </c>
      <c r="G20070" s="3" t="n">
        <v>473</v>
      </c>
    </row>
    <row r="20071">
      <c r="A20071" s="3" t="inlineStr">
        <is>
          <t>Noble Shield (Pty) Ltd ta Go Letting</t>
        </is>
      </c>
      <c r="B20071" s="4" t="n">
        <v>45412</v>
      </c>
      <c r="C20071" s="3" t="inlineStr">
        <is>
          <t>Expenses</t>
        </is>
      </c>
      <c r="D20071" s="3" t="inlineStr">
        <is>
          <t>3200/000</t>
        </is>
      </c>
      <c r="E20071" s="3" t="inlineStr">
        <is>
          <t>Bank Charges</t>
        </is>
      </c>
      <c r="F20071" s="3" t="n">
        <v>654.67</v>
      </c>
      <c r="G20071" s="3" t="n">
        <v>4750.49</v>
      </c>
    </row>
    <row r="20072">
      <c r="A20072" s="3" t="inlineStr">
        <is>
          <t>Opportunity Global Property (PTY) LTD</t>
        </is>
      </c>
      <c r="B20072" s="4" t="n">
        <v>45412</v>
      </c>
      <c r="C20072" s="3" t="inlineStr">
        <is>
          <t>Expenses</t>
        </is>
      </c>
      <c r="D20072" s="3" t="inlineStr">
        <is>
          <t>3200/000</t>
        </is>
      </c>
      <c r="E20072" s="3" t="inlineStr">
        <is>
          <t>Bank Charges</t>
        </is>
      </c>
      <c r="F20072" s="3" t="n">
        <v>1091.26</v>
      </c>
      <c r="G20072" s="3" t="n">
        <v>2052.5</v>
      </c>
    </row>
    <row r="20073">
      <c r="A20073" s="3" t="inlineStr">
        <is>
          <t>Opportunity Management Holdings (PTY) LTD</t>
        </is>
      </c>
      <c r="B20073" s="4" t="n">
        <v>45412</v>
      </c>
      <c r="C20073" s="3" t="inlineStr">
        <is>
          <t>Expenses</t>
        </is>
      </c>
      <c r="D20073" s="3" t="inlineStr">
        <is>
          <t>3200/000</t>
        </is>
      </c>
      <c r="E20073" s="3" t="inlineStr">
        <is>
          <t>Bank Charges</t>
        </is>
      </c>
      <c r="F20073" s="3" t="n">
        <v>1153.99</v>
      </c>
      <c r="G20073" s="3" t="n">
        <v>7229.89</v>
      </c>
    </row>
    <row r="20074">
      <c r="A20074" s="3" t="inlineStr">
        <is>
          <t>Opportunity Private Capital (PTY) LTD</t>
        </is>
      </c>
      <c r="B20074" s="4" t="n">
        <v>45412</v>
      </c>
      <c r="C20074" s="3" t="inlineStr">
        <is>
          <t>Expenses</t>
        </is>
      </c>
      <c r="D20074" s="3" t="inlineStr">
        <is>
          <t>3200/000</t>
        </is>
      </c>
      <c r="E20074" s="3" t="inlineStr">
        <is>
          <t>Bank Charges</t>
        </is>
      </c>
      <c r="F20074" s="3" t="n">
        <v>783.04</v>
      </c>
      <c r="G20074" s="3" t="n">
        <v>1213.67</v>
      </c>
    </row>
    <row r="20075">
      <c r="A20075" s="3" t="inlineStr">
        <is>
          <t>Quinate Consulting (Pty) Ltd</t>
        </is>
      </c>
      <c r="B20075" s="4" t="n">
        <v>45412</v>
      </c>
      <c r="C20075" s="3" t="inlineStr">
        <is>
          <t>Expenses</t>
        </is>
      </c>
      <c r="D20075" s="3" t="inlineStr">
        <is>
          <t>3200/000</t>
        </is>
      </c>
      <c r="E20075" s="3" t="inlineStr">
        <is>
          <t>Bank Charges</t>
        </is>
      </c>
      <c r="F20075" s="3" t="n">
        <v>686.47</v>
      </c>
      <c r="G20075" s="3" t="n">
        <v>1177.04</v>
      </c>
    </row>
    <row r="20076">
      <c r="A20076" s="3" t="inlineStr">
        <is>
          <t>Trademark Holdings (Pty) Ltd</t>
        </is>
      </c>
      <c r="B20076" s="4" t="n">
        <v>45412</v>
      </c>
      <c r="C20076" s="3" t="inlineStr">
        <is>
          <t>Expenses</t>
        </is>
      </c>
      <c r="D20076" s="3" t="inlineStr">
        <is>
          <t>3200/000</t>
        </is>
      </c>
      <c r="E20076" s="3" t="inlineStr">
        <is>
          <t>Bank Charges</t>
        </is>
      </c>
      <c r="F20076" s="3" t="n">
        <v>467.02</v>
      </c>
      <c r="G20076" s="3" t="n">
        <v>2764.26</v>
      </c>
    </row>
    <row r="20077">
      <c r="A20077" s="3" t="inlineStr">
        <is>
          <t>Noble Shield (Pty) Ltd ta Go Letting</t>
        </is>
      </c>
      <c r="B20077" s="4" t="n">
        <v>45412</v>
      </c>
      <c r="C20077" s="3" t="inlineStr">
        <is>
          <t>Expenses</t>
        </is>
      </c>
      <c r="D20077" s="3" t="inlineStr">
        <is>
          <t>3230/000</t>
        </is>
      </c>
      <c r="E20077" s="3" t="inlineStr">
        <is>
          <t>Cell Phone - NM</t>
        </is>
      </c>
      <c r="F20077" s="3" t="n">
        <v>2359.84</v>
      </c>
      <c r="G20077" s="3" t="n">
        <v>18362.6</v>
      </c>
    </row>
    <row r="20078">
      <c r="A20078" s="3" t="inlineStr">
        <is>
          <t>Noble Shield (Pty) Ltd ta Go Letting</t>
        </is>
      </c>
      <c r="B20078" s="4" t="n">
        <v>45412</v>
      </c>
      <c r="C20078" s="3" t="inlineStr">
        <is>
          <t>Expenses</t>
        </is>
      </c>
      <c r="D20078" s="3" t="inlineStr">
        <is>
          <t>3233/000</t>
        </is>
      </c>
      <c r="E20078" s="3" t="inlineStr">
        <is>
          <t>Cell Data - Other</t>
        </is>
      </c>
      <c r="F20078" s="3" t="n">
        <v>199</v>
      </c>
      <c r="G20078" s="3" t="n">
        <v>1168.04</v>
      </c>
    </row>
    <row r="20079">
      <c r="A20079" s="3" t="inlineStr">
        <is>
          <t>Noble Shield (Pty) Ltd ta Go Letting</t>
        </is>
      </c>
      <c r="B20079" s="4" t="n">
        <v>45412</v>
      </c>
      <c r="C20079" s="3" t="inlineStr">
        <is>
          <t>Expenses</t>
        </is>
      </c>
      <c r="D20079" s="3" t="inlineStr">
        <is>
          <t>3233/100</t>
        </is>
      </c>
      <c r="E20079" s="3" t="inlineStr">
        <is>
          <t>Cell Data - Sales office Wifi</t>
        </is>
      </c>
      <c r="F20079" s="3" t="n">
        <v>315</v>
      </c>
      <c r="G20079" s="3" t="n">
        <v>3016.91</v>
      </c>
    </row>
    <row r="20080">
      <c r="A20080" s="3" t="inlineStr">
        <is>
          <t>Opportunity Global Property (PTY) LTD</t>
        </is>
      </c>
      <c r="B20080" s="4" t="n">
        <v>45412</v>
      </c>
      <c r="C20080" s="3" t="inlineStr">
        <is>
          <t>Expenses</t>
        </is>
      </c>
      <c r="D20080" s="3" t="inlineStr">
        <is>
          <t>3250/000</t>
        </is>
      </c>
      <c r="E20080" s="3" t="inlineStr">
        <is>
          <t>Cleaning</t>
        </is>
      </c>
      <c r="F20080" s="3" t="n">
        <v>2773.47</v>
      </c>
      <c r="G20080" s="3" t="n">
        <v>6251.63</v>
      </c>
    </row>
    <row r="20081">
      <c r="A20081" s="3" t="inlineStr">
        <is>
          <t>Opportunity Management Holdings (PTY) LTD</t>
        </is>
      </c>
      <c r="B20081" s="4" t="n">
        <v>45412</v>
      </c>
      <c r="C20081" s="3" t="inlineStr">
        <is>
          <t>Expenses</t>
        </is>
      </c>
      <c r="D20081" s="3" t="inlineStr">
        <is>
          <t>3250/000</t>
        </is>
      </c>
      <c r="E20081" s="3" t="inlineStr">
        <is>
          <t>Cleaning</t>
        </is>
      </c>
      <c r="F20081" s="3" t="n">
        <v>2620.93</v>
      </c>
      <c r="G20081" s="3" t="n">
        <v>23261.71</v>
      </c>
    </row>
    <row r="20082">
      <c r="A20082" s="3" t="inlineStr">
        <is>
          <t>Opportunity Private Capital (PTY) LTD</t>
        </is>
      </c>
      <c r="B20082" s="4" t="n">
        <v>45412</v>
      </c>
      <c r="C20082" s="3" t="inlineStr">
        <is>
          <t>Expenses</t>
        </is>
      </c>
      <c r="D20082" s="3" t="inlineStr">
        <is>
          <t>3250/000</t>
        </is>
      </c>
      <c r="E20082" s="3" t="inlineStr">
        <is>
          <t>Cleaning</t>
        </is>
      </c>
      <c r="F20082" s="3" t="n">
        <v>2700</v>
      </c>
      <c r="G20082" s="3" t="n">
        <v>5400</v>
      </c>
    </row>
    <row r="20083">
      <c r="A20083" s="3" t="inlineStr">
        <is>
          <t>Trademark Holdings (Pty) Ltd</t>
        </is>
      </c>
      <c r="B20083" s="4" t="n">
        <v>45412</v>
      </c>
      <c r="C20083" s="3" t="inlineStr">
        <is>
          <t>Expenses</t>
        </is>
      </c>
      <c r="D20083" s="3" t="inlineStr">
        <is>
          <t>3250/000</t>
        </is>
      </c>
      <c r="E20083" s="3" t="inlineStr">
        <is>
          <t>Cleaning</t>
        </is>
      </c>
      <c r="F20083" s="3" t="n">
        <v>1144</v>
      </c>
      <c r="G20083" s="3" t="n">
        <v>8866</v>
      </c>
    </row>
    <row r="20084">
      <c r="A20084" s="3" t="inlineStr">
        <is>
          <t>Opportunity Global Property (PTY) LTD</t>
        </is>
      </c>
      <c r="B20084" s="4" t="n">
        <v>45412</v>
      </c>
      <c r="C20084" s="3" t="inlineStr">
        <is>
          <t>Expenses</t>
        </is>
      </c>
      <c r="D20084" s="3" t="inlineStr">
        <is>
          <t>3300/000</t>
        </is>
      </c>
      <c r="E20084" s="3" t="inlineStr">
        <is>
          <t>Computer Expenses</t>
        </is>
      </c>
      <c r="F20084" s="3" t="n">
        <v>0</v>
      </c>
      <c r="G20084" s="3" t="n">
        <v>782.52</v>
      </c>
    </row>
    <row r="20085">
      <c r="A20085" s="3" t="inlineStr">
        <is>
          <t>Opportunity Management Holdings (PTY) LTD</t>
        </is>
      </c>
      <c r="B20085" s="4" t="n">
        <v>45412</v>
      </c>
      <c r="C20085" s="3" t="inlineStr">
        <is>
          <t>Expenses</t>
        </is>
      </c>
      <c r="D20085" s="3" t="inlineStr">
        <is>
          <t>3300/000</t>
        </is>
      </c>
      <c r="E20085" s="3" t="inlineStr">
        <is>
          <t>Computer Expenses</t>
        </is>
      </c>
      <c r="F20085" s="3" t="n">
        <v>1394.78</v>
      </c>
      <c r="G20085" s="3" t="n">
        <v>2660.86</v>
      </c>
    </row>
    <row r="20086">
      <c r="A20086" s="3" t="inlineStr">
        <is>
          <t>Opportunity Private Capital (PTY) LTD</t>
        </is>
      </c>
      <c r="B20086" s="4" t="n">
        <v>45412</v>
      </c>
      <c r="C20086" s="3" t="inlineStr">
        <is>
          <t>Expenses</t>
        </is>
      </c>
      <c r="D20086" s="3" t="inlineStr">
        <is>
          <t>3300/000</t>
        </is>
      </c>
      <c r="E20086" s="3" t="inlineStr">
        <is>
          <t>Computer Expenses</t>
        </is>
      </c>
      <c r="F20086" s="3" t="n">
        <v>3995</v>
      </c>
      <c r="G20086" s="3" t="n">
        <v>3995</v>
      </c>
    </row>
    <row r="20087">
      <c r="A20087" s="3" t="inlineStr">
        <is>
          <t>Noble Shield (Pty) Ltd ta Go Letting</t>
        </is>
      </c>
      <c r="B20087" s="4" t="n">
        <v>45412</v>
      </c>
      <c r="C20087" s="3" t="inlineStr">
        <is>
          <t>Expenses</t>
        </is>
      </c>
      <c r="D20087" s="3" t="inlineStr">
        <is>
          <t>3300/120</t>
        </is>
      </c>
      <c r="E20087" s="3" t="inlineStr">
        <is>
          <t>Computer IT - Software Propworx</t>
        </is>
      </c>
      <c r="F20087" s="3" t="n">
        <v>2576</v>
      </c>
      <c r="G20087" s="3" t="n">
        <v>20608</v>
      </c>
    </row>
    <row r="20088">
      <c r="A20088" s="3" t="inlineStr">
        <is>
          <t>Noble Shield (Pty) Ltd ta Go Letting</t>
        </is>
      </c>
      <c r="B20088" s="4" t="n">
        <v>45412</v>
      </c>
      <c r="C20088" s="3" t="inlineStr">
        <is>
          <t>Expenses</t>
        </is>
      </c>
      <c r="D20088" s="3" t="inlineStr">
        <is>
          <t>3300/130</t>
        </is>
      </c>
      <c r="E20088" s="3" t="inlineStr">
        <is>
          <t>Computer IT - Internet/Hosting Fees</t>
        </is>
      </c>
      <c r="F20088" s="3" t="n">
        <v>0</v>
      </c>
      <c r="G20088" s="3" t="n">
        <v>1580</v>
      </c>
    </row>
    <row r="20089">
      <c r="A20089" s="3" t="inlineStr">
        <is>
          <t>Noble Shield (Pty) Ltd ta Go Letting</t>
        </is>
      </c>
      <c r="B20089" s="4" t="n">
        <v>45412</v>
      </c>
      <c r="C20089" s="3" t="inlineStr">
        <is>
          <t>Expenses</t>
        </is>
      </c>
      <c r="D20089" s="3" t="inlineStr">
        <is>
          <t>3300/170</t>
        </is>
      </c>
      <c r="E20089" s="3" t="inlineStr">
        <is>
          <t>Computer IT - VDB office Fibre</t>
        </is>
      </c>
      <c r="F20089" s="3" t="n">
        <v>790</v>
      </c>
      <c r="G20089" s="3" t="n">
        <v>5530</v>
      </c>
    </row>
    <row r="20090">
      <c r="A20090" s="3" t="inlineStr">
        <is>
          <t>Trademark Holdings (Pty) Ltd</t>
        </is>
      </c>
      <c r="B20090" s="4" t="n">
        <v>45412</v>
      </c>
      <c r="C20090" s="3" t="inlineStr">
        <is>
          <t>Expenses</t>
        </is>
      </c>
      <c r="D20090" s="3" t="inlineStr">
        <is>
          <t>3350/000</t>
        </is>
      </c>
      <c r="E20090" s="3" t="inlineStr">
        <is>
          <t>Consulting Fees</t>
        </is>
      </c>
      <c r="F20090" s="3" t="n">
        <v>26400</v>
      </c>
      <c r="G20090" s="3" t="n">
        <v>185200</v>
      </c>
    </row>
    <row r="20091">
      <c r="A20091" s="3" t="inlineStr">
        <is>
          <t>Opportunity Management Holdings (PTY) LTD</t>
        </is>
      </c>
      <c r="B20091" s="4" t="n">
        <v>45412</v>
      </c>
      <c r="C20091" s="3" t="inlineStr">
        <is>
          <t>Expenses</t>
        </is>
      </c>
      <c r="D20091" s="3" t="inlineStr">
        <is>
          <t>3350/100</t>
        </is>
      </c>
      <c r="E20091" s="3" t="inlineStr">
        <is>
          <t>Consulting Fee - Dirk Coetzee</t>
        </is>
      </c>
      <c r="F20091" s="3" t="n">
        <v>17000</v>
      </c>
      <c r="G20091" s="3" t="n">
        <v>136000</v>
      </c>
    </row>
    <row r="20092">
      <c r="A20092" s="3" t="inlineStr">
        <is>
          <t>Endulini (Pty) Ltd</t>
        </is>
      </c>
      <c r="B20092" s="4" t="n">
        <v>45412</v>
      </c>
      <c r="C20092" s="3" t="inlineStr">
        <is>
          <t>Expenses</t>
        </is>
      </c>
      <c r="D20092" s="3" t="inlineStr">
        <is>
          <t>3350/100</t>
        </is>
      </c>
      <c r="E20092" s="3" t="inlineStr">
        <is>
          <t>Consulting Fees - Admin and Finance</t>
        </is>
      </c>
      <c r="F20092" s="3" t="n">
        <v>45354</v>
      </c>
      <c r="G20092" s="3" t="n">
        <v>89063</v>
      </c>
    </row>
    <row r="20093">
      <c r="A20093" s="3" t="inlineStr">
        <is>
          <t>Opportunity Global Property (PTY) LTD</t>
        </is>
      </c>
      <c r="B20093" s="4" t="n">
        <v>45412</v>
      </c>
      <c r="C20093" s="3" t="inlineStr">
        <is>
          <t>Expenses</t>
        </is>
      </c>
      <c r="D20093" s="3" t="inlineStr">
        <is>
          <t>3350/100</t>
        </is>
      </c>
      <c r="E20093" s="3" t="inlineStr">
        <is>
          <t>Consulting Fees - Admin and Finance</t>
        </is>
      </c>
      <c r="F20093" s="3" t="n">
        <v>19945.2</v>
      </c>
      <c r="G20093" s="3" t="n">
        <v>30815.4</v>
      </c>
    </row>
    <row r="20094">
      <c r="A20094" s="3" t="inlineStr">
        <is>
          <t>Opportunity Private Capital (PTY) LTD</t>
        </is>
      </c>
      <c r="B20094" s="4" t="n">
        <v>45412</v>
      </c>
      <c r="C20094" s="3" t="inlineStr">
        <is>
          <t>Expenses</t>
        </is>
      </c>
      <c r="D20094" s="3" t="inlineStr">
        <is>
          <t>3350/100</t>
        </is>
      </c>
      <c r="E20094" s="3" t="inlineStr">
        <is>
          <t>Consulting Fees - Admin and Finance</t>
        </is>
      </c>
      <c r="F20094" s="3" t="n">
        <v>13865.2</v>
      </c>
      <c r="G20094" s="3" t="n">
        <v>26655.4</v>
      </c>
    </row>
    <row r="20095">
      <c r="A20095" s="3" t="inlineStr">
        <is>
          <t>Opportunity Private Capital (PTY) LTD</t>
        </is>
      </c>
      <c r="B20095" s="4" t="n">
        <v>45412</v>
      </c>
      <c r="C20095" s="3" t="inlineStr">
        <is>
          <t>Expenses</t>
        </is>
      </c>
      <c r="D20095" s="3" t="inlineStr">
        <is>
          <t>3350/200</t>
        </is>
      </c>
      <c r="E20095" s="3" t="inlineStr">
        <is>
          <t>Consulting Fees - Rockfin</t>
        </is>
      </c>
      <c r="F20095" s="3" t="n">
        <v>33600</v>
      </c>
      <c r="G20095" s="3" t="n">
        <v>39600</v>
      </c>
    </row>
    <row r="20096">
      <c r="A20096" s="3" t="inlineStr">
        <is>
          <t>Opportunity Management Holdings (PTY) LTD</t>
        </is>
      </c>
      <c r="B20096" s="4" t="n">
        <v>45412</v>
      </c>
      <c r="C20096" s="3" t="inlineStr">
        <is>
          <t>Expenses</t>
        </is>
      </c>
      <c r="D20096" s="3" t="inlineStr">
        <is>
          <t>3350/300</t>
        </is>
      </c>
      <c r="E20096" s="3" t="inlineStr">
        <is>
          <t>Consulting Fee - HR Joblaw</t>
        </is>
      </c>
      <c r="F20096" s="3" t="n">
        <v>0</v>
      </c>
      <c r="G20096" s="3" t="n">
        <v>11205.81</v>
      </c>
    </row>
    <row r="20097">
      <c r="A20097" s="3" t="inlineStr">
        <is>
          <t>Quinate Consulting (Pty) Ltd</t>
        </is>
      </c>
      <c r="B20097" s="4" t="n">
        <v>45412</v>
      </c>
      <c r="C20097" s="3" t="inlineStr">
        <is>
          <t>Expenses</t>
        </is>
      </c>
      <c r="D20097" s="3" t="inlineStr">
        <is>
          <t>3350/300</t>
        </is>
      </c>
      <c r="E20097" s="3" t="inlineStr">
        <is>
          <t>Consulting Fees - Admin and Finance</t>
        </is>
      </c>
      <c r="F20097" s="3" t="n">
        <v>0</v>
      </c>
      <c r="G20097" s="3" t="n">
        <v>15000</v>
      </c>
    </row>
    <row r="20098">
      <c r="A20098" s="3" t="inlineStr">
        <is>
          <t>Opportunity Private Capital (PTY) LTD</t>
        </is>
      </c>
      <c r="B20098" s="4" t="n">
        <v>45412</v>
      </c>
      <c r="C20098" s="3" t="inlineStr">
        <is>
          <t>Expenses</t>
        </is>
      </c>
      <c r="D20098" s="3" t="inlineStr">
        <is>
          <t>3350/300</t>
        </is>
      </c>
      <c r="E20098" s="3" t="inlineStr">
        <is>
          <t>Consulting Fees - BLCS</t>
        </is>
      </c>
      <c r="F20098" s="3" t="n">
        <v>4000</v>
      </c>
      <c r="G20098" s="3" t="n">
        <v>20000</v>
      </c>
    </row>
    <row r="20099">
      <c r="A20099" s="3" t="inlineStr">
        <is>
          <t>Opportunity Management Holdings (PTY) LTD</t>
        </is>
      </c>
      <c r="B20099" s="4" t="n">
        <v>45412</v>
      </c>
      <c r="C20099" s="3" t="inlineStr">
        <is>
          <t>Expenses</t>
        </is>
      </c>
      <c r="D20099" s="3" t="inlineStr">
        <is>
          <t>3350/400</t>
        </is>
      </c>
      <c r="E20099" s="3" t="inlineStr">
        <is>
          <t>Consulting Fees - Johan Prinsloo</t>
        </is>
      </c>
      <c r="F20099" s="3" t="n">
        <v>65000</v>
      </c>
      <c r="G20099" s="3" t="n">
        <v>115992.16</v>
      </c>
    </row>
    <row r="20100">
      <c r="A20100" s="3" t="inlineStr">
        <is>
          <t>Opportunity Private Capital (PTY) LTD</t>
        </is>
      </c>
      <c r="B20100" s="4" t="n">
        <v>45412</v>
      </c>
      <c r="C20100" s="3" t="inlineStr">
        <is>
          <t>Expenses</t>
        </is>
      </c>
      <c r="D20100" s="3" t="inlineStr">
        <is>
          <t>3350/400</t>
        </is>
      </c>
      <c r="E20100" s="3" t="inlineStr">
        <is>
          <t>Consulting Fees: Solaris Law</t>
        </is>
      </c>
      <c r="F20100" s="3" t="n">
        <v>29937.39</v>
      </c>
      <c r="G20100" s="3" t="n">
        <v>29937.39</v>
      </c>
    </row>
    <row r="20101">
      <c r="A20101" s="3" t="inlineStr">
        <is>
          <t>Opportunity Private Capital (PTY) LTD</t>
        </is>
      </c>
      <c r="B20101" s="4" t="n">
        <v>45412</v>
      </c>
      <c r="C20101" s="3" t="inlineStr">
        <is>
          <t>Expenses</t>
        </is>
      </c>
      <c r="D20101" s="3" t="inlineStr">
        <is>
          <t>3351/000</t>
        </is>
      </c>
      <c r="E20101" s="3" t="inlineStr">
        <is>
          <t>Consulting Fees - HR Joblaw</t>
        </is>
      </c>
      <c r="F20101" s="3" t="n">
        <v>1600.83</v>
      </c>
      <c r="G20101" s="3" t="n">
        <v>15201.66</v>
      </c>
    </row>
    <row r="20102">
      <c r="A20102" s="3" t="inlineStr">
        <is>
          <t>Quinate Consulting (Pty) Ltd</t>
        </is>
      </c>
      <c r="B20102" s="4" t="n">
        <v>45412</v>
      </c>
      <c r="C20102" s="3" t="inlineStr">
        <is>
          <t>Expenses</t>
        </is>
      </c>
      <c r="D20102" s="3" t="inlineStr">
        <is>
          <t>3351/000</t>
        </is>
      </c>
      <c r="E20102" s="3" t="inlineStr">
        <is>
          <t>Consulting fees - Trustees</t>
        </is>
      </c>
      <c r="F20102" s="3" t="n">
        <v>20800</v>
      </c>
      <c r="G20102" s="3" t="n">
        <v>25000</v>
      </c>
    </row>
    <row r="20103">
      <c r="A20103" s="3" t="inlineStr">
        <is>
          <t>Opportunity Private Capital (PTY) LTD</t>
        </is>
      </c>
      <c r="B20103" s="4" t="n">
        <v>45412</v>
      </c>
      <c r="C20103" s="3" t="inlineStr">
        <is>
          <t>Expenses</t>
        </is>
      </c>
      <c r="D20103" s="3" t="inlineStr">
        <is>
          <t>3355/00</t>
        </is>
      </c>
      <c r="E20103" s="3" t="inlineStr">
        <is>
          <t>Consulting fees - F Geldenhuys</t>
        </is>
      </c>
      <c r="F20103" s="3" t="n">
        <v>28224.51</v>
      </c>
      <c r="G20103" s="3" t="n">
        <v>63224.51</v>
      </c>
    </row>
    <row r="20104">
      <c r="A20104" s="3" t="inlineStr">
        <is>
          <t>Opportunity Private Capital (PTY) LTD</t>
        </is>
      </c>
      <c r="B20104" s="4" t="n">
        <v>45412</v>
      </c>
      <c r="C20104" s="3" t="inlineStr">
        <is>
          <t>Expenses</t>
        </is>
      </c>
      <c r="D20104" s="3" t="inlineStr">
        <is>
          <t>3356/000</t>
        </is>
      </c>
      <c r="E20104" s="3" t="inlineStr">
        <is>
          <t>Consulting Fees - Nicole Viljoen</t>
        </is>
      </c>
      <c r="F20104" s="3" t="n">
        <v>15000</v>
      </c>
      <c r="G20104" s="3" t="n">
        <v>30000</v>
      </c>
    </row>
    <row r="20105">
      <c r="A20105" s="3" t="inlineStr">
        <is>
          <t>Opportunity Management Holdings (PTY) LTD</t>
        </is>
      </c>
      <c r="B20105" s="4" t="n">
        <v>45412</v>
      </c>
      <c r="C20105" s="3" t="inlineStr">
        <is>
          <t>Expenses</t>
        </is>
      </c>
      <c r="D20105" s="3" t="inlineStr">
        <is>
          <t>3400/000</t>
        </is>
      </c>
      <c r="E20105" s="3" t="inlineStr">
        <is>
          <t>Courier _AND_ Postage</t>
        </is>
      </c>
      <c r="F20105" s="3" t="n">
        <v>0</v>
      </c>
      <c r="G20105" s="3" t="n">
        <v>664.3200000000001</v>
      </c>
    </row>
    <row r="20106">
      <c r="A20106" s="3" t="inlineStr">
        <is>
          <t>Trademark Holdings (Pty) Ltd</t>
        </is>
      </c>
      <c r="B20106" s="4" t="n">
        <v>45412</v>
      </c>
      <c r="C20106" s="3" t="inlineStr">
        <is>
          <t>Expenses</t>
        </is>
      </c>
      <c r="D20106" s="3" t="inlineStr">
        <is>
          <t>3450/000</t>
        </is>
      </c>
      <c r="E20106" s="3" t="inlineStr">
        <is>
          <t>Depreciation</t>
        </is>
      </c>
      <c r="F20106" s="3" t="n">
        <v>376.58</v>
      </c>
      <c r="G20106" s="3" t="n">
        <v>376.58</v>
      </c>
    </row>
    <row r="20107">
      <c r="A20107" s="3" t="inlineStr">
        <is>
          <t>Opportunity Private Capital (PTY) LTD</t>
        </is>
      </c>
      <c r="B20107" s="4" t="n">
        <v>45412</v>
      </c>
      <c r="C20107" s="3" t="inlineStr">
        <is>
          <t>Expenses</t>
        </is>
      </c>
      <c r="D20107" s="3" t="inlineStr">
        <is>
          <t>3450/001</t>
        </is>
      </c>
      <c r="E20107" s="3" t="inlineStr">
        <is>
          <t>Depreciation - Computer equipment</t>
        </is>
      </c>
      <c r="F20107" s="3" t="n">
        <v>880.08</v>
      </c>
      <c r="G20107" s="3" t="n">
        <v>1760.16</v>
      </c>
    </row>
    <row r="20108">
      <c r="A20108" s="3" t="inlineStr">
        <is>
          <t>Opportunity Global Property (PTY) LTD</t>
        </is>
      </c>
      <c r="B20108" s="4" t="n">
        <v>45412</v>
      </c>
      <c r="C20108" s="3" t="inlineStr">
        <is>
          <t>Expenses</t>
        </is>
      </c>
      <c r="D20108" s="3" t="inlineStr">
        <is>
          <t>3450/030</t>
        </is>
      </c>
      <c r="E20108" s="3" t="inlineStr">
        <is>
          <t>Depreciation - Furniture and Fittings</t>
        </is>
      </c>
      <c r="F20108" s="3" t="n">
        <v>408.05</v>
      </c>
      <c r="G20108" s="3" t="n">
        <v>816.1</v>
      </c>
    </row>
    <row r="20109">
      <c r="A20109" s="3" t="inlineStr">
        <is>
          <t>Opportunity Management Holdings (PTY) LTD</t>
        </is>
      </c>
      <c r="B20109" s="4" t="n">
        <v>45412</v>
      </c>
      <c r="C20109" s="3" t="inlineStr">
        <is>
          <t>Expenses</t>
        </is>
      </c>
      <c r="D20109" s="3" t="inlineStr">
        <is>
          <t>3451/000</t>
        </is>
      </c>
      <c r="E20109" s="3" t="inlineStr">
        <is>
          <t>Depreciation - Computer Equipment</t>
        </is>
      </c>
      <c r="F20109" s="3" t="n">
        <v>1431.34</v>
      </c>
      <c r="G20109" s="3" t="n">
        <v>9047.360000000001</v>
      </c>
    </row>
    <row r="20110">
      <c r="A20110" s="3" t="inlineStr">
        <is>
          <t>Quinate Consulting (Pty) Ltd</t>
        </is>
      </c>
      <c r="B20110" s="4" t="n">
        <v>45412</v>
      </c>
      <c r="C20110" s="3" t="inlineStr">
        <is>
          <t>Expenses</t>
        </is>
      </c>
      <c r="D20110" s="3" t="inlineStr">
        <is>
          <t>3600/000</t>
        </is>
      </c>
      <c r="E20110" s="3" t="inlineStr">
        <is>
          <t>Donations</t>
        </is>
      </c>
      <c r="F20110" s="3" t="n">
        <v>572.45</v>
      </c>
      <c r="G20110" s="3" t="n">
        <v>1144.9</v>
      </c>
    </row>
    <row r="20111">
      <c r="A20111" s="3" t="inlineStr">
        <is>
          <t>Noble Shield (Pty) Ltd ta Go Letting</t>
        </is>
      </c>
      <c r="B20111" s="4" t="n">
        <v>45412</v>
      </c>
      <c r="C20111" s="3" t="inlineStr">
        <is>
          <t>Expenses</t>
        </is>
      </c>
      <c r="D20111" s="3" t="inlineStr">
        <is>
          <t>3650/000</t>
        </is>
      </c>
      <c r="E20111" s="3" t="inlineStr">
        <is>
          <t>Electricity _AND_ Water</t>
        </is>
      </c>
      <c r="F20111" s="3" t="n">
        <v>0</v>
      </c>
      <c r="G20111" s="3" t="n">
        <v>6400</v>
      </c>
    </row>
    <row r="20112">
      <c r="A20112" s="3" t="inlineStr">
        <is>
          <t>Opportunity Private Capital (PTY) LTD</t>
        </is>
      </c>
      <c r="B20112" s="4" t="n">
        <v>45412</v>
      </c>
      <c r="C20112" s="3" t="inlineStr">
        <is>
          <t>Expenses</t>
        </is>
      </c>
      <c r="D20112" s="3" t="inlineStr">
        <is>
          <t>3650/000</t>
        </is>
      </c>
      <c r="E20112" s="3" t="inlineStr">
        <is>
          <t>Electricity _AND_ Water</t>
        </is>
      </c>
      <c r="F20112" s="3" t="n">
        <v>2950</v>
      </c>
      <c r="G20112" s="3" t="n">
        <v>5900</v>
      </c>
    </row>
    <row r="20113">
      <c r="A20113" s="3" t="inlineStr">
        <is>
          <t>Noble Shield (Pty) Ltd ta Go Letting</t>
        </is>
      </c>
      <c r="B20113" s="4" t="n">
        <v>45412</v>
      </c>
      <c r="C20113" s="3" t="inlineStr">
        <is>
          <t>Expenses</t>
        </is>
      </c>
      <c r="D20113" s="3" t="inlineStr">
        <is>
          <t>3651/000</t>
        </is>
      </c>
      <c r="E20113" s="3" t="inlineStr">
        <is>
          <t>Electricity _AND_ Water - Rentals</t>
        </is>
      </c>
      <c r="F20113" s="3" t="n">
        <v>0</v>
      </c>
      <c r="G20113" s="3" t="n">
        <v>-100</v>
      </c>
    </row>
    <row r="20114">
      <c r="A20114" s="3" t="inlineStr">
        <is>
          <t>Quinate Consulting (Pty) Ltd</t>
        </is>
      </c>
      <c r="B20114" s="4" t="n">
        <v>45412</v>
      </c>
      <c r="C20114" s="3" t="inlineStr">
        <is>
          <t>Expenses</t>
        </is>
      </c>
      <c r="D20114" s="3" t="inlineStr">
        <is>
          <t>3651/000</t>
        </is>
      </c>
      <c r="E20114" s="3" t="inlineStr">
        <is>
          <t>Electricity _AND_ Water - Southwark</t>
        </is>
      </c>
      <c r="F20114" s="3" t="n">
        <v>0</v>
      </c>
      <c r="G20114" s="3" t="n">
        <v>14396.06</v>
      </c>
    </row>
    <row r="20115">
      <c r="A20115" s="3" t="inlineStr">
        <is>
          <t>Quinate Consulting (Pty) Ltd</t>
        </is>
      </c>
      <c r="B20115" s="4" t="n">
        <v>45412</v>
      </c>
      <c r="C20115" s="3" t="inlineStr">
        <is>
          <t>Expenses</t>
        </is>
      </c>
      <c r="D20115" s="3" t="inlineStr">
        <is>
          <t>3652/000</t>
        </is>
      </c>
      <c r="E20115" s="3" t="inlineStr">
        <is>
          <t>Electricity _AND_ Water - Soho</t>
        </is>
      </c>
      <c r="F20115" s="3" t="n">
        <v>23360.74</v>
      </c>
      <c r="G20115" s="3" t="n">
        <v>46031.17</v>
      </c>
    </row>
    <row r="20116">
      <c r="A20116" s="3" t="inlineStr">
        <is>
          <t>Quinate Consulting (Pty) Ltd</t>
        </is>
      </c>
      <c r="B20116" s="4" t="n">
        <v>45412</v>
      </c>
      <c r="C20116" s="3" t="inlineStr">
        <is>
          <t>Expenses</t>
        </is>
      </c>
      <c r="D20116" s="3" t="inlineStr">
        <is>
          <t>3653/000</t>
        </is>
      </c>
      <c r="E20116" s="3" t="inlineStr">
        <is>
          <t>Electricity _AND_ Water - Endulini</t>
        </is>
      </c>
      <c r="F20116" s="3" t="n">
        <v>4544.31</v>
      </c>
      <c r="G20116" s="3" t="n">
        <v>4544.31</v>
      </c>
    </row>
    <row r="20117">
      <c r="A20117" s="3" t="inlineStr">
        <is>
          <t>Noble Shield (Pty) Ltd ta Go Letting</t>
        </is>
      </c>
      <c r="B20117" s="4" t="n">
        <v>45412</v>
      </c>
      <c r="C20117" s="3" t="inlineStr">
        <is>
          <t>Expenses</t>
        </is>
      </c>
      <c r="D20117" s="3" t="inlineStr">
        <is>
          <t>3700/000</t>
        </is>
      </c>
      <c r="E20117" s="3" t="inlineStr">
        <is>
          <t>Entertainment Expenses</t>
        </is>
      </c>
      <c r="F20117" s="3" t="n">
        <v>0</v>
      </c>
      <c r="G20117" s="3" t="n">
        <v>1650</v>
      </c>
    </row>
    <row r="20118">
      <c r="A20118" s="3" t="inlineStr">
        <is>
          <t>Opportunity Global Property (PTY) LTD</t>
        </is>
      </c>
      <c r="B20118" s="4" t="n">
        <v>45412</v>
      </c>
      <c r="C20118" s="3" t="inlineStr">
        <is>
          <t>Expenses</t>
        </is>
      </c>
      <c r="D20118" s="3" t="inlineStr">
        <is>
          <t>3700/000</t>
        </is>
      </c>
      <c r="E20118" s="3" t="inlineStr">
        <is>
          <t>Entertainment Expenses</t>
        </is>
      </c>
      <c r="F20118" s="3" t="n">
        <v>434.78</v>
      </c>
      <c r="G20118" s="3" t="n">
        <v>1130.43</v>
      </c>
    </row>
    <row r="20119">
      <c r="A20119" s="3" t="inlineStr">
        <is>
          <t>Opportunity Management Holdings (PTY) LTD</t>
        </is>
      </c>
      <c r="B20119" s="4" t="n">
        <v>45412</v>
      </c>
      <c r="C20119" s="3" t="inlineStr">
        <is>
          <t>Expenses</t>
        </is>
      </c>
      <c r="D20119" s="3" t="inlineStr">
        <is>
          <t>3700/000</t>
        </is>
      </c>
      <c r="E20119" s="3" t="inlineStr">
        <is>
          <t>Entertainment Expenses</t>
        </is>
      </c>
      <c r="F20119" s="3" t="n">
        <v>0</v>
      </c>
      <c r="G20119" s="3" t="n">
        <v>1126.13</v>
      </c>
    </row>
    <row r="20120">
      <c r="A20120" s="3" t="inlineStr">
        <is>
          <t>Opportunity Private Capital (PTY) LTD</t>
        </is>
      </c>
      <c r="B20120" s="4" t="n">
        <v>45412</v>
      </c>
      <c r="C20120" s="3" t="inlineStr">
        <is>
          <t>Expenses</t>
        </is>
      </c>
      <c r="D20120" s="3" t="inlineStr">
        <is>
          <t>3700/000</t>
        </is>
      </c>
      <c r="E20120" s="3" t="inlineStr">
        <is>
          <t>Entertainment Expenses</t>
        </is>
      </c>
      <c r="F20120" s="3" t="n">
        <v>2826.09</v>
      </c>
      <c r="G20120" s="3" t="n">
        <v>3943.47</v>
      </c>
    </row>
    <row r="20121">
      <c r="A20121" s="3" t="inlineStr">
        <is>
          <t>Noble Shield (Pty) Ltd ta Go Letting</t>
        </is>
      </c>
      <c r="B20121" s="4" t="n">
        <v>45412</v>
      </c>
      <c r="C20121" s="3" t="inlineStr">
        <is>
          <t>Expenses</t>
        </is>
      </c>
      <c r="D20121" s="3" t="inlineStr">
        <is>
          <t>3800/000</t>
        </is>
      </c>
      <c r="E20121" s="3" t="inlineStr">
        <is>
          <t>General Expenses</t>
        </is>
      </c>
      <c r="F20121" s="3" t="n">
        <v>591.8</v>
      </c>
      <c r="G20121" s="3" t="n">
        <v>911.78</v>
      </c>
    </row>
    <row r="20122">
      <c r="A20122" s="3" t="inlineStr">
        <is>
          <t>Opportunity Global Property (PTY) LTD</t>
        </is>
      </c>
      <c r="B20122" s="4" t="n">
        <v>45412</v>
      </c>
      <c r="C20122" s="3" t="inlineStr">
        <is>
          <t>Expenses</t>
        </is>
      </c>
      <c r="D20122" s="3" t="inlineStr">
        <is>
          <t>3800/000</t>
        </is>
      </c>
      <c r="E20122" s="3" t="inlineStr">
        <is>
          <t>General Expenses</t>
        </is>
      </c>
      <c r="F20122" s="3" t="n">
        <v>0</v>
      </c>
      <c r="G20122" s="3" t="n">
        <v>156.5</v>
      </c>
    </row>
    <row r="20123">
      <c r="A20123" s="3" t="inlineStr">
        <is>
          <t>Opportunity Management Holdings (PTY) LTD</t>
        </is>
      </c>
      <c r="B20123" s="4" t="n">
        <v>45412</v>
      </c>
      <c r="C20123" s="3" t="inlineStr">
        <is>
          <t>Expenses</t>
        </is>
      </c>
      <c r="D20123" s="3" t="inlineStr">
        <is>
          <t>3800/000</t>
        </is>
      </c>
      <c r="E20123" s="3" t="inlineStr">
        <is>
          <t>General Expenses</t>
        </is>
      </c>
      <c r="F20123" s="3" t="n">
        <v>405</v>
      </c>
      <c r="G20123" s="3" t="n">
        <v>1923.3</v>
      </c>
    </row>
    <row r="20124">
      <c r="A20124" s="3" t="inlineStr">
        <is>
          <t>Quinate Consulting (Pty) Ltd</t>
        </is>
      </c>
      <c r="B20124" s="4" t="n">
        <v>45412</v>
      </c>
      <c r="C20124" s="3" t="inlineStr">
        <is>
          <t>Expenses</t>
        </is>
      </c>
      <c r="D20124" s="3" t="inlineStr">
        <is>
          <t>3800/000</t>
        </is>
      </c>
      <c r="E20124" s="3" t="inlineStr">
        <is>
          <t>General Expenses</t>
        </is>
      </c>
      <c r="F20124" s="3" t="n">
        <v>0</v>
      </c>
      <c r="G20124" s="3" t="n">
        <v>1338.11</v>
      </c>
    </row>
    <row r="20125">
      <c r="A20125" s="3" t="inlineStr">
        <is>
          <t>Opportunity Global Property (PTY) LTD</t>
        </is>
      </c>
      <c r="B20125" s="4" t="n">
        <v>45412</v>
      </c>
      <c r="C20125" s="3" t="inlineStr">
        <is>
          <t>Expenses</t>
        </is>
      </c>
      <c r="D20125" s="3" t="inlineStr">
        <is>
          <t>3800/010</t>
        </is>
      </c>
      <c r="E20125" s="3" t="inlineStr">
        <is>
          <t>General Expences - Gifts</t>
        </is>
      </c>
      <c r="F20125" s="3" t="n">
        <v>1437.46</v>
      </c>
      <c r="G20125" s="3" t="n">
        <v>1437.46</v>
      </c>
    </row>
    <row r="20126">
      <c r="A20126" s="3" t="inlineStr">
        <is>
          <t>Opportunity Management Holdings (PTY) LTD</t>
        </is>
      </c>
      <c r="B20126" s="4" t="n">
        <v>45412</v>
      </c>
      <c r="C20126" s="3" t="inlineStr">
        <is>
          <t>Expenses</t>
        </is>
      </c>
      <c r="D20126" s="3" t="inlineStr">
        <is>
          <t>3800/010</t>
        </is>
      </c>
      <c r="E20126" s="3" t="inlineStr">
        <is>
          <t>General Expenses - Gifts</t>
        </is>
      </c>
      <c r="F20126" s="3" t="n">
        <v>2000</v>
      </c>
      <c r="G20126" s="3" t="n">
        <v>12963.65</v>
      </c>
    </row>
    <row r="20127">
      <c r="A20127" s="3" t="inlineStr">
        <is>
          <t>Opportunity Management Holdings (PTY) LTD</t>
        </is>
      </c>
      <c r="B20127" s="4" t="n">
        <v>45412</v>
      </c>
      <c r="C20127" s="3" t="inlineStr">
        <is>
          <t>Expenses</t>
        </is>
      </c>
      <c r="D20127" s="3" t="inlineStr">
        <is>
          <t>3800/030</t>
        </is>
      </c>
      <c r="E20127" s="3" t="inlineStr">
        <is>
          <t>General Expenses: Showhouse Heron View</t>
        </is>
      </c>
      <c r="F20127" s="3" t="n">
        <v>0</v>
      </c>
      <c r="G20127" s="3" t="n">
        <v>987.72</v>
      </c>
    </row>
    <row r="20128">
      <c r="A20128" s="3" t="inlineStr">
        <is>
          <t>Opportunity Management Holdings (PTY) LTD</t>
        </is>
      </c>
      <c r="B20128" s="4" t="n">
        <v>45412</v>
      </c>
      <c r="C20128" s="3" t="inlineStr">
        <is>
          <t>Expenses</t>
        </is>
      </c>
      <c r="D20128" s="3" t="inlineStr">
        <is>
          <t>3850/000</t>
        </is>
      </c>
      <c r="E20128" s="3" t="inlineStr">
        <is>
          <t>Insurance - Momentum</t>
        </is>
      </c>
      <c r="F20128" s="3" t="n">
        <v>1969.99</v>
      </c>
      <c r="G20128" s="3" t="n">
        <v>14664.2</v>
      </c>
    </row>
    <row r="20129">
      <c r="A20129" s="3" t="inlineStr">
        <is>
          <t>Noble Shield (Pty) Ltd ta Go Letting</t>
        </is>
      </c>
      <c r="B20129" s="4" t="n">
        <v>45412</v>
      </c>
      <c r="C20129" s="3" t="inlineStr">
        <is>
          <t>Expenses</t>
        </is>
      </c>
      <c r="D20129" s="3" t="inlineStr">
        <is>
          <t>3850/100</t>
        </is>
      </c>
      <c r="E20129" s="3" t="inlineStr">
        <is>
          <t>Insurance - Santam</t>
        </is>
      </c>
      <c r="F20129" s="3" t="n">
        <v>4249.41</v>
      </c>
      <c r="G20129" s="3" t="n">
        <v>33995.28</v>
      </c>
    </row>
    <row r="20130">
      <c r="A20130" s="3" t="inlineStr">
        <is>
          <t>Noble Shield (Pty) Ltd ta Go Letting</t>
        </is>
      </c>
      <c r="B20130" s="4" t="n">
        <v>45412</v>
      </c>
      <c r="C20130" s="3" t="inlineStr">
        <is>
          <t>Expenses</t>
        </is>
      </c>
      <c r="D20130" s="3" t="inlineStr">
        <is>
          <t>3850/200</t>
        </is>
      </c>
      <c r="E20130" s="3" t="inlineStr">
        <is>
          <t>Insurance - A_AND_G</t>
        </is>
      </c>
      <c r="F20130" s="3" t="n">
        <v>2394.42</v>
      </c>
      <c r="G20130" s="3" t="n">
        <v>20650.02</v>
      </c>
    </row>
    <row r="20131">
      <c r="A20131" s="3" t="inlineStr">
        <is>
          <t>Quinate Consulting (Pty) Ltd</t>
        </is>
      </c>
      <c r="B20131" s="4" t="n">
        <v>45412</v>
      </c>
      <c r="C20131" s="3" t="inlineStr">
        <is>
          <t>Expenses</t>
        </is>
      </c>
      <c r="D20131" s="3" t="inlineStr">
        <is>
          <t>3851/000</t>
        </is>
      </c>
      <c r="E20131" s="3" t="inlineStr">
        <is>
          <t>Insurance - Momentum</t>
        </is>
      </c>
      <c r="F20131" s="3" t="n">
        <v>9274.969999999999</v>
      </c>
      <c r="G20131" s="3" t="n">
        <v>18549.94</v>
      </c>
    </row>
    <row r="20132">
      <c r="A20132" s="3" t="inlineStr">
        <is>
          <t>Opportunity Management Holdings (PTY) LTD</t>
        </is>
      </c>
      <c r="B20132" s="4" t="n">
        <v>45412</v>
      </c>
      <c r="C20132" s="3" t="inlineStr">
        <is>
          <t>Expenses</t>
        </is>
      </c>
      <c r="D20132" s="3" t="inlineStr">
        <is>
          <t>3960/000</t>
        </is>
      </c>
      <c r="E20132" s="3" t="inlineStr">
        <is>
          <t>Internet Fees</t>
        </is>
      </c>
      <c r="F20132" s="3" t="n">
        <v>619.71</v>
      </c>
      <c r="G20132" s="3" t="n">
        <v>5229.21</v>
      </c>
    </row>
    <row r="20133">
      <c r="A20133" s="3" t="inlineStr">
        <is>
          <t>Quinate Consulting (Pty) Ltd</t>
        </is>
      </c>
      <c r="B20133" s="4" t="n">
        <v>45412</v>
      </c>
      <c r="C20133" s="3" t="inlineStr">
        <is>
          <t>Expenses</t>
        </is>
      </c>
      <c r="D20133" s="3" t="inlineStr">
        <is>
          <t>4065/000</t>
        </is>
      </c>
      <c r="E20133" s="3" t="inlineStr">
        <is>
          <t>Levies - SoHo</t>
        </is>
      </c>
      <c r="F20133" s="3" t="n">
        <v>6358.38</v>
      </c>
      <c r="G20133" s="3" t="n">
        <v>13541.76</v>
      </c>
    </row>
    <row r="20134">
      <c r="A20134" s="3" t="inlineStr">
        <is>
          <t>Quinate Consulting (Pty) Ltd</t>
        </is>
      </c>
      <c r="B20134" s="4" t="n">
        <v>45412</v>
      </c>
      <c r="C20134" s="3" t="inlineStr">
        <is>
          <t>Expenses</t>
        </is>
      </c>
      <c r="D20134" s="3" t="inlineStr">
        <is>
          <t>4066/000</t>
        </is>
      </c>
      <c r="E20134" s="3" t="inlineStr">
        <is>
          <t>Levies - Southwark</t>
        </is>
      </c>
      <c r="F20134" s="3" t="n">
        <v>3650.29</v>
      </c>
      <c r="G20134" s="3" t="n">
        <v>7300.58</v>
      </c>
    </row>
    <row r="20135">
      <c r="A20135" s="3" t="inlineStr">
        <is>
          <t>Quinate Consulting (Pty) Ltd</t>
        </is>
      </c>
      <c r="B20135" s="4" t="n">
        <v>45412</v>
      </c>
      <c r="C20135" s="3" t="inlineStr">
        <is>
          <t>Expenses</t>
        </is>
      </c>
      <c r="D20135" s="3" t="inlineStr">
        <is>
          <t>4067/000</t>
        </is>
      </c>
      <c r="E20135" s="3" t="inlineStr">
        <is>
          <t>Levies - C4 Property</t>
        </is>
      </c>
      <c r="F20135" s="3" t="n">
        <v>18371.78</v>
      </c>
      <c r="G20135" s="3" t="n">
        <v>39647.97</v>
      </c>
    </row>
    <row r="20136">
      <c r="A20136" s="3" t="inlineStr">
        <is>
          <t>Opportunity Management Holdings (PTY) LTD</t>
        </is>
      </c>
      <c r="B20136" s="4" t="n">
        <v>45412</v>
      </c>
      <c r="C20136" s="3" t="inlineStr">
        <is>
          <t>Expenses</t>
        </is>
      </c>
      <c r="D20136" s="3" t="inlineStr">
        <is>
          <t>4090/000</t>
        </is>
      </c>
      <c r="E20136" s="3" t="inlineStr">
        <is>
          <t>Marketing - Website_AND_MultiMedia</t>
        </is>
      </c>
      <c r="F20136" s="3" t="n">
        <v>0</v>
      </c>
      <c r="G20136" s="3" t="n">
        <v>300</v>
      </c>
    </row>
    <row r="20137">
      <c r="A20137" s="3" t="inlineStr">
        <is>
          <t>Opportunity Private Capital (PTY) LTD</t>
        </is>
      </c>
      <c r="B20137" s="4" t="n">
        <v>45412</v>
      </c>
      <c r="C20137" s="3" t="inlineStr">
        <is>
          <t>Expenses</t>
        </is>
      </c>
      <c r="D20137" s="3" t="inlineStr">
        <is>
          <t>4100/100</t>
        </is>
      </c>
      <c r="E20137" s="3" t="inlineStr">
        <is>
          <t>Members Salaries - Nick Morgan</t>
        </is>
      </c>
      <c r="F20137" s="3" t="n">
        <v>0</v>
      </c>
      <c r="G20137" s="3" t="n">
        <v>41251.6</v>
      </c>
    </row>
    <row r="20138">
      <c r="A20138" s="3" t="inlineStr">
        <is>
          <t>Opportunity Management Holdings (PTY) LTD</t>
        </is>
      </c>
      <c r="B20138" s="4" t="n">
        <v>45412</v>
      </c>
      <c r="C20138" s="3" t="inlineStr">
        <is>
          <t>Expenses</t>
        </is>
      </c>
      <c r="D20138" s="3" t="inlineStr">
        <is>
          <t>4150/010</t>
        </is>
      </c>
      <c r="E20138" s="3" t="inlineStr">
        <is>
          <t>Motor Vehicle - Petrol _AND_ Oil</t>
        </is>
      </c>
      <c r="F20138" s="3" t="n">
        <v>0</v>
      </c>
      <c r="G20138" s="3" t="n">
        <v>1350</v>
      </c>
    </row>
    <row r="20139">
      <c r="A20139" s="3" t="inlineStr">
        <is>
          <t>Opportunity Management Holdings (PTY) LTD</t>
        </is>
      </c>
      <c r="B20139" s="4" t="n">
        <v>45412</v>
      </c>
      <c r="C20139" s="3" t="inlineStr">
        <is>
          <t>Expenses</t>
        </is>
      </c>
      <c r="D20139" s="3" t="inlineStr">
        <is>
          <t>4200/000</t>
        </is>
      </c>
      <c r="E20139" s="3" t="inlineStr">
        <is>
          <t>Printing _AND_ Stationery</t>
        </is>
      </c>
      <c r="F20139" s="3" t="n">
        <v>0</v>
      </c>
      <c r="G20139" s="3" t="n">
        <v>1147.8</v>
      </c>
    </row>
    <row r="20140">
      <c r="A20140" s="3" t="inlineStr">
        <is>
          <t>Opportunity Private Capital (PTY) LTD</t>
        </is>
      </c>
      <c r="B20140" s="4" t="n">
        <v>45412</v>
      </c>
      <c r="C20140" s="3" t="inlineStr">
        <is>
          <t>Expenses</t>
        </is>
      </c>
      <c r="D20140" s="3" t="inlineStr">
        <is>
          <t>4200/000</t>
        </is>
      </c>
      <c r="E20140" s="3" t="inlineStr">
        <is>
          <t>Printing _AND_ Stationery</t>
        </is>
      </c>
      <c r="F20140" s="3" t="n">
        <v>2367</v>
      </c>
      <c r="G20140" s="3" t="n">
        <v>4734</v>
      </c>
    </row>
    <row r="20141">
      <c r="A20141" s="3" t="inlineStr">
        <is>
          <t>Noble Shield (Pty) Ltd ta Go Letting</t>
        </is>
      </c>
      <c r="B20141" s="4" t="n">
        <v>45412</v>
      </c>
      <c r="C20141" s="3" t="inlineStr">
        <is>
          <t>Expenses</t>
        </is>
      </c>
      <c r="D20141" s="3" t="inlineStr">
        <is>
          <t>4200/100</t>
        </is>
      </c>
      <c r="E20141" s="3" t="inlineStr">
        <is>
          <t>Printing - Merchant West- Printer Rental</t>
        </is>
      </c>
      <c r="F20141" s="3" t="n">
        <v>1953.85</v>
      </c>
      <c r="G20141" s="3" t="n">
        <v>18032.47</v>
      </c>
    </row>
    <row r="20142">
      <c r="A20142" s="3" t="inlineStr">
        <is>
          <t>Noble Shield (Pty) Ltd ta Go Letting</t>
        </is>
      </c>
      <c r="B20142" s="4" t="n">
        <v>45412</v>
      </c>
      <c r="C20142" s="3" t="inlineStr">
        <is>
          <t>Expenses</t>
        </is>
      </c>
      <c r="D20142" s="3" t="inlineStr">
        <is>
          <t>4200/120</t>
        </is>
      </c>
      <c r="E20142" s="3" t="inlineStr">
        <is>
          <t>Printing - Ivy Line - Prints</t>
        </is>
      </c>
      <c r="F20142" s="3" t="n">
        <v>802.75</v>
      </c>
      <c r="G20142" s="3" t="n">
        <v>7303.89</v>
      </c>
    </row>
    <row r="20143">
      <c r="A20143" s="3" t="inlineStr">
        <is>
          <t>Noble Shield (Pty) Ltd ta Go Letting</t>
        </is>
      </c>
      <c r="B20143" s="4" t="n">
        <v>45412</v>
      </c>
      <c r="C20143" s="3" t="inlineStr">
        <is>
          <t>Expenses</t>
        </is>
      </c>
      <c r="D20143" s="3" t="inlineStr">
        <is>
          <t>4200/180</t>
        </is>
      </c>
      <c r="E20143" s="3" t="inlineStr">
        <is>
          <t>Printing - Ikon</t>
        </is>
      </c>
      <c r="F20143" s="3" t="n">
        <v>222.73</v>
      </c>
      <c r="G20143" s="3" t="n">
        <v>2426.59</v>
      </c>
    </row>
    <row r="20144">
      <c r="A20144" s="3" t="inlineStr">
        <is>
          <t>Noble Shield (Pty) Ltd ta Go Letting</t>
        </is>
      </c>
      <c r="B20144" s="4" t="n">
        <v>45412</v>
      </c>
      <c r="C20144" s="3" t="inlineStr">
        <is>
          <t>Expenses</t>
        </is>
      </c>
      <c r="D20144" s="3" t="inlineStr">
        <is>
          <t>4200/190</t>
        </is>
      </c>
      <c r="E20144" s="3" t="inlineStr">
        <is>
          <t>Printing - Centrafin printer rental</t>
        </is>
      </c>
      <c r="F20144" s="3" t="n">
        <v>3211.18</v>
      </c>
      <c r="G20144" s="3" t="n">
        <v>27732.9</v>
      </c>
    </row>
    <row r="20145">
      <c r="A20145" s="3" t="inlineStr">
        <is>
          <t>Noble Shield (Pty) Ltd ta Go Letting</t>
        </is>
      </c>
      <c r="B20145" s="4" t="n">
        <v>45412</v>
      </c>
      <c r="C20145" s="3" t="inlineStr">
        <is>
          <t>Expenses</t>
        </is>
      </c>
      <c r="D20145" s="3" t="inlineStr">
        <is>
          <t>4200/200</t>
        </is>
      </c>
      <c r="E20145" s="3" t="inlineStr">
        <is>
          <t>Printing - General Stationery VDB Office</t>
        </is>
      </c>
      <c r="F20145" s="3" t="n">
        <v>0</v>
      </c>
      <c r="G20145" s="3" t="n">
        <v>6666.38</v>
      </c>
    </row>
    <row r="20146">
      <c r="A20146" s="3" t="inlineStr">
        <is>
          <t>Opportunity Global Property (PTY) LTD</t>
        </is>
      </c>
      <c r="B20146" s="4" t="n">
        <v>45412</v>
      </c>
      <c r="C20146" s="3" t="inlineStr">
        <is>
          <t>Expenses</t>
        </is>
      </c>
      <c r="D20146" s="3" t="inlineStr">
        <is>
          <t>4220/000</t>
        </is>
      </c>
      <c r="E20146" s="3" t="inlineStr">
        <is>
          <t>Motor Vehicle Expenses - Petrol _AND_ Oil</t>
        </is>
      </c>
      <c r="F20146" s="3" t="n">
        <v>521.83</v>
      </c>
      <c r="G20146" s="3" t="n">
        <v>695.74</v>
      </c>
    </row>
    <row r="20147">
      <c r="A20147" s="3" t="inlineStr">
        <is>
          <t>Opportunity Private Capital (PTY) LTD</t>
        </is>
      </c>
      <c r="B20147" s="4" t="n">
        <v>45412</v>
      </c>
      <c r="C20147" s="3" t="inlineStr">
        <is>
          <t>Expenses</t>
        </is>
      </c>
      <c r="D20147" s="3" t="inlineStr">
        <is>
          <t>4220/000</t>
        </is>
      </c>
      <c r="E20147" s="3" t="inlineStr">
        <is>
          <t>Motor Vehicle Expenses - Petrol _AND_ Oil</t>
        </is>
      </c>
      <c r="F20147" s="3" t="n">
        <v>3571.96</v>
      </c>
      <c r="G20147" s="3" t="n">
        <v>7660.91</v>
      </c>
    </row>
    <row r="20148">
      <c r="A20148" s="3" t="inlineStr">
        <is>
          <t>Noble Shield (Pty) Ltd ta Go Letting</t>
        </is>
      </c>
      <c r="B20148" s="4" t="n">
        <v>45412</v>
      </c>
      <c r="C20148" s="3" t="inlineStr">
        <is>
          <t>Expenses</t>
        </is>
      </c>
      <c r="D20148" s="3" t="inlineStr">
        <is>
          <t>4290/000</t>
        </is>
      </c>
      <c r="E20148" s="3" t="inlineStr">
        <is>
          <t>Refreshments - CT Office</t>
        </is>
      </c>
      <c r="F20148" s="3" t="n">
        <v>1277.41</v>
      </c>
      <c r="G20148" s="3" t="n">
        <v>12694.36</v>
      </c>
    </row>
    <row r="20149">
      <c r="A20149" s="3" t="inlineStr">
        <is>
          <t>Opportunity Private Capital (PTY) LTD</t>
        </is>
      </c>
      <c r="B20149" s="4" t="n">
        <v>45412</v>
      </c>
      <c r="C20149" s="3" t="inlineStr">
        <is>
          <t>Expenses</t>
        </is>
      </c>
      <c r="D20149" s="3" t="inlineStr">
        <is>
          <t>4290/000</t>
        </is>
      </c>
      <c r="E20149" s="3" t="inlineStr">
        <is>
          <t>Rent</t>
        </is>
      </c>
      <c r="F20149" s="3" t="n">
        <v>8770</v>
      </c>
      <c r="G20149" s="3" t="n">
        <v>17540</v>
      </c>
    </row>
    <row r="20150">
      <c r="A20150" s="3" t="inlineStr">
        <is>
          <t>Noble Shield (Pty) Ltd ta Go Letting</t>
        </is>
      </c>
      <c r="B20150" s="4" t="n">
        <v>45412</v>
      </c>
      <c r="C20150" s="3" t="inlineStr">
        <is>
          <t>Expenses</t>
        </is>
      </c>
      <c r="D20150" s="3" t="inlineStr">
        <is>
          <t>4291/000</t>
        </is>
      </c>
      <c r="E20150" s="3" t="inlineStr">
        <is>
          <t>Refreshments - VDB Office</t>
        </is>
      </c>
      <c r="F20150" s="3" t="n">
        <v>0</v>
      </c>
      <c r="G20150" s="3" t="n">
        <v>3820.77</v>
      </c>
    </row>
    <row r="20151">
      <c r="A20151" s="3" t="inlineStr">
        <is>
          <t>Trademark Holdings (Pty) Ltd</t>
        </is>
      </c>
      <c r="B20151" s="4" t="n">
        <v>45412</v>
      </c>
      <c r="C20151" s="3" t="inlineStr">
        <is>
          <t>Expenses</t>
        </is>
      </c>
      <c r="D20151" s="3" t="inlineStr">
        <is>
          <t>4300/000</t>
        </is>
      </c>
      <c r="E20151" s="3" t="inlineStr">
        <is>
          <t>Rent Paid</t>
        </is>
      </c>
      <c r="F20151" s="3" t="n">
        <v>6950</v>
      </c>
      <c r="G20151" s="3" t="n">
        <v>55340</v>
      </c>
    </row>
    <row r="20152">
      <c r="A20152" s="3" t="inlineStr">
        <is>
          <t>Opportunity Management Holdings (PTY) LTD</t>
        </is>
      </c>
      <c r="B20152" s="4" t="n">
        <v>45412</v>
      </c>
      <c r="C20152" s="3" t="inlineStr">
        <is>
          <t>Expenses</t>
        </is>
      </c>
      <c r="D20152" s="3" t="inlineStr">
        <is>
          <t>4310/000</t>
        </is>
      </c>
      <c r="E20152" s="3" t="inlineStr">
        <is>
          <t>Refreshments</t>
        </is>
      </c>
      <c r="F20152" s="3" t="n">
        <v>9754.52</v>
      </c>
      <c r="G20152" s="3" t="n">
        <v>57691.49</v>
      </c>
    </row>
    <row r="20153">
      <c r="A20153" s="3" t="inlineStr">
        <is>
          <t>Opportunity Private Capital (PTY) LTD</t>
        </is>
      </c>
      <c r="B20153" s="4" t="n">
        <v>45412</v>
      </c>
      <c r="C20153" s="3" t="inlineStr">
        <is>
          <t>Expenses</t>
        </is>
      </c>
      <c r="D20153" s="3" t="inlineStr">
        <is>
          <t>4310/000</t>
        </is>
      </c>
      <c r="E20153" s="3" t="inlineStr">
        <is>
          <t>Refreshments</t>
        </is>
      </c>
      <c r="F20153" s="3" t="n">
        <v>2521</v>
      </c>
      <c r="G20153" s="3" t="n">
        <v>5042</v>
      </c>
    </row>
    <row r="20154">
      <c r="A20154" s="3" t="inlineStr">
        <is>
          <t>Quinate Consulting (Pty) Ltd</t>
        </is>
      </c>
      <c r="B20154" s="4" t="n">
        <v>45412</v>
      </c>
      <c r="C20154" s="3" t="inlineStr">
        <is>
          <t>Expenses</t>
        </is>
      </c>
      <c r="D20154" s="3" t="inlineStr">
        <is>
          <t>4312/000</t>
        </is>
      </c>
      <c r="E20154" s="3" t="inlineStr">
        <is>
          <t>Rates - SoHo Units</t>
        </is>
      </c>
      <c r="F20154" s="3" t="n">
        <v>2822.5</v>
      </c>
      <c r="G20154" s="3" t="n">
        <v>2822.5</v>
      </c>
    </row>
    <row r="20155">
      <c r="A20155" s="3" t="inlineStr">
        <is>
          <t>Endulini (Pty) Ltd</t>
        </is>
      </c>
      <c r="B20155" s="4" t="n">
        <v>45412</v>
      </c>
      <c r="C20155" s="3" t="inlineStr">
        <is>
          <t>Expenses</t>
        </is>
      </c>
      <c r="D20155" s="3" t="inlineStr">
        <is>
          <t>4350/000</t>
        </is>
      </c>
      <c r="E20155" s="3" t="inlineStr">
        <is>
          <t>Repairs _AND_ Maintenance</t>
        </is>
      </c>
      <c r="F20155" s="3" t="n">
        <v>2744.81</v>
      </c>
      <c r="G20155" s="3" t="n">
        <v>2744.81</v>
      </c>
    </row>
    <row r="20156">
      <c r="A20156" s="3" t="inlineStr">
        <is>
          <t>Opportunity Management Holdings (PTY) LTD</t>
        </is>
      </c>
      <c r="B20156" s="4" t="n">
        <v>45412</v>
      </c>
      <c r="C20156" s="3" t="inlineStr">
        <is>
          <t>Expenses</t>
        </is>
      </c>
      <c r="D20156" s="3" t="inlineStr">
        <is>
          <t>4350/000</t>
        </is>
      </c>
      <c r="E20156" s="3" t="inlineStr">
        <is>
          <t>Repairs _AND_ Maintenance</t>
        </is>
      </c>
      <c r="F20156" s="3" t="n">
        <v>0</v>
      </c>
      <c r="G20156" s="3" t="n">
        <v>1641.09</v>
      </c>
    </row>
    <row r="20157">
      <c r="A20157" s="3" t="inlineStr">
        <is>
          <t>Noble Shield (Pty) Ltd ta Go Letting</t>
        </is>
      </c>
      <c r="B20157" s="4" t="n">
        <v>45412</v>
      </c>
      <c r="C20157" s="3" t="inlineStr">
        <is>
          <t>Expenses</t>
        </is>
      </c>
      <c r="D20157" s="3" t="inlineStr">
        <is>
          <t>4351/000</t>
        </is>
      </c>
      <c r="E20157" s="3" t="inlineStr">
        <is>
          <t>Repairs _AND_ Maintanence - Rentals</t>
        </is>
      </c>
      <c r="F20157" s="3" t="n">
        <v>0</v>
      </c>
      <c r="G20157" s="3" t="n">
        <v>286.75</v>
      </c>
    </row>
    <row r="20158">
      <c r="A20158" s="3" t="inlineStr">
        <is>
          <t>Opportunity Global Property (PTY) LTD</t>
        </is>
      </c>
      <c r="B20158" s="4" t="n">
        <v>45412</v>
      </c>
      <c r="C20158" s="3" t="inlineStr">
        <is>
          <t>Expenses</t>
        </is>
      </c>
      <c r="D20158" s="3" t="inlineStr">
        <is>
          <t>4390/000</t>
        </is>
      </c>
      <c r="E20158" s="3" t="inlineStr">
        <is>
          <t>Small Assets</t>
        </is>
      </c>
      <c r="F20158" s="3" t="n">
        <v>1612.17</v>
      </c>
      <c r="G20158" s="3" t="n">
        <v>1612.17</v>
      </c>
    </row>
    <row r="20159">
      <c r="A20159" s="3" t="inlineStr">
        <is>
          <t>Opportunity Management Holdings (PTY) LTD</t>
        </is>
      </c>
      <c r="B20159" s="4" t="n">
        <v>45412</v>
      </c>
      <c r="C20159" s="3" t="inlineStr">
        <is>
          <t>Expenses</t>
        </is>
      </c>
      <c r="D20159" s="3" t="inlineStr">
        <is>
          <t>4390/000</t>
        </is>
      </c>
      <c r="E20159" s="3" t="inlineStr">
        <is>
          <t>Small Assets</t>
        </is>
      </c>
      <c r="F20159" s="3" t="n">
        <v>2365.65</v>
      </c>
      <c r="G20159" s="3" t="n">
        <v>9573.91</v>
      </c>
    </row>
    <row r="20160">
      <c r="A20160" s="3" t="inlineStr">
        <is>
          <t>Noble Shield (Pty) Ltd ta Go Letting</t>
        </is>
      </c>
      <c r="B20160" s="4" t="n">
        <v>45412</v>
      </c>
      <c r="C20160" s="3" t="inlineStr">
        <is>
          <t>Expenses</t>
        </is>
      </c>
      <c r="D20160" s="3" t="inlineStr">
        <is>
          <t>4400/000</t>
        </is>
      </c>
      <c r="E20160" s="3" t="inlineStr">
        <is>
          <t>Salaries _AND_ Wages</t>
        </is>
      </c>
      <c r="F20160" s="3" t="n">
        <v>29656.19</v>
      </c>
      <c r="G20160" s="3" t="n">
        <v>223547.09</v>
      </c>
    </row>
    <row r="20161">
      <c r="A20161" s="3" t="inlineStr">
        <is>
          <t>Opportunity Global Property (PTY) LTD</t>
        </is>
      </c>
      <c r="B20161" s="4" t="n">
        <v>45412</v>
      </c>
      <c r="C20161" s="3" t="inlineStr">
        <is>
          <t>Expenses</t>
        </is>
      </c>
      <c r="D20161" s="3" t="inlineStr">
        <is>
          <t>4400/000</t>
        </is>
      </c>
      <c r="E20161" s="3" t="inlineStr">
        <is>
          <t>Salaries _AND_ Wages</t>
        </is>
      </c>
      <c r="F20161" s="3" t="n">
        <v>0</v>
      </c>
      <c r="G20161" s="3" t="n">
        <v>58836.74</v>
      </c>
    </row>
    <row r="20162">
      <c r="A20162" s="3" t="inlineStr">
        <is>
          <t>Opportunity Management Holdings (PTY) LTD</t>
        </is>
      </c>
      <c r="B20162" s="4" t="n">
        <v>45412</v>
      </c>
      <c r="C20162" s="3" t="inlineStr">
        <is>
          <t>Expenses</t>
        </is>
      </c>
      <c r="D20162" s="3" t="inlineStr">
        <is>
          <t>4400/000</t>
        </is>
      </c>
      <c r="E20162" s="3" t="inlineStr">
        <is>
          <t>Salaries _AND_ Wages</t>
        </is>
      </c>
      <c r="F20162" s="3" t="n">
        <v>232959.65</v>
      </c>
      <c r="G20162" s="3" t="n">
        <v>1767923.37</v>
      </c>
    </row>
    <row r="20163">
      <c r="A20163" s="3" t="inlineStr">
        <is>
          <t>Opportunity Private Capital (PTY) LTD</t>
        </is>
      </c>
      <c r="B20163" s="4" t="n">
        <v>45412</v>
      </c>
      <c r="C20163" s="3" t="inlineStr">
        <is>
          <t>Expenses</t>
        </is>
      </c>
      <c r="D20163" s="3" t="inlineStr">
        <is>
          <t>4400/000</t>
        </is>
      </c>
      <c r="E20163" s="3" t="inlineStr">
        <is>
          <t>Salaries _AND_ Wages</t>
        </is>
      </c>
      <c r="F20163" s="3" t="n">
        <v>0</v>
      </c>
      <c r="G20163" s="3" t="n">
        <v>24754.65</v>
      </c>
    </row>
    <row r="20164">
      <c r="A20164" s="3" t="inlineStr">
        <is>
          <t>Trademark Holdings (Pty) Ltd</t>
        </is>
      </c>
      <c r="B20164" s="4" t="n">
        <v>45412</v>
      </c>
      <c r="C20164" s="3" t="inlineStr">
        <is>
          <t>Expenses</t>
        </is>
      </c>
      <c r="D20164" s="3" t="inlineStr">
        <is>
          <t>4400/000</t>
        </is>
      </c>
      <c r="E20164" s="3" t="inlineStr">
        <is>
          <t>Salaries _AND_ Wages</t>
        </is>
      </c>
      <c r="F20164" s="3" t="n">
        <v>12429.45</v>
      </c>
      <c r="G20164" s="3" t="n">
        <v>99435.60000000001</v>
      </c>
    </row>
    <row r="20165">
      <c r="A20165" s="3" t="inlineStr">
        <is>
          <t>Opportunity Private Capital (PTY) LTD</t>
        </is>
      </c>
      <c r="B20165" s="4" t="n">
        <v>45412</v>
      </c>
      <c r="C20165" s="3" t="inlineStr">
        <is>
          <t>Expenses</t>
        </is>
      </c>
      <c r="D20165" s="3" t="inlineStr">
        <is>
          <t>4450/000</t>
        </is>
      </c>
      <c r="E20165" s="3" t="inlineStr">
        <is>
          <t>Staff Training</t>
        </is>
      </c>
      <c r="F20165" s="3" t="n">
        <v>0</v>
      </c>
      <c r="G20165" s="3" t="n">
        <v>3022.61</v>
      </c>
    </row>
    <row r="20166">
      <c r="A20166" s="3" t="inlineStr">
        <is>
          <t>Noble Shield (Pty) Ltd ta Go Letting</t>
        </is>
      </c>
      <c r="B20166" s="4" t="n">
        <v>45412</v>
      </c>
      <c r="C20166" s="3" t="inlineStr">
        <is>
          <t>Expenses</t>
        </is>
      </c>
      <c r="D20166" s="3" t="inlineStr">
        <is>
          <t>4500/000</t>
        </is>
      </c>
      <c r="E20166" s="3" t="inlineStr">
        <is>
          <t>Staff Welfare</t>
        </is>
      </c>
      <c r="F20166" s="3" t="n">
        <v>1000</v>
      </c>
      <c r="G20166" s="3" t="n">
        <v>6599.4</v>
      </c>
    </row>
    <row r="20167">
      <c r="A20167" s="3" t="inlineStr">
        <is>
          <t>Opportunity Global Property (PTY) LTD</t>
        </is>
      </c>
      <c r="B20167" s="4" t="n">
        <v>45412</v>
      </c>
      <c r="C20167" s="3" t="inlineStr">
        <is>
          <t>Expenses</t>
        </is>
      </c>
      <c r="D20167" s="3" t="inlineStr">
        <is>
          <t>4500/000</t>
        </is>
      </c>
      <c r="E20167" s="3" t="inlineStr">
        <is>
          <t>Staff Welfare</t>
        </is>
      </c>
      <c r="F20167" s="3" t="n">
        <v>2839.99</v>
      </c>
      <c r="G20167" s="3" t="n">
        <v>4779.12</v>
      </c>
    </row>
    <row r="20168">
      <c r="A20168" s="3" t="inlineStr">
        <is>
          <t>Opportunity Management Holdings (PTY) LTD</t>
        </is>
      </c>
      <c r="B20168" s="4" t="n">
        <v>45412</v>
      </c>
      <c r="C20168" s="3" t="inlineStr">
        <is>
          <t>Expenses</t>
        </is>
      </c>
      <c r="D20168" s="3" t="inlineStr">
        <is>
          <t>4500/000</t>
        </is>
      </c>
      <c r="E20168" s="3" t="inlineStr">
        <is>
          <t>Staff Welfare</t>
        </is>
      </c>
      <c r="F20168" s="3" t="n">
        <v>2966.8</v>
      </c>
      <c r="G20168" s="3" t="n">
        <v>75261.13</v>
      </c>
    </row>
    <row r="20169">
      <c r="A20169" s="3" t="inlineStr">
        <is>
          <t>Opportunity Private Capital (PTY) LTD</t>
        </is>
      </c>
      <c r="B20169" s="4" t="n">
        <v>45412</v>
      </c>
      <c r="C20169" s="3" t="inlineStr">
        <is>
          <t>Expenses</t>
        </is>
      </c>
      <c r="D20169" s="3" t="inlineStr">
        <is>
          <t>4500/000</t>
        </is>
      </c>
      <c r="E20169" s="3" t="inlineStr">
        <is>
          <t>Staff Welfare</t>
        </is>
      </c>
      <c r="F20169" s="3" t="n">
        <v>113.04</v>
      </c>
      <c r="G20169" s="3" t="n">
        <v>113.04</v>
      </c>
    </row>
    <row r="20170">
      <c r="A20170" s="3" t="inlineStr">
        <is>
          <t>Noble Shield (Pty) Ltd ta Go Letting</t>
        </is>
      </c>
      <c r="B20170" s="4" t="n">
        <v>45412</v>
      </c>
      <c r="C20170" s="3" t="inlineStr">
        <is>
          <t>Expenses</t>
        </is>
      </c>
      <c r="D20170" s="3" t="inlineStr">
        <is>
          <t>4520/000</t>
        </is>
      </c>
      <c r="E20170" s="3" t="inlineStr">
        <is>
          <t>Security</t>
        </is>
      </c>
      <c r="F20170" s="3" t="n">
        <v>884</v>
      </c>
      <c r="G20170" s="3" t="n">
        <v>7227.44</v>
      </c>
    </row>
    <row r="20171">
      <c r="A20171" s="3" t="inlineStr">
        <is>
          <t>Quinate Consulting (Pty) Ltd</t>
        </is>
      </c>
      <c r="B20171" s="4" t="n">
        <v>45412</v>
      </c>
      <c r="C20171" s="3" t="inlineStr">
        <is>
          <t>Expenses</t>
        </is>
      </c>
      <c r="D20171" s="3" t="inlineStr">
        <is>
          <t>4550/000</t>
        </is>
      </c>
      <c r="E20171" s="3" t="inlineStr">
        <is>
          <t>Subscriptions / Licenses</t>
        </is>
      </c>
      <c r="F20171" s="3" t="n">
        <v>15498.99</v>
      </c>
      <c r="G20171" s="3" t="n">
        <v>30246.06</v>
      </c>
    </row>
    <row r="20172">
      <c r="A20172" s="3" t="inlineStr">
        <is>
          <t>Opportunity Management Holdings (PTY) LTD</t>
        </is>
      </c>
      <c r="B20172" s="4" t="n">
        <v>45412</v>
      </c>
      <c r="C20172" s="3" t="inlineStr">
        <is>
          <t>Expenses</t>
        </is>
      </c>
      <c r="D20172" s="3" t="inlineStr">
        <is>
          <t>4550/000</t>
        </is>
      </c>
      <c r="E20172" s="3" t="inlineStr">
        <is>
          <t>Subscriptions _AND_ Lisences</t>
        </is>
      </c>
      <c r="F20172" s="3" t="n">
        <v>3684.13</v>
      </c>
      <c r="G20172" s="3" t="n">
        <v>43032.65</v>
      </c>
    </row>
    <row r="20173">
      <c r="A20173" s="3" t="inlineStr">
        <is>
          <t>Opportunity Global Property (PTY) LTD</t>
        </is>
      </c>
      <c r="B20173" s="4" t="n">
        <v>45412</v>
      </c>
      <c r="C20173" s="3" t="inlineStr">
        <is>
          <t>Expenses</t>
        </is>
      </c>
      <c r="D20173" s="3" t="inlineStr">
        <is>
          <t>4550/100</t>
        </is>
      </c>
      <c r="E20173" s="3" t="inlineStr">
        <is>
          <t>Subsciption - We connect U</t>
        </is>
      </c>
      <c r="F20173" s="3" t="n">
        <v>1185</v>
      </c>
      <c r="G20173" s="3" t="n">
        <v>1185</v>
      </c>
    </row>
    <row r="20174">
      <c r="A20174" s="3" t="inlineStr">
        <is>
          <t>Noble Shield (Pty) Ltd ta Go Letting</t>
        </is>
      </c>
      <c r="B20174" s="4" t="n">
        <v>45412</v>
      </c>
      <c r="C20174" s="3" t="inlineStr">
        <is>
          <t>Expenses</t>
        </is>
      </c>
      <c r="D20174" s="3" t="inlineStr">
        <is>
          <t>4550/100</t>
        </is>
      </c>
      <c r="E20174" s="3" t="inlineStr">
        <is>
          <t>Subscriptions - EAAB</t>
        </is>
      </c>
      <c r="F20174" s="3" t="n">
        <v>0</v>
      </c>
      <c r="G20174" s="3" t="n">
        <v>4812</v>
      </c>
    </row>
    <row r="20175">
      <c r="A20175" s="3" t="inlineStr">
        <is>
          <t>Trademark Holdings (Pty) Ltd</t>
        </is>
      </c>
      <c r="B20175" s="4" t="n">
        <v>45412</v>
      </c>
      <c r="C20175" s="3" t="inlineStr">
        <is>
          <t>Expenses</t>
        </is>
      </c>
      <c r="D20175" s="3" t="inlineStr">
        <is>
          <t>4550/100</t>
        </is>
      </c>
      <c r="E20175" s="3" t="inlineStr">
        <is>
          <t>Subscriptions - EAAB</t>
        </is>
      </c>
      <c r="F20175" s="3" t="n">
        <v>0</v>
      </c>
      <c r="G20175" s="3" t="n">
        <v>1604</v>
      </c>
    </row>
    <row r="20176">
      <c r="A20176" s="3" t="inlineStr">
        <is>
          <t>Opportunity Private Capital (PTY) LTD</t>
        </is>
      </c>
      <c r="B20176" s="4" t="n">
        <v>45412</v>
      </c>
      <c r="C20176" s="3" t="inlineStr">
        <is>
          <t>Expenses</t>
        </is>
      </c>
      <c r="D20176" s="3" t="inlineStr">
        <is>
          <t>4550/100</t>
        </is>
      </c>
      <c r="E20176" s="3" t="inlineStr">
        <is>
          <t>Subscriptions - Zoho</t>
        </is>
      </c>
      <c r="F20176" s="3" t="n">
        <v>1575</v>
      </c>
      <c r="G20176" s="3" t="n">
        <v>3491.38</v>
      </c>
    </row>
    <row r="20177">
      <c r="A20177" s="3" t="inlineStr">
        <is>
          <t>Opportunity Private Capital (PTY) LTD</t>
        </is>
      </c>
      <c r="B20177" s="4" t="n">
        <v>45412</v>
      </c>
      <c r="C20177" s="3" t="inlineStr">
        <is>
          <t>Expenses</t>
        </is>
      </c>
      <c r="D20177" s="3" t="inlineStr">
        <is>
          <t>4550/250</t>
        </is>
      </c>
      <c r="E20177" s="3" t="inlineStr">
        <is>
          <t>Subscriptions - LinkedIn</t>
        </is>
      </c>
      <c r="F20177" s="3" t="n">
        <v>1000.49</v>
      </c>
      <c r="G20177" s="3" t="n">
        <v>2000.98</v>
      </c>
    </row>
    <row r="20178">
      <c r="A20178" s="3" t="inlineStr">
        <is>
          <t>Opportunity Private Capital (PTY) LTD</t>
        </is>
      </c>
      <c r="B20178" s="4" t="n">
        <v>45412</v>
      </c>
      <c r="C20178" s="3" t="inlineStr">
        <is>
          <t>Expenses</t>
        </is>
      </c>
      <c r="D20178" s="3" t="inlineStr">
        <is>
          <t>4550/350</t>
        </is>
      </c>
      <c r="E20178" s="3" t="inlineStr">
        <is>
          <t>Subscriptions - Xero</t>
        </is>
      </c>
      <c r="F20178" s="3" t="n">
        <v>600</v>
      </c>
      <c r="G20178" s="3" t="n">
        <v>1200</v>
      </c>
    </row>
    <row r="20179">
      <c r="A20179" s="3" t="inlineStr">
        <is>
          <t>Opportunity Private Capital (PTY) LTD</t>
        </is>
      </c>
      <c r="B20179" s="4" t="n">
        <v>45412</v>
      </c>
      <c r="C20179" s="3" t="inlineStr">
        <is>
          <t>Expenses</t>
        </is>
      </c>
      <c r="D20179" s="3" t="inlineStr">
        <is>
          <t>4550/400</t>
        </is>
      </c>
      <c r="E20179" s="3" t="inlineStr">
        <is>
          <t>Subscriptions - Moneyweb</t>
        </is>
      </c>
      <c r="F20179" s="3" t="n">
        <v>60.87</v>
      </c>
      <c r="G20179" s="3" t="n">
        <v>121.74</v>
      </c>
    </row>
    <row r="20180">
      <c r="A20180" s="3" t="inlineStr">
        <is>
          <t>Trademark Holdings (Pty) Ltd</t>
        </is>
      </c>
      <c r="B20180" s="4" t="n">
        <v>45412</v>
      </c>
      <c r="C20180" s="3" t="inlineStr">
        <is>
          <t>Expenses</t>
        </is>
      </c>
      <c r="D20180" s="3" t="inlineStr">
        <is>
          <t>4550/400</t>
        </is>
      </c>
      <c r="E20180" s="3" t="inlineStr">
        <is>
          <t>Subscriptions - Xero</t>
        </is>
      </c>
      <c r="F20180" s="3" t="n">
        <v>600</v>
      </c>
      <c r="G20180" s="3" t="n">
        <v>4800</v>
      </c>
    </row>
    <row r="20181">
      <c r="A20181" s="3" t="inlineStr">
        <is>
          <t>Opportunity Private Capital (PTY) LTD</t>
        </is>
      </c>
      <c r="B20181" s="4" t="n">
        <v>45412</v>
      </c>
      <c r="C20181" s="3" t="inlineStr">
        <is>
          <t>Expenses</t>
        </is>
      </c>
      <c r="D20181" s="3" t="inlineStr">
        <is>
          <t>4550/450</t>
        </is>
      </c>
      <c r="E20181" s="3" t="inlineStr">
        <is>
          <t>Subscriptions - Adobe</t>
        </is>
      </c>
      <c r="F20181" s="3" t="n">
        <v>916.73</v>
      </c>
      <c r="G20181" s="3" t="n">
        <v>1830.27</v>
      </c>
    </row>
    <row r="20182">
      <c r="A20182" s="3" t="inlineStr">
        <is>
          <t>Opportunity Private Capital (PTY) LTD</t>
        </is>
      </c>
      <c r="B20182" s="4" t="n">
        <v>45412</v>
      </c>
      <c r="C20182" s="3" t="inlineStr">
        <is>
          <t>Expenses</t>
        </is>
      </c>
      <c r="D20182" s="3" t="inlineStr">
        <is>
          <t>4550/500</t>
        </is>
      </c>
      <c r="E20182" s="3" t="inlineStr">
        <is>
          <t>Subscriptions - Pandadoc</t>
        </is>
      </c>
      <c r="F20182" s="3" t="n">
        <v>669.54</v>
      </c>
      <c r="G20182" s="3" t="n">
        <v>1339.95</v>
      </c>
    </row>
    <row r="20183">
      <c r="A20183" s="3" t="inlineStr">
        <is>
          <t>Opportunity Private Capital (PTY) LTD</t>
        </is>
      </c>
      <c r="B20183" s="4" t="n">
        <v>45412</v>
      </c>
      <c r="C20183" s="3" t="inlineStr">
        <is>
          <t>Expenses</t>
        </is>
      </c>
      <c r="D20183" s="3" t="inlineStr">
        <is>
          <t>4550/600</t>
        </is>
      </c>
      <c r="E20183" s="3" t="inlineStr">
        <is>
          <t>Subscription - Private Property</t>
        </is>
      </c>
      <c r="F20183" s="3" t="n">
        <v>2679</v>
      </c>
      <c r="G20183" s="3" t="n">
        <v>5358</v>
      </c>
    </row>
    <row r="20184">
      <c r="A20184" s="3" t="inlineStr">
        <is>
          <t>Noble Shield (Pty) Ltd ta Go Letting</t>
        </is>
      </c>
      <c r="B20184" s="4" t="n">
        <v>45412</v>
      </c>
      <c r="C20184" s="3" t="inlineStr">
        <is>
          <t>Expenses</t>
        </is>
      </c>
      <c r="D20184" s="3" t="inlineStr">
        <is>
          <t>4550/600</t>
        </is>
      </c>
      <c r="E20184" s="3" t="inlineStr">
        <is>
          <t>Subscriptions - Webbox</t>
        </is>
      </c>
      <c r="F20184" s="3" t="n">
        <v>1866.45</v>
      </c>
      <c r="G20184" s="3" t="n">
        <v>13946.05</v>
      </c>
    </row>
    <row r="20185">
      <c r="A20185" s="3" t="inlineStr">
        <is>
          <t>Noble Shield (Pty) Ltd ta Go Letting</t>
        </is>
      </c>
      <c r="B20185" s="4" t="n">
        <v>45412</v>
      </c>
      <c r="C20185" s="3" t="inlineStr">
        <is>
          <t>Expenses</t>
        </is>
      </c>
      <c r="D20185" s="3" t="inlineStr">
        <is>
          <t>4550/650</t>
        </is>
      </c>
      <c r="E20185" s="3" t="inlineStr">
        <is>
          <t>Subscriptions - Xero</t>
        </is>
      </c>
      <c r="F20185" s="3" t="n">
        <v>600</v>
      </c>
      <c r="G20185" s="3" t="n">
        <v>4800</v>
      </c>
    </row>
    <row r="20186">
      <c r="A20186" s="3" t="inlineStr">
        <is>
          <t>Noble Shield (Pty) Ltd ta Go Letting</t>
        </is>
      </c>
      <c r="B20186" s="4" t="n">
        <v>45412</v>
      </c>
      <c r="C20186" s="3" t="inlineStr">
        <is>
          <t>Expenses</t>
        </is>
      </c>
      <c r="D20186" s="3" t="inlineStr">
        <is>
          <t>4550/800</t>
        </is>
      </c>
      <c r="E20186" s="3" t="inlineStr">
        <is>
          <t>Subscriptions - Adobe</t>
        </is>
      </c>
      <c r="F20186" s="3" t="n">
        <v>0</v>
      </c>
      <c r="G20186" s="3" t="n">
        <v>914.5599999999999</v>
      </c>
    </row>
    <row r="20187">
      <c r="A20187" s="3" t="inlineStr">
        <is>
          <t>Opportunity Global Property (PTY) LTD</t>
        </is>
      </c>
      <c r="B20187" s="4" t="n">
        <v>45412</v>
      </c>
      <c r="C20187" s="3" t="inlineStr">
        <is>
          <t>Expenses</t>
        </is>
      </c>
      <c r="D20187" s="3" t="inlineStr">
        <is>
          <t>4551/000</t>
        </is>
      </c>
      <c r="E20187" s="3" t="inlineStr">
        <is>
          <t>Subscriptions - Payprop</t>
        </is>
      </c>
      <c r="F20187" s="3" t="n">
        <v>4837.51</v>
      </c>
      <c r="G20187" s="3" t="n">
        <v>6577.51</v>
      </c>
    </row>
    <row r="20188">
      <c r="A20188" s="3" t="inlineStr">
        <is>
          <t>Endulini (Pty) Ltd</t>
        </is>
      </c>
      <c r="B20188" s="4" t="n">
        <v>45412</v>
      </c>
      <c r="C20188" s="3" t="inlineStr">
        <is>
          <t>Expenses</t>
        </is>
      </c>
      <c r="D20188" s="3" t="inlineStr">
        <is>
          <t>4552/000</t>
        </is>
      </c>
      <c r="E20188" s="3" t="inlineStr">
        <is>
          <t>Subscriptions - Xero</t>
        </is>
      </c>
      <c r="F20188" s="3" t="n">
        <v>600</v>
      </c>
      <c r="G20188" s="3" t="n">
        <v>1200</v>
      </c>
    </row>
    <row r="20189">
      <c r="A20189" s="3" t="inlineStr">
        <is>
          <t>Opportunity Global Property (PTY) LTD</t>
        </is>
      </c>
      <c r="B20189" s="4" t="n">
        <v>45412</v>
      </c>
      <c r="C20189" s="3" t="inlineStr">
        <is>
          <t>Expenses</t>
        </is>
      </c>
      <c r="D20189" s="3" t="inlineStr">
        <is>
          <t>4552/000</t>
        </is>
      </c>
      <c r="E20189" s="3" t="inlineStr">
        <is>
          <t>Subscriptions - Xero</t>
        </is>
      </c>
      <c r="F20189" s="3" t="n">
        <v>600</v>
      </c>
      <c r="G20189" s="3" t="n">
        <v>1200</v>
      </c>
    </row>
    <row r="20190">
      <c r="A20190" s="3" t="inlineStr">
        <is>
          <t>Opportunity Management Holdings (PTY) LTD</t>
        </is>
      </c>
      <c r="B20190" s="4" t="n">
        <v>45412</v>
      </c>
      <c r="C20190" s="3" t="inlineStr">
        <is>
          <t>Expenses</t>
        </is>
      </c>
      <c r="D20190" s="3" t="inlineStr">
        <is>
          <t>4552/000</t>
        </is>
      </c>
      <c r="E20190" s="3" t="inlineStr">
        <is>
          <t>Subscriptions - Xero</t>
        </is>
      </c>
      <c r="F20190" s="3" t="n">
        <v>600</v>
      </c>
      <c r="G20190" s="3" t="n">
        <v>4800</v>
      </c>
    </row>
    <row r="20191">
      <c r="A20191" s="3" t="inlineStr">
        <is>
          <t>Opportunity Global Property (PTY) LTD</t>
        </is>
      </c>
      <c r="B20191" s="4" t="n">
        <v>45412</v>
      </c>
      <c r="C20191" s="3" t="inlineStr">
        <is>
          <t>Expenses</t>
        </is>
      </c>
      <c r="D20191" s="3" t="inlineStr">
        <is>
          <t>4553/000</t>
        </is>
      </c>
      <c r="E20191" s="3" t="inlineStr">
        <is>
          <t>Subscriptions - CMA</t>
        </is>
      </c>
      <c r="F20191" s="3" t="n">
        <v>680</v>
      </c>
      <c r="G20191" s="3" t="n">
        <v>1360</v>
      </c>
    </row>
    <row r="20192">
      <c r="A20192" s="3" t="inlineStr">
        <is>
          <t>Quinate Consulting (Pty) Ltd</t>
        </is>
      </c>
      <c r="B20192" s="4" t="n">
        <v>45412</v>
      </c>
      <c r="C20192" s="3" t="inlineStr">
        <is>
          <t>Expenses</t>
        </is>
      </c>
      <c r="D20192" s="3" t="inlineStr">
        <is>
          <t>4554/000</t>
        </is>
      </c>
      <c r="E20192" s="3" t="inlineStr">
        <is>
          <t>Subscriptions - Xero</t>
        </is>
      </c>
      <c r="F20192" s="3" t="n">
        <v>600</v>
      </c>
      <c r="G20192" s="3" t="n">
        <v>1200</v>
      </c>
    </row>
    <row r="20193">
      <c r="A20193" s="3" t="inlineStr">
        <is>
          <t>Opportunity Global Property (PTY) LTD</t>
        </is>
      </c>
      <c r="B20193" s="4" t="n">
        <v>45412</v>
      </c>
      <c r="C20193" s="3" t="inlineStr">
        <is>
          <t>Expenses</t>
        </is>
      </c>
      <c r="D20193" s="3" t="inlineStr">
        <is>
          <t>4554/000</t>
        </is>
      </c>
      <c r="E20193" s="3" t="inlineStr">
        <is>
          <t>Subscriptions - Zoho</t>
        </is>
      </c>
      <c r="F20193" s="3" t="n">
        <v>750</v>
      </c>
      <c r="G20193" s="3" t="n">
        <v>1500</v>
      </c>
    </row>
    <row r="20194">
      <c r="A20194" s="3" t="inlineStr">
        <is>
          <t>Quinate Consulting (Pty) Ltd</t>
        </is>
      </c>
      <c r="B20194" s="4" t="n">
        <v>45412</v>
      </c>
      <c r="C20194" s="3" t="inlineStr">
        <is>
          <t>Expenses</t>
        </is>
      </c>
      <c r="D20194" s="3" t="inlineStr">
        <is>
          <t>4555/000</t>
        </is>
      </c>
      <c r="E20194" s="3" t="inlineStr">
        <is>
          <t>Subscriptions - OUMS</t>
        </is>
      </c>
      <c r="F20194" s="3" t="n">
        <v>13465.42</v>
      </c>
      <c r="G20194" s="3" t="n">
        <v>26930.84</v>
      </c>
    </row>
    <row r="20195">
      <c r="A20195" s="3" t="inlineStr">
        <is>
          <t>Opportunity Global Property (PTY) LTD</t>
        </is>
      </c>
      <c r="B20195" s="4" t="n">
        <v>45412</v>
      </c>
      <c r="C20195" s="3" t="inlineStr">
        <is>
          <t>Expenses</t>
        </is>
      </c>
      <c r="D20195" s="3" t="inlineStr">
        <is>
          <t>4556/000</t>
        </is>
      </c>
      <c r="E20195" s="3" t="inlineStr">
        <is>
          <t>Subscription: Sjoon</t>
        </is>
      </c>
      <c r="F20195" s="3" t="n">
        <v>217.39</v>
      </c>
      <c r="G20195" s="3" t="n">
        <v>434.78</v>
      </c>
    </row>
    <row r="20196">
      <c r="A20196" s="3" t="inlineStr">
        <is>
          <t>Opportunity Global Property (PTY) LTD</t>
        </is>
      </c>
      <c r="B20196" s="4" t="n">
        <v>45412</v>
      </c>
      <c r="C20196" s="3" t="inlineStr">
        <is>
          <t>Expenses</t>
        </is>
      </c>
      <c r="D20196" s="3" t="inlineStr">
        <is>
          <t>4557/000</t>
        </is>
      </c>
      <c r="E20196" s="3" t="inlineStr">
        <is>
          <t>Subscriptions - Lighthouse</t>
        </is>
      </c>
      <c r="F20196" s="3" t="n">
        <v>0</v>
      </c>
      <c r="G20196" s="3" t="n">
        <v>415</v>
      </c>
    </row>
    <row r="20197">
      <c r="A20197" s="3" t="inlineStr">
        <is>
          <t>Noble Shield (Pty) Ltd ta Go Letting</t>
        </is>
      </c>
      <c r="B20197" s="4" t="n">
        <v>45412</v>
      </c>
      <c r="C20197" s="3" t="inlineStr">
        <is>
          <t>Expenses</t>
        </is>
      </c>
      <c r="D20197" s="3" t="inlineStr">
        <is>
          <t>4560/000</t>
        </is>
      </c>
      <c r="E20197" s="3" t="inlineStr">
        <is>
          <t>Small Assets - under R7000</t>
        </is>
      </c>
      <c r="F20197" s="3" t="n">
        <v>3450</v>
      </c>
      <c r="G20197" s="3" t="n">
        <v>10166</v>
      </c>
    </row>
    <row r="20198">
      <c r="A20198" s="3" t="inlineStr">
        <is>
          <t>Opportunity Management Holdings (PTY) LTD</t>
        </is>
      </c>
      <c r="B20198" s="4" t="n">
        <v>45412</v>
      </c>
      <c r="C20198" s="3" t="inlineStr">
        <is>
          <t>Expenses</t>
        </is>
      </c>
      <c r="D20198" s="3" t="inlineStr">
        <is>
          <t>4600/000</t>
        </is>
      </c>
      <c r="E20198" s="3" t="inlineStr">
        <is>
          <t>Telephone _AND_ Fax</t>
        </is>
      </c>
      <c r="F20198" s="3" t="n">
        <v>0</v>
      </c>
      <c r="G20198" s="3" t="n">
        <v>352.17</v>
      </c>
    </row>
    <row r="20199">
      <c r="A20199" s="3" t="inlineStr">
        <is>
          <t>Opportunity Private Capital (PTY) LTD</t>
        </is>
      </c>
      <c r="B20199" s="4" t="n">
        <v>45412</v>
      </c>
      <c r="C20199" s="3" t="inlineStr">
        <is>
          <t>Expenses</t>
        </is>
      </c>
      <c r="D20199" s="3" t="inlineStr">
        <is>
          <t>4600/000</t>
        </is>
      </c>
      <c r="E20199" s="3" t="inlineStr">
        <is>
          <t>Telephone _AND_ Fax</t>
        </is>
      </c>
      <c r="F20199" s="3" t="n">
        <v>3485.43</v>
      </c>
      <c r="G20199" s="3" t="n">
        <v>7160.43</v>
      </c>
    </row>
    <row r="20200">
      <c r="A20200" s="3" t="inlineStr">
        <is>
          <t>Trademark Holdings (Pty) Ltd</t>
        </is>
      </c>
      <c r="B20200" s="4" t="n">
        <v>45412</v>
      </c>
      <c r="C20200" s="3" t="inlineStr">
        <is>
          <t>Expenses</t>
        </is>
      </c>
      <c r="D20200" s="3" t="inlineStr">
        <is>
          <t>4600/000</t>
        </is>
      </c>
      <c r="E20200" s="3" t="inlineStr">
        <is>
          <t>Telephone _AND_ Fax</t>
        </is>
      </c>
      <c r="F20200" s="3" t="n">
        <v>1227.06</v>
      </c>
      <c r="G20200" s="3" t="n">
        <v>10665.88</v>
      </c>
    </row>
    <row r="20201">
      <c r="A20201" s="3" t="inlineStr">
        <is>
          <t>Noble Shield (Pty) Ltd ta Go Letting</t>
        </is>
      </c>
      <c r="B20201" s="4" t="n">
        <v>45412</v>
      </c>
      <c r="C20201" s="3" t="inlineStr">
        <is>
          <t>Expenses</t>
        </is>
      </c>
      <c r="D20201" s="3" t="inlineStr">
        <is>
          <t>4610/000</t>
        </is>
      </c>
      <c r="E20201" s="3" t="inlineStr">
        <is>
          <t>Telephone - CT Office</t>
        </is>
      </c>
      <c r="F20201" s="3" t="n">
        <v>958.83</v>
      </c>
      <c r="G20201" s="3" t="n">
        <v>9909.959999999999</v>
      </c>
    </row>
    <row r="20202">
      <c r="A20202" s="3" t="inlineStr">
        <is>
          <t>Quinate Consulting (Pty) Ltd</t>
        </is>
      </c>
      <c r="B20202" s="4" t="n">
        <v>45412</v>
      </c>
      <c r="C20202" s="3" t="inlineStr">
        <is>
          <t>Expenses</t>
        </is>
      </c>
      <c r="D20202" s="3" t="inlineStr">
        <is>
          <t>4650/030</t>
        </is>
      </c>
      <c r="E20202" s="3" t="inlineStr">
        <is>
          <t>Travel - Parking</t>
        </is>
      </c>
      <c r="F20202" s="3" t="n">
        <v>17.39</v>
      </c>
      <c r="G20202" s="3" t="n">
        <v>17.39</v>
      </c>
    </row>
    <row r="20203">
      <c r="A20203" s="3" t="inlineStr">
        <is>
          <t>Opportunity Private Capital (PTY) LTD</t>
        </is>
      </c>
      <c r="B20203" s="4" t="n">
        <v>45412</v>
      </c>
      <c r="C20203" s="3" t="inlineStr">
        <is>
          <t>Expenses</t>
        </is>
      </c>
      <c r="D20203" s="3" t="inlineStr">
        <is>
          <t>4650/030</t>
        </is>
      </c>
      <c r="E20203" s="3" t="inlineStr">
        <is>
          <t>Travel _AND_ Accomodation - Local Accom</t>
        </is>
      </c>
      <c r="F20203" s="3" t="n">
        <v>0</v>
      </c>
      <c r="G20203" s="3" t="n">
        <v>5752.18</v>
      </c>
    </row>
    <row r="20204">
      <c r="A20204" s="3" t="inlineStr">
        <is>
          <t>Noble Shield (Pty) Ltd ta Go Letting</t>
        </is>
      </c>
      <c r="B20204" s="4" t="n">
        <v>45412</v>
      </c>
      <c r="C20204" s="3" t="inlineStr">
        <is>
          <t>Expenses</t>
        </is>
      </c>
      <c r="D20204" s="3" t="inlineStr">
        <is>
          <t>4700/000</t>
        </is>
      </c>
      <c r="E20204" s="3" t="inlineStr">
        <is>
          <t>PAYE Contributions</t>
        </is>
      </c>
      <c r="F20204" s="3" t="n">
        <v>5554.96</v>
      </c>
      <c r="G20204" s="3" t="n">
        <v>42201.59</v>
      </c>
    </row>
    <row r="20205">
      <c r="A20205" s="3" t="inlineStr">
        <is>
          <t>Trademark Holdings (Pty) Ltd</t>
        </is>
      </c>
      <c r="B20205" s="4" t="n">
        <v>45412</v>
      </c>
      <c r="C20205" s="3" t="inlineStr">
        <is>
          <t>Expenses</t>
        </is>
      </c>
      <c r="D20205" s="3" t="inlineStr">
        <is>
          <t>4700/000</t>
        </is>
      </c>
      <c r="E20205" s="3" t="inlineStr">
        <is>
          <t>PAYE Contributions</t>
        </is>
      </c>
      <c r="F20205" s="3" t="n">
        <v>4396.8</v>
      </c>
      <c r="G20205" s="3" t="n">
        <v>51169.44</v>
      </c>
    </row>
    <row r="20206">
      <c r="A20206" s="3" t="inlineStr">
        <is>
          <t>Opportunity Global Property (PTY) LTD</t>
        </is>
      </c>
      <c r="B20206" s="4" t="n">
        <v>45412</v>
      </c>
      <c r="C20206" s="3" t="inlineStr">
        <is>
          <t>Expenses</t>
        </is>
      </c>
      <c r="D20206" s="3" t="inlineStr">
        <is>
          <t>4700/000</t>
        </is>
      </c>
      <c r="E20206" s="3" t="inlineStr">
        <is>
          <t>UIF Contributions</t>
        </is>
      </c>
      <c r="F20206" s="3" t="n">
        <v>0</v>
      </c>
      <c r="G20206" s="3" t="n">
        <v>317.12</v>
      </c>
    </row>
    <row r="20207">
      <c r="A20207" s="3" t="inlineStr">
        <is>
          <t>Opportunity Private Capital (PTY) LTD</t>
        </is>
      </c>
      <c r="B20207" s="4" t="n">
        <v>45412</v>
      </c>
      <c r="C20207" s="3" t="inlineStr">
        <is>
          <t>Expenses</t>
        </is>
      </c>
      <c r="D20207" s="3" t="inlineStr">
        <is>
          <t>4700/000</t>
        </is>
      </c>
      <c r="E20207" s="3" t="inlineStr">
        <is>
          <t>UIF Contributions</t>
        </is>
      </c>
      <c r="F20207" s="3" t="n">
        <v>0</v>
      </c>
      <c r="G20207" s="3" t="n">
        <v>354.24</v>
      </c>
    </row>
    <row r="20208">
      <c r="A20208" s="3" t="inlineStr">
        <is>
          <t>Opportunity Global Property (PTY) LTD</t>
        </is>
      </c>
      <c r="B20208" s="4" t="n">
        <v>45412</v>
      </c>
      <c r="C20208" s="3" t="inlineStr">
        <is>
          <t>Expenses</t>
        </is>
      </c>
      <c r="D20208" s="3" t="inlineStr">
        <is>
          <t>4701/000</t>
        </is>
      </c>
      <c r="E20208" s="3" t="inlineStr">
        <is>
          <t>UIF Employee Contribution</t>
        </is>
      </c>
      <c r="F20208" s="3" t="n">
        <v>0</v>
      </c>
      <c r="G20208" s="3" t="n">
        <v>317.12</v>
      </c>
    </row>
    <row r="20209">
      <c r="A20209" s="3" t="inlineStr">
        <is>
          <t>Opportunity Private Capital (PTY) LTD</t>
        </is>
      </c>
      <c r="B20209" s="4" t="n">
        <v>45412</v>
      </c>
      <c r="C20209" s="3" t="inlineStr">
        <is>
          <t>Expenses</t>
        </is>
      </c>
      <c r="D20209" s="3" t="inlineStr">
        <is>
          <t>4701/000</t>
        </is>
      </c>
      <c r="E20209" s="3" t="inlineStr">
        <is>
          <t>UIF Employee Contributions</t>
        </is>
      </c>
      <c r="F20209" s="3" t="n">
        <v>0</v>
      </c>
      <c r="G20209" s="3" t="n">
        <v>354.24</v>
      </c>
    </row>
    <row r="20210">
      <c r="A20210" s="3" t="inlineStr">
        <is>
          <t>Noble Shield (Pty) Ltd ta Go Letting</t>
        </is>
      </c>
      <c r="B20210" s="4" t="n">
        <v>45412</v>
      </c>
      <c r="C20210" s="3" t="inlineStr">
        <is>
          <t>Expenses</t>
        </is>
      </c>
      <c r="D20210" s="3" t="inlineStr">
        <is>
          <t>4710/000</t>
        </is>
      </c>
      <c r="E20210" s="3" t="inlineStr">
        <is>
          <t>UIF Company Contributions</t>
        </is>
      </c>
      <c r="F20210" s="3" t="n">
        <v>276.75</v>
      </c>
      <c r="G20210" s="3" t="n">
        <v>2056.5</v>
      </c>
    </row>
    <row r="20211">
      <c r="A20211" s="3" t="inlineStr">
        <is>
          <t>Trademark Holdings (Pty) Ltd</t>
        </is>
      </c>
      <c r="B20211" s="4" t="n">
        <v>45412</v>
      </c>
      <c r="C20211" s="3" t="inlineStr">
        <is>
          <t>Expenses</t>
        </is>
      </c>
      <c r="D20211" s="3" t="inlineStr">
        <is>
          <t>4710/000</t>
        </is>
      </c>
      <c r="E20211" s="3" t="inlineStr">
        <is>
          <t>UIF Company Contributions</t>
        </is>
      </c>
      <c r="F20211" s="3" t="n">
        <v>95.25</v>
      </c>
      <c r="G20211" s="3" t="n">
        <v>762</v>
      </c>
    </row>
    <row r="20212">
      <c r="A20212" s="3" t="inlineStr">
        <is>
          <t>Noble Shield (Pty) Ltd ta Go Letting</t>
        </is>
      </c>
      <c r="B20212" s="4" t="n">
        <v>45412</v>
      </c>
      <c r="C20212" s="3" t="inlineStr">
        <is>
          <t>Expenses</t>
        </is>
      </c>
      <c r="D20212" s="3" t="inlineStr">
        <is>
          <t>4711/000</t>
        </is>
      </c>
      <c r="E20212" s="3" t="inlineStr">
        <is>
          <t>UIF Employee Contribution</t>
        </is>
      </c>
      <c r="F20212" s="3" t="n">
        <v>276.75</v>
      </c>
      <c r="G20212" s="3" t="n">
        <v>2056.5</v>
      </c>
    </row>
    <row r="20213">
      <c r="A20213" s="3" t="inlineStr">
        <is>
          <t>Trademark Holdings (Pty) Ltd</t>
        </is>
      </c>
      <c r="B20213" s="4" t="n">
        <v>45412</v>
      </c>
      <c r="C20213" s="3" t="inlineStr">
        <is>
          <t>Expenses</t>
        </is>
      </c>
      <c r="D20213" s="3" t="inlineStr">
        <is>
          <t>4711/000</t>
        </is>
      </c>
      <c r="E20213" s="3" t="inlineStr">
        <is>
          <t>UIF Employee Contributions</t>
        </is>
      </c>
      <c r="F20213" s="3" t="n">
        <v>95.25</v>
      </c>
      <c r="G20213" s="3" t="n">
        <v>762</v>
      </c>
    </row>
    <row r="20214">
      <c r="A20214" s="3" t="inlineStr">
        <is>
          <t>Noble Shield (Pty) Ltd ta Go Letting</t>
        </is>
      </c>
      <c r="B20214" s="4" t="n">
        <v>45412</v>
      </c>
      <c r="C20214" s="3" t="inlineStr">
        <is>
          <t>Expenses</t>
        </is>
      </c>
      <c r="D20214" s="3" t="inlineStr">
        <is>
          <t>4720/000</t>
        </is>
      </c>
      <c r="E20214" s="3" t="inlineStr">
        <is>
          <t>SDL Contributions</t>
        </is>
      </c>
      <c r="F20214" s="3" t="n">
        <v>482.66</v>
      </c>
      <c r="G20214" s="3" t="n">
        <v>3690.39</v>
      </c>
    </row>
    <row r="20215">
      <c r="A20215" s="3" t="inlineStr">
        <is>
          <t>Trademark Holdings (Pty) Ltd</t>
        </is>
      </c>
      <c r="B20215" s="4" t="n">
        <v>45412</v>
      </c>
      <c r="C20215" s="3" t="inlineStr">
        <is>
          <t>Expenses</t>
        </is>
      </c>
      <c r="D20215" s="3" t="inlineStr">
        <is>
          <t>4720/000</t>
        </is>
      </c>
      <c r="E20215" s="3" t="inlineStr">
        <is>
          <t>SDL Contributions</t>
        </is>
      </c>
      <c r="F20215" s="3" t="n">
        <v>285.14</v>
      </c>
      <c r="G20215" s="3" t="n">
        <v>2470.08</v>
      </c>
    </row>
    <row r="20216">
      <c r="A20216" s="3" t="inlineStr">
        <is>
          <t>Opportunity Global Property (PTY) LTD</t>
        </is>
      </c>
      <c r="B20216" s="4" t="n">
        <v>45412</v>
      </c>
      <c r="C20216" s="3" t="inlineStr">
        <is>
          <t>Expenses</t>
        </is>
      </c>
      <c r="D20216" s="3" t="inlineStr">
        <is>
          <t>4730/000</t>
        </is>
      </c>
      <c r="E20216" s="3" t="inlineStr">
        <is>
          <t>PAYE Contributions</t>
        </is>
      </c>
      <c r="F20216" s="3" t="n">
        <v>0</v>
      </c>
      <c r="G20216" s="3" t="n">
        <v>8055.14</v>
      </c>
    </row>
    <row r="20217">
      <c r="A20217" s="3" t="inlineStr">
        <is>
          <t>Opportunity Management Holdings (PTY) LTD</t>
        </is>
      </c>
      <c r="B20217" s="4" t="n">
        <v>45412</v>
      </c>
      <c r="C20217" s="3" t="inlineStr">
        <is>
          <t>Expenses</t>
        </is>
      </c>
      <c r="D20217" s="3" t="inlineStr">
        <is>
          <t>4730/000</t>
        </is>
      </c>
      <c r="E20217" s="3" t="inlineStr">
        <is>
          <t>PAYE Contributions</t>
        </is>
      </c>
      <c r="F20217" s="3" t="n">
        <v>41553.85</v>
      </c>
      <c r="G20217" s="3" t="n">
        <v>322417.93</v>
      </c>
    </row>
    <row r="20218">
      <c r="A20218" s="3" t="inlineStr">
        <is>
          <t>Opportunity Private Capital (PTY) LTD</t>
        </is>
      </c>
      <c r="B20218" s="4" t="n">
        <v>45412</v>
      </c>
      <c r="C20218" s="3" t="inlineStr">
        <is>
          <t>Expenses</t>
        </is>
      </c>
      <c r="D20218" s="3" t="inlineStr">
        <is>
          <t>4730/000</t>
        </is>
      </c>
      <c r="E20218" s="3" t="inlineStr">
        <is>
          <t>PAYE Contributions</t>
        </is>
      </c>
      <c r="F20218" s="3" t="n">
        <v>0</v>
      </c>
      <c r="G20218" s="3" t="n">
        <v>13505.18</v>
      </c>
    </row>
    <row r="20219">
      <c r="A20219" s="3" t="inlineStr">
        <is>
          <t>Opportunity Global Property (PTY) LTD</t>
        </is>
      </c>
      <c r="B20219" s="4" t="n">
        <v>45412</v>
      </c>
      <c r="C20219" s="3" t="inlineStr">
        <is>
          <t>Expenses</t>
        </is>
      </c>
      <c r="D20219" s="3" t="inlineStr">
        <is>
          <t>4740/000</t>
        </is>
      </c>
      <c r="E20219" s="3" t="inlineStr">
        <is>
          <t>SDL Contributions</t>
        </is>
      </c>
      <c r="F20219" s="3" t="n">
        <v>0</v>
      </c>
      <c r="G20219" s="3" t="n">
        <v>1477.46</v>
      </c>
    </row>
    <row r="20220">
      <c r="A20220" s="3" t="inlineStr">
        <is>
          <t>Opportunity Private Capital (PTY) LTD</t>
        </is>
      </c>
      <c r="B20220" s="4" t="n">
        <v>45412</v>
      </c>
      <c r="C20220" s="3" t="inlineStr">
        <is>
          <t>Expenses</t>
        </is>
      </c>
      <c r="D20220" s="3" t="inlineStr">
        <is>
          <t>4740/000</t>
        </is>
      </c>
      <c r="E20220" s="3" t="inlineStr">
        <is>
          <t>SDL Contributions</t>
        </is>
      </c>
      <c r="F20220" s="3" t="n">
        <v>0</v>
      </c>
      <c r="G20220" s="3" t="n">
        <v>727.25</v>
      </c>
    </row>
    <row r="20221">
      <c r="A20221" s="3" t="inlineStr">
        <is>
          <t>Opportunity Management Holdings (PTY) LTD</t>
        </is>
      </c>
      <c r="B20221" s="4" t="n">
        <v>45412</v>
      </c>
      <c r="C20221" s="3" t="inlineStr">
        <is>
          <t>Expenses</t>
        </is>
      </c>
      <c r="D20221" s="3" t="inlineStr">
        <is>
          <t>4740/000</t>
        </is>
      </c>
      <c r="E20221" s="3" t="inlineStr">
        <is>
          <t>UIF Company Contribution</t>
        </is>
      </c>
      <c r="F20221" s="3" t="n">
        <v>1728.75</v>
      </c>
      <c r="G20221" s="3" t="n">
        <v>12979.04</v>
      </c>
    </row>
    <row r="20222">
      <c r="A20222" s="3" t="inlineStr">
        <is>
          <t>Opportunity Management Holdings (PTY) LTD</t>
        </is>
      </c>
      <c r="B20222" s="4" t="n">
        <v>45412</v>
      </c>
      <c r="C20222" s="3" t="inlineStr">
        <is>
          <t>Expenses</t>
        </is>
      </c>
      <c r="D20222" s="3" t="inlineStr">
        <is>
          <t>4741/000</t>
        </is>
      </c>
      <c r="E20222" s="3" t="inlineStr">
        <is>
          <t>UIF Employee Contribution</t>
        </is>
      </c>
      <c r="F20222" s="3" t="n">
        <v>1728.75</v>
      </c>
      <c r="G20222" s="3" t="n">
        <v>12979.04</v>
      </c>
    </row>
    <row r="20223">
      <c r="A20223" s="3" t="inlineStr">
        <is>
          <t>Opportunity Management Holdings (PTY) LTD</t>
        </is>
      </c>
      <c r="B20223" s="4" t="n">
        <v>45412</v>
      </c>
      <c r="C20223" s="3" t="inlineStr">
        <is>
          <t>Expenses</t>
        </is>
      </c>
      <c r="D20223" s="3" t="inlineStr">
        <is>
          <t>4750/000</t>
        </is>
      </c>
      <c r="E20223" s="3" t="inlineStr">
        <is>
          <t>SDL Contribution</t>
        </is>
      </c>
      <c r="F20223" s="3" t="n">
        <v>2578.63</v>
      </c>
      <c r="G20223" s="3" t="n">
        <v>19517.2</v>
      </c>
    </row>
    <row r="20224">
      <c r="A20224" s="3" t="inlineStr">
        <is>
          <t>Opportunity Global Property (PTY) LTD</t>
        </is>
      </c>
      <c r="B20224" s="4" t="n">
        <v>45412</v>
      </c>
      <c r="C20224" s="3" t="inlineStr">
        <is>
          <t>Assets</t>
        </is>
      </c>
      <c r="D20224" s="3" t="inlineStr">
        <is>
          <t>5000/001</t>
        </is>
      </c>
      <c r="E20224" s="3" t="inlineStr">
        <is>
          <t>Loan - Cape Projects</t>
        </is>
      </c>
      <c r="F20224" s="3" t="n">
        <v>-15000</v>
      </c>
      <c r="G20224" s="3" t="n">
        <v>145000</v>
      </c>
    </row>
    <row r="20225">
      <c r="A20225" s="3" t="inlineStr">
        <is>
          <t>Opportunity Global Property (PTY) LTD</t>
        </is>
      </c>
      <c r="B20225" s="4" t="n">
        <v>45412</v>
      </c>
      <c r="C20225" s="3" t="inlineStr">
        <is>
          <t>Liabilities</t>
        </is>
      </c>
      <c r="D20225" s="3" t="inlineStr">
        <is>
          <t>5000/006</t>
        </is>
      </c>
      <c r="E20225" s="3" t="inlineStr">
        <is>
          <t>Loan - Purple Blok</t>
        </is>
      </c>
      <c r="F20225" s="3" t="n">
        <v>0</v>
      </c>
      <c r="G20225" s="3" t="n">
        <v>44000</v>
      </c>
    </row>
    <row r="20226">
      <c r="A20226" s="3" t="inlineStr">
        <is>
          <t>Noble Shield (Pty) Ltd ta Go Letting</t>
        </is>
      </c>
      <c r="B20226" s="4" t="n">
        <v>45412</v>
      </c>
      <c r="C20226" s="3" t="inlineStr">
        <is>
          <t>Equity</t>
        </is>
      </c>
      <c r="D20226" s="3" t="inlineStr">
        <is>
          <t>5100/000</t>
        </is>
      </c>
      <c r="E20226" s="3" t="inlineStr">
        <is>
          <t>Share Capital</t>
        </is>
      </c>
      <c r="F20226" s="3" t="n">
        <v>0</v>
      </c>
      <c r="G20226" s="3" t="n">
        <v>-1</v>
      </c>
    </row>
    <row r="20227">
      <c r="A20227" s="3" t="inlineStr">
        <is>
          <t>Opportunity Management Holdings (PTY) LTD</t>
        </is>
      </c>
      <c r="B20227" s="4" t="n">
        <v>45412</v>
      </c>
      <c r="C20227" s="3" t="inlineStr">
        <is>
          <t>Equity</t>
        </is>
      </c>
      <c r="D20227" s="3" t="inlineStr">
        <is>
          <t>5100/000</t>
        </is>
      </c>
      <c r="E20227" s="3" t="inlineStr">
        <is>
          <t>Share Capital / Members Contribution</t>
        </is>
      </c>
      <c r="F20227" s="3" t="n">
        <v>0</v>
      </c>
      <c r="G20227" s="3" t="n">
        <v>-120</v>
      </c>
    </row>
    <row r="20228">
      <c r="A20228" s="3" t="inlineStr">
        <is>
          <t>Quinate Consulting (Pty) Ltd</t>
        </is>
      </c>
      <c r="B20228" s="4" t="n">
        <v>45412</v>
      </c>
      <c r="C20228" s="3" t="inlineStr">
        <is>
          <t>Equity</t>
        </is>
      </c>
      <c r="D20228" s="3" t="inlineStr">
        <is>
          <t>5100/000</t>
        </is>
      </c>
      <c r="E20228" s="3" t="inlineStr">
        <is>
          <t>Share Capital / Members Contribution</t>
        </is>
      </c>
      <c r="F20228" s="3" t="n">
        <v>0</v>
      </c>
      <c r="G20228" s="3" t="n">
        <v>-120</v>
      </c>
    </row>
    <row r="20229">
      <c r="A20229" s="3" t="inlineStr">
        <is>
          <t>Trademark Holdings (Pty) Ltd</t>
        </is>
      </c>
      <c r="B20229" s="4" t="n">
        <v>45412</v>
      </c>
      <c r="C20229" s="3" t="inlineStr">
        <is>
          <t>Equity</t>
        </is>
      </c>
      <c r="D20229" s="3" t="inlineStr">
        <is>
          <t>5100/001</t>
        </is>
      </c>
      <c r="E20229" s="3" t="inlineStr">
        <is>
          <t>Share Capital - GFY Investments</t>
        </is>
      </c>
      <c r="F20229" s="3" t="n">
        <v>0</v>
      </c>
      <c r="G20229" s="3" t="n">
        <v>-60</v>
      </c>
    </row>
    <row r="20230">
      <c r="A20230" s="3" t="inlineStr">
        <is>
          <t>Trademark Holdings (Pty) Ltd</t>
        </is>
      </c>
      <c r="B20230" s="4" t="n">
        <v>45412</v>
      </c>
      <c r="C20230" s="3" t="inlineStr">
        <is>
          <t>Equity</t>
        </is>
      </c>
      <c r="D20230" s="3" t="inlineStr">
        <is>
          <t>5100/002</t>
        </is>
      </c>
      <c r="E20230" s="3" t="inlineStr">
        <is>
          <t>Share Capital - Zak Trust</t>
        </is>
      </c>
      <c r="F20230" s="3" t="n">
        <v>0</v>
      </c>
      <c r="G20230" s="3" t="n">
        <v>-60</v>
      </c>
    </row>
    <row r="20231">
      <c r="A20231" s="3" t="inlineStr">
        <is>
          <t>Opportunity Private Capital (PTY) LTD</t>
        </is>
      </c>
      <c r="B20231" s="4" t="n">
        <v>45412</v>
      </c>
      <c r="C20231" s="3" t="inlineStr">
        <is>
          <t>Equity</t>
        </is>
      </c>
      <c r="D20231" s="3" t="inlineStr">
        <is>
          <t>5101/000</t>
        </is>
      </c>
      <c r="E20231" s="3" t="inlineStr">
        <is>
          <t>Share Capital - Ordinary Type A</t>
        </is>
      </c>
      <c r="F20231" s="3" t="n">
        <v>0</v>
      </c>
      <c r="G20231" s="3" t="n">
        <v>-70</v>
      </c>
    </row>
    <row r="20232">
      <c r="A20232" s="3" t="inlineStr">
        <is>
          <t>Opportunity Private Capital (PTY) LTD</t>
        </is>
      </c>
      <c r="B20232" s="4" t="n">
        <v>45412</v>
      </c>
      <c r="C20232" s="3" t="inlineStr">
        <is>
          <t>Equity</t>
        </is>
      </c>
      <c r="D20232" s="3" t="inlineStr">
        <is>
          <t>5102/000</t>
        </is>
      </c>
      <c r="E20232" s="3" t="inlineStr">
        <is>
          <t>Share Capital - Ordinary Type B</t>
        </is>
      </c>
      <c r="F20232" s="3" t="n">
        <v>0</v>
      </c>
      <c r="G20232" s="3" t="n">
        <v>-30</v>
      </c>
    </row>
    <row r="20233">
      <c r="A20233" s="3" t="inlineStr">
        <is>
          <t>Endulini (Pty) Ltd</t>
        </is>
      </c>
      <c r="B20233" s="4" t="n">
        <v>45412</v>
      </c>
      <c r="C20233" s="3" t="inlineStr">
        <is>
          <t>Equity</t>
        </is>
      </c>
      <c r="D20233" s="3" t="inlineStr">
        <is>
          <t>5200/000</t>
        </is>
      </c>
      <c r="E20233" s="3" t="inlineStr">
        <is>
          <t>Retained Earnings / Loss</t>
        </is>
      </c>
      <c r="F20233" s="3" t="n">
        <v>0</v>
      </c>
      <c r="G20233" s="3" t="n">
        <v>-13615904.67</v>
      </c>
    </row>
    <row r="20234">
      <c r="A20234" s="3" t="inlineStr">
        <is>
          <t>Noble Shield (Pty) Ltd ta Go Letting</t>
        </is>
      </c>
      <c r="B20234" s="4" t="n">
        <v>45412</v>
      </c>
      <c r="C20234" s="3" t="inlineStr">
        <is>
          <t>Equity</t>
        </is>
      </c>
      <c r="D20234" s="3" t="inlineStr">
        <is>
          <t>5200/000</t>
        </is>
      </c>
      <c r="E20234" s="3" t="inlineStr">
        <is>
          <t>Retained Earnings / Loss</t>
        </is>
      </c>
      <c r="F20234" s="3" t="n">
        <v>0</v>
      </c>
      <c r="G20234" s="3" t="n">
        <v>-91943.62</v>
      </c>
    </row>
    <row r="20235">
      <c r="A20235" s="3" t="inlineStr">
        <is>
          <t>Opportunity Global Property (PTY) LTD</t>
        </is>
      </c>
      <c r="B20235" s="4" t="n">
        <v>45412</v>
      </c>
      <c r="C20235" s="3" t="inlineStr">
        <is>
          <t>Equity</t>
        </is>
      </c>
      <c r="D20235" s="3" t="inlineStr">
        <is>
          <t>5200/000</t>
        </is>
      </c>
      <c r="E20235" s="3" t="inlineStr">
        <is>
          <t>Retained Earnings / Loss</t>
        </is>
      </c>
      <c r="F20235" s="3" t="n">
        <v>0</v>
      </c>
      <c r="G20235" s="3" t="n">
        <v>-3754324.03</v>
      </c>
    </row>
    <row r="20236">
      <c r="A20236" s="3" t="inlineStr">
        <is>
          <t>Opportunity Management Holdings (PTY) LTD</t>
        </is>
      </c>
      <c r="B20236" s="4" t="n">
        <v>45412</v>
      </c>
      <c r="C20236" s="3" t="inlineStr">
        <is>
          <t>Equity</t>
        </is>
      </c>
      <c r="D20236" s="3" t="inlineStr">
        <is>
          <t>5200/000</t>
        </is>
      </c>
      <c r="E20236" s="3" t="inlineStr">
        <is>
          <t>Retained Earnings / Loss</t>
        </is>
      </c>
      <c r="F20236" s="3" t="n">
        <v>0</v>
      </c>
      <c r="G20236" s="3" t="n">
        <v>1215864.15</v>
      </c>
    </row>
    <row r="20237">
      <c r="A20237" s="3" t="inlineStr">
        <is>
          <t>Opportunity Private Capital (PTY) LTD</t>
        </is>
      </c>
      <c r="B20237" s="4" t="n">
        <v>45412</v>
      </c>
      <c r="C20237" s="3" t="inlineStr">
        <is>
          <t>Equity</t>
        </is>
      </c>
      <c r="D20237" s="3" t="inlineStr">
        <is>
          <t>5200/000</t>
        </is>
      </c>
      <c r="E20237" s="3" t="inlineStr">
        <is>
          <t>Retained Earnings / Loss</t>
        </is>
      </c>
      <c r="F20237" s="3" t="n">
        <v>0</v>
      </c>
      <c r="G20237" s="3" t="n">
        <v>3408751.91</v>
      </c>
    </row>
    <row r="20238">
      <c r="A20238" s="3" t="inlineStr">
        <is>
          <t>Quinate Consulting (Pty) Ltd</t>
        </is>
      </c>
      <c r="B20238" s="4" t="n">
        <v>45412</v>
      </c>
      <c r="C20238" s="3" t="inlineStr">
        <is>
          <t>Equity</t>
        </is>
      </c>
      <c r="D20238" s="3" t="inlineStr">
        <is>
          <t>5200/000</t>
        </is>
      </c>
      <c r="E20238" s="3" t="inlineStr">
        <is>
          <t>Retained Earnings / Loss</t>
        </is>
      </c>
      <c r="F20238" s="3" t="n">
        <v>0</v>
      </c>
      <c r="G20238" s="3" t="n">
        <v>1654577.5</v>
      </c>
    </row>
    <row r="20239">
      <c r="A20239" s="3" t="inlineStr">
        <is>
          <t>Trademark Holdings (Pty) Ltd</t>
        </is>
      </c>
      <c r="B20239" s="4" t="n">
        <v>45412</v>
      </c>
      <c r="C20239" s="3" t="inlineStr">
        <is>
          <t>Equity</t>
        </is>
      </c>
      <c r="D20239" s="3" t="inlineStr">
        <is>
          <t>5200/000</t>
        </is>
      </c>
      <c r="E20239" s="3" t="inlineStr">
        <is>
          <t>Retained Earnings / Loss</t>
        </is>
      </c>
      <c r="F20239" s="3" t="n">
        <v>0</v>
      </c>
      <c r="G20239" s="3" t="n">
        <v>-163666.44</v>
      </c>
    </row>
    <row r="20240">
      <c r="A20240" s="3" t="inlineStr">
        <is>
          <t>Quinate Consulting (Pty) Ltd</t>
        </is>
      </c>
      <c r="B20240" s="4" t="n">
        <v>45412</v>
      </c>
      <c r="C20240" s="3" t="inlineStr">
        <is>
          <t>Assets</t>
        </is>
      </c>
      <c r="D20240" s="3" t="inlineStr">
        <is>
          <t>5400/011</t>
        </is>
      </c>
      <c r="E20240" s="3" t="inlineStr">
        <is>
          <t>Members Loan - Nick Morgan</t>
        </is>
      </c>
      <c r="F20240" s="3" t="n">
        <v>0</v>
      </c>
      <c r="G20240" s="3" t="n">
        <v>-85743.69</v>
      </c>
    </row>
    <row r="20241">
      <c r="A20241" s="3" t="inlineStr">
        <is>
          <t>Opportunity Management Holdings (PTY) LTD</t>
        </is>
      </c>
      <c r="B20241" s="4" t="n">
        <v>45412</v>
      </c>
      <c r="C20241" s="3" t="inlineStr">
        <is>
          <t>Assets</t>
        </is>
      </c>
      <c r="D20241" s="3" t="inlineStr">
        <is>
          <t>5400/500</t>
        </is>
      </c>
      <c r="E20241" s="3" t="inlineStr">
        <is>
          <t>Shareholder - Zak Loan</t>
        </is>
      </c>
      <c r="F20241" s="3" t="n">
        <v>0</v>
      </c>
      <c r="G20241" s="3" t="n">
        <v>-171798.21</v>
      </c>
    </row>
    <row r="20242">
      <c r="A20242" s="3" t="inlineStr">
        <is>
          <t>Quinate Consulting (Pty) Ltd</t>
        </is>
      </c>
      <c r="B20242" s="4" t="n">
        <v>45412</v>
      </c>
      <c r="C20242" s="3" t="inlineStr">
        <is>
          <t>Liabilities</t>
        </is>
      </c>
      <c r="D20242" s="3" t="inlineStr">
        <is>
          <t>5500/010</t>
        </is>
      </c>
      <c r="E20242" s="3" t="inlineStr">
        <is>
          <t>Loan - Wynand Haywood</t>
        </is>
      </c>
      <c r="F20242" s="3" t="n">
        <v>0</v>
      </c>
      <c r="G20242" s="3" t="n">
        <v>1928.67</v>
      </c>
    </row>
    <row r="20243">
      <c r="A20243" s="3" t="inlineStr">
        <is>
          <t>Quinate Consulting (Pty) Ltd</t>
        </is>
      </c>
      <c r="B20243" s="4" t="n">
        <v>45412</v>
      </c>
      <c r="C20243" s="3" t="inlineStr">
        <is>
          <t>Liabilities</t>
        </is>
      </c>
      <c r="D20243" s="3" t="inlineStr">
        <is>
          <t>5500/023</t>
        </is>
      </c>
      <c r="E20243" s="3" t="inlineStr">
        <is>
          <t>Loan - Noble Shield 1 Security Trust</t>
        </is>
      </c>
      <c r="F20243" s="3" t="n">
        <v>0</v>
      </c>
      <c r="G20243" s="3" t="n">
        <v>600</v>
      </c>
    </row>
    <row r="20244">
      <c r="A20244" s="3" t="inlineStr">
        <is>
          <t>Quinate Consulting (Pty) Ltd</t>
        </is>
      </c>
      <c r="B20244" s="4" t="n">
        <v>45412</v>
      </c>
      <c r="C20244" s="3" t="inlineStr">
        <is>
          <t>Liabilities</t>
        </is>
      </c>
      <c r="D20244" s="3" t="inlineStr">
        <is>
          <t>5500/025</t>
        </is>
      </c>
      <c r="E20244" s="3" t="inlineStr">
        <is>
          <t>Loan - Noble Shield 2 Security Trust</t>
        </is>
      </c>
      <c r="F20244" s="3" t="n">
        <v>0</v>
      </c>
      <c r="G20244" s="3" t="n">
        <v>250</v>
      </c>
    </row>
    <row r="20245">
      <c r="A20245" s="3" t="inlineStr">
        <is>
          <t>Quinate Consulting (Pty) Ltd</t>
        </is>
      </c>
      <c r="B20245" s="4" t="n">
        <v>45412</v>
      </c>
      <c r="C20245" s="3" t="inlineStr">
        <is>
          <t>Liabilities</t>
        </is>
      </c>
      <c r="D20245" s="3" t="inlineStr">
        <is>
          <t>5500/030</t>
        </is>
      </c>
      <c r="E20245" s="3" t="inlineStr">
        <is>
          <t>Loan - Heron Projects</t>
        </is>
      </c>
      <c r="F20245" s="3" t="n">
        <v>0</v>
      </c>
      <c r="G20245" s="3" t="n">
        <v>46000</v>
      </c>
    </row>
    <row r="20246">
      <c r="A20246" s="3" t="inlineStr">
        <is>
          <t>Quinate Consulting (Pty) Ltd</t>
        </is>
      </c>
      <c r="B20246" s="4" t="n">
        <v>45412</v>
      </c>
      <c r="C20246" s="3" t="inlineStr">
        <is>
          <t>Liabilities</t>
        </is>
      </c>
      <c r="D20246" s="3" t="inlineStr">
        <is>
          <t>5500/040</t>
        </is>
      </c>
      <c r="E20246" s="3" t="inlineStr">
        <is>
          <t>Loan - Noble Shield Holdings Pty Ltd</t>
        </is>
      </c>
      <c r="F20246" s="3" t="n">
        <v>0</v>
      </c>
      <c r="G20246" s="3" t="n">
        <v>20731</v>
      </c>
    </row>
    <row r="20247">
      <c r="A20247" s="3" t="inlineStr">
        <is>
          <t>Opportunity Private Capital (PTY) LTD</t>
        </is>
      </c>
      <c r="B20247" s="4" t="n">
        <v>45412</v>
      </c>
      <c r="C20247" s="3" t="inlineStr">
        <is>
          <t>Liabilities</t>
        </is>
      </c>
      <c r="D20247" s="3" t="inlineStr">
        <is>
          <t>5500/100</t>
        </is>
      </c>
      <c r="E20247" s="3" t="inlineStr">
        <is>
          <t>Loan - Cape Projects Construction</t>
        </is>
      </c>
      <c r="F20247" s="3" t="n">
        <v>-34000</v>
      </c>
      <c r="G20247" s="3" t="n">
        <v>1212000</v>
      </c>
    </row>
    <row r="20248">
      <c r="A20248" s="3" t="inlineStr">
        <is>
          <t>Noble Shield (Pty) Ltd ta Go Letting</t>
        </is>
      </c>
      <c r="B20248" s="4" t="n">
        <v>45412</v>
      </c>
      <c r="C20248" s="3" t="inlineStr">
        <is>
          <t>Liabilities</t>
        </is>
      </c>
      <c r="D20248" s="3" t="inlineStr">
        <is>
          <t>5500/100</t>
        </is>
      </c>
      <c r="E20248" s="3" t="inlineStr">
        <is>
          <t>Loan - Jupiter Trust</t>
        </is>
      </c>
      <c r="F20248" s="3" t="n">
        <v>0</v>
      </c>
      <c r="G20248" s="3" t="n">
        <v>-100228.75</v>
      </c>
    </row>
    <row r="20249">
      <c r="A20249" s="3" t="inlineStr">
        <is>
          <t>Opportunity Management Holdings (PTY) LTD</t>
        </is>
      </c>
      <c r="B20249" s="4" t="n">
        <v>45412</v>
      </c>
      <c r="C20249" s="3" t="inlineStr">
        <is>
          <t>Liabilities</t>
        </is>
      </c>
      <c r="D20249" s="3" t="inlineStr">
        <is>
          <t>5500/100</t>
        </is>
      </c>
      <c r="E20249" s="3" t="inlineStr">
        <is>
          <t>Loan - Opportunity Global</t>
        </is>
      </c>
      <c r="F20249" s="3" t="n">
        <v>0</v>
      </c>
      <c r="G20249" s="3" t="n">
        <v>-20000</v>
      </c>
    </row>
    <row r="20250">
      <c r="A20250" s="3" t="inlineStr">
        <is>
          <t>Endulini (Pty) Ltd</t>
        </is>
      </c>
      <c r="B20250" s="4" t="n">
        <v>45412</v>
      </c>
      <c r="C20250" s="3" t="inlineStr">
        <is>
          <t>Liabilities</t>
        </is>
      </c>
      <c r="D20250" s="3" t="inlineStr">
        <is>
          <t>5500/100</t>
        </is>
      </c>
      <c r="E20250" s="3" t="inlineStr">
        <is>
          <t>Loan - Quinate Consulting</t>
        </is>
      </c>
      <c r="F20250" s="3" t="n">
        <v>-44600</v>
      </c>
      <c r="G20250" s="3" t="n">
        <v>-5586237.9</v>
      </c>
    </row>
    <row r="20251">
      <c r="A20251" s="3" t="inlineStr">
        <is>
          <t>Opportunity Private Capital (PTY) LTD</t>
        </is>
      </c>
      <c r="B20251" s="4" t="n">
        <v>45412</v>
      </c>
      <c r="C20251" s="3" t="inlineStr">
        <is>
          <t>Liabilities</t>
        </is>
      </c>
      <c r="D20251" s="3" t="inlineStr">
        <is>
          <t>5500/140</t>
        </is>
      </c>
      <c r="E20251" s="3" t="inlineStr">
        <is>
          <t>Loan - Rockblock</t>
        </is>
      </c>
      <c r="F20251" s="3" t="n">
        <v>0</v>
      </c>
      <c r="G20251" s="3" t="n">
        <v>1000</v>
      </c>
    </row>
    <row r="20252">
      <c r="A20252" s="3" t="inlineStr">
        <is>
          <t>Endulini (Pty) Ltd</t>
        </is>
      </c>
      <c r="B20252" s="4" t="n">
        <v>45412</v>
      </c>
      <c r="C20252" s="3" t="inlineStr">
        <is>
          <t>Liabilities</t>
        </is>
      </c>
      <c r="D20252" s="3" t="inlineStr">
        <is>
          <t>5500/150</t>
        </is>
      </c>
      <c r="E20252" s="3" t="inlineStr">
        <is>
          <t>Loan - Cape Projects Construction</t>
        </is>
      </c>
      <c r="F20252" s="3" t="n">
        <v>150000</v>
      </c>
      <c r="G20252" s="3" t="n">
        <v>-16141500</v>
      </c>
    </row>
    <row r="20253">
      <c r="A20253" s="3" t="inlineStr">
        <is>
          <t>Quinate Consulting (Pty) Ltd</t>
        </is>
      </c>
      <c r="B20253" s="4" t="n">
        <v>45412</v>
      </c>
      <c r="C20253" s="3" t="inlineStr">
        <is>
          <t>Liabilities</t>
        </is>
      </c>
      <c r="D20253" s="3" t="inlineStr">
        <is>
          <t>5500/160</t>
        </is>
      </c>
      <c r="E20253" s="3" t="inlineStr">
        <is>
          <t>Loan - GFY Investment and Consulting</t>
        </is>
      </c>
      <c r="F20253" s="3" t="n">
        <v>0</v>
      </c>
      <c r="G20253" s="3" t="n">
        <v>-1405287.47</v>
      </c>
    </row>
    <row r="20254">
      <c r="A20254" s="3" t="inlineStr">
        <is>
          <t>Opportunity Management Holdings (PTY) LTD</t>
        </is>
      </c>
      <c r="B20254" s="4" t="n">
        <v>45412</v>
      </c>
      <c r="C20254" s="3" t="inlineStr">
        <is>
          <t>Liabilities</t>
        </is>
      </c>
      <c r="D20254" s="3" t="inlineStr">
        <is>
          <t>5500/200</t>
        </is>
      </c>
      <c r="E20254" s="3" t="inlineStr">
        <is>
          <t>Loan - Cape Projects</t>
        </is>
      </c>
      <c r="F20254" s="3" t="n">
        <v>0</v>
      </c>
      <c r="G20254" s="3" t="n">
        <v>-317399</v>
      </c>
    </row>
    <row r="20255">
      <c r="A20255" s="3" t="inlineStr">
        <is>
          <t>Endulini (Pty) Ltd</t>
        </is>
      </c>
      <c r="B20255" s="4" t="n">
        <v>45412</v>
      </c>
      <c r="C20255" s="3" t="inlineStr">
        <is>
          <t>Liabilities</t>
        </is>
      </c>
      <c r="D20255" s="3" t="inlineStr">
        <is>
          <t>5500/200</t>
        </is>
      </c>
      <c r="E20255" s="3" t="inlineStr">
        <is>
          <t>Loan - Opportunity Management Holdings</t>
        </is>
      </c>
      <c r="F20255" s="3" t="n">
        <v>0</v>
      </c>
      <c r="G20255" s="3" t="n">
        <v>20000</v>
      </c>
    </row>
    <row r="20256">
      <c r="A20256" s="3" t="inlineStr">
        <is>
          <t>Endulini (Pty) Ltd</t>
        </is>
      </c>
      <c r="B20256" s="4" t="n">
        <v>45412</v>
      </c>
      <c r="C20256" s="3" t="inlineStr">
        <is>
          <t>Liabilities</t>
        </is>
      </c>
      <c r="D20256" s="3" t="inlineStr">
        <is>
          <t>5500/250</t>
        </is>
      </c>
      <c r="E20256" s="3" t="inlineStr">
        <is>
          <t>Loan - Heron Projects</t>
        </is>
      </c>
      <c r="F20256" s="3" t="n">
        <v>0</v>
      </c>
      <c r="G20256" s="3" t="n">
        <v>-1800000</v>
      </c>
    </row>
    <row r="20257">
      <c r="A20257" s="3" t="inlineStr">
        <is>
          <t>Trademark Holdings (Pty) Ltd</t>
        </is>
      </c>
      <c r="B20257" s="4" t="n">
        <v>45412</v>
      </c>
      <c r="C20257" s="3" t="inlineStr">
        <is>
          <t>Liabilities</t>
        </is>
      </c>
      <c r="D20257" s="3" t="inlineStr">
        <is>
          <t>5500/250</t>
        </is>
      </c>
      <c r="E20257" s="3" t="inlineStr">
        <is>
          <t>Loan - Noble Shield</t>
        </is>
      </c>
      <c r="F20257" s="3" t="n">
        <v>0</v>
      </c>
      <c r="G20257" s="3" t="n">
        <v>65165.59</v>
      </c>
    </row>
    <row r="20258">
      <c r="A20258" s="3" t="inlineStr">
        <is>
          <t>Opportunity Management Holdings (PTY) LTD</t>
        </is>
      </c>
      <c r="B20258" s="4" t="n">
        <v>45412</v>
      </c>
      <c r="C20258" s="3" t="inlineStr">
        <is>
          <t>Liabilities</t>
        </is>
      </c>
      <c r="D20258" s="3" t="inlineStr">
        <is>
          <t>5500/250</t>
        </is>
      </c>
      <c r="E20258" s="3" t="inlineStr">
        <is>
          <t>Loan - Quinate</t>
        </is>
      </c>
      <c r="F20258" s="3" t="n">
        <v>120000</v>
      </c>
      <c r="G20258" s="3" t="n">
        <v>-10000</v>
      </c>
    </row>
    <row r="20259">
      <c r="A20259" s="3" t="inlineStr">
        <is>
          <t>Quinate Consulting (Pty) Ltd</t>
        </is>
      </c>
      <c r="B20259" s="4" t="n">
        <v>45412</v>
      </c>
      <c r="C20259" s="3" t="inlineStr">
        <is>
          <t>Liabilities</t>
        </is>
      </c>
      <c r="D20259" s="3" t="inlineStr">
        <is>
          <t>5500/300</t>
        </is>
      </c>
      <c r="E20259" s="3" t="inlineStr">
        <is>
          <t>Loan - Gengis</t>
        </is>
      </c>
      <c r="F20259" s="3" t="n">
        <v>0</v>
      </c>
      <c r="G20259" s="3" t="n">
        <v>-1029301.95</v>
      </c>
    </row>
    <row r="20260">
      <c r="A20260" s="3" t="inlineStr">
        <is>
          <t>Opportunity Management Holdings (PTY) LTD</t>
        </is>
      </c>
      <c r="B20260" s="4" t="n">
        <v>45412</v>
      </c>
      <c r="C20260" s="3" t="inlineStr">
        <is>
          <t>Liabilities</t>
        </is>
      </c>
      <c r="D20260" s="3" t="inlineStr">
        <is>
          <t>5500/300</t>
        </is>
      </c>
      <c r="E20260" s="3" t="inlineStr">
        <is>
          <t>Loan - Opportunity Prop Management</t>
        </is>
      </c>
      <c r="F20260" s="3" t="n">
        <v>0</v>
      </c>
      <c r="G20260" s="3" t="n">
        <v>-1220204.15</v>
      </c>
    </row>
    <row r="20261">
      <c r="A20261" s="3" t="inlineStr">
        <is>
          <t>Noble Shield (Pty) Ltd ta Go Letting</t>
        </is>
      </c>
      <c r="B20261" s="4" t="n">
        <v>45412</v>
      </c>
      <c r="C20261" s="3" t="inlineStr">
        <is>
          <t>Liabilities</t>
        </is>
      </c>
      <c r="D20261" s="3" t="inlineStr">
        <is>
          <t>5500/300</t>
        </is>
      </c>
      <c r="E20261" s="3" t="inlineStr">
        <is>
          <t>Loan - Trademark Holdings</t>
        </is>
      </c>
      <c r="F20261" s="3" t="n">
        <v>0</v>
      </c>
      <c r="G20261" s="3" t="n">
        <v>-65165.59</v>
      </c>
    </row>
    <row r="20262">
      <c r="A20262" s="3" t="inlineStr">
        <is>
          <t>Opportunity Management Holdings (PTY) LTD</t>
        </is>
      </c>
      <c r="B20262" s="4" t="n">
        <v>45412</v>
      </c>
      <c r="C20262" s="3" t="inlineStr">
        <is>
          <t>Liabilities</t>
        </is>
      </c>
      <c r="D20262" s="3" t="inlineStr">
        <is>
          <t>5500/350</t>
        </is>
      </c>
      <c r="E20262" s="3" t="inlineStr">
        <is>
          <t>Loan - Endulini</t>
        </is>
      </c>
      <c r="F20262" s="3" t="n">
        <v>0</v>
      </c>
      <c r="G20262" s="3" t="n">
        <v>-20000</v>
      </c>
    </row>
    <row r="20263">
      <c r="A20263" s="3" t="inlineStr">
        <is>
          <t>Opportunity Private Capital (PTY) LTD</t>
        </is>
      </c>
      <c r="B20263" s="4" t="n">
        <v>45412</v>
      </c>
      <c r="C20263" s="3" t="inlineStr">
        <is>
          <t>Liabilities</t>
        </is>
      </c>
      <c r="D20263" s="3" t="inlineStr">
        <is>
          <t>5500/350</t>
        </is>
      </c>
      <c r="E20263" s="3" t="inlineStr">
        <is>
          <t>Loan - Opportunity Management Holdings</t>
        </is>
      </c>
      <c r="F20263" s="3" t="n">
        <v>0</v>
      </c>
      <c r="G20263" s="3" t="n">
        <v>500</v>
      </c>
    </row>
    <row r="20264">
      <c r="A20264" s="3" t="inlineStr">
        <is>
          <t>Trademark Holdings (Pty) Ltd</t>
        </is>
      </c>
      <c r="B20264" s="4" t="n">
        <v>45412</v>
      </c>
      <c r="C20264" s="3" t="inlineStr">
        <is>
          <t>Liabilities</t>
        </is>
      </c>
      <c r="D20264" s="3" t="inlineStr">
        <is>
          <t>5500/350</t>
        </is>
      </c>
      <c r="E20264" s="3" t="inlineStr">
        <is>
          <t>Loan - Quinate Consulting</t>
        </is>
      </c>
      <c r="F20264" s="3" t="n">
        <v>0</v>
      </c>
      <c r="G20264" s="3" t="n">
        <v>-16413.38</v>
      </c>
    </row>
    <row r="20265">
      <c r="A20265" s="3" t="inlineStr">
        <is>
          <t>Trademark Holdings (Pty) Ltd</t>
        </is>
      </c>
      <c r="B20265" s="4" t="n">
        <v>45412</v>
      </c>
      <c r="C20265" s="3" t="inlineStr">
        <is>
          <t>Liabilities</t>
        </is>
      </c>
      <c r="D20265" s="3" t="inlineStr">
        <is>
          <t>5500/375</t>
        </is>
      </c>
      <c r="E20265" s="3" t="inlineStr">
        <is>
          <t>Loan - Opportunity Management Holdings Pty Ltd</t>
        </is>
      </c>
      <c r="F20265" s="3" t="n">
        <v>0</v>
      </c>
      <c r="G20265" s="3" t="n">
        <v>158800</v>
      </c>
    </row>
    <row r="20266">
      <c r="A20266" s="3" t="inlineStr">
        <is>
          <t>Trademark Holdings (Pty) Ltd</t>
        </is>
      </c>
      <c r="B20266" s="4" t="n">
        <v>45412</v>
      </c>
      <c r="C20266" s="3" t="inlineStr">
        <is>
          <t>Liabilities</t>
        </is>
      </c>
      <c r="D20266" s="3" t="inlineStr">
        <is>
          <t>5500/450</t>
        </is>
      </c>
      <c r="E20266" s="3" t="inlineStr">
        <is>
          <t>Loan - Cape Projects Construction</t>
        </is>
      </c>
      <c r="F20266" s="3" t="n">
        <v>-600</v>
      </c>
      <c r="G20266" s="3" t="n">
        <v>56400</v>
      </c>
    </row>
    <row r="20267">
      <c r="A20267" s="3" t="inlineStr">
        <is>
          <t>Trademark Holdings (Pty) Ltd</t>
        </is>
      </c>
      <c r="B20267" s="4" t="n">
        <v>45412</v>
      </c>
      <c r="C20267" s="3" t="inlineStr">
        <is>
          <t>Liabilities</t>
        </is>
      </c>
      <c r="D20267" s="3" t="inlineStr">
        <is>
          <t>5500/500</t>
        </is>
      </c>
      <c r="E20267" s="3" t="inlineStr">
        <is>
          <t>Go Letting Brand Name</t>
        </is>
      </c>
      <c r="F20267" s="3" t="n">
        <v>0</v>
      </c>
      <c r="G20267" s="3" t="n">
        <v>93420</v>
      </c>
    </row>
    <row r="20268">
      <c r="A20268" s="3" t="inlineStr">
        <is>
          <t>Noble Shield (Pty) Ltd ta Go Letting</t>
        </is>
      </c>
      <c r="B20268" s="4" t="n">
        <v>45412</v>
      </c>
      <c r="C20268" s="3" t="inlineStr">
        <is>
          <t>Liabilities</t>
        </is>
      </c>
      <c r="D20268" s="3" t="inlineStr">
        <is>
          <t>5500/500</t>
        </is>
      </c>
      <c r="E20268" s="3" t="inlineStr">
        <is>
          <t>Loan - Cape Projects Construction</t>
        </is>
      </c>
      <c r="F20268" s="3" t="n">
        <v>-600</v>
      </c>
      <c r="G20268" s="3" t="n">
        <v>198989.44</v>
      </c>
    </row>
    <row r="20269">
      <c r="A20269" s="3" t="inlineStr">
        <is>
          <t>Quinate Consulting (Pty) Ltd</t>
        </is>
      </c>
      <c r="B20269" s="4" t="n">
        <v>45412</v>
      </c>
      <c r="C20269" s="3" t="inlineStr">
        <is>
          <t>Liabilities</t>
        </is>
      </c>
      <c r="D20269" s="3" t="inlineStr">
        <is>
          <t>5500/500</t>
        </is>
      </c>
      <c r="E20269" s="3" t="inlineStr">
        <is>
          <t>Loan - Opportunity Development Struct.</t>
        </is>
      </c>
      <c r="F20269" s="3" t="n">
        <v>0</v>
      </c>
      <c r="G20269" s="3" t="n">
        <v>-2380000</v>
      </c>
    </row>
    <row r="20270">
      <c r="A20270" s="3" t="inlineStr">
        <is>
          <t>Opportunity Management Holdings (PTY) LTD</t>
        </is>
      </c>
      <c r="B20270" s="4" t="n">
        <v>45412</v>
      </c>
      <c r="C20270" s="3" t="inlineStr">
        <is>
          <t>Liabilities</t>
        </is>
      </c>
      <c r="D20270" s="3" t="inlineStr">
        <is>
          <t>5500/500</t>
        </is>
      </c>
      <c r="E20270" s="3" t="inlineStr">
        <is>
          <t>Loan - Opportunity Tradermark Holdings</t>
        </is>
      </c>
      <c r="F20270" s="3" t="n">
        <v>0</v>
      </c>
      <c r="G20270" s="3" t="n">
        <v>-158800</v>
      </c>
    </row>
    <row r="20271">
      <c r="A20271" s="3" t="inlineStr">
        <is>
          <t>Quinate Consulting (Pty) Ltd</t>
        </is>
      </c>
      <c r="B20271" s="4" t="n">
        <v>45412</v>
      </c>
      <c r="C20271" s="3" t="inlineStr">
        <is>
          <t>Liabilities</t>
        </is>
      </c>
      <c r="D20271" s="3" t="inlineStr">
        <is>
          <t>5500/520</t>
        </is>
      </c>
      <c r="E20271" s="3" t="inlineStr">
        <is>
          <t>Loan - Opportunity Management Holdings</t>
        </is>
      </c>
      <c r="F20271" s="3" t="n">
        <v>-120000</v>
      </c>
      <c r="G20271" s="3" t="n">
        <v>6100</v>
      </c>
    </row>
    <row r="20272">
      <c r="A20272" s="3" t="inlineStr">
        <is>
          <t>Opportunity Management Holdings (PTY) LTD</t>
        </is>
      </c>
      <c r="B20272" s="4" t="n">
        <v>45412</v>
      </c>
      <c r="C20272" s="3" t="inlineStr">
        <is>
          <t>Liabilities</t>
        </is>
      </c>
      <c r="D20272" s="3" t="inlineStr">
        <is>
          <t>5500/550</t>
        </is>
      </c>
      <c r="E20272" s="3" t="inlineStr">
        <is>
          <t>Loan - Heron Projects</t>
        </is>
      </c>
      <c r="F20272" s="3" t="n">
        <v>-107900</v>
      </c>
      <c r="G20272" s="3" t="n">
        <v>-23000</v>
      </c>
    </row>
    <row r="20273">
      <c r="A20273" s="3" t="inlineStr">
        <is>
          <t>Opportunity Private Capital (PTY) LTD</t>
        </is>
      </c>
      <c r="B20273" s="4" t="n">
        <v>45412</v>
      </c>
      <c r="C20273" s="3" t="inlineStr">
        <is>
          <t>Liabilities</t>
        </is>
      </c>
      <c r="D20273" s="3" t="inlineStr">
        <is>
          <t>5500/650</t>
        </is>
      </c>
      <c r="E20273" s="3" t="inlineStr">
        <is>
          <t>Loan - Opportunit Global - Sales</t>
        </is>
      </c>
      <c r="F20273" s="3" t="n">
        <v>-16705.06</v>
      </c>
      <c r="G20273" s="3" t="n">
        <v>-4164033.83</v>
      </c>
    </row>
    <row r="20274">
      <c r="A20274" s="3" t="inlineStr">
        <is>
          <t>Opportunity Global Property (PTY) LTD</t>
        </is>
      </c>
      <c r="B20274" s="4" t="n">
        <v>45412</v>
      </c>
      <c r="C20274" s="3" t="inlineStr">
        <is>
          <t>Liabilities</t>
        </is>
      </c>
      <c r="D20274" s="3" t="inlineStr">
        <is>
          <t>5500/650</t>
        </is>
      </c>
      <c r="E20274" s="3" t="inlineStr">
        <is>
          <t>Loan - Opportunity Investments</t>
        </is>
      </c>
      <c r="F20274" s="3" t="n">
        <v>16705.06</v>
      </c>
      <c r="G20274" s="3" t="n">
        <v>4164033.83</v>
      </c>
    </row>
    <row r="20275">
      <c r="A20275" s="3" t="inlineStr">
        <is>
          <t>Opportunity Management Holdings (PTY) LTD</t>
        </is>
      </c>
      <c r="B20275" s="4" t="n">
        <v>45412</v>
      </c>
      <c r="C20275" s="3" t="inlineStr">
        <is>
          <t>Liabilities</t>
        </is>
      </c>
      <c r="D20275" s="3" t="inlineStr">
        <is>
          <t>5500/700</t>
        </is>
      </c>
      <c r="E20275" s="3" t="inlineStr">
        <is>
          <t>Loan - Go Letting</t>
        </is>
      </c>
      <c r="F20275" s="3" t="n">
        <v>0</v>
      </c>
      <c r="G20275" s="3" t="n">
        <v>-120</v>
      </c>
    </row>
    <row r="20276">
      <c r="A20276" s="3" t="inlineStr">
        <is>
          <t>Quinate Consulting (Pty) Ltd</t>
        </is>
      </c>
      <c r="B20276" s="4" t="n">
        <v>45412</v>
      </c>
      <c r="C20276" s="3" t="inlineStr">
        <is>
          <t>Liabilities</t>
        </is>
      </c>
      <c r="D20276" s="3" t="inlineStr">
        <is>
          <t>5500/700</t>
        </is>
      </c>
      <c r="E20276" s="3" t="inlineStr">
        <is>
          <t>Loan - Trademark Holdings</t>
        </is>
      </c>
      <c r="F20276" s="3" t="n">
        <v>0</v>
      </c>
      <c r="G20276" s="3" t="n">
        <v>16413.38</v>
      </c>
    </row>
    <row r="20277">
      <c r="A20277" s="3" t="inlineStr">
        <is>
          <t>Opportunity Private Capital (PTY) LTD</t>
        </is>
      </c>
      <c r="B20277" s="4" t="n">
        <v>45412</v>
      </c>
      <c r="C20277" s="3" t="inlineStr">
        <is>
          <t>Liabilities</t>
        </is>
      </c>
      <c r="D20277" s="3" t="inlineStr">
        <is>
          <t>5500/750</t>
        </is>
      </c>
      <c r="E20277" s="3" t="inlineStr">
        <is>
          <t>Loan - Heron Projects</t>
        </is>
      </c>
      <c r="F20277" s="3" t="n">
        <v>380000</v>
      </c>
      <c r="G20277" s="3" t="n">
        <v>-2083000</v>
      </c>
    </row>
    <row r="20278">
      <c r="A20278" s="3" t="inlineStr">
        <is>
          <t>Opportunity Private Capital (PTY) LTD</t>
        </is>
      </c>
      <c r="B20278" s="4" t="n">
        <v>45412</v>
      </c>
      <c r="C20278" s="3" t="inlineStr">
        <is>
          <t>Liabilities</t>
        </is>
      </c>
      <c r="D20278" s="3" t="inlineStr">
        <is>
          <t>5500/850</t>
        </is>
      </c>
      <c r="E20278" s="3" t="inlineStr">
        <is>
          <t>Loan - Nick Morgan</t>
        </is>
      </c>
      <c r="F20278" s="3" t="n">
        <v>0</v>
      </c>
      <c r="G20278" s="3" t="n">
        <v>6200</v>
      </c>
    </row>
    <row r="20279">
      <c r="A20279" s="3" t="inlineStr">
        <is>
          <t>Quinate Consulting (Pty) Ltd</t>
        </is>
      </c>
      <c r="B20279" s="4" t="n">
        <v>45412</v>
      </c>
      <c r="C20279" s="3" t="inlineStr">
        <is>
          <t>Liabilities</t>
        </is>
      </c>
      <c r="D20279" s="3" t="inlineStr">
        <is>
          <t>5501/001</t>
        </is>
      </c>
      <c r="E20279" s="3" t="inlineStr">
        <is>
          <t>Loan - Endulini CIP Costs</t>
        </is>
      </c>
      <c r="F20279" s="3" t="n">
        <v>44600</v>
      </c>
      <c r="G20279" s="3" t="n">
        <v>5586237.9</v>
      </c>
    </row>
    <row r="20280">
      <c r="A20280" s="3" t="inlineStr">
        <is>
          <t>Quinate Consulting (Pty) Ltd</t>
        </is>
      </c>
      <c r="B20280" s="4" t="n">
        <v>45412</v>
      </c>
      <c r="C20280" s="3" t="inlineStr">
        <is>
          <t>Liabilities</t>
        </is>
      </c>
      <c r="D20280" s="3" t="inlineStr">
        <is>
          <t>5501/002</t>
        </is>
      </c>
      <c r="E20280" s="3" t="inlineStr">
        <is>
          <t>Loan - Purple Block</t>
        </is>
      </c>
      <c r="F20280" s="3" t="n">
        <v>0</v>
      </c>
      <c r="G20280" s="3" t="n">
        <v>171148.82</v>
      </c>
    </row>
    <row r="20281">
      <c r="A20281" s="3" t="inlineStr">
        <is>
          <t>Noble Shield (Pty) Ltd ta Go Letting</t>
        </is>
      </c>
      <c r="B20281" s="4" t="n">
        <v>45412</v>
      </c>
      <c r="C20281" s="3" t="inlineStr">
        <is>
          <t>Assets</t>
        </is>
      </c>
      <c r="D20281" s="3" t="inlineStr">
        <is>
          <t>6250/010</t>
        </is>
      </c>
      <c r="E20281" s="3" t="inlineStr">
        <is>
          <t>Computer Equipment - @ Cost</t>
        </is>
      </c>
      <c r="F20281" s="3" t="n">
        <v>0</v>
      </c>
      <c r="G20281" s="3" t="n">
        <v>20397</v>
      </c>
    </row>
    <row r="20282">
      <c r="A20282" s="3" t="inlineStr">
        <is>
          <t>Opportunity Management Holdings (PTY) LTD</t>
        </is>
      </c>
      <c r="B20282" s="4" t="n">
        <v>45412</v>
      </c>
      <c r="C20282" s="3" t="inlineStr">
        <is>
          <t>Assets</t>
        </is>
      </c>
      <c r="D20282" s="3" t="inlineStr">
        <is>
          <t>6250/010</t>
        </is>
      </c>
      <c r="E20282" s="3" t="inlineStr">
        <is>
          <t>Computer Equipment - @ Cost</t>
        </is>
      </c>
      <c r="F20282" s="3" t="n">
        <v>0</v>
      </c>
      <c r="G20282" s="3" t="n">
        <v>66677.85000000001</v>
      </c>
    </row>
    <row r="20283">
      <c r="A20283" s="3" t="inlineStr">
        <is>
          <t>Opportunity Private Capital (PTY) LTD</t>
        </is>
      </c>
      <c r="B20283" s="4" t="n">
        <v>45412</v>
      </c>
      <c r="C20283" s="3" t="inlineStr">
        <is>
          <t>Assets</t>
        </is>
      </c>
      <c r="D20283" s="3" t="inlineStr">
        <is>
          <t>6250/010</t>
        </is>
      </c>
      <c r="E20283" s="3" t="inlineStr">
        <is>
          <t>Computer Equipment - @ Cost</t>
        </is>
      </c>
      <c r="F20283" s="3" t="n">
        <v>0</v>
      </c>
      <c r="G20283" s="3" t="n">
        <v>31683.04</v>
      </c>
    </row>
    <row r="20284">
      <c r="A20284" s="3" t="inlineStr">
        <is>
          <t>Quinate Consulting (Pty) Ltd</t>
        </is>
      </c>
      <c r="B20284" s="4" t="n">
        <v>45412</v>
      </c>
      <c r="C20284" s="3" t="inlineStr">
        <is>
          <t>Assets</t>
        </is>
      </c>
      <c r="D20284" s="3" t="inlineStr">
        <is>
          <t>6250/010</t>
        </is>
      </c>
      <c r="E20284" s="3" t="inlineStr">
        <is>
          <t>Computer Equipment - @ Cost</t>
        </is>
      </c>
      <c r="F20284" s="3" t="n">
        <v>0</v>
      </c>
      <c r="G20284" s="3" t="n">
        <v>137059.7</v>
      </c>
    </row>
    <row r="20285">
      <c r="A20285" s="3" t="inlineStr">
        <is>
          <t>Trademark Holdings (Pty) Ltd</t>
        </is>
      </c>
      <c r="B20285" s="4" t="n">
        <v>45412</v>
      </c>
      <c r="C20285" s="3" t="inlineStr">
        <is>
          <t>Assets</t>
        </is>
      </c>
      <c r="D20285" s="3" t="inlineStr">
        <is>
          <t>6250/010</t>
        </is>
      </c>
      <c r="E20285" s="3" t="inlineStr">
        <is>
          <t>Computer Equipment - @ Cost</t>
        </is>
      </c>
      <c r="F20285" s="3" t="n">
        <v>13557</v>
      </c>
      <c r="G20285" s="3" t="n">
        <v>13557</v>
      </c>
    </row>
    <row r="20286">
      <c r="A20286" s="3" t="inlineStr">
        <is>
          <t>Noble Shield (Pty) Ltd ta Go Letting</t>
        </is>
      </c>
      <c r="B20286" s="4" t="n">
        <v>45412</v>
      </c>
      <c r="C20286" s="3" t="inlineStr">
        <is>
          <t>Assets</t>
        </is>
      </c>
      <c r="D20286" s="3" t="inlineStr">
        <is>
          <t>6250/020</t>
        </is>
      </c>
      <c r="E20286" s="3" t="inlineStr">
        <is>
          <t>Computer Equipment - Accum Depre</t>
        </is>
      </c>
      <c r="F20286" s="3" t="n">
        <v>0</v>
      </c>
      <c r="G20286" s="3" t="n">
        <v>-12040.89</v>
      </c>
    </row>
    <row r="20287">
      <c r="A20287" s="3" t="inlineStr">
        <is>
          <t>Opportunity Management Holdings (PTY) LTD</t>
        </is>
      </c>
      <c r="B20287" s="4" t="n">
        <v>45412</v>
      </c>
      <c r="C20287" s="3" t="inlineStr">
        <is>
          <t>Assets</t>
        </is>
      </c>
      <c r="D20287" s="3" t="inlineStr">
        <is>
          <t>6250/020</t>
        </is>
      </c>
      <c r="E20287" s="3" t="inlineStr">
        <is>
          <t>Computer Equipment - Accum Depre</t>
        </is>
      </c>
      <c r="F20287" s="3" t="n">
        <v>-1431.34</v>
      </c>
      <c r="G20287" s="3" t="n">
        <v>-20867.63</v>
      </c>
    </row>
    <row r="20288">
      <c r="A20288" s="3" t="inlineStr">
        <is>
          <t>Opportunity Private Capital (PTY) LTD</t>
        </is>
      </c>
      <c r="B20288" s="4" t="n">
        <v>45412</v>
      </c>
      <c r="C20288" s="3" t="inlineStr">
        <is>
          <t>Assets</t>
        </is>
      </c>
      <c r="D20288" s="3" t="inlineStr">
        <is>
          <t>6250/020</t>
        </is>
      </c>
      <c r="E20288" s="3" t="inlineStr">
        <is>
          <t>Computer Equipment - Accum Depre</t>
        </is>
      </c>
      <c r="F20288" s="3" t="n">
        <v>-880.08</v>
      </c>
      <c r="G20288" s="3" t="n">
        <v>-14081.34</v>
      </c>
    </row>
    <row r="20289">
      <c r="A20289" s="3" t="inlineStr">
        <is>
          <t>Quinate Consulting (Pty) Ltd</t>
        </is>
      </c>
      <c r="B20289" s="4" t="n">
        <v>45412</v>
      </c>
      <c r="C20289" s="3" t="inlineStr">
        <is>
          <t>Assets</t>
        </is>
      </c>
      <c r="D20289" s="3" t="inlineStr">
        <is>
          <t>6250/020</t>
        </is>
      </c>
      <c r="E20289" s="3" t="inlineStr">
        <is>
          <t>Computer Equipment - Accum Depre</t>
        </is>
      </c>
      <c r="F20289" s="3" t="n">
        <v>0</v>
      </c>
      <c r="G20289" s="3" t="n">
        <v>-124782.02</v>
      </c>
    </row>
    <row r="20290">
      <c r="A20290" s="3" t="inlineStr">
        <is>
          <t>Trademark Holdings (Pty) Ltd</t>
        </is>
      </c>
      <c r="B20290" s="4" t="n">
        <v>45412</v>
      </c>
      <c r="C20290" s="3" t="inlineStr">
        <is>
          <t>Assets</t>
        </is>
      </c>
      <c r="D20290" s="3" t="inlineStr">
        <is>
          <t>6250/020</t>
        </is>
      </c>
      <c r="E20290" s="3" t="inlineStr">
        <is>
          <t>Computer Equipment - Accum Depre</t>
        </is>
      </c>
      <c r="F20290" s="3" t="n">
        <v>-376.58</v>
      </c>
      <c r="G20290" s="3" t="n">
        <v>-376.58</v>
      </c>
    </row>
    <row r="20291">
      <c r="A20291" s="3" t="inlineStr">
        <is>
          <t>Opportunity Management Holdings (PTY) LTD</t>
        </is>
      </c>
      <c r="B20291" s="4" t="n">
        <v>45412</v>
      </c>
      <c r="C20291" s="3" t="inlineStr">
        <is>
          <t>Assets</t>
        </is>
      </c>
      <c r="D20291" s="3" t="inlineStr">
        <is>
          <t>6250/030</t>
        </is>
      </c>
      <c r="E20291" s="3" t="inlineStr">
        <is>
          <t>Acc Depreciation - Computer Equipment</t>
        </is>
      </c>
      <c r="F20291" s="3" t="n">
        <v>0</v>
      </c>
      <c r="G20291" s="3" t="n">
        <v>-9441.25</v>
      </c>
    </row>
    <row r="20292">
      <c r="A20292" s="3" t="inlineStr">
        <is>
          <t>Quinate Consulting (Pty) Ltd</t>
        </is>
      </c>
      <c r="B20292" s="4" t="n">
        <v>45412</v>
      </c>
      <c r="C20292" s="3" t="inlineStr">
        <is>
          <t>Assets</t>
        </is>
      </c>
      <c r="D20292" s="3" t="inlineStr">
        <is>
          <t>6270/010</t>
        </is>
      </c>
      <c r="E20292" s="3" t="inlineStr">
        <is>
          <t>Site Containers - @ Cost</t>
        </is>
      </c>
      <c r="F20292" s="3" t="n">
        <v>0</v>
      </c>
      <c r="G20292" s="3" t="n">
        <v>19130.44</v>
      </c>
    </row>
    <row r="20293">
      <c r="A20293" s="3" t="inlineStr">
        <is>
          <t>Quinate Consulting (Pty) Ltd</t>
        </is>
      </c>
      <c r="B20293" s="4" t="n">
        <v>45412</v>
      </c>
      <c r="C20293" s="3" t="inlineStr">
        <is>
          <t>Assets</t>
        </is>
      </c>
      <c r="D20293" s="3" t="inlineStr">
        <is>
          <t>6270/020</t>
        </is>
      </c>
      <c r="E20293" s="3" t="inlineStr">
        <is>
          <t>Site Containers - Accum Depre</t>
        </is>
      </c>
      <c r="F20293" s="3" t="n">
        <v>0</v>
      </c>
      <c r="G20293" s="3" t="n">
        <v>-11478.26</v>
      </c>
    </row>
    <row r="20294">
      <c r="A20294" s="3" t="inlineStr">
        <is>
          <t>Noble Shield (Pty) Ltd ta Go Letting</t>
        </is>
      </c>
      <c r="B20294" s="4" t="n">
        <v>45412</v>
      </c>
      <c r="C20294" s="3" t="inlineStr">
        <is>
          <t>Assets</t>
        </is>
      </c>
      <c r="D20294" s="3" t="inlineStr">
        <is>
          <t>6350/010</t>
        </is>
      </c>
      <c r="E20294" s="3" t="inlineStr">
        <is>
          <t>Furniture _AND_ Fittings - @ Cost</t>
        </is>
      </c>
      <c r="F20294" s="3" t="n">
        <v>0</v>
      </c>
      <c r="G20294" s="3" t="n">
        <v>2242</v>
      </c>
    </row>
    <row r="20295">
      <c r="A20295" s="3" t="inlineStr">
        <is>
          <t>Opportunity Global Property (PTY) LTD</t>
        </is>
      </c>
      <c r="B20295" s="4" t="n">
        <v>45412</v>
      </c>
      <c r="C20295" s="3" t="inlineStr">
        <is>
          <t>Assets</t>
        </is>
      </c>
      <c r="D20295" s="3" t="inlineStr">
        <is>
          <t>6350/010</t>
        </is>
      </c>
      <c r="E20295" s="3" t="inlineStr">
        <is>
          <t>Furniture _AND_ Fittings - @ Cost</t>
        </is>
      </c>
      <c r="F20295" s="3" t="n">
        <v>0</v>
      </c>
      <c r="G20295" s="3" t="n">
        <v>29379.7</v>
      </c>
    </row>
    <row r="20296">
      <c r="A20296" s="3" t="inlineStr">
        <is>
          <t>Noble Shield (Pty) Ltd ta Go Letting</t>
        </is>
      </c>
      <c r="B20296" s="4" t="n">
        <v>45412</v>
      </c>
      <c r="C20296" s="3" t="inlineStr">
        <is>
          <t>Assets</t>
        </is>
      </c>
      <c r="D20296" s="3" t="inlineStr">
        <is>
          <t>6350/020</t>
        </is>
      </c>
      <c r="E20296" s="3" t="inlineStr">
        <is>
          <t>Furniture _AND_ Fittings - Accum Depre</t>
        </is>
      </c>
      <c r="F20296" s="3" t="n">
        <v>0</v>
      </c>
      <c r="G20296" s="3" t="n">
        <v>-2239</v>
      </c>
    </row>
    <row r="20297">
      <c r="A20297" s="3" t="inlineStr">
        <is>
          <t>Opportunity Global Property (PTY) LTD</t>
        </is>
      </c>
      <c r="B20297" s="4" t="n">
        <v>45412</v>
      </c>
      <c r="C20297" s="3" t="inlineStr">
        <is>
          <t>Assets</t>
        </is>
      </c>
      <c r="D20297" s="3" t="inlineStr">
        <is>
          <t>6350/020</t>
        </is>
      </c>
      <c r="E20297" s="3" t="inlineStr">
        <is>
          <t>Furniture _AND_ Fittings - Accum Depre</t>
        </is>
      </c>
      <c r="F20297" s="3" t="n">
        <v>-408.05</v>
      </c>
      <c r="G20297" s="3" t="n">
        <v>-8977.129999999999</v>
      </c>
    </row>
    <row r="20298">
      <c r="A20298" s="3" t="inlineStr">
        <is>
          <t>Opportunity Management Holdings (PTY) LTD</t>
        </is>
      </c>
      <c r="B20298" s="4" t="n">
        <v>45412</v>
      </c>
      <c r="C20298" s="3" t="inlineStr">
        <is>
          <t>Liabilities</t>
        </is>
      </c>
      <c r="D20298" s="3" t="inlineStr">
        <is>
          <t>6500/000</t>
        </is>
      </c>
      <c r="E20298" s="3" t="inlineStr">
        <is>
          <t>Deposits - Held</t>
        </is>
      </c>
      <c r="F20298" s="3" t="n">
        <v>0</v>
      </c>
      <c r="G20298" s="3" t="n">
        <v>-12028.1</v>
      </c>
    </row>
    <row r="20299">
      <c r="A20299" s="3" t="inlineStr">
        <is>
          <t>Opportunity Management Holdings (PTY) LTD</t>
        </is>
      </c>
      <c r="B20299" s="4" t="n">
        <v>45412</v>
      </c>
      <c r="C20299" s="3" t="inlineStr">
        <is>
          <t>Liabilities</t>
        </is>
      </c>
      <c r="D20299" s="3" t="inlineStr">
        <is>
          <t>6510/000</t>
        </is>
      </c>
      <c r="E20299" s="3" t="inlineStr">
        <is>
          <t>Deposits Paid - Anicol Properties</t>
        </is>
      </c>
      <c r="F20299" s="3" t="n">
        <v>0</v>
      </c>
      <c r="G20299" s="3" t="n">
        <v>13755</v>
      </c>
    </row>
    <row r="20300">
      <c r="A20300" s="3" t="inlineStr">
        <is>
          <t>Opportunity Management Holdings (PTY) LTD</t>
        </is>
      </c>
      <c r="B20300" s="4" t="n">
        <v>45412</v>
      </c>
      <c r="C20300" s="3" t="inlineStr">
        <is>
          <t>Liabilities</t>
        </is>
      </c>
      <c r="D20300" s="3" t="inlineStr">
        <is>
          <t>6515/000</t>
        </is>
      </c>
      <c r="E20300" s="3" t="inlineStr">
        <is>
          <t>Deposits Paid</t>
        </is>
      </c>
      <c r="F20300" s="3" t="n">
        <v>0</v>
      </c>
      <c r="G20300" s="3" t="n">
        <v>3852.5</v>
      </c>
    </row>
    <row r="20301">
      <c r="A20301" s="3" t="inlineStr">
        <is>
          <t>Quinate Consulting (Pty) Ltd</t>
        </is>
      </c>
      <c r="B20301" s="4" t="n">
        <v>45412</v>
      </c>
      <c r="C20301" s="3" t="inlineStr">
        <is>
          <t>Assets</t>
        </is>
      </c>
      <c r="D20301" s="3" t="inlineStr">
        <is>
          <t>6600/010</t>
        </is>
      </c>
      <c r="E20301" s="3" t="inlineStr">
        <is>
          <t>Other Fixed Assets - @ Cost</t>
        </is>
      </c>
      <c r="F20301" s="3" t="n">
        <v>0</v>
      </c>
      <c r="G20301" s="3" t="n">
        <v>14442.5</v>
      </c>
    </row>
    <row r="20302">
      <c r="A20302" s="3" t="inlineStr">
        <is>
          <t>Quinate Consulting (Pty) Ltd</t>
        </is>
      </c>
      <c r="B20302" s="4" t="n">
        <v>45412</v>
      </c>
      <c r="C20302" s="3" t="inlineStr">
        <is>
          <t>Assets</t>
        </is>
      </c>
      <c r="D20302" s="3" t="inlineStr">
        <is>
          <t>6600/020</t>
        </is>
      </c>
      <c r="E20302" s="3" t="inlineStr">
        <is>
          <t>Other Fixed Assets - Accum Depre</t>
        </is>
      </c>
      <c r="F20302" s="3" t="n">
        <v>0</v>
      </c>
      <c r="G20302" s="3" t="n">
        <v>-14441.5</v>
      </c>
    </row>
    <row r="20303">
      <c r="A20303" s="3" t="inlineStr">
        <is>
          <t>Noble Shield (Pty) Ltd ta Go Letting</t>
        </is>
      </c>
      <c r="B20303" s="4" t="n">
        <v>45412</v>
      </c>
      <c r="C20303" s="3" t="inlineStr">
        <is>
          <t>Assets</t>
        </is>
      </c>
      <c r="D20303" s="3" t="inlineStr">
        <is>
          <t>7000/100</t>
        </is>
      </c>
      <c r="E20303" s="3" t="inlineStr">
        <is>
          <t>Goodwill - Purchase of Go Letting</t>
        </is>
      </c>
      <c r="F20303" s="3" t="n">
        <v>0</v>
      </c>
      <c r="G20303" s="3" t="n">
        <v>106580</v>
      </c>
    </row>
    <row r="20304">
      <c r="A20304" s="3" t="inlineStr">
        <is>
          <t>Opportunity Private Capital (PTY) LTD</t>
        </is>
      </c>
      <c r="B20304" s="4" t="n">
        <v>45412</v>
      </c>
      <c r="C20304" s="3" t="inlineStr">
        <is>
          <t>Assets</t>
        </is>
      </c>
      <c r="D20304" s="3" t="inlineStr">
        <is>
          <t>7100/010</t>
        </is>
      </c>
      <c r="E20304" s="3" t="inlineStr">
        <is>
          <t>Investment - OMIGI D203</t>
        </is>
      </c>
      <c r="F20304" s="3" t="n">
        <v>0</v>
      </c>
      <c r="G20304" s="3" t="n">
        <v>250000</v>
      </c>
    </row>
    <row r="20305">
      <c r="A20305" s="3" t="inlineStr">
        <is>
          <t>Opportunity Management Holdings (PTY) LTD</t>
        </is>
      </c>
      <c r="B20305" s="4" t="n">
        <v>45412</v>
      </c>
      <c r="C20305" s="3" t="inlineStr">
        <is>
          <t>Assets</t>
        </is>
      </c>
      <c r="D20305" s="3" t="inlineStr">
        <is>
          <t>7200/000</t>
        </is>
      </c>
      <c r="E20305" s="3" t="inlineStr">
        <is>
          <t>Shares in Subsidiary Companies</t>
        </is>
      </c>
      <c r="F20305" s="3" t="n">
        <v>0</v>
      </c>
      <c r="G20305" s="3" t="n">
        <v>120</v>
      </c>
    </row>
    <row r="20306">
      <c r="A20306" s="3" t="inlineStr">
        <is>
          <t>Endulini (Pty) Ltd</t>
        </is>
      </c>
      <c r="B20306" s="4" t="n">
        <v>45412</v>
      </c>
      <c r="C20306" s="3" t="inlineStr">
        <is>
          <t>Assets</t>
        </is>
      </c>
      <c r="D20306" s="3" t="inlineStr">
        <is>
          <t>7610/100</t>
        </is>
      </c>
      <c r="E20306" s="3" t="inlineStr">
        <is>
          <t>Endulini Land</t>
        </is>
      </c>
      <c r="F20306" s="3" t="n">
        <v>0</v>
      </c>
      <c r="G20306" s="3" t="n">
        <v>10572851.37</v>
      </c>
    </row>
    <row r="20307">
      <c r="A20307" s="3" t="inlineStr">
        <is>
          <t>Endulini (Pty) Ltd</t>
        </is>
      </c>
      <c r="B20307" s="4" t="n">
        <v>45412</v>
      </c>
      <c r="C20307" s="3" t="inlineStr">
        <is>
          <t>Assets</t>
        </is>
      </c>
      <c r="D20307" s="3" t="inlineStr">
        <is>
          <t>7610/111</t>
        </is>
      </c>
      <c r="E20307" s="3" t="inlineStr">
        <is>
          <t>Endulini Closing Stock February 2021</t>
        </is>
      </c>
      <c r="F20307" s="3" t="n">
        <v>0</v>
      </c>
      <c r="G20307" s="3" t="n">
        <v>14368610.11</v>
      </c>
    </row>
    <row r="20308">
      <c r="A20308" s="3" t="inlineStr">
        <is>
          <t>Endulini (Pty) Ltd</t>
        </is>
      </c>
      <c r="B20308" s="4" t="n">
        <v>45412</v>
      </c>
      <c r="C20308" s="3" t="inlineStr">
        <is>
          <t>Assets</t>
        </is>
      </c>
      <c r="D20308" s="3" t="inlineStr">
        <is>
          <t>7610/180</t>
        </is>
      </c>
      <c r="E20308" s="3" t="inlineStr">
        <is>
          <t>Endulini CIP Architects</t>
        </is>
      </c>
      <c r="F20308" s="3" t="n">
        <v>0</v>
      </c>
      <c r="G20308" s="3" t="n">
        <v>1292111.71</v>
      </c>
    </row>
    <row r="20309">
      <c r="A20309" s="3" t="inlineStr">
        <is>
          <t>Endulini (Pty) Ltd</t>
        </is>
      </c>
      <c r="B20309" s="4" t="n">
        <v>45412</v>
      </c>
      <c r="C20309" s="3" t="inlineStr">
        <is>
          <t>Assets</t>
        </is>
      </c>
      <c r="D20309" s="3" t="inlineStr">
        <is>
          <t>7610/200</t>
        </is>
      </c>
      <c r="E20309" s="3" t="inlineStr">
        <is>
          <t>Endulini CIP CoCT Land Use App</t>
        </is>
      </c>
      <c r="F20309" s="3" t="n">
        <v>0</v>
      </c>
      <c r="G20309" s="3" t="n">
        <v>232891.06</v>
      </c>
    </row>
    <row r="20310">
      <c r="A20310" s="3" t="inlineStr">
        <is>
          <t>Endulini (Pty) Ltd</t>
        </is>
      </c>
      <c r="B20310" s="4" t="n">
        <v>45412</v>
      </c>
      <c r="C20310" s="3" t="inlineStr">
        <is>
          <t>Assets</t>
        </is>
      </c>
      <c r="D20310" s="3" t="inlineStr">
        <is>
          <t>7610/205</t>
        </is>
      </c>
      <c r="E20310" s="3" t="inlineStr">
        <is>
          <t>Endulini CIP Site Establishments</t>
        </is>
      </c>
      <c r="F20310" s="3" t="n">
        <v>0</v>
      </c>
      <c r="G20310" s="3" t="n">
        <v>32428975.01</v>
      </c>
    </row>
    <row r="20311">
      <c r="A20311" s="3" t="inlineStr">
        <is>
          <t>Endulini (Pty) Ltd</t>
        </is>
      </c>
      <c r="B20311" s="4" t="n">
        <v>45412</v>
      </c>
      <c r="C20311" s="3" t="inlineStr">
        <is>
          <t>Assets</t>
        </is>
      </c>
      <c r="D20311" s="3" t="inlineStr">
        <is>
          <t>7610/209</t>
        </is>
      </c>
      <c r="E20311" s="3" t="inlineStr">
        <is>
          <t>Endulini CIP Construction Management</t>
        </is>
      </c>
      <c r="F20311" s="3" t="n">
        <v>0</v>
      </c>
      <c r="G20311" s="3" t="n">
        <v>223375</v>
      </c>
    </row>
    <row r="20312">
      <c r="A20312" s="3" t="inlineStr">
        <is>
          <t>Endulini (Pty) Ltd</t>
        </is>
      </c>
      <c r="B20312" s="4" t="n">
        <v>45412</v>
      </c>
      <c r="C20312" s="3" t="inlineStr">
        <is>
          <t>Assets</t>
        </is>
      </c>
      <c r="D20312" s="3" t="inlineStr">
        <is>
          <t>7610/210</t>
        </is>
      </c>
      <c r="E20312" s="3" t="inlineStr">
        <is>
          <t>Endulini CIP Civil Works</t>
        </is>
      </c>
      <c r="F20312" s="3" t="n">
        <v>0</v>
      </c>
      <c r="G20312" s="3" t="n">
        <v>6295702.14</v>
      </c>
    </row>
    <row r="20313">
      <c r="A20313" s="3" t="inlineStr">
        <is>
          <t>Endulini (Pty) Ltd</t>
        </is>
      </c>
      <c r="B20313" s="4" t="n">
        <v>45412</v>
      </c>
      <c r="C20313" s="3" t="inlineStr">
        <is>
          <t>Assets</t>
        </is>
      </c>
      <c r="D20313" s="3" t="inlineStr">
        <is>
          <t>7610/215</t>
        </is>
      </c>
      <c r="E20313" s="3" t="inlineStr">
        <is>
          <t>Endulini CIP Civil Engineers</t>
        </is>
      </c>
      <c r="F20313" s="3" t="n">
        <v>0</v>
      </c>
      <c r="G20313" s="3" t="n">
        <v>183000</v>
      </c>
    </row>
    <row r="20314">
      <c r="A20314" s="3" t="inlineStr">
        <is>
          <t>Endulini (Pty) Ltd</t>
        </is>
      </c>
      <c r="B20314" s="4" t="n">
        <v>45412</v>
      </c>
      <c r="C20314" s="3" t="inlineStr">
        <is>
          <t>Assets</t>
        </is>
      </c>
      <c r="D20314" s="3" t="inlineStr">
        <is>
          <t>7610/220</t>
        </is>
      </c>
      <c r="E20314" s="3" t="inlineStr">
        <is>
          <t>Endulini CIP Structuring Project Fee Opp Invest</t>
        </is>
      </c>
      <c r="F20314" s="3" t="n">
        <v>0</v>
      </c>
      <c r="G20314" s="3" t="n">
        <v>483735.96</v>
      </c>
    </row>
    <row r="20315">
      <c r="A20315" s="3" t="inlineStr">
        <is>
          <t>Endulini (Pty) Ltd</t>
        </is>
      </c>
      <c r="B20315" s="4" t="n">
        <v>45412</v>
      </c>
      <c r="C20315" s="3" t="inlineStr">
        <is>
          <t>Assets</t>
        </is>
      </c>
      <c r="D20315" s="3" t="inlineStr">
        <is>
          <t>7610/225</t>
        </is>
      </c>
      <c r="E20315" s="3" t="inlineStr">
        <is>
          <t>Endulini CIP Structural engineering fee</t>
        </is>
      </c>
      <c r="F20315" s="3" t="n">
        <v>0</v>
      </c>
      <c r="G20315" s="3" t="n">
        <v>288645.08</v>
      </c>
    </row>
    <row r="20316">
      <c r="A20316" s="3" t="inlineStr">
        <is>
          <t>Endulini (Pty) Ltd</t>
        </is>
      </c>
      <c r="B20316" s="4" t="n">
        <v>45412</v>
      </c>
      <c r="C20316" s="3" t="inlineStr">
        <is>
          <t>Assets</t>
        </is>
      </c>
      <c r="D20316" s="3" t="inlineStr">
        <is>
          <t>7610/230</t>
        </is>
      </c>
      <c r="E20316" s="3" t="inlineStr">
        <is>
          <t>Endulini CIP Mechanical Engineering</t>
        </is>
      </c>
      <c r="F20316" s="3" t="n">
        <v>0</v>
      </c>
      <c r="G20316" s="3" t="n">
        <v>15570</v>
      </c>
    </row>
    <row r="20317">
      <c r="A20317" s="3" t="inlineStr">
        <is>
          <t>Endulini (Pty) Ltd</t>
        </is>
      </c>
      <c r="B20317" s="4" t="n">
        <v>45412</v>
      </c>
      <c r="C20317" s="3" t="inlineStr">
        <is>
          <t>Assets</t>
        </is>
      </c>
      <c r="D20317" s="3" t="inlineStr">
        <is>
          <t>7610/235</t>
        </is>
      </c>
      <c r="E20317" s="3" t="inlineStr">
        <is>
          <t>Endulini CIP Electrical Installation</t>
        </is>
      </c>
      <c r="F20317" s="3" t="n">
        <v>0</v>
      </c>
      <c r="G20317" s="3" t="n">
        <v>1034019.08</v>
      </c>
    </row>
    <row r="20318">
      <c r="A20318" s="3" t="inlineStr">
        <is>
          <t>Endulini (Pty) Ltd</t>
        </is>
      </c>
      <c r="B20318" s="4" t="n">
        <v>45412</v>
      </c>
      <c r="C20318" s="3" t="inlineStr">
        <is>
          <t>Assets</t>
        </is>
      </c>
      <c r="D20318" s="3" t="inlineStr">
        <is>
          <t>7610/250</t>
        </is>
      </c>
      <c r="E20318" s="3" t="inlineStr">
        <is>
          <t>Endulini CIP Boundary Wall</t>
        </is>
      </c>
      <c r="F20318" s="3" t="n">
        <v>0</v>
      </c>
      <c r="G20318" s="3" t="n">
        <v>88400.8</v>
      </c>
    </row>
    <row r="20319">
      <c r="A20319" s="3" t="inlineStr">
        <is>
          <t>Endulini (Pty) Ltd</t>
        </is>
      </c>
      <c r="B20319" s="4" t="n">
        <v>45412</v>
      </c>
      <c r="C20319" s="3" t="inlineStr">
        <is>
          <t>Assets</t>
        </is>
      </c>
      <c r="D20319" s="3" t="inlineStr">
        <is>
          <t>7610/290</t>
        </is>
      </c>
      <c r="E20319" s="3" t="inlineStr">
        <is>
          <t>Endulini CIP Development Management Fees</t>
        </is>
      </c>
      <c r="F20319" s="3" t="n">
        <v>0</v>
      </c>
      <c r="G20319" s="3" t="n">
        <v>665322.71</v>
      </c>
    </row>
    <row r="20320">
      <c r="A20320" s="3" t="inlineStr">
        <is>
          <t>Endulini (Pty) Ltd</t>
        </is>
      </c>
      <c r="B20320" s="4" t="n">
        <v>45412</v>
      </c>
      <c r="C20320" s="3" t="inlineStr">
        <is>
          <t>Assets</t>
        </is>
      </c>
      <c r="D20320" s="3" t="inlineStr">
        <is>
          <t>7610/310</t>
        </is>
      </c>
      <c r="E20320" s="3" t="inlineStr">
        <is>
          <t>Endulini CIP Enviromental consultants</t>
        </is>
      </c>
      <c r="F20320" s="3" t="n">
        <v>0</v>
      </c>
      <c r="G20320" s="3" t="n">
        <v>115730</v>
      </c>
    </row>
    <row r="20321">
      <c r="A20321" s="3" t="inlineStr">
        <is>
          <t>Endulini (Pty) Ltd</t>
        </is>
      </c>
      <c r="B20321" s="4" t="n">
        <v>45412</v>
      </c>
      <c r="C20321" s="3" t="inlineStr">
        <is>
          <t>Assets</t>
        </is>
      </c>
      <c r="D20321" s="3" t="inlineStr">
        <is>
          <t>7610/320</t>
        </is>
      </c>
      <c r="E20321" s="3" t="inlineStr">
        <is>
          <t>Endulini CIP Geotechnical</t>
        </is>
      </c>
      <c r="F20321" s="3" t="n">
        <v>0</v>
      </c>
      <c r="G20321" s="3" t="n">
        <v>13575</v>
      </c>
    </row>
    <row r="20322">
      <c r="A20322" s="3" t="inlineStr">
        <is>
          <t>Endulini (Pty) Ltd</t>
        </is>
      </c>
      <c r="B20322" s="4" t="n">
        <v>45412</v>
      </c>
      <c r="C20322" s="3" t="inlineStr">
        <is>
          <t>Assets</t>
        </is>
      </c>
      <c r="D20322" s="3" t="inlineStr">
        <is>
          <t>7610/330</t>
        </is>
      </c>
      <c r="E20322" s="3" t="inlineStr">
        <is>
          <t>Endulini CIP Health and Safety</t>
        </is>
      </c>
      <c r="F20322" s="3" t="n">
        <v>0</v>
      </c>
      <c r="G20322" s="3" t="n">
        <v>40200</v>
      </c>
    </row>
    <row r="20323">
      <c r="A20323" s="3" t="inlineStr">
        <is>
          <t>Endulini (Pty) Ltd</t>
        </is>
      </c>
      <c r="B20323" s="4" t="n">
        <v>45412</v>
      </c>
      <c r="C20323" s="3" t="inlineStr">
        <is>
          <t>Assets</t>
        </is>
      </c>
      <c r="D20323" s="3" t="inlineStr">
        <is>
          <t>7610/390</t>
        </is>
      </c>
      <c r="E20323" s="3" t="inlineStr">
        <is>
          <t>Endulini CIP Land Surveyor</t>
        </is>
      </c>
      <c r="F20323" s="3" t="n">
        <v>0</v>
      </c>
      <c r="G20323" s="3" t="n">
        <v>186021.2</v>
      </c>
    </row>
    <row r="20324">
      <c r="A20324" s="3" t="inlineStr">
        <is>
          <t>Endulini (Pty) Ltd</t>
        </is>
      </c>
      <c r="B20324" s="4" t="n">
        <v>45412</v>
      </c>
      <c r="C20324" s="3" t="inlineStr">
        <is>
          <t>Assets</t>
        </is>
      </c>
      <c r="D20324" s="3" t="inlineStr">
        <is>
          <t>7610/392</t>
        </is>
      </c>
      <c r="E20324" s="3" t="inlineStr">
        <is>
          <t>Endulini CIP Landscaping</t>
        </is>
      </c>
      <c r="F20324" s="3" t="n">
        <v>0</v>
      </c>
      <c r="G20324" s="3" t="n">
        <v>6100</v>
      </c>
    </row>
    <row r="20325">
      <c r="A20325" s="3" t="inlineStr">
        <is>
          <t>Endulini (Pty) Ltd</t>
        </is>
      </c>
      <c r="B20325" s="4" t="n">
        <v>45412</v>
      </c>
      <c r="C20325" s="3" t="inlineStr">
        <is>
          <t>Assets</t>
        </is>
      </c>
      <c r="D20325" s="3" t="inlineStr">
        <is>
          <t>7610/395</t>
        </is>
      </c>
      <c r="E20325" s="3" t="inlineStr">
        <is>
          <t>Endulini CIP NHBRC</t>
        </is>
      </c>
      <c r="F20325" s="3" t="n">
        <v>0</v>
      </c>
      <c r="G20325" s="3" t="n">
        <v>928847.49</v>
      </c>
    </row>
    <row r="20326">
      <c r="A20326" s="3" t="inlineStr">
        <is>
          <t>Endulini (Pty) Ltd</t>
        </is>
      </c>
      <c r="B20326" s="4" t="n">
        <v>45412</v>
      </c>
      <c r="C20326" s="3" t="inlineStr">
        <is>
          <t>Assets</t>
        </is>
      </c>
      <c r="D20326" s="3" t="inlineStr">
        <is>
          <t>7610/400</t>
        </is>
      </c>
      <c r="E20326" s="3" t="inlineStr">
        <is>
          <t>Endulini CIP Quantity Surveyor</t>
        </is>
      </c>
      <c r="F20326" s="3" t="n">
        <v>0</v>
      </c>
      <c r="G20326" s="3" t="n">
        <v>82136.36</v>
      </c>
    </row>
    <row r="20327">
      <c r="A20327" s="3" t="inlineStr">
        <is>
          <t>Endulini (Pty) Ltd</t>
        </is>
      </c>
      <c r="B20327" s="4" t="n">
        <v>45412</v>
      </c>
      <c r="C20327" s="3" t="inlineStr">
        <is>
          <t>Assets</t>
        </is>
      </c>
      <c r="D20327" s="3" t="inlineStr">
        <is>
          <t>7610/600</t>
        </is>
      </c>
      <c r="E20327" s="3" t="inlineStr">
        <is>
          <t>Endulini CIP Town Planning</t>
        </is>
      </c>
      <c r="F20327" s="3" t="n">
        <v>0</v>
      </c>
      <c r="G20327" s="3" t="n">
        <v>21105</v>
      </c>
    </row>
    <row r="20328">
      <c r="A20328" s="3" t="inlineStr">
        <is>
          <t>Endulini (Pty) Ltd</t>
        </is>
      </c>
      <c r="B20328" s="4" t="n">
        <v>45412</v>
      </c>
      <c r="C20328" s="3" t="inlineStr">
        <is>
          <t>Assets</t>
        </is>
      </c>
      <c r="D20328" s="3" t="inlineStr">
        <is>
          <t>7610/620</t>
        </is>
      </c>
      <c r="E20328" s="3" t="inlineStr">
        <is>
          <t>Endulini CIP Traffic Impact</t>
        </is>
      </c>
      <c r="F20328" s="3" t="n">
        <v>0</v>
      </c>
      <c r="G20328" s="3" t="n">
        <v>24915</v>
      </c>
    </row>
    <row r="20329">
      <c r="A20329" s="3" t="inlineStr">
        <is>
          <t>Endulini (Pty) Ltd</t>
        </is>
      </c>
      <c r="B20329" s="4" t="n">
        <v>45412</v>
      </c>
      <c r="C20329" s="3" t="inlineStr">
        <is>
          <t>Assets</t>
        </is>
      </c>
      <c r="D20329" s="3" t="inlineStr">
        <is>
          <t>7610/630</t>
        </is>
      </c>
      <c r="E20329" s="3" t="inlineStr">
        <is>
          <t>Endulini CIP CoCT Development Contributi</t>
        </is>
      </c>
      <c r="F20329" s="3" t="n">
        <v>0</v>
      </c>
      <c r="G20329" s="3" t="n">
        <v>661860.3100000001</v>
      </c>
    </row>
    <row r="20330">
      <c r="A20330" s="3" t="inlineStr">
        <is>
          <t>Endulini (Pty) Ltd</t>
        </is>
      </c>
      <c r="B20330" s="4" t="n">
        <v>45412</v>
      </c>
      <c r="C20330" s="3" t="inlineStr">
        <is>
          <t>Assets</t>
        </is>
      </c>
      <c r="D20330" s="3" t="inlineStr">
        <is>
          <t>7610/640</t>
        </is>
      </c>
      <c r="E20330" s="3" t="inlineStr">
        <is>
          <t>Endulini CIP CoCT Building plan application</t>
        </is>
      </c>
      <c r="F20330" s="3" t="n">
        <v>0</v>
      </c>
      <c r="G20330" s="3" t="n">
        <v>111203.22</v>
      </c>
    </row>
    <row r="20331">
      <c r="A20331" s="3" t="inlineStr">
        <is>
          <t>Endulini (Pty) Ltd</t>
        </is>
      </c>
      <c r="B20331" s="4" t="n">
        <v>45412</v>
      </c>
      <c r="C20331" s="3" t="inlineStr">
        <is>
          <t>Assets</t>
        </is>
      </c>
      <c r="D20331" s="3" t="inlineStr">
        <is>
          <t>7610/900</t>
        </is>
      </c>
      <c r="E20331" s="3" t="inlineStr">
        <is>
          <t>Endulini CIP Cost of Sales</t>
        </is>
      </c>
      <c r="F20331" s="3" t="n">
        <v>0</v>
      </c>
      <c r="G20331" s="3" t="n">
        <v>-28210981.9</v>
      </c>
    </row>
    <row r="20332">
      <c r="A20332" s="3" t="inlineStr">
        <is>
          <t>Quinate Consulting (Pty) Ltd</t>
        </is>
      </c>
      <c r="B20332" s="4" t="n">
        <v>45412</v>
      </c>
      <c r="C20332" s="3" t="inlineStr">
        <is>
          <t>Assets</t>
        </is>
      </c>
      <c r="D20332" s="3" t="inlineStr">
        <is>
          <t>7800/104</t>
        </is>
      </c>
      <c r="E20332" s="3" t="inlineStr">
        <is>
          <t>Stock - Closing Stock SW - 28 Feb 21</t>
        </is>
      </c>
      <c r="F20332" s="3" t="n">
        <v>0</v>
      </c>
      <c r="G20332" s="3" t="n">
        <v>2874478.88</v>
      </c>
    </row>
    <row r="20333">
      <c r="A20333" s="3" t="inlineStr">
        <is>
          <t>Quinate Consulting (Pty) Ltd</t>
        </is>
      </c>
      <c r="B20333" s="4" t="n">
        <v>45412</v>
      </c>
      <c r="C20333" s="3" t="inlineStr">
        <is>
          <t>Assets</t>
        </is>
      </c>
      <c r="D20333" s="3" t="inlineStr">
        <is>
          <t>7800/105</t>
        </is>
      </c>
      <c r="E20333" s="3" t="inlineStr">
        <is>
          <t>Stock - Closing Stock SH - 28 Feb 21</t>
        </is>
      </c>
      <c r="F20333" s="3" t="n">
        <v>0</v>
      </c>
      <c r="G20333" s="3" t="n">
        <v>2843477.6</v>
      </c>
    </row>
    <row r="20334">
      <c r="A20334" s="3" t="inlineStr">
        <is>
          <t>Endulini (Pty) Ltd</t>
        </is>
      </c>
      <c r="B20334" s="4" t="n">
        <v>45412</v>
      </c>
      <c r="C20334" s="3" t="inlineStr">
        <is>
          <t>Assets</t>
        </is>
      </c>
      <c r="D20334" s="3" t="inlineStr">
        <is>
          <t>8000/000</t>
        </is>
      </c>
      <c r="E20334" s="3" t="inlineStr">
        <is>
          <t>Customer Control Account</t>
        </is>
      </c>
      <c r="F20334" s="3" t="n">
        <v>0</v>
      </c>
      <c r="G20334" s="3" t="n">
        <v>553482.24</v>
      </c>
    </row>
    <row r="20335">
      <c r="A20335" s="3" t="inlineStr">
        <is>
          <t>Noble Shield (Pty) Ltd ta Go Letting</t>
        </is>
      </c>
      <c r="B20335" s="4" t="n">
        <v>45412</v>
      </c>
      <c r="C20335" s="3" t="inlineStr">
        <is>
          <t>Assets</t>
        </is>
      </c>
      <c r="D20335" s="3" t="inlineStr">
        <is>
          <t>8000/000</t>
        </is>
      </c>
      <c r="E20335" s="3" t="inlineStr">
        <is>
          <t>Customer Control Account</t>
        </is>
      </c>
      <c r="F20335" s="3" t="n">
        <v>0</v>
      </c>
      <c r="G20335" s="3" t="n">
        <v>60289.32</v>
      </c>
    </row>
    <row r="20336">
      <c r="A20336" s="3" t="inlineStr">
        <is>
          <t>Opportunity Global Property (PTY) LTD</t>
        </is>
      </c>
      <c r="B20336" s="4" t="n">
        <v>45412</v>
      </c>
      <c r="C20336" s="3" t="inlineStr">
        <is>
          <t>Assets</t>
        </is>
      </c>
      <c r="D20336" s="3" t="inlineStr">
        <is>
          <t>8000/000</t>
        </is>
      </c>
      <c r="E20336" s="3" t="inlineStr">
        <is>
          <t>Customer Control Account</t>
        </is>
      </c>
      <c r="F20336" s="3" t="n">
        <v>7000</v>
      </c>
      <c r="G20336" s="3" t="n">
        <v>587598.33</v>
      </c>
    </row>
    <row r="20337">
      <c r="A20337" s="3" t="inlineStr">
        <is>
          <t>Opportunity Management Holdings (PTY) LTD</t>
        </is>
      </c>
      <c r="B20337" s="4" t="n">
        <v>45412</v>
      </c>
      <c r="C20337" s="3" t="inlineStr">
        <is>
          <t>Assets</t>
        </is>
      </c>
      <c r="D20337" s="3" t="inlineStr">
        <is>
          <t>8000/000</t>
        </is>
      </c>
      <c r="E20337" s="3" t="inlineStr">
        <is>
          <t>Customer Control Account</t>
        </is>
      </c>
      <c r="F20337" s="3" t="n">
        <v>0</v>
      </c>
      <c r="G20337" s="3" t="n">
        <v>554326.47</v>
      </c>
    </row>
    <row r="20338">
      <c r="A20338" s="3" t="inlineStr">
        <is>
          <t>Opportunity Private Capital (PTY) LTD</t>
        </is>
      </c>
      <c r="B20338" s="4" t="n">
        <v>45412</v>
      </c>
      <c r="C20338" s="3" t="inlineStr">
        <is>
          <t>Assets</t>
        </is>
      </c>
      <c r="D20338" s="3" t="inlineStr">
        <is>
          <t>8000/000</t>
        </is>
      </c>
      <c r="E20338" s="3" t="inlineStr">
        <is>
          <t>Customer Control Account</t>
        </is>
      </c>
      <c r="F20338" s="3" t="n">
        <v>-283870.14</v>
      </c>
      <c r="G20338" s="3" t="n">
        <v>74681.44</v>
      </c>
    </row>
    <row r="20339">
      <c r="A20339" s="3" t="inlineStr">
        <is>
          <t>Quinate Consulting (Pty) Ltd</t>
        </is>
      </c>
      <c r="B20339" s="4" t="n">
        <v>45412</v>
      </c>
      <c r="C20339" s="3" t="inlineStr">
        <is>
          <t>Assets</t>
        </is>
      </c>
      <c r="D20339" s="3" t="inlineStr">
        <is>
          <t>8000/000</t>
        </is>
      </c>
      <c r="E20339" s="3" t="inlineStr">
        <is>
          <t>Customer Control Account</t>
        </is>
      </c>
      <c r="F20339" s="3" t="n">
        <v>13612.34</v>
      </c>
      <c r="G20339" s="3" t="n">
        <v>52385.43</v>
      </c>
    </row>
    <row r="20340">
      <c r="A20340" s="3" t="inlineStr">
        <is>
          <t>Quinate Consulting (Pty) Ltd</t>
        </is>
      </c>
      <c r="B20340" s="4" t="n">
        <v>45412</v>
      </c>
      <c r="C20340" s="3" t="inlineStr">
        <is>
          <t>Assets</t>
        </is>
      </c>
      <c r="D20340" s="3" t="inlineStr">
        <is>
          <t>8001</t>
        </is>
      </c>
      <c r="E20340" s="3" t="inlineStr">
        <is>
          <t>Customer Control</t>
        </is>
      </c>
      <c r="F20340" s="3" t="n">
        <v>0</v>
      </c>
      <c r="G20340" s="3" t="n">
        <v>29487.49</v>
      </c>
    </row>
    <row r="20341">
      <c r="A20341" s="3" t="inlineStr">
        <is>
          <t>Quinate Consulting (Pty) Ltd</t>
        </is>
      </c>
      <c r="B20341" s="4" t="n">
        <v>45412</v>
      </c>
      <c r="C20341" s="3" t="inlineStr">
        <is>
          <t>Assets</t>
        </is>
      </c>
      <c r="D20341" s="3" t="inlineStr">
        <is>
          <t>8200/010</t>
        </is>
      </c>
      <c r="E20341" s="3" t="inlineStr">
        <is>
          <t>Prepayments / Prepaid Expenses</t>
        </is>
      </c>
      <c r="F20341" s="3" t="n">
        <v>0</v>
      </c>
      <c r="G20341" s="3" t="n">
        <v>109675</v>
      </c>
    </row>
    <row r="20342">
      <c r="A20342" s="3" t="inlineStr">
        <is>
          <t>Opportunity Management Holdings (PTY) LTD</t>
        </is>
      </c>
      <c r="B20342" s="4" t="n">
        <v>45412</v>
      </c>
      <c r="C20342" s="3" t="inlineStr">
        <is>
          <t>Assets</t>
        </is>
      </c>
      <c r="D20342" s="3" t="inlineStr">
        <is>
          <t>8200/020</t>
        </is>
      </c>
      <c r="E20342" s="3" t="inlineStr">
        <is>
          <t>Staff Loan - Nicolene Smit</t>
        </is>
      </c>
      <c r="F20342" s="3" t="n">
        <v>-500</v>
      </c>
      <c r="G20342" s="3" t="n">
        <v>0</v>
      </c>
    </row>
    <row r="20343">
      <c r="A20343" s="3" t="inlineStr">
        <is>
          <t>Opportunity Global Property (PTY) LTD</t>
        </is>
      </c>
      <c r="B20343" s="4" t="n">
        <v>45412</v>
      </c>
      <c r="C20343" s="3" t="inlineStr">
        <is>
          <t>Assets</t>
        </is>
      </c>
      <c r="D20343" s="3" t="inlineStr">
        <is>
          <t>8300/200</t>
        </is>
      </c>
      <c r="E20343" s="3" t="inlineStr">
        <is>
          <t>Staff Loan - Mario Stoop</t>
        </is>
      </c>
      <c r="F20343" s="3" t="n">
        <v>0</v>
      </c>
      <c r="G20343" s="3" t="n">
        <v>1500</v>
      </c>
    </row>
    <row r="20344">
      <c r="A20344" s="3" t="inlineStr">
        <is>
          <t>Opportunity Private Capital (PTY) LTD</t>
        </is>
      </c>
      <c r="B20344" s="4" t="n">
        <v>45412</v>
      </c>
      <c r="C20344" s="3" t="inlineStr">
        <is>
          <t>Assets</t>
        </is>
      </c>
      <c r="D20344" s="3" t="inlineStr">
        <is>
          <t>8400/000</t>
        </is>
      </c>
      <c r="E20344" s="3" t="inlineStr">
        <is>
          <t>FNB 62093491696</t>
        </is>
      </c>
      <c r="F20344" s="3" t="n">
        <v>-42689.73</v>
      </c>
      <c r="G20344" s="3" t="n">
        <v>35949.51</v>
      </c>
    </row>
    <row r="20345">
      <c r="A20345" s="3" t="inlineStr">
        <is>
          <t>Opportunity Global Property (PTY) LTD</t>
        </is>
      </c>
      <c r="B20345" s="4" t="n">
        <v>45412</v>
      </c>
      <c r="C20345" s="3" t="inlineStr">
        <is>
          <t>Assets</t>
        </is>
      </c>
      <c r="D20345" s="3" t="inlineStr">
        <is>
          <t>8400/000</t>
        </is>
      </c>
      <c r="E20345" s="3" t="inlineStr">
        <is>
          <t>FNB 62835620875</t>
        </is>
      </c>
      <c r="F20345" s="3" t="n">
        <v>-46424.7</v>
      </c>
      <c r="G20345" s="3" t="n">
        <v>63303.38</v>
      </c>
    </row>
    <row r="20346">
      <c r="A20346" s="3" t="inlineStr">
        <is>
          <t>Quinate Consulting (Pty) Ltd</t>
        </is>
      </c>
      <c r="B20346" s="4" t="n">
        <v>45412</v>
      </c>
      <c r="C20346" s="3" t="inlineStr">
        <is>
          <t>Assets</t>
        </is>
      </c>
      <c r="D20346" s="3" t="inlineStr">
        <is>
          <t>8400/000</t>
        </is>
      </c>
      <c r="E20346" s="3" t="inlineStr">
        <is>
          <t>RMB - 62736659189 - Call Acc</t>
        </is>
      </c>
      <c r="F20346" s="3" t="n">
        <v>-178.54</v>
      </c>
      <c r="G20346" s="3" t="n">
        <v>811288.84</v>
      </c>
    </row>
    <row r="20347">
      <c r="A20347" s="3" t="inlineStr">
        <is>
          <t>Trademark Holdings (Pty) Ltd</t>
        </is>
      </c>
      <c r="B20347" s="4" t="n">
        <v>45412</v>
      </c>
      <c r="C20347" s="3" t="inlineStr">
        <is>
          <t>Assets</t>
        </is>
      </c>
      <c r="D20347" s="3" t="inlineStr">
        <is>
          <t>8400/000</t>
        </is>
      </c>
      <c r="E20347" s="3" t="inlineStr">
        <is>
          <t>RMB 623 693 03640</t>
        </is>
      </c>
      <c r="F20347" s="3" t="n">
        <v>-3486.49</v>
      </c>
      <c r="G20347" s="3" t="n">
        <v>35977.99</v>
      </c>
    </row>
    <row r="20348">
      <c r="A20348" s="3" t="inlineStr">
        <is>
          <t>Noble Shield (Pty) Ltd ta Go Letting</t>
        </is>
      </c>
      <c r="B20348" s="4" t="n">
        <v>45412</v>
      </c>
      <c r="C20348" s="3" t="inlineStr">
        <is>
          <t>Assets</t>
        </is>
      </c>
      <c r="D20348" s="3" t="inlineStr">
        <is>
          <t>8400/000</t>
        </is>
      </c>
      <c r="E20348" s="3" t="inlineStr">
        <is>
          <t>RMB 6250 573 3833</t>
        </is>
      </c>
      <c r="F20348" s="3" t="n">
        <v>17779.16</v>
      </c>
      <c r="G20348" s="3" t="n">
        <v>67896.58</v>
      </c>
    </row>
    <row r="20349">
      <c r="A20349" s="3" t="inlineStr">
        <is>
          <t>Endulini (Pty) Ltd</t>
        </is>
      </c>
      <c r="B20349" s="4" t="n">
        <v>45412</v>
      </c>
      <c r="C20349" s="3" t="inlineStr">
        <is>
          <t>Assets</t>
        </is>
      </c>
      <c r="D20349" s="3" t="inlineStr">
        <is>
          <t>8400/000</t>
        </is>
      </c>
      <c r="E20349" s="3" t="inlineStr">
        <is>
          <t>RMB 62906944576</t>
        </is>
      </c>
      <c r="F20349" s="3" t="n">
        <v>-174379.26</v>
      </c>
      <c r="G20349" s="3" t="n">
        <v>21084.79</v>
      </c>
    </row>
    <row r="20350">
      <c r="A20350" s="3" t="inlineStr">
        <is>
          <t>Opportunity Management Holdings (PTY) LTD</t>
        </is>
      </c>
      <c r="B20350" s="4" t="n">
        <v>45412</v>
      </c>
      <c r="C20350" s="3" t="inlineStr">
        <is>
          <t>Assets</t>
        </is>
      </c>
      <c r="D20350" s="3" t="inlineStr">
        <is>
          <t>8400/000</t>
        </is>
      </c>
      <c r="E20350" s="3" t="inlineStr">
        <is>
          <t>RMB Cheq - 62312246920</t>
        </is>
      </c>
      <c r="F20350" s="3" t="n">
        <v>-4226.22</v>
      </c>
      <c r="G20350" s="3" t="n">
        <v>98094.5</v>
      </c>
    </row>
    <row r="20351">
      <c r="A20351" s="3" t="inlineStr">
        <is>
          <t>Opportunity Global Property (PTY) LTD</t>
        </is>
      </c>
      <c r="B20351" s="4" t="n">
        <v>45412</v>
      </c>
      <c r="C20351" s="3" t="inlineStr">
        <is>
          <t>Assets</t>
        </is>
      </c>
      <c r="D20351" s="3" t="inlineStr">
        <is>
          <t>8405/000</t>
        </is>
      </c>
      <c r="E20351" s="3" t="inlineStr">
        <is>
          <t>FNB Trust 62762449265</t>
        </is>
      </c>
      <c r="F20351" s="3" t="n">
        <v>0</v>
      </c>
      <c r="G20351" s="3" t="n">
        <v>-141.72</v>
      </c>
    </row>
    <row r="20352">
      <c r="A20352" s="3" t="inlineStr">
        <is>
          <t>Opportunity Private Capital (PTY) LTD</t>
        </is>
      </c>
      <c r="B20352" s="4" t="n">
        <v>45412</v>
      </c>
      <c r="C20352" s="3" t="inlineStr">
        <is>
          <t>Assets</t>
        </is>
      </c>
      <c r="D20352" s="3" t="inlineStr">
        <is>
          <t>8405/000</t>
        </is>
      </c>
      <c r="E20352" s="3" t="inlineStr">
        <is>
          <t>FNB Trust 62762449265</t>
        </is>
      </c>
      <c r="F20352" s="3" t="n">
        <v>0</v>
      </c>
      <c r="G20352" s="3" t="n">
        <v>1141.1</v>
      </c>
    </row>
    <row r="20353">
      <c r="A20353" s="3" t="inlineStr">
        <is>
          <t>Endulini (Pty) Ltd</t>
        </is>
      </c>
      <c r="B20353" s="4" t="n">
        <v>45412</v>
      </c>
      <c r="C20353" s="3" t="inlineStr">
        <is>
          <t>Assets</t>
        </is>
      </c>
      <c r="D20353" s="3" t="inlineStr">
        <is>
          <t>8410/000</t>
        </is>
      </c>
      <c r="E20353" s="3" t="inlineStr">
        <is>
          <t>Momentum Investor Account : RU 502229883</t>
        </is>
      </c>
      <c r="F20353" s="3" t="n">
        <v>0</v>
      </c>
      <c r="G20353" s="3" t="n">
        <v>24.52</v>
      </c>
    </row>
    <row r="20354">
      <c r="A20354" s="3" t="inlineStr">
        <is>
          <t>Opportunity Management Holdings (PTY) LTD</t>
        </is>
      </c>
      <c r="B20354" s="4" t="n">
        <v>45412</v>
      </c>
      <c r="C20354" s="3" t="inlineStr">
        <is>
          <t>Assets</t>
        </is>
      </c>
      <c r="D20354" s="3" t="inlineStr">
        <is>
          <t>8410/000</t>
        </is>
      </c>
      <c r="E20354" s="3" t="inlineStr">
        <is>
          <t>RMB Call Acc - 62312248851</t>
        </is>
      </c>
      <c r="F20354" s="3" t="n">
        <v>0</v>
      </c>
      <c r="G20354" s="3" t="n">
        <v>1432.34</v>
      </c>
    </row>
    <row r="20355">
      <c r="A20355" s="3" t="inlineStr">
        <is>
          <t>Noble Shield (Pty) Ltd ta Go Letting</t>
        </is>
      </c>
      <c r="B20355" s="4" t="n">
        <v>45412</v>
      </c>
      <c r="C20355" s="3" t="inlineStr">
        <is>
          <t>Assets</t>
        </is>
      </c>
      <c r="D20355" s="3" t="inlineStr">
        <is>
          <t>8410/000</t>
        </is>
      </c>
      <c r="E20355" s="3" t="inlineStr">
        <is>
          <t>RMB Trust Acc - 6250 615 1365</t>
        </is>
      </c>
      <c r="F20355" s="3" t="n">
        <v>0</v>
      </c>
      <c r="G20355" s="3" t="n">
        <v>402.65</v>
      </c>
    </row>
    <row r="20356">
      <c r="A20356" s="3" t="inlineStr">
        <is>
          <t>Quinate Consulting (Pty) Ltd</t>
        </is>
      </c>
      <c r="B20356" s="4" t="n">
        <v>45412</v>
      </c>
      <c r="C20356" s="3" t="inlineStr">
        <is>
          <t>Assets</t>
        </is>
      </c>
      <c r="D20356" s="3" t="inlineStr">
        <is>
          <t>8415/000</t>
        </is>
      </c>
      <c r="E20356" s="3" t="inlineStr">
        <is>
          <t>STD Acc 071 958 959 - Facility Acc</t>
        </is>
      </c>
      <c r="F20356" s="3" t="n">
        <v>0</v>
      </c>
      <c r="G20356" s="3" t="n">
        <v>2276.21</v>
      </c>
    </row>
    <row r="20357">
      <c r="A20357" s="3" t="inlineStr">
        <is>
          <t>Trademark Holdings (Pty) Ltd</t>
        </is>
      </c>
      <c r="B20357" s="4" t="n">
        <v>45412</v>
      </c>
      <c r="C20357" s="3" t="inlineStr">
        <is>
          <t>Assets</t>
        </is>
      </c>
      <c r="D20357" s="3" t="inlineStr">
        <is>
          <t>8420/000</t>
        </is>
      </c>
      <c r="E20357" s="3" t="inlineStr">
        <is>
          <t>FNB Credit Card</t>
        </is>
      </c>
      <c r="F20357" s="3" t="n">
        <v>0</v>
      </c>
      <c r="G20357" s="3" t="n">
        <v>624</v>
      </c>
    </row>
    <row r="20358">
      <c r="A20358" s="3" t="inlineStr">
        <is>
          <t>Quinate Consulting (Pty) Ltd</t>
        </is>
      </c>
      <c r="B20358" s="4" t="n">
        <v>45412</v>
      </c>
      <c r="C20358" s="3" t="inlineStr">
        <is>
          <t>Assets</t>
        </is>
      </c>
      <c r="D20358" s="3" t="inlineStr">
        <is>
          <t>8430/000</t>
        </is>
      </c>
      <c r="E20358" s="3" t="inlineStr">
        <is>
          <t>Momentum Investment Acc - RU502230185</t>
        </is>
      </c>
      <c r="F20358" s="3" t="n">
        <v>0</v>
      </c>
      <c r="G20358" s="3" t="n">
        <v>574.88</v>
      </c>
    </row>
    <row r="20359">
      <c r="A20359" s="3" t="inlineStr">
        <is>
          <t>Opportunity Private Capital (PTY) LTD</t>
        </is>
      </c>
      <c r="B20359" s="4" t="n">
        <v>45412</v>
      </c>
      <c r="C20359" s="3" t="inlineStr">
        <is>
          <t>Assets</t>
        </is>
      </c>
      <c r="D20359" s="3" t="inlineStr">
        <is>
          <t>8440/000</t>
        </is>
      </c>
      <c r="E20359" s="3" t="inlineStr">
        <is>
          <t>FNB - Call 627602764438</t>
        </is>
      </c>
      <c r="F20359" s="3" t="n">
        <v>-184.23</v>
      </c>
      <c r="G20359" s="3" t="n">
        <v>-1864.93</v>
      </c>
    </row>
    <row r="20360">
      <c r="A20360" s="3" t="inlineStr">
        <is>
          <t>Opportunity Private Capital (PTY) LTD</t>
        </is>
      </c>
      <c r="B20360" s="4" t="n">
        <v>45412</v>
      </c>
      <c r="C20360" s="3" t="inlineStr">
        <is>
          <t>Assets</t>
        </is>
      </c>
      <c r="D20360" s="3" t="inlineStr">
        <is>
          <t>8445/000</t>
        </is>
      </c>
      <c r="E20360" s="3" t="inlineStr">
        <is>
          <t>Momentum RU502230096</t>
        </is>
      </c>
      <c r="F20360" s="3" t="n">
        <v>0</v>
      </c>
      <c r="G20360" s="3" t="n">
        <v>5081.89</v>
      </c>
    </row>
    <row r="20361">
      <c r="A20361" s="3" t="inlineStr">
        <is>
          <t>Quinate Consulting (Pty) Ltd</t>
        </is>
      </c>
      <c r="B20361" s="4" t="n">
        <v>45412</v>
      </c>
      <c r="C20361" s="3" t="inlineStr">
        <is>
          <t>Assets</t>
        </is>
      </c>
      <c r="D20361" s="3" t="inlineStr">
        <is>
          <t>8450/000</t>
        </is>
      </c>
      <c r="E20361" s="3" t="inlineStr">
        <is>
          <t>A RMB 62275810820</t>
        </is>
      </c>
      <c r="F20361" s="3" t="n">
        <v>-16133.65</v>
      </c>
      <c r="G20361" s="3" t="n">
        <v>175810.74</v>
      </c>
    </row>
    <row r="20362">
      <c r="A20362" s="3" t="inlineStr">
        <is>
          <t>Opportunity Management Holdings (PTY) LTD</t>
        </is>
      </c>
      <c r="B20362" s="4" t="n">
        <v>45412</v>
      </c>
      <c r="C20362" s="3" t="inlineStr">
        <is>
          <t>Assets</t>
        </is>
      </c>
      <c r="D20362" s="3" t="inlineStr">
        <is>
          <t>8450/000</t>
        </is>
      </c>
      <c r="E20362" s="3" t="inlineStr">
        <is>
          <t>Petty Cash - CT Office</t>
        </is>
      </c>
      <c r="F20362" s="3" t="n">
        <v>0</v>
      </c>
      <c r="G20362" s="3" t="n">
        <v>1016.2</v>
      </c>
    </row>
    <row r="20363">
      <c r="A20363" s="3" t="inlineStr">
        <is>
          <t>Quinate Consulting (Pty) Ltd</t>
        </is>
      </c>
      <c r="B20363" s="4" t="n">
        <v>45412</v>
      </c>
      <c r="C20363" s="3" t="inlineStr">
        <is>
          <t>Assets</t>
        </is>
      </c>
      <c r="D20363" s="3" t="inlineStr">
        <is>
          <t>8470/000</t>
        </is>
      </c>
      <c r="E20363" s="3" t="inlineStr">
        <is>
          <t>ABSA: Quinate</t>
        </is>
      </c>
      <c r="F20363" s="3" t="n">
        <v>21750</v>
      </c>
      <c r="G20363" s="3" t="n">
        <v>22250</v>
      </c>
    </row>
    <row r="20364">
      <c r="A20364" s="3" t="inlineStr">
        <is>
          <t>Quinate Consulting (Pty) Ltd</t>
        </is>
      </c>
      <c r="B20364" s="4" t="n">
        <v>45412</v>
      </c>
      <c r="C20364" s="3" t="inlineStr">
        <is>
          <t>Liabilities</t>
        </is>
      </c>
      <c r="D20364" s="3" t="inlineStr">
        <is>
          <t>8480/100</t>
        </is>
      </c>
      <c r="E20364" s="3" t="inlineStr">
        <is>
          <t>Bond - SH20 - STD Bank 532010558</t>
        </is>
      </c>
      <c r="F20364" s="3" t="n">
        <v>16629.24</v>
      </c>
      <c r="G20364" s="3" t="n">
        <v>-1286956.22</v>
      </c>
    </row>
    <row r="20365">
      <c r="A20365" s="3" t="inlineStr">
        <is>
          <t>Quinate Consulting (Pty) Ltd</t>
        </is>
      </c>
      <c r="B20365" s="4" t="n">
        <v>45412</v>
      </c>
      <c r="C20365" s="3" t="inlineStr">
        <is>
          <t>Liabilities</t>
        </is>
      </c>
      <c r="D20365" s="3" t="inlineStr">
        <is>
          <t>8480/200</t>
        </is>
      </c>
      <c r="E20365" s="3" t="inlineStr">
        <is>
          <t>Bond - SH23 - STD Bank 532010035</t>
        </is>
      </c>
      <c r="F20365" s="3" t="n">
        <v>16624.21</v>
      </c>
      <c r="G20365" s="3" t="n">
        <v>-1286856.22</v>
      </c>
    </row>
    <row r="20366">
      <c r="A20366" s="3" t="inlineStr">
        <is>
          <t>Quinate Consulting (Pty) Ltd</t>
        </is>
      </c>
      <c r="B20366" s="4" t="n">
        <v>45412</v>
      </c>
      <c r="C20366" s="3" t="inlineStr">
        <is>
          <t>Liabilities</t>
        </is>
      </c>
      <c r="D20366" s="3" t="inlineStr">
        <is>
          <t>8480/300</t>
        </is>
      </c>
      <c r="E20366" s="3" t="inlineStr">
        <is>
          <t>Bond - SH24 - STD Bank 532372662</t>
        </is>
      </c>
      <c r="F20366" s="3" t="n">
        <v>15793.82</v>
      </c>
      <c r="G20366" s="3" t="n">
        <v>-1406916.52</v>
      </c>
    </row>
    <row r="20367">
      <c r="A20367" s="3" t="inlineStr">
        <is>
          <t>Quinate Consulting (Pty) Ltd</t>
        </is>
      </c>
      <c r="B20367" s="4" t="n">
        <v>45412</v>
      </c>
      <c r="C20367" s="3" t="inlineStr">
        <is>
          <t>Liabilities</t>
        </is>
      </c>
      <c r="D20367" s="3" t="inlineStr">
        <is>
          <t>8480/400</t>
        </is>
      </c>
      <c r="E20367" s="3" t="inlineStr">
        <is>
          <t>Bond - SW01 - STD Bank 532920627</t>
        </is>
      </c>
      <c r="F20367" s="3" t="n">
        <v>13420.79</v>
      </c>
      <c r="G20367" s="3" t="n">
        <v>-1259646.27</v>
      </c>
    </row>
    <row r="20368">
      <c r="A20368" s="3" t="inlineStr">
        <is>
          <t>Quinate Consulting (Pty) Ltd</t>
        </is>
      </c>
      <c r="B20368" s="4" t="n">
        <v>45412</v>
      </c>
      <c r="C20368" s="3" t="inlineStr">
        <is>
          <t>Liabilities</t>
        </is>
      </c>
      <c r="D20368" s="3" t="inlineStr">
        <is>
          <t>8480/401</t>
        </is>
      </c>
      <c r="E20368" s="3" t="inlineStr">
        <is>
          <t>Bond - SW21 - STD Bank 532920597</t>
        </is>
      </c>
      <c r="F20368" s="3" t="n">
        <v>13426.02</v>
      </c>
      <c r="G20368" s="3" t="n">
        <v>-1260146.26</v>
      </c>
    </row>
    <row r="20369">
      <c r="A20369" s="3" t="inlineStr">
        <is>
          <t>Endulini (Pty) Ltd</t>
        </is>
      </c>
      <c r="B20369" s="4" t="n">
        <v>45412</v>
      </c>
      <c r="C20369" s="3" t="inlineStr">
        <is>
          <t>Liabilities</t>
        </is>
      </c>
      <c r="D20369" s="3" t="inlineStr">
        <is>
          <t>860</t>
        </is>
      </c>
      <c r="E20369" s="3" t="inlineStr">
        <is>
          <t>Rounding</t>
        </is>
      </c>
      <c r="F20369" s="3" t="n">
        <v>0</v>
      </c>
      <c r="G20369" s="3" t="n">
        <v>0.04</v>
      </c>
    </row>
    <row r="20370">
      <c r="A20370" s="3" t="inlineStr">
        <is>
          <t>Opportunity Global Property (PTY) LTD</t>
        </is>
      </c>
      <c r="B20370" s="4" t="n">
        <v>45412</v>
      </c>
      <c r="C20370" s="3" t="inlineStr">
        <is>
          <t>Liabilities</t>
        </is>
      </c>
      <c r="D20370" s="3" t="inlineStr">
        <is>
          <t>860</t>
        </is>
      </c>
      <c r="E20370" s="3" t="inlineStr">
        <is>
          <t>Rounding</t>
        </is>
      </c>
      <c r="F20370" s="3" t="n">
        <v>0</v>
      </c>
      <c r="G20370" s="3" t="n">
        <v>-0.99</v>
      </c>
    </row>
    <row r="20371">
      <c r="A20371" s="3" t="inlineStr">
        <is>
          <t>Opportunity Management Holdings (PTY) LTD</t>
        </is>
      </c>
      <c r="B20371" s="4" t="n">
        <v>45412</v>
      </c>
      <c r="C20371" s="3" t="inlineStr">
        <is>
          <t>Liabilities</t>
        </is>
      </c>
      <c r="D20371" s="3" t="inlineStr">
        <is>
          <t>860</t>
        </is>
      </c>
      <c r="E20371" s="3" t="inlineStr">
        <is>
          <t>Rounding</t>
        </is>
      </c>
      <c r="F20371" s="3" t="n">
        <v>0</v>
      </c>
      <c r="G20371" s="3" t="n">
        <v>-0.01</v>
      </c>
    </row>
    <row r="20372">
      <c r="A20372" s="3" t="inlineStr">
        <is>
          <t>Opportunity Private Capital (PTY) LTD</t>
        </is>
      </c>
      <c r="B20372" s="4" t="n">
        <v>45412</v>
      </c>
      <c r="C20372" s="3" t="inlineStr">
        <is>
          <t>Liabilities</t>
        </is>
      </c>
      <c r="D20372" s="3" t="inlineStr">
        <is>
          <t>860</t>
        </is>
      </c>
      <c r="E20372" s="3" t="inlineStr">
        <is>
          <t>Rounding</t>
        </is>
      </c>
      <c r="F20372" s="3" t="n">
        <v>0</v>
      </c>
      <c r="G20372" s="3" t="n">
        <v>-0.29</v>
      </c>
    </row>
    <row r="20373">
      <c r="A20373" s="3" t="inlineStr">
        <is>
          <t>Quinate Consulting (Pty) Ltd</t>
        </is>
      </c>
      <c r="B20373" s="4" t="n">
        <v>45412</v>
      </c>
      <c r="C20373" s="3" t="inlineStr">
        <is>
          <t>Liabilities</t>
        </is>
      </c>
      <c r="D20373" s="3" t="inlineStr">
        <is>
          <t>860</t>
        </is>
      </c>
      <c r="E20373" s="3" t="inlineStr">
        <is>
          <t>Rounding</t>
        </is>
      </c>
      <c r="F20373" s="3" t="n">
        <v>-0.46</v>
      </c>
      <c r="G20373" s="3" t="n">
        <v>-6.1</v>
      </c>
    </row>
    <row r="20374">
      <c r="A20374" s="3" t="inlineStr">
        <is>
          <t>Trademark Holdings (Pty) Ltd</t>
        </is>
      </c>
      <c r="B20374" s="4" t="n">
        <v>45412</v>
      </c>
      <c r="C20374" s="3" t="inlineStr">
        <is>
          <t>Liabilities</t>
        </is>
      </c>
      <c r="D20374" s="3" t="inlineStr">
        <is>
          <t>860</t>
        </is>
      </c>
      <c r="E20374" s="3" t="inlineStr">
        <is>
          <t>Rounding</t>
        </is>
      </c>
      <c r="F20374" s="3" t="n">
        <v>0</v>
      </c>
      <c r="G20374" s="3" t="n">
        <v>0.2</v>
      </c>
    </row>
    <row r="20375">
      <c r="A20375" s="3" t="inlineStr">
        <is>
          <t>Endulini (Pty) Ltd</t>
        </is>
      </c>
      <c r="B20375" s="4" t="n">
        <v>45412</v>
      </c>
      <c r="C20375" s="3" t="inlineStr">
        <is>
          <t>Liabilities</t>
        </is>
      </c>
      <c r="D20375" s="3" t="inlineStr">
        <is>
          <t>9000/000</t>
        </is>
      </c>
      <c r="E20375" s="3" t="inlineStr">
        <is>
          <t>Supplier Control Account</t>
        </is>
      </c>
      <c r="F20375" s="3" t="n">
        <v>-946.96</v>
      </c>
      <c r="G20375" s="3" t="n">
        <v>3907200.28</v>
      </c>
    </row>
    <row r="20376">
      <c r="A20376" s="3" t="inlineStr">
        <is>
          <t>Noble Shield (Pty) Ltd ta Go Letting</t>
        </is>
      </c>
      <c r="B20376" s="4" t="n">
        <v>45412</v>
      </c>
      <c r="C20376" s="3" t="inlineStr">
        <is>
          <t>Liabilities</t>
        </is>
      </c>
      <c r="D20376" s="3" t="inlineStr">
        <is>
          <t>9000/000</t>
        </is>
      </c>
      <c r="E20376" s="3" t="inlineStr">
        <is>
          <t>Supplier Control Account</t>
        </is>
      </c>
      <c r="F20376" s="3" t="n">
        <v>-31605.69</v>
      </c>
      <c r="G20376" s="3" t="n">
        <v>-56552</v>
      </c>
    </row>
    <row r="20377">
      <c r="A20377" s="3" t="inlineStr">
        <is>
          <t>Opportunity Global Property (PTY) LTD</t>
        </is>
      </c>
      <c r="B20377" s="4" t="n">
        <v>45412</v>
      </c>
      <c r="C20377" s="3" t="inlineStr">
        <is>
          <t>Liabilities</t>
        </is>
      </c>
      <c r="D20377" s="3" t="inlineStr">
        <is>
          <t>9000/000</t>
        </is>
      </c>
      <c r="E20377" s="3" t="inlineStr">
        <is>
          <t>Supplier Control Account</t>
        </is>
      </c>
      <c r="F20377" s="3" t="n">
        <v>25907.2</v>
      </c>
      <c r="G20377" s="3" t="n">
        <v>-5852.13</v>
      </c>
    </row>
    <row r="20378">
      <c r="A20378" s="3" t="inlineStr">
        <is>
          <t>Opportunity Management Holdings (PTY) LTD</t>
        </is>
      </c>
      <c r="B20378" s="4" t="n">
        <v>45412</v>
      </c>
      <c r="C20378" s="3" t="inlineStr">
        <is>
          <t>Liabilities</t>
        </is>
      </c>
      <c r="D20378" s="3" t="inlineStr">
        <is>
          <t>9000/000</t>
        </is>
      </c>
      <c r="E20378" s="3" t="inlineStr">
        <is>
          <t>Supplier Control Account</t>
        </is>
      </c>
      <c r="F20378" s="3" t="n">
        <v>-1265</v>
      </c>
      <c r="G20378" s="3" t="n">
        <v>-791975.67</v>
      </c>
    </row>
    <row r="20379">
      <c r="A20379" s="3" t="inlineStr">
        <is>
          <t>Opportunity Private Capital (PTY) LTD</t>
        </is>
      </c>
      <c r="B20379" s="4" t="n">
        <v>45412</v>
      </c>
      <c r="C20379" s="3" t="inlineStr">
        <is>
          <t>Liabilities</t>
        </is>
      </c>
      <c r="D20379" s="3" t="inlineStr">
        <is>
          <t>9000/000</t>
        </is>
      </c>
      <c r="E20379" s="3" t="inlineStr">
        <is>
          <t>Supplier Control Account</t>
        </is>
      </c>
      <c r="F20379" s="3" t="n">
        <v>-4804.25</v>
      </c>
      <c r="G20379" s="3" t="n">
        <v>-38802.16</v>
      </c>
    </row>
    <row r="20380">
      <c r="A20380" s="3" t="inlineStr">
        <is>
          <t>Quinate Consulting (Pty) Ltd</t>
        </is>
      </c>
      <c r="B20380" s="4" t="n">
        <v>45412</v>
      </c>
      <c r="C20380" s="3" t="inlineStr">
        <is>
          <t>Liabilities</t>
        </is>
      </c>
      <c r="D20380" s="3" t="inlineStr">
        <is>
          <t>9000/000</t>
        </is>
      </c>
      <c r="E20380" s="3" t="inlineStr">
        <is>
          <t>Supplier Control Account</t>
        </is>
      </c>
      <c r="F20380" s="3" t="n">
        <v>-13166.96</v>
      </c>
      <c r="G20380" s="3" t="n">
        <v>414991.87</v>
      </c>
    </row>
    <row r="20381">
      <c r="A20381" s="3" t="inlineStr">
        <is>
          <t>Trademark Holdings (Pty) Ltd</t>
        </is>
      </c>
      <c r="B20381" s="4" t="n">
        <v>45412</v>
      </c>
      <c r="C20381" s="3" t="inlineStr">
        <is>
          <t>Liabilities</t>
        </is>
      </c>
      <c r="D20381" s="3" t="inlineStr">
        <is>
          <t>9000/000</t>
        </is>
      </c>
      <c r="E20381" s="3" t="inlineStr">
        <is>
          <t>Supplier Control Account</t>
        </is>
      </c>
      <c r="F20381" s="3" t="n">
        <v>-1144</v>
      </c>
      <c r="G20381" s="3" t="n">
        <v>-10637.03</v>
      </c>
    </row>
    <row r="20382">
      <c r="A20382" s="3" t="inlineStr">
        <is>
          <t>Quinate Consulting (Pty) Ltd</t>
        </is>
      </c>
      <c r="B20382" s="4" t="n">
        <v>45412</v>
      </c>
      <c r="C20382" s="3" t="inlineStr">
        <is>
          <t>Liabilities</t>
        </is>
      </c>
      <c r="D20382" s="3" t="inlineStr">
        <is>
          <t>9001</t>
        </is>
      </c>
      <c r="E20382" s="3" t="inlineStr">
        <is>
          <t>Supplier Control</t>
        </is>
      </c>
      <c r="F20382" s="3" t="n">
        <v>0</v>
      </c>
      <c r="G20382" s="3" t="n">
        <v>-347315.41</v>
      </c>
    </row>
    <row r="20383">
      <c r="A20383" s="3" t="inlineStr">
        <is>
          <t>Opportunity Management Holdings (PTY) LTD</t>
        </is>
      </c>
      <c r="B20383" s="4" t="n">
        <v>45412</v>
      </c>
      <c r="C20383" s="3" t="inlineStr">
        <is>
          <t>Liabilities</t>
        </is>
      </c>
      <c r="D20383" s="3" t="inlineStr">
        <is>
          <t>9100/000</t>
        </is>
      </c>
      <c r="E20383" s="3" t="inlineStr">
        <is>
          <t>PAYE/UIF/SDL Accrual - Prior Years ADJ</t>
        </is>
      </c>
      <c r="F20383" s="3" t="n">
        <v>0</v>
      </c>
      <c r="G20383" s="3" t="n">
        <v>-33739.36</v>
      </c>
    </row>
    <row r="20384">
      <c r="A20384" s="3" t="inlineStr">
        <is>
          <t>Opportunity Management Holdings (PTY) LTD</t>
        </is>
      </c>
      <c r="B20384" s="4" t="n">
        <v>45412</v>
      </c>
      <c r="C20384" s="3" t="inlineStr">
        <is>
          <t>Assets</t>
        </is>
      </c>
      <c r="D20384" s="3" t="inlineStr">
        <is>
          <t>9110/000</t>
        </is>
      </c>
      <c r="E20384" s="3" t="inlineStr">
        <is>
          <t>Deposit Received</t>
        </is>
      </c>
      <c r="F20384" s="3" t="n">
        <v>0</v>
      </c>
      <c r="G20384" s="3" t="n">
        <v>-3852.5</v>
      </c>
    </row>
    <row r="20385">
      <c r="A20385" s="3" t="inlineStr">
        <is>
          <t>Opportunity Private Capital (PTY) LTD</t>
        </is>
      </c>
      <c r="B20385" s="4" t="n">
        <v>45412</v>
      </c>
      <c r="C20385" s="3" t="inlineStr">
        <is>
          <t>Liabilities</t>
        </is>
      </c>
      <c r="D20385" s="3" t="inlineStr">
        <is>
          <t>9110/000</t>
        </is>
      </c>
      <c r="E20385" s="3" t="inlineStr">
        <is>
          <t>Taxation B/S</t>
        </is>
      </c>
      <c r="F20385" s="3" t="n">
        <v>0</v>
      </c>
      <c r="G20385" s="3" t="n">
        <v>97277.99000000001</v>
      </c>
    </row>
    <row r="20386">
      <c r="A20386" s="3" t="inlineStr">
        <is>
          <t>Noble Shield (Pty) Ltd ta Go Letting</t>
        </is>
      </c>
      <c r="B20386" s="4" t="n">
        <v>45412</v>
      </c>
      <c r="C20386" s="3" t="inlineStr">
        <is>
          <t>Liabilities</t>
        </is>
      </c>
      <c r="D20386" s="3" t="inlineStr">
        <is>
          <t>9250/010</t>
        </is>
      </c>
      <c r="E20386" s="3" t="inlineStr">
        <is>
          <t>SALARY CONTROL</t>
        </is>
      </c>
      <c r="F20386" s="3" t="n">
        <v>-301.73</v>
      </c>
      <c r="G20386" s="3" t="n">
        <v>-18682.67</v>
      </c>
    </row>
    <row r="20387">
      <c r="A20387" s="3" t="inlineStr">
        <is>
          <t>Opportunity Global Property (PTY) LTD</t>
        </is>
      </c>
      <c r="B20387" s="4" t="n">
        <v>45412</v>
      </c>
      <c r="C20387" s="3" t="inlineStr">
        <is>
          <t>Liabilities</t>
        </is>
      </c>
      <c r="D20387" s="3" t="inlineStr">
        <is>
          <t>9250/010</t>
        </is>
      </c>
      <c r="E20387" s="3" t="inlineStr">
        <is>
          <t>SALARY CONTROL</t>
        </is>
      </c>
      <c r="F20387" s="3" t="n">
        <v>156696.69</v>
      </c>
      <c r="G20387" s="3" t="n">
        <v>179483.02</v>
      </c>
    </row>
    <row r="20388">
      <c r="A20388" s="3" t="inlineStr">
        <is>
          <t>Opportunity Management Holdings (PTY) LTD</t>
        </is>
      </c>
      <c r="B20388" s="4" t="n">
        <v>45412</v>
      </c>
      <c r="C20388" s="3" t="inlineStr">
        <is>
          <t>Liabilities</t>
        </is>
      </c>
      <c r="D20388" s="3" t="inlineStr">
        <is>
          <t>9250/010</t>
        </is>
      </c>
      <c r="E20388" s="3" t="inlineStr">
        <is>
          <t>SALARY CONTROL</t>
        </is>
      </c>
      <c r="F20388" s="3" t="n">
        <v>0</v>
      </c>
      <c r="G20388" s="3" t="n">
        <v>65000</v>
      </c>
    </row>
    <row r="20389">
      <c r="A20389" s="3" t="inlineStr">
        <is>
          <t>Opportunity Private Capital (PTY) LTD</t>
        </is>
      </c>
      <c r="B20389" s="4" t="n">
        <v>45412</v>
      </c>
      <c r="C20389" s="3" t="inlineStr">
        <is>
          <t>Liabilities</t>
        </is>
      </c>
      <c r="D20389" s="3" t="inlineStr">
        <is>
          <t>9250/010</t>
        </is>
      </c>
      <c r="E20389" s="3" t="inlineStr">
        <is>
          <t>SALARY CONTROL</t>
        </is>
      </c>
      <c r="F20389" s="3" t="n">
        <v>62591.39</v>
      </c>
      <c r="G20389" s="3" t="n">
        <v>62591.39</v>
      </c>
    </row>
    <row r="20390">
      <c r="A20390" s="3" t="inlineStr">
        <is>
          <t>Trademark Holdings (Pty) Ltd</t>
        </is>
      </c>
      <c r="B20390" s="4" t="n">
        <v>45412</v>
      </c>
      <c r="C20390" s="3" t="inlineStr">
        <is>
          <t>Liabilities</t>
        </is>
      </c>
      <c r="D20390" s="3" t="inlineStr">
        <is>
          <t>9250/010</t>
        </is>
      </c>
      <c r="E20390" s="3" t="inlineStr">
        <is>
          <t>SALARY CONTROL</t>
        </is>
      </c>
      <c r="F20390" s="3" t="n">
        <v>1575.05</v>
      </c>
      <c r="G20390" s="3" t="n">
        <v>-17497.51</v>
      </c>
    </row>
    <row r="20391">
      <c r="A20391" s="3" t="inlineStr">
        <is>
          <t>Noble Shield (Pty) Ltd ta Go Letting</t>
        </is>
      </c>
      <c r="B20391" s="4" t="n">
        <v>45412</v>
      </c>
      <c r="C20391" s="3" t="inlineStr">
        <is>
          <t>Liabilities</t>
        </is>
      </c>
      <c r="D20391" s="3" t="inlineStr">
        <is>
          <t>9250/020</t>
        </is>
      </c>
      <c r="E20391" s="3" t="inlineStr">
        <is>
          <t>PAYE, UIF AND SDL CONTROL</t>
        </is>
      </c>
      <c r="F20391" s="3" t="n">
        <v>-110.1</v>
      </c>
      <c r="G20391" s="3" t="n">
        <v>-6591.12</v>
      </c>
    </row>
    <row r="20392">
      <c r="A20392" s="3" t="inlineStr">
        <is>
          <t>Opportunity Management Holdings (PTY) LTD</t>
        </is>
      </c>
      <c r="B20392" s="4" t="n">
        <v>45412</v>
      </c>
      <c r="C20392" s="3" t="inlineStr">
        <is>
          <t>Liabilities</t>
        </is>
      </c>
      <c r="D20392" s="3" t="inlineStr">
        <is>
          <t>9250/020</t>
        </is>
      </c>
      <c r="E20392" s="3" t="inlineStr">
        <is>
          <t>PAYE, UIF AND SDL CONTROL</t>
        </is>
      </c>
      <c r="F20392" s="3" t="n">
        <v>-1220.26</v>
      </c>
      <c r="G20392" s="3" t="n">
        <v>-47589.98</v>
      </c>
    </row>
    <row r="20393">
      <c r="A20393" s="3" t="inlineStr">
        <is>
          <t>Opportunity Private Capital (PTY) LTD</t>
        </is>
      </c>
      <c r="B20393" s="4" t="n">
        <v>45412</v>
      </c>
      <c r="C20393" s="3" t="inlineStr">
        <is>
          <t>Liabilities</t>
        </is>
      </c>
      <c r="D20393" s="3" t="inlineStr">
        <is>
          <t>9250/020</t>
        </is>
      </c>
      <c r="E20393" s="3" t="inlineStr">
        <is>
          <t>PAYE, UIF AND SDL CONTROL</t>
        </is>
      </c>
      <c r="F20393" s="3" t="n">
        <v>46742.71</v>
      </c>
      <c r="G20393" s="3" t="n">
        <v>-27913.71</v>
      </c>
    </row>
    <row r="20394">
      <c r="A20394" s="3" t="inlineStr">
        <is>
          <t>Quinate Consulting (Pty) Ltd</t>
        </is>
      </c>
      <c r="B20394" s="4" t="n">
        <v>45412</v>
      </c>
      <c r="C20394" s="3" t="inlineStr">
        <is>
          <t>Liabilities</t>
        </is>
      </c>
      <c r="D20394" s="3" t="inlineStr">
        <is>
          <t>9250/020</t>
        </is>
      </c>
      <c r="E20394" s="3" t="inlineStr">
        <is>
          <t>PAYE, UIF AND SDL CONTROL</t>
        </is>
      </c>
      <c r="F20394" s="3" t="n">
        <v>0</v>
      </c>
      <c r="G20394" s="3" t="n">
        <v>-10759.36</v>
      </c>
    </row>
    <row r="20395">
      <c r="A20395" s="3" t="inlineStr">
        <is>
          <t>Trademark Holdings (Pty) Ltd</t>
        </is>
      </c>
      <c r="B20395" s="4" t="n">
        <v>45412</v>
      </c>
      <c r="C20395" s="3" t="inlineStr">
        <is>
          <t>Liabilities</t>
        </is>
      </c>
      <c r="D20395" s="3" t="inlineStr">
        <is>
          <t>9250/020</t>
        </is>
      </c>
      <c r="E20395" s="3" t="inlineStr">
        <is>
          <t>PAYE, UIF AND SDL CONTROL</t>
        </is>
      </c>
      <c r="F20395" s="3" t="n">
        <v>574.6799999999999</v>
      </c>
      <c r="G20395" s="3" t="n">
        <v>-15954.36</v>
      </c>
    </row>
    <row r="20396">
      <c r="A20396" s="3" t="inlineStr">
        <is>
          <t>Opportunity Management Holdings (PTY) LTD</t>
        </is>
      </c>
      <c r="B20396" s="4" t="n">
        <v>45412</v>
      </c>
      <c r="C20396" s="3" t="inlineStr">
        <is>
          <t>Liabilities</t>
        </is>
      </c>
      <c r="D20396" s="3" t="inlineStr">
        <is>
          <t>9300/000</t>
        </is>
      </c>
      <c r="E20396" s="3" t="inlineStr">
        <is>
          <t>Taxation Payable B/S</t>
        </is>
      </c>
      <c r="F20396" s="3" t="n">
        <v>0</v>
      </c>
      <c r="G20396" s="3" t="n">
        <v>89955.09</v>
      </c>
    </row>
    <row r="20397">
      <c r="A20397" s="3" t="inlineStr">
        <is>
          <t>Opportunity Private Capital (PTY) LTD</t>
        </is>
      </c>
      <c r="B20397" s="4" t="n">
        <v>45412</v>
      </c>
      <c r="C20397" s="3" t="inlineStr">
        <is>
          <t>Liabilities</t>
        </is>
      </c>
      <c r="D20397" s="3" t="inlineStr">
        <is>
          <t>9400/030</t>
        </is>
      </c>
      <c r="E20397" s="3" t="inlineStr">
        <is>
          <t>Accrued Expenses - PAYE_AND_UIF</t>
        </is>
      </c>
      <c r="F20397" s="3" t="n">
        <v>0</v>
      </c>
      <c r="G20397" s="3" t="n">
        <v>-2</v>
      </c>
    </row>
    <row r="20398">
      <c r="A20398" s="3" t="inlineStr">
        <is>
          <t>Trademark Holdings (Pty) Ltd</t>
        </is>
      </c>
      <c r="B20398" s="4" t="n">
        <v>45412</v>
      </c>
      <c r="C20398" s="3" t="inlineStr">
        <is>
          <t>Liabilities</t>
        </is>
      </c>
      <c r="D20398" s="3" t="inlineStr">
        <is>
          <t>9400/400</t>
        </is>
      </c>
      <c r="E20398" s="3" t="inlineStr">
        <is>
          <t>Deemed Dividend Tax</t>
        </is>
      </c>
      <c r="F20398" s="3" t="n">
        <v>0</v>
      </c>
      <c r="G20398" s="3" t="n">
        <v>-699.13</v>
      </c>
    </row>
    <row r="20399">
      <c r="A20399" s="3" t="inlineStr">
        <is>
          <t>Opportunity Global Property (PTY) LTD</t>
        </is>
      </c>
      <c r="B20399" s="4" t="n">
        <v>45412</v>
      </c>
      <c r="C20399" s="3" t="inlineStr">
        <is>
          <t>Liabilities</t>
        </is>
      </c>
      <c r="D20399" s="3" t="inlineStr">
        <is>
          <t>9500/000</t>
        </is>
      </c>
      <c r="E20399" s="3" t="inlineStr">
        <is>
          <t>VAT Control Account</t>
        </is>
      </c>
      <c r="F20399" s="3" t="n">
        <v>-21965.08</v>
      </c>
      <c r="G20399" s="3" t="n">
        <v>-1337534</v>
      </c>
    </row>
    <row r="20400">
      <c r="A20400" s="3" t="inlineStr">
        <is>
          <t>Opportunity Management Holdings (PTY) LTD</t>
        </is>
      </c>
      <c r="B20400" s="4" t="n">
        <v>45412</v>
      </c>
      <c r="C20400" s="3" t="inlineStr">
        <is>
          <t>Liabilities</t>
        </is>
      </c>
      <c r="D20400" s="3" t="inlineStr">
        <is>
          <t>9500/000</t>
        </is>
      </c>
      <c r="E20400" s="3" t="inlineStr">
        <is>
          <t>VAT Control Account</t>
        </is>
      </c>
      <c r="F20400" s="3" t="n">
        <v>-27062.85</v>
      </c>
      <c r="G20400" s="3" t="n">
        <v>46084.57</v>
      </c>
    </row>
    <row r="20401">
      <c r="A20401" s="3" t="inlineStr">
        <is>
          <t>Opportunity Private Capital (PTY) LTD</t>
        </is>
      </c>
      <c r="B20401" s="4" t="n">
        <v>45412</v>
      </c>
      <c r="C20401" s="3" t="inlineStr">
        <is>
          <t>Liabilities</t>
        </is>
      </c>
      <c r="D20401" s="3" t="inlineStr">
        <is>
          <t>9500/000</t>
        </is>
      </c>
      <c r="E20401" s="3" t="inlineStr">
        <is>
          <t>VAT Control Account</t>
        </is>
      </c>
      <c r="F20401" s="3" t="n">
        <v>-55453.88</v>
      </c>
      <c r="G20401" s="3" t="n">
        <v>1196837.74</v>
      </c>
    </row>
    <row r="20402">
      <c r="A20402" s="3" t="inlineStr">
        <is>
          <t>Endulini (Pty) Ltd</t>
        </is>
      </c>
      <c r="B20402" s="4" t="n">
        <v>45412</v>
      </c>
      <c r="C20402" s="3" t="inlineStr">
        <is>
          <t>Liabilities</t>
        </is>
      </c>
      <c r="D20402" s="3" t="inlineStr">
        <is>
          <t>9500/000</t>
        </is>
      </c>
      <c r="E20402" s="3" t="inlineStr">
        <is>
          <t>Vat / Tax Control Account</t>
        </is>
      </c>
      <c r="F20402" s="3" t="n">
        <v>7251.8</v>
      </c>
      <c r="G20402" s="3" t="n">
        <v>-3597490.82</v>
      </c>
    </row>
    <row r="20403">
      <c r="A20403" s="3" t="inlineStr">
        <is>
          <t>Noble Shield (Pty) Ltd ta Go Letting</t>
        </is>
      </c>
      <c r="B20403" s="4" t="n">
        <v>45412</v>
      </c>
      <c r="C20403" s="3" t="inlineStr">
        <is>
          <t>Liabilities</t>
        </is>
      </c>
      <c r="D20403" s="3" t="inlineStr">
        <is>
          <t>9500/000</t>
        </is>
      </c>
      <c r="E20403" s="3" t="inlineStr">
        <is>
          <t>Vat / Tax Control Account</t>
        </is>
      </c>
      <c r="F20403" s="3" t="n">
        <v>0</v>
      </c>
      <c r="G20403" s="3" t="n">
        <v>2461.52</v>
      </c>
    </row>
    <row r="20404">
      <c r="A20404" s="3" t="inlineStr">
        <is>
          <t>Quinate Consulting (Pty) Ltd</t>
        </is>
      </c>
      <c r="B20404" s="4" t="n">
        <v>45412</v>
      </c>
      <c r="C20404" s="3" t="inlineStr">
        <is>
          <t>Liabilities</t>
        </is>
      </c>
      <c r="D20404" s="3" t="inlineStr">
        <is>
          <t>9500/000</t>
        </is>
      </c>
      <c r="E20404" s="3" t="inlineStr">
        <is>
          <t>Vat Control Account</t>
        </is>
      </c>
      <c r="F20404" s="3" t="n">
        <v>11933.06</v>
      </c>
      <c r="G20404" s="3" t="n">
        <v>3307462.53</v>
      </c>
    </row>
    <row r="20405">
      <c r="A20405" s="3" t="inlineStr">
        <is>
          <t>Opportunity Management Holdings (PTY) LTD</t>
        </is>
      </c>
      <c r="B20405" s="4" t="n">
        <v>45412</v>
      </c>
      <c r="C20405" s="3" t="inlineStr">
        <is>
          <t>Liabilities</t>
        </is>
      </c>
      <c r="D20405" s="3" t="inlineStr">
        <is>
          <t>9501/000</t>
        </is>
      </c>
      <c r="E20405" s="3" t="inlineStr">
        <is>
          <t>Vat Adjustments - C2M</t>
        </is>
      </c>
      <c r="F20405" s="3" t="n">
        <v>0</v>
      </c>
      <c r="G20405" s="3" t="n">
        <v>47274.04</v>
      </c>
    </row>
    <row r="20406">
      <c r="A20406" s="3" t="inlineStr">
        <is>
          <t>Endulini (Pty) Ltd</t>
        </is>
      </c>
      <c r="B20406" s="4" t="n">
        <v>45412</v>
      </c>
      <c r="C20406" s="3" t="inlineStr">
        <is>
          <t>Liabilities</t>
        </is>
      </c>
      <c r="D20406" s="3" t="inlineStr">
        <is>
          <t>9899/A202</t>
        </is>
      </c>
      <c r="E20406" s="3" t="inlineStr">
        <is>
          <t>Sales - Unit Reg Control A202</t>
        </is>
      </c>
      <c r="F20406" s="3" t="n">
        <v>0</v>
      </c>
      <c r="G20406" s="3" t="n">
        <v>-1086734.26</v>
      </c>
    </row>
    <row r="20407">
      <c r="A20407" s="3" t="inlineStr">
        <is>
          <t>Endulini (Pty) Ltd</t>
        </is>
      </c>
      <c r="B20407" s="4" t="n">
        <v>45412</v>
      </c>
      <c r="C20407" s="3" t="inlineStr">
        <is>
          <t>Liabilities</t>
        </is>
      </c>
      <c r="D20407" s="3" t="inlineStr">
        <is>
          <t>9899/A209</t>
        </is>
      </c>
      <c r="E20407" s="3" t="inlineStr">
        <is>
          <t>Sales - Unit Reg Control A209</t>
        </is>
      </c>
      <c r="F20407" s="3" t="n">
        <v>0</v>
      </c>
      <c r="G20407" s="3" t="n">
        <v>-1218800.14</v>
      </c>
    </row>
    <row r="20408">
      <c r="A20408" s="3" t="inlineStr">
        <is>
          <t>Endulini (Pty) Ltd</t>
        </is>
      </c>
      <c r="B20408" s="4" t="n">
        <v>45412</v>
      </c>
      <c r="C20408" s="3" t="inlineStr">
        <is>
          <t>Liabilities</t>
        </is>
      </c>
      <c r="D20408" s="3" t="inlineStr">
        <is>
          <t>9899/B203</t>
        </is>
      </c>
      <c r="E20408" s="3" t="inlineStr">
        <is>
          <t>Sales - Unit Reg Control B203</t>
        </is>
      </c>
      <c r="F20408" s="3" t="n">
        <v>0</v>
      </c>
      <c r="G20408" s="3" t="n">
        <v>-1179884.01</v>
      </c>
    </row>
    <row r="20409">
      <c r="A20409" s="3" t="inlineStr">
        <is>
          <t>Endulini (Pty) Ltd</t>
        </is>
      </c>
      <c r="B20409" s="4" t="n">
        <v>45412</v>
      </c>
      <c r="C20409" s="3" t="inlineStr">
        <is>
          <t>Liabilities</t>
        </is>
      </c>
      <c r="D20409" s="3" t="inlineStr">
        <is>
          <t>9899/C302</t>
        </is>
      </c>
      <c r="E20409" s="3" t="inlineStr">
        <is>
          <t>Sales - Unit Reg Control C302</t>
        </is>
      </c>
      <c r="F20409" s="3" t="n">
        <v>0</v>
      </c>
      <c r="G20409" s="3" t="n">
        <v>-1253795.14</v>
      </c>
    </row>
    <row r="20410">
      <c r="A20410" s="3" t="inlineStr">
        <is>
          <t>Quinate Consulting (Pty) Ltd</t>
        </is>
      </c>
      <c r="B20410" s="4" t="n">
        <v>45412</v>
      </c>
      <c r="C20410" s="3" t="inlineStr">
        <is>
          <t>Liabilities</t>
        </is>
      </c>
      <c r="D20410" s="3" t="inlineStr">
        <is>
          <t>9960/000</t>
        </is>
      </c>
      <c r="E20410" s="3" t="inlineStr">
        <is>
          <t>Deposits - Southwark Rentals</t>
        </is>
      </c>
      <c r="F20410" s="3" t="n">
        <v>0</v>
      </c>
      <c r="G20410" s="3" t="n">
        <v>-23000</v>
      </c>
    </row>
    <row r="20411">
      <c r="A20411" s="3" t="inlineStr">
        <is>
          <t>Noble Shield (Pty) Ltd ta Go Letting</t>
        </is>
      </c>
      <c r="B20411" s="4" t="n">
        <v>45412</v>
      </c>
      <c r="C20411" s="3" t="inlineStr">
        <is>
          <t>Expenses</t>
        </is>
      </c>
      <c r="D20411" s="3" t="inlineStr">
        <is>
          <t>ACB Link</t>
        </is>
      </c>
      <c r="E20411" s="3" t="inlineStr">
        <is>
          <t>Subscriptions - TPN</t>
        </is>
      </c>
      <c r="F20411" s="3" t="n">
        <v>1412.43</v>
      </c>
      <c r="G20411" s="3" t="n">
        <v>20305.61</v>
      </c>
    </row>
    <row r="20412">
      <c r="A20412" s="3" t="inlineStr">
        <is>
          <t>Opportunity Global Property (PTY) LTD</t>
        </is>
      </c>
      <c r="B20412" s="4" t="n">
        <v>45412</v>
      </c>
      <c r="C20412" s="3" t="inlineStr">
        <is>
          <t>Assets</t>
        </is>
      </c>
      <c r="D20412" s="3" t="inlineStr">
        <is>
          <t>Anthea Basson</t>
        </is>
      </c>
      <c r="E20412" s="3" t="inlineStr">
        <is>
          <t>Deposit: J2 Solaris Place</t>
        </is>
      </c>
      <c r="F20412" s="3" t="n">
        <v>7200</v>
      </c>
      <c r="G20412" s="3" t="n">
        <v>-7500</v>
      </c>
    </row>
    <row r="20413">
      <c r="A20413" s="3" t="inlineStr">
        <is>
          <t>Trademark Holdings (Pty) Ltd</t>
        </is>
      </c>
      <c r="B20413" s="4" t="n">
        <v>45412</v>
      </c>
      <c r="C20413" s="3" t="inlineStr">
        <is>
          <t>Liabilities</t>
        </is>
      </c>
      <c r="D20413" s="3" t="inlineStr">
        <is>
          <t>B/S</t>
        </is>
      </c>
      <c r="E20413" s="3" t="inlineStr">
        <is>
          <t>Taxation Payable</t>
        </is>
      </c>
      <c r="F20413" s="3" t="n">
        <v>0</v>
      </c>
      <c r="G20413" s="3" t="n">
        <v>1722</v>
      </c>
    </row>
    <row r="20414">
      <c r="A20414" s="3" t="inlineStr">
        <is>
          <t>Quinate Consulting (Pty) Ltd</t>
        </is>
      </c>
      <c r="B20414" s="4" t="n">
        <v>45412</v>
      </c>
      <c r="C20414" s="3" t="inlineStr">
        <is>
          <t>Liabilities</t>
        </is>
      </c>
      <c r="D20414" s="3" t="inlineStr">
        <is>
          <t xml:space="preserve">B/S </t>
        </is>
      </c>
      <c r="E20414" s="3" t="inlineStr">
        <is>
          <t>Taxation Payable</t>
        </is>
      </c>
      <c r="F20414" s="3" t="n">
        <v>0</v>
      </c>
      <c r="G20414" s="3" t="n">
        <v>-15486</v>
      </c>
    </row>
    <row r="20415">
      <c r="A20415" s="3" t="inlineStr">
        <is>
          <t>Quinate Consulting (Pty) Ltd</t>
        </is>
      </c>
      <c r="B20415" s="4" t="n">
        <v>45412</v>
      </c>
      <c r="C20415" s="3" t="inlineStr">
        <is>
          <t>Liabilities</t>
        </is>
      </c>
      <c r="D20415" s="3" t="inlineStr">
        <is>
          <t>FV</t>
        </is>
      </c>
      <c r="E20415" s="3" t="inlineStr">
        <is>
          <t>Loan - Cape Projects Constuction</t>
        </is>
      </c>
      <c r="F20415" s="3" t="n">
        <v>30000</v>
      </c>
      <c r="G20415" s="3" t="n">
        <v>-6303763.77</v>
      </c>
    </row>
    <row r="20416">
      <c r="A20416" s="3" t="inlineStr">
        <is>
          <t>Opportunity Private Capital (PTY) LTD</t>
        </is>
      </c>
      <c r="B20416" s="4" t="n">
        <v>45412</v>
      </c>
      <c r="C20416" s="3" t="inlineStr">
        <is>
          <t>Liabilities</t>
        </is>
      </c>
      <c r="D20416" s="3" t="inlineStr">
        <is>
          <t>Pty</t>
        </is>
      </c>
      <c r="E20416" s="3" t="inlineStr">
        <is>
          <t>Loan - Rock Blok</t>
        </is>
      </c>
      <c r="F20416" s="3" t="n">
        <v>0</v>
      </c>
      <c r="G20416" s="3" t="n">
        <v>1000</v>
      </c>
    </row>
    <row r="20417">
      <c r="A20417" s="3" t="inlineStr">
        <is>
          <t>Opportunity Global Property (PTY) LTD</t>
        </is>
      </c>
      <c r="B20417" s="4" t="n">
        <v>45443</v>
      </c>
      <c r="C20417" s="3" t="inlineStr">
        <is>
          <t>Revenue</t>
        </is>
      </c>
      <c r="D20417" s="3" t="inlineStr">
        <is>
          <t>1000/009</t>
        </is>
      </c>
      <c r="E20417" s="3" t="inlineStr">
        <is>
          <t>Sales - Comm on Payprop</t>
        </is>
      </c>
      <c r="F20417" s="3" t="n">
        <v>-10164.29</v>
      </c>
      <c r="G20417" s="3" t="n">
        <v>-37458.32</v>
      </c>
    </row>
    <row r="20418">
      <c r="A20418" s="3" t="inlineStr">
        <is>
          <t>Quinate Consulting (Pty) Ltd</t>
        </is>
      </c>
      <c r="B20418" s="4" t="n">
        <v>45443</v>
      </c>
      <c r="C20418" s="3" t="inlineStr">
        <is>
          <t>Revenue</t>
        </is>
      </c>
      <c r="D20418" s="3" t="inlineStr">
        <is>
          <t>1000/011</t>
        </is>
      </c>
      <c r="E20418" s="3" t="inlineStr">
        <is>
          <t>Rent Received - Soho Unit 23</t>
        </is>
      </c>
      <c r="F20418" s="3" t="n">
        <v>-12500</v>
      </c>
      <c r="G20418" s="3" t="n">
        <v>-37500</v>
      </c>
    </row>
    <row r="20419">
      <c r="A20419" s="3" t="inlineStr">
        <is>
          <t>Quinate Consulting (Pty) Ltd</t>
        </is>
      </c>
      <c r="B20419" s="4" t="n">
        <v>45443</v>
      </c>
      <c r="C20419" s="3" t="inlineStr">
        <is>
          <t>Revenue</t>
        </is>
      </c>
      <c r="D20419" s="3" t="inlineStr">
        <is>
          <t>1000/012</t>
        </is>
      </c>
      <c r="E20419" s="3" t="inlineStr">
        <is>
          <t>Rent Received - Soho Unit 24</t>
        </is>
      </c>
      <c r="F20419" s="3" t="n">
        <v>-15600</v>
      </c>
      <c r="G20419" s="3" t="n">
        <v>-44765.22</v>
      </c>
    </row>
    <row r="20420">
      <c r="A20420" s="3" t="inlineStr">
        <is>
          <t>Quinate Consulting (Pty) Ltd</t>
        </is>
      </c>
      <c r="B20420" s="4" t="n">
        <v>45443</v>
      </c>
      <c r="C20420" s="3" t="inlineStr">
        <is>
          <t>Revenue</t>
        </is>
      </c>
      <c r="D20420" s="3" t="inlineStr">
        <is>
          <t>1000/013</t>
        </is>
      </c>
      <c r="E20420" s="3" t="inlineStr">
        <is>
          <t>Rent Recieved - Soho Unit 20</t>
        </is>
      </c>
      <c r="F20420" s="3" t="n">
        <v>-13750</v>
      </c>
      <c r="G20420" s="3" t="n">
        <v>-41250</v>
      </c>
    </row>
    <row r="20421">
      <c r="A20421" s="3" t="inlineStr">
        <is>
          <t>Quinate Consulting (Pty) Ltd</t>
        </is>
      </c>
      <c r="B20421" s="4" t="n">
        <v>45443</v>
      </c>
      <c r="C20421" s="3" t="inlineStr">
        <is>
          <t>Revenue</t>
        </is>
      </c>
      <c r="D20421" s="3" t="inlineStr">
        <is>
          <t>1000/016</t>
        </is>
      </c>
      <c r="E20421" s="3" t="inlineStr">
        <is>
          <t>Rent Recieved - Southwark Unit 21</t>
        </is>
      </c>
      <c r="F20421" s="3" t="n">
        <v>-11000</v>
      </c>
      <c r="G20421" s="3" t="n">
        <v>-33000</v>
      </c>
    </row>
    <row r="20422">
      <c r="A20422" s="3" t="inlineStr">
        <is>
          <t>Quinate Consulting (Pty) Ltd</t>
        </is>
      </c>
      <c r="B20422" s="4" t="n">
        <v>45443</v>
      </c>
      <c r="C20422" s="3" t="inlineStr">
        <is>
          <t>Revenue</t>
        </is>
      </c>
      <c r="D20422" s="3" t="inlineStr">
        <is>
          <t>1000/060</t>
        </is>
      </c>
      <c r="E20422" s="3" t="inlineStr">
        <is>
          <t>Fees - Electricity _AND_ Water</t>
        </is>
      </c>
      <c r="F20422" s="3" t="n">
        <v>0</v>
      </c>
      <c r="G20422" s="3" t="n">
        <v>-428.94</v>
      </c>
    </row>
    <row r="20423">
      <c r="A20423" s="3" t="inlineStr">
        <is>
          <t>Opportunity Global Property (PTY) LTD</t>
        </is>
      </c>
      <c r="B20423" s="4" t="n">
        <v>45443</v>
      </c>
      <c r="C20423" s="3" t="inlineStr">
        <is>
          <t>Revenue</t>
        </is>
      </c>
      <c r="D20423" s="3" t="inlineStr">
        <is>
          <t>1000/100</t>
        </is>
      </c>
      <c r="E20423" s="3" t="inlineStr">
        <is>
          <t>Sales - Comm on External Sales</t>
        </is>
      </c>
      <c r="F20423" s="3" t="n">
        <v>0</v>
      </c>
      <c r="G20423" s="3" t="n">
        <v>-3913.04</v>
      </c>
    </row>
    <row r="20424">
      <c r="A20424" s="3" t="inlineStr">
        <is>
          <t>Noble Shield (Pty) Ltd ta Go Letting</t>
        </is>
      </c>
      <c r="B20424" s="4" t="n">
        <v>45443</v>
      </c>
      <c r="C20424" s="3" t="inlineStr">
        <is>
          <t>Revenue</t>
        </is>
      </c>
      <c r="D20424" s="3" t="inlineStr">
        <is>
          <t>1000/100</t>
        </is>
      </c>
      <c r="E20424" s="3" t="inlineStr">
        <is>
          <t>Sales - Payprop 328 - Michelle</t>
        </is>
      </c>
      <c r="F20424" s="3" t="n">
        <v>-75329.48</v>
      </c>
      <c r="G20424" s="3" t="n">
        <v>-860742.16</v>
      </c>
    </row>
    <row r="20425">
      <c r="A20425" s="3" t="inlineStr">
        <is>
          <t>Opportunity Global Property (PTY) LTD</t>
        </is>
      </c>
      <c r="B20425" s="4" t="n">
        <v>45443</v>
      </c>
      <c r="C20425" s="3" t="inlineStr">
        <is>
          <t>Revenue</t>
        </is>
      </c>
      <c r="D20425" s="3" t="inlineStr">
        <is>
          <t>1000/120</t>
        </is>
      </c>
      <c r="E20425" s="3" t="inlineStr">
        <is>
          <t>Sales - Admin Fees on Rental Units</t>
        </is>
      </c>
      <c r="F20425" s="3" t="n">
        <v>-3913.06</v>
      </c>
      <c r="G20425" s="3" t="n">
        <v>-30478.35</v>
      </c>
    </row>
    <row r="20426">
      <c r="A20426" s="3" t="inlineStr">
        <is>
          <t>Opportunity Global Property (PTY) LTD</t>
        </is>
      </c>
      <c r="B20426" s="4" t="n">
        <v>45443</v>
      </c>
      <c r="C20426" s="3" t="inlineStr">
        <is>
          <t>Expenses</t>
        </is>
      </c>
      <c r="D20426" s="3" t="inlineStr">
        <is>
          <t>1000/139</t>
        </is>
      </c>
      <c r="E20426" s="3" t="inlineStr">
        <is>
          <t>Sales - Rental comm - External</t>
        </is>
      </c>
      <c r="F20426" s="3" t="n">
        <v>0</v>
      </c>
      <c r="G20426" s="3" t="n">
        <v>5000</v>
      </c>
    </row>
    <row r="20427">
      <c r="A20427" s="3" t="inlineStr">
        <is>
          <t>Opportunity Global Property (PTY) LTD</t>
        </is>
      </c>
      <c r="B20427" s="4" t="n">
        <v>45443</v>
      </c>
      <c r="C20427" s="3" t="inlineStr">
        <is>
          <t>Revenue</t>
        </is>
      </c>
      <c r="D20427" s="3" t="inlineStr">
        <is>
          <t>1000/150</t>
        </is>
      </c>
      <c r="E20427" s="3" t="inlineStr">
        <is>
          <t>Sales - Comm on External Rental</t>
        </is>
      </c>
      <c r="F20427" s="3" t="n">
        <v>-43478.26</v>
      </c>
      <c r="G20427" s="3" t="n">
        <v>-168695.63</v>
      </c>
    </row>
    <row r="20428">
      <c r="A20428" s="3" t="inlineStr">
        <is>
          <t>Opportunity Global Property (PTY) LTD</t>
        </is>
      </c>
      <c r="B20428" s="4" t="n">
        <v>45443</v>
      </c>
      <c r="C20428" s="3" t="inlineStr">
        <is>
          <t>Revenue</t>
        </is>
      </c>
      <c r="D20428" s="3" t="inlineStr">
        <is>
          <t>1000/250</t>
        </is>
      </c>
      <c r="E20428" s="3" t="inlineStr">
        <is>
          <t>Sales - Comm on Endulini</t>
        </is>
      </c>
      <c r="F20428" s="3" t="n">
        <v>-66082.61</v>
      </c>
      <c r="G20428" s="3" t="n">
        <v>-66082.61</v>
      </c>
    </row>
    <row r="20429">
      <c r="A20429" s="3" t="inlineStr">
        <is>
          <t>Opportunity Global Property (PTY) LTD</t>
        </is>
      </c>
      <c r="B20429" s="4" t="n">
        <v>45443</v>
      </c>
      <c r="C20429" s="3" t="inlineStr">
        <is>
          <t>Revenue</t>
        </is>
      </c>
      <c r="D20429" s="3" t="inlineStr">
        <is>
          <t>1000/300</t>
        </is>
      </c>
      <c r="E20429" s="3" t="inlineStr">
        <is>
          <t>Sales - Comm on Heron Fields</t>
        </is>
      </c>
      <c r="F20429" s="3" t="n">
        <v>0</v>
      </c>
      <c r="G20429" s="3" t="n">
        <v>-65213.04</v>
      </c>
    </row>
    <row r="20430">
      <c r="A20430" s="3" t="inlineStr">
        <is>
          <t>Trademark Holdings (Pty) Ltd</t>
        </is>
      </c>
      <c r="B20430" s="4" t="n">
        <v>45443</v>
      </c>
      <c r="C20430" s="3" t="inlineStr">
        <is>
          <t>Revenue</t>
        </is>
      </c>
      <c r="D20430" s="3" t="inlineStr">
        <is>
          <t>1000/300</t>
        </is>
      </c>
      <c r="E20430" s="3" t="inlineStr">
        <is>
          <t>Sales - Payprop - Lara</t>
        </is>
      </c>
      <c r="F20430" s="3" t="n">
        <v>-91956.05</v>
      </c>
      <c r="G20430" s="3" t="n">
        <v>-936034.74</v>
      </c>
    </row>
    <row r="20431">
      <c r="A20431" s="3" t="inlineStr">
        <is>
          <t>Opportunity Private Capital (PTY) LTD</t>
        </is>
      </c>
      <c r="B20431" s="4" t="n">
        <v>45443</v>
      </c>
      <c r="C20431" s="3" t="inlineStr">
        <is>
          <t>Revenue</t>
        </is>
      </c>
      <c r="D20431" s="3" t="inlineStr">
        <is>
          <t>1000/370</t>
        </is>
      </c>
      <c r="E20431" s="3" t="inlineStr">
        <is>
          <t>Sales - Investor Management - Purple Blok</t>
        </is>
      </c>
      <c r="F20431" s="3" t="n">
        <v>-691826.26</v>
      </c>
      <c r="G20431" s="3" t="n">
        <v>-1555723.76</v>
      </c>
    </row>
    <row r="20432">
      <c r="A20432" s="3" t="inlineStr">
        <is>
          <t>Opportunity Global Property (PTY) LTD</t>
        </is>
      </c>
      <c r="B20432" s="4" t="n">
        <v>45443</v>
      </c>
      <c r="C20432" s="3" t="inlineStr">
        <is>
          <t>Revenue</t>
        </is>
      </c>
      <c r="D20432" s="3" t="inlineStr">
        <is>
          <t>1000/400</t>
        </is>
      </c>
      <c r="E20432" s="3" t="inlineStr">
        <is>
          <t>Sales - Commission on Heron View</t>
        </is>
      </c>
      <c r="F20432" s="3" t="n">
        <v>-73473.91</v>
      </c>
      <c r="G20432" s="3" t="n">
        <v>-279113.05</v>
      </c>
    </row>
    <row r="20433">
      <c r="A20433" s="3" t="inlineStr">
        <is>
          <t>Noble Shield (Pty) Ltd ta Go Letting</t>
        </is>
      </c>
      <c r="B20433" s="4" t="n">
        <v>45443</v>
      </c>
      <c r="C20433" s="3" t="inlineStr">
        <is>
          <t>Revenue</t>
        </is>
      </c>
      <c r="D20433" s="3" t="inlineStr">
        <is>
          <t>1000/420</t>
        </is>
      </c>
      <c r="E20433" s="3" t="inlineStr">
        <is>
          <t>Sales - Commission Received - External</t>
        </is>
      </c>
      <c r="F20433" s="3" t="n">
        <v>0</v>
      </c>
      <c r="G20433" s="3" t="n">
        <v>-214000</v>
      </c>
    </row>
    <row r="20434">
      <c r="A20434" s="3" t="inlineStr">
        <is>
          <t>Opportunity Private Capital (PTY) LTD</t>
        </is>
      </c>
      <c r="B20434" s="4" t="n">
        <v>45443</v>
      </c>
      <c r="C20434" s="3" t="inlineStr">
        <is>
          <t>Revenue</t>
        </is>
      </c>
      <c r="D20434" s="3" t="inlineStr">
        <is>
          <t>1000/500</t>
        </is>
      </c>
      <c r="E20434" s="3" t="inlineStr">
        <is>
          <t>OMIGI - D203 Commission</t>
        </is>
      </c>
      <c r="F20434" s="3" t="n">
        <v>-339.78</v>
      </c>
      <c r="G20434" s="3" t="n">
        <v>-1359.15</v>
      </c>
    </row>
    <row r="20435">
      <c r="A20435" s="3" t="inlineStr">
        <is>
          <t>Trademark Holdings (Pty) Ltd</t>
        </is>
      </c>
      <c r="B20435" s="4" t="n">
        <v>45443</v>
      </c>
      <c r="C20435" s="3" t="inlineStr">
        <is>
          <t>Revenue</t>
        </is>
      </c>
      <c r="D20435" s="3" t="inlineStr">
        <is>
          <t>1000/500</t>
        </is>
      </c>
      <c r="E20435" s="3" t="inlineStr">
        <is>
          <t>Sales - Commission external sale</t>
        </is>
      </c>
      <c r="F20435" s="3" t="n">
        <v>-35000</v>
      </c>
      <c r="G20435" s="3" t="n">
        <v>-85000</v>
      </c>
    </row>
    <row r="20436">
      <c r="A20436" s="3" t="inlineStr">
        <is>
          <t>Quinate Consulting (Pty) Ltd</t>
        </is>
      </c>
      <c r="B20436" s="4" t="n">
        <v>45443</v>
      </c>
      <c r="C20436" s="3" t="inlineStr">
        <is>
          <t>Revenue</t>
        </is>
      </c>
      <c r="D20436" s="3" t="inlineStr">
        <is>
          <t>1004/000</t>
        </is>
      </c>
      <c r="E20436" s="3" t="inlineStr">
        <is>
          <t>Interest received</t>
        </is>
      </c>
      <c r="F20436" s="3" t="n">
        <v>0</v>
      </c>
      <c r="G20436" s="3" t="n">
        <v>-2725.3</v>
      </c>
    </row>
    <row r="20437">
      <c r="A20437" s="3" t="inlineStr">
        <is>
          <t>Quinate Consulting (Pty) Ltd</t>
        </is>
      </c>
      <c r="B20437" s="4" t="n">
        <v>45443</v>
      </c>
      <c r="C20437" s="3" t="inlineStr">
        <is>
          <t>Revenue</t>
        </is>
      </c>
      <c r="D20437" s="3" t="inlineStr">
        <is>
          <t>1006/100</t>
        </is>
      </c>
      <c r="E20437" s="3" t="inlineStr">
        <is>
          <t>Rental income - Payprop</t>
        </is>
      </c>
      <c r="F20437" s="3" t="n">
        <v>-86774</v>
      </c>
      <c r="G20437" s="3" t="n">
        <v>-235274</v>
      </c>
    </row>
    <row r="20438">
      <c r="A20438" s="3" t="inlineStr">
        <is>
          <t>Quinate Consulting (Pty) Ltd</t>
        </is>
      </c>
      <c r="B20438" s="4" t="n">
        <v>45443</v>
      </c>
      <c r="C20438" s="3" t="inlineStr">
        <is>
          <t>Revenue</t>
        </is>
      </c>
      <c r="D20438" s="3" t="inlineStr">
        <is>
          <t>1007/100</t>
        </is>
      </c>
      <c r="E20438" s="3" t="inlineStr">
        <is>
          <t>Rental Income - Payprop ABSA</t>
        </is>
      </c>
      <c r="F20438" s="3" t="n">
        <v>-34565.22</v>
      </c>
      <c r="G20438" s="3" t="n">
        <v>-42608.7</v>
      </c>
    </row>
    <row r="20439">
      <c r="A20439" s="3" t="inlineStr">
        <is>
          <t>Endulini (Pty) Ltd</t>
        </is>
      </c>
      <c r="B20439" s="4" t="n">
        <v>45443</v>
      </c>
      <c r="C20439" s="3" t="inlineStr">
        <is>
          <t>Revenue</t>
        </is>
      </c>
      <c r="D20439" s="3" t="inlineStr">
        <is>
          <t>1100/000</t>
        </is>
      </c>
      <c r="E20439" s="3" t="inlineStr">
        <is>
          <t>Sales - Endulini</t>
        </is>
      </c>
      <c r="F20439" s="3" t="n">
        <v>-1321652.17</v>
      </c>
      <c r="G20439" s="3" t="n">
        <v>-2626000</v>
      </c>
    </row>
    <row r="20440">
      <c r="A20440" s="3" t="inlineStr">
        <is>
          <t>Opportunity Management Holdings (PTY) LTD</t>
        </is>
      </c>
      <c r="B20440" s="4" t="n">
        <v>45443</v>
      </c>
      <c r="C20440" s="3" t="inlineStr">
        <is>
          <t>Revenue</t>
        </is>
      </c>
      <c r="D20440" s="3" t="inlineStr">
        <is>
          <t>1100/001</t>
        </is>
      </c>
      <c r="E20440" s="3" t="inlineStr">
        <is>
          <t>Salary Recharges</t>
        </is>
      </c>
      <c r="F20440" s="3" t="n">
        <v>-305660.8</v>
      </c>
      <c r="G20440" s="3" t="n">
        <v>-3051622.75</v>
      </c>
    </row>
    <row r="20441">
      <c r="A20441" s="3" t="inlineStr">
        <is>
          <t>Endulini (Pty) Ltd</t>
        </is>
      </c>
      <c r="B20441" s="4" t="n">
        <v>45443</v>
      </c>
      <c r="C20441" s="3" t="inlineStr">
        <is>
          <t>Revenue</t>
        </is>
      </c>
      <c r="D20441" s="3" t="inlineStr">
        <is>
          <t>1100/200</t>
        </is>
      </c>
      <c r="E20441" s="3" t="inlineStr">
        <is>
          <t>Sales - Endulini occupational rent</t>
        </is>
      </c>
      <c r="F20441" s="3" t="n">
        <v>-9832.26</v>
      </c>
      <c r="G20441" s="3" t="n">
        <v>-9832.26</v>
      </c>
    </row>
    <row r="20442">
      <c r="A20442" s="3" t="inlineStr">
        <is>
          <t>Rock Blok (Pty) Ltd</t>
        </is>
      </c>
      <c r="B20442" s="4" t="n">
        <v>45443</v>
      </c>
      <c r="C20442" s="3" t="inlineStr">
        <is>
          <t>Revenue</t>
        </is>
      </c>
      <c r="D20442" s="3" t="inlineStr">
        <is>
          <t>1150/D203</t>
        </is>
      </c>
      <c r="E20442" s="3" t="inlineStr">
        <is>
          <t>Rental Income - Endulini D203</t>
        </is>
      </c>
      <c r="F20442" s="3" t="n">
        <v>-9500</v>
      </c>
      <c r="G20442" s="3" t="n">
        <v>-19000</v>
      </c>
    </row>
    <row r="20443">
      <c r="A20443" s="3" t="inlineStr">
        <is>
          <t>Rock Blok (Pty) Ltd</t>
        </is>
      </c>
      <c r="B20443" s="4" t="n">
        <v>45443</v>
      </c>
      <c r="C20443" s="3" t="inlineStr">
        <is>
          <t>Revenue</t>
        </is>
      </c>
      <c r="D20443" s="3" t="inlineStr">
        <is>
          <t>1150/D203A</t>
        </is>
      </c>
      <c r="E20443" s="3" t="inlineStr">
        <is>
          <t>Rental Income - Endulini D203 Additional</t>
        </is>
      </c>
      <c r="F20443" s="3" t="n">
        <v>-4032.61</v>
      </c>
      <c r="G20443" s="3" t="n">
        <v>-8065.22</v>
      </c>
    </row>
    <row r="20444">
      <c r="A20444" s="3" t="inlineStr">
        <is>
          <t>Quinate Consulting (Pty) Ltd</t>
        </is>
      </c>
      <c r="B20444" s="4" t="n">
        <v>45443</v>
      </c>
      <c r="C20444" s="3" t="inlineStr">
        <is>
          <t>Expenses</t>
        </is>
      </c>
      <c r="D20444" s="3" t="inlineStr">
        <is>
          <t>2000/009</t>
        </is>
      </c>
      <c r="E20444" s="3" t="inlineStr">
        <is>
          <t>COS - Admin fees</t>
        </is>
      </c>
      <c r="F20444" s="3" t="n">
        <v>0</v>
      </c>
      <c r="G20444" s="3" t="n">
        <v>1000000</v>
      </c>
    </row>
    <row r="20445">
      <c r="A20445" s="3" t="inlineStr">
        <is>
          <t>Opportunity Global Property (PTY) LTD</t>
        </is>
      </c>
      <c r="B20445" s="4" t="n">
        <v>45443</v>
      </c>
      <c r="C20445" s="3" t="inlineStr">
        <is>
          <t>Expenses</t>
        </is>
      </c>
      <c r="D20445" s="3" t="inlineStr">
        <is>
          <t>2000/010</t>
        </is>
      </c>
      <c r="E20445" s="3" t="inlineStr">
        <is>
          <t>COS - PAYE on Commission</t>
        </is>
      </c>
      <c r="F20445" s="3" t="n">
        <v>0</v>
      </c>
      <c r="G20445" s="3" t="n">
        <v>21634.94</v>
      </c>
    </row>
    <row r="20446">
      <c r="A20446" s="3" t="inlineStr">
        <is>
          <t>Quinate Consulting (Pty) Ltd</t>
        </is>
      </c>
      <c r="B20446" s="4" t="n">
        <v>45443</v>
      </c>
      <c r="C20446" s="3" t="inlineStr">
        <is>
          <t>Expenses</t>
        </is>
      </c>
      <c r="D20446" s="3" t="inlineStr">
        <is>
          <t>2000/080</t>
        </is>
      </c>
      <c r="E20446" s="3" t="inlineStr">
        <is>
          <t>COS - Repairs &amp; Maintenance Endulini units</t>
        </is>
      </c>
      <c r="F20446" s="3" t="n">
        <v>0</v>
      </c>
      <c r="G20446" s="3" t="n">
        <v>2969.06</v>
      </c>
    </row>
    <row r="20447">
      <c r="A20447" s="3" t="inlineStr">
        <is>
          <t>Endulini (Pty) Ltd</t>
        </is>
      </c>
      <c r="B20447" s="4" t="n">
        <v>45443</v>
      </c>
      <c r="C20447" s="3" t="inlineStr">
        <is>
          <t>Expenses</t>
        </is>
      </c>
      <c r="D20447" s="3" t="inlineStr">
        <is>
          <t>2000/100</t>
        </is>
      </c>
      <c r="E20447" s="3" t="inlineStr">
        <is>
          <t>COS - Commission Endulini</t>
        </is>
      </c>
      <c r="F20447" s="3" t="n">
        <v>66082.61</v>
      </c>
      <c r="G20447" s="3" t="n">
        <v>66082.61</v>
      </c>
    </row>
    <row r="20448">
      <c r="A20448" s="3" t="inlineStr">
        <is>
          <t>Noble Shield (Pty) Ltd ta Go Letting</t>
        </is>
      </c>
      <c r="B20448" s="4" t="n">
        <v>45443</v>
      </c>
      <c r="C20448" s="3" t="inlineStr">
        <is>
          <t>Expenses</t>
        </is>
      </c>
      <c r="D20448" s="3" t="inlineStr">
        <is>
          <t>2000/100</t>
        </is>
      </c>
      <c r="E20448" s="3" t="inlineStr">
        <is>
          <t>COS - Commission Paid</t>
        </is>
      </c>
      <c r="F20448" s="3" t="n">
        <v>0</v>
      </c>
      <c r="G20448" s="3" t="n">
        <v>125232.89</v>
      </c>
    </row>
    <row r="20449">
      <c r="A20449" s="3" t="inlineStr">
        <is>
          <t>Opportunity Global Property (PTY) LTD</t>
        </is>
      </c>
      <c r="B20449" s="4" t="n">
        <v>45443</v>
      </c>
      <c r="C20449" s="3" t="inlineStr">
        <is>
          <t>Expenses</t>
        </is>
      </c>
      <c r="D20449" s="3" t="inlineStr">
        <is>
          <t>2000/135</t>
        </is>
      </c>
      <c r="E20449" s="3" t="inlineStr">
        <is>
          <t>COS - Sales Comm External - Minette</t>
        </is>
      </c>
      <c r="F20449" s="3" t="n">
        <v>0</v>
      </c>
      <c r="G20449" s="3" t="n">
        <v>7500</v>
      </c>
    </row>
    <row r="20450">
      <c r="A20450" s="3" t="inlineStr">
        <is>
          <t>Opportunity Private Capital (PTY) LTD</t>
        </is>
      </c>
      <c r="B20450" s="4" t="n">
        <v>45443</v>
      </c>
      <c r="C20450" s="3" t="inlineStr">
        <is>
          <t>Expenses</t>
        </is>
      </c>
      <c r="D20450" s="3" t="inlineStr">
        <is>
          <t>2000/135</t>
        </is>
      </c>
      <c r="E20450" s="3" t="inlineStr">
        <is>
          <t>Referral commission - Heron View</t>
        </is>
      </c>
      <c r="F20450" s="3" t="n">
        <v>0</v>
      </c>
      <c r="G20450" s="3" t="n">
        <v>175000</v>
      </c>
    </row>
    <row r="20451">
      <c r="A20451" s="3" t="inlineStr">
        <is>
          <t>Opportunity Global Property (PTY) LTD</t>
        </is>
      </c>
      <c r="B20451" s="4" t="n">
        <v>45443</v>
      </c>
      <c r="C20451" s="3" t="inlineStr">
        <is>
          <t>Expenses</t>
        </is>
      </c>
      <c r="D20451" s="3" t="inlineStr">
        <is>
          <t>2000/137</t>
        </is>
      </c>
      <c r="E20451" s="3" t="inlineStr">
        <is>
          <t>COS - Rental Comm External - Minette</t>
        </is>
      </c>
      <c r="F20451" s="3" t="n">
        <v>0</v>
      </c>
      <c r="G20451" s="3" t="n">
        <v>29829.22</v>
      </c>
    </row>
    <row r="20452">
      <c r="A20452" s="3" t="inlineStr">
        <is>
          <t>Opportunity Private Capital (PTY) LTD</t>
        </is>
      </c>
      <c r="B20452" s="4" t="n">
        <v>45443</v>
      </c>
      <c r="C20452" s="3" t="inlineStr">
        <is>
          <t>Expenses</t>
        </is>
      </c>
      <c r="D20452" s="3" t="inlineStr">
        <is>
          <t>2000/146</t>
        </is>
      </c>
      <c r="E20452" s="3" t="inlineStr">
        <is>
          <t>Referral Commission - Goodwood</t>
        </is>
      </c>
      <c r="F20452" s="3" t="n">
        <v>0</v>
      </c>
      <c r="G20452" s="3" t="n">
        <v>52520</v>
      </c>
    </row>
    <row r="20453">
      <c r="A20453" s="3" t="inlineStr">
        <is>
          <t>Endulini (Pty) Ltd</t>
        </is>
      </c>
      <c r="B20453" s="4" t="n">
        <v>45443</v>
      </c>
      <c r="C20453" s="3" t="inlineStr">
        <is>
          <t>Expenses</t>
        </is>
      </c>
      <c r="D20453" s="3" t="inlineStr">
        <is>
          <t>2000/150</t>
        </is>
      </c>
      <c r="E20453" s="3" t="inlineStr">
        <is>
          <t>COS - Levies special agreement</t>
        </is>
      </c>
      <c r="F20453" s="3" t="n">
        <v>0</v>
      </c>
      <c r="G20453" s="3" t="n">
        <v>2267.05</v>
      </c>
    </row>
    <row r="20454">
      <c r="A20454" s="3" t="inlineStr">
        <is>
          <t>Opportunity Global Property (PTY) LTD</t>
        </is>
      </c>
      <c r="B20454" s="4" t="n">
        <v>45443</v>
      </c>
      <c r="C20454" s="3" t="inlineStr">
        <is>
          <t>Expenses</t>
        </is>
      </c>
      <c r="D20454" s="3" t="inlineStr">
        <is>
          <t>2000/160</t>
        </is>
      </c>
      <c r="E20454" s="3" t="inlineStr">
        <is>
          <t>COS - Sales Comm Heron View - Minette</t>
        </is>
      </c>
      <c r="F20454" s="3" t="n">
        <v>0</v>
      </c>
      <c r="G20454" s="3" t="n">
        <v>11086.3</v>
      </c>
    </row>
    <row r="20455">
      <c r="A20455" s="3" t="inlineStr">
        <is>
          <t>Opportunity Global Property (PTY) LTD</t>
        </is>
      </c>
      <c r="B20455" s="4" t="n">
        <v>45443</v>
      </c>
      <c r="C20455" s="3" t="inlineStr">
        <is>
          <t>Expenses</t>
        </is>
      </c>
      <c r="D20455" s="3" t="inlineStr">
        <is>
          <t>2000/162</t>
        </is>
      </c>
      <c r="E20455" s="3" t="inlineStr">
        <is>
          <t>COS - Sales Comm Heron View - Yvette</t>
        </is>
      </c>
      <c r="F20455" s="3" t="n">
        <v>0</v>
      </c>
      <c r="G20455" s="3" t="n">
        <v>11021.09</v>
      </c>
    </row>
    <row r="20456">
      <c r="A20456" s="3" t="inlineStr">
        <is>
          <t>Opportunity Global Property (PTY) LTD</t>
        </is>
      </c>
      <c r="B20456" s="4" t="n">
        <v>45443</v>
      </c>
      <c r="C20456" s="3" t="inlineStr">
        <is>
          <t>Expenses</t>
        </is>
      </c>
      <c r="D20456" s="3" t="inlineStr">
        <is>
          <t>2000/166</t>
        </is>
      </c>
      <c r="E20456" s="3" t="inlineStr">
        <is>
          <t>COS - Sales Comm Heron View - Morne</t>
        </is>
      </c>
      <c r="F20456" s="3" t="n">
        <v>0</v>
      </c>
      <c r="G20456" s="3" t="n">
        <v>40606.09</v>
      </c>
    </row>
    <row r="20457">
      <c r="A20457" s="3" t="inlineStr">
        <is>
          <t>Noble Shield (Pty) Ltd ta Go Letting</t>
        </is>
      </c>
      <c r="B20457" s="4" t="n">
        <v>45443</v>
      </c>
      <c r="C20457" s="3" t="inlineStr">
        <is>
          <t>Expenses</t>
        </is>
      </c>
      <c r="D20457" s="3" t="inlineStr">
        <is>
          <t>2000/200</t>
        </is>
      </c>
      <c r="E20457" s="3" t="inlineStr">
        <is>
          <t>COS - Commission on external sales</t>
        </is>
      </c>
      <c r="F20457" s="3" t="n">
        <v>0</v>
      </c>
      <c r="G20457" s="3" t="n">
        <v>163400</v>
      </c>
    </row>
    <row r="20458">
      <c r="A20458" s="3" t="inlineStr">
        <is>
          <t>Endulini (Pty) Ltd</t>
        </is>
      </c>
      <c r="B20458" s="4" t="n">
        <v>45443</v>
      </c>
      <c r="C20458" s="3" t="inlineStr">
        <is>
          <t>Expenses</t>
        </is>
      </c>
      <c r="D20458" s="3" t="inlineStr">
        <is>
          <t>2000/200</t>
        </is>
      </c>
      <c r="E20458" s="3" t="inlineStr">
        <is>
          <t>COS - Rates clearance</t>
        </is>
      </c>
      <c r="F20458" s="3" t="n">
        <v>0</v>
      </c>
      <c r="G20458" s="3" t="n">
        <v>13794.58</v>
      </c>
    </row>
    <row r="20459">
      <c r="A20459" s="3" t="inlineStr">
        <is>
          <t>Opportunity Global Property (PTY) LTD</t>
        </is>
      </c>
      <c r="B20459" s="4" t="n">
        <v>45443</v>
      </c>
      <c r="C20459" s="3" t="inlineStr">
        <is>
          <t>Expenses</t>
        </is>
      </c>
      <c r="D20459" s="3" t="inlineStr">
        <is>
          <t>2000/270</t>
        </is>
      </c>
      <c r="E20459" s="3" t="inlineStr">
        <is>
          <t>COS - Comm Rentals - Mario - External</t>
        </is>
      </c>
      <c r="F20459" s="3" t="n">
        <v>1102.6</v>
      </c>
      <c r="G20459" s="3" t="n">
        <v>3307.82</v>
      </c>
    </row>
    <row r="20460">
      <c r="A20460" s="3" t="inlineStr">
        <is>
          <t>Opportunity Global Property (PTY) LTD</t>
        </is>
      </c>
      <c r="B20460" s="4" t="n">
        <v>45443</v>
      </c>
      <c r="C20460" s="3" t="inlineStr">
        <is>
          <t>Expenses</t>
        </is>
      </c>
      <c r="D20460" s="3" t="inlineStr">
        <is>
          <t>2000/275</t>
        </is>
      </c>
      <c r="E20460" s="3" t="inlineStr">
        <is>
          <t>COS - Comm Rentals - Mario - Endulini</t>
        </is>
      </c>
      <c r="F20460" s="3" t="n">
        <v>451.48</v>
      </c>
      <c r="G20460" s="3" t="n">
        <v>5224</v>
      </c>
    </row>
    <row r="20461">
      <c r="A20461" s="3" t="inlineStr">
        <is>
          <t>Opportunity Global Property (PTY) LTD</t>
        </is>
      </c>
      <c r="B20461" s="4" t="n">
        <v>45443</v>
      </c>
      <c r="C20461" s="3" t="inlineStr">
        <is>
          <t>Expenses</t>
        </is>
      </c>
      <c r="D20461" s="3" t="inlineStr">
        <is>
          <t>2000/280</t>
        </is>
      </c>
      <c r="E20461" s="3" t="inlineStr">
        <is>
          <t>COS - Comm Rentals - Mario - Heron Fields</t>
        </is>
      </c>
      <c r="F20461" s="3" t="n">
        <v>2404.7</v>
      </c>
      <c r="G20461" s="3" t="n">
        <v>14722.42</v>
      </c>
    </row>
    <row r="20462">
      <c r="A20462" s="3" t="inlineStr">
        <is>
          <t>Trademark Holdings (Pty) Ltd</t>
        </is>
      </c>
      <c r="B20462" s="4" t="n">
        <v>45443</v>
      </c>
      <c r="C20462" s="3" t="inlineStr">
        <is>
          <t>Expenses</t>
        </is>
      </c>
      <c r="D20462" s="3" t="inlineStr">
        <is>
          <t>2000/300</t>
        </is>
      </c>
      <c r="E20462" s="3" t="inlineStr">
        <is>
          <t>COS - Commission Paid</t>
        </is>
      </c>
      <c r="F20462" s="3" t="n">
        <v>0</v>
      </c>
      <c r="G20462" s="3" t="n">
        <v>130721</v>
      </c>
    </row>
    <row r="20463">
      <c r="A20463" s="3" t="inlineStr">
        <is>
          <t>Opportunity Global Property (PTY) LTD</t>
        </is>
      </c>
      <c r="B20463" s="4" t="n">
        <v>45443</v>
      </c>
      <c r="C20463" s="3" t="inlineStr">
        <is>
          <t>Expenses</t>
        </is>
      </c>
      <c r="D20463" s="3" t="inlineStr">
        <is>
          <t>2000/364</t>
        </is>
      </c>
      <c r="E20463" s="3" t="inlineStr">
        <is>
          <t>COS - Overrider Comm Heron View - Leonie</t>
        </is>
      </c>
      <c r="F20463" s="3" t="n">
        <v>0</v>
      </c>
      <c r="G20463" s="3" t="n">
        <v>1969.47</v>
      </c>
    </row>
    <row r="20464">
      <c r="A20464" s="3" t="inlineStr">
        <is>
          <t>Trademark Holdings (Pty) Ltd</t>
        </is>
      </c>
      <c r="B20464" s="4" t="n">
        <v>45443</v>
      </c>
      <c r="C20464" s="3" t="inlineStr">
        <is>
          <t>Expenses</t>
        </is>
      </c>
      <c r="D20464" s="3" t="inlineStr">
        <is>
          <t>2000/400</t>
        </is>
      </c>
      <c r="E20464" s="3" t="inlineStr">
        <is>
          <t>COS - Commission on external sales</t>
        </is>
      </c>
      <c r="F20464" s="3" t="n">
        <v>21000</v>
      </c>
      <c r="G20464" s="3" t="n">
        <v>136000</v>
      </c>
    </row>
    <row r="20465">
      <c r="A20465" s="3" t="inlineStr">
        <is>
          <t>Endulini (Pty) Ltd</t>
        </is>
      </c>
      <c r="B20465" s="4" t="n">
        <v>45443</v>
      </c>
      <c r="C20465" s="3" t="inlineStr">
        <is>
          <t>Expenses</t>
        </is>
      </c>
      <c r="D20465" s="3" t="inlineStr">
        <is>
          <t>2000/600</t>
        </is>
      </c>
      <c r="E20465" s="3" t="inlineStr">
        <is>
          <t>COS - Legal fees</t>
        </is>
      </c>
      <c r="F20465" s="3" t="n">
        <v>42248.88</v>
      </c>
      <c r="G20465" s="3" t="n">
        <v>61753.13</v>
      </c>
    </row>
    <row r="20466">
      <c r="A20466" s="3" t="inlineStr">
        <is>
          <t>Quinate Consulting (Pty) Ltd</t>
        </is>
      </c>
      <c r="B20466" s="4" t="n">
        <v>45443</v>
      </c>
      <c r="C20466" s="3" t="inlineStr">
        <is>
          <t>Expenses</t>
        </is>
      </c>
      <c r="D20466" s="3" t="inlineStr">
        <is>
          <t>2001/170</t>
        </is>
      </c>
      <c r="E20466" s="3" t="inlineStr">
        <is>
          <t>COS - Legal fees - Rates Clearance Certs</t>
        </is>
      </c>
      <c r="F20466" s="3" t="n">
        <v>132981.4</v>
      </c>
      <c r="G20466" s="3" t="n">
        <v>132981.4</v>
      </c>
    </row>
    <row r="20467">
      <c r="A20467" s="3" t="inlineStr">
        <is>
          <t>Quinate Consulting (Pty) Ltd</t>
        </is>
      </c>
      <c r="B20467" s="4" t="n">
        <v>45443</v>
      </c>
      <c r="C20467" s="3" t="inlineStr">
        <is>
          <t>Expenses</t>
        </is>
      </c>
      <c r="D20467" s="3" t="inlineStr">
        <is>
          <t>2001/210</t>
        </is>
      </c>
      <c r="E20467" s="3" t="inlineStr">
        <is>
          <t>COS - NHBRC</t>
        </is>
      </c>
      <c r="F20467" s="3" t="n">
        <v>0</v>
      </c>
      <c r="G20467" s="3" t="n">
        <v>457.67</v>
      </c>
    </row>
    <row r="20468">
      <c r="A20468" s="3" t="inlineStr">
        <is>
          <t>Quinate Consulting (Pty) Ltd</t>
        </is>
      </c>
      <c r="B20468" s="4" t="n">
        <v>45443</v>
      </c>
      <c r="C20468" s="3" t="inlineStr">
        <is>
          <t>Expenses</t>
        </is>
      </c>
      <c r="D20468" s="3" t="inlineStr">
        <is>
          <t>2100/141</t>
        </is>
      </c>
      <c r="E20468" s="3" t="inlineStr">
        <is>
          <t>OMIGI D203 - Investor portion</t>
        </is>
      </c>
      <c r="F20468" s="3" t="n">
        <v>0</v>
      </c>
      <c r="G20468" s="3" t="n">
        <v>71139.78</v>
      </c>
    </row>
    <row r="20469">
      <c r="A20469" s="3" t="inlineStr">
        <is>
          <t>Opportunity Management Holdings (PTY) LTD</t>
        </is>
      </c>
      <c r="B20469" s="4" t="n">
        <v>45443</v>
      </c>
      <c r="C20469" s="3" t="inlineStr">
        <is>
          <t>Expenses</t>
        </is>
      </c>
      <c r="D20469" s="3" t="inlineStr">
        <is>
          <t>2111/000</t>
        </is>
      </c>
      <c r="E20469" s="3" t="inlineStr">
        <is>
          <t>Heron Projects Accounting Management fee</t>
        </is>
      </c>
      <c r="F20469" s="3" t="n">
        <v>0</v>
      </c>
      <c r="G20469" s="3" t="n">
        <v>434782.61</v>
      </c>
    </row>
    <row r="20470">
      <c r="A20470" s="3" t="inlineStr">
        <is>
          <t>Noble Shield (Pty) Ltd ta Go Letting</t>
        </is>
      </c>
      <c r="B20470" s="4" t="n">
        <v>45443</v>
      </c>
      <c r="C20470" s="3" t="inlineStr">
        <is>
          <t>Revenue</t>
        </is>
      </c>
      <c r="D20470" s="3" t="inlineStr">
        <is>
          <t>2400/011</t>
        </is>
      </c>
      <c r="E20470" s="3" t="inlineStr">
        <is>
          <t>Recovery of Electrity _AND_ Water - Rentals</t>
        </is>
      </c>
      <c r="F20470" s="3" t="n">
        <v>0</v>
      </c>
      <c r="G20470" s="3" t="n">
        <v>-1000</v>
      </c>
    </row>
    <row r="20471">
      <c r="A20471" s="3" t="inlineStr">
        <is>
          <t>Quinate Consulting (Pty) Ltd</t>
        </is>
      </c>
      <c r="B20471" s="4" t="n">
        <v>45443</v>
      </c>
      <c r="C20471" s="3" t="inlineStr">
        <is>
          <t>Revenue</t>
        </is>
      </c>
      <c r="D20471" s="3" t="inlineStr">
        <is>
          <t>2400/200</t>
        </is>
      </c>
      <c r="E20471" s="3" t="inlineStr">
        <is>
          <t>Recovery Acc - Electricity SH</t>
        </is>
      </c>
      <c r="F20471" s="3" t="n">
        <v>-31575.89</v>
      </c>
      <c r="G20471" s="3" t="n">
        <v>-78184.16</v>
      </c>
    </row>
    <row r="20472">
      <c r="A20472" s="3" t="inlineStr">
        <is>
          <t>Quinate Consulting (Pty) Ltd</t>
        </is>
      </c>
      <c r="B20472" s="4" t="n">
        <v>45443</v>
      </c>
      <c r="C20472" s="3" t="inlineStr">
        <is>
          <t>Revenue</t>
        </is>
      </c>
      <c r="D20472" s="3" t="inlineStr">
        <is>
          <t>2400/300</t>
        </is>
      </c>
      <c r="E20472" s="3" t="inlineStr">
        <is>
          <t>Recovery Account - Electricity SW</t>
        </is>
      </c>
      <c r="F20472" s="3" t="n">
        <v>-21221.44</v>
      </c>
      <c r="G20472" s="3" t="n">
        <v>-55823.95</v>
      </c>
    </row>
    <row r="20473">
      <c r="A20473" s="3" t="inlineStr">
        <is>
          <t>Endulini (Pty) Ltd</t>
        </is>
      </c>
      <c r="B20473" s="4" t="n">
        <v>45443</v>
      </c>
      <c r="C20473" s="3" t="inlineStr">
        <is>
          <t>Revenue</t>
        </is>
      </c>
      <c r="D20473" s="3" t="inlineStr">
        <is>
          <t>2750/000</t>
        </is>
      </c>
      <c r="E20473" s="3" t="inlineStr">
        <is>
          <t>Interest Received</t>
        </is>
      </c>
      <c r="F20473" s="3" t="n">
        <v>0</v>
      </c>
      <c r="G20473" s="3" t="n">
        <v>-65.5</v>
      </c>
    </row>
    <row r="20474">
      <c r="A20474" s="3" t="inlineStr">
        <is>
          <t>Opportunity Global Property (PTY) LTD</t>
        </is>
      </c>
      <c r="B20474" s="4" t="n">
        <v>45443</v>
      </c>
      <c r="C20474" s="3" t="inlineStr">
        <is>
          <t>Revenue</t>
        </is>
      </c>
      <c r="D20474" s="3" t="inlineStr">
        <is>
          <t>2750/000</t>
        </is>
      </c>
      <c r="E20474" s="3" t="inlineStr">
        <is>
          <t>Interest Received - Bank</t>
        </is>
      </c>
      <c r="F20474" s="3" t="n">
        <v>0</v>
      </c>
      <c r="G20474" s="3" t="n">
        <v>-0.61</v>
      </c>
    </row>
    <row r="20475">
      <c r="A20475" s="3" t="inlineStr">
        <is>
          <t>Opportunity Private Capital (PTY) LTD</t>
        </is>
      </c>
      <c r="B20475" s="4" t="n">
        <v>45443</v>
      </c>
      <c r="C20475" s="3" t="inlineStr">
        <is>
          <t>Revenue</t>
        </is>
      </c>
      <c r="D20475" s="3" t="inlineStr">
        <is>
          <t>2750/000</t>
        </is>
      </c>
      <c r="E20475" s="3" t="inlineStr">
        <is>
          <t>Interest Received - Bank</t>
        </is>
      </c>
      <c r="F20475" s="3" t="n">
        <v>-78.59999999999999</v>
      </c>
      <c r="G20475" s="3" t="n">
        <v>-87.13</v>
      </c>
    </row>
    <row r="20476">
      <c r="A20476" s="3" t="inlineStr">
        <is>
          <t>Noble Shield (Pty) Ltd ta Go Letting</t>
        </is>
      </c>
      <c r="B20476" s="4" t="n">
        <v>45443</v>
      </c>
      <c r="C20476" s="3" t="inlineStr">
        <is>
          <t>Revenue</t>
        </is>
      </c>
      <c r="D20476" s="3" t="inlineStr">
        <is>
          <t>2750/100</t>
        </is>
      </c>
      <c r="E20476" s="3" t="inlineStr">
        <is>
          <t>Interest Received - bank</t>
        </is>
      </c>
      <c r="F20476" s="3" t="n">
        <v>0</v>
      </c>
      <c r="G20476" s="3" t="n">
        <v>-2.4</v>
      </c>
    </row>
    <row r="20477">
      <c r="A20477" s="3" t="inlineStr">
        <is>
          <t>Noble Shield (Pty) Ltd ta Go Letting</t>
        </is>
      </c>
      <c r="B20477" s="4" t="n">
        <v>45443</v>
      </c>
      <c r="C20477" s="3" t="inlineStr">
        <is>
          <t>Expenses</t>
        </is>
      </c>
      <c r="D20477" s="3" t="inlineStr">
        <is>
          <t>3000/100</t>
        </is>
      </c>
      <c r="E20477" s="3" t="inlineStr">
        <is>
          <t>Accounting Fees - General</t>
        </is>
      </c>
      <c r="F20477" s="3" t="n">
        <v>0</v>
      </c>
      <c r="G20477" s="3" t="n">
        <v>4830</v>
      </c>
    </row>
    <row r="20478">
      <c r="A20478" s="3" t="inlineStr">
        <is>
          <t>Opportunity Private Capital (PTY) LTD</t>
        </is>
      </c>
      <c r="B20478" s="4" t="n">
        <v>45443</v>
      </c>
      <c r="C20478" s="3" t="inlineStr">
        <is>
          <t>Expenses</t>
        </is>
      </c>
      <c r="D20478" s="3" t="inlineStr">
        <is>
          <t>3000/100</t>
        </is>
      </c>
      <c r="E20478" s="3" t="inlineStr">
        <is>
          <t>Accounting Fees - Secretarial</t>
        </is>
      </c>
      <c r="F20478" s="3" t="n">
        <v>0</v>
      </c>
      <c r="G20478" s="3" t="n">
        <v>919.5700000000001</v>
      </c>
    </row>
    <row r="20479">
      <c r="A20479" s="3" t="inlineStr">
        <is>
          <t>Noble Shield (Pty) Ltd ta Go Letting</t>
        </is>
      </c>
      <c r="B20479" s="4" t="n">
        <v>45443</v>
      </c>
      <c r="C20479" s="3" t="inlineStr">
        <is>
          <t>Expenses</t>
        </is>
      </c>
      <c r="D20479" s="3" t="inlineStr">
        <is>
          <t>3000/300</t>
        </is>
      </c>
      <c r="E20479" s="3" t="inlineStr">
        <is>
          <t>Accounting Fees - Audit</t>
        </is>
      </c>
      <c r="F20479" s="3" t="n">
        <v>0</v>
      </c>
      <c r="G20479" s="3" t="n">
        <v>19010.65</v>
      </c>
    </row>
    <row r="20480">
      <c r="A20480" s="3" t="inlineStr">
        <is>
          <t>Trademark Holdings (Pty) Ltd</t>
        </is>
      </c>
      <c r="B20480" s="4" t="n">
        <v>45443</v>
      </c>
      <c r="C20480" s="3" t="inlineStr">
        <is>
          <t>Expenses</t>
        </is>
      </c>
      <c r="D20480" s="3" t="inlineStr">
        <is>
          <t>3000/300</t>
        </is>
      </c>
      <c r="E20480" s="3" t="inlineStr">
        <is>
          <t>Accounting Fees - Audit</t>
        </is>
      </c>
      <c r="F20480" s="3" t="n">
        <v>0</v>
      </c>
      <c r="G20480" s="3" t="n">
        <v>22517</v>
      </c>
    </row>
    <row r="20481">
      <c r="A20481" s="3" t="inlineStr">
        <is>
          <t>Trademark Holdings (Pty) Ltd</t>
        </is>
      </c>
      <c r="B20481" s="4" t="n">
        <v>45443</v>
      </c>
      <c r="C20481" s="3" t="inlineStr">
        <is>
          <t>Expenses</t>
        </is>
      </c>
      <c r="D20481" s="3" t="inlineStr">
        <is>
          <t>3000/400</t>
        </is>
      </c>
      <c r="E20481" s="3" t="inlineStr">
        <is>
          <t>Accounting Fees - CiPC</t>
        </is>
      </c>
      <c r="F20481" s="3" t="n">
        <v>0</v>
      </c>
      <c r="G20481" s="3" t="n">
        <v>1322.5</v>
      </c>
    </row>
    <row r="20482">
      <c r="A20482" s="3" t="inlineStr">
        <is>
          <t>Quinate Consulting (Pty) Ltd</t>
        </is>
      </c>
      <c r="B20482" s="4" t="n">
        <v>45443</v>
      </c>
      <c r="C20482" s="3" t="inlineStr">
        <is>
          <t>Expenses</t>
        </is>
      </c>
      <c r="D20482" s="3" t="inlineStr">
        <is>
          <t>3001/000</t>
        </is>
      </c>
      <c r="E20482" s="3" t="inlineStr">
        <is>
          <t>Accounting fees - Other</t>
        </is>
      </c>
      <c r="F20482" s="3" t="n">
        <v>0</v>
      </c>
      <c r="G20482" s="3" t="n">
        <v>1700</v>
      </c>
    </row>
    <row r="20483">
      <c r="A20483" s="3" t="inlineStr">
        <is>
          <t>Opportunity Management Holdings (PTY) LTD</t>
        </is>
      </c>
      <c r="B20483" s="4" t="n">
        <v>45443</v>
      </c>
      <c r="C20483" s="3" t="inlineStr">
        <is>
          <t>Expenses</t>
        </is>
      </c>
      <c r="D20483" s="3" t="inlineStr">
        <is>
          <t>3003/000</t>
        </is>
      </c>
      <c r="E20483" s="3" t="inlineStr">
        <is>
          <t>Accounting Fee - Tax Dept</t>
        </is>
      </c>
      <c r="F20483" s="3" t="n">
        <v>0</v>
      </c>
      <c r="G20483" s="3" t="n">
        <v>750</v>
      </c>
    </row>
    <row r="20484">
      <c r="A20484" s="3" t="inlineStr">
        <is>
          <t>Opportunity Management Holdings (PTY) LTD</t>
        </is>
      </c>
      <c r="B20484" s="4" t="n">
        <v>45443</v>
      </c>
      <c r="C20484" s="3" t="inlineStr">
        <is>
          <t>Expenses</t>
        </is>
      </c>
      <c r="D20484" s="3" t="inlineStr">
        <is>
          <t>3005/000</t>
        </is>
      </c>
      <c r="E20484" s="3" t="inlineStr">
        <is>
          <t>Accounting fees - Deric Dudley</t>
        </is>
      </c>
      <c r="F20484" s="3" t="n">
        <v>0</v>
      </c>
      <c r="G20484" s="3" t="n">
        <v>289427.94</v>
      </c>
    </row>
    <row r="20485">
      <c r="A20485" s="3" t="inlineStr">
        <is>
          <t>Opportunity Management Holdings (PTY) LTD</t>
        </is>
      </c>
      <c r="B20485" s="4" t="n">
        <v>45443</v>
      </c>
      <c r="C20485" s="3" t="inlineStr">
        <is>
          <t>Expenses</t>
        </is>
      </c>
      <c r="D20485" s="3" t="inlineStr">
        <is>
          <t>3006/000</t>
        </is>
      </c>
      <c r="E20485" s="3" t="inlineStr">
        <is>
          <t>Accounting fees - CIPC</t>
        </is>
      </c>
      <c r="F20485" s="3" t="n">
        <v>217.39</v>
      </c>
      <c r="G20485" s="3" t="n">
        <v>717.39</v>
      </c>
    </row>
    <row r="20486">
      <c r="A20486" s="3" t="inlineStr">
        <is>
          <t>Noble Shield (Pty) Ltd ta Go Letting</t>
        </is>
      </c>
      <c r="B20486" s="4" t="n">
        <v>45443</v>
      </c>
      <c r="C20486" s="3" t="inlineStr">
        <is>
          <t>Expenses</t>
        </is>
      </c>
      <c r="D20486" s="3" t="inlineStr">
        <is>
          <t>3050/000</t>
        </is>
      </c>
      <c r="E20486" s="3" t="inlineStr">
        <is>
          <t>Advertising _AND_ Promotions</t>
        </is>
      </c>
      <c r="F20486" s="3" t="n">
        <v>0</v>
      </c>
      <c r="G20486" s="3" t="n">
        <v>1322.5</v>
      </c>
    </row>
    <row r="20487">
      <c r="A20487" s="3" t="inlineStr">
        <is>
          <t>Opportunity Management Holdings (PTY) LTD</t>
        </is>
      </c>
      <c r="B20487" s="4" t="n">
        <v>45443</v>
      </c>
      <c r="C20487" s="3" t="inlineStr">
        <is>
          <t>Expenses</t>
        </is>
      </c>
      <c r="D20487" s="3" t="inlineStr">
        <is>
          <t>3050/000</t>
        </is>
      </c>
      <c r="E20487" s="3" t="inlineStr">
        <is>
          <t>Advertising _AND_ Promotions</t>
        </is>
      </c>
      <c r="F20487" s="3" t="n">
        <v>0</v>
      </c>
      <c r="G20487" s="3" t="n">
        <v>4061.41</v>
      </c>
    </row>
    <row r="20488">
      <c r="A20488" s="3" t="inlineStr">
        <is>
          <t>Quinate Consulting (Pty) Ltd</t>
        </is>
      </c>
      <c r="B20488" s="4" t="n">
        <v>45443</v>
      </c>
      <c r="C20488" s="3" t="inlineStr">
        <is>
          <t>Expenses</t>
        </is>
      </c>
      <c r="D20488" s="3" t="inlineStr">
        <is>
          <t>3050/000</t>
        </is>
      </c>
      <c r="E20488" s="3" t="inlineStr">
        <is>
          <t>Advertising _AND_ Promotions</t>
        </is>
      </c>
      <c r="F20488" s="3" t="n">
        <v>0</v>
      </c>
      <c r="G20488" s="3" t="n">
        <v>2875</v>
      </c>
    </row>
    <row r="20489">
      <c r="A20489" s="3" t="inlineStr">
        <is>
          <t>Opportunity Global Property (PTY) LTD</t>
        </is>
      </c>
      <c r="B20489" s="4" t="n">
        <v>45443</v>
      </c>
      <c r="C20489" s="3" t="inlineStr">
        <is>
          <t>Expenses</t>
        </is>
      </c>
      <c r="D20489" s="3" t="inlineStr">
        <is>
          <t>3050/000</t>
        </is>
      </c>
      <c r="E20489" s="3" t="inlineStr">
        <is>
          <t>Advertising and Promotions</t>
        </is>
      </c>
      <c r="F20489" s="3" t="n">
        <v>0</v>
      </c>
      <c r="G20489" s="3" t="n">
        <v>5722.17</v>
      </c>
    </row>
    <row r="20490">
      <c r="A20490" s="3" t="inlineStr">
        <is>
          <t>Opportunity Private Capital (PTY) LTD</t>
        </is>
      </c>
      <c r="B20490" s="4" t="n">
        <v>45443</v>
      </c>
      <c r="C20490" s="3" t="inlineStr">
        <is>
          <t>Expenses</t>
        </is>
      </c>
      <c r="D20490" s="3" t="inlineStr">
        <is>
          <t>3050/000</t>
        </is>
      </c>
      <c r="E20490" s="3" t="inlineStr">
        <is>
          <t>Advertising and Promotions</t>
        </is>
      </c>
      <c r="F20490" s="3" t="n">
        <v>0</v>
      </c>
      <c r="G20490" s="3" t="n">
        <v>4800</v>
      </c>
    </row>
    <row r="20491">
      <c r="A20491" s="3" t="inlineStr">
        <is>
          <t>Noble Shield (Pty) Ltd ta Go Letting</t>
        </is>
      </c>
      <c r="B20491" s="4" t="n">
        <v>45443</v>
      </c>
      <c r="C20491" s="3" t="inlineStr">
        <is>
          <t>Expenses</t>
        </is>
      </c>
      <c r="D20491" s="3" t="inlineStr">
        <is>
          <t>3050/020</t>
        </is>
      </c>
      <c r="E20491" s="3" t="inlineStr">
        <is>
          <t>Adverting &amp; Marketing - Other</t>
        </is>
      </c>
      <c r="F20491" s="3" t="n">
        <v>0</v>
      </c>
      <c r="G20491" s="3" t="n">
        <v>134.9</v>
      </c>
    </row>
    <row r="20492">
      <c r="A20492" s="3" t="inlineStr">
        <is>
          <t>Noble Shield (Pty) Ltd ta Go Letting</t>
        </is>
      </c>
      <c r="B20492" s="4" t="n">
        <v>45443</v>
      </c>
      <c r="C20492" s="3" t="inlineStr">
        <is>
          <t>Expenses</t>
        </is>
      </c>
      <c r="D20492" s="3" t="inlineStr">
        <is>
          <t>3050/050</t>
        </is>
      </c>
      <c r="E20492" s="3" t="inlineStr">
        <is>
          <t>Advertising - Prop 24</t>
        </is>
      </c>
      <c r="F20492" s="3" t="n">
        <v>4850.7</v>
      </c>
      <c r="G20492" s="3" t="n">
        <v>35800.65</v>
      </c>
    </row>
    <row r="20493">
      <c r="A20493" s="3" t="inlineStr">
        <is>
          <t>Opportunity Global Property (PTY) LTD</t>
        </is>
      </c>
      <c r="B20493" s="4" t="n">
        <v>45443</v>
      </c>
      <c r="C20493" s="3" t="inlineStr">
        <is>
          <t>Expenses</t>
        </is>
      </c>
      <c r="D20493" s="3" t="inlineStr">
        <is>
          <t>3050/100</t>
        </is>
      </c>
      <c r="E20493" s="3" t="inlineStr">
        <is>
          <t>Advertising - Facebook</t>
        </is>
      </c>
      <c r="F20493" s="3" t="n">
        <v>0</v>
      </c>
      <c r="G20493" s="3" t="n">
        <v>300</v>
      </c>
    </row>
    <row r="20494">
      <c r="A20494" s="3" t="inlineStr">
        <is>
          <t>Opportunity Global Property (PTY) LTD</t>
        </is>
      </c>
      <c r="B20494" s="4" t="n">
        <v>45443</v>
      </c>
      <c r="C20494" s="3" t="inlineStr">
        <is>
          <t>Expenses</t>
        </is>
      </c>
      <c r="D20494" s="3" t="inlineStr">
        <is>
          <t>3050/200</t>
        </is>
      </c>
      <c r="E20494" s="3" t="inlineStr">
        <is>
          <t>Advertising - Design</t>
        </is>
      </c>
      <c r="F20494" s="3" t="n">
        <v>1518</v>
      </c>
      <c r="G20494" s="3" t="n">
        <v>1518</v>
      </c>
    </row>
    <row r="20495">
      <c r="A20495" s="3" t="inlineStr">
        <is>
          <t>Opportunity Private Capital (PTY) LTD</t>
        </is>
      </c>
      <c r="B20495" s="4" t="n">
        <v>45443</v>
      </c>
      <c r="C20495" s="3" t="inlineStr">
        <is>
          <t>Expenses</t>
        </is>
      </c>
      <c r="D20495" s="3" t="inlineStr">
        <is>
          <t>3050/230</t>
        </is>
      </c>
      <c r="E20495" s="3" t="inlineStr">
        <is>
          <t>Advertising - Link on Advertising</t>
        </is>
      </c>
      <c r="F20495" s="3" t="n">
        <v>395</v>
      </c>
      <c r="G20495" s="3" t="n">
        <v>1185</v>
      </c>
    </row>
    <row r="20496">
      <c r="A20496" s="3" t="inlineStr">
        <is>
          <t>Opportunity Global Property (PTY) LTD</t>
        </is>
      </c>
      <c r="B20496" s="4" t="n">
        <v>45443</v>
      </c>
      <c r="C20496" s="3" t="inlineStr">
        <is>
          <t>Expenses</t>
        </is>
      </c>
      <c r="D20496" s="3" t="inlineStr">
        <is>
          <t>3050/250</t>
        </is>
      </c>
      <c r="E20496" s="3" t="inlineStr">
        <is>
          <t>Advertising - General</t>
        </is>
      </c>
      <c r="F20496" s="3" t="n">
        <v>43602.5</v>
      </c>
      <c r="G20496" s="3" t="n">
        <v>71306.58</v>
      </c>
    </row>
    <row r="20497">
      <c r="A20497" s="3" t="inlineStr">
        <is>
          <t>Opportunity Private Capital (PTY) LTD</t>
        </is>
      </c>
      <c r="B20497" s="4" t="n">
        <v>45443</v>
      </c>
      <c r="C20497" s="3" t="inlineStr">
        <is>
          <t>Expenses</t>
        </is>
      </c>
      <c r="D20497" s="3" t="inlineStr">
        <is>
          <t>3050/250</t>
        </is>
      </c>
      <c r="E20497" s="3" t="inlineStr">
        <is>
          <t>Advertising - General</t>
        </is>
      </c>
      <c r="F20497" s="3" t="n">
        <v>10186.53</v>
      </c>
      <c r="G20497" s="3" t="n">
        <v>10377.81</v>
      </c>
    </row>
    <row r="20498">
      <c r="A20498" s="3" t="inlineStr">
        <is>
          <t>Opportunity Private Capital (PTY) LTD</t>
        </is>
      </c>
      <c r="B20498" s="4" t="n">
        <v>45443</v>
      </c>
      <c r="C20498" s="3" t="inlineStr">
        <is>
          <t>Expenses</t>
        </is>
      </c>
      <c r="D20498" s="3" t="inlineStr">
        <is>
          <t>3050/290</t>
        </is>
      </c>
      <c r="E20498" s="3" t="inlineStr">
        <is>
          <t>Advertising - Serene Living</t>
        </is>
      </c>
      <c r="F20498" s="3" t="n">
        <v>65086</v>
      </c>
      <c r="G20498" s="3" t="n">
        <v>195258</v>
      </c>
    </row>
    <row r="20499">
      <c r="A20499" s="3" t="inlineStr">
        <is>
          <t>Opportunity Private Capital (PTY) LTD</t>
        </is>
      </c>
      <c r="B20499" s="4" t="n">
        <v>45443</v>
      </c>
      <c r="C20499" s="3" t="inlineStr">
        <is>
          <t>Expenses</t>
        </is>
      </c>
      <c r="D20499" s="3" t="inlineStr">
        <is>
          <t>3050/300</t>
        </is>
      </c>
      <c r="E20499" s="3" t="inlineStr">
        <is>
          <t>Advertising - Design</t>
        </is>
      </c>
      <c r="F20499" s="3" t="n">
        <v>0</v>
      </c>
      <c r="G20499" s="3" t="n">
        <v>2700</v>
      </c>
    </row>
    <row r="20500">
      <c r="A20500" s="3" t="inlineStr">
        <is>
          <t>Opportunity Global Property (PTY) LTD</t>
        </is>
      </c>
      <c r="B20500" s="4" t="n">
        <v>45443</v>
      </c>
      <c r="C20500" s="3" t="inlineStr">
        <is>
          <t>Expenses</t>
        </is>
      </c>
      <c r="D20500" s="3" t="inlineStr">
        <is>
          <t>3050/380</t>
        </is>
      </c>
      <c r="E20500" s="3" t="inlineStr">
        <is>
          <t>Advertising &amp; Marketing - Syte</t>
        </is>
      </c>
      <c r="F20500" s="3" t="n">
        <v>2500</v>
      </c>
      <c r="G20500" s="3" t="n">
        <v>42500</v>
      </c>
    </row>
    <row r="20501">
      <c r="A20501" s="3" t="inlineStr">
        <is>
          <t>Quinate Consulting (Pty) Ltd</t>
        </is>
      </c>
      <c r="B20501" s="4" t="n">
        <v>45443</v>
      </c>
      <c r="C20501" s="3" t="inlineStr">
        <is>
          <t>Expenses</t>
        </is>
      </c>
      <c r="D20501" s="3" t="inlineStr">
        <is>
          <t>3050/400</t>
        </is>
      </c>
      <c r="E20501" s="3" t="inlineStr">
        <is>
          <t>Advertising - Prop24</t>
        </is>
      </c>
      <c r="F20501" s="3" t="n">
        <v>10221</v>
      </c>
      <c r="G20501" s="3" t="n">
        <v>31132</v>
      </c>
    </row>
    <row r="20502">
      <c r="A20502" s="3" t="inlineStr">
        <is>
          <t>Opportunity Private Capital (PTY) LTD</t>
        </is>
      </c>
      <c r="B20502" s="4" t="n">
        <v>45443</v>
      </c>
      <c r="C20502" s="3" t="inlineStr">
        <is>
          <t>Expenses</t>
        </is>
      </c>
      <c r="D20502" s="3" t="inlineStr">
        <is>
          <t>3051/000</t>
        </is>
      </c>
      <c r="E20502" s="3" t="inlineStr">
        <is>
          <t>Advertising - Facebook</t>
        </is>
      </c>
      <c r="F20502" s="3" t="n">
        <v>20156.63</v>
      </c>
      <c r="G20502" s="3" t="n">
        <v>66563.34</v>
      </c>
    </row>
    <row r="20503">
      <c r="A20503" s="3" t="inlineStr">
        <is>
          <t>Opportunity Private Capital (PTY) LTD</t>
        </is>
      </c>
      <c r="B20503" s="4" t="n">
        <v>45443</v>
      </c>
      <c r="C20503" s="3" t="inlineStr">
        <is>
          <t>Expenses</t>
        </is>
      </c>
      <c r="D20503" s="3" t="inlineStr">
        <is>
          <t>3053/000</t>
        </is>
      </c>
      <c r="E20503" s="3" t="inlineStr">
        <is>
          <t>Advertising - Google Ads</t>
        </is>
      </c>
      <c r="F20503" s="3" t="n">
        <v>740.52</v>
      </c>
      <c r="G20503" s="3" t="n">
        <v>4122.7</v>
      </c>
    </row>
    <row r="20504">
      <c r="A20504" s="3" t="inlineStr">
        <is>
          <t>Rock Blok (Pty) Ltd</t>
        </is>
      </c>
      <c r="B20504" s="4" t="n">
        <v>45443</v>
      </c>
      <c r="C20504" s="3" t="inlineStr">
        <is>
          <t>Expenses</t>
        </is>
      </c>
      <c r="D20504" s="3" t="inlineStr">
        <is>
          <t>3060/100</t>
        </is>
      </c>
      <c r="E20504" s="3" t="inlineStr">
        <is>
          <t>Admin Fees - Preferental</t>
        </is>
      </c>
      <c r="F20504" s="3" t="n">
        <v>386.25</v>
      </c>
      <c r="G20504" s="3" t="n">
        <v>1622.5</v>
      </c>
    </row>
    <row r="20505">
      <c r="A20505" s="3" t="inlineStr">
        <is>
          <t>Endulini (Pty) Ltd</t>
        </is>
      </c>
      <c r="B20505" s="4" t="n">
        <v>45443</v>
      </c>
      <c r="C20505" s="3" t="inlineStr">
        <is>
          <t>Expenses</t>
        </is>
      </c>
      <c r="D20505" s="3" t="inlineStr">
        <is>
          <t>3200/000</t>
        </is>
      </c>
      <c r="E20505" s="3" t="inlineStr">
        <is>
          <t>Bank Charges</t>
        </is>
      </c>
      <c r="F20505" s="3" t="n">
        <v>206.19</v>
      </c>
      <c r="G20505" s="3" t="n">
        <v>679.1900000000001</v>
      </c>
    </row>
    <row r="20506">
      <c r="A20506" s="3" t="inlineStr">
        <is>
          <t>Noble Shield (Pty) Ltd ta Go Letting</t>
        </is>
      </c>
      <c r="B20506" s="4" t="n">
        <v>45443</v>
      </c>
      <c r="C20506" s="3" t="inlineStr">
        <is>
          <t>Expenses</t>
        </is>
      </c>
      <c r="D20506" s="3" t="inlineStr">
        <is>
          <t>3200/000</t>
        </is>
      </c>
      <c r="E20506" s="3" t="inlineStr">
        <is>
          <t>Bank Charges</t>
        </is>
      </c>
      <c r="F20506" s="3" t="n">
        <v>607.54</v>
      </c>
      <c r="G20506" s="3" t="n">
        <v>5358.03</v>
      </c>
    </row>
    <row r="20507">
      <c r="A20507" s="3" t="inlineStr">
        <is>
          <t>Opportunity Global Property (PTY) LTD</t>
        </is>
      </c>
      <c r="B20507" s="4" t="n">
        <v>45443</v>
      </c>
      <c r="C20507" s="3" t="inlineStr">
        <is>
          <t>Expenses</t>
        </is>
      </c>
      <c r="D20507" s="3" t="inlineStr">
        <is>
          <t>3200/000</t>
        </is>
      </c>
      <c r="E20507" s="3" t="inlineStr">
        <is>
          <t>Bank Charges</t>
        </is>
      </c>
      <c r="F20507" s="3" t="n">
        <v>802.91</v>
      </c>
      <c r="G20507" s="3" t="n">
        <v>2855.41</v>
      </c>
    </row>
    <row r="20508">
      <c r="A20508" s="3" t="inlineStr">
        <is>
          <t>Opportunity Management Holdings (PTY) LTD</t>
        </is>
      </c>
      <c r="B20508" s="4" t="n">
        <v>45443</v>
      </c>
      <c r="C20508" s="3" t="inlineStr">
        <is>
          <t>Expenses</t>
        </is>
      </c>
      <c r="D20508" s="3" t="inlineStr">
        <is>
          <t>3200/000</t>
        </is>
      </c>
      <c r="E20508" s="3" t="inlineStr">
        <is>
          <t>Bank Charges</t>
        </is>
      </c>
      <c r="F20508" s="3" t="n">
        <v>1283.96</v>
      </c>
      <c r="G20508" s="3" t="n">
        <v>8513.85</v>
      </c>
    </row>
    <row r="20509">
      <c r="A20509" s="3" t="inlineStr">
        <is>
          <t>Opportunity Private Capital (PTY) LTD</t>
        </is>
      </c>
      <c r="B20509" s="4" t="n">
        <v>45443</v>
      </c>
      <c r="C20509" s="3" t="inlineStr">
        <is>
          <t>Expenses</t>
        </is>
      </c>
      <c r="D20509" s="3" t="inlineStr">
        <is>
          <t>3200/000</t>
        </is>
      </c>
      <c r="E20509" s="3" t="inlineStr">
        <is>
          <t>Bank Charges</t>
        </is>
      </c>
      <c r="F20509" s="3" t="n">
        <v>610.52</v>
      </c>
      <c r="G20509" s="3" t="n">
        <v>1824.19</v>
      </c>
    </row>
    <row r="20510">
      <c r="A20510" s="3" t="inlineStr">
        <is>
          <t>Quinate Consulting (Pty) Ltd</t>
        </is>
      </c>
      <c r="B20510" s="4" t="n">
        <v>45443</v>
      </c>
      <c r="C20510" s="3" t="inlineStr">
        <is>
          <t>Expenses</t>
        </is>
      </c>
      <c r="D20510" s="3" t="inlineStr">
        <is>
          <t>3200/000</t>
        </is>
      </c>
      <c r="E20510" s="3" t="inlineStr">
        <is>
          <t>Bank Charges</t>
        </is>
      </c>
      <c r="F20510" s="3" t="n">
        <v>478.14</v>
      </c>
      <c r="G20510" s="3" t="n">
        <v>1655.18</v>
      </c>
    </row>
    <row r="20511">
      <c r="A20511" s="3" t="inlineStr">
        <is>
          <t>Trademark Holdings (Pty) Ltd</t>
        </is>
      </c>
      <c r="B20511" s="4" t="n">
        <v>45443</v>
      </c>
      <c r="C20511" s="3" t="inlineStr">
        <is>
          <t>Expenses</t>
        </is>
      </c>
      <c r="D20511" s="3" t="inlineStr">
        <is>
          <t>3200/000</t>
        </is>
      </c>
      <c r="E20511" s="3" t="inlineStr">
        <is>
          <t>Bank Charges</t>
        </is>
      </c>
      <c r="F20511" s="3" t="n">
        <v>384.88</v>
      </c>
      <c r="G20511" s="3" t="n">
        <v>3149.14</v>
      </c>
    </row>
    <row r="20512">
      <c r="A20512" s="3" t="inlineStr">
        <is>
          <t>Rock Blok (Pty) Ltd</t>
        </is>
      </c>
      <c r="B20512" s="4" t="n">
        <v>45443</v>
      </c>
      <c r="C20512" s="3" t="inlineStr">
        <is>
          <t>Expenses</t>
        </is>
      </c>
      <c r="D20512" s="3" t="inlineStr">
        <is>
          <t>3200/000</t>
        </is>
      </c>
      <c r="E20512" s="3" t="inlineStr">
        <is>
          <t>Bank Charges - ABSA</t>
        </is>
      </c>
      <c r="F20512" s="3" t="n">
        <v>125.5</v>
      </c>
      <c r="G20512" s="3" t="n">
        <v>210.5</v>
      </c>
    </row>
    <row r="20513">
      <c r="A20513" s="3" t="inlineStr">
        <is>
          <t>Noble Shield (Pty) Ltd ta Go Letting</t>
        </is>
      </c>
      <c r="B20513" s="4" t="n">
        <v>45443</v>
      </c>
      <c r="C20513" s="3" t="inlineStr">
        <is>
          <t>Expenses</t>
        </is>
      </c>
      <c r="D20513" s="3" t="inlineStr">
        <is>
          <t>3230/000</t>
        </is>
      </c>
      <c r="E20513" s="3" t="inlineStr">
        <is>
          <t>Cell Phone - NM</t>
        </is>
      </c>
      <c r="F20513" s="3" t="n">
        <v>2496.84</v>
      </c>
      <c r="G20513" s="3" t="n">
        <v>20859.44</v>
      </c>
    </row>
    <row r="20514">
      <c r="A20514" s="3" t="inlineStr">
        <is>
          <t>Noble Shield (Pty) Ltd ta Go Letting</t>
        </is>
      </c>
      <c r="B20514" s="4" t="n">
        <v>45443</v>
      </c>
      <c r="C20514" s="3" t="inlineStr">
        <is>
          <t>Expenses</t>
        </is>
      </c>
      <c r="D20514" s="3" t="inlineStr">
        <is>
          <t>3233/000</t>
        </is>
      </c>
      <c r="E20514" s="3" t="inlineStr">
        <is>
          <t>Cell Data - Other</t>
        </is>
      </c>
      <c r="F20514" s="3" t="n">
        <v>0</v>
      </c>
      <c r="G20514" s="3" t="n">
        <v>1168.04</v>
      </c>
    </row>
    <row r="20515">
      <c r="A20515" s="3" t="inlineStr">
        <is>
          <t>Noble Shield (Pty) Ltd ta Go Letting</t>
        </is>
      </c>
      <c r="B20515" s="4" t="n">
        <v>45443</v>
      </c>
      <c r="C20515" s="3" t="inlineStr">
        <is>
          <t>Expenses</t>
        </is>
      </c>
      <c r="D20515" s="3" t="inlineStr">
        <is>
          <t>3233/100</t>
        </is>
      </c>
      <c r="E20515" s="3" t="inlineStr">
        <is>
          <t>Cell Data - Sales office Wifi</t>
        </is>
      </c>
      <c r="F20515" s="3" t="n">
        <v>514</v>
      </c>
      <c r="G20515" s="3" t="n">
        <v>3530.91</v>
      </c>
    </row>
    <row r="20516">
      <c r="A20516" s="3" t="inlineStr">
        <is>
          <t>Opportunity Global Property (PTY) LTD</t>
        </is>
      </c>
      <c r="B20516" s="4" t="n">
        <v>45443</v>
      </c>
      <c r="C20516" s="3" t="inlineStr">
        <is>
          <t>Expenses</t>
        </is>
      </c>
      <c r="D20516" s="3" t="inlineStr">
        <is>
          <t>3250/000</t>
        </is>
      </c>
      <c r="E20516" s="3" t="inlineStr">
        <is>
          <t>Cleaning</t>
        </is>
      </c>
      <c r="F20516" s="3" t="n">
        <v>3306.18</v>
      </c>
      <c r="G20516" s="3" t="n">
        <v>9557.809999999999</v>
      </c>
    </row>
    <row r="20517">
      <c r="A20517" s="3" t="inlineStr">
        <is>
          <t>Opportunity Management Holdings (PTY) LTD</t>
        </is>
      </c>
      <c r="B20517" s="4" t="n">
        <v>45443</v>
      </c>
      <c r="C20517" s="3" t="inlineStr">
        <is>
          <t>Expenses</t>
        </is>
      </c>
      <c r="D20517" s="3" t="inlineStr">
        <is>
          <t>3250/000</t>
        </is>
      </c>
      <c r="E20517" s="3" t="inlineStr">
        <is>
          <t>Cleaning</t>
        </is>
      </c>
      <c r="F20517" s="3" t="n">
        <v>2147.83</v>
      </c>
      <c r="G20517" s="3" t="n">
        <v>25409.54</v>
      </c>
    </row>
    <row r="20518">
      <c r="A20518" s="3" t="inlineStr">
        <is>
          <t>Opportunity Private Capital (PTY) LTD</t>
        </is>
      </c>
      <c r="B20518" s="4" t="n">
        <v>45443</v>
      </c>
      <c r="C20518" s="3" t="inlineStr">
        <is>
          <t>Expenses</t>
        </is>
      </c>
      <c r="D20518" s="3" t="inlineStr">
        <is>
          <t>3250/000</t>
        </is>
      </c>
      <c r="E20518" s="3" t="inlineStr">
        <is>
          <t>Cleaning</t>
        </is>
      </c>
      <c r="F20518" s="3" t="n">
        <v>2700</v>
      </c>
      <c r="G20518" s="3" t="n">
        <v>8100</v>
      </c>
    </row>
    <row r="20519">
      <c r="A20519" s="3" t="inlineStr">
        <is>
          <t>Trademark Holdings (Pty) Ltd</t>
        </is>
      </c>
      <c r="B20519" s="4" t="n">
        <v>45443</v>
      </c>
      <c r="C20519" s="3" t="inlineStr">
        <is>
          <t>Expenses</t>
        </is>
      </c>
      <c r="D20519" s="3" t="inlineStr">
        <is>
          <t>3250/000</t>
        </is>
      </c>
      <c r="E20519" s="3" t="inlineStr">
        <is>
          <t>Cleaning</t>
        </is>
      </c>
      <c r="F20519" s="3" t="n">
        <v>1144</v>
      </c>
      <c r="G20519" s="3" t="n">
        <v>10010</v>
      </c>
    </row>
    <row r="20520">
      <c r="A20520" s="3" t="inlineStr">
        <is>
          <t>Opportunity Global Property (PTY) LTD</t>
        </is>
      </c>
      <c r="B20520" s="4" t="n">
        <v>45443</v>
      </c>
      <c r="C20520" s="3" t="inlineStr">
        <is>
          <t>Expenses</t>
        </is>
      </c>
      <c r="D20520" s="3" t="inlineStr">
        <is>
          <t>3300/000</t>
        </is>
      </c>
      <c r="E20520" s="3" t="inlineStr">
        <is>
          <t>Computer Expenses</t>
        </is>
      </c>
      <c r="F20520" s="3" t="n">
        <v>0</v>
      </c>
      <c r="G20520" s="3" t="n">
        <v>782.52</v>
      </c>
    </row>
    <row r="20521">
      <c r="A20521" s="3" t="inlineStr">
        <is>
          <t>Opportunity Management Holdings (PTY) LTD</t>
        </is>
      </c>
      <c r="B20521" s="4" t="n">
        <v>45443</v>
      </c>
      <c r="C20521" s="3" t="inlineStr">
        <is>
          <t>Expenses</t>
        </is>
      </c>
      <c r="D20521" s="3" t="inlineStr">
        <is>
          <t>3300/000</t>
        </is>
      </c>
      <c r="E20521" s="3" t="inlineStr">
        <is>
          <t>Computer Expenses</t>
        </is>
      </c>
      <c r="F20521" s="3" t="n">
        <v>472.61</v>
      </c>
      <c r="G20521" s="3" t="n">
        <v>3133.47</v>
      </c>
    </row>
    <row r="20522">
      <c r="A20522" s="3" t="inlineStr">
        <is>
          <t>Opportunity Private Capital (PTY) LTD</t>
        </is>
      </c>
      <c r="B20522" s="4" t="n">
        <v>45443</v>
      </c>
      <c r="C20522" s="3" t="inlineStr">
        <is>
          <t>Expenses</t>
        </is>
      </c>
      <c r="D20522" s="3" t="inlineStr">
        <is>
          <t>3300/000</t>
        </is>
      </c>
      <c r="E20522" s="3" t="inlineStr">
        <is>
          <t>Computer Expenses</t>
        </is>
      </c>
      <c r="F20522" s="3" t="n">
        <v>0</v>
      </c>
      <c r="G20522" s="3" t="n">
        <v>3995</v>
      </c>
    </row>
    <row r="20523">
      <c r="A20523" s="3" t="inlineStr">
        <is>
          <t>Trademark Holdings (Pty) Ltd</t>
        </is>
      </c>
      <c r="B20523" s="4" t="n">
        <v>45443</v>
      </c>
      <c r="C20523" s="3" t="inlineStr">
        <is>
          <t>Expenses</t>
        </is>
      </c>
      <c r="D20523" s="3" t="inlineStr">
        <is>
          <t>3300/000</t>
        </is>
      </c>
      <c r="E20523" s="3" t="inlineStr">
        <is>
          <t>Computer Expenses</t>
        </is>
      </c>
      <c r="F20523" s="3" t="n">
        <v>1040</v>
      </c>
      <c r="G20523" s="3" t="n">
        <v>1040</v>
      </c>
    </row>
    <row r="20524">
      <c r="A20524" s="3" t="inlineStr">
        <is>
          <t>Noble Shield (Pty) Ltd ta Go Letting</t>
        </is>
      </c>
      <c r="B20524" s="4" t="n">
        <v>45443</v>
      </c>
      <c r="C20524" s="3" t="inlineStr">
        <is>
          <t>Expenses</t>
        </is>
      </c>
      <c r="D20524" s="3" t="inlineStr">
        <is>
          <t>3300/120</t>
        </is>
      </c>
      <c r="E20524" s="3" t="inlineStr">
        <is>
          <t>Computer IT - Software Propworx</t>
        </is>
      </c>
      <c r="F20524" s="3" t="n">
        <v>2576</v>
      </c>
      <c r="G20524" s="3" t="n">
        <v>23184</v>
      </c>
    </row>
    <row r="20525">
      <c r="A20525" s="3" t="inlineStr">
        <is>
          <t>Noble Shield (Pty) Ltd ta Go Letting</t>
        </is>
      </c>
      <c r="B20525" s="4" t="n">
        <v>45443</v>
      </c>
      <c r="C20525" s="3" t="inlineStr">
        <is>
          <t>Expenses</t>
        </is>
      </c>
      <c r="D20525" s="3" t="inlineStr">
        <is>
          <t>3300/130</t>
        </is>
      </c>
      <c r="E20525" s="3" t="inlineStr">
        <is>
          <t>Computer IT - Internet/Hosting Fees</t>
        </is>
      </c>
      <c r="F20525" s="3" t="n">
        <v>0</v>
      </c>
      <c r="G20525" s="3" t="n">
        <v>1580</v>
      </c>
    </row>
    <row r="20526">
      <c r="A20526" s="3" t="inlineStr">
        <is>
          <t>Noble Shield (Pty) Ltd ta Go Letting</t>
        </is>
      </c>
      <c r="B20526" s="4" t="n">
        <v>45443</v>
      </c>
      <c r="C20526" s="3" t="inlineStr">
        <is>
          <t>Expenses</t>
        </is>
      </c>
      <c r="D20526" s="3" t="inlineStr">
        <is>
          <t>3300/170</t>
        </is>
      </c>
      <c r="E20526" s="3" t="inlineStr">
        <is>
          <t>Computer IT - VDB office Fibre</t>
        </is>
      </c>
      <c r="F20526" s="3" t="n">
        <v>790</v>
      </c>
      <c r="G20526" s="3" t="n">
        <v>6320</v>
      </c>
    </row>
    <row r="20527">
      <c r="A20527" s="3" t="inlineStr">
        <is>
          <t>Trademark Holdings (Pty) Ltd</t>
        </is>
      </c>
      <c r="B20527" s="4" t="n">
        <v>45443</v>
      </c>
      <c r="C20527" s="3" t="inlineStr">
        <is>
          <t>Expenses</t>
        </is>
      </c>
      <c r="D20527" s="3" t="inlineStr">
        <is>
          <t>3350/000</t>
        </is>
      </c>
      <c r="E20527" s="3" t="inlineStr">
        <is>
          <t>Consulting Fees</t>
        </is>
      </c>
      <c r="F20527" s="3" t="n">
        <v>26400</v>
      </c>
      <c r="G20527" s="3" t="n">
        <v>211600</v>
      </c>
    </row>
    <row r="20528">
      <c r="A20528" s="3" t="inlineStr">
        <is>
          <t>Opportunity Management Holdings (PTY) LTD</t>
        </is>
      </c>
      <c r="B20528" s="4" t="n">
        <v>45443</v>
      </c>
      <c r="C20528" s="3" t="inlineStr">
        <is>
          <t>Expenses</t>
        </is>
      </c>
      <c r="D20528" s="3" t="inlineStr">
        <is>
          <t>3350/100</t>
        </is>
      </c>
      <c r="E20528" s="3" t="inlineStr">
        <is>
          <t>Consulting Fee - Dirk Coetzee</t>
        </is>
      </c>
      <c r="F20528" s="3" t="n">
        <v>0</v>
      </c>
      <c r="G20528" s="3" t="n">
        <v>136000</v>
      </c>
    </row>
    <row r="20529">
      <c r="A20529" s="3" t="inlineStr">
        <is>
          <t>Endulini (Pty) Ltd</t>
        </is>
      </c>
      <c r="B20529" s="4" t="n">
        <v>45443</v>
      </c>
      <c r="C20529" s="3" t="inlineStr">
        <is>
          <t>Expenses</t>
        </is>
      </c>
      <c r="D20529" s="3" t="inlineStr">
        <is>
          <t>3350/100</t>
        </is>
      </c>
      <c r="E20529" s="3" t="inlineStr">
        <is>
          <t>Consulting Fees - Admin and Finance</t>
        </is>
      </c>
      <c r="F20529" s="3" t="n">
        <v>35494</v>
      </c>
      <c r="G20529" s="3" t="n">
        <v>124557</v>
      </c>
    </row>
    <row r="20530">
      <c r="A20530" s="3" t="inlineStr">
        <is>
          <t>Opportunity Global Property (PTY) LTD</t>
        </is>
      </c>
      <c r="B20530" s="4" t="n">
        <v>45443</v>
      </c>
      <c r="C20530" s="3" t="inlineStr">
        <is>
          <t>Expenses</t>
        </is>
      </c>
      <c r="D20530" s="3" t="inlineStr">
        <is>
          <t>3350/100</t>
        </is>
      </c>
      <c r="E20530" s="3" t="inlineStr">
        <is>
          <t>Consulting Fees - Admin and Finance</t>
        </is>
      </c>
      <c r="F20530" s="3" t="n">
        <v>22245.2</v>
      </c>
      <c r="G20530" s="3" t="n">
        <v>53060.6</v>
      </c>
    </row>
    <row r="20531">
      <c r="A20531" s="3" t="inlineStr">
        <is>
          <t>Opportunity Private Capital (PTY) LTD</t>
        </is>
      </c>
      <c r="B20531" s="4" t="n">
        <v>45443</v>
      </c>
      <c r="C20531" s="3" t="inlineStr">
        <is>
          <t>Expenses</t>
        </is>
      </c>
      <c r="D20531" s="3" t="inlineStr">
        <is>
          <t>3350/100</t>
        </is>
      </c>
      <c r="E20531" s="3" t="inlineStr">
        <is>
          <t>Consulting Fees - Admin and Finance</t>
        </is>
      </c>
      <c r="F20531" s="3" t="n">
        <v>18085.2</v>
      </c>
      <c r="G20531" s="3" t="n">
        <v>44740.6</v>
      </c>
    </row>
    <row r="20532">
      <c r="A20532" s="3" t="inlineStr">
        <is>
          <t>Opportunity Private Capital (PTY) LTD</t>
        </is>
      </c>
      <c r="B20532" s="4" t="n">
        <v>45443</v>
      </c>
      <c r="C20532" s="3" t="inlineStr">
        <is>
          <t>Expenses</t>
        </is>
      </c>
      <c r="D20532" s="3" t="inlineStr">
        <is>
          <t>3350/200</t>
        </is>
      </c>
      <c r="E20532" s="3" t="inlineStr">
        <is>
          <t>Consulting Fees - Rockfin</t>
        </is>
      </c>
      <c r="F20532" s="3" t="n">
        <v>0</v>
      </c>
      <c r="G20532" s="3" t="n">
        <v>39600</v>
      </c>
    </row>
    <row r="20533">
      <c r="A20533" s="3" t="inlineStr">
        <is>
          <t>Opportunity Management Holdings (PTY) LTD</t>
        </is>
      </c>
      <c r="B20533" s="4" t="n">
        <v>45443</v>
      </c>
      <c r="C20533" s="3" t="inlineStr">
        <is>
          <t>Expenses</t>
        </is>
      </c>
      <c r="D20533" s="3" t="inlineStr">
        <is>
          <t>3350/300</t>
        </is>
      </c>
      <c r="E20533" s="3" t="inlineStr">
        <is>
          <t>Consulting Fee - HR Joblaw</t>
        </is>
      </c>
      <c r="F20533" s="3" t="n">
        <v>0</v>
      </c>
      <c r="G20533" s="3" t="n">
        <v>11205.81</v>
      </c>
    </row>
    <row r="20534">
      <c r="A20534" s="3" t="inlineStr">
        <is>
          <t>Quinate Consulting (Pty) Ltd</t>
        </is>
      </c>
      <c r="B20534" s="4" t="n">
        <v>45443</v>
      </c>
      <c r="C20534" s="3" t="inlineStr">
        <is>
          <t>Expenses</t>
        </is>
      </c>
      <c r="D20534" s="3" t="inlineStr">
        <is>
          <t>3350/300</t>
        </is>
      </c>
      <c r="E20534" s="3" t="inlineStr">
        <is>
          <t>Consulting Fees - Admin and Finance</t>
        </is>
      </c>
      <c r="F20534" s="3" t="n">
        <v>15000</v>
      </c>
      <c r="G20534" s="3" t="n">
        <v>30000</v>
      </c>
    </row>
    <row r="20535">
      <c r="A20535" s="3" t="inlineStr">
        <is>
          <t>Opportunity Private Capital (PTY) LTD</t>
        </is>
      </c>
      <c r="B20535" s="4" t="n">
        <v>45443</v>
      </c>
      <c r="C20535" s="3" t="inlineStr">
        <is>
          <t>Expenses</t>
        </is>
      </c>
      <c r="D20535" s="3" t="inlineStr">
        <is>
          <t>3350/300</t>
        </is>
      </c>
      <c r="E20535" s="3" t="inlineStr">
        <is>
          <t>Consulting Fees - BLCS</t>
        </is>
      </c>
      <c r="F20535" s="3" t="n">
        <v>4000</v>
      </c>
      <c r="G20535" s="3" t="n">
        <v>24000</v>
      </c>
    </row>
    <row r="20536">
      <c r="A20536" s="3" t="inlineStr">
        <is>
          <t>Opportunity Management Holdings (PTY) LTD</t>
        </is>
      </c>
      <c r="B20536" s="4" t="n">
        <v>45443</v>
      </c>
      <c r="C20536" s="3" t="inlineStr">
        <is>
          <t>Expenses</t>
        </is>
      </c>
      <c r="D20536" s="3" t="inlineStr">
        <is>
          <t>3350/400</t>
        </is>
      </c>
      <c r="E20536" s="3" t="inlineStr">
        <is>
          <t>Consulting Fees - Johan Prinsloo</t>
        </is>
      </c>
      <c r="F20536" s="3" t="n">
        <v>0</v>
      </c>
      <c r="G20536" s="3" t="n">
        <v>115992.16</v>
      </c>
    </row>
    <row r="20537">
      <c r="A20537" s="3" t="inlineStr">
        <is>
          <t>Opportunity Private Capital (PTY) LTD</t>
        </is>
      </c>
      <c r="B20537" s="4" t="n">
        <v>45443</v>
      </c>
      <c r="C20537" s="3" t="inlineStr">
        <is>
          <t>Expenses</t>
        </is>
      </c>
      <c r="D20537" s="3" t="inlineStr">
        <is>
          <t>3350/400</t>
        </is>
      </c>
      <c r="E20537" s="3" t="inlineStr">
        <is>
          <t>Consulting Fees: Solaris Law</t>
        </is>
      </c>
      <c r="F20537" s="3" t="n">
        <v>0</v>
      </c>
      <c r="G20537" s="3" t="n">
        <v>29937.39</v>
      </c>
    </row>
    <row r="20538">
      <c r="A20538" s="3" t="inlineStr">
        <is>
          <t>Opportunity Private Capital (PTY) LTD</t>
        </is>
      </c>
      <c r="B20538" s="4" t="n">
        <v>45443</v>
      </c>
      <c r="C20538" s="3" t="inlineStr">
        <is>
          <t>Expenses</t>
        </is>
      </c>
      <c r="D20538" s="3" t="inlineStr">
        <is>
          <t>3351/000</t>
        </is>
      </c>
      <c r="E20538" s="3" t="inlineStr">
        <is>
          <t>Consulting Fees - HR Joblaw</t>
        </is>
      </c>
      <c r="F20538" s="3" t="n">
        <v>1600.83</v>
      </c>
      <c r="G20538" s="3" t="n">
        <v>16802.49</v>
      </c>
    </row>
    <row r="20539">
      <c r="A20539" s="3" t="inlineStr">
        <is>
          <t>Quinate Consulting (Pty) Ltd</t>
        </is>
      </c>
      <c r="B20539" s="4" t="n">
        <v>45443</v>
      </c>
      <c r="C20539" s="3" t="inlineStr">
        <is>
          <t>Expenses</t>
        </is>
      </c>
      <c r="D20539" s="3" t="inlineStr">
        <is>
          <t>3351/000</t>
        </is>
      </c>
      <c r="E20539" s="3" t="inlineStr">
        <is>
          <t>Consulting fees - Trustees</t>
        </is>
      </c>
      <c r="F20539" s="3" t="n">
        <v>4200</v>
      </c>
      <c r="G20539" s="3" t="n">
        <v>29200</v>
      </c>
    </row>
    <row r="20540">
      <c r="A20540" s="3" t="inlineStr">
        <is>
          <t>Opportunity Private Capital (PTY) LTD</t>
        </is>
      </c>
      <c r="B20540" s="4" t="n">
        <v>45443</v>
      </c>
      <c r="C20540" s="3" t="inlineStr">
        <is>
          <t>Expenses</t>
        </is>
      </c>
      <c r="D20540" s="3" t="inlineStr">
        <is>
          <t>3355/00</t>
        </is>
      </c>
      <c r="E20540" s="3" t="inlineStr">
        <is>
          <t>Consulting fees - F Geldenhuys</t>
        </is>
      </c>
      <c r="F20540" s="3" t="n">
        <v>61415.38</v>
      </c>
      <c r="G20540" s="3" t="n">
        <v>124639.89</v>
      </c>
    </row>
    <row r="20541">
      <c r="A20541" s="3" t="inlineStr">
        <is>
          <t>Opportunity Private Capital (PTY) LTD</t>
        </is>
      </c>
      <c r="B20541" s="4" t="n">
        <v>45443</v>
      </c>
      <c r="C20541" s="3" t="inlineStr">
        <is>
          <t>Expenses</t>
        </is>
      </c>
      <c r="D20541" s="3" t="inlineStr">
        <is>
          <t>3356/000</t>
        </is>
      </c>
      <c r="E20541" s="3" t="inlineStr">
        <is>
          <t>Consulting Fees - Nicole Viljoen</t>
        </is>
      </c>
      <c r="F20541" s="3" t="n">
        <v>15000</v>
      </c>
      <c r="G20541" s="3" t="n">
        <v>45000</v>
      </c>
    </row>
    <row r="20542">
      <c r="A20542" s="3" t="inlineStr">
        <is>
          <t>Opportunity Management Holdings (PTY) LTD</t>
        </is>
      </c>
      <c r="B20542" s="4" t="n">
        <v>45443</v>
      </c>
      <c r="C20542" s="3" t="inlineStr">
        <is>
          <t>Expenses</t>
        </is>
      </c>
      <c r="D20542" s="3" t="inlineStr">
        <is>
          <t>3400/000</t>
        </is>
      </c>
      <c r="E20542" s="3" t="inlineStr">
        <is>
          <t>Courier _AND_ Postage</t>
        </is>
      </c>
      <c r="F20542" s="3" t="n">
        <v>0</v>
      </c>
      <c r="G20542" s="3" t="n">
        <v>664.3200000000001</v>
      </c>
    </row>
    <row r="20543">
      <c r="A20543" s="3" t="inlineStr">
        <is>
          <t>Trademark Holdings (Pty) Ltd</t>
        </is>
      </c>
      <c r="B20543" s="4" t="n">
        <v>45443</v>
      </c>
      <c r="C20543" s="3" t="inlineStr">
        <is>
          <t>Expenses</t>
        </is>
      </c>
      <c r="D20543" s="3" t="inlineStr">
        <is>
          <t>3450/000</t>
        </is>
      </c>
      <c r="E20543" s="3" t="inlineStr">
        <is>
          <t>Depreciation</t>
        </is>
      </c>
      <c r="F20543" s="3" t="n">
        <v>0</v>
      </c>
      <c r="G20543" s="3" t="n">
        <v>376.58</v>
      </c>
    </row>
    <row r="20544">
      <c r="A20544" s="3" t="inlineStr">
        <is>
          <t>Opportunity Private Capital (PTY) LTD</t>
        </is>
      </c>
      <c r="B20544" s="4" t="n">
        <v>45443</v>
      </c>
      <c r="C20544" s="3" t="inlineStr">
        <is>
          <t>Expenses</t>
        </is>
      </c>
      <c r="D20544" s="3" t="inlineStr">
        <is>
          <t>3450/001</t>
        </is>
      </c>
      <c r="E20544" s="3" t="inlineStr">
        <is>
          <t>Depreciation - Computer equipment</t>
        </is>
      </c>
      <c r="F20544" s="3" t="n">
        <v>0</v>
      </c>
      <c r="G20544" s="3" t="n">
        <v>1760.16</v>
      </c>
    </row>
    <row r="20545">
      <c r="A20545" s="3" t="inlineStr">
        <is>
          <t>Opportunity Global Property (PTY) LTD</t>
        </is>
      </c>
      <c r="B20545" s="4" t="n">
        <v>45443</v>
      </c>
      <c r="C20545" s="3" t="inlineStr">
        <is>
          <t>Expenses</t>
        </is>
      </c>
      <c r="D20545" s="3" t="inlineStr">
        <is>
          <t>3450/030</t>
        </is>
      </c>
      <c r="E20545" s="3" t="inlineStr">
        <is>
          <t>Depreciation - Furniture and Fittings</t>
        </is>
      </c>
      <c r="F20545" s="3" t="n">
        <v>0</v>
      </c>
      <c r="G20545" s="3" t="n">
        <v>816.1</v>
      </c>
    </row>
    <row r="20546">
      <c r="A20546" s="3" t="inlineStr">
        <is>
          <t>Opportunity Management Holdings (PTY) LTD</t>
        </is>
      </c>
      <c r="B20546" s="4" t="n">
        <v>45443</v>
      </c>
      <c r="C20546" s="3" t="inlineStr">
        <is>
          <t>Expenses</t>
        </is>
      </c>
      <c r="D20546" s="3" t="inlineStr">
        <is>
          <t>3451/000</t>
        </is>
      </c>
      <c r="E20546" s="3" t="inlineStr">
        <is>
          <t>Depreciation - Computer Equipment</t>
        </is>
      </c>
      <c r="F20546" s="3" t="n">
        <v>0</v>
      </c>
      <c r="G20546" s="3" t="n">
        <v>9047.360000000001</v>
      </c>
    </row>
    <row r="20547">
      <c r="A20547" s="3" t="inlineStr">
        <is>
          <t>Quinate Consulting (Pty) Ltd</t>
        </is>
      </c>
      <c r="B20547" s="4" t="n">
        <v>45443</v>
      </c>
      <c r="C20547" s="3" t="inlineStr">
        <is>
          <t>Expenses</t>
        </is>
      </c>
      <c r="D20547" s="3" t="inlineStr">
        <is>
          <t>3600/000</t>
        </is>
      </c>
      <c r="E20547" s="3" t="inlineStr">
        <is>
          <t>Donations</t>
        </is>
      </c>
      <c r="F20547" s="3" t="n">
        <v>572.45</v>
      </c>
      <c r="G20547" s="3" t="n">
        <v>1717.35</v>
      </c>
    </row>
    <row r="20548">
      <c r="A20548" s="3" t="inlineStr">
        <is>
          <t>Noble Shield (Pty) Ltd ta Go Letting</t>
        </is>
      </c>
      <c r="B20548" s="4" t="n">
        <v>45443</v>
      </c>
      <c r="C20548" s="3" t="inlineStr">
        <is>
          <t>Expenses</t>
        </is>
      </c>
      <c r="D20548" s="3" t="inlineStr">
        <is>
          <t>3650/000</t>
        </is>
      </c>
      <c r="E20548" s="3" t="inlineStr">
        <is>
          <t>Electricity _AND_ Water</t>
        </is>
      </c>
      <c r="F20548" s="3" t="n">
        <v>0</v>
      </c>
      <c r="G20548" s="3" t="n">
        <v>6400</v>
      </c>
    </row>
    <row r="20549">
      <c r="A20549" s="3" t="inlineStr">
        <is>
          <t>Opportunity Private Capital (PTY) LTD</t>
        </is>
      </c>
      <c r="B20549" s="4" t="n">
        <v>45443</v>
      </c>
      <c r="C20549" s="3" t="inlineStr">
        <is>
          <t>Expenses</t>
        </is>
      </c>
      <c r="D20549" s="3" t="inlineStr">
        <is>
          <t>3650/000</t>
        </is>
      </c>
      <c r="E20549" s="3" t="inlineStr">
        <is>
          <t>Electricity _AND_ Water</t>
        </is>
      </c>
      <c r="F20549" s="3" t="n">
        <v>2950</v>
      </c>
      <c r="G20549" s="3" t="n">
        <v>8850</v>
      </c>
    </row>
    <row r="20550">
      <c r="A20550" s="3" t="inlineStr">
        <is>
          <t>Noble Shield (Pty) Ltd ta Go Letting</t>
        </is>
      </c>
      <c r="B20550" s="4" t="n">
        <v>45443</v>
      </c>
      <c r="C20550" s="3" t="inlineStr">
        <is>
          <t>Expenses</t>
        </is>
      </c>
      <c r="D20550" s="3" t="inlineStr">
        <is>
          <t>3651/000</t>
        </is>
      </c>
      <c r="E20550" s="3" t="inlineStr">
        <is>
          <t>Electricity _AND_ Water - Rentals</t>
        </is>
      </c>
      <c r="F20550" s="3" t="n">
        <v>0</v>
      </c>
      <c r="G20550" s="3" t="n">
        <v>-100</v>
      </c>
    </row>
    <row r="20551">
      <c r="A20551" s="3" t="inlineStr">
        <is>
          <t>Quinate Consulting (Pty) Ltd</t>
        </is>
      </c>
      <c r="B20551" s="4" t="n">
        <v>45443</v>
      </c>
      <c r="C20551" s="3" t="inlineStr">
        <is>
          <t>Expenses</t>
        </is>
      </c>
      <c r="D20551" s="3" t="inlineStr">
        <is>
          <t>3651/000</t>
        </is>
      </c>
      <c r="E20551" s="3" t="inlineStr">
        <is>
          <t>Electricity _AND_ Water - Southwark</t>
        </is>
      </c>
      <c r="F20551" s="3" t="n">
        <v>44588.5</v>
      </c>
      <c r="G20551" s="3" t="n">
        <v>58984.56</v>
      </c>
    </row>
    <row r="20552">
      <c r="A20552" s="3" t="inlineStr">
        <is>
          <t>Quinate Consulting (Pty) Ltd</t>
        </is>
      </c>
      <c r="B20552" s="4" t="n">
        <v>45443</v>
      </c>
      <c r="C20552" s="3" t="inlineStr">
        <is>
          <t>Expenses</t>
        </is>
      </c>
      <c r="D20552" s="3" t="inlineStr">
        <is>
          <t>3652/000</t>
        </is>
      </c>
      <c r="E20552" s="3" t="inlineStr">
        <is>
          <t>Electricity _AND_ Water - Soho</t>
        </is>
      </c>
      <c r="F20552" s="3" t="n">
        <v>28899.25</v>
      </c>
      <c r="G20552" s="3" t="n">
        <v>74930.42</v>
      </c>
    </row>
    <row r="20553">
      <c r="A20553" s="3" t="inlineStr">
        <is>
          <t>Quinate Consulting (Pty) Ltd</t>
        </is>
      </c>
      <c r="B20553" s="4" t="n">
        <v>45443</v>
      </c>
      <c r="C20553" s="3" t="inlineStr">
        <is>
          <t>Expenses</t>
        </is>
      </c>
      <c r="D20553" s="3" t="inlineStr">
        <is>
          <t>3653/000</t>
        </is>
      </c>
      <c r="E20553" s="3" t="inlineStr">
        <is>
          <t>Electricity _AND_ Water - Endulini</t>
        </is>
      </c>
      <c r="F20553" s="3" t="n">
        <v>-3560.82</v>
      </c>
      <c r="G20553" s="3" t="n">
        <v>983.49</v>
      </c>
    </row>
    <row r="20554">
      <c r="A20554" s="3" t="inlineStr">
        <is>
          <t>Noble Shield (Pty) Ltd ta Go Letting</t>
        </is>
      </c>
      <c r="B20554" s="4" t="n">
        <v>45443</v>
      </c>
      <c r="C20554" s="3" t="inlineStr">
        <is>
          <t>Expenses</t>
        </is>
      </c>
      <c r="D20554" s="3" t="inlineStr">
        <is>
          <t>3700/000</t>
        </is>
      </c>
      <c r="E20554" s="3" t="inlineStr">
        <is>
          <t>Entertainment Expenses</t>
        </is>
      </c>
      <c r="F20554" s="3" t="n">
        <v>0</v>
      </c>
      <c r="G20554" s="3" t="n">
        <v>1650</v>
      </c>
    </row>
    <row r="20555">
      <c r="A20555" s="3" t="inlineStr">
        <is>
          <t>Opportunity Global Property (PTY) LTD</t>
        </is>
      </c>
      <c r="B20555" s="4" t="n">
        <v>45443</v>
      </c>
      <c r="C20555" s="3" t="inlineStr">
        <is>
          <t>Expenses</t>
        </is>
      </c>
      <c r="D20555" s="3" t="inlineStr">
        <is>
          <t>3700/000</t>
        </is>
      </c>
      <c r="E20555" s="3" t="inlineStr">
        <is>
          <t>Entertainment Expenses</t>
        </is>
      </c>
      <c r="F20555" s="3" t="n">
        <v>922.61</v>
      </c>
      <c r="G20555" s="3" t="n">
        <v>2053.04</v>
      </c>
    </row>
    <row r="20556">
      <c r="A20556" s="3" t="inlineStr">
        <is>
          <t>Opportunity Management Holdings (PTY) LTD</t>
        </is>
      </c>
      <c r="B20556" s="4" t="n">
        <v>45443</v>
      </c>
      <c r="C20556" s="3" t="inlineStr">
        <is>
          <t>Expenses</t>
        </is>
      </c>
      <c r="D20556" s="3" t="inlineStr">
        <is>
          <t>3700/000</t>
        </is>
      </c>
      <c r="E20556" s="3" t="inlineStr">
        <is>
          <t>Entertainment Expenses</t>
        </is>
      </c>
      <c r="F20556" s="3" t="n">
        <v>0</v>
      </c>
      <c r="G20556" s="3" t="n">
        <v>1126.13</v>
      </c>
    </row>
    <row r="20557">
      <c r="A20557" s="3" t="inlineStr">
        <is>
          <t>Opportunity Private Capital (PTY) LTD</t>
        </is>
      </c>
      <c r="B20557" s="4" t="n">
        <v>45443</v>
      </c>
      <c r="C20557" s="3" t="inlineStr">
        <is>
          <t>Expenses</t>
        </is>
      </c>
      <c r="D20557" s="3" t="inlineStr">
        <is>
          <t>3700/000</t>
        </is>
      </c>
      <c r="E20557" s="3" t="inlineStr">
        <is>
          <t>Entertainment Expenses</t>
        </is>
      </c>
      <c r="F20557" s="3" t="n">
        <v>0</v>
      </c>
      <c r="G20557" s="3" t="n">
        <v>3943.47</v>
      </c>
    </row>
    <row r="20558">
      <c r="A20558" s="3" t="inlineStr">
        <is>
          <t>Noble Shield (Pty) Ltd ta Go Letting</t>
        </is>
      </c>
      <c r="B20558" s="4" t="n">
        <v>45443</v>
      </c>
      <c r="C20558" s="3" t="inlineStr">
        <is>
          <t>Expenses</t>
        </is>
      </c>
      <c r="D20558" s="3" t="inlineStr">
        <is>
          <t>3800/000</t>
        </is>
      </c>
      <c r="E20558" s="3" t="inlineStr">
        <is>
          <t>General Expenses</t>
        </is>
      </c>
      <c r="F20558" s="3" t="n">
        <v>-591.8</v>
      </c>
      <c r="G20558" s="3" t="n">
        <v>319.98</v>
      </c>
    </row>
    <row r="20559">
      <c r="A20559" s="3" t="inlineStr">
        <is>
          <t>Opportunity Global Property (PTY) LTD</t>
        </is>
      </c>
      <c r="B20559" s="4" t="n">
        <v>45443</v>
      </c>
      <c r="C20559" s="3" t="inlineStr">
        <is>
          <t>Expenses</t>
        </is>
      </c>
      <c r="D20559" s="3" t="inlineStr">
        <is>
          <t>3800/000</t>
        </is>
      </c>
      <c r="E20559" s="3" t="inlineStr">
        <is>
          <t>General Expenses</t>
        </is>
      </c>
      <c r="F20559" s="3" t="n">
        <v>1248.85</v>
      </c>
      <c r="G20559" s="3" t="n">
        <v>1405.35</v>
      </c>
    </row>
    <row r="20560">
      <c r="A20560" s="3" t="inlineStr">
        <is>
          <t>Opportunity Management Holdings (PTY) LTD</t>
        </is>
      </c>
      <c r="B20560" s="4" t="n">
        <v>45443</v>
      </c>
      <c r="C20560" s="3" t="inlineStr">
        <is>
          <t>Expenses</t>
        </is>
      </c>
      <c r="D20560" s="3" t="inlineStr">
        <is>
          <t>3800/000</t>
        </is>
      </c>
      <c r="E20560" s="3" t="inlineStr">
        <is>
          <t>General Expenses</t>
        </is>
      </c>
      <c r="F20560" s="3" t="n">
        <v>1027.08</v>
      </c>
      <c r="G20560" s="3" t="n">
        <v>2950.38</v>
      </c>
    </row>
    <row r="20561">
      <c r="A20561" s="3" t="inlineStr">
        <is>
          <t>Quinate Consulting (Pty) Ltd</t>
        </is>
      </c>
      <c r="B20561" s="4" t="n">
        <v>45443</v>
      </c>
      <c r="C20561" s="3" t="inlineStr">
        <is>
          <t>Expenses</t>
        </is>
      </c>
      <c r="D20561" s="3" t="inlineStr">
        <is>
          <t>3800/000</t>
        </is>
      </c>
      <c r="E20561" s="3" t="inlineStr">
        <is>
          <t>General Expenses</t>
        </is>
      </c>
      <c r="F20561" s="3" t="n">
        <v>0</v>
      </c>
      <c r="G20561" s="3" t="n">
        <v>1338.11</v>
      </c>
    </row>
    <row r="20562">
      <c r="A20562" s="3" t="inlineStr">
        <is>
          <t>Opportunity Global Property (PTY) LTD</t>
        </is>
      </c>
      <c r="B20562" s="4" t="n">
        <v>45443</v>
      </c>
      <c r="C20562" s="3" t="inlineStr">
        <is>
          <t>Expenses</t>
        </is>
      </c>
      <c r="D20562" s="3" t="inlineStr">
        <is>
          <t>3800/010</t>
        </is>
      </c>
      <c r="E20562" s="3" t="inlineStr">
        <is>
          <t>General Expences - Gifts</t>
        </is>
      </c>
      <c r="F20562" s="3" t="n">
        <v>366.16</v>
      </c>
      <c r="G20562" s="3" t="n">
        <v>1803.62</v>
      </c>
    </row>
    <row r="20563">
      <c r="A20563" s="3" t="inlineStr">
        <is>
          <t>Opportunity Management Holdings (PTY) LTD</t>
        </is>
      </c>
      <c r="B20563" s="4" t="n">
        <v>45443</v>
      </c>
      <c r="C20563" s="3" t="inlineStr">
        <is>
          <t>Expenses</t>
        </is>
      </c>
      <c r="D20563" s="3" t="inlineStr">
        <is>
          <t>3800/010</t>
        </is>
      </c>
      <c r="E20563" s="3" t="inlineStr">
        <is>
          <t>General Expenses - Gifts</t>
        </is>
      </c>
      <c r="F20563" s="3" t="n">
        <v>5399.91</v>
      </c>
      <c r="G20563" s="3" t="n">
        <v>18363.56</v>
      </c>
    </row>
    <row r="20564">
      <c r="A20564" s="3" t="inlineStr">
        <is>
          <t>Opportunity Management Holdings (PTY) LTD</t>
        </is>
      </c>
      <c r="B20564" s="4" t="n">
        <v>45443</v>
      </c>
      <c r="C20564" s="3" t="inlineStr">
        <is>
          <t>Expenses</t>
        </is>
      </c>
      <c r="D20564" s="3" t="inlineStr">
        <is>
          <t>3800/030</t>
        </is>
      </c>
      <c r="E20564" s="3" t="inlineStr">
        <is>
          <t>General Expenses: Showhouse Heron View</t>
        </is>
      </c>
      <c r="F20564" s="3" t="n">
        <v>0</v>
      </c>
      <c r="G20564" s="3" t="n">
        <v>987.72</v>
      </c>
    </row>
    <row r="20565">
      <c r="A20565" s="3" t="inlineStr">
        <is>
          <t>Opportunity Management Holdings (PTY) LTD</t>
        </is>
      </c>
      <c r="B20565" s="4" t="n">
        <v>45443</v>
      </c>
      <c r="C20565" s="3" t="inlineStr">
        <is>
          <t>Expenses</t>
        </is>
      </c>
      <c r="D20565" s="3" t="inlineStr">
        <is>
          <t>3850/000</t>
        </is>
      </c>
      <c r="E20565" s="3" t="inlineStr">
        <is>
          <t>Insurance - Momentum</t>
        </is>
      </c>
      <c r="F20565" s="3" t="n">
        <v>1969.99</v>
      </c>
      <c r="G20565" s="3" t="n">
        <v>16634.19</v>
      </c>
    </row>
    <row r="20566">
      <c r="A20566" s="3" t="inlineStr">
        <is>
          <t>Noble Shield (Pty) Ltd ta Go Letting</t>
        </is>
      </c>
      <c r="B20566" s="4" t="n">
        <v>45443</v>
      </c>
      <c r="C20566" s="3" t="inlineStr">
        <is>
          <t>Expenses</t>
        </is>
      </c>
      <c r="D20566" s="3" t="inlineStr">
        <is>
          <t>3850/100</t>
        </is>
      </c>
      <c r="E20566" s="3" t="inlineStr">
        <is>
          <t>Insurance - Santam</t>
        </is>
      </c>
      <c r="F20566" s="3" t="n">
        <v>4249.41</v>
      </c>
      <c r="G20566" s="3" t="n">
        <v>38244.69</v>
      </c>
    </row>
    <row r="20567">
      <c r="A20567" s="3" t="inlineStr">
        <is>
          <t>Noble Shield (Pty) Ltd ta Go Letting</t>
        </is>
      </c>
      <c r="B20567" s="4" t="n">
        <v>45443</v>
      </c>
      <c r="C20567" s="3" t="inlineStr">
        <is>
          <t>Expenses</t>
        </is>
      </c>
      <c r="D20567" s="3" t="inlineStr">
        <is>
          <t>3850/200</t>
        </is>
      </c>
      <c r="E20567" s="3" t="inlineStr">
        <is>
          <t>Insurance - A_AND_G</t>
        </is>
      </c>
      <c r="F20567" s="3" t="n">
        <v>0</v>
      </c>
      <c r="G20567" s="3" t="n">
        <v>20650.02</v>
      </c>
    </row>
    <row r="20568">
      <c r="A20568" s="3" t="inlineStr">
        <is>
          <t>Quinate Consulting (Pty) Ltd</t>
        </is>
      </c>
      <c r="B20568" s="4" t="n">
        <v>45443</v>
      </c>
      <c r="C20568" s="3" t="inlineStr">
        <is>
          <t>Expenses</t>
        </is>
      </c>
      <c r="D20568" s="3" t="inlineStr">
        <is>
          <t>3851/000</t>
        </is>
      </c>
      <c r="E20568" s="3" t="inlineStr">
        <is>
          <t>Insurance - Momentum</t>
        </is>
      </c>
      <c r="F20568" s="3" t="n">
        <v>0</v>
      </c>
      <c r="G20568" s="3" t="n">
        <v>18549.94</v>
      </c>
    </row>
    <row r="20569">
      <c r="A20569" s="3" t="inlineStr">
        <is>
          <t>Quinate Consulting (Pty) Ltd</t>
        </is>
      </c>
      <c r="B20569" s="4" t="n">
        <v>45443</v>
      </c>
      <c r="C20569" s="3" t="inlineStr">
        <is>
          <t>Expenses</t>
        </is>
      </c>
      <c r="D20569" s="3" t="inlineStr">
        <is>
          <t>3900/000</t>
        </is>
      </c>
      <c r="E20569" s="3" t="inlineStr">
        <is>
          <t>Interest Paid</t>
        </is>
      </c>
      <c r="F20569" s="3" t="n">
        <v>147.94</v>
      </c>
      <c r="G20569" s="3" t="n">
        <v>147.94</v>
      </c>
    </row>
    <row r="20570">
      <c r="A20570" s="3" t="inlineStr">
        <is>
          <t>Opportunity Management Holdings (PTY) LTD</t>
        </is>
      </c>
      <c r="B20570" s="4" t="n">
        <v>45443</v>
      </c>
      <c r="C20570" s="3" t="inlineStr">
        <is>
          <t>Expenses</t>
        </is>
      </c>
      <c r="D20570" s="3" t="inlineStr">
        <is>
          <t>3960/000</t>
        </is>
      </c>
      <c r="E20570" s="3" t="inlineStr">
        <is>
          <t>Internet Fees</t>
        </is>
      </c>
      <c r="F20570" s="3" t="n">
        <v>603.38</v>
      </c>
      <c r="G20570" s="3" t="n">
        <v>5832.59</v>
      </c>
    </row>
    <row r="20571">
      <c r="A20571" s="3" t="inlineStr">
        <is>
          <t>Rock Blok (Pty) Ltd</t>
        </is>
      </c>
      <c r="B20571" s="4" t="n">
        <v>45443</v>
      </c>
      <c r="C20571" s="3" t="inlineStr">
        <is>
          <t>Expenses</t>
        </is>
      </c>
      <c r="D20571" s="3" t="inlineStr">
        <is>
          <t>4000/100</t>
        </is>
      </c>
      <c r="E20571" s="3" t="inlineStr">
        <is>
          <t>Investor Payout END203 - Sourgen</t>
        </is>
      </c>
      <c r="F20571" s="3" t="n">
        <v>1698.96</v>
      </c>
      <c r="G20571" s="3" t="n">
        <v>3397.92</v>
      </c>
    </row>
    <row r="20572">
      <c r="A20572" s="3" t="inlineStr">
        <is>
          <t>Rock Blok (Pty) Ltd</t>
        </is>
      </c>
      <c r="B20572" s="4" t="n">
        <v>45443</v>
      </c>
      <c r="C20572" s="3" t="inlineStr">
        <is>
          <t>Expenses</t>
        </is>
      </c>
      <c r="D20572" s="3" t="inlineStr">
        <is>
          <t>4000/110</t>
        </is>
      </c>
      <c r="E20572" s="3" t="inlineStr">
        <is>
          <t>Investor Payout END203 - De Klerk</t>
        </is>
      </c>
      <c r="F20572" s="3" t="n">
        <v>1359.17</v>
      </c>
      <c r="G20572" s="3" t="n">
        <v>2718.34</v>
      </c>
    </row>
    <row r="20573">
      <c r="A20573" s="3" t="inlineStr">
        <is>
          <t>Rock Blok (Pty) Ltd</t>
        </is>
      </c>
      <c r="B20573" s="4" t="n">
        <v>45443</v>
      </c>
      <c r="C20573" s="3" t="inlineStr">
        <is>
          <t>Expenses</t>
        </is>
      </c>
      <c r="D20573" s="3" t="inlineStr">
        <is>
          <t>4000/120</t>
        </is>
      </c>
      <c r="E20573" s="3" t="inlineStr">
        <is>
          <t>Investor Payout END203 - Akanya Property Trust</t>
        </is>
      </c>
      <c r="F20573" s="3" t="n">
        <v>1359.17</v>
      </c>
      <c r="G20573" s="3" t="n">
        <v>2718.34</v>
      </c>
    </row>
    <row r="20574">
      <c r="A20574" s="3" t="inlineStr">
        <is>
          <t>Rock Blok (Pty) Ltd</t>
        </is>
      </c>
      <c r="B20574" s="4" t="n">
        <v>45443</v>
      </c>
      <c r="C20574" s="3" t="inlineStr">
        <is>
          <t>Expenses</t>
        </is>
      </c>
      <c r="D20574" s="3" t="inlineStr">
        <is>
          <t>4000/130</t>
        </is>
      </c>
      <c r="E20574" s="3" t="inlineStr">
        <is>
          <t>Investor Payout END203 - Koopman</t>
        </is>
      </c>
      <c r="F20574" s="3" t="n">
        <v>2378.54</v>
      </c>
      <c r="G20574" s="3" t="n">
        <v>4757.08</v>
      </c>
    </row>
    <row r="20575">
      <c r="A20575" s="3" t="inlineStr">
        <is>
          <t>Rock Blok (Pty) Ltd</t>
        </is>
      </c>
      <c r="B20575" s="4" t="n">
        <v>45443</v>
      </c>
      <c r="C20575" s="3" t="inlineStr">
        <is>
          <t>Expenses</t>
        </is>
      </c>
      <c r="D20575" s="3" t="inlineStr">
        <is>
          <t>4000/140</t>
        </is>
      </c>
      <c r="E20575" s="3" t="inlineStr">
        <is>
          <t>Investor Payout END203 - Mehl</t>
        </is>
      </c>
      <c r="F20575" s="3" t="n">
        <v>1698.96</v>
      </c>
      <c r="G20575" s="3" t="n">
        <v>3397.92</v>
      </c>
    </row>
    <row r="20576">
      <c r="A20576" s="3" t="inlineStr">
        <is>
          <t>Rock Blok (Pty) Ltd</t>
        </is>
      </c>
      <c r="B20576" s="4" t="n">
        <v>45443</v>
      </c>
      <c r="C20576" s="3" t="inlineStr">
        <is>
          <t>Expenses</t>
        </is>
      </c>
      <c r="D20576" s="3" t="inlineStr">
        <is>
          <t>4000/150</t>
        </is>
      </c>
      <c r="E20576" s="3" t="inlineStr">
        <is>
          <t>Investor Payout END203 - Truter</t>
        </is>
      </c>
      <c r="F20576" s="3" t="n">
        <v>679.58</v>
      </c>
      <c r="G20576" s="3" t="n">
        <v>1359.16</v>
      </c>
    </row>
    <row r="20577">
      <c r="A20577" s="3" t="inlineStr">
        <is>
          <t>Rock Blok (Pty) Ltd</t>
        </is>
      </c>
      <c r="B20577" s="4" t="n">
        <v>45443</v>
      </c>
      <c r="C20577" s="3" t="inlineStr">
        <is>
          <t>Expenses</t>
        </is>
      </c>
      <c r="D20577" s="3" t="inlineStr">
        <is>
          <t>4000/160</t>
        </is>
      </c>
      <c r="E20577" s="3" t="inlineStr">
        <is>
          <t>Investor Payout END203 - Verhaeghe</t>
        </is>
      </c>
      <c r="F20577" s="3" t="n">
        <v>679.58</v>
      </c>
      <c r="G20577" s="3" t="n">
        <v>679.58</v>
      </c>
    </row>
    <row r="20578">
      <c r="A20578" s="3" t="inlineStr">
        <is>
          <t>Rock Blok (Pty) Ltd</t>
        </is>
      </c>
      <c r="B20578" s="4" t="n">
        <v>45443</v>
      </c>
      <c r="C20578" s="3" t="inlineStr">
        <is>
          <t>Expenses</t>
        </is>
      </c>
      <c r="D20578" s="3" t="inlineStr">
        <is>
          <t>4000/190</t>
        </is>
      </c>
      <c r="E20578" s="3" t="inlineStr">
        <is>
          <t>Investor Payout END203 - Opportunity Private Capital</t>
        </is>
      </c>
      <c r="F20578" s="3" t="n">
        <v>339.78</v>
      </c>
      <c r="G20578" s="3" t="n">
        <v>1359.15</v>
      </c>
    </row>
    <row r="20579">
      <c r="A20579" s="3" t="inlineStr">
        <is>
          <t>Endulini (Pty) Ltd</t>
        </is>
      </c>
      <c r="B20579" s="4" t="n">
        <v>45443</v>
      </c>
      <c r="C20579" s="3" t="inlineStr">
        <is>
          <t>Expenses</t>
        </is>
      </c>
      <c r="D20579" s="3" t="inlineStr">
        <is>
          <t>4050/000</t>
        </is>
      </c>
      <c r="E20579" s="3" t="inlineStr">
        <is>
          <t>Levies</t>
        </is>
      </c>
      <c r="F20579" s="3" t="n">
        <v>2267.05</v>
      </c>
      <c r="G20579" s="3" t="n">
        <v>2267.05</v>
      </c>
    </row>
    <row r="20580">
      <c r="A20580" s="3" t="inlineStr">
        <is>
          <t>Rock Blok (Pty) Ltd</t>
        </is>
      </c>
      <c r="B20580" s="4" t="n">
        <v>45443</v>
      </c>
      <c r="C20580" s="3" t="inlineStr">
        <is>
          <t>Expenses</t>
        </is>
      </c>
      <c r="D20580" s="3" t="inlineStr">
        <is>
          <t>4050/000</t>
        </is>
      </c>
      <c r="E20580" s="3" t="inlineStr">
        <is>
          <t>Levies - LMS Cape</t>
        </is>
      </c>
      <c r="F20580" s="3" t="n">
        <v>1102.62</v>
      </c>
      <c r="G20580" s="3" t="n">
        <v>2205.24</v>
      </c>
    </row>
    <row r="20581">
      <c r="A20581" s="3" t="inlineStr">
        <is>
          <t>Quinate Consulting (Pty) Ltd</t>
        </is>
      </c>
      <c r="B20581" s="4" t="n">
        <v>45443</v>
      </c>
      <c r="C20581" s="3" t="inlineStr">
        <is>
          <t>Expenses</t>
        </is>
      </c>
      <c r="D20581" s="3" t="inlineStr">
        <is>
          <t>4065/000</t>
        </is>
      </c>
      <c r="E20581" s="3" t="inlineStr">
        <is>
          <t>Levies - SoHo</t>
        </is>
      </c>
      <c r="F20581" s="3" t="n">
        <v>7627.43</v>
      </c>
      <c r="G20581" s="3" t="n">
        <v>21169.19</v>
      </c>
    </row>
    <row r="20582">
      <c r="A20582" s="3" t="inlineStr">
        <is>
          <t>Quinate Consulting (Pty) Ltd</t>
        </is>
      </c>
      <c r="B20582" s="4" t="n">
        <v>45443</v>
      </c>
      <c r="C20582" s="3" t="inlineStr">
        <is>
          <t>Expenses</t>
        </is>
      </c>
      <c r="D20582" s="3" t="inlineStr">
        <is>
          <t>4066/000</t>
        </is>
      </c>
      <c r="E20582" s="3" t="inlineStr">
        <is>
          <t>Levies - Southwark</t>
        </is>
      </c>
      <c r="F20582" s="3" t="n">
        <v>3650.29</v>
      </c>
      <c r="G20582" s="3" t="n">
        <v>10950.87</v>
      </c>
    </row>
    <row r="20583">
      <c r="A20583" s="3" t="inlineStr">
        <is>
          <t>Quinate Consulting (Pty) Ltd</t>
        </is>
      </c>
      <c r="B20583" s="4" t="n">
        <v>45443</v>
      </c>
      <c r="C20583" s="3" t="inlineStr">
        <is>
          <t>Expenses</t>
        </is>
      </c>
      <c r="D20583" s="3" t="inlineStr">
        <is>
          <t>4067/000</t>
        </is>
      </c>
      <c r="E20583" s="3" t="inlineStr">
        <is>
          <t>Levies - C4 Property</t>
        </is>
      </c>
      <c r="F20583" s="3" t="n">
        <v>19819.91</v>
      </c>
      <c r="G20583" s="3" t="n">
        <v>59467.88</v>
      </c>
    </row>
    <row r="20584">
      <c r="A20584" s="3" t="inlineStr">
        <is>
          <t>Opportunity Management Holdings (PTY) LTD</t>
        </is>
      </c>
      <c r="B20584" s="4" t="n">
        <v>45443</v>
      </c>
      <c r="C20584" s="3" t="inlineStr">
        <is>
          <t>Expenses</t>
        </is>
      </c>
      <c r="D20584" s="3" t="inlineStr">
        <is>
          <t>4090/000</t>
        </is>
      </c>
      <c r="E20584" s="3" t="inlineStr">
        <is>
          <t>Marketing - Website_AND_MultiMedia</t>
        </is>
      </c>
      <c r="F20584" s="3" t="n">
        <v>0</v>
      </c>
      <c r="G20584" s="3" t="n">
        <v>300</v>
      </c>
    </row>
    <row r="20585">
      <c r="A20585" s="3" t="inlineStr">
        <is>
          <t>Opportunity Private Capital (PTY) LTD</t>
        </is>
      </c>
      <c r="B20585" s="4" t="n">
        <v>45443</v>
      </c>
      <c r="C20585" s="3" t="inlineStr">
        <is>
          <t>Expenses</t>
        </is>
      </c>
      <c r="D20585" s="3" t="inlineStr">
        <is>
          <t>4100/100</t>
        </is>
      </c>
      <c r="E20585" s="3" t="inlineStr">
        <is>
          <t>Members Salaries - Nick Morgan</t>
        </is>
      </c>
      <c r="F20585" s="3" t="n">
        <v>0</v>
      </c>
      <c r="G20585" s="3" t="n">
        <v>41251.6</v>
      </c>
    </row>
    <row r="20586">
      <c r="A20586" s="3" t="inlineStr">
        <is>
          <t>Opportunity Management Holdings (PTY) LTD</t>
        </is>
      </c>
      <c r="B20586" s="4" t="n">
        <v>45443</v>
      </c>
      <c r="C20586" s="3" t="inlineStr">
        <is>
          <t>Expenses</t>
        </is>
      </c>
      <c r="D20586" s="3" t="inlineStr">
        <is>
          <t>4150/010</t>
        </is>
      </c>
      <c r="E20586" s="3" t="inlineStr">
        <is>
          <t>Motor Vehicle - Petrol _AND_ Oil</t>
        </is>
      </c>
      <c r="F20586" s="3" t="n">
        <v>0</v>
      </c>
      <c r="G20586" s="3" t="n">
        <v>1350</v>
      </c>
    </row>
    <row r="20587">
      <c r="A20587" s="3" t="inlineStr">
        <is>
          <t>Opportunity Management Holdings (PTY) LTD</t>
        </is>
      </c>
      <c r="B20587" s="4" t="n">
        <v>45443</v>
      </c>
      <c r="C20587" s="3" t="inlineStr">
        <is>
          <t>Expenses</t>
        </is>
      </c>
      <c r="D20587" s="3" t="inlineStr">
        <is>
          <t>4200/000</t>
        </is>
      </c>
      <c r="E20587" s="3" t="inlineStr">
        <is>
          <t>Printing _AND_ Stationery</t>
        </is>
      </c>
      <c r="F20587" s="3" t="n">
        <v>0</v>
      </c>
      <c r="G20587" s="3" t="n">
        <v>1147.8</v>
      </c>
    </row>
    <row r="20588">
      <c r="A20588" s="3" t="inlineStr">
        <is>
          <t>Opportunity Private Capital (PTY) LTD</t>
        </is>
      </c>
      <c r="B20588" s="4" t="n">
        <v>45443</v>
      </c>
      <c r="C20588" s="3" t="inlineStr">
        <is>
          <t>Expenses</t>
        </is>
      </c>
      <c r="D20588" s="3" t="inlineStr">
        <is>
          <t>4200/000</t>
        </is>
      </c>
      <c r="E20588" s="3" t="inlineStr">
        <is>
          <t>Printing _AND_ Stationery</t>
        </is>
      </c>
      <c r="F20588" s="3" t="n">
        <v>2367</v>
      </c>
      <c r="G20588" s="3" t="n">
        <v>7101</v>
      </c>
    </row>
    <row r="20589">
      <c r="A20589" s="3" t="inlineStr">
        <is>
          <t>Noble Shield (Pty) Ltd ta Go Letting</t>
        </is>
      </c>
      <c r="B20589" s="4" t="n">
        <v>45443</v>
      </c>
      <c r="C20589" s="3" t="inlineStr">
        <is>
          <t>Expenses</t>
        </is>
      </c>
      <c r="D20589" s="3" t="inlineStr">
        <is>
          <t>4200/100</t>
        </is>
      </c>
      <c r="E20589" s="3" t="inlineStr">
        <is>
          <t>Printing - Merchant West- Printer Rental</t>
        </is>
      </c>
      <c r="F20589" s="3" t="n">
        <v>1953.85</v>
      </c>
      <c r="G20589" s="3" t="n">
        <v>19986.32</v>
      </c>
    </row>
    <row r="20590">
      <c r="A20590" s="3" t="inlineStr">
        <is>
          <t>Noble Shield (Pty) Ltd ta Go Letting</t>
        </is>
      </c>
      <c r="B20590" s="4" t="n">
        <v>45443</v>
      </c>
      <c r="C20590" s="3" t="inlineStr">
        <is>
          <t>Expenses</t>
        </is>
      </c>
      <c r="D20590" s="3" t="inlineStr">
        <is>
          <t>4200/120</t>
        </is>
      </c>
      <c r="E20590" s="3" t="inlineStr">
        <is>
          <t>Printing - Ivy Line - Prints</t>
        </is>
      </c>
      <c r="F20590" s="3" t="n">
        <v>1059.54</v>
      </c>
      <c r="G20590" s="3" t="n">
        <v>8363.43</v>
      </c>
    </row>
    <row r="20591">
      <c r="A20591" s="3" t="inlineStr">
        <is>
          <t>Noble Shield (Pty) Ltd ta Go Letting</t>
        </is>
      </c>
      <c r="B20591" s="4" t="n">
        <v>45443</v>
      </c>
      <c r="C20591" s="3" t="inlineStr">
        <is>
          <t>Expenses</t>
        </is>
      </c>
      <c r="D20591" s="3" t="inlineStr">
        <is>
          <t>4200/180</t>
        </is>
      </c>
      <c r="E20591" s="3" t="inlineStr">
        <is>
          <t>Printing - Ikon</t>
        </is>
      </c>
      <c r="F20591" s="3" t="n">
        <v>0</v>
      </c>
      <c r="G20591" s="3" t="n">
        <v>2426.59</v>
      </c>
    </row>
    <row r="20592">
      <c r="A20592" s="3" t="inlineStr">
        <is>
          <t>Noble Shield (Pty) Ltd ta Go Letting</t>
        </is>
      </c>
      <c r="B20592" s="4" t="n">
        <v>45443</v>
      </c>
      <c r="C20592" s="3" t="inlineStr">
        <is>
          <t>Expenses</t>
        </is>
      </c>
      <c r="D20592" s="3" t="inlineStr">
        <is>
          <t>4200/190</t>
        </is>
      </c>
      <c r="E20592" s="3" t="inlineStr">
        <is>
          <t>Printing - Centrafin printer rental</t>
        </is>
      </c>
      <c r="F20592" s="3" t="n">
        <v>3211.18</v>
      </c>
      <c r="G20592" s="3" t="n">
        <v>30944.08</v>
      </c>
    </row>
    <row r="20593">
      <c r="A20593" s="3" t="inlineStr">
        <is>
          <t>Noble Shield (Pty) Ltd ta Go Letting</t>
        </is>
      </c>
      <c r="B20593" s="4" t="n">
        <v>45443</v>
      </c>
      <c r="C20593" s="3" t="inlineStr">
        <is>
          <t>Expenses</t>
        </is>
      </c>
      <c r="D20593" s="3" t="inlineStr">
        <is>
          <t>4200/200</t>
        </is>
      </c>
      <c r="E20593" s="3" t="inlineStr">
        <is>
          <t>Printing - General Stationery VDB Office</t>
        </is>
      </c>
      <c r="F20593" s="3" t="n">
        <v>0</v>
      </c>
      <c r="G20593" s="3" t="n">
        <v>6666.38</v>
      </c>
    </row>
    <row r="20594">
      <c r="A20594" s="3" t="inlineStr">
        <is>
          <t>Opportunity Global Property (PTY) LTD</t>
        </is>
      </c>
      <c r="B20594" s="4" t="n">
        <v>45443</v>
      </c>
      <c r="C20594" s="3" t="inlineStr">
        <is>
          <t>Expenses</t>
        </is>
      </c>
      <c r="D20594" s="3" t="inlineStr">
        <is>
          <t>4220/000</t>
        </is>
      </c>
      <c r="E20594" s="3" t="inlineStr">
        <is>
          <t>Motor Vehicle Expenses - Petrol _AND_ Oil</t>
        </is>
      </c>
      <c r="F20594" s="3" t="n">
        <v>695.66</v>
      </c>
      <c r="G20594" s="3" t="n">
        <v>1391.4</v>
      </c>
    </row>
    <row r="20595">
      <c r="A20595" s="3" t="inlineStr">
        <is>
          <t>Opportunity Private Capital (PTY) LTD</t>
        </is>
      </c>
      <c r="B20595" s="4" t="n">
        <v>45443</v>
      </c>
      <c r="C20595" s="3" t="inlineStr">
        <is>
          <t>Expenses</t>
        </is>
      </c>
      <c r="D20595" s="3" t="inlineStr">
        <is>
          <t>4220/000</t>
        </is>
      </c>
      <c r="E20595" s="3" t="inlineStr">
        <is>
          <t>Motor Vehicle Expenses - Petrol _AND_ Oil</t>
        </is>
      </c>
      <c r="F20595" s="3" t="n">
        <v>2875.66</v>
      </c>
      <c r="G20595" s="3" t="n">
        <v>10536.57</v>
      </c>
    </row>
    <row r="20596">
      <c r="A20596" s="3" t="inlineStr">
        <is>
          <t>Noble Shield (Pty) Ltd ta Go Letting</t>
        </is>
      </c>
      <c r="B20596" s="4" t="n">
        <v>45443</v>
      </c>
      <c r="C20596" s="3" t="inlineStr">
        <is>
          <t>Expenses</t>
        </is>
      </c>
      <c r="D20596" s="3" t="inlineStr">
        <is>
          <t>4290/000</t>
        </is>
      </c>
      <c r="E20596" s="3" t="inlineStr">
        <is>
          <t>Refreshments - CT Office</t>
        </is>
      </c>
      <c r="F20596" s="3" t="n">
        <v>1181</v>
      </c>
      <c r="G20596" s="3" t="n">
        <v>12275.53</v>
      </c>
    </row>
    <row r="20597">
      <c r="A20597" s="3" t="inlineStr">
        <is>
          <t>Opportunity Private Capital (PTY) LTD</t>
        </is>
      </c>
      <c r="B20597" s="4" t="n">
        <v>45443</v>
      </c>
      <c r="C20597" s="3" t="inlineStr">
        <is>
          <t>Expenses</t>
        </is>
      </c>
      <c r="D20597" s="3" t="inlineStr">
        <is>
          <t>4290/000</t>
        </is>
      </c>
      <c r="E20597" s="3" t="inlineStr">
        <is>
          <t>Rent</t>
        </is>
      </c>
      <c r="F20597" s="3" t="n">
        <v>8770</v>
      </c>
      <c r="G20597" s="3" t="n">
        <v>26310</v>
      </c>
    </row>
    <row r="20598">
      <c r="A20598" s="3" t="inlineStr">
        <is>
          <t>Noble Shield (Pty) Ltd ta Go Letting</t>
        </is>
      </c>
      <c r="B20598" s="4" t="n">
        <v>45443</v>
      </c>
      <c r="C20598" s="3" t="inlineStr">
        <is>
          <t>Expenses</t>
        </is>
      </c>
      <c r="D20598" s="3" t="inlineStr">
        <is>
          <t>4291/000</t>
        </is>
      </c>
      <c r="E20598" s="3" t="inlineStr">
        <is>
          <t>Refreshments - VDB Office</t>
        </is>
      </c>
      <c r="F20598" s="3" t="n">
        <v>2935.16</v>
      </c>
      <c r="G20598" s="3" t="n">
        <v>6755.93</v>
      </c>
    </row>
    <row r="20599">
      <c r="A20599" s="3" t="inlineStr">
        <is>
          <t>Trademark Holdings (Pty) Ltd</t>
        </is>
      </c>
      <c r="B20599" s="4" t="n">
        <v>45443</v>
      </c>
      <c r="C20599" s="3" t="inlineStr">
        <is>
          <t>Expenses</t>
        </is>
      </c>
      <c r="D20599" s="3" t="inlineStr">
        <is>
          <t>4300/000</t>
        </is>
      </c>
      <c r="E20599" s="3" t="inlineStr">
        <is>
          <t>Rent Paid</t>
        </is>
      </c>
      <c r="F20599" s="3" t="n">
        <v>6950</v>
      </c>
      <c r="G20599" s="3" t="n">
        <v>62290</v>
      </c>
    </row>
    <row r="20600">
      <c r="A20600" s="3" t="inlineStr">
        <is>
          <t>Opportunity Management Holdings (PTY) LTD</t>
        </is>
      </c>
      <c r="B20600" s="4" t="n">
        <v>45443</v>
      </c>
      <c r="C20600" s="3" t="inlineStr">
        <is>
          <t>Expenses</t>
        </is>
      </c>
      <c r="D20600" s="3" t="inlineStr">
        <is>
          <t>4310/000</t>
        </is>
      </c>
      <c r="E20600" s="3" t="inlineStr">
        <is>
          <t>Refreshments</t>
        </is>
      </c>
      <c r="F20600" s="3" t="n">
        <v>9598.83</v>
      </c>
      <c r="G20600" s="3" t="n">
        <v>67290.32000000001</v>
      </c>
    </row>
    <row r="20601">
      <c r="A20601" s="3" t="inlineStr">
        <is>
          <t>Opportunity Private Capital (PTY) LTD</t>
        </is>
      </c>
      <c r="B20601" s="4" t="n">
        <v>45443</v>
      </c>
      <c r="C20601" s="3" t="inlineStr">
        <is>
          <t>Expenses</t>
        </is>
      </c>
      <c r="D20601" s="3" t="inlineStr">
        <is>
          <t>4310/000</t>
        </is>
      </c>
      <c r="E20601" s="3" t="inlineStr">
        <is>
          <t>Refreshments</t>
        </is>
      </c>
      <c r="F20601" s="3" t="n">
        <v>2660.13</v>
      </c>
      <c r="G20601" s="3" t="n">
        <v>7702.13</v>
      </c>
    </row>
    <row r="20602">
      <c r="A20602" s="3" t="inlineStr">
        <is>
          <t>Quinate Consulting (Pty) Ltd</t>
        </is>
      </c>
      <c r="B20602" s="4" t="n">
        <v>45443</v>
      </c>
      <c r="C20602" s="3" t="inlineStr">
        <is>
          <t>Expenses</t>
        </is>
      </c>
      <c r="D20602" s="3" t="inlineStr">
        <is>
          <t>4312/000</t>
        </is>
      </c>
      <c r="E20602" s="3" t="inlineStr">
        <is>
          <t>Rates - SoHo Units</t>
        </is>
      </c>
      <c r="F20602" s="3" t="n">
        <v>2822.5</v>
      </c>
      <c r="G20602" s="3" t="n">
        <v>5645</v>
      </c>
    </row>
    <row r="20603">
      <c r="A20603" s="3" t="inlineStr">
        <is>
          <t>Endulini (Pty) Ltd</t>
        </is>
      </c>
      <c r="B20603" s="4" t="n">
        <v>45443</v>
      </c>
      <c r="C20603" s="3" t="inlineStr">
        <is>
          <t>Expenses</t>
        </is>
      </c>
      <c r="D20603" s="3" t="inlineStr">
        <is>
          <t>4350/000</t>
        </is>
      </c>
      <c r="E20603" s="3" t="inlineStr">
        <is>
          <t>Repairs _AND_ Maintenance</t>
        </is>
      </c>
      <c r="F20603" s="3" t="n">
        <v>0</v>
      </c>
      <c r="G20603" s="3" t="n">
        <v>2744.81</v>
      </c>
    </row>
    <row r="20604">
      <c r="A20604" s="3" t="inlineStr">
        <is>
          <t>Noble Shield (Pty) Ltd ta Go Letting</t>
        </is>
      </c>
      <c r="B20604" s="4" t="n">
        <v>45443</v>
      </c>
      <c r="C20604" s="3" t="inlineStr">
        <is>
          <t>Expenses</t>
        </is>
      </c>
      <c r="D20604" s="3" t="inlineStr">
        <is>
          <t>4350/000</t>
        </is>
      </c>
      <c r="E20604" s="3" t="inlineStr">
        <is>
          <t>Repairs _AND_ Maintenance</t>
        </is>
      </c>
      <c r="F20604" s="3" t="n">
        <v>-591.8</v>
      </c>
      <c r="G20604" s="3" t="n">
        <v>-591.8</v>
      </c>
    </row>
    <row r="20605">
      <c r="A20605" s="3" t="inlineStr">
        <is>
          <t>Opportunity Management Holdings (PTY) LTD</t>
        </is>
      </c>
      <c r="B20605" s="4" t="n">
        <v>45443</v>
      </c>
      <c r="C20605" s="3" t="inlineStr">
        <is>
          <t>Expenses</t>
        </is>
      </c>
      <c r="D20605" s="3" t="inlineStr">
        <is>
          <t>4350/000</t>
        </is>
      </c>
      <c r="E20605" s="3" t="inlineStr">
        <is>
          <t>Repairs _AND_ Maintenance</t>
        </is>
      </c>
      <c r="F20605" s="3" t="n">
        <v>117.39</v>
      </c>
      <c r="G20605" s="3" t="n">
        <v>1758.48</v>
      </c>
    </row>
    <row r="20606">
      <c r="A20606" s="3" t="inlineStr">
        <is>
          <t>Noble Shield (Pty) Ltd ta Go Letting</t>
        </is>
      </c>
      <c r="B20606" s="4" t="n">
        <v>45443</v>
      </c>
      <c r="C20606" s="3" t="inlineStr">
        <is>
          <t>Expenses</t>
        </is>
      </c>
      <c r="D20606" s="3" t="inlineStr">
        <is>
          <t>4351/000</t>
        </is>
      </c>
      <c r="E20606" s="3" t="inlineStr">
        <is>
          <t>Repairs _AND_ Maintanence - Rentals</t>
        </is>
      </c>
      <c r="F20606" s="3" t="n">
        <v>0</v>
      </c>
      <c r="G20606" s="3" t="n">
        <v>286.75</v>
      </c>
    </row>
    <row r="20607">
      <c r="A20607" s="3" t="inlineStr">
        <is>
          <t>Opportunity Global Property (PTY) LTD</t>
        </is>
      </c>
      <c r="B20607" s="4" t="n">
        <v>45443</v>
      </c>
      <c r="C20607" s="3" t="inlineStr">
        <is>
          <t>Expenses</t>
        </is>
      </c>
      <c r="D20607" s="3" t="inlineStr">
        <is>
          <t>4390/000</t>
        </is>
      </c>
      <c r="E20607" s="3" t="inlineStr">
        <is>
          <t>Small Assets</t>
        </is>
      </c>
      <c r="F20607" s="3" t="n">
        <v>0</v>
      </c>
      <c r="G20607" s="3" t="n">
        <v>1612.17</v>
      </c>
    </row>
    <row r="20608">
      <c r="A20608" s="3" t="inlineStr">
        <is>
          <t>Opportunity Management Holdings (PTY) LTD</t>
        </is>
      </c>
      <c r="B20608" s="4" t="n">
        <v>45443</v>
      </c>
      <c r="C20608" s="3" t="inlineStr">
        <is>
          <t>Expenses</t>
        </is>
      </c>
      <c r="D20608" s="3" t="inlineStr">
        <is>
          <t>4390/000</t>
        </is>
      </c>
      <c r="E20608" s="3" t="inlineStr">
        <is>
          <t>Small Assets</t>
        </is>
      </c>
      <c r="F20608" s="3" t="n">
        <v>0</v>
      </c>
      <c r="G20608" s="3" t="n">
        <v>9573.91</v>
      </c>
    </row>
    <row r="20609">
      <c r="A20609" s="3" t="inlineStr">
        <is>
          <t>Noble Shield (Pty) Ltd ta Go Letting</t>
        </is>
      </c>
      <c r="B20609" s="4" t="n">
        <v>45443</v>
      </c>
      <c r="C20609" s="3" t="inlineStr">
        <is>
          <t>Expenses</t>
        </is>
      </c>
      <c r="D20609" s="3" t="inlineStr">
        <is>
          <t>4400/000</t>
        </is>
      </c>
      <c r="E20609" s="3" t="inlineStr">
        <is>
          <t>Salaries _AND_ Wages</t>
        </is>
      </c>
      <c r="F20609" s="3" t="n">
        <v>0</v>
      </c>
      <c r="G20609" s="3" t="n">
        <v>223547.09</v>
      </c>
    </row>
    <row r="20610">
      <c r="A20610" s="3" t="inlineStr">
        <is>
          <t>Opportunity Global Property (PTY) LTD</t>
        </is>
      </c>
      <c r="B20610" s="4" t="n">
        <v>45443</v>
      </c>
      <c r="C20610" s="3" t="inlineStr">
        <is>
          <t>Expenses</t>
        </is>
      </c>
      <c r="D20610" s="3" t="inlineStr">
        <is>
          <t>4400/000</t>
        </is>
      </c>
      <c r="E20610" s="3" t="inlineStr">
        <is>
          <t>Salaries _AND_ Wages</t>
        </is>
      </c>
      <c r="F20610" s="3" t="n">
        <v>0</v>
      </c>
      <c r="G20610" s="3" t="n">
        <v>58836.74</v>
      </c>
    </row>
    <row r="20611">
      <c r="A20611" s="3" t="inlineStr">
        <is>
          <t>Opportunity Management Holdings (PTY) LTD</t>
        </is>
      </c>
      <c r="B20611" s="4" t="n">
        <v>45443</v>
      </c>
      <c r="C20611" s="3" t="inlineStr">
        <is>
          <t>Expenses</t>
        </is>
      </c>
      <c r="D20611" s="3" t="inlineStr">
        <is>
          <t>4400/000</t>
        </is>
      </c>
      <c r="E20611" s="3" t="inlineStr">
        <is>
          <t>Salaries _AND_ Wages</t>
        </is>
      </c>
      <c r="F20611" s="3" t="n">
        <v>0</v>
      </c>
      <c r="G20611" s="3" t="n">
        <v>1767923.37</v>
      </c>
    </row>
    <row r="20612">
      <c r="A20612" s="3" t="inlineStr">
        <is>
          <t>Opportunity Private Capital (PTY) LTD</t>
        </is>
      </c>
      <c r="B20612" s="4" t="n">
        <v>45443</v>
      </c>
      <c r="C20612" s="3" t="inlineStr">
        <is>
          <t>Expenses</t>
        </is>
      </c>
      <c r="D20612" s="3" t="inlineStr">
        <is>
          <t>4400/000</t>
        </is>
      </c>
      <c r="E20612" s="3" t="inlineStr">
        <is>
          <t>Salaries _AND_ Wages</t>
        </is>
      </c>
      <c r="F20612" s="3" t="n">
        <v>0</v>
      </c>
      <c r="G20612" s="3" t="n">
        <v>24754.65</v>
      </c>
    </row>
    <row r="20613">
      <c r="A20613" s="3" t="inlineStr">
        <is>
          <t>Trademark Holdings (Pty) Ltd</t>
        </is>
      </c>
      <c r="B20613" s="4" t="n">
        <v>45443</v>
      </c>
      <c r="C20613" s="3" t="inlineStr">
        <is>
          <t>Expenses</t>
        </is>
      </c>
      <c r="D20613" s="3" t="inlineStr">
        <is>
          <t>4400/000</t>
        </is>
      </c>
      <c r="E20613" s="3" t="inlineStr">
        <is>
          <t>Salaries _AND_ Wages</t>
        </is>
      </c>
      <c r="F20613" s="3" t="n">
        <v>0</v>
      </c>
      <c r="G20613" s="3" t="n">
        <v>99435.60000000001</v>
      </c>
    </row>
    <row r="20614">
      <c r="A20614" s="3" t="inlineStr">
        <is>
          <t>Opportunity Management Holdings (PTY) LTD</t>
        </is>
      </c>
      <c r="B20614" s="4" t="n">
        <v>45443</v>
      </c>
      <c r="C20614" s="3" t="inlineStr">
        <is>
          <t>Expenses</t>
        </is>
      </c>
      <c r="D20614" s="3" t="inlineStr">
        <is>
          <t>4450/000</t>
        </is>
      </c>
      <c r="E20614" s="3" t="inlineStr">
        <is>
          <t>Staff Training</t>
        </is>
      </c>
      <c r="F20614" s="3" t="n">
        <v>9300</v>
      </c>
      <c r="G20614" s="3" t="n">
        <v>9300</v>
      </c>
    </row>
    <row r="20615">
      <c r="A20615" s="3" t="inlineStr">
        <is>
          <t>Opportunity Private Capital (PTY) LTD</t>
        </is>
      </c>
      <c r="B20615" s="4" t="n">
        <v>45443</v>
      </c>
      <c r="C20615" s="3" t="inlineStr">
        <is>
          <t>Expenses</t>
        </is>
      </c>
      <c r="D20615" s="3" t="inlineStr">
        <is>
          <t>4450/000</t>
        </is>
      </c>
      <c r="E20615" s="3" t="inlineStr">
        <is>
          <t>Staff Training</t>
        </is>
      </c>
      <c r="F20615" s="3" t="n">
        <v>0</v>
      </c>
      <c r="G20615" s="3" t="n">
        <v>3022.61</v>
      </c>
    </row>
    <row r="20616">
      <c r="A20616" s="3" t="inlineStr">
        <is>
          <t>Noble Shield (Pty) Ltd ta Go Letting</t>
        </is>
      </c>
      <c r="B20616" s="4" t="n">
        <v>45443</v>
      </c>
      <c r="C20616" s="3" t="inlineStr">
        <is>
          <t>Expenses</t>
        </is>
      </c>
      <c r="D20616" s="3" t="inlineStr">
        <is>
          <t>4500/000</t>
        </is>
      </c>
      <c r="E20616" s="3" t="inlineStr">
        <is>
          <t>Staff Welfare</t>
        </is>
      </c>
      <c r="F20616" s="3" t="n">
        <v>9000</v>
      </c>
      <c r="G20616" s="3" t="n">
        <v>15599.4</v>
      </c>
    </row>
    <row r="20617">
      <c r="A20617" s="3" t="inlineStr">
        <is>
          <t>Opportunity Global Property (PTY) LTD</t>
        </is>
      </c>
      <c r="B20617" s="4" t="n">
        <v>45443</v>
      </c>
      <c r="C20617" s="3" t="inlineStr">
        <is>
          <t>Expenses</t>
        </is>
      </c>
      <c r="D20617" s="3" t="inlineStr">
        <is>
          <t>4500/000</t>
        </is>
      </c>
      <c r="E20617" s="3" t="inlineStr">
        <is>
          <t>Staff Welfare</t>
        </is>
      </c>
      <c r="F20617" s="3" t="n">
        <v>593.04</v>
      </c>
      <c r="G20617" s="3" t="n">
        <v>5372.16</v>
      </c>
    </row>
    <row r="20618">
      <c r="A20618" s="3" t="inlineStr">
        <is>
          <t>Opportunity Management Holdings (PTY) LTD</t>
        </is>
      </c>
      <c r="B20618" s="4" t="n">
        <v>45443</v>
      </c>
      <c r="C20618" s="3" t="inlineStr">
        <is>
          <t>Expenses</t>
        </is>
      </c>
      <c r="D20618" s="3" t="inlineStr">
        <is>
          <t>4500/000</t>
        </is>
      </c>
      <c r="E20618" s="3" t="inlineStr">
        <is>
          <t>Staff Welfare</t>
        </is>
      </c>
      <c r="F20618" s="3" t="n">
        <v>10422.4</v>
      </c>
      <c r="G20618" s="3" t="n">
        <v>85683.53</v>
      </c>
    </row>
    <row r="20619">
      <c r="A20619" s="3" t="inlineStr">
        <is>
          <t>Opportunity Private Capital (PTY) LTD</t>
        </is>
      </c>
      <c r="B20619" s="4" t="n">
        <v>45443</v>
      </c>
      <c r="C20619" s="3" t="inlineStr">
        <is>
          <t>Expenses</t>
        </is>
      </c>
      <c r="D20619" s="3" t="inlineStr">
        <is>
          <t>4500/000</t>
        </is>
      </c>
      <c r="E20619" s="3" t="inlineStr">
        <is>
          <t>Staff Welfare</t>
        </is>
      </c>
      <c r="F20619" s="3" t="n">
        <v>0</v>
      </c>
      <c r="G20619" s="3" t="n">
        <v>113.04</v>
      </c>
    </row>
    <row r="20620">
      <c r="A20620" s="3" t="inlineStr">
        <is>
          <t>Noble Shield (Pty) Ltd ta Go Letting</t>
        </is>
      </c>
      <c r="B20620" s="4" t="n">
        <v>45443</v>
      </c>
      <c r="C20620" s="3" t="inlineStr">
        <is>
          <t>Expenses</t>
        </is>
      </c>
      <c r="D20620" s="3" t="inlineStr">
        <is>
          <t>4520/000</t>
        </is>
      </c>
      <c r="E20620" s="3" t="inlineStr">
        <is>
          <t>Security</t>
        </is>
      </c>
      <c r="F20620" s="3" t="n">
        <v>884</v>
      </c>
      <c r="G20620" s="3" t="n">
        <v>8111.44</v>
      </c>
    </row>
    <row r="20621">
      <c r="A20621" s="3" t="inlineStr">
        <is>
          <t>Rock Blok (Pty) Ltd</t>
        </is>
      </c>
      <c r="B20621" s="4" t="n">
        <v>45443</v>
      </c>
      <c r="C20621" s="3" t="inlineStr">
        <is>
          <t>Expenses</t>
        </is>
      </c>
      <c r="D20621" s="3" t="inlineStr">
        <is>
          <t>454/001</t>
        </is>
      </c>
      <c r="E20621" s="3" t="inlineStr">
        <is>
          <t>Subscription - Xero</t>
        </is>
      </c>
      <c r="F20621" s="3" t="n">
        <v>695.75</v>
      </c>
      <c r="G20621" s="3" t="n">
        <v>695.75</v>
      </c>
    </row>
    <row r="20622">
      <c r="A20622" s="3" t="inlineStr">
        <is>
          <t>Quinate Consulting (Pty) Ltd</t>
        </is>
      </c>
      <c r="B20622" s="4" t="n">
        <v>45443</v>
      </c>
      <c r="C20622" s="3" t="inlineStr">
        <is>
          <t>Expenses</t>
        </is>
      </c>
      <c r="D20622" s="3" t="inlineStr">
        <is>
          <t>4550/000</t>
        </is>
      </c>
      <c r="E20622" s="3" t="inlineStr">
        <is>
          <t>Subscriptions / Licenses</t>
        </is>
      </c>
      <c r="F20622" s="3" t="n">
        <v>14946.49</v>
      </c>
      <c r="G20622" s="3" t="n">
        <v>45192.55</v>
      </c>
    </row>
    <row r="20623">
      <c r="A20623" s="3" t="inlineStr">
        <is>
          <t>Opportunity Management Holdings (PTY) LTD</t>
        </is>
      </c>
      <c r="B20623" s="4" t="n">
        <v>45443</v>
      </c>
      <c r="C20623" s="3" t="inlineStr">
        <is>
          <t>Expenses</t>
        </is>
      </c>
      <c r="D20623" s="3" t="inlineStr">
        <is>
          <t>4550/000</t>
        </is>
      </c>
      <c r="E20623" s="3" t="inlineStr">
        <is>
          <t>Subscriptions _AND_ Lisences</t>
        </is>
      </c>
      <c r="F20623" s="3" t="n">
        <v>3422.91</v>
      </c>
      <c r="G20623" s="3" t="n">
        <v>46455.56</v>
      </c>
    </row>
    <row r="20624">
      <c r="A20624" s="3" t="inlineStr">
        <is>
          <t>Opportunity Global Property (PTY) LTD</t>
        </is>
      </c>
      <c r="B20624" s="4" t="n">
        <v>45443</v>
      </c>
      <c r="C20624" s="3" t="inlineStr">
        <is>
          <t>Expenses</t>
        </is>
      </c>
      <c r="D20624" s="3" t="inlineStr">
        <is>
          <t>4550/100</t>
        </is>
      </c>
      <c r="E20624" s="3" t="inlineStr">
        <is>
          <t>Subsciption - We connect U</t>
        </is>
      </c>
      <c r="F20624" s="3" t="n">
        <v>7185</v>
      </c>
      <c r="G20624" s="3" t="n">
        <v>8370</v>
      </c>
    </row>
    <row r="20625">
      <c r="A20625" s="3" t="inlineStr">
        <is>
          <t>Noble Shield (Pty) Ltd ta Go Letting</t>
        </is>
      </c>
      <c r="B20625" s="4" t="n">
        <v>45443</v>
      </c>
      <c r="C20625" s="3" t="inlineStr">
        <is>
          <t>Expenses</t>
        </is>
      </c>
      <c r="D20625" s="3" t="inlineStr">
        <is>
          <t>4550/100</t>
        </is>
      </c>
      <c r="E20625" s="3" t="inlineStr">
        <is>
          <t>Subscriptions - EAAB</t>
        </is>
      </c>
      <c r="F20625" s="3" t="n">
        <v>0</v>
      </c>
      <c r="G20625" s="3" t="n">
        <v>4812</v>
      </c>
    </row>
    <row r="20626">
      <c r="A20626" s="3" t="inlineStr">
        <is>
          <t>Trademark Holdings (Pty) Ltd</t>
        </is>
      </c>
      <c r="B20626" s="4" t="n">
        <v>45443</v>
      </c>
      <c r="C20626" s="3" t="inlineStr">
        <is>
          <t>Expenses</t>
        </is>
      </c>
      <c r="D20626" s="3" t="inlineStr">
        <is>
          <t>4550/100</t>
        </is>
      </c>
      <c r="E20626" s="3" t="inlineStr">
        <is>
          <t>Subscriptions - EAAB</t>
        </is>
      </c>
      <c r="F20626" s="3" t="n">
        <v>0</v>
      </c>
      <c r="G20626" s="3" t="n">
        <v>1604</v>
      </c>
    </row>
    <row r="20627">
      <c r="A20627" s="3" t="inlineStr">
        <is>
          <t>Opportunity Private Capital (PTY) LTD</t>
        </is>
      </c>
      <c r="B20627" s="4" t="n">
        <v>45443</v>
      </c>
      <c r="C20627" s="3" t="inlineStr">
        <is>
          <t>Expenses</t>
        </is>
      </c>
      <c r="D20627" s="3" t="inlineStr">
        <is>
          <t>4550/100</t>
        </is>
      </c>
      <c r="E20627" s="3" t="inlineStr">
        <is>
          <t>Subscriptions - Zoho</t>
        </is>
      </c>
      <c r="F20627" s="3" t="n">
        <v>1575</v>
      </c>
      <c r="G20627" s="3" t="n">
        <v>5066.38</v>
      </c>
    </row>
    <row r="20628">
      <c r="A20628" s="3" t="inlineStr">
        <is>
          <t>Opportunity Private Capital (PTY) LTD</t>
        </is>
      </c>
      <c r="B20628" s="4" t="n">
        <v>45443</v>
      </c>
      <c r="C20628" s="3" t="inlineStr">
        <is>
          <t>Expenses</t>
        </is>
      </c>
      <c r="D20628" s="3" t="inlineStr">
        <is>
          <t>4550/250</t>
        </is>
      </c>
      <c r="E20628" s="3" t="inlineStr">
        <is>
          <t>Subscriptions - LinkedIn</t>
        </is>
      </c>
      <c r="F20628" s="3" t="n">
        <v>0</v>
      </c>
      <c r="G20628" s="3" t="n">
        <v>2000.98</v>
      </c>
    </row>
    <row r="20629">
      <c r="A20629" s="3" t="inlineStr">
        <is>
          <t>Opportunity Private Capital (PTY) LTD</t>
        </is>
      </c>
      <c r="B20629" s="4" t="n">
        <v>45443</v>
      </c>
      <c r="C20629" s="3" t="inlineStr">
        <is>
          <t>Expenses</t>
        </is>
      </c>
      <c r="D20629" s="3" t="inlineStr">
        <is>
          <t>4550/350</t>
        </is>
      </c>
      <c r="E20629" s="3" t="inlineStr">
        <is>
          <t>Subscriptions - Xero</t>
        </is>
      </c>
      <c r="F20629" s="3" t="n">
        <v>600</v>
      </c>
      <c r="G20629" s="3" t="n">
        <v>1800</v>
      </c>
    </row>
    <row r="20630">
      <c r="A20630" s="3" t="inlineStr">
        <is>
          <t>Opportunity Private Capital (PTY) LTD</t>
        </is>
      </c>
      <c r="B20630" s="4" t="n">
        <v>45443</v>
      </c>
      <c r="C20630" s="3" t="inlineStr">
        <is>
          <t>Expenses</t>
        </is>
      </c>
      <c r="D20630" s="3" t="inlineStr">
        <is>
          <t>4550/400</t>
        </is>
      </c>
      <c r="E20630" s="3" t="inlineStr">
        <is>
          <t>Subscriptions - Moneyweb</t>
        </is>
      </c>
      <c r="F20630" s="3" t="n">
        <v>60.87</v>
      </c>
      <c r="G20630" s="3" t="n">
        <v>182.61</v>
      </c>
    </row>
    <row r="20631">
      <c r="A20631" s="3" t="inlineStr">
        <is>
          <t>Trademark Holdings (Pty) Ltd</t>
        </is>
      </c>
      <c r="B20631" s="4" t="n">
        <v>45443</v>
      </c>
      <c r="C20631" s="3" t="inlineStr">
        <is>
          <t>Expenses</t>
        </is>
      </c>
      <c r="D20631" s="3" t="inlineStr">
        <is>
          <t>4550/400</t>
        </is>
      </c>
      <c r="E20631" s="3" t="inlineStr">
        <is>
          <t>Subscriptions - Xero</t>
        </is>
      </c>
      <c r="F20631" s="3" t="n">
        <v>600</v>
      </c>
      <c r="G20631" s="3" t="n">
        <v>5400</v>
      </c>
    </row>
    <row r="20632">
      <c r="A20632" s="3" t="inlineStr">
        <is>
          <t>Opportunity Private Capital (PTY) LTD</t>
        </is>
      </c>
      <c r="B20632" s="4" t="n">
        <v>45443</v>
      </c>
      <c r="C20632" s="3" t="inlineStr">
        <is>
          <t>Expenses</t>
        </is>
      </c>
      <c r="D20632" s="3" t="inlineStr">
        <is>
          <t>4550/450</t>
        </is>
      </c>
      <c r="E20632" s="3" t="inlineStr">
        <is>
          <t>Subscriptions - Adobe</t>
        </is>
      </c>
      <c r="F20632" s="3" t="n">
        <v>246.6</v>
      </c>
      <c r="G20632" s="3" t="n">
        <v>2076.87</v>
      </c>
    </row>
    <row r="20633">
      <c r="A20633" s="3" t="inlineStr">
        <is>
          <t>Opportunity Private Capital (PTY) LTD</t>
        </is>
      </c>
      <c r="B20633" s="4" t="n">
        <v>45443</v>
      </c>
      <c r="C20633" s="3" t="inlineStr">
        <is>
          <t>Expenses</t>
        </is>
      </c>
      <c r="D20633" s="3" t="inlineStr">
        <is>
          <t>4550/500</t>
        </is>
      </c>
      <c r="E20633" s="3" t="inlineStr">
        <is>
          <t>Subscriptions - Pandadoc</t>
        </is>
      </c>
      <c r="F20633" s="3" t="n">
        <v>667.04</v>
      </c>
      <c r="G20633" s="3" t="n">
        <v>2006.99</v>
      </c>
    </row>
    <row r="20634">
      <c r="A20634" s="3" t="inlineStr">
        <is>
          <t>Opportunity Private Capital (PTY) LTD</t>
        </is>
      </c>
      <c r="B20634" s="4" t="n">
        <v>45443</v>
      </c>
      <c r="C20634" s="3" t="inlineStr">
        <is>
          <t>Expenses</t>
        </is>
      </c>
      <c r="D20634" s="3" t="inlineStr">
        <is>
          <t>4550/600</t>
        </is>
      </c>
      <c r="E20634" s="3" t="inlineStr">
        <is>
          <t>Subscription - Private Property</t>
        </is>
      </c>
      <c r="F20634" s="3" t="n">
        <v>0</v>
      </c>
      <c r="G20634" s="3" t="n">
        <v>8037</v>
      </c>
    </row>
    <row r="20635">
      <c r="A20635" s="3" t="inlineStr">
        <is>
          <t>Noble Shield (Pty) Ltd ta Go Letting</t>
        </is>
      </c>
      <c r="B20635" s="4" t="n">
        <v>45443</v>
      </c>
      <c r="C20635" s="3" t="inlineStr">
        <is>
          <t>Expenses</t>
        </is>
      </c>
      <c r="D20635" s="3" t="inlineStr">
        <is>
          <t>4550/600</t>
        </is>
      </c>
      <c r="E20635" s="3" t="inlineStr">
        <is>
          <t>Subscriptions - Webbox</t>
        </is>
      </c>
      <c r="F20635" s="3" t="n">
        <v>1889.45</v>
      </c>
      <c r="G20635" s="3" t="n">
        <v>15835.5</v>
      </c>
    </row>
    <row r="20636">
      <c r="A20636" s="3" t="inlineStr">
        <is>
          <t>Noble Shield (Pty) Ltd ta Go Letting</t>
        </is>
      </c>
      <c r="B20636" s="4" t="n">
        <v>45443</v>
      </c>
      <c r="C20636" s="3" t="inlineStr">
        <is>
          <t>Expenses</t>
        </is>
      </c>
      <c r="D20636" s="3" t="inlineStr">
        <is>
          <t>4550/650</t>
        </is>
      </c>
      <c r="E20636" s="3" t="inlineStr">
        <is>
          <t>Subscriptions - Xero</t>
        </is>
      </c>
      <c r="F20636" s="3" t="n">
        <v>600</v>
      </c>
      <c r="G20636" s="3" t="n">
        <v>5400</v>
      </c>
    </row>
    <row r="20637">
      <c r="A20637" s="3" t="inlineStr">
        <is>
          <t>Noble Shield (Pty) Ltd ta Go Letting</t>
        </is>
      </c>
      <c r="B20637" s="4" t="n">
        <v>45443</v>
      </c>
      <c r="C20637" s="3" t="inlineStr">
        <is>
          <t>Expenses</t>
        </is>
      </c>
      <c r="D20637" s="3" t="inlineStr">
        <is>
          <t>4550/800</t>
        </is>
      </c>
      <c r="E20637" s="3" t="inlineStr">
        <is>
          <t>Subscriptions - Adobe</t>
        </is>
      </c>
      <c r="F20637" s="3" t="n">
        <v>0</v>
      </c>
      <c r="G20637" s="3" t="n">
        <v>914.5599999999999</v>
      </c>
    </row>
    <row r="20638">
      <c r="A20638" s="3" t="inlineStr">
        <is>
          <t>Opportunity Global Property (PTY) LTD</t>
        </is>
      </c>
      <c r="B20638" s="4" t="n">
        <v>45443</v>
      </c>
      <c r="C20638" s="3" t="inlineStr">
        <is>
          <t>Expenses</t>
        </is>
      </c>
      <c r="D20638" s="3" t="inlineStr">
        <is>
          <t>4551/000</t>
        </is>
      </c>
      <c r="E20638" s="3" t="inlineStr">
        <is>
          <t>Subscriptions - Payprop</t>
        </is>
      </c>
      <c r="F20638" s="3" t="n">
        <v>1175.21</v>
      </c>
      <c r="G20638" s="3" t="n">
        <v>7752.72</v>
      </c>
    </row>
    <row r="20639">
      <c r="A20639" s="3" t="inlineStr">
        <is>
          <t>Endulini (Pty) Ltd</t>
        </is>
      </c>
      <c r="B20639" s="4" t="n">
        <v>45443</v>
      </c>
      <c r="C20639" s="3" t="inlineStr">
        <is>
          <t>Expenses</t>
        </is>
      </c>
      <c r="D20639" s="3" t="inlineStr">
        <is>
          <t>4552/000</t>
        </is>
      </c>
      <c r="E20639" s="3" t="inlineStr">
        <is>
          <t>Subscriptions - Xero</t>
        </is>
      </c>
      <c r="F20639" s="3" t="n">
        <v>600</v>
      </c>
      <c r="G20639" s="3" t="n">
        <v>1800</v>
      </c>
    </row>
    <row r="20640">
      <c r="A20640" s="3" t="inlineStr">
        <is>
          <t>Opportunity Global Property (PTY) LTD</t>
        </is>
      </c>
      <c r="B20640" s="4" t="n">
        <v>45443</v>
      </c>
      <c r="C20640" s="3" t="inlineStr">
        <is>
          <t>Expenses</t>
        </is>
      </c>
      <c r="D20640" s="3" t="inlineStr">
        <is>
          <t>4552/000</t>
        </is>
      </c>
      <c r="E20640" s="3" t="inlineStr">
        <is>
          <t>Subscriptions - Xero</t>
        </is>
      </c>
      <c r="F20640" s="3" t="n">
        <v>600</v>
      </c>
      <c r="G20640" s="3" t="n">
        <v>1800</v>
      </c>
    </row>
    <row r="20641">
      <c r="A20641" s="3" t="inlineStr">
        <is>
          <t>Opportunity Management Holdings (PTY) LTD</t>
        </is>
      </c>
      <c r="B20641" s="4" t="n">
        <v>45443</v>
      </c>
      <c r="C20641" s="3" t="inlineStr">
        <is>
          <t>Expenses</t>
        </is>
      </c>
      <c r="D20641" s="3" t="inlineStr">
        <is>
          <t>4552/000</t>
        </is>
      </c>
      <c r="E20641" s="3" t="inlineStr">
        <is>
          <t>Subscriptions - Xero</t>
        </is>
      </c>
      <c r="F20641" s="3" t="n">
        <v>600</v>
      </c>
      <c r="G20641" s="3" t="n">
        <v>5400</v>
      </c>
    </row>
    <row r="20642">
      <c r="A20642" s="3" t="inlineStr">
        <is>
          <t>Opportunity Global Property (PTY) LTD</t>
        </is>
      </c>
      <c r="B20642" s="4" t="n">
        <v>45443</v>
      </c>
      <c r="C20642" s="3" t="inlineStr">
        <is>
          <t>Expenses</t>
        </is>
      </c>
      <c r="D20642" s="3" t="inlineStr">
        <is>
          <t>4553/000</t>
        </is>
      </c>
      <c r="E20642" s="3" t="inlineStr">
        <is>
          <t>Subscriptions - CMA</t>
        </is>
      </c>
      <c r="F20642" s="3" t="n">
        <v>680</v>
      </c>
      <c r="G20642" s="3" t="n">
        <v>2040</v>
      </c>
    </row>
    <row r="20643">
      <c r="A20643" s="3" t="inlineStr">
        <is>
          <t>Quinate Consulting (Pty) Ltd</t>
        </is>
      </c>
      <c r="B20643" s="4" t="n">
        <v>45443</v>
      </c>
      <c r="C20643" s="3" t="inlineStr">
        <is>
          <t>Expenses</t>
        </is>
      </c>
      <c r="D20643" s="3" t="inlineStr">
        <is>
          <t>4554/000</t>
        </is>
      </c>
      <c r="E20643" s="3" t="inlineStr">
        <is>
          <t>Subscriptions - Xero</t>
        </is>
      </c>
      <c r="F20643" s="3" t="n">
        <v>600</v>
      </c>
      <c r="G20643" s="3" t="n">
        <v>1800</v>
      </c>
    </row>
    <row r="20644">
      <c r="A20644" s="3" t="inlineStr">
        <is>
          <t>Opportunity Global Property (PTY) LTD</t>
        </is>
      </c>
      <c r="B20644" s="4" t="n">
        <v>45443</v>
      </c>
      <c r="C20644" s="3" t="inlineStr">
        <is>
          <t>Expenses</t>
        </is>
      </c>
      <c r="D20644" s="3" t="inlineStr">
        <is>
          <t>4554/000</t>
        </is>
      </c>
      <c r="E20644" s="3" t="inlineStr">
        <is>
          <t>Subscriptions - Zoho</t>
        </is>
      </c>
      <c r="F20644" s="3" t="n">
        <v>750</v>
      </c>
      <c r="G20644" s="3" t="n">
        <v>2250</v>
      </c>
    </row>
    <row r="20645">
      <c r="A20645" s="3" t="inlineStr">
        <is>
          <t>Quinate Consulting (Pty) Ltd</t>
        </is>
      </c>
      <c r="B20645" s="4" t="n">
        <v>45443</v>
      </c>
      <c r="C20645" s="3" t="inlineStr">
        <is>
          <t>Expenses</t>
        </is>
      </c>
      <c r="D20645" s="3" t="inlineStr">
        <is>
          <t>4555/000</t>
        </is>
      </c>
      <c r="E20645" s="3" t="inlineStr">
        <is>
          <t>Subscriptions - OUMS</t>
        </is>
      </c>
      <c r="F20645" s="3" t="n">
        <v>13465.42</v>
      </c>
      <c r="G20645" s="3" t="n">
        <v>40396.26</v>
      </c>
    </row>
    <row r="20646">
      <c r="A20646" s="3" t="inlineStr">
        <is>
          <t>Opportunity Global Property (PTY) LTD</t>
        </is>
      </c>
      <c r="B20646" s="4" t="n">
        <v>45443</v>
      </c>
      <c r="C20646" s="3" t="inlineStr">
        <is>
          <t>Expenses</t>
        </is>
      </c>
      <c r="D20646" s="3" t="inlineStr">
        <is>
          <t>4556/000</t>
        </is>
      </c>
      <c r="E20646" s="3" t="inlineStr">
        <is>
          <t>Subscription: Sjoon</t>
        </is>
      </c>
      <c r="F20646" s="3" t="n">
        <v>217.39</v>
      </c>
      <c r="G20646" s="3" t="n">
        <v>652.17</v>
      </c>
    </row>
    <row r="20647">
      <c r="A20647" s="3" t="inlineStr">
        <is>
          <t>Opportunity Global Property (PTY) LTD</t>
        </is>
      </c>
      <c r="B20647" s="4" t="n">
        <v>45443</v>
      </c>
      <c r="C20647" s="3" t="inlineStr">
        <is>
          <t>Expenses</t>
        </is>
      </c>
      <c r="D20647" s="3" t="inlineStr">
        <is>
          <t>4557/000</t>
        </is>
      </c>
      <c r="E20647" s="3" t="inlineStr">
        <is>
          <t>Subscriptions - Lighthouse</t>
        </is>
      </c>
      <c r="F20647" s="3" t="n">
        <v>0</v>
      </c>
      <c r="G20647" s="3" t="n">
        <v>415</v>
      </c>
    </row>
    <row r="20648">
      <c r="A20648" s="3" t="inlineStr">
        <is>
          <t>Noble Shield (Pty) Ltd ta Go Letting</t>
        </is>
      </c>
      <c r="B20648" s="4" t="n">
        <v>45443</v>
      </c>
      <c r="C20648" s="3" t="inlineStr">
        <is>
          <t>Expenses</t>
        </is>
      </c>
      <c r="D20648" s="3" t="inlineStr">
        <is>
          <t>4560/000</t>
        </is>
      </c>
      <c r="E20648" s="3" t="inlineStr">
        <is>
          <t>Small Assets - under R7000</t>
        </is>
      </c>
      <c r="F20648" s="3" t="n">
        <v>1700</v>
      </c>
      <c r="G20648" s="3" t="n">
        <v>11866</v>
      </c>
    </row>
    <row r="20649">
      <c r="A20649" s="3" t="inlineStr">
        <is>
          <t>Opportunity Management Holdings (PTY) LTD</t>
        </is>
      </c>
      <c r="B20649" s="4" t="n">
        <v>45443</v>
      </c>
      <c r="C20649" s="3" t="inlineStr">
        <is>
          <t>Expenses</t>
        </is>
      </c>
      <c r="D20649" s="3" t="inlineStr">
        <is>
          <t>4600/000</t>
        </is>
      </c>
      <c r="E20649" s="3" t="inlineStr">
        <is>
          <t>Telephone _AND_ Fax</t>
        </is>
      </c>
      <c r="F20649" s="3" t="n">
        <v>95.65000000000001</v>
      </c>
      <c r="G20649" s="3" t="n">
        <v>447.82</v>
      </c>
    </row>
    <row r="20650">
      <c r="A20650" s="3" t="inlineStr">
        <is>
          <t>Opportunity Private Capital (PTY) LTD</t>
        </is>
      </c>
      <c r="B20650" s="4" t="n">
        <v>45443</v>
      </c>
      <c r="C20650" s="3" t="inlineStr">
        <is>
          <t>Expenses</t>
        </is>
      </c>
      <c r="D20650" s="3" t="inlineStr">
        <is>
          <t>4600/000</t>
        </is>
      </c>
      <c r="E20650" s="3" t="inlineStr">
        <is>
          <t>Telephone _AND_ Fax</t>
        </is>
      </c>
      <c r="F20650" s="3" t="n">
        <v>3485.43</v>
      </c>
      <c r="G20650" s="3" t="n">
        <v>10645.86</v>
      </c>
    </row>
    <row r="20651">
      <c r="A20651" s="3" t="inlineStr">
        <is>
          <t>Trademark Holdings (Pty) Ltd</t>
        </is>
      </c>
      <c r="B20651" s="4" t="n">
        <v>45443</v>
      </c>
      <c r="C20651" s="3" t="inlineStr">
        <is>
          <t>Expenses</t>
        </is>
      </c>
      <c r="D20651" s="3" t="inlineStr">
        <is>
          <t>4600/000</t>
        </is>
      </c>
      <c r="E20651" s="3" t="inlineStr">
        <is>
          <t>Telephone _AND_ Fax</t>
        </is>
      </c>
      <c r="F20651" s="3" t="n">
        <v>772.36</v>
      </c>
      <c r="G20651" s="3" t="n">
        <v>10154.96</v>
      </c>
    </row>
    <row r="20652">
      <c r="A20652" s="3" t="inlineStr">
        <is>
          <t>Noble Shield (Pty) Ltd ta Go Letting</t>
        </is>
      </c>
      <c r="B20652" s="4" t="n">
        <v>45443</v>
      </c>
      <c r="C20652" s="3" t="inlineStr">
        <is>
          <t>Expenses</t>
        </is>
      </c>
      <c r="D20652" s="3" t="inlineStr">
        <is>
          <t>4610/000</t>
        </is>
      </c>
      <c r="E20652" s="3" t="inlineStr">
        <is>
          <t>Telephone - CT Office</t>
        </is>
      </c>
      <c r="F20652" s="3" t="n">
        <v>1022.14</v>
      </c>
      <c r="G20652" s="3" t="n">
        <v>10932.1</v>
      </c>
    </row>
    <row r="20653">
      <c r="A20653" s="3" t="inlineStr">
        <is>
          <t>Quinate Consulting (Pty) Ltd</t>
        </is>
      </c>
      <c r="B20653" s="4" t="n">
        <v>45443</v>
      </c>
      <c r="C20653" s="3" t="inlineStr">
        <is>
          <t>Expenses</t>
        </is>
      </c>
      <c r="D20653" s="3" t="inlineStr">
        <is>
          <t>4650/030</t>
        </is>
      </c>
      <c r="E20653" s="3" t="inlineStr">
        <is>
          <t>Travel - Parking</t>
        </is>
      </c>
      <c r="F20653" s="3" t="n">
        <v>0</v>
      </c>
      <c r="G20653" s="3" t="n">
        <v>17.39</v>
      </c>
    </row>
    <row r="20654">
      <c r="A20654" s="3" t="inlineStr">
        <is>
          <t>Opportunity Private Capital (PTY) LTD</t>
        </is>
      </c>
      <c r="B20654" s="4" t="n">
        <v>45443</v>
      </c>
      <c r="C20654" s="3" t="inlineStr">
        <is>
          <t>Expenses</t>
        </is>
      </c>
      <c r="D20654" s="3" t="inlineStr">
        <is>
          <t>4650/030</t>
        </is>
      </c>
      <c r="E20654" s="3" t="inlineStr">
        <is>
          <t>Travel _AND_ Accomodation - Local Accom</t>
        </is>
      </c>
      <c r="F20654" s="3" t="n">
        <v>0</v>
      </c>
      <c r="G20654" s="3" t="n">
        <v>5752.18</v>
      </c>
    </row>
    <row r="20655">
      <c r="A20655" s="3" t="inlineStr">
        <is>
          <t>Opportunity Global Property (PTY) LTD</t>
        </is>
      </c>
      <c r="B20655" s="4" t="n">
        <v>45443</v>
      </c>
      <c r="C20655" s="3" t="inlineStr">
        <is>
          <t>Expenses</t>
        </is>
      </c>
      <c r="D20655" s="3" t="inlineStr">
        <is>
          <t>4650/070</t>
        </is>
      </c>
      <c r="E20655" s="3" t="inlineStr">
        <is>
          <t>Travel &amp; Accommodation - Petrol</t>
        </is>
      </c>
      <c r="F20655" s="3" t="n">
        <v>313.5</v>
      </c>
      <c r="G20655" s="3" t="n">
        <v>313.5</v>
      </c>
    </row>
    <row r="20656">
      <c r="A20656" s="3" t="inlineStr">
        <is>
          <t>Opportunity Private Capital (PTY) LTD</t>
        </is>
      </c>
      <c r="B20656" s="4" t="n">
        <v>45443</v>
      </c>
      <c r="C20656" s="3" t="inlineStr">
        <is>
          <t>Expenses</t>
        </is>
      </c>
      <c r="D20656" s="3" t="inlineStr">
        <is>
          <t>4650/090</t>
        </is>
      </c>
      <c r="E20656" s="3" t="inlineStr">
        <is>
          <t>Travel &amp; Accom - Fuel</t>
        </is>
      </c>
      <c r="F20656" s="3" t="n">
        <v>1098.75</v>
      </c>
      <c r="G20656" s="3" t="n">
        <v>1098.75</v>
      </c>
    </row>
    <row r="20657">
      <c r="A20657" s="3" t="inlineStr">
        <is>
          <t>Noble Shield (Pty) Ltd ta Go Letting</t>
        </is>
      </c>
      <c r="B20657" s="4" t="n">
        <v>45443</v>
      </c>
      <c r="C20657" s="3" t="inlineStr">
        <is>
          <t>Expenses</t>
        </is>
      </c>
      <c r="D20657" s="3" t="inlineStr">
        <is>
          <t>4700/000</t>
        </is>
      </c>
      <c r="E20657" s="3" t="inlineStr">
        <is>
          <t>PAYE Contributions</t>
        </is>
      </c>
      <c r="F20657" s="3" t="n">
        <v>0</v>
      </c>
      <c r="G20657" s="3" t="n">
        <v>42201.59</v>
      </c>
    </row>
    <row r="20658">
      <c r="A20658" s="3" t="inlineStr">
        <is>
          <t>Trademark Holdings (Pty) Ltd</t>
        </is>
      </c>
      <c r="B20658" s="4" t="n">
        <v>45443</v>
      </c>
      <c r="C20658" s="3" t="inlineStr">
        <is>
          <t>Expenses</t>
        </is>
      </c>
      <c r="D20658" s="3" t="inlineStr">
        <is>
          <t>4700/000</t>
        </is>
      </c>
      <c r="E20658" s="3" t="inlineStr">
        <is>
          <t>PAYE Contributions</t>
        </is>
      </c>
      <c r="F20658" s="3" t="n">
        <v>0</v>
      </c>
      <c r="G20658" s="3" t="n">
        <v>51169.44</v>
      </c>
    </row>
    <row r="20659">
      <c r="A20659" s="3" t="inlineStr">
        <is>
          <t>Opportunity Global Property (PTY) LTD</t>
        </is>
      </c>
      <c r="B20659" s="4" t="n">
        <v>45443</v>
      </c>
      <c r="C20659" s="3" t="inlineStr">
        <is>
          <t>Expenses</t>
        </is>
      </c>
      <c r="D20659" s="3" t="inlineStr">
        <is>
          <t>4700/000</t>
        </is>
      </c>
      <c r="E20659" s="3" t="inlineStr">
        <is>
          <t>UIF Contributions</t>
        </is>
      </c>
      <c r="F20659" s="3" t="n">
        <v>0</v>
      </c>
      <c r="G20659" s="3" t="n">
        <v>317.12</v>
      </c>
    </row>
    <row r="20660">
      <c r="A20660" s="3" t="inlineStr">
        <is>
          <t>Opportunity Private Capital (PTY) LTD</t>
        </is>
      </c>
      <c r="B20660" s="4" t="n">
        <v>45443</v>
      </c>
      <c r="C20660" s="3" t="inlineStr">
        <is>
          <t>Expenses</t>
        </is>
      </c>
      <c r="D20660" s="3" t="inlineStr">
        <is>
          <t>4700/000</t>
        </is>
      </c>
      <c r="E20660" s="3" t="inlineStr">
        <is>
          <t>UIF Contributions</t>
        </is>
      </c>
      <c r="F20660" s="3" t="n">
        <v>0</v>
      </c>
      <c r="G20660" s="3" t="n">
        <v>354.24</v>
      </c>
    </row>
    <row r="20661">
      <c r="A20661" s="3" t="inlineStr">
        <is>
          <t>Opportunity Global Property (PTY) LTD</t>
        </is>
      </c>
      <c r="B20661" s="4" t="n">
        <v>45443</v>
      </c>
      <c r="C20661" s="3" t="inlineStr">
        <is>
          <t>Expenses</t>
        </is>
      </c>
      <c r="D20661" s="3" t="inlineStr">
        <is>
          <t>4701/000</t>
        </is>
      </c>
      <c r="E20661" s="3" t="inlineStr">
        <is>
          <t>UIF Employee Contribution</t>
        </is>
      </c>
      <c r="F20661" s="3" t="n">
        <v>0</v>
      </c>
      <c r="G20661" s="3" t="n">
        <v>317.12</v>
      </c>
    </row>
    <row r="20662">
      <c r="A20662" s="3" t="inlineStr">
        <is>
          <t>Opportunity Private Capital (PTY) LTD</t>
        </is>
      </c>
      <c r="B20662" s="4" t="n">
        <v>45443</v>
      </c>
      <c r="C20662" s="3" t="inlineStr">
        <is>
          <t>Expenses</t>
        </is>
      </c>
      <c r="D20662" s="3" t="inlineStr">
        <is>
          <t>4701/000</t>
        </is>
      </c>
      <c r="E20662" s="3" t="inlineStr">
        <is>
          <t>UIF Employee Contributions</t>
        </is>
      </c>
      <c r="F20662" s="3" t="n">
        <v>0</v>
      </c>
      <c r="G20662" s="3" t="n">
        <v>354.24</v>
      </c>
    </row>
    <row r="20663">
      <c r="A20663" s="3" t="inlineStr">
        <is>
          <t>Noble Shield (Pty) Ltd ta Go Letting</t>
        </is>
      </c>
      <c r="B20663" s="4" t="n">
        <v>45443</v>
      </c>
      <c r="C20663" s="3" t="inlineStr">
        <is>
          <t>Expenses</t>
        </is>
      </c>
      <c r="D20663" s="3" t="inlineStr">
        <is>
          <t>4710/000</t>
        </is>
      </c>
      <c r="E20663" s="3" t="inlineStr">
        <is>
          <t>UIF Company Contributions</t>
        </is>
      </c>
      <c r="F20663" s="3" t="n">
        <v>0</v>
      </c>
      <c r="G20663" s="3" t="n">
        <v>2056.5</v>
      </c>
    </row>
    <row r="20664">
      <c r="A20664" s="3" t="inlineStr">
        <is>
          <t>Trademark Holdings (Pty) Ltd</t>
        </is>
      </c>
      <c r="B20664" s="4" t="n">
        <v>45443</v>
      </c>
      <c r="C20664" s="3" t="inlineStr">
        <is>
          <t>Expenses</t>
        </is>
      </c>
      <c r="D20664" s="3" t="inlineStr">
        <is>
          <t>4710/000</t>
        </is>
      </c>
      <c r="E20664" s="3" t="inlineStr">
        <is>
          <t>UIF Company Contributions</t>
        </is>
      </c>
      <c r="F20664" s="3" t="n">
        <v>0</v>
      </c>
      <c r="G20664" s="3" t="n">
        <v>762</v>
      </c>
    </row>
    <row r="20665">
      <c r="A20665" s="3" t="inlineStr">
        <is>
          <t>Noble Shield (Pty) Ltd ta Go Letting</t>
        </is>
      </c>
      <c r="B20665" s="4" t="n">
        <v>45443</v>
      </c>
      <c r="C20665" s="3" t="inlineStr">
        <is>
          <t>Expenses</t>
        </is>
      </c>
      <c r="D20665" s="3" t="inlineStr">
        <is>
          <t>4711/000</t>
        </is>
      </c>
      <c r="E20665" s="3" t="inlineStr">
        <is>
          <t>UIF Employee Contribution</t>
        </is>
      </c>
      <c r="F20665" s="3" t="n">
        <v>0</v>
      </c>
      <c r="G20665" s="3" t="n">
        <v>2056.5</v>
      </c>
    </row>
    <row r="20666">
      <c r="A20666" s="3" t="inlineStr">
        <is>
          <t>Trademark Holdings (Pty) Ltd</t>
        </is>
      </c>
      <c r="B20666" s="4" t="n">
        <v>45443</v>
      </c>
      <c r="C20666" s="3" t="inlineStr">
        <is>
          <t>Expenses</t>
        </is>
      </c>
      <c r="D20666" s="3" t="inlineStr">
        <is>
          <t>4711/000</t>
        </is>
      </c>
      <c r="E20666" s="3" t="inlineStr">
        <is>
          <t>UIF Employee Contributions</t>
        </is>
      </c>
      <c r="F20666" s="3" t="n">
        <v>0</v>
      </c>
      <c r="G20666" s="3" t="n">
        <v>762</v>
      </c>
    </row>
    <row r="20667">
      <c r="A20667" s="3" t="inlineStr">
        <is>
          <t>Noble Shield (Pty) Ltd ta Go Letting</t>
        </is>
      </c>
      <c r="B20667" s="4" t="n">
        <v>45443</v>
      </c>
      <c r="C20667" s="3" t="inlineStr">
        <is>
          <t>Expenses</t>
        </is>
      </c>
      <c r="D20667" s="3" t="inlineStr">
        <is>
          <t>4720/000</t>
        </is>
      </c>
      <c r="E20667" s="3" t="inlineStr">
        <is>
          <t>SDL Contributions</t>
        </is>
      </c>
      <c r="F20667" s="3" t="n">
        <v>0</v>
      </c>
      <c r="G20667" s="3" t="n">
        <v>3690.39</v>
      </c>
    </row>
    <row r="20668">
      <c r="A20668" s="3" t="inlineStr">
        <is>
          <t>Trademark Holdings (Pty) Ltd</t>
        </is>
      </c>
      <c r="B20668" s="4" t="n">
        <v>45443</v>
      </c>
      <c r="C20668" s="3" t="inlineStr">
        <is>
          <t>Expenses</t>
        </is>
      </c>
      <c r="D20668" s="3" t="inlineStr">
        <is>
          <t>4720/000</t>
        </is>
      </c>
      <c r="E20668" s="3" t="inlineStr">
        <is>
          <t>SDL Contributions</t>
        </is>
      </c>
      <c r="F20668" s="3" t="n">
        <v>0</v>
      </c>
      <c r="G20668" s="3" t="n">
        <v>2470.08</v>
      </c>
    </row>
    <row r="20669">
      <c r="A20669" s="3" t="inlineStr">
        <is>
          <t>Opportunity Global Property (PTY) LTD</t>
        </is>
      </c>
      <c r="B20669" s="4" t="n">
        <v>45443</v>
      </c>
      <c r="C20669" s="3" t="inlineStr">
        <is>
          <t>Expenses</t>
        </is>
      </c>
      <c r="D20669" s="3" t="inlineStr">
        <is>
          <t>4730/000</t>
        </is>
      </c>
      <c r="E20669" s="3" t="inlineStr">
        <is>
          <t>PAYE Contributions</t>
        </is>
      </c>
      <c r="F20669" s="3" t="n">
        <v>0</v>
      </c>
      <c r="G20669" s="3" t="n">
        <v>8055.14</v>
      </c>
    </row>
    <row r="20670">
      <c r="A20670" s="3" t="inlineStr">
        <is>
          <t>Opportunity Management Holdings (PTY) LTD</t>
        </is>
      </c>
      <c r="B20670" s="4" t="n">
        <v>45443</v>
      </c>
      <c r="C20670" s="3" t="inlineStr">
        <is>
          <t>Expenses</t>
        </is>
      </c>
      <c r="D20670" s="3" t="inlineStr">
        <is>
          <t>4730/000</t>
        </is>
      </c>
      <c r="E20670" s="3" t="inlineStr">
        <is>
          <t>PAYE Contributions</t>
        </is>
      </c>
      <c r="F20670" s="3" t="n">
        <v>47589.98</v>
      </c>
      <c r="G20670" s="3" t="n">
        <v>370007.91</v>
      </c>
    </row>
    <row r="20671">
      <c r="A20671" s="3" t="inlineStr">
        <is>
          <t>Opportunity Private Capital (PTY) LTD</t>
        </is>
      </c>
      <c r="B20671" s="4" t="n">
        <v>45443</v>
      </c>
      <c r="C20671" s="3" t="inlineStr">
        <is>
          <t>Expenses</t>
        </is>
      </c>
      <c r="D20671" s="3" t="inlineStr">
        <is>
          <t>4730/000</t>
        </is>
      </c>
      <c r="E20671" s="3" t="inlineStr">
        <is>
          <t>PAYE Contributions</t>
        </is>
      </c>
      <c r="F20671" s="3" t="n">
        <v>0</v>
      </c>
      <c r="G20671" s="3" t="n">
        <v>13505.18</v>
      </c>
    </row>
    <row r="20672">
      <c r="A20672" s="3" t="inlineStr">
        <is>
          <t>Opportunity Global Property (PTY) LTD</t>
        </is>
      </c>
      <c r="B20672" s="4" t="n">
        <v>45443</v>
      </c>
      <c r="C20672" s="3" t="inlineStr">
        <is>
          <t>Expenses</t>
        </is>
      </c>
      <c r="D20672" s="3" t="inlineStr">
        <is>
          <t>4740/000</t>
        </is>
      </c>
      <c r="E20672" s="3" t="inlineStr">
        <is>
          <t>SDL Contributions</t>
        </is>
      </c>
      <c r="F20672" s="3" t="n">
        <v>0</v>
      </c>
      <c r="G20672" s="3" t="n">
        <v>1477.46</v>
      </c>
    </row>
    <row r="20673">
      <c r="A20673" s="3" t="inlineStr">
        <is>
          <t>Opportunity Private Capital (PTY) LTD</t>
        </is>
      </c>
      <c r="B20673" s="4" t="n">
        <v>45443</v>
      </c>
      <c r="C20673" s="3" t="inlineStr">
        <is>
          <t>Expenses</t>
        </is>
      </c>
      <c r="D20673" s="3" t="inlineStr">
        <is>
          <t>4740/000</t>
        </is>
      </c>
      <c r="E20673" s="3" t="inlineStr">
        <is>
          <t>SDL Contributions</t>
        </is>
      </c>
      <c r="F20673" s="3" t="n">
        <v>0</v>
      </c>
      <c r="G20673" s="3" t="n">
        <v>727.25</v>
      </c>
    </row>
    <row r="20674">
      <c r="A20674" s="3" t="inlineStr">
        <is>
          <t>Opportunity Management Holdings (PTY) LTD</t>
        </is>
      </c>
      <c r="B20674" s="4" t="n">
        <v>45443</v>
      </c>
      <c r="C20674" s="3" t="inlineStr">
        <is>
          <t>Expenses</t>
        </is>
      </c>
      <c r="D20674" s="3" t="inlineStr">
        <is>
          <t>4740/000</t>
        </is>
      </c>
      <c r="E20674" s="3" t="inlineStr">
        <is>
          <t>UIF Company Contribution</t>
        </is>
      </c>
      <c r="F20674" s="3" t="n">
        <v>0</v>
      </c>
      <c r="G20674" s="3" t="n">
        <v>12979.04</v>
      </c>
    </row>
    <row r="20675">
      <c r="A20675" s="3" t="inlineStr">
        <is>
          <t>Opportunity Management Holdings (PTY) LTD</t>
        </is>
      </c>
      <c r="B20675" s="4" t="n">
        <v>45443</v>
      </c>
      <c r="C20675" s="3" t="inlineStr">
        <is>
          <t>Expenses</t>
        </is>
      </c>
      <c r="D20675" s="3" t="inlineStr">
        <is>
          <t>4741/000</t>
        </is>
      </c>
      <c r="E20675" s="3" t="inlineStr">
        <is>
          <t>UIF Employee Contribution</t>
        </is>
      </c>
      <c r="F20675" s="3" t="n">
        <v>0</v>
      </c>
      <c r="G20675" s="3" t="n">
        <v>12979.04</v>
      </c>
    </row>
    <row r="20676">
      <c r="A20676" s="3" t="inlineStr">
        <is>
          <t>Opportunity Management Holdings (PTY) LTD</t>
        </is>
      </c>
      <c r="B20676" s="4" t="n">
        <v>45443</v>
      </c>
      <c r="C20676" s="3" t="inlineStr">
        <is>
          <t>Expenses</t>
        </is>
      </c>
      <c r="D20676" s="3" t="inlineStr">
        <is>
          <t>4750/000</t>
        </is>
      </c>
      <c r="E20676" s="3" t="inlineStr">
        <is>
          <t>SDL Contribution</t>
        </is>
      </c>
      <c r="F20676" s="3" t="n">
        <v>0</v>
      </c>
      <c r="G20676" s="3" t="n">
        <v>19517.2</v>
      </c>
    </row>
    <row r="20677">
      <c r="A20677" s="3" t="inlineStr">
        <is>
          <t>Opportunity Global Property (PTY) LTD</t>
        </is>
      </c>
      <c r="B20677" s="4" t="n">
        <v>45443</v>
      </c>
      <c r="C20677" s="3" t="inlineStr">
        <is>
          <t>Assets</t>
        </is>
      </c>
      <c r="D20677" s="3" t="inlineStr">
        <is>
          <t>5000/001</t>
        </is>
      </c>
      <c r="E20677" s="3" t="inlineStr">
        <is>
          <t>Loan - Cape Projects</t>
        </is>
      </c>
      <c r="F20677" s="3" t="n">
        <v>0</v>
      </c>
      <c r="G20677" s="3" t="n">
        <v>145000</v>
      </c>
    </row>
    <row r="20678">
      <c r="A20678" s="3" t="inlineStr">
        <is>
          <t>Opportunity Global Property (PTY) LTD</t>
        </is>
      </c>
      <c r="B20678" s="4" t="n">
        <v>45443</v>
      </c>
      <c r="C20678" s="3" t="inlineStr">
        <is>
          <t>Liabilities</t>
        </is>
      </c>
      <c r="D20678" s="3" t="inlineStr">
        <is>
          <t>5000/006</t>
        </is>
      </c>
      <c r="E20678" s="3" t="inlineStr">
        <is>
          <t>Loan - Purple Blok</t>
        </is>
      </c>
      <c r="F20678" s="3" t="n">
        <v>0</v>
      </c>
      <c r="G20678" s="3" t="n">
        <v>44000</v>
      </c>
    </row>
    <row r="20679">
      <c r="A20679" s="3" t="inlineStr">
        <is>
          <t>Noble Shield (Pty) Ltd ta Go Letting</t>
        </is>
      </c>
      <c r="B20679" s="4" t="n">
        <v>45443</v>
      </c>
      <c r="C20679" s="3" t="inlineStr">
        <is>
          <t>Equity</t>
        </is>
      </c>
      <c r="D20679" s="3" t="inlineStr">
        <is>
          <t>5100/000</t>
        </is>
      </c>
      <c r="E20679" s="3" t="inlineStr">
        <is>
          <t>Share Capital</t>
        </is>
      </c>
      <c r="F20679" s="3" t="n">
        <v>0</v>
      </c>
      <c r="G20679" s="3" t="n">
        <v>-1</v>
      </c>
    </row>
    <row r="20680">
      <c r="A20680" s="3" t="inlineStr">
        <is>
          <t>Opportunity Management Holdings (PTY) LTD</t>
        </is>
      </c>
      <c r="B20680" s="4" t="n">
        <v>45443</v>
      </c>
      <c r="C20680" s="3" t="inlineStr">
        <is>
          <t>Equity</t>
        </is>
      </c>
      <c r="D20680" s="3" t="inlineStr">
        <is>
          <t>5100/000</t>
        </is>
      </c>
      <c r="E20680" s="3" t="inlineStr">
        <is>
          <t>Share Capital / Members Contribution</t>
        </is>
      </c>
      <c r="F20680" s="3" t="n">
        <v>0</v>
      </c>
      <c r="G20680" s="3" t="n">
        <v>-120</v>
      </c>
    </row>
    <row r="20681">
      <c r="A20681" s="3" t="inlineStr">
        <is>
          <t>Quinate Consulting (Pty) Ltd</t>
        </is>
      </c>
      <c r="B20681" s="4" t="n">
        <v>45443</v>
      </c>
      <c r="C20681" s="3" t="inlineStr">
        <is>
          <t>Equity</t>
        </is>
      </c>
      <c r="D20681" s="3" t="inlineStr">
        <is>
          <t>5100/000</t>
        </is>
      </c>
      <c r="E20681" s="3" t="inlineStr">
        <is>
          <t>Share Capital / Members Contribution</t>
        </is>
      </c>
      <c r="F20681" s="3" t="n">
        <v>0</v>
      </c>
      <c r="G20681" s="3" t="n">
        <v>-120</v>
      </c>
    </row>
    <row r="20682">
      <c r="A20682" s="3" t="inlineStr">
        <is>
          <t>Trademark Holdings (Pty) Ltd</t>
        </is>
      </c>
      <c r="B20682" s="4" t="n">
        <v>45443</v>
      </c>
      <c r="C20682" s="3" t="inlineStr">
        <is>
          <t>Equity</t>
        </is>
      </c>
      <c r="D20682" s="3" t="inlineStr">
        <is>
          <t>5100/001</t>
        </is>
      </c>
      <c r="E20682" s="3" t="inlineStr">
        <is>
          <t>Share Capital - GFY Investments</t>
        </is>
      </c>
      <c r="F20682" s="3" t="n">
        <v>0</v>
      </c>
      <c r="G20682" s="3" t="n">
        <v>-60</v>
      </c>
    </row>
    <row r="20683">
      <c r="A20683" s="3" t="inlineStr">
        <is>
          <t>Trademark Holdings (Pty) Ltd</t>
        </is>
      </c>
      <c r="B20683" s="4" t="n">
        <v>45443</v>
      </c>
      <c r="C20683" s="3" t="inlineStr">
        <is>
          <t>Equity</t>
        </is>
      </c>
      <c r="D20683" s="3" t="inlineStr">
        <is>
          <t>5100/002</t>
        </is>
      </c>
      <c r="E20683" s="3" t="inlineStr">
        <is>
          <t>Share Capital - Zak Trust</t>
        </is>
      </c>
      <c r="F20683" s="3" t="n">
        <v>0</v>
      </c>
      <c r="G20683" s="3" t="n">
        <v>-60</v>
      </c>
    </row>
    <row r="20684">
      <c r="A20684" s="3" t="inlineStr">
        <is>
          <t>Opportunity Private Capital (PTY) LTD</t>
        </is>
      </c>
      <c r="B20684" s="4" t="n">
        <v>45443</v>
      </c>
      <c r="C20684" s="3" t="inlineStr">
        <is>
          <t>Equity</t>
        </is>
      </c>
      <c r="D20684" s="3" t="inlineStr">
        <is>
          <t>5101/000</t>
        </is>
      </c>
      <c r="E20684" s="3" t="inlineStr">
        <is>
          <t>Share Capital - Ordinary Type A</t>
        </is>
      </c>
      <c r="F20684" s="3" t="n">
        <v>0</v>
      </c>
      <c r="G20684" s="3" t="n">
        <v>-70</v>
      </c>
    </row>
    <row r="20685">
      <c r="A20685" s="3" t="inlineStr">
        <is>
          <t>Opportunity Private Capital (PTY) LTD</t>
        </is>
      </c>
      <c r="B20685" s="4" t="n">
        <v>45443</v>
      </c>
      <c r="C20685" s="3" t="inlineStr">
        <is>
          <t>Equity</t>
        </is>
      </c>
      <c r="D20685" s="3" t="inlineStr">
        <is>
          <t>5102/000</t>
        </is>
      </c>
      <c r="E20685" s="3" t="inlineStr">
        <is>
          <t>Share Capital - Ordinary Type B</t>
        </is>
      </c>
      <c r="F20685" s="3" t="n">
        <v>0</v>
      </c>
      <c r="G20685" s="3" t="n">
        <v>-30</v>
      </c>
    </row>
    <row r="20686">
      <c r="A20686" s="3" t="inlineStr">
        <is>
          <t>Endulini (Pty) Ltd</t>
        </is>
      </c>
      <c r="B20686" s="4" t="n">
        <v>45443</v>
      </c>
      <c r="C20686" s="3" t="inlineStr">
        <is>
          <t>Equity</t>
        </is>
      </c>
      <c r="D20686" s="3" t="inlineStr">
        <is>
          <t>5200/000</t>
        </is>
      </c>
      <c r="E20686" s="3" t="inlineStr">
        <is>
          <t>Retained Earnings / Loss</t>
        </is>
      </c>
      <c r="F20686" s="3" t="n">
        <v>0</v>
      </c>
      <c r="G20686" s="3" t="n">
        <v>-13615904.67</v>
      </c>
    </row>
    <row r="20687">
      <c r="A20687" s="3" t="inlineStr">
        <is>
          <t>Noble Shield (Pty) Ltd ta Go Letting</t>
        </is>
      </c>
      <c r="B20687" s="4" t="n">
        <v>45443</v>
      </c>
      <c r="C20687" s="3" t="inlineStr">
        <is>
          <t>Equity</t>
        </is>
      </c>
      <c r="D20687" s="3" t="inlineStr">
        <is>
          <t>5200/000</t>
        </is>
      </c>
      <c r="E20687" s="3" t="inlineStr">
        <is>
          <t>Retained Earnings / Loss</t>
        </is>
      </c>
      <c r="F20687" s="3" t="n">
        <v>0</v>
      </c>
      <c r="G20687" s="3" t="n">
        <v>-91943.62</v>
      </c>
    </row>
    <row r="20688">
      <c r="A20688" s="3" t="inlineStr">
        <is>
          <t>Opportunity Global Property (PTY) LTD</t>
        </is>
      </c>
      <c r="B20688" s="4" t="n">
        <v>45443</v>
      </c>
      <c r="C20688" s="3" t="inlineStr">
        <is>
          <t>Equity</t>
        </is>
      </c>
      <c r="D20688" s="3" t="inlineStr">
        <is>
          <t>5200/000</t>
        </is>
      </c>
      <c r="E20688" s="3" t="inlineStr">
        <is>
          <t>Retained Earnings / Loss</t>
        </is>
      </c>
      <c r="F20688" s="3" t="n">
        <v>0</v>
      </c>
      <c r="G20688" s="3" t="n">
        <v>-3754324.03</v>
      </c>
    </row>
    <row r="20689">
      <c r="A20689" s="3" t="inlineStr">
        <is>
          <t>Opportunity Management Holdings (PTY) LTD</t>
        </is>
      </c>
      <c r="B20689" s="4" t="n">
        <v>45443</v>
      </c>
      <c r="C20689" s="3" t="inlineStr">
        <is>
          <t>Equity</t>
        </is>
      </c>
      <c r="D20689" s="3" t="inlineStr">
        <is>
          <t>5200/000</t>
        </is>
      </c>
      <c r="E20689" s="3" t="inlineStr">
        <is>
          <t>Retained Earnings / Loss</t>
        </is>
      </c>
      <c r="F20689" s="3" t="n">
        <v>0</v>
      </c>
      <c r="G20689" s="3" t="n">
        <v>1215864.15</v>
      </c>
    </row>
    <row r="20690">
      <c r="A20690" s="3" t="inlineStr">
        <is>
          <t>Opportunity Private Capital (PTY) LTD</t>
        </is>
      </c>
      <c r="B20690" s="4" t="n">
        <v>45443</v>
      </c>
      <c r="C20690" s="3" t="inlineStr">
        <is>
          <t>Equity</t>
        </is>
      </c>
      <c r="D20690" s="3" t="inlineStr">
        <is>
          <t>5200/000</t>
        </is>
      </c>
      <c r="E20690" s="3" t="inlineStr">
        <is>
          <t>Retained Earnings / Loss</t>
        </is>
      </c>
      <c r="F20690" s="3" t="n">
        <v>0</v>
      </c>
      <c r="G20690" s="3" t="n">
        <v>3408751.91</v>
      </c>
    </row>
    <row r="20691">
      <c r="A20691" s="3" t="inlineStr">
        <is>
          <t>Quinate Consulting (Pty) Ltd</t>
        </is>
      </c>
      <c r="B20691" s="4" t="n">
        <v>45443</v>
      </c>
      <c r="C20691" s="3" t="inlineStr">
        <is>
          <t>Equity</t>
        </is>
      </c>
      <c r="D20691" s="3" t="inlineStr">
        <is>
          <t>5200/000</t>
        </is>
      </c>
      <c r="E20691" s="3" t="inlineStr">
        <is>
          <t>Retained Earnings / Loss</t>
        </is>
      </c>
      <c r="F20691" s="3" t="n">
        <v>0</v>
      </c>
      <c r="G20691" s="3" t="n">
        <v>1654577.5</v>
      </c>
    </row>
    <row r="20692">
      <c r="A20692" s="3" t="inlineStr">
        <is>
          <t>Trademark Holdings (Pty) Ltd</t>
        </is>
      </c>
      <c r="B20692" s="4" t="n">
        <v>45443</v>
      </c>
      <c r="C20692" s="3" t="inlineStr">
        <is>
          <t>Equity</t>
        </is>
      </c>
      <c r="D20692" s="3" t="inlineStr">
        <is>
          <t>5200/000</t>
        </is>
      </c>
      <c r="E20692" s="3" t="inlineStr">
        <is>
          <t>Retained Earnings / Loss</t>
        </is>
      </c>
      <c r="F20692" s="3" t="n">
        <v>0</v>
      </c>
      <c r="G20692" s="3" t="n">
        <v>-163666.44</v>
      </c>
    </row>
    <row r="20693">
      <c r="A20693" s="3" t="inlineStr">
        <is>
          <t>Quinate Consulting (Pty) Ltd</t>
        </is>
      </c>
      <c r="B20693" s="4" t="n">
        <v>45443</v>
      </c>
      <c r="C20693" s="3" t="inlineStr">
        <is>
          <t>Assets</t>
        </is>
      </c>
      <c r="D20693" s="3" t="inlineStr">
        <is>
          <t>5400/011</t>
        </is>
      </c>
      <c r="E20693" s="3" t="inlineStr">
        <is>
          <t>Members Loan - Nick Morgan</t>
        </is>
      </c>
      <c r="F20693" s="3" t="n">
        <v>0</v>
      </c>
      <c r="G20693" s="3" t="n">
        <v>-85743.69</v>
      </c>
    </row>
    <row r="20694">
      <c r="A20694" s="3" t="inlineStr">
        <is>
          <t>Opportunity Management Holdings (PTY) LTD</t>
        </is>
      </c>
      <c r="B20694" s="4" t="n">
        <v>45443</v>
      </c>
      <c r="C20694" s="3" t="inlineStr">
        <is>
          <t>Assets</t>
        </is>
      </c>
      <c r="D20694" s="3" t="inlineStr">
        <is>
          <t>5400/500</t>
        </is>
      </c>
      <c r="E20694" s="3" t="inlineStr">
        <is>
          <t>Shareholder - Zak Loan</t>
        </is>
      </c>
      <c r="F20694" s="3" t="n">
        <v>0</v>
      </c>
      <c r="G20694" s="3" t="n">
        <v>-171798.21</v>
      </c>
    </row>
    <row r="20695">
      <c r="A20695" s="3" t="inlineStr">
        <is>
          <t>Quinate Consulting (Pty) Ltd</t>
        </is>
      </c>
      <c r="B20695" s="4" t="n">
        <v>45443</v>
      </c>
      <c r="C20695" s="3" t="inlineStr">
        <is>
          <t>Liabilities</t>
        </is>
      </c>
      <c r="D20695" s="3" t="inlineStr">
        <is>
          <t>5500/010</t>
        </is>
      </c>
      <c r="E20695" s="3" t="inlineStr">
        <is>
          <t>Loan - Wynand Haywood</t>
        </is>
      </c>
      <c r="F20695" s="3" t="n">
        <v>0</v>
      </c>
      <c r="G20695" s="3" t="n">
        <v>1928.67</v>
      </c>
    </row>
    <row r="20696">
      <c r="A20696" s="3" t="inlineStr">
        <is>
          <t>Quinate Consulting (Pty) Ltd</t>
        </is>
      </c>
      <c r="B20696" s="4" t="n">
        <v>45443</v>
      </c>
      <c r="C20696" s="3" t="inlineStr">
        <is>
          <t>Liabilities</t>
        </is>
      </c>
      <c r="D20696" s="3" t="inlineStr">
        <is>
          <t>5500/023</t>
        </is>
      </c>
      <c r="E20696" s="3" t="inlineStr">
        <is>
          <t>Loan - Noble Shield 1 Security Trust</t>
        </is>
      </c>
      <c r="F20696" s="3" t="n">
        <v>500</v>
      </c>
      <c r="G20696" s="3" t="n">
        <v>1100</v>
      </c>
    </row>
    <row r="20697">
      <c r="A20697" s="3" t="inlineStr">
        <is>
          <t>Quinate Consulting (Pty) Ltd</t>
        </is>
      </c>
      <c r="B20697" s="4" t="n">
        <v>45443</v>
      </c>
      <c r="C20697" s="3" t="inlineStr">
        <is>
          <t>Liabilities</t>
        </is>
      </c>
      <c r="D20697" s="3" t="inlineStr">
        <is>
          <t>5500/025</t>
        </is>
      </c>
      <c r="E20697" s="3" t="inlineStr">
        <is>
          <t>Loan - Noble Shield 2 Security Trust</t>
        </is>
      </c>
      <c r="F20697" s="3" t="n">
        <v>0</v>
      </c>
      <c r="G20697" s="3" t="n">
        <v>250</v>
      </c>
    </row>
    <row r="20698">
      <c r="A20698" s="3" t="inlineStr">
        <is>
          <t>Quinate Consulting (Pty) Ltd</t>
        </is>
      </c>
      <c r="B20698" s="4" t="n">
        <v>45443</v>
      </c>
      <c r="C20698" s="3" t="inlineStr">
        <is>
          <t>Liabilities</t>
        </is>
      </c>
      <c r="D20698" s="3" t="inlineStr">
        <is>
          <t>5500/030</t>
        </is>
      </c>
      <c r="E20698" s="3" t="inlineStr">
        <is>
          <t>Loan - Heron Projects</t>
        </is>
      </c>
      <c r="F20698" s="3" t="n">
        <v>0</v>
      </c>
      <c r="G20698" s="3" t="n">
        <v>46000</v>
      </c>
    </row>
    <row r="20699">
      <c r="A20699" s="3" t="inlineStr">
        <is>
          <t>Quinate Consulting (Pty) Ltd</t>
        </is>
      </c>
      <c r="B20699" s="4" t="n">
        <v>45443</v>
      </c>
      <c r="C20699" s="3" t="inlineStr">
        <is>
          <t>Liabilities</t>
        </is>
      </c>
      <c r="D20699" s="3" t="inlineStr">
        <is>
          <t>5500/040</t>
        </is>
      </c>
      <c r="E20699" s="3" t="inlineStr">
        <is>
          <t>Loan - Noble Shield Holdings Pty Ltd</t>
        </is>
      </c>
      <c r="F20699" s="3" t="n">
        <v>16413.38</v>
      </c>
      <c r="G20699" s="3" t="n">
        <v>37144.38</v>
      </c>
    </row>
    <row r="20700">
      <c r="A20700" s="3" t="inlineStr">
        <is>
          <t>Opportunity Private Capital (PTY) LTD</t>
        </is>
      </c>
      <c r="B20700" s="4" t="n">
        <v>45443</v>
      </c>
      <c r="C20700" s="3" t="inlineStr">
        <is>
          <t>Liabilities</t>
        </is>
      </c>
      <c r="D20700" s="3" t="inlineStr">
        <is>
          <t>5500/100</t>
        </is>
      </c>
      <c r="E20700" s="3" t="inlineStr">
        <is>
          <t>Loan - Cape Projects Construction</t>
        </is>
      </c>
      <c r="F20700" s="3" t="n">
        <v>-32000</v>
      </c>
      <c r="G20700" s="3" t="n">
        <v>1180000</v>
      </c>
    </row>
    <row r="20701">
      <c r="A20701" s="3" t="inlineStr">
        <is>
          <t>Noble Shield (Pty) Ltd ta Go Letting</t>
        </is>
      </c>
      <c r="B20701" s="4" t="n">
        <v>45443</v>
      </c>
      <c r="C20701" s="3" t="inlineStr">
        <is>
          <t>Liabilities</t>
        </is>
      </c>
      <c r="D20701" s="3" t="inlineStr">
        <is>
          <t>5500/100</t>
        </is>
      </c>
      <c r="E20701" s="3" t="inlineStr">
        <is>
          <t>Loan - Jupiter Trust</t>
        </is>
      </c>
      <c r="F20701" s="3" t="n">
        <v>0</v>
      </c>
      <c r="G20701" s="3" t="n">
        <v>-100228.75</v>
      </c>
    </row>
    <row r="20702">
      <c r="A20702" s="3" t="inlineStr">
        <is>
          <t>Opportunity Management Holdings (PTY) LTD</t>
        </is>
      </c>
      <c r="B20702" s="4" t="n">
        <v>45443</v>
      </c>
      <c r="C20702" s="3" t="inlineStr">
        <is>
          <t>Liabilities</t>
        </is>
      </c>
      <c r="D20702" s="3" t="inlineStr">
        <is>
          <t>5500/100</t>
        </is>
      </c>
      <c r="E20702" s="3" t="inlineStr">
        <is>
          <t>Loan - Opportunity Global</t>
        </is>
      </c>
      <c r="F20702" s="3" t="n">
        <v>0</v>
      </c>
      <c r="G20702" s="3" t="n">
        <v>-20000</v>
      </c>
    </row>
    <row r="20703">
      <c r="A20703" s="3" t="inlineStr">
        <is>
          <t>Endulini (Pty) Ltd</t>
        </is>
      </c>
      <c r="B20703" s="4" t="n">
        <v>45443</v>
      </c>
      <c r="C20703" s="3" t="inlineStr">
        <is>
          <t>Liabilities</t>
        </is>
      </c>
      <c r="D20703" s="3" t="inlineStr">
        <is>
          <t>5500/100</t>
        </is>
      </c>
      <c r="E20703" s="3" t="inlineStr">
        <is>
          <t>Loan - Quinate Consulting</t>
        </is>
      </c>
      <c r="F20703" s="3" t="n">
        <v>44400</v>
      </c>
      <c r="G20703" s="3" t="n">
        <v>-5541837.9</v>
      </c>
    </row>
    <row r="20704">
      <c r="A20704" s="3" t="inlineStr">
        <is>
          <t>Opportunity Management Holdings (PTY) LTD</t>
        </is>
      </c>
      <c r="B20704" s="4" t="n">
        <v>45443</v>
      </c>
      <c r="C20704" s="3" t="inlineStr">
        <is>
          <t>Liabilities</t>
        </is>
      </c>
      <c r="D20704" s="3" t="inlineStr">
        <is>
          <t>5500/110</t>
        </is>
      </c>
      <c r="E20704" s="3" t="inlineStr">
        <is>
          <t>Loan - Opportunity Global Property</t>
        </is>
      </c>
      <c r="F20704" s="3" t="n">
        <v>20000</v>
      </c>
      <c r="G20704" s="3" t="n">
        <v>20000</v>
      </c>
    </row>
    <row r="20705">
      <c r="A20705" s="3" t="inlineStr">
        <is>
          <t>Opportunity Global Property (PTY) LTD</t>
        </is>
      </c>
      <c r="B20705" s="4" t="n">
        <v>45443</v>
      </c>
      <c r="C20705" s="3" t="inlineStr">
        <is>
          <t>Liabilities</t>
        </is>
      </c>
      <c r="D20705" s="3" t="inlineStr">
        <is>
          <t>5500/112</t>
        </is>
      </c>
      <c r="E20705" s="3" t="inlineStr">
        <is>
          <t>Loan - OMH</t>
        </is>
      </c>
      <c r="F20705" s="3" t="n">
        <v>-20000</v>
      </c>
      <c r="G20705" s="3" t="n">
        <v>-20000</v>
      </c>
    </row>
    <row r="20706">
      <c r="A20706" s="3" t="inlineStr">
        <is>
          <t>Rock Blok (Pty) Ltd</t>
        </is>
      </c>
      <c r="B20706" s="4" t="n">
        <v>45443</v>
      </c>
      <c r="C20706" s="3" t="inlineStr">
        <is>
          <t>Liabilities</t>
        </is>
      </c>
      <c r="D20706" s="3" t="inlineStr">
        <is>
          <t>5500/140</t>
        </is>
      </c>
      <c r="E20706" s="3" t="inlineStr">
        <is>
          <t>Loan - Opportunity Private Capital</t>
        </is>
      </c>
      <c r="F20706" s="3" t="n">
        <v>0</v>
      </c>
      <c r="G20706" s="3" t="n">
        <v>-1000</v>
      </c>
    </row>
    <row r="20707">
      <c r="A20707" s="3" t="inlineStr">
        <is>
          <t>Endulini (Pty) Ltd</t>
        </is>
      </c>
      <c r="B20707" s="4" t="n">
        <v>45443</v>
      </c>
      <c r="C20707" s="3" t="inlineStr">
        <is>
          <t>Liabilities</t>
        </is>
      </c>
      <c r="D20707" s="3" t="inlineStr">
        <is>
          <t>5500/150</t>
        </is>
      </c>
      <c r="E20707" s="3" t="inlineStr">
        <is>
          <t>Loan - Cape Projects Construction</t>
        </is>
      </c>
      <c r="F20707" s="3" t="n">
        <v>1300000</v>
      </c>
      <c r="G20707" s="3" t="n">
        <v>-14841500</v>
      </c>
    </row>
    <row r="20708">
      <c r="A20708" s="3" t="inlineStr">
        <is>
          <t>Quinate Consulting (Pty) Ltd</t>
        </is>
      </c>
      <c r="B20708" s="4" t="n">
        <v>45443</v>
      </c>
      <c r="C20708" s="3" t="inlineStr">
        <is>
          <t>Liabilities</t>
        </is>
      </c>
      <c r="D20708" s="3" t="inlineStr">
        <is>
          <t>5500/160</t>
        </is>
      </c>
      <c r="E20708" s="3" t="inlineStr">
        <is>
          <t>Loan - GFY Investment and Consulting</t>
        </is>
      </c>
      <c r="F20708" s="3" t="n">
        <v>0</v>
      </c>
      <c r="G20708" s="3" t="n">
        <v>-1405287.47</v>
      </c>
    </row>
    <row r="20709">
      <c r="A20709" s="3" t="inlineStr">
        <is>
          <t>Opportunity Management Holdings (PTY) LTD</t>
        </is>
      </c>
      <c r="B20709" s="4" t="n">
        <v>45443</v>
      </c>
      <c r="C20709" s="3" t="inlineStr">
        <is>
          <t>Liabilities</t>
        </is>
      </c>
      <c r="D20709" s="3" t="inlineStr">
        <is>
          <t>5500/200</t>
        </is>
      </c>
      <c r="E20709" s="3" t="inlineStr">
        <is>
          <t>Loan - Cape Projects</t>
        </is>
      </c>
      <c r="F20709" s="3" t="n">
        <v>-50000</v>
      </c>
      <c r="G20709" s="3" t="n">
        <v>-367399</v>
      </c>
    </row>
    <row r="20710">
      <c r="A20710" s="3" t="inlineStr">
        <is>
          <t>Endulini (Pty) Ltd</t>
        </is>
      </c>
      <c r="B20710" s="4" t="n">
        <v>45443</v>
      </c>
      <c r="C20710" s="3" t="inlineStr">
        <is>
          <t>Liabilities</t>
        </is>
      </c>
      <c r="D20710" s="3" t="inlineStr">
        <is>
          <t>5500/200</t>
        </is>
      </c>
      <c r="E20710" s="3" t="inlineStr">
        <is>
          <t>Loan - Opportunity Management Holdings</t>
        </is>
      </c>
      <c r="F20710" s="3" t="n">
        <v>20000</v>
      </c>
      <c r="G20710" s="3" t="n">
        <v>40000</v>
      </c>
    </row>
    <row r="20711">
      <c r="A20711" s="3" t="inlineStr">
        <is>
          <t>Endulini (Pty) Ltd</t>
        </is>
      </c>
      <c r="B20711" s="4" t="n">
        <v>45443</v>
      </c>
      <c r="C20711" s="3" t="inlineStr">
        <is>
          <t>Liabilities</t>
        </is>
      </c>
      <c r="D20711" s="3" t="inlineStr">
        <is>
          <t>5500/250</t>
        </is>
      </c>
      <c r="E20711" s="3" t="inlineStr">
        <is>
          <t>Loan - Heron Projects</t>
        </is>
      </c>
      <c r="F20711" s="3" t="n">
        <v>0</v>
      </c>
      <c r="G20711" s="3" t="n">
        <v>-1800000</v>
      </c>
    </row>
    <row r="20712">
      <c r="A20712" s="3" t="inlineStr">
        <is>
          <t>Trademark Holdings (Pty) Ltd</t>
        </is>
      </c>
      <c r="B20712" s="4" t="n">
        <v>45443</v>
      </c>
      <c r="C20712" s="3" t="inlineStr">
        <is>
          <t>Liabilities</t>
        </is>
      </c>
      <c r="D20712" s="3" t="inlineStr">
        <is>
          <t>5500/250</t>
        </is>
      </c>
      <c r="E20712" s="3" t="inlineStr">
        <is>
          <t>Loan - Noble Shield</t>
        </is>
      </c>
      <c r="F20712" s="3" t="n">
        <v>35000</v>
      </c>
      <c r="G20712" s="3" t="n">
        <v>100165.59</v>
      </c>
    </row>
    <row r="20713">
      <c r="A20713" s="3" t="inlineStr">
        <is>
          <t>Noble Shield (Pty) Ltd ta Go Letting</t>
        </is>
      </c>
      <c r="B20713" s="4" t="n">
        <v>45443</v>
      </c>
      <c r="C20713" s="3" t="inlineStr">
        <is>
          <t>Liabilities</t>
        </is>
      </c>
      <c r="D20713" s="3" t="inlineStr">
        <is>
          <t>5500/250</t>
        </is>
      </c>
      <c r="E20713" s="3" t="inlineStr">
        <is>
          <t>Loan - Noble Shield Holdings</t>
        </is>
      </c>
      <c r="F20713" s="3" t="n">
        <v>-16413.38</v>
      </c>
      <c r="G20713" s="3" t="n">
        <v>-16413.38</v>
      </c>
    </row>
    <row r="20714">
      <c r="A20714" s="3" t="inlineStr">
        <is>
          <t>Opportunity Management Holdings (PTY) LTD</t>
        </is>
      </c>
      <c r="B20714" s="4" t="n">
        <v>45443</v>
      </c>
      <c r="C20714" s="3" t="inlineStr">
        <is>
          <t>Liabilities</t>
        </is>
      </c>
      <c r="D20714" s="3" t="inlineStr">
        <is>
          <t>5500/250</t>
        </is>
      </c>
      <c r="E20714" s="3" t="inlineStr">
        <is>
          <t>Loan - Quinate</t>
        </is>
      </c>
      <c r="F20714" s="3" t="n">
        <v>0</v>
      </c>
      <c r="G20714" s="3" t="n">
        <v>-10000</v>
      </c>
    </row>
    <row r="20715">
      <c r="A20715" s="3" t="inlineStr">
        <is>
          <t>Quinate Consulting (Pty) Ltd</t>
        </is>
      </c>
      <c r="B20715" s="4" t="n">
        <v>45443</v>
      </c>
      <c r="C20715" s="3" t="inlineStr">
        <is>
          <t>Liabilities</t>
        </is>
      </c>
      <c r="D20715" s="3" t="inlineStr">
        <is>
          <t>5500/300</t>
        </is>
      </c>
      <c r="E20715" s="3" t="inlineStr">
        <is>
          <t>Loan - Gengis</t>
        </is>
      </c>
      <c r="F20715" s="3" t="n">
        <v>0</v>
      </c>
      <c r="G20715" s="3" t="n">
        <v>-1029301.95</v>
      </c>
    </row>
    <row r="20716">
      <c r="A20716" s="3" t="inlineStr">
        <is>
          <t>Opportunity Management Holdings (PTY) LTD</t>
        </is>
      </c>
      <c r="B20716" s="4" t="n">
        <v>45443</v>
      </c>
      <c r="C20716" s="3" t="inlineStr">
        <is>
          <t>Liabilities</t>
        </is>
      </c>
      <c r="D20716" s="3" t="inlineStr">
        <is>
          <t>5500/300</t>
        </is>
      </c>
      <c r="E20716" s="3" t="inlineStr">
        <is>
          <t>Loan - Opportunity Prop Management</t>
        </is>
      </c>
      <c r="F20716" s="3" t="n">
        <v>0</v>
      </c>
      <c r="G20716" s="3" t="n">
        <v>-1220204.15</v>
      </c>
    </row>
    <row r="20717">
      <c r="A20717" s="3" t="inlineStr">
        <is>
          <t>Noble Shield (Pty) Ltd ta Go Letting</t>
        </is>
      </c>
      <c r="B20717" s="4" t="n">
        <v>45443</v>
      </c>
      <c r="C20717" s="3" t="inlineStr">
        <is>
          <t>Liabilities</t>
        </is>
      </c>
      <c r="D20717" s="3" t="inlineStr">
        <is>
          <t>5500/300</t>
        </is>
      </c>
      <c r="E20717" s="3" t="inlineStr">
        <is>
          <t>Loan - Trademark Holdings</t>
        </is>
      </c>
      <c r="F20717" s="3" t="n">
        <v>-35000</v>
      </c>
      <c r="G20717" s="3" t="n">
        <v>-100165.59</v>
      </c>
    </row>
    <row r="20718">
      <c r="A20718" s="3" t="inlineStr">
        <is>
          <t>Opportunity Management Holdings (PTY) LTD</t>
        </is>
      </c>
      <c r="B20718" s="4" t="n">
        <v>45443</v>
      </c>
      <c r="C20718" s="3" t="inlineStr">
        <is>
          <t>Liabilities</t>
        </is>
      </c>
      <c r="D20718" s="3" t="inlineStr">
        <is>
          <t>5500/350</t>
        </is>
      </c>
      <c r="E20718" s="3" t="inlineStr">
        <is>
          <t>Loan - Endulini</t>
        </is>
      </c>
      <c r="F20718" s="3" t="n">
        <v>-20000</v>
      </c>
      <c r="G20718" s="3" t="n">
        <v>-40000</v>
      </c>
    </row>
    <row r="20719">
      <c r="A20719" s="3" t="inlineStr">
        <is>
          <t>Opportunity Private Capital (PTY) LTD</t>
        </is>
      </c>
      <c r="B20719" s="4" t="n">
        <v>45443</v>
      </c>
      <c r="C20719" s="3" t="inlineStr">
        <is>
          <t>Liabilities</t>
        </is>
      </c>
      <c r="D20719" s="3" t="inlineStr">
        <is>
          <t>5500/350</t>
        </is>
      </c>
      <c r="E20719" s="3" t="inlineStr">
        <is>
          <t>Loan - Opportunity Management Holdings</t>
        </is>
      </c>
      <c r="F20719" s="3" t="n">
        <v>0</v>
      </c>
      <c r="G20719" s="3" t="n">
        <v>500</v>
      </c>
    </row>
    <row r="20720">
      <c r="A20720" s="3" t="inlineStr">
        <is>
          <t>Noble Shield (Pty) Ltd ta Go Letting</t>
        </is>
      </c>
      <c r="B20720" s="4" t="n">
        <v>45443</v>
      </c>
      <c r="C20720" s="3" t="inlineStr">
        <is>
          <t>Liabilities</t>
        </is>
      </c>
      <c r="D20720" s="3" t="inlineStr">
        <is>
          <t>5500/350</t>
        </is>
      </c>
      <c r="E20720" s="3" t="inlineStr">
        <is>
          <t>Loan - Quinate Consulting</t>
        </is>
      </c>
      <c r="F20720" s="3" t="n">
        <v>0</v>
      </c>
      <c r="G20720" s="3" t="n">
        <v>-23840.65</v>
      </c>
    </row>
    <row r="20721">
      <c r="A20721" s="3" t="inlineStr">
        <is>
          <t>Trademark Holdings (Pty) Ltd</t>
        </is>
      </c>
      <c r="B20721" s="4" t="n">
        <v>45443</v>
      </c>
      <c r="C20721" s="3" t="inlineStr">
        <is>
          <t>Liabilities</t>
        </is>
      </c>
      <c r="D20721" s="3" t="inlineStr">
        <is>
          <t>5500/350</t>
        </is>
      </c>
      <c r="E20721" s="3" t="inlineStr">
        <is>
          <t>Loan - Quinate Consulting</t>
        </is>
      </c>
      <c r="F20721" s="3" t="n">
        <v>0</v>
      </c>
      <c r="G20721" s="3" t="n">
        <v>-16413.38</v>
      </c>
    </row>
    <row r="20722">
      <c r="A20722" s="3" t="inlineStr">
        <is>
          <t>Trademark Holdings (Pty) Ltd</t>
        </is>
      </c>
      <c r="B20722" s="4" t="n">
        <v>45443</v>
      </c>
      <c r="C20722" s="3" t="inlineStr">
        <is>
          <t>Liabilities</t>
        </is>
      </c>
      <c r="D20722" s="3" t="inlineStr">
        <is>
          <t>5500/375</t>
        </is>
      </c>
      <c r="E20722" s="3" t="inlineStr">
        <is>
          <t>Loan - Opportunity Management Holdings Pty Ltd</t>
        </is>
      </c>
      <c r="F20722" s="3" t="n">
        <v>0</v>
      </c>
      <c r="G20722" s="3" t="n">
        <v>158800</v>
      </c>
    </row>
    <row r="20723">
      <c r="A20723" s="3" t="inlineStr">
        <is>
          <t>Trademark Holdings (Pty) Ltd</t>
        </is>
      </c>
      <c r="B20723" s="4" t="n">
        <v>45443</v>
      </c>
      <c r="C20723" s="3" t="inlineStr">
        <is>
          <t>Liabilities</t>
        </is>
      </c>
      <c r="D20723" s="3" t="inlineStr">
        <is>
          <t>5500/450</t>
        </is>
      </c>
      <c r="E20723" s="3" t="inlineStr">
        <is>
          <t>Loan - Cape Projects Construction</t>
        </is>
      </c>
      <c r="F20723" s="3" t="n">
        <v>-600</v>
      </c>
      <c r="G20723" s="3" t="n">
        <v>55800</v>
      </c>
    </row>
    <row r="20724">
      <c r="A20724" s="3" t="inlineStr">
        <is>
          <t>Trademark Holdings (Pty) Ltd</t>
        </is>
      </c>
      <c r="B20724" s="4" t="n">
        <v>45443</v>
      </c>
      <c r="C20724" s="3" t="inlineStr">
        <is>
          <t>Liabilities</t>
        </is>
      </c>
      <c r="D20724" s="3" t="inlineStr">
        <is>
          <t>5500/500</t>
        </is>
      </c>
      <c r="E20724" s="3" t="inlineStr">
        <is>
          <t>Go Letting Brand Name</t>
        </is>
      </c>
      <c r="F20724" s="3" t="n">
        <v>0</v>
      </c>
      <c r="G20724" s="3" t="n">
        <v>93420</v>
      </c>
    </row>
    <row r="20725">
      <c r="A20725" s="3" t="inlineStr">
        <is>
          <t>Noble Shield (Pty) Ltd ta Go Letting</t>
        </is>
      </c>
      <c r="B20725" s="4" t="n">
        <v>45443</v>
      </c>
      <c r="C20725" s="3" t="inlineStr">
        <is>
          <t>Liabilities</t>
        </is>
      </c>
      <c r="D20725" s="3" t="inlineStr">
        <is>
          <t>5500/500</t>
        </is>
      </c>
      <c r="E20725" s="3" t="inlineStr">
        <is>
          <t>Loan - Cape Projects Construction</t>
        </is>
      </c>
      <c r="F20725" s="3" t="n">
        <v>50024.5</v>
      </c>
      <c r="G20725" s="3" t="n">
        <v>249013.94</v>
      </c>
    </row>
    <row r="20726">
      <c r="A20726" s="3" t="inlineStr">
        <is>
          <t>Quinate Consulting (Pty) Ltd</t>
        </is>
      </c>
      <c r="B20726" s="4" t="n">
        <v>45443</v>
      </c>
      <c r="C20726" s="3" t="inlineStr">
        <is>
          <t>Liabilities</t>
        </is>
      </c>
      <c r="D20726" s="3" t="inlineStr">
        <is>
          <t>5500/500</t>
        </is>
      </c>
      <c r="E20726" s="3" t="inlineStr">
        <is>
          <t>Loan - Opportunity Development Struct.</t>
        </is>
      </c>
      <c r="F20726" s="3" t="n">
        <v>0</v>
      </c>
      <c r="G20726" s="3" t="n">
        <v>-2380000</v>
      </c>
    </row>
    <row r="20727">
      <c r="A20727" s="3" t="inlineStr">
        <is>
          <t>Opportunity Management Holdings (PTY) LTD</t>
        </is>
      </c>
      <c r="B20727" s="4" t="n">
        <v>45443</v>
      </c>
      <c r="C20727" s="3" t="inlineStr">
        <is>
          <t>Liabilities</t>
        </is>
      </c>
      <c r="D20727" s="3" t="inlineStr">
        <is>
          <t>5500/500</t>
        </is>
      </c>
      <c r="E20727" s="3" t="inlineStr">
        <is>
          <t>Loan - Opportunity Tradermark Holdings</t>
        </is>
      </c>
      <c r="F20727" s="3" t="n">
        <v>0</v>
      </c>
      <c r="G20727" s="3" t="n">
        <v>-158800</v>
      </c>
    </row>
    <row r="20728">
      <c r="A20728" s="3" t="inlineStr">
        <is>
          <t>Quinate Consulting (Pty) Ltd</t>
        </is>
      </c>
      <c r="B20728" s="4" t="n">
        <v>45443</v>
      </c>
      <c r="C20728" s="3" t="inlineStr">
        <is>
          <t>Liabilities</t>
        </is>
      </c>
      <c r="D20728" s="3" t="inlineStr">
        <is>
          <t>5500/520</t>
        </is>
      </c>
      <c r="E20728" s="3" t="inlineStr">
        <is>
          <t>Loan - Opportunity Management Holdings</t>
        </is>
      </c>
      <c r="F20728" s="3" t="n">
        <v>0</v>
      </c>
      <c r="G20728" s="3" t="n">
        <v>6100</v>
      </c>
    </row>
    <row r="20729">
      <c r="A20729" s="3" t="inlineStr">
        <is>
          <t>Opportunity Management Holdings (PTY) LTD</t>
        </is>
      </c>
      <c r="B20729" s="4" t="n">
        <v>45443</v>
      </c>
      <c r="C20729" s="3" t="inlineStr">
        <is>
          <t>Liabilities</t>
        </is>
      </c>
      <c r="D20729" s="3" t="inlineStr">
        <is>
          <t>5500/550</t>
        </is>
      </c>
      <c r="E20729" s="3" t="inlineStr">
        <is>
          <t>Loan - Heron Projects</t>
        </is>
      </c>
      <c r="F20729" s="3" t="n">
        <v>54000</v>
      </c>
      <c r="G20729" s="3" t="n">
        <v>31000</v>
      </c>
    </row>
    <row r="20730">
      <c r="A20730" s="3" t="inlineStr">
        <is>
          <t>Opportunity Private Capital (PTY) LTD</t>
        </is>
      </c>
      <c r="B20730" s="4" t="n">
        <v>45443</v>
      </c>
      <c r="C20730" s="3" t="inlineStr">
        <is>
          <t>Liabilities</t>
        </is>
      </c>
      <c r="D20730" s="3" t="inlineStr">
        <is>
          <t>5500/650</t>
        </is>
      </c>
      <c r="E20730" s="3" t="inlineStr">
        <is>
          <t>Loan - Opportunit Global - Sales</t>
        </is>
      </c>
      <c r="F20730" s="3" t="n">
        <v>30000</v>
      </c>
      <c r="G20730" s="3" t="n">
        <v>-4134033.83</v>
      </c>
    </row>
    <row r="20731">
      <c r="A20731" s="3" t="inlineStr">
        <is>
          <t>Opportunity Global Property (PTY) LTD</t>
        </is>
      </c>
      <c r="B20731" s="4" t="n">
        <v>45443</v>
      </c>
      <c r="C20731" s="3" t="inlineStr">
        <is>
          <t>Liabilities</t>
        </is>
      </c>
      <c r="D20731" s="3" t="inlineStr">
        <is>
          <t>5500/650</t>
        </is>
      </c>
      <c r="E20731" s="3" t="inlineStr">
        <is>
          <t>Loan - Opportunity Investments</t>
        </is>
      </c>
      <c r="F20731" s="3" t="n">
        <v>-30000</v>
      </c>
      <c r="G20731" s="3" t="n">
        <v>4134033.83</v>
      </c>
    </row>
    <row r="20732">
      <c r="A20732" s="3" t="inlineStr">
        <is>
          <t>Opportunity Management Holdings (PTY) LTD</t>
        </is>
      </c>
      <c r="B20732" s="4" t="n">
        <v>45443</v>
      </c>
      <c r="C20732" s="3" t="inlineStr">
        <is>
          <t>Liabilities</t>
        </is>
      </c>
      <c r="D20732" s="3" t="inlineStr">
        <is>
          <t>5500/700</t>
        </is>
      </c>
      <c r="E20732" s="3" t="inlineStr">
        <is>
          <t>Loan - Go Letting</t>
        </is>
      </c>
      <c r="F20732" s="3" t="n">
        <v>0</v>
      </c>
      <c r="G20732" s="3" t="n">
        <v>-120</v>
      </c>
    </row>
    <row r="20733">
      <c r="A20733" s="3" t="inlineStr">
        <is>
          <t>Quinate Consulting (Pty) Ltd</t>
        </is>
      </c>
      <c r="B20733" s="4" t="n">
        <v>45443</v>
      </c>
      <c r="C20733" s="3" t="inlineStr">
        <is>
          <t>Liabilities</t>
        </is>
      </c>
      <c r="D20733" s="3" t="inlineStr">
        <is>
          <t>5500/700</t>
        </is>
      </c>
      <c r="E20733" s="3" t="inlineStr">
        <is>
          <t>Loan - Trademark Holdings</t>
        </is>
      </c>
      <c r="F20733" s="3" t="n">
        <v>0</v>
      </c>
      <c r="G20733" s="3" t="n">
        <v>16413.38</v>
      </c>
    </row>
    <row r="20734">
      <c r="A20734" s="3" t="inlineStr">
        <is>
          <t>Opportunity Private Capital (PTY) LTD</t>
        </is>
      </c>
      <c r="B20734" s="4" t="n">
        <v>45443</v>
      </c>
      <c r="C20734" s="3" t="inlineStr">
        <is>
          <t>Liabilities</t>
        </is>
      </c>
      <c r="D20734" s="3" t="inlineStr">
        <is>
          <t>5500/750</t>
        </is>
      </c>
      <c r="E20734" s="3" t="inlineStr">
        <is>
          <t>Loan - Heron Projects</t>
        </is>
      </c>
      <c r="F20734" s="3" t="n">
        <v>-35000</v>
      </c>
      <c r="G20734" s="3" t="n">
        <v>-2118000</v>
      </c>
    </row>
    <row r="20735">
      <c r="A20735" s="3" t="inlineStr">
        <is>
          <t>Opportunity Private Capital (PTY) LTD</t>
        </is>
      </c>
      <c r="B20735" s="4" t="n">
        <v>45443</v>
      </c>
      <c r="C20735" s="3" t="inlineStr">
        <is>
          <t>Liabilities</t>
        </is>
      </c>
      <c r="D20735" s="3" t="inlineStr">
        <is>
          <t>5500/850</t>
        </is>
      </c>
      <c r="E20735" s="3" t="inlineStr">
        <is>
          <t>Loan - Nick Morgan</t>
        </is>
      </c>
      <c r="F20735" s="3" t="n">
        <v>0</v>
      </c>
      <c r="G20735" s="3" t="n">
        <v>6200</v>
      </c>
    </row>
    <row r="20736">
      <c r="A20736" s="3" t="inlineStr">
        <is>
          <t>Quinate Consulting (Pty) Ltd</t>
        </is>
      </c>
      <c r="B20736" s="4" t="n">
        <v>45443</v>
      </c>
      <c r="C20736" s="3" t="inlineStr">
        <is>
          <t>Liabilities</t>
        </is>
      </c>
      <c r="D20736" s="3" t="inlineStr">
        <is>
          <t>5501/001</t>
        </is>
      </c>
      <c r="E20736" s="3" t="inlineStr">
        <is>
          <t>Loan - Endulini CIP Costs</t>
        </is>
      </c>
      <c r="F20736" s="3" t="n">
        <v>-44400</v>
      </c>
      <c r="G20736" s="3" t="n">
        <v>5541837.9</v>
      </c>
    </row>
    <row r="20737">
      <c r="A20737" s="3" t="inlineStr">
        <is>
          <t>Quinate Consulting (Pty) Ltd</t>
        </is>
      </c>
      <c r="B20737" s="4" t="n">
        <v>45443</v>
      </c>
      <c r="C20737" s="3" t="inlineStr">
        <is>
          <t>Liabilities</t>
        </is>
      </c>
      <c r="D20737" s="3" t="inlineStr">
        <is>
          <t>5501/002</t>
        </is>
      </c>
      <c r="E20737" s="3" t="inlineStr">
        <is>
          <t>Loan - Purple Block</t>
        </is>
      </c>
      <c r="F20737" s="3" t="n">
        <v>0</v>
      </c>
      <c r="G20737" s="3" t="n">
        <v>171148.82</v>
      </c>
    </row>
    <row r="20738">
      <c r="A20738" s="3" t="inlineStr">
        <is>
          <t>Noble Shield (Pty) Ltd ta Go Letting</t>
        </is>
      </c>
      <c r="B20738" s="4" t="n">
        <v>45443</v>
      </c>
      <c r="C20738" s="3" t="inlineStr">
        <is>
          <t>Assets</t>
        </is>
      </c>
      <c r="D20738" s="3" t="inlineStr">
        <is>
          <t>6250/010</t>
        </is>
      </c>
      <c r="E20738" s="3" t="inlineStr">
        <is>
          <t>Computer Equipment - @ Cost</t>
        </is>
      </c>
      <c r="F20738" s="3" t="n">
        <v>0</v>
      </c>
      <c r="G20738" s="3" t="n">
        <v>20397</v>
      </c>
    </row>
    <row r="20739">
      <c r="A20739" s="3" t="inlineStr">
        <is>
          <t>Opportunity Management Holdings (PTY) LTD</t>
        </is>
      </c>
      <c r="B20739" s="4" t="n">
        <v>45443</v>
      </c>
      <c r="C20739" s="3" t="inlineStr">
        <is>
          <t>Assets</t>
        </is>
      </c>
      <c r="D20739" s="3" t="inlineStr">
        <is>
          <t>6250/010</t>
        </is>
      </c>
      <c r="E20739" s="3" t="inlineStr">
        <is>
          <t>Computer Equipment - @ Cost</t>
        </is>
      </c>
      <c r="F20739" s="3" t="n">
        <v>0</v>
      </c>
      <c r="G20739" s="3" t="n">
        <v>66677.85000000001</v>
      </c>
    </row>
    <row r="20740">
      <c r="A20740" s="3" t="inlineStr">
        <is>
          <t>Opportunity Private Capital (PTY) LTD</t>
        </is>
      </c>
      <c r="B20740" s="4" t="n">
        <v>45443</v>
      </c>
      <c r="C20740" s="3" t="inlineStr">
        <is>
          <t>Assets</t>
        </is>
      </c>
      <c r="D20740" s="3" t="inlineStr">
        <is>
          <t>6250/010</t>
        </is>
      </c>
      <c r="E20740" s="3" t="inlineStr">
        <is>
          <t>Computer Equipment - @ Cost</t>
        </is>
      </c>
      <c r="F20740" s="3" t="n">
        <v>0</v>
      </c>
      <c r="G20740" s="3" t="n">
        <v>31683.04</v>
      </c>
    </row>
    <row r="20741">
      <c r="A20741" s="3" t="inlineStr">
        <is>
          <t>Quinate Consulting (Pty) Ltd</t>
        </is>
      </c>
      <c r="B20741" s="4" t="n">
        <v>45443</v>
      </c>
      <c r="C20741" s="3" t="inlineStr">
        <is>
          <t>Assets</t>
        </is>
      </c>
      <c r="D20741" s="3" t="inlineStr">
        <is>
          <t>6250/010</t>
        </is>
      </c>
      <c r="E20741" s="3" t="inlineStr">
        <is>
          <t>Computer Equipment - @ Cost</t>
        </is>
      </c>
      <c r="F20741" s="3" t="n">
        <v>0</v>
      </c>
      <c r="G20741" s="3" t="n">
        <v>137059.7</v>
      </c>
    </row>
    <row r="20742">
      <c r="A20742" s="3" t="inlineStr">
        <is>
          <t>Trademark Holdings (Pty) Ltd</t>
        </is>
      </c>
      <c r="B20742" s="4" t="n">
        <v>45443</v>
      </c>
      <c r="C20742" s="3" t="inlineStr">
        <is>
          <t>Assets</t>
        </is>
      </c>
      <c r="D20742" s="3" t="inlineStr">
        <is>
          <t>6250/010</t>
        </is>
      </c>
      <c r="E20742" s="3" t="inlineStr">
        <is>
          <t>Computer Equipment - @ Cost</t>
        </is>
      </c>
      <c r="F20742" s="3" t="n">
        <v>0</v>
      </c>
      <c r="G20742" s="3" t="n">
        <v>13557</v>
      </c>
    </row>
    <row r="20743">
      <c r="A20743" s="3" t="inlineStr">
        <is>
          <t>Noble Shield (Pty) Ltd ta Go Letting</t>
        </is>
      </c>
      <c r="B20743" s="4" t="n">
        <v>45443</v>
      </c>
      <c r="C20743" s="3" t="inlineStr">
        <is>
          <t>Assets</t>
        </is>
      </c>
      <c r="D20743" s="3" t="inlineStr">
        <is>
          <t>6250/020</t>
        </is>
      </c>
      <c r="E20743" s="3" t="inlineStr">
        <is>
          <t>Computer Equipment - Accum Depre</t>
        </is>
      </c>
      <c r="F20743" s="3" t="n">
        <v>0</v>
      </c>
      <c r="G20743" s="3" t="n">
        <v>-12040.89</v>
      </c>
    </row>
    <row r="20744">
      <c r="A20744" s="3" t="inlineStr">
        <is>
          <t>Opportunity Management Holdings (PTY) LTD</t>
        </is>
      </c>
      <c r="B20744" s="4" t="n">
        <v>45443</v>
      </c>
      <c r="C20744" s="3" t="inlineStr">
        <is>
          <t>Assets</t>
        </is>
      </c>
      <c r="D20744" s="3" t="inlineStr">
        <is>
          <t>6250/020</t>
        </is>
      </c>
      <c r="E20744" s="3" t="inlineStr">
        <is>
          <t>Computer Equipment - Accum Depre</t>
        </is>
      </c>
      <c r="F20744" s="3" t="n">
        <v>0</v>
      </c>
      <c r="G20744" s="3" t="n">
        <v>-20867.63</v>
      </c>
    </row>
    <row r="20745">
      <c r="A20745" s="3" t="inlineStr">
        <is>
          <t>Opportunity Private Capital (PTY) LTD</t>
        </is>
      </c>
      <c r="B20745" s="4" t="n">
        <v>45443</v>
      </c>
      <c r="C20745" s="3" t="inlineStr">
        <is>
          <t>Assets</t>
        </is>
      </c>
      <c r="D20745" s="3" t="inlineStr">
        <is>
          <t>6250/020</t>
        </is>
      </c>
      <c r="E20745" s="3" t="inlineStr">
        <is>
          <t>Computer Equipment - Accum Depre</t>
        </is>
      </c>
      <c r="F20745" s="3" t="n">
        <v>0</v>
      </c>
      <c r="G20745" s="3" t="n">
        <v>-14081.34</v>
      </c>
    </row>
    <row r="20746">
      <c r="A20746" s="3" t="inlineStr">
        <is>
          <t>Quinate Consulting (Pty) Ltd</t>
        </is>
      </c>
      <c r="B20746" s="4" t="n">
        <v>45443</v>
      </c>
      <c r="C20746" s="3" t="inlineStr">
        <is>
          <t>Assets</t>
        </is>
      </c>
      <c r="D20746" s="3" t="inlineStr">
        <is>
          <t>6250/020</t>
        </is>
      </c>
      <c r="E20746" s="3" t="inlineStr">
        <is>
          <t>Computer Equipment - Accum Depre</t>
        </is>
      </c>
      <c r="F20746" s="3" t="n">
        <v>0</v>
      </c>
      <c r="G20746" s="3" t="n">
        <v>-124782.02</v>
      </c>
    </row>
    <row r="20747">
      <c r="A20747" s="3" t="inlineStr">
        <is>
          <t>Trademark Holdings (Pty) Ltd</t>
        </is>
      </c>
      <c r="B20747" s="4" t="n">
        <v>45443</v>
      </c>
      <c r="C20747" s="3" t="inlineStr">
        <is>
          <t>Assets</t>
        </is>
      </c>
      <c r="D20747" s="3" t="inlineStr">
        <is>
          <t>6250/020</t>
        </is>
      </c>
      <c r="E20747" s="3" t="inlineStr">
        <is>
          <t>Computer Equipment - Accum Depre</t>
        </is>
      </c>
      <c r="F20747" s="3" t="n">
        <v>0</v>
      </c>
      <c r="G20747" s="3" t="n">
        <v>-376.58</v>
      </c>
    </row>
    <row r="20748">
      <c r="A20748" s="3" t="inlineStr">
        <is>
          <t>Opportunity Management Holdings (PTY) LTD</t>
        </is>
      </c>
      <c r="B20748" s="4" t="n">
        <v>45443</v>
      </c>
      <c r="C20748" s="3" t="inlineStr">
        <is>
          <t>Assets</t>
        </is>
      </c>
      <c r="D20748" s="3" t="inlineStr">
        <is>
          <t>6250/030</t>
        </is>
      </c>
      <c r="E20748" s="3" t="inlineStr">
        <is>
          <t>Acc Depreciation - Computer Equipment</t>
        </is>
      </c>
      <c r="F20748" s="3" t="n">
        <v>0</v>
      </c>
      <c r="G20748" s="3" t="n">
        <v>-9441.25</v>
      </c>
    </row>
    <row r="20749">
      <c r="A20749" s="3" t="inlineStr">
        <is>
          <t>Quinate Consulting (Pty) Ltd</t>
        </is>
      </c>
      <c r="B20749" s="4" t="n">
        <v>45443</v>
      </c>
      <c r="C20749" s="3" t="inlineStr">
        <is>
          <t>Assets</t>
        </is>
      </c>
      <c r="D20749" s="3" t="inlineStr">
        <is>
          <t>6270/010</t>
        </is>
      </c>
      <c r="E20749" s="3" t="inlineStr">
        <is>
          <t>Site Containers - @ Cost</t>
        </is>
      </c>
      <c r="F20749" s="3" t="n">
        <v>0</v>
      </c>
      <c r="G20749" s="3" t="n">
        <v>19130.44</v>
      </c>
    </row>
    <row r="20750">
      <c r="A20750" s="3" t="inlineStr">
        <is>
          <t>Quinate Consulting (Pty) Ltd</t>
        </is>
      </c>
      <c r="B20750" s="4" t="n">
        <v>45443</v>
      </c>
      <c r="C20750" s="3" t="inlineStr">
        <is>
          <t>Assets</t>
        </is>
      </c>
      <c r="D20750" s="3" t="inlineStr">
        <is>
          <t>6270/020</t>
        </is>
      </c>
      <c r="E20750" s="3" t="inlineStr">
        <is>
          <t>Site Containers - Accum Depre</t>
        </is>
      </c>
      <c r="F20750" s="3" t="n">
        <v>0</v>
      </c>
      <c r="G20750" s="3" t="n">
        <v>-11478.26</v>
      </c>
    </row>
    <row r="20751">
      <c r="A20751" s="3" t="inlineStr">
        <is>
          <t>Noble Shield (Pty) Ltd ta Go Letting</t>
        </is>
      </c>
      <c r="B20751" s="4" t="n">
        <v>45443</v>
      </c>
      <c r="C20751" s="3" t="inlineStr">
        <is>
          <t>Assets</t>
        </is>
      </c>
      <c r="D20751" s="3" t="inlineStr">
        <is>
          <t>6350/010</t>
        </is>
      </c>
      <c r="E20751" s="3" t="inlineStr">
        <is>
          <t>Furniture _AND_ Fittings - @ Cost</t>
        </is>
      </c>
      <c r="F20751" s="3" t="n">
        <v>0</v>
      </c>
      <c r="G20751" s="3" t="n">
        <v>2242</v>
      </c>
    </row>
    <row r="20752">
      <c r="A20752" s="3" t="inlineStr">
        <is>
          <t>Opportunity Global Property (PTY) LTD</t>
        </is>
      </c>
      <c r="B20752" s="4" t="n">
        <v>45443</v>
      </c>
      <c r="C20752" s="3" t="inlineStr">
        <is>
          <t>Assets</t>
        </is>
      </c>
      <c r="D20752" s="3" t="inlineStr">
        <is>
          <t>6350/010</t>
        </is>
      </c>
      <c r="E20752" s="3" t="inlineStr">
        <is>
          <t>Furniture _AND_ Fittings - @ Cost</t>
        </is>
      </c>
      <c r="F20752" s="3" t="n">
        <v>0</v>
      </c>
      <c r="G20752" s="3" t="n">
        <v>29379.7</v>
      </c>
    </row>
    <row r="20753">
      <c r="A20753" s="3" t="inlineStr">
        <is>
          <t>Noble Shield (Pty) Ltd ta Go Letting</t>
        </is>
      </c>
      <c r="B20753" s="4" t="n">
        <v>45443</v>
      </c>
      <c r="C20753" s="3" t="inlineStr">
        <is>
          <t>Assets</t>
        </is>
      </c>
      <c r="D20753" s="3" t="inlineStr">
        <is>
          <t>6350/020</t>
        </is>
      </c>
      <c r="E20753" s="3" t="inlineStr">
        <is>
          <t>Furniture _AND_ Fittings - Accum Depre</t>
        </is>
      </c>
      <c r="F20753" s="3" t="n">
        <v>0</v>
      </c>
      <c r="G20753" s="3" t="n">
        <v>-2239</v>
      </c>
    </row>
    <row r="20754">
      <c r="A20754" s="3" t="inlineStr">
        <is>
          <t>Opportunity Global Property (PTY) LTD</t>
        </is>
      </c>
      <c r="B20754" s="4" t="n">
        <v>45443</v>
      </c>
      <c r="C20754" s="3" t="inlineStr">
        <is>
          <t>Assets</t>
        </is>
      </c>
      <c r="D20754" s="3" t="inlineStr">
        <is>
          <t>6350/020</t>
        </is>
      </c>
      <c r="E20754" s="3" t="inlineStr">
        <is>
          <t>Furniture _AND_ Fittings - Accum Depre</t>
        </is>
      </c>
      <c r="F20754" s="3" t="n">
        <v>0</v>
      </c>
      <c r="G20754" s="3" t="n">
        <v>-8977.129999999999</v>
      </c>
    </row>
    <row r="20755">
      <c r="A20755" s="3" t="inlineStr">
        <is>
          <t>Opportunity Management Holdings (PTY) LTD</t>
        </is>
      </c>
      <c r="B20755" s="4" t="n">
        <v>45443</v>
      </c>
      <c r="C20755" s="3" t="inlineStr">
        <is>
          <t>Liabilities</t>
        </is>
      </c>
      <c r="D20755" s="3" t="inlineStr">
        <is>
          <t>6500/000</t>
        </is>
      </c>
      <c r="E20755" s="3" t="inlineStr">
        <is>
          <t>Deposits - Held</t>
        </is>
      </c>
      <c r="F20755" s="3" t="n">
        <v>0</v>
      </c>
      <c r="G20755" s="3" t="n">
        <v>-12028.1</v>
      </c>
    </row>
    <row r="20756">
      <c r="A20756" s="3" t="inlineStr">
        <is>
          <t>Opportunity Management Holdings (PTY) LTD</t>
        </is>
      </c>
      <c r="B20756" s="4" t="n">
        <v>45443</v>
      </c>
      <c r="C20756" s="3" t="inlineStr">
        <is>
          <t>Liabilities</t>
        </is>
      </c>
      <c r="D20756" s="3" t="inlineStr">
        <is>
          <t>6510/000</t>
        </is>
      </c>
      <c r="E20756" s="3" t="inlineStr">
        <is>
          <t>Deposits Paid - Anicol Properties</t>
        </is>
      </c>
      <c r="F20756" s="3" t="n">
        <v>0</v>
      </c>
      <c r="G20756" s="3" t="n">
        <v>13755</v>
      </c>
    </row>
    <row r="20757">
      <c r="A20757" s="3" t="inlineStr">
        <is>
          <t>Opportunity Management Holdings (PTY) LTD</t>
        </is>
      </c>
      <c r="B20757" s="4" t="n">
        <v>45443</v>
      </c>
      <c r="C20757" s="3" t="inlineStr">
        <is>
          <t>Liabilities</t>
        </is>
      </c>
      <c r="D20757" s="3" t="inlineStr">
        <is>
          <t>6515/000</t>
        </is>
      </c>
      <c r="E20757" s="3" t="inlineStr">
        <is>
          <t>Deposits Paid</t>
        </is>
      </c>
      <c r="F20757" s="3" t="n">
        <v>0</v>
      </c>
      <c r="G20757" s="3" t="n">
        <v>3852.5</v>
      </c>
    </row>
    <row r="20758">
      <c r="A20758" s="3" t="inlineStr">
        <is>
          <t>Quinate Consulting (Pty) Ltd</t>
        </is>
      </c>
      <c r="B20758" s="4" t="n">
        <v>45443</v>
      </c>
      <c r="C20758" s="3" t="inlineStr">
        <is>
          <t>Assets</t>
        </is>
      </c>
      <c r="D20758" s="3" t="inlineStr">
        <is>
          <t>6600/010</t>
        </is>
      </c>
      <c r="E20758" s="3" t="inlineStr">
        <is>
          <t>Other Fixed Assets - @ Cost</t>
        </is>
      </c>
      <c r="F20758" s="3" t="n">
        <v>0</v>
      </c>
      <c r="G20758" s="3" t="n">
        <v>14442.5</v>
      </c>
    </row>
    <row r="20759">
      <c r="A20759" s="3" t="inlineStr">
        <is>
          <t>Quinate Consulting (Pty) Ltd</t>
        </is>
      </c>
      <c r="B20759" s="4" t="n">
        <v>45443</v>
      </c>
      <c r="C20759" s="3" t="inlineStr">
        <is>
          <t>Assets</t>
        </is>
      </c>
      <c r="D20759" s="3" t="inlineStr">
        <is>
          <t>6600/020</t>
        </is>
      </c>
      <c r="E20759" s="3" t="inlineStr">
        <is>
          <t>Other Fixed Assets - Accum Depre</t>
        </is>
      </c>
      <c r="F20759" s="3" t="n">
        <v>0</v>
      </c>
      <c r="G20759" s="3" t="n">
        <v>-14441.5</v>
      </c>
    </row>
    <row r="20760">
      <c r="A20760" s="3" t="inlineStr">
        <is>
          <t>Noble Shield (Pty) Ltd ta Go Letting</t>
        </is>
      </c>
      <c r="B20760" s="4" t="n">
        <v>45443</v>
      </c>
      <c r="C20760" s="3" t="inlineStr">
        <is>
          <t>Assets</t>
        </is>
      </c>
      <c r="D20760" s="3" t="inlineStr">
        <is>
          <t>7000/100</t>
        </is>
      </c>
      <c r="E20760" s="3" t="inlineStr">
        <is>
          <t>Goodwill - Purchase of Go Letting</t>
        </is>
      </c>
      <c r="F20760" s="3" t="n">
        <v>0</v>
      </c>
      <c r="G20760" s="3" t="n">
        <v>106580</v>
      </c>
    </row>
    <row r="20761">
      <c r="A20761" s="3" t="inlineStr">
        <is>
          <t>Opportunity Private Capital (PTY) LTD</t>
        </is>
      </c>
      <c r="B20761" s="4" t="n">
        <v>45443</v>
      </c>
      <c r="C20761" s="3" t="inlineStr">
        <is>
          <t>Assets</t>
        </is>
      </c>
      <c r="D20761" s="3" t="inlineStr">
        <is>
          <t>7100/010</t>
        </is>
      </c>
      <c r="E20761" s="3" t="inlineStr">
        <is>
          <t>Investment - OMIGI D203</t>
        </is>
      </c>
      <c r="F20761" s="3" t="n">
        <v>0</v>
      </c>
      <c r="G20761" s="3" t="n">
        <v>250000</v>
      </c>
    </row>
    <row r="20762">
      <c r="A20762" s="3" t="inlineStr">
        <is>
          <t>Opportunity Management Holdings (PTY) LTD</t>
        </is>
      </c>
      <c r="B20762" s="4" t="n">
        <v>45443</v>
      </c>
      <c r="C20762" s="3" t="inlineStr">
        <is>
          <t>Assets</t>
        </is>
      </c>
      <c r="D20762" s="3" t="inlineStr">
        <is>
          <t>7200/000</t>
        </is>
      </c>
      <c r="E20762" s="3" t="inlineStr">
        <is>
          <t>Shares in Subsidiary Companies</t>
        </is>
      </c>
      <c r="F20762" s="3" t="n">
        <v>0</v>
      </c>
      <c r="G20762" s="3" t="n">
        <v>120</v>
      </c>
    </row>
    <row r="20763">
      <c r="A20763" s="3" t="inlineStr">
        <is>
          <t>Endulini (Pty) Ltd</t>
        </is>
      </c>
      <c r="B20763" s="4" t="n">
        <v>45443</v>
      </c>
      <c r="C20763" s="3" t="inlineStr">
        <is>
          <t>Assets</t>
        </is>
      </c>
      <c r="D20763" s="3" t="inlineStr">
        <is>
          <t>7610/100</t>
        </is>
      </c>
      <c r="E20763" s="3" t="inlineStr">
        <is>
          <t>Endulini Land</t>
        </is>
      </c>
      <c r="F20763" s="3" t="n">
        <v>0</v>
      </c>
      <c r="G20763" s="3" t="n">
        <v>10572851.37</v>
      </c>
    </row>
    <row r="20764">
      <c r="A20764" s="3" t="inlineStr">
        <is>
          <t>Endulini (Pty) Ltd</t>
        </is>
      </c>
      <c r="B20764" s="4" t="n">
        <v>45443</v>
      </c>
      <c r="C20764" s="3" t="inlineStr">
        <is>
          <t>Assets</t>
        </is>
      </c>
      <c r="D20764" s="3" t="inlineStr">
        <is>
          <t>7610/111</t>
        </is>
      </c>
      <c r="E20764" s="3" t="inlineStr">
        <is>
          <t>Endulini Closing Stock February 2021</t>
        </is>
      </c>
      <c r="F20764" s="3" t="n">
        <v>0</v>
      </c>
      <c r="G20764" s="3" t="n">
        <v>14368610.11</v>
      </c>
    </row>
    <row r="20765">
      <c r="A20765" s="3" t="inlineStr">
        <is>
          <t>Endulini (Pty) Ltd</t>
        </is>
      </c>
      <c r="B20765" s="4" t="n">
        <v>45443</v>
      </c>
      <c r="C20765" s="3" t="inlineStr">
        <is>
          <t>Assets</t>
        </is>
      </c>
      <c r="D20765" s="3" t="inlineStr">
        <is>
          <t>7610/180</t>
        </is>
      </c>
      <c r="E20765" s="3" t="inlineStr">
        <is>
          <t>Endulini CIP Architects</t>
        </is>
      </c>
      <c r="F20765" s="3" t="n">
        <v>0</v>
      </c>
      <c r="G20765" s="3" t="n">
        <v>1292111.71</v>
      </c>
    </row>
    <row r="20766">
      <c r="A20766" s="3" t="inlineStr">
        <is>
          <t>Endulini (Pty) Ltd</t>
        </is>
      </c>
      <c r="B20766" s="4" t="n">
        <v>45443</v>
      </c>
      <c r="C20766" s="3" t="inlineStr">
        <is>
          <t>Assets</t>
        </is>
      </c>
      <c r="D20766" s="3" t="inlineStr">
        <is>
          <t>7610/200</t>
        </is>
      </c>
      <c r="E20766" s="3" t="inlineStr">
        <is>
          <t>Endulini CIP CoCT Land Use App</t>
        </is>
      </c>
      <c r="F20766" s="3" t="n">
        <v>0</v>
      </c>
      <c r="G20766" s="3" t="n">
        <v>232891.06</v>
      </c>
    </row>
    <row r="20767">
      <c r="A20767" s="3" t="inlineStr">
        <is>
          <t>Endulini (Pty) Ltd</t>
        </is>
      </c>
      <c r="B20767" s="4" t="n">
        <v>45443</v>
      </c>
      <c r="C20767" s="3" t="inlineStr">
        <is>
          <t>Assets</t>
        </is>
      </c>
      <c r="D20767" s="3" t="inlineStr">
        <is>
          <t>7610/205</t>
        </is>
      </c>
      <c r="E20767" s="3" t="inlineStr">
        <is>
          <t>Endulini CIP Site Establishments</t>
        </is>
      </c>
      <c r="F20767" s="3" t="n">
        <v>0</v>
      </c>
      <c r="G20767" s="3" t="n">
        <v>32428975.01</v>
      </c>
    </row>
    <row r="20768">
      <c r="A20768" s="3" t="inlineStr">
        <is>
          <t>Endulini (Pty) Ltd</t>
        </is>
      </c>
      <c r="B20768" s="4" t="n">
        <v>45443</v>
      </c>
      <c r="C20768" s="3" t="inlineStr">
        <is>
          <t>Assets</t>
        </is>
      </c>
      <c r="D20768" s="3" t="inlineStr">
        <is>
          <t>7610/209</t>
        </is>
      </c>
      <c r="E20768" s="3" t="inlineStr">
        <is>
          <t>Endulini CIP Construction Management</t>
        </is>
      </c>
      <c r="F20768" s="3" t="n">
        <v>0</v>
      </c>
      <c r="G20768" s="3" t="n">
        <v>223375</v>
      </c>
    </row>
    <row r="20769">
      <c r="A20769" s="3" t="inlineStr">
        <is>
          <t>Endulini (Pty) Ltd</t>
        </is>
      </c>
      <c r="B20769" s="4" t="n">
        <v>45443</v>
      </c>
      <c r="C20769" s="3" t="inlineStr">
        <is>
          <t>Assets</t>
        </is>
      </c>
      <c r="D20769" s="3" t="inlineStr">
        <is>
          <t>7610/210</t>
        </is>
      </c>
      <c r="E20769" s="3" t="inlineStr">
        <is>
          <t>Endulini CIP Civil Works</t>
        </is>
      </c>
      <c r="F20769" s="3" t="n">
        <v>0</v>
      </c>
      <c r="G20769" s="3" t="n">
        <v>6295702.14</v>
      </c>
    </row>
    <row r="20770">
      <c r="A20770" s="3" t="inlineStr">
        <is>
          <t>Endulini (Pty) Ltd</t>
        </is>
      </c>
      <c r="B20770" s="4" t="n">
        <v>45443</v>
      </c>
      <c r="C20770" s="3" t="inlineStr">
        <is>
          <t>Assets</t>
        </is>
      </c>
      <c r="D20770" s="3" t="inlineStr">
        <is>
          <t>7610/215</t>
        </is>
      </c>
      <c r="E20770" s="3" t="inlineStr">
        <is>
          <t>Endulini CIP Civil Engineers</t>
        </is>
      </c>
      <c r="F20770" s="3" t="n">
        <v>0</v>
      </c>
      <c r="G20770" s="3" t="n">
        <v>183000</v>
      </c>
    </row>
    <row r="20771">
      <c r="A20771" s="3" t="inlineStr">
        <is>
          <t>Endulini (Pty) Ltd</t>
        </is>
      </c>
      <c r="B20771" s="4" t="n">
        <v>45443</v>
      </c>
      <c r="C20771" s="3" t="inlineStr">
        <is>
          <t>Assets</t>
        </is>
      </c>
      <c r="D20771" s="3" t="inlineStr">
        <is>
          <t>7610/220</t>
        </is>
      </c>
      <c r="E20771" s="3" t="inlineStr">
        <is>
          <t>Endulini CIP Structuring Project Fee Opp Invest</t>
        </is>
      </c>
      <c r="F20771" s="3" t="n">
        <v>0</v>
      </c>
      <c r="G20771" s="3" t="n">
        <v>483735.96</v>
      </c>
    </row>
    <row r="20772">
      <c r="A20772" s="3" t="inlineStr">
        <is>
          <t>Endulini (Pty) Ltd</t>
        </is>
      </c>
      <c r="B20772" s="4" t="n">
        <v>45443</v>
      </c>
      <c r="C20772" s="3" t="inlineStr">
        <is>
          <t>Assets</t>
        </is>
      </c>
      <c r="D20772" s="3" t="inlineStr">
        <is>
          <t>7610/225</t>
        </is>
      </c>
      <c r="E20772" s="3" t="inlineStr">
        <is>
          <t>Endulini CIP Structural engineering fee</t>
        </is>
      </c>
      <c r="F20772" s="3" t="n">
        <v>0</v>
      </c>
      <c r="G20772" s="3" t="n">
        <v>288645.08</v>
      </c>
    </row>
    <row r="20773">
      <c r="A20773" s="3" t="inlineStr">
        <is>
          <t>Endulini (Pty) Ltd</t>
        </is>
      </c>
      <c r="B20773" s="4" t="n">
        <v>45443</v>
      </c>
      <c r="C20773" s="3" t="inlineStr">
        <is>
          <t>Assets</t>
        </is>
      </c>
      <c r="D20773" s="3" t="inlineStr">
        <is>
          <t>7610/230</t>
        </is>
      </c>
      <c r="E20773" s="3" t="inlineStr">
        <is>
          <t>Endulini CIP Mechanical Engineering</t>
        </is>
      </c>
      <c r="F20773" s="3" t="n">
        <v>0</v>
      </c>
      <c r="G20773" s="3" t="n">
        <v>15570</v>
      </c>
    </row>
    <row r="20774">
      <c r="A20774" s="3" t="inlineStr">
        <is>
          <t>Endulini (Pty) Ltd</t>
        </is>
      </c>
      <c r="B20774" s="4" t="n">
        <v>45443</v>
      </c>
      <c r="C20774" s="3" t="inlineStr">
        <is>
          <t>Assets</t>
        </is>
      </c>
      <c r="D20774" s="3" t="inlineStr">
        <is>
          <t>7610/235</t>
        </is>
      </c>
      <c r="E20774" s="3" t="inlineStr">
        <is>
          <t>Endulini CIP Electrical Installation</t>
        </is>
      </c>
      <c r="F20774" s="3" t="n">
        <v>0</v>
      </c>
      <c r="G20774" s="3" t="n">
        <v>1034019.08</v>
      </c>
    </row>
    <row r="20775">
      <c r="A20775" s="3" t="inlineStr">
        <is>
          <t>Endulini (Pty) Ltd</t>
        </is>
      </c>
      <c r="B20775" s="4" t="n">
        <v>45443</v>
      </c>
      <c r="C20775" s="3" t="inlineStr">
        <is>
          <t>Assets</t>
        </is>
      </c>
      <c r="D20775" s="3" t="inlineStr">
        <is>
          <t>7610/250</t>
        </is>
      </c>
      <c r="E20775" s="3" t="inlineStr">
        <is>
          <t>Endulini CIP Boundary Wall</t>
        </is>
      </c>
      <c r="F20775" s="3" t="n">
        <v>0</v>
      </c>
      <c r="G20775" s="3" t="n">
        <v>88400.8</v>
      </c>
    </row>
    <row r="20776">
      <c r="A20776" s="3" t="inlineStr">
        <is>
          <t>Endulini (Pty) Ltd</t>
        </is>
      </c>
      <c r="B20776" s="4" t="n">
        <v>45443</v>
      </c>
      <c r="C20776" s="3" t="inlineStr">
        <is>
          <t>Assets</t>
        </is>
      </c>
      <c r="D20776" s="3" t="inlineStr">
        <is>
          <t>7610/290</t>
        </is>
      </c>
      <c r="E20776" s="3" t="inlineStr">
        <is>
          <t>Endulini CIP Development Management Fees</t>
        </is>
      </c>
      <c r="F20776" s="3" t="n">
        <v>0</v>
      </c>
      <c r="G20776" s="3" t="n">
        <v>665322.71</v>
      </c>
    </row>
    <row r="20777">
      <c r="A20777" s="3" t="inlineStr">
        <is>
          <t>Endulini (Pty) Ltd</t>
        </is>
      </c>
      <c r="B20777" s="4" t="n">
        <v>45443</v>
      </c>
      <c r="C20777" s="3" t="inlineStr">
        <is>
          <t>Assets</t>
        </is>
      </c>
      <c r="D20777" s="3" t="inlineStr">
        <is>
          <t>7610/310</t>
        </is>
      </c>
      <c r="E20777" s="3" t="inlineStr">
        <is>
          <t>Endulini CIP Enviromental consultants</t>
        </is>
      </c>
      <c r="F20777" s="3" t="n">
        <v>0</v>
      </c>
      <c r="G20777" s="3" t="n">
        <v>115730</v>
      </c>
    </row>
    <row r="20778">
      <c r="A20778" s="3" t="inlineStr">
        <is>
          <t>Endulini (Pty) Ltd</t>
        </is>
      </c>
      <c r="B20778" s="4" t="n">
        <v>45443</v>
      </c>
      <c r="C20778" s="3" t="inlineStr">
        <is>
          <t>Assets</t>
        </is>
      </c>
      <c r="D20778" s="3" t="inlineStr">
        <is>
          <t>7610/320</t>
        </is>
      </c>
      <c r="E20778" s="3" t="inlineStr">
        <is>
          <t>Endulini CIP Geotechnical</t>
        </is>
      </c>
      <c r="F20778" s="3" t="n">
        <v>0</v>
      </c>
      <c r="G20778" s="3" t="n">
        <v>13575</v>
      </c>
    </row>
    <row r="20779">
      <c r="A20779" s="3" t="inlineStr">
        <is>
          <t>Endulini (Pty) Ltd</t>
        </is>
      </c>
      <c r="B20779" s="4" t="n">
        <v>45443</v>
      </c>
      <c r="C20779" s="3" t="inlineStr">
        <is>
          <t>Assets</t>
        </is>
      </c>
      <c r="D20779" s="3" t="inlineStr">
        <is>
          <t>7610/330</t>
        </is>
      </c>
      <c r="E20779" s="3" t="inlineStr">
        <is>
          <t>Endulini CIP Health and Safety</t>
        </is>
      </c>
      <c r="F20779" s="3" t="n">
        <v>0</v>
      </c>
      <c r="G20779" s="3" t="n">
        <v>40200</v>
      </c>
    </row>
    <row r="20780">
      <c r="A20780" s="3" t="inlineStr">
        <is>
          <t>Endulini (Pty) Ltd</t>
        </is>
      </c>
      <c r="B20780" s="4" t="n">
        <v>45443</v>
      </c>
      <c r="C20780" s="3" t="inlineStr">
        <is>
          <t>Assets</t>
        </is>
      </c>
      <c r="D20780" s="3" t="inlineStr">
        <is>
          <t>7610/390</t>
        </is>
      </c>
      <c r="E20780" s="3" t="inlineStr">
        <is>
          <t>Endulini CIP Land Surveyor</t>
        </is>
      </c>
      <c r="F20780" s="3" t="n">
        <v>0</v>
      </c>
      <c r="G20780" s="3" t="n">
        <v>186021.2</v>
      </c>
    </row>
    <row r="20781">
      <c r="A20781" s="3" t="inlineStr">
        <is>
          <t>Endulini (Pty) Ltd</t>
        </is>
      </c>
      <c r="B20781" s="4" t="n">
        <v>45443</v>
      </c>
      <c r="C20781" s="3" t="inlineStr">
        <is>
          <t>Assets</t>
        </is>
      </c>
      <c r="D20781" s="3" t="inlineStr">
        <is>
          <t>7610/392</t>
        </is>
      </c>
      <c r="E20781" s="3" t="inlineStr">
        <is>
          <t>Endulini CIP Landscaping</t>
        </is>
      </c>
      <c r="F20781" s="3" t="n">
        <v>0</v>
      </c>
      <c r="G20781" s="3" t="n">
        <v>6100</v>
      </c>
    </row>
    <row r="20782">
      <c r="A20782" s="3" t="inlineStr">
        <is>
          <t>Endulini (Pty) Ltd</t>
        </is>
      </c>
      <c r="B20782" s="4" t="n">
        <v>45443</v>
      </c>
      <c r="C20782" s="3" t="inlineStr">
        <is>
          <t>Assets</t>
        </is>
      </c>
      <c r="D20782" s="3" t="inlineStr">
        <is>
          <t>7610/395</t>
        </is>
      </c>
      <c r="E20782" s="3" t="inlineStr">
        <is>
          <t>Endulini CIP NHBRC</t>
        </is>
      </c>
      <c r="F20782" s="3" t="n">
        <v>0</v>
      </c>
      <c r="G20782" s="3" t="n">
        <v>928847.49</v>
      </c>
    </row>
    <row r="20783">
      <c r="A20783" s="3" t="inlineStr">
        <is>
          <t>Endulini (Pty) Ltd</t>
        </is>
      </c>
      <c r="B20783" s="4" t="n">
        <v>45443</v>
      </c>
      <c r="C20783" s="3" t="inlineStr">
        <is>
          <t>Assets</t>
        </is>
      </c>
      <c r="D20783" s="3" t="inlineStr">
        <is>
          <t>7610/400</t>
        </is>
      </c>
      <c r="E20783" s="3" t="inlineStr">
        <is>
          <t>Endulini CIP Quantity Surveyor</t>
        </is>
      </c>
      <c r="F20783" s="3" t="n">
        <v>0</v>
      </c>
      <c r="G20783" s="3" t="n">
        <v>82136.36</v>
      </c>
    </row>
    <row r="20784">
      <c r="A20784" s="3" t="inlineStr">
        <is>
          <t>Endulini (Pty) Ltd</t>
        </is>
      </c>
      <c r="B20784" s="4" t="n">
        <v>45443</v>
      </c>
      <c r="C20784" s="3" t="inlineStr">
        <is>
          <t>Assets</t>
        </is>
      </c>
      <c r="D20784" s="3" t="inlineStr">
        <is>
          <t>7610/600</t>
        </is>
      </c>
      <c r="E20784" s="3" t="inlineStr">
        <is>
          <t>Endulini CIP Town Planning</t>
        </is>
      </c>
      <c r="F20784" s="3" t="n">
        <v>0</v>
      </c>
      <c r="G20784" s="3" t="n">
        <v>21105</v>
      </c>
    </row>
    <row r="20785">
      <c r="A20785" s="3" t="inlineStr">
        <is>
          <t>Endulini (Pty) Ltd</t>
        </is>
      </c>
      <c r="B20785" s="4" t="n">
        <v>45443</v>
      </c>
      <c r="C20785" s="3" t="inlineStr">
        <is>
          <t>Assets</t>
        </is>
      </c>
      <c r="D20785" s="3" t="inlineStr">
        <is>
          <t>7610/620</t>
        </is>
      </c>
      <c r="E20785" s="3" t="inlineStr">
        <is>
          <t>Endulini CIP Traffic Impact</t>
        </is>
      </c>
      <c r="F20785" s="3" t="n">
        <v>0</v>
      </c>
      <c r="G20785" s="3" t="n">
        <v>24915</v>
      </c>
    </row>
    <row r="20786">
      <c r="A20786" s="3" t="inlineStr">
        <is>
          <t>Endulini (Pty) Ltd</t>
        </is>
      </c>
      <c r="B20786" s="4" t="n">
        <v>45443</v>
      </c>
      <c r="C20786" s="3" t="inlineStr">
        <is>
          <t>Assets</t>
        </is>
      </c>
      <c r="D20786" s="3" t="inlineStr">
        <is>
          <t>7610/630</t>
        </is>
      </c>
      <c r="E20786" s="3" t="inlineStr">
        <is>
          <t>Endulini CIP CoCT Development Contributi</t>
        </is>
      </c>
      <c r="F20786" s="3" t="n">
        <v>0</v>
      </c>
      <c r="G20786" s="3" t="n">
        <v>661860.3100000001</v>
      </c>
    </row>
    <row r="20787">
      <c r="A20787" s="3" t="inlineStr">
        <is>
          <t>Endulini (Pty) Ltd</t>
        </is>
      </c>
      <c r="B20787" s="4" t="n">
        <v>45443</v>
      </c>
      <c r="C20787" s="3" t="inlineStr">
        <is>
          <t>Assets</t>
        </is>
      </c>
      <c r="D20787" s="3" t="inlineStr">
        <is>
          <t>7610/640</t>
        </is>
      </c>
      <c r="E20787" s="3" t="inlineStr">
        <is>
          <t>Endulini CIP CoCT Building plan application</t>
        </is>
      </c>
      <c r="F20787" s="3" t="n">
        <v>0</v>
      </c>
      <c r="G20787" s="3" t="n">
        <v>111203.22</v>
      </c>
    </row>
    <row r="20788">
      <c r="A20788" s="3" t="inlineStr">
        <is>
          <t>Endulini (Pty) Ltd</t>
        </is>
      </c>
      <c r="B20788" s="4" t="n">
        <v>45443</v>
      </c>
      <c r="C20788" s="3" t="inlineStr">
        <is>
          <t>Assets</t>
        </is>
      </c>
      <c r="D20788" s="3" t="inlineStr">
        <is>
          <t>7610/900</t>
        </is>
      </c>
      <c r="E20788" s="3" t="inlineStr">
        <is>
          <t>Endulini CIP Cost of Sales</t>
        </is>
      </c>
      <c r="F20788" s="3" t="n">
        <v>0</v>
      </c>
      <c r="G20788" s="3" t="n">
        <v>-28210981.9</v>
      </c>
    </row>
    <row r="20789">
      <c r="A20789" s="3" t="inlineStr">
        <is>
          <t>Quinate Consulting (Pty) Ltd</t>
        </is>
      </c>
      <c r="B20789" s="4" t="n">
        <v>45443</v>
      </c>
      <c r="C20789" s="3" t="inlineStr">
        <is>
          <t>Assets</t>
        </is>
      </c>
      <c r="D20789" s="3" t="inlineStr">
        <is>
          <t>7800/104</t>
        </is>
      </c>
      <c r="E20789" s="3" t="inlineStr">
        <is>
          <t>Stock - Closing Stock SW - 28 Feb 21</t>
        </is>
      </c>
      <c r="F20789" s="3" t="n">
        <v>0</v>
      </c>
      <c r="G20789" s="3" t="n">
        <v>2874478.88</v>
      </c>
    </row>
    <row r="20790">
      <c r="A20790" s="3" t="inlineStr">
        <is>
          <t>Quinate Consulting (Pty) Ltd</t>
        </is>
      </c>
      <c r="B20790" s="4" t="n">
        <v>45443</v>
      </c>
      <c r="C20790" s="3" t="inlineStr">
        <is>
          <t>Assets</t>
        </is>
      </c>
      <c r="D20790" s="3" t="inlineStr">
        <is>
          <t>7800/105</t>
        </is>
      </c>
      <c r="E20790" s="3" t="inlineStr">
        <is>
          <t>Stock - Closing Stock SH - 28 Feb 21</t>
        </is>
      </c>
      <c r="F20790" s="3" t="n">
        <v>0</v>
      </c>
      <c r="G20790" s="3" t="n">
        <v>2843477.6</v>
      </c>
    </row>
    <row r="20791">
      <c r="A20791" s="3" t="inlineStr">
        <is>
          <t>Rock Blok (Pty) Ltd</t>
        </is>
      </c>
      <c r="B20791" s="4" t="n">
        <v>45443</v>
      </c>
      <c r="C20791" s="3" t="inlineStr">
        <is>
          <t>Liabilities</t>
        </is>
      </c>
      <c r="D20791" s="3" t="inlineStr">
        <is>
          <t>800</t>
        </is>
      </c>
      <c r="E20791" s="3" t="inlineStr">
        <is>
          <t>Accounts Payable</t>
        </is>
      </c>
      <c r="F20791" s="3" t="n">
        <v>-1798.37</v>
      </c>
      <c r="G20791" s="3" t="n">
        <v>-2900.99</v>
      </c>
    </row>
    <row r="20792">
      <c r="A20792" s="3" t="inlineStr">
        <is>
          <t>Endulini (Pty) Ltd</t>
        </is>
      </c>
      <c r="B20792" s="4" t="n">
        <v>45443</v>
      </c>
      <c r="C20792" s="3" t="inlineStr">
        <is>
          <t>Assets</t>
        </is>
      </c>
      <c r="D20792" s="3" t="inlineStr">
        <is>
          <t>8000/000</t>
        </is>
      </c>
      <c r="E20792" s="3" t="inlineStr">
        <is>
          <t>Customer Control Account</t>
        </is>
      </c>
      <c r="F20792" s="3" t="n">
        <v>123616.69</v>
      </c>
      <c r="G20792" s="3" t="n">
        <v>677098.9300000001</v>
      </c>
    </row>
    <row r="20793">
      <c r="A20793" s="3" t="inlineStr">
        <is>
          <t>Noble Shield (Pty) Ltd ta Go Letting</t>
        </is>
      </c>
      <c r="B20793" s="4" t="n">
        <v>45443</v>
      </c>
      <c r="C20793" s="3" t="inlineStr">
        <is>
          <t>Assets</t>
        </is>
      </c>
      <c r="D20793" s="3" t="inlineStr">
        <is>
          <t>8000/000</t>
        </is>
      </c>
      <c r="E20793" s="3" t="inlineStr">
        <is>
          <t>Customer Control Account</t>
        </is>
      </c>
      <c r="F20793" s="3" t="n">
        <v>0</v>
      </c>
      <c r="G20793" s="3" t="n">
        <v>60289.32</v>
      </c>
    </row>
    <row r="20794">
      <c r="A20794" s="3" t="inlineStr">
        <is>
          <t>Opportunity Global Property (PTY) LTD</t>
        </is>
      </c>
      <c r="B20794" s="4" t="n">
        <v>45443</v>
      </c>
      <c r="C20794" s="3" t="inlineStr">
        <is>
          <t>Assets</t>
        </is>
      </c>
      <c r="D20794" s="3" t="inlineStr">
        <is>
          <t>8000/000</t>
        </is>
      </c>
      <c r="E20794" s="3" t="inlineStr">
        <is>
          <t>Customer Control Account</t>
        </is>
      </c>
      <c r="F20794" s="3" t="n">
        <v>8500</v>
      </c>
      <c r="G20794" s="3" t="n">
        <v>596098.33</v>
      </c>
    </row>
    <row r="20795">
      <c r="A20795" s="3" t="inlineStr">
        <is>
          <t>Opportunity Management Holdings (PTY) LTD</t>
        </is>
      </c>
      <c r="B20795" s="4" t="n">
        <v>45443</v>
      </c>
      <c r="C20795" s="3" t="inlineStr">
        <is>
          <t>Assets</t>
        </is>
      </c>
      <c r="D20795" s="3" t="inlineStr">
        <is>
          <t>8000/000</t>
        </is>
      </c>
      <c r="E20795" s="3" t="inlineStr">
        <is>
          <t>Customer Control Account</t>
        </is>
      </c>
      <c r="F20795" s="3" t="n">
        <v>0</v>
      </c>
      <c r="G20795" s="3" t="n">
        <v>554326.47</v>
      </c>
    </row>
    <row r="20796">
      <c r="A20796" s="3" t="inlineStr">
        <is>
          <t>Opportunity Private Capital (PTY) LTD</t>
        </is>
      </c>
      <c r="B20796" s="4" t="n">
        <v>45443</v>
      </c>
      <c r="C20796" s="3" t="inlineStr">
        <is>
          <t>Assets</t>
        </is>
      </c>
      <c r="D20796" s="3" t="inlineStr">
        <is>
          <t>8000/000</t>
        </is>
      </c>
      <c r="E20796" s="3" t="inlineStr">
        <is>
          <t>Customer Control Account</t>
        </is>
      </c>
      <c r="F20796" s="3" t="n">
        <v>-58782.29</v>
      </c>
      <c r="G20796" s="3" t="n">
        <v>15899.15</v>
      </c>
    </row>
    <row r="20797">
      <c r="A20797" s="3" t="inlineStr">
        <is>
          <t>Quinate Consulting (Pty) Ltd</t>
        </is>
      </c>
      <c r="B20797" s="4" t="n">
        <v>45443</v>
      </c>
      <c r="C20797" s="3" t="inlineStr">
        <is>
          <t>Assets</t>
        </is>
      </c>
      <c r="D20797" s="3" t="inlineStr">
        <is>
          <t>8000/000</t>
        </is>
      </c>
      <c r="E20797" s="3" t="inlineStr">
        <is>
          <t>Customer Control Account</t>
        </is>
      </c>
      <c r="F20797" s="3" t="n">
        <v>21567.7</v>
      </c>
      <c r="G20797" s="3" t="n">
        <v>73953.13</v>
      </c>
    </row>
    <row r="20798">
      <c r="A20798" s="3" t="inlineStr">
        <is>
          <t>Rock Blok (Pty) Ltd</t>
        </is>
      </c>
      <c r="B20798" s="4" t="n">
        <v>45443</v>
      </c>
      <c r="C20798" s="3" t="inlineStr">
        <is>
          <t>Liabilities</t>
        </is>
      </c>
      <c r="D20798" s="3" t="inlineStr">
        <is>
          <t>8000/100</t>
        </is>
      </c>
      <c r="E20798" s="3" t="inlineStr">
        <is>
          <t>Endulini D203 - Surplus Funds</t>
        </is>
      </c>
      <c r="F20798" s="3" t="n">
        <v>0</v>
      </c>
      <c r="G20798" s="3" t="n">
        <v>-39385.38</v>
      </c>
    </row>
    <row r="20799">
      <c r="A20799" s="3" t="inlineStr">
        <is>
          <t>Rock Blok (Pty) Ltd</t>
        </is>
      </c>
      <c r="B20799" s="4" t="n">
        <v>45443</v>
      </c>
      <c r="C20799" s="3" t="inlineStr">
        <is>
          <t>Liabilities</t>
        </is>
      </c>
      <c r="D20799" s="3" t="inlineStr">
        <is>
          <t>8000/150</t>
        </is>
      </c>
      <c r="E20799" s="3" t="inlineStr">
        <is>
          <t>Endulini D203 - Rental Reserve</t>
        </is>
      </c>
      <c r="F20799" s="3" t="n">
        <v>4032.61</v>
      </c>
      <c r="G20799" s="3" t="n">
        <v>-146934.78</v>
      </c>
    </row>
    <row r="20800">
      <c r="A20800" s="3" t="inlineStr">
        <is>
          <t>Quinate Consulting (Pty) Ltd</t>
        </is>
      </c>
      <c r="B20800" s="4" t="n">
        <v>45443</v>
      </c>
      <c r="C20800" s="3" t="inlineStr">
        <is>
          <t>Assets</t>
        </is>
      </c>
      <c r="D20800" s="3" t="inlineStr">
        <is>
          <t>8001</t>
        </is>
      </c>
      <c r="E20800" s="3" t="inlineStr">
        <is>
          <t>Customer Control</t>
        </is>
      </c>
      <c r="F20800" s="3" t="n">
        <v>0</v>
      </c>
      <c r="G20800" s="3" t="n">
        <v>29487.49</v>
      </c>
    </row>
    <row r="20801">
      <c r="A20801" s="3" t="inlineStr">
        <is>
          <t>Quinate Consulting (Pty) Ltd</t>
        </is>
      </c>
      <c r="B20801" s="4" t="n">
        <v>45443</v>
      </c>
      <c r="C20801" s="3" t="inlineStr">
        <is>
          <t>Assets</t>
        </is>
      </c>
      <c r="D20801" s="3" t="inlineStr">
        <is>
          <t>8200/010</t>
        </is>
      </c>
      <c r="E20801" s="3" t="inlineStr">
        <is>
          <t>Prepayments / Prepaid Expenses</t>
        </is>
      </c>
      <c r="F20801" s="3" t="n">
        <v>0</v>
      </c>
      <c r="G20801" s="3" t="n">
        <v>109675</v>
      </c>
    </row>
    <row r="20802">
      <c r="A20802" s="3" t="inlineStr">
        <is>
          <t>Opportunity Global Property (PTY) LTD</t>
        </is>
      </c>
      <c r="B20802" s="4" t="n">
        <v>45443</v>
      </c>
      <c r="C20802" s="3" t="inlineStr">
        <is>
          <t>Assets</t>
        </is>
      </c>
      <c r="D20802" s="3" t="inlineStr">
        <is>
          <t>8300/200</t>
        </is>
      </c>
      <c r="E20802" s="3" t="inlineStr">
        <is>
          <t>Staff Loan - Mario Stoop</t>
        </is>
      </c>
      <c r="F20802" s="3" t="n">
        <v>0</v>
      </c>
      <c r="G20802" s="3" t="n">
        <v>1500</v>
      </c>
    </row>
    <row r="20803">
      <c r="A20803" s="3" t="inlineStr">
        <is>
          <t>Opportunity Private Capital (PTY) LTD</t>
        </is>
      </c>
      <c r="B20803" s="4" t="n">
        <v>45443</v>
      </c>
      <c r="C20803" s="3" t="inlineStr">
        <is>
          <t>Assets</t>
        </is>
      </c>
      <c r="D20803" s="3" t="inlineStr">
        <is>
          <t>8400/000</t>
        </is>
      </c>
      <c r="E20803" s="3" t="inlineStr">
        <is>
          <t>FNB 62093491696</t>
        </is>
      </c>
      <c r="F20803" s="3" t="n">
        <v>435153.26</v>
      </c>
      <c r="G20803" s="3" t="n">
        <v>471102.77</v>
      </c>
    </row>
    <row r="20804">
      <c r="A20804" s="3" t="inlineStr">
        <is>
          <t>Opportunity Global Property (PTY) LTD</t>
        </is>
      </c>
      <c r="B20804" s="4" t="n">
        <v>45443</v>
      </c>
      <c r="C20804" s="3" t="inlineStr">
        <is>
          <t>Assets</t>
        </is>
      </c>
      <c r="D20804" s="3" t="inlineStr">
        <is>
          <t>8400/000</t>
        </is>
      </c>
      <c r="E20804" s="3" t="inlineStr">
        <is>
          <t>FNB 62835620875</t>
        </is>
      </c>
      <c r="F20804" s="3" t="n">
        <v>-35890.72</v>
      </c>
      <c r="G20804" s="3" t="n">
        <v>27412.66</v>
      </c>
    </row>
    <row r="20805">
      <c r="A20805" s="3" t="inlineStr">
        <is>
          <t>Quinate Consulting (Pty) Ltd</t>
        </is>
      </c>
      <c r="B20805" s="4" t="n">
        <v>45443</v>
      </c>
      <c r="C20805" s="3" t="inlineStr">
        <is>
          <t>Assets</t>
        </is>
      </c>
      <c r="D20805" s="3" t="inlineStr">
        <is>
          <t>8400/000</t>
        </is>
      </c>
      <c r="E20805" s="3" t="inlineStr">
        <is>
          <t>RMB - 62736659189 - Call Acc</t>
        </is>
      </c>
      <c r="F20805" s="3" t="n">
        <v>0</v>
      </c>
      <c r="G20805" s="3" t="n">
        <v>815386.6899999999</v>
      </c>
    </row>
    <row r="20806">
      <c r="A20806" s="3" t="inlineStr">
        <is>
          <t>Trademark Holdings (Pty) Ltd</t>
        </is>
      </c>
      <c r="B20806" s="4" t="n">
        <v>45443</v>
      </c>
      <c r="C20806" s="3" t="inlineStr">
        <is>
          <t>Assets</t>
        </is>
      </c>
      <c r="D20806" s="3" t="inlineStr">
        <is>
          <t>8400/000</t>
        </is>
      </c>
      <c r="E20806" s="3" t="inlineStr">
        <is>
          <t>RMB 623 693 03640</t>
        </is>
      </c>
      <c r="F20806" s="3" t="n">
        <v>1174.16</v>
      </c>
      <c r="G20806" s="3" t="n">
        <v>37613.9</v>
      </c>
    </row>
    <row r="20807">
      <c r="A20807" s="3" t="inlineStr">
        <is>
          <t>Noble Shield (Pty) Ltd ta Go Letting</t>
        </is>
      </c>
      <c r="B20807" s="4" t="n">
        <v>45443</v>
      </c>
      <c r="C20807" s="3" t="inlineStr">
        <is>
          <t>Assets</t>
        </is>
      </c>
      <c r="D20807" s="3" t="inlineStr">
        <is>
          <t>8400/000</t>
        </is>
      </c>
      <c r="E20807" s="3" t="inlineStr">
        <is>
          <t>RMB 6250 573 3833</t>
        </is>
      </c>
      <c r="F20807" s="3" t="n">
        <v>-22063.16</v>
      </c>
      <c r="G20807" s="3" t="n">
        <v>45833.42</v>
      </c>
    </row>
    <row r="20808">
      <c r="A20808" s="3" t="inlineStr">
        <is>
          <t>Endulini (Pty) Ltd</t>
        </is>
      </c>
      <c r="B20808" s="4" t="n">
        <v>45443</v>
      </c>
      <c r="C20808" s="3" t="inlineStr">
        <is>
          <t>Assets</t>
        </is>
      </c>
      <c r="D20808" s="3" t="inlineStr">
        <is>
          <t>8400/000</t>
        </is>
      </c>
      <c r="E20808" s="3" t="inlineStr">
        <is>
          <t>RMB 62906944576</t>
        </is>
      </c>
      <c r="F20808" s="3" t="n">
        <v>-886.61</v>
      </c>
      <c r="G20808" s="3" t="n">
        <v>20198.18</v>
      </c>
    </row>
    <row r="20809">
      <c r="A20809" s="3" t="inlineStr">
        <is>
          <t>Opportunity Management Holdings (PTY) LTD</t>
        </is>
      </c>
      <c r="B20809" s="4" t="n">
        <v>45443</v>
      </c>
      <c r="C20809" s="3" t="inlineStr">
        <is>
          <t>Assets</t>
        </is>
      </c>
      <c r="D20809" s="3" t="inlineStr">
        <is>
          <t>8400/000</t>
        </is>
      </c>
      <c r="E20809" s="3" t="inlineStr">
        <is>
          <t>RMB Cheq - 62312246920</t>
        </is>
      </c>
      <c r="F20809" s="3" t="n">
        <v>-9102.77</v>
      </c>
      <c r="G20809" s="3" t="n">
        <v>88991.73</v>
      </c>
    </row>
    <row r="20810">
      <c r="A20810" s="3" t="inlineStr">
        <is>
          <t>Rock Blok (Pty) Ltd</t>
        </is>
      </c>
      <c r="B20810" s="4" t="n">
        <v>45443</v>
      </c>
      <c r="C20810" s="3" t="inlineStr">
        <is>
          <t>Assets</t>
        </is>
      </c>
      <c r="D20810" s="3" t="inlineStr">
        <is>
          <t>8400/100</t>
        </is>
      </c>
      <c r="E20810" s="3" t="inlineStr">
        <is>
          <t>Rock Blok Curre</t>
        </is>
      </c>
      <c r="F20810" s="3" t="n">
        <v>-1205.49</v>
      </c>
      <c r="G20810" s="3" t="n">
        <v>192164.89</v>
      </c>
    </row>
    <row r="20811">
      <c r="A20811" s="3" t="inlineStr">
        <is>
          <t>Opportunity Global Property (PTY) LTD</t>
        </is>
      </c>
      <c r="B20811" s="4" t="n">
        <v>45443</v>
      </c>
      <c r="C20811" s="3" t="inlineStr">
        <is>
          <t>Assets</t>
        </is>
      </c>
      <c r="D20811" s="3" t="inlineStr">
        <is>
          <t>8405/000</t>
        </is>
      </c>
      <c r="E20811" s="3" t="inlineStr">
        <is>
          <t>FNB Trust 62762449265</t>
        </is>
      </c>
      <c r="F20811" s="3" t="n">
        <v>0</v>
      </c>
      <c r="G20811" s="3" t="n">
        <v>-141.72</v>
      </c>
    </row>
    <row r="20812">
      <c r="A20812" s="3" t="inlineStr">
        <is>
          <t>Opportunity Private Capital (PTY) LTD</t>
        </is>
      </c>
      <c r="B20812" s="4" t="n">
        <v>45443</v>
      </c>
      <c r="C20812" s="3" t="inlineStr">
        <is>
          <t>Assets</t>
        </is>
      </c>
      <c r="D20812" s="3" t="inlineStr">
        <is>
          <t>8405/000</t>
        </is>
      </c>
      <c r="E20812" s="3" t="inlineStr">
        <is>
          <t>FNB Trust 62762449265</t>
        </is>
      </c>
      <c r="F20812" s="3" t="n">
        <v>0</v>
      </c>
      <c r="G20812" s="3" t="n">
        <v>1141.1</v>
      </c>
    </row>
    <row r="20813">
      <c r="A20813" s="3" t="inlineStr">
        <is>
          <t>Endulini (Pty) Ltd</t>
        </is>
      </c>
      <c r="B20813" s="4" t="n">
        <v>45443</v>
      </c>
      <c r="C20813" s="3" t="inlineStr">
        <is>
          <t>Assets</t>
        </is>
      </c>
      <c r="D20813" s="3" t="inlineStr">
        <is>
          <t>8410/000</t>
        </is>
      </c>
      <c r="E20813" s="3" t="inlineStr">
        <is>
          <t>Momentum Investor Account : RU 502229883</t>
        </is>
      </c>
      <c r="F20813" s="3" t="n">
        <v>0</v>
      </c>
      <c r="G20813" s="3" t="n">
        <v>24.52</v>
      </c>
    </row>
    <row r="20814">
      <c r="A20814" s="3" t="inlineStr">
        <is>
          <t>Opportunity Management Holdings (PTY) LTD</t>
        </is>
      </c>
      <c r="B20814" s="4" t="n">
        <v>45443</v>
      </c>
      <c r="C20814" s="3" t="inlineStr">
        <is>
          <t>Assets</t>
        </is>
      </c>
      <c r="D20814" s="3" t="inlineStr">
        <is>
          <t>8410/000</t>
        </is>
      </c>
      <c r="E20814" s="3" t="inlineStr">
        <is>
          <t>RMB Call Acc - 62312248851</t>
        </is>
      </c>
      <c r="F20814" s="3" t="n">
        <v>0</v>
      </c>
      <c r="G20814" s="3" t="n">
        <v>1432.34</v>
      </c>
    </row>
    <row r="20815">
      <c r="A20815" s="3" t="inlineStr">
        <is>
          <t>Noble Shield (Pty) Ltd ta Go Letting</t>
        </is>
      </c>
      <c r="B20815" s="4" t="n">
        <v>45443</v>
      </c>
      <c r="C20815" s="3" t="inlineStr">
        <is>
          <t>Assets</t>
        </is>
      </c>
      <c r="D20815" s="3" t="inlineStr">
        <is>
          <t>8410/000</t>
        </is>
      </c>
      <c r="E20815" s="3" t="inlineStr">
        <is>
          <t>RMB Trust Acc - 6250 615 1365</t>
        </is>
      </c>
      <c r="F20815" s="3" t="n">
        <v>1000</v>
      </c>
      <c r="G20815" s="3" t="n">
        <v>1402.65</v>
      </c>
    </row>
    <row r="20816">
      <c r="A20816" s="3" t="inlineStr">
        <is>
          <t>Quinate Consulting (Pty) Ltd</t>
        </is>
      </c>
      <c r="B20816" s="4" t="n">
        <v>45443</v>
      </c>
      <c r="C20816" s="3" t="inlineStr">
        <is>
          <t>Assets</t>
        </is>
      </c>
      <c r="D20816" s="3" t="inlineStr">
        <is>
          <t>8415/000</t>
        </is>
      </c>
      <c r="E20816" s="3" t="inlineStr">
        <is>
          <t>STD Acc 071 958 959 - Facility Acc</t>
        </is>
      </c>
      <c r="F20816" s="3" t="n">
        <v>0</v>
      </c>
      <c r="G20816" s="3" t="n">
        <v>2276.21</v>
      </c>
    </row>
    <row r="20817">
      <c r="A20817" s="3" t="inlineStr">
        <is>
          <t>Trademark Holdings (Pty) Ltd</t>
        </is>
      </c>
      <c r="B20817" s="4" t="n">
        <v>45443</v>
      </c>
      <c r="C20817" s="3" t="inlineStr">
        <is>
          <t>Assets</t>
        </is>
      </c>
      <c r="D20817" s="3" t="inlineStr">
        <is>
          <t>8420/000</t>
        </is>
      </c>
      <c r="E20817" s="3" t="inlineStr">
        <is>
          <t>FNB Credit Card</t>
        </is>
      </c>
      <c r="F20817" s="3" t="n">
        <v>52</v>
      </c>
      <c r="G20817" s="3" t="n">
        <v>676</v>
      </c>
    </row>
    <row r="20818">
      <c r="A20818" s="3" t="inlineStr">
        <is>
          <t>Quinate Consulting (Pty) Ltd</t>
        </is>
      </c>
      <c r="B20818" s="4" t="n">
        <v>45443</v>
      </c>
      <c r="C20818" s="3" t="inlineStr">
        <is>
          <t>Assets</t>
        </is>
      </c>
      <c r="D20818" s="3" t="inlineStr">
        <is>
          <t>8420/000</t>
        </is>
      </c>
      <c r="E20818" s="3" t="inlineStr">
        <is>
          <t>aFNB Invest.62379936770</t>
        </is>
      </c>
      <c r="F20818" s="3" t="n">
        <v>-23000</v>
      </c>
      <c r="G20818" s="3" t="n">
        <v>-23000</v>
      </c>
    </row>
    <row r="20819">
      <c r="A20819" s="3" t="inlineStr">
        <is>
          <t>Quinate Consulting (Pty) Ltd</t>
        </is>
      </c>
      <c r="B20819" s="4" t="n">
        <v>45443</v>
      </c>
      <c r="C20819" s="3" t="inlineStr">
        <is>
          <t>Assets</t>
        </is>
      </c>
      <c r="D20819" s="3" t="inlineStr">
        <is>
          <t>8430/000</t>
        </is>
      </c>
      <c r="E20819" s="3" t="inlineStr">
        <is>
          <t>Momentum Investment Acc - RU502230185</t>
        </is>
      </c>
      <c r="F20819" s="3" t="n">
        <v>0</v>
      </c>
      <c r="G20819" s="3" t="n">
        <v>574.88</v>
      </c>
    </row>
    <row r="20820">
      <c r="A20820" s="3" t="inlineStr">
        <is>
          <t>Opportunity Private Capital (PTY) LTD</t>
        </is>
      </c>
      <c r="B20820" s="4" t="n">
        <v>45443</v>
      </c>
      <c r="C20820" s="3" t="inlineStr">
        <is>
          <t>Assets</t>
        </is>
      </c>
      <c r="D20820" s="3" t="inlineStr">
        <is>
          <t>8440/000</t>
        </is>
      </c>
      <c r="E20820" s="3" t="inlineStr">
        <is>
          <t>FNB - Call 627602764438</t>
        </is>
      </c>
      <c r="F20820" s="3" t="n">
        <v>-127.98</v>
      </c>
      <c r="G20820" s="3" t="n">
        <v>-1992.91</v>
      </c>
    </row>
    <row r="20821">
      <c r="A20821" s="3" t="inlineStr">
        <is>
          <t>Opportunity Private Capital (PTY) LTD</t>
        </is>
      </c>
      <c r="B20821" s="4" t="n">
        <v>45443</v>
      </c>
      <c r="C20821" s="3" t="inlineStr">
        <is>
          <t>Assets</t>
        </is>
      </c>
      <c r="D20821" s="3" t="inlineStr">
        <is>
          <t>8445/000</t>
        </is>
      </c>
      <c r="E20821" s="3" t="inlineStr">
        <is>
          <t>Momentum RU502230096</t>
        </is>
      </c>
      <c r="F20821" s="3" t="n">
        <v>0</v>
      </c>
      <c r="G20821" s="3" t="n">
        <v>5081.89</v>
      </c>
    </row>
    <row r="20822">
      <c r="A20822" s="3" t="inlineStr">
        <is>
          <t>Quinate Consulting (Pty) Ltd</t>
        </is>
      </c>
      <c r="B20822" s="4" t="n">
        <v>45443</v>
      </c>
      <c r="C20822" s="3" t="inlineStr">
        <is>
          <t>Assets</t>
        </is>
      </c>
      <c r="D20822" s="3" t="inlineStr">
        <is>
          <t>8450/000</t>
        </is>
      </c>
      <c r="E20822" s="3" t="inlineStr">
        <is>
          <t>A RMB 62275810820</t>
        </is>
      </c>
      <c r="F20822" s="3" t="n">
        <v>-15498.21</v>
      </c>
      <c r="G20822" s="3" t="n">
        <v>85074.89999999999</v>
      </c>
    </row>
    <row r="20823">
      <c r="A20823" s="3" t="inlineStr">
        <is>
          <t>Opportunity Management Holdings (PTY) LTD</t>
        </is>
      </c>
      <c r="B20823" s="4" t="n">
        <v>45443</v>
      </c>
      <c r="C20823" s="3" t="inlineStr">
        <is>
          <t>Assets</t>
        </is>
      </c>
      <c r="D20823" s="3" t="inlineStr">
        <is>
          <t>8450/000</t>
        </is>
      </c>
      <c r="E20823" s="3" t="inlineStr">
        <is>
          <t>Petty Cash - CT Office</t>
        </is>
      </c>
      <c r="F20823" s="3" t="n">
        <v>0</v>
      </c>
      <c r="G20823" s="3" t="n">
        <v>1016.2</v>
      </c>
    </row>
    <row r="20824">
      <c r="A20824" s="3" t="inlineStr">
        <is>
          <t>Quinate Consulting (Pty) Ltd</t>
        </is>
      </c>
      <c r="B20824" s="4" t="n">
        <v>45443</v>
      </c>
      <c r="C20824" s="3" t="inlineStr">
        <is>
          <t>Assets</t>
        </is>
      </c>
      <c r="D20824" s="3" t="inlineStr">
        <is>
          <t>8470/000</t>
        </is>
      </c>
      <c r="E20824" s="3" t="inlineStr">
        <is>
          <t>ABSA: Quinate</t>
        </is>
      </c>
      <c r="F20824" s="3" t="n">
        <v>-13040.87</v>
      </c>
      <c r="G20824" s="3" t="n">
        <v>9209.129999999999</v>
      </c>
    </row>
    <row r="20825">
      <c r="A20825" s="3" t="inlineStr">
        <is>
          <t>Quinate Consulting (Pty) Ltd</t>
        </is>
      </c>
      <c r="B20825" s="4" t="n">
        <v>45443</v>
      </c>
      <c r="C20825" s="3" t="inlineStr">
        <is>
          <t>Liabilities</t>
        </is>
      </c>
      <c r="D20825" s="3" t="inlineStr">
        <is>
          <t>8480/100</t>
        </is>
      </c>
      <c r="E20825" s="3" t="inlineStr">
        <is>
          <t>Bond - SH20 - STD Bank 532010558</t>
        </is>
      </c>
      <c r="F20825" s="3" t="n">
        <v>16629.24</v>
      </c>
      <c r="G20825" s="3" t="n">
        <v>-1270326.98</v>
      </c>
    </row>
    <row r="20826">
      <c r="A20826" s="3" t="inlineStr">
        <is>
          <t>Quinate Consulting (Pty) Ltd</t>
        </is>
      </c>
      <c r="B20826" s="4" t="n">
        <v>45443</v>
      </c>
      <c r="C20826" s="3" t="inlineStr">
        <is>
          <t>Liabilities</t>
        </is>
      </c>
      <c r="D20826" s="3" t="inlineStr">
        <is>
          <t>8480/200</t>
        </is>
      </c>
      <c r="E20826" s="3" t="inlineStr">
        <is>
          <t>Bond - SH23 - STD Bank 532010035</t>
        </is>
      </c>
      <c r="F20826" s="3" t="n">
        <v>16624.21</v>
      </c>
      <c r="G20826" s="3" t="n">
        <v>-1270232.01</v>
      </c>
    </row>
    <row r="20827">
      <c r="A20827" s="3" t="inlineStr">
        <is>
          <t>Quinate Consulting (Pty) Ltd</t>
        </is>
      </c>
      <c r="B20827" s="4" t="n">
        <v>45443</v>
      </c>
      <c r="C20827" s="3" t="inlineStr">
        <is>
          <t>Liabilities</t>
        </is>
      </c>
      <c r="D20827" s="3" t="inlineStr">
        <is>
          <t>8480/300</t>
        </is>
      </c>
      <c r="E20827" s="3" t="inlineStr">
        <is>
          <t>Bond - SH24 - STD Bank 532372662</t>
        </is>
      </c>
      <c r="F20827" s="3" t="n">
        <v>15793.82</v>
      </c>
      <c r="G20827" s="3" t="n">
        <v>-1391122.7</v>
      </c>
    </row>
    <row r="20828">
      <c r="A20828" s="3" t="inlineStr">
        <is>
          <t>Quinate Consulting (Pty) Ltd</t>
        </is>
      </c>
      <c r="B20828" s="4" t="n">
        <v>45443</v>
      </c>
      <c r="C20828" s="3" t="inlineStr">
        <is>
          <t>Liabilities</t>
        </is>
      </c>
      <c r="D20828" s="3" t="inlineStr">
        <is>
          <t>8480/400</t>
        </is>
      </c>
      <c r="E20828" s="3" t="inlineStr">
        <is>
          <t>Bond - SW01 - STD Bank 532920627</t>
        </is>
      </c>
      <c r="F20828" s="3" t="n">
        <v>13420.79</v>
      </c>
      <c r="G20828" s="3" t="n">
        <v>-1246225.48</v>
      </c>
    </row>
    <row r="20829">
      <c r="A20829" s="3" t="inlineStr">
        <is>
          <t>Quinate Consulting (Pty) Ltd</t>
        </is>
      </c>
      <c r="B20829" s="4" t="n">
        <v>45443</v>
      </c>
      <c r="C20829" s="3" t="inlineStr">
        <is>
          <t>Liabilities</t>
        </is>
      </c>
      <c r="D20829" s="3" t="inlineStr">
        <is>
          <t>8480/401</t>
        </is>
      </c>
      <c r="E20829" s="3" t="inlineStr">
        <is>
          <t>Bond - SW21 - STD Bank 532920597</t>
        </is>
      </c>
      <c r="F20829" s="3" t="n">
        <v>13426.02</v>
      </c>
      <c r="G20829" s="3" t="n">
        <v>-1246720.24</v>
      </c>
    </row>
    <row r="20830">
      <c r="A20830" s="3" t="inlineStr">
        <is>
          <t>Endulini (Pty) Ltd</t>
        </is>
      </c>
      <c r="B20830" s="4" t="n">
        <v>45443</v>
      </c>
      <c r="C20830" s="3" t="inlineStr">
        <is>
          <t>Liabilities</t>
        </is>
      </c>
      <c r="D20830" s="3" t="inlineStr">
        <is>
          <t>860</t>
        </is>
      </c>
      <c r="E20830" s="3" t="inlineStr">
        <is>
          <t>Rounding</t>
        </is>
      </c>
      <c r="F20830" s="3" t="n">
        <v>0.01</v>
      </c>
      <c r="G20830" s="3" t="n">
        <v>0.05</v>
      </c>
    </row>
    <row r="20831">
      <c r="A20831" s="3" t="inlineStr">
        <is>
          <t>Opportunity Global Property (PTY) LTD</t>
        </is>
      </c>
      <c r="B20831" s="4" t="n">
        <v>45443</v>
      </c>
      <c r="C20831" s="3" t="inlineStr">
        <is>
          <t>Liabilities</t>
        </is>
      </c>
      <c r="D20831" s="3" t="inlineStr">
        <is>
          <t>860</t>
        </is>
      </c>
      <c r="E20831" s="3" t="inlineStr">
        <is>
          <t>Rounding</t>
        </is>
      </c>
      <c r="F20831" s="3" t="n">
        <v>0</v>
      </c>
      <c r="G20831" s="3" t="n">
        <v>-0.99</v>
      </c>
    </row>
    <row r="20832">
      <c r="A20832" s="3" t="inlineStr">
        <is>
          <t>Opportunity Management Holdings (PTY) LTD</t>
        </is>
      </c>
      <c r="B20832" s="4" t="n">
        <v>45443</v>
      </c>
      <c r="C20832" s="3" t="inlineStr">
        <is>
          <t>Liabilities</t>
        </is>
      </c>
      <c r="D20832" s="3" t="inlineStr">
        <is>
          <t>860</t>
        </is>
      </c>
      <c r="E20832" s="3" t="inlineStr">
        <is>
          <t>Rounding</t>
        </is>
      </c>
      <c r="F20832" s="3" t="n">
        <v>0.03</v>
      </c>
      <c r="G20832" s="3" t="n">
        <v>0.02</v>
      </c>
    </row>
    <row r="20833">
      <c r="A20833" s="3" t="inlineStr">
        <is>
          <t>Opportunity Private Capital (PTY) LTD</t>
        </is>
      </c>
      <c r="B20833" s="4" t="n">
        <v>45443</v>
      </c>
      <c r="C20833" s="3" t="inlineStr">
        <is>
          <t>Liabilities</t>
        </is>
      </c>
      <c r="D20833" s="3" t="inlineStr">
        <is>
          <t>860</t>
        </is>
      </c>
      <c r="E20833" s="3" t="inlineStr">
        <is>
          <t>Rounding</t>
        </is>
      </c>
      <c r="F20833" s="3" t="n">
        <v>0</v>
      </c>
      <c r="G20833" s="3" t="n">
        <v>-0.29</v>
      </c>
    </row>
    <row r="20834">
      <c r="A20834" s="3" t="inlineStr">
        <is>
          <t>Quinate Consulting (Pty) Ltd</t>
        </is>
      </c>
      <c r="B20834" s="4" t="n">
        <v>45443</v>
      </c>
      <c r="C20834" s="3" t="inlineStr">
        <is>
          <t>Liabilities</t>
        </is>
      </c>
      <c r="D20834" s="3" t="inlineStr">
        <is>
          <t>860</t>
        </is>
      </c>
      <c r="E20834" s="3" t="inlineStr">
        <is>
          <t>Rounding</t>
        </is>
      </c>
      <c r="F20834" s="3" t="n">
        <v>-0.39</v>
      </c>
      <c r="G20834" s="3" t="n">
        <v>-6.49</v>
      </c>
    </row>
    <row r="20835">
      <c r="A20835" s="3" t="inlineStr">
        <is>
          <t>Trademark Holdings (Pty) Ltd</t>
        </is>
      </c>
      <c r="B20835" s="4" t="n">
        <v>45443</v>
      </c>
      <c r="C20835" s="3" t="inlineStr">
        <is>
          <t>Liabilities</t>
        </is>
      </c>
      <c r="D20835" s="3" t="inlineStr">
        <is>
          <t>860</t>
        </is>
      </c>
      <c r="E20835" s="3" t="inlineStr">
        <is>
          <t>Rounding</t>
        </is>
      </c>
      <c r="F20835" s="3" t="n">
        <v>0</v>
      </c>
      <c r="G20835" s="3" t="n">
        <v>0.2</v>
      </c>
    </row>
    <row r="20836">
      <c r="A20836" s="3" t="inlineStr">
        <is>
          <t>Endulini (Pty) Ltd</t>
        </is>
      </c>
      <c r="B20836" s="4" t="n">
        <v>45443</v>
      </c>
      <c r="C20836" s="3" t="inlineStr">
        <is>
          <t>Liabilities</t>
        </is>
      </c>
      <c r="D20836" s="3" t="inlineStr">
        <is>
          <t>9000/000</t>
        </is>
      </c>
      <c r="E20836" s="3" t="inlineStr">
        <is>
          <t>Supplier Control Account</t>
        </is>
      </c>
      <c r="F20836" s="3" t="n">
        <v>-124936.78</v>
      </c>
      <c r="G20836" s="3" t="n">
        <v>3782263.5</v>
      </c>
    </row>
    <row r="20837">
      <c r="A20837" s="3" t="inlineStr">
        <is>
          <t>Noble Shield (Pty) Ltd ta Go Letting</t>
        </is>
      </c>
      <c r="B20837" s="4" t="n">
        <v>45443</v>
      </c>
      <c r="C20837" s="3" t="inlineStr">
        <is>
          <t>Liabilities</t>
        </is>
      </c>
      <c r="D20837" s="3" t="inlineStr">
        <is>
          <t>9000/000</t>
        </is>
      </c>
      <c r="E20837" s="3" t="inlineStr">
        <is>
          <t>Supplier Control Account</t>
        </is>
      </c>
      <c r="F20837" s="3" t="n">
        <v>4827.27</v>
      </c>
      <c r="G20837" s="3" t="n">
        <v>-26284.25</v>
      </c>
    </row>
    <row r="20838">
      <c r="A20838" s="3" t="inlineStr">
        <is>
          <t>Opportunity Global Property (PTY) LTD</t>
        </is>
      </c>
      <c r="B20838" s="4" t="n">
        <v>45443</v>
      </c>
      <c r="C20838" s="3" t="inlineStr">
        <is>
          <t>Liabilities</t>
        </is>
      </c>
      <c r="D20838" s="3" t="inlineStr">
        <is>
          <t>9000/000</t>
        </is>
      </c>
      <c r="E20838" s="3" t="inlineStr">
        <is>
          <t>Supplier Control Account</t>
        </is>
      </c>
      <c r="F20838" s="3" t="n">
        <v>-10452.07</v>
      </c>
      <c r="G20838" s="3" t="n">
        <v>-16304.2</v>
      </c>
    </row>
    <row r="20839">
      <c r="A20839" s="3" t="inlineStr">
        <is>
          <t>Opportunity Management Holdings (PTY) LTD</t>
        </is>
      </c>
      <c r="B20839" s="4" t="n">
        <v>45443</v>
      </c>
      <c r="C20839" s="3" t="inlineStr">
        <is>
          <t>Liabilities</t>
        </is>
      </c>
      <c r="D20839" s="3" t="inlineStr">
        <is>
          <t>9000/000</t>
        </is>
      </c>
      <c r="E20839" s="3" t="inlineStr">
        <is>
          <t>Supplier Control Account</t>
        </is>
      </c>
      <c r="F20839" s="3" t="n">
        <v>1265</v>
      </c>
      <c r="G20839" s="3" t="n">
        <v>-790710.67</v>
      </c>
    </row>
    <row r="20840">
      <c r="A20840" s="3" t="inlineStr">
        <is>
          <t>Opportunity Private Capital (PTY) LTD</t>
        </is>
      </c>
      <c r="B20840" s="4" t="n">
        <v>45443</v>
      </c>
      <c r="C20840" s="3" t="inlineStr">
        <is>
          <t>Liabilities</t>
        </is>
      </c>
      <c r="D20840" s="3" t="inlineStr">
        <is>
          <t>9000/000</t>
        </is>
      </c>
      <c r="E20840" s="3" t="inlineStr">
        <is>
          <t>Supplier Control Account</t>
        </is>
      </c>
      <c r="F20840" s="3" t="n">
        <v>10785.1</v>
      </c>
      <c r="G20840" s="3" t="n">
        <v>-31097.91</v>
      </c>
    </row>
    <row r="20841">
      <c r="A20841" s="3" t="inlineStr">
        <is>
          <t>Quinate Consulting (Pty) Ltd</t>
        </is>
      </c>
      <c r="B20841" s="4" t="n">
        <v>45443</v>
      </c>
      <c r="C20841" s="3" t="inlineStr">
        <is>
          <t>Liabilities</t>
        </is>
      </c>
      <c r="D20841" s="3" t="inlineStr">
        <is>
          <t>9000/000</t>
        </is>
      </c>
      <c r="E20841" s="3" t="inlineStr">
        <is>
          <t>Supplier Control Account</t>
        </is>
      </c>
      <c r="F20841" s="3" t="n">
        <v>-20741.96</v>
      </c>
      <c r="G20841" s="3" t="n">
        <v>-755750.09</v>
      </c>
    </row>
    <row r="20842">
      <c r="A20842" s="3" t="inlineStr">
        <is>
          <t>Trademark Holdings (Pty) Ltd</t>
        </is>
      </c>
      <c r="B20842" s="4" t="n">
        <v>45443</v>
      </c>
      <c r="C20842" s="3" t="inlineStr">
        <is>
          <t>Liabilities</t>
        </is>
      </c>
      <c r="D20842" s="3" t="inlineStr">
        <is>
          <t>9000/000</t>
        </is>
      </c>
      <c r="E20842" s="3" t="inlineStr">
        <is>
          <t>Supplier Control Account</t>
        </is>
      </c>
      <c r="F20842" s="3" t="n">
        <v>1144</v>
      </c>
      <c r="G20842" s="3" t="n">
        <v>-8671.5</v>
      </c>
    </row>
    <row r="20843">
      <c r="A20843" s="3" t="inlineStr">
        <is>
          <t>Quinate Consulting (Pty) Ltd</t>
        </is>
      </c>
      <c r="B20843" s="4" t="n">
        <v>45443</v>
      </c>
      <c r="C20843" s="3" t="inlineStr">
        <is>
          <t>Liabilities</t>
        </is>
      </c>
      <c r="D20843" s="3" t="inlineStr">
        <is>
          <t>9001</t>
        </is>
      </c>
      <c r="E20843" s="3" t="inlineStr">
        <is>
          <t>Supplier Control</t>
        </is>
      </c>
      <c r="F20843" s="3" t="n">
        <v>0</v>
      </c>
      <c r="G20843" s="3" t="n">
        <v>-347315.41</v>
      </c>
    </row>
    <row r="20844">
      <c r="A20844" s="3" t="inlineStr">
        <is>
          <t>Opportunity Management Holdings (PTY) LTD</t>
        </is>
      </c>
      <c r="B20844" s="4" t="n">
        <v>45443</v>
      </c>
      <c r="C20844" s="3" t="inlineStr">
        <is>
          <t>Liabilities</t>
        </is>
      </c>
      <c r="D20844" s="3" t="inlineStr">
        <is>
          <t>9100/000</t>
        </is>
      </c>
      <c r="E20844" s="3" t="inlineStr">
        <is>
          <t>PAYE/UIF/SDL Accrual - Prior Years ADJ</t>
        </is>
      </c>
      <c r="F20844" s="3" t="n">
        <v>0</v>
      </c>
      <c r="G20844" s="3" t="n">
        <v>-33739.36</v>
      </c>
    </row>
    <row r="20845">
      <c r="A20845" s="3" t="inlineStr">
        <is>
          <t>Opportunity Management Holdings (PTY) LTD</t>
        </is>
      </c>
      <c r="B20845" s="4" t="n">
        <v>45443</v>
      </c>
      <c r="C20845" s="3" t="inlineStr">
        <is>
          <t>Assets</t>
        </is>
      </c>
      <c r="D20845" s="3" t="inlineStr">
        <is>
          <t>9110/000</t>
        </is>
      </c>
      <c r="E20845" s="3" t="inlineStr">
        <is>
          <t>Deposit Received</t>
        </is>
      </c>
      <c r="F20845" s="3" t="n">
        <v>0</v>
      </c>
      <c r="G20845" s="3" t="n">
        <v>-3852.5</v>
      </c>
    </row>
    <row r="20846">
      <c r="A20846" s="3" t="inlineStr">
        <is>
          <t>Opportunity Private Capital (PTY) LTD</t>
        </is>
      </c>
      <c r="B20846" s="4" t="n">
        <v>45443</v>
      </c>
      <c r="C20846" s="3" t="inlineStr">
        <is>
          <t>Liabilities</t>
        </is>
      </c>
      <c r="D20846" s="3" t="inlineStr">
        <is>
          <t>9110/000</t>
        </is>
      </c>
      <c r="E20846" s="3" t="inlineStr">
        <is>
          <t>Taxation B/S</t>
        </is>
      </c>
      <c r="F20846" s="3" t="n">
        <v>0</v>
      </c>
      <c r="G20846" s="3" t="n">
        <v>97277.99000000001</v>
      </c>
    </row>
    <row r="20847">
      <c r="A20847" s="3" t="inlineStr">
        <is>
          <t>Opportunity Management Holdings (PTY) LTD</t>
        </is>
      </c>
      <c r="B20847" s="4" t="n">
        <v>45443</v>
      </c>
      <c r="C20847" s="3" t="inlineStr">
        <is>
          <t>Liabilities</t>
        </is>
      </c>
      <c r="D20847" s="3" t="inlineStr">
        <is>
          <t>9250/000</t>
        </is>
      </c>
      <c r="E20847" s="3" t="inlineStr">
        <is>
          <t>Salary _AND_ Wages Control</t>
        </is>
      </c>
      <c r="F20847" s="3" t="n">
        <v>10000</v>
      </c>
      <c r="G20847" s="3" t="n">
        <v>10000</v>
      </c>
    </row>
    <row r="20848">
      <c r="A20848" s="3" t="inlineStr">
        <is>
          <t>Noble Shield (Pty) Ltd ta Go Letting</t>
        </is>
      </c>
      <c r="B20848" s="4" t="n">
        <v>45443</v>
      </c>
      <c r="C20848" s="3" t="inlineStr">
        <is>
          <t>Liabilities</t>
        </is>
      </c>
      <c r="D20848" s="3" t="inlineStr">
        <is>
          <t>9250/010</t>
        </is>
      </c>
      <c r="E20848" s="3" t="inlineStr">
        <is>
          <t>SALARY CONTROL</t>
        </is>
      </c>
      <c r="F20848" s="3" t="n">
        <v>45434.12</v>
      </c>
      <c r="G20848" s="3" t="n">
        <v>26751.45</v>
      </c>
    </row>
    <row r="20849">
      <c r="A20849" s="3" t="inlineStr">
        <is>
          <t>Opportunity Global Property (PTY) LTD</t>
        </is>
      </c>
      <c r="B20849" s="4" t="n">
        <v>45443</v>
      </c>
      <c r="C20849" s="3" t="inlineStr">
        <is>
          <t>Liabilities</t>
        </is>
      </c>
      <c r="D20849" s="3" t="inlineStr">
        <is>
          <t>9250/010</t>
        </is>
      </c>
      <c r="E20849" s="3" t="inlineStr">
        <is>
          <t>SALARY CONTROL</t>
        </is>
      </c>
      <c r="F20849" s="3" t="n">
        <v>209627.33</v>
      </c>
      <c r="G20849" s="3" t="n">
        <v>389110.35</v>
      </c>
    </row>
    <row r="20850">
      <c r="A20850" s="3" t="inlineStr">
        <is>
          <t>Opportunity Management Holdings (PTY) LTD</t>
        </is>
      </c>
      <c r="B20850" s="4" t="n">
        <v>45443</v>
      </c>
      <c r="C20850" s="3" t="inlineStr">
        <is>
          <t>Liabilities</t>
        </is>
      </c>
      <c r="D20850" s="3" t="inlineStr">
        <is>
          <t>9250/010</t>
        </is>
      </c>
      <c r="E20850" s="3" t="inlineStr">
        <is>
          <t>SALARY CONTROL</t>
        </is>
      </c>
      <c r="F20850" s="3" t="n">
        <v>242363.63</v>
      </c>
      <c r="G20850" s="3" t="n">
        <v>307363.63</v>
      </c>
    </row>
    <row r="20851">
      <c r="A20851" s="3" t="inlineStr">
        <is>
          <t>Opportunity Private Capital (PTY) LTD</t>
        </is>
      </c>
      <c r="B20851" s="4" t="n">
        <v>45443</v>
      </c>
      <c r="C20851" s="3" t="inlineStr">
        <is>
          <t>Liabilities</t>
        </is>
      </c>
      <c r="D20851" s="3" t="inlineStr">
        <is>
          <t>9250/010</t>
        </is>
      </c>
      <c r="E20851" s="3" t="inlineStr">
        <is>
          <t>SALARY CONTROL</t>
        </is>
      </c>
      <c r="F20851" s="3" t="n">
        <v>62591.39</v>
      </c>
      <c r="G20851" s="3" t="n">
        <v>125182.78</v>
      </c>
    </row>
    <row r="20852">
      <c r="A20852" s="3" t="inlineStr">
        <is>
          <t>Trademark Holdings (Pty) Ltd</t>
        </is>
      </c>
      <c r="B20852" s="4" t="n">
        <v>45443</v>
      </c>
      <c r="C20852" s="3" t="inlineStr">
        <is>
          <t>Liabilities</t>
        </is>
      </c>
      <c r="D20852" s="3" t="inlineStr">
        <is>
          <t>9250/010</t>
        </is>
      </c>
      <c r="E20852" s="3" t="inlineStr">
        <is>
          <t>SALARY CONTROL</t>
        </is>
      </c>
      <c r="F20852" s="3" t="n">
        <v>27022.21</v>
      </c>
      <c r="G20852" s="3" t="n">
        <v>9524.700000000001</v>
      </c>
    </row>
    <row r="20853">
      <c r="A20853" s="3" t="inlineStr">
        <is>
          <t>Noble Shield (Pty) Ltd ta Go Letting</t>
        </is>
      </c>
      <c r="B20853" s="4" t="n">
        <v>45443</v>
      </c>
      <c r="C20853" s="3" t="inlineStr">
        <is>
          <t>Liabilities</t>
        </is>
      </c>
      <c r="D20853" s="3" t="inlineStr">
        <is>
          <t>9250/020</t>
        </is>
      </c>
      <c r="E20853" s="3" t="inlineStr">
        <is>
          <t>PAYE, UIF AND SDL CONTROL</t>
        </is>
      </c>
      <c r="F20853" s="3" t="n">
        <v>6591.12</v>
      </c>
      <c r="G20853" s="3" t="n">
        <v>0</v>
      </c>
    </row>
    <row r="20854">
      <c r="A20854" s="3" t="inlineStr">
        <is>
          <t>Opportunity Management Holdings (PTY) LTD</t>
        </is>
      </c>
      <c r="B20854" s="4" t="n">
        <v>45443</v>
      </c>
      <c r="C20854" s="3" t="inlineStr">
        <is>
          <t>Liabilities</t>
        </is>
      </c>
      <c r="D20854" s="3" t="inlineStr">
        <is>
          <t>9250/020</t>
        </is>
      </c>
      <c r="E20854" s="3" t="inlineStr">
        <is>
          <t>PAYE, UIF AND SDL CONTROL</t>
        </is>
      </c>
      <c r="F20854" s="3" t="n">
        <v>0</v>
      </c>
      <c r="G20854" s="3" t="n">
        <v>-47589.98</v>
      </c>
    </row>
    <row r="20855">
      <c r="A20855" s="3" t="inlineStr">
        <is>
          <t>Opportunity Private Capital (PTY) LTD</t>
        </is>
      </c>
      <c r="B20855" s="4" t="n">
        <v>45443</v>
      </c>
      <c r="C20855" s="3" t="inlineStr">
        <is>
          <t>Liabilities</t>
        </is>
      </c>
      <c r="D20855" s="3" t="inlineStr">
        <is>
          <t>9250/020</t>
        </is>
      </c>
      <c r="E20855" s="3" t="inlineStr">
        <is>
          <t>PAYE, UIF AND SDL CONTROL</t>
        </is>
      </c>
      <c r="F20855" s="3" t="n">
        <v>56085.94</v>
      </c>
      <c r="G20855" s="3" t="n">
        <v>28172.23</v>
      </c>
    </row>
    <row r="20856">
      <c r="A20856" s="3" t="inlineStr">
        <is>
          <t>Quinate Consulting (Pty) Ltd</t>
        </is>
      </c>
      <c r="B20856" s="4" t="n">
        <v>45443</v>
      </c>
      <c r="C20856" s="3" t="inlineStr">
        <is>
          <t>Liabilities</t>
        </is>
      </c>
      <c r="D20856" s="3" t="inlineStr">
        <is>
          <t>9250/020</t>
        </is>
      </c>
      <c r="E20856" s="3" t="inlineStr">
        <is>
          <t>PAYE, UIF AND SDL CONTROL</t>
        </is>
      </c>
      <c r="F20856" s="3" t="n">
        <v>0</v>
      </c>
      <c r="G20856" s="3" t="n">
        <v>-10759.36</v>
      </c>
    </row>
    <row r="20857">
      <c r="A20857" s="3" t="inlineStr">
        <is>
          <t>Trademark Holdings (Pty) Ltd</t>
        </is>
      </c>
      <c r="B20857" s="4" t="n">
        <v>45443</v>
      </c>
      <c r="C20857" s="3" t="inlineStr">
        <is>
          <t>Liabilities</t>
        </is>
      </c>
      <c r="D20857" s="3" t="inlineStr">
        <is>
          <t>9250/020</t>
        </is>
      </c>
      <c r="E20857" s="3" t="inlineStr">
        <is>
          <t>PAYE, UIF AND SDL CONTROL</t>
        </is>
      </c>
      <c r="F20857" s="3" t="n">
        <v>4872.44</v>
      </c>
      <c r="G20857" s="3" t="n">
        <v>-11081.92</v>
      </c>
    </row>
    <row r="20858">
      <c r="A20858" s="3" t="inlineStr">
        <is>
          <t>Opportunity Management Holdings (PTY) LTD</t>
        </is>
      </c>
      <c r="B20858" s="4" t="n">
        <v>45443</v>
      </c>
      <c r="C20858" s="3" t="inlineStr">
        <is>
          <t>Liabilities</t>
        </is>
      </c>
      <c r="D20858" s="3" t="inlineStr">
        <is>
          <t>9300/000</t>
        </is>
      </c>
      <c r="E20858" s="3" t="inlineStr">
        <is>
          <t>Taxation Payable B/S</t>
        </is>
      </c>
      <c r="F20858" s="3" t="n">
        <v>0</v>
      </c>
      <c r="G20858" s="3" t="n">
        <v>89955.09</v>
      </c>
    </row>
    <row r="20859">
      <c r="A20859" s="3" t="inlineStr">
        <is>
          <t>Opportunity Private Capital (PTY) LTD</t>
        </is>
      </c>
      <c r="B20859" s="4" t="n">
        <v>45443</v>
      </c>
      <c r="C20859" s="3" t="inlineStr">
        <is>
          <t>Liabilities</t>
        </is>
      </c>
      <c r="D20859" s="3" t="inlineStr">
        <is>
          <t>9400/030</t>
        </is>
      </c>
      <c r="E20859" s="3" t="inlineStr">
        <is>
          <t>Accrued Expenses - PAYE_AND_UIF</t>
        </is>
      </c>
      <c r="F20859" s="3" t="n">
        <v>0</v>
      </c>
      <c r="G20859" s="3" t="n">
        <v>-2</v>
      </c>
    </row>
    <row r="20860">
      <c r="A20860" s="3" t="inlineStr">
        <is>
          <t>Trademark Holdings (Pty) Ltd</t>
        </is>
      </c>
      <c r="B20860" s="4" t="n">
        <v>45443</v>
      </c>
      <c r="C20860" s="3" t="inlineStr">
        <is>
          <t>Liabilities</t>
        </is>
      </c>
      <c r="D20860" s="3" t="inlineStr">
        <is>
          <t>9400/400</t>
        </is>
      </c>
      <c r="E20860" s="3" t="inlineStr">
        <is>
          <t>Deemed Dividend Tax</t>
        </is>
      </c>
      <c r="F20860" s="3" t="n">
        <v>0</v>
      </c>
      <c r="G20860" s="3" t="n">
        <v>-699.13</v>
      </c>
    </row>
    <row r="20861">
      <c r="A20861" s="3" t="inlineStr">
        <is>
          <t>Opportunity Global Property (PTY) LTD</t>
        </is>
      </c>
      <c r="B20861" s="4" t="n">
        <v>45443</v>
      </c>
      <c r="C20861" s="3" t="inlineStr">
        <is>
          <t>Liabilities</t>
        </is>
      </c>
      <c r="D20861" s="3" t="inlineStr">
        <is>
          <t>9500/000</t>
        </is>
      </c>
      <c r="E20861" s="3" t="inlineStr">
        <is>
          <t>VAT Control Account</t>
        </is>
      </c>
      <c r="F20861" s="3" t="n">
        <v>-17353.4</v>
      </c>
      <c r="G20861" s="3" t="n">
        <v>-1354887.4</v>
      </c>
    </row>
    <row r="20862">
      <c r="A20862" s="3" t="inlineStr">
        <is>
          <t>Opportunity Management Holdings (PTY) LTD</t>
        </is>
      </c>
      <c r="B20862" s="4" t="n">
        <v>45443</v>
      </c>
      <c r="C20862" s="3" t="inlineStr">
        <is>
          <t>Liabilities</t>
        </is>
      </c>
      <c r="D20862" s="3" t="inlineStr">
        <is>
          <t>9500/000</t>
        </is>
      </c>
      <c r="E20862" s="3" t="inlineStr">
        <is>
          <t>VAT Control Account</t>
        </is>
      </c>
      <c r="F20862" s="3" t="n">
        <v>-37134.4</v>
      </c>
      <c r="G20862" s="3" t="n">
        <v>8950.17</v>
      </c>
    </row>
    <row r="20863">
      <c r="A20863" s="3" t="inlineStr">
        <is>
          <t>Opportunity Private Capital (PTY) LTD</t>
        </is>
      </c>
      <c r="B20863" s="4" t="n">
        <v>45443</v>
      </c>
      <c r="C20863" s="3" t="inlineStr">
        <is>
          <t>Liabilities</t>
        </is>
      </c>
      <c r="D20863" s="3" t="inlineStr">
        <is>
          <t>9500/000</t>
        </is>
      </c>
      <c r="E20863" s="3" t="inlineStr">
        <is>
          <t>VAT Control Account</t>
        </is>
      </c>
      <c r="F20863" s="3" t="n">
        <v>-3793.85</v>
      </c>
      <c r="G20863" s="3" t="n">
        <v>1193445.74</v>
      </c>
    </row>
    <row r="20864">
      <c r="A20864" s="3" t="inlineStr">
        <is>
          <t>Endulini (Pty) Ltd</t>
        </is>
      </c>
      <c r="B20864" s="4" t="n">
        <v>45443</v>
      </c>
      <c r="C20864" s="3" t="inlineStr">
        <is>
          <t>Liabilities</t>
        </is>
      </c>
      <c r="D20864" s="3" t="inlineStr">
        <is>
          <t>9500/000</t>
        </is>
      </c>
      <c r="E20864" s="3" t="inlineStr">
        <is>
          <t>Vat / Tax Control Account</t>
        </is>
      </c>
      <c r="F20864" s="3" t="n">
        <v>-177607.61</v>
      </c>
      <c r="G20864" s="3" t="n">
        <v>-3775098.43</v>
      </c>
    </row>
    <row r="20865">
      <c r="A20865" s="3" t="inlineStr">
        <is>
          <t>Noble Shield (Pty) Ltd ta Go Letting</t>
        </is>
      </c>
      <c r="B20865" s="4" t="n">
        <v>45443</v>
      </c>
      <c r="C20865" s="3" t="inlineStr">
        <is>
          <t>Liabilities</t>
        </is>
      </c>
      <c r="D20865" s="3" t="inlineStr">
        <is>
          <t>9500/000</t>
        </is>
      </c>
      <c r="E20865" s="3" t="inlineStr">
        <is>
          <t>Vat / Tax Control Account</t>
        </is>
      </c>
      <c r="F20865" s="3" t="n">
        <v>0</v>
      </c>
      <c r="G20865" s="3" t="n">
        <v>2461.52</v>
      </c>
    </row>
    <row r="20866">
      <c r="A20866" s="3" t="inlineStr">
        <is>
          <t>Quinate Consulting (Pty) Ltd</t>
        </is>
      </c>
      <c r="B20866" s="4" t="n">
        <v>45443</v>
      </c>
      <c r="C20866" s="3" t="inlineStr">
        <is>
          <t>Liabilities</t>
        </is>
      </c>
      <c r="D20866" s="3" t="inlineStr">
        <is>
          <t>9500/000</t>
        </is>
      </c>
      <c r="E20866" s="3" t="inlineStr">
        <is>
          <t>Vat Control Account</t>
        </is>
      </c>
      <c r="F20866" s="3" t="n">
        <v>19042.04</v>
      </c>
      <c r="G20866" s="3" t="n">
        <v>3476504.57</v>
      </c>
    </row>
    <row r="20867">
      <c r="A20867" s="3" t="inlineStr">
        <is>
          <t>Opportunity Management Holdings (PTY) LTD</t>
        </is>
      </c>
      <c r="B20867" s="4" t="n">
        <v>45443</v>
      </c>
      <c r="C20867" s="3" t="inlineStr">
        <is>
          <t>Liabilities</t>
        </is>
      </c>
      <c r="D20867" s="3" t="inlineStr">
        <is>
          <t>9501/000</t>
        </is>
      </c>
      <c r="E20867" s="3" t="inlineStr">
        <is>
          <t>Vat Adjustments - C2M</t>
        </is>
      </c>
      <c r="F20867" s="3" t="n">
        <v>0</v>
      </c>
      <c r="G20867" s="3" t="n">
        <v>47274.04</v>
      </c>
    </row>
    <row r="20868">
      <c r="A20868" s="3" t="inlineStr">
        <is>
          <t>Endulini (Pty) Ltd</t>
        </is>
      </c>
      <c r="B20868" s="4" t="n">
        <v>45443</v>
      </c>
      <c r="C20868" s="3" t="inlineStr">
        <is>
          <t>Liabilities</t>
        </is>
      </c>
      <c r="D20868" s="3" t="inlineStr">
        <is>
          <t>9899/A202</t>
        </is>
      </c>
      <c r="E20868" s="3" t="inlineStr">
        <is>
          <t>Sales - Unit Reg Control A202</t>
        </is>
      </c>
      <c r="F20868" s="3" t="n">
        <v>0</v>
      </c>
      <c r="G20868" s="3" t="n">
        <v>-1086734.26</v>
      </c>
    </row>
    <row r="20869">
      <c r="A20869" s="3" t="inlineStr">
        <is>
          <t>Endulini (Pty) Ltd</t>
        </is>
      </c>
      <c r="B20869" s="4" t="n">
        <v>45443</v>
      </c>
      <c r="C20869" s="3" t="inlineStr">
        <is>
          <t>Liabilities</t>
        </is>
      </c>
      <c r="D20869" s="3" t="inlineStr">
        <is>
          <t>9899/A209</t>
        </is>
      </c>
      <c r="E20869" s="3" t="inlineStr">
        <is>
          <t>Sales - Unit Reg Control A209</t>
        </is>
      </c>
      <c r="F20869" s="3" t="n">
        <v>0</v>
      </c>
      <c r="G20869" s="3" t="n">
        <v>-1218800.14</v>
      </c>
    </row>
    <row r="20870">
      <c r="A20870" s="3" t="inlineStr">
        <is>
          <t>Endulini (Pty) Ltd</t>
        </is>
      </c>
      <c r="B20870" s="4" t="n">
        <v>45443</v>
      </c>
      <c r="C20870" s="3" t="inlineStr">
        <is>
          <t>Liabilities</t>
        </is>
      </c>
      <c r="D20870" s="3" t="inlineStr">
        <is>
          <t>9899/B203</t>
        </is>
      </c>
      <c r="E20870" s="3" t="inlineStr">
        <is>
          <t>Sales - Unit Reg Control B203</t>
        </is>
      </c>
      <c r="F20870" s="3" t="n">
        <v>0</v>
      </c>
      <c r="G20870" s="3" t="n">
        <v>-1179884.01</v>
      </c>
    </row>
    <row r="20871">
      <c r="A20871" s="3" t="inlineStr">
        <is>
          <t>Endulini (Pty) Ltd</t>
        </is>
      </c>
      <c r="B20871" s="4" t="n">
        <v>45443</v>
      </c>
      <c r="C20871" s="3" t="inlineStr">
        <is>
          <t>Liabilities</t>
        </is>
      </c>
      <c r="D20871" s="3" t="inlineStr">
        <is>
          <t>9899/C302</t>
        </is>
      </c>
      <c r="E20871" s="3" t="inlineStr">
        <is>
          <t>Sales - Unit Reg Control C302</t>
        </is>
      </c>
      <c r="F20871" s="3" t="n">
        <v>0</v>
      </c>
      <c r="G20871" s="3" t="n">
        <v>-1253795.14</v>
      </c>
    </row>
    <row r="20872">
      <c r="A20872" s="3" t="inlineStr">
        <is>
          <t>Quinate Consulting (Pty) Ltd</t>
        </is>
      </c>
      <c r="B20872" s="4" t="n">
        <v>45443</v>
      </c>
      <c r="C20872" s="3" t="inlineStr">
        <is>
          <t>Liabilities</t>
        </is>
      </c>
      <c r="D20872" s="3" t="inlineStr">
        <is>
          <t>9960/000</t>
        </is>
      </c>
      <c r="E20872" s="3" t="inlineStr">
        <is>
          <t>Deposits - Southwark Rentals</t>
        </is>
      </c>
      <c r="F20872" s="3" t="n">
        <v>0</v>
      </c>
      <c r="G20872" s="3" t="n">
        <v>-23000</v>
      </c>
    </row>
    <row r="20873">
      <c r="A20873" s="3" t="inlineStr">
        <is>
          <t>Noble Shield (Pty) Ltd ta Go Letting</t>
        </is>
      </c>
      <c r="B20873" s="4" t="n">
        <v>45443</v>
      </c>
      <c r="C20873" s="3" t="inlineStr">
        <is>
          <t>Expenses</t>
        </is>
      </c>
      <c r="D20873" s="3" t="inlineStr">
        <is>
          <t>ACB Link</t>
        </is>
      </c>
      <c r="E20873" s="3" t="inlineStr">
        <is>
          <t>Subscriptions - TPN</t>
        </is>
      </c>
      <c r="F20873" s="3" t="n">
        <v>0</v>
      </c>
      <c r="G20873" s="3" t="n">
        <v>20305.61</v>
      </c>
    </row>
    <row r="20874">
      <c r="A20874" s="3" t="inlineStr">
        <is>
          <t>Opportunity Global Property (PTY) LTD</t>
        </is>
      </c>
      <c r="B20874" s="4" t="n">
        <v>45443</v>
      </c>
      <c r="C20874" s="3" t="inlineStr">
        <is>
          <t>Assets</t>
        </is>
      </c>
      <c r="D20874" s="3" t="inlineStr">
        <is>
          <t>Anthea Basson</t>
        </is>
      </c>
      <c r="E20874" s="3" t="inlineStr">
        <is>
          <t>Deposit: J2 Solaris Place</t>
        </is>
      </c>
      <c r="F20874" s="3" t="n">
        <v>0</v>
      </c>
      <c r="G20874" s="3" t="n">
        <v>-7500</v>
      </c>
    </row>
    <row r="20875">
      <c r="A20875" s="3" t="inlineStr">
        <is>
          <t>Trademark Holdings (Pty) Ltd</t>
        </is>
      </c>
      <c r="B20875" s="4" t="n">
        <v>45443</v>
      </c>
      <c r="C20875" s="3" t="inlineStr">
        <is>
          <t>Liabilities</t>
        </is>
      </c>
      <c r="D20875" s="3" t="inlineStr">
        <is>
          <t>B/S</t>
        </is>
      </c>
      <c r="E20875" s="3" t="inlineStr">
        <is>
          <t>Taxation Payable</t>
        </is>
      </c>
      <c r="F20875" s="3" t="n">
        <v>0</v>
      </c>
      <c r="G20875" s="3" t="n">
        <v>1722</v>
      </c>
    </row>
    <row r="20876">
      <c r="A20876" s="3" t="inlineStr">
        <is>
          <t>Quinate Consulting (Pty) Ltd</t>
        </is>
      </c>
      <c r="B20876" s="4" t="n">
        <v>45443</v>
      </c>
      <c r="C20876" s="3" t="inlineStr">
        <is>
          <t>Liabilities</t>
        </is>
      </c>
      <c r="D20876" s="3" t="inlineStr">
        <is>
          <t xml:space="preserve">B/S </t>
        </is>
      </c>
      <c r="E20876" s="3" t="inlineStr">
        <is>
          <t>Taxation Payable</t>
        </is>
      </c>
      <c r="F20876" s="3" t="n">
        <v>0</v>
      </c>
      <c r="G20876" s="3" t="n">
        <v>-15486</v>
      </c>
    </row>
    <row r="20877">
      <c r="A20877" s="3" t="inlineStr">
        <is>
          <t>Quinate Consulting (Pty) Ltd</t>
        </is>
      </c>
      <c r="B20877" s="4" t="n">
        <v>45443</v>
      </c>
      <c r="C20877" s="3" t="inlineStr">
        <is>
          <t>Liabilities</t>
        </is>
      </c>
      <c r="D20877" s="3" t="inlineStr">
        <is>
          <t>FV</t>
        </is>
      </c>
      <c r="E20877" s="3" t="inlineStr">
        <is>
          <t>Loan - Cape Projects Constuction</t>
        </is>
      </c>
      <c r="F20877" s="3" t="n">
        <v>-139000</v>
      </c>
      <c r="G20877" s="3" t="n">
        <v>-6442763.77</v>
      </c>
    </row>
    <row r="20878">
      <c r="A20878" s="3" t="inlineStr">
        <is>
          <t>Opportunity Private Capital (PTY) LTD</t>
        </is>
      </c>
      <c r="B20878" s="4" t="n">
        <v>45443</v>
      </c>
      <c r="C20878" s="3" t="inlineStr">
        <is>
          <t>Liabilities</t>
        </is>
      </c>
      <c r="D20878" s="3" t="inlineStr">
        <is>
          <t>Pty</t>
        </is>
      </c>
      <c r="E20878" s="3" t="inlineStr">
        <is>
          <t>Loan - Rock Blok</t>
        </is>
      </c>
      <c r="F20878" s="3" t="n">
        <v>0</v>
      </c>
      <c r="G20878" s="3" t="n">
        <v>1000</v>
      </c>
    </row>
  </sheetData>
  <autoFilter ref="A4:G20878"/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1072BA"/>
    <outlinePr summaryBelow="1" summaryRight="1"/>
    <pageSetUpPr/>
  </sheetPr>
  <dimension ref="A1:D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Other Costs</t>
        </is>
      </c>
    </row>
    <row r="2">
      <c r="A2" t="inlineStr"/>
    </row>
    <row r="3">
      <c r="A3" t="inlineStr"/>
    </row>
    <row r="5">
      <c r="A5" t="inlineStr">
        <is>
          <t>CPSD</t>
        </is>
      </c>
      <c r="B5" t="inlineStr">
        <is>
          <t>Expenses</t>
        </is>
      </c>
      <c r="C5" s="7" t="n">
        <v>45230</v>
      </c>
      <c r="D5" t="n">
        <v>5125504.85</v>
      </c>
    </row>
    <row r="6">
      <c r="A6" t="inlineStr">
        <is>
          <t>CPSD</t>
        </is>
      </c>
      <c r="B6" t="inlineStr">
        <is>
          <t>Expenses</t>
        </is>
      </c>
      <c r="C6" s="7" t="n">
        <v>45260</v>
      </c>
      <c r="D6" t="n">
        <v>314037.88</v>
      </c>
    </row>
    <row r="7">
      <c r="A7" t="inlineStr">
        <is>
          <t>CPSD</t>
        </is>
      </c>
      <c r="B7" t="inlineStr">
        <is>
          <t>Expenses</t>
        </is>
      </c>
      <c r="C7" s="7" t="n">
        <v>45291</v>
      </c>
      <c r="D7" t="n">
        <v>314037.88</v>
      </c>
    </row>
    <row r="8">
      <c r="A8" t="inlineStr">
        <is>
          <t>CPSD</t>
        </is>
      </c>
      <c r="B8" t="inlineStr">
        <is>
          <t>Expenses</t>
        </is>
      </c>
      <c r="C8" s="7" t="n">
        <v>45322</v>
      </c>
      <c r="D8" t="n">
        <v>314037.88</v>
      </c>
    </row>
    <row r="9">
      <c r="A9" t="inlineStr">
        <is>
          <t>CPSD</t>
        </is>
      </c>
      <c r="B9" t="inlineStr">
        <is>
          <t>Expenses</t>
        </is>
      </c>
      <c r="C9" s="7" t="n">
        <v>45351</v>
      </c>
      <c r="D9" t="n">
        <v>314037.88</v>
      </c>
    </row>
    <row r="10">
      <c r="A10" t="inlineStr">
        <is>
          <t>CPSD</t>
        </is>
      </c>
      <c r="B10" t="inlineStr">
        <is>
          <t>Expenses</t>
        </is>
      </c>
      <c r="C10" s="7" t="n">
        <v>45382</v>
      </c>
      <c r="D10" t="n">
        <v>314037.88</v>
      </c>
    </row>
    <row r="11">
      <c r="A11" t="inlineStr">
        <is>
          <t>CPSD</t>
        </is>
      </c>
      <c r="B11" t="inlineStr">
        <is>
          <t>Expenses</t>
        </is>
      </c>
      <c r="C11" s="7" t="n">
        <v>45412</v>
      </c>
      <c r="D11" t="n">
        <v>314037.88</v>
      </c>
    </row>
    <row r="12">
      <c r="A12" t="inlineStr">
        <is>
          <t>CPSD</t>
        </is>
      </c>
      <c r="B12" t="inlineStr">
        <is>
          <t>Expenses</t>
        </is>
      </c>
      <c r="C12" s="7" t="n">
        <v>45443</v>
      </c>
      <c r="D12" t="n">
        <v>314037.88</v>
      </c>
    </row>
    <row r="13">
      <c r="A13" t="inlineStr">
        <is>
          <t>CPSD</t>
        </is>
      </c>
      <c r="B13" t="inlineStr">
        <is>
          <t>Expenses</t>
        </is>
      </c>
      <c r="C13" s="7" t="n">
        <v>45473</v>
      </c>
      <c r="D13" t="n">
        <v>314037.88</v>
      </c>
    </row>
    <row r="14">
      <c r="A14" t="inlineStr">
        <is>
          <t>CPSD</t>
        </is>
      </c>
      <c r="B14" t="inlineStr">
        <is>
          <t>Expenses</t>
        </is>
      </c>
      <c r="C14" s="7" t="n">
        <v>45504</v>
      </c>
      <c r="D14" t="n">
        <v>314037.88</v>
      </c>
    </row>
    <row r="15">
      <c r="A15" t="inlineStr">
        <is>
          <t>CPSD</t>
        </is>
      </c>
      <c r="B15" t="inlineStr">
        <is>
          <t>Expenses</t>
        </is>
      </c>
      <c r="C15" s="7" t="n">
        <v>45535</v>
      </c>
      <c r="D15" t="n">
        <v>314037.88</v>
      </c>
    </row>
    <row r="16">
      <c r="A16" t="inlineStr">
        <is>
          <t>OppInvest</t>
        </is>
      </c>
      <c r="B16" t="inlineStr">
        <is>
          <t>Expenses</t>
        </is>
      </c>
      <c r="C16" s="7" t="n">
        <v>45230</v>
      </c>
      <c r="D16" t="n">
        <v>5676905</v>
      </c>
    </row>
    <row r="17">
      <c r="A17" t="inlineStr">
        <is>
          <t>OppInvest</t>
        </is>
      </c>
      <c r="B17" t="inlineStr">
        <is>
          <t>Expenses</t>
        </is>
      </c>
      <c r="C17" s="7" t="n">
        <v>45260</v>
      </c>
      <c r="D17" t="n">
        <v>392914.302</v>
      </c>
    </row>
    <row r="18">
      <c r="A18" t="inlineStr">
        <is>
          <t>OppInvest</t>
        </is>
      </c>
      <c r="B18" t="inlineStr">
        <is>
          <t>Expenses</t>
        </is>
      </c>
      <c r="C18" s="7" t="n">
        <v>45291</v>
      </c>
      <c r="D18" t="n">
        <v>392914.302</v>
      </c>
    </row>
    <row r="19">
      <c r="A19" t="inlineStr">
        <is>
          <t>OppInvest</t>
        </is>
      </c>
      <c r="B19" t="inlineStr">
        <is>
          <t>Expenses</t>
        </is>
      </c>
      <c r="C19" s="7" t="n">
        <v>45322</v>
      </c>
      <c r="D19" t="n">
        <v>392914.302</v>
      </c>
    </row>
    <row r="20">
      <c r="A20" t="inlineStr">
        <is>
          <t>OppInvest</t>
        </is>
      </c>
      <c r="B20" t="inlineStr">
        <is>
          <t>Expenses</t>
        </is>
      </c>
      <c r="C20" s="7" t="n">
        <v>45351</v>
      </c>
      <c r="D20" t="n">
        <v>392914.302</v>
      </c>
    </row>
    <row r="21">
      <c r="A21" t="inlineStr">
        <is>
          <t>OppInvest</t>
        </is>
      </c>
      <c r="B21" t="inlineStr">
        <is>
          <t>Expenses</t>
        </is>
      </c>
      <c r="C21" s="7" t="n">
        <v>45382</v>
      </c>
      <c r="D21" t="n">
        <v>392914.302</v>
      </c>
    </row>
    <row r="22">
      <c r="A22" t="inlineStr">
        <is>
          <t>OppInvest</t>
        </is>
      </c>
      <c r="B22" t="inlineStr">
        <is>
          <t>Expenses</t>
        </is>
      </c>
      <c r="C22" s="7" t="n">
        <v>45412</v>
      </c>
      <c r="D22" t="n">
        <v>392914.302</v>
      </c>
    </row>
    <row r="23">
      <c r="A23" t="inlineStr">
        <is>
          <t>OppInvest</t>
        </is>
      </c>
      <c r="B23" t="inlineStr">
        <is>
          <t>Expenses</t>
        </is>
      </c>
      <c r="C23" s="7" t="n">
        <v>45443</v>
      </c>
      <c r="D23" t="n">
        <v>392914.302</v>
      </c>
    </row>
    <row r="24">
      <c r="A24" t="inlineStr">
        <is>
          <t>OppInvest</t>
        </is>
      </c>
      <c r="B24" t="inlineStr">
        <is>
          <t>Expenses</t>
        </is>
      </c>
      <c r="C24" s="7" t="n">
        <v>45473</v>
      </c>
      <c r="D24" t="n">
        <v>392914.302</v>
      </c>
    </row>
    <row r="25">
      <c r="A25" t="inlineStr">
        <is>
          <t>OppInvest</t>
        </is>
      </c>
      <c r="B25" t="inlineStr">
        <is>
          <t>Expenses</t>
        </is>
      </c>
      <c r="C25" s="7" t="n">
        <v>45504</v>
      </c>
      <c r="D25" t="n">
        <v>392914.302</v>
      </c>
    </row>
    <row r="26">
      <c r="A26" t="inlineStr">
        <is>
          <t>OppInvest</t>
        </is>
      </c>
      <c r="B26" t="inlineStr">
        <is>
          <t>Expenses</t>
        </is>
      </c>
      <c r="C26" s="7" t="n">
        <v>45535</v>
      </c>
      <c r="D26" t="n">
        <v>392914.302</v>
      </c>
    </row>
    <row r="27">
      <c r="A27" t="inlineStr">
        <is>
          <t>Rent Salaries and Wages</t>
        </is>
      </c>
      <c r="B27" t="inlineStr">
        <is>
          <t>Expenses</t>
        </is>
      </c>
      <c r="C27" s="7" t="n">
        <v>45230</v>
      </c>
      <c r="D27" t="n">
        <v>17272544</v>
      </c>
    </row>
    <row r="28">
      <c r="A28" t="inlineStr">
        <is>
          <t>Rent Salaries and Wages</t>
        </is>
      </c>
      <c r="B28" t="inlineStr">
        <is>
          <t>Expenses</t>
        </is>
      </c>
      <c r="C28" s="7" t="n">
        <v>45260</v>
      </c>
      <c r="D28" t="n">
        <v>800000</v>
      </c>
    </row>
    <row r="29">
      <c r="A29" t="inlineStr">
        <is>
          <t>Rent Salaries and Wages</t>
        </is>
      </c>
      <c r="B29" t="inlineStr">
        <is>
          <t>Expenses</t>
        </is>
      </c>
      <c r="C29" s="7" t="n">
        <v>45291</v>
      </c>
      <c r="D29" t="n">
        <v>800000</v>
      </c>
    </row>
    <row r="30">
      <c r="A30" t="inlineStr">
        <is>
          <t>Rent Salaries and Wages</t>
        </is>
      </c>
      <c r="B30" t="inlineStr">
        <is>
          <t>Expenses</t>
        </is>
      </c>
      <c r="C30" s="7" t="n">
        <v>45322</v>
      </c>
      <c r="D30" t="n">
        <v>800000</v>
      </c>
    </row>
    <row r="31">
      <c r="A31" t="inlineStr">
        <is>
          <t>Rent Salaries and Wages</t>
        </is>
      </c>
      <c r="B31" t="inlineStr">
        <is>
          <t>Expenses</t>
        </is>
      </c>
      <c r="C31" s="7" t="n">
        <v>45351</v>
      </c>
      <c r="D31" t="n">
        <v>800000</v>
      </c>
    </row>
    <row r="32">
      <c r="A32" t="inlineStr">
        <is>
          <t>Rent Salaries and Wages</t>
        </is>
      </c>
      <c r="B32" t="inlineStr">
        <is>
          <t>Expenses</t>
        </is>
      </c>
      <c r="C32" s="7" t="n">
        <v>45382</v>
      </c>
      <c r="D32" t="n">
        <v>800000</v>
      </c>
    </row>
    <row r="33">
      <c r="A33" t="inlineStr">
        <is>
          <t>Rent Salaries and Wages</t>
        </is>
      </c>
      <c r="B33" t="inlineStr">
        <is>
          <t>Expenses</t>
        </is>
      </c>
      <c r="C33" s="7" t="n">
        <v>45412</v>
      </c>
      <c r="D33" t="n">
        <v>800000</v>
      </c>
    </row>
    <row r="34">
      <c r="A34" t="inlineStr">
        <is>
          <t>Rent Salaries and Wages</t>
        </is>
      </c>
      <c r="B34" t="inlineStr">
        <is>
          <t>Expenses</t>
        </is>
      </c>
      <c r="C34" s="7" t="n">
        <v>45443</v>
      </c>
      <c r="D34" t="n">
        <v>800000</v>
      </c>
    </row>
    <row r="35">
      <c r="A35" t="inlineStr">
        <is>
          <t>Rent Salaries and Wages</t>
        </is>
      </c>
      <c r="B35" t="inlineStr">
        <is>
          <t>Expenses</t>
        </is>
      </c>
      <c r="C35" s="7" t="n">
        <v>45473</v>
      </c>
      <c r="D35" t="n">
        <v>800000</v>
      </c>
    </row>
    <row r="36">
      <c r="A36" t="inlineStr">
        <is>
          <t>Rent Salaries and Wages</t>
        </is>
      </c>
      <c r="B36" t="inlineStr">
        <is>
          <t>Expenses</t>
        </is>
      </c>
      <c r="C36" s="7" t="n">
        <v>45504</v>
      </c>
      <c r="D36" t="n">
        <v>800000</v>
      </c>
    </row>
    <row r="37">
      <c r="A37" t="inlineStr">
        <is>
          <t>Rent Salaries and Wages</t>
        </is>
      </c>
      <c r="B37" t="inlineStr">
        <is>
          <t>Expenses</t>
        </is>
      </c>
      <c r="C37" s="7" t="n">
        <v>45535</v>
      </c>
      <c r="D37" t="n">
        <v>800000</v>
      </c>
    </row>
    <row r="38">
      <c r="A38" t="inlineStr">
        <is>
          <t>Professional Fees</t>
        </is>
      </c>
      <c r="B38" t="inlineStr">
        <is>
          <t>Expenses</t>
        </is>
      </c>
      <c r="C38" s="7" t="n">
        <v>45230</v>
      </c>
      <c r="D38" t="n">
        <v>5361342.92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FF204E"/>
    <outlinePr summaryBelow="1" summaryRight="1"/>
    <pageSetUpPr/>
  </sheetPr>
  <dimension ref="A1:AF598"/>
  <sheetViews>
    <sheetView workbookViewId="0">
      <pane xSplit="3" ySplit="5" topLeftCell="D6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.5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  <col width="20" customWidth="1" min="15" max="15"/>
    <col width="20" customWidth="1" min="16" max="16"/>
    <col width="20" customWidth="1" min="17" max="17"/>
    <col width="20" customWidth="1" min="18" max="18"/>
    <col width="20" customWidth="1" min="19" max="19"/>
    <col width="20" customWidth="1" min="20" max="20"/>
    <col width="20" customWidth="1" min="21" max="21"/>
    <col width="20" customWidth="1" min="22" max="22"/>
    <col width="20" customWidth="1" min="23" max="23"/>
    <col width="20" customWidth="1" min="24" max="24"/>
    <col width="20" customWidth="1" min="25" max="25"/>
    <col width="20" customWidth="1" min="26" max="26"/>
    <col width="20" customWidth="1" min="27" max="27"/>
    <col width="20" customWidth="1" min="28" max="28"/>
    <col width="20" customWidth="1" min="29" max="29"/>
    <col width="20" customWidth="1" min="30" max="30"/>
    <col width="20" customWidth="1" min="31" max="31"/>
    <col width="20" customWidth="1" min="32" max="32"/>
  </cols>
  <sheetData>
    <row r="1">
      <c r="A1" s="12" t="inlineStr">
        <is>
          <t>Cashflow Projection</t>
        </is>
      </c>
      <c r="AF1" s="13" t="inlineStr">
        <is>
          <t>C.3.e</t>
        </is>
      </c>
    </row>
    <row r="2">
      <c r="A2" s="14" t="inlineStr">
        <is>
          <t>Date</t>
        </is>
      </c>
      <c r="B2" s="14" t="inlineStr">
        <is>
          <t>31-May-2024</t>
        </is>
      </c>
    </row>
    <row r="3">
      <c r="A3" s="15" t="inlineStr">
        <is>
          <t>NSST Cashflow Projection</t>
        </is>
      </c>
      <c r="B3" s="16" t="n"/>
      <c r="C3" s="16" t="n"/>
      <c r="D3" s="16" t="n"/>
      <c r="E3" s="16" t="n"/>
      <c r="F3" s="16" t="n"/>
      <c r="G3" s="16" t="n"/>
      <c r="H3" s="16" t="n"/>
      <c r="I3" s="16" t="n"/>
      <c r="J3" s="16" t="n"/>
      <c r="K3" s="16" t="n"/>
      <c r="L3" s="16" t="n"/>
      <c r="M3" s="16" t="n"/>
      <c r="N3" s="16" t="n"/>
      <c r="O3" s="16" t="n"/>
      <c r="P3" s="16" t="n"/>
      <c r="Q3" s="16" t="n"/>
      <c r="R3" s="16" t="n"/>
      <c r="S3" s="16" t="n"/>
      <c r="T3" s="16" t="n"/>
      <c r="U3" s="16" t="n"/>
      <c r="V3" s="16" t="n"/>
      <c r="W3" s="16" t="n"/>
      <c r="X3" s="16" t="n"/>
      <c r="Y3" s="16" t="n"/>
      <c r="Z3" s="16" t="n"/>
      <c r="AA3" s="16" t="n"/>
      <c r="AB3" s="16" t="n"/>
      <c r="AC3" s="16" t="n"/>
      <c r="AD3" s="16" t="n"/>
      <c r="AE3" s="16" t="n"/>
      <c r="AF3" s="17" t="n"/>
    </row>
    <row r="4">
      <c r="A4" s="18" t="inlineStr"/>
      <c r="AF4" s="19" t="n"/>
    </row>
    <row r="5">
      <c r="A5" s="20" t="inlineStr">
        <is>
          <t>PROJECTION</t>
        </is>
      </c>
      <c r="B5" t="inlineStr"/>
      <c r="C5" t="inlineStr"/>
      <c r="D5" s="14" t="inlineStr">
        <is>
          <t>TOTAL</t>
        </is>
      </c>
      <c r="I5" s="21">
        <f>EOMONTH(EDATE($B$2, 0), 1)</f>
        <v/>
      </c>
      <c r="K5" s="21">
        <f>EOMONTH(EDATE(I$5, 0), 1)</f>
        <v/>
      </c>
      <c r="M5" s="21">
        <f>EOMONTH(EDATE(K$5, 0), 1)</f>
        <v/>
      </c>
      <c r="O5" s="21">
        <f>EOMONTH(EDATE(M$5, 0), 1)</f>
        <v/>
      </c>
      <c r="Q5" s="21">
        <f>EOMONTH(EDATE(O$5, 0), 1)</f>
        <v/>
      </c>
      <c r="S5" s="21">
        <f>EOMONTH(EDATE(Q$5, 0), 1)</f>
        <v/>
      </c>
      <c r="U5" s="21">
        <f>EOMONTH(EDATE(S$5, 0), 1)</f>
        <v/>
      </c>
      <c r="W5" s="21">
        <f>EOMONTH(EDATE(U$5, 0), 1)</f>
        <v/>
      </c>
      <c r="Y5" s="21">
        <f>EOMONTH(EDATE(W$5, 0), 1)</f>
        <v/>
      </c>
      <c r="AA5" s="21">
        <f>EOMONTH(EDATE(Y$5, 0), 1)</f>
        <v/>
      </c>
      <c r="AC5" s="21">
        <f>EOMONTH(EDATE(AA$5, 0), 1)</f>
        <v/>
      </c>
      <c r="AE5" s="21">
        <f>EOMONTH(EDATE(AC$5, 0), 1)</f>
        <v/>
      </c>
      <c r="AF5" s="19" t="n"/>
    </row>
    <row r="6">
      <c r="A6" s="20" t="inlineStr">
        <is>
          <t>SALES</t>
        </is>
      </c>
      <c r="D6" s="22">
        <f>SUM(D7:D23)</f>
        <v/>
      </c>
      <c r="E6" s="23">
        <f>SUM(E7:E23)</f>
        <v/>
      </c>
      <c r="I6" s="24">
        <f>SUM(I7:I23)</f>
        <v/>
      </c>
      <c r="J6" s="25">
        <f>SUM(J7:J23)</f>
        <v/>
      </c>
      <c r="K6" s="24">
        <f>SUM(K7:K23)</f>
        <v/>
      </c>
      <c r="L6" s="25">
        <f>SUM(L7:L23)</f>
        <v/>
      </c>
      <c r="M6" s="24">
        <f>SUM(M7:M23)</f>
        <v/>
      </c>
      <c r="N6" s="25">
        <f>SUM(N7:N23)</f>
        <v/>
      </c>
      <c r="O6" s="24">
        <f>SUM(O7:O23)</f>
        <v/>
      </c>
      <c r="P6" s="25">
        <f>SUM(P7:P23)</f>
        <v/>
      </c>
      <c r="Q6" s="24">
        <f>SUM(Q7:Q23)</f>
        <v/>
      </c>
      <c r="R6" s="25">
        <f>SUM(R7:R23)</f>
        <v/>
      </c>
      <c r="S6" s="24">
        <f>SUM(S7:S23)</f>
        <v/>
      </c>
      <c r="T6" s="25">
        <f>SUM(T7:T23)</f>
        <v/>
      </c>
      <c r="U6" s="24">
        <f>SUM(U7:U23)</f>
        <v/>
      </c>
      <c r="V6" s="25">
        <f>SUM(V7:V23)</f>
        <v/>
      </c>
      <c r="W6" s="24">
        <f>SUM(W7:W23)</f>
        <v/>
      </c>
      <c r="X6" s="25">
        <f>SUM(X7:X23)</f>
        <v/>
      </c>
      <c r="Y6" s="24">
        <f>SUM(Y7:Y23)</f>
        <v/>
      </c>
      <c r="Z6" s="25">
        <f>SUM(Z7:Z23)</f>
        <v/>
      </c>
      <c r="AA6" s="24">
        <f>SUM(AA7:AA23)</f>
        <v/>
      </c>
      <c r="AB6" s="25">
        <f>SUM(AB7:AB23)</f>
        <v/>
      </c>
      <c r="AC6" s="24">
        <f>SUM(AC7:AC23)</f>
        <v/>
      </c>
      <c r="AD6" s="25">
        <f>SUM(AD7:AD23)</f>
        <v/>
      </c>
      <c r="AE6" s="24">
        <f>SUM(AE7:AE23)</f>
        <v/>
      </c>
      <c r="AF6" s="26">
        <f>SUM(AF7:AF23)</f>
        <v/>
      </c>
    </row>
    <row r="7">
      <c r="A7" s="20" t="inlineStr">
        <is>
          <t>Endulini</t>
        </is>
      </c>
      <c r="B7" s="27" t="inlineStr">
        <is>
          <t>A</t>
        </is>
      </c>
      <c r="C7" s="27">
        <f>IF(A7&lt;&gt;"Heron View",1,IF(ISERROR(VLOOKUP($B7,$A$50:$B$62,2,FALSE)),1,SUMIFS($B$50:$B$62,$A$50:$A$62,B7)))</f>
        <v/>
      </c>
      <c r="D7" s="28">
        <f>+I7+K7+M7+O7+Q7+S7+U7+W7+Y7+AA7+AC7+AE7</f>
        <v/>
      </c>
      <c r="E7" s="23">
        <f>+J7+L7+N7+P7+R7+T7+V7+X7+Z7+AB7+AD7+AF7</f>
        <v/>
      </c>
      <c r="I7" s="28">
        <f>SUMIFS(Sales!$S:$S,Sales!$W:$W,"&lt;="&amp;'Cashflow Projection'!I$5,Sales!$E:$E,FALSE,Sales!$F:$F,'Cashflow Projection'!$C7,Sales!$A:$A,'Cashflow Projection'!$A7,Sales!$B:$B,'Cashflow Projection'!$B7,Sales!$W:$W,"&gt;"&amp;'Cashflow Projection'!B$2)*$C7</f>
        <v/>
      </c>
      <c r="J7" s="23">
        <f>COUNTIFS(Sales!$H:$H,"&lt;="&amp;'Cashflow Projection'!I$5,Sales!$H:$H,"&gt;"&amp;'Cashflow Projection'!B$2,Sales!$A:$A,'Cashflow Projection'!$A7,Sales!$B:$B,'Cashflow Projection'!$B7,Sales!$F:$F,'Cashflow Projection'!$C7,Sales!$E:$E,FALSE)*$C7</f>
        <v/>
      </c>
      <c r="K7" s="28">
        <f>SUMIFS(Sales!$S:$S,Sales!$W:$W,"&lt;="&amp;'Cashflow Projection'!K$5,Sales!$E:$E,FALSE,Sales!$F:$F,'Cashflow Projection'!$C7,Sales!$A:$A,'Cashflow Projection'!$A7,Sales!$B:$B,'Cashflow Projection'!$B7,Sales!$W:$W,"&gt;"&amp;'Cashflow Projection'!I$5)*$C7</f>
        <v/>
      </c>
      <c r="L7" s="23">
        <f>COUNTIFS(Sales!$W:$W,"&lt;="&amp;'Cashflow Projection'!K$5,Sales!$W:$W,"&gt;"&amp;'Cashflow Projection'!I$5,Sales!$A:$A,'Cashflow Projection'!$A7,Sales!$B:$B,'Cashflow Projection'!$B7,Sales!$F:$F,'Cashflow Projection'!$C7,Sales!$E:$E,FALSE)*$C7</f>
        <v/>
      </c>
      <c r="M7" s="28">
        <f>SUMIFS(Sales!$S:$S,Sales!$W:$W,"&lt;="&amp;'Cashflow Projection'!M$5,Sales!$E:$E,FALSE,Sales!$F:$F,'Cashflow Projection'!$C7,Sales!$A:$A,'Cashflow Projection'!$A7,Sales!$B:$B,'Cashflow Projection'!$B7,Sales!$W:$W,"&gt;"&amp;'Cashflow Projection'!K$5)*$C7</f>
        <v/>
      </c>
      <c r="N7" s="23">
        <f>COUNTIFS(Sales!$W:$W,"&lt;="&amp;'Cashflow Projection'!M$5,Sales!$W:$W,"&gt;"&amp;'Cashflow Projection'!K$5,Sales!$A:$A,'Cashflow Projection'!$A7,Sales!$B:$B,'Cashflow Projection'!$B7,Sales!$F:$F,'Cashflow Projection'!$C7,Sales!$E:$E,FALSE)*$C7</f>
        <v/>
      </c>
      <c r="O7" s="28">
        <f>SUMIFS(Sales!$S:$S,Sales!$W:$W,"&lt;="&amp;'Cashflow Projection'!O$5,Sales!$E:$E,FALSE,Sales!$F:$F,'Cashflow Projection'!$C7,Sales!$A:$A,'Cashflow Projection'!$A7,Sales!$B:$B,'Cashflow Projection'!$B7,Sales!$W:$W,"&gt;"&amp;'Cashflow Projection'!M$5)*$C7</f>
        <v/>
      </c>
      <c r="P7" s="23">
        <f>COUNTIFS(Sales!$W:$W,"&lt;="&amp;'Cashflow Projection'!O$5,Sales!$W:$W,"&gt;"&amp;'Cashflow Projection'!M$5,Sales!$A:$A,'Cashflow Projection'!$A7,Sales!$B:$B,'Cashflow Projection'!$B7,Sales!$F:$F,'Cashflow Projection'!$C7,Sales!$E:$E,FALSE)*$C7</f>
        <v/>
      </c>
      <c r="Q7" s="28">
        <f>SUMIFS(Sales!$S:$S,Sales!$W:$W,"&lt;="&amp;'Cashflow Projection'!Q$5,Sales!$E:$E,FALSE,Sales!$F:$F,'Cashflow Projection'!$C7,Sales!$A:$A,'Cashflow Projection'!$A7,Sales!$B:$B,'Cashflow Projection'!$B7,Sales!$W:$W,"&gt;"&amp;'Cashflow Projection'!O$5)*$C7</f>
        <v/>
      </c>
      <c r="R7" s="23">
        <f>COUNTIFS(Sales!$W:$W,"&lt;="&amp;'Cashflow Projection'!Q$5,Sales!$W:$W,"&gt;"&amp;'Cashflow Projection'!O$5,Sales!$A:$A,'Cashflow Projection'!$A7,Sales!$B:$B,'Cashflow Projection'!$B7,Sales!$F:$F,'Cashflow Projection'!$C7,Sales!$E:$E,FALSE)*$C7</f>
        <v/>
      </c>
      <c r="S7" s="28">
        <f>SUMIFS(Sales!$S:$S,Sales!$W:$W,"&lt;="&amp;'Cashflow Projection'!S$5,Sales!$E:$E,FALSE,Sales!$F:$F,'Cashflow Projection'!$C7,Sales!$A:$A,'Cashflow Projection'!$A7,Sales!$B:$B,'Cashflow Projection'!$B7,Sales!$W:$W,"&gt;"&amp;'Cashflow Projection'!Q$5)*$C7</f>
        <v/>
      </c>
      <c r="T7" s="23">
        <f>COUNTIFS(Sales!$W:$W,"&lt;="&amp;'Cashflow Projection'!S$5,Sales!$W:$W,"&gt;"&amp;'Cashflow Projection'!Q$5,Sales!$A:$A,'Cashflow Projection'!$A7,Sales!$B:$B,'Cashflow Projection'!$B7,Sales!$F:$F,'Cashflow Projection'!$C7,Sales!$E:$E,FALSE)*$C7</f>
        <v/>
      </c>
      <c r="U7" s="28">
        <f>SUMIFS(Sales!$S:$S,Sales!$W:$W,"&lt;="&amp;'Cashflow Projection'!U$5,Sales!$E:$E,FALSE,Sales!$F:$F,'Cashflow Projection'!$C7,Sales!$A:$A,'Cashflow Projection'!$A7,Sales!$B:$B,'Cashflow Projection'!$B7,Sales!$W:$W,"&gt;"&amp;'Cashflow Projection'!S$5)*$C7</f>
        <v/>
      </c>
      <c r="V7" s="23">
        <f>COUNTIFS(Sales!$W:$W,"&lt;="&amp;'Cashflow Projection'!U$5,Sales!$W:$W,"&gt;"&amp;'Cashflow Projection'!S$5,Sales!$A:$A,'Cashflow Projection'!$A7,Sales!$B:$B,'Cashflow Projection'!$B7,Sales!$F:$F,'Cashflow Projection'!$C7,Sales!$E:$E,FALSE)*$C7</f>
        <v/>
      </c>
      <c r="W7" s="28">
        <f>SUMIFS(Sales!$S:$S,Sales!$W:$W,"&lt;="&amp;'Cashflow Projection'!W$5,Sales!$E:$E,FALSE,Sales!$F:$F,'Cashflow Projection'!$C7,Sales!$A:$A,'Cashflow Projection'!$A7,Sales!$B:$B,'Cashflow Projection'!$B7,Sales!$W:$W,"&gt;"&amp;'Cashflow Projection'!U$5)*$C7</f>
        <v/>
      </c>
      <c r="X7" s="23">
        <f>COUNTIFS(Sales!$W:$W,"&lt;="&amp;'Cashflow Projection'!W$5,Sales!$W:$W,"&gt;"&amp;'Cashflow Projection'!U$5,Sales!$A:$A,'Cashflow Projection'!$A7,Sales!$B:$B,'Cashflow Projection'!$B7,Sales!$F:$F,'Cashflow Projection'!$C7,Sales!$E:$E,FALSE)*$C7</f>
        <v/>
      </c>
      <c r="Y7" s="28">
        <f>SUMIFS(Sales!$S:$S,Sales!$W:$W,"&lt;="&amp;'Cashflow Projection'!Y$5,Sales!$E:$E,FALSE,Sales!$F:$F,'Cashflow Projection'!$C7,Sales!$A:$A,'Cashflow Projection'!$A7,Sales!$B:$B,'Cashflow Projection'!$B7,Sales!$W:$W,"&gt;"&amp;'Cashflow Projection'!W$5)*$C7</f>
        <v/>
      </c>
      <c r="Z7" s="23">
        <f>COUNTIFS(Sales!$W:$W,"&lt;="&amp;'Cashflow Projection'!Y$5,Sales!$W:$W,"&gt;"&amp;'Cashflow Projection'!W$5,Sales!$A:$A,'Cashflow Projection'!$A7,Sales!$B:$B,'Cashflow Projection'!$B7,Sales!$F:$F,'Cashflow Projection'!$C7,Sales!$E:$E,FALSE)*$C7</f>
        <v/>
      </c>
      <c r="AA7" s="28">
        <f>SUMIFS(Sales!$S:$S,Sales!$W:$W,"&lt;="&amp;'Cashflow Projection'!AA$5,Sales!$E:$E,FALSE,Sales!$F:$F,'Cashflow Projection'!$C7,Sales!$A:$A,'Cashflow Projection'!$A7,Sales!$B:$B,'Cashflow Projection'!$B7,Sales!$W:$W,"&gt;"&amp;'Cashflow Projection'!Y$5)*$C7</f>
        <v/>
      </c>
      <c r="AB7" s="23">
        <f>COUNTIFS(Sales!$W:$W,"&lt;="&amp;'Cashflow Projection'!AA$5,Sales!$W:$W,"&gt;"&amp;'Cashflow Projection'!Y$5,Sales!$A:$A,'Cashflow Projection'!$A7,Sales!$B:$B,'Cashflow Projection'!$B7,Sales!$F:$F,'Cashflow Projection'!$C7,Sales!$E:$E,FALSE)*$C7</f>
        <v/>
      </c>
      <c r="AC7" s="28">
        <f>SUMIFS(Sales!$S:$S,Sales!$W:$W,"&lt;="&amp;'Cashflow Projection'!AC$5,Sales!$E:$E,FALSE,Sales!$F:$F,'Cashflow Projection'!$C7,Sales!$A:$A,'Cashflow Projection'!$A7,Sales!$B:$B,'Cashflow Projection'!$B7,Sales!$W:$W,"&gt;"&amp;'Cashflow Projection'!AA$5)*$C7</f>
        <v/>
      </c>
      <c r="AD7" s="23">
        <f>COUNTIFS(Sales!$W:$W,"&lt;="&amp;'Cashflow Projection'!AC$5,Sales!$W:$W,"&gt;"&amp;'Cashflow Projection'!AA$5,Sales!$A:$A,'Cashflow Projection'!$A7,Sales!$B:$B,'Cashflow Projection'!$B7,Sales!$F:$F,'Cashflow Projection'!$C7,Sales!$E:$E,FALSE)*$C7</f>
        <v/>
      </c>
      <c r="AE7" s="28">
        <f>SUMIFS(Sales!$S:$S,Sales!$W:$W,"&lt;="&amp;'Cashflow Projection'!AE$5,Sales!$E:$E,FALSE,Sales!$F:$F,'Cashflow Projection'!$C7,Sales!$A:$A,'Cashflow Projection'!$A7,Sales!$B:$B,'Cashflow Projection'!$B7,Sales!$W:$W,"&gt;"&amp;'Cashflow Projection'!AC$5)*$C7</f>
        <v/>
      </c>
      <c r="AF7" s="26">
        <f>COUNTIFS(Sales!$W:$W,"&lt;="&amp;'Cashflow Projection'!AE$5,Sales!$W:$W,"&gt;"&amp;'Cashflow Projection'!AC$5,Sales!$A:$A,'Cashflow Projection'!$A7,Sales!$B:$B,'Cashflow Projection'!$B7,Sales!$F:$F,'Cashflow Projection'!$C7,Sales!$E:$E,FALSE)*$C7</f>
        <v/>
      </c>
    </row>
    <row r="8">
      <c r="A8" s="20" t="inlineStr">
        <is>
          <t>Endulini</t>
        </is>
      </c>
      <c r="B8" s="27" t="inlineStr">
        <is>
          <t>B</t>
        </is>
      </c>
      <c r="C8" s="27">
        <f>IF(A8&lt;&gt;"Heron View",1,IF(ISERROR(VLOOKUP($B8,$A$50:$B$62,2,FALSE)),1,SUMIFS($B$50:$B$62,$A$50:$A$62,B8)))</f>
        <v/>
      </c>
      <c r="D8" s="28">
        <f>+I8+K8+M8+O8+Q8+S8+U8+W8+Y8+AA8+AC8+AE8</f>
        <v/>
      </c>
      <c r="E8" s="23">
        <f>+J8+L8+N8+P8+R8+T8+V8+X8+Z8+AB8+AD8+AF8</f>
        <v/>
      </c>
      <c r="I8" s="28">
        <f>SUMIFS(Sales!$S:$S,Sales!$W:$W,"&lt;="&amp;'Cashflow Projection'!I$5,Sales!$E:$E,FALSE,Sales!$F:$F,'Cashflow Projection'!$C8,Sales!$A:$A,'Cashflow Projection'!$A8,Sales!$B:$B,'Cashflow Projection'!$B8,Sales!$W:$W,"&gt;"&amp;'Cashflow Projection'!B$2)*$C8</f>
        <v/>
      </c>
      <c r="J8" s="23">
        <f>COUNTIFS(Sales!$H:$H,"&lt;="&amp;'Cashflow Projection'!I$5,Sales!$H:$H,"&gt;"&amp;'Cashflow Projection'!B$2,Sales!$A:$A,'Cashflow Projection'!$A8,Sales!$B:$B,'Cashflow Projection'!$B8,Sales!$F:$F,'Cashflow Projection'!$C8,Sales!$E:$E,FALSE)*$C8</f>
        <v/>
      </c>
      <c r="K8" s="28">
        <f>SUMIFS(Sales!$S:$S,Sales!$W:$W,"&lt;="&amp;'Cashflow Projection'!K$5,Sales!$E:$E,FALSE,Sales!$F:$F,'Cashflow Projection'!$C8,Sales!$A:$A,'Cashflow Projection'!$A8,Sales!$B:$B,'Cashflow Projection'!$B8,Sales!$W:$W,"&gt;"&amp;'Cashflow Projection'!I$5)*$C8</f>
        <v/>
      </c>
      <c r="L8" s="23">
        <f>COUNTIFS(Sales!$W:$W,"&lt;="&amp;'Cashflow Projection'!K$5,Sales!$W:$W,"&gt;"&amp;'Cashflow Projection'!I$5,Sales!$A:$A,'Cashflow Projection'!$A8,Sales!$B:$B,'Cashflow Projection'!$B8,Sales!$F:$F,'Cashflow Projection'!$C8,Sales!$E:$E,FALSE)*$C8</f>
        <v/>
      </c>
      <c r="M8" s="28">
        <f>SUMIFS(Sales!$S:$S,Sales!$W:$W,"&lt;="&amp;'Cashflow Projection'!M$5,Sales!$E:$E,FALSE,Sales!$F:$F,'Cashflow Projection'!$C8,Sales!$A:$A,'Cashflow Projection'!$A8,Sales!$B:$B,'Cashflow Projection'!$B8,Sales!$W:$W,"&gt;"&amp;'Cashflow Projection'!K$5)*$C8</f>
        <v/>
      </c>
      <c r="N8" s="23">
        <f>COUNTIFS(Sales!$W:$W,"&lt;="&amp;'Cashflow Projection'!M$5,Sales!$W:$W,"&gt;"&amp;'Cashflow Projection'!K$5,Sales!$A:$A,'Cashflow Projection'!$A8,Sales!$B:$B,'Cashflow Projection'!$B8,Sales!$F:$F,'Cashflow Projection'!$C8,Sales!$E:$E,FALSE)*$C8</f>
        <v/>
      </c>
      <c r="O8" s="28">
        <f>SUMIFS(Sales!$S:$S,Sales!$W:$W,"&lt;="&amp;'Cashflow Projection'!O$5,Sales!$E:$E,FALSE,Sales!$F:$F,'Cashflow Projection'!$C8,Sales!$A:$A,'Cashflow Projection'!$A8,Sales!$B:$B,'Cashflow Projection'!$B8,Sales!$W:$W,"&gt;"&amp;'Cashflow Projection'!M$5)*$C8</f>
        <v/>
      </c>
      <c r="P8" s="23">
        <f>COUNTIFS(Sales!$W:$W,"&lt;="&amp;'Cashflow Projection'!O$5,Sales!$W:$W,"&gt;"&amp;'Cashflow Projection'!M$5,Sales!$A:$A,'Cashflow Projection'!$A8,Sales!$B:$B,'Cashflow Projection'!$B8,Sales!$F:$F,'Cashflow Projection'!$C8,Sales!$E:$E,FALSE)*$C8</f>
        <v/>
      </c>
      <c r="Q8" s="28">
        <f>SUMIFS(Sales!$S:$S,Sales!$W:$W,"&lt;="&amp;'Cashflow Projection'!Q$5,Sales!$E:$E,FALSE,Sales!$F:$F,'Cashflow Projection'!$C8,Sales!$A:$A,'Cashflow Projection'!$A8,Sales!$B:$B,'Cashflow Projection'!$B8,Sales!$W:$W,"&gt;"&amp;'Cashflow Projection'!O$5)*$C8</f>
        <v/>
      </c>
      <c r="R8" s="23">
        <f>COUNTIFS(Sales!$W:$W,"&lt;="&amp;'Cashflow Projection'!Q$5,Sales!$W:$W,"&gt;"&amp;'Cashflow Projection'!O$5,Sales!$A:$A,'Cashflow Projection'!$A8,Sales!$B:$B,'Cashflow Projection'!$B8,Sales!$F:$F,'Cashflow Projection'!$C8,Sales!$E:$E,FALSE)*$C8</f>
        <v/>
      </c>
      <c r="S8" s="28">
        <f>SUMIFS(Sales!$S:$S,Sales!$W:$W,"&lt;="&amp;'Cashflow Projection'!S$5,Sales!$E:$E,FALSE,Sales!$F:$F,'Cashflow Projection'!$C8,Sales!$A:$A,'Cashflow Projection'!$A8,Sales!$B:$B,'Cashflow Projection'!$B8,Sales!$W:$W,"&gt;"&amp;'Cashflow Projection'!Q$5)*$C8</f>
        <v/>
      </c>
      <c r="T8" s="23">
        <f>COUNTIFS(Sales!$W:$W,"&lt;="&amp;'Cashflow Projection'!S$5,Sales!$W:$W,"&gt;"&amp;'Cashflow Projection'!Q$5,Sales!$A:$A,'Cashflow Projection'!$A8,Sales!$B:$B,'Cashflow Projection'!$B8,Sales!$F:$F,'Cashflow Projection'!$C8,Sales!$E:$E,FALSE)*$C8</f>
        <v/>
      </c>
      <c r="U8" s="28">
        <f>SUMIFS(Sales!$S:$S,Sales!$W:$W,"&lt;="&amp;'Cashflow Projection'!U$5,Sales!$E:$E,FALSE,Sales!$F:$F,'Cashflow Projection'!$C8,Sales!$A:$A,'Cashflow Projection'!$A8,Sales!$B:$B,'Cashflow Projection'!$B8,Sales!$W:$W,"&gt;"&amp;'Cashflow Projection'!S$5)*$C8</f>
        <v/>
      </c>
      <c r="V8" s="23">
        <f>COUNTIFS(Sales!$W:$W,"&lt;="&amp;'Cashflow Projection'!U$5,Sales!$W:$W,"&gt;"&amp;'Cashflow Projection'!S$5,Sales!$A:$A,'Cashflow Projection'!$A8,Sales!$B:$B,'Cashflow Projection'!$B8,Sales!$F:$F,'Cashflow Projection'!$C8,Sales!$E:$E,FALSE)*$C8</f>
        <v/>
      </c>
      <c r="W8" s="28">
        <f>SUMIFS(Sales!$S:$S,Sales!$W:$W,"&lt;="&amp;'Cashflow Projection'!W$5,Sales!$E:$E,FALSE,Sales!$F:$F,'Cashflow Projection'!$C8,Sales!$A:$A,'Cashflow Projection'!$A8,Sales!$B:$B,'Cashflow Projection'!$B8,Sales!$W:$W,"&gt;"&amp;'Cashflow Projection'!U$5)*$C8</f>
        <v/>
      </c>
      <c r="X8" s="23">
        <f>COUNTIFS(Sales!$W:$W,"&lt;="&amp;'Cashflow Projection'!W$5,Sales!$W:$W,"&gt;"&amp;'Cashflow Projection'!U$5,Sales!$A:$A,'Cashflow Projection'!$A8,Sales!$B:$B,'Cashflow Projection'!$B8,Sales!$F:$F,'Cashflow Projection'!$C8,Sales!$E:$E,FALSE)*$C8</f>
        <v/>
      </c>
      <c r="Y8" s="28">
        <f>SUMIFS(Sales!$S:$S,Sales!$W:$W,"&lt;="&amp;'Cashflow Projection'!Y$5,Sales!$E:$E,FALSE,Sales!$F:$F,'Cashflow Projection'!$C8,Sales!$A:$A,'Cashflow Projection'!$A8,Sales!$B:$B,'Cashflow Projection'!$B8,Sales!$W:$W,"&gt;"&amp;'Cashflow Projection'!W$5)*$C8</f>
        <v/>
      </c>
      <c r="Z8" s="23">
        <f>COUNTIFS(Sales!$W:$W,"&lt;="&amp;'Cashflow Projection'!Y$5,Sales!$W:$W,"&gt;"&amp;'Cashflow Projection'!W$5,Sales!$A:$A,'Cashflow Projection'!$A8,Sales!$B:$B,'Cashflow Projection'!$B8,Sales!$F:$F,'Cashflow Projection'!$C8,Sales!$E:$E,FALSE)*$C8</f>
        <v/>
      </c>
      <c r="AA8" s="28">
        <f>SUMIFS(Sales!$S:$S,Sales!$W:$W,"&lt;="&amp;'Cashflow Projection'!AA$5,Sales!$E:$E,FALSE,Sales!$F:$F,'Cashflow Projection'!$C8,Sales!$A:$A,'Cashflow Projection'!$A8,Sales!$B:$B,'Cashflow Projection'!$B8,Sales!$W:$W,"&gt;"&amp;'Cashflow Projection'!Y$5)*$C8</f>
        <v/>
      </c>
      <c r="AB8" s="23">
        <f>COUNTIFS(Sales!$W:$W,"&lt;="&amp;'Cashflow Projection'!AA$5,Sales!$W:$W,"&gt;"&amp;'Cashflow Projection'!Y$5,Sales!$A:$A,'Cashflow Projection'!$A8,Sales!$B:$B,'Cashflow Projection'!$B8,Sales!$F:$F,'Cashflow Projection'!$C8,Sales!$E:$E,FALSE)*$C8</f>
        <v/>
      </c>
      <c r="AC8" s="28">
        <f>SUMIFS(Sales!$S:$S,Sales!$W:$W,"&lt;="&amp;'Cashflow Projection'!AC$5,Sales!$E:$E,FALSE,Sales!$F:$F,'Cashflow Projection'!$C8,Sales!$A:$A,'Cashflow Projection'!$A8,Sales!$B:$B,'Cashflow Projection'!$B8,Sales!$W:$W,"&gt;"&amp;'Cashflow Projection'!AA$5)*$C8</f>
        <v/>
      </c>
      <c r="AD8" s="23">
        <f>COUNTIFS(Sales!$W:$W,"&lt;="&amp;'Cashflow Projection'!AC$5,Sales!$W:$W,"&gt;"&amp;'Cashflow Projection'!AA$5,Sales!$A:$A,'Cashflow Projection'!$A8,Sales!$B:$B,'Cashflow Projection'!$B8,Sales!$F:$F,'Cashflow Projection'!$C8,Sales!$E:$E,FALSE)*$C8</f>
        <v/>
      </c>
      <c r="AE8" s="28">
        <f>SUMIFS(Sales!$S:$S,Sales!$W:$W,"&lt;="&amp;'Cashflow Projection'!AE$5,Sales!$E:$E,FALSE,Sales!$F:$F,'Cashflow Projection'!$C8,Sales!$A:$A,'Cashflow Projection'!$A8,Sales!$B:$B,'Cashflow Projection'!$B8,Sales!$W:$W,"&gt;"&amp;'Cashflow Projection'!AC$5)*$C8</f>
        <v/>
      </c>
      <c r="AF8" s="26">
        <f>COUNTIFS(Sales!$W:$W,"&lt;="&amp;'Cashflow Projection'!AE$5,Sales!$W:$W,"&gt;"&amp;'Cashflow Projection'!AC$5,Sales!$A:$A,'Cashflow Projection'!$A8,Sales!$B:$B,'Cashflow Projection'!$B8,Sales!$F:$F,'Cashflow Projection'!$C8,Sales!$E:$E,FALSE)*$C8</f>
        <v/>
      </c>
    </row>
    <row r="9">
      <c r="A9" s="20" t="inlineStr">
        <is>
          <t>Heron Fields</t>
        </is>
      </c>
      <c r="B9" s="27" t="inlineStr">
        <is>
          <t>B</t>
        </is>
      </c>
      <c r="C9" s="27">
        <f>IF(A9&lt;&gt;"Heron View",1,IF(ISERROR(VLOOKUP($B9,$A$50:$B$62,2,FALSE)),1,SUMIFS($B$50:$B$62,$A$50:$A$62,B9)))</f>
        <v/>
      </c>
      <c r="D9" s="28">
        <f>+I9+K9+M9+O9+Q9+S9+U9+W9+Y9+AA9+AC9+AE9</f>
        <v/>
      </c>
      <c r="E9" s="23">
        <f>+J9+L9+N9+P9+R9+T9+V9+X9+Z9+AB9+AD9+AF9</f>
        <v/>
      </c>
      <c r="I9" s="28">
        <f>SUMIFS(Sales!$S:$S,Sales!$W:$W,"&lt;="&amp;'Cashflow Projection'!I$5,Sales!$E:$E,FALSE,Sales!$F:$F,'Cashflow Projection'!$C9,Sales!$A:$A,'Cashflow Projection'!$A9,Sales!$B:$B,'Cashflow Projection'!$B9,Sales!$W:$W,"&gt;"&amp;'Cashflow Projection'!B$2)*$C9</f>
        <v/>
      </c>
      <c r="J9" s="23">
        <f>COUNTIFS(Sales!$H:$H,"&lt;="&amp;'Cashflow Projection'!I$5,Sales!$H:$H,"&gt;"&amp;'Cashflow Projection'!B$2,Sales!$A:$A,'Cashflow Projection'!$A9,Sales!$B:$B,'Cashflow Projection'!$B9,Sales!$F:$F,'Cashflow Projection'!$C9,Sales!$E:$E,FALSE)*$C9</f>
        <v/>
      </c>
      <c r="K9" s="28">
        <f>SUMIFS(Sales!$S:$S,Sales!$W:$W,"&lt;="&amp;'Cashflow Projection'!K$5,Sales!$E:$E,FALSE,Sales!$F:$F,'Cashflow Projection'!$C9,Sales!$A:$A,'Cashflow Projection'!$A9,Sales!$B:$B,'Cashflow Projection'!$B9,Sales!$W:$W,"&gt;"&amp;'Cashflow Projection'!I$5)*$C9</f>
        <v/>
      </c>
      <c r="L9" s="23">
        <f>COUNTIFS(Sales!$W:$W,"&lt;="&amp;'Cashflow Projection'!K$5,Sales!$W:$W,"&gt;"&amp;'Cashflow Projection'!I$5,Sales!$A:$A,'Cashflow Projection'!$A9,Sales!$B:$B,'Cashflow Projection'!$B9,Sales!$F:$F,'Cashflow Projection'!$C9,Sales!$E:$E,FALSE)*$C9</f>
        <v/>
      </c>
      <c r="M9" s="28">
        <f>SUMIFS(Sales!$S:$S,Sales!$W:$W,"&lt;="&amp;'Cashflow Projection'!M$5,Sales!$E:$E,FALSE,Sales!$F:$F,'Cashflow Projection'!$C9,Sales!$A:$A,'Cashflow Projection'!$A9,Sales!$B:$B,'Cashflow Projection'!$B9,Sales!$W:$W,"&gt;"&amp;'Cashflow Projection'!K$5)*$C9</f>
        <v/>
      </c>
      <c r="N9" s="23">
        <f>COUNTIFS(Sales!$W:$W,"&lt;="&amp;'Cashflow Projection'!M$5,Sales!$W:$W,"&gt;"&amp;'Cashflow Projection'!K$5,Sales!$A:$A,'Cashflow Projection'!$A9,Sales!$B:$B,'Cashflow Projection'!$B9,Sales!$F:$F,'Cashflow Projection'!$C9,Sales!$E:$E,FALSE)*$C9</f>
        <v/>
      </c>
      <c r="O9" s="28">
        <f>SUMIFS(Sales!$S:$S,Sales!$W:$W,"&lt;="&amp;'Cashflow Projection'!O$5,Sales!$E:$E,FALSE,Sales!$F:$F,'Cashflow Projection'!$C9,Sales!$A:$A,'Cashflow Projection'!$A9,Sales!$B:$B,'Cashflow Projection'!$B9,Sales!$W:$W,"&gt;"&amp;'Cashflow Projection'!M$5)*$C9</f>
        <v/>
      </c>
      <c r="P9" s="23">
        <f>COUNTIFS(Sales!$W:$W,"&lt;="&amp;'Cashflow Projection'!O$5,Sales!$W:$W,"&gt;"&amp;'Cashflow Projection'!M$5,Sales!$A:$A,'Cashflow Projection'!$A9,Sales!$B:$B,'Cashflow Projection'!$B9,Sales!$F:$F,'Cashflow Projection'!$C9,Sales!$E:$E,FALSE)*$C9</f>
        <v/>
      </c>
      <c r="Q9" s="28">
        <f>SUMIFS(Sales!$S:$S,Sales!$W:$W,"&lt;="&amp;'Cashflow Projection'!Q$5,Sales!$E:$E,FALSE,Sales!$F:$F,'Cashflow Projection'!$C9,Sales!$A:$A,'Cashflow Projection'!$A9,Sales!$B:$B,'Cashflow Projection'!$B9,Sales!$W:$W,"&gt;"&amp;'Cashflow Projection'!O$5)*$C9</f>
        <v/>
      </c>
      <c r="R9" s="23">
        <f>COUNTIFS(Sales!$W:$W,"&lt;="&amp;'Cashflow Projection'!Q$5,Sales!$W:$W,"&gt;"&amp;'Cashflow Projection'!O$5,Sales!$A:$A,'Cashflow Projection'!$A9,Sales!$B:$B,'Cashflow Projection'!$B9,Sales!$F:$F,'Cashflow Projection'!$C9,Sales!$E:$E,FALSE)*$C9</f>
        <v/>
      </c>
      <c r="S9" s="28">
        <f>SUMIFS(Sales!$S:$S,Sales!$W:$W,"&lt;="&amp;'Cashflow Projection'!S$5,Sales!$E:$E,FALSE,Sales!$F:$F,'Cashflow Projection'!$C9,Sales!$A:$A,'Cashflow Projection'!$A9,Sales!$B:$B,'Cashflow Projection'!$B9,Sales!$W:$W,"&gt;"&amp;'Cashflow Projection'!Q$5)*$C9</f>
        <v/>
      </c>
      <c r="T9" s="23">
        <f>COUNTIFS(Sales!$W:$W,"&lt;="&amp;'Cashflow Projection'!S$5,Sales!$W:$W,"&gt;"&amp;'Cashflow Projection'!Q$5,Sales!$A:$A,'Cashflow Projection'!$A9,Sales!$B:$B,'Cashflow Projection'!$B9,Sales!$F:$F,'Cashflow Projection'!$C9,Sales!$E:$E,FALSE)*$C9</f>
        <v/>
      </c>
      <c r="U9" s="28">
        <f>SUMIFS(Sales!$S:$S,Sales!$W:$W,"&lt;="&amp;'Cashflow Projection'!U$5,Sales!$E:$E,FALSE,Sales!$F:$F,'Cashflow Projection'!$C9,Sales!$A:$A,'Cashflow Projection'!$A9,Sales!$B:$B,'Cashflow Projection'!$B9,Sales!$W:$W,"&gt;"&amp;'Cashflow Projection'!S$5)*$C9</f>
        <v/>
      </c>
      <c r="V9" s="23">
        <f>COUNTIFS(Sales!$W:$W,"&lt;="&amp;'Cashflow Projection'!U$5,Sales!$W:$W,"&gt;"&amp;'Cashflow Projection'!S$5,Sales!$A:$A,'Cashflow Projection'!$A9,Sales!$B:$B,'Cashflow Projection'!$B9,Sales!$F:$F,'Cashflow Projection'!$C9,Sales!$E:$E,FALSE)*$C9</f>
        <v/>
      </c>
      <c r="W9" s="28">
        <f>SUMIFS(Sales!$S:$S,Sales!$W:$W,"&lt;="&amp;'Cashflow Projection'!W$5,Sales!$E:$E,FALSE,Sales!$F:$F,'Cashflow Projection'!$C9,Sales!$A:$A,'Cashflow Projection'!$A9,Sales!$B:$B,'Cashflow Projection'!$B9,Sales!$W:$W,"&gt;"&amp;'Cashflow Projection'!U$5)*$C9</f>
        <v/>
      </c>
      <c r="X9" s="23">
        <f>COUNTIFS(Sales!$W:$W,"&lt;="&amp;'Cashflow Projection'!W$5,Sales!$W:$W,"&gt;"&amp;'Cashflow Projection'!U$5,Sales!$A:$A,'Cashflow Projection'!$A9,Sales!$B:$B,'Cashflow Projection'!$B9,Sales!$F:$F,'Cashflow Projection'!$C9,Sales!$E:$E,FALSE)*$C9</f>
        <v/>
      </c>
      <c r="Y9" s="28">
        <f>SUMIFS(Sales!$S:$S,Sales!$W:$W,"&lt;="&amp;'Cashflow Projection'!Y$5,Sales!$E:$E,FALSE,Sales!$F:$F,'Cashflow Projection'!$C9,Sales!$A:$A,'Cashflow Projection'!$A9,Sales!$B:$B,'Cashflow Projection'!$B9,Sales!$W:$W,"&gt;"&amp;'Cashflow Projection'!W$5)*$C9</f>
        <v/>
      </c>
      <c r="Z9" s="23">
        <f>COUNTIFS(Sales!$W:$W,"&lt;="&amp;'Cashflow Projection'!Y$5,Sales!$W:$W,"&gt;"&amp;'Cashflow Projection'!W$5,Sales!$A:$A,'Cashflow Projection'!$A9,Sales!$B:$B,'Cashflow Projection'!$B9,Sales!$F:$F,'Cashflow Projection'!$C9,Sales!$E:$E,FALSE)*$C9</f>
        <v/>
      </c>
      <c r="AA9" s="28">
        <f>SUMIFS(Sales!$S:$S,Sales!$W:$W,"&lt;="&amp;'Cashflow Projection'!AA$5,Sales!$E:$E,FALSE,Sales!$F:$F,'Cashflow Projection'!$C9,Sales!$A:$A,'Cashflow Projection'!$A9,Sales!$B:$B,'Cashflow Projection'!$B9,Sales!$W:$W,"&gt;"&amp;'Cashflow Projection'!Y$5)*$C9</f>
        <v/>
      </c>
      <c r="AB9" s="23">
        <f>COUNTIFS(Sales!$W:$W,"&lt;="&amp;'Cashflow Projection'!AA$5,Sales!$W:$W,"&gt;"&amp;'Cashflow Projection'!Y$5,Sales!$A:$A,'Cashflow Projection'!$A9,Sales!$B:$B,'Cashflow Projection'!$B9,Sales!$F:$F,'Cashflow Projection'!$C9,Sales!$E:$E,FALSE)*$C9</f>
        <v/>
      </c>
      <c r="AC9" s="28">
        <f>SUMIFS(Sales!$S:$S,Sales!$W:$W,"&lt;="&amp;'Cashflow Projection'!AC$5,Sales!$E:$E,FALSE,Sales!$F:$F,'Cashflow Projection'!$C9,Sales!$A:$A,'Cashflow Projection'!$A9,Sales!$B:$B,'Cashflow Projection'!$B9,Sales!$W:$W,"&gt;"&amp;'Cashflow Projection'!AA$5)*$C9</f>
        <v/>
      </c>
      <c r="AD9" s="23">
        <f>COUNTIFS(Sales!$W:$W,"&lt;="&amp;'Cashflow Projection'!AC$5,Sales!$W:$W,"&gt;"&amp;'Cashflow Projection'!AA$5,Sales!$A:$A,'Cashflow Projection'!$A9,Sales!$B:$B,'Cashflow Projection'!$B9,Sales!$F:$F,'Cashflow Projection'!$C9,Sales!$E:$E,FALSE)*$C9</f>
        <v/>
      </c>
      <c r="AE9" s="28">
        <f>SUMIFS(Sales!$S:$S,Sales!$W:$W,"&lt;="&amp;'Cashflow Projection'!AE$5,Sales!$E:$E,FALSE,Sales!$F:$F,'Cashflow Projection'!$C9,Sales!$A:$A,'Cashflow Projection'!$A9,Sales!$B:$B,'Cashflow Projection'!$B9,Sales!$W:$W,"&gt;"&amp;'Cashflow Projection'!AC$5)*$C9</f>
        <v/>
      </c>
      <c r="AF9" s="26">
        <f>COUNTIFS(Sales!$W:$W,"&lt;="&amp;'Cashflow Projection'!AE$5,Sales!$W:$W,"&gt;"&amp;'Cashflow Projection'!AC$5,Sales!$A:$A,'Cashflow Projection'!$A9,Sales!$B:$B,'Cashflow Projection'!$B9,Sales!$F:$F,'Cashflow Projection'!$C9,Sales!$E:$E,FALSE)*$C9</f>
        <v/>
      </c>
    </row>
    <row r="10">
      <c r="A10" s="20" t="inlineStr">
        <is>
          <t>Heron View</t>
        </is>
      </c>
      <c r="B10" s="27" t="inlineStr">
        <is>
          <t>C</t>
        </is>
      </c>
      <c r="C10" s="27">
        <f>IF(A10&lt;&gt;"Heron View",1,IF(ISERROR(VLOOKUP($B10,$A$50:$B$62,2,FALSE)),1,SUMIFS($B$50:$B$62,$A$50:$A$62,B10)))</f>
        <v/>
      </c>
      <c r="D10" s="28">
        <f>+I10+K10+M10+O10+Q10+S10+U10+W10+Y10+AA10+AC10+AE10</f>
        <v/>
      </c>
      <c r="E10" s="23">
        <f>+J10+L10+N10+P10+R10+T10+V10+X10+Z10+AB10+AD10+AF10</f>
        <v/>
      </c>
      <c r="I10" s="28">
        <f>SUMIFS(Sales!$S:$S,Sales!$W:$W,"&lt;="&amp;'Cashflow Projection'!I$5,Sales!$E:$E,FALSE,Sales!$F:$F,'Cashflow Projection'!$C10,Sales!$A:$A,'Cashflow Projection'!$A10,Sales!$B:$B,'Cashflow Projection'!$B10,Sales!$W:$W,"&gt;"&amp;'Cashflow Projection'!B$2)*$C10</f>
        <v/>
      </c>
      <c r="J10" s="23">
        <f>COUNTIFS(Sales!$H:$H,"&lt;="&amp;'Cashflow Projection'!I$5,Sales!$H:$H,"&gt;"&amp;'Cashflow Projection'!B$2,Sales!$A:$A,'Cashflow Projection'!$A10,Sales!$B:$B,'Cashflow Projection'!$B10,Sales!$F:$F,'Cashflow Projection'!$C10,Sales!$E:$E,FALSE)*$C10</f>
        <v/>
      </c>
      <c r="K10" s="28">
        <f>SUMIFS(Sales!$S:$S,Sales!$W:$W,"&lt;="&amp;'Cashflow Projection'!K$5,Sales!$E:$E,FALSE,Sales!$F:$F,'Cashflow Projection'!$C10,Sales!$A:$A,'Cashflow Projection'!$A10,Sales!$B:$B,'Cashflow Projection'!$B10,Sales!$W:$W,"&gt;"&amp;'Cashflow Projection'!I$5)*$C10</f>
        <v/>
      </c>
      <c r="L10" s="23">
        <f>COUNTIFS(Sales!$W:$W,"&lt;="&amp;'Cashflow Projection'!K$5,Sales!$W:$W,"&gt;"&amp;'Cashflow Projection'!I$5,Sales!$A:$A,'Cashflow Projection'!$A10,Sales!$B:$B,'Cashflow Projection'!$B10,Sales!$F:$F,'Cashflow Projection'!$C10,Sales!$E:$E,FALSE)*$C10</f>
        <v/>
      </c>
      <c r="M10" s="28">
        <f>SUMIFS(Sales!$S:$S,Sales!$W:$W,"&lt;="&amp;'Cashflow Projection'!M$5,Sales!$E:$E,FALSE,Sales!$F:$F,'Cashflow Projection'!$C10,Sales!$A:$A,'Cashflow Projection'!$A10,Sales!$B:$B,'Cashflow Projection'!$B10,Sales!$W:$W,"&gt;"&amp;'Cashflow Projection'!K$5)*$C10</f>
        <v/>
      </c>
      <c r="N10" s="23">
        <f>COUNTIFS(Sales!$W:$W,"&lt;="&amp;'Cashflow Projection'!M$5,Sales!$W:$W,"&gt;"&amp;'Cashflow Projection'!K$5,Sales!$A:$A,'Cashflow Projection'!$A10,Sales!$B:$B,'Cashflow Projection'!$B10,Sales!$F:$F,'Cashflow Projection'!$C10,Sales!$E:$E,FALSE)*$C10</f>
        <v/>
      </c>
      <c r="O10" s="28">
        <f>SUMIFS(Sales!$S:$S,Sales!$W:$W,"&lt;="&amp;'Cashflow Projection'!O$5,Sales!$E:$E,FALSE,Sales!$F:$F,'Cashflow Projection'!$C10,Sales!$A:$A,'Cashflow Projection'!$A10,Sales!$B:$B,'Cashflow Projection'!$B10,Sales!$W:$W,"&gt;"&amp;'Cashflow Projection'!M$5)*$C10</f>
        <v/>
      </c>
      <c r="P10" s="23">
        <f>COUNTIFS(Sales!$W:$W,"&lt;="&amp;'Cashflow Projection'!O$5,Sales!$W:$W,"&gt;"&amp;'Cashflow Projection'!M$5,Sales!$A:$A,'Cashflow Projection'!$A10,Sales!$B:$B,'Cashflow Projection'!$B10,Sales!$F:$F,'Cashflow Projection'!$C10,Sales!$E:$E,FALSE)*$C10</f>
        <v/>
      </c>
      <c r="Q10" s="28">
        <f>SUMIFS(Sales!$S:$S,Sales!$W:$W,"&lt;="&amp;'Cashflow Projection'!Q$5,Sales!$E:$E,FALSE,Sales!$F:$F,'Cashflow Projection'!$C10,Sales!$A:$A,'Cashflow Projection'!$A10,Sales!$B:$B,'Cashflow Projection'!$B10,Sales!$W:$W,"&gt;"&amp;'Cashflow Projection'!O$5)*$C10</f>
        <v/>
      </c>
      <c r="R10" s="23">
        <f>COUNTIFS(Sales!$W:$W,"&lt;="&amp;'Cashflow Projection'!Q$5,Sales!$W:$W,"&gt;"&amp;'Cashflow Projection'!O$5,Sales!$A:$A,'Cashflow Projection'!$A10,Sales!$B:$B,'Cashflow Projection'!$B10,Sales!$F:$F,'Cashflow Projection'!$C10,Sales!$E:$E,FALSE)*$C10</f>
        <v/>
      </c>
      <c r="S10" s="28">
        <f>SUMIFS(Sales!$S:$S,Sales!$W:$W,"&lt;="&amp;'Cashflow Projection'!S$5,Sales!$E:$E,FALSE,Sales!$F:$F,'Cashflow Projection'!$C10,Sales!$A:$A,'Cashflow Projection'!$A10,Sales!$B:$B,'Cashflow Projection'!$B10,Sales!$W:$W,"&gt;"&amp;'Cashflow Projection'!Q$5)*$C10</f>
        <v/>
      </c>
      <c r="T10" s="23">
        <f>COUNTIFS(Sales!$W:$W,"&lt;="&amp;'Cashflow Projection'!S$5,Sales!$W:$W,"&gt;"&amp;'Cashflow Projection'!Q$5,Sales!$A:$A,'Cashflow Projection'!$A10,Sales!$B:$B,'Cashflow Projection'!$B10,Sales!$F:$F,'Cashflow Projection'!$C10,Sales!$E:$E,FALSE)*$C10</f>
        <v/>
      </c>
      <c r="U10" s="28">
        <f>SUMIFS(Sales!$S:$S,Sales!$W:$W,"&lt;="&amp;'Cashflow Projection'!U$5,Sales!$E:$E,FALSE,Sales!$F:$F,'Cashflow Projection'!$C10,Sales!$A:$A,'Cashflow Projection'!$A10,Sales!$B:$B,'Cashflow Projection'!$B10,Sales!$W:$W,"&gt;"&amp;'Cashflow Projection'!S$5)*$C10</f>
        <v/>
      </c>
      <c r="V10" s="23">
        <f>COUNTIFS(Sales!$W:$W,"&lt;="&amp;'Cashflow Projection'!U$5,Sales!$W:$W,"&gt;"&amp;'Cashflow Projection'!S$5,Sales!$A:$A,'Cashflow Projection'!$A10,Sales!$B:$B,'Cashflow Projection'!$B10,Sales!$F:$F,'Cashflow Projection'!$C10,Sales!$E:$E,FALSE)*$C10</f>
        <v/>
      </c>
      <c r="W10" s="28">
        <f>SUMIFS(Sales!$S:$S,Sales!$W:$W,"&lt;="&amp;'Cashflow Projection'!W$5,Sales!$E:$E,FALSE,Sales!$F:$F,'Cashflow Projection'!$C10,Sales!$A:$A,'Cashflow Projection'!$A10,Sales!$B:$B,'Cashflow Projection'!$B10,Sales!$W:$W,"&gt;"&amp;'Cashflow Projection'!U$5)*$C10</f>
        <v/>
      </c>
      <c r="X10" s="23">
        <f>COUNTIFS(Sales!$W:$W,"&lt;="&amp;'Cashflow Projection'!W$5,Sales!$W:$W,"&gt;"&amp;'Cashflow Projection'!U$5,Sales!$A:$A,'Cashflow Projection'!$A10,Sales!$B:$B,'Cashflow Projection'!$B10,Sales!$F:$F,'Cashflow Projection'!$C10,Sales!$E:$E,FALSE)*$C10</f>
        <v/>
      </c>
      <c r="Y10" s="28">
        <f>SUMIFS(Sales!$S:$S,Sales!$W:$W,"&lt;="&amp;'Cashflow Projection'!Y$5,Sales!$E:$E,FALSE,Sales!$F:$F,'Cashflow Projection'!$C10,Sales!$A:$A,'Cashflow Projection'!$A10,Sales!$B:$B,'Cashflow Projection'!$B10,Sales!$W:$W,"&gt;"&amp;'Cashflow Projection'!W$5)*$C10</f>
        <v/>
      </c>
      <c r="Z10" s="23">
        <f>COUNTIFS(Sales!$W:$W,"&lt;="&amp;'Cashflow Projection'!Y$5,Sales!$W:$W,"&gt;"&amp;'Cashflow Projection'!W$5,Sales!$A:$A,'Cashflow Projection'!$A10,Sales!$B:$B,'Cashflow Projection'!$B10,Sales!$F:$F,'Cashflow Projection'!$C10,Sales!$E:$E,FALSE)*$C10</f>
        <v/>
      </c>
      <c r="AA10" s="28">
        <f>SUMIFS(Sales!$S:$S,Sales!$W:$W,"&lt;="&amp;'Cashflow Projection'!AA$5,Sales!$E:$E,FALSE,Sales!$F:$F,'Cashflow Projection'!$C10,Sales!$A:$A,'Cashflow Projection'!$A10,Sales!$B:$B,'Cashflow Projection'!$B10,Sales!$W:$W,"&gt;"&amp;'Cashflow Projection'!Y$5)*$C10</f>
        <v/>
      </c>
      <c r="AB10" s="23">
        <f>COUNTIFS(Sales!$W:$W,"&lt;="&amp;'Cashflow Projection'!AA$5,Sales!$W:$W,"&gt;"&amp;'Cashflow Projection'!Y$5,Sales!$A:$A,'Cashflow Projection'!$A10,Sales!$B:$B,'Cashflow Projection'!$B10,Sales!$F:$F,'Cashflow Projection'!$C10,Sales!$E:$E,FALSE)*$C10</f>
        <v/>
      </c>
      <c r="AC10" s="28">
        <f>SUMIFS(Sales!$S:$S,Sales!$W:$W,"&lt;="&amp;'Cashflow Projection'!AC$5,Sales!$E:$E,FALSE,Sales!$F:$F,'Cashflow Projection'!$C10,Sales!$A:$A,'Cashflow Projection'!$A10,Sales!$B:$B,'Cashflow Projection'!$B10,Sales!$W:$W,"&gt;"&amp;'Cashflow Projection'!AA$5)*$C10</f>
        <v/>
      </c>
      <c r="AD10" s="23">
        <f>COUNTIFS(Sales!$W:$W,"&lt;="&amp;'Cashflow Projection'!AC$5,Sales!$W:$W,"&gt;"&amp;'Cashflow Projection'!AA$5,Sales!$A:$A,'Cashflow Projection'!$A10,Sales!$B:$B,'Cashflow Projection'!$B10,Sales!$F:$F,'Cashflow Projection'!$C10,Sales!$E:$E,FALSE)*$C10</f>
        <v/>
      </c>
      <c r="AE10" s="28">
        <f>SUMIFS(Sales!$S:$S,Sales!$W:$W,"&lt;="&amp;'Cashflow Projection'!AE$5,Sales!$E:$E,FALSE,Sales!$F:$F,'Cashflow Projection'!$C10,Sales!$A:$A,'Cashflow Projection'!$A10,Sales!$B:$B,'Cashflow Projection'!$B10,Sales!$W:$W,"&gt;"&amp;'Cashflow Projection'!AC$5)*$C10</f>
        <v/>
      </c>
      <c r="AF10" s="26">
        <f>COUNTIFS(Sales!$W:$W,"&lt;="&amp;'Cashflow Projection'!AE$5,Sales!$W:$W,"&gt;"&amp;'Cashflow Projection'!AC$5,Sales!$A:$A,'Cashflow Projection'!$A10,Sales!$B:$B,'Cashflow Projection'!$B10,Sales!$F:$F,'Cashflow Projection'!$C10,Sales!$E:$E,FALSE)*$C10</f>
        <v/>
      </c>
    </row>
    <row r="11">
      <c r="A11" s="20" t="inlineStr">
        <is>
          <t>Heron View</t>
        </is>
      </c>
      <c r="B11" s="27" t="inlineStr">
        <is>
          <t>D</t>
        </is>
      </c>
      <c r="C11" s="27">
        <f>IF(A11&lt;&gt;"Heron View",1,IF(ISERROR(VLOOKUP($B11,$A$50:$B$62,2,FALSE)),1,SUMIFS($B$50:$B$62,$A$50:$A$62,B11)))</f>
        <v/>
      </c>
      <c r="D11" s="28">
        <f>+I11+K11+M11+O11+Q11+S11+U11+W11+Y11+AA11+AC11+AE11</f>
        <v/>
      </c>
      <c r="E11" s="23">
        <f>+J11+L11+N11+P11+R11+T11+V11+X11+Z11+AB11+AD11+AF11</f>
        <v/>
      </c>
      <c r="I11" s="28">
        <f>SUMIFS(Sales!$S:$S,Sales!$W:$W,"&lt;="&amp;'Cashflow Projection'!I$5,Sales!$E:$E,FALSE,Sales!$F:$F,'Cashflow Projection'!$C11,Sales!$A:$A,'Cashflow Projection'!$A11,Sales!$B:$B,'Cashflow Projection'!$B11,Sales!$W:$W,"&gt;"&amp;'Cashflow Projection'!B$2)*$C11</f>
        <v/>
      </c>
      <c r="J11" s="23">
        <f>COUNTIFS(Sales!$H:$H,"&lt;="&amp;'Cashflow Projection'!I$5,Sales!$H:$H,"&gt;"&amp;'Cashflow Projection'!B$2,Sales!$A:$A,'Cashflow Projection'!$A11,Sales!$B:$B,'Cashflow Projection'!$B11,Sales!$F:$F,'Cashflow Projection'!$C11,Sales!$E:$E,FALSE)*$C11</f>
        <v/>
      </c>
      <c r="K11" s="28">
        <f>SUMIFS(Sales!$S:$S,Sales!$W:$W,"&lt;="&amp;'Cashflow Projection'!K$5,Sales!$E:$E,FALSE,Sales!$F:$F,'Cashflow Projection'!$C11,Sales!$A:$A,'Cashflow Projection'!$A11,Sales!$B:$B,'Cashflow Projection'!$B11,Sales!$W:$W,"&gt;"&amp;'Cashflow Projection'!I$5)*$C11</f>
        <v/>
      </c>
      <c r="L11" s="23">
        <f>COUNTIFS(Sales!$W:$W,"&lt;="&amp;'Cashflow Projection'!K$5,Sales!$W:$W,"&gt;"&amp;'Cashflow Projection'!I$5,Sales!$A:$A,'Cashflow Projection'!$A11,Sales!$B:$B,'Cashflow Projection'!$B11,Sales!$F:$F,'Cashflow Projection'!$C11,Sales!$E:$E,FALSE)*$C11</f>
        <v/>
      </c>
      <c r="M11" s="28">
        <f>SUMIFS(Sales!$S:$S,Sales!$W:$W,"&lt;="&amp;'Cashflow Projection'!M$5,Sales!$E:$E,FALSE,Sales!$F:$F,'Cashflow Projection'!$C11,Sales!$A:$A,'Cashflow Projection'!$A11,Sales!$B:$B,'Cashflow Projection'!$B11,Sales!$W:$W,"&gt;"&amp;'Cashflow Projection'!K$5)*$C11</f>
        <v/>
      </c>
      <c r="N11" s="23">
        <f>COUNTIFS(Sales!$W:$W,"&lt;="&amp;'Cashflow Projection'!M$5,Sales!$W:$W,"&gt;"&amp;'Cashflow Projection'!K$5,Sales!$A:$A,'Cashflow Projection'!$A11,Sales!$B:$B,'Cashflow Projection'!$B11,Sales!$F:$F,'Cashflow Projection'!$C11,Sales!$E:$E,FALSE)*$C11</f>
        <v/>
      </c>
      <c r="O11" s="28">
        <f>SUMIFS(Sales!$S:$S,Sales!$W:$W,"&lt;="&amp;'Cashflow Projection'!O$5,Sales!$E:$E,FALSE,Sales!$F:$F,'Cashflow Projection'!$C11,Sales!$A:$A,'Cashflow Projection'!$A11,Sales!$B:$B,'Cashflow Projection'!$B11,Sales!$W:$W,"&gt;"&amp;'Cashflow Projection'!M$5)*$C11</f>
        <v/>
      </c>
      <c r="P11" s="23">
        <f>COUNTIFS(Sales!$W:$W,"&lt;="&amp;'Cashflow Projection'!O$5,Sales!$W:$W,"&gt;"&amp;'Cashflow Projection'!M$5,Sales!$A:$A,'Cashflow Projection'!$A11,Sales!$B:$B,'Cashflow Projection'!$B11,Sales!$F:$F,'Cashflow Projection'!$C11,Sales!$E:$E,FALSE)*$C11</f>
        <v/>
      </c>
      <c r="Q11" s="28">
        <f>SUMIFS(Sales!$S:$S,Sales!$W:$W,"&lt;="&amp;'Cashflow Projection'!Q$5,Sales!$E:$E,FALSE,Sales!$F:$F,'Cashflow Projection'!$C11,Sales!$A:$A,'Cashflow Projection'!$A11,Sales!$B:$B,'Cashflow Projection'!$B11,Sales!$W:$W,"&gt;"&amp;'Cashflow Projection'!O$5)*$C11</f>
        <v/>
      </c>
      <c r="R11" s="23">
        <f>COUNTIFS(Sales!$W:$W,"&lt;="&amp;'Cashflow Projection'!Q$5,Sales!$W:$W,"&gt;"&amp;'Cashflow Projection'!O$5,Sales!$A:$A,'Cashflow Projection'!$A11,Sales!$B:$B,'Cashflow Projection'!$B11,Sales!$F:$F,'Cashflow Projection'!$C11,Sales!$E:$E,FALSE)*$C11</f>
        <v/>
      </c>
      <c r="S11" s="28">
        <f>SUMIFS(Sales!$S:$S,Sales!$W:$W,"&lt;="&amp;'Cashflow Projection'!S$5,Sales!$E:$E,FALSE,Sales!$F:$F,'Cashflow Projection'!$C11,Sales!$A:$A,'Cashflow Projection'!$A11,Sales!$B:$B,'Cashflow Projection'!$B11,Sales!$W:$W,"&gt;"&amp;'Cashflow Projection'!Q$5)*$C11</f>
        <v/>
      </c>
      <c r="T11" s="23">
        <f>COUNTIFS(Sales!$W:$W,"&lt;="&amp;'Cashflow Projection'!S$5,Sales!$W:$W,"&gt;"&amp;'Cashflow Projection'!Q$5,Sales!$A:$A,'Cashflow Projection'!$A11,Sales!$B:$B,'Cashflow Projection'!$B11,Sales!$F:$F,'Cashflow Projection'!$C11,Sales!$E:$E,FALSE)*$C11</f>
        <v/>
      </c>
      <c r="U11" s="28">
        <f>SUMIFS(Sales!$S:$S,Sales!$W:$W,"&lt;="&amp;'Cashflow Projection'!U$5,Sales!$E:$E,FALSE,Sales!$F:$F,'Cashflow Projection'!$C11,Sales!$A:$A,'Cashflow Projection'!$A11,Sales!$B:$B,'Cashflow Projection'!$B11,Sales!$W:$W,"&gt;"&amp;'Cashflow Projection'!S$5)*$C11</f>
        <v/>
      </c>
      <c r="V11" s="23">
        <f>COUNTIFS(Sales!$W:$W,"&lt;="&amp;'Cashflow Projection'!U$5,Sales!$W:$W,"&gt;"&amp;'Cashflow Projection'!S$5,Sales!$A:$A,'Cashflow Projection'!$A11,Sales!$B:$B,'Cashflow Projection'!$B11,Sales!$F:$F,'Cashflow Projection'!$C11,Sales!$E:$E,FALSE)*$C11</f>
        <v/>
      </c>
      <c r="W11" s="28">
        <f>SUMIFS(Sales!$S:$S,Sales!$W:$W,"&lt;="&amp;'Cashflow Projection'!W$5,Sales!$E:$E,FALSE,Sales!$F:$F,'Cashflow Projection'!$C11,Sales!$A:$A,'Cashflow Projection'!$A11,Sales!$B:$B,'Cashflow Projection'!$B11,Sales!$W:$W,"&gt;"&amp;'Cashflow Projection'!U$5)*$C11</f>
        <v/>
      </c>
      <c r="X11" s="23">
        <f>COUNTIFS(Sales!$W:$W,"&lt;="&amp;'Cashflow Projection'!W$5,Sales!$W:$W,"&gt;"&amp;'Cashflow Projection'!U$5,Sales!$A:$A,'Cashflow Projection'!$A11,Sales!$B:$B,'Cashflow Projection'!$B11,Sales!$F:$F,'Cashflow Projection'!$C11,Sales!$E:$E,FALSE)*$C11</f>
        <v/>
      </c>
      <c r="Y11" s="28">
        <f>SUMIFS(Sales!$S:$S,Sales!$W:$W,"&lt;="&amp;'Cashflow Projection'!Y$5,Sales!$E:$E,FALSE,Sales!$F:$F,'Cashflow Projection'!$C11,Sales!$A:$A,'Cashflow Projection'!$A11,Sales!$B:$B,'Cashflow Projection'!$B11,Sales!$W:$W,"&gt;"&amp;'Cashflow Projection'!W$5)*$C11</f>
        <v/>
      </c>
      <c r="Z11" s="23">
        <f>COUNTIFS(Sales!$W:$W,"&lt;="&amp;'Cashflow Projection'!Y$5,Sales!$W:$W,"&gt;"&amp;'Cashflow Projection'!W$5,Sales!$A:$A,'Cashflow Projection'!$A11,Sales!$B:$B,'Cashflow Projection'!$B11,Sales!$F:$F,'Cashflow Projection'!$C11,Sales!$E:$E,FALSE)*$C11</f>
        <v/>
      </c>
      <c r="AA11" s="28">
        <f>SUMIFS(Sales!$S:$S,Sales!$W:$W,"&lt;="&amp;'Cashflow Projection'!AA$5,Sales!$E:$E,FALSE,Sales!$F:$F,'Cashflow Projection'!$C11,Sales!$A:$A,'Cashflow Projection'!$A11,Sales!$B:$B,'Cashflow Projection'!$B11,Sales!$W:$W,"&gt;"&amp;'Cashflow Projection'!Y$5)*$C11</f>
        <v/>
      </c>
      <c r="AB11" s="23">
        <f>COUNTIFS(Sales!$W:$W,"&lt;="&amp;'Cashflow Projection'!AA$5,Sales!$W:$W,"&gt;"&amp;'Cashflow Projection'!Y$5,Sales!$A:$A,'Cashflow Projection'!$A11,Sales!$B:$B,'Cashflow Projection'!$B11,Sales!$F:$F,'Cashflow Projection'!$C11,Sales!$E:$E,FALSE)*$C11</f>
        <v/>
      </c>
      <c r="AC11" s="28">
        <f>SUMIFS(Sales!$S:$S,Sales!$W:$W,"&lt;="&amp;'Cashflow Projection'!AC$5,Sales!$E:$E,FALSE,Sales!$F:$F,'Cashflow Projection'!$C11,Sales!$A:$A,'Cashflow Projection'!$A11,Sales!$B:$B,'Cashflow Projection'!$B11,Sales!$W:$W,"&gt;"&amp;'Cashflow Projection'!AA$5)*$C11</f>
        <v/>
      </c>
      <c r="AD11" s="23">
        <f>COUNTIFS(Sales!$W:$W,"&lt;="&amp;'Cashflow Projection'!AC$5,Sales!$W:$W,"&gt;"&amp;'Cashflow Projection'!AA$5,Sales!$A:$A,'Cashflow Projection'!$A11,Sales!$B:$B,'Cashflow Projection'!$B11,Sales!$F:$F,'Cashflow Projection'!$C11,Sales!$E:$E,FALSE)*$C11</f>
        <v/>
      </c>
      <c r="AE11" s="28">
        <f>SUMIFS(Sales!$S:$S,Sales!$W:$W,"&lt;="&amp;'Cashflow Projection'!AE$5,Sales!$E:$E,FALSE,Sales!$F:$F,'Cashflow Projection'!$C11,Sales!$A:$A,'Cashflow Projection'!$A11,Sales!$B:$B,'Cashflow Projection'!$B11,Sales!$W:$W,"&gt;"&amp;'Cashflow Projection'!AC$5)*$C11</f>
        <v/>
      </c>
      <c r="AF11" s="26">
        <f>COUNTIFS(Sales!$W:$W,"&lt;="&amp;'Cashflow Projection'!AE$5,Sales!$W:$W,"&gt;"&amp;'Cashflow Projection'!AC$5,Sales!$A:$A,'Cashflow Projection'!$A11,Sales!$B:$B,'Cashflow Projection'!$B11,Sales!$F:$F,'Cashflow Projection'!$C11,Sales!$E:$E,FALSE)*$C11</f>
        <v/>
      </c>
    </row>
    <row r="12">
      <c r="A12" s="20" t="inlineStr">
        <is>
          <t>Heron View</t>
        </is>
      </c>
      <c r="B12" s="27" t="inlineStr">
        <is>
          <t>E</t>
        </is>
      </c>
      <c r="C12" s="27">
        <f>IF(A12&lt;&gt;"Heron View",1,IF(ISERROR(VLOOKUP($B12,$A$50:$B$62,2,FALSE)),1,SUMIFS($B$50:$B$62,$A$50:$A$62,B12)))</f>
        <v/>
      </c>
      <c r="D12" s="28">
        <f>+I12+K12+M12+O12+Q12+S12+U12+W12+Y12+AA12+AC12+AE12</f>
        <v/>
      </c>
      <c r="E12" s="23">
        <f>+J12+L12+N12+P12+R12+T12+V12+X12+Z12+AB12+AD12+AF12</f>
        <v/>
      </c>
      <c r="I12" s="28">
        <f>SUMIFS(Sales!$S:$S,Sales!$W:$W,"&lt;="&amp;'Cashflow Projection'!I$5,Sales!$E:$E,FALSE,Sales!$F:$F,'Cashflow Projection'!$C12,Sales!$A:$A,'Cashflow Projection'!$A12,Sales!$B:$B,'Cashflow Projection'!$B12,Sales!$W:$W,"&gt;"&amp;'Cashflow Projection'!B$2)*$C12</f>
        <v/>
      </c>
      <c r="J12" s="23">
        <f>COUNTIFS(Sales!$H:$H,"&lt;="&amp;'Cashflow Projection'!I$5,Sales!$H:$H,"&gt;"&amp;'Cashflow Projection'!B$2,Sales!$A:$A,'Cashflow Projection'!$A12,Sales!$B:$B,'Cashflow Projection'!$B12,Sales!$F:$F,'Cashflow Projection'!$C12,Sales!$E:$E,FALSE)*$C12</f>
        <v/>
      </c>
      <c r="K12" s="28">
        <f>SUMIFS(Sales!$S:$S,Sales!$W:$W,"&lt;="&amp;'Cashflow Projection'!K$5,Sales!$E:$E,FALSE,Sales!$F:$F,'Cashflow Projection'!$C12,Sales!$A:$A,'Cashflow Projection'!$A12,Sales!$B:$B,'Cashflow Projection'!$B12,Sales!$W:$W,"&gt;"&amp;'Cashflow Projection'!I$5)*$C12</f>
        <v/>
      </c>
      <c r="L12" s="23">
        <f>COUNTIFS(Sales!$W:$W,"&lt;="&amp;'Cashflow Projection'!K$5,Sales!$W:$W,"&gt;"&amp;'Cashflow Projection'!I$5,Sales!$A:$A,'Cashflow Projection'!$A12,Sales!$B:$B,'Cashflow Projection'!$B12,Sales!$F:$F,'Cashflow Projection'!$C12,Sales!$E:$E,FALSE)*$C12</f>
        <v/>
      </c>
      <c r="M12" s="28">
        <f>SUMIFS(Sales!$S:$S,Sales!$W:$W,"&lt;="&amp;'Cashflow Projection'!M$5,Sales!$E:$E,FALSE,Sales!$F:$F,'Cashflow Projection'!$C12,Sales!$A:$A,'Cashflow Projection'!$A12,Sales!$B:$B,'Cashflow Projection'!$B12,Sales!$W:$W,"&gt;"&amp;'Cashflow Projection'!K$5)*$C12</f>
        <v/>
      </c>
      <c r="N12" s="23">
        <f>COUNTIFS(Sales!$W:$W,"&lt;="&amp;'Cashflow Projection'!M$5,Sales!$W:$W,"&gt;"&amp;'Cashflow Projection'!K$5,Sales!$A:$A,'Cashflow Projection'!$A12,Sales!$B:$B,'Cashflow Projection'!$B12,Sales!$F:$F,'Cashflow Projection'!$C12,Sales!$E:$E,FALSE)*$C12</f>
        <v/>
      </c>
      <c r="O12" s="28">
        <f>SUMIFS(Sales!$S:$S,Sales!$W:$W,"&lt;="&amp;'Cashflow Projection'!O$5,Sales!$E:$E,FALSE,Sales!$F:$F,'Cashflow Projection'!$C12,Sales!$A:$A,'Cashflow Projection'!$A12,Sales!$B:$B,'Cashflow Projection'!$B12,Sales!$W:$W,"&gt;"&amp;'Cashflow Projection'!M$5)*$C12</f>
        <v/>
      </c>
      <c r="P12" s="23">
        <f>COUNTIFS(Sales!$W:$W,"&lt;="&amp;'Cashflow Projection'!O$5,Sales!$W:$W,"&gt;"&amp;'Cashflow Projection'!M$5,Sales!$A:$A,'Cashflow Projection'!$A12,Sales!$B:$B,'Cashflow Projection'!$B12,Sales!$F:$F,'Cashflow Projection'!$C12,Sales!$E:$E,FALSE)*$C12</f>
        <v/>
      </c>
      <c r="Q12" s="28">
        <f>SUMIFS(Sales!$S:$S,Sales!$W:$W,"&lt;="&amp;'Cashflow Projection'!Q$5,Sales!$E:$E,FALSE,Sales!$F:$F,'Cashflow Projection'!$C12,Sales!$A:$A,'Cashflow Projection'!$A12,Sales!$B:$B,'Cashflow Projection'!$B12,Sales!$W:$W,"&gt;"&amp;'Cashflow Projection'!O$5)*$C12</f>
        <v/>
      </c>
      <c r="R12" s="23">
        <f>COUNTIFS(Sales!$W:$W,"&lt;="&amp;'Cashflow Projection'!Q$5,Sales!$W:$W,"&gt;"&amp;'Cashflow Projection'!O$5,Sales!$A:$A,'Cashflow Projection'!$A12,Sales!$B:$B,'Cashflow Projection'!$B12,Sales!$F:$F,'Cashflow Projection'!$C12,Sales!$E:$E,FALSE)*$C12</f>
        <v/>
      </c>
      <c r="S12" s="28">
        <f>SUMIFS(Sales!$S:$S,Sales!$W:$W,"&lt;="&amp;'Cashflow Projection'!S$5,Sales!$E:$E,FALSE,Sales!$F:$F,'Cashflow Projection'!$C12,Sales!$A:$A,'Cashflow Projection'!$A12,Sales!$B:$B,'Cashflow Projection'!$B12,Sales!$W:$W,"&gt;"&amp;'Cashflow Projection'!Q$5)*$C12</f>
        <v/>
      </c>
      <c r="T12" s="23">
        <f>COUNTIFS(Sales!$W:$W,"&lt;="&amp;'Cashflow Projection'!S$5,Sales!$W:$W,"&gt;"&amp;'Cashflow Projection'!Q$5,Sales!$A:$A,'Cashflow Projection'!$A12,Sales!$B:$B,'Cashflow Projection'!$B12,Sales!$F:$F,'Cashflow Projection'!$C12,Sales!$E:$E,FALSE)*$C12</f>
        <v/>
      </c>
      <c r="U12" s="28">
        <f>SUMIFS(Sales!$S:$S,Sales!$W:$W,"&lt;="&amp;'Cashflow Projection'!U$5,Sales!$E:$E,FALSE,Sales!$F:$F,'Cashflow Projection'!$C12,Sales!$A:$A,'Cashflow Projection'!$A12,Sales!$B:$B,'Cashflow Projection'!$B12,Sales!$W:$W,"&gt;"&amp;'Cashflow Projection'!S$5)*$C12</f>
        <v/>
      </c>
      <c r="V12" s="23">
        <f>COUNTIFS(Sales!$W:$W,"&lt;="&amp;'Cashflow Projection'!U$5,Sales!$W:$W,"&gt;"&amp;'Cashflow Projection'!S$5,Sales!$A:$A,'Cashflow Projection'!$A12,Sales!$B:$B,'Cashflow Projection'!$B12,Sales!$F:$F,'Cashflow Projection'!$C12,Sales!$E:$E,FALSE)*$C12</f>
        <v/>
      </c>
      <c r="W12" s="28">
        <f>SUMIFS(Sales!$S:$S,Sales!$W:$W,"&lt;="&amp;'Cashflow Projection'!W$5,Sales!$E:$E,FALSE,Sales!$F:$F,'Cashflow Projection'!$C12,Sales!$A:$A,'Cashflow Projection'!$A12,Sales!$B:$B,'Cashflow Projection'!$B12,Sales!$W:$W,"&gt;"&amp;'Cashflow Projection'!U$5)*$C12</f>
        <v/>
      </c>
      <c r="X12" s="23">
        <f>COUNTIFS(Sales!$W:$W,"&lt;="&amp;'Cashflow Projection'!W$5,Sales!$W:$W,"&gt;"&amp;'Cashflow Projection'!U$5,Sales!$A:$A,'Cashflow Projection'!$A12,Sales!$B:$B,'Cashflow Projection'!$B12,Sales!$F:$F,'Cashflow Projection'!$C12,Sales!$E:$E,FALSE)*$C12</f>
        <v/>
      </c>
      <c r="Y12" s="28">
        <f>SUMIFS(Sales!$S:$S,Sales!$W:$W,"&lt;="&amp;'Cashflow Projection'!Y$5,Sales!$E:$E,FALSE,Sales!$F:$F,'Cashflow Projection'!$C12,Sales!$A:$A,'Cashflow Projection'!$A12,Sales!$B:$B,'Cashflow Projection'!$B12,Sales!$W:$W,"&gt;"&amp;'Cashflow Projection'!W$5)*$C12</f>
        <v/>
      </c>
      <c r="Z12" s="23">
        <f>COUNTIFS(Sales!$W:$W,"&lt;="&amp;'Cashflow Projection'!Y$5,Sales!$W:$W,"&gt;"&amp;'Cashflow Projection'!W$5,Sales!$A:$A,'Cashflow Projection'!$A12,Sales!$B:$B,'Cashflow Projection'!$B12,Sales!$F:$F,'Cashflow Projection'!$C12,Sales!$E:$E,FALSE)*$C12</f>
        <v/>
      </c>
      <c r="AA12" s="28">
        <f>SUMIFS(Sales!$S:$S,Sales!$W:$W,"&lt;="&amp;'Cashflow Projection'!AA$5,Sales!$E:$E,FALSE,Sales!$F:$F,'Cashflow Projection'!$C12,Sales!$A:$A,'Cashflow Projection'!$A12,Sales!$B:$B,'Cashflow Projection'!$B12,Sales!$W:$W,"&gt;"&amp;'Cashflow Projection'!Y$5)*$C12</f>
        <v/>
      </c>
      <c r="AB12" s="23">
        <f>COUNTIFS(Sales!$W:$W,"&lt;="&amp;'Cashflow Projection'!AA$5,Sales!$W:$W,"&gt;"&amp;'Cashflow Projection'!Y$5,Sales!$A:$A,'Cashflow Projection'!$A12,Sales!$B:$B,'Cashflow Projection'!$B12,Sales!$F:$F,'Cashflow Projection'!$C12,Sales!$E:$E,FALSE)*$C12</f>
        <v/>
      </c>
      <c r="AC12" s="28">
        <f>SUMIFS(Sales!$S:$S,Sales!$W:$W,"&lt;="&amp;'Cashflow Projection'!AC$5,Sales!$E:$E,FALSE,Sales!$F:$F,'Cashflow Projection'!$C12,Sales!$A:$A,'Cashflow Projection'!$A12,Sales!$B:$B,'Cashflow Projection'!$B12,Sales!$W:$W,"&gt;"&amp;'Cashflow Projection'!AA$5)*$C12</f>
        <v/>
      </c>
      <c r="AD12" s="23">
        <f>COUNTIFS(Sales!$W:$W,"&lt;="&amp;'Cashflow Projection'!AC$5,Sales!$W:$W,"&gt;"&amp;'Cashflow Projection'!AA$5,Sales!$A:$A,'Cashflow Projection'!$A12,Sales!$B:$B,'Cashflow Projection'!$B12,Sales!$F:$F,'Cashflow Projection'!$C12,Sales!$E:$E,FALSE)*$C12</f>
        <v/>
      </c>
      <c r="AE12" s="28">
        <f>SUMIFS(Sales!$S:$S,Sales!$W:$W,"&lt;="&amp;'Cashflow Projection'!AE$5,Sales!$E:$E,FALSE,Sales!$F:$F,'Cashflow Projection'!$C12,Sales!$A:$A,'Cashflow Projection'!$A12,Sales!$B:$B,'Cashflow Projection'!$B12,Sales!$W:$W,"&gt;"&amp;'Cashflow Projection'!AC$5)*$C12</f>
        <v/>
      </c>
      <c r="AF12" s="26">
        <f>COUNTIFS(Sales!$W:$W,"&lt;="&amp;'Cashflow Projection'!AE$5,Sales!$W:$W,"&gt;"&amp;'Cashflow Projection'!AC$5,Sales!$A:$A,'Cashflow Projection'!$A12,Sales!$B:$B,'Cashflow Projection'!$B12,Sales!$F:$F,'Cashflow Projection'!$C12,Sales!$E:$E,FALSE)*$C12</f>
        <v/>
      </c>
    </row>
    <row r="13">
      <c r="A13" s="20" t="inlineStr">
        <is>
          <t>Heron View</t>
        </is>
      </c>
      <c r="B13" s="27" t="inlineStr">
        <is>
          <t>F</t>
        </is>
      </c>
      <c r="C13" s="27">
        <f>IF(A13&lt;&gt;"Heron View",1,IF(ISERROR(VLOOKUP($B13,$A$50:$B$62,2,FALSE)),1,SUMIFS($B$50:$B$62,$A$50:$A$62,B13)))</f>
        <v/>
      </c>
      <c r="D13" s="28">
        <f>+I13+K13+M13+O13+Q13+S13+U13+W13+Y13+AA13+AC13+AE13</f>
        <v/>
      </c>
      <c r="E13" s="23">
        <f>+J13+L13+N13+P13+R13+T13+V13+X13+Z13+AB13+AD13+AF13</f>
        <v/>
      </c>
      <c r="I13" s="28">
        <f>SUMIFS(Sales!$S:$S,Sales!$W:$W,"&lt;="&amp;'Cashflow Projection'!I$5,Sales!$E:$E,FALSE,Sales!$F:$F,'Cashflow Projection'!$C13,Sales!$A:$A,'Cashflow Projection'!$A13,Sales!$B:$B,'Cashflow Projection'!$B13,Sales!$W:$W,"&gt;"&amp;'Cashflow Projection'!B$2)*$C13</f>
        <v/>
      </c>
      <c r="J13" s="23">
        <f>COUNTIFS(Sales!$H:$H,"&lt;="&amp;'Cashflow Projection'!I$5,Sales!$H:$H,"&gt;"&amp;'Cashflow Projection'!B$2,Sales!$A:$A,'Cashflow Projection'!$A13,Sales!$B:$B,'Cashflow Projection'!$B13,Sales!$F:$F,'Cashflow Projection'!$C13,Sales!$E:$E,FALSE)*$C13</f>
        <v/>
      </c>
      <c r="K13" s="28">
        <f>SUMIFS(Sales!$S:$S,Sales!$W:$W,"&lt;="&amp;'Cashflow Projection'!K$5,Sales!$E:$E,FALSE,Sales!$F:$F,'Cashflow Projection'!$C13,Sales!$A:$A,'Cashflow Projection'!$A13,Sales!$B:$B,'Cashflow Projection'!$B13,Sales!$W:$W,"&gt;"&amp;'Cashflow Projection'!I$5)*$C13</f>
        <v/>
      </c>
      <c r="L13" s="23">
        <f>COUNTIFS(Sales!$W:$W,"&lt;="&amp;'Cashflow Projection'!K$5,Sales!$W:$W,"&gt;"&amp;'Cashflow Projection'!I$5,Sales!$A:$A,'Cashflow Projection'!$A13,Sales!$B:$B,'Cashflow Projection'!$B13,Sales!$F:$F,'Cashflow Projection'!$C13,Sales!$E:$E,FALSE)*$C13</f>
        <v/>
      </c>
      <c r="M13" s="28">
        <f>SUMIFS(Sales!$S:$S,Sales!$W:$W,"&lt;="&amp;'Cashflow Projection'!M$5,Sales!$E:$E,FALSE,Sales!$F:$F,'Cashflow Projection'!$C13,Sales!$A:$A,'Cashflow Projection'!$A13,Sales!$B:$B,'Cashflow Projection'!$B13,Sales!$W:$W,"&gt;"&amp;'Cashflow Projection'!K$5)*$C13</f>
        <v/>
      </c>
      <c r="N13" s="23">
        <f>COUNTIFS(Sales!$W:$W,"&lt;="&amp;'Cashflow Projection'!M$5,Sales!$W:$W,"&gt;"&amp;'Cashflow Projection'!K$5,Sales!$A:$A,'Cashflow Projection'!$A13,Sales!$B:$B,'Cashflow Projection'!$B13,Sales!$F:$F,'Cashflow Projection'!$C13,Sales!$E:$E,FALSE)*$C13</f>
        <v/>
      </c>
      <c r="O13" s="28">
        <f>SUMIFS(Sales!$S:$S,Sales!$W:$W,"&lt;="&amp;'Cashflow Projection'!O$5,Sales!$E:$E,FALSE,Sales!$F:$F,'Cashflow Projection'!$C13,Sales!$A:$A,'Cashflow Projection'!$A13,Sales!$B:$B,'Cashflow Projection'!$B13,Sales!$W:$W,"&gt;"&amp;'Cashflow Projection'!M$5)*$C13</f>
        <v/>
      </c>
      <c r="P13" s="23">
        <f>COUNTIFS(Sales!$W:$W,"&lt;="&amp;'Cashflow Projection'!O$5,Sales!$W:$W,"&gt;"&amp;'Cashflow Projection'!M$5,Sales!$A:$A,'Cashflow Projection'!$A13,Sales!$B:$B,'Cashflow Projection'!$B13,Sales!$F:$F,'Cashflow Projection'!$C13,Sales!$E:$E,FALSE)*$C13</f>
        <v/>
      </c>
      <c r="Q13" s="28">
        <f>SUMIFS(Sales!$S:$S,Sales!$W:$W,"&lt;="&amp;'Cashflow Projection'!Q$5,Sales!$E:$E,FALSE,Sales!$F:$F,'Cashflow Projection'!$C13,Sales!$A:$A,'Cashflow Projection'!$A13,Sales!$B:$B,'Cashflow Projection'!$B13,Sales!$W:$W,"&gt;"&amp;'Cashflow Projection'!O$5)*$C13</f>
        <v/>
      </c>
      <c r="R13" s="23">
        <f>COUNTIFS(Sales!$W:$W,"&lt;="&amp;'Cashflow Projection'!Q$5,Sales!$W:$W,"&gt;"&amp;'Cashflow Projection'!O$5,Sales!$A:$A,'Cashflow Projection'!$A13,Sales!$B:$B,'Cashflow Projection'!$B13,Sales!$F:$F,'Cashflow Projection'!$C13,Sales!$E:$E,FALSE)*$C13</f>
        <v/>
      </c>
      <c r="S13" s="28">
        <f>SUMIFS(Sales!$S:$S,Sales!$W:$W,"&lt;="&amp;'Cashflow Projection'!S$5,Sales!$E:$E,FALSE,Sales!$F:$F,'Cashflow Projection'!$C13,Sales!$A:$A,'Cashflow Projection'!$A13,Sales!$B:$B,'Cashflow Projection'!$B13,Sales!$W:$W,"&gt;"&amp;'Cashflow Projection'!Q$5)*$C13</f>
        <v/>
      </c>
      <c r="T13" s="23">
        <f>COUNTIFS(Sales!$W:$W,"&lt;="&amp;'Cashflow Projection'!S$5,Sales!$W:$W,"&gt;"&amp;'Cashflow Projection'!Q$5,Sales!$A:$A,'Cashflow Projection'!$A13,Sales!$B:$B,'Cashflow Projection'!$B13,Sales!$F:$F,'Cashflow Projection'!$C13,Sales!$E:$E,FALSE)*$C13</f>
        <v/>
      </c>
      <c r="U13" s="28">
        <f>SUMIFS(Sales!$S:$S,Sales!$W:$W,"&lt;="&amp;'Cashflow Projection'!U$5,Sales!$E:$E,FALSE,Sales!$F:$F,'Cashflow Projection'!$C13,Sales!$A:$A,'Cashflow Projection'!$A13,Sales!$B:$B,'Cashflow Projection'!$B13,Sales!$W:$W,"&gt;"&amp;'Cashflow Projection'!S$5)*$C13</f>
        <v/>
      </c>
      <c r="V13" s="23">
        <f>COUNTIFS(Sales!$W:$W,"&lt;="&amp;'Cashflow Projection'!U$5,Sales!$W:$W,"&gt;"&amp;'Cashflow Projection'!S$5,Sales!$A:$A,'Cashflow Projection'!$A13,Sales!$B:$B,'Cashflow Projection'!$B13,Sales!$F:$F,'Cashflow Projection'!$C13,Sales!$E:$E,FALSE)*$C13</f>
        <v/>
      </c>
      <c r="W13" s="28">
        <f>SUMIFS(Sales!$S:$S,Sales!$W:$W,"&lt;="&amp;'Cashflow Projection'!W$5,Sales!$E:$E,FALSE,Sales!$F:$F,'Cashflow Projection'!$C13,Sales!$A:$A,'Cashflow Projection'!$A13,Sales!$B:$B,'Cashflow Projection'!$B13,Sales!$W:$W,"&gt;"&amp;'Cashflow Projection'!U$5)*$C13</f>
        <v/>
      </c>
      <c r="X13" s="23">
        <f>COUNTIFS(Sales!$W:$W,"&lt;="&amp;'Cashflow Projection'!W$5,Sales!$W:$W,"&gt;"&amp;'Cashflow Projection'!U$5,Sales!$A:$A,'Cashflow Projection'!$A13,Sales!$B:$B,'Cashflow Projection'!$B13,Sales!$F:$F,'Cashflow Projection'!$C13,Sales!$E:$E,FALSE)*$C13</f>
        <v/>
      </c>
      <c r="Y13" s="28">
        <f>SUMIFS(Sales!$S:$S,Sales!$W:$W,"&lt;="&amp;'Cashflow Projection'!Y$5,Sales!$E:$E,FALSE,Sales!$F:$F,'Cashflow Projection'!$C13,Sales!$A:$A,'Cashflow Projection'!$A13,Sales!$B:$B,'Cashflow Projection'!$B13,Sales!$W:$W,"&gt;"&amp;'Cashflow Projection'!W$5)*$C13</f>
        <v/>
      </c>
      <c r="Z13" s="23">
        <f>COUNTIFS(Sales!$W:$W,"&lt;="&amp;'Cashflow Projection'!Y$5,Sales!$W:$W,"&gt;"&amp;'Cashflow Projection'!W$5,Sales!$A:$A,'Cashflow Projection'!$A13,Sales!$B:$B,'Cashflow Projection'!$B13,Sales!$F:$F,'Cashflow Projection'!$C13,Sales!$E:$E,FALSE)*$C13</f>
        <v/>
      </c>
      <c r="AA13" s="28">
        <f>SUMIFS(Sales!$S:$S,Sales!$W:$W,"&lt;="&amp;'Cashflow Projection'!AA$5,Sales!$E:$E,FALSE,Sales!$F:$F,'Cashflow Projection'!$C13,Sales!$A:$A,'Cashflow Projection'!$A13,Sales!$B:$B,'Cashflow Projection'!$B13,Sales!$W:$W,"&gt;"&amp;'Cashflow Projection'!Y$5)*$C13</f>
        <v/>
      </c>
      <c r="AB13" s="23">
        <f>COUNTIFS(Sales!$W:$W,"&lt;="&amp;'Cashflow Projection'!AA$5,Sales!$W:$W,"&gt;"&amp;'Cashflow Projection'!Y$5,Sales!$A:$A,'Cashflow Projection'!$A13,Sales!$B:$B,'Cashflow Projection'!$B13,Sales!$F:$F,'Cashflow Projection'!$C13,Sales!$E:$E,FALSE)*$C13</f>
        <v/>
      </c>
      <c r="AC13" s="28">
        <f>SUMIFS(Sales!$S:$S,Sales!$W:$W,"&lt;="&amp;'Cashflow Projection'!AC$5,Sales!$E:$E,FALSE,Sales!$F:$F,'Cashflow Projection'!$C13,Sales!$A:$A,'Cashflow Projection'!$A13,Sales!$B:$B,'Cashflow Projection'!$B13,Sales!$W:$W,"&gt;"&amp;'Cashflow Projection'!AA$5)*$C13</f>
        <v/>
      </c>
      <c r="AD13" s="23">
        <f>COUNTIFS(Sales!$W:$W,"&lt;="&amp;'Cashflow Projection'!AC$5,Sales!$W:$W,"&gt;"&amp;'Cashflow Projection'!AA$5,Sales!$A:$A,'Cashflow Projection'!$A13,Sales!$B:$B,'Cashflow Projection'!$B13,Sales!$F:$F,'Cashflow Projection'!$C13,Sales!$E:$E,FALSE)*$C13</f>
        <v/>
      </c>
      <c r="AE13" s="28">
        <f>SUMIFS(Sales!$S:$S,Sales!$W:$W,"&lt;="&amp;'Cashflow Projection'!AE$5,Sales!$E:$E,FALSE,Sales!$F:$F,'Cashflow Projection'!$C13,Sales!$A:$A,'Cashflow Projection'!$A13,Sales!$B:$B,'Cashflow Projection'!$B13,Sales!$W:$W,"&gt;"&amp;'Cashflow Projection'!AC$5)*$C13</f>
        <v/>
      </c>
      <c r="AF13" s="26">
        <f>COUNTIFS(Sales!$W:$W,"&lt;="&amp;'Cashflow Projection'!AE$5,Sales!$W:$W,"&gt;"&amp;'Cashflow Projection'!AC$5,Sales!$A:$A,'Cashflow Projection'!$A13,Sales!$B:$B,'Cashflow Projection'!$B13,Sales!$F:$F,'Cashflow Projection'!$C13,Sales!$E:$E,FALSE)*$C13</f>
        <v/>
      </c>
    </row>
    <row r="14">
      <c r="A14" s="20" t="inlineStr">
        <is>
          <t>Heron View</t>
        </is>
      </c>
      <c r="B14" s="27" t="inlineStr">
        <is>
          <t>G</t>
        </is>
      </c>
      <c r="C14" s="27">
        <f>IF(A14&lt;&gt;"Heron View",1,IF(ISERROR(VLOOKUP($B14,$A$50:$B$62,2,FALSE)),1,SUMIFS($B$50:$B$62,$A$50:$A$62,B14)))</f>
        <v/>
      </c>
      <c r="D14" s="28">
        <f>+I14+K14+M14+O14+Q14+S14+U14+W14+Y14+AA14+AC14+AE14</f>
        <v/>
      </c>
      <c r="E14" s="23">
        <f>+J14+L14+N14+P14+R14+T14+V14+X14+Z14+AB14+AD14+AF14</f>
        <v/>
      </c>
      <c r="I14" s="28">
        <f>SUMIFS(Sales!$S:$S,Sales!$W:$W,"&lt;="&amp;'Cashflow Projection'!I$5,Sales!$E:$E,FALSE,Sales!$F:$F,'Cashflow Projection'!$C14,Sales!$A:$A,'Cashflow Projection'!$A14,Sales!$B:$B,'Cashflow Projection'!$B14,Sales!$W:$W,"&gt;"&amp;'Cashflow Projection'!B$2)*$C14</f>
        <v/>
      </c>
      <c r="J14" s="23">
        <f>COUNTIFS(Sales!$H:$H,"&lt;="&amp;'Cashflow Projection'!I$5,Sales!$H:$H,"&gt;"&amp;'Cashflow Projection'!B$2,Sales!$A:$A,'Cashflow Projection'!$A14,Sales!$B:$B,'Cashflow Projection'!$B14,Sales!$F:$F,'Cashflow Projection'!$C14,Sales!$E:$E,FALSE)*$C14</f>
        <v/>
      </c>
      <c r="K14" s="28">
        <f>SUMIFS(Sales!$S:$S,Sales!$W:$W,"&lt;="&amp;'Cashflow Projection'!K$5,Sales!$E:$E,FALSE,Sales!$F:$F,'Cashflow Projection'!$C14,Sales!$A:$A,'Cashflow Projection'!$A14,Sales!$B:$B,'Cashflow Projection'!$B14,Sales!$W:$W,"&gt;"&amp;'Cashflow Projection'!I$5)*$C14</f>
        <v/>
      </c>
      <c r="L14" s="23">
        <f>COUNTIFS(Sales!$W:$W,"&lt;="&amp;'Cashflow Projection'!K$5,Sales!$W:$W,"&gt;"&amp;'Cashflow Projection'!I$5,Sales!$A:$A,'Cashflow Projection'!$A14,Sales!$B:$B,'Cashflow Projection'!$B14,Sales!$F:$F,'Cashflow Projection'!$C14,Sales!$E:$E,FALSE)*$C14</f>
        <v/>
      </c>
      <c r="M14" s="28">
        <f>SUMIFS(Sales!$S:$S,Sales!$W:$W,"&lt;="&amp;'Cashflow Projection'!M$5,Sales!$E:$E,FALSE,Sales!$F:$F,'Cashflow Projection'!$C14,Sales!$A:$A,'Cashflow Projection'!$A14,Sales!$B:$B,'Cashflow Projection'!$B14,Sales!$W:$W,"&gt;"&amp;'Cashflow Projection'!K$5)*$C14</f>
        <v/>
      </c>
      <c r="N14" s="23">
        <f>COUNTIFS(Sales!$W:$W,"&lt;="&amp;'Cashflow Projection'!M$5,Sales!$W:$W,"&gt;"&amp;'Cashflow Projection'!K$5,Sales!$A:$A,'Cashflow Projection'!$A14,Sales!$B:$B,'Cashflow Projection'!$B14,Sales!$F:$F,'Cashflow Projection'!$C14,Sales!$E:$E,FALSE)*$C14</f>
        <v/>
      </c>
      <c r="O14" s="28">
        <f>SUMIFS(Sales!$S:$S,Sales!$W:$W,"&lt;="&amp;'Cashflow Projection'!O$5,Sales!$E:$E,FALSE,Sales!$F:$F,'Cashflow Projection'!$C14,Sales!$A:$A,'Cashflow Projection'!$A14,Sales!$B:$B,'Cashflow Projection'!$B14,Sales!$W:$W,"&gt;"&amp;'Cashflow Projection'!M$5)*$C14</f>
        <v/>
      </c>
      <c r="P14" s="23">
        <f>COUNTIFS(Sales!$W:$W,"&lt;="&amp;'Cashflow Projection'!O$5,Sales!$W:$W,"&gt;"&amp;'Cashflow Projection'!M$5,Sales!$A:$A,'Cashflow Projection'!$A14,Sales!$B:$B,'Cashflow Projection'!$B14,Sales!$F:$F,'Cashflow Projection'!$C14,Sales!$E:$E,FALSE)*$C14</f>
        <v/>
      </c>
      <c r="Q14" s="28">
        <f>SUMIFS(Sales!$S:$S,Sales!$W:$W,"&lt;="&amp;'Cashflow Projection'!Q$5,Sales!$E:$E,FALSE,Sales!$F:$F,'Cashflow Projection'!$C14,Sales!$A:$A,'Cashflow Projection'!$A14,Sales!$B:$B,'Cashflow Projection'!$B14,Sales!$W:$W,"&gt;"&amp;'Cashflow Projection'!O$5)*$C14</f>
        <v/>
      </c>
      <c r="R14" s="23">
        <f>COUNTIFS(Sales!$W:$W,"&lt;="&amp;'Cashflow Projection'!Q$5,Sales!$W:$W,"&gt;"&amp;'Cashflow Projection'!O$5,Sales!$A:$A,'Cashflow Projection'!$A14,Sales!$B:$B,'Cashflow Projection'!$B14,Sales!$F:$F,'Cashflow Projection'!$C14,Sales!$E:$E,FALSE)*$C14</f>
        <v/>
      </c>
      <c r="S14" s="28">
        <f>SUMIFS(Sales!$S:$S,Sales!$W:$W,"&lt;="&amp;'Cashflow Projection'!S$5,Sales!$E:$E,FALSE,Sales!$F:$F,'Cashflow Projection'!$C14,Sales!$A:$A,'Cashflow Projection'!$A14,Sales!$B:$B,'Cashflow Projection'!$B14,Sales!$W:$W,"&gt;"&amp;'Cashflow Projection'!Q$5)*$C14</f>
        <v/>
      </c>
      <c r="T14" s="23">
        <f>COUNTIFS(Sales!$W:$W,"&lt;="&amp;'Cashflow Projection'!S$5,Sales!$W:$W,"&gt;"&amp;'Cashflow Projection'!Q$5,Sales!$A:$A,'Cashflow Projection'!$A14,Sales!$B:$B,'Cashflow Projection'!$B14,Sales!$F:$F,'Cashflow Projection'!$C14,Sales!$E:$E,FALSE)*$C14</f>
        <v/>
      </c>
      <c r="U14" s="28">
        <f>SUMIFS(Sales!$S:$S,Sales!$W:$W,"&lt;="&amp;'Cashflow Projection'!U$5,Sales!$E:$E,FALSE,Sales!$F:$F,'Cashflow Projection'!$C14,Sales!$A:$A,'Cashflow Projection'!$A14,Sales!$B:$B,'Cashflow Projection'!$B14,Sales!$W:$W,"&gt;"&amp;'Cashflow Projection'!S$5)*$C14</f>
        <v/>
      </c>
      <c r="V14" s="23">
        <f>COUNTIFS(Sales!$W:$W,"&lt;="&amp;'Cashflow Projection'!U$5,Sales!$W:$W,"&gt;"&amp;'Cashflow Projection'!S$5,Sales!$A:$A,'Cashflow Projection'!$A14,Sales!$B:$B,'Cashflow Projection'!$B14,Sales!$F:$F,'Cashflow Projection'!$C14,Sales!$E:$E,FALSE)*$C14</f>
        <v/>
      </c>
      <c r="W14" s="28">
        <f>SUMIFS(Sales!$S:$S,Sales!$W:$W,"&lt;="&amp;'Cashflow Projection'!W$5,Sales!$E:$E,FALSE,Sales!$F:$F,'Cashflow Projection'!$C14,Sales!$A:$A,'Cashflow Projection'!$A14,Sales!$B:$B,'Cashflow Projection'!$B14,Sales!$W:$W,"&gt;"&amp;'Cashflow Projection'!U$5)*$C14</f>
        <v/>
      </c>
      <c r="X14" s="23">
        <f>COUNTIFS(Sales!$W:$W,"&lt;="&amp;'Cashflow Projection'!W$5,Sales!$W:$W,"&gt;"&amp;'Cashflow Projection'!U$5,Sales!$A:$A,'Cashflow Projection'!$A14,Sales!$B:$B,'Cashflow Projection'!$B14,Sales!$F:$F,'Cashflow Projection'!$C14,Sales!$E:$E,FALSE)*$C14</f>
        <v/>
      </c>
      <c r="Y14" s="28">
        <f>SUMIFS(Sales!$S:$S,Sales!$W:$W,"&lt;="&amp;'Cashflow Projection'!Y$5,Sales!$E:$E,FALSE,Sales!$F:$F,'Cashflow Projection'!$C14,Sales!$A:$A,'Cashflow Projection'!$A14,Sales!$B:$B,'Cashflow Projection'!$B14,Sales!$W:$W,"&gt;"&amp;'Cashflow Projection'!W$5)*$C14</f>
        <v/>
      </c>
      <c r="Z14" s="23">
        <f>COUNTIFS(Sales!$W:$W,"&lt;="&amp;'Cashflow Projection'!Y$5,Sales!$W:$W,"&gt;"&amp;'Cashflow Projection'!W$5,Sales!$A:$A,'Cashflow Projection'!$A14,Sales!$B:$B,'Cashflow Projection'!$B14,Sales!$F:$F,'Cashflow Projection'!$C14,Sales!$E:$E,FALSE)*$C14</f>
        <v/>
      </c>
      <c r="AA14" s="28">
        <f>SUMIFS(Sales!$S:$S,Sales!$W:$W,"&lt;="&amp;'Cashflow Projection'!AA$5,Sales!$E:$E,FALSE,Sales!$F:$F,'Cashflow Projection'!$C14,Sales!$A:$A,'Cashflow Projection'!$A14,Sales!$B:$B,'Cashflow Projection'!$B14,Sales!$W:$W,"&gt;"&amp;'Cashflow Projection'!Y$5)*$C14</f>
        <v/>
      </c>
      <c r="AB14" s="23">
        <f>COUNTIFS(Sales!$W:$W,"&lt;="&amp;'Cashflow Projection'!AA$5,Sales!$W:$W,"&gt;"&amp;'Cashflow Projection'!Y$5,Sales!$A:$A,'Cashflow Projection'!$A14,Sales!$B:$B,'Cashflow Projection'!$B14,Sales!$F:$F,'Cashflow Projection'!$C14,Sales!$E:$E,FALSE)*$C14</f>
        <v/>
      </c>
      <c r="AC14" s="28">
        <f>SUMIFS(Sales!$S:$S,Sales!$W:$W,"&lt;="&amp;'Cashflow Projection'!AC$5,Sales!$E:$E,FALSE,Sales!$F:$F,'Cashflow Projection'!$C14,Sales!$A:$A,'Cashflow Projection'!$A14,Sales!$B:$B,'Cashflow Projection'!$B14,Sales!$W:$W,"&gt;"&amp;'Cashflow Projection'!AA$5)*$C14</f>
        <v/>
      </c>
      <c r="AD14" s="23">
        <f>COUNTIFS(Sales!$W:$W,"&lt;="&amp;'Cashflow Projection'!AC$5,Sales!$W:$W,"&gt;"&amp;'Cashflow Projection'!AA$5,Sales!$A:$A,'Cashflow Projection'!$A14,Sales!$B:$B,'Cashflow Projection'!$B14,Sales!$F:$F,'Cashflow Projection'!$C14,Sales!$E:$E,FALSE)*$C14</f>
        <v/>
      </c>
      <c r="AE14" s="28">
        <f>SUMIFS(Sales!$S:$S,Sales!$W:$W,"&lt;="&amp;'Cashflow Projection'!AE$5,Sales!$E:$E,FALSE,Sales!$F:$F,'Cashflow Projection'!$C14,Sales!$A:$A,'Cashflow Projection'!$A14,Sales!$B:$B,'Cashflow Projection'!$B14,Sales!$W:$W,"&gt;"&amp;'Cashflow Projection'!AC$5)*$C14</f>
        <v/>
      </c>
      <c r="AF14" s="26">
        <f>COUNTIFS(Sales!$W:$W,"&lt;="&amp;'Cashflow Projection'!AE$5,Sales!$W:$W,"&gt;"&amp;'Cashflow Projection'!AC$5,Sales!$A:$A,'Cashflow Projection'!$A14,Sales!$B:$B,'Cashflow Projection'!$B14,Sales!$F:$F,'Cashflow Projection'!$C14,Sales!$E:$E,FALSE)*$C14</f>
        <v/>
      </c>
    </row>
    <row r="15">
      <c r="A15" s="20" t="inlineStr">
        <is>
          <t>Heron View</t>
        </is>
      </c>
      <c r="B15" s="27" t="inlineStr">
        <is>
          <t>H</t>
        </is>
      </c>
      <c r="C15" s="27">
        <f>IF(A15&lt;&gt;"Heron View",1,IF(ISERROR(VLOOKUP($B15,$A$50:$B$62,2,FALSE)),1,SUMIFS($B$50:$B$62,$A$50:$A$62,B15)))</f>
        <v/>
      </c>
      <c r="D15" s="28">
        <f>+I15+K15+M15+O15+Q15+S15+U15+W15+Y15+AA15+AC15+AE15</f>
        <v/>
      </c>
      <c r="E15" s="23">
        <f>+J15+L15+N15+P15+R15+T15+V15+X15+Z15+AB15+AD15+AF15</f>
        <v/>
      </c>
      <c r="I15" s="28">
        <f>SUMIFS(Sales!$S:$S,Sales!$W:$W,"&lt;="&amp;'Cashflow Projection'!I$5,Sales!$E:$E,FALSE,Sales!$F:$F,'Cashflow Projection'!$C15,Sales!$A:$A,'Cashflow Projection'!$A15,Sales!$B:$B,'Cashflow Projection'!$B15,Sales!$W:$W,"&gt;"&amp;'Cashflow Projection'!B$2)*$C15</f>
        <v/>
      </c>
      <c r="J15" s="23">
        <f>COUNTIFS(Sales!$H:$H,"&lt;="&amp;'Cashflow Projection'!I$5,Sales!$H:$H,"&gt;"&amp;'Cashflow Projection'!B$2,Sales!$A:$A,'Cashflow Projection'!$A15,Sales!$B:$B,'Cashflow Projection'!$B15,Sales!$F:$F,'Cashflow Projection'!$C15,Sales!$E:$E,FALSE)*$C15</f>
        <v/>
      </c>
      <c r="K15" s="28">
        <f>SUMIFS(Sales!$S:$S,Sales!$W:$W,"&lt;="&amp;'Cashflow Projection'!K$5,Sales!$E:$E,FALSE,Sales!$F:$F,'Cashflow Projection'!$C15,Sales!$A:$A,'Cashflow Projection'!$A15,Sales!$B:$B,'Cashflow Projection'!$B15,Sales!$W:$W,"&gt;"&amp;'Cashflow Projection'!I$5)*$C15</f>
        <v/>
      </c>
      <c r="L15" s="23">
        <f>COUNTIFS(Sales!$W:$W,"&lt;="&amp;'Cashflow Projection'!K$5,Sales!$W:$W,"&gt;"&amp;'Cashflow Projection'!I$5,Sales!$A:$A,'Cashflow Projection'!$A15,Sales!$B:$B,'Cashflow Projection'!$B15,Sales!$F:$F,'Cashflow Projection'!$C15,Sales!$E:$E,FALSE)*$C15</f>
        <v/>
      </c>
      <c r="M15" s="28">
        <f>SUMIFS(Sales!$S:$S,Sales!$W:$W,"&lt;="&amp;'Cashflow Projection'!M$5,Sales!$E:$E,FALSE,Sales!$F:$F,'Cashflow Projection'!$C15,Sales!$A:$A,'Cashflow Projection'!$A15,Sales!$B:$B,'Cashflow Projection'!$B15,Sales!$W:$W,"&gt;"&amp;'Cashflow Projection'!K$5)*$C15</f>
        <v/>
      </c>
      <c r="N15" s="23">
        <f>COUNTIFS(Sales!$W:$W,"&lt;="&amp;'Cashflow Projection'!M$5,Sales!$W:$W,"&gt;"&amp;'Cashflow Projection'!K$5,Sales!$A:$A,'Cashflow Projection'!$A15,Sales!$B:$B,'Cashflow Projection'!$B15,Sales!$F:$F,'Cashflow Projection'!$C15,Sales!$E:$E,FALSE)*$C15</f>
        <v/>
      </c>
      <c r="O15" s="28">
        <f>SUMIFS(Sales!$S:$S,Sales!$W:$W,"&lt;="&amp;'Cashflow Projection'!O$5,Sales!$E:$E,FALSE,Sales!$F:$F,'Cashflow Projection'!$C15,Sales!$A:$A,'Cashflow Projection'!$A15,Sales!$B:$B,'Cashflow Projection'!$B15,Sales!$W:$W,"&gt;"&amp;'Cashflow Projection'!M$5)*$C15</f>
        <v/>
      </c>
      <c r="P15" s="23">
        <f>COUNTIFS(Sales!$W:$W,"&lt;="&amp;'Cashflow Projection'!O$5,Sales!$W:$W,"&gt;"&amp;'Cashflow Projection'!M$5,Sales!$A:$A,'Cashflow Projection'!$A15,Sales!$B:$B,'Cashflow Projection'!$B15,Sales!$F:$F,'Cashflow Projection'!$C15,Sales!$E:$E,FALSE)*$C15</f>
        <v/>
      </c>
      <c r="Q15" s="28">
        <f>SUMIFS(Sales!$S:$S,Sales!$W:$W,"&lt;="&amp;'Cashflow Projection'!Q$5,Sales!$E:$E,FALSE,Sales!$F:$F,'Cashflow Projection'!$C15,Sales!$A:$A,'Cashflow Projection'!$A15,Sales!$B:$B,'Cashflow Projection'!$B15,Sales!$W:$W,"&gt;"&amp;'Cashflow Projection'!O$5)*$C15</f>
        <v/>
      </c>
      <c r="R15" s="23">
        <f>COUNTIFS(Sales!$W:$W,"&lt;="&amp;'Cashflow Projection'!Q$5,Sales!$W:$W,"&gt;"&amp;'Cashflow Projection'!O$5,Sales!$A:$A,'Cashflow Projection'!$A15,Sales!$B:$B,'Cashflow Projection'!$B15,Sales!$F:$F,'Cashflow Projection'!$C15,Sales!$E:$E,FALSE)*$C15</f>
        <v/>
      </c>
      <c r="S15" s="28">
        <f>SUMIFS(Sales!$S:$S,Sales!$W:$W,"&lt;="&amp;'Cashflow Projection'!S$5,Sales!$E:$E,FALSE,Sales!$F:$F,'Cashflow Projection'!$C15,Sales!$A:$A,'Cashflow Projection'!$A15,Sales!$B:$B,'Cashflow Projection'!$B15,Sales!$W:$W,"&gt;"&amp;'Cashflow Projection'!Q$5)*$C15</f>
        <v/>
      </c>
      <c r="T15" s="23">
        <f>COUNTIFS(Sales!$W:$W,"&lt;="&amp;'Cashflow Projection'!S$5,Sales!$W:$W,"&gt;"&amp;'Cashflow Projection'!Q$5,Sales!$A:$A,'Cashflow Projection'!$A15,Sales!$B:$B,'Cashflow Projection'!$B15,Sales!$F:$F,'Cashflow Projection'!$C15,Sales!$E:$E,FALSE)*$C15</f>
        <v/>
      </c>
      <c r="U15" s="28">
        <f>SUMIFS(Sales!$S:$S,Sales!$W:$W,"&lt;="&amp;'Cashflow Projection'!U$5,Sales!$E:$E,FALSE,Sales!$F:$F,'Cashflow Projection'!$C15,Sales!$A:$A,'Cashflow Projection'!$A15,Sales!$B:$B,'Cashflow Projection'!$B15,Sales!$W:$W,"&gt;"&amp;'Cashflow Projection'!S$5)*$C15</f>
        <v/>
      </c>
      <c r="V15" s="23">
        <f>COUNTIFS(Sales!$W:$W,"&lt;="&amp;'Cashflow Projection'!U$5,Sales!$W:$W,"&gt;"&amp;'Cashflow Projection'!S$5,Sales!$A:$A,'Cashflow Projection'!$A15,Sales!$B:$B,'Cashflow Projection'!$B15,Sales!$F:$F,'Cashflow Projection'!$C15,Sales!$E:$E,FALSE)*$C15</f>
        <v/>
      </c>
      <c r="W15" s="28">
        <f>SUMIFS(Sales!$S:$S,Sales!$W:$W,"&lt;="&amp;'Cashflow Projection'!W$5,Sales!$E:$E,FALSE,Sales!$F:$F,'Cashflow Projection'!$C15,Sales!$A:$A,'Cashflow Projection'!$A15,Sales!$B:$B,'Cashflow Projection'!$B15,Sales!$W:$W,"&gt;"&amp;'Cashflow Projection'!U$5)*$C15</f>
        <v/>
      </c>
      <c r="X15" s="23">
        <f>COUNTIFS(Sales!$W:$W,"&lt;="&amp;'Cashflow Projection'!W$5,Sales!$W:$W,"&gt;"&amp;'Cashflow Projection'!U$5,Sales!$A:$A,'Cashflow Projection'!$A15,Sales!$B:$B,'Cashflow Projection'!$B15,Sales!$F:$F,'Cashflow Projection'!$C15,Sales!$E:$E,FALSE)*$C15</f>
        <v/>
      </c>
      <c r="Y15" s="28">
        <f>SUMIFS(Sales!$S:$S,Sales!$W:$W,"&lt;="&amp;'Cashflow Projection'!Y$5,Sales!$E:$E,FALSE,Sales!$F:$F,'Cashflow Projection'!$C15,Sales!$A:$A,'Cashflow Projection'!$A15,Sales!$B:$B,'Cashflow Projection'!$B15,Sales!$W:$W,"&gt;"&amp;'Cashflow Projection'!W$5)*$C15</f>
        <v/>
      </c>
      <c r="Z15" s="23">
        <f>COUNTIFS(Sales!$W:$W,"&lt;="&amp;'Cashflow Projection'!Y$5,Sales!$W:$W,"&gt;"&amp;'Cashflow Projection'!W$5,Sales!$A:$A,'Cashflow Projection'!$A15,Sales!$B:$B,'Cashflow Projection'!$B15,Sales!$F:$F,'Cashflow Projection'!$C15,Sales!$E:$E,FALSE)*$C15</f>
        <v/>
      </c>
      <c r="AA15" s="28">
        <f>SUMIFS(Sales!$S:$S,Sales!$W:$W,"&lt;="&amp;'Cashflow Projection'!AA$5,Sales!$E:$E,FALSE,Sales!$F:$F,'Cashflow Projection'!$C15,Sales!$A:$A,'Cashflow Projection'!$A15,Sales!$B:$B,'Cashflow Projection'!$B15,Sales!$W:$W,"&gt;"&amp;'Cashflow Projection'!Y$5)*$C15</f>
        <v/>
      </c>
      <c r="AB15" s="23">
        <f>COUNTIFS(Sales!$W:$W,"&lt;="&amp;'Cashflow Projection'!AA$5,Sales!$W:$W,"&gt;"&amp;'Cashflow Projection'!Y$5,Sales!$A:$A,'Cashflow Projection'!$A15,Sales!$B:$B,'Cashflow Projection'!$B15,Sales!$F:$F,'Cashflow Projection'!$C15,Sales!$E:$E,FALSE)*$C15</f>
        <v/>
      </c>
      <c r="AC15" s="28">
        <f>SUMIFS(Sales!$S:$S,Sales!$W:$W,"&lt;="&amp;'Cashflow Projection'!AC$5,Sales!$E:$E,FALSE,Sales!$F:$F,'Cashflow Projection'!$C15,Sales!$A:$A,'Cashflow Projection'!$A15,Sales!$B:$B,'Cashflow Projection'!$B15,Sales!$W:$W,"&gt;"&amp;'Cashflow Projection'!AA$5)*$C15</f>
        <v/>
      </c>
      <c r="AD15" s="23">
        <f>COUNTIFS(Sales!$W:$W,"&lt;="&amp;'Cashflow Projection'!AC$5,Sales!$W:$W,"&gt;"&amp;'Cashflow Projection'!AA$5,Sales!$A:$A,'Cashflow Projection'!$A15,Sales!$B:$B,'Cashflow Projection'!$B15,Sales!$F:$F,'Cashflow Projection'!$C15,Sales!$E:$E,FALSE)*$C15</f>
        <v/>
      </c>
      <c r="AE15" s="28">
        <f>SUMIFS(Sales!$S:$S,Sales!$W:$W,"&lt;="&amp;'Cashflow Projection'!AE$5,Sales!$E:$E,FALSE,Sales!$F:$F,'Cashflow Projection'!$C15,Sales!$A:$A,'Cashflow Projection'!$A15,Sales!$B:$B,'Cashflow Projection'!$B15,Sales!$W:$W,"&gt;"&amp;'Cashflow Projection'!AC$5)*$C15</f>
        <v/>
      </c>
      <c r="AF15" s="26">
        <f>COUNTIFS(Sales!$W:$W,"&lt;="&amp;'Cashflow Projection'!AE$5,Sales!$W:$W,"&gt;"&amp;'Cashflow Projection'!AC$5,Sales!$A:$A,'Cashflow Projection'!$A15,Sales!$B:$B,'Cashflow Projection'!$B15,Sales!$F:$F,'Cashflow Projection'!$C15,Sales!$E:$E,FALSE)*$C15</f>
        <v/>
      </c>
    </row>
    <row r="16">
      <c r="A16" s="20" t="inlineStr">
        <is>
          <t>Heron View</t>
        </is>
      </c>
      <c r="B16" s="27" t="inlineStr">
        <is>
          <t>I</t>
        </is>
      </c>
      <c r="C16" s="27">
        <f>IF(A16&lt;&gt;"Heron View",1,IF(ISERROR(VLOOKUP($B16,$A$50:$B$62,2,FALSE)),1,SUMIFS($B$50:$B$62,$A$50:$A$62,B16)))</f>
        <v/>
      </c>
      <c r="D16" s="28">
        <f>+I16+K16+M16+O16+Q16+S16+U16+W16+Y16+AA16+AC16+AE16</f>
        <v/>
      </c>
      <c r="E16" s="23">
        <f>+J16+L16+N16+P16+R16+T16+V16+X16+Z16+AB16+AD16+AF16</f>
        <v/>
      </c>
      <c r="I16" s="28">
        <f>SUMIFS(Sales!$S:$S,Sales!$W:$W,"&lt;="&amp;'Cashflow Projection'!I$5,Sales!$E:$E,FALSE,Sales!$F:$F,'Cashflow Projection'!$C16,Sales!$A:$A,'Cashflow Projection'!$A16,Sales!$B:$B,'Cashflow Projection'!$B16,Sales!$W:$W,"&gt;"&amp;'Cashflow Projection'!B$2)*$C16</f>
        <v/>
      </c>
      <c r="J16" s="23">
        <f>COUNTIFS(Sales!$H:$H,"&lt;="&amp;'Cashflow Projection'!I$5,Sales!$H:$H,"&gt;"&amp;'Cashflow Projection'!B$2,Sales!$A:$A,'Cashflow Projection'!$A16,Sales!$B:$B,'Cashflow Projection'!$B16,Sales!$F:$F,'Cashflow Projection'!$C16,Sales!$E:$E,FALSE)*$C16</f>
        <v/>
      </c>
      <c r="K16" s="28">
        <f>SUMIFS(Sales!$S:$S,Sales!$W:$W,"&lt;="&amp;'Cashflow Projection'!K$5,Sales!$E:$E,FALSE,Sales!$F:$F,'Cashflow Projection'!$C16,Sales!$A:$A,'Cashflow Projection'!$A16,Sales!$B:$B,'Cashflow Projection'!$B16,Sales!$W:$W,"&gt;"&amp;'Cashflow Projection'!I$5)*$C16</f>
        <v/>
      </c>
      <c r="L16" s="23">
        <f>COUNTIFS(Sales!$W:$W,"&lt;="&amp;'Cashflow Projection'!K$5,Sales!$W:$W,"&gt;"&amp;'Cashflow Projection'!I$5,Sales!$A:$A,'Cashflow Projection'!$A16,Sales!$B:$B,'Cashflow Projection'!$B16,Sales!$F:$F,'Cashflow Projection'!$C16,Sales!$E:$E,FALSE)*$C16</f>
        <v/>
      </c>
      <c r="M16" s="28">
        <f>SUMIFS(Sales!$S:$S,Sales!$W:$W,"&lt;="&amp;'Cashflow Projection'!M$5,Sales!$E:$E,FALSE,Sales!$F:$F,'Cashflow Projection'!$C16,Sales!$A:$A,'Cashflow Projection'!$A16,Sales!$B:$B,'Cashflow Projection'!$B16,Sales!$W:$W,"&gt;"&amp;'Cashflow Projection'!K$5)*$C16</f>
        <v/>
      </c>
      <c r="N16" s="23">
        <f>COUNTIFS(Sales!$W:$W,"&lt;="&amp;'Cashflow Projection'!M$5,Sales!$W:$W,"&gt;"&amp;'Cashflow Projection'!K$5,Sales!$A:$A,'Cashflow Projection'!$A16,Sales!$B:$B,'Cashflow Projection'!$B16,Sales!$F:$F,'Cashflow Projection'!$C16,Sales!$E:$E,FALSE)*$C16</f>
        <v/>
      </c>
      <c r="O16" s="28">
        <f>SUMIFS(Sales!$S:$S,Sales!$W:$W,"&lt;="&amp;'Cashflow Projection'!O$5,Sales!$E:$E,FALSE,Sales!$F:$F,'Cashflow Projection'!$C16,Sales!$A:$A,'Cashflow Projection'!$A16,Sales!$B:$B,'Cashflow Projection'!$B16,Sales!$W:$W,"&gt;"&amp;'Cashflow Projection'!M$5)*$C16</f>
        <v/>
      </c>
      <c r="P16" s="23">
        <f>COUNTIFS(Sales!$W:$W,"&lt;="&amp;'Cashflow Projection'!O$5,Sales!$W:$W,"&gt;"&amp;'Cashflow Projection'!M$5,Sales!$A:$A,'Cashflow Projection'!$A16,Sales!$B:$B,'Cashflow Projection'!$B16,Sales!$F:$F,'Cashflow Projection'!$C16,Sales!$E:$E,FALSE)*$C16</f>
        <v/>
      </c>
      <c r="Q16" s="28">
        <f>SUMIFS(Sales!$S:$S,Sales!$W:$W,"&lt;="&amp;'Cashflow Projection'!Q$5,Sales!$E:$E,FALSE,Sales!$F:$F,'Cashflow Projection'!$C16,Sales!$A:$A,'Cashflow Projection'!$A16,Sales!$B:$B,'Cashflow Projection'!$B16,Sales!$W:$W,"&gt;"&amp;'Cashflow Projection'!O$5)*$C16</f>
        <v/>
      </c>
      <c r="R16" s="23">
        <f>COUNTIFS(Sales!$W:$W,"&lt;="&amp;'Cashflow Projection'!Q$5,Sales!$W:$W,"&gt;"&amp;'Cashflow Projection'!O$5,Sales!$A:$A,'Cashflow Projection'!$A16,Sales!$B:$B,'Cashflow Projection'!$B16,Sales!$F:$F,'Cashflow Projection'!$C16,Sales!$E:$E,FALSE)*$C16</f>
        <v/>
      </c>
      <c r="S16" s="28">
        <f>SUMIFS(Sales!$S:$S,Sales!$W:$W,"&lt;="&amp;'Cashflow Projection'!S$5,Sales!$E:$E,FALSE,Sales!$F:$F,'Cashflow Projection'!$C16,Sales!$A:$A,'Cashflow Projection'!$A16,Sales!$B:$B,'Cashflow Projection'!$B16,Sales!$W:$W,"&gt;"&amp;'Cashflow Projection'!Q$5)*$C16</f>
        <v/>
      </c>
      <c r="T16" s="23">
        <f>COUNTIFS(Sales!$W:$W,"&lt;="&amp;'Cashflow Projection'!S$5,Sales!$W:$W,"&gt;"&amp;'Cashflow Projection'!Q$5,Sales!$A:$A,'Cashflow Projection'!$A16,Sales!$B:$B,'Cashflow Projection'!$B16,Sales!$F:$F,'Cashflow Projection'!$C16,Sales!$E:$E,FALSE)*$C16</f>
        <v/>
      </c>
      <c r="U16" s="28">
        <f>SUMIFS(Sales!$S:$S,Sales!$W:$W,"&lt;="&amp;'Cashflow Projection'!U$5,Sales!$E:$E,FALSE,Sales!$F:$F,'Cashflow Projection'!$C16,Sales!$A:$A,'Cashflow Projection'!$A16,Sales!$B:$B,'Cashflow Projection'!$B16,Sales!$W:$W,"&gt;"&amp;'Cashflow Projection'!S$5)*$C16</f>
        <v/>
      </c>
      <c r="V16" s="23">
        <f>COUNTIFS(Sales!$W:$W,"&lt;="&amp;'Cashflow Projection'!U$5,Sales!$W:$W,"&gt;"&amp;'Cashflow Projection'!S$5,Sales!$A:$A,'Cashflow Projection'!$A16,Sales!$B:$B,'Cashflow Projection'!$B16,Sales!$F:$F,'Cashflow Projection'!$C16,Sales!$E:$E,FALSE)*$C16</f>
        <v/>
      </c>
      <c r="W16" s="28">
        <f>SUMIFS(Sales!$S:$S,Sales!$W:$W,"&lt;="&amp;'Cashflow Projection'!W$5,Sales!$E:$E,FALSE,Sales!$F:$F,'Cashflow Projection'!$C16,Sales!$A:$A,'Cashflow Projection'!$A16,Sales!$B:$B,'Cashflow Projection'!$B16,Sales!$W:$W,"&gt;"&amp;'Cashflow Projection'!U$5)*$C16</f>
        <v/>
      </c>
      <c r="X16" s="23">
        <f>COUNTIFS(Sales!$W:$W,"&lt;="&amp;'Cashflow Projection'!W$5,Sales!$W:$W,"&gt;"&amp;'Cashflow Projection'!U$5,Sales!$A:$A,'Cashflow Projection'!$A16,Sales!$B:$B,'Cashflow Projection'!$B16,Sales!$F:$F,'Cashflow Projection'!$C16,Sales!$E:$E,FALSE)*$C16</f>
        <v/>
      </c>
      <c r="Y16" s="28">
        <f>SUMIFS(Sales!$S:$S,Sales!$W:$W,"&lt;="&amp;'Cashflow Projection'!Y$5,Sales!$E:$E,FALSE,Sales!$F:$F,'Cashflow Projection'!$C16,Sales!$A:$A,'Cashflow Projection'!$A16,Sales!$B:$B,'Cashflow Projection'!$B16,Sales!$W:$W,"&gt;"&amp;'Cashflow Projection'!W$5)*$C16</f>
        <v/>
      </c>
      <c r="Z16" s="23">
        <f>COUNTIFS(Sales!$W:$W,"&lt;="&amp;'Cashflow Projection'!Y$5,Sales!$W:$W,"&gt;"&amp;'Cashflow Projection'!W$5,Sales!$A:$A,'Cashflow Projection'!$A16,Sales!$B:$B,'Cashflow Projection'!$B16,Sales!$F:$F,'Cashflow Projection'!$C16,Sales!$E:$E,FALSE)*$C16</f>
        <v/>
      </c>
      <c r="AA16" s="28">
        <f>SUMIFS(Sales!$S:$S,Sales!$W:$W,"&lt;="&amp;'Cashflow Projection'!AA$5,Sales!$E:$E,FALSE,Sales!$F:$F,'Cashflow Projection'!$C16,Sales!$A:$A,'Cashflow Projection'!$A16,Sales!$B:$B,'Cashflow Projection'!$B16,Sales!$W:$W,"&gt;"&amp;'Cashflow Projection'!Y$5)*$C16</f>
        <v/>
      </c>
      <c r="AB16" s="23">
        <f>COUNTIFS(Sales!$W:$W,"&lt;="&amp;'Cashflow Projection'!AA$5,Sales!$W:$W,"&gt;"&amp;'Cashflow Projection'!Y$5,Sales!$A:$A,'Cashflow Projection'!$A16,Sales!$B:$B,'Cashflow Projection'!$B16,Sales!$F:$F,'Cashflow Projection'!$C16,Sales!$E:$E,FALSE)*$C16</f>
        <v/>
      </c>
      <c r="AC16" s="28">
        <f>SUMIFS(Sales!$S:$S,Sales!$W:$W,"&lt;="&amp;'Cashflow Projection'!AC$5,Sales!$E:$E,FALSE,Sales!$F:$F,'Cashflow Projection'!$C16,Sales!$A:$A,'Cashflow Projection'!$A16,Sales!$B:$B,'Cashflow Projection'!$B16,Sales!$W:$W,"&gt;"&amp;'Cashflow Projection'!AA$5)*$C16</f>
        <v/>
      </c>
      <c r="AD16" s="23">
        <f>COUNTIFS(Sales!$W:$W,"&lt;="&amp;'Cashflow Projection'!AC$5,Sales!$W:$W,"&gt;"&amp;'Cashflow Projection'!AA$5,Sales!$A:$A,'Cashflow Projection'!$A16,Sales!$B:$B,'Cashflow Projection'!$B16,Sales!$F:$F,'Cashflow Projection'!$C16,Sales!$E:$E,FALSE)*$C16</f>
        <v/>
      </c>
      <c r="AE16" s="28">
        <f>SUMIFS(Sales!$S:$S,Sales!$W:$W,"&lt;="&amp;'Cashflow Projection'!AE$5,Sales!$E:$E,FALSE,Sales!$F:$F,'Cashflow Projection'!$C16,Sales!$A:$A,'Cashflow Projection'!$A16,Sales!$B:$B,'Cashflow Projection'!$B16,Sales!$W:$W,"&gt;"&amp;'Cashflow Projection'!AC$5)*$C16</f>
        <v/>
      </c>
      <c r="AF16" s="26">
        <f>COUNTIFS(Sales!$W:$W,"&lt;="&amp;'Cashflow Projection'!AE$5,Sales!$W:$W,"&gt;"&amp;'Cashflow Projection'!AC$5,Sales!$A:$A,'Cashflow Projection'!$A16,Sales!$B:$B,'Cashflow Projection'!$B16,Sales!$F:$F,'Cashflow Projection'!$C16,Sales!$E:$E,FALSE)*$C16</f>
        <v/>
      </c>
    </row>
    <row r="17">
      <c r="A17" s="20" t="inlineStr">
        <is>
          <t>Heron View</t>
        </is>
      </c>
      <c r="B17" s="27" t="inlineStr">
        <is>
          <t>J</t>
        </is>
      </c>
      <c r="C17" s="27">
        <f>IF(A17&lt;&gt;"Heron View",1,IF(ISERROR(VLOOKUP($B17,$A$50:$B$62,2,FALSE)),1,SUMIFS($B$50:$B$62,$A$50:$A$62,B17)))</f>
        <v/>
      </c>
      <c r="D17" s="28">
        <f>+I17+K17+M17+O17+Q17+S17+U17+W17+Y17+AA17+AC17+AE17</f>
        <v/>
      </c>
      <c r="E17" s="23">
        <f>+J17+L17+N17+P17+R17+T17+V17+X17+Z17+AB17+AD17+AF17</f>
        <v/>
      </c>
      <c r="I17" s="28">
        <f>SUMIFS(Sales!$S:$S,Sales!$W:$W,"&lt;="&amp;'Cashflow Projection'!I$5,Sales!$E:$E,FALSE,Sales!$F:$F,'Cashflow Projection'!$C17,Sales!$A:$A,'Cashflow Projection'!$A17,Sales!$B:$B,'Cashflow Projection'!$B17,Sales!$W:$W,"&gt;"&amp;'Cashflow Projection'!B$2)*$C17</f>
        <v/>
      </c>
      <c r="J17" s="23">
        <f>COUNTIFS(Sales!$H:$H,"&lt;="&amp;'Cashflow Projection'!I$5,Sales!$H:$H,"&gt;"&amp;'Cashflow Projection'!B$2,Sales!$A:$A,'Cashflow Projection'!$A17,Sales!$B:$B,'Cashflow Projection'!$B17,Sales!$F:$F,'Cashflow Projection'!$C17,Sales!$E:$E,FALSE)*$C17</f>
        <v/>
      </c>
      <c r="K17" s="28">
        <f>SUMIFS(Sales!$S:$S,Sales!$W:$W,"&lt;="&amp;'Cashflow Projection'!K$5,Sales!$E:$E,FALSE,Sales!$F:$F,'Cashflow Projection'!$C17,Sales!$A:$A,'Cashflow Projection'!$A17,Sales!$B:$B,'Cashflow Projection'!$B17,Sales!$W:$W,"&gt;"&amp;'Cashflow Projection'!I$5)*$C17</f>
        <v/>
      </c>
      <c r="L17" s="23">
        <f>COUNTIFS(Sales!$W:$W,"&lt;="&amp;'Cashflow Projection'!K$5,Sales!$W:$W,"&gt;"&amp;'Cashflow Projection'!I$5,Sales!$A:$A,'Cashflow Projection'!$A17,Sales!$B:$B,'Cashflow Projection'!$B17,Sales!$F:$F,'Cashflow Projection'!$C17,Sales!$E:$E,FALSE)*$C17</f>
        <v/>
      </c>
      <c r="M17" s="28">
        <f>SUMIFS(Sales!$S:$S,Sales!$W:$W,"&lt;="&amp;'Cashflow Projection'!M$5,Sales!$E:$E,FALSE,Sales!$F:$F,'Cashflow Projection'!$C17,Sales!$A:$A,'Cashflow Projection'!$A17,Sales!$B:$B,'Cashflow Projection'!$B17,Sales!$W:$W,"&gt;"&amp;'Cashflow Projection'!K$5)*$C17</f>
        <v/>
      </c>
      <c r="N17" s="23">
        <f>COUNTIFS(Sales!$W:$W,"&lt;="&amp;'Cashflow Projection'!M$5,Sales!$W:$W,"&gt;"&amp;'Cashflow Projection'!K$5,Sales!$A:$A,'Cashflow Projection'!$A17,Sales!$B:$B,'Cashflow Projection'!$B17,Sales!$F:$F,'Cashflow Projection'!$C17,Sales!$E:$E,FALSE)*$C17</f>
        <v/>
      </c>
      <c r="O17" s="28">
        <f>SUMIFS(Sales!$S:$S,Sales!$W:$W,"&lt;="&amp;'Cashflow Projection'!O$5,Sales!$E:$E,FALSE,Sales!$F:$F,'Cashflow Projection'!$C17,Sales!$A:$A,'Cashflow Projection'!$A17,Sales!$B:$B,'Cashflow Projection'!$B17,Sales!$W:$W,"&gt;"&amp;'Cashflow Projection'!M$5)*$C17</f>
        <v/>
      </c>
      <c r="P17" s="23">
        <f>COUNTIFS(Sales!$W:$W,"&lt;="&amp;'Cashflow Projection'!O$5,Sales!$W:$W,"&gt;"&amp;'Cashflow Projection'!M$5,Sales!$A:$A,'Cashflow Projection'!$A17,Sales!$B:$B,'Cashflow Projection'!$B17,Sales!$F:$F,'Cashflow Projection'!$C17,Sales!$E:$E,FALSE)*$C17</f>
        <v/>
      </c>
      <c r="Q17" s="28">
        <f>SUMIFS(Sales!$S:$S,Sales!$W:$W,"&lt;="&amp;'Cashflow Projection'!Q$5,Sales!$E:$E,FALSE,Sales!$F:$F,'Cashflow Projection'!$C17,Sales!$A:$A,'Cashflow Projection'!$A17,Sales!$B:$B,'Cashflow Projection'!$B17,Sales!$W:$W,"&gt;"&amp;'Cashflow Projection'!O$5)*$C17</f>
        <v/>
      </c>
      <c r="R17" s="23">
        <f>COUNTIFS(Sales!$W:$W,"&lt;="&amp;'Cashflow Projection'!Q$5,Sales!$W:$W,"&gt;"&amp;'Cashflow Projection'!O$5,Sales!$A:$A,'Cashflow Projection'!$A17,Sales!$B:$B,'Cashflow Projection'!$B17,Sales!$F:$F,'Cashflow Projection'!$C17,Sales!$E:$E,FALSE)*$C17</f>
        <v/>
      </c>
      <c r="S17" s="28">
        <f>SUMIFS(Sales!$S:$S,Sales!$W:$W,"&lt;="&amp;'Cashflow Projection'!S$5,Sales!$E:$E,FALSE,Sales!$F:$F,'Cashflow Projection'!$C17,Sales!$A:$A,'Cashflow Projection'!$A17,Sales!$B:$B,'Cashflow Projection'!$B17,Sales!$W:$W,"&gt;"&amp;'Cashflow Projection'!Q$5)*$C17</f>
        <v/>
      </c>
      <c r="T17" s="23">
        <f>COUNTIFS(Sales!$W:$W,"&lt;="&amp;'Cashflow Projection'!S$5,Sales!$W:$W,"&gt;"&amp;'Cashflow Projection'!Q$5,Sales!$A:$A,'Cashflow Projection'!$A17,Sales!$B:$B,'Cashflow Projection'!$B17,Sales!$F:$F,'Cashflow Projection'!$C17,Sales!$E:$E,FALSE)*$C17</f>
        <v/>
      </c>
      <c r="U17" s="28">
        <f>SUMIFS(Sales!$S:$S,Sales!$W:$W,"&lt;="&amp;'Cashflow Projection'!U$5,Sales!$E:$E,FALSE,Sales!$F:$F,'Cashflow Projection'!$C17,Sales!$A:$A,'Cashflow Projection'!$A17,Sales!$B:$B,'Cashflow Projection'!$B17,Sales!$W:$W,"&gt;"&amp;'Cashflow Projection'!S$5)*$C17</f>
        <v/>
      </c>
      <c r="V17" s="23">
        <f>COUNTIFS(Sales!$W:$W,"&lt;="&amp;'Cashflow Projection'!U$5,Sales!$W:$W,"&gt;"&amp;'Cashflow Projection'!S$5,Sales!$A:$A,'Cashflow Projection'!$A17,Sales!$B:$B,'Cashflow Projection'!$B17,Sales!$F:$F,'Cashflow Projection'!$C17,Sales!$E:$E,FALSE)*$C17</f>
        <v/>
      </c>
      <c r="W17" s="28">
        <f>SUMIFS(Sales!$S:$S,Sales!$W:$W,"&lt;="&amp;'Cashflow Projection'!W$5,Sales!$E:$E,FALSE,Sales!$F:$F,'Cashflow Projection'!$C17,Sales!$A:$A,'Cashflow Projection'!$A17,Sales!$B:$B,'Cashflow Projection'!$B17,Sales!$W:$W,"&gt;"&amp;'Cashflow Projection'!U$5)*$C17</f>
        <v/>
      </c>
      <c r="X17" s="23">
        <f>COUNTIFS(Sales!$W:$W,"&lt;="&amp;'Cashflow Projection'!W$5,Sales!$W:$W,"&gt;"&amp;'Cashflow Projection'!U$5,Sales!$A:$A,'Cashflow Projection'!$A17,Sales!$B:$B,'Cashflow Projection'!$B17,Sales!$F:$F,'Cashflow Projection'!$C17,Sales!$E:$E,FALSE)*$C17</f>
        <v/>
      </c>
      <c r="Y17" s="28">
        <f>SUMIFS(Sales!$S:$S,Sales!$W:$W,"&lt;="&amp;'Cashflow Projection'!Y$5,Sales!$E:$E,FALSE,Sales!$F:$F,'Cashflow Projection'!$C17,Sales!$A:$A,'Cashflow Projection'!$A17,Sales!$B:$B,'Cashflow Projection'!$B17,Sales!$W:$W,"&gt;"&amp;'Cashflow Projection'!W$5)*$C17</f>
        <v/>
      </c>
      <c r="Z17" s="23">
        <f>COUNTIFS(Sales!$W:$W,"&lt;="&amp;'Cashflow Projection'!Y$5,Sales!$W:$W,"&gt;"&amp;'Cashflow Projection'!W$5,Sales!$A:$A,'Cashflow Projection'!$A17,Sales!$B:$B,'Cashflow Projection'!$B17,Sales!$F:$F,'Cashflow Projection'!$C17,Sales!$E:$E,FALSE)*$C17</f>
        <v/>
      </c>
      <c r="AA17" s="28">
        <f>SUMIFS(Sales!$S:$S,Sales!$W:$W,"&lt;="&amp;'Cashflow Projection'!AA$5,Sales!$E:$E,FALSE,Sales!$F:$F,'Cashflow Projection'!$C17,Sales!$A:$A,'Cashflow Projection'!$A17,Sales!$B:$B,'Cashflow Projection'!$B17,Sales!$W:$W,"&gt;"&amp;'Cashflow Projection'!Y$5)*$C17</f>
        <v/>
      </c>
      <c r="AB17" s="23">
        <f>COUNTIFS(Sales!$W:$W,"&lt;="&amp;'Cashflow Projection'!AA$5,Sales!$W:$W,"&gt;"&amp;'Cashflow Projection'!Y$5,Sales!$A:$A,'Cashflow Projection'!$A17,Sales!$B:$B,'Cashflow Projection'!$B17,Sales!$F:$F,'Cashflow Projection'!$C17,Sales!$E:$E,FALSE)*$C17</f>
        <v/>
      </c>
      <c r="AC17" s="28">
        <f>SUMIFS(Sales!$S:$S,Sales!$W:$W,"&lt;="&amp;'Cashflow Projection'!AC$5,Sales!$E:$E,FALSE,Sales!$F:$F,'Cashflow Projection'!$C17,Sales!$A:$A,'Cashflow Projection'!$A17,Sales!$B:$B,'Cashflow Projection'!$B17,Sales!$W:$W,"&gt;"&amp;'Cashflow Projection'!AA$5)*$C17</f>
        <v/>
      </c>
      <c r="AD17" s="23">
        <f>COUNTIFS(Sales!$W:$W,"&lt;="&amp;'Cashflow Projection'!AC$5,Sales!$W:$W,"&gt;"&amp;'Cashflow Projection'!AA$5,Sales!$A:$A,'Cashflow Projection'!$A17,Sales!$B:$B,'Cashflow Projection'!$B17,Sales!$F:$F,'Cashflow Projection'!$C17,Sales!$E:$E,FALSE)*$C17</f>
        <v/>
      </c>
      <c r="AE17" s="28">
        <f>SUMIFS(Sales!$S:$S,Sales!$W:$W,"&lt;="&amp;'Cashflow Projection'!AE$5,Sales!$E:$E,FALSE,Sales!$F:$F,'Cashflow Projection'!$C17,Sales!$A:$A,'Cashflow Projection'!$A17,Sales!$B:$B,'Cashflow Projection'!$B17,Sales!$W:$W,"&gt;"&amp;'Cashflow Projection'!AC$5)*$C17</f>
        <v/>
      </c>
      <c r="AF17" s="26">
        <f>COUNTIFS(Sales!$W:$W,"&lt;="&amp;'Cashflow Projection'!AE$5,Sales!$W:$W,"&gt;"&amp;'Cashflow Projection'!AC$5,Sales!$A:$A,'Cashflow Projection'!$A17,Sales!$B:$B,'Cashflow Projection'!$B17,Sales!$F:$F,'Cashflow Projection'!$C17,Sales!$E:$E,FALSE)*$C17</f>
        <v/>
      </c>
    </row>
    <row r="18">
      <c r="A18" s="20" t="inlineStr">
        <is>
          <t>Heron View</t>
        </is>
      </c>
      <c r="B18" s="27" t="inlineStr">
        <is>
          <t>K</t>
        </is>
      </c>
      <c r="C18" s="27">
        <f>IF(A18&lt;&gt;"Heron View",1,IF(ISERROR(VLOOKUP($B18,$A$50:$B$62,2,FALSE)),1,SUMIFS($B$50:$B$62,$A$50:$A$62,B18)))</f>
        <v/>
      </c>
      <c r="D18" s="28">
        <f>+I18+K18+M18+O18+Q18+S18+U18+W18+Y18+AA18+AC18+AE18</f>
        <v/>
      </c>
      <c r="E18" s="23">
        <f>+J18+L18+N18+P18+R18+T18+V18+X18+Z18+AB18+AD18+AF18</f>
        <v/>
      </c>
      <c r="I18" s="28">
        <f>SUMIFS(Sales!$S:$S,Sales!$W:$W,"&lt;="&amp;'Cashflow Projection'!I$5,Sales!$E:$E,FALSE,Sales!$F:$F,'Cashflow Projection'!$C18,Sales!$A:$A,'Cashflow Projection'!$A18,Sales!$B:$B,'Cashflow Projection'!$B18,Sales!$W:$W,"&gt;"&amp;'Cashflow Projection'!B$2)*$C18</f>
        <v/>
      </c>
      <c r="J18" s="23">
        <f>COUNTIFS(Sales!$H:$H,"&lt;="&amp;'Cashflow Projection'!I$5,Sales!$H:$H,"&gt;"&amp;'Cashflow Projection'!B$2,Sales!$A:$A,'Cashflow Projection'!$A18,Sales!$B:$B,'Cashflow Projection'!$B18,Sales!$F:$F,'Cashflow Projection'!$C18,Sales!$E:$E,FALSE)*$C18</f>
        <v/>
      </c>
      <c r="K18" s="28">
        <f>SUMIFS(Sales!$S:$S,Sales!$W:$W,"&lt;="&amp;'Cashflow Projection'!K$5,Sales!$E:$E,FALSE,Sales!$F:$F,'Cashflow Projection'!$C18,Sales!$A:$A,'Cashflow Projection'!$A18,Sales!$B:$B,'Cashflow Projection'!$B18,Sales!$W:$W,"&gt;"&amp;'Cashflow Projection'!I$5)*$C18</f>
        <v/>
      </c>
      <c r="L18" s="23">
        <f>COUNTIFS(Sales!$W:$W,"&lt;="&amp;'Cashflow Projection'!K$5,Sales!$W:$W,"&gt;"&amp;'Cashflow Projection'!I$5,Sales!$A:$A,'Cashflow Projection'!$A18,Sales!$B:$B,'Cashflow Projection'!$B18,Sales!$F:$F,'Cashflow Projection'!$C18,Sales!$E:$E,FALSE)*$C18</f>
        <v/>
      </c>
      <c r="M18" s="28">
        <f>SUMIFS(Sales!$S:$S,Sales!$W:$W,"&lt;="&amp;'Cashflow Projection'!M$5,Sales!$E:$E,FALSE,Sales!$F:$F,'Cashflow Projection'!$C18,Sales!$A:$A,'Cashflow Projection'!$A18,Sales!$B:$B,'Cashflow Projection'!$B18,Sales!$W:$W,"&gt;"&amp;'Cashflow Projection'!K$5)*$C18</f>
        <v/>
      </c>
      <c r="N18" s="23">
        <f>COUNTIFS(Sales!$W:$W,"&lt;="&amp;'Cashflow Projection'!M$5,Sales!$W:$W,"&gt;"&amp;'Cashflow Projection'!K$5,Sales!$A:$A,'Cashflow Projection'!$A18,Sales!$B:$B,'Cashflow Projection'!$B18,Sales!$F:$F,'Cashflow Projection'!$C18,Sales!$E:$E,FALSE)*$C18</f>
        <v/>
      </c>
      <c r="O18" s="28">
        <f>SUMIFS(Sales!$S:$S,Sales!$W:$W,"&lt;="&amp;'Cashflow Projection'!O$5,Sales!$E:$E,FALSE,Sales!$F:$F,'Cashflow Projection'!$C18,Sales!$A:$A,'Cashflow Projection'!$A18,Sales!$B:$B,'Cashflow Projection'!$B18,Sales!$W:$W,"&gt;"&amp;'Cashflow Projection'!M$5)*$C18</f>
        <v/>
      </c>
      <c r="P18" s="23">
        <f>COUNTIFS(Sales!$W:$W,"&lt;="&amp;'Cashflow Projection'!O$5,Sales!$W:$W,"&gt;"&amp;'Cashflow Projection'!M$5,Sales!$A:$A,'Cashflow Projection'!$A18,Sales!$B:$B,'Cashflow Projection'!$B18,Sales!$F:$F,'Cashflow Projection'!$C18,Sales!$E:$E,FALSE)*$C18</f>
        <v/>
      </c>
      <c r="Q18" s="28">
        <f>SUMIFS(Sales!$S:$S,Sales!$W:$W,"&lt;="&amp;'Cashflow Projection'!Q$5,Sales!$E:$E,FALSE,Sales!$F:$F,'Cashflow Projection'!$C18,Sales!$A:$A,'Cashflow Projection'!$A18,Sales!$B:$B,'Cashflow Projection'!$B18,Sales!$W:$W,"&gt;"&amp;'Cashflow Projection'!O$5)*$C18</f>
        <v/>
      </c>
      <c r="R18" s="23">
        <f>COUNTIFS(Sales!$W:$W,"&lt;="&amp;'Cashflow Projection'!Q$5,Sales!$W:$W,"&gt;"&amp;'Cashflow Projection'!O$5,Sales!$A:$A,'Cashflow Projection'!$A18,Sales!$B:$B,'Cashflow Projection'!$B18,Sales!$F:$F,'Cashflow Projection'!$C18,Sales!$E:$E,FALSE)*$C18</f>
        <v/>
      </c>
      <c r="S18" s="28">
        <f>SUMIFS(Sales!$S:$S,Sales!$W:$W,"&lt;="&amp;'Cashflow Projection'!S$5,Sales!$E:$E,FALSE,Sales!$F:$F,'Cashflow Projection'!$C18,Sales!$A:$A,'Cashflow Projection'!$A18,Sales!$B:$B,'Cashflow Projection'!$B18,Sales!$W:$W,"&gt;"&amp;'Cashflow Projection'!Q$5)*$C18</f>
        <v/>
      </c>
      <c r="T18" s="23">
        <f>COUNTIFS(Sales!$W:$W,"&lt;="&amp;'Cashflow Projection'!S$5,Sales!$W:$W,"&gt;"&amp;'Cashflow Projection'!Q$5,Sales!$A:$A,'Cashflow Projection'!$A18,Sales!$B:$B,'Cashflow Projection'!$B18,Sales!$F:$F,'Cashflow Projection'!$C18,Sales!$E:$E,FALSE)*$C18</f>
        <v/>
      </c>
      <c r="U18" s="28">
        <f>SUMIFS(Sales!$S:$S,Sales!$W:$W,"&lt;="&amp;'Cashflow Projection'!U$5,Sales!$E:$E,FALSE,Sales!$F:$F,'Cashflow Projection'!$C18,Sales!$A:$A,'Cashflow Projection'!$A18,Sales!$B:$B,'Cashflow Projection'!$B18,Sales!$W:$W,"&gt;"&amp;'Cashflow Projection'!S$5)*$C18</f>
        <v/>
      </c>
      <c r="V18" s="23">
        <f>COUNTIFS(Sales!$W:$W,"&lt;="&amp;'Cashflow Projection'!U$5,Sales!$W:$W,"&gt;"&amp;'Cashflow Projection'!S$5,Sales!$A:$A,'Cashflow Projection'!$A18,Sales!$B:$B,'Cashflow Projection'!$B18,Sales!$F:$F,'Cashflow Projection'!$C18,Sales!$E:$E,FALSE)*$C18</f>
        <v/>
      </c>
      <c r="W18" s="28">
        <f>SUMIFS(Sales!$S:$S,Sales!$W:$W,"&lt;="&amp;'Cashflow Projection'!W$5,Sales!$E:$E,FALSE,Sales!$F:$F,'Cashflow Projection'!$C18,Sales!$A:$A,'Cashflow Projection'!$A18,Sales!$B:$B,'Cashflow Projection'!$B18,Sales!$W:$W,"&gt;"&amp;'Cashflow Projection'!U$5)*$C18</f>
        <v/>
      </c>
      <c r="X18" s="23">
        <f>COUNTIFS(Sales!$W:$W,"&lt;="&amp;'Cashflow Projection'!W$5,Sales!$W:$W,"&gt;"&amp;'Cashflow Projection'!U$5,Sales!$A:$A,'Cashflow Projection'!$A18,Sales!$B:$B,'Cashflow Projection'!$B18,Sales!$F:$F,'Cashflow Projection'!$C18,Sales!$E:$E,FALSE)*$C18</f>
        <v/>
      </c>
      <c r="Y18" s="28">
        <f>SUMIFS(Sales!$S:$S,Sales!$W:$W,"&lt;="&amp;'Cashflow Projection'!Y$5,Sales!$E:$E,FALSE,Sales!$F:$F,'Cashflow Projection'!$C18,Sales!$A:$A,'Cashflow Projection'!$A18,Sales!$B:$B,'Cashflow Projection'!$B18,Sales!$W:$W,"&gt;"&amp;'Cashflow Projection'!W$5)*$C18</f>
        <v/>
      </c>
      <c r="Z18" s="23">
        <f>COUNTIFS(Sales!$W:$W,"&lt;="&amp;'Cashflow Projection'!Y$5,Sales!$W:$W,"&gt;"&amp;'Cashflow Projection'!W$5,Sales!$A:$A,'Cashflow Projection'!$A18,Sales!$B:$B,'Cashflow Projection'!$B18,Sales!$F:$F,'Cashflow Projection'!$C18,Sales!$E:$E,FALSE)*$C18</f>
        <v/>
      </c>
      <c r="AA18" s="28">
        <f>SUMIFS(Sales!$S:$S,Sales!$W:$W,"&lt;="&amp;'Cashflow Projection'!AA$5,Sales!$E:$E,FALSE,Sales!$F:$F,'Cashflow Projection'!$C18,Sales!$A:$A,'Cashflow Projection'!$A18,Sales!$B:$B,'Cashflow Projection'!$B18,Sales!$W:$W,"&gt;"&amp;'Cashflow Projection'!Y$5)*$C18</f>
        <v/>
      </c>
      <c r="AB18" s="23">
        <f>COUNTIFS(Sales!$W:$W,"&lt;="&amp;'Cashflow Projection'!AA$5,Sales!$W:$W,"&gt;"&amp;'Cashflow Projection'!Y$5,Sales!$A:$A,'Cashflow Projection'!$A18,Sales!$B:$B,'Cashflow Projection'!$B18,Sales!$F:$F,'Cashflow Projection'!$C18,Sales!$E:$E,FALSE)*$C18</f>
        <v/>
      </c>
      <c r="AC18" s="28">
        <f>SUMIFS(Sales!$S:$S,Sales!$W:$W,"&lt;="&amp;'Cashflow Projection'!AC$5,Sales!$E:$E,FALSE,Sales!$F:$F,'Cashflow Projection'!$C18,Sales!$A:$A,'Cashflow Projection'!$A18,Sales!$B:$B,'Cashflow Projection'!$B18,Sales!$W:$W,"&gt;"&amp;'Cashflow Projection'!AA$5)*$C18</f>
        <v/>
      </c>
      <c r="AD18" s="23">
        <f>COUNTIFS(Sales!$W:$W,"&lt;="&amp;'Cashflow Projection'!AC$5,Sales!$W:$W,"&gt;"&amp;'Cashflow Projection'!AA$5,Sales!$A:$A,'Cashflow Projection'!$A18,Sales!$B:$B,'Cashflow Projection'!$B18,Sales!$F:$F,'Cashflow Projection'!$C18,Sales!$E:$E,FALSE)*$C18</f>
        <v/>
      </c>
      <c r="AE18" s="28">
        <f>SUMIFS(Sales!$S:$S,Sales!$W:$W,"&lt;="&amp;'Cashflow Projection'!AE$5,Sales!$E:$E,FALSE,Sales!$F:$F,'Cashflow Projection'!$C18,Sales!$A:$A,'Cashflow Projection'!$A18,Sales!$B:$B,'Cashflow Projection'!$B18,Sales!$W:$W,"&gt;"&amp;'Cashflow Projection'!AC$5)*$C18</f>
        <v/>
      </c>
      <c r="AF18" s="26">
        <f>COUNTIFS(Sales!$W:$W,"&lt;="&amp;'Cashflow Projection'!AE$5,Sales!$W:$W,"&gt;"&amp;'Cashflow Projection'!AC$5,Sales!$A:$A,'Cashflow Projection'!$A18,Sales!$B:$B,'Cashflow Projection'!$B18,Sales!$F:$F,'Cashflow Projection'!$C18,Sales!$E:$E,FALSE)*$C18</f>
        <v/>
      </c>
    </row>
    <row r="19">
      <c r="A19" s="20" t="inlineStr">
        <is>
          <t>Heron View</t>
        </is>
      </c>
      <c r="B19" s="27" t="inlineStr">
        <is>
          <t>L</t>
        </is>
      </c>
      <c r="C19" s="27">
        <f>IF(A19&lt;&gt;"Heron View",1,IF(ISERROR(VLOOKUP($B19,$A$50:$B$62,2,FALSE)),1,SUMIFS($B$50:$B$62,$A$50:$A$62,B19)))</f>
        <v/>
      </c>
      <c r="D19" s="28">
        <f>+I19+K19+M19+O19+Q19+S19+U19+W19+Y19+AA19+AC19+AE19</f>
        <v/>
      </c>
      <c r="E19" s="23">
        <f>+J19+L19+N19+P19+R19+T19+V19+X19+Z19+AB19+AD19+AF19</f>
        <v/>
      </c>
      <c r="I19" s="28">
        <f>SUMIFS(Sales!$S:$S,Sales!$W:$W,"&lt;="&amp;'Cashflow Projection'!I$5,Sales!$E:$E,FALSE,Sales!$F:$F,'Cashflow Projection'!$C19,Sales!$A:$A,'Cashflow Projection'!$A19,Sales!$B:$B,'Cashflow Projection'!$B19,Sales!$W:$W,"&gt;"&amp;'Cashflow Projection'!B$2)*$C19</f>
        <v/>
      </c>
      <c r="J19" s="23">
        <f>COUNTIFS(Sales!$H:$H,"&lt;="&amp;'Cashflow Projection'!I$5,Sales!$H:$H,"&gt;"&amp;'Cashflow Projection'!B$2,Sales!$A:$A,'Cashflow Projection'!$A19,Sales!$B:$B,'Cashflow Projection'!$B19,Sales!$F:$F,'Cashflow Projection'!$C19,Sales!$E:$E,FALSE)*$C19</f>
        <v/>
      </c>
      <c r="K19" s="28">
        <f>SUMIFS(Sales!$S:$S,Sales!$W:$W,"&lt;="&amp;'Cashflow Projection'!K$5,Sales!$E:$E,FALSE,Sales!$F:$F,'Cashflow Projection'!$C19,Sales!$A:$A,'Cashflow Projection'!$A19,Sales!$B:$B,'Cashflow Projection'!$B19,Sales!$W:$W,"&gt;"&amp;'Cashflow Projection'!I$5)*$C19</f>
        <v/>
      </c>
      <c r="L19" s="23">
        <f>COUNTIFS(Sales!$W:$W,"&lt;="&amp;'Cashflow Projection'!K$5,Sales!$W:$W,"&gt;"&amp;'Cashflow Projection'!I$5,Sales!$A:$A,'Cashflow Projection'!$A19,Sales!$B:$B,'Cashflow Projection'!$B19,Sales!$F:$F,'Cashflow Projection'!$C19,Sales!$E:$E,FALSE)*$C19</f>
        <v/>
      </c>
      <c r="M19" s="28">
        <f>SUMIFS(Sales!$S:$S,Sales!$W:$W,"&lt;="&amp;'Cashflow Projection'!M$5,Sales!$E:$E,FALSE,Sales!$F:$F,'Cashflow Projection'!$C19,Sales!$A:$A,'Cashflow Projection'!$A19,Sales!$B:$B,'Cashflow Projection'!$B19,Sales!$W:$W,"&gt;"&amp;'Cashflow Projection'!K$5)*$C19</f>
        <v/>
      </c>
      <c r="N19" s="23">
        <f>COUNTIFS(Sales!$W:$W,"&lt;="&amp;'Cashflow Projection'!M$5,Sales!$W:$W,"&gt;"&amp;'Cashflow Projection'!K$5,Sales!$A:$A,'Cashflow Projection'!$A19,Sales!$B:$B,'Cashflow Projection'!$B19,Sales!$F:$F,'Cashflow Projection'!$C19,Sales!$E:$E,FALSE)*$C19</f>
        <v/>
      </c>
      <c r="O19" s="28">
        <f>SUMIFS(Sales!$S:$S,Sales!$W:$W,"&lt;="&amp;'Cashflow Projection'!O$5,Sales!$E:$E,FALSE,Sales!$F:$F,'Cashflow Projection'!$C19,Sales!$A:$A,'Cashflow Projection'!$A19,Sales!$B:$B,'Cashflow Projection'!$B19,Sales!$W:$W,"&gt;"&amp;'Cashflow Projection'!M$5)*$C19</f>
        <v/>
      </c>
      <c r="P19" s="23">
        <f>COUNTIFS(Sales!$W:$W,"&lt;="&amp;'Cashflow Projection'!O$5,Sales!$W:$W,"&gt;"&amp;'Cashflow Projection'!M$5,Sales!$A:$A,'Cashflow Projection'!$A19,Sales!$B:$B,'Cashflow Projection'!$B19,Sales!$F:$F,'Cashflow Projection'!$C19,Sales!$E:$E,FALSE)*$C19</f>
        <v/>
      </c>
      <c r="Q19" s="28">
        <f>SUMIFS(Sales!$S:$S,Sales!$W:$W,"&lt;="&amp;'Cashflow Projection'!Q$5,Sales!$E:$E,FALSE,Sales!$F:$F,'Cashflow Projection'!$C19,Sales!$A:$A,'Cashflow Projection'!$A19,Sales!$B:$B,'Cashflow Projection'!$B19,Sales!$W:$W,"&gt;"&amp;'Cashflow Projection'!O$5)*$C19</f>
        <v/>
      </c>
      <c r="R19" s="23">
        <f>COUNTIFS(Sales!$W:$W,"&lt;="&amp;'Cashflow Projection'!Q$5,Sales!$W:$W,"&gt;"&amp;'Cashflow Projection'!O$5,Sales!$A:$A,'Cashflow Projection'!$A19,Sales!$B:$B,'Cashflow Projection'!$B19,Sales!$F:$F,'Cashflow Projection'!$C19,Sales!$E:$E,FALSE)*$C19</f>
        <v/>
      </c>
      <c r="S19" s="28">
        <f>SUMIFS(Sales!$S:$S,Sales!$W:$W,"&lt;="&amp;'Cashflow Projection'!S$5,Sales!$E:$E,FALSE,Sales!$F:$F,'Cashflow Projection'!$C19,Sales!$A:$A,'Cashflow Projection'!$A19,Sales!$B:$B,'Cashflow Projection'!$B19,Sales!$W:$W,"&gt;"&amp;'Cashflow Projection'!Q$5)*$C19</f>
        <v/>
      </c>
      <c r="T19" s="23">
        <f>COUNTIFS(Sales!$W:$W,"&lt;="&amp;'Cashflow Projection'!S$5,Sales!$W:$W,"&gt;"&amp;'Cashflow Projection'!Q$5,Sales!$A:$A,'Cashflow Projection'!$A19,Sales!$B:$B,'Cashflow Projection'!$B19,Sales!$F:$F,'Cashflow Projection'!$C19,Sales!$E:$E,FALSE)*$C19</f>
        <v/>
      </c>
      <c r="U19" s="28">
        <f>SUMIFS(Sales!$S:$S,Sales!$W:$W,"&lt;="&amp;'Cashflow Projection'!U$5,Sales!$E:$E,FALSE,Sales!$F:$F,'Cashflow Projection'!$C19,Sales!$A:$A,'Cashflow Projection'!$A19,Sales!$B:$B,'Cashflow Projection'!$B19,Sales!$W:$W,"&gt;"&amp;'Cashflow Projection'!S$5)*$C19</f>
        <v/>
      </c>
      <c r="V19" s="23">
        <f>COUNTIFS(Sales!$W:$W,"&lt;="&amp;'Cashflow Projection'!U$5,Sales!$W:$W,"&gt;"&amp;'Cashflow Projection'!S$5,Sales!$A:$A,'Cashflow Projection'!$A19,Sales!$B:$B,'Cashflow Projection'!$B19,Sales!$F:$F,'Cashflow Projection'!$C19,Sales!$E:$E,FALSE)*$C19</f>
        <v/>
      </c>
      <c r="W19" s="28">
        <f>SUMIFS(Sales!$S:$S,Sales!$W:$W,"&lt;="&amp;'Cashflow Projection'!W$5,Sales!$E:$E,FALSE,Sales!$F:$F,'Cashflow Projection'!$C19,Sales!$A:$A,'Cashflow Projection'!$A19,Sales!$B:$B,'Cashflow Projection'!$B19,Sales!$W:$W,"&gt;"&amp;'Cashflow Projection'!U$5)*$C19</f>
        <v/>
      </c>
      <c r="X19" s="23">
        <f>COUNTIFS(Sales!$W:$W,"&lt;="&amp;'Cashflow Projection'!W$5,Sales!$W:$W,"&gt;"&amp;'Cashflow Projection'!U$5,Sales!$A:$A,'Cashflow Projection'!$A19,Sales!$B:$B,'Cashflow Projection'!$B19,Sales!$F:$F,'Cashflow Projection'!$C19,Sales!$E:$E,FALSE)*$C19</f>
        <v/>
      </c>
      <c r="Y19" s="28">
        <f>SUMIFS(Sales!$S:$S,Sales!$W:$W,"&lt;="&amp;'Cashflow Projection'!Y$5,Sales!$E:$E,FALSE,Sales!$F:$F,'Cashflow Projection'!$C19,Sales!$A:$A,'Cashflow Projection'!$A19,Sales!$B:$B,'Cashflow Projection'!$B19,Sales!$W:$W,"&gt;"&amp;'Cashflow Projection'!W$5)*$C19</f>
        <v/>
      </c>
      <c r="Z19" s="23">
        <f>COUNTIFS(Sales!$W:$W,"&lt;="&amp;'Cashflow Projection'!Y$5,Sales!$W:$W,"&gt;"&amp;'Cashflow Projection'!W$5,Sales!$A:$A,'Cashflow Projection'!$A19,Sales!$B:$B,'Cashflow Projection'!$B19,Sales!$F:$F,'Cashflow Projection'!$C19,Sales!$E:$E,FALSE)*$C19</f>
        <v/>
      </c>
      <c r="AA19" s="28">
        <f>SUMIFS(Sales!$S:$S,Sales!$W:$W,"&lt;="&amp;'Cashflow Projection'!AA$5,Sales!$E:$E,FALSE,Sales!$F:$F,'Cashflow Projection'!$C19,Sales!$A:$A,'Cashflow Projection'!$A19,Sales!$B:$B,'Cashflow Projection'!$B19,Sales!$W:$W,"&gt;"&amp;'Cashflow Projection'!Y$5)*$C19</f>
        <v/>
      </c>
      <c r="AB19" s="23">
        <f>COUNTIFS(Sales!$W:$W,"&lt;="&amp;'Cashflow Projection'!AA$5,Sales!$W:$W,"&gt;"&amp;'Cashflow Projection'!Y$5,Sales!$A:$A,'Cashflow Projection'!$A19,Sales!$B:$B,'Cashflow Projection'!$B19,Sales!$F:$F,'Cashflow Projection'!$C19,Sales!$E:$E,FALSE)*$C19</f>
        <v/>
      </c>
      <c r="AC19" s="28">
        <f>SUMIFS(Sales!$S:$S,Sales!$W:$W,"&lt;="&amp;'Cashflow Projection'!AC$5,Sales!$E:$E,FALSE,Sales!$F:$F,'Cashflow Projection'!$C19,Sales!$A:$A,'Cashflow Projection'!$A19,Sales!$B:$B,'Cashflow Projection'!$B19,Sales!$W:$W,"&gt;"&amp;'Cashflow Projection'!AA$5)*$C19</f>
        <v/>
      </c>
      <c r="AD19" s="23">
        <f>COUNTIFS(Sales!$W:$W,"&lt;="&amp;'Cashflow Projection'!AC$5,Sales!$W:$W,"&gt;"&amp;'Cashflow Projection'!AA$5,Sales!$A:$A,'Cashflow Projection'!$A19,Sales!$B:$B,'Cashflow Projection'!$B19,Sales!$F:$F,'Cashflow Projection'!$C19,Sales!$E:$E,FALSE)*$C19</f>
        <v/>
      </c>
      <c r="AE19" s="28">
        <f>SUMIFS(Sales!$S:$S,Sales!$W:$W,"&lt;="&amp;'Cashflow Projection'!AE$5,Sales!$E:$E,FALSE,Sales!$F:$F,'Cashflow Projection'!$C19,Sales!$A:$A,'Cashflow Projection'!$A19,Sales!$B:$B,'Cashflow Projection'!$B19,Sales!$W:$W,"&gt;"&amp;'Cashflow Projection'!AC$5)*$C19</f>
        <v/>
      </c>
      <c r="AF19" s="26">
        <f>COUNTIFS(Sales!$W:$W,"&lt;="&amp;'Cashflow Projection'!AE$5,Sales!$W:$W,"&gt;"&amp;'Cashflow Projection'!AC$5,Sales!$A:$A,'Cashflow Projection'!$A19,Sales!$B:$B,'Cashflow Projection'!$B19,Sales!$F:$F,'Cashflow Projection'!$C19,Sales!$E:$E,FALSE)*$C19</f>
        <v/>
      </c>
    </row>
    <row r="20">
      <c r="A20" s="20" t="inlineStr">
        <is>
          <t>Heron View</t>
        </is>
      </c>
      <c r="B20" s="27" t="inlineStr">
        <is>
          <t>M</t>
        </is>
      </c>
      <c r="C20" s="27">
        <f>IF(A20&lt;&gt;"Heron View",1,IF(ISERROR(VLOOKUP($B20,$A$50:$B$62,2,FALSE)),1,SUMIFS($B$50:$B$62,$A$50:$A$62,B20)))</f>
        <v/>
      </c>
      <c r="D20" s="28">
        <f>+I20+K20+M20+O20+Q20+S20+U20+W20+Y20+AA20+AC20+AE20</f>
        <v/>
      </c>
      <c r="E20" s="23">
        <f>+J20+L20+N20+P20+R20+T20+V20+X20+Z20+AB20+AD20+AF20</f>
        <v/>
      </c>
      <c r="I20" s="28">
        <f>SUMIFS(Sales!$S:$S,Sales!$W:$W,"&lt;="&amp;'Cashflow Projection'!I$5,Sales!$E:$E,FALSE,Sales!$F:$F,'Cashflow Projection'!$C20,Sales!$A:$A,'Cashflow Projection'!$A20,Sales!$B:$B,'Cashflow Projection'!$B20,Sales!$W:$W,"&gt;"&amp;'Cashflow Projection'!B$2)*$C20</f>
        <v/>
      </c>
      <c r="J20" s="23">
        <f>COUNTIFS(Sales!$H:$H,"&lt;="&amp;'Cashflow Projection'!I$5,Sales!$H:$H,"&gt;"&amp;'Cashflow Projection'!B$2,Sales!$A:$A,'Cashflow Projection'!$A20,Sales!$B:$B,'Cashflow Projection'!$B20,Sales!$F:$F,'Cashflow Projection'!$C20,Sales!$E:$E,FALSE)*$C20</f>
        <v/>
      </c>
      <c r="K20" s="28">
        <f>SUMIFS(Sales!$S:$S,Sales!$W:$W,"&lt;="&amp;'Cashflow Projection'!K$5,Sales!$E:$E,FALSE,Sales!$F:$F,'Cashflow Projection'!$C20,Sales!$A:$A,'Cashflow Projection'!$A20,Sales!$B:$B,'Cashflow Projection'!$B20,Sales!$W:$W,"&gt;"&amp;'Cashflow Projection'!I$5)*$C20</f>
        <v/>
      </c>
      <c r="L20" s="23">
        <f>COUNTIFS(Sales!$W:$W,"&lt;="&amp;'Cashflow Projection'!K$5,Sales!$W:$W,"&gt;"&amp;'Cashflow Projection'!I$5,Sales!$A:$A,'Cashflow Projection'!$A20,Sales!$B:$B,'Cashflow Projection'!$B20,Sales!$F:$F,'Cashflow Projection'!$C20,Sales!$E:$E,FALSE)*$C20</f>
        <v/>
      </c>
      <c r="M20" s="28">
        <f>SUMIFS(Sales!$S:$S,Sales!$W:$W,"&lt;="&amp;'Cashflow Projection'!M$5,Sales!$E:$E,FALSE,Sales!$F:$F,'Cashflow Projection'!$C20,Sales!$A:$A,'Cashflow Projection'!$A20,Sales!$B:$B,'Cashflow Projection'!$B20,Sales!$W:$W,"&gt;"&amp;'Cashflow Projection'!K$5)*$C20</f>
        <v/>
      </c>
      <c r="N20" s="23">
        <f>COUNTIFS(Sales!$W:$W,"&lt;="&amp;'Cashflow Projection'!M$5,Sales!$W:$W,"&gt;"&amp;'Cashflow Projection'!K$5,Sales!$A:$A,'Cashflow Projection'!$A20,Sales!$B:$B,'Cashflow Projection'!$B20,Sales!$F:$F,'Cashflow Projection'!$C20,Sales!$E:$E,FALSE)*$C20</f>
        <v/>
      </c>
      <c r="O20" s="28">
        <f>SUMIFS(Sales!$S:$S,Sales!$W:$W,"&lt;="&amp;'Cashflow Projection'!O$5,Sales!$E:$E,FALSE,Sales!$F:$F,'Cashflow Projection'!$C20,Sales!$A:$A,'Cashflow Projection'!$A20,Sales!$B:$B,'Cashflow Projection'!$B20,Sales!$W:$W,"&gt;"&amp;'Cashflow Projection'!M$5)*$C20</f>
        <v/>
      </c>
      <c r="P20" s="23">
        <f>COUNTIFS(Sales!$W:$W,"&lt;="&amp;'Cashflow Projection'!O$5,Sales!$W:$W,"&gt;"&amp;'Cashflow Projection'!M$5,Sales!$A:$A,'Cashflow Projection'!$A20,Sales!$B:$B,'Cashflow Projection'!$B20,Sales!$F:$F,'Cashflow Projection'!$C20,Sales!$E:$E,FALSE)*$C20</f>
        <v/>
      </c>
      <c r="Q20" s="28">
        <f>SUMIFS(Sales!$S:$S,Sales!$W:$W,"&lt;="&amp;'Cashflow Projection'!Q$5,Sales!$E:$E,FALSE,Sales!$F:$F,'Cashflow Projection'!$C20,Sales!$A:$A,'Cashflow Projection'!$A20,Sales!$B:$B,'Cashflow Projection'!$B20,Sales!$W:$W,"&gt;"&amp;'Cashflow Projection'!O$5)*$C20</f>
        <v/>
      </c>
      <c r="R20" s="23">
        <f>COUNTIFS(Sales!$W:$W,"&lt;="&amp;'Cashflow Projection'!Q$5,Sales!$W:$W,"&gt;"&amp;'Cashflow Projection'!O$5,Sales!$A:$A,'Cashflow Projection'!$A20,Sales!$B:$B,'Cashflow Projection'!$B20,Sales!$F:$F,'Cashflow Projection'!$C20,Sales!$E:$E,FALSE)*$C20</f>
        <v/>
      </c>
      <c r="S20" s="28">
        <f>SUMIFS(Sales!$S:$S,Sales!$W:$W,"&lt;="&amp;'Cashflow Projection'!S$5,Sales!$E:$E,FALSE,Sales!$F:$F,'Cashflow Projection'!$C20,Sales!$A:$A,'Cashflow Projection'!$A20,Sales!$B:$B,'Cashflow Projection'!$B20,Sales!$W:$W,"&gt;"&amp;'Cashflow Projection'!Q$5)*$C20</f>
        <v/>
      </c>
      <c r="T20" s="23">
        <f>COUNTIFS(Sales!$W:$W,"&lt;="&amp;'Cashflow Projection'!S$5,Sales!$W:$W,"&gt;"&amp;'Cashflow Projection'!Q$5,Sales!$A:$A,'Cashflow Projection'!$A20,Sales!$B:$B,'Cashflow Projection'!$B20,Sales!$F:$F,'Cashflow Projection'!$C20,Sales!$E:$E,FALSE)*$C20</f>
        <v/>
      </c>
      <c r="U20" s="28">
        <f>SUMIFS(Sales!$S:$S,Sales!$W:$W,"&lt;="&amp;'Cashflow Projection'!U$5,Sales!$E:$E,FALSE,Sales!$F:$F,'Cashflow Projection'!$C20,Sales!$A:$A,'Cashflow Projection'!$A20,Sales!$B:$B,'Cashflow Projection'!$B20,Sales!$W:$W,"&gt;"&amp;'Cashflow Projection'!S$5)*$C20</f>
        <v/>
      </c>
      <c r="V20" s="23">
        <f>COUNTIFS(Sales!$W:$W,"&lt;="&amp;'Cashflow Projection'!U$5,Sales!$W:$W,"&gt;"&amp;'Cashflow Projection'!S$5,Sales!$A:$A,'Cashflow Projection'!$A20,Sales!$B:$B,'Cashflow Projection'!$B20,Sales!$F:$F,'Cashflow Projection'!$C20,Sales!$E:$E,FALSE)*$C20</f>
        <v/>
      </c>
      <c r="W20" s="28">
        <f>SUMIFS(Sales!$S:$S,Sales!$W:$W,"&lt;="&amp;'Cashflow Projection'!W$5,Sales!$E:$E,FALSE,Sales!$F:$F,'Cashflow Projection'!$C20,Sales!$A:$A,'Cashflow Projection'!$A20,Sales!$B:$B,'Cashflow Projection'!$B20,Sales!$W:$W,"&gt;"&amp;'Cashflow Projection'!U$5)*$C20</f>
        <v/>
      </c>
      <c r="X20" s="23">
        <f>COUNTIFS(Sales!$W:$W,"&lt;="&amp;'Cashflow Projection'!W$5,Sales!$W:$W,"&gt;"&amp;'Cashflow Projection'!U$5,Sales!$A:$A,'Cashflow Projection'!$A20,Sales!$B:$B,'Cashflow Projection'!$B20,Sales!$F:$F,'Cashflow Projection'!$C20,Sales!$E:$E,FALSE)*$C20</f>
        <v/>
      </c>
      <c r="Y20" s="28">
        <f>SUMIFS(Sales!$S:$S,Sales!$W:$W,"&lt;="&amp;'Cashflow Projection'!Y$5,Sales!$E:$E,FALSE,Sales!$F:$F,'Cashflow Projection'!$C20,Sales!$A:$A,'Cashflow Projection'!$A20,Sales!$B:$B,'Cashflow Projection'!$B20,Sales!$W:$W,"&gt;"&amp;'Cashflow Projection'!W$5)*$C20</f>
        <v/>
      </c>
      <c r="Z20" s="23">
        <f>COUNTIFS(Sales!$W:$W,"&lt;="&amp;'Cashflow Projection'!Y$5,Sales!$W:$W,"&gt;"&amp;'Cashflow Projection'!W$5,Sales!$A:$A,'Cashflow Projection'!$A20,Sales!$B:$B,'Cashflow Projection'!$B20,Sales!$F:$F,'Cashflow Projection'!$C20,Sales!$E:$E,FALSE)*$C20</f>
        <v/>
      </c>
      <c r="AA20" s="28">
        <f>SUMIFS(Sales!$S:$S,Sales!$W:$W,"&lt;="&amp;'Cashflow Projection'!AA$5,Sales!$E:$E,FALSE,Sales!$F:$F,'Cashflow Projection'!$C20,Sales!$A:$A,'Cashflow Projection'!$A20,Sales!$B:$B,'Cashflow Projection'!$B20,Sales!$W:$W,"&gt;"&amp;'Cashflow Projection'!Y$5)*$C20</f>
        <v/>
      </c>
      <c r="AB20" s="23">
        <f>COUNTIFS(Sales!$W:$W,"&lt;="&amp;'Cashflow Projection'!AA$5,Sales!$W:$W,"&gt;"&amp;'Cashflow Projection'!Y$5,Sales!$A:$A,'Cashflow Projection'!$A20,Sales!$B:$B,'Cashflow Projection'!$B20,Sales!$F:$F,'Cashflow Projection'!$C20,Sales!$E:$E,FALSE)*$C20</f>
        <v/>
      </c>
      <c r="AC20" s="28">
        <f>SUMIFS(Sales!$S:$S,Sales!$W:$W,"&lt;="&amp;'Cashflow Projection'!AC$5,Sales!$E:$E,FALSE,Sales!$F:$F,'Cashflow Projection'!$C20,Sales!$A:$A,'Cashflow Projection'!$A20,Sales!$B:$B,'Cashflow Projection'!$B20,Sales!$W:$W,"&gt;"&amp;'Cashflow Projection'!AA$5)*$C20</f>
        <v/>
      </c>
      <c r="AD20" s="23">
        <f>COUNTIFS(Sales!$W:$W,"&lt;="&amp;'Cashflow Projection'!AC$5,Sales!$W:$W,"&gt;"&amp;'Cashflow Projection'!AA$5,Sales!$A:$A,'Cashflow Projection'!$A20,Sales!$B:$B,'Cashflow Projection'!$B20,Sales!$F:$F,'Cashflow Projection'!$C20,Sales!$E:$E,FALSE)*$C20</f>
        <v/>
      </c>
      <c r="AE20" s="28">
        <f>SUMIFS(Sales!$S:$S,Sales!$W:$W,"&lt;="&amp;'Cashflow Projection'!AE$5,Sales!$E:$E,FALSE,Sales!$F:$F,'Cashflow Projection'!$C20,Sales!$A:$A,'Cashflow Projection'!$A20,Sales!$B:$B,'Cashflow Projection'!$B20,Sales!$W:$W,"&gt;"&amp;'Cashflow Projection'!AC$5)*$C20</f>
        <v/>
      </c>
      <c r="AF20" s="26">
        <f>COUNTIFS(Sales!$W:$W,"&lt;="&amp;'Cashflow Projection'!AE$5,Sales!$W:$W,"&gt;"&amp;'Cashflow Projection'!AC$5,Sales!$A:$A,'Cashflow Projection'!$A20,Sales!$B:$B,'Cashflow Projection'!$B20,Sales!$F:$F,'Cashflow Projection'!$C20,Sales!$E:$E,FALSE)*$C20</f>
        <v/>
      </c>
    </row>
    <row r="21">
      <c r="A21" s="20" t="inlineStr">
        <is>
          <t>Heron View</t>
        </is>
      </c>
      <c r="B21" s="27" t="inlineStr">
        <is>
          <t>N</t>
        </is>
      </c>
      <c r="C21" s="27">
        <f>IF(A21&lt;&gt;"Heron View",1,IF(ISERROR(VLOOKUP($B21,$A$50:$B$62,2,FALSE)),1,SUMIFS($B$50:$B$62,$A$50:$A$62,B21)))</f>
        <v/>
      </c>
      <c r="D21" s="28">
        <f>+I21+K21+M21+O21+Q21+S21+U21+W21+Y21+AA21+AC21+AE21</f>
        <v/>
      </c>
      <c r="E21" s="23">
        <f>+J21+L21+N21+P21+R21+T21+V21+X21+Z21+AB21+AD21+AF21</f>
        <v/>
      </c>
      <c r="I21" s="28">
        <f>SUMIFS(Sales!$S:$S,Sales!$W:$W,"&lt;="&amp;'Cashflow Projection'!I$5,Sales!$E:$E,FALSE,Sales!$F:$F,'Cashflow Projection'!$C21,Sales!$A:$A,'Cashflow Projection'!$A21,Sales!$B:$B,'Cashflow Projection'!$B21,Sales!$W:$W,"&gt;"&amp;'Cashflow Projection'!B$2)*$C21</f>
        <v/>
      </c>
      <c r="J21" s="23">
        <f>COUNTIFS(Sales!$H:$H,"&lt;="&amp;'Cashflow Projection'!I$5,Sales!$H:$H,"&gt;"&amp;'Cashflow Projection'!B$2,Sales!$A:$A,'Cashflow Projection'!$A21,Sales!$B:$B,'Cashflow Projection'!$B21,Sales!$F:$F,'Cashflow Projection'!$C21,Sales!$E:$E,FALSE)*$C21</f>
        <v/>
      </c>
      <c r="K21" s="28">
        <f>SUMIFS(Sales!$S:$S,Sales!$W:$W,"&lt;="&amp;'Cashflow Projection'!K$5,Sales!$E:$E,FALSE,Sales!$F:$F,'Cashflow Projection'!$C21,Sales!$A:$A,'Cashflow Projection'!$A21,Sales!$B:$B,'Cashflow Projection'!$B21,Sales!$W:$W,"&gt;"&amp;'Cashflow Projection'!I$5)*$C21</f>
        <v/>
      </c>
      <c r="L21" s="23">
        <f>COUNTIFS(Sales!$W:$W,"&lt;="&amp;'Cashflow Projection'!K$5,Sales!$W:$W,"&gt;"&amp;'Cashflow Projection'!I$5,Sales!$A:$A,'Cashflow Projection'!$A21,Sales!$B:$B,'Cashflow Projection'!$B21,Sales!$F:$F,'Cashflow Projection'!$C21,Sales!$E:$E,FALSE)*$C21</f>
        <v/>
      </c>
      <c r="M21" s="28">
        <f>SUMIFS(Sales!$S:$S,Sales!$W:$W,"&lt;="&amp;'Cashflow Projection'!M$5,Sales!$E:$E,FALSE,Sales!$F:$F,'Cashflow Projection'!$C21,Sales!$A:$A,'Cashflow Projection'!$A21,Sales!$B:$B,'Cashflow Projection'!$B21,Sales!$W:$W,"&gt;"&amp;'Cashflow Projection'!K$5)*$C21</f>
        <v/>
      </c>
      <c r="N21" s="23">
        <f>COUNTIFS(Sales!$W:$W,"&lt;="&amp;'Cashflow Projection'!M$5,Sales!$W:$W,"&gt;"&amp;'Cashflow Projection'!K$5,Sales!$A:$A,'Cashflow Projection'!$A21,Sales!$B:$B,'Cashflow Projection'!$B21,Sales!$F:$F,'Cashflow Projection'!$C21,Sales!$E:$E,FALSE)*$C21</f>
        <v/>
      </c>
      <c r="O21" s="28">
        <f>SUMIFS(Sales!$S:$S,Sales!$W:$W,"&lt;="&amp;'Cashflow Projection'!O$5,Sales!$E:$E,FALSE,Sales!$F:$F,'Cashflow Projection'!$C21,Sales!$A:$A,'Cashflow Projection'!$A21,Sales!$B:$B,'Cashflow Projection'!$B21,Sales!$W:$W,"&gt;"&amp;'Cashflow Projection'!M$5)*$C21</f>
        <v/>
      </c>
      <c r="P21" s="23">
        <f>COUNTIFS(Sales!$W:$W,"&lt;="&amp;'Cashflow Projection'!O$5,Sales!$W:$W,"&gt;"&amp;'Cashflow Projection'!M$5,Sales!$A:$A,'Cashflow Projection'!$A21,Sales!$B:$B,'Cashflow Projection'!$B21,Sales!$F:$F,'Cashflow Projection'!$C21,Sales!$E:$E,FALSE)*$C21</f>
        <v/>
      </c>
      <c r="Q21" s="28">
        <f>SUMIFS(Sales!$S:$S,Sales!$W:$W,"&lt;="&amp;'Cashflow Projection'!Q$5,Sales!$E:$E,FALSE,Sales!$F:$F,'Cashflow Projection'!$C21,Sales!$A:$A,'Cashflow Projection'!$A21,Sales!$B:$B,'Cashflow Projection'!$B21,Sales!$W:$W,"&gt;"&amp;'Cashflow Projection'!O$5)*$C21</f>
        <v/>
      </c>
      <c r="R21" s="23">
        <f>COUNTIFS(Sales!$W:$W,"&lt;="&amp;'Cashflow Projection'!Q$5,Sales!$W:$W,"&gt;"&amp;'Cashflow Projection'!O$5,Sales!$A:$A,'Cashflow Projection'!$A21,Sales!$B:$B,'Cashflow Projection'!$B21,Sales!$F:$F,'Cashflow Projection'!$C21,Sales!$E:$E,FALSE)*$C21</f>
        <v/>
      </c>
      <c r="S21" s="28">
        <f>SUMIFS(Sales!$S:$S,Sales!$W:$W,"&lt;="&amp;'Cashflow Projection'!S$5,Sales!$E:$E,FALSE,Sales!$F:$F,'Cashflow Projection'!$C21,Sales!$A:$A,'Cashflow Projection'!$A21,Sales!$B:$B,'Cashflow Projection'!$B21,Sales!$W:$W,"&gt;"&amp;'Cashflow Projection'!Q$5)*$C21</f>
        <v/>
      </c>
      <c r="T21" s="23">
        <f>COUNTIFS(Sales!$W:$W,"&lt;="&amp;'Cashflow Projection'!S$5,Sales!$W:$W,"&gt;"&amp;'Cashflow Projection'!Q$5,Sales!$A:$A,'Cashflow Projection'!$A21,Sales!$B:$B,'Cashflow Projection'!$B21,Sales!$F:$F,'Cashflow Projection'!$C21,Sales!$E:$E,FALSE)*$C21</f>
        <v/>
      </c>
      <c r="U21" s="28">
        <f>SUMIFS(Sales!$S:$S,Sales!$W:$W,"&lt;="&amp;'Cashflow Projection'!U$5,Sales!$E:$E,FALSE,Sales!$F:$F,'Cashflow Projection'!$C21,Sales!$A:$A,'Cashflow Projection'!$A21,Sales!$B:$B,'Cashflow Projection'!$B21,Sales!$W:$W,"&gt;"&amp;'Cashflow Projection'!S$5)*$C21</f>
        <v/>
      </c>
      <c r="V21" s="23">
        <f>COUNTIFS(Sales!$W:$W,"&lt;="&amp;'Cashflow Projection'!U$5,Sales!$W:$W,"&gt;"&amp;'Cashflow Projection'!S$5,Sales!$A:$A,'Cashflow Projection'!$A21,Sales!$B:$B,'Cashflow Projection'!$B21,Sales!$F:$F,'Cashflow Projection'!$C21,Sales!$E:$E,FALSE)*$C21</f>
        <v/>
      </c>
      <c r="W21" s="28">
        <f>SUMIFS(Sales!$S:$S,Sales!$W:$W,"&lt;="&amp;'Cashflow Projection'!W$5,Sales!$E:$E,FALSE,Sales!$F:$F,'Cashflow Projection'!$C21,Sales!$A:$A,'Cashflow Projection'!$A21,Sales!$B:$B,'Cashflow Projection'!$B21,Sales!$W:$W,"&gt;"&amp;'Cashflow Projection'!U$5)*$C21</f>
        <v/>
      </c>
      <c r="X21" s="23">
        <f>COUNTIFS(Sales!$W:$W,"&lt;="&amp;'Cashflow Projection'!W$5,Sales!$W:$W,"&gt;"&amp;'Cashflow Projection'!U$5,Sales!$A:$A,'Cashflow Projection'!$A21,Sales!$B:$B,'Cashflow Projection'!$B21,Sales!$F:$F,'Cashflow Projection'!$C21,Sales!$E:$E,FALSE)*$C21</f>
        <v/>
      </c>
      <c r="Y21" s="28">
        <f>SUMIFS(Sales!$S:$S,Sales!$W:$W,"&lt;="&amp;'Cashflow Projection'!Y$5,Sales!$E:$E,FALSE,Sales!$F:$F,'Cashflow Projection'!$C21,Sales!$A:$A,'Cashflow Projection'!$A21,Sales!$B:$B,'Cashflow Projection'!$B21,Sales!$W:$W,"&gt;"&amp;'Cashflow Projection'!W$5)*$C21</f>
        <v/>
      </c>
      <c r="Z21" s="23">
        <f>COUNTIFS(Sales!$W:$W,"&lt;="&amp;'Cashflow Projection'!Y$5,Sales!$W:$W,"&gt;"&amp;'Cashflow Projection'!W$5,Sales!$A:$A,'Cashflow Projection'!$A21,Sales!$B:$B,'Cashflow Projection'!$B21,Sales!$F:$F,'Cashflow Projection'!$C21,Sales!$E:$E,FALSE)*$C21</f>
        <v/>
      </c>
      <c r="AA21" s="28">
        <f>SUMIFS(Sales!$S:$S,Sales!$W:$W,"&lt;="&amp;'Cashflow Projection'!AA$5,Sales!$E:$E,FALSE,Sales!$F:$F,'Cashflow Projection'!$C21,Sales!$A:$A,'Cashflow Projection'!$A21,Sales!$B:$B,'Cashflow Projection'!$B21,Sales!$W:$W,"&gt;"&amp;'Cashflow Projection'!Y$5)*$C21</f>
        <v/>
      </c>
      <c r="AB21" s="23">
        <f>COUNTIFS(Sales!$W:$W,"&lt;="&amp;'Cashflow Projection'!AA$5,Sales!$W:$W,"&gt;"&amp;'Cashflow Projection'!Y$5,Sales!$A:$A,'Cashflow Projection'!$A21,Sales!$B:$B,'Cashflow Projection'!$B21,Sales!$F:$F,'Cashflow Projection'!$C21,Sales!$E:$E,FALSE)*$C21</f>
        <v/>
      </c>
      <c r="AC21" s="28">
        <f>SUMIFS(Sales!$S:$S,Sales!$W:$W,"&lt;="&amp;'Cashflow Projection'!AC$5,Sales!$E:$E,FALSE,Sales!$F:$F,'Cashflow Projection'!$C21,Sales!$A:$A,'Cashflow Projection'!$A21,Sales!$B:$B,'Cashflow Projection'!$B21,Sales!$W:$W,"&gt;"&amp;'Cashflow Projection'!AA$5)*$C21</f>
        <v/>
      </c>
      <c r="AD21" s="23">
        <f>COUNTIFS(Sales!$W:$W,"&lt;="&amp;'Cashflow Projection'!AC$5,Sales!$W:$W,"&gt;"&amp;'Cashflow Projection'!AA$5,Sales!$A:$A,'Cashflow Projection'!$A21,Sales!$B:$B,'Cashflow Projection'!$B21,Sales!$F:$F,'Cashflow Projection'!$C21,Sales!$E:$E,FALSE)*$C21</f>
        <v/>
      </c>
      <c r="AE21" s="28">
        <f>SUMIFS(Sales!$S:$S,Sales!$W:$W,"&lt;="&amp;'Cashflow Projection'!AE$5,Sales!$E:$E,FALSE,Sales!$F:$F,'Cashflow Projection'!$C21,Sales!$A:$A,'Cashflow Projection'!$A21,Sales!$B:$B,'Cashflow Projection'!$B21,Sales!$W:$W,"&gt;"&amp;'Cashflow Projection'!AC$5)*$C21</f>
        <v/>
      </c>
      <c r="AF21" s="26">
        <f>COUNTIFS(Sales!$W:$W,"&lt;="&amp;'Cashflow Projection'!AE$5,Sales!$W:$W,"&gt;"&amp;'Cashflow Projection'!AC$5,Sales!$A:$A,'Cashflow Projection'!$A21,Sales!$B:$B,'Cashflow Projection'!$B21,Sales!$F:$F,'Cashflow Projection'!$C21,Sales!$E:$E,FALSE)*$C21</f>
        <v/>
      </c>
    </row>
    <row r="22">
      <c r="A22" s="20" t="inlineStr">
        <is>
          <t>Heron View</t>
        </is>
      </c>
      <c r="B22" s="27" t="inlineStr">
        <is>
          <t>O</t>
        </is>
      </c>
      <c r="C22" s="27">
        <f>IF(A22&lt;&gt;"Heron View",1,IF(ISERROR(VLOOKUP($B22,$A$50:$B$62,2,FALSE)),1,SUMIFS($B$50:$B$62,$A$50:$A$62,B22)))</f>
        <v/>
      </c>
      <c r="D22" s="28">
        <f>+I22+K22+M22+O22+Q22+S22+U22+W22+Y22+AA22+AC22+AE22</f>
        <v/>
      </c>
      <c r="E22" s="23">
        <f>+J22+L22+N22+P22+R22+T22+V22+X22+Z22+AB22+AD22+AF22</f>
        <v/>
      </c>
      <c r="I22" s="28">
        <f>SUMIFS(Sales!$S:$S,Sales!$W:$W,"&lt;="&amp;'Cashflow Projection'!I$5,Sales!$E:$E,FALSE,Sales!$F:$F,'Cashflow Projection'!$C22,Sales!$A:$A,'Cashflow Projection'!$A22,Sales!$B:$B,'Cashflow Projection'!$B22,Sales!$W:$W,"&gt;"&amp;'Cashflow Projection'!B$2)*$C22</f>
        <v/>
      </c>
      <c r="J22" s="23">
        <f>COUNTIFS(Sales!$H:$H,"&lt;="&amp;'Cashflow Projection'!I$5,Sales!$H:$H,"&gt;"&amp;'Cashflow Projection'!B$2,Sales!$A:$A,'Cashflow Projection'!$A22,Sales!$B:$B,'Cashflow Projection'!$B22,Sales!$F:$F,'Cashflow Projection'!$C22,Sales!$E:$E,FALSE)*$C22</f>
        <v/>
      </c>
      <c r="K22" s="28">
        <f>SUMIFS(Sales!$S:$S,Sales!$W:$W,"&lt;="&amp;'Cashflow Projection'!K$5,Sales!$E:$E,FALSE,Sales!$F:$F,'Cashflow Projection'!$C22,Sales!$A:$A,'Cashflow Projection'!$A22,Sales!$B:$B,'Cashflow Projection'!$B22,Sales!$W:$W,"&gt;"&amp;'Cashflow Projection'!I$5)*$C22</f>
        <v/>
      </c>
      <c r="L22" s="23">
        <f>COUNTIFS(Sales!$W:$W,"&lt;="&amp;'Cashflow Projection'!K$5,Sales!$W:$W,"&gt;"&amp;'Cashflow Projection'!I$5,Sales!$A:$A,'Cashflow Projection'!$A22,Sales!$B:$B,'Cashflow Projection'!$B22,Sales!$F:$F,'Cashflow Projection'!$C22,Sales!$E:$E,FALSE)*$C22</f>
        <v/>
      </c>
      <c r="M22" s="28">
        <f>SUMIFS(Sales!$S:$S,Sales!$W:$W,"&lt;="&amp;'Cashflow Projection'!M$5,Sales!$E:$E,FALSE,Sales!$F:$F,'Cashflow Projection'!$C22,Sales!$A:$A,'Cashflow Projection'!$A22,Sales!$B:$B,'Cashflow Projection'!$B22,Sales!$W:$W,"&gt;"&amp;'Cashflow Projection'!K$5)*$C22</f>
        <v/>
      </c>
      <c r="N22" s="23">
        <f>COUNTIFS(Sales!$W:$W,"&lt;="&amp;'Cashflow Projection'!M$5,Sales!$W:$W,"&gt;"&amp;'Cashflow Projection'!K$5,Sales!$A:$A,'Cashflow Projection'!$A22,Sales!$B:$B,'Cashflow Projection'!$B22,Sales!$F:$F,'Cashflow Projection'!$C22,Sales!$E:$E,FALSE)*$C22</f>
        <v/>
      </c>
      <c r="O22" s="28">
        <f>SUMIFS(Sales!$S:$S,Sales!$W:$W,"&lt;="&amp;'Cashflow Projection'!O$5,Sales!$E:$E,FALSE,Sales!$F:$F,'Cashflow Projection'!$C22,Sales!$A:$A,'Cashflow Projection'!$A22,Sales!$B:$B,'Cashflow Projection'!$B22,Sales!$W:$W,"&gt;"&amp;'Cashflow Projection'!M$5)*$C22</f>
        <v/>
      </c>
      <c r="P22" s="23">
        <f>COUNTIFS(Sales!$W:$W,"&lt;="&amp;'Cashflow Projection'!O$5,Sales!$W:$W,"&gt;"&amp;'Cashflow Projection'!M$5,Sales!$A:$A,'Cashflow Projection'!$A22,Sales!$B:$B,'Cashflow Projection'!$B22,Sales!$F:$F,'Cashflow Projection'!$C22,Sales!$E:$E,FALSE)*$C22</f>
        <v/>
      </c>
      <c r="Q22" s="28">
        <f>SUMIFS(Sales!$S:$S,Sales!$W:$W,"&lt;="&amp;'Cashflow Projection'!Q$5,Sales!$E:$E,FALSE,Sales!$F:$F,'Cashflow Projection'!$C22,Sales!$A:$A,'Cashflow Projection'!$A22,Sales!$B:$B,'Cashflow Projection'!$B22,Sales!$W:$W,"&gt;"&amp;'Cashflow Projection'!O$5)*$C22</f>
        <v/>
      </c>
      <c r="R22" s="23">
        <f>COUNTIFS(Sales!$W:$W,"&lt;="&amp;'Cashflow Projection'!Q$5,Sales!$W:$W,"&gt;"&amp;'Cashflow Projection'!O$5,Sales!$A:$A,'Cashflow Projection'!$A22,Sales!$B:$B,'Cashflow Projection'!$B22,Sales!$F:$F,'Cashflow Projection'!$C22,Sales!$E:$E,FALSE)*$C22</f>
        <v/>
      </c>
      <c r="S22" s="28">
        <f>SUMIFS(Sales!$S:$S,Sales!$W:$W,"&lt;="&amp;'Cashflow Projection'!S$5,Sales!$E:$E,FALSE,Sales!$F:$F,'Cashflow Projection'!$C22,Sales!$A:$A,'Cashflow Projection'!$A22,Sales!$B:$B,'Cashflow Projection'!$B22,Sales!$W:$W,"&gt;"&amp;'Cashflow Projection'!Q$5)*$C22</f>
        <v/>
      </c>
      <c r="T22" s="23">
        <f>COUNTIFS(Sales!$W:$W,"&lt;="&amp;'Cashflow Projection'!S$5,Sales!$W:$W,"&gt;"&amp;'Cashflow Projection'!Q$5,Sales!$A:$A,'Cashflow Projection'!$A22,Sales!$B:$B,'Cashflow Projection'!$B22,Sales!$F:$F,'Cashflow Projection'!$C22,Sales!$E:$E,FALSE)*$C22</f>
        <v/>
      </c>
      <c r="U22" s="28">
        <f>SUMIFS(Sales!$S:$S,Sales!$W:$W,"&lt;="&amp;'Cashflow Projection'!U$5,Sales!$E:$E,FALSE,Sales!$F:$F,'Cashflow Projection'!$C22,Sales!$A:$A,'Cashflow Projection'!$A22,Sales!$B:$B,'Cashflow Projection'!$B22,Sales!$W:$W,"&gt;"&amp;'Cashflow Projection'!S$5)*$C22</f>
        <v/>
      </c>
      <c r="V22" s="23">
        <f>COUNTIFS(Sales!$W:$W,"&lt;="&amp;'Cashflow Projection'!U$5,Sales!$W:$W,"&gt;"&amp;'Cashflow Projection'!S$5,Sales!$A:$A,'Cashflow Projection'!$A22,Sales!$B:$B,'Cashflow Projection'!$B22,Sales!$F:$F,'Cashflow Projection'!$C22,Sales!$E:$E,FALSE)*$C22</f>
        <v/>
      </c>
      <c r="W22" s="28">
        <f>SUMIFS(Sales!$S:$S,Sales!$W:$W,"&lt;="&amp;'Cashflow Projection'!W$5,Sales!$E:$E,FALSE,Sales!$F:$F,'Cashflow Projection'!$C22,Sales!$A:$A,'Cashflow Projection'!$A22,Sales!$B:$B,'Cashflow Projection'!$B22,Sales!$W:$W,"&gt;"&amp;'Cashflow Projection'!U$5)*$C22</f>
        <v/>
      </c>
      <c r="X22" s="23">
        <f>COUNTIFS(Sales!$W:$W,"&lt;="&amp;'Cashflow Projection'!W$5,Sales!$W:$W,"&gt;"&amp;'Cashflow Projection'!U$5,Sales!$A:$A,'Cashflow Projection'!$A22,Sales!$B:$B,'Cashflow Projection'!$B22,Sales!$F:$F,'Cashflow Projection'!$C22,Sales!$E:$E,FALSE)*$C22</f>
        <v/>
      </c>
      <c r="Y22" s="28">
        <f>SUMIFS(Sales!$S:$S,Sales!$W:$W,"&lt;="&amp;'Cashflow Projection'!Y$5,Sales!$E:$E,FALSE,Sales!$F:$F,'Cashflow Projection'!$C22,Sales!$A:$A,'Cashflow Projection'!$A22,Sales!$B:$B,'Cashflow Projection'!$B22,Sales!$W:$W,"&gt;"&amp;'Cashflow Projection'!W$5)*$C22</f>
        <v/>
      </c>
      <c r="Z22" s="23">
        <f>COUNTIFS(Sales!$W:$W,"&lt;="&amp;'Cashflow Projection'!Y$5,Sales!$W:$W,"&gt;"&amp;'Cashflow Projection'!W$5,Sales!$A:$A,'Cashflow Projection'!$A22,Sales!$B:$B,'Cashflow Projection'!$B22,Sales!$F:$F,'Cashflow Projection'!$C22,Sales!$E:$E,FALSE)*$C22</f>
        <v/>
      </c>
      <c r="AA22" s="28">
        <f>SUMIFS(Sales!$S:$S,Sales!$W:$W,"&lt;="&amp;'Cashflow Projection'!AA$5,Sales!$E:$E,FALSE,Sales!$F:$F,'Cashflow Projection'!$C22,Sales!$A:$A,'Cashflow Projection'!$A22,Sales!$B:$B,'Cashflow Projection'!$B22,Sales!$W:$W,"&gt;"&amp;'Cashflow Projection'!Y$5)*$C22</f>
        <v/>
      </c>
      <c r="AB22" s="23">
        <f>COUNTIFS(Sales!$W:$W,"&lt;="&amp;'Cashflow Projection'!AA$5,Sales!$W:$W,"&gt;"&amp;'Cashflow Projection'!Y$5,Sales!$A:$A,'Cashflow Projection'!$A22,Sales!$B:$B,'Cashflow Projection'!$B22,Sales!$F:$F,'Cashflow Projection'!$C22,Sales!$E:$E,FALSE)*$C22</f>
        <v/>
      </c>
      <c r="AC22" s="28">
        <f>SUMIFS(Sales!$S:$S,Sales!$W:$W,"&lt;="&amp;'Cashflow Projection'!AC$5,Sales!$E:$E,FALSE,Sales!$F:$F,'Cashflow Projection'!$C22,Sales!$A:$A,'Cashflow Projection'!$A22,Sales!$B:$B,'Cashflow Projection'!$B22,Sales!$W:$W,"&gt;"&amp;'Cashflow Projection'!AA$5)*$C22</f>
        <v/>
      </c>
      <c r="AD22" s="23">
        <f>COUNTIFS(Sales!$W:$W,"&lt;="&amp;'Cashflow Projection'!AC$5,Sales!$W:$W,"&gt;"&amp;'Cashflow Projection'!AA$5,Sales!$A:$A,'Cashflow Projection'!$A22,Sales!$B:$B,'Cashflow Projection'!$B22,Sales!$F:$F,'Cashflow Projection'!$C22,Sales!$E:$E,FALSE)*$C22</f>
        <v/>
      </c>
      <c r="AE22" s="28">
        <f>SUMIFS(Sales!$S:$S,Sales!$W:$W,"&lt;="&amp;'Cashflow Projection'!AE$5,Sales!$E:$E,FALSE,Sales!$F:$F,'Cashflow Projection'!$C22,Sales!$A:$A,'Cashflow Projection'!$A22,Sales!$B:$B,'Cashflow Projection'!$B22,Sales!$W:$W,"&gt;"&amp;'Cashflow Projection'!AC$5)*$C22</f>
        <v/>
      </c>
      <c r="AF22" s="26">
        <f>COUNTIFS(Sales!$W:$W,"&lt;="&amp;'Cashflow Projection'!AE$5,Sales!$W:$W,"&gt;"&amp;'Cashflow Projection'!AC$5,Sales!$A:$A,'Cashflow Projection'!$A22,Sales!$B:$B,'Cashflow Projection'!$B22,Sales!$F:$F,'Cashflow Projection'!$C22,Sales!$E:$E,FALSE)*$C22</f>
        <v/>
      </c>
    </row>
    <row r="23">
      <c r="A23" s="20" t="inlineStr">
        <is>
          <t>Heron View</t>
        </is>
      </c>
      <c r="B23" s="27" t="inlineStr">
        <is>
          <t>P</t>
        </is>
      </c>
      <c r="C23" s="27">
        <f>IF(A23&lt;&gt;"Heron View",1,IF(ISERROR(VLOOKUP($B23,$A$50:$B$62,2,FALSE)),1,SUMIFS($B$50:$B$62,$A$50:$A$62,B23)))</f>
        <v/>
      </c>
      <c r="D23" s="28">
        <f>+I23+K23+M23+O23+Q23+S23+U23+W23+Y23+AA23+AC23+AE23</f>
        <v/>
      </c>
      <c r="E23" s="23">
        <f>+J23+L23+N23+P23+R23+T23+V23+X23+Z23+AB23+AD23+AF23</f>
        <v/>
      </c>
      <c r="I23" s="28">
        <f>SUMIFS(Sales!$S:$S,Sales!$W:$W,"&lt;="&amp;'Cashflow Projection'!I$5,Sales!$E:$E,FALSE,Sales!$F:$F,'Cashflow Projection'!$C23,Sales!$A:$A,'Cashflow Projection'!$A23,Sales!$B:$B,'Cashflow Projection'!$B23,Sales!$W:$W,"&gt;"&amp;'Cashflow Projection'!B$2)*$C23</f>
        <v/>
      </c>
      <c r="J23" s="23">
        <f>COUNTIFS(Sales!$H:$H,"&lt;="&amp;'Cashflow Projection'!I$5,Sales!$H:$H,"&gt;"&amp;'Cashflow Projection'!B$2,Sales!$A:$A,'Cashflow Projection'!$A23,Sales!$B:$B,'Cashflow Projection'!$B23,Sales!$F:$F,'Cashflow Projection'!$C23,Sales!$E:$E,FALSE)*$C23</f>
        <v/>
      </c>
      <c r="K23" s="28">
        <f>SUMIFS(Sales!$S:$S,Sales!$W:$W,"&lt;="&amp;'Cashflow Projection'!K$5,Sales!$E:$E,FALSE,Sales!$F:$F,'Cashflow Projection'!$C23,Sales!$A:$A,'Cashflow Projection'!$A23,Sales!$B:$B,'Cashflow Projection'!$B23,Sales!$W:$W,"&gt;"&amp;'Cashflow Projection'!I$5)*$C23</f>
        <v/>
      </c>
      <c r="L23" s="23">
        <f>COUNTIFS(Sales!$W:$W,"&lt;="&amp;'Cashflow Projection'!K$5,Sales!$W:$W,"&gt;"&amp;'Cashflow Projection'!I$5,Sales!$A:$A,'Cashflow Projection'!$A23,Sales!$B:$B,'Cashflow Projection'!$B23,Sales!$F:$F,'Cashflow Projection'!$C23,Sales!$E:$E,FALSE)*$C23</f>
        <v/>
      </c>
      <c r="M23" s="28">
        <f>SUMIFS(Sales!$S:$S,Sales!$W:$W,"&lt;="&amp;'Cashflow Projection'!M$5,Sales!$E:$E,FALSE,Sales!$F:$F,'Cashflow Projection'!$C23,Sales!$A:$A,'Cashflow Projection'!$A23,Sales!$B:$B,'Cashflow Projection'!$B23,Sales!$W:$W,"&gt;"&amp;'Cashflow Projection'!K$5)*$C23</f>
        <v/>
      </c>
      <c r="N23" s="23">
        <f>COUNTIFS(Sales!$W:$W,"&lt;="&amp;'Cashflow Projection'!M$5,Sales!$W:$W,"&gt;"&amp;'Cashflow Projection'!K$5,Sales!$A:$A,'Cashflow Projection'!$A23,Sales!$B:$B,'Cashflow Projection'!$B23,Sales!$F:$F,'Cashflow Projection'!$C23,Sales!$E:$E,FALSE)*$C23</f>
        <v/>
      </c>
      <c r="O23" s="28">
        <f>SUMIFS(Sales!$S:$S,Sales!$W:$W,"&lt;="&amp;'Cashflow Projection'!O$5,Sales!$E:$E,FALSE,Sales!$F:$F,'Cashflow Projection'!$C23,Sales!$A:$A,'Cashflow Projection'!$A23,Sales!$B:$B,'Cashflow Projection'!$B23,Sales!$W:$W,"&gt;"&amp;'Cashflow Projection'!M$5)*$C23</f>
        <v/>
      </c>
      <c r="P23" s="23">
        <f>COUNTIFS(Sales!$W:$W,"&lt;="&amp;'Cashflow Projection'!O$5,Sales!$W:$W,"&gt;"&amp;'Cashflow Projection'!M$5,Sales!$A:$A,'Cashflow Projection'!$A23,Sales!$B:$B,'Cashflow Projection'!$B23,Sales!$F:$F,'Cashflow Projection'!$C23,Sales!$E:$E,FALSE)*$C23</f>
        <v/>
      </c>
      <c r="Q23" s="28">
        <f>SUMIFS(Sales!$S:$S,Sales!$W:$W,"&lt;="&amp;'Cashflow Projection'!Q$5,Sales!$E:$E,FALSE,Sales!$F:$F,'Cashflow Projection'!$C23,Sales!$A:$A,'Cashflow Projection'!$A23,Sales!$B:$B,'Cashflow Projection'!$B23,Sales!$W:$W,"&gt;"&amp;'Cashflow Projection'!O$5)*$C23</f>
        <v/>
      </c>
      <c r="R23" s="23">
        <f>COUNTIFS(Sales!$W:$W,"&lt;="&amp;'Cashflow Projection'!Q$5,Sales!$W:$W,"&gt;"&amp;'Cashflow Projection'!O$5,Sales!$A:$A,'Cashflow Projection'!$A23,Sales!$B:$B,'Cashflow Projection'!$B23,Sales!$F:$F,'Cashflow Projection'!$C23,Sales!$E:$E,FALSE)*$C23</f>
        <v/>
      </c>
      <c r="S23" s="28">
        <f>SUMIFS(Sales!$S:$S,Sales!$W:$W,"&lt;="&amp;'Cashflow Projection'!S$5,Sales!$E:$E,FALSE,Sales!$F:$F,'Cashflow Projection'!$C23,Sales!$A:$A,'Cashflow Projection'!$A23,Sales!$B:$B,'Cashflow Projection'!$B23,Sales!$W:$W,"&gt;"&amp;'Cashflow Projection'!Q$5)*$C23</f>
        <v/>
      </c>
      <c r="T23" s="23">
        <f>COUNTIFS(Sales!$W:$W,"&lt;="&amp;'Cashflow Projection'!S$5,Sales!$W:$W,"&gt;"&amp;'Cashflow Projection'!Q$5,Sales!$A:$A,'Cashflow Projection'!$A23,Sales!$B:$B,'Cashflow Projection'!$B23,Sales!$F:$F,'Cashflow Projection'!$C23,Sales!$E:$E,FALSE)*$C23</f>
        <v/>
      </c>
      <c r="U23" s="28">
        <f>SUMIFS(Sales!$S:$S,Sales!$W:$W,"&lt;="&amp;'Cashflow Projection'!U$5,Sales!$E:$E,FALSE,Sales!$F:$F,'Cashflow Projection'!$C23,Sales!$A:$A,'Cashflow Projection'!$A23,Sales!$B:$B,'Cashflow Projection'!$B23,Sales!$W:$W,"&gt;"&amp;'Cashflow Projection'!S$5)*$C23</f>
        <v/>
      </c>
      <c r="V23" s="23">
        <f>COUNTIFS(Sales!$W:$W,"&lt;="&amp;'Cashflow Projection'!U$5,Sales!$W:$W,"&gt;"&amp;'Cashflow Projection'!S$5,Sales!$A:$A,'Cashflow Projection'!$A23,Sales!$B:$B,'Cashflow Projection'!$B23,Sales!$F:$F,'Cashflow Projection'!$C23,Sales!$E:$E,FALSE)*$C23</f>
        <v/>
      </c>
      <c r="W23" s="28">
        <f>SUMIFS(Sales!$S:$S,Sales!$W:$W,"&lt;="&amp;'Cashflow Projection'!W$5,Sales!$E:$E,FALSE,Sales!$F:$F,'Cashflow Projection'!$C23,Sales!$A:$A,'Cashflow Projection'!$A23,Sales!$B:$B,'Cashflow Projection'!$B23,Sales!$W:$W,"&gt;"&amp;'Cashflow Projection'!U$5)*$C23</f>
        <v/>
      </c>
      <c r="X23" s="23">
        <f>COUNTIFS(Sales!$W:$W,"&lt;="&amp;'Cashflow Projection'!W$5,Sales!$W:$W,"&gt;"&amp;'Cashflow Projection'!U$5,Sales!$A:$A,'Cashflow Projection'!$A23,Sales!$B:$B,'Cashflow Projection'!$B23,Sales!$F:$F,'Cashflow Projection'!$C23,Sales!$E:$E,FALSE)*$C23</f>
        <v/>
      </c>
      <c r="Y23" s="28">
        <f>SUMIFS(Sales!$S:$S,Sales!$W:$W,"&lt;="&amp;'Cashflow Projection'!Y$5,Sales!$E:$E,FALSE,Sales!$F:$F,'Cashflow Projection'!$C23,Sales!$A:$A,'Cashflow Projection'!$A23,Sales!$B:$B,'Cashflow Projection'!$B23,Sales!$W:$W,"&gt;"&amp;'Cashflow Projection'!W$5)*$C23</f>
        <v/>
      </c>
      <c r="Z23" s="23">
        <f>COUNTIFS(Sales!$W:$W,"&lt;="&amp;'Cashflow Projection'!Y$5,Sales!$W:$W,"&gt;"&amp;'Cashflow Projection'!W$5,Sales!$A:$A,'Cashflow Projection'!$A23,Sales!$B:$B,'Cashflow Projection'!$B23,Sales!$F:$F,'Cashflow Projection'!$C23,Sales!$E:$E,FALSE)*$C23</f>
        <v/>
      </c>
      <c r="AA23" s="28">
        <f>SUMIFS(Sales!$S:$S,Sales!$W:$W,"&lt;="&amp;'Cashflow Projection'!AA$5,Sales!$E:$E,FALSE,Sales!$F:$F,'Cashflow Projection'!$C23,Sales!$A:$A,'Cashflow Projection'!$A23,Sales!$B:$B,'Cashflow Projection'!$B23,Sales!$W:$W,"&gt;"&amp;'Cashflow Projection'!Y$5)*$C23</f>
        <v/>
      </c>
      <c r="AB23" s="23">
        <f>COUNTIFS(Sales!$W:$W,"&lt;="&amp;'Cashflow Projection'!AA$5,Sales!$W:$W,"&gt;"&amp;'Cashflow Projection'!Y$5,Sales!$A:$A,'Cashflow Projection'!$A23,Sales!$B:$B,'Cashflow Projection'!$B23,Sales!$F:$F,'Cashflow Projection'!$C23,Sales!$E:$E,FALSE)*$C23</f>
        <v/>
      </c>
      <c r="AC23" s="28">
        <f>SUMIFS(Sales!$S:$S,Sales!$W:$W,"&lt;="&amp;'Cashflow Projection'!AC$5,Sales!$E:$E,FALSE,Sales!$F:$F,'Cashflow Projection'!$C23,Sales!$A:$A,'Cashflow Projection'!$A23,Sales!$B:$B,'Cashflow Projection'!$B23,Sales!$W:$W,"&gt;"&amp;'Cashflow Projection'!AA$5)*$C23</f>
        <v/>
      </c>
      <c r="AD23" s="23">
        <f>COUNTIFS(Sales!$W:$W,"&lt;="&amp;'Cashflow Projection'!AC$5,Sales!$W:$W,"&gt;"&amp;'Cashflow Projection'!AA$5,Sales!$A:$A,'Cashflow Projection'!$A23,Sales!$B:$B,'Cashflow Projection'!$B23,Sales!$F:$F,'Cashflow Projection'!$C23,Sales!$E:$E,FALSE)*$C23</f>
        <v/>
      </c>
      <c r="AE23" s="28">
        <f>SUMIFS(Sales!$S:$S,Sales!$W:$W,"&lt;="&amp;'Cashflow Projection'!AE$5,Sales!$E:$E,FALSE,Sales!$F:$F,'Cashflow Projection'!$C23,Sales!$A:$A,'Cashflow Projection'!$A23,Sales!$B:$B,'Cashflow Projection'!$B23,Sales!$W:$W,"&gt;"&amp;'Cashflow Projection'!AC$5)*$C23</f>
        <v/>
      </c>
      <c r="AF23" s="26">
        <f>COUNTIFS(Sales!$W:$W,"&lt;="&amp;'Cashflow Projection'!AE$5,Sales!$W:$W,"&gt;"&amp;'Cashflow Projection'!AC$5,Sales!$A:$A,'Cashflow Projection'!$A23,Sales!$B:$B,'Cashflow Projection'!$B23,Sales!$F:$F,'Cashflow Projection'!$C23,Sales!$E:$E,FALSE)*$C23</f>
        <v/>
      </c>
    </row>
    <row r="24">
      <c r="A24" s="20" t="n"/>
      <c r="B24" s="29" t="n"/>
      <c r="C24" s="29" t="n"/>
      <c r="AF24" s="19" t="n"/>
    </row>
    <row r="25">
      <c r="A25" s="18" t="n"/>
      <c r="AF25" s="19" t="n"/>
    </row>
    <row r="26">
      <c r="A26" s="20" t="inlineStr">
        <is>
          <t>VAT INCOME ON SALES</t>
        </is>
      </c>
      <c r="B26" t="inlineStr"/>
      <c r="C26" s="14" t="n">
        <v>1</v>
      </c>
      <c r="D26" s="30">
        <f>+I26+K26+M26+O26+Q26+S26+U26+W26+Y26+AA26+AC26+AE26</f>
        <v/>
      </c>
      <c r="I26" s="30">
        <f>SUMIFS(Sales!$J:$J,Sales!$E:$E,FALSE,Sales!$F:$F,1,Sales!$W:$W,"&lt;="&amp;'Cashflow Projection'!I$5,Sales!$W:$W,"&gt;"&amp;'Cashflow Projection'!$B$2)</f>
        <v/>
      </c>
      <c r="K26" s="30">
        <f>SUMIFS(Sales!$J:$J,Sales!$E:$E,FALSE,Sales!$F:$F,1,Sales!$W:$W,"&lt;="&amp;'Cashflow Projection'!K$5,Sales!$W:$W,"&gt;"&amp;'Cashflow Projection'!I$5)</f>
        <v/>
      </c>
      <c r="M26" s="30">
        <f>SUMIFS(Sales!$J:$J,Sales!$E:$E,FALSE,Sales!$F:$F,1,Sales!$W:$W,"&lt;="&amp;'Cashflow Projection'!M$5,Sales!$W:$W,"&gt;"&amp;'Cashflow Projection'!K$5)</f>
        <v/>
      </c>
      <c r="O26" s="30">
        <f>SUMIFS(Sales!$J:$J,Sales!$E:$E,FALSE,Sales!$F:$F,1,Sales!$W:$W,"&lt;="&amp;'Cashflow Projection'!O$5,Sales!$W:$W,"&gt;"&amp;'Cashflow Projection'!M$5)</f>
        <v/>
      </c>
      <c r="Q26" s="30">
        <f>SUMIFS(Sales!$J:$J,Sales!$E:$E,FALSE,Sales!$F:$F,1,Sales!$W:$W,"&lt;="&amp;'Cashflow Projection'!Q$5,Sales!$W:$W,"&gt;"&amp;'Cashflow Projection'!O$5)</f>
        <v/>
      </c>
      <c r="S26" s="30">
        <f>SUMIFS(Sales!$J:$J,Sales!$E:$E,FALSE,Sales!$F:$F,1,Sales!$W:$W,"&lt;="&amp;'Cashflow Projection'!S$5,Sales!$W:$W,"&gt;"&amp;'Cashflow Projection'!Q$5)</f>
        <v/>
      </c>
      <c r="U26" s="30">
        <f>SUMIFS(Sales!$J:$J,Sales!$E:$E,FALSE,Sales!$F:$F,1,Sales!$W:$W,"&lt;="&amp;'Cashflow Projection'!U$5,Sales!$W:$W,"&gt;"&amp;'Cashflow Projection'!S$5)</f>
        <v/>
      </c>
      <c r="W26" s="30">
        <f>SUMIFS(Sales!$J:$J,Sales!$E:$E,FALSE,Sales!$F:$F,1,Sales!$W:$W,"&lt;="&amp;'Cashflow Projection'!W$5,Sales!$W:$W,"&gt;"&amp;'Cashflow Projection'!U$5)</f>
        <v/>
      </c>
      <c r="Y26" s="30">
        <f>SUMIFS(Sales!$J:$J,Sales!$E:$E,FALSE,Sales!$F:$F,1,Sales!$W:$W,"&lt;="&amp;'Cashflow Projection'!Y$5,Sales!$W:$W,"&gt;"&amp;'Cashflow Projection'!W$5)</f>
        <v/>
      </c>
      <c r="AA26" s="30">
        <f>SUMIFS(Sales!$J:$J,Sales!$E:$E,FALSE,Sales!$F:$F,1,Sales!$W:$W,"&lt;="&amp;'Cashflow Projection'!AA$5,Sales!$W:$W,"&gt;"&amp;'Cashflow Projection'!Y$5)</f>
        <v/>
      </c>
      <c r="AC26" s="30">
        <f>SUMIFS(Sales!$J:$J,Sales!$E:$E,FALSE,Sales!$F:$F,1,Sales!$W:$W,"&lt;="&amp;'Cashflow Projection'!AC$5,Sales!$W:$W,"&gt;"&amp;'Cashflow Projection'!AA$5)</f>
        <v/>
      </c>
      <c r="AE26" s="30">
        <f>SUMIFS(Sales!$J:$J,Sales!$E:$E,FALSE,Sales!$F:$F,1,Sales!$W:$W,"&lt;="&amp;'Cashflow Projection'!AE$5,Sales!$W:$W,"&gt;"&amp;'Cashflow Projection'!AC$5)</f>
        <v/>
      </c>
      <c r="AF26" s="19" t="n"/>
    </row>
    <row r="27">
      <c r="A27" s="20" t="inlineStr">
        <is>
          <t>CPC INVOICES STILL DUE</t>
        </is>
      </c>
      <c r="C27" s="14" t="n"/>
      <c r="D27" s="31" t="n"/>
      <c r="AF27" s="19" t="n"/>
    </row>
    <row r="28">
      <c r="A28" s="20" t="inlineStr">
        <is>
          <t>VAT DEDUCTION FROM INVOICES</t>
        </is>
      </c>
      <c r="C28" s="14" t="n"/>
      <c r="D28" s="31" t="n"/>
      <c r="AF28" s="19" t="n"/>
    </row>
    <row r="29">
      <c r="A29" s="20" t="inlineStr">
        <is>
          <t>VAT PAYABLE ON SALES</t>
        </is>
      </c>
      <c r="B29" t="inlineStr"/>
      <c r="C29" s="14" t="n">
        <v>1</v>
      </c>
      <c r="D29" s="32">
        <f>+I29+K29+M29+O29+Q29+S29+U29+W29+Y29+AA29+AC29+AE29</f>
        <v/>
      </c>
      <c r="I29" s="32">
        <f>IF(MOD(MONTH(I5),2)=0,0,-SUMIFS(Sales!$J:$J,Sales!$W:$W,"&lt;="&amp;EOMONTH(EDATE(I$5, 0), -1),Sales!$W:$W,"&gt;"&amp;EOMONTH(EDATE(I$5, 0), -3),Sales!$F:$F,1,Sales!$E:$E,FALSE))</f>
        <v/>
      </c>
      <c r="K29" s="32">
        <f>IF(MOD(MONTH(K5),2)=0,0,-SUMIFS(Sales!$J:$J,Sales!$W:$W,"&lt;="&amp;EOMONTH(EDATE(K$5, 0), -1),Sales!$W:$W,"&gt;"&amp;EOMONTH(EDATE(K$5, 0), -3),Sales!$F:$F,1,Sales!$E:$E,FALSE))</f>
        <v/>
      </c>
      <c r="M29" s="32">
        <f>IF(MOD(MONTH(M5),2)=0,0,-SUMIFS(Sales!$J:$J,Sales!$W:$W,"&lt;="&amp;EOMONTH(EDATE(M$5, 0), -1),Sales!$W:$W,"&gt;"&amp;EOMONTH(EDATE(M$5, 0), -3),Sales!$F:$F,1,Sales!$E:$E,FALSE))</f>
        <v/>
      </c>
      <c r="O29" s="32">
        <f>IF(MOD(MONTH(O5),2)=0,0,-SUMIFS(Sales!$J:$J,Sales!$W:$W,"&lt;="&amp;EOMONTH(EDATE(O$5, 0), -1),Sales!$W:$W,"&gt;"&amp;EOMONTH(EDATE(O$5, 0), -3),Sales!$F:$F,1,Sales!$E:$E,FALSE))</f>
        <v/>
      </c>
      <c r="Q29" s="32">
        <f>IF(MOD(MONTH(Q5),2)=0,0,-SUMIFS(Sales!$J:$J,Sales!$W:$W,"&lt;="&amp;EOMONTH(EDATE(Q$5, 0), -1),Sales!$W:$W,"&gt;"&amp;EOMONTH(EDATE(Q$5, 0), -3),Sales!$F:$F,1,Sales!$E:$E,FALSE))</f>
        <v/>
      </c>
      <c r="S29" s="32">
        <f>IF(MOD(MONTH(S5),2)=0,0,-SUMIFS(Sales!$J:$J,Sales!$W:$W,"&lt;="&amp;EOMONTH(EDATE(S$5, 0), -1),Sales!$W:$W,"&gt;"&amp;EOMONTH(EDATE(S$5, 0), -3),Sales!$F:$F,1,Sales!$E:$E,FALSE))</f>
        <v/>
      </c>
      <c r="U29" s="32">
        <f>IF(MOD(MONTH(U5),2)=0,0,-SUMIFS(Sales!$J:$J,Sales!$W:$W,"&lt;="&amp;EOMONTH(EDATE(U$5, 0), -1),Sales!$W:$W,"&gt;"&amp;EOMONTH(EDATE(U$5, 0), -3),Sales!$F:$F,1,Sales!$E:$E,FALSE))</f>
        <v/>
      </c>
      <c r="W29" s="32">
        <f>IF(MOD(MONTH(W5),2)=0,0,-SUMIFS(Sales!$J:$J,Sales!$W:$W,"&lt;="&amp;EOMONTH(EDATE(W$5, 0), -1),Sales!$W:$W,"&gt;"&amp;EOMONTH(EDATE(W$5, 0), -3),Sales!$F:$F,1,Sales!$E:$E,FALSE))</f>
        <v/>
      </c>
      <c r="Y29" s="32">
        <f>IF(MOD(MONTH(Y5),2)=0,0,-SUMIFS(Sales!$J:$J,Sales!$W:$W,"&lt;="&amp;EOMONTH(EDATE(Y$5, 0), -1),Sales!$W:$W,"&gt;"&amp;EOMONTH(EDATE(Y$5, 0), -3),Sales!$F:$F,1,Sales!$E:$E,FALSE))</f>
        <v/>
      </c>
      <c r="AA29" s="32">
        <f>IF(MOD(MONTH(AA5),2)=0,0,-SUMIFS(Sales!$J:$J,Sales!$W:$W,"&lt;="&amp;EOMONTH(EDATE(AA$5, 0), -1),Sales!$W:$W,"&gt;"&amp;EOMONTH(EDATE(AA$5, 0), -3),Sales!$F:$F,1,Sales!$E:$E,FALSE))</f>
        <v/>
      </c>
      <c r="AC29" s="32">
        <f>IF(MOD(MONTH(AC5),2)=0,0,-SUMIFS(Sales!$J:$J,Sales!$W:$W,"&lt;="&amp;EOMONTH(EDATE(AC$5, 0), -1),Sales!$W:$W,"&gt;"&amp;EOMONTH(EDATE(AC$5, 0), -3),Sales!$F:$F,1,Sales!$E:$E,FALSE))</f>
        <v/>
      </c>
      <c r="AE29" s="32">
        <f>IF(MOD(MONTH(AE5),2)=0,0,-SUMIFS(Sales!$J:$J,Sales!$W:$W,"&lt;="&amp;EOMONTH(EDATE(AE$5, 0), -1),Sales!$W:$W,"&gt;"&amp;EOMONTH(EDATE(AE$5, 0), -3),Sales!$F:$F,1,Sales!$E:$E,FALSE))</f>
        <v/>
      </c>
      <c r="AF29" s="19" t="n"/>
    </row>
    <row r="30">
      <c r="A30" s="18" t="n"/>
      <c r="AF30" s="19" t="n"/>
    </row>
    <row r="31">
      <c r="A31" s="20" t="inlineStr">
        <is>
          <t>VAT RECOVERY WHEN REFINANCED</t>
        </is>
      </c>
      <c r="B31" t="inlineStr"/>
      <c r="C31" s="14">
        <f>C66</f>
        <v/>
      </c>
      <c r="D31" s="30">
        <f>+I31+K31+M31+O31+Q31+S31+U31+W31+Y31+AA31+AC31+AE31</f>
        <v/>
      </c>
      <c r="I31" s="30">
        <f>SUMIFS(Sales!$J:$J,Sales!$T:$T,TRUE,Sales!$W:$W,"&lt;="&amp;I5,Sales!$W:$W,"&gt;"&amp;B2)</f>
        <v/>
      </c>
      <c r="K31" s="30">
        <f>SUMIFS(Sales!$J:$J,Sales!$T:$T,TRUE,Sales!$W:$W,"&lt;="&amp;K5,Sales!$W:$W,"&gt;"&amp;I5)</f>
        <v/>
      </c>
      <c r="M31" s="30">
        <f>SUMIFS(Sales!$J:$J,Sales!$T:$T,TRUE,Sales!$W:$W,"&lt;="&amp;M5,Sales!$W:$W,"&gt;"&amp;K5)</f>
        <v/>
      </c>
      <c r="O31" s="30">
        <f>SUMIFS(Sales!$J:$J,Sales!$T:$T,TRUE,Sales!$W:$W,"&lt;="&amp;O5,Sales!$W:$W,"&gt;"&amp;M5)</f>
        <v/>
      </c>
      <c r="Q31" s="30">
        <f>SUMIFS(Sales!$J:$J,Sales!$T:$T,TRUE,Sales!$W:$W,"&lt;="&amp;Q5,Sales!$W:$W,"&gt;"&amp;O5)</f>
        <v/>
      </c>
      <c r="S31" s="30">
        <f>SUMIFS(Sales!$J:$J,Sales!$T:$T,TRUE,Sales!$W:$W,"&lt;="&amp;S5,Sales!$W:$W,"&gt;"&amp;Q5)</f>
        <v/>
      </c>
      <c r="U31" s="30">
        <f>SUMIFS(Sales!$J:$J,Sales!$T:$T,TRUE,Sales!$W:$W,"&lt;="&amp;U5,Sales!$W:$W,"&gt;"&amp;S5)</f>
        <v/>
      </c>
      <c r="W31" s="30">
        <f>SUMIFS(Sales!$J:$J,Sales!$T:$T,TRUE,Sales!$W:$W,"&lt;="&amp;W5,Sales!$W:$W,"&gt;"&amp;U5)</f>
        <v/>
      </c>
      <c r="Y31" s="30">
        <f>SUMIFS(Sales!$J:$J,Sales!$T:$T,TRUE,Sales!$W:$W,"&lt;="&amp;Y5,Sales!$W:$W,"&gt;"&amp;W5)</f>
        <v/>
      </c>
      <c r="AA31" s="30">
        <f>SUMIFS(Sales!$J:$J,Sales!$T:$T,TRUE,Sales!$W:$W,"&lt;="&amp;AA5,Sales!$W:$W,"&gt;"&amp;Y5)</f>
        <v/>
      </c>
      <c r="AC31" s="30">
        <f>SUMIFS(Sales!$J:$J,Sales!$T:$T,TRUE,Sales!$W:$W,"&lt;="&amp;AC5,Sales!$W:$W,"&gt;"&amp;AA5)</f>
        <v/>
      </c>
      <c r="AE31" s="30">
        <f>SUMIFS(Sales!$J:$J,Sales!$T:$T,TRUE,Sales!$W:$W,"&lt;="&amp;AE5,Sales!$W:$W,"&gt;"&amp;AC5)</f>
        <v/>
      </c>
      <c r="AF31" s="19" t="n"/>
    </row>
    <row r="32">
      <c r="A32" s="18" t="n"/>
      <c r="AF32" s="19" t="n"/>
    </row>
    <row r="33">
      <c r="A33" s="20" t="inlineStr">
        <is>
          <t>Income (Profit on Sale)</t>
        </is>
      </c>
      <c r="C33" s="14" t="n"/>
      <c r="D33" s="33">
        <f>+I33+K33+M33+O33+Q33+S33+U33+W33+Y33+AA33+AC33+AE33</f>
        <v/>
      </c>
      <c r="I33" s="34">
        <f>SUMIFS(Sales!$S:$S,Sales!$E:$E,FALSE,Sales!$F:$F,1,Sales!$H:$H,"&lt;="&amp;'Cashflow Projection'!I$5,Sales!$H:$H,"&gt;"&amp;'Cashflow Projection'!$B$2)</f>
        <v/>
      </c>
      <c r="K33" s="34">
        <f>SUMIFS(Sales!$S:$S,Sales!$E:$E,FALSE,Sales!$F:$F,1,Sales!$H:$H,"&lt;="&amp;'Cashflow Projection'!K$5,Sales!$H:$H,"&gt;"&amp;'Cashflow Projection'!I$5)</f>
        <v/>
      </c>
      <c r="M33" s="34">
        <f>SUMIFS(Sales!$S:$S,Sales!$E:$E,FALSE,Sales!$F:$F,1,Sales!$H:$H,"&lt;="&amp;'Cashflow Projection'!M$5,Sales!$H:$H,"&gt;"&amp;'Cashflow Projection'!K$5)</f>
        <v/>
      </c>
      <c r="O33" s="34">
        <f>SUMIFS(Sales!$S:$S,Sales!$E:$E,FALSE,Sales!$F:$F,1,Sales!$H:$H,"&lt;="&amp;'Cashflow Projection'!O$5,Sales!$H:$H,"&gt;"&amp;'Cashflow Projection'!M$5)</f>
        <v/>
      </c>
      <c r="Q33" s="34">
        <f>SUMIFS(Sales!$S:$S,Sales!$E:$E,FALSE,Sales!$F:$F,1,Sales!$H:$H,"&lt;="&amp;'Cashflow Projection'!Q$5,Sales!$H:$H,"&gt;"&amp;'Cashflow Projection'!O$5)</f>
        <v/>
      </c>
      <c r="S33" s="34">
        <f>SUMIFS(Sales!$S:$S,Sales!$E:$E,FALSE,Sales!$F:$F,1,Sales!$H:$H,"&lt;="&amp;'Cashflow Projection'!S$5,Sales!$H:$H,"&gt;"&amp;'Cashflow Projection'!Q$5)</f>
        <v/>
      </c>
      <c r="U33" s="34">
        <f>SUMIFS(Sales!$S:$S,Sales!$E:$E,FALSE,Sales!$F:$F,1,Sales!$H:$H,"&lt;="&amp;'Cashflow Projection'!U$5,Sales!$H:$H,"&gt;"&amp;'Cashflow Projection'!S$5)</f>
        <v/>
      </c>
      <c r="W33" s="34">
        <f>SUMIFS(Sales!$S:$S,Sales!$E:$E,FALSE,Sales!$F:$F,1,Sales!$H:$H,"&lt;="&amp;'Cashflow Projection'!W$5,Sales!$H:$H,"&gt;"&amp;'Cashflow Projection'!U$5)</f>
        <v/>
      </c>
      <c r="Y33" s="34">
        <f>SUMIFS(Sales!$S:$S,Sales!$E:$E,FALSE,Sales!$F:$F,1,Sales!$H:$H,"&lt;="&amp;'Cashflow Projection'!Y$5,Sales!$H:$H,"&gt;"&amp;'Cashflow Projection'!W$5)</f>
        <v/>
      </c>
      <c r="AA33" s="34">
        <f>SUMIFS(Sales!$S:$S,Sales!$E:$E,FALSE,Sales!$F:$F,1,Sales!$H:$H,"&lt;="&amp;'Cashflow Projection'!AA$5,Sales!$H:$H,"&gt;"&amp;'Cashflow Projection'!Y$5)</f>
        <v/>
      </c>
      <c r="AC33" s="34">
        <f>SUMIFS(Sales!$S:$S,Sales!$E:$E,FALSE,Sales!$F:$F,1,Sales!$H:$H,"&lt;="&amp;'Cashflow Projection'!AC$5,Sales!$H:$H,"&gt;"&amp;'Cashflow Projection'!AA$5)</f>
        <v/>
      </c>
      <c r="AE33" s="34">
        <f>SUMIFS(Sales!$S:$S,Sales!$E:$E,FALSE,Sales!$F:$F,1,Sales!$H:$H,"&lt;="&amp;'Cashflow Projection'!AE$5,Sales!$H:$H,"&gt;"&amp;'Cashflow Projection'!AC$5)</f>
        <v/>
      </c>
      <c r="AF33" s="19" t="n"/>
    </row>
    <row r="34">
      <c r="A34" s="18" t="n"/>
      <c r="AF34" s="19" t="n"/>
    </row>
    <row r="35">
      <c r="A35" s="20" t="inlineStr">
        <is>
          <t>FUNDS AVAILABLE</t>
        </is>
      </c>
      <c r="D35" s="35" t="n"/>
      <c r="I35" s="33">
        <f>sum(I36:I45)</f>
        <v/>
      </c>
      <c r="K35" s="33">
        <f>sum(K36:K45)</f>
        <v/>
      </c>
      <c r="M35" s="33">
        <f>sum(M36:M45)</f>
        <v/>
      </c>
      <c r="O35" s="33">
        <f>sum(O36:O45)</f>
        <v/>
      </c>
      <c r="Q35" s="33">
        <f>sum(Q36:Q45)</f>
        <v/>
      </c>
      <c r="S35" s="33">
        <f>sum(S36:S45)</f>
        <v/>
      </c>
      <c r="U35" s="33">
        <f>sum(U36:U45)</f>
        <v/>
      </c>
      <c r="W35" s="33">
        <f>sum(W36:W45)</f>
        <v/>
      </c>
      <c r="Y35" s="33">
        <f>sum(Y36:Y45)</f>
        <v/>
      </c>
      <c r="AA35" s="33">
        <f>sum(AA36:AA45)</f>
        <v/>
      </c>
      <c r="AC35" s="33">
        <f>sum(AC36:AC45)</f>
        <v/>
      </c>
      <c r="AE35" s="33">
        <f>sum(AE36:AE45)</f>
        <v/>
      </c>
      <c r="AF35" s="19" t="n"/>
    </row>
    <row r="36">
      <c r="A36" s="20" t="inlineStr">
        <is>
          <t>Sales Income</t>
        </is>
      </c>
      <c r="D36" s="28">
        <f>+I36+K36+M36+O36+Q36+S36+U36+W36+Y36+AA36+AC36+AE36</f>
        <v/>
      </c>
      <c r="I36" s="34">
        <f>SUMIFS(I7:I23,$A$7:$A$23,"Heron View")</f>
        <v/>
      </c>
      <c r="K36" s="34">
        <f>SUMIFS(K7:K23,$A$7:$A$23,"Heron View")</f>
        <v/>
      </c>
      <c r="M36" s="34">
        <f>SUMIFS(M7:M23,$A$7:$A$23,"Heron View")</f>
        <v/>
      </c>
      <c r="O36" s="34">
        <f>SUMIFS(O7:O23,$A$7:$A$23,"Heron View")</f>
        <v/>
      </c>
      <c r="Q36" s="34">
        <f>SUMIFS(Q7:Q23,$A$7:$A$23,"Heron View")</f>
        <v/>
      </c>
      <c r="S36" s="34">
        <f>SUMIFS(S7:S23,$A$7:$A$23,"Heron View")</f>
        <v/>
      </c>
      <c r="U36" s="34">
        <f>SUMIFS(U7:U23,$A$7:$A$23,"Heron View")</f>
        <v/>
      </c>
      <c r="W36" s="34">
        <f>SUMIFS(W7:W23,$A$7:$A$23,"Heron View")</f>
        <v/>
      </c>
      <c r="Y36" s="34">
        <f>SUMIFS(Y7:Y23,$A$7:$A$23,"Heron View")</f>
        <v/>
      </c>
      <c r="AA36" s="34">
        <f>SUMIFS(AA7:AA23,$A$7:$A$23,"Heron View")</f>
        <v/>
      </c>
      <c r="AC36" s="34">
        <f>SUMIFS(AC7:AC23,$A$7:$A$23,"Heron View")</f>
        <v/>
      </c>
      <c r="AE36" s="34">
        <f>SUMIFS(AE7:AE23,$A$7:$A$23,"Heron View")</f>
        <v/>
      </c>
      <c r="AF36" s="19" t="n"/>
    </row>
    <row r="37">
      <c r="A37" s="20" t="inlineStr">
        <is>
          <t>Momentum</t>
        </is>
      </c>
      <c r="D37" s="28">
        <f>+I37+K37+M37+O37+Q37+S37+U37+W37+Y37+AA37+AC37+AE37</f>
        <v/>
      </c>
      <c r="H37" s="5" t="n"/>
      <c r="I37" s="34">
        <f>Dashboard!B13</f>
        <v/>
      </c>
      <c r="J37" s="5" t="n"/>
      <c r="K37" s="34" t="n"/>
      <c r="L37" s="5" t="n"/>
      <c r="M37" s="34" t="n"/>
      <c r="N37" s="5" t="n"/>
      <c r="O37" s="34" t="n"/>
      <c r="P37" s="5" t="n"/>
      <c r="Q37" s="34" t="n"/>
      <c r="R37" s="5" t="n"/>
      <c r="S37" s="34" t="n"/>
      <c r="T37" s="5" t="n"/>
      <c r="U37" s="34" t="n"/>
      <c r="V37" s="5" t="n"/>
      <c r="W37" s="34" t="n"/>
      <c r="X37" s="5" t="n"/>
      <c r="Y37" s="34" t="n"/>
      <c r="Z37" s="5" t="n"/>
      <c r="AA37" s="34" t="n"/>
      <c r="AB37" s="5" t="n"/>
      <c r="AC37" s="34" t="n"/>
      <c r="AD37" s="5" t="n"/>
      <c r="AE37" s="34" t="n"/>
      <c r="AF37" s="19" t="n"/>
    </row>
    <row r="38">
      <c r="A38" s="20" t="inlineStr">
        <is>
          <t>Bank</t>
        </is>
      </c>
      <c r="D38" s="28">
        <f>Dashboard!B14</f>
        <v/>
      </c>
      <c r="I38" s="34">
        <f>Dashboard!B14</f>
        <v/>
      </c>
      <c r="K38" s="34">
        <f>I72</f>
        <v/>
      </c>
      <c r="M38" s="34">
        <f>K72</f>
        <v/>
      </c>
      <c r="O38" s="34">
        <f>M72</f>
        <v/>
      </c>
      <c r="Q38" s="34">
        <f>O72</f>
        <v/>
      </c>
      <c r="S38" s="34">
        <f>Q72</f>
        <v/>
      </c>
      <c r="U38" s="34">
        <f>S72</f>
        <v/>
      </c>
      <c r="W38" s="34">
        <f>U72</f>
        <v/>
      </c>
      <c r="Y38" s="34">
        <f>W72</f>
        <v/>
      </c>
      <c r="AA38" s="34">
        <f>Y72</f>
        <v/>
      </c>
      <c r="AC38" s="34">
        <f>AA72</f>
        <v/>
      </c>
      <c r="AE38" s="34">
        <f>AC72</f>
        <v/>
      </c>
      <c r="AF38" s="19" t="n"/>
    </row>
    <row r="39">
      <c r="A39" s="20" t="inlineStr">
        <is>
          <t>Early Exit_Investor Roll Over funding</t>
        </is>
      </c>
      <c r="D39" s="28">
        <f>+I39+K39+M39+O39+Q39+S39+U39+W39+Y39+AA39+AC39+AE39</f>
        <v/>
      </c>
      <c r="I39" s="34">
        <f>-I158</f>
        <v/>
      </c>
      <c r="K39" s="34">
        <f>-K158</f>
        <v/>
      </c>
      <c r="M39" s="34">
        <f>-M158</f>
        <v/>
      </c>
      <c r="O39" s="34">
        <f>-O158</f>
        <v/>
      </c>
      <c r="Q39" s="34">
        <f>-Q158</f>
        <v/>
      </c>
      <c r="S39" s="34">
        <f>-S158</f>
        <v/>
      </c>
      <c r="U39" s="34">
        <f>-U158</f>
        <v/>
      </c>
      <c r="W39" s="34">
        <f>-W158</f>
        <v/>
      </c>
      <c r="Y39" s="34">
        <f>-Y158</f>
        <v/>
      </c>
      <c r="AA39" s="34">
        <f>-AA158</f>
        <v/>
      </c>
      <c r="AC39" s="34">
        <f>-AC158</f>
        <v/>
      </c>
      <c r="AE39" s="34">
        <f>-AE158</f>
        <v/>
      </c>
      <c r="AF39" s="19" t="n"/>
    </row>
    <row r="40">
      <c r="A40" s="20" t="inlineStr">
        <is>
          <t>Developer Contribution towards exit of Investors</t>
        </is>
      </c>
      <c r="D40" s="28">
        <f>+I40+K40+M40+O40+Q40+S40+U40+W40+Y40+AA40+AC40+AE40</f>
        <v/>
      </c>
      <c r="I40" s="34">
        <f>-I157</f>
        <v/>
      </c>
      <c r="K40" s="34">
        <f>-K157</f>
        <v/>
      </c>
      <c r="M40" s="34">
        <f>-M157</f>
        <v/>
      </c>
      <c r="O40" s="34">
        <f>-O157</f>
        <v/>
      </c>
      <c r="Q40" s="34">
        <f>-Q157</f>
        <v/>
      </c>
      <c r="S40" s="34">
        <f>-S157</f>
        <v/>
      </c>
      <c r="U40" s="34">
        <f>-U157</f>
        <v/>
      </c>
      <c r="W40" s="34">
        <f>-W157</f>
        <v/>
      </c>
      <c r="Y40" s="34">
        <f>-Y157</f>
        <v/>
      </c>
      <c r="AA40" s="34">
        <f>-AA157</f>
        <v/>
      </c>
      <c r="AC40" s="34">
        <f>-AC157</f>
        <v/>
      </c>
      <c r="AE40" s="34">
        <f>-AE157</f>
        <v/>
      </c>
      <c r="AF40" s="19" t="n"/>
    </row>
    <row r="41">
      <c r="A41" s="20" t="inlineStr">
        <is>
          <t>Developer Exit Payment of Investors</t>
        </is>
      </c>
      <c r="D41" s="28">
        <f>+I41+K41+M41+O41+Q41+S41+U41+W41+Y41+AA41+AC41+AE41</f>
        <v/>
      </c>
      <c r="I41" s="34">
        <f>I117</f>
        <v/>
      </c>
      <c r="K41" s="34">
        <f>K117</f>
        <v/>
      </c>
      <c r="M41" s="34">
        <f>M117</f>
        <v/>
      </c>
      <c r="O41" s="34">
        <f>O117</f>
        <v/>
      </c>
      <c r="Q41" s="34">
        <f>Q117</f>
        <v/>
      </c>
      <c r="S41" s="34">
        <f>S117</f>
        <v/>
      </c>
      <c r="U41" s="34">
        <f>U117</f>
        <v/>
      </c>
      <c r="W41" s="34">
        <f>W117</f>
        <v/>
      </c>
      <c r="Y41" s="34">
        <f>Y117</f>
        <v/>
      </c>
      <c r="AA41" s="34">
        <f>AA117</f>
        <v/>
      </c>
      <c r="AC41" s="34">
        <f>AC117</f>
        <v/>
      </c>
      <c r="AE41" s="34">
        <f>AE117</f>
        <v/>
      </c>
      <c r="AF41" s="19" t="n"/>
    </row>
    <row r="42">
      <c r="A42" s="20" t="inlineStr">
        <is>
          <t>New Investors Income</t>
        </is>
      </c>
      <c r="D42" s="28">
        <f>+I42+K42+M42+O42+Q42+S42+U42+W42+Y42+AA42+AC42+AE42</f>
        <v/>
      </c>
      <c r="I42" s="34">
        <f>Dashboard!B15</f>
        <v/>
      </c>
      <c r="K42" s="34" t="n"/>
      <c r="M42" s="34" t="n"/>
      <c r="O42" s="34" t="n"/>
      <c r="Q42" s="34" t="n"/>
      <c r="S42" s="34" t="n"/>
      <c r="U42" s="34" t="n"/>
      <c r="W42" s="34" t="n"/>
      <c r="Y42" s="34" t="n"/>
      <c r="AA42" s="34" t="n"/>
      <c r="AC42" s="34" t="n"/>
      <c r="AE42" s="34" t="n"/>
      <c r="AF42" s="19" t="n"/>
    </row>
    <row r="43">
      <c r="A43" s="20" t="inlineStr">
        <is>
          <t>Re-Financed Income from Quinate</t>
        </is>
      </c>
      <c r="D43" s="28">
        <f>+I43+K43+M43+O43+Q43+S43+U43+W43+Y43+AA43+AC43+AE43</f>
        <v/>
      </c>
      <c r="I43" s="34">
        <f>I102</f>
        <v/>
      </c>
      <c r="K43" s="34">
        <f>K102</f>
        <v/>
      </c>
      <c r="M43" s="34">
        <f>M102</f>
        <v/>
      </c>
      <c r="O43" s="34">
        <f>O102</f>
        <v/>
      </c>
      <c r="Q43" s="34">
        <f>Q102</f>
        <v/>
      </c>
      <c r="S43" s="34">
        <f>S102</f>
        <v/>
      </c>
      <c r="U43" s="34">
        <f>U102</f>
        <v/>
      </c>
      <c r="W43" s="34">
        <f>W102</f>
        <v/>
      </c>
      <c r="Y43" s="34">
        <f>Y102</f>
        <v/>
      </c>
      <c r="AA43" s="34">
        <f>AA102</f>
        <v/>
      </c>
      <c r="AC43" s="34">
        <f>AC102</f>
        <v/>
      </c>
      <c r="AE43" s="34">
        <f>AE102</f>
        <v/>
      </c>
      <c r="AF43" s="19" t="n"/>
    </row>
    <row r="44">
      <c r="A44" s="20" t="inlineStr">
        <is>
          <t>Rollover Income from Investors on Sales Transfers</t>
        </is>
      </c>
      <c r="D44" s="28">
        <f>+I44+K44+M44+O44+Q44+S44+U44+W44+Y44+AA44+AC44+AE44</f>
        <v/>
      </c>
      <c r="I44" s="34">
        <f>+I79+I95+I97+J79</f>
        <v/>
      </c>
      <c r="K44" s="34">
        <f>+K79+K95+K97+L79</f>
        <v/>
      </c>
      <c r="M44" s="34">
        <f>+M79+M95+M97+N79</f>
        <v/>
      </c>
      <c r="O44" s="34">
        <f>+O79+O95+O97+P79</f>
        <v/>
      </c>
      <c r="Q44" s="34">
        <f>+Q79+Q95+Q97+R79</f>
        <v/>
      </c>
      <c r="S44" s="34">
        <f>+S79+S95+S97+T79</f>
        <v/>
      </c>
      <c r="U44" s="34">
        <f>+U79+U95+U97+V79</f>
        <v/>
      </c>
      <c r="W44" s="34">
        <f>+W79+W95+W97+X79</f>
        <v/>
      </c>
      <c r="Y44" s="34">
        <f>+Y79+Y95+Y97+Z79</f>
        <v/>
      </c>
      <c r="AA44" s="34">
        <f>+AA79+AA95+AA97+AB79</f>
        <v/>
      </c>
      <c r="AC44" s="34">
        <f>+AC79+AC95+AC97+AD79</f>
        <v/>
      </c>
      <c r="AE44" s="34">
        <f>+AE79+AE95+AE97+AF79</f>
        <v/>
      </c>
      <c r="AF44" s="19" t="n"/>
    </row>
    <row r="45">
      <c r="A45" s="20" t="inlineStr">
        <is>
          <t>Deposits</t>
        </is>
      </c>
      <c r="D45" s="28">
        <f>+I45+K45+M45+O45+Q45+S45+U45+W45+Y45+AA45+AC45+AE45</f>
        <v/>
      </c>
      <c r="I45" s="34">
        <f>I96+I103+I26+I66</f>
        <v/>
      </c>
      <c r="K45" s="34">
        <f>K96+K103+K26+K66</f>
        <v/>
      </c>
      <c r="M45" s="34">
        <f>M96+M103+M26+M66</f>
        <v/>
      </c>
      <c r="O45" s="34">
        <f>O96+O103+O26+O66</f>
        <v/>
      </c>
      <c r="Q45" s="34">
        <f>Q96+Q103+Q26+Q66</f>
        <v/>
      </c>
      <c r="S45" s="34">
        <f>S96+S103+S26+S66</f>
        <v/>
      </c>
      <c r="U45" s="34">
        <f>U96+U103+U26+U66</f>
        <v/>
      </c>
      <c r="W45" s="34">
        <f>W96+W103+W26+W66</f>
        <v/>
      </c>
      <c r="Y45" s="34">
        <f>Y96+Y103+Y26+Y66</f>
        <v/>
      </c>
      <c r="AA45" s="34">
        <f>AA96+AA103+AA26+AA66</f>
        <v/>
      </c>
      <c r="AC45" s="34">
        <f>AC96+AC103+AC26+AC66</f>
        <v/>
      </c>
      <c r="AE45" s="34">
        <f>AE96+AE103+AE26+AE66</f>
        <v/>
      </c>
      <c r="AF45" s="19" t="n"/>
    </row>
    <row r="46">
      <c r="A46" s="20" t="inlineStr">
        <is>
          <t>INCOME</t>
        </is>
      </c>
      <c r="D46" s="33">
        <f>+I46+K46+M46+O46+Q46+S46+U46+W46+Y46+AA46+AC46+AE46</f>
        <v/>
      </c>
      <c r="I46" s="30">
        <f>sum(I36:I45)-I44</f>
        <v/>
      </c>
      <c r="K46" s="30">
        <f>sum(K36:K45)-K44</f>
        <v/>
      </c>
      <c r="M46" s="30">
        <f>sum(M36:M45)-M44</f>
        <v/>
      </c>
      <c r="O46" s="30">
        <f>sum(O36:O45)-O44</f>
        <v/>
      </c>
      <c r="Q46" s="30">
        <f>sum(Q36:Q45)-Q44</f>
        <v/>
      </c>
      <c r="S46" s="30">
        <f>sum(S36:S45)-S44</f>
        <v/>
      </c>
      <c r="U46" s="30">
        <f>sum(U36:U45)-U44</f>
        <v/>
      </c>
      <c r="W46" s="30">
        <f>sum(W36:W45)-W44</f>
        <v/>
      </c>
      <c r="Y46" s="30">
        <f>sum(Y36:Y45)-Y44</f>
        <v/>
      </c>
      <c r="AA46" s="30">
        <f>sum(AA36:AA45)-AA44</f>
        <v/>
      </c>
      <c r="AC46" s="30">
        <f>sum(AC36:AC45)-AC44</f>
        <v/>
      </c>
      <c r="AE46" s="30">
        <f>sum(AE36:AE45)-AE44</f>
        <v/>
      </c>
      <c r="AF46" s="19" t="n"/>
    </row>
    <row r="47">
      <c r="A47" s="18" t="n"/>
      <c r="AF47" s="19" t="n"/>
    </row>
    <row r="48">
      <c r="A48" s="20" t="inlineStr">
        <is>
          <t>Costs To Complete</t>
        </is>
      </c>
      <c r="AF48" s="19" t="n"/>
    </row>
    <row r="49">
      <c r="A49" s="36" t="inlineStr">
        <is>
          <t>UNITS</t>
        </is>
      </c>
      <c r="B49" s="37" t="n"/>
      <c r="C49" s="38">
        <f>SUM(C50:C62)</f>
        <v/>
      </c>
      <c r="D49" s="39">
        <f>SUM(D50:D62)</f>
        <v/>
      </c>
      <c r="I49" s="40">
        <f>SUM(I50:I62)</f>
        <v/>
      </c>
      <c r="K49" s="40">
        <f>SUM(K50:K62)</f>
        <v/>
      </c>
      <c r="M49" s="40">
        <f>SUM(M50:M62)</f>
        <v/>
      </c>
      <c r="O49" s="40">
        <f>SUM(O50:O62)</f>
        <v/>
      </c>
      <c r="Q49" s="40">
        <f>SUM(Q50:Q62)</f>
        <v/>
      </c>
      <c r="S49" s="40">
        <f>SUM(S50:S62)</f>
        <v/>
      </c>
      <c r="U49" s="40">
        <f>SUM(U50:U62)</f>
        <v/>
      </c>
      <c r="W49" s="40">
        <f>SUM(W50:W62)</f>
        <v/>
      </c>
      <c r="Y49" s="40">
        <f>SUM(Y50:Y62)</f>
        <v/>
      </c>
      <c r="AA49" s="40">
        <f>SUM(AA50:AA62)</f>
        <v/>
      </c>
      <c r="AC49" s="40">
        <f>SUM(AC50:AC62)</f>
        <v/>
      </c>
      <c r="AE49" s="40">
        <f>SUM(AE50:AE62)</f>
        <v/>
      </c>
      <c r="AF49" s="19" t="n"/>
    </row>
    <row r="50">
      <c r="A50" s="41" t="inlineStr">
        <is>
          <t>Clubhouse</t>
        </is>
      </c>
      <c r="B50" s="42" t="n">
        <v>1</v>
      </c>
      <c r="C50" s="43" t="n"/>
      <c r="D50" s="28">
        <f>+I50+K50+M50+O50+Q50+S50+U50+W50+Y50+AA50+AC50+AE50</f>
        <v/>
      </c>
      <c r="I50" s="28">
        <f>-(SUMIFS('Updated Construction'!$F:$F,'Updated Construction'!$A:$A,FALSE,'Updated Construction'!$G:$G,'Cashflow Projection'!$A50,'Updated Construction'!$E:$E,"&lt;="&amp;'Cashflow Projection'!I$5,'Updated Construction'!$E:$E,"&gt;"&amp;'Cashflow Projection'!$B$2)+(SUMIFS('Updated Construction'!$F:$F,'Updated Construction'!$A:$A,TRUE,'Updated Construction'!$G:$G,'Cashflow Projection'!$A50,'Updated Construction'!$E:$E,"&lt;="&amp;'Cashflow Projection'!I$5,'Updated Construction'!$E:$E,"&gt;"&amp;'Cashflow Projection'!$B$2)*$B50))*1.15</f>
        <v/>
      </c>
      <c r="J50" s="28" t="n"/>
      <c r="K50" s="28">
        <f>-(SUMIFS('Updated Construction'!$F:$F,'Updated Construction'!$A:$A,FALSE,'Updated Construction'!$G:$G,'Cashflow Projection'!$A50,'Updated Construction'!$E:$E,"&lt;="&amp;'Cashflow Projection'!K$5,'Updated Construction'!$E:$E,"&gt;"&amp;'Cashflow Projection'!I$5)+(SUMIFS('Updated Construction'!$F:$F,'Updated Construction'!$A:$A,TRUE,'Updated Construction'!$G:$G,'Cashflow Projection'!$A50,'Updated Construction'!$E:$E,"&lt;="&amp;'Cashflow Projection'!K$5,'Updated Construction'!$E:$E,"&gt;"&amp;'Cashflow Projection'!I$5)*$B50))*1.15</f>
        <v/>
      </c>
      <c r="L50" s="28" t="n"/>
      <c r="M50" s="28">
        <f>-(SUMIFS('Updated Construction'!$F:$F,'Updated Construction'!$A:$A,FALSE,'Updated Construction'!$G:$G,'Cashflow Projection'!$A50,'Updated Construction'!$E:$E,"&lt;="&amp;'Cashflow Projection'!M$5,'Updated Construction'!$E:$E,"&gt;"&amp;'Cashflow Projection'!K$5)+(SUMIFS('Updated Construction'!$F:$F,'Updated Construction'!$A:$A,TRUE,'Updated Construction'!$G:$G,'Cashflow Projection'!$A50,'Updated Construction'!$E:$E,"&lt;="&amp;'Cashflow Projection'!M$5,'Updated Construction'!$E:$E,"&gt;"&amp;'Cashflow Projection'!K$5)*$B50))*1.15</f>
        <v/>
      </c>
      <c r="N50" s="28" t="n"/>
      <c r="O50" s="28">
        <f>-(SUMIFS('Updated Construction'!$F:$F,'Updated Construction'!$A:$A,FALSE,'Updated Construction'!$G:$G,'Cashflow Projection'!$A50,'Updated Construction'!$E:$E,"&lt;="&amp;'Cashflow Projection'!O$5,'Updated Construction'!$E:$E,"&gt;"&amp;'Cashflow Projection'!M$5)+(SUMIFS('Updated Construction'!$F:$F,'Updated Construction'!$A:$A,TRUE,'Updated Construction'!$G:$G,'Cashflow Projection'!$A50,'Updated Construction'!$E:$E,"&lt;="&amp;'Cashflow Projection'!O$5,'Updated Construction'!$E:$E,"&gt;"&amp;'Cashflow Projection'!M$5)*$B50))*1.15</f>
        <v/>
      </c>
      <c r="P50" s="28" t="n"/>
      <c r="Q50" s="28">
        <f>-(SUMIFS('Updated Construction'!$F:$F,'Updated Construction'!$A:$A,FALSE,'Updated Construction'!$G:$G,'Cashflow Projection'!$A50,'Updated Construction'!$E:$E,"&lt;="&amp;'Cashflow Projection'!Q$5,'Updated Construction'!$E:$E,"&gt;"&amp;'Cashflow Projection'!O$5)+(SUMIFS('Updated Construction'!$F:$F,'Updated Construction'!$A:$A,TRUE,'Updated Construction'!$G:$G,'Cashflow Projection'!$A50,'Updated Construction'!$E:$E,"&lt;="&amp;'Cashflow Projection'!Q$5,'Updated Construction'!$E:$E,"&gt;"&amp;'Cashflow Projection'!O$5)*$B50))*1.15</f>
        <v/>
      </c>
      <c r="R50" s="28" t="n"/>
      <c r="S50" s="28">
        <f>-(SUMIFS('Updated Construction'!$F:$F,'Updated Construction'!$A:$A,FALSE,'Updated Construction'!$G:$G,'Cashflow Projection'!$A50,'Updated Construction'!$E:$E,"&lt;="&amp;'Cashflow Projection'!S$5,'Updated Construction'!$E:$E,"&gt;"&amp;'Cashflow Projection'!Q$5)+(SUMIFS('Updated Construction'!$F:$F,'Updated Construction'!$A:$A,TRUE,'Updated Construction'!$G:$G,'Cashflow Projection'!$A50,'Updated Construction'!$E:$E,"&lt;="&amp;'Cashflow Projection'!S$5,'Updated Construction'!$E:$E,"&gt;"&amp;'Cashflow Projection'!Q$5)*$B50))*1.15</f>
        <v/>
      </c>
      <c r="T50" s="28" t="n"/>
      <c r="U50" s="28">
        <f>-(SUMIFS('Updated Construction'!$F:$F,'Updated Construction'!$A:$A,FALSE,'Updated Construction'!$G:$G,'Cashflow Projection'!$A50,'Updated Construction'!$E:$E,"&lt;="&amp;'Cashflow Projection'!U$5,'Updated Construction'!$E:$E,"&gt;"&amp;'Cashflow Projection'!S$5)+(SUMIFS('Updated Construction'!$F:$F,'Updated Construction'!$A:$A,TRUE,'Updated Construction'!$G:$G,'Cashflow Projection'!$A50,'Updated Construction'!$E:$E,"&lt;="&amp;'Cashflow Projection'!U$5,'Updated Construction'!$E:$E,"&gt;"&amp;'Cashflow Projection'!S$5)*$B50))*1.15</f>
        <v/>
      </c>
      <c r="V50" s="28" t="n"/>
      <c r="W50" s="28">
        <f>-(SUMIFS('Updated Construction'!$F:$F,'Updated Construction'!$A:$A,FALSE,'Updated Construction'!$G:$G,'Cashflow Projection'!$A50,'Updated Construction'!$E:$E,"&lt;="&amp;'Cashflow Projection'!W$5,'Updated Construction'!$E:$E,"&gt;"&amp;'Cashflow Projection'!U$5)+(SUMIFS('Updated Construction'!$F:$F,'Updated Construction'!$A:$A,TRUE,'Updated Construction'!$G:$G,'Cashflow Projection'!$A50,'Updated Construction'!$E:$E,"&lt;="&amp;'Cashflow Projection'!W$5,'Updated Construction'!$E:$E,"&gt;"&amp;'Cashflow Projection'!U$5)*$B50))*1.15</f>
        <v/>
      </c>
      <c r="X50" s="28" t="n"/>
      <c r="Y50" s="28">
        <f>-(SUMIFS('Updated Construction'!$F:$F,'Updated Construction'!$A:$A,FALSE,'Updated Construction'!$G:$G,'Cashflow Projection'!$A50,'Updated Construction'!$E:$E,"&lt;="&amp;'Cashflow Projection'!Y$5,'Updated Construction'!$E:$E,"&gt;"&amp;'Cashflow Projection'!W$5)+(SUMIFS('Updated Construction'!$F:$F,'Updated Construction'!$A:$A,TRUE,'Updated Construction'!$G:$G,'Cashflow Projection'!$A50,'Updated Construction'!$E:$E,"&lt;="&amp;'Cashflow Projection'!Y$5,'Updated Construction'!$E:$E,"&gt;"&amp;'Cashflow Projection'!W$5)*$B50))*1.15</f>
        <v/>
      </c>
      <c r="Z50" s="28" t="n"/>
      <c r="AA50" s="28">
        <f>-(SUMIFS('Updated Construction'!$F:$F,'Updated Construction'!$A:$A,FALSE,'Updated Construction'!$G:$G,'Cashflow Projection'!$A50,'Updated Construction'!$E:$E,"&lt;="&amp;'Cashflow Projection'!AA$5,'Updated Construction'!$E:$E,"&gt;"&amp;'Cashflow Projection'!Y$5)+(SUMIFS('Updated Construction'!$F:$F,'Updated Construction'!$A:$A,TRUE,'Updated Construction'!$G:$G,'Cashflow Projection'!$A50,'Updated Construction'!$E:$E,"&lt;="&amp;'Cashflow Projection'!AA$5,'Updated Construction'!$E:$E,"&gt;"&amp;'Cashflow Projection'!Y$5)*$B50))*1.15</f>
        <v/>
      </c>
      <c r="AB50" s="28" t="n"/>
      <c r="AC50" s="28">
        <f>-(SUMIFS('Updated Construction'!$F:$F,'Updated Construction'!$A:$A,FALSE,'Updated Construction'!$G:$G,'Cashflow Projection'!$A50,'Updated Construction'!$E:$E,"&lt;="&amp;'Cashflow Projection'!AC$5,'Updated Construction'!$E:$E,"&gt;"&amp;'Cashflow Projection'!AA$5)+(SUMIFS('Updated Construction'!$F:$F,'Updated Construction'!$A:$A,TRUE,'Updated Construction'!$G:$G,'Cashflow Projection'!$A50,'Updated Construction'!$E:$E,"&lt;="&amp;'Cashflow Projection'!AC$5,'Updated Construction'!$E:$E,"&gt;"&amp;'Cashflow Projection'!AA$5)*$B50))*1.15</f>
        <v/>
      </c>
      <c r="AD50" s="28" t="n"/>
      <c r="AE50" s="28">
        <f>-(SUMIFS('Updated Construction'!$F:$F,'Updated Construction'!$A:$A,FALSE,'Updated Construction'!$G:$G,'Cashflow Projection'!$A50,'Updated Construction'!$E:$E,"&lt;="&amp;'Cashflow Projection'!AE$5,'Updated Construction'!$E:$E,"&gt;"&amp;'Cashflow Projection'!AC$5)+(SUMIFS('Updated Construction'!$F:$F,'Updated Construction'!$A:$A,TRUE,'Updated Construction'!$G:$G,'Cashflow Projection'!$A50,'Updated Construction'!$E:$E,"&lt;="&amp;'Cashflow Projection'!AE$5,'Updated Construction'!$E:$E,"&gt;"&amp;'Cashflow Projection'!AC$5)*$B50))*1.15</f>
        <v/>
      </c>
      <c r="AF50" s="44" t="n"/>
    </row>
    <row r="51">
      <c r="A51" s="41" t="inlineStr">
        <is>
          <t>D</t>
        </is>
      </c>
      <c r="B51" s="42" t="n">
        <v>1</v>
      </c>
      <c r="C51" s="43" t="n"/>
      <c r="D51" s="28">
        <f>+I51+K51+M51+O51+Q51+S51+U51+W51+Y51+AA51+AC51+AE51</f>
        <v/>
      </c>
      <c r="I51" s="28">
        <f>-(SUMIFS('Updated Construction'!$F:$F,'Updated Construction'!$A:$A,FALSE,'Updated Construction'!$G:$G,'Cashflow Projection'!$A51,'Updated Construction'!$E:$E,"&lt;="&amp;'Cashflow Projection'!I$5,'Updated Construction'!$E:$E,"&gt;"&amp;'Cashflow Projection'!$B$2)+(SUMIFS('Updated Construction'!$F:$F,'Updated Construction'!$A:$A,TRUE,'Updated Construction'!$G:$G,'Cashflow Projection'!$A51,'Updated Construction'!$E:$E,"&lt;="&amp;'Cashflow Projection'!I$5,'Updated Construction'!$E:$E,"&gt;"&amp;'Cashflow Projection'!$B$2)*$B51))*1.15</f>
        <v/>
      </c>
      <c r="J51" s="28" t="n"/>
      <c r="K51" s="28">
        <f>-(SUMIFS('Updated Construction'!$F:$F,'Updated Construction'!$A:$A,FALSE,'Updated Construction'!$G:$G,'Cashflow Projection'!$A51,'Updated Construction'!$E:$E,"&lt;="&amp;'Cashflow Projection'!K$5,'Updated Construction'!$E:$E,"&gt;"&amp;'Cashflow Projection'!I$5)+(SUMIFS('Updated Construction'!$F:$F,'Updated Construction'!$A:$A,TRUE,'Updated Construction'!$G:$G,'Cashflow Projection'!$A51,'Updated Construction'!$E:$E,"&lt;="&amp;'Cashflow Projection'!K$5,'Updated Construction'!$E:$E,"&gt;"&amp;'Cashflow Projection'!I$5)*$B51))*1.15</f>
        <v/>
      </c>
      <c r="L51" s="28" t="n"/>
      <c r="M51" s="28">
        <f>-(SUMIFS('Updated Construction'!$F:$F,'Updated Construction'!$A:$A,FALSE,'Updated Construction'!$G:$G,'Cashflow Projection'!$A51,'Updated Construction'!$E:$E,"&lt;="&amp;'Cashflow Projection'!M$5,'Updated Construction'!$E:$E,"&gt;"&amp;'Cashflow Projection'!K$5)+(SUMIFS('Updated Construction'!$F:$F,'Updated Construction'!$A:$A,TRUE,'Updated Construction'!$G:$G,'Cashflow Projection'!$A51,'Updated Construction'!$E:$E,"&lt;="&amp;'Cashflow Projection'!M$5,'Updated Construction'!$E:$E,"&gt;"&amp;'Cashflow Projection'!K$5)*$B51))*1.15</f>
        <v/>
      </c>
      <c r="N51" s="28" t="n"/>
      <c r="O51" s="28">
        <f>-(SUMIFS('Updated Construction'!$F:$F,'Updated Construction'!$A:$A,FALSE,'Updated Construction'!$G:$G,'Cashflow Projection'!$A51,'Updated Construction'!$E:$E,"&lt;="&amp;'Cashflow Projection'!O$5,'Updated Construction'!$E:$E,"&gt;"&amp;'Cashflow Projection'!M$5)+(SUMIFS('Updated Construction'!$F:$F,'Updated Construction'!$A:$A,TRUE,'Updated Construction'!$G:$G,'Cashflow Projection'!$A51,'Updated Construction'!$E:$E,"&lt;="&amp;'Cashflow Projection'!O$5,'Updated Construction'!$E:$E,"&gt;"&amp;'Cashflow Projection'!M$5)*$B51))*1.15</f>
        <v/>
      </c>
      <c r="P51" s="28" t="n"/>
      <c r="Q51" s="28">
        <f>-(SUMIFS('Updated Construction'!$F:$F,'Updated Construction'!$A:$A,FALSE,'Updated Construction'!$G:$G,'Cashflow Projection'!$A51,'Updated Construction'!$E:$E,"&lt;="&amp;'Cashflow Projection'!Q$5,'Updated Construction'!$E:$E,"&gt;"&amp;'Cashflow Projection'!O$5)+(SUMIFS('Updated Construction'!$F:$F,'Updated Construction'!$A:$A,TRUE,'Updated Construction'!$G:$G,'Cashflow Projection'!$A51,'Updated Construction'!$E:$E,"&lt;="&amp;'Cashflow Projection'!Q$5,'Updated Construction'!$E:$E,"&gt;"&amp;'Cashflow Projection'!O$5)*$B51))*1.15</f>
        <v/>
      </c>
      <c r="R51" s="28" t="n"/>
      <c r="S51" s="28">
        <f>-(SUMIFS('Updated Construction'!$F:$F,'Updated Construction'!$A:$A,FALSE,'Updated Construction'!$G:$G,'Cashflow Projection'!$A51,'Updated Construction'!$E:$E,"&lt;="&amp;'Cashflow Projection'!S$5,'Updated Construction'!$E:$E,"&gt;"&amp;'Cashflow Projection'!Q$5)+(SUMIFS('Updated Construction'!$F:$F,'Updated Construction'!$A:$A,TRUE,'Updated Construction'!$G:$G,'Cashflow Projection'!$A51,'Updated Construction'!$E:$E,"&lt;="&amp;'Cashflow Projection'!S$5,'Updated Construction'!$E:$E,"&gt;"&amp;'Cashflow Projection'!Q$5)*$B51))*1.15</f>
        <v/>
      </c>
      <c r="T51" s="28" t="n"/>
      <c r="U51" s="28">
        <f>-(SUMIFS('Updated Construction'!$F:$F,'Updated Construction'!$A:$A,FALSE,'Updated Construction'!$G:$G,'Cashflow Projection'!$A51,'Updated Construction'!$E:$E,"&lt;="&amp;'Cashflow Projection'!U$5,'Updated Construction'!$E:$E,"&gt;"&amp;'Cashflow Projection'!S$5)+(SUMIFS('Updated Construction'!$F:$F,'Updated Construction'!$A:$A,TRUE,'Updated Construction'!$G:$G,'Cashflow Projection'!$A51,'Updated Construction'!$E:$E,"&lt;="&amp;'Cashflow Projection'!U$5,'Updated Construction'!$E:$E,"&gt;"&amp;'Cashflow Projection'!S$5)*$B51))*1.15</f>
        <v/>
      </c>
      <c r="V51" s="28" t="n"/>
      <c r="W51" s="28">
        <f>-(SUMIFS('Updated Construction'!$F:$F,'Updated Construction'!$A:$A,FALSE,'Updated Construction'!$G:$G,'Cashflow Projection'!$A51,'Updated Construction'!$E:$E,"&lt;="&amp;'Cashflow Projection'!W$5,'Updated Construction'!$E:$E,"&gt;"&amp;'Cashflow Projection'!U$5)+(SUMIFS('Updated Construction'!$F:$F,'Updated Construction'!$A:$A,TRUE,'Updated Construction'!$G:$G,'Cashflow Projection'!$A51,'Updated Construction'!$E:$E,"&lt;="&amp;'Cashflow Projection'!W$5,'Updated Construction'!$E:$E,"&gt;"&amp;'Cashflow Projection'!U$5)*$B51))*1.15</f>
        <v/>
      </c>
      <c r="X51" s="28" t="n"/>
      <c r="Y51" s="28">
        <f>-(SUMIFS('Updated Construction'!$F:$F,'Updated Construction'!$A:$A,FALSE,'Updated Construction'!$G:$G,'Cashflow Projection'!$A51,'Updated Construction'!$E:$E,"&lt;="&amp;'Cashflow Projection'!Y$5,'Updated Construction'!$E:$E,"&gt;"&amp;'Cashflow Projection'!W$5)+(SUMIFS('Updated Construction'!$F:$F,'Updated Construction'!$A:$A,TRUE,'Updated Construction'!$G:$G,'Cashflow Projection'!$A51,'Updated Construction'!$E:$E,"&lt;="&amp;'Cashflow Projection'!Y$5,'Updated Construction'!$E:$E,"&gt;"&amp;'Cashflow Projection'!W$5)*$B51))*1.15</f>
        <v/>
      </c>
      <c r="Z51" s="28" t="n"/>
      <c r="AA51" s="28">
        <f>-(SUMIFS('Updated Construction'!$F:$F,'Updated Construction'!$A:$A,FALSE,'Updated Construction'!$G:$G,'Cashflow Projection'!$A51,'Updated Construction'!$E:$E,"&lt;="&amp;'Cashflow Projection'!AA$5,'Updated Construction'!$E:$E,"&gt;"&amp;'Cashflow Projection'!Y$5)+(SUMIFS('Updated Construction'!$F:$F,'Updated Construction'!$A:$A,TRUE,'Updated Construction'!$G:$G,'Cashflow Projection'!$A51,'Updated Construction'!$E:$E,"&lt;="&amp;'Cashflow Projection'!AA$5,'Updated Construction'!$E:$E,"&gt;"&amp;'Cashflow Projection'!Y$5)*$B51))*1.15</f>
        <v/>
      </c>
      <c r="AB51" s="28" t="n"/>
      <c r="AC51" s="28">
        <f>-(SUMIFS('Updated Construction'!$F:$F,'Updated Construction'!$A:$A,FALSE,'Updated Construction'!$G:$G,'Cashflow Projection'!$A51,'Updated Construction'!$E:$E,"&lt;="&amp;'Cashflow Projection'!AC$5,'Updated Construction'!$E:$E,"&gt;"&amp;'Cashflow Projection'!AA$5)+(SUMIFS('Updated Construction'!$F:$F,'Updated Construction'!$A:$A,TRUE,'Updated Construction'!$G:$G,'Cashflow Projection'!$A51,'Updated Construction'!$E:$E,"&lt;="&amp;'Cashflow Projection'!AC$5,'Updated Construction'!$E:$E,"&gt;"&amp;'Cashflow Projection'!AA$5)*$B51))*1.15</f>
        <v/>
      </c>
      <c r="AD51" s="28" t="n"/>
      <c r="AE51" s="28">
        <f>-(SUMIFS('Updated Construction'!$F:$F,'Updated Construction'!$A:$A,FALSE,'Updated Construction'!$G:$G,'Cashflow Projection'!$A51,'Updated Construction'!$E:$E,"&lt;="&amp;'Cashflow Projection'!AE$5,'Updated Construction'!$E:$E,"&gt;"&amp;'Cashflow Projection'!AC$5)+(SUMIFS('Updated Construction'!$F:$F,'Updated Construction'!$A:$A,TRUE,'Updated Construction'!$G:$G,'Cashflow Projection'!$A51,'Updated Construction'!$E:$E,"&lt;="&amp;'Cashflow Projection'!AE$5,'Updated Construction'!$E:$E,"&gt;"&amp;'Cashflow Projection'!AC$5)*$B51))*1.15</f>
        <v/>
      </c>
      <c r="AF51" s="44" t="n"/>
    </row>
    <row r="52">
      <c r="A52" s="45" t="inlineStr">
        <is>
          <t>E</t>
        </is>
      </c>
      <c r="B52" s="46" t="n">
        <v>0</v>
      </c>
      <c r="C52" s="43">
        <f>12*B52</f>
        <v/>
      </c>
      <c r="D52" s="28">
        <f>+I52+K52+M52+O52+Q52+S52+U52+W52+Y52+AA52+AC52+AE52</f>
        <v/>
      </c>
      <c r="I52" s="28">
        <f>-(SUMIFS('Updated Construction'!$F:$F,'Updated Construction'!$A:$A,FALSE,'Updated Construction'!$G:$G,'Cashflow Projection'!$A52,'Updated Construction'!$E:$E,"&lt;="&amp;'Cashflow Projection'!I$5,'Updated Construction'!$E:$E,"&gt;"&amp;'Cashflow Projection'!$B$2)+(SUMIFS('Updated Construction'!$F:$F,'Updated Construction'!$A:$A,TRUE,'Updated Construction'!$G:$G,'Cashflow Projection'!$A52,'Updated Construction'!$E:$E,"&lt;="&amp;'Cashflow Projection'!I$5,'Updated Construction'!$E:$E,"&gt;"&amp;'Cashflow Projection'!$B$2)*$B52))*1.15</f>
        <v/>
      </c>
      <c r="J52" s="28" t="n"/>
      <c r="K52" s="28">
        <f>-(SUMIFS('Updated Construction'!$F:$F,'Updated Construction'!$A:$A,FALSE,'Updated Construction'!$G:$G,'Cashflow Projection'!$A52,'Updated Construction'!$E:$E,"&lt;="&amp;'Cashflow Projection'!K$5,'Updated Construction'!$E:$E,"&gt;"&amp;'Cashflow Projection'!I$5)+(SUMIFS('Updated Construction'!$F:$F,'Updated Construction'!$A:$A,TRUE,'Updated Construction'!$G:$G,'Cashflow Projection'!$A52,'Updated Construction'!$E:$E,"&lt;="&amp;'Cashflow Projection'!K$5,'Updated Construction'!$E:$E,"&gt;"&amp;'Cashflow Projection'!I$5)*$B52))*1.15</f>
        <v/>
      </c>
      <c r="L52" s="28" t="n"/>
      <c r="M52" s="28">
        <f>-(SUMIFS('Updated Construction'!$F:$F,'Updated Construction'!$A:$A,FALSE,'Updated Construction'!$G:$G,'Cashflow Projection'!$A52,'Updated Construction'!$E:$E,"&lt;="&amp;'Cashflow Projection'!M$5,'Updated Construction'!$E:$E,"&gt;"&amp;'Cashflow Projection'!K$5)+(SUMIFS('Updated Construction'!$F:$F,'Updated Construction'!$A:$A,TRUE,'Updated Construction'!$G:$G,'Cashflow Projection'!$A52,'Updated Construction'!$E:$E,"&lt;="&amp;'Cashflow Projection'!M$5,'Updated Construction'!$E:$E,"&gt;"&amp;'Cashflow Projection'!K$5)*$B52))*1.15</f>
        <v/>
      </c>
      <c r="N52" s="28" t="n"/>
      <c r="O52" s="28">
        <f>-(SUMIFS('Updated Construction'!$F:$F,'Updated Construction'!$A:$A,FALSE,'Updated Construction'!$G:$G,'Cashflow Projection'!$A52,'Updated Construction'!$E:$E,"&lt;="&amp;'Cashflow Projection'!O$5,'Updated Construction'!$E:$E,"&gt;"&amp;'Cashflow Projection'!M$5)+(SUMIFS('Updated Construction'!$F:$F,'Updated Construction'!$A:$A,TRUE,'Updated Construction'!$G:$G,'Cashflow Projection'!$A52,'Updated Construction'!$E:$E,"&lt;="&amp;'Cashflow Projection'!O$5,'Updated Construction'!$E:$E,"&gt;"&amp;'Cashflow Projection'!M$5)*$B52))*1.15</f>
        <v/>
      </c>
      <c r="P52" s="28" t="n"/>
      <c r="Q52" s="28">
        <f>-(SUMIFS('Updated Construction'!$F:$F,'Updated Construction'!$A:$A,FALSE,'Updated Construction'!$G:$G,'Cashflow Projection'!$A52,'Updated Construction'!$E:$E,"&lt;="&amp;'Cashflow Projection'!Q$5,'Updated Construction'!$E:$E,"&gt;"&amp;'Cashflow Projection'!O$5)+(SUMIFS('Updated Construction'!$F:$F,'Updated Construction'!$A:$A,TRUE,'Updated Construction'!$G:$G,'Cashflow Projection'!$A52,'Updated Construction'!$E:$E,"&lt;="&amp;'Cashflow Projection'!Q$5,'Updated Construction'!$E:$E,"&gt;"&amp;'Cashflow Projection'!O$5)*$B52))*1.15</f>
        <v/>
      </c>
      <c r="R52" s="28" t="n"/>
      <c r="S52" s="28">
        <f>-(SUMIFS('Updated Construction'!$F:$F,'Updated Construction'!$A:$A,FALSE,'Updated Construction'!$G:$G,'Cashflow Projection'!$A52,'Updated Construction'!$E:$E,"&lt;="&amp;'Cashflow Projection'!S$5,'Updated Construction'!$E:$E,"&gt;"&amp;'Cashflow Projection'!Q$5)+(SUMIFS('Updated Construction'!$F:$F,'Updated Construction'!$A:$A,TRUE,'Updated Construction'!$G:$G,'Cashflow Projection'!$A52,'Updated Construction'!$E:$E,"&lt;="&amp;'Cashflow Projection'!S$5,'Updated Construction'!$E:$E,"&gt;"&amp;'Cashflow Projection'!Q$5)*$B52))*1.15</f>
        <v/>
      </c>
      <c r="T52" s="28" t="n"/>
      <c r="U52" s="28">
        <f>-(SUMIFS('Updated Construction'!$F:$F,'Updated Construction'!$A:$A,FALSE,'Updated Construction'!$G:$G,'Cashflow Projection'!$A52,'Updated Construction'!$E:$E,"&lt;="&amp;'Cashflow Projection'!U$5,'Updated Construction'!$E:$E,"&gt;"&amp;'Cashflow Projection'!S$5)+(SUMIFS('Updated Construction'!$F:$F,'Updated Construction'!$A:$A,TRUE,'Updated Construction'!$G:$G,'Cashflow Projection'!$A52,'Updated Construction'!$E:$E,"&lt;="&amp;'Cashflow Projection'!U$5,'Updated Construction'!$E:$E,"&gt;"&amp;'Cashflow Projection'!S$5)*$B52))*1.15</f>
        <v/>
      </c>
      <c r="V52" s="28" t="n"/>
      <c r="W52" s="28">
        <f>-(SUMIFS('Updated Construction'!$F:$F,'Updated Construction'!$A:$A,FALSE,'Updated Construction'!$G:$G,'Cashflow Projection'!$A52,'Updated Construction'!$E:$E,"&lt;="&amp;'Cashflow Projection'!W$5,'Updated Construction'!$E:$E,"&gt;"&amp;'Cashflow Projection'!U$5)+(SUMIFS('Updated Construction'!$F:$F,'Updated Construction'!$A:$A,TRUE,'Updated Construction'!$G:$G,'Cashflow Projection'!$A52,'Updated Construction'!$E:$E,"&lt;="&amp;'Cashflow Projection'!W$5,'Updated Construction'!$E:$E,"&gt;"&amp;'Cashflow Projection'!U$5)*$B52))*1.15</f>
        <v/>
      </c>
      <c r="X52" s="28" t="n"/>
      <c r="Y52" s="28">
        <f>-(SUMIFS('Updated Construction'!$F:$F,'Updated Construction'!$A:$A,FALSE,'Updated Construction'!$G:$G,'Cashflow Projection'!$A52,'Updated Construction'!$E:$E,"&lt;="&amp;'Cashflow Projection'!Y$5,'Updated Construction'!$E:$E,"&gt;"&amp;'Cashflow Projection'!W$5)+(SUMIFS('Updated Construction'!$F:$F,'Updated Construction'!$A:$A,TRUE,'Updated Construction'!$G:$G,'Cashflow Projection'!$A52,'Updated Construction'!$E:$E,"&lt;="&amp;'Cashflow Projection'!Y$5,'Updated Construction'!$E:$E,"&gt;"&amp;'Cashflow Projection'!W$5)*$B52))*1.15</f>
        <v/>
      </c>
      <c r="Z52" s="28" t="n"/>
      <c r="AA52" s="28">
        <f>-(SUMIFS('Updated Construction'!$F:$F,'Updated Construction'!$A:$A,FALSE,'Updated Construction'!$G:$G,'Cashflow Projection'!$A52,'Updated Construction'!$E:$E,"&lt;="&amp;'Cashflow Projection'!AA$5,'Updated Construction'!$E:$E,"&gt;"&amp;'Cashflow Projection'!Y$5)+(SUMIFS('Updated Construction'!$F:$F,'Updated Construction'!$A:$A,TRUE,'Updated Construction'!$G:$G,'Cashflow Projection'!$A52,'Updated Construction'!$E:$E,"&lt;="&amp;'Cashflow Projection'!AA$5,'Updated Construction'!$E:$E,"&gt;"&amp;'Cashflow Projection'!Y$5)*$B52))*1.15</f>
        <v/>
      </c>
      <c r="AB52" s="28" t="n"/>
      <c r="AC52" s="28">
        <f>-(SUMIFS('Updated Construction'!$F:$F,'Updated Construction'!$A:$A,FALSE,'Updated Construction'!$G:$G,'Cashflow Projection'!$A52,'Updated Construction'!$E:$E,"&lt;="&amp;'Cashflow Projection'!AC$5,'Updated Construction'!$E:$E,"&gt;"&amp;'Cashflow Projection'!AA$5)+(SUMIFS('Updated Construction'!$F:$F,'Updated Construction'!$A:$A,TRUE,'Updated Construction'!$G:$G,'Cashflow Projection'!$A52,'Updated Construction'!$E:$E,"&lt;="&amp;'Cashflow Projection'!AC$5,'Updated Construction'!$E:$E,"&gt;"&amp;'Cashflow Projection'!AA$5)*$B52))*1.15</f>
        <v/>
      </c>
      <c r="AD52" s="28" t="n"/>
      <c r="AE52" s="28">
        <f>-(SUMIFS('Updated Construction'!$F:$F,'Updated Construction'!$A:$A,FALSE,'Updated Construction'!$G:$G,'Cashflow Projection'!$A52,'Updated Construction'!$E:$E,"&lt;="&amp;'Cashflow Projection'!AE$5,'Updated Construction'!$E:$E,"&gt;"&amp;'Cashflow Projection'!AC$5)+(SUMIFS('Updated Construction'!$F:$F,'Updated Construction'!$A:$A,TRUE,'Updated Construction'!$G:$G,'Cashflow Projection'!$A52,'Updated Construction'!$E:$E,"&lt;="&amp;'Cashflow Projection'!AE$5,'Updated Construction'!$E:$E,"&gt;"&amp;'Cashflow Projection'!AC$5)*$B52))*1.15</f>
        <v/>
      </c>
      <c r="AF52" s="44" t="n"/>
    </row>
    <row r="53">
      <c r="A53" s="45" t="inlineStr">
        <is>
          <t>F</t>
        </is>
      </c>
      <c r="B53" s="46" t="n">
        <v>0</v>
      </c>
      <c r="C53" s="43">
        <f>8*B53</f>
        <v/>
      </c>
      <c r="D53" s="28">
        <f>+I53+K53+M53+O53+Q53+S53+U53+W53+Y53+AA53+AC53+AE53</f>
        <v/>
      </c>
      <c r="I53" s="28">
        <f>-(SUMIFS('Updated Construction'!$F:$F,'Updated Construction'!$A:$A,FALSE,'Updated Construction'!$G:$G,'Cashflow Projection'!$A53,'Updated Construction'!$E:$E,"&lt;="&amp;'Cashflow Projection'!I$5,'Updated Construction'!$E:$E,"&gt;"&amp;'Cashflow Projection'!$B$2)+(SUMIFS('Updated Construction'!$F:$F,'Updated Construction'!$A:$A,TRUE,'Updated Construction'!$G:$G,'Cashflow Projection'!$A53,'Updated Construction'!$E:$E,"&lt;="&amp;'Cashflow Projection'!I$5,'Updated Construction'!$E:$E,"&gt;"&amp;'Cashflow Projection'!$B$2)*$B53))*1.15</f>
        <v/>
      </c>
      <c r="J53" s="28" t="n"/>
      <c r="K53" s="28">
        <f>-(SUMIFS('Updated Construction'!$F:$F,'Updated Construction'!$A:$A,FALSE,'Updated Construction'!$G:$G,'Cashflow Projection'!$A53,'Updated Construction'!$E:$E,"&lt;="&amp;'Cashflow Projection'!K$5,'Updated Construction'!$E:$E,"&gt;"&amp;'Cashflow Projection'!I$5)+(SUMIFS('Updated Construction'!$F:$F,'Updated Construction'!$A:$A,TRUE,'Updated Construction'!$G:$G,'Cashflow Projection'!$A53,'Updated Construction'!$E:$E,"&lt;="&amp;'Cashflow Projection'!K$5,'Updated Construction'!$E:$E,"&gt;"&amp;'Cashflow Projection'!I$5)*$B53))*1.15</f>
        <v/>
      </c>
      <c r="L53" s="28" t="n"/>
      <c r="M53" s="28">
        <f>-(SUMIFS('Updated Construction'!$F:$F,'Updated Construction'!$A:$A,FALSE,'Updated Construction'!$G:$G,'Cashflow Projection'!$A53,'Updated Construction'!$E:$E,"&lt;="&amp;'Cashflow Projection'!M$5,'Updated Construction'!$E:$E,"&gt;"&amp;'Cashflow Projection'!K$5)+(SUMIFS('Updated Construction'!$F:$F,'Updated Construction'!$A:$A,TRUE,'Updated Construction'!$G:$G,'Cashflow Projection'!$A53,'Updated Construction'!$E:$E,"&lt;="&amp;'Cashflow Projection'!M$5,'Updated Construction'!$E:$E,"&gt;"&amp;'Cashflow Projection'!K$5)*$B53))*1.15</f>
        <v/>
      </c>
      <c r="N53" s="28" t="n"/>
      <c r="O53" s="28">
        <f>-(SUMIFS('Updated Construction'!$F:$F,'Updated Construction'!$A:$A,FALSE,'Updated Construction'!$G:$G,'Cashflow Projection'!$A53,'Updated Construction'!$E:$E,"&lt;="&amp;'Cashflow Projection'!O$5,'Updated Construction'!$E:$E,"&gt;"&amp;'Cashflow Projection'!M$5)+(SUMIFS('Updated Construction'!$F:$F,'Updated Construction'!$A:$A,TRUE,'Updated Construction'!$G:$G,'Cashflow Projection'!$A53,'Updated Construction'!$E:$E,"&lt;="&amp;'Cashflow Projection'!O$5,'Updated Construction'!$E:$E,"&gt;"&amp;'Cashflow Projection'!M$5)*$B53))*1.15</f>
        <v/>
      </c>
      <c r="P53" s="28" t="n"/>
      <c r="Q53" s="28">
        <f>-(SUMIFS('Updated Construction'!$F:$F,'Updated Construction'!$A:$A,FALSE,'Updated Construction'!$G:$G,'Cashflow Projection'!$A53,'Updated Construction'!$E:$E,"&lt;="&amp;'Cashflow Projection'!Q$5,'Updated Construction'!$E:$E,"&gt;"&amp;'Cashflow Projection'!O$5)+(SUMIFS('Updated Construction'!$F:$F,'Updated Construction'!$A:$A,TRUE,'Updated Construction'!$G:$G,'Cashflow Projection'!$A53,'Updated Construction'!$E:$E,"&lt;="&amp;'Cashflow Projection'!Q$5,'Updated Construction'!$E:$E,"&gt;"&amp;'Cashflow Projection'!O$5)*$B53))*1.15</f>
        <v/>
      </c>
      <c r="R53" s="28" t="n"/>
      <c r="S53" s="28">
        <f>-(SUMIFS('Updated Construction'!$F:$F,'Updated Construction'!$A:$A,FALSE,'Updated Construction'!$G:$G,'Cashflow Projection'!$A53,'Updated Construction'!$E:$E,"&lt;="&amp;'Cashflow Projection'!S$5,'Updated Construction'!$E:$E,"&gt;"&amp;'Cashflow Projection'!Q$5)+(SUMIFS('Updated Construction'!$F:$F,'Updated Construction'!$A:$A,TRUE,'Updated Construction'!$G:$G,'Cashflow Projection'!$A53,'Updated Construction'!$E:$E,"&lt;="&amp;'Cashflow Projection'!S$5,'Updated Construction'!$E:$E,"&gt;"&amp;'Cashflow Projection'!Q$5)*$B53))*1.15</f>
        <v/>
      </c>
      <c r="T53" s="28" t="n"/>
      <c r="U53" s="28">
        <f>-(SUMIFS('Updated Construction'!$F:$F,'Updated Construction'!$A:$A,FALSE,'Updated Construction'!$G:$G,'Cashflow Projection'!$A53,'Updated Construction'!$E:$E,"&lt;="&amp;'Cashflow Projection'!U$5,'Updated Construction'!$E:$E,"&gt;"&amp;'Cashflow Projection'!S$5)+(SUMIFS('Updated Construction'!$F:$F,'Updated Construction'!$A:$A,TRUE,'Updated Construction'!$G:$G,'Cashflow Projection'!$A53,'Updated Construction'!$E:$E,"&lt;="&amp;'Cashflow Projection'!U$5,'Updated Construction'!$E:$E,"&gt;"&amp;'Cashflow Projection'!S$5)*$B53))*1.15</f>
        <v/>
      </c>
      <c r="V53" s="28" t="n"/>
      <c r="W53" s="28">
        <f>-(SUMIFS('Updated Construction'!$F:$F,'Updated Construction'!$A:$A,FALSE,'Updated Construction'!$G:$G,'Cashflow Projection'!$A53,'Updated Construction'!$E:$E,"&lt;="&amp;'Cashflow Projection'!W$5,'Updated Construction'!$E:$E,"&gt;"&amp;'Cashflow Projection'!U$5)+(SUMIFS('Updated Construction'!$F:$F,'Updated Construction'!$A:$A,TRUE,'Updated Construction'!$G:$G,'Cashflow Projection'!$A53,'Updated Construction'!$E:$E,"&lt;="&amp;'Cashflow Projection'!W$5,'Updated Construction'!$E:$E,"&gt;"&amp;'Cashflow Projection'!U$5)*$B53))*1.15</f>
        <v/>
      </c>
      <c r="X53" s="28" t="n"/>
      <c r="Y53" s="28">
        <f>-(SUMIFS('Updated Construction'!$F:$F,'Updated Construction'!$A:$A,FALSE,'Updated Construction'!$G:$G,'Cashflow Projection'!$A53,'Updated Construction'!$E:$E,"&lt;="&amp;'Cashflow Projection'!Y$5,'Updated Construction'!$E:$E,"&gt;"&amp;'Cashflow Projection'!W$5)+(SUMIFS('Updated Construction'!$F:$F,'Updated Construction'!$A:$A,TRUE,'Updated Construction'!$G:$G,'Cashflow Projection'!$A53,'Updated Construction'!$E:$E,"&lt;="&amp;'Cashflow Projection'!Y$5,'Updated Construction'!$E:$E,"&gt;"&amp;'Cashflow Projection'!W$5)*$B53))*1.15</f>
        <v/>
      </c>
      <c r="Z53" s="28" t="n"/>
      <c r="AA53" s="28">
        <f>-(SUMIFS('Updated Construction'!$F:$F,'Updated Construction'!$A:$A,FALSE,'Updated Construction'!$G:$G,'Cashflow Projection'!$A53,'Updated Construction'!$E:$E,"&lt;="&amp;'Cashflow Projection'!AA$5,'Updated Construction'!$E:$E,"&gt;"&amp;'Cashflow Projection'!Y$5)+(SUMIFS('Updated Construction'!$F:$F,'Updated Construction'!$A:$A,TRUE,'Updated Construction'!$G:$G,'Cashflow Projection'!$A53,'Updated Construction'!$E:$E,"&lt;="&amp;'Cashflow Projection'!AA$5,'Updated Construction'!$E:$E,"&gt;"&amp;'Cashflow Projection'!Y$5)*$B53))*1.15</f>
        <v/>
      </c>
      <c r="AB53" s="28" t="n"/>
      <c r="AC53" s="28">
        <f>-(SUMIFS('Updated Construction'!$F:$F,'Updated Construction'!$A:$A,FALSE,'Updated Construction'!$G:$G,'Cashflow Projection'!$A53,'Updated Construction'!$E:$E,"&lt;="&amp;'Cashflow Projection'!AC$5,'Updated Construction'!$E:$E,"&gt;"&amp;'Cashflow Projection'!AA$5)+(SUMIFS('Updated Construction'!$F:$F,'Updated Construction'!$A:$A,TRUE,'Updated Construction'!$G:$G,'Cashflow Projection'!$A53,'Updated Construction'!$E:$E,"&lt;="&amp;'Cashflow Projection'!AC$5,'Updated Construction'!$E:$E,"&gt;"&amp;'Cashflow Projection'!AA$5)*$B53))*1.15</f>
        <v/>
      </c>
      <c r="AD53" s="28" t="n"/>
      <c r="AE53" s="28">
        <f>-(SUMIFS('Updated Construction'!$F:$F,'Updated Construction'!$A:$A,FALSE,'Updated Construction'!$G:$G,'Cashflow Projection'!$A53,'Updated Construction'!$E:$E,"&lt;="&amp;'Cashflow Projection'!AE$5,'Updated Construction'!$E:$E,"&gt;"&amp;'Cashflow Projection'!AC$5)+(SUMIFS('Updated Construction'!$F:$F,'Updated Construction'!$A:$A,TRUE,'Updated Construction'!$G:$G,'Cashflow Projection'!$A53,'Updated Construction'!$E:$E,"&lt;="&amp;'Cashflow Projection'!AE$5,'Updated Construction'!$E:$E,"&gt;"&amp;'Cashflow Projection'!AC$5)*$B53))*1.15</f>
        <v/>
      </c>
      <c r="AF53" s="44" t="n"/>
    </row>
    <row r="54">
      <c r="A54" s="45" t="inlineStr">
        <is>
          <t>G</t>
        </is>
      </c>
      <c r="B54" s="46" t="n">
        <v>0</v>
      </c>
      <c r="C54" s="43">
        <f>12*B54</f>
        <v/>
      </c>
      <c r="D54" s="28">
        <f>+I54+K54+M54+O54+Q54+S54+U54+W54+Y54+AA54+AC54+AE54</f>
        <v/>
      </c>
      <c r="I54" s="28">
        <f>-(SUMIFS('Updated Construction'!$F:$F,'Updated Construction'!$A:$A,FALSE,'Updated Construction'!$G:$G,'Cashflow Projection'!$A54,'Updated Construction'!$E:$E,"&lt;="&amp;'Cashflow Projection'!I$5,'Updated Construction'!$E:$E,"&gt;"&amp;'Cashflow Projection'!$B$2)+(SUMIFS('Updated Construction'!$F:$F,'Updated Construction'!$A:$A,TRUE,'Updated Construction'!$G:$G,'Cashflow Projection'!$A54,'Updated Construction'!$E:$E,"&lt;="&amp;'Cashflow Projection'!I$5,'Updated Construction'!$E:$E,"&gt;"&amp;'Cashflow Projection'!$B$2)*$B54))*1.15</f>
        <v/>
      </c>
      <c r="J54" s="28" t="n"/>
      <c r="K54" s="28">
        <f>-(SUMIFS('Updated Construction'!$F:$F,'Updated Construction'!$A:$A,FALSE,'Updated Construction'!$G:$G,'Cashflow Projection'!$A54,'Updated Construction'!$E:$E,"&lt;="&amp;'Cashflow Projection'!K$5,'Updated Construction'!$E:$E,"&gt;"&amp;'Cashflow Projection'!I$5)+(SUMIFS('Updated Construction'!$F:$F,'Updated Construction'!$A:$A,TRUE,'Updated Construction'!$G:$G,'Cashflow Projection'!$A54,'Updated Construction'!$E:$E,"&lt;="&amp;'Cashflow Projection'!K$5,'Updated Construction'!$E:$E,"&gt;"&amp;'Cashflow Projection'!I$5)*$B54))*1.15</f>
        <v/>
      </c>
      <c r="L54" s="28" t="n"/>
      <c r="M54" s="28">
        <f>-(SUMIFS('Updated Construction'!$F:$F,'Updated Construction'!$A:$A,FALSE,'Updated Construction'!$G:$G,'Cashflow Projection'!$A54,'Updated Construction'!$E:$E,"&lt;="&amp;'Cashflow Projection'!M$5,'Updated Construction'!$E:$E,"&gt;"&amp;'Cashflow Projection'!K$5)+(SUMIFS('Updated Construction'!$F:$F,'Updated Construction'!$A:$A,TRUE,'Updated Construction'!$G:$G,'Cashflow Projection'!$A54,'Updated Construction'!$E:$E,"&lt;="&amp;'Cashflow Projection'!M$5,'Updated Construction'!$E:$E,"&gt;"&amp;'Cashflow Projection'!K$5)*$B54))*1.15</f>
        <v/>
      </c>
      <c r="N54" s="28" t="n"/>
      <c r="O54" s="28">
        <f>-(SUMIFS('Updated Construction'!$F:$F,'Updated Construction'!$A:$A,FALSE,'Updated Construction'!$G:$G,'Cashflow Projection'!$A54,'Updated Construction'!$E:$E,"&lt;="&amp;'Cashflow Projection'!O$5,'Updated Construction'!$E:$E,"&gt;"&amp;'Cashflow Projection'!M$5)+(SUMIFS('Updated Construction'!$F:$F,'Updated Construction'!$A:$A,TRUE,'Updated Construction'!$G:$G,'Cashflow Projection'!$A54,'Updated Construction'!$E:$E,"&lt;="&amp;'Cashflow Projection'!O$5,'Updated Construction'!$E:$E,"&gt;"&amp;'Cashflow Projection'!M$5)*$B54))*1.15</f>
        <v/>
      </c>
      <c r="P54" s="28" t="n"/>
      <c r="Q54" s="28">
        <f>-(SUMIFS('Updated Construction'!$F:$F,'Updated Construction'!$A:$A,FALSE,'Updated Construction'!$G:$G,'Cashflow Projection'!$A54,'Updated Construction'!$E:$E,"&lt;="&amp;'Cashflow Projection'!Q$5,'Updated Construction'!$E:$E,"&gt;"&amp;'Cashflow Projection'!O$5)+(SUMIFS('Updated Construction'!$F:$F,'Updated Construction'!$A:$A,TRUE,'Updated Construction'!$G:$G,'Cashflow Projection'!$A54,'Updated Construction'!$E:$E,"&lt;="&amp;'Cashflow Projection'!Q$5,'Updated Construction'!$E:$E,"&gt;"&amp;'Cashflow Projection'!O$5)*$B54))*1.15</f>
        <v/>
      </c>
      <c r="R54" s="28" t="n"/>
      <c r="S54" s="28">
        <f>-(SUMIFS('Updated Construction'!$F:$F,'Updated Construction'!$A:$A,FALSE,'Updated Construction'!$G:$G,'Cashflow Projection'!$A54,'Updated Construction'!$E:$E,"&lt;="&amp;'Cashflow Projection'!S$5,'Updated Construction'!$E:$E,"&gt;"&amp;'Cashflow Projection'!Q$5)+(SUMIFS('Updated Construction'!$F:$F,'Updated Construction'!$A:$A,TRUE,'Updated Construction'!$G:$G,'Cashflow Projection'!$A54,'Updated Construction'!$E:$E,"&lt;="&amp;'Cashflow Projection'!S$5,'Updated Construction'!$E:$E,"&gt;"&amp;'Cashflow Projection'!Q$5)*$B54))*1.15</f>
        <v/>
      </c>
      <c r="T54" s="28" t="n"/>
      <c r="U54" s="28">
        <f>-(SUMIFS('Updated Construction'!$F:$F,'Updated Construction'!$A:$A,FALSE,'Updated Construction'!$G:$G,'Cashflow Projection'!$A54,'Updated Construction'!$E:$E,"&lt;="&amp;'Cashflow Projection'!U$5,'Updated Construction'!$E:$E,"&gt;"&amp;'Cashflow Projection'!S$5)+(SUMIFS('Updated Construction'!$F:$F,'Updated Construction'!$A:$A,TRUE,'Updated Construction'!$G:$G,'Cashflow Projection'!$A54,'Updated Construction'!$E:$E,"&lt;="&amp;'Cashflow Projection'!U$5,'Updated Construction'!$E:$E,"&gt;"&amp;'Cashflow Projection'!S$5)*$B54))*1.15</f>
        <v/>
      </c>
      <c r="V54" s="28" t="n"/>
      <c r="W54" s="28">
        <f>-(SUMIFS('Updated Construction'!$F:$F,'Updated Construction'!$A:$A,FALSE,'Updated Construction'!$G:$G,'Cashflow Projection'!$A54,'Updated Construction'!$E:$E,"&lt;="&amp;'Cashflow Projection'!W$5,'Updated Construction'!$E:$E,"&gt;"&amp;'Cashflow Projection'!U$5)+(SUMIFS('Updated Construction'!$F:$F,'Updated Construction'!$A:$A,TRUE,'Updated Construction'!$G:$G,'Cashflow Projection'!$A54,'Updated Construction'!$E:$E,"&lt;="&amp;'Cashflow Projection'!W$5,'Updated Construction'!$E:$E,"&gt;"&amp;'Cashflow Projection'!U$5)*$B54))*1.15</f>
        <v/>
      </c>
      <c r="X54" s="28" t="n"/>
      <c r="Y54" s="28">
        <f>-(SUMIFS('Updated Construction'!$F:$F,'Updated Construction'!$A:$A,FALSE,'Updated Construction'!$G:$G,'Cashflow Projection'!$A54,'Updated Construction'!$E:$E,"&lt;="&amp;'Cashflow Projection'!Y$5,'Updated Construction'!$E:$E,"&gt;"&amp;'Cashflow Projection'!W$5)+(SUMIFS('Updated Construction'!$F:$F,'Updated Construction'!$A:$A,TRUE,'Updated Construction'!$G:$G,'Cashflow Projection'!$A54,'Updated Construction'!$E:$E,"&lt;="&amp;'Cashflow Projection'!Y$5,'Updated Construction'!$E:$E,"&gt;"&amp;'Cashflow Projection'!W$5)*$B54))*1.15</f>
        <v/>
      </c>
      <c r="Z54" s="28" t="n"/>
      <c r="AA54" s="28">
        <f>-(SUMIFS('Updated Construction'!$F:$F,'Updated Construction'!$A:$A,FALSE,'Updated Construction'!$G:$G,'Cashflow Projection'!$A54,'Updated Construction'!$E:$E,"&lt;="&amp;'Cashflow Projection'!AA$5,'Updated Construction'!$E:$E,"&gt;"&amp;'Cashflow Projection'!Y$5)+(SUMIFS('Updated Construction'!$F:$F,'Updated Construction'!$A:$A,TRUE,'Updated Construction'!$G:$G,'Cashflow Projection'!$A54,'Updated Construction'!$E:$E,"&lt;="&amp;'Cashflow Projection'!AA$5,'Updated Construction'!$E:$E,"&gt;"&amp;'Cashflow Projection'!Y$5)*$B54))*1.15</f>
        <v/>
      </c>
      <c r="AB54" s="28" t="n"/>
      <c r="AC54" s="28">
        <f>-(SUMIFS('Updated Construction'!$F:$F,'Updated Construction'!$A:$A,FALSE,'Updated Construction'!$G:$G,'Cashflow Projection'!$A54,'Updated Construction'!$E:$E,"&lt;="&amp;'Cashflow Projection'!AC$5,'Updated Construction'!$E:$E,"&gt;"&amp;'Cashflow Projection'!AA$5)+(SUMIFS('Updated Construction'!$F:$F,'Updated Construction'!$A:$A,TRUE,'Updated Construction'!$G:$G,'Cashflow Projection'!$A54,'Updated Construction'!$E:$E,"&lt;="&amp;'Cashflow Projection'!AC$5,'Updated Construction'!$E:$E,"&gt;"&amp;'Cashflow Projection'!AA$5)*$B54))*1.15</f>
        <v/>
      </c>
      <c r="AD54" s="28" t="n"/>
      <c r="AE54" s="28">
        <f>-(SUMIFS('Updated Construction'!$F:$F,'Updated Construction'!$A:$A,FALSE,'Updated Construction'!$G:$G,'Cashflow Projection'!$A54,'Updated Construction'!$E:$E,"&lt;="&amp;'Cashflow Projection'!AE$5,'Updated Construction'!$E:$E,"&gt;"&amp;'Cashflow Projection'!AC$5)+(SUMIFS('Updated Construction'!$F:$F,'Updated Construction'!$A:$A,TRUE,'Updated Construction'!$G:$G,'Cashflow Projection'!$A54,'Updated Construction'!$E:$E,"&lt;="&amp;'Cashflow Projection'!AE$5,'Updated Construction'!$E:$E,"&gt;"&amp;'Cashflow Projection'!AC$5)*$B54))*1.15</f>
        <v/>
      </c>
      <c r="AF54" s="44" t="n"/>
    </row>
    <row r="55">
      <c r="A55" s="41" t="inlineStr">
        <is>
          <t>H</t>
        </is>
      </c>
      <c r="B55" s="42" t="n">
        <v>1</v>
      </c>
      <c r="C55" s="43" t="n"/>
      <c r="D55" s="28">
        <f>+I55+K55+M55+O55+Q55+S55+U55+W55+Y55+AA55+AC55+AE55</f>
        <v/>
      </c>
      <c r="I55" s="28">
        <f>-(SUMIFS('Updated Construction'!$F:$F,'Updated Construction'!$A:$A,FALSE,'Updated Construction'!$G:$G,'Cashflow Projection'!$A55,'Updated Construction'!$E:$E,"&lt;="&amp;'Cashflow Projection'!I$5,'Updated Construction'!$E:$E,"&gt;"&amp;'Cashflow Projection'!$B$2)+(SUMIFS('Updated Construction'!$F:$F,'Updated Construction'!$A:$A,TRUE,'Updated Construction'!$G:$G,'Cashflow Projection'!$A55,'Updated Construction'!$E:$E,"&lt;="&amp;'Cashflow Projection'!I$5,'Updated Construction'!$E:$E,"&gt;"&amp;'Cashflow Projection'!$B$2)*$B55))*1.15</f>
        <v/>
      </c>
      <c r="J55" s="28" t="n"/>
      <c r="K55" s="28">
        <f>-(SUMIFS('Updated Construction'!$F:$F,'Updated Construction'!$A:$A,FALSE,'Updated Construction'!$G:$G,'Cashflow Projection'!$A55,'Updated Construction'!$E:$E,"&lt;="&amp;'Cashflow Projection'!K$5,'Updated Construction'!$E:$E,"&gt;"&amp;'Cashflow Projection'!I$5)+(SUMIFS('Updated Construction'!$F:$F,'Updated Construction'!$A:$A,TRUE,'Updated Construction'!$G:$G,'Cashflow Projection'!$A55,'Updated Construction'!$E:$E,"&lt;="&amp;'Cashflow Projection'!K$5,'Updated Construction'!$E:$E,"&gt;"&amp;'Cashflow Projection'!I$5)*$B55))*1.15</f>
        <v/>
      </c>
      <c r="L55" s="28" t="n"/>
      <c r="M55" s="28">
        <f>-(SUMIFS('Updated Construction'!$F:$F,'Updated Construction'!$A:$A,FALSE,'Updated Construction'!$G:$G,'Cashflow Projection'!$A55,'Updated Construction'!$E:$E,"&lt;="&amp;'Cashflow Projection'!M$5,'Updated Construction'!$E:$E,"&gt;"&amp;'Cashflow Projection'!K$5)+(SUMIFS('Updated Construction'!$F:$F,'Updated Construction'!$A:$A,TRUE,'Updated Construction'!$G:$G,'Cashflow Projection'!$A55,'Updated Construction'!$E:$E,"&lt;="&amp;'Cashflow Projection'!M$5,'Updated Construction'!$E:$E,"&gt;"&amp;'Cashflow Projection'!K$5)*$B55))*1.15</f>
        <v/>
      </c>
      <c r="N55" s="28" t="n"/>
      <c r="O55" s="28">
        <f>-(SUMIFS('Updated Construction'!$F:$F,'Updated Construction'!$A:$A,FALSE,'Updated Construction'!$G:$G,'Cashflow Projection'!$A55,'Updated Construction'!$E:$E,"&lt;="&amp;'Cashflow Projection'!O$5,'Updated Construction'!$E:$E,"&gt;"&amp;'Cashflow Projection'!M$5)+(SUMIFS('Updated Construction'!$F:$F,'Updated Construction'!$A:$A,TRUE,'Updated Construction'!$G:$G,'Cashflow Projection'!$A55,'Updated Construction'!$E:$E,"&lt;="&amp;'Cashflow Projection'!O$5,'Updated Construction'!$E:$E,"&gt;"&amp;'Cashflow Projection'!M$5)*$B55))*1.15</f>
        <v/>
      </c>
      <c r="P55" s="28" t="n"/>
      <c r="Q55" s="28">
        <f>-(SUMIFS('Updated Construction'!$F:$F,'Updated Construction'!$A:$A,FALSE,'Updated Construction'!$G:$G,'Cashflow Projection'!$A55,'Updated Construction'!$E:$E,"&lt;="&amp;'Cashflow Projection'!Q$5,'Updated Construction'!$E:$E,"&gt;"&amp;'Cashflow Projection'!O$5)+(SUMIFS('Updated Construction'!$F:$F,'Updated Construction'!$A:$A,TRUE,'Updated Construction'!$G:$G,'Cashflow Projection'!$A55,'Updated Construction'!$E:$E,"&lt;="&amp;'Cashflow Projection'!Q$5,'Updated Construction'!$E:$E,"&gt;"&amp;'Cashflow Projection'!O$5)*$B55))*1.15</f>
        <v/>
      </c>
      <c r="R55" s="28" t="n"/>
      <c r="S55" s="28">
        <f>-(SUMIFS('Updated Construction'!$F:$F,'Updated Construction'!$A:$A,FALSE,'Updated Construction'!$G:$G,'Cashflow Projection'!$A55,'Updated Construction'!$E:$E,"&lt;="&amp;'Cashflow Projection'!S$5,'Updated Construction'!$E:$E,"&gt;"&amp;'Cashflow Projection'!Q$5)+(SUMIFS('Updated Construction'!$F:$F,'Updated Construction'!$A:$A,TRUE,'Updated Construction'!$G:$G,'Cashflow Projection'!$A55,'Updated Construction'!$E:$E,"&lt;="&amp;'Cashflow Projection'!S$5,'Updated Construction'!$E:$E,"&gt;"&amp;'Cashflow Projection'!Q$5)*$B55))*1.15</f>
        <v/>
      </c>
      <c r="T55" s="28" t="n"/>
      <c r="U55" s="28">
        <f>-(SUMIFS('Updated Construction'!$F:$F,'Updated Construction'!$A:$A,FALSE,'Updated Construction'!$G:$G,'Cashflow Projection'!$A55,'Updated Construction'!$E:$E,"&lt;="&amp;'Cashflow Projection'!U$5,'Updated Construction'!$E:$E,"&gt;"&amp;'Cashflow Projection'!S$5)+(SUMIFS('Updated Construction'!$F:$F,'Updated Construction'!$A:$A,TRUE,'Updated Construction'!$G:$G,'Cashflow Projection'!$A55,'Updated Construction'!$E:$E,"&lt;="&amp;'Cashflow Projection'!U$5,'Updated Construction'!$E:$E,"&gt;"&amp;'Cashflow Projection'!S$5)*$B55))*1.15</f>
        <v/>
      </c>
      <c r="V55" s="28" t="n"/>
      <c r="W55" s="28">
        <f>-(SUMIFS('Updated Construction'!$F:$F,'Updated Construction'!$A:$A,FALSE,'Updated Construction'!$G:$G,'Cashflow Projection'!$A55,'Updated Construction'!$E:$E,"&lt;="&amp;'Cashflow Projection'!W$5,'Updated Construction'!$E:$E,"&gt;"&amp;'Cashflow Projection'!U$5)+(SUMIFS('Updated Construction'!$F:$F,'Updated Construction'!$A:$A,TRUE,'Updated Construction'!$G:$G,'Cashflow Projection'!$A55,'Updated Construction'!$E:$E,"&lt;="&amp;'Cashflow Projection'!W$5,'Updated Construction'!$E:$E,"&gt;"&amp;'Cashflow Projection'!U$5)*$B55))*1.15</f>
        <v/>
      </c>
      <c r="X55" s="28" t="n"/>
      <c r="Y55" s="28">
        <f>-(SUMIFS('Updated Construction'!$F:$F,'Updated Construction'!$A:$A,FALSE,'Updated Construction'!$G:$G,'Cashflow Projection'!$A55,'Updated Construction'!$E:$E,"&lt;="&amp;'Cashflow Projection'!Y$5,'Updated Construction'!$E:$E,"&gt;"&amp;'Cashflow Projection'!W$5)+(SUMIFS('Updated Construction'!$F:$F,'Updated Construction'!$A:$A,TRUE,'Updated Construction'!$G:$G,'Cashflow Projection'!$A55,'Updated Construction'!$E:$E,"&lt;="&amp;'Cashflow Projection'!Y$5,'Updated Construction'!$E:$E,"&gt;"&amp;'Cashflow Projection'!W$5)*$B55))*1.15</f>
        <v/>
      </c>
      <c r="Z55" s="28" t="n"/>
      <c r="AA55" s="28">
        <f>-(SUMIFS('Updated Construction'!$F:$F,'Updated Construction'!$A:$A,FALSE,'Updated Construction'!$G:$G,'Cashflow Projection'!$A55,'Updated Construction'!$E:$E,"&lt;="&amp;'Cashflow Projection'!AA$5,'Updated Construction'!$E:$E,"&gt;"&amp;'Cashflow Projection'!Y$5)+(SUMIFS('Updated Construction'!$F:$F,'Updated Construction'!$A:$A,TRUE,'Updated Construction'!$G:$G,'Cashflow Projection'!$A55,'Updated Construction'!$E:$E,"&lt;="&amp;'Cashflow Projection'!AA$5,'Updated Construction'!$E:$E,"&gt;"&amp;'Cashflow Projection'!Y$5)*$B55))*1.15</f>
        <v/>
      </c>
      <c r="AB55" s="28" t="n"/>
      <c r="AC55" s="28">
        <f>-(SUMIFS('Updated Construction'!$F:$F,'Updated Construction'!$A:$A,FALSE,'Updated Construction'!$G:$G,'Cashflow Projection'!$A55,'Updated Construction'!$E:$E,"&lt;="&amp;'Cashflow Projection'!AC$5,'Updated Construction'!$E:$E,"&gt;"&amp;'Cashflow Projection'!AA$5)+(SUMIFS('Updated Construction'!$F:$F,'Updated Construction'!$A:$A,TRUE,'Updated Construction'!$G:$G,'Cashflow Projection'!$A55,'Updated Construction'!$E:$E,"&lt;="&amp;'Cashflow Projection'!AC$5,'Updated Construction'!$E:$E,"&gt;"&amp;'Cashflow Projection'!AA$5)*$B55))*1.15</f>
        <v/>
      </c>
      <c r="AD55" s="28" t="n"/>
      <c r="AE55" s="28">
        <f>-(SUMIFS('Updated Construction'!$F:$F,'Updated Construction'!$A:$A,FALSE,'Updated Construction'!$G:$G,'Cashflow Projection'!$A55,'Updated Construction'!$E:$E,"&lt;="&amp;'Cashflow Projection'!AE$5,'Updated Construction'!$E:$E,"&gt;"&amp;'Cashflow Projection'!AC$5)+(SUMIFS('Updated Construction'!$F:$F,'Updated Construction'!$A:$A,TRUE,'Updated Construction'!$G:$G,'Cashflow Projection'!$A55,'Updated Construction'!$E:$E,"&lt;="&amp;'Cashflow Projection'!AE$5,'Updated Construction'!$E:$E,"&gt;"&amp;'Cashflow Projection'!AC$5)*$B55))*1.15</f>
        <v/>
      </c>
      <c r="AF55" s="44" t="n"/>
    </row>
    <row r="56">
      <c r="A56" s="45" t="inlineStr">
        <is>
          <t>I</t>
        </is>
      </c>
      <c r="B56" s="46" t="n">
        <v>0</v>
      </c>
      <c r="C56" s="43">
        <f>8*B56</f>
        <v/>
      </c>
      <c r="D56" s="28">
        <f>+I56+K56+M56+O56+Q56+S56+U56+W56+Y56+AA56+AC56+AE56</f>
        <v/>
      </c>
      <c r="I56" s="28">
        <f>-(SUMIFS('Updated Construction'!$F:$F,'Updated Construction'!$A:$A,FALSE,'Updated Construction'!$G:$G,'Cashflow Projection'!$A56,'Updated Construction'!$E:$E,"&lt;="&amp;'Cashflow Projection'!I$5,'Updated Construction'!$E:$E,"&gt;"&amp;'Cashflow Projection'!$B$2)+(SUMIFS('Updated Construction'!$F:$F,'Updated Construction'!$A:$A,TRUE,'Updated Construction'!$G:$G,'Cashflow Projection'!$A56,'Updated Construction'!$E:$E,"&lt;="&amp;'Cashflow Projection'!I$5,'Updated Construction'!$E:$E,"&gt;"&amp;'Cashflow Projection'!$B$2)*$B56))*1.15</f>
        <v/>
      </c>
      <c r="J56" s="28" t="n"/>
      <c r="K56" s="28">
        <f>-(SUMIFS('Updated Construction'!$F:$F,'Updated Construction'!$A:$A,FALSE,'Updated Construction'!$G:$G,'Cashflow Projection'!$A56,'Updated Construction'!$E:$E,"&lt;="&amp;'Cashflow Projection'!K$5,'Updated Construction'!$E:$E,"&gt;"&amp;'Cashflow Projection'!I$5)+(SUMIFS('Updated Construction'!$F:$F,'Updated Construction'!$A:$A,TRUE,'Updated Construction'!$G:$G,'Cashflow Projection'!$A56,'Updated Construction'!$E:$E,"&lt;="&amp;'Cashflow Projection'!K$5,'Updated Construction'!$E:$E,"&gt;"&amp;'Cashflow Projection'!I$5)*$B56))*1.15</f>
        <v/>
      </c>
      <c r="L56" s="28" t="n"/>
      <c r="M56" s="28">
        <f>-(SUMIFS('Updated Construction'!$F:$F,'Updated Construction'!$A:$A,FALSE,'Updated Construction'!$G:$G,'Cashflow Projection'!$A56,'Updated Construction'!$E:$E,"&lt;="&amp;'Cashflow Projection'!M$5,'Updated Construction'!$E:$E,"&gt;"&amp;'Cashflow Projection'!K$5)+(SUMIFS('Updated Construction'!$F:$F,'Updated Construction'!$A:$A,TRUE,'Updated Construction'!$G:$G,'Cashflow Projection'!$A56,'Updated Construction'!$E:$E,"&lt;="&amp;'Cashflow Projection'!M$5,'Updated Construction'!$E:$E,"&gt;"&amp;'Cashflow Projection'!K$5)*$B56))*1.15</f>
        <v/>
      </c>
      <c r="N56" s="28" t="n"/>
      <c r="O56" s="28">
        <f>-(SUMIFS('Updated Construction'!$F:$F,'Updated Construction'!$A:$A,FALSE,'Updated Construction'!$G:$G,'Cashflow Projection'!$A56,'Updated Construction'!$E:$E,"&lt;="&amp;'Cashflow Projection'!O$5,'Updated Construction'!$E:$E,"&gt;"&amp;'Cashflow Projection'!M$5)+(SUMIFS('Updated Construction'!$F:$F,'Updated Construction'!$A:$A,TRUE,'Updated Construction'!$G:$G,'Cashflow Projection'!$A56,'Updated Construction'!$E:$E,"&lt;="&amp;'Cashflow Projection'!O$5,'Updated Construction'!$E:$E,"&gt;"&amp;'Cashflow Projection'!M$5)*$B56))*1.15</f>
        <v/>
      </c>
      <c r="P56" s="28" t="n"/>
      <c r="Q56" s="28">
        <f>-(SUMIFS('Updated Construction'!$F:$F,'Updated Construction'!$A:$A,FALSE,'Updated Construction'!$G:$G,'Cashflow Projection'!$A56,'Updated Construction'!$E:$E,"&lt;="&amp;'Cashflow Projection'!Q$5,'Updated Construction'!$E:$E,"&gt;"&amp;'Cashflow Projection'!O$5)+(SUMIFS('Updated Construction'!$F:$F,'Updated Construction'!$A:$A,TRUE,'Updated Construction'!$G:$G,'Cashflow Projection'!$A56,'Updated Construction'!$E:$E,"&lt;="&amp;'Cashflow Projection'!Q$5,'Updated Construction'!$E:$E,"&gt;"&amp;'Cashflow Projection'!O$5)*$B56))*1.15</f>
        <v/>
      </c>
      <c r="R56" s="28" t="n"/>
      <c r="S56" s="28">
        <f>-(SUMIFS('Updated Construction'!$F:$F,'Updated Construction'!$A:$A,FALSE,'Updated Construction'!$G:$G,'Cashflow Projection'!$A56,'Updated Construction'!$E:$E,"&lt;="&amp;'Cashflow Projection'!S$5,'Updated Construction'!$E:$E,"&gt;"&amp;'Cashflow Projection'!Q$5)+(SUMIFS('Updated Construction'!$F:$F,'Updated Construction'!$A:$A,TRUE,'Updated Construction'!$G:$G,'Cashflow Projection'!$A56,'Updated Construction'!$E:$E,"&lt;="&amp;'Cashflow Projection'!S$5,'Updated Construction'!$E:$E,"&gt;"&amp;'Cashflow Projection'!Q$5)*$B56))*1.15</f>
        <v/>
      </c>
      <c r="T56" s="28" t="n"/>
      <c r="U56" s="28">
        <f>-(SUMIFS('Updated Construction'!$F:$F,'Updated Construction'!$A:$A,FALSE,'Updated Construction'!$G:$G,'Cashflow Projection'!$A56,'Updated Construction'!$E:$E,"&lt;="&amp;'Cashflow Projection'!U$5,'Updated Construction'!$E:$E,"&gt;"&amp;'Cashflow Projection'!S$5)+(SUMIFS('Updated Construction'!$F:$F,'Updated Construction'!$A:$A,TRUE,'Updated Construction'!$G:$G,'Cashflow Projection'!$A56,'Updated Construction'!$E:$E,"&lt;="&amp;'Cashflow Projection'!U$5,'Updated Construction'!$E:$E,"&gt;"&amp;'Cashflow Projection'!S$5)*$B56))*1.15</f>
        <v/>
      </c>
      <c r="V56" s="28" t="n"/>
      <c r="W56" s="28">
        <f>-(SUMIFS('Updated Construction'!$F:$F,'Updated Construction'!$A:$A,FALSE,'Updated Construction'!$G:$G,'Cashflow Projection'!$A56,'Updated Construction'!$E:$E,"&lt;="&amp;'Cashflow Projection'!W$5,'Updated Construction'!$E:$E,"&gt;"&amp;'Cashflow Projection'!U$5)+(SUMIFS('Updated Construction'!$F:$F,'Updated Construction'!$A:$A,TRUE,'Updated Construction'!$G:$G,'Cashflow Projection'!$A56,'Updated Construction'!$E:$E,"&lt;="&amp;'Cashflow Projection'!W$5,'Updated Construction'!$E:$E,"&gt;"&amp;'Cashflow Projection'!U$5)*$B56))*1.15</f>
        <v/>
      </c>
      <c r="X56" s="28" t="n"/>
      <c r="Y56" s="28">
        <f>-(SUMIFS('Updated Construction'!$F:$F,'Updated Construction'!$A:$A,FALSE,'Updated Construction'!$G:$G,'Cashflow Projection'!$A56,'Updated Construction'!$E:$E,"&lt;="&amp;'Cashflow Projection'!Y$5,'Updated Construction'!$E:$E,"&gt;"&amp;'Cashflow Projection'!W$5)+(SUMIFS('Updated Construction'!$F:$F,'Updated Construction'!$A:$A,TRUE,'Updated Construction'!$G:$G,'Cashflow Projection'!$A56,'Updated Construction'!$E:$E,"&lt;="&amp;'Cashflow Projection'!Y$5,'Updated Construction'!$E:$E,"&gt;"&amp;'Cashflow Projection'!W$5)*$B56))*1.15</f>
        <v/>
      </c>
      <c r="Z56" s="28" t="n"/>
      <c r="AA56" s="28">
        <f>-(SUMIFS('Updated Construction'!$F:$F,'Updated Construction'!$A:$A,FALSE,'Updated Construction'!$G:$G,'Cashflow Projection'!$A56,'Updated Construction'!$E:$E,"&lt;="&amp;'Cashflow Projection'!AA$5,'Updated Construction'!$E:$E,"&gt;"&amp;'Cashflow Projection'!Y$5)+(SUMIFS('Updated Construction'!$F:$F,'Updated Construction'!$A:$A,TRUE,'Updated Construction'!$G:$G,'Cashflow Projection'!$A56,'Updated Construction'!$E:$E,"&lt;="&amp;'Cashflow Projection'!AA$5,'Updated Construction'!$E:$E,"&gt;"&amp;'Cashflow Projection'!Y$5)*$B56))*1.15</f>
        <v/>
      </c>
      <c r="AB56" s="28" t="n"/>
      <c r="AC56" s="28">
        <f>-(SUMIFS('Updated Construction'!$F:$F,'Updated Construction'!$A:$A,FALSE,'Updated Construction'!$G:$G,'Cashflow Projection'!$A56,'Updated Construction'!$E:$E,"&lt;="&amp;'Cashflow Projection'!AC$5,'Updated Construction'!$E:$E,"&gt;"&amp;'Cashflow Projection'!AA$5)+(SUMIFS('Updated Construction'!$F:$F,'Updated Construction'!$A:$A,TRUE,'Updated Construction'!$G:$G,'Cashflow Projection'!$A56,'Updated Construction'!$E:$E,"&lt;="&amp;'Cashflow Projection'!AC$5,'Updated Construction'!$E:$E,"&gt;"&amp;'Cashflow Projection'!AA$5)*$B56))*1.15</f>
        <v/>
      </c>
      <c r="AD56" s="28" t="n"/>
      <c r="AE56" s="28">
        <f>-(SUMIFS('Updated Construction'!$F:$F,'Updated Construction'!$A:$A,FALSE,'Updated Construction'!$G:$G,'Cashflow Projection'!$A56,'Updated Construction'!$E:$E,"&lt;="&amp;'Cashflow Projection'!AE$5,'Updated Construction'!$E:$E,"&gt;"&amp;'Cashflow Projection'!AC$5)+(SUMIFS('Updated Construction'!$F:$F,'Updated Construction'!$A:$A,TRUE,'Updated Construction'!$G:$G,'Cashflow Projection'!$A56,'Updated Construction'!$E:$E,"&lt;="&amp;'Cashflow Projection'!AE$5,'Updated Construction'!$E:$E,"&gt;"&amp;'Cashflow Projection'!AC$5)*$B56))*1.15</f>
        <v/>
      </c>
      <c r="AF56" s="44" t="n"/>
    </row>
    <row r="57">
      <c r="A57" s="45" t="inlineStr">
        <is>
          <t>J</t>
        </is>
      </c>
      <c r="B57" s="46" t="n">
        <v>0</v>
      </c>
      <c r="C57" s="43">
        <f>12*B57</f>
        <v/>
      </c>
      <c r="D57" s="28">
        <f>+I57+K57+M57+O57+Q57+S57+U57+W57+Y57+AA57+AC57+AE57</f>
        <v/>
      </c>
      <c r="I57" s="28">
        <f>-(SUMIFS('Updated Construction'!$F:$F,'Updated Construction'!$A:$A,FALSE,'Updated Construction'!$G:$G,'Cashflow Projection'!$A57,'Updated Construction'!$E:$E,"&lt;="&amp;'Cashflow Projection'!I$5,'Updated Construction'!$E:$E,"&gt;"&amp;'Cashflow Projection'!$B$2)+(SUMIFS('Updated Construction'!$F:$F,'Updated Construction'!$A:$A,TRUE,'Updated Construction'!$G:$G,'Cashflow Projection'!$A57,'Updated Construction'!$E:$E,"&lt;="&amp;'Cashflow Projection'!I$5,'Updated Construction'!$E:$E,"&gt;"&amp;'Cashflow Projection'!$B$2)*$B57))*1.15</f>
        <v/>
      </c>
      <c r="J57" s="28" t="n"/>
      <c r="K57" s="28">
        <f>-(SUMIFS('Updated Construction'!$F:$F,'Updated Construction'!$A:$A,FALSE,'Updated Construction'!$G:$G,'Cashflow Projection'!$A57,'Updated Construction'!$E:$E,"&lt;="&amp;'Cashflow Projection'!K$5,'Updated Construction'!$E:$E,"&gt;"&amp;'Cashflow Projection'!I$5)+(SUMIFS('Updated Construction'!$F:$F,'Updated Construction'!$A:$A,TRUE,'Updated Construction'!$G:$G,'Cashflow Projection'!$A57,'Updated Construction'!$E:$E,"&lt;="&amp;'Cashflow Projection'!K$5,'Updated Construction'!$E:$E,"&gt;"&amp;'Cashflow Projection'!I$5)*$B57))*1.15</f>
        <v/>
      </c>
      <c r="L57" s="28" t="n"/>
      <c r="M57" s="28">
        <f>-(SUMIFS('Updated Construction'!$F:$F,'Updated Construction'!$A:$A,FALSE,'Updated Construction'!$G:$G,'Cashflow Projection'!$A57,'Updated Construction'!$E:$E,"&lt;="&amp;'Cashflow Projection'!M$5,'Updated Construction'!$E:$E,"&gt;"&amp;'Cashflow Projection'!K$5)+(SUMIFS('Updated Construction'!$F:$F,'Updated Construction'!$A:$A,TRUE,'Updated Construction'!$G:$G,'Cashflow Projection'!$A57,'Updated Construction'!$E:$E,"&lt;="&amp;'Cashflow Projection'!M$5,'Updated Construction'!$E:$E,"&gt;"&amp;'Cashflow Projection'!K$5)*$B57))*1.15</f>
        <v/>
      </c>
      <c r="N57" s="28" t="n"/>
      <c r="O57" s="28">
        <f>-(SUMIFS('Updated Construction'!$F:$F,'Updated Construction'!$A:$A,FALSE,'Updated Construction'!$G:$G,'Cashflow Projection'!$A57,'Updated Construction'!$E:$E,"&lt;="&amp;'Cashflow Projection'!O$5,'Updated Construction'!$E:$E,"&gt;"&amp;'Cashflow Projection'!M$5)+(SUMIFS('Updated Construction'!$F:$F,'Updated Construction'!$A:$A,TRUE,'Updated Construction'!$G:$G,'Cashflow Projection'!$A57,'Updated Construction'!$E:$E,"&lt;="&amp;'Cashflow Projection'!O$5,'Updated Construction'!$E:$E,"&gt;"&amp;'Cashflow Projection'!M$5)*$B57))*1.15</f>
        <v/>
      </c>
      <c r="P57" s="28" t="n"/>
      <c r="Q57" s="28">
        <f>-(SUMIFS('Updated Construction'!$F:$F,'Updated Construction'!$A:$A,FALSE,'Updated Construction'!$G:$G,'Cashflow Projection'!$A57,'Updated Construction'!$E:$E,"&lt;="&amp;'Cashflow Projection'!Q$5,'Updated Construction'!$E:$E,"&gt;"&amp;'Cashflow Projection'!O$5)+(SUMIFS('Updated Construction'!$F:$F,'Updated Construction'!$A:$A,TRUE,'Updated Construction'!$G:$G,'Cashflow Projection'!$A57,'Updated Construction'!$E:$E,"&lt;="&amp;'Cashflow Projection'!Q$5,'Updated Construction'!$E:$E,"&gt;"&amp;'Cashflow Projection'!O$5)*$B57))*1.15</f>
        <v/>
      </c>
      <c r="R57" s="28" t="n"/>
      <c r="S57" s="28">
        <f>-(SUMIFS('Updated Construction'!$F:$F,'Updated Construction'!$A:$A,FALSE,'Updated Construction'!$G:$G,'Cashflow Projection'!$A57,'Updated Construction'!$E:$E,"&lt;="&amp;'Cashflow Projection'!S$5,'Updated Construction'!$E:$E,"&gt;"&amp;'Cashflow Projection'!Q$5)+(SUMIFS('Updated Construction'!$F:$F,'Updated Construction'!$A:$A,TRUE,'Updated Construction'!$G:$G,'Cashflow Projection'!$A57,'Updated Construction'!$E:$E,"&lt;="&amp;'Cashflow Projection'!S$5,'Updated Construction'!$E:$E,"&gt;"&amp;'Cashflow Projection'!Q$5)*$B57))*1.15</f>
        <v/>
      </c>
      <c r="T57" s="28" t="n"/>
      <c r="U57" s="28">
        <f>-(SUMIFS('Updated Construction'!$F:$F,'Updated Construction'!$A:$A,FALSE,'Updated Construction'!$G:$G,'Cashflow Projection'!$A57,'Updated Construction'!$E:$E,"&lt;="&amp;'Cashflow Projection'!U$5,'Updated Construction'!$E:$E,"&gt;"&amp;'Cashflow Projection'!S$5)+(SUMIFS('Updated Construction'!$F:$F,'Updated Construction'!$A:$A,TRUE,'Updated Construction'!$G:$G,'Cashflow Projection'!$A57,'Updated Construction'!$E:$E,"&lt;="&amp;'Cashflow Projection'!U$5,'Updated Construction'!$E:$E,"&gt;"&amp;'Cashflow Projection'!S$5)*$B57))*1.15</f>
        <v/>
      </c>
      <c r="V57" s="28" t="n"/>
      <c r="W57" s="28">
        <f>-(SUMIFS('Updated Construction'!$F:$F,'Updated Construction'!$A:$A,FALSE,'Updated Construction'!$G:$G,'Cashflow Projection'!$A57,'Updated Construction'!$E:$E,"&lt;="&amp;'Cashflow Projection'!W$5,'Updated Construction'!$E:$E,"&gt;"&amp;'Cashflow Projection'!U$5)+(SUMIFS('Updated Construction'!$F:$F,'Updated Construction'!$A:$A,TRUE,'Updated Construction'!$G:$G,'Cashflow Projection'!$A57,'Updated Construction'!$E:$E,"&lt;="&amp;'Cashflow Projection'!W$5,'Updated Construction'!$E:$E,"&gt;"&amp;'Cashflow Projection'!U$5)*$B57))*1.15</f>
        <v/>
      </c>
      <c r="X57" s="28" t="n"/>
      <c r="Y57" s="28">
        <f>-(SUMIFS('Updated Construction'!$F:$F,'Updated Construction'!$A:$A,FALSE,'Updated Construction'!$G:$G,'Cashflow Projection'!$A57,'Updated Construction'!$E:$E,"&lt;="&amp;'Cashflow Projection'!Y$5,'Updated Construction'!$E:$E,"&gt;"&amp;'Cashflow Projection'!W$5)+(SUMIFS('Updated Construction'!$F:$F,'Updated Construction'!$A:$A,TRUE,'Updated Construction'!$G:$G,'Cashflow Projection'!$A57,'Updated Construction'!$E:$E,"&lt;="&amp;'Cashflow Projection'!Y$5,'Updated Construction'!$E:$E,"&gt;"&amp;'Cashflow Projection'!W$5)*$B57))*1.15</f>
        <v/>
      </c>
      <c r="Z57" s="28" t="n"/>
      <c r="AA57" s="28">
        <f>-(SUMIFS('Updated Construction'!$F:$F,'Updated Construction'!$A:$A,FALSE,'Updated Construction'!$G:$G,'Cashflow Projection'!$A57,'Updated Construction'!$E:$E,"&lt;="&amp;'Cashflow Projection'!AA$5,'Updated Construction'!$E:$E,"&gt;"&amp;'Cashflow Projection'!Y$5)+(SUMIFS('Updated Construction'!$F:$F,'Updated Construction'!$A:$A,TRUE,'Updated Construction'!$G:$G,'Cashflow Projection'!$A57,'Updated Construction'!$E:$E,"&lt;="&amp;'Cashflow Projection'!AA$5,'Updated Construction'!$E:$E,"&gt;"&amp;'Cashflow Projection'!Y$5)*$B57))*1.15</f>
        <v/>
      </c>
      <c r="AB57" s="28" t="n"/>
      <c r="AC57" s="28">
        <f>-(SUMIFS('Updated Construction'!$F:$F,'Updated Construction'!$A:$A,FALSE,'Updated Construction'!$G:$G,'Cashflow Projection'!$A57,'Updated Construction'!$E:$E,"&lt;="&amp;'Cashflow Projection'!AC$5,'Updated Construction'!$E:$E,"&gt;"&amp;'Cashflow Projection'!AA$5)+(SUMIFS('Updated Construction'!$F:$F,'Updated Construction'!$A:$A,TRUE,'Updated Construction'!$G:$G,'Cashflow Projection'!$A57,'Updated Construction'!$E:$E,"&lt;="&amp;'Cashflow Projection'!AC$5,'Updated Construction'!$E:$E,"&gt;"&amp;'Cashflow Projection'!AA$5)*$B57))*1.15</f>
        <v/>
      </c>
      <c r="AD57" s="28" t="n"/>
      <c r="AE57" s="28">
        <f>-(SUMIFS('Updated Construction'!$F:$F,'Updated Construction'!$A:$A,FALSE,'Updated Construction'!$G:$G,'Cashflow Projection'!$A57,'Updated Construction'!$E:$E,"&lt;="&amp;'Cashflow Projection'!AE$5,'Updated Construction'!$E:$E,"&gt;"&amp;'Cashflow Projection'!AC$5)+(SUMIFS('Updated Construction'!$F:$F,'Updated Construction'!$A:$A,TRUE,'Updated Construction'!$G:$G,'Cashflow Projection'!$A57,'Updated Construction'!$E:$E,"&lt;="&amp;'Cashflow Projection'!AE$5,'Updated Construction'!$E:$E,"&gt;"&amp;'Cashflow Projection'!AC$5)*$B57))*1.15</f>
        <v/>
      </c>
      <c r="AF57" s="44" t="n"/>
    </row>
    <row r="58">
      <c r="A58" s="45" t="inlineStr">
        <is>
          <t>K</t>
        </is>
      </c>
      <c r="B58" s="46" t="n">
        <v>0</v>
      </c>
      <c r="C58" s="43">
        <f>24*B58</f>
        <v/>
      </c>
      <c r="D58" s="28">
        <f>+I58+K58+M58+O58+Q58+S58+U58+W58+Y58+AA58+AC58+AE58</f>
        <v/>
      </c>
      <c r="I58" s="28">
        <f>-(SUMIFS('Updated Construction'!$F:$F,'Updated Construction'!$A:$A,FALSE,'Updated Construction'!$G:$G,'Cashflow Projection'!$A58,'Updated Construction'!$E:$E,"&lt;="&amp;'Cashflow Projection'!I$5,'Updated Construction'!$E:$E,"&gt;"&amp;'Cashflow Projection'!$B$2)+(SUMIFS('Updated Construction'!$F:$F,'Updated Construction'!$A:$A,TRUE,'Updated Construction'!$G:$G,'Cashflow Projection'!$A58,'Updated Construction'!$E:$E,"&lt;="&amp;'Cashflow Projection'!I$5,'Updated Construction'!$E:$E,"&gt;"&amp;'Cashflow Projection'!$B$2)*$B58))*1.15</f>
        <v/>
      </c>
      <c r="J58" s="28" t="n"/>
      <c r="K58" s="28">
        <f>-(SUMIFS('Updated Construction'!$F:$F,'Updated Construction'!$A:$A,FALSE,'Updated Construction'!$G:$G,'Cashflow Projection'!$A58,'Updated Construction'!$E:$E,"&lt;="&amp;'Cashflow Projection'!K$5,'Updated Construction'!$E:$E,"&gt;"&amp;'Cashflow Projection'!I$5)+(SUMIFS('Updated Construction'!$F:$F,'Updated Construction'!$A:$A,TRUE,'Updated Construction'!$G:$G,'Cashflow Projection'!$A58,'Updated Construction'!$E:$E,"&lt;="&amp;'Cashflow Projection'!K$5,'Updated Construction'!$E:$E,"&gt;"&amp;'Cashflow Projection'!I$5)*$B58))*1.15</f>
        <v/>
      </c>
      <c r="L58" s="28" t="n"/>
      <c r="M58" s="28">
        <f>-(SUMIFS('Updated Construction'!$F:$F,'Updated Construction'!$A:$A,FALSE,'Updated Construction'!$G:$G,'Cashflow Projection'!$A58,'Updated Construction'!$E:$E,"&lt;="&amp;'Cashflow Projection'!M$5,'Updated Construction'!$E:$E,"&gt;"&amp;'Cashflow Projection'!K$5)+(SUMIFS('Updated Construction'!$F:$F,'Updated Construction'!$A:$A,TRUE,'Updated Construction'!$G:$G,'Cashflow Projection'!$A58,'Updated Construction'!$E:$E,"&lt;="&amp;'Cashflow Projection'!M$5,'Updated Construction'!$E:$E,"&gt;"&amp;'Cashflow Projection'!K$5)*$B58))*1.15</f>
        <v/>
      </c>
      <c r="N58" s="28" t="n"/>
      <c r="O58" s="28">
        <f>-(SUMIFS('Updated Construction'!$F:$F,'Updated Construction'!$A:$A,FALSE,'Updated Construction'!$G:$G,'Cashflow Projection'!$A58,'Updated Construction'!$E:$E,"&lt;="&amp;'Cashflow Projection'!O$5,'Updated Construction'!$E:$E,"&gt;"&amp;'Cashflow Projection'!M$5)+(SUMIFS('Updated Construction'!$F:$F,'Updated Construction'!$A:$A,TRUE,'Updated Construction'!$G:$G,'Cashflow Projection'!$A58,'Updated Construction'!$E:$E,"&lt;="&amp;'Cashflow Projection'!O$5,'Updated Construction'!$E:$E,"&gt;"&amp;'Cashflow Projection'!M$5)*$B58))*1.15</f>
        <v/>
      </c>
      <c r="P58" s="28" t="n"/>
      <c r="Q58" s="28">
        <f>-(SUMIFS('Updated Construction'!$F:$F,'Updated Construction'!$A:$A,FALSE,'Updated Construction'!$G:$G,'Cashflow Projection'!$A58,'Updated Construction'!$E:$E,"&lt;="&amp;'Cashflow Projection'!Q$5,'Updated Construction'!$E:$E,"&gt;"&amp;'Cashflow Projection'!O$5)+(SUMIFS('Updated Construction'!$F:$F,'Updated Construction'!$A:$A,TRUE,'Updated Construction'!$G:$G,'Cashflow Projection'!$A58,'Updated Construction'!$E:$E,"&lt;="&amp;'Cashflow Projection'!Q$5,'Updated Construction'!$E:$E,"&gt;"&amp;'Cashflow Projection'!O$5)*$B58))*1.15</f>
        <v/>
      </c>
      <c r="R58" s="28" t="n"/>
      <c r="S58" s="28">
        <f>-(SUMIFS('Updated Construction'!$F:$F,'Updated Construction'!$A:$A,FALSE,'Updated Construction'!$G:$G,'Cashflow Projection'!$A58,'Updated Construction'!$E:$E,"&lt;="&amp;'Cashflow Projection'!S$5,'Updated Construction'!$E:$E,"&gt;"&amp;'Cashflow Projection'!Q$5)+(SUMIFS('Updated Construction'!$F:$F,'Updated Construction'!$A:$A,TRUE,'Updated Construction'!$G:$G,'Cashflow Projection'!$A58,'Updated Construction'!$E:$E,"&lt;="&amp;'Cashflow Projection'!S$5,'Updated Construction'!$E:$E,"&gt;"&amp;'Cashflow Projection'!Q$5)*$B58))*1.15</f>
        <v/>
      </c>
      <c r="T58" s="28" t="n"/>
      <c r="U58" s="28">
        <f>-(SUMIFS('Updated Construction'!$F:$F,'Updated Construction'!$A:$A,FALSE,'Updated Construction'!$G:$G,'Cashflow Projection'!$A58,'Updated Construction'!$E:$E,"&lt;="&amp;'Cashflow Projection'!U$5,'Updated Construction'!$E:$E,"&gt;"&amp;'Cashflow Projection'!S$5)+(SUMIFS('Updated Construction'!$F:$F,'Updated Construction'!$A:$A,TRUE,'Updated Construction'!$G:$G,'Cashflow Projection'!$A58,'Updated Construction'!$E:$E,"&lt;="&amp;'Cashflow Projection'!U$5,'Updated Construction'!$E:$E,"&gt;"&amp;'Cashflow Projection'!S$5)*$B58))*1.15</f>
        <v/>
      </c>
      <c r="V58" s="28" t="n"/>
      <c r="W58" s="28">
        <f>-(SUMIFS('Updated Construction'!$F:$F,'Updated Construction'!$A:$A,FALSE,'Updated Construction'!$G:$G,'Cashflow Projection'!$A58,'Updated Construction'!$E:$E,"&lt;="&amp;'Cashflow Projection'!W$5,'Updated Construction'!$E:$E,"&gt;"&amp;'Cashflow Projection'!U$5)+(SUMIFS('Updated Construction'!$F:$F,'Updated Construction'!$A:$A,TRUE,'Updated Construction'!$G:$G,'Cashflow Projection'!$A58,'Updated Construction'!$E:$E,"&lt;="&amp;'Cashflow Projection'!W$5,'Updated Construction'!$E:$E,"&gt;"&amp;'Cashflow Projection'!U$5)*$B58))*1.15</f>
        <v/>
      </c>
      <c r="X58" s="28" t="n"/>
      <c r="Y58" s="28">
        <f>-(SUMIFS('Updated Construction'!$F:$F,'Updated Construction'!$A:$A,FALSE,'Updated Construction'!$G:$G,'Cashflow Projection'!$A58,'Updated Construction'!$E:$E,"&lt;="&amp;'Cashflow Projection'!Y$5,'Updated Construction'!$E:$E,"&gt;"&amp;'Cashflow Projection'!W$5)+(SUMIFS('Updated Construction'!$F:$F,'Updated Construction'!$A:$A,TRUE,'Updated Construction'!$G:$G,'Cashflow Projection'!$A58,'Updated Construction'!$E:$E,"&lt;="&amp;'Cashflow Projection'!Y$5,'Updated Construction'!$E:$E,"&gt;"&amp;'Cashflow Projection'!W$5)*$B58))*1.15</f>
        <v/>
      </c>
      <c r="Z58" s="28" t="n"/>
      <c r="AA58" s="28">
        <f>-(SUMIFS('Updated Construction'!$F:$F,'Updated Construction'!$A:$A,FALSE,'Updated Construction'!$G:$G,'Cashflow Projection'!$A58,'Updated Construction'!$E:$E,"&lt;="&amp;'Cashflow Projection'!AA$5,'Updated Construction'!$E:$E,"&gt;"&amp;'Cashflow Projection'!Y$5)+(SUMIFS('Updated Construction'!$F:$F,'Updated Construction'!$A:$A,TRUE,'Updated Construction'!$G:$G,'Cashflow Projection'!$A58,'Updated Construction'!$E:$E,"&lt;="&amp;'Cashflow Projection'!AA$5,'Updated Construction'!$E:$E,"&gt;"&amp;'Cashflow Projection'!Y$5)*$B58))*1.15</f>
        <v/>
      </c>
      <c r="AB58" s="28" t="n"/>
      <c r="AC58" s="28">
        <f>-(SUMIFS('Updated Construction'!$F:$F,'Updated Construction'!$A:$A,FALSE,'Updated Construction'!$G:$G,'Cashflow Projection'!$A58,'Updated Construction'!$E:$E,"&lt;="&amp;'Cashflow Projection'!AC$5,'Updated Construction'!$E:$E,"&gt;"&amp;'Cashflow Projection'!AA$5)+(SUMIFS('Updated Construction'!$F:$F,'Updated Construction'!$A:$A,TRUE,'Updated Construction'!$G:$G,'Cashflow Projection'!$A58,'Updated Construction'!$E:$E,"&lt;="&amp;'Cashflow Projection'!AC$5,'Updated Construction'!$E:$E,"&gt;"&amp;'Cashflow Projection'!AA$5)*$B58))*1.15</f>
        <v/>
      </c>
      <c r="AD58" s="28" t="n"/>
      <c r="AE58" s="28">
        <f>-(SUMIFS('Updated Construction'!$F:$F,'Updated Construction'!$A:$A,FALSE,'Updated Construction'!$G:$G,'Cashflow Projection'!$A58,'Updated Construction'!$E:$E,"&lt;="&amp;'Cashflow Projection'!AE$5,'Updated Construction'!$E:$E,"&gt;"&amp;'Cashflow Projection'!AC$5)+(SUMIFS('Updated Construction'!$F:$F,'Updated Construction'!$A:$A,TRUE,'Updated Construction'!$G:$G,'Cashflow Projection'!$A58,'Updated Construction'!$E:$E,"&lt;="&amp;'Cashflow Projection'!AE$5,'Updated Construction'!$E:$E,"&gt;"&amp;'Cashflow Projection'!AC$5)*$B58))*1.15</f>
        <v/>
      </c>
      <c r="AF58" s="44" t="n"/>
    </row>
    <row r="59">
      <c r="A59" s="45" t="inlineStr">
        <is>
          <t>L</t>
        </is>
      </c>
      <c r="B59" s="46" t="n">
        <v>0</v>
      </c>
      <c r="C59" s="43">
        <f>8*B59</f>
        <v/>
      </c>
      <c r="D59" s="28">
        <f>+I59+K59+M59+O59+Q59+S59+U59+W59+Y59+AA59+AC59+AE59</f>
        <v/>
      </c>
      <c r="I59" s="28">
        <f>-(SUMIFS('Updated Construction'!$F:$F,'Updated Construction'!$A:$A,FALSE,'Updated Construction'!$G:$G,'Cashflow Projection'!$A59,'Updated Construction'!$E:$E,"&lt;="&amp;'Cashflow Projection'!I$5,'Updated Construction'!$E:$E,"&gt;"&amp;'Cashflow Projection'!$B$2)+(SUMIFS('Updated Construction'!$F:$F,'Updated Construction'!$A:$A,TRUE,'Updated Construction'!$G:$G,'Cashflow Projection'!$A59,'Updated Construction'!$E:$E,"&lt;="&amp;'Cashflow Projection'!I$5,'Updated Construction'!$E:$E,"&gt;"&amp;'Cashflow Projection'!$B$2)*$B59))*1.15</f>
        <v/>
      </c>
      <c r="J59" s="28" t="n"/>
      <c r="K59" s="28">
        <f>-(SUMIFS('Updated Construction'!$F:$F,'Updated Construction'!$A:$A,FALSE,'Updated Construction'!$G:$G,'Cashflow Projection'!$A59,'Updated Construction'!$E:$E,"&lt;="&amp;'Cashflow Projection'!K$5,'Updated Construction'!$E:$E,"&gt;"&amp;'Cashflow Projection'!I$5)+(SUMIFS('Updated Construction'!$F:$F,'Updated Construction'!$A:$A,TRUE,'Updated Construction'!$G:$G,'Cashflow Projection'!$A59,'Updated Construction'!$E:$E,"&lt;="&amp;'Cashflow Projection'!K$5,'Updated Construction'!$E:$E,"&gt;"&amp;'Cashflow Projection'!I$5)*$B59))*1.15</f>
        <v/>
      </c>
      <c r="L59" s="28" t="n"/>
      <c r="M59" s="28">
        <f>-(SUMIFS('Updated Construction'!$F:$F,'Updated Construction'!$A:$A,FALSE,'Updated Construction'!$G:$G,'Cashflow Projection'!$A59,'Updated Construction'!$E:$E,"&lt;="&amp;'Cashflow Projection'!M$5,'Updated Construction'!$E:$E,"&gt;"&amp;'Cashflow Projection'!K$5)+(SUMIFS('Updated Construction'!$F:$F,'Updated Construction'!$A:$A,TRUE,'Updated Construction'!$G:$G,'Cashflow Projection'!$A59,'Updated Construction'!$E:$E,"&lt;="&amp;'Cashflow Projection'!M$5,'Updated Construction'!$E:$E,"&gt;"&amp;'Cashflow Projection'!K$5)*$B59))*1.15</f>
        <v/>
      </c>
      <c r="N59" s="28" t="n"/>
      <c r="O59" s="28">
        <f>-(SUMIFS('Updated Construction'!$F:$F,'Updated Construction'!$A:$A,FALSE,'Updated Construction'!$G:$G,'Cashflow Projection'!$A59,'Updated Construction'!$E:$E,"&lt;="&amp;'Cashflow Projection'!O$5,'Updated Construction'!$E:$E,"&gt;"&amp;'Cashflow Projection'!M$5)+(SUMIFS('Updated Construction'!$F:$F,'Updated Construction'!$A:$A,TRUE,'Updated Construction'!$G:$G,'Cashflow Projection'!$A59,'Updated Construction'!$E:$E,"&lt;="&amp;'Cashflow Projection'!O$5,'Updated Construction'!$E:$E,"&gt;"&amp;'Cashflow Projection'!M$5)*$B59))*1.15</f>
        <v/>
      </c>
      <c r="P59" s="28" t="n"/>
      <c r="Q59" s="28">
        <f>-(SUMIFS('Updated Construction'!$F:$F,'Updated Construction'!$A:$A,FALSE,'Updated Construction'!$G:$G,'Cashflow Projection'!$A59,'Updated Construction'!$E:$E,"&lt;="&amp;'Cashflow Projection'!Q$5,'Updated Construction'!$E:$E,"&gt;"&amp;'Cashflow Projection'!O$5)+(SUMIFS('Updated Construction'!$F:$F,'Updated Construction'!$A:$A,TRUE,'Updated Construction'!$G:$G,'Cashflow Projection'!$A59,'Updated Construction'!$E:$E,"&lt;="&amp;'Cashflow Projection'!Q$5,'Updated Construction'!$E:$E,"&gt;"&amp;'Cashflow Projection'!O$5)*$B59))*1.15</f>
        <v/>
      </c>
      <c r="R59" s="28" t="n"/>
      <c r="S59" s="28">
        <f>-(SUMIFS('Updated Construction'!$F:$F,'Updated Construction'!$A:$A,FALSE,'Updated Construction'!$G:$G,'Cashflow Projection'!$A59,'Updated Construction'!$E:$E,"&lt;="&amp;'Cashflow Projection'!S$5,'Updated Construction'!$E:$E,"&gt;"&amp;'Cashflow Projection'!Q$5)+(SUMIFS('Updated Construction'!$F:$F,'Updated Construction'!$A:$A,TRUE,'Updated Construction'!$G:$G,'Cashflow Projection'!$A59,'Updated Construction'!$E:$E,"&lt;="&amp;'Cashflow Projection'!S$5,'Updated Construction'!$E:$E,"&gt;"&amp;'Cashflow Projection'!Q$5)*$B59))*1.15</f>
        <v/>
      </c>
      <c r="T59" s="28" t="n"/>
      <c r="U59" s="28">
        <f>-(SUMIFS('Updated Construction'!$F:$F,'Updated Construction'!$A:$A,FALSE,'Updated Construction'!$G:$G,'Cashflow Projection'!$A59,'Updated Construction'!$E:$E,"&lt;="&amp;'Cashflow Projection'!U$5,'Updated Construction'!$E:$E,"&gt;"&amp;'Cashflow Projection'!S$5)+(SUMIFS('Updated Construction'!$F:$F,'Updated Construction'!$A:$A,TRUE,'Updated Construction'!$G:$G,'Cashflow Projection'!$A59,'Updated Construction'!$E:$E,"&lt;="&amp;'Cashflow Projection'!U$5,'Updated Construction'!$E:$E,"&gt;"&amp;'Cashflow Projection'!S$5)*$B59))*1.15</f>
        <v/>
      </c>
      <c r="V59" s="28" t="n"/>
      <c r="W59" s="28">
        <f>-(SUMIFS('Updated Construction'!$F:$F,'Updated Construction'!$A:$A,FALSE,'Updated Construction'!$G:$G,'Cashflow Projection'!$A59,'Updated Construction'!$E:$E,"&lt;="&amp;'Cashflow Projection'!W$5,'Updated Construction'!$E:$E,"&gt;"&amp;'Cashflow Projection'!U$5)+(SUMIFS('Updated Construction'!$F:$F,'Updated Construction'!$A:$A,TRUE,'Updated Construction'!$G:$G,'Cashflow Projection'!$A59,'Updated Construction'!$E:$E,"&lt;="&amp;'Cashflow Projection'!W$5,'Updated Construction'!$E:$E,"&gt;"&amp;'Cashflow Projection'!U$5)*$B59))*1.15</f>
        <v/>
      </c>
      <c r="X59" s="28" t="n"/>
      <c r="Y59" s="28">
        <f>-(SUMIFS('Updated Construction'!$F:$F,'Updated Construction'!$A:$A,FALSE,'Updated Construction'!$G:$G,'Cashflow Projection'!$A59,'Updated Construction'!$E:$E,"&lt;="&amp;'Cashflow Projection'!Y$5,'Updated Construction'!$E:$E,"&gt;"&amp;'Cashflow Projection'!W$5)+(SUMIFS('Updated Construction'!$F:$F,'Updated Construction'!$A:$A,TRUE,'Updated Construction'!$G:$G,'Cashflow Projection'!$A59,'Updated Construction'!$E:$E,"&lt;="&amp;'Cashflow Projection'!Y$5,'Updated Construction'!$E:$E,"&gt;"&amp;'Cashflow Projection'!W$5)*$B59))*1.15</f>
        <v/>
      </c>
      <c r="Z59" s="28" t="n"/>
      <c r="AA59" s="28">
        <f>-(SUMIFS('Updated Construction'!$F:$F,'Updated Construction'!$A:$A,FALSE,'Updated Construction'!$G:$G,'Cashflow Projection'!$A59,'Updated Construction'!$E:$E,"&lt;="&amp;'Cashflow Projection'!AA$5,'Updated Construction'!$E:$E,"&gt;"&amp;'Cashflow Projection'!Y$5)+(SUMIFS('Updated Construction'!$F:$F,'Updated Construction'!$A:$A,TRUE,'Updated Construction'!$G:$G,'Cashflow Projection'!$A59,'Updated Construction'!$E:$E,"&lt;="&amp;'Cashflow Projection'!AA$5,'Updated Construction'!$E:$E,"&gt;"&amp;'Cashflow Projection'!Y$5)*$B59))*1.15</f>
        <v/>
      </c>
      <c r="AB59" s="28" t="n"/>
      <c r="AC59" s="28">
        <f>-(SUMIFS('Updated Construction'!$F:$F,'Updated Construction'!$A:$A,FALSE,'Updated Construction'!$G:$G,'Cashflow Projection'!$A59,'Updated Construction'!$E:$E,"&lt;="&amp;'Cashflow Projection'!AC$5,'Updated Construction'!$E:$E,"&gt;"&amp;'Cashflow Projection'!AA$5)+(SUMIFS('Updated Construction'!$F:$F,'Updated Construction'!$A:$A,TRUE,'Updated Construction'!$G:$G,'Cashflow Projection'!$A59,'Updated Construction'!$E:$E,"&lt;="&amp;'Cashflow Projection'!AC$5,'Updated Construction'!$E:$E,"&gt;"&amp;'Cashflow Projection'!AA$5)*$B59))*1.15</f>
        <v/>
      </c>
      <c r="AD59" s="28" t="n"/>
      <c r="AE59" s="28">
        <f>-(SUMIFS('Updated Construction'!$F:$F,'Updated Construction'!$A:$A,FALSE,'Updated Construction'!$G:$G,'Cashflow Projection'!$A59,'Updated Construction'!$E:$E,"&lt;="&amp;'Cashflow Projection'!AE$5,'Updated Construction'!$E:$E,"&gt;"&amp;'Cashflow Projection'!AC$5)+(SUMIFS('Updated Construction'!$F:$F,'Updated Construction'!$A:$A,TRUE,'Updated Construction'!$G:$G,'Cashflow Projection'!$A59,'Updated Construction'!$E:$E,"&lt;="&amp;'Cashflow Projection'!AE$5,'Updated Construction'!$E:$E,"&gt;"&amp;'Cashflow Projection'!AC$5)*$B59))*1.15</f>
        <v/>
      </c>
      <c r="AF59" s="44" t="n"/>
    </row>
    <row r="60">
      <c r="A60" s="45" t="inlineStr">
        <is>
          <t>M</t>
        </is>
      </c>
      <c r="B60" s="46" t="n">
        <v>0</v>
      </c>
      <c r="C60" s="43">
        <f>8*B60</f>
        <v/>
      </c>
      <c r="D60" s="28">
        <f>+I60+K60+M60+O60+Q60+S60+U60+W60+Y60+AA60+AC60+AE60</f>
        <v/>
      </c>
      <c r="I60" s="28">
        <f>-(SUMIFS('Updated Construction'!$F:$F,'Updated Construction'!$A:$A,FALSE,'Updated Construction'!$G:$G,'Cashflow Projection'!$A60,'Updated Construction'!$E:$E,"&lt;="&amp;'Cashflow Projection'!I$5,'Updated Construction'!$E:$E,"&gt;"&amp;'Cashflow Projection'!$B$2)+(SUMIFS('Updated Construction'!$F:$F,'Updated Construction'!$A:$A,TRUE,'Updated Construction'!$G:$G,'Cashflow Projection'!$A60,'Updated Construction'!$E:$E,"&lt;="&amp;'Cashflow Projection'!I$5,'Updated Construction'!$E:$E,"&gt;"&amp;'Cashflow Projection'!$B$2)*$B60))*1.15</f>
        <v/>
      </c>
      <c r="J60" s="28" t="n"/>
      <c r="K60" s="28">
        <f>-(SUMIFS('Updated Construction'!$F:$F,'Updated Construction'!$A:$A,FALSE,'Updated Construction'!$G:$G,'Cashflow Projection'!$A60,'Updated Construction'!$E:$E,"&lt;="&amp;'Cashflow Projection'!K$5,'Updated Construction'!$E:$E,"&gt;"&amp;'Cashflow Projection'!I$5)+(SUMIFS('Updated Construction'!$F:$F,'Updated Construction'!$A:$A,TRUE,'Updated Construction'!$G:$G,'Cashflow Projection'!$A60,'Updated Construction'!$E:$E,"&lt;="&amp;'Cashflow Projection'!K$5,'Updated Construction'!$E:$E,"&gt;"&amp;'Cashflow Projection'!I$5)*$B60))*1.15</f>
        <v/>
      </c>
      <c r="L60" s="28" t="n"/>
      <c r="M60" s="28">
        <f>-(SUMIFS('Updated Construction'!$F:$F,'Updated Construction'!$A:$A,FALSE,'Updated Construction'!$G:$G,'Cashflow Projection'!$A60,'Updated Construction'!$E:$E,"&lt;="&amp;'Cashflow Projection'!M$5,'Updated Construction'!$E:$E,"&gt;"&amp;'Cashflow Projection'!K$5)+(SUMIFS('Updated Construction'!$F:$F,'Updated Construction'!$A:$A,TRUE,'Updated Construction'!$G:$G,'Cashflow Projection'!$A60,'Updated Construction'!$E:$E,"&lt;="&amp;'Cashflow Projection'!M$5,'Updated Construction'!$E:$E,"&gt;"&amp;'Cashflow Projection'!K$5)*$B60))*1.15</f>
        <v/>
      </c>
      <c r="N60" s="28" t="n"/>
      <c r="O60" s="28">
        <f>-(SUMIFS('Updated Construction'!$F:$F,'Updated Construction'!$A:$A,FALSE,'Updated Construction'!$G:$G,'Cashflow Projection'!$A60,'Updated Construction'!$E:$E,"&lt;="&amp;'Cashflow Projection'!O$5,'Updated Construction'!$E:$E,"&gt;"&amp;'Cashflow Projection'!M$5)+(SUMIFS('Updated Construction'!$F:$F,'Updated Construction'!$A:$A,TRUE,'Updated Construction'!$G:$G,'Cashflow Projection'!$A60,'Updated Construction'!$E:$E,"&lt;="&amp;'Cashflow Projection'!O$5,'Updated Construction'!$E:$E,"&gt;"&amp;'Cashflow Projection'!M$5)*$B60))*1.15</f>
        <v/>
      </c>
      <c r="P60" s="28" t="n"/>
      <c r="Q60" s="28">
        <f>-(SUMIFS('Updated Construction'!$F:$F,'Updated Construction'!$A:$A,FALSE,'Updated Construction'!$G:$G,'Cashflow Projection'!$A60,'Updated Construction'!$E:$E,"&lt;="&amp;'Cashflow Projection'!Q$5,'Updated Construction'!$E:$E,"&gt;"&amp;'Cashflow Projection'!O$5)+(SUMIFS('Updated Construction'!$F:$F,'Updated Construction'!$A:$A,TRUE,'Updated Construction'!$G:$G,'Cashflow Projection'!$A60,'Updated Construction'!$E:$E,"&lt;="&amp;'Cashflow Projection'!Q$5,'Updated Construction'!$E:$E,"&gt;"&amp;'Cashflow Projection'!O$5)*$B60))*1.15</f>
        <v/>
      </c>
      <c r="R60" s="28" t="n"/>
      <c r="S60" s="28">
        <f>-(SUMIFS('Updated Construction'!$F:$F,'Updated Construction'!$A:$A,FALSE,'Updated Construction'!$G:$G,'Cashflow Projection'!$A60,'Updated Construction'!$E:$E,"&lt;="&amp;'Cashflow Projection'!S$5,'Updated Construction'!$E:$E,"&gt;"&amp;'Cashflow Projection'!Q$5)+(SUMIFS('Updated Construction'!$F:$F,'Updated Construction'!$A:$A,TRUE,'Updated Construction'!$G:$G,'Cashflow Projection'!$A60,'Updated Construction'!$E:$E,"&lt;="&amp;'Cashflow Projection'!S$5,'Updated Construction'!$E:$E,"&gt;"&amp;'Cashflow Projection'!Q$5)*$B60))*1.15</f>
        <v/>
      </c>
      <c r="T60" s="28" t="n"/>
      <c r="U60" s="28">
        <f>-(SUMIFS('Updated Construction'!$F:$F,'Updated Construction'!$A:$A,FALSE,'Updated Construction'!$G:$G,'Cashflow Projection'!$A60,'Updated Construction'!$E:$E,"&lt;="&amp;'Cashflow Projection'!U$5,'Updated Construction'!$E:$E,"&gt;"&amp;'Cashflow Projection'!S$5)+(SUMIFS('Updated Construction'!$F:$F,'Updated Construction'!$A:$A,TRUE,'Updated Construction'!$G:$G,'Cashflow Projection'!$A60,'Updated Construction'!$E:$E,"&lt;="&amp;'Cashflow Projection'!U$5,'Updated Construction'!$E:$E,"&gt;"&amp;'Cashflow Projection'!S$5)*$B60))*1.15</f>
        <v/>
      </c>
      <c r="V60" s="28" t="n"/>
      <c r="W60" s="28">
        <f>-(SUMIFS('Updated Construction'!$F:$F,'Updated Construction'!$A:$A,FALSE,'Updated Construction'!$G:$G,'Cashflow Projection'!$A60,'Updated Construction'!$E:$E,"&lt;="&amp;'Cashflow Projection'!W$5,'Updated Construction'!$E:$E,"&gt;"&amp;'Cashflow Projection'!U$5)+(SUMIFS('Updated Construction'!$F:$F,'Updated Construction'!$A:$A,TRUE,'Updated Construction'!$G:$G,'Cashflow Projection'!$A60,'Updated Construction'!$E:$E,"&lt;="&amp;'Cashflow Projection'!W$5,'Updated Construction'!$E:$E,"&gt;"&amp;'Cashflow Projection'!U$5)*$B60))*1.15</f>
        <v/>
      </c>
      <c r="X60" s="28" t="n"/>
      <c r="Y60" s="28">
        <f>-(SUMIFS('Updated Construction'!$F:$F,'Updated Construction'!$A:$A,FALSE,'Updated Construction'!$G:$G,'Cashflow Projection'!$A60,'Updated Construction'!$E:$E,"&lt;="&amp;'Cashflow Projection'!Y$5,'Updated Construction'!$E:$E,"&gt;"&amp;'Cashflow Projection'!W$5)+(SUMIFS('Updated Construction'!$F:$F,'Updated Construction'!$A:$A,TRUE,'Updated Construction'!$G:$G,'Cashflow Projection'!$A60,'Updated Construction'!$E:$E,"&lt;="&amp;'Cashflow Projection'!Y$5,'Updated Construction'!$E:$E,"&gt;"&amp;'Cashflow Projection'!W$5)*$B60))*1.15</f>
        <v/>
      </c>
      <c r="Z60" s="28" t="n"/>
      <c r="AA60" s="28">
        <f>-(SUMIFS('Updated Construction'!$F:$F,'Updated Construction'!$A:$A,FALSE,'Updated Construction'!$G:$G,'Cashflow Projection'!$A60,'Updated Construction'!$E:$E,"&lt;="&amp;'Cashflow Projection'!AA$5,'Updated Construction'!$E:$E,"&gt;"&amp;'Cashflow Projection'!Y$5)+(SUMIFS('Updated Construction'!$F:$F,'Updated Construction'!$A:$A,TRUE,'Updated Construction'!$G:$G,'Cashflow Projection'!$A60,'Updated Construction'!$E:$E,"&lt;="&amp;'Cashflow Projection'!AA$5,'Updated Construction'!$E:$E,"&gt;"&amp;'Cashflow Projection'!Y$5)*$B60))*1.15</f>
        <v/>
      </c>
      <c r="AB60" s="28" t="n"/>
      <c r="AC60" s="28">
        <f>-(SUMIFS('Updated Construction'!$F:$F,'Updated Construction'!$A:$A,FALSE,'Updated Construction'!$G:$G,'Cashflow Projection'!$A60,'Updated Construction'!$E:$E,"&lt;="&amp;'Cashflow Projection'!AC$5,'Updated Construction'!$E:$E,"&gt;"&amp;'Cashflow Projection'!AA$5)+(SUMIFS('Updated Construction'!$F:$F,'Updated Construction'!$A:$A,TRUE,'Updated Construction'!$G:$G,'Cashflow Projection'!$A60,'Updated Construction'!$E:$E,"&lt;="&amp;'Cashflow Projection'!AC$5,'Updated Construction'!$E:$E,"&gt;"&amp;'Cashflow Projection'!AA$5)*$B60))*1.15</f>
        <v/>
      </c>
      <c r="AD60" s="28" t="n"/>
      <c r="AE60" s="28">
        <f>-(SUMIFS('Updated Construction'!$F:$F,'Updated Construction'!$A:$A,FALSE,'Updated Construction'!$G:$G,'Cashflow Projection'!$A60,'Updated Construction'!$E:$E,"&lt;="&amp;'Cashflow Projection'!AE$5,'Updated Construction'!$E:$E,"&gt;"&amp;'Cashflow Projection'!AC$5)+(SUMIFS('Updated Construction'!$F:$F,'Updated Construction'!$A:$A,TRUE,'Updated Construction'!$G:$G,'Cashflow Projection'!$A60,'Updated Construction'!$E:$E,"&lt;="&amp;'Cashflow Projection'!AE$5,'Updated Construction'!$E:$E,"&gt;"&amp;'Cashflow Projection'!AC$5)*$B60))*1.15</f>
        <v/>
      </c>
      <c r="AF60" s="44" t="n"/>
    </row>
    <row r="61">
      <c r="A61" s="41" t="inlineStr">
        <is>
          <t>N</t>
        </is>
      </c>
      <c r="B61" s="42" t="n">
        <v>1</v>
      </c>
      <c r="C61" s="43" t="n"/>
      <c r="D61" s="28">
        <f>+I61+K61+M61+O61+Q61+S61+U61+W61+Y61+AA61+AC61+AE61</f>
        <v/>
      </c>
      <c r="I61" s="28">
        <f>-(SUMIFS('Updated Construction'!$F:$F,'Updated Construction'!$A:$A,FALSE,'Updated Construction'!$G:$G,'Cashflow Projection'!$A61,'Updated Construction'!$E:$E,"&lt;="&amp;'Cashflow Projection'!I$5,'Updated Construction'!$E:$E,"&gt;"&amp;'Cashflow Projection'!$B$2)+(SUMIFS('Updated Construction'!$F:$F,'Updated Construction'!$A:$A,TRUE,'Updated Construction'!$G:$G,'Cashflow Projection'!$A61,'Updated Construction'!$E:$E,"&lt;="&amp;'Cashflow Projection'!I$5,'Updated Construction'!$E:$E,"&gt;"&amp;'Cashflow Projection'!$B$2)*$B61))*1.15</f>
        <v/>
      </c>
      <c r="J61" s="28" t="n"/>
      <c r="K61" s="28">
        <f>-(SUMIFS('Updated Construction'!$F:$F,'Updated Construction'!$A:$A,FALSE,'Updated Construction'!$G:$G,'Cashflow Projection'!$A61,'Updated Construction'!$E:$E,"&lt;="&amp;'Cashflow Projection'!K$5,'Updated Construction'!$E:$E,"&gt;"&amp;'Cashflow Projection'!I$5)+(SUMIFS('Updated Construction'!$F:$F,'Updated Construction'!$A:$A,TRUE,'Updated Construction'!$G:$G,'Cashflow Projection'!$A61,'Updated Construction'!$E:$E,"&lt;="&amp;'Cashflow Projection'!K$5,'Updated Construction'!$E:$E,"&gt;"&amp;'Cashflow Projection'!I$5)*$B61))*1.15</f>
        <v/>
      </c>
      <c r="L61" s="28" t="n"/>
      <c r="M61" s="28">
        <f>-(SUMIFS('Updated Construction'!$F:$F,'Updated Construction'!$A:$A,FALSE,'Updated Construction'!$G:$G,'Cashflow Projection'!$A61,'Updated Construction'!$E:$E,"&lt;="&amp;'Cashflow Projection'!M$5,'Updated Construction'!$E:$E,"&gt;"&amp;'Cashflow Projection'!K$5)+(SUMIFS('Updated Construction'!$F:$F,'Updated Construction'!$A:$A,TRUE,'Updated Construction'!$G:$G,'Cashflow Projection'!$A61,'Updated Construction'!$E:$E,"&lt;="&amp;'Cashflow Projection'!M$5,'Updated Construction'!$E:$E,"&gt;"&amp;'Cashflow Projection'!K$5)*$B61))*1.15</f>
        <v/>
      </c>
      <c r="N61" s="28" t="n"/>
      <c r="O61" s="28">
        <f>-(SUMIFS('Updated Construction'!$F:$F,'Updated Construction'!$A:$A,FALSE,'Updated Construction'!$G:$G,'Cashflow Projection'!$A61,'Updated Construction'!$E:$E,"&lt;="&amp;'Cashflow Projection'!O$5,'Updated Construction'!$E:$E,"&gt;"&amp;'Cashflow Projection'!M$5)+(SUMIFS('Updated Construction'!$F:$F,'Updated Construction'!$A:$A,TRUE,'Updated Construction'!$G:$G,'Cashflow Projection'!$A61,'Updated Construction'!$E:$E,"&lt;="&amp;'Cashflow Projection'!O$5,'Updated Construction'!$E:$E,"&gt;"&amp;'Cashflow Projection'!M$5)*$B61))*1.15</f>
        <v/>
      </c>
      <c r="P61" s="28" t="n"/>
      <c r="Q61" s="28">
        <f>-(SUMIFS('Updated Construction'!$F:$F,'Updated Construction'!$A:$A,FALSE,'Updated Construction'!$G:$G,'Cashflow Projection'!$A61,'Updated Construction'!$E:$E,"&lt;="&amp;'Cashflow Projection'!Q$5,'Updated Construction'!$E:$E,"&gt;"&amp;'Cashflow Projection'!O$5)+(SUMIFS('Updated Construction'!$F:$F,'Updated Construction'!$A:$A,TRUE,'Updated Construction'!$G:$G,'Cashflow Projection'!$A61,'Updated Construction'!$E:$E,"&lt;="&amp;'Cashflow Projection'!Q$5,'Updated Construction'!$E:$E,"&gt;"&amp;'Cashflow Projection'!O$5)*$B61))*1.15</f>
        <v/>
      </c>
      <c r="R61" s="28" t="n"/>
      <c r="S61" s="28">
        <f>-(SUMIFS('Updated Construction'!$F:$F,'Updated Construction'!$A:$A,FALSE,'Updated Construction'!$G:$G,'Cashflow Projection'!$A61,'Updated Construction'!$E:$E,"&lt;="&amp;'Cashflow Projection'!S$5,'Updated Construction'!$E:$E,"&gt;"&amp;'Cashflow Projection'!Q$5)+(SUMIFS('Updated Construction'!$F:$F,'Updated Construction'!$A:$A,TRUE,'Updated Construction'!$G:$G,'Cashflow Projection'!$A61,'Updated Construction'!$E:$E,"&lt;="&amp;'Cashflow Projection'!S$5,'Updated Construction'!$E:$E,"&gt;"&amp;'Cashflow Projection'!Q$5)*$B61))*1.15</f>
        <v/>
      </c>
      <c r="T61" s="28" t="n"/>
      <c r="U61" s="28">
        <f>-(SUMIFS('Updated Construction'!$F:$F,'Updated Construction'!$A:$A,FALSE,'Updated Construction'!$G:$G,'Cashflow Projection'!$A61,'Updated Construction'!$E:$E,"&lt;="&amp;'Cashflow Projection'!U$5,'Updated Construction'!$E:$E,"&gt;"&amp;'Cashflow Projection'!S$5)+(SUMIFS('Updated Construction'!$F:$F,'Updated Construction'!$A:$A,TRUE,'Updated Construction'!$G:$G,'Cashflow Projection'!$A61,'Updated Construction'!$E:$E,"&lt;="&amp;'Cashflow Projection'!U$5,'Updated Construction'!$E:$E,"&gt;"&amp;'Cashflow Projection'!S$5)*$B61))*1.15</f>
        <v/>
      </c>
      <c r="V61" s="28" t="n"/>
      <c r="W61" s="28">
        <f>-(SUMIFS('Updated Construction'!$F:$F,'Updated Construction'!$A:$A,FALSE,'Updated Construction'!$G:$G,'Cashflow Projection'!$A61,'Updated Construction'!$E:$E,"&lt;="&amp;'Cashflow Projection'!W$5,'Updated Construction'!$E:$E,"&gt;"&amp;'Cashflow Projection'!U$5)+(SUMIFS('Updated Construction'!$F:$F,'Updated Construction'!$A:$A,TRUE,'Updated Construction'!$G:$G,'Cashflow Projection'!$A61,'Updated Construction'!$E:$E,"&lt;="&amp;'Cashflow Projection'!W$5,'Updated Construction'!$E:$E,"&gt;"&amp;'Cashflow Projection'!U$5)*$B61))*1.15</f>
        <v/>
      </c>
      <c r="X61" s="28" t="n"/>
      <c r="Y61" s="28">
        <f>-(SUMIFS('Updated Construction'!$F:$F,'Updated Construction'!$A:$A,FALSE,'Updated Construction'!$G:$G,'Cashflow Projection'!$A61,'Updated Construction'!$E:$E,"&lt;="&amp;'Cashflow Projection'!Y$5,'Updated Construction'!$E:$E,"&gt;"&amp;'Cashflow Projection'!W$5)+(SUMIFS('Updated Construction'!$F:$F,'Updated Construction'!$A:$A,TRUE,'Updated Construction'!$G:$G,'Cashflow Projection'!$A61,'Updated Construction'!$E:$E,"&lt;="&amp;'Cashflow Projection'!Y$5,'Updated Construction'!$E:$E,"&gt;"&amp;'Cashflow Projection'!W$5)*$B61))*1.15</f>
        <v/>
      </c>
      <c r="Z61" s="28" t="n"/>
      <c r="AA61" s="28">
        <f>-(SUMIFS('Updated Construction'!$F:$F,'Updated Construction'!$A:$A,FALSE,'Updated Construction'!$G:$G,'Cashflow Projection'!$A61,'Updated Construction'!$E:$E,"&lt;="&amp;'Cashflow Projection'!AA$5,'Updated Construction'!$E:$E,"&gt;"&amp;'Cashflow Projection'!Y$5)+(SUMIFS('Updated Construction'!$F:$F,'Updated Construction'!$A:$A,TRUE,'Updated Construction'!$G:$G,'Cashflow Projection'!$A61,'Updated Construction'!$E:$E,"&lt;="&amp;'Cashflow Projection'!AA$5,'Updated Construction'!$E:$E,"&gt;"&amp;'Cashflow Projection'!Y$5)*$B61))*1.15</f>
        <v/>
      </c>
      <c r="AB61" s="28" t="n"/>
      <c r="AC61" s="28">
        <f>-(SUMIFS('Updated Construction'!$F:$F,'Updated Construction'!$A:$A,FALSE,'Updated Construction'!$G:$G,'Cashflow Projection'!$A61,'Updated Construction'!$E:$E,"&lt;="&amp;'Cashflow Projection'!AC$5,'Updated Construction'!$E:$E,"&gt;"&amp;'Cashflow Projection'!AA$5)+(SUMIFS('Updated Construction'!$F:$F,'Updated Construction'!$A:$A,TRUE,'Updated Construction'!$G:$G,'Cashflow Projection'!$A61,'Updated Construction'!$E:$E,"&lt;="&amp;'Cashflow Projection'!AC$5,'Updated Construction'!$E:$E,"&gt;"&amp;'Cashflow Projection'!AA$5)*$B61))*1.15</f>
        <v/>
      </c>
      <c r="AD61" s="28" t="n"/>
      <c r="AE61" s="28">
        <f>-(SUMIFS('Updated Construction'!$F:$F,'Updated Construction'!$A:$A,FALSE,'Updated Construction'!$G:$G,'Cashflow Projection'!$A61,'Updated Construction'!$E:$E,"&lt;="&amp;'Cashflow Projection'!AE$5,'Updated Construction'!$E:$E,"&gt;"&amp;'Cashflow Projection'!AC$5)+(SUMIFS('Updated Construction'!$F:$F,'Updated Construction'!$A:$A,TRUE,'Updated Construction'!$G:$G,'Cashflow Projection'!$A61,'Updated Construction'!$E:$E,"&lt;="&amp;'Cashflow Projection'!AE$5,'Updated Construction'!$E:$E,"&gt;"&amp;'Cashflow Projection'!AC$5)*$B61))*1.15</f>
        <v/>
      </c>
      <c r="AF61" s="44" t="n"/>
    </row>
    <row r="62">
      <c r="A62" s="45" t="inlineStr">
        <is>
          <t>O</t>
        </is>
      </c>
      <c r="B62" s="46" t="n">
        <v>0</v>
      </c>
      <c r="C62" s="43">
        <f>15*B62</f>
        <v/>
      </c>
      <c r="D62" s="28">
        <f>+I62+K62+M62+O62+Q62+S62+U62+W62+Y62+AA62+AC62+AE62</f>
        <v/>
      </c>
      <c r="I62" s="28">
        <f>-(SUMIFS('Updated Construction'!$F:$F,'Updated Construction'!$A:$A,FALSE,'Updated Construction'!$G:$G,'Cashflow Projection'!$A62,'Updated Construction'!$E:$E,"&lt;="&amp;'Cashflow Projection'!I$5,'Updated Construction'!$E:$E,"&gt;"&amp;'Cashflow Projection'!$B$2)+(SUMIFS('Updated Construction'!$F:$F,'Updated Construction'!$A:$A,TRUE,'Updated Construction'!$G:$G,'Cashflow Projection'!$A62,'Updated Construction'!$E:$E,"&lt;="&amp;'Cashflow Projection'!I$5,'Updated Construction'!$E:$E,"&gt;"&amp;'Cashflow Projection'!$B$2)*$B62))*1.15</f>
        <v/>
      </c>
      <c r="J62" s="28" t="n"/>
      <c r="K62" s="28">
        <f>-(SUMIFS('Updated Construction'!$F:$F,'Updated Construction'!$A:$A,FALSE,'Updated Construction'!$G:$G,'Cashflow Projection'!$A62,'Updated Construction'!$E:$E,"&lt;="&amp;'Cashflow Projection'!K$5,'Updated Construction'!$E:$E,"&gt;"&amp;'Cashflow Projection'!I$5)+(SUMIFS('Updated Construction'!$F:$F,'Updated Construction'!$A:$A,TRUE,'Updated Construction'!$G:$G,'Cashflow Projection'!$A62,'Updated Construction'!$E:$E,"&lt;="&amp;'Cashflow Projection'!K$5,'Updated Construction'!$E:$E,"&gt;"&amp;'Cashflow Projection'!I$5)*$B62))*1.15</f>
        <v/>
      </c>
      <c r="L62" s="28" t="n"/>
      <c r="M62" s="28">
        <f>-(SUMIFS('Updated Construction'!$F:$F,'Updated Construction'!$A:$A,FALSE,'Updated Construction'!$G:$G,'Cashflow Projection'!$A62,'Updated Construction'!$E:$E,"&lt;="&amp;'Cashflow Projection'!M$5,'Updated Construction'!$E:$E,"&gt;"&amp;'Cashflow Projection'!K$5)+(SUMIFS('Updated Construction'!$F:$F,'Updated Construction'!$A:$A,TRUE,'Updated Construction'!$G:$G,'Cashflow Projection'!$A62,'Updated Construction'!$E:$E,"&lt;="&amp;'Cashflow Projection'!M$5,'Updated Construction'!$E:$E,"&gt;"&amp;'Cashflow Projection'!K$5)*$B62))*1.15</f>
        <v/>
      </c>
      <c r="N62" s="28" t="n"/>
      <c r="O62" s="28">
        <f>-(SUMIFS('Updated Construction'!$F:$F,'Updated Construction'!$A:$A,FALSE,'Updated Construction'!$G:$G,'Cashflow Projection'!$A62,'Updated Construction'!$E:$E,"&lt;="&amp;'Cashflow Projection'!O$5,'Updated Construction'!$E:$E,"&gt;"&amp;'Cashflow Projection'!M$5)+(SUMIFS('Updated Construction'!$F:$F,'Updated Construction'!$A:$A,TRUE,'Updated Construction'!$G:$G,'Cashflow Projection'!$A62,'Updated Construction'!$E:$E,"&lt;="&amp;'Cashflow Projection'!O$5,'Updated Construction'!$E:$E,"&gt;"&amp;'Cashflow Projection'!M$5)*$B62))*1.15</f>
        <v/>
      </c>
      <c r="P62" s="28" t="n"/>
      <c r="Q62" s="28">
        <f>-(SUMIFS('Updated Construction'!$F:$F,'Updated Construction'!$A:$A,FALSE,'Updated Construction'!$G:$G,'Cashflow Projection'!$A62,'Updated Construction'!$E:$E,"&lt;="&amp;'Cashflow Projection'!Q$5,'Updated Construction'!$E:$E,"&gt;"&amp;'Cashflow Projection'!O$5)+(SUMIFS('Updated Construction'!$F:$F,'Updated Construction'!$A:$A,TRUE,'Updated Construction'!$G:$G,'Cashflow Projection'!$A62,'Updated Construction'!$E:$E,"&lt;="&amp;'Cashflow Projection'!Q$5,'Updated Construction'!$E:$E,"&gt;"&amp;'Cashflow Projection'!O$5)*$B62))*1.15</f>
        <v/>
      </c>
      <c r="R62" s="28" t="n"/>
      <c r="S62" s="28">
        <f>-(SUMIFS('Updated Construction'!$F:$F,'Updated Construction'!$A:$A,FALSE,'Updated Construction'!$G:$G,'Cashflow Projection'!$A62,'Updated Construction'!$E:$E,"&lt;="&amp;'Cashflow Projection'!S$5,'Updated Construction'!$E:$E,"&gt;"&amp;'Cashflow Projection'!Q$5)+(SUMIFS('Updated Construction'!$F:$F,'Updated Construction'!$A:$A,TRUE,'Updated Construction'!$G:$G,'Cashflow Projection'!$A62,'Updated Construction'!$E:$E,"&lt;="&amp;'Cashflow Projection'!S$5,'Updated Construction'!$E:$E,"&gt;"&amp;'Cashflow Projection'!Q$5)*$B62))*1.15</f>
        <v/>
      </c>
      <c r="T62" s="28" t="n"/>
      <c r="U62" s="28">
        <f>-(SUMIFS('Updated Construction'!$F:$F,'Updated Construction'!$A:$A,FALSE,'Updated Construction'!$G:$G,'Cashflow Projection'!$A62,'Updated Construction'!$E:$E,"&lt;="&amp;'Cashflow Projection'!U$5,'Updated Construction'!$E:$E,"&gt;"&amp;'Cashflow Projection'!S$5)+(SUMIFS('Updated Construction'!$F:$F,'Updated Construction'!$A:$A,TRUE,'Updated Construction'!$G:$G,'Cashflow Projection'!$A62,'Updated Construction'!$E:$E,"&lt;="&amp;'Cashflow Projection'!U$5,'Updated Construction'!$E:$E,"&gt;"&amp;'Cashflow Projection'!S$5)*$B62))*1.15</f>
        <v/>
      </c>
      <c r="V62" s="28" t="n"/>
      <c r="W62" s="28">
        <f>-(SUMIFS('Updated Construction'!$F:$F,'Updated Construction'!$A:$A,FALSE,'Updated Construction'!$G:$G,'Cashflow Projection'!$A62,'Updated Construction'!$E:$E,"&lt;="&amp;'Cashflow Projection'!W$5,'Updated Construction'!$E:$E,"&gt;"&amp;'Cashflow Projection'!U$5)+(SUMIFS('Updated Construction'!$F:$F,'Updated Construction'!$A:$A,TRUE,'Updated Construction'!$G:$G,'Cashflow Projection'!$A62,'Updated Construction'!$E:$E,"&lt;="&amp;'Cashflow Projection'!W$5,'Updated Construction'!$E:$E,"&gt;"&amp;'Cashflow Projection'!U$5)*$B62))*1.15</f>
        <v/>
      </c>
      <c r="X62" s="28" t="n"/>
      <c r="Y62" s="28">
        <f>-(SUMIFS('Updated Construction'!$F:$F,'Updated Construction'!$A:$A,FALSE,'Updated Construction'!$G:$G,'Cashflow Projection'!$A62,'Updated Construction'!$E:$E,"&lt;="&amp;'Cashflow Projection'!Y$5,'Updated Construction'!$E:$E,"&gt;"&amp;'Cashflow Projection'!W$5)+(SUMIFS('Updated Construction'!$F:$F,'Updated Construction'!$A:$A,TRUE,'Updated Construction'!$G:$G,'Cashflow Projection'!$A62,'Updated Construction'!$E:$E,"&lt;="&amp;'Cashflow Projection'!Y$5,'Updated Construction'!$E:$E,"&gt;"&amp;'Cashflow Projection'!W$5)*$B62))*1.15</f>
        <v/>
      </c>
      <c r="Z62" s="28" t="n"/>
      <c r="AA62" s="28">
        <f>-(SUMIFS('Updated Construction'!$F:$F,'Updated Construction'!$A:$A,FALSE,'Updated Construction'!$G:$G,'Cashflow Projection'!$A62,'Updated Construction'!$E:$E,"&lt;="&amp;'Cashflow Projection'!AA$5,'Updated Construction'!$E:$E,"&gt;"&amp;'Cashflow Projection'!Y$5)+(SUMIFS('Updated Construction'!$F:$F,'Updated Construction'!$A:$A,TRUE,'Updated Construction'!$G:$G,'Cashflow Projection'!$A62,'Updated Construction'!$E:$E,"&lt;="&amp;'Cashflow Projection'!AA$5,'Updated Construction'!$E:$E,"&gt;"&amp;'Cashflow Projection'!Y$5)*$B62))*1.15</f>
        <v/>
      </c>
      <c r="AB62" s="28" t="n"/>
      <c r="AC62" s="28">
        <f>-(SUMIFS('Updated Construction'!$F:$F,'Updated Construction'!$A:$A,FALSE,'Updated Construction'!$G:$G,'Cashflow Projection'!$A62,'Updated Construction'!$E:$E,"&lt;="&amp;'Cashflow Projection'!AC$5,'Updated Construction'!$E:$E,"&gt;"&amp;'Cashflow Projection'!AA$5)+(SUMIFS('Updated Construction'!$F:$F,'Updated Construction'!$A:$A,TRUE,'Updated Construction'!$G:$G,'Cashflow Projection'!$A62,'Updated Construction'!$E:$E,"&lt;="&amp;'Cashflow Projection'!AC$5,'Updated Construction'!$E:$E,"&gt;"&amp;'Cashflow Projection'!AA$5)*$B62))*1.15</f>
        <v/>
      </c>
      <c r="AD62" s="28" t="n"/>
      <c r="AE62" s="28">
        <f>-(SUMIFS('Updated Construction'!$F:$F,'Updated Construction'!$A:$A,FALSE,'Updated Construction'!$G:$G,'Cashflow Projection'!$A62,'Updated Construction'!$E:$E,"&lt;="&amp;'Cashflow Projection'!AE$5,'Updated Construction'!$E:$E,"&gt;"&amp;'Cashflow Projection'!AC$5)+(SUMIFS('Updated Construction'!$F:$F,'Updated Construction'!$A:$A,TRUE,'Updated Construction'!$G:$G,'Cashflow Projection'!$A62,'Updated Construction'!$E:$E,"&lt;="&amp;'Cashflow Projection'!AE$5,'Updated Construction'!$E:$E,"&gt;"&amp;'Cashflow Projection'!AC$5)*$B62))*1.15</f>
        <v/>
      </c>
      <c r="AF62" s="44" t="n"/>
    </row>
    <row r="63">
      <c r="A63" s="47" t="inlineStr">
        <is>
          <t>REMAINING</t>
        </is>
      </c>
      <c r="B63" s="48" t="n"/>
      <c r="C63" s="43">
        <f>107-C49</f>
        <v/>
      </c>
      <c r="AF63" s="19" t="n"/>
    </row>
    <row r="64">
      <c r="A64" s="18" t="n"/>
      <c r="AF64" s="19" t="n"/>
    </row>
    <row r="65">
      <c r="A65" s="18" t="n"/>
      <c r="AF65" s="19" t="n"/>
    </row>
    <row r="66">
      <c r="A66" s="20" t="inlineStr">
        <is>
          <t>VAT ON CONSTRUCTION</t>
        </is>
      </c>
      <c r="B66" t="inlineStr"/>
      <c r="C66" s="14" t="n">
        <v>1</v>
      </c>
      <c r="D66" s="28">
        <f>+I66+K66+M66+O66+Q66+S66+U66+W66+Y66+AA66+AC66+AE66</f>
        <v/>
      </c>
      <c r="I66" s="30">
        <f>IF(MOD(MONTH(I5),2)=0,0,(SUMIFS('Updated Construction'!$F:$F,'Updated Construction'!$E:$E,"&lt;="&amp;EOMONTH(EDATE(I$5, 0), -1),'Updated Construction'!$E:$E,"&gt;"&amp;EOMONTH(EDATE(I$5, 0), -3),'Updated Construction'!$C:$C,1)/1.15*0.15)+(-I68*2)/1.15*0.15)</f>
        <v/>
      </c>
      <c r="K66" s="30">
        <f>IF(MOD(MONTH(K5),2)=0,0,(SUMIFS('Updated Construction'!$F:$F,'Updated Construction'!$E:$E,"&lt;="&amp;EOMONTH(EDATE(K$5, 0), -1),'Updated Construction'!$E:$E,"&gt;"&amp;EOMONTH(EDATE(K$5, 0), -3),'Updated Construction'!$C:$C,1)/1.15*0.15)+(-K68*2)/1.15*0.15)</f>
        <v/>
      </c>
      <c r="M66" s="30">
        <f>IF(MOD(MONTH(M5),2)=0,0,(SUMIFS('Updated Construction'!$F:$F,'Updated Construction'!$E:$E,"&lt;="&amp;EOMONTH(EDATE(M$5, 0), -1),'Updated Construction'!$E:$E,"&gt;"&amp;EOMONTH(EDATE(M$5, 0), -3),'Updated Construction'!$C:$C,1)/1.15*0.15)+(-M68*2)/1.15*0.15)</f>
        <v/>
      </c>
      <c r="O66" s="30">
        <f>IF(MOD(MONTH(O5),2)=0,0,(SUMIFS('Updated Construction'!$F:$F,'Updated Construction'!$E:$E,"&lt;="&amp;EOMONTH(EDATE(O$5, 0), -1),'Updated Construction'!$E:$E,"&gt;"&amp;EOMONTH(EDATE(O$5, 0), -3),'Updated Construction'!$C:$C,1)/1.15*0.15)+(-O68*2)/1.15*0.15)</f>
        <v/>
      </c>
      <c r="Q66" s="30">
        <f>IF(MOD(MONTH(Q5),2)=0,0,(SUMIFS('Updated Construction'!$F:$F,'Updated Construction'!$E:$E,"&lt;="&amp;EOMONTH(EDATE(Q$5, 0), -1),'Updated Construction'!$E:$E,"&gt;"&amp;EOMONTH(EDATE(Q$5, 0), -3),'Updated Construction'!$C:$C,1)/1.15*0.15)+(-Q68*2)/1.15*0.15)</f>
        <v/>
      </c>
      <c r="S66" s="30">
        <f>IF(MOD(MONTH(S5),2)=0,0,(SUMIFS('Updated Construction'!$F:$F,'Updated Construction'!$E:$E,"&lt;="&amp;EOMONTH(EDATE(S$5, 0), -1),'Updated Construction'!$E:$E,"&gt;"&amp;EOMONTH(EDATE(S$5, 0), -3),'Updated Construction'!$C:$C,1)/1.15*0.15)+(-S68*2)/1.15*0.15)</f>
        <v/>
      </c>
      <c r="U66" s="30">
        <f>IF(MOD(MONTH(U5),2)=0,0,(SUMIFS('Updated Construction'!$F:$F,'Updated Construction'!$E:$E,"&lt;="&amp;EOMONTH(EDATE(U$5, 0), -1),'Updated Construction'!$E:$E,"&gt;"&amp;EOMONTH(EDATE(U$5, 0), -3),'Updated Construction'!$C:$C,1)/1.15*0.15)+(-U68*2)/1.15*0.15)</f>
        <v/>
      </c>
      <c r="W66" s="30">
        <f>IF(MOD(MONTH(W5),2)=0,0,(SUMIFS('Updated Construction'!$F:$F,'Updated Construction'!$E:$E,"&lt;="&amp;EOMONTH(EDATE(W$5, 0), -1),'Updated Construction'!$E:$E,"&gt;"&amp;EOMONTH(EDATE(W$5, 0), -3),'Updated Construction'!$C:$C,1)/1.15*0.15)+(-W68*2)/1.15*0.15)</f>
        <v/>
      </c>
      <c r="Y66" s="30">
        <f>IF(MOD(MONTH(Y5),2)=0,0,(SUMIFS('Updated Construction'!$F:$F,'Updated Construction'!$E:$E,"&lt;="&amp;EOMONTH(EDATE(Y$5, 0), -1),'Updated Construction'!$E:$E,"&gt;"&amp;EOMONTH(EDATE(Y$5, 0), -3),'Updated Construction'!$C:$C,1)/1.15*0.15)+(-Y68*2)/1.15*0.15)</f>
        <v/>
      </c>
      <c r="AA66" s="30">
        <f>IF(MOD(MONTH(AA5),2)=0,0,(SUMIFS('Updated Construction'!$F:$F,'Updated Construction'!$E:$E,"&lt;="&amp;EOMONTH(EDATE(AA$5, 0), -1),'Updated Construction'!$E:$E,"&gt;"&amp;EOMONTH(EDATE(AA$5, 0), -3),'Updated Construction'!$C:$C,1)/1.15*0.15)+(-AA68*2)/1.15*0.15)</f>
        <v/>
      </c>
      <c r="AC66" s="30">
        <f>IF(MOD(MONTH(AC5),2)=0,0,(SUMIFS('Updated Construction'!$F:$F,'Updated Construction'!$E:$E,"&lt;="&amp;EOMONTH(EDATE(AC$5, 0), -1),'Updated Construction'!$E:$E,"&gt;"&amp;EOMONTH(EDATE(AC$5, 0), -3),'Updated Construction'!$C:$C,1)/1.15*0.15)+(-AC68*2)/1.15*0.15)</f>
        <v/>
      </c>
      <c r="AE66" s="30">
        <f>IF(MOD(MONTH(AE5),2)=0,0,(SUMIFS('Updated Construction'!$F:$F,'Updated Construction'!$E:$E,"&lt;="&amp;EOMONTH(EDATE(AE$5, 0), -1),'Updated Construction'!$E:$E,"&gt;"&amp;EOMONTH(EDATE(AE$5, 0), -3),'Updated Construction'!$C:$C,1)/1.15*0.15)+(-AE68*2)/1.15*0.15)</f>
        <v/>
      </c>
      <c r="AF66" s="19" t="n"/>
    </row>
    <row r="67">
      <c r="A67" s="18" t="n"/>
      <c r="AF67" s="19" t="n"/>
    </row>
    <row r="68">
      <c r="A68" s="20" t="inlineStr">
        <is>
          <t>OPERATING EXPENSES</t>
        </is>
      </c>
      <c r="B68" t="inlineStr"/>
      <c r="C68" s="49" t="n">
        <v>1</v>
      </c>
      <c r="D68" s="28">
        <f>+I68+K68+M68+O68+Q68+S68+U68+W68+Y68+AA68+AC68+AE68</f>
        <v/>
      </c>
      <c r="I68" s="32">
        <f>-'Operational Costs'!$N$2*$C68</f>
        <v/>
      </c>
      <c r="K68" s="32">
        <f>-'Operational Costs'!$N$2*$C68</f>
        <v/>
      </c>
      <c r="M68" s="32">
        <f>-'Operational Costs'!$N$2*$C68</f>
        <v/>
      </c>
      <c r="O68" s="32">
        <f>-'Operational Costs'!$N$2*$C68</f>
        <v/>
      </c>
      <c r="Q68" s="32">
        <f>-'Operational Costs'!$N$2*$C68</f>
        <v/>
      </c>
      <c r="S68" s="32">
        <f>-'Operational Costs'!$N$2*$C68</f>
        <v/>
      </c>
      <c r="U68" s="32">
        <f>-'Operational Costs'!$N$2*$C68</f>
        <v/>
      </c>
      <c r="W68" s="32">
        <f>-'Operational Costs'!$N$2*$C68</f>
        <v/>
      </c>
      <c r="Y68" s="32">
        <f>-'Operational Costs'!$N$2*$C68</f>
        <v/>
      </c>
      <c r="AA68" s="32">
        <f>-'Operational Costs'!$N$2*$C68</f>
        <v/>
      </c>
      <c r="AC68" s="32">
        <f>-'Operational Costs'!$N$2*$C68</f>
        <v/>
      </c>
      <c r="AE68" s="32">
        <f>-'Operational Costs'!$N$2*$C68</f>
        <v/>
      </c>
      <c r="AF68" s="19" t="n"/>
    </row>
    <row r="69">
      <c r="A69" s="18" t="n"/>
      <c r="AF69" s="19" t="n"/>
    </row>
    <row r="70">
      <c r="A70" s="20" t="inlineStr">
        <is>
          <t>MONTHLY</t>
        </is>
      </c>
      <c r="D70" s="28">
        <f>+I70+K70+M70+O70+Q70+S70+U70+W70+Y70+AA70+AC70+AE70</f>
        <v/>
      </c>
      <c r="I70" s="34">
        <f>I31+I49+I66+I68</f>
        <v/>
      </c>
      <c r="K70" s="34">
        <f>K31+K49+K66+K68</f>
        <v/>
      </c>
      <c r="M70" s="34">
        <f>M31+M49+M66+M68</f>
        <v/>
      </c>
      <c r="O70" s="34">
        <f>O31+O49+O66+O68</f>
        <v/>
      </c>
      <c r="Q70" s="34">
        <f>Q31+Q49+Q66+Q68</f>
        <v/>
      </c>
      <c r="S70" s="34">
        <f>S31+S49+S66+S68</f>
        <v/>
      </c>
      <c r="U70" s="34">
        <f>U31+U49+U66+U68</f>
        <v/>
      </c>
      <c r="W70" s="34">
        <f>W31+W49+W66+W68</f>
        <v/>
      </c>
      <c r="Y70" s="34">
        <f>Y31+Y49+Y66+Y68</f>
        <v/>
      </c>
      <c r="AA70" s="34">
        <f>AA31+AA49+AA66+AA68</f>
        <v/>
      </c>
      <c r="AC70" s="34">
        <f>AC31+AC49+AC66+AC68</f>
        <v/>
      </c>
      <c r="AE70" s="34">
        <f>AE31+AE49+AE66+AE68</f>
        <v/>
      </c>
      <c r="AF70" s="19" t="n"/>
    </row>
    <row r="71">
      <c r="A71" s="18" t="n"/>
      <c r="AF71" s="19" t="n"/>
    </row>
    <row r="72">
      <c r="A72" s="20" t="inlineStr">
        <is>
          <t>BANK BALANCE</t>
        </is>
      </c>
      <c r="D72" s="28">
        <f>=Dashboard!B20</f>
        <v/>
      </c>
      <c r="I72" s="34">
        <f>+I70+I46</f>
        <v/>
      </c>
      <c r="K72" s="34">
        <f>+K70+K46</f>
        <v/>
      </c>
      <c r="M72" s="34">
        <f>+M70+M46</f>
        <v/>
      </c>
      <c r="O72" s="34">
        <f>+O70+O46</f>
        <v/>
      </c>
      <c r="Q72" s="34">
        <f>+Q70+Q46</f>
        <v/>
      </c>
      <c r="S72" s="34">
        <f>+S70+S46</f>
        <v/>
      </c>
      <c r="U72" s="34">
        <f>+U70+U46</f>
        <v/>
      </c>
      <c r="W72" s="34">
        <f>+W70+W46</f>
        <v/>
      </c>
      <c r="Y72" s="34">
        <f>+Y70+Y46</f>
        <v/>
      </c>
      <c r="AA72" s="34">
        <f>+AA70+AA46</f>
        <v/>
      </c>
      <c r="AC72" s="34">
        <f>+AC70+AC46</f>
        <v/>
      </c>
      <c r="AE72" s="34">
        <f>+AE70+AE46</f>
        <v/>
      </c>
      <c r="AF72" s="19" t="n"/>
    </row>
    <row r="73">
      <c r="A73" s="18" t="n"/>
      <c r="AF73" s="19" t="n"/>
    </row>
    <row r="74">
      <c r="A74" s="20" t="inlineStr">
        <is>
          <t>INVESTOR EXIT ROLLOVER BALANCE</t>
        </is>
      </c>
      <c r="D74" s="28">
        <f>+I74</f>
        <v/>
      </c>
      <c r="I74" s="34">
        <f>-SUMIFS('Investor Exit List'!$Q:$Q,'Investor Exit List'!$Z:$Z,"Release",'Investor Exit List'!$L:$L,"&lt;="&amp;'Cashflow Projection'!I$5,'Investor Exit List'!$L:$L,"&gt;"&amp;'Cashflow Projection'!B$2)</f>
        <v/>
      </c>
      <c r="K74" s="34">
        <f>-SUMIFS('Investor Exit List'!$Q:$Q,'Investor Exit List'!$Z:$Z,"Release",'Investor Exit List'!$L:$L,"&lt;="&amp;'Cashflow Projection'!K$5,'Investor Exit List'!$L:$L,"&gt;"&amp;'Cashflow Projection'!I$5)</f>
        <v/>
      </c>
      <c r="M74" s="34">
        <f>-SUMIFS('Investor Exit List'!$Q:$Q,'Investor Exit List'!$Z:$Z,"Release",'Investor Exit List'!$L:$L,"&lt;="&amp;'Cashflow Projection'!M$5,'Investor Exit List'!$L:$L,"&gt;"&amp;'Cashflow Projection'!K$5)</f>
        <v/>
      </c>
      <c r="O74" s="34">
        <f>-SUMIFS('Investor Exit List'!$Q:$Q,'Investor Exit List'!$Z:$Z,"Release",'Investor Exit List'!$L:$L,"&lt;="&amp;'Cashflow Projection'!O$5,'Investor Exit List'!$L:$L,"&gt;"&amp;'Cashflow Projection'!M$5)</f>
        <v/>
      </c>
      <c r="Q74" s="34">
        <f>-SUMIFS('Investor Exit List'!$Q:$Q,'Investor Exit List'!$Z:$Z,"Release",'Investor Exit List'!$L:$L,"&lt;="&amp;'Cashflow Projection'!Q$5,'Investor Exit List'!$L:$L,"&gt;"&amp;'Cashflow Projection'!O$5)</f>
        <v/>
      </c>
      <c r="S74" s="34">
        <f>-SUMIFS('Investor Exit List'!$Q:$Q,'Investor Exit List'!$Z:$Z,"Release",'Investor Exit List'!$L:$L,"&lt;="&amp;'Cashflow Projection'!S$5,'Investor Exit List'!$L:$L,"&gt;"&amp;'Cashflow Projection'!Q$5)</f>
        <v/>
      </c>
      <c r="U74" s="34">
        <f>-SUMIFS('Investor Exit List'!$Q:$Q,'Investor Exit List'!$Z:$Z,"Release",'Investor Exit List'!$L:$L,"&lt;="&amp;'Cashflow Projection'!U$5,'Investor Exit List'!$L:$L,"&gt;"&amp;'Cashflow Projection'!S$5)</f>
        <v/>
      </c>
      <c r="W74" s="34">
        <f>-SUMIFS('Investor Exit List'!$Q:$Q,'Investor Exit List'!$Z:$Z,"Release",'Investor Exit List'!$L:$L,"&lt;="&amp;'Cashflow Projection'!W$5,'Investor Exit List'!$L:$L,"&gt;"&amp;'Cashflow Projection'!U$5)</f>
        <v/>
      </c>
      <c r="Y74" s="34">
        <f>-SUMIFS('Investor Exit List'!$Q:$Q,'Investor Exit List'!$Z:$Z,"Release",'Investor Exit List'!$L:$L,"&lt;="&amp;'Cashflow Projection'!Y$5,'Investor Exit List'!$L:$L,"&gt;"&amp;'Cashflow Projection'!W$5)</f>
        <v/>
      </c>
      <c r="AA74" s="34">
        <f>-SUMIFS('Investor Exit List'!$Q:$Q,'Investor Exit List'!$Z:$Z,"Release",'Investor Exit List'!$L:$L,"&lt;="&amp;'Cashflow Projection'!AA$5,'Investor Exit List'!$L:$L,"&gt;"&amp;'Cashflow Projection'!Y$5)</f>
        <v/>
      </c>
      <c r="AC74" s="34">
        <f>-SUMIFS('Investor Exit List'!$Q:$Q,'Investor Exit List'!$Z:$Z,"Release",'Investor Exit List'!$L:$L,"&lt;="&amp;'Cashflow Projection'!AC$5,'Investor Exit List'!$L:$L,"&gt;"&amp;'Cashflow Projection'!AA$5)</f>
        <v/>
      </c>
      <c r="AE74" s="34">
        <f>-SUMIFS('Investor Exit List'!$Q:$Q,'Investor Exit List'!$Z:$Z,"Release",'Investor Exit List'!$L:$L,"&lt;="&amp;'Cashflow Projection'!AE$5,'Investor Exit List'!$L:$L,"&gt;"&amp;'Cashflow Projection'!AC$5)</f>
        <v/>
      </c>
      <c r="AF74" s="19" t="n"/>
    </row>
    <row r="75">
      <c r="A75" s="18" t="n"/>
      <c r="AF75" s="19" t="n"/>
    </row>
    <row r="76">
      <c r="A76" s="20" t="inlineStr">
        <is>
          <t>ROLLOVER</t>
        </is>
      </c>
      <c r="D76" s="50">
        <f>+I76+K76+M76+O76+Q76+S76+U76+W76+Y76+AA76+AC76+AE76</f>
        <v/>
      </c>
      <c r="I76" s="51">
        <f>0</f>
        <v/>
      </c>
      <c r="K76" s="51">
        <f>0</f>
        <v/>
      </c>
      <c r="M76" s="51">
        <f>0</f>
        <v/>
      </c>
      <c r="O76" s="51">
        <f>0</f>
        <v/>
      </c>
      <c r="Q76" s="51">
        <f>0</f>
        <v/>
      </c>
      <c r="S76" s="51">
        <f>0</f>
        <v/>
      </c>
      <c r="U76" s="51">
        <f>0</f>
        <v/>
      </c>
      <c r="W76" s="51">
        <f>0</f>
        <v/>
      </c>
      <c r="Y76" s="51">
        <f>0</f>
        <v/>
      </c>
      <c r="AA76" s="51">
        <f>0</f>
        <v/>
      </c>
      <c r="AC76" s="51">
        <f>0</f>
        <v/>
      </c>
      <c r="AE76" s="51">
        <f>0</f>
        <v/>
      </c>
      <c r="AF76" s="19" t="n"/>
    </row>
    <row r="77">
      <c r="A77" s="18" t="n"/>
      <c r="AF77" s="19" t="n"/>
    </row>
    <row r="78">
      <c r="A78" s="20" t="inlineStr">
        <is>
          <t>PROJECT INCOME</t>
        </is>
      </c>
      <c r="I78" s="52" t="inlineStr">
        <is>
          <t>SALES</t>
        </is>
      </c>
      <c r="J78" s="52" t="inlineStr">
        <is>
          <t>EXIT &amp; ROLL</t>
        </is>
      </c>
      <c r="K78" s="52" t="inlineStr">
        <is>
          <t>SALES</t>
        </is>
      </c>
      <c r="L78" s="52" t="inlineStr">
        <is>
          <t>EXIT &amp; ROLL</t>
        </is>
      </c>
      <c r="M78" s="52" t="inlineStr">
        <is>
          <t>SALES</t>
        </is>
      </c>
      <c r="N78" s="52" t="inlineStr">
        <is>
          <t>EXIT &amp; ROLL</t>
        </is>
      </c>
      <c r="O78" s="52" t="inlineStr">
        <is>
          <t>SALES</t>
        </is>
      </c>
      <c r="P78" s="52" t="inlineStr">
        <is>
          <t>EXIT &amp; ROLL</t>
        </is>
      </c>
      <c r="Q78" s="52" t="inlineStr">
        <is>
          <t>SALES</t>
        </is>
      </c>
      <c r="R78" s="52" t="inlineStr">
        <is>
          <t>EXIT &amp; ROLL</t>
        </is>
      </c>
      <c r="S78" s="52" t="inlineStr">
        <is>
          <t>SALES</t>
        </is>
      </c>
      <c r="T78" s="52" t="inlineStr">
        <is>
          <t>EXIT &amp; ROLL</t>
        </is>
      </c>
      <c r="U78" s="52" t="inlineStr">
        <is>
          <t>SALES</t>
        </is>
      </c>
      <c r="V78" s="52" t="inlineStr">
        <is>
          <t>EXIT &amp; ROLL</t>
        </is>
      </c>
      <c r="W78" s="52" t="inlineStr">
        <is>
          <t>SALES</t>
        </is>
      </c>
      <c r="X78" s="52" t="inlineStr">
        <is>
          <t>EXIT &amp; ROLL</t>
        </is>
      </c>
      <c r="Y78" s="52" t="inlineStr">
        <is>
          <t>SALES</t>
        </is>
      </c>
      <c r="Z78" s="52" t="inlineStr">
        <is>
          <t>EXIT &amp; ROLL</t>
        </is>
      </c>
      <c r="AA78" s="52" t="inlineStr">
        <is>
          <t>SALES</t>
        </is>
      </c>
      <c r="AB78" s="52" t="inlineStr">
        <is>
          <t>EXIT &amp; ROLL</t>
        </is>
      </c>
      <c r="AC78" s="52" t="inlineStr">
        <is>
          <t>SALES</t>
        </is>
      </c>
      <c r="AD78" s="52" t="inlineStr">
        <is>
          <t>EXIT &amp; ROLL</t>
        </is>
      </c>
      <c r="AE78" s="52" t="inlineStr">
        <is>
          <t>SALES</t>
        </is>
      </c>
      <c r="AF78" s="53" t="inlineStr">
        <is>
          <t>EXIT &amp; ROLL</t>
        </is>
      </c>
    </row>
    <row r="79">
      <c r="A79" s="18" t="n"/>
      <c r="I79" s="39">
        <f>SUM(I80:I90)</f>
        <v/>
      </c>
      <c r="J79" s="39">
        <f>SUM(J80:J90)</f>
        <v/>
      </c>
      <c r="K79" s="39">
        <f>SUM(K80:K90)</f>
        <v/>
      </c>
      <c r="L79" s="39">
        <f>SUM(L80:L90)</f>
        <v/>
      </c>
      <c r="M79" s="39">
        <f>SUM(M80:M90)</f>
        <v/>
      </c>
      <c r="N79" s="39">
        <f>SUM(N80:N90)</f>
        <v/>
      </c>
      <c r="O79" s="39">
        <f>SUM(O80:O90)</f>
        <v/>
      </c>
      <c r="P79" s="39">
        <f>SUM(P80:P90)</f>
        <v/>
      </c>
      <c r="Q79" s="39">
        <f>SUM(Q80:Q90)</f>
        <v/>
      </c>
      <c r="R79" s="39">
        <f>SUM(R80:R90)</f>
        <v/>
      </c>
      <c r="S79" s="39">
        <f>SUM(S80:S90)</f>
        <v/>
      </c>
      <c r="T79" s="39">
        <f>SUM(T80:T90)</f>
        <v/>
      </c>
      <c r="U79" s="39">
        <f>SUM(U80:U90)</f>
        <v/>
      </c>
      <c r="V79" s="39">
        <f>SUM(V80:V90)</f>
        <v/>
      </c>
      <c r="W79" s="39">
        <f>SUM(W80:W90)</f>
        <v/>
      </c>
      <c r="X79" s="39">
        <f>SUM(X80:X90)</f>
        <v/>
      </c>
      <c r="Y79" s="39">
        <f>SUM(Y80:Y90)</f>
        <v/>
      </c>
      <c r="Z79" s="39">
        <f>SUM(Z80:Z90)</f>
        <v/>
      </c>
      <c r="AA79" s="39">
        <f>SUM(AA80:AA90)</f>
        <v/>
      </c>
      <c r="AB79" s="39">
        <f>SUM(AB80:AB90)</f>
        <v/>
      </c>
      <c r="AC79" s="39">
        <f>SUM(AC80:AC90)</f>
        <v/>
      </c>
      <c r="AD79" s="39">
        <f>SUM(AD80:AD90)</f>
        <v/>
      </c>
      <c r="AE79" s="39">
        <f>SUM(AE80:AE90)</f>
        <v/>
      </c>
      <c r="AF79" s="54">
        <f>SUM(AF80:AF90)</f>
        <v/>
      </c>
    </row>
    <row r="80">
      <c r="A80" s="20" t="inlineStr">
        <is>
          <t>Roll Over_Re-Finance</t>
        </is>
      </c>
      <c r="D80" s="34">
        <f>+I80+K80+M80+O80+Q80+S80+U80+W80+Y80+AA80+AC80+AE80</f>
        <v/>
      </c>
      <c r="E80" s="55" t="n">
        <v>0.6</v>
      </c>
      <c r="I80" s="28">
        <f>$E$80*-I117</f>
        <v/>
      </c>
      <c r="K80" s="28">
        <f>$E$80*-K117</f>
        <v/>
      </c>
      <c r="L80" s="56" t="n">
        <v>0</v>
      </c>
      <c r="M80" s="28">
        <f>$E$80*-M117</f>
        <v/>
      </c>
      <c r="N80" s="56" t="n">
        <v>0</v>
      </c>
      <c r="O80" s="28">
        <f>$E$80*-O117</f>
        <v/>
      </c>
      <c r="P80" s="56" t="n">
        <v>0</v>
      </c>
      <c r="Q80" s="28">
        <f>$E$80*-Q117</f>
        <v/>
      </c>
      <c r="R80" s="56" t="n">
        <v>0</v>
      </c>
      <c r="S80" s="28">
        <f>$E$80*-S117</f>
        <v/>
      </c>
      <c r="T80" s="56" t="n">
        <v>0</v>
      </c>
      <c r="U80" s="28">
        <f>$E$80*-U117</f>
        <v/>
      </c>
      <c r="V80" s="56" t="n">
        <v>0</v>
      </c>
      <c r="W80" s="28">
        <f>$E$80*-W117</f>
        <v/>
      </c>
      <c r="X80" s="56" t="n">
        <v>0</v>
      </c>
      <c r="Y80" s="28">
        <f>$E$80*-Y117</f>
        <v/>
      </c>
      <c r="Z80" s="56" t="n">
        <v>0</v>
      </c>
      <c r="AA80" s="28">
        <f>$E$80*-AA117</f>
        <v/>
      </c>
      <c r="AB80" s="56" t="n">
        <v>0</v>
      </c>
      <c r="AC80" s="28">
        <f>$E$80*-AC117</f>
        <v/>
      </c>
      <c r="AD80" s="56" t="n">
        <v>0</v>
      </c>
      <c r="AE80" s="28">
        <f>$E$80*-AE117</f>
        <v/>
      </c>
      <c r="AF80" s="57" t="n">
        <v>0</v>
      </c>
    </row>
    <row r="81">
      <c r="A81" s="20" t="inlineStr">
        <is>
          <t>Roll Over_Re-Invest</t>
        </is>
      </c>
      <c r="D81" s="34">
        <f>+I81+K81+M81+O81+Q81+S81+U81+W81+Y81+AA81+AC81+AE81</f>
        <v/>
      </c>
      <c r="E81" s="58">
        <f>E80</f>
        <v/>
      </c>
      <c r="I81" s="28">
        <f>$E$81*I156</f>
        <v/>
      </c>
      <c r="K81" s="28">
        <f>$E$81*K156</f>
        <v/>
      </c>
      <c r="L81" s="56" t="n">
        <v>0</v>
      </c>
      <c r="M81" s="28">
        <f>$E$81*M156</f>
        <v/>
      </c>
      <c r="N81" s="56" t="n">
        <v>0</v>
      </c>
      <c r="O81" s="28">
        <f>$E$81*O156</f>
        <v/>
      </c>
      <c r="P81" s="56" t="n">
        <v>0</v>
      </c>
      <c r="Q81" s="28">
        <f>$E$81*Q156</f>
        <v/>
      </c>
      <c r="R81" s="56" t="n">
        <v>0</v>
      </c>
      <c r="S81" s="28">
        <f>$E$81*S156</f>
        <v/>
      </c>
      <c r="T81" s="56" t="n">
        <v>0</v>
      </c>
      <c r="U81" s="28">
        <f>$E$81*U156</f>
        <v/>
      </c>
      <c r="V81" s="56" t="n">
        <v>0</v>
      </c>
      <c r="W81" s="28">
        <f>$E$81*W156</f>
        <v/>
      </c>
      <c r="X81" s="56" t="n">
        <v>0</v>
      </c>
      <c r="Y81" s="28">
        <f>$E$81*Y156</f>
        <v/>
      </c>
      <c r="Z81" s="56" t="n">
        <v>0</v>
      </c>
      <c r="AA81" s="28">
        <f>$E$81*AA156</f>
        <v/>
      </c>
      <c r="AB81" s="56" t="n">
        <v>0</v>
      </c>
      <c r="AC81" s="28">
        <f>$E$81*AC156</f>
        <v/>
      </c>
      <c r="AD81" s="56" t="n">
        <v>0</v>
      </c>
      <c r="AE81" s="28">
        <f>$E$81*AE156</f>
        <v/>
      </c>
      <c r="AF81" s="57" t="n">
        <v>0</v>
      </c>
    </row>
    <row r="82">
      <c r="A82" s="20" t="inlineStr">
        <is>
          <t>BLOCK C</t>
        </is>
      </c>
      <c r="B82" s="59" t="inlineStr">
        <is>
          <t>C</t>
        </is>
      </c>
      <c r="C82" s="59" t="inlineStr">
        <is>
          <t>Heron View</t>
        </is>
      </c>
      <c r="D82" s="28">
        <f>+I82+K82+M82+O82+Q82+S82+U82+W82+Y82+AA82+AC82+AE82</f>
        <v/>
      </c>
      <c r="E82" s="60">
        <f>+E80</f>
        <v/>
      </c>
      <c r="I82" s="28">
        <f>SUMIFS(Sales!$R:$R,Sales!$W:$W,"&lt;="&amp;I5,Sales!$W:$W,"&gt;"&amp;B2,Sales!$E:$E,FALSE,Sales!$B:$B,'Cashflow Projection'!$B82)*$E82</f>
        <v/>
      </c>
      <c r="J82" s="28">
        <f>SUMIFS($D$245:$D$595,$A$245:$A$595,B82,$C$245:$C$595,"&lt;="&amp;I5,$C$245:$C$595,"&gt;"&amp;B2,$F$245:$F$595,0)*$E82</f>
        <v/>
      </c>
      <c r="K82" s="28">
        <f>SUMIFS(Sales!$R:$R,Sales!$W:$W,"&lt;="&amp;K5,Sales!$W:$W,"&gt;"&amp;I5,Sales!$E:$E,FALSE,Sales!$B:$B,'Cashflow Projection'!$B82)*$E82</f>
        <v/>
      </c>
      <c r="L82" s="28">
        <f>SUMIFS($D$245:$D$595,$A$245:$A$595,B82,$C$245:$C$595,"&lt;="&amp;K5,$C$245:$C$595,"&gt;"&amp;I5,$F$245:$F$595,0)*$E82</f>
        <v/>
      </c>
      <c r="M82" s="28">
        <f>SUMIFS(Sales!$R:$R,Sales!$W:$W,"&lt;="&amp;M5,Sales!$W:$W,"&gt;"&amp;K5,Sales!$E:$E,FALSE,Sales!$B:$B,'Cashflow Projection'!$B82)*$E82</f>
        <v/>
      </c>
      <c r="N82" s="28">
        <f>SUMIFS($D$245:$D$595,$A$245:$A$595,B82,$C$245:$C$595,"&lt;="&amp;M5,$C$245:$C$595,"&gt;"&amp;K5,$F$245:$F$595,0)*$E82</f>
        <v/>
      </c>
      <c r="O82" s="28">
        <f>SUMIFS(Sales!$R:$R,Sales!$W:$W,"&lt;="&amp;O5,Sales!$W:$W,"&gt;"&amp;M5,Sales!$E:$E,FALSE,Sales!$B:$B,'Cashflow Projection'!$B82)*$E82</f>
        <v/>
      </c>
      <c r="P82" s="28">
        <f>SUMIFS($D$245:$D$595,$A$245:$A$595,B82,$C$245:$C$595,"&lt;="&amp;O5,$C$245:$C$595,"&gt;"&amp;M5,$F$245:$F$595,0)*$E82</f>
        <v/>
      </c>
      <c r="Q82" s="28">
        <f>SUMIFS(Sales!$R:$R,Sales!$W:$W,"&lt;="&amp;Q5,Sales!$W:$W,"&gt;"&amp;O5,Sales!$E:$E,FALSE,Sales!$B:$B,'Cashflow Projection'!$B82)*$E82</f>
        <v/>
      </c>
      <c r="R82" s="28">
        <f>SUMIFS($D$245:$D$595,$A$245:$A$595,B82,$C$245:$C$595,"&lt;="&amp;Q5,$C$245:$C$595,"&gt;"&amp;O5,$F$245:$F$595,0)*$E82</f>
        <v/>
      </c>
      <c r="S82" s="28">
        <f>SUMIFS(Sales!$R:$R,Sales!$W:$W,"&lt;="&amp;S5,Sales!$W:$W,"&gt;"&amp;Q5,Sales!$E:$E,FALSE,Sales!$B:$B,'Cashflow Projection'!$B82)*$E82</f>
        <v/>
      </c>
      <c r="T82" s="28">
        <f>SUMIFS($D$245:$D$595,$A$245:$A$595,B82,$C$245:$C$595,"&lt;="&amp;S5,$C$245:$C$595,"&gt;"&amp;Q5,$F$245:$F$595,0)*$E82</f>
        <v/>
      </c>
      <c r="U82" s="28">
        <f>SUMIFS(Sales!$R:$R,Sales!$W:$W,"&lt;="&amp;U5,Sales!$W:$W,"&gt;"&amp;S5,Sales!$E:$E,FALSE,Sales!$B:$B,'Cashflow Projection'!$B82)*$E82</f>
        <v/>
      </c>
      <c r="V82" s="28">
        <f>SUMIFS($D$245:$D$595,$A$245:$A$595,B82,$C$245:$C$595,"&lt;="&amp;U5,$C$245:$C$595,"&gt;"&amp;S5,$F$245:$F$595,0)*$E82</f>
        <v/>
      </c>
      <c r="W82" s="28">
        <f>SUMIFS(Sales!$R:$R,Sales!$W:$W,"&lt;="&amp;W5,Sales!$W:$W,"&gt;"&amp;U5,Sales!$E:$E,FALSE,Sales!$B:$B,'Cashflow Projection'!$B82)*$E82</f>
        <v/>
      </c>
      <c r="X82" s="28">
        <f>SUMIFS($D$245:$D$595,$A$245:$A$595,B82,$C$245:$C$595,"&lt;="&amp;W5,$C$245:$C$595,"&gt;"&amp;U5,$F$245:$F$595,0)*$E82</f>
        <v/>
      </c>
      <c r="Y82" s="28">
        <f>SUMIFS(Sales!$R:$R,Sales!$W:$W,"&lt;="&amp;Y5,Sales!$W:$W,"&gt;"&amp;W5,Sales!$E:$E,FALSE,Sales!$B:$B,'Cashflow Projection'!$B82)*$E82</f>
        <v/>
      </c>
      <c r="Z82" s="28">
        <f>SUMIFS($D$245:$D$595,$A$245:$A$595,B82,$C$245:$C$595,"&lt;="&amp;Y5,$C$245:$C$595,"&gt;"&amp;W5,$F$245:$F$595,0)*$E82</f>
        <v/>
      </c>
      <c r="AA82" s="28">
        <f>SUMIFS(Sales!$R:$R,Sales!$W:$W,"&lt;="&amp;AA5,Sales!$W:$W,"&gt;"&amp;Y5,Sales!$E:$E,FALSE,Sales!$B:$B,'Cashflow Projection'!$B82)*$E82</f>
        <v/>
      </c>
      <c r="AB82" s="28">
        <f>SUMIFS($D$245:$D$595,$A$245:$A$595,B82,$C$245:$C$595,"&lt;="&amp;AA5,$C$245:$C$595,"&gt;"&amp;Y5,$F$245:$F$595,0)*$E82</f>
        <v/>
      </c>
      <c r="AC82" s="28">
        <f>SUMIFS(Sales!$R:$R,Sales!$W:$W,"&lt;="&amp;AC5,Sales!$W:$W,"&gt;"&amp;AA5,Sales!$E:$E,FALSE,Sales!$B:$B,'Cashflow Projection'!$B82)*$E82</f>
        <v/>
      </c>
      <c r="AD82" s="28">
        <f>SUMIFS($D$245:$D$595,$A$245:$A$595,B82,$C$245:$C$595,"&lt;="&amp;AC5,$C$245:$C$595,"&gt;"&amp;AA5,$F$245:$F$595,0)*$E82</f>
        <v/>
      </c>
      <c r="AE82" s="28">
        <f>SUMIFS(Sales!$R:$R,Sales!$W:$W,"&lt;="&amp;AE5,Sales!$W:$W,"&gt;"&amp;AC5,Sales!$E:$E,FALSE,Sales!$B:$B,'Cashflow Projection'!$B82)*$E82</f>
        <v/>
      </c>
      <c r="AF82" s="44">
        <f>SUMIFS($D$245:$D$595,$A$245:$A$595,B82,$C$245:$C$595,"&lt;="&amp;AE5,$C$245:$C$595,"&gt;"&amp;AC5,$F$245:$F$595,0)*$E82</f>
        <v/>
      </c>
    </row>
    <row r="83">
      <c r="A83" s="20" t="inlineStr">
        <is>
          <t>BLOCK D</t>
        </is>
      </c>
      <c r="B83" s="59" t="inlineStr">
        <is>
          <t>D</t>
        </is>
      </c>
      <c r="C83" s="59" t="inlineStr">
        <is>
          <t>Heron View</t>
        </is>
      </c>
      <c r="D83" s="28">
        <f>+I83+K83+M83+O83+Q83+S83+U83+W83+Y83+AA83+AC83+AE83</f>
        <v/>
      </c>
      <c r="E83" s="60">
        <f>+E80</f>
        <v/>
      </c>
      <c r="I83" s="28">
        <f>SUMIFS(Sales!$R:$R,Sales!$W:$W,"&lt;="&amp;I5,Sales!$W:$W,"&gt;"&amp;B2,Sales!$E:$E,FALSE,Sales!$B:$B,'Cashflow Projection'!$B83)*$E83</f>
        <v/>
      </c>
      <c r="J83" s="28">
        <f>SUMIFS($D$245:$D$595,$A$245:$A$595,B83,$C$245:$C$595,"&lt;="&amp;I5,$C$245:$C$595,"&gt;"&amp;B2,$F$245:$F$595,0)*$E83</f>
        <v/>
      </c>
      <c r="K83" s="28">
        <f>SUMIFS(Sales!$R:$R,Sales!$W:$W,"&lt;="&amp;K5,Sales!$W:$W,"&gt;"&amp;I5,Sales!$E:$E,FALSE,Sales!$B:$B,'Cashflow Projection'!$B83)*$E83</f>
        <v/>
      </c>
      <c r="L83" s="28">
        <f>SUMIFS($D$245:$D$595,$A$245:$A$595,B83,$C$245:$C$595,"&lt;="&amp;K5,$C$245:$C$595,"&gt;"&amp;I5,$F$245:$F$595,0)*$E83</f>
        <v/>
      </c>
      <c r="M83" s="28">
        <f>SUMIFS(Sales!$R:$R,Sales!$W:$W,"&lt;="&amp;M5,Sales!$W:$W,"&gt;"&amp;K5,Sales!$E:$E,FALSE,Sales!$B:$B,'Cashflow Projection'!$B83)*$E83</f>
        <v/>
      </c>
      <c r="N83" s="28">
        <f>SUMIFS($D$245:$D$595,$A$245:$A$595,B83,$C$245:$C$595,"&lt;="&amp;M5,$C$245:$C$595,"&gt;"&amp;K5,$F$245:$F$595,0)*$E83</f>
        <v/>
      </c>
      <c r="O83" s="28">
        <f>SUMIFS(Sales!$R:$R,Sales!$W:$W,"&lt;="&amp;O5,Sales!$W:$W,"&gt;"&amp;M5,Sales!$E:$E,FALSE,Sales!$B:$B,'Cashflow Projection'!$B83)*$E83</f>
        <v/>
      </c>
      <c r="P83" s="28">
        <f>SUMIFS($D$245:$D$595,$A$245:$A$595,B83,$C$245:$C$595,"&lt;="&amp;O5,$C$245:$C$595,"&gt;"&amp;M5,$F$245:$F$595,0)*$E83</f>
        <v/>
      </c>
      <c r="Q83" s="28">
        <f>SUMIFS(Sales!$R:$R,Sales!$W:$W,"&lt;="&amp;Q5,Sales!$W:$W,"&gt;"&amp;O5,Sales!$E:$E,FALSE,Sales!$B:$B,'Cashflow Projection'!$B83)*$E83</f>
        <v/>
      </c>
      <c r="R83" s="28">
        <f>SUMIFS($D$245:$D$595,$A$245:$A$595,B83,$C$245:$C$595,"&lt;="&amp;Q5,$C$245:$C$595,"&gt;"&amp;O5,$F$245:$F$595,0)*$E83</f>
        <v/>
      </c>
      <c r="S83" s="28">
        <f>SUMIFS(Sales!$R:$R,Sales!$W:$W,"&lt;="&amp;S5,Sales!$W:$W,"&gt;"&amp;Q5,Sales!$E:$E,FALSE,Sales!$B:$B,'Cashflow Projection'!$B83)*$E83</f>
        <v/>
      </c>
      <c r="T83" s="28">
        <f>SUMIFS($D$245:$D$595,$A$245:$A$595,B83,$C$245:$C$595,"&lt;="&amp;S5,$C$245:$C$595,"&gt;"&amp;Q5,$F$245:$F$595,0)*$E83</f>
        <v/>
      </c>
      <c r="U83" s="28">
        <f>SUMIFS(Sales!$R:$R,Sales!$W:$W,"&lt;="&amp;U5,Sales!$W:$W,"&gt;"&amp;S5,Sales!$E:$E,FALSE,Sales!$B:$B,'Cashflow Projection'!$B83)*$E83</f>
        <v/>
      </c>
      <c r="V83" s="28">
        <f>SUMIFS($D$245:$D$595,$A$245:$A$595,B83,$C$245:$C$595,"&lt;="&amp;U5,$C$245:$C$595,"&gt;"&amp;S5,$F$245:$F$595,0)*$E83</f>
        <v/>
      </c>
      <c r="W83" s="28">
        <f>SUMIFS(Sales!$R:$R,Sales!$W:$W,"&lt;="&amp;W5,Sales!$W:$W,"&gt;"&amp;U5,Sales!$E:$E,FALSE,Sales!$B:$B,'Cashflow Projection'!$B83)*$E83</f>
        <v/>
      </c>
      <c r="X83" s="28">
        <f>SUMIFS($D$245:$D$595,$A$245:$A$595,B83,$C$245:$C$595,"&lt;="&amp;W5,$C$245:$C$595,"&gt;"&amp;U5,$F$245:$F$595,0)*$E83</f>
        <v/>
      </c>
      <c r="Y83" s="28">
        <f>SUMIFS(Sales!$R:$R,Sales!$W:$W,"&lt;="&amp;Y5,Sales!$W:$W,"&gt;"&amp;W5,Sales!$E:$E,FALSE,Sales!$B:$B,'Cashflow Projection'!$B83)*$E83</f>
        <v/>
      </c>
      <c r="Z83" s="28">
        <f>SUMIFS($D$245:$D$595,$A$245:$A$595,B83,$C$245:$C$595,"&lt;="&amp;Y5,$C$245:$C$595,"&gt;"&amp;W5,$F$245:$F$595,0)*$E83</f>
        <v/>
      </c>
      <c r="AA83" s="28">
        <f>SUMIFS(Sales!$R:$R,Sales!$W:$W,"&lt;="&amp;AA5,Sales!$W:$W,"&gt;"&amp;Y5,Sales!$E:$E,FALSE,Sales!$B:$B,'Cashflow Projection'!$B83)*$E83</f>
        <v/>
      </c>
      <c r="AB83" s="28">
        <f>SUMIFS($D$245:$D$595,$A$245:$A$595,B83,$C$245:$C$595,"&lt;="&amp;AA5,$C$245:$C$595,"&gt;"&amp;Y5,$F$245:$F$595,0)*$E83</f>
        <v/>
      </c>
      <c r="AC83" s="28">
        <f>SUMIFS(Sales!$R:$R,Sales!$W:$W,"&lt;="&amp;AC5,Sales!$W:$W,"&gt;"&amp;AA5,Sales!$E:$E,FALSE,Sales!$B:$B,'Cashflow Projection'!$B83)*$E83</f>
        <v/>
      </c>
      <c r="AD83" s="28">
        <f>SUMIFS($D$245:$D$595,$A$245:$A$595,B83,$C$245:$C$595,"&lt;="&amp;AC5,$C$245:$C$595,"&gt;"&amp;AA5,$F$245:$F$595,0)*$E83</f>
        <v/>
      </c>
      <c r="AE83" s="28">
        <f>SUMIFS(Sales!$R:$R,Sales!$W:$W,"&lt;="&amp;AE5,Sales!$W:$W,"&gt;"&amp;AC5,Sales!$E:$E,FALSE,Sales!$B:$B,'Cashflow Projection'!$B83)*$E83</f>
        <v/>
      </c>
      <c r="AF83" s="44">
        <f>SUMIFS($D$245:$D$595,$A$245:$A$595,B83,$C$245:$C$595,"&lt;="&amp;AE5,$C$245:$C$595,"&gt;"&amp;AC5,$F$245:$F$595,0)*$E83</f>
        <v/>
      </c>
    </row>
    <row r="84">
      <c r="A84" s="20" t="inlineStr">
        <is>
          <t>BLOCK E</t>
        </is>
      </c>
      <c r="B84" s="59" t="inlineStr">
        <is>
          <t>E</t>
        </is>
      </c>
      <c r="C84" s="59" t="inlineStr">
        <is>
          <t>Heron View</t>
        </is>
      </c>
      <c r="D84" s="28">
        <f>+I84+K84+M84+O84+Q84+S84+U84+W84+Y84+AA84+AC84+AE84</f>
        <v/>
      </c>
      <c r="E84" s="60">
        <f>+E80</f>
        <v/>
      </c>
      <c r="I84" s="28">
        <f>SUMIFS(Sales!$R:$R,Sales!$W:$W,"&lt;="&amp;I5,Sales!$W:$W,"&gt;"&amp;B2,Sales!$E:$E,FALSE,Sales!$B:$B,'Cashflow Projection'!$B84)*$E84</f>
        <v/>
      </c>
      <c r="J84" s="28">
        <f>SUMIFS($D$245:$D$595,$A$245:$A$595,B84,$C$245:$C$595,"&lt;="&amp;I5,$C$245:$C$595,"&gt;"&amp;B2,$F$245:$F$595,0)*$E84</f>
        <v/>
      </c>
      <c r="K84" s="28">
        <f>SUMIFS(Sales!$R:$R,Sales!$W:$W,"&lt;="&amp;K5,Sales!$W:$W,"&gt;"&amp;I5,Sales!$E:$E,FALSE,Sales!$B:$B,'Cashflow Projection'!$B84)*$E84</f>
        <v/>
      </c>
      <c r="L84" s="28">
        <f>SUMIFS($D$245:$D$595,$A$245:$A$595,B84,$C$245:$C$595,"&lt;="&amp;K5,$C$245:$C$595,"&gt;"&amp;I5,$F$245:$F$595,0)*$E84</f>
        <v/>
      </c>
      <c r="M84" s="28">
        <f>SUMIFS(Sales!$R:$R,Sales!$W:$W,"&lt;="&amp;M5,Sales!$W:$W,"&gt;"&amp;K5,Sales!$E:$E,FALSE,Sales!$B:$B,'Cashflow Projection'!$B84)*$E84</f>
        <v/>
      </c>
      <c r="N84" s="28">
        <f>SUMIFS($D$245:$D$595,$A$245:$A$595,B84,$C$245:$C$595,"&lt;="&amp;M5,$C$245:$C$595,"&gt;"&amp;K5,$F$245:$F$595,0)*$E84</f>
        <v/>
      </c>
      <c r="O84" s="28">
        <f>SUMIFS(Sales!$R:$R,Sales!$W:$W,"&lt;="&amp;O5,Sales!$W:$W,"&gt;"&amp;M5,Sales!$E:$E,FALSE,Sales!$B:$B,'Cashflow Projection'!$B84)*$E84</f>
        <v/>
      </c>
      <c r="P84" s="28">
        <f>SUMIFS($D$245:$D$595,$A$245:$A$595,B84,$C$245:$C$595,"&lt;="&amp;O5,$C$245:$C$595,"&gt;"&amp;M5,$F$245:$F$595,0)*$E84</f>
        <v/>
      </c>
      <c r="Q84" s="28">
        <f>SUMIFS(Sales!$R:$R,Sales!$W:$W,"&lt;="&amp;Q5,Sales!$W:$W,"&gt;"&amp;O5,Sales!$E:$E,FALSE,Sales!$B:$B,'Cashflow Projection'!$B84)*$E84</f>
        <v/>
      </c>
      <c r="R84" s="28">
        <f>SUMIFS($D$245:$D$595,$A$245:$A$595,B84,$C$245:$C$595,"&lt;="&amp;Q5,$C$245:$C$595,"&gt;"&amp;O5,$F$245:$F$595,0)*$E84</f>
        <v/>
      </c>
      <c r="S84" s="28">
        <f>SUMIFS(Sales!$R:$R,Sales!$W:$W,"&lt;="&amp;S5,Sales!$W:$W,"&gt;"&amp;Q5,Sales!$E:$E,FALSE,Sales!$B:$B,'Cashflow Projection'!$B84)*$E84</f>
        <v/>
      </c>
      <c r="T84" s="28">
        <f>SUMIFS($D$245:$D$595,$A$245:$A$595,B84,$C$245:$C$595,"&lt;="&amp;S5,$C$245:$C$595,"&gt;"&amp;Q5,$F$245:$F$595,0)*$E84</f>
        <v/>
      </c>
      <c r="U84" s="28">
        <f>SUMIFS(Sales!$R:$R,Sales!$W:$W,"&lt;="&amp;U5,Sales!$W:$W,"&gt;"&amp;S5,Sales!$E:$E,FALSE,Sales!$B:$B,'Cashflow Projection'!$B84)*$E84</f>
        <v/>
      </c>
      <c r="V84" s="28">
        <f>SUMIFS($D$245:$D$595,$A$245:$A$595,B84,$C$245:$C$595,"&lt;="&amp;U5,$C$245:$C$595,"&gt;"&amp;S5,$F$245:$F$595,0)*$E84</f>
        <v/>
      </c>
      <c r="W84" s="28">
        <f>SUMIFS(Sales!$R:$R,Sales!$W:$W,"&lt;="&amp;W5,Sales!$W:$W,"&gt;"&amp;U5,Sales!$E:$E,FALSE,Sales!$B:$B,'Cashflow Projection'!$B84)*$E84</f>
        <v/>
      </c>
      <c r="X84" s="28">
        <f>SUMIFS($D$245:$D$595,$A$245:$A$595,B84,$C$245:$C$595,"&lt;="&amp;W5,$C$245:$C$595,"&gt;"&amp;U5,$F$245:$F$595,0)*$E84</f>
        <v/>
      </c>
      <c r="Y84" s="28">
        <f>SUMIFS(Sales!$R:$R,Sales!$W:$W,"&lt;="&amp;Y5,Sales!$W:$W,"&gt;"&amp;W5,Sales!$E:$E,FALSE,Sales!$B:$B,'Cashflow Projection'!$B84)*$E84</f>
        <v/>
      </c>
      <c r="Z84" s="28">
        <f>SUMIFS($D$245:$D$595,$A$245:$A$595,B84,$C$245:$C$595,"&lt;="&amp;Y5,$C$245:$C$595,"&gt;"&amp;W5,$F$245:$F$595,0)*$E84</f>
        <v/>
      </c>
      <c r="AA84" s="28">
        <f>SUMIFS(Sales!$R:$R,Sales!$W:$W,"&lt;="&amp;AA5,Sales!$W:$W,"&gt;"&amp;Y5,Sales!$E:$E,FALSE,Sales!$B:$B,'Cashflow Projection'!$B84)*$E84</f>
        <v/>
      </c>
      <c r="AB84" s="28">
        <f>SUMIFS($D$245:$D$595,$A$245:$A$595,B84,$C$245:$C$595,"&lt;="&amp;AA5,$C$245:$C$595,"&gt;"&amp;Y5,$F$245:$F$595,0)*$E84</f>
        <v/>
      </c>
      <c r="AC84" s="28">
        <f>SUMIFS(Sales!$R:$R,Sales!$W:$W,"&lt;="&amp;AC5,Sales!$W:$W,"&gt;"&amp;AA5,Sales!$E:$E,FALSE,Sales!$B:$B,'Cashflow Projection'!$B84)*$E84</f>
        <v/>
      </c>
      <c r="AD84" s="28">
        <f>SUMIFS($D$245:$D$595,$A$245:$A$595,B84,$C$245:$C$595,"&lt;="&amp;AC5,$C$245:$C$595,"&gt;"&amp;AA5,$F$245:$F$595,0)*$E84</f>
        <v/>
      </c>
      <c r="AE84" s="28">
        <f>SUMIFS(Sales!$R:$R,Sales!$W:$W,"&lt;="&amp;AE5,Sales!$W:$W,"&gt;"&amp;AC5,Sales!$E:$E,FALSE,Sales!$B:$B,'Cashflow Projection'!$B84)*$E84</f>
        <v/>
      </c>
      <c r="AF84" s="44">
        <f>SUMIFS($D$245:$D$595,$A$245:$A$595,B84,$C$245:$C$595,"&lt;="&amp;AE5,$C$245:$C$595,"&gt;"&amp;AC5,$F$245:$F$595,0)*$E84</f>
        <v/>
      </c>
    </row>
    <row r="85">
      <c r="A85" s="20" t="inlineStr">
        <is>
          <t>BLOCK H</t>
        </is>
      </c>
      <c r="B85" s="59" t="inlineStr">
        <is>
          <t>H</t>
        </is>
      </c>
      <c r="C85" s="59" t="inlineStr">
        <is>
          <t>Heron View</t>
        </is>
      </c>
      <c r="D85" s="28">
        <f>+I85+K85+M85+O85+Q85+S85+U85+W85+Y85+AA85+AC85+AE85</f>
        <v/>
      </c>
      <c r="E85" s="60">
        <f>+E80</f>
        <v/>
      </c>
      <c r="I85" s="28">
        <f>SUMIFS(Sales!$R:$R,Sales!$W:$W,"&lt;="&amp;I5,Sales!$W:$W,"&gt;"&amp;B2,Sales!$E:$E,FALSE,Sales!$B:$B,'Cashflow Projection'!$B85)*$E85</f>
        <v/>
      </c>
      <c r="J85" s="28">
        <f>SUMIFS($D$245:$D$595,$A$245:$A$595,B85,$C$245:$C$595,"&lt;="&amp;I5,$C$245:$C$595,"&gt;"&amp;B2,$F$245:$F$595,0)*$E85</f>
        <v/>
      </c>
      <c r="K85" s="28">
        <f>SUMIFS(Sales!$R:$R,Sales!$W:$W,"&lt;="&amp;K5,Sales!$W:$W,"&gt;"&amp;I5,Sales!$E:$E,FALSE,Sales!$B:$B,'Cashflow Projection'!$B85)*$E85</f>
        <v/>
      </c>
      <c r="L85" s="28">
        <f>SUMIFS($D$245:$D$595,$A$245:$A$595,B85,$C$245:$C$595,"&lt;="&amp;K5,$C$245:$C$595,"&gt;"&amp;I5,$F$245:$F$595,0)*$E85</f>
        <v/>
      </c>
      <c r="M85" s="28">
        <f>SUMIFS(Sales!$R:$R,Sales!$W:$W,"&lt;="&amp;M5,Sales!$W:$W,"&gt;"&amp;K5,Sales!$E:$E,FALSE,Sales!$B:$B,'Cashflow Projection'!$B85)*$E85</f>
        <v/>
      </c>
      <c r="N85" s="28">
        <f>SUMIFS($D$245:$D$595,$A$245:$A$595,B85,$C$245:$C$595,"&lt;="&amp;M5,$C$245:$C$595,"&gt;"&amp;K5,$F$245:$F$595,0)*$E85</f>
        <v/>
      </c>
      <c r="O85" s="28">
        <f>SUMIFS(Sales!$R:$R,Sales!$W:$W,"&lt;="&amp;O5,Sales!$W:$W,"&gt;"&amp;M5,Sales!$E:$E,FALSE,Sales!$B:$B,'Cashflow Projection'!$B85)*$E85</f>
        <v/>
      </c>
      <c r="P85" s="28">
        <f>SUMIFS($D$245:$D$595,$A$245:$A$595,B85,$C$245:$C$595,"&lt;="&amp;O5,$C$245:$C$595,"&gt;"&amp;M5,$F$245:$F$595,0)*$E85</f>
        <v/>
      </c>
      <c r="Q85" s="28">
        <f>SUMIFS(Sales!$R:$R,Sales!$W:$W,"&lt;="&amp;Q5,Sales!$W:$W,"&gt;"&amp;O5,Sales!$E:$E,FALSE,Sales!$B:$B,'Cashflow Projection'!$B85)*$E85</f>
        <v/>
      </c>
      <c r="R85" s="28">
        <f>SUMIFS($D$245:$D$595,$A$245:$A$595,B85,$C$245:$C$595,"&lt;="&amp;Q5,$C$245:$C$595,"&gt;"&amp;O5,$F$245:$F$595,0)*$E85</f>
        <v/>
      </c>
      <c r="S85" s="28">
        <f>SUMIFS(Sales!$R:$R,Sales!$W:$W,"&lt;="&amp;S5,Sales!$W:$W,"&gt;"&amp;Q5,Sales!$E:$E,FALSE,Sales!$B:$B,'Cashflow Projection'!$B85)*$E85</f>
        <v/>
      </c>
      <c r="T85" s="28">
        <f>SUMIFS($D$245:$D$595,$A$245:$A$595,B85,$C$245:$C$595,"&lt;="&amp;S5,$C$245:$C$595,"&gt;"&amp;Q5,$F$245:$F$595,0)*$E85</f>
        <v/>
      </c>
      <c r="U85" s="28">
        <f>SUMIFS(Sales!$R:$R,Sales!$W:$W,"&lt;="&amp;U5,Sales!$W:$W,"&gt;"&amp;S5,Sales!$E:$E,FALSE,Sales!$B:$B,'Cashflow Projection'!$B85)*$E85</f>
        <v/>
      </c>
      <c r="V85" s="28">
        <f>SUMIFS($D$245:$D$595,$A$245:$A$595,B85,$C$245:$C$595,"&lt;="&amp;U5,$C$245:$C$595,"&gt;"&amp;S5,$F$245:$F$595,0)*$E85</f>
        <v/>
      </c>
      <c r="W85" s="28">
        <f>SUMIFS(Sales!$R:$R,Sales!$W:$W,"&lt;="&amp;W5,Sales!$W:$W,"&gt;"&amp;U5,Sales!$E:$E,FALSE,Sales!$B:$B,'Cashflow Projection'!$B85)*$E85</f>
        <v/>
      </c>
      <c r="X85" s="28">
        <f>SUMIFS($D$245:$D$595,$A$245:$A$595,B85,$C$245:$C$595,"&lt;="&amp;W5,$C$245:$C$595,"&gt;"&amp;U5,$F$245:$F$595,0)*$E85</f>
        <v/>
      </c>
      <c r="Y85" s="28">
        <f>SUMIFS(Sales!$R:$R,Sales!$W:$W,"&lt;="&amp;Y5,Sales!$W:$W,"&gt;"&amp;W5,Sales!$E:$E,FALSE,Sales!$B:$B,'Cashflow Projection'!$B85)*$E85</f>
        <v/>
      </c>
      <c r="Z85" s="28">
        <f>SUMIFS($D$245:$D$595,$A$245:$A$595,B85,$C$245:$C$595,"&lt;="&amp;Y5,$C$245:$C$595,"&gt;"&amp;W5,$F$245:$F$595,0)*$E85</f>
        <v/>
      </c>
      <c r="AA85" s="28">
        <f>SUMIFS(Sales!$R:$R,Sales!$W:$W,"&lt;="&amp;AA5,Sales!$W:$W,"&gt;"&amp;Y5,Sales!$E:$E,FALSE,Sales!$B:$B,'Cashflow Projection'!$B85)*$E85</f>
        <v/>
      </c>
      <c r="AB85" s="28">
        <f>SUMIFS($D$245:$D$595,$A$245:$A$595,B85,$C$245:$C$595,"&lt;="&amp;AA5,$C$245:$C$595,"&gt;"&amp;Y5,$F$245:$F$595,0)*$E85</f>
        <v/>
      </c>
      <c r="AC85" s="28">
        <f>SUMIFS(Sales!$R:$R,Sales!$W:$W,"&lt;="&amp;AC5,Sales!$W:$W,"&gt;"&amp;AA5,Sales!$E:$E,FALSE,Sales!$B:$B,'Cashflow Projection'!$B85)*$E85</f>
        <v/>
      </c>
      <c r="AD85" s="28">
        <f>SUMIFS($D$245:$D$595,$A$245:$A$595,B85,$C$245:$C$595,"&lt;="&amp;AC5,$C$245:$C$595,"&gt;"&amp;AA5,$F$245:$F$595,0)*$E85</f>
        <v/>
      </c>
      <c r="AE85" s="28">
        <f>SUMIFS(Sales!$R:$R,Sales!$W:$W,"&lt;="&amp;AE5,Sales!$W:$W,"&gt;"&amp;AC5,Sales!$E:$E,FALSE,Sales!$B:$B,'Cashflow Projection'!$B85)*$E85</f>
        <v/>
      </c>
      <c r="AF85" s="44">
        <f>SUMIFS($D$245:$D$595,$A$245:$A$595,B85,$C$245:$C$595,"&lt;="&amp;AE5,$C$245:$C$595,"&gt;"&amp;AC5,$F$245:$F$595,0)*$E85</f>
        <v/>
      </c>
    </row>
    <row r="86">
      <c r="A86" s="20" t="inlineStr">
        <is>
          <t>BLOCK J</t>
        </is>
      </c>
      <c r="B86" s="59" t="inlineStr">
        <is>
          <t>J</t>
        </is>
      </c>
      <c r="C86" s="59" t="inlineStr">
        <is>
          <t>Heron View</t>
        </is>
      </c>
      <c r="D86" s="28">
        <f>+I86+K86+M86+O86+Q86+S86+U86+W86+Y86+AA86+AC86+AE86</f>
        <v/>
      </c>
      <c r="E86" s="60">
        <f>+E80</f>
        <v/>
      </c>
      <c r="I86" s="28">
        <f>SUMIFS(Sales!$R:$R,Sales!$W:$W,"&lt;="&amp;I5,Sales!$W:$W,"&gt;"&amp;B2,Sales!$E:$E,FALSE,Sales!$B:$B,'Cashflow Projection'!$B86)*$E86</f>
        <v/>
      </c>
      <c r="J86" s="28">
        <f>SUMIFS($D$245:$D$595,$A$245:$A$595,B86,$C$245:$C$595,"&lt;="&amp;I5,$C$245:$C$595,"&gt;"&amp;B2,$F$245:$F$595,0)*$E86</f>
        <v/>
      </c>
      <c r="K86" s="28">
        <f>SUMIFS(Sales!$R:$R,Sales!$W:$W,"&lt;="&amp;K5,Sales!$W:$W,"&gt;"&amp;I5,Sales!$E:$E,FALSE,Sales!$B:$B,'Cashflow Projection'!$B86)*$E86</f>
        <v/>
      </c>
      <c r="L86" s="28">
        <f>SUMIFS($D$245:$D$595,$A$245:$A$595,B86,$C$245:$C$595,"&lt;="&amp;K5,$C$245:$C$595,"&gt;"&amp;I5,$F$245:$F$595,0)*$E86</f>
        <v/>
      </c>
      <c r="M86" s="28">
        <f>SUMIFS(Sales!$R:$R,Sales!$W:$W,"&lt;="&amp;M5,Sales!$W:$W,"&gt;"&amp;K5,Sales!$E:$E,FALSE,Sales!$B:$B,'Cashflow Projection'!$B86)*$E86</f>
        <v/>
      </c>
      <c r="N86" s="28">
        <f>SUMIFS($D$245:$D$595,$A$245:$A$595,B86,$C$245:$C$595,"&lt;="&amp;M5,$C$245:$C$595,"&gt;"&amp;K5,$F$245:$F$595,0)*$E86</f>
        <v/>
      </c>
      <c r="O86" s="28">
        <f>SUMIFS(Sales!$R:$R,Sales!$W:$W,"&lt;="&amp;O5,Sales!$W:$W,"&gt;"&amp;M5,Sales!$E:$E,FALSE,Sales!$B:$B,'Cashflow Projection'!$B86)*$E86</f>
        <v/>
      </c>
      <c r="P86" s="28">
        <f>SUMIFS($D$245:$D$595,$A$245:$A$595,B86,$C$245:$C$595,"&lt;="&amp;O5,$C$245:$C$595,"&gt;"&amp;M5,$F$245:$F$595,0)*$E86</f>
        <v/>
      </c>
      <c r="Q86" s="28">
        <f>SUMIFS(Sales!$R:$R,Sales!$W:$W,"&lt;="&amp;Q5,Sales!$W:$W,"&gt;"&amp;O5,Sales!$E:$E,FALSE,Sales!$B:$B,'Cashflow Projection'!$B86)*$E86</f>
        <v/>
      </c>
      <c r="R86" s="28">
        <f>SUMIFS($D$245:$D$595,$A$245:$A$595,B86,$C$245:$C$595,"&lt;="&amp;Q5,$C$245:$C$595,"&gt;"&amp;O5,$F$245:$F$595,0)*$E86</f>
        <v/>
      </c>
      <c r="S86" s="28">
        <f>SUMIFS(Sales!$R:$R,Sales!$W:$W,"&lt;="&amp;S5,Sales!$W:$W,"&gt;"&amp;Q5,Sales!$E:$E,FALSE,Sales!$B:$B,'Cashflow Projection'!$B86)*$E86</f>
        <v/>
      </c>
      <c r="T86" s="28">
        <f>SUMIFS($D$245:$D$595,$A$245:$A$595,B86,$C$245:$C$595,"&lt;="&amp;S5,$C$245:$C$595,"&gt;"&amp;Q5,$F$245:$F$595,0)*$E86</f>
        <v/>
      </c>
      <c r="U86" s="28">
        <f>SUMIFS(Sales!$R:$R,Sales!$W:$W,"&lt;="&amp;U5,Sales!$W:$W,"&gt;"&amp;S5,Sales!$E:$E,FALSE,Sales!$B:$B,'Cashflow Projection'!$B86)*$E86</f>
        <v/>
      </c>
      <c r="V86" s="28">
        <f>SUMIFS($D$245:$D$595,$A$245:$A$595,B86,$C$245:$C$595,"&lt;="&amp;U5,$C$245:$C$595,"&gt;"&amp;S5,$F$245:$F$595,0)*$E86</f>
        <v/>
      </c>
      <c r="W86" s="28">
        <f>SUMIFS(Sales!$R:$R,Sales!$W:$W,"&lt;="&amp;W5,Sales!$W:$W,"&gt;"&amp;U5,Sales!$E:$E,FALSE,Sales!$B:$B,'Cashflow Projection'!$B86)*$E86</f>
        <v/>
      </c>
      <c r="X86" s="28">
        <f>SUMIFS($D$245:$D$595,$A$245:$A$595,B86,$C$245:$C$595,"&lt;="&amp;W5,$C$245:$C$595,"&gt;"&amp;U5,$F$245:$F$595,0)*$E86</f>
        <v/>
      </c>
      <c r="Y86" s="28">
        <f>SUMIFS(Sales!$R:$R,Sales!$W:$W,"&lt;="&amp;Y5,Sales!$W:$W,"&gt;"&amp;W5,Sales!$E:$E,FALSE,Sales!$B:$B,'Cashflow Projection'!$B86)*$E86</f>
        <v/>
      </c>
      <c r="Z86" s="28">
        <f>SUMIFS($D$245:$D$595,$A$245:$A$595,B86,$C$245:$C$595,"&lt;="&amp;Y5,$C$245:$C$595,"&gt;"&amp;W5,$F$245:$F$595,0)*$E86</f>
        <v/>
      </c>
      <c r="AA86" s="28">
        <f>SUMIFS(Sales!$R:$R,Sales!$W:$W,"&lt;="&amp;AA5,Sales!$W:$W,"&gt;"&amp;Y5,Sales!$E:$E,FALSE,Sales!$B:$B,'Cashflow Projection'!$B86)*$E86</f>
        <v/>
      </c>
      <c r="AB86" s="28">
        <f>SUMIFS($D$245:$D$595,$A$245:$A$595,B86,$C$245:$C$595,"&lt;="&amp;AA5,$C$245:$C$595,"&gt;"&amp;Y5,$F$245:$F$595,0)*$E86</f>
        <v/>
      </c>
      <c r="AC86" s="28">
        <f>SUMIFS(Sales!$R:$R,Sales!$W:$W,"&lt;="&amp;AC5,Sales!$W:$W,"&gt;"&amp;AA5,Sales!$E:$E,FALSE,Sales!$B:$B,'Cashflow Projection'!$B86)*$E86</f>
        <v/>
      </c>
      <c r="AD86" s="28">
        <f>SUMIFS($D$245:$D$595,$A$245:$A$595,B86,$C$245:$C$595,"&lt;="&amp;AC5,$C$245:$C$595,"&gt;"&amp;AA5,$F$245:$F$595,0)*$E86</f>
        <v/>
      </c>
      <c r="AE86" s="28">
        <f>SUMIFS(Sales!$R:$R,Sales!$W:$W,"&lt;="&amp;AE5,Sales!$W:$W,"&gt;"&amp;AC5,Sales!$E:$E,FALSE,Sales!$B:$B,'Cashflow Projection'!$B86)*$E86</f>
        <v/>
      </c>
      <c r="AF86" s="44">
        <f>SUMIFS($D$245:$D$595,$A$245:$A$595,B86,$C$245:$C$595,"&lt;="&amp;AE5,$C$245:$C$595,"&gt;"&amp;AC5,$F$245:$F$595,0)*$E86</f>
        <v/>
      </c>
    </row>
    <row r="87">
      <c r="A87" s="20" t="inlineStr">
        <is>
          <t>BLOCK M</t>
        </is>
      </c>
      <c r="B87" s="59" t="inlineStr">
        <is>
          <t>M</t>
        </is>
      </c>
      <c r="C87" s="59" t="inlineStr">
        <is>
          <t>Heron View</t>
        </is>
      </c>
      <c r="D87" s="28">
        <f>+I87+K87+M87+O87+Q87+S87+U87+W87+Y87+AA87+AC87+AE87</f>
        <v/>
      </c>
      <c r="E87" s="60">
        <f>+E80</f>
        <v/>
      </c>
      <c r="I87" s="28">
        <f>SUMIFS(Sales!$R:$R,Sales!$W:$W,"&lt;="&amp;I5,Sales!$W:$W,"&gt;"&amp;B2,Sales!$E:$E,FALSE,Sales!$B:$B,'Cashflow Projection'!$B87)*$E87</f>
        <v/>
      </c>
      <c r="J87" s="28">
        <f>SUMIFS($D$245:$D$595,$A$245:$A$595,B87,$C$245:$C$595,"&lt;="&amp;I5,$C$245:$C$595,"&gt;"&amp;B2,$F$245:$F$595,0)*$E87</f>
        <v/>
      </c>
      <c r="K87" s="28">
        <f>SUMIFS(Sales!$R:$R,Sales!$W:$W,"&lt;="&amp;K5,Sales!$W:$W,"&gt;"&amp;I5,Sales!$E:$E,FALSE,Sales!$B:$B,'Cashflow Projection'!$B87)*$E87</f>
        <v/>
      </c>
      <c r="L87" s="28">
        <f>SUMIFS($D$245:$D$595,$A$245:$A$595,B87,$C$245:$C$595,"&lt;="&amp;K5,$C$245:$C$595,"&gt;"&amp;I5,$F$245:$F$595,0)*$E87</f>
        <v/>
      </c>
      <c r="M87" s="28">
        <f>SUMIFS(Sales!$R:$R,Sales!$W:$W,"&lt;="&amp;M5,Sales!$W:$W,"&gt;"&amp;K5,Sales!$E:$E,FALSE,Sales!$B:$B,'Cashflow Projection'!$B87)*$E87</f>
        <v/>
      </c>
      <c r="N87" s="28">
        <f>SUMIFS($D$245:$D$595,$A$245:$A$595,B87,$C$245:$C$595,"&lt;="&amp;M5,$C$245:$C$595,"&gt;"&amp;K5,$F$245:$F$595,0)*$E87</f>
        <v/>
      </c>
      <c r="O87" s="28">
        <f>SUMIFS(Sales!$R:$R,Sales!$W:$W,"&lt;="&amp;O5,Sales!$W:$W,"&gt;"&amp;M5,Sales!$E:$E,FALSE,Sales!$B:$B,'Cashflow Projection'!$B87)*$E87</f>
        <v/>
      </c>
      <c r="P87" s="28">
        <f>SUMIFS($D$245:$D$595,$A$245:$A$595,B87,$C$245:$C$595,"&lt;="&amp;O5,$C$245:$C$595,"&gt;"&amp;M5,$F$245:$F$595,0)*$E87</f>
        <v/>
      </c>
      <c r="Q87" s="28">
        <f>SUMIFS(Sales!$R:$R,Sales!$W:$W,"&lt;="&amp;Q5,Sales!$W:$W,"&gt;"&amp;O5,Sales!$E:$E,FALSE,Sales!$B:$B,'Cashflow Projection'!$B87)*$E87</f>
        <v/>
      </c>
      <c r="R87" s="28">
        <f>SUMIFS($D$245:$D$595,$A$245:$A$595,B87,$C$245:$C$595,"&lt;="&amp;Q5,$C$245:$C$595,"&gt;"&amp;O5,$F$245:$F$595,0)*$E87</f>
        <v/>
      </c>
      <c r="S87" s="28">
        <f>SUMIFS(Sales!$R:$R,Sales!$W:$W,"&lt;="&amp;S5,Sales!$W:$W,"&gt;"&amp;Q5,Sales!$E:$E,FALSE,Sales!$B:$B,'Cashflow Projection'!$B87)*$E87</f>
        <v/>
      </c>
      <c r="T87" s="28">
        <f>SUMIFS($D$245:$D$595,$A$245:$A$595,B87,$C$245:$C$595,"&lt;="&amp;S5,$C$245:$C$595,"&gt;"&amp;Q5,$F$245:$F$595,0)*$E87</f>
        <v/>
      </c>
      <c r="U87" s="28">
        <f>SUMIFS(Sales!$R:$R,Sales!$W:$W,"&lt;="&amp;U5,Sales!$W:$W,"&gt;"&amp;S5,Sales!$E:$E,FALSE,Sales!$B:$B,'Cashflow Projection'!$B87)*$E87</f>
        <v/>
      </c>
      <c r="V87" s="28">
        <f>SUMIFS($D$245:$D$595,$A$245:$A$595,B87,$C$245:$C$595,"&lt;="&amp;U5,$C$245:$C$595,"&gt;"&amp;S5,$F$245:$F$595,0)*$E87</f>
        <v/>
      </c>
      <c r="W87" s="28">
        <f>SUMIFS(Sales!$R:$R,Sales!$W:$W,"&lt;="&amp;W5,Sales!$W:$W,"&gt;"&amp;U5,Sales!$E:$E,FALSE,Sales!$B:$B,'Cashflow Projection'!$B87)*$E87</f>
        <v/>
      </c>
      <c r="X87" s="28">
        <f>SUMIFS($D$245:$D$595,$A$245:$A$595,B87,$C$245:$C$595,"&lt;="&amp;W5,$C$245:$C$595,"&gt;"&amp;U5,$F$245:$F$595,0)*$E87</f>
        <v/>
      </c>
      <c r="Y87" s="28">
        <f>SUMIFS(Sales!$R:$R,Sales!$W:$W,"&lt;="&amp;Y5,Sales!$W:$W,"&gt;"&amp;W5,Sales!$E:$E,FALSE,Sales!$B:$B,'Cashflow Projection'!$B87)*$E87</f>
        <v/>
      </c>
      <c r="Z87" s="28">
        <f>SUMIFS($D$245:$D$595,$A$245:$A$595,B87,$C$245:$C$595,"&lt;="&amp;Y5,$C$245:$C$595,"&gt;"&amp;W5,$F$245:$F$595,0)*$E87</f>
        <v/>
      </c>
      <c r="AA87" s="28">
        <f>SUMIFS(Sales!$R:$R,Sales!$W:$W,"&lt;="&amp;AA5,Sales!$W:$W,"&gt;"&amp;Y5,Sales!$E:$E,FALSE,Sales!$B:$B,'Cashflow Projection'!$B87)*$E87</f>
        <v/>
      </c>
      <c r="AB87" s="28">
        <f>SUMIFS($D$245:$D$595,$A$245:$A$595,B87,$C$245:$C$595,"&lt;="&amp;AA5,$C$245:$C$595,"&gt;"&amp;Y5,$F$245:$F$595,0)*$E87</f>
        <v/>
      </c>
      <c r="AC87" s="28">
        <f>SUMIFS(Sales!$R:$R,Sales!$W:$W,"&lt;="&amp;AC5,Sales!$W:$W,"&gt;"&amp;AA5,Sales!$E:$E,FALSE,Sales!$B:$B,'Cashflow Projection'!$B87)*$E87</f>
        <v/>
      </c>
      <c r="AD87" s="28">
        <f>SUMIFS($D$245:$D$595,$A$245:$A$595,B87,$C$245:$C$595,"&lt;="&amp;AC5,$C$245:$C$595,"&gt;"&amp;AA5,$F$245:$F$595,0)*$E87</f>
        <v/>
      </c>
      <c r="AE87" s="28">
        <f>SUMIFS(Sales!$R:$R,Sales!$W:$W,"&lt;="&amp;AE5,Sales!$W:$W,"&gt;"&amp;AC5,Sales!$E:$E,FALSE,Sales!$B:$B,'Cashflow Projection'!$B87)*$E87</f>
        <v/>
      </c>
      <c r="AF87" s="44">
        <f>SUMIFS($D$245:$D$595,$A$245:$A$595,B87,$C$245:$C$595,"&lt;="&amp;AE5,$C$245:$C$595,"&gt;"&amp;AC5,$F$245:$F$595,0)*$E87</f>
        <v/>
      </c>
    </row>
    <row r="88">
      <c r="A88" s="20" t="inlineStr">
        <is>
          <t>BLOCK N</t>
        </is>
      </c>
      <c r="B88" s="59" t="inlineStr">
        <is>
          <t>N</t>
        </is>
      </c>
      <c r="C88" s="59" t="inlineStr">
        <is>
          <t>Heron View</t>
        </is>
      </c>
      <c r="D88" s="28">
        <f>+I88+K88+M88+O88+Q88+S88+U88+W88+Y88+AA88+AC88+AE88</f>
        <v/>
      </c>
      <c r="E88" s="60">
        <f>+E80</f>
        <v/>
      </c>
      <c r="I88" s="28">
        <f>SUMIFS(Sales!$R:$R,Sales!$W:$W,"&lt;="&amp;I5,Sales!$W:$W,"&gt;"&amp;B2,Sales!$E:$E,FALSE,Sales!$B:$B,'Cashflow Projection'!$B88)*$E88</f>
        <v/>
      </c>
      <c r="J88" s="28">
        <f>SUMIFS($D$245:$D$595,$A$245:$A$595,B88,$C$245:$C$595,"&lt;="&amp;I5,$C$245:$C$595,"&gt;"&amp;B2,$F$245:$F$595,0)*$E88</f>
        <v/>
      </c>
      <c r="K88" s="28">
        <f>SUMIFS(Sales!$R:$R,Sales!$W:$W,"&lt;="&amp;K5,Sales!$W:$W,"&gt;"&amp;I5,Sales!$E:$E,FALSE,Sales!$B:$B,'Cashflow Projection'!$B88)*$E88</f>
        <v/>
      </c>
      <c r="L88" s="28">
        <f>SUMIFS($D$245:$D$595,$A$245:$A$595,B88,$C$245:$C$595,"&lt;="&amp;K5,$C$245:$C$595,"&gt;"&amp;I5,$F$245:$F$595,0)*$E88</f>
        <v/>
      </c>
      <c r="M88" s="28">
        <f>SUMIFS(Sales!$R:$R,Sales!$W:$W,"&lt;="&amp;M5,Sales!$W:$W,"&gt;"&amp;K5,Sales!$E:$E,FALSE,Sales!$B:$B,'Cashflow Projection'!$B88)*$E88</f>
        <v/>
      </c>
      <c r="N88" s="28">
        <f>SUMIFS($D$245:$D$595,$A$245:$A$595,B88,$C$245:$C$595,"&lt;="&amp;M5,$C$245:$C$595,"&gt;"&amp;K5,$F$245:$F$595,0)*$E88</f>
        <v/>
      </c>
      <c r="O88" s="28">
        <f>SUMIFS(Sales!$R:$R,Sales!$W:$W,"&lt;="&amp;O5,Sales!$W:$W,"&gt;"&amp;M5,Sales!$E:$E,FALSE,Sales!$B:$B,'Cashflow Projection'!$B88)*$E88</f>
        <v/>
      </c>
      <c r="P88" s="28">
        <f>SUMIFS($D$245:$D$595,$A$245:$A$595,B88,$C$245:$C$595,"&lt;="&amp;O5,$C$245:$C$595,"&gt;"&amp;M5,$F$245:$F$595,0)*$E88</f>
        <v/>
      </c>
      <c r="Q88" s="28">
        <f>SUMIFS(Sales!$R:$R,Sales!$W:$W,"&lt;="&amp;Q5,Sales!$W:$W,"&gt;"&amp;O5,Sales!$E:$E,FALSE,Sales!$B:$B,'Cashflow Projection'!$B88)*$E88</f>
        <v/>
      </c>
      <c r="R88" s="28">
        <f>SUMIFS($D$245:$D$595,$A$245:$A$595,B88,$C$245:$C$595,"&lt;="&amp;Q5,$C$245:$C$595,"&gt;"&amp;O5,$F$245:$F$595,0)*$E88</f>
        <v/>
      </c>
      <c r="S88" s="28">
        <f>SUMIFS(Sales!$R:$R,Sales!$W:$W,"&lt;="&amp;S5,Sales!$W:$W,"&gt;"&amp;Q5,Sales!$E:$E,FALSE,Sales!$B:$B,'Cashflow Projection'!$B88)*$E88</f>
        <v/>
      </c>
      <c r="T88" s="28">
        <f>SUMIFS($D$245:$D$595,$A$245:$A$595,B88,$C$245:$C$595,"&lt;="&amp;S5,$C$245:$C$595,"&gt;"&amp;Q5,$F$245:$F$595,0)*$E88</f>
        <v/>
      </c>
      <c r="U88" s="28">
        <f>SUMIFS(Sales!$R:$R,Sales!$W:$W,"&lt;="&amp;U5,Sales!$W:$W,"&gt;"&amp;S5,Sales!$E:$E,FALSE,Sales!$B:$B,'Cashflow Projection'!$B88)*$E88</f>
        <v/>
      </c>
      <c r="V88" s="28">
        <f>SUMIFS($D$245:$D$595,$A$245:$A$595,B88,$C$245:$C$595,"&lt;="&amp;U5,$C$245:$C$595,"&gt;"&amp;S5,$F$245:$F$595,0)*$E88</f>
        <v/>
      </c>
      <c r="W88" s="28">
        <f>SUMIFS(Sales!$R:$R,Sales!$W:$W,"&lt;="&amp;W5,Sales!$W:$W,"&gt;"&amp;U5,Sales!$E:$E,FALSE,Sales!$B:$B,'Cashflow Projection'!$B88)*$E88</f>
        <v/>
      </c>
      <c r="X88" s="28">
        <f>SUMIFS($D$245:$D$595,$A$245:$A$595,B88,$C$245:$C$595,"&lt;="&amp;W5,$C$245:$C$595,"&gt;"&amp;U5,$F$245:$F$595,0)*$E88</f>
        <v/>
      </c>
      <c r="Y88" s="28">
        <f>SUMIFS(Sales!$R:$R,Sales!$W:$W,"&lt;="&amp;Y5,Sales!$W:$W,"&gt;"&amp;W5,Sales!$E:$E,FALSE,Sales!$B:$B,'Cashflow Projection'!$B88)*$E88</f>
        <v/>
      </c>
      <c r="Z88" s="28">
        <f>SUMIFS($D$245:$D$595,$A$245:$A$595,B88,$C$245:$C$595,"&lt;="&amp;Y5,$C$245:$C$595,"&gt;"&amp;W5,$F$245:$F$595,0)*$E88</f>
        <v/>
      </c>
      <c r="AA88" s="28">
        <f>SUMIFS(Sales!$R:$R,Sales!$W:$W,"&lt;="&amp;AA5,Sales!$W:$W,"&gt;"&amp;Y5,Sales!$E:$E,FALSE,Sales!$B:$B,'Cashflow Projection'!$B88)*$E88</f>
        <v/>
      </c>
      <c r="AB88" s="28">
        <f>SUMIFS($D$245:$D$595,$A$245:$A$595,B88,$C$245:$C$595,"&lt;="&amp;AA5,$C$245:$C$595,"&gt;"&amp;Y5,$F$245:$F$595,0)*$E88</f>
        <v/>
      </c>
      <c r="AC88" s="28">
        <f>SUMIFS(Sales!$R:$R,Sales!$W:$W,"&lt;="&amp;AC5,Sales!$W:$W,"&gt;"&amp;AA5,Sales!$E:$E,FALSE,Sales!$B:$B,'Cashflow Projection'!$B88)*$E88</f>
        <v/>
      </c>
      <c r="AD88" s="28">
        <f>SUMIFS($D$245:$D$595,$A$245:$A$595,B88,$C$245:$C$595,"&lt;="&amp;AC5,$C$245:$C$595,"&gt;"&amp;AA5,$F$245:$F$595,0)*$E88</f>
        <v/>
      </c>
      <c r="AE88" s="28">
        <f>SUMIFS(Sales!$R:$R,Sales!$W:$W,"&lt;="&amp;AE5,Sales!$W:$W,"&gt;"&amp;AC5,Sales!$E:$E,FALSE,Sales!$B:$B,'Cashflow Projection'!$B88)*$E88</f>
        <v/>
      </c>
      <c r="AF88" s="44">
        <f>SUMIFS($D$245:$D$595,$A$245:$A$595,B88,$C$245:$C$595,"&lt;="&amp;AE5,$C$245:$C$595,"&gt;"&amp;AC5,$F$245:$F$595,0)*$E88</f>
        <v/>
      </c>
    </row>
    <row r="89">
      <c r="A89" s="20" t="inlineStr">
        <is>
          <t>BLOCK O</t>
        </is>
      </c>
      <c r="B89" s="59" t="inlineStr">
        <is>
          <t>O</t>
        </is>
      </c>
      <c r="C89" s="59" t="inlineStr">
        <is>
          <t>Heron View</t>
        </is>
      </c>
      <c r="D89" s="28">
        <f>+I89+K89+M89+O89+Q89+S89+U89+W89+Y89+AA89+AC89+AE89</f>
        <v/>
      </c>
      <c r="E89" s="60">
        <f>+E80</f>
        <v/>
      </c>
      <c r="I89" s="28">
        <f>SUMIFS(Sales!$R:$R,Sales!$W:$W,"&lt;="&amp;I5,Sales!$W:$W,"&gt;"&amp;B2,Sales!$E:$E,FALSE,Sales!$B:$B,'Cashflow Projection'!$B89)*$E89</f>
        <v/>
      </c>
      <c r="J89" s="28">
        <f>SUMIFS($D$245:$D$595,$A$245:$A$595,B89,$C$245:$C$595,"&lt;="&amp;I5,$C$245:$C$595,"&gt;"&amp;B2,$F$245:$F$595,0)*$E89</f>
        <v/>
      </c>
      <c r="K89" s="28">
        <f>SUMIFS(Sales!$R:$R,Sales!$W:$W,"&lt;="&amp;K5,Sales!$W:$W,"&gt;"&amp;I5,Sales!$E:$E,FALSE,Sales!$B:$B,'Cashflow Projection'!$B89)*$E89</f>
        <v/>
      </c>
      <c r="L89" s="28">
        <f>SUMIFS($D$245:$D$595,$A$245:$A$595,B89,$C$245:$C$595,"&lt;="&amp;K5,$C$245:$C$595,"&gt;"&amp;I5,$F$245:$F$595,0)*$E89</f>
        <v/>
      </c>
      <c r="M89" s="28">
        <f>SUMIFS(Sales!$R:$R,Sales!$W:$W,"&lt;="&amp;M5,Sales!$W:$W,"&gt;"&amp;K5,Sales!$E:$E,FALSE,Sales!$B:$B,'Cashflow Projection'!$B89)*$E89</f>
        <v/>
      </c>
      <c r="N89" s="28">
        <f>SUMIFS($D$245:$D$595,$A$245:$A$595,B89,$C$245:$C$595,"&lt;="&amp;M5,$C$245:$C$595,"&gt;"&amp;K5,$F$245:$F$595,0)*$E89</f>
        <v/>
      </c>
      <c r="O89" s="28">
        <f>SUMIFS(Sales!$R:$R,Sales!$W:$W,"&lt;="&amp;O5,Sales!$W:$W,"&gt;"&amp;M5,Sales!$E:$E,FALSE,Sales!$B:$B,'Cashflow Projection'!$B89)*$E89</f>
        <v/>
      </c>
      <c r="P89" s="28">
        <f>SUMIFS($D$245:$D$595,$A$245:$A$595,B89,$C$245:$C$595,"&lt;="&amp;O5,$C$245:$C$595,"&gt;"&amp;M5,$F$245:$F$595,0)*$E89</f>
        <v/>
      </c>
      <c r="Q89" s="28">
        <f>SUMIFS(Sales!$R:$R,Sales!$W:$W,"&lt;="&amp;Q5,Sales!$W:$W,"&gt;"&amp;O5,Sales!$E:$E,FALSE,Sales!$B:$B,'Cashflow Projection'!$B89)*$E89</f>
        <v/>
      </c>
      <c r="R89" s="28">
        <f>SUMIFS($D$245:$D$595,$A$245:$A$595,B89,$C$245:$C$595,"&lt;="&amp;Q5,$C$245:$C$595,"&gt;"&amp;O5,$F$245:$F$595,0)*$E89</f>
        <v/>
      </c>
      <c r="S89" s="28">
        <f>SUMIFS(Sales!$R:$R,Sales!$W:$W,"&lt;="&amp;S5,Sales!$W:$W,"&gt;"&amp;Q5,Sales!$E:$E,FALSE,Sales!$B:$B,'Cashflow Projection'!$B89)*$E89</f>
        <v/>
      </c>
      <c r="T89" s="28">
        <f>SUMIFS($D$245:$D$595,$A$245:$A$595,B89,$C$245:$C$595,"&lt;="&amp;S5,$C$245:$C$595,"&gt;"&amp;Q5,$F$245:$F$595,0)*$E89</f>
        <v/>
      </c>
      <c r="U89" s="28">
        <f>SUMIFS(Sales!$R:$R,Sales!$W:$W,"&lt;="&amp;U5,Sales!$W:$W,"&gt;"&amp;S5,Sales!$E:$E,FALSE,Sales!$B:$B,'Cashflow Projection'!$B89)*$E89</f>
        <v/>
      </c>
      <c r="V89" s="28">
        <f>SUMIFS($D$245:$D$595,$A$245:$A$595,B89,$C$245:$C$595,"&lt;="&amp;U5,$C$245:$C$595,"&gt;"&amp;S5,$F$245:$F$595,0)*$E89</f>
        <v/>
      </c>
      <c r="W89" s="28">
        <f>SUMIFS(Sales!$R:$R,Sales!$W:$W,"&lt;="&amp;W5,Sales!$W:$W,"&gt;"&amp;U5,Sales!$E:$E,FALSE,Sales!$B:$B,'Cashflow Projection'!$B89)*$E89</f>
        <v/>
      </c>
      <c r="X89" s="28">
        <f>SUMIFS($D$245:$D$595,$A$245:$A$595,B89,$C$245:$C$595,"&lt;="&amp;W5,$C$245:$C$595,"&gt;"&amp;U5,$F$245:$F$595,0)*$E89</f>
        <v/>
      </c>
      <c r="Y89" s="28">
        <f>SUMIFS(Sales!$R:$R,Sales!$W:$W,"&lt;="&amp;Y5,Sales!$W:$W,"&gt;"&amp;W5,Sales!$E:$E,FALSE,Sales!$B:$B,'Cashflow Projection'!$B89)*$E89</f>
        <v/>
      </c>
      <c r="Z89" s="28">
        <f>SUMIFS($D$245:$D$595,$A$245:$A$595,B89,$C$245:$C$595,"&lt;="&amp;Y5,$C$245:$C$595,"&gt;"&amp;W5,$F$245:$F$595,0)*$E89</f>
        <v/>
      </c>
      <c r="AA89" s="28">
        <f>SUMIFS(Sales!$R:$R,Sales!$W:$W,"&lt;="&amp;AA5,Sales!$W:$W,"&gt;"&amp;Y5,Sales!$E:$E,FALSE,Sales!$B:$B,'Cashflow Projection'!$B89)*$E89</f>
        <v/>
      </c>
      <c r="AB89" s="28">
        <f>SUMIFS($D$245:$D$595,$A$245:$A$595,B89,$C$245:$C$595,"&lt;="&amp;AA5,$C$245:$C$595,"&gt;"&amp;Y5,$F$245:$F$595,0)*$E89</f>
        <v/>
      </c>
      <c r="AC89" s="28">
        <f>SUMIFS(Sales!$R:$R,Sales!$W:$W,"&lt;="&amp;AC5,Sales!$W:$W,"&gt;"&amp;AA5,Sales!$E:$E,FALSE,Sales!$B:$B,'Cashflow Projection'!$B89)*$E89</f>
        <v/>
      </c>
      <c r="AD89" s="28">
        <f>SUMIFS($D$245:$D$595,$A$245:$A$595,B89,$C$245:$C$595,"&lt;="&amp;AC5,$C$245:$C$595,"&gt;"&amp;AA5,$F$245:$F$595,0)*$E89</f>
        <v/>
      </c>
      <c r="AE89" s="28">
        <f>SUMIFS(Sales!$R:$R,Sales!$W:$W,"&lt;="&amp;AE5,Sales!$W:$W,"&gt;"&amp;AC5,Sales!$E:$E,FALSE,Sales!$B:$B,'Cashflow Projection'!$B89)*$E89</f>
        <v/>
      </c>
      <c r="AF89" s="44">
        <f>SUMIFS($D$245:$D$595,$A$245:$A$595,B89,$C$245:$C$595,"&lt;="&amp;AE5,$C$245:$C$595,"&gt;"&amp;AC5,$F$245:$F$595,0)*$E89</f>
        <v/>
      </c>
    </row>
    <row r="90">
      <c r="A90" s="20" t="inlineStr">
        <is>
          <t>BLOCK P</t>
        </is>
      </c>
      <c r="B90" s="59" t="inlineStr">
        <is>
          <t>P</t>
        </is>
      </c>
      <c r="C90" s="59" t="inlineStr">
        <is>
          <t>Heron View</t>
        </is>
      </c>
      <c r="D90" s="28">
        <f>+I90+K90+M90+O90+Q90+S90+U90+W90+Y90+AA90+AC90+AE90</f>
        <v/>
      </c>
      <c r="E90" s="60">
        <f>+E80</f>
        <v/>
      </c>
      <c r="I90" s="28">
        <f>SUMIFS(Sales!$R:$R,Sales!$W:$W,"&lt;="&amp;I5,Sales!$W:$W,"&gt;"&amp;B2,Sales!$E:$E,FALSE,Sales!$B:$B,'Cashflow Projection'!$B90)*$E90</f>
        <v/>
      </c>
      <c r="J90" s="28">
        <f>SUMIFS($D$245:$D$595,$A$245:$A$595,B90,$C$245:$C$595,"&lt;="&amp;I5,$C$245:$C$595,"&gt;"&amp;B2,$F$245:$F$595,0)*$E90</f>
        <v/>
      </c>
      <c r="K90" s="28">
        <f>SUMIFS(Sales!$R:$R,Sales!$W:$W,"&lt;="&amp;K5,Sales!$W:$W,"&gt;"&amp;I5,Sales!$E:$E,FALSE,Sales!$B:$B,'Cashflow Projection'!$B90)*$E90</f>
        <v/>
      </c>
      <c r="L90" s="28">
        <f>SUMIFS($D$245:$D$595,$A$245:$A$595,B90,$C$245:$C$595,"&lt;="&amp;K5,$C$245:$C$595,"&gt;"&amp;I5,$F$245:$F$595,0)*$E90</f>
        <v/>
      </c>
      <c r="M90" s="28">
        <f>SUMIFS(Sales!$R:$R,Sales!$W:$W,"&lt;="&amp;M5,Sales!$W:$W,"&gt;"&amp;K5,Sales!$E:$E,FALSE,Sales!$B:$B,'Cashflow Projection'!$B90)*$E90</f>
        <v/>
      </c>
      <c r="N90" s="28">
        <f>SUMIFS($D$245:$D$595,$A$245:$A$595,B90,$C$245:$C$595,"&lt;="&amp;M5,$C$245:$C$595,"&gt;"&amp;K5,$F$245:$F$595,0)*$E90</f>
        <v/>
      </c>
      <c r="O90" s="28">
        <f>SUMIFS(Sales!$R:$R,Sales!$W:$W,"&lt;="&amp;O5,Sales!$W:$W,"&gt;"&amp;M5,Sales!$E:$E,FALSE,Sales!$B:$B,'Cashflow Projection'!$B90)*$E90</f>
        <v/>
      </c>
      <c r="P90" s="28">
        <f>SUMIFS($D$245:$D$595,$A$245:$A$595,B90,$C$245:$C$595,"&lt;="&amp;O5,$C$245:$C$595,"&gt;"&amp;M5,$F$245:$F$595,0)*$E90</f>
        <v/>
      </c>
      <c r="Q90" s="28">
        <f>SUMIFS(Sales!$R:$R,Sales!$W:$W,"&lt;="&amp;Q5,Sales!$W:$W,"&gt;"&amp;O5,Sales!$E:$E,FALSE,Sales!$B:$B,'Cashflow Projection'!$B90)*$E90</f>
        <v/>
      </c>
      <c r="R90" s="28">
        <f>SUMIFS($D$245:$D$595,$A$245:$A$595,B90,$C$245:$C$595,"&lt;="&amp;Q5,$C$245:$C$595,"&gt;"&amp;O5,$F$245:$F$595,0)*$E90</f>
        <v/>
      </c>
      <c r="S90" s="28">
        <f>SUMIFS(Sales!$R:$R,Sales!$W:$W,"&lt;="&amp;S5,Sales!$W:$W,"&gt;"&amp;Q5,Sales!$E:$E,FALSE,Sales!$B:$B,'Cashflow Projection'!$B90)*$E90</f>
        <v/>
      </c>
      <c r="T90" s="28">
        <f>SUMIFS($D$245:$D$595,$A$245:$A$595,B90,$C$245:$C$595,"&lt;="&amp;S5,$C$245:$C$595,"&gt;"&amp;Q5,$F$245:$F$595,0)*$E90</f>
        <v/>
      </c>
      <c r="U90" s="28">
        <f>SUMIFS(Sales!$R:$R,Sales!$W:$W,"&lt;="&amp;U5,Sales!$W:$W,"&gt;"&amp;S5,Sales!$E:$E,FALSE,Sales!$B:$B,'Cashflow Projection'!$B90)*$E90</f>
        <v/>
      </c>
      <c r="V90" s="28">
        <f>SUMIFS($D$245:$D$595,$A$245:$A$595,B90,$C$245:$C$595,"&lt;="&amp;U5,$C$245:$C$595,"&gt;"&amp;S5,$F$245:$F$595,0)*$E90</f>
        <v/>
      </c>
      <c r="W90" s="28">
        <f>SUMIFS(Sales!$R:$R,Sales!$W:$W,"&lt;="&amp;W5,Sales!$W:$W,"&gt;"&amp;U5,Sales!$E:$E,FALSE,Sales!$B:$B,'Cashflow Projection'!$B90)*$E90</f>
        <v/>
      </c>
      <c r="X90" s="28">
        <f>SUMIFS($D$245:$D$595,$A$245:$A$595,B90,$C$245:$C$595,"&lt;="&amp;W5,$C$245:$C$595,"&gt;"&amp;U5,$F$245:$F$595,0)*$E90</f>
        <v/>
      </c>
      <c r="Y90" s="28">
        <f>SUMIFS(Sales!$R:$R,Sales!$W:$W,"&lt;="&amp;Y5,Sales!$W:$W,"&gt;"&amp;W5,Sales!$E:$E,FALSE,Sales!$B:$B,'Cashflow Projection'!$B90)*$E90</f>
        <v/>
      </c>
      <c r="Z90" s="28">
        <f>SUMIFS($D$245:$D$595,$A$245:$A$595,B90,$C$245:$C$595,"&lt;="&amp;Y5,$C$245:$C$595,"&gt;"&amp;W5,$F$245:$F$595,0)*$E90</f>
        <v/>
      </c>
      <c r="AA90" s="28">
        <f>SUMIFS(Sales!$R:$R,Sales!$W:$W,"&lt;="&amp;AA5,Sales!$W:$W,"&gt;"&amp;Y5,Sales!$E:$E,FALSE,Sales!$B:$B,'Cashflow Projection'!$B90)*$E90</f>
        <v/>
      </c>
      <c r="AB90" s="28">
        <f>SUMIFS($D$245:$D$595,$A$245:$A$595,B90,$C$245:$C$595,"&lt;="&amp;AA5,$C$245:$C$595,"&gt;"&amp;Y5,$F$245:$F$595,0)*$E90</f>
        <v/>
      </c>
      <c r="AC90" s="28">
        <f>SUMIFS(Sales!$R:$R,Sales!$W:$W,"&lt;="&amp;AC5,Sales!$W:$W,"&gt;"&amp;AA5,Sales!$E:$E,FALSE,Sales!$B:$B,'Cashflow Projection'!$B90)*$E90</f>
        <v/>
      </c>
      <c r="AD90" s="28">
        <f>SUMIFS($D$245:$D$595,$A$245:$A$595,B90,$C$245:$C$595,"&lt;="&amp;AC5,$C$245:$C$595,"&gt;"&amp;AA5,$F$245:$F$595,0)*$E90</f>
        <v/>
      </c>
      <c r="AE90" s="28">
        <f>SUMIFS(Sales!$R:$R,Sales!$W:$W,"&lt;="&amp;AE5,Sales!$W:$W,"&gt;"&amp;AC5,Sales!$E:$E,FALSE,Sales!$B:$B,'Cashflow Projection'!$B90)*$E90</f>
        <v/>
      </c>
      <c r="AF90" s="44">
        <f>SUMIFS($D$245:$D$595,$A$245:$A$595,B90,$C$245:$C$595,"&lt;="&amp;AE5,$C$245:$C$595,"&gt;"&amp;AC5,$F$245:$F$595,0)*$E90</f>
        <v/>
      </c>
    </row>
    <row r="91">
      <c r="A91" s="18" t="n"/>
      <c r="AF91" s="19" t="n"/>
    </row>
    <row r="92">
      <c r="A92" s="18" t="inlineStr"/>
      <c r="B92" t="inlineStr"/>
      <c r="C92" t="inlineStr"/>
      <c r="D92" s="59">
        <f>sum(D82:D90)</f>
        <v/>
      </c>
      <c r="AF92" s="19" t="n"/>
    </row>
    <row r="93">
      <c r="A93" s="18" t="n"/>
      <c r="AF93" s="19" t="n"/>
    </row>
    <row r="94">
      <c r="A94" s="20" t="inlineStr">
        <is>
          <t>Other Income</t>
        </is>
      </c>
      <c r="AF94" s="19" t="n"/>
    </row>
    <row r="95">
      <c r="A95" s="20" t="inlineStr">
        <is>
          <t>Purple Blok</t>
        </is>
      </c>
      <c r="B95" s="28" t="n">
        <v>4279223.84</v>
      </c>
      <c r="C95" s="61" t="n">
        <v>1</v>
      </c>
      <c r="D95" s="28">
        <f>+I95+K95+M95+O95+Q95+S95+U95+W95+Y95+AA95+AC95+AE95</f>
        <v/>
      </c>
      <c r="I95" s="56">
        <f>$B$95*J95</f>
        <v/>
      </c>
      <c r="J95" s="62" t="n">
        <v>0</v>
      </c>
      <c r="K95" s="56">
        <f>$B$95*L95</f>
        <v/>
      </c>
      <c r="L95" s="62" t="n">
        <v>0</v>
      </c>
      <c r="M95" s="56">
        <f>$B$95*N95</f>
        <v/>
      </c>
      <c r="N95" s="62" t="n">
        <v>0</v>
      </c>
      <c r="O95" s="56">
        <f>$B$95*P95</f>
        <v/>
      </c>
      <c r="P95" s="62" t="n">
        <v>0</v>
      </c>
      <c r="Q95" s="56">
        <f>$B$95*R95</f>
        <v/>
      </c>
      <c r="R95" s="62" t="n">
        <v>0</v>
      </c>
      <c r="S95" s="56">
        <f>$B$95*T95</f>
        <v/>
      </c>
      <c r="T95" s="62" t="n">
        <v>0</v>
      </c>
      <c r="U95" s="56">
        <f>$B$95*V95</f>
        <v/>
      </c>
      <c r="V95" s="62" t="n">
        <v>0</v>
      </c>
      <c r="W95" s="56">
        <f>$B$95*X95</f>
        <v/>
      </c>
      <c r="X95" s="62" t="n">
        <v>0</v>
      </c>
      <c r="Y95" s="56">
        <f>$B$95*Z95</f>
        <v/>
      </c>
      <c r="Z95" s="62" t="n">
        <v>0</v>
      </c>
      <c r="AA95" s="56">
        <f>$B$95*AB95</f>
        <v/>
      </c>
      <c r="AB95" s="62" t="n">
        <v>0</v>
      </c>
      <c r="AC95" s="56">
        <f>$B$95*AD95</f>
        <v/>
      </c>
      <c r="AD95" s="62" t="n">
        <v>0</v>
      </c>
      <c r="AE95" s="56">
        <f>$B$95*AF95</f>
        <v/>
      </c>
      <c r="AF95" s="63" t="n">
        <v>0</v>
      </c>
    </row>
    <row r="96">
      <c r="A96" s="20" t="inlineStr">
        <is>
          <t>Other Income</t>
        </is>
      </c>
      <c r="B96" s="28" t="n">
        <v>5000000</v>
      </c>
      <c r="C96" s="59" t="n">
        <v>0</v>
      </c>
      <c r="D96" s="28">
        <f>+I96+K96+M96+O96+Q96+S96+U96+W96+Y96+AA96+AC96+AE96</f>
        <v/>
      </c>
      <c r="I96" s="56">
        <f>$B$96*J96</f>
        <v/>
      </c>
      <c r="J96" s="62" t="n">
        <v>0</v>
      </c>
      <c r="K96" s="56">
        <f>$B$96*L96</f>
        <v/>
      </c>
      <c r="L96" s="62" t="n">
        <v>0</v>
      </c>
      <c r="M96" s="56">
        <f>$B$96*N96</f>
        <v/>
      </c>
      <c r="N96" s="62" t="n">
        <v>0</v>
      </c>
      <c r="O96" s="56">
        <f>$B$96*P96</f>
        <v/>
      </c>
      <c r="P96" s="62" t="n">
        <v>0</v>
      </c>
      <c r="Q96" s="56">
        <f>$B$96*R96</f>
        <v/>
      </c>
      <c r="R96" s="62" t="n">
        <v>0</v>
      </c>
      <c r="S96" s="56">
        <f>$B$96*T96</f>
        <v/>
      </c>
      <c r="T96" s="62" t="n">
        <v>0</v>
      </c>
      <c r="U96" s="56">
        <f>$B$96*V96</f>
        <v/>
      </c>
      <c r="V96" s="62" t="n">
        <v>0</v>
      </c>
      <c r="W96" s="56">
        <f>$B$96*X96</f>
        <v/>
      </c>
      <c r="X96" s="62" t="n">
        <v>0</v>
      </c>
      <c r="Y96" s="56">
        <f>$B$96*Z96</f>
        <v/>
      </c>
      <c r="Z96" s="62" t="n">
        <v>0</v>
      </c>
      <c r="AA96" s="56">
        <f>$B$96*AB96</f>
        <v/>
      </c>
      <c r="AB96" s="62" t="n">
        <v>0</v>
      </c>
      <c r="AC96" s="56">
        <f>$B$96*AD96</f>
        <v/>
      </c>
      <c r="AD96" s="62" t="n">
        <v>0</v>
      </c>
      <c r="AE96" s="56">
        <f>$B$96*AF96</f>
        <v/>
      </c>
      <c r="AF96" s="63" t="n">
        <v>0</v>
      </c>
    </row>
    <row r="97">
      <c r="A97" s="20" t="inlineStr">
        <is>
          <t>Repayment</t>
        </is>
      </c>
      <c r="B97" s="59" t="n"/>
      <c r="C97" s="59" t="n"/>
      <c r="D97" s="28">
        <f>+I97+K97+M97+O97+Q97+S97+U97+W97+Y97+AA97+AC97+AE97</f>
        <v/>
      </c>
      <c r="I97" s="56">
        <f>$B$97*J97</f>
        <v/>
      </c>
      <c r="J97" s="62" t="n">
        <v>0</v>
      </c>
      <c r="K97" s="56">
        <f>$B$97*L97</f>
        <v/>
      </c>
      <c r="L97" s="62" t="n">
        <v>0</v>
      </c>
      <c r="M97" s="56">
        <f>$B$97*N97</f>
        <v/>
      </c>
      <c r="N97" s="62" t="n">
        <v>0</v>
      </c>
      <c r="O97" s="56">
        <f>$B$97*P97</f>
        <v/>
      </c>
      <c r="P97" s="62" t="n">
        <v>0</v>
      </c>
      <c r="Q97" s="56">
        <f>$B$97*R97</f>
        <v/>
      </c>
      <c r="R97" s="62" t="n">
        <v>0</v>
      </c>
      <c r="S97" s="56">
        <f>$B$97*T97</f>
        <v/>
      </c>
      <c r="T97" s="62" t="n">
        <v>0</v>
      </c>
      <c r="U97" s="56">
        <f>$B$97*V97</f>
        <v/>
      </c>
      <c r="V97" s="62" t="n">
        <v>0</v>
      </c>
      <c r="W97" s="56">
        <f>$B$97*X97</f>
        <v/>
      </c>
      <c r="X97" s="62" t="n">
        <v>0</v>
      </c>
      <c r="Y97" s="56">
        <f>$B$97*Z97</f>
        <v/>
      </c>
      <c r="Z97" s="62" t="n">
        <v>0</v>
      </c>
      <c r="AA97" s="56">
        <f>$B$97*AB97</f>
        <v/>
      </c>
      <c r="AB97" s="62" t="n">
        <v>0</v>
      </c>
      <c r="AC97" s="56">
        <f>$B$97*AD97</f>
        <v/>
      </c>
      <c r="AD97" s="62" t="n">
        <v>0</v>
      </c>
      <c r="AE97" s="56">
        <f>$B$97*AF97</f>
        <v/>
      </c>
      <c r="AF97" s="63" t="n">
        <v>0</v>
      </c>
    </row>
    <row r="98">
      <c r="A98" s="20" t="inlineStr">
        <is>
          <t>Total</t>
        </is>
      </c>
      <c r="B98" s="59" t="n"/>
      <c r="C98" s="59" t="n"/>
      <c r="D98" s="28">
        <f>+I98+K98+M98+O98+Q98+S98+U98+W98+Y98+AA98+AC98+AE98</f>
        <v/>
      </c>
      <c r="I98" s="64">
        <f>SUM(I95:I97)</f>
        <v/>
      </c>
      <c r="K98" s="56">
        <f>SUBTOTAL(9,K95:K97)</f>
        <v/>
      </c>
      <c r="M98" s="56">
        <f>SUBTOTAL(9,M95:M97)</f>
        <v/>
      </c>
      <c r="O98" s="56">
        <f>SUBTOTAL(9,O95:O97)</f>
        <v/>
      </c>
      <c r="Q98" s="56">
        <f>SUBTOTAL(9,Q95:Q97)</f>
        <v/>
      </c>
      <c r="S98" s="56">
        <f>SUBTOTAL(9,S95:S97)</f>
        <v/>
      </c>
      <c r="U98" s="56">
        <f>SUBTOTAL(9,U95:U97)</f>
        <v/>
      </c>
      <c r="W98" s="56">
        <f>SUBTOTAL(9,W95:W97)</f>
        <v/>
      </c>
      <c r="Y98" s="56">
        <f>SUBTOTAL(9,Y95:Y97)</f>
        <v/>
      </c>
      <c r="AA98" s="56">
        <f>SUBTOTAL(9,AA95:AA97)</f>
        <v/>
      </c>
      <c r="AC98" s="56">
        <f>SUBTOTAL(9,AC95:AC97)</f>
        <v/>
      </c>
      <c r="AE98" s="56">
        <f>SUBTOTAL(9,AE95:AE97)</f>
        <v/>
      </c>
      <c r="AF98" s="19" t="n"/>
    </row>
    <row r="99">
      <c r="A99" s="18" t="n"/>
      <c r="AF99" s="19" t="n"/>
    </row>
    <row r="100">
      <c r="A100" s="65" t="inlineStr">
        <is>
          <t>FINANCE WATERFALL - EXIT PROCESS</t>
        </is>
      </c>
      <c r="B100" s="66" t="n"/>
      <c r="C100" s="66" t="n"/>
      <c r="D100" s="66" t="n"/>
      <c r="E100" s="66" t="n"/>
      <c r="F100" s="66" t="n"/>
      <c r="G100" s="66" t="n"/>
      <c r="H100" s="66" t="n"/>
      <c r="I100" s="66" t="n"/>
      <c r="J100" s="66" t="n"/>
      <c r="K100" s="66" t="n"/>
      <c r="L100" s="66" t="n"/>
      <c r="M100" s="66" t="n"/>
      <c r="N100" s="66" t="n"/>
      <c r="O100" s="66" t="n"/>
      <c r="P100" s="66" t="n"/>
      <c r="Q100" s="66" t="n"/>
      <c r="R100" s="66" t="n"/>
      <c r="S100" s="66" t="n"/>
      <c r="T100" s="66" t="n"/>
      <c r="U100" s="66" t="n"/>
      <c r="V100" s="66" t="n"/>
      <c r="W100" s="66" t="n"/>
      <c r="X100" s="66" t="n"/>
      <c r="Y100" s="66" t="n"/>
      <c r="Z100" s="66" t="n"/>
      <c r="AA100" s="66" t="n"/>
      <c r="AB100" s="66" t="n"/>
      <c r="AC100" s="66" t="n"/>
      <c r="AD100" s="66" t="n"/>
      <c r="AE100" s="66" t="n"/>
      <c r="AF100" s="67" t="n"/>
    </row>
    <row r="101">
      <c r="A101" s="68" t="inlineStr">
        <is>
          <t>Income</t>
        </is>
      </c>
      <c r="B101" s="66" t="n"/>
      <c r="C101" s="66" t="n"/>
      <c r="D101" s="69">
        <f>+I101+K101+M101+O101+Q101+S101+U101+W101+Y101+AA101+AC101+AE101</f>
        <v/>
      </c>
      <c r="E101" s="66" t="n"/>
      <c r="F101" s="66" t="n"/>
      <c r="G101" s="66" t="n"/>
      <c r="H101" s="70">
        <f>sum(H102:H108)</f>
        <v/>
      </c>
      <c r="I101" s="70">
        <f>sum(I102:I108)</f>
        <v/>
      </c>
      <c r="J101" s="70">
        <f>sum(J102:J108)</f>
        <v/>
      </c>
      <c r="K101" s="70">
        <f>sum(K102:K108)</f>
        <v/>
      </c>
      <c r="L101" s="70">
        <f>sum(L102:L108)</f>
        <v/>
      </c>
      <c r="M101" s="70">
        <f>sum(M102:M108)</f>
        <v/>
      </c>
      <c r="N101" s="70">
        <f>sum(N102:N108)</f>
        <v/>
      </c>
      <c r="O101" s="70">
        <f>sum(O102:O108)</f>
        <v/>
      </c>
      <c r="P101" s="70">
        <f>sum(P102:P108)</f>
        <v/>
      </c>
      <c r="Q101" s="70">
        <f>sum(Q102:Q108)</f>
        <v/>
      </c>
      <c r="R101" s="70">
        <f>sum(R102:R108)</f>
        <v/>
      </c>
      <c r="S101" s="70">
        <f>sum(S102:S108)</f>
        <v/>
      </c>
      <c r="T101" s="70">
        <f>sum(T102:T108)</f>
        <v/>
      </c>
      <c r="U101" s="70">
        <f>sum(U102:U108)</f>
        <v/>
      </c>
      <c r="V101" s="70">
        <f>sum(V102:V108)</f>
        <v/>
      </c>
      <c r="W101" s="70">
        <f>sum(W102:W108)</f>
        <v/>
      </c>
      <c r="X101" s="70">
        <f>sum(X102:X108)</f>
        <v/>
      </c>
      <c r="Y101" s="70">
        <f>sum(Y102:Y108)</f>
        <v/>
      </c>
      <c r="Z101" s="70">
        <f>sum(Z102:Z108)</f>
        <v/>
      </c>
      <c r="AA101" s="70">
        <f>sum(AA102:AA108)</f>
        <v/>
      </c>
      <c r="AB101" s="70">
        <f>sum(AB102:AB108)</f>
        <v/>
      </c>
      <c r="AC101" s="70">
        <f>sum(AC102:AC108)</f>
        <v/>
      </c>
      <c r="AD101" s="70">
        <f>sum(AD102:AD108)</f>
        <v/>
      </c>
      <c r="AE101" s="70">
        <f>sum(AE102:AE108)</f>
        <v/>
      </c>
      <c r="AF101" s="71">
        <f>sum(AF102:AF108)</f>
        <v/>
      </c>
    </row>
    <row r="102">
      <c r="A102" s="68" t="inlineStr">
        <is>
          <t>Endulini &amp; Heron Fields_New Debenture_P/Block</t>
        </is>
      </c>
      <c r="B102" s="66" t="n"/>
      <c r="C102" s="66" t="n"/>
      <c r="D102" s="69">
        <f>+I102+K102+M102+O102+Q102+S102+U102+W102+Y102+AA102+AC102+AE102</f>
        <v/>
      </c>
      <c r="E102" s="66" t="n"/>
      <c r="F102" s="66" t="n"/>
      <c r="G102" s="66" t="n"/>
      <c r="H102" s="72">
        <f>SUMIFS(D7:D23,$A$7:$A$23,"&lt;&gt;"&amp;"Heron View")</f>
        <v/>
      </c>
      <c r="I102" s="73">
        <f>H102</f>
        <v/>
      </c>
      <c r="J102" s="73">
        <f>H102-I102</f>
        <v/>
      </c>
      <c r="K102" s="73">
        <f>J102</f>
        <v/>
      </c>
      <c r="L102" s="73">
        <f>J102-K102</f>
        <v/>
      </c>
      <c r="M102" s="73">
        <f>L102</f>
        <v/>
      </c>
      <c r="N102" s="73">
        <f>L102-M102</f>
        <v/>
      </c>
      <c r="O102" s="73">
        <f>N102</f>
        <v/>
      </c>
      <c r="P102" s="73">
        <f>N102-O102</f>
        <v/>
      </c>
      <c r="Q102" s="73">
        <f>P102</f>
        <v/>
      </c>
      <c r="R102" s="73">
        <f>P102-Q102</f>
        <v/>
      </c>
      <c r="S102" s="73">
        <f>R102</f>
        <v/>
      </c>
      <c r="T102" s="73">
        <f>R102-S102</f>
        <v/>
      </c>
      <c r="U102" s="73">
        <f>T102</f>
        <v/>
      </c>
      <c r="V102" s="73">
        <f>T102-U102</f>
        <v/>
      </c>
      <c r="W102" s="73">
        <f>V102</f>
        <v/>
      </c>
      <c r="X102" s="73">
        <f>V102-W102</f>
        <v/>
      </c>
      <c r="Y102" s="73">
        <f>X102</f>
        <v/>
      </c>
      <c r="Z102" s="73">
        <f>X102-Y102</f>
        <v/>
      </c>
      <c r="AA102" s="73">
        <f>Z102</f>
        <v/>
      </c>
      <c r="AB102" s="73">
        <f>Z102-AA102</f>
        <v/>
      </c>
      <c r="AC102" s="73">
        <f>AB102</f>
        <v/>
      </c>
      <c r="AD102" s="73">
        <f>AB102-AC102</f>
        <v/>
      </c>
      <c r="AE102" s="73">
        <f>AD102</f>
        <v/>
      </c>
      <c r="AF102" s="74" t="n"/>
    </row>
    <row r="103">
      <c r="A103" s="68" t="inlineStr">
        <is>
          <t>Vat _ Late</t>
        </is>
      </c>
      <c r="B103" s="66" t="n"/>
      <c r="C103" s="66" t="n"/>
      <c r="D103" s="69">
        <f>+I103+K103+M103+O103+Q103+S103+U103+W103+Y103+AA103+AC103+AE103</f>
        <v/>
      </c>
      <c r="E103" s="66" t="n"/>
      <c r="F103" s="66" t="n"/>
      <c r="G103" s="66" t="n"/>
      <c r="H103" s="70">
        <f>Dashboard!B16</f>
        <v/>
      </c>
      <c r="I103" s="73">
        <f>H103</f>
        <v/>
      </c>
      <c r="J103" s="73" t="n">
        <v>0</v>
      </c>
      <c r="K103" s="73">
        <f>J103</f>
        <v/>
      </c>
      <c r="L103" s="73" t="n">
        <v>0</v>
      </c>
      <c r="M103" s="73">
        <f>L103</f>
        <v/>
      </c>
      <c r="N103" s="73" t="n">
        <v>0</v>
      </c>
      <c r="O103" s="73">
        <f>N103</f>
        <v/>
      </c>
      <c r="P103" s="73" t="n">
        <v>0</v>
      </c>
      <c r="Q103" s="73">
        <f>P103</f>
        <v/>
      </c>
      <c r="R103" s="73" t="n">
        <v>0</v>
      </c>
      <c r="S103" s="73">
        <f>R103</f>
        <v/>
      </c>
      <c r="T103" s="73" t="n">
        <v>0</v>
      </c>
      <c r="U103" s="73">
        <f>T103</f>
        <v/>
      </c>
      <c r="V103" s="73" t="n">
        <v>0</v>
      </c>
      <c r="W103" s="73">
        <f>V103</f>
        <v/>
      </c>
      <c r="X103" s="73" t="n">
        <v>0</v>
      </c>
      <c r="Y103" s="73">
        <f>X103</f>
        <v/>
      </c>
      <c r="Z103" s="73" t="n">
        <v>0</v>
      </c>
      <c r="AA103" s="73">
        <f>Z103</f>
        <v/>
      </c>
      <c r="AB103" s="73" t="n">
        <v>0</v>
      </c>
      <c r="AC103" s="73">
        <f>AB103</f>
        <v/>
      </c>
      <c r="AD103" s="73" t="n">
        <v>0</v>
      </c>
      <c r="AE103" s="73">
        <f>AD103</f>
        <v/>
      </c>
      <c r="AF103" s="74" t="n"/>
    </row>
    <row r="104">
      <c r="A104" s="68" t="inlineStr">
        <is>
          <t>New Raise</t>
        </is>
      </c>
      <c r="B104" s="66" t="n"/>
      <c r="C104" s="66" t="n"/>
      <c r="D104" s="69">
        <f>+I104+K104+M104+O104+Q104+S104+U104+W104+Y104+AA104+AC104+AE104</f>
        <v/>
      </c>
      <c r="E104" s="66" t="n"/>
      <c r="F104" s="66" t="n"/>
      <c r="G104" s="66" t="n"/>
      <c r="H104" s="70">
        <f>Dashboard!B13</f>
        <v/>
      </c>
      <c r="I104" s="73">
        <f>H104</f>
        <v/>
      </c>
      <c r="J104" s="73" t="n">
        <v>0</v>
      </c>
      <c r="K104" s="73">
        <f>J104</f>
        <v/>
      </c>
      <c r="L104" s="73" t="n">
        <v>0</v>
      </c>
      <c r="M104" s="73">
        <f>L104</f>
        <v/>
      </c>
      <c r="N104" s="73" t="n">
        <v>0</v>
      </c>
      <c r="O104" s="73">
        <f>N104</f>
        <v/>
      </c>
      <c r="P104" s="73" t="n">
        <v>0</v>
      </c>
      <c r="Q104" s="73">
        <f>P104</f>
        <v/>
      </c>
      <c r="R104" s="73" t="n">
        <v>0</v>
      </c>
      <c r="S104" s="73">
        <f>R104</f>
        <v/>
      </c>
      <c r="T104" s="73" t="n">
        <v>0</v>
      </c>
      <c r="U104" s="73">
        <f>T104</f>
        <v/>
      </c>
      <c r="V104" s="73" t="n">
        <v>0</v>
      </c>
      <c r="W104" s="73">
        <f>V104</f>
        <v/>
      </c>
      <c r="X104" s="73" t="n">
        <v>0</v>
      </c>
      <c r="Y104" s="73">
        <f>X104</f>
        <v/>
      </c>
      <c r="Z104" s="73" t="n">
        <v>0</v>
      </c>
      <c r="AA104" s="73">
        <f>Z104</f>
        <v/>
      </c>
      <c r="AB104" s="73" t="n">
        <v>0</v>
      </c>
      <c r="AC104" s="73">
        <f>AB104</f>
        <v/>
      </c>
      <c r="AD104" s="73" t="n">
        <v>0</v>
      </c>
      <c r="AE104" s="73">
        <f>AD104</f>
        <v/>
      </c>
      <c r="AF104" s="74" t="n"/>
    </row>
    <row r="105">
      <c r="A105" s="68" t="inlineStr">
        <is>
          <t>Developer Early Exit</t>
        </is>
      </c>
      <c r="B105" s="66" t="n"/>
      <c r="C105" s="66" t="n"/>
      <c r="D105" s="69">
        <f>+I105+K105+M105+O105+Q105+S105+U105+W105+Y105+AA105+AC105+AE105</f>
        <v/>
      </c>
      <c r="E105" s="66" t="n"/>
      <c r="F105" s="66" t="n"/>
      <c r="G105" s="66" t="n"/>
      <c r="H105" s="73">
        <f>I41</f>
        <v/>
      </c>
      <c r="I105" s="73">
        <f>H105</f>
        <v/>
      </c>
      <c r="J105" s="73">
        <f>K41</f>
        <v/>
      </c>
      <c r="K105" s="73">
        <f>J105</f>
        <v/>
      </c>
      <c r="L105" s="73">
        <f>M41</f>
        <v/>
      </c>
      <c r="M105" s="73">
        <f>L105</f>
        <v/>
      </c>
      <c r="N105" s="73">
        <f>O41</f>
        <v/>
      </c>
      <c r="O105" s="73">
        <f>N105</f>
        <v/>
      </c>
      <c r="P105" s="73">
        <f>Q41</f>
        <v/>
      </c>
      <c r="Q105" s="73">
        <f>P105</f>
        <v/>
      </c>
      <c r="R105" s="73">
        <f>S41</f>
        <v/>
      </c>
      <c r="S105" s="73">
        <f>R105</f>
        <v/>
      </c>
      <c r="T105" s="73">
        <f>U41</f>
        <v/>
      </c>
      <c r="U105" s="73">
        <f>T105</f>
        <v/>
      </c>
      <c r="V105" s="73">
        <f>W41</f>
        <v/>
      </c>
      <c r="W105" s="73">
        <f>V105</f>
        <v/>
      </c>
      <c r="X105" s="73">
        <f>Y41</f>
        <v/>
      </c>
      <c r="Y105" s="73">
        <f>X105</f>
        <v/>
      </c>
      <c r="Z105" s="73">
        <f>AA41</f>
        <v/>
      </c>
      <c r="AA105" s="73">
        <f>Z105</f>
        <v/>
      </c>
      <c r="AB105" s="73">
        <f>AC41</f>
        <v/>
      </c>
      <c r="AC105" s="73">
        <f>AB105</f>
        <v/>
      </c>
      <c r="AD105" s="73">
        <f>AE41</f>
        <v/>
      </c>
      <c r="AE105" s="73">
        <f>AD105</f>
        <v/>
      </c>
      <c r="AF105" s="74" t="n"/>
    </row>
    <row r="106">
      <c r="A106" s="68" t="inlineStr">
        <is>
          <t>Early Exit Investor Roll Over funding</t>
        </is>
      </c>
      <c r="B106" s="66" t="n"/>
      <c r="C106" s="66" t="n"/>
      <c r="D106" s="69">
        <f>+I106+K106+M106+O106+Q106+S106+U106+W106+Y106+AA106+AC106+AE106</f>
        <v/>
      </c>
      <c r="E106" s="66" t="n"/>
      <c r="F106" s="66" t="n"/>
      <c r="G106" s="66" t="n"/>
      <c r="H106" s="73">
        <f>I39</f>
        <v/>
      </c>
      <c r="I106" s="73">
        <f>H106</f>
        <v/>
      </c>
      <c r="J106" s="73">
        <f>K39</f>
        <v/>
      </c>
      <c r="K106" s="73">
        <f>J106</f>
        <v/>
      </c>
      <c r="L106" s="73">
        <f>M39</f>
        <v/>
      </c>
      <c r="M106" s="73">
        <f>L106</f>
        <v/>
      </c>
      <c r="N106" s="73">
        <f>O39</f>
        <v/>
      </c>
      <c r="O106" s="73">
        <f>N106</f>
        <v/>
      </c>
      <c r="P106" s="73">
        <f>Q39</f>
        <v/>
      </c>
      <c r="Q106" s="73">
        <f>P106</f>
        <v/>
      </c>
      <c r="R106" s="73">
        <f>S39</f>
        <v/>
      </c>
      <c r="S106" s="73">
        <f>R106</f>
        <v/>
      </c>
      <c r="T106" s="73">
        <f>U39</f>
        <v/>
      </c>
      <c r="U106" s="73">
        <f>T106</f>
        <v/>
      </c>
      <c r="V106" s="73">
        <f>W39</f>
        <v/>
      </c>
      <c r="W106" s="73">
        <f>V106</f>
        <v/>
      </c>
      <c r="X106" s="73">
        <f>Y39</f>
        <v/>
      </c>
      <c r="Y106" s="73">
        <f>X106</f>
        <v/>
      </c>
      <c r="Z106" s="73">
        <f>AA39</f>
        <v/>
      </c>
      <c r="AA106" s="73">
        <f>Z106</f>
        <v/>
      </c>
      <c r="AB106" s="73">
        <f>AC39</f>
        <v/>
      </c>
      <c r="AC106" s="73">
        <f>AB106</f>
        <v/>
      </c>
      <c r="AD106" s="73">
        <f>AE39</f>
        <v/>
      </c>
      <c r="AE106" s="73">
        <f>AD106</f>
        <v/>
      </c>
      <c r="AF106" s="74" t="n"/>
    </row>
    <row r="107">
      <c r="A107" s="68" t="inlineStr">
        <is>
          <t>Developer Contribution</t>
        </is>
      </c>
      <c r="B107" s="66" t="n"/>
      <c r="C107" s="66" t="n"/>
      <c r="D107" s="69">
        <f>+I107+K107+M107+O107+Q107+S107+U107+W107+Y107+AA107+AC107+AE107</f>
        <v/>
      </c>
      <c r="E107" s="66" t="n"/>
      <c r="F107" s="66" t="n"/>
      <c r="G107" s="66" t="n"/>
      <c r="H107" s="73">
        <f>-I157</f>
        <v/>
      </c>
      <c r="I107" s="73">
        <f>H107</f>
        <v/>
      </c>
      <c r="J107" s="73">
        <f>-K157</f>
        <v/>
      </c>
      <c r="K107" s="73">
        <f>J107</f>
        <v/>
      </c>
      <c r="L107" s="73">
        <f>-M157</f>
        <v/>
      </c>
      <c r="M107" s="73">
        <f>L107</f>
        <v/>
      </c>
      <c r="N107" s="73">
        <f>-O157</f>
        <v/>
      </c>
      <c r="O107" s="73">
        <f>N107</f>
        <v/>
      </c>
      <c r="P107" s="73">
        <f>-Q157</f>
        <v/>
      </c>
      <c r="Q107" s="73">
        <f>P107</f>
        <v/>
      </c>
      <c r="R107" s="73">
        <f>-S157</f>
        <v/>
      </c>
      <c r="S107" s="73">
        <f>R107</f>
        <v/>
      </c>
      <c r="T107" s="73">
        <f>-U157</f>
        <v/>
      </c>
      <c r="U107" s="73">
        <f>T107</f>
        <v/>
      </c>
      <c r="V107" s="73">
        <f>-W157</f>
        <v/>
      </c>
      <c r="W107" s="73">
        <f>V107</f>
        <v/>
      </c>
      <c r="X107" s="73">
        <f>-Y157</f>
        <v/>
      </c>
      <c r="Y107" s="73">
        <f>X107</f>
        <v/>
      </c>
      <c r="Z107" s="73">
        <f>-AA157</f>
        <v/>
      </c>
      <c r="AA107" s="73">
        <f>Z107</f>
        <v/>
      </c>
      <c r="AB107" s="73">
        <f>-AC157</f>
        <v/>
      </c>
      <c r="AC107" s="73">
        <f>AB107</f>
        <v/>
      </c>
      <c r="AD107" s="73">
        <f>-AE157</f>
        <v/>
      </c>
      <c r="AE107" s="73">
        <f>AD107</f>
        <v/>
      </c>
      <c r="AF107" s="74" t="n"/>
    </row>
    <row r="108">
      <c r="A108" s="68" t="inlineStr">
        <is>
          <t>Cash</t>
        </is>
      </c>
      <c r="B108" s="66" t="n"/>
      <c r="C108" s="66" t="n"/>
      <c r="D108" s="69">
        <f>+I108+K108+M108+O108+Q108+S108+U108+W108+Y108+AA108+AC108+AE108</f>
        <v/>
      </c>
      <c r="E108" s="66" t="n"/>
      <c r="F108" s="66" t="n"/>
      <c r="G108" s="66" t="n"/>
      <c r="H108" s="73">
        <f>Dashboard!B14</f>
        <v/>
      </c>
      <c r="I108" s="73">
        <f>H108</f>
        <v/>
      </c>
      <c r="J108" s="73">
        <f>I115</f>
        <v/>
      </c>
      <c r="K108" s="73">
        <f>J108</f>
        <v/>
      </c>
      <c r="L108" s="73">
        <f>K115</f>
        <v/>
      </c>
      <c r="M108" s="73">
        <f>L108</f>
        <v/>
      </c>
      <c r="N108" s="73">
        <f>M115</f>
        <v/>
      </c>
      <c r="O108" s="73">
        <f>N108</f>
        <v/>
      </c>
      <c r="P108" s="73">
        <f>O115</f>
        <v/>
      </c>
      <c r="Q108" s="73">
        <f>P108</f>
        <v/>
      </c>
      <c r="R108" s="73">
        <f>Q115</f>
        <v/>
      </c>
      <c r="S108" s="73">
        <f>R108</f>
        <v/>
      </c>
      <c r="T108" s="73">
        <f>S115</f>
        <v/>
      </c>
      <c r="U108" s="73">
        <f>T108</f>
        <v/>
      </c>
      <c r="V108" s="73">
        <f>U115</f>
        <v/>
      </c>
      <c r="W108" s="73">
        <f>V108</f>
        <v/>
      </c>
      <c r="X108" s="73">
        <f>W115</f>
        <v/>
      </c>
      <c r="Y108" s="73">
        <f>X108</f>
        <v/>
      </c>
      <c r="Z108" s="73">
        <f>Y115</f>
        <v/>
      </c>
      <c r="AA108" s="73">
        <f>Z108</f>
        <v/>
      </c>
      <c r="AB108" s="73">
        <f>AA115</f>
        <v/>
      </c>
      <c r="AC108" s="73">
        <f>AB108</f>
        <v/>
      </c>
      <c r="AD108" s="73">
        <f>AC115</f>
        <v/>
      </c>
      <c r="AE108" s="73">
        <f>AD108</f>
        <v/>
      </c>
      <c r="AF108" s="74" t="n"/>
    </row>
    <row r="109">
      <c r="A109" s="68" t="inlineStr">
        <is>
          <t>Sales Income</t>
        </is>
      </c>
      <c r="B109" s="66" t="n"/>
      <c r="C109" s="66" t="n"/>
      <c r="D109" s="69">
        <f>+I109+K109+M109+O109+Q109+S109+U109+W109+Y109+AA109+AC109+AE109</f>
        <v/>
      </c>
      <c r="E109" s="66" t="n"/>
      <c r="F109" s="66" t="n"/>
      <c r="G109" s="66" t="n"/>
      <c r="H109" s="73">
        <f>SUMIFS(I7:I23,$A$7:$A$23,"Heron View")</f>
        <v/>
      </c>
      <c r="I109" s="73">
        <f>H109</f>
        <v/>
      </c>
      <c r="J109" s="73">
        <f>SUMIFS(K7:K23,$A$7:$A$23,"Heron View")</f>
        <v/>
      </c>
      <c r="K109" s="73">
        <f>J109</f>
        <v/>
      </c>
      <c r="L109" s="73">
        <f>SUMIFS(M7:M23,$A$7:$A$23,"Heron View")</f>
        <v/>
      </c>
      <c r="M109" s="73">
        <f>L109</f>
        <v/>
      </c>
      <c r="N109" s="73">
        <f>SUMIFS(O7:O23,$A$7:$A$23,"Heron View")</f>
        <v/>
      </c>
      <c r="O109" s="73">
        <f>N109</f>
        <v/>
      </c>
      <c r="P109" s="73">
        <f>SUMIFS(Q7:Q23,$A$7:$A$23,"Heron View")</f>
        <v/>
      </c>
      <c r="Q109" s="73">
        <f>P109</f>
        <v/>
      </c>
      <c r="R109" s="73">
        <f>SUMIFS(S7:S23,$A$7:$A$23,"Heron View")</f>
        <v/>
      </c>
      <c r="S109" s="73">
        <f>R109</f>
        <v/>
      </c>
      <c r="T109" s="73">
        <f>SUMIFS(U7:U23,$A$7:$A$23,"Heron View")</f>
        <v/>
      </c>
      <c r="U109" s="73">
        <f>T109</f>
        <v/>
      </c>
      <c r="V109" s="73">
        <f>SUMIFS(W7:W23,$A$7:$A$23,"Heron View")</f>
        <v/>
      </c>
      <c r="W109" s="73">
        <f>V109</f>
        <v/>
      </c>
      <c r="X109" s="73">
        <f>SUMIFS(Y7:Y23,$A$7:$A$23,"Heron View")</f>
        <v/>
      </c>
      <c r="Y109" s="73">
        <f>X109</f>
        <v/>
      </c>
      <c r="Z109" s="73">
        <f>SUMIFS(AA7:AA23,$A$7:$A$23,"Heron View")</f>
        <v/>
      </c>
      <c r="AA109" s="73">
        <f>Z109</f>
        <v/>
      </c>
      <c r="AB109" s="73">
        <f>SUMIFS(AC7:AC23,$A$7:$A$23,"Heron View")</f>
        <v/>
      </c>
      <c r="AC109" s="73">
        <f>AB109</f>
        <v/>
      </c>
      <c r="AD109" s="73">
        <f>SUMIFS(AE7:AE23,$A$7:$A$23,"Heron View")</f>
        <v/>
      </c>
      <c r="AE109" s="73">
        <f>AD109</f>
        <v/>
      </c>
      <c r="AF109" s="74" t="n"/>
    </row>
    <row r="110">
      <c r="A110" s="68" t="inlineStr">
        <is>
          <t>New Investor Income</t>
        </is>
      </c>
      <c r="B110" s="66" t="n"/>
      <c r="C110" s="66" t="n"/>
      <c r="D110" s="69">
        <f>+I110+K110+M110+O110+Q110+S110+U110+W110+Y110+AA110+AC110+AE110</f>
        <v/>
      </c>
      <c r="E110" s="66" t="n"/>
      <c r="F110" s="66" t="n"/>
      <c r="G110" s="66" t="n"/>
      <c r="H110" s="73">
        <f>I42</f>
        <v/>
      </c>
      <c r="I110" s="73">
        <f>H110</f>
        <v/>
      </c>
      <c r="J110" s="73">
        <f>K42</f>
        <v/>
      </c>
      <c r="K110" s="73">
        <f>J110</f>
        <v/>
      </c>
      <c r="L110" s="73">
        <f>M42</f>
        <v/>
      </c>
      <c r="M110" s="73">
        <f>L110</f>
        <v/>
      </c>
      <c r="N110" s="73">
        <f>O42</f>
        <v/>
      </c>
      <c r="O110" s="73">
        <f>N110</f>
        <v/>
      </c>
      <c r="P110" s="73">
        <f>Q42</f>
        <v/>
      </c>
      <c r="Q110" s="73">
        <f>P110</f>
        <v/>
      </c>
      <c r="R110" s="73">
        <f>S42</f>
        <v/>
      </c>
      <c r="S110" s="73">
        <f>R110</f>
        <v/>
      </c>
      <c r="T110" s="73">
        <f>U42</f>
        <v/>
      </c>
      <c r="U110" s="73">
        <f>T110</f>
        <v/>
      </c>
      <c r="V110" s="73">
        <f>W42</f>
        <v/>
      </c>
      <c r="W110" s="73">
        <f>V110</f>
        <v/>
      </c>
      <c r="X110" s="73">
        <f>Y42</f>
        <v/>
      </c>
      <c r="Y110" s="73">
        <f>X110</f>
        <v/>
      </c>
      <c r="Z110" s="73">
        <f>AA42</f>
        <v/>
      </c>
      <c r="AA110" s="73">
        <f>Z110</f>
        <v/>
      </c>
      <c r="AB110" s="73">
        <f>AC42</f>
        <v/>
      </c>
      <c r="AC110" s="73">
        <f>AB110</f>
        <v/>
      </c>
      <c r="AD110" s="73">
        <f>AE42</f>
        <v/>
      </c>
      <c r="AE110" s="73">
        <f>AD110</f>
        <v/>
      </c>
      <c r="AF110" s="74" t="n"/>
    </row>
    <row r="111">
      <c r="A111" s="68" t="inlineStr">
        <is>
          <t>Momentum &amp; Deposits &amp; VAT &amp; Other</t>
        </is>
      </c>
      <c r="B111" s="66" t="n"/>
      <c r="C111" s="66" t="n"/>
      <c r="D111" s="69">
        <f>+I111+K111+M111+O111+Q111+S111+U111+W111+Y111+AA111+AC111+AE111</f>
        <v/>
      </c>
      <c r="E111" s="66" t="n"/>
      <c r="F111" s="66" t="n"/>
      <c r="G111" s="66" t="n"/>
      <c r="H111" s="73">
        <f>I26+I96+I66</f>
        <v/>
      </c>
      <c r="I111" s="73">
        <f>H111</f>
        <v/>
      </c>
      <c r="J111" s="73">
        <f>K26+K96+K66</f>
        <v/>
      </c>
      <c r="K111" s="73">
        <f>J111</f>
        <v/>
      </c>
      <c r="L111" s="73">
        <f>M26+M96+M66</f>
        <v/>
      </c>
      <c r="M111" s="73">
        <f>L111</f>
        <v/>
      </c>
      <c r="N111" s="73">
        <f>O26+O96+O66</f>
        <v/>
      </c>
      <c r="O111" s="73">
        <f>N111</f>
        <v/>
      </c>
      <c r="P111" s="73">
        <f>Q26+Q96+Q66</f>
        <v/>
      </c>
      <c r="Q111" s="73">
        <f>P111</f>
        <v/>
      </c>
      <c r="R111" s="73">
        <f>S26+S96+S66</f>
        <v/>
      </c>
      <c r="S111" s="73">
        <f>R111</f>
        <v/>
      </c>
      <c r="T111" s="73">
        <f>U26+U96+U66</f>
        <v/>
      </c>
      <c r="U111" s="73">
        <f>T111</f>
        <v/>
      </c>
      <c r="V111" s="73">
        <f>W26+W96+W66</f>
        <v/>
      </c>
      <c r="W111" s="73">
        <f>V111</f>
        <v/>
      </c>
      <c r="X111" s="73">
        <f>Y26+Y96+Y66</f>
        <v/>
      </c>
      <c r="Y111" s="73">
        <f>X111</f>
        <v/>
      </c>
      <c r="Z111" s="73">
        <f>AA26+AA96+AA66</f>
        <v/>
      </c>
      <c r="AA111" s="73">
        <f>Z111</f>
        <v/>
      </c>
      <c r="AB111" s="73">
        <f>AC26+AC96+AC66</f>
        <v/>
      </c>
      <c r="AC111" s="73">
        <f>AB111</f>
        <v/>
      </c>
      <c r="AD111" s="73">
        <f>AE26+AE96+AE66</f>
        <v/>
      </c>
      <c r="AE111" s="73">
        <f>AD111</f>
        <v/>
      </c>
      <c r="AF111" s="74" t="n"/>
    </row>
    <row r="112">
      <c r="A112" s="68" t="inlineStr"/>
      <c r="B112" s="66" t="n"/>
      <c r="C112" s="66" t="n"/>
      <c r="D112" s="69">
        <f>+I112+K112+M112+O112+Q112+S112+U112+W112+Y112+AA112+AC112+AE112</f>
        <v/>
      </c>
      <c r="E112" s="66" t="n"/>
      <c r="F112" s="66" t="n"/>
      <c r="G112" s="66" t="n"/>
      <c r="H112" s="73">
        <f>I112-I46</f>
        <v/>
      </c>
      <c r="I112" s="73">
        <f>sum(I102:I111)</f>
        <v/>
      </c>
      <c r="J112" s="73">
        <f>K112-K46</f>
        <v/>
      </c>
      <c r="K112" s="73">
        <f>sum(K102:K111)</f>
        <v/>
      </c>
      <c r="L112" s="73">
        <f>M112-M46</f>
        <v/>
      </c>
      <c r="M112" s="73">
        <f>sum(M102:M111)</f>
        <v/>
      </c>
      <c r="N112" s="73">
        <f>O112-O46</f>
        <v/>
      </c>
      <c r="O112" s="73">
        <f>sum(O102:O111)</f>
        <v/>
      </c>
      <c r="P112" s="73">
        <f>Q112-Q46</f>
        <v/>
      </c>
      <c r="Q112" s="73">
        <f>sum(Q102:Q111)</f>
        <v/>
      </c>
      <c r="R112" s="73">
        <f>S112-S46</f>
        <v/>
      </c>
      <c r="S112" s="73">
        <f>sum(S102:S111)</f>
        <v/>
      </c>
      <c r="T112" s="73">
        <f>U112-U46</f>
        <v/>
      </c>
      <c r="U112" s="73">
        <f>sum(U102:U111)</f>
        <v/>
      </c>
      <c r="V112" s="73">
        <f>W112-W46</f>
        <v/>
      </c>
      <c r="W112" s="73">
        <f>sum(W102:W111)</f>
        <v/>
      </c>
      <c r="X112" s="73">
        <f>Y112-Y46</f>
        <v/>
      </c>
      <c r="Y112" s="73">
        <f>sum(Y102:Y111)</f>
        <v/>
      </c>
      <c r="Z112" s="73">
        <f>AA112-AA46</f>
        <v/>
      </c>
      <c r="AA112" s="73">
        <f>sum(AA102:AA111)</f>
        <v/>
      </c>
      <c r="AB112" s="73">
        <f>AC112-AC46</f>
        <v/>
      </c>
      <c r="AC112" s="73">
        <f>sum(AC102:AC111)</f>
        <v/>
      </c>
      <c r="AD112" s="73">
        <f>AE112-AE46</f>
        <v/>
      </c>
      <c r="AE112" s="73">
        <f>sum(AE102:AE111)</f>
        <v/>
      </c>
      <c r="AF112" s="74" t="n"/>
    </row>
    <row r="113">
      <c r="A113" s="68" t="inlineStr">
        <is>
          <t>CPC + Operating Expenses &amp; VAT on Cycle</t>
        </is>
      </c>
      <c r="B113" s="66" t="n"/>
      <c r="C113" s="66" t="n"/>
      <c r="D113" s="69">
        <f>+I113+K113+M113+O113+Q113+S113+U113+W113+Y113+AA113+AC113+AE113</f>
        <v/>
      </c>
      <c r="E113" s="66" t="n"/>
      <c r="F113" s="66" t="n"/>
      <c r="G113" s="66" t="n"/>
      <c r="H113" s="73" t="n"/>
      <c r="I113" s="73">
        <f>I70</f>
        <v/>
      </c>
      <c r="J113" s="73" t="n"/>
      <c r="K113" s="73">
        <f>K70</f>
        <v/>
      </c>
      <c r="L113" s="73" t="n"/>
      <c r="M113" s="73">
        <f>M70</f>
        <v/>
      </c>
      <c r="N113" s="73" t="n"/>
      <c r="O113" s="73">
        <f>O70</f>
        <v/>
      </c>
      <c r="P113" s="73" t="n"/>
      <c r="Q113" s="73">
        <f>Q70</f>
        <v/>
      </c>
      <c r="R113" s="73" t="n"/>
      <c r="S113" s="73">
        <f>S70</f>
        <v/>
      </c>
      <c r="T113" s="73" t="n"/>
      <c r="U113" s="73">
        <f>U70</f>
        <v/>
      </c>
      <c r="V113" s="73" t="n"/>
      <c r="W113" s="73">
        <f>W70</f>
        <v/>
      </c>
      <c r="X113" s="73" t="n"/>
      <c r="Y113" s="73">
        <f>Y70</f>
        <v/>
      </c>
      <c r="Z113" s="73" t="n"/>
      <c r="AA113" s="73">
        <f>AA70</f>
        <v/>
      </c>
      <c r="AB113" s="73" t="n"/>
      <c r="AC113" s="73">
        <f>AC70</f>
        <v/>
      </c>
      <c r="AD113" s="73" t="n"/>
      <c r="AE113" s="73">
        <f>AE70</f>
        <v/>
      </c>
      <c r="AF113" s="74" t="n"/>
    </row>
    <row r="114">
      <c r="A114" s="68" t="inlineStr"/>
      <c r="B114" s="66" t="n"/>
      <c r="C114" s="66" t="n"/>
      <c r="D114" s="69">
        <f>+I114+K114+M114+O114+Q114+S114+U114+W114+Y114+AA114+AC114+AE114</f>
        <v/>
      </c>
      <c r="E114" s="66" t="n"/>
      <c r="F114" s="66" t="n"/>
      <c r="G114" s="66" t="n"/>
      <c r="H114" s="73" t="n"/>
      <c r="I114" s="73" t="n"/>
      <c r="J114" s="73" t="n"/>
      <c r="K114" s="73" t="n"/>
      <c r="L114" s="73" t="n"/>
      <c r="M114" s="73" t="n"/>
      <c r="N114" s="73" t="n"/>
      <c r="O114" s="73" t="n"/>
      <c r="P114" s="73" t="n"/>
      <c r="Q114" s="73" t="n"/>
      <c r="R114" s="73" t="n"/>
      <c r="S114" s="73" t="n"/>
      <c r="T114" s="73" t="n"/>
      <c r="U114" s="73" t="n"/>
      <c r="V114" s="73" t="n"/>
      <c r="W114" s="73" t="n"/>
      <c r="X114" s="73" t="n"/>
      <c r="Y114" s="73" t="n"/>
      <c r="Z114" s="73" t="n"/>
      <c r="AA114" s="73" t="n"/>
      <c r="AB114" s="73" t="n"/>
      <c r="AC114" s="73" t="n"/>
      <c r="AD114" s="73" t="n"/>
      <c r="AE114" s="73" t="n"/>
      <c r="AF114" s="74" t="n"/>
    </row>
    <row r="115">
      <c r="A115" s="68" t="inlineStr"/>
      <c r="B115" s="66" t="n"/>
      <c r="C115" s="66" t="n"/>
      <c r="D115" s="69">
        <f>+I115+K115+M115+O115+Q115+S115+U115+W115+Y115+AA115+AC115+AE115</f>
        <v/>
      </c>
      <c r="E115" s="66" t="n"/>
      <c r="F115" s="66" t="n"/>
      <c r="G115" s="66" t="n"/>
      <c r="H115" s="73">
        <f>I115-I72</f>
        <v/>
      </c>
      <c r="I115" s="73">
        <f>I112+I113</f>
        <v/>
      </c>
      <c r="J115" s="73">
        <f>K115-K72</f>
        <v/>
      </c>
      <c r="K115" s="73">
        <f>K112+K113</f>
        <v/>
      </c>
      <c r="L115" s="73">
        <f>M115-M72</f>
        <v/>
      </c>
      <c r="M115" s="73">
        <f>M112+M113</f>
        <v/>
      </c>
      <c r="N115" s="73">
        <f>O115-O72</f>
        <v/>
      </c>
      <c r="O115" s="73">
        <f>O112+O113</f>
        <v/>
      </c>
      <c r="P115" s="73">
        <f>Q115-Q72</f>
        <v/>
      </c>
      <c r="Q115" s="73">
        <f>Q112+Q113</f>
        <v/>
      </c>
      <c r="R115" s="73">
        <f>S115-S72</f>
        <v/>
      </c>
      <c r="S115" s="73">
        <f>S112+S113</f>
        <v/>
      </c>
      <c r="T115" s="73">
        <f>U115-U72</f>
        <v/>
      </c>
      <c r="U115" s="73">
        <f>U112+U113</f>
        <v/>
      </c>
      <c r="V115" s="73">
        <f>W115-W72</f>
        <v/>
      </c>
      <c r="W115" s="73">
        <f>W112+W113</f>
        <v/>
      </c>
      <c r="X115" s="73">
        <f>Y115-Y72</f>
        <v/>
      </c>
      <c r="Y115" s="73">
        <f>Y112+Y113</f>
        <v/>
      </c>
      <c r="Z115" s="73">
        <f>AA115-AA72</f>
        <v/>
      </c>
      <c r="AA115" s="73">
        <f>AA112+AA113</f>
        <v/>
      </c>
      <c r="AB115" s="73">
        <f>AC115-AC72</f>
        <v/>
      </c>
      <c r="AC115" s="73">
        <f>AC112+AC113</f>
        <v/>
      </c>
      <c r="AD115" s="73">
        <f>AE115-AE72</f>
        <v/>
      </c>
      <c r="AE115" s="73">
        <f>AE112+AE113</f>
        <v/>
      </c>
      <c r="AF115" s="74" t="n"/>
    </row>
    <row r="116">
      <c r="A116" s="18" t="n"/>
      <c r="AF116" s="19" t="n"/>
    </row>
    <row r="117">
      <c r="A117" s="75" t="inlineStr">
        <is>
          <t>DEVELOPER REFINANCE PROPERTIES</t>
        </is>
      </c>
      <c r="E117" s="76">
        <f>+J117+L117+N117+P117+R117+T117+V117+X117+Z117+AB117+AD117+AF117</f>
        <v/>
      </c>
      <c r="F117" s="69">
        <f>+I117+K117+M117+O117+Q117+S117+U117+W117+Y117+AA117+AC117+AE117</f>
        <v/>
      </c>
      <c r="H117" s="64">
        <f>COUNTA(H118:H151)</f>
        <v/>
      </c>
      <c r="I117" s="64">
        <f>-SUM(I118:I151)</f>
        <v/>
      </c>
      <c r="J117" s="56">
        <f>COUNTA(J118:J151)</f>
        <v/>
      </c>
      <c r="K117" s="56">
        <f>-SUM(K118:K151)</f>
        <v/>
      </c>
      <c r="L117" s="56">
        <f>COUNTA(L118:L151)</f>
        <v/>
      </c>
      <c r="M117" s="56">
        <f>-SUM(M118:M151)</f>
        <v/>
      </c>
      <c r="N117" s="56">
        <f>COUNTA(N118:N151)</f>
        <v/>
      </c>
      <c r="O117" s="56">
        <f>-SUM(O118:O151)</f>
        <v/>
      </c>
      <c r="P117" s="56">
        <f>COUNTA(P118:P151)</f>
        <v/>
      </c>
      <c r="Q117" s="56">
        <f>-SUM(Q118:Q151)</f>
        <v/>
      </c>
      <c r="R117" s="56">
        <f>COUNTA(R118:R151)</f>
        <v/>
      </c>
      <c r="S117" s="56">
        <f>-SUM(S118:S151)</f>
        <v/>
      </c>
      <c r="T117" s="56">
        <f>COUNTA(T118:T151)</f>
        <v/>
      </c>
      <c r="U117" s="56">
        <f>-SUM(U118:U151)</f>
        <v/>
      </c>
      <c r="V117" s="56">
        <f>COUNTA(V118:V151)</f>
        <v/>
      </c>
      <c r="W117" s="56">
        <f>-SUM(W118:W151)</f>
        <v/>
      </c>
      <c r="X117" s="56">
        <f>COUNTA(X118:X151)</f>
        <v/>
      </c>
      <c r="Y117" s="56">
        <f>-SUM(Y118:Y151)</f>
        <v/>
      </c>
      <c r="Z117" s="56">
        <f>COUNTA(Z118:Z151)</f>
        <v/>
      </c>
      <c r="AA117" s="56">
        <f>-SUM(AA118:AA151)</f>
        <v/>
      </c>
      <c r="AB117" s="56">
        <f>COUNTA(AB118:AB151)</f>
        <v/>
      </c>
      <c r="AC117" s="56">
        <f>-SUM(AC118:AC151)</f>
        <v/>
      </c>
      <c r="AD117" s="56">
        <f>COUNTA(AD118:AD151)</f>
        <v/>
      </c>
      <c r="AE117" s="56">
        <f>-SUM(AE118:AE151)</f>
        <v/>
      </c>
      <c r="AF117" s="57">
        <f>COUNTA(AF118:AF151)</f>
        <v/>
      </c>
    </row>
    <row r="118">
      <c r="A118" s="18" t="inlineStr"/>
      <c r="E118" s="14">
        <f>SUM(E119:E151)-E117</f>
        <v/>
      </c>
      <c r="H118" s="64" t="n"/>
      <c r="AF118" s="19" t="n"/>
    </row>
    <row r="119">
      <c r="A119" s="18" t="inlineStr"/>
      <c r="B119" t="inlineStr"/>
      <c r="C119" s="77">
        <f>IF(H119&lt;&gt;"",I$5,IF(J119&lt;&gt;"",K$5,IF(L119&lt;&gt;"",M$5,IF(N119&lt;&gt;"",O$5,IF(P119&lt;&gt;"",Q$5,IF(R119&lt;&gt;"",S$5,IF(T119&lt;&gt;"",U$5,IF(V119&lt;&gt;"",W$5,IF(X119&lt;&gt;"",Y$5,IF(Z119&lt;&gt;"",AA$5,IF(AB119&lt;&gt;"",AC$5,IF(AD119&lt;&gt;"",AE$5,""))))))))))))</f>
        <v/>
      </c>
      <c r="D119" s="78" t="inlineStr">
        <is>
          <t>HVD302</t>
        </is>
      </c>
      <c r="E119" s="59">
        <f>IF(F119&lt;&gt;0,1,0)</f>
        <v/>
      </c>
      <c r="F119" s="69">
        <f>+I119+K119+M119+O119+Q119+S119+U119+W119+Y119+AA119+AC119+AE119</f>
        <v/>
      </c>
      <c r="H119" s="64" t="n"/>
      <c r="I119" s="56">
        <f>SUMIFS('Investor Exit List'!$Q:$Q, 'Investor Exit List'!$C:$C, 'Cashflow Projection'!H119)</f>
        <v/>
      </c>
      <c r="J119" s="79" t="n"/>
      <c r="K119" s="56">
        <f>SUMIFS('Investor Exit List'!$Q:$Q, 'Investor Exit List'!$C:$C, 'Cashflow Projection'!J119)</f>
        <v/>
      </c>
      <c r="L119" s="79" t="n"/>
      <c r="M119" s="56">
        <f>SUMIFS('Investor Exit List'!$Q:$Q, 'Investor Exit List'!$C:$C, 'Cashflow Projection'!L119)</f>
        <v/>
      </c>
      <c r="N119" s="79" t="n"/>
      <c r="O119" s="56">
        <f>SUMIFS('Investor Exit List'!$Q:$Q, 'Investor Exit List'!$C:$C, 'Cashflow Projection'!N119)</f>
        <v/>
      </c>
      <c r="P119" s="79" t="n"/>
      <c r="Q119" s="56">
        <f>SUMIFS('Investor Exit List'!$Q:$Q, 'Investor Exit List'!$C:$C, 'Cashflow Projection'!P119)</f>
        <v/>
      </c>
      <c r="R119" s="79" t="n"/>
      <c r="S119" s="56">
        <f>SUMIFS('Investor Exit List'!$Q:$Q, 'Investor Exit List'!$C:$C, 'Cashflow Projection'!R119)</f>
        <v/>
      </c>
      <c r="T119" s="79" t="n"/>
      <c r="U119" s="56">
        <f>SUMIFS('Investor Exit List'!$Q:$Q, 'Investor Exit List'!$C:$C, 'Cashflow Projection'!T119)</f>
        <v/>
      </c>
      <c r="V119" s="79" t="n"/>
      <c r="W119" s="56">
        <f>SUMIFS('Investor Exit List'!$Q:$Q, 'Investor Exit List'!$C:$C, 'Cashflow Projection'!V119)</f>
        <v/>
      </c>
      <c r="X119" s="79" t="n"/>
      <c r="Y119" s="56">
        <f>SUMIFS('Investor Exit List'!$Q:$Q, 'Investor Exit List'!$C:$C, 'Cashflow Projection'!X119)</f>
        <v/>
      </c>
      <c r="Z119" s="79" t="n"/>
      <c r="AA119" s="56">
        <f>SUMIFS('Investor Exit List'!$Q:$Q, 'Investor Exit List'!$C:$C, 'Cashflow Projection'!Z119)</f>
        <v/>
      </c>
      <c r="AB119" s="79" t="n"/>
      <c r="AC119" s="56">
        <f>SUMIFS('Investor Exit List'!$Q:$Q, 'Investor Exit List'!$C:$C, 'Cashflow Projection'!AB119)</f>
        <v/>
      </c>
      <c r="AD119" s="79" t="n"/>
      <c r="AE119" s="56">
        <f>SUMIFS('Investor Exit List'!$Q:$Q, 'Investor Exit List'!$C:$C, 'Cashflow Projection'!AD119)</f>
        <v/>
      </c>
      <c r="AF119" s="80" t="n"/>
    </row>
    <row r="120">
      <c r="A120" s="18" t="inlineStr"/>
      <c r="B120" t="inlineStr"/>
      <c r="C120" s="77">
        <f>IF(H120&lt;&gt;"",I$5,IF(J120&lt;&gt;"",K$5,IF(L120&lt;&gt;"",M$5,IF(N120&lt;&gt;"",O$5,IF(P120&lt;&gt;"",Q$5,IF(R120&lt;&gt;"",S$5,IF(T120&lt;&gt;"",U$5,IF(V120&lt;&gt;"",W$5,IF(X120&lt;&gt;"",Y$5,IF(Z120&lt;&gt;"",AA$5,IF(AB120&lt;&gt;"",AC$5,IF(AD120&lt;&gt;"",AE$5,""))))))))))))</f>
        <v/>
      </c>
      <c r="D120" s="78" t="inlineStr">
        <is>
          <t>HVD303</t>
        </is>
      </c>
      <c r="E120" s="59">
        <f>IF(F120&lt;&gt;0,1,0)</f>
        <v/>
      </c>
      <c r="F120" s="69">
        <f>+I120+K120+M120+O120+Q120+S120+U120+W120+Y120+AA120+AC120+AE120</f>
        <v/>
      </c>
      <c r="H120" s="64" t="n"/>
      <c r="I120" s="56">
        <f>SUMIFS('Investor Exit List'!$Q:$Q, 'Investor Exit List'!$C:$C, 'Cashflow Projection'!H120)</f>
        <v/>
      </c>
      <c r="J120" s="79" t="n"/>
      <c r="K120" s="56">
        <f>SUMIFS('Investor Exit List'!$Q:$Q, 'Investor Exit List'!$C:$C, 'Cashflow Projection'!J120)</f>
        <v/>
      </c>
      <c r="L120" s="79" t="n"/>
      <c r="M120" s="56">
        <f>SUMIFS('Investor Exit List'!$Q:$Q, 'Investor Exit List'!$C:$C, 'Cashflow Projection'!L120)</f>
        <v/>
      </c>
      <c r="N120" s="79" t="n"/>
      <c r="O120" s="56">
        <f>SUMIFS('Investor Exit List'!$Q:$Q, 'Investor Exit List'!$C:$C, 'Cashflow Projection'!N120)</f>
        <v/>
      </c>
      <c r="P120" s="79" t="n"/>
      <c r="Q120" s="56">
        <f>SUMIFS('Investor Exit List'!$Q:$Q, 'Investor Exit List'!$C:$C, 'Cashflow Projection'!P120)</f>
        <v/>
      </c>
      <c r="R120" s="79" t="n"/>
      <c r="S120" s="56">
        <f>SUMIFS('Investor Exit List'!$Q:$Q, 'Investor Exit List'!$C:$C, 'Cashflow Projection'!R120)</f>
        <v/>
      </c>
      <c r="T120" s="79" t="n"/>
      <c r="U120" s="56">
        <f>SUMIFS('Investor Exit List'!$Q:$Q, 'Investor Exit List'!$C:$C, 'Cashflow Projection'!T120)</f>
        <v/>
      </c>
      <c r="V120" s="79" t="n"/>
      <c r="W120" s="56">
        <f>SUMIFS('Investor Exit List'!$Q:$Q, 'Investor Exit List'!$C:$C, 'Cashflow Projection'!V120)</f>
        <v/>
      </c>
      <c r="X120" s="79" t="n"/>
      <c r="Y120" s="56">
        <f>SUMIFS('Investor Exit List'!$Q:$Q, 'Investor Exit List'!$C:$C, 'Cashflow Projection'!X120)</f>
        <v/>
      </c>
      <c r="Z120" s="79" t="n"/>
      <c r="AA120" s="56">
        <f>SUMIFS('Investor Exit List'!$Q:$Q, 'Investor Exit List'!$C:$C, 'Cashflow Projection'!Z120)</f>
        <v/>
      </c>
      <c r="AB120" s="79" t="n"/>
      <c r="AC120" s="56">
        <f>SUMIFS('Investor Exit List'!$Q:$Q, 'Investor Exit List'!$C:$C, 'Cashflow Projection'!AB120)</f>
        <v/>
      </c>
      <c r="AD120" s="79" t="n"/>
      <c r="AE120" s="56">
        <f>SUMIFS('Investor Exit List'!$Q:$Q, 'Investor Exit List'!$C:$C, 'Cashflow Projection'!AD120)</f>
        <v/>
      </c>
      <c r="AF120" s="80" t="n"/>
    </row>
    <row r="121">
      <c r="A121" s="18" t="inlineStr"/>
      <c r="B121" t="inlineStr"/>
      <c r="C121" s="77">
        <f>IF(H121&lt;&gt;"",I$5,IF(J121&lt;&gt;"",K$5,IF(L121&lt;&gt;"",M$5,IF(N121&lt;&gt;"",O$5,IF(P121&lt;&gt;"",Q$5,IF(R121&lt;&gt;"",S$5,IF(T121&lt;&gt;"",U$5,IF(V121&lt;&gt;"",W$5,IF(X121&lt;&gt;"",Y$5,IF(Z121&lt;&gt;"",AA$5,IF(AB121&lt;&gt;"",AC$5,IF(AD121&lt;&gt;"",AE$5,""))))))))))))</f>
        <v/>
      </c>
      <c r="D121" s="78" t="inlineStr">
        <is>
          <t>HVD304</t>
        </is>
      </c>
      <c r="E121" s="59">
        <f>IF(F121&lt;&gt;0,1,0)</f>
        <v/>
      </c>
      <c r="F121" s="69">
        <f>+I121+K121+M121+O121+Q121+S121+U121+W121+Y121+AA121+AC121+AE121</f>
        <v/>
      </c>
      <c r="H121" s="64" t="n"/>
      <c r="I121" s="56">
        <f>SUMIFS('Investor Exit List'!$Q:$Q, 'Investor Exit List'!$C:$C, 'Cashflow Projection'!H121)</f>
        <v/>
      </c>
      <c r="J121" s="79" t="n"/>
      <c r="K121" s="56">
        <f>SUMIFS('Investor Exit List'!$Q:$Q, 'Investor Exit List'!$C:$C, 'Cashflow Projection'!J121)</f>
        <v/>
      </c>
      <c r="L121" s="79" t="n"/>
      <c r="M121" s="56">
        <f>SUMIFS('Investor Exit List'!$Q:$Q, 'Investor Exit List'!$C:$C, 'Cashflow Projection'!L121)</f>
        <v/>
      </c>
      <c r="N121" s="79" t="n"/>
      <c r="O121" s="56">
        <f>SUMIFS('Investor Exit List'!$Q:$Q, 'Investor Exit List'!$C:$C, 'Cashflow Projection'!N121)</f>
        <v/>
      </c>
      <c r="P121" s="79" t="n"/>
      <c r="Q121" s="56">
        <f>SUMIFS('Investor Exit List'!$Q:$Q, 'Investor Exit List'!$C:$C, 'Cashflow Projection'!P121)</f>
        <v/>
      </c>
      <c r="R121" s="79" t="n"/>
      <c r="S121" s="56">
        <f>SUMIFS('Investor Exit List'!$Q:$Q, 'Investor Exit List'!$C:$C, 'Cashflow Projection'!R121)</f>
        <v/>
      </c>
      <c r="T121" s="79" t="n"/>
      <c r="U121" s="56">
        <f>SUMIFS('Investor Exit List'!$Q:$Q, 'Investor Exit List'!$C:$C, 'Cashflow Projection'!T121)</f>
        <v/>
      </c>
      <c r="V121" s="79" t="n"/>
      <c r="W121" s="56">
        <f>SUMIFS('Investor Exit List'!$Q:$Q, 'Investor Exit List'!$C:$C, 'Cashflow Projection'!V121)</f>
        <v/>
      </c>
      <c r="X121" s="79" t="n"/>
      <c r="Y121" s="56">
        <f>SUMIFS('Investor Exit List'!$Q:$Q, 'Investor Exit List'!$C:$C, 'Cashflow Projection'!X121)</f>
        <v/>
      </c>
      <c r="Z121" s="79" t="n"/>
      <c r="AA121" s="56">
        <f>SUMIFS('Investor Exit List'!$Q:$Q, 'Investor Exit List'!$C:$C, 'Cashflow Projection'!Z121)</f>
        <v/>
      </c>
      <c r="AB121" s="79" t="n"/>
      <c r="AC121" s="56">
        <f>SUMIFS('Investor Exit List'!$Q:$Q, 'Investor Exit List'!$C:$C, 'Cashflow Projection'!AB121)</f>
        <v/>
      </c>
      <c r="AD121" s="79" t="n"/>
      <c r="AE121" s="56">
        <f>SUMIFS('Investor Exit List'!$Q:$Q, 'Investor Exit List'!$C:$C, 'Cashflow Projection'!AD121)</f>
        <v/>
      </c>
      <c r="AF121" s="80" t="n"/>
    </row>
    <row r="122">
      <c r="A122" s="18" t="inlineStr"/>
      <c r="B122" t="inlineStr"/>
      <c r="C122" s="77">
        <f>IF(H122&lt;&gt;"",I$5,IF(J122&lt;&gt;"",K$5,IF(L122&lt;&gt;"",M$5,IF(N122&lt;&gt;"",O$5,IF(P122&lt;&gt;"",Q$5,IF(R122&lt;&gt;"",S$5,IF(T122&lt;&gt;"",U$5,IF(V122&lt;&gt;"",W$5,IF(X122&lt;&gt;"",Y$5,IF(Z122&lt;&gt;"",AA$5,IF(AB122&lt;&gt;"",AC$5,IF(AD122&lt;&gt;"",AE$5,""))))))))))))</f>
        <v/>
      </c>
      <c r="D122" s="78" t="inlineStr">
        <is>
          <t>HVN302</t>
        </is>
      </c>
      <c r="E122" s="59">
        <f>IF(F122&lt;&gt;0,1,0)</f>
        <v/>
      </c>
      <c r="F122" s="69">
        <f>+I122+K122+M122+O122+Q122+S122+U122+W122+Y122+AA122+AC122+AE122</f>
        <v/>
      </c>
      <c r="H122" s="64" t="n"/>
      <c r="I122" s="56">
        <f>SUMIFS('Investor Exit List'!$Q:$Q, 'Investor Exit List'!$C:$C, 'Cashflow Projection'!H122)</f>
        <v/>
      </c>
      <c r="J122" s="79" t="n"/>
      <c r="K122" s="56">
        <f>SUMIFS('Investor Exit List'!$Q:$Q, 'Investor Exit List'!$C:$C, 'Cashflow Projection'!J122)</f>
        <v/>
      </c>
      <c r="L122" s="79" t="n"/>
      <c r="M122" s="56">
        <f>SUMIFS('Investor Exit List'!$Q:$Q, 'Investor Exit List'!$C:$C, 'Cashflow Projection'!L122)</f>
        <v/>
      </c>
      <c r="N122" s="79" t="n"/>
      <c r="O122" s="56">
        <f>SUMIFS('Investor Exit List'!$Q:$Q, 'Investor Exit List'!$C:$C, 'Cashflow Projection'!N122)</f>
        <v/>
      </c>
      <c r="P122" s="79" t="n"/>
      <c r="Q122" s="56">
        <f>SUMIFS('Investor Exit List'!$Q:$Q, 'Investor Exit List'!$C:$C, 'Cashflow Projection'!P122)</f>
        <v/>
      </c>
      <c r="R122" s="79" t="n"/>
      <c r="S122" s="56">
        <f>SUMIFS('Investor Exit List'!$Q:$Q, 'Investor Exit List'!$C:$C, 'Cashflow Projection'!R122)</f>
        <v/>
      </c>
      <c r="T122" s="79" t="n"/>
      <c r="U122" s="56">
        <f>SUMIFS('Investor Exit List'!$Q:$Q, 'Investor Exit List'!$C:$C, 'Cashflow Projection'!T122)</f>
        <v/>
      </c>
      <c r="V122" s="79" t="n"/>
      <c r="W122" s="56">
        <f>SUMIFS('Investor Exit List'!$Q:$Q, 'Investor Exit List'!$C:$C, 'Cashflow Projection'!V122)</f>
        <v/>
      </c>
      <c r="X122" s="79" t="n"/>
      <c r="Y122" s="56">
        <f>SUMIFS('Investor Exit List'!$Q:$Q, 'Investor Exit List'!$C:$C, 'Cashflow Projection'!X122)</f>
        <v/>
      </c>
      <c r="Z122" s="79" t="n"/>
      <c r="AA122" s="56">
        <f>SUMIFS('Investor Exit List'!$Q:$Q, 'Investor Exit List'!$C:$C, 'Cashflow Projection'!Z122)</f>
        <v/>
      </c>
      <c r="AB122" s="79" t="n"/>
      <c r="AC122" s="56">
        <f>SUMIFS('Investor Exit List'!$Q:$Q, 'Investor Exit List'!$C:$C, 'Cashflow Projection'!AB122)</f>
        <v/>
      </c>
      <c r="AD122" s="79" t="n"/>
      <c r="AE122" s="56">
        <f>SUMIFS('Investor Exit List'!$Q:$Q, 'Investor Exit List'!$C:$C, 'Cashflow Projection'!AD122)</f>
        <v/>
      </c>
      <c r="AF122" s="80" t="n"/>
    </row>
    <row r="123">
      <c r="A123" s="18" t="inlineStr"/>
      <c r="B123" t="inlineStr"/>
      <c r="C123" s="77">
        <f>IF(H123&lt;&gt;"",I$5,IF(J123&lt;&gt;"",K$5,IF(L123&lt;&gt;"",M$5,IF(N123&lt;&gt;"",O$5,IF(P123&lt;&gt;"",Q$5,IF(R123&lt;&gt;"",S$5,IF(T123&lt;&gt;"",U$5,IF(V123&lt;&gt;"",W$5,IF(X123&lt;&gt;"",Y$5,IF(Z123&lt;&gt;"",AA$5,IF(AB123&lt;&gt;"",AC$5,IF(AD123&lt;&gt;"",AE$5,""))))))))))))</f>
        <v/>
      </c>
      <c r="D123" s="78" t="inlineStr">
        <is>
          <t>HVN303</t>
        </is>
      </c>
      <c r="E123" s="59">
        <f>IF(F123&lt;&gt;0,1,0)</f>
        <v/>
      </c>
      <c r="F123" s="69">
        <f>+I123+K123+M123+O123+Q123+S123+U123+W123+Y123+AA123+AC123+AE123</f>
        <v/>
      </c>
      <c r="H123" s="64" t="n"/>
      <c r="I123" s="56">
        <f>SUMIFS('Investor Exit List'!$Q:$Q, 'Investor Exit List'!$C:$C, 'Cashflow Projection'!H123)</f>
        <v/>
      </c>
      <c r="J123" s="79" t="n"/>
      <c r="K123" s="56">
        <f>SUMIFS('Investor Exit List'!$Q:$Q, 'Investor Exit List'!$C:$C, 'Cashflow Projection'!J123)</f>
        <v/>
      </c>
      <c r="L123" s="79" t="n"/>
      <c r="M123" s="56">
        <f>SUMIFS('Investor Exit List'!$Q:$Q, 'Investor Exit List'!$C:$C, 'Cashflow Projection'!L123)</f>
        <v/>
      </c>
      <c r="N123" s="79" t="n"/>
      <c r="O123" s="56">
        <f>SUMIFS('Investor Exit List'!$Q:$Q, 'Investor Exit List'!$C:$C, 'Cashflow Projection'!N123)</f>
        <v/>
      </c>
      <c r="P123" s="79" t="n"/>
      <c r="Q123" s="56">
        <f>SUMIFS('Investor Exit List'!$Q:$Q, 'Investor Exit List'!$C:$C, 'Cashflow Projection'!P123)</f>
        <v/>
      </c>
      <c r="R123" s="79" t="n"/>
      <c r="S123" s="56">
        <f>SUMIFS('Investor Exit List'!$Q:$Q, 'Investor Exit List'!$C:$C, 'Cashflow Projection'!R123)</f>
        <v/>
      </c>
      <c r="T123" s="79" t="n"/>
      <c r="U123" s="56">
        <f>SUMIFS('Investor Exit List'!$Q:$Q, 'Investor Exit List'!$C:$C, 'Cashflow Projection'!T123)</f>
        <v/>
      </c>
      <c r="V123" s="79" t="n"/>
      <c r="W123" s="56">
        <f>SUMIFS('Investor Exit List'!$Q:$Q, 'Investor Exit List'!$C:$C, 'Cashflow Projection'!V123)</f>
        <v/>
      </c>
      <c r="X123" s="79" t="n"/>
      <c r="Y123" s="56">
        <f>SUMIFS('Investor Exit List'!$Q:$Q, 'Investor Exit List'!$C:$C, 'Cashflow Projection'!X123)</f>
        <v/>
      </c>
      <c r="Z123" s="79" t="n"/>
      <c r="AA123" s="56">
        <f>SUMIFS('Investor Exit List'!$Q:$Q, 'Investor Exit List'!$C:$C, 'Cashflow Projection'!Z123)</f>
        <v/>
      </c>
      <c r="AB123" s="79" t="n"/>
      <c r="AC123" s="56">
        <f>SUMIFS('Investor Exit List'!$Q:$Q, 'Investor Exit List'!$C:$C, 'Cashflow Projection'!AB123)</f>
        <v/>
      </c>
      <c r="AD123" s="79" t="n"/>
      <c r="AE123" s="56">
        <f>SUMIFS('Investor Exit List'!$Q:$Q, 'Investor Exit List'!$C:$C, 'Cashflow Projection'!AD123)</f>
        <v/>
      </c>
      <c r="AF123" s="80" t="n"/>
    </row>
    <row r="124">
      <c r="A124" s="18" t="inlineStr"/>
      <c r="B124" t="inlineStr"/>
      <c r="C124" s="77">
        <f>IF(H124&lt;&gt;"",I$5,IF(J124&lt;&gt;"",K$5,IF(L124&lt;&gt;"",M$5,IF(N124&lt;&gt;"",O$5,IF(P124&lt;&gt;"",Q$5,IF(R124&lt;&gt;"",S$5,IF(T124&lt;&gt;"",U$5,IF(V124&lt;&gt;"",W$5,IF(X124&lt;&gt;"",Y$5,IF(Z124&lt;&gt;"",AA$5,IF(AB124&lt;&gt;"",AC$5,IF(AD124&lt;&gt;"",AE$5,""))))))))))))</f>
        <v/>
      </c>
      <c r="D124" s="78" t="inlineStr">
        <is>
          <t>HVP203</t>
        </is>
      </c>
      <c r="E124" s="59">
        <f>IF(F124&lt;&gt;0,1,0)</f>
        <v/>
      </c>
      <c r="F124" s="69">
        <f>+I124+K124+M124+O124+Q124+S124+U124+W124+Y124+AA124+AC124+AE124</f>
        <v/>
      </c>
      <c r="H124" s="64" t="n"/>
      <c r="I124" s="56">
        <f>SUMIFS('Investor Exit List'!$Q:$Q, 'Investor Exit List'!$C:$C, 'Cashflow Projection'!H124)</f>
        <v/>
      </c>
      <c r="J124" s="79" t="n"/>
      <c r="K124" s="56">
        <f>SUMIFS('Investor Exit List'!$Q:$Q, 'Investor Exit List'!$C:$C, 'Cashflow Projection'!J124)</f>
        <v/>
      </c>
      <c r="L124" s="79" t="n"/>
      <c r="M124" s="56">
        <f>SUMIFS('Investor Exit List'!$Q:$Q, 'Investor Exit List'!$C:$C, 'Cashflow Projection'!L124)</f>
        <v/>
      </c>
      <c r="N124" s="79" t="n"/>
      <c r="O124" s="56">
        <f>SUMIFS('Investor Exit List'!$Q:$Q, 'Investor Exit List'!$C:$C, 'Cashflow Projection'!N124)</f>
        <v/>
      </c>
      <c r="P124" s="79" t="n"/>
      <c r="Q124" s="56">
        <f>SUMIFS('Investor Exit List'!$Q:$Q, 'Investor Exit List'!$C:$C, 'Cashflow Projection'!P124)</f>
        <v/>
      </c>
      <c r="R124" s="79" t="n"/>
      <c r="S124" s="56">
        <f>SUMIFS('Investor Exit List'!$Q:$Q, 'Investor Exit List'!$C:$C, 'Cashflow Projection'!R124)</f>
        <v/>
      </c>
      <c r="T124" s="79" t="n"/>
      <c r="U124" s="56">
        <f>SUMIFS('Investor Exit List'!$Q:$Q, 'Investor Exit List'!$C:$C, 'Cashflow Projection'!T124)</f>
        <v/>
      </c>
      <c r="V124" s="79" t="n"/>
      <c r="W124" s="56">
        <f>SUMIFS('Investor Exit List'!$Q:$Q, 'Investor Exit List'!$C:$C, 'Cashflow Projection'!V124)</f>
        <v/>
      </c>
      <c r="X124" s="79" t="n"/>
      <c r="Y124" s="56">
        <f>SUMIFS('Investor Exit List'!$Q:$Q, 'Investor Exit List'!$C:$C, 'Cashflow Projection'!X124)</f>
        <v/>
      </c>
      <c r="Z124" s="79" t="n"/>
      <c r="AA124" s="56">
        <f>SUMIFS('Investor Exit List'!$Q:$Q, 'Investor Exit List'!$C:$C, 'Cashflow Projection'!Z124)</f>
        <v/>
      </c>
      <c r="AB124" s="79" t="n"/>
      <c r="AC124" s="56">
        <f>SUMIFS('Investor Exit List'!$Q:$Q, 'Investor Exit List'!$C:$C, 'Cashflow Projection'!AB124)</f>
        <v/>
      </c>
      <c r="AD124" s="79" t="n"/>
      <c r="AE124" s="56">
        <f>SUMIFS('Investor Exit List'!$Q:$Q, 'Investor Exit List'!$C:$C, 'Cashflow Projection'!AD124)</f>
        <v/>
      </c>
      <c r="AF124" s="80" t="n"/>
    </row>
    <row r="125">
      <c r="A125" s="18" t="inlineStr"/>
      <c r="B125" t="inlineStr"/>
      <c r="C125" s="77">
        <f>IF(H125&lt;&gt;"",I$5,IF(J125&lt;&gt;"",K$5,IF(L125&lt;&gt;"",M$5,IF(N125&lt;&gt;"",O$5,IF(P125&lt;&gt;"",Q$5,IF(R125&lt;&gt;"",S$5,IF(T125&lt;&gt;"",U$5,IF(V125&lt;&gt;"",W$5,IF(X125&lt;&gt;"",Y$5,IF(Z125&lt;&gt;"",AA$5,IF(AB125&lt;&gt;"",AC$5,IF(AD125&lt;&gt;"",AE$5,""))))))))))))</f>
        <v/>
      </c>
      <c r="D125" s="78" t="inlineStr">
        <is>
          <t>HVP303</t>
        </is>
      </c>
      <c r="E125" s="59">
        <f>IF(F125&lt;&gt;0,1,0)</f>
        <v/>
      </c>
      <c r="F125" s="69">
        <f>+I125+K125+M125+O125+Q125+S125+U125+W125+Y125+AA125+AC125+AE125</f>
        <v/>
      </c>
      <c r="H125" s="64" t="n"/>
      <c r="I125" s="56">
        <f>SUMIFS('Investor Exit List'!$Q:$Q, 'Investor Exit List'!$C:$C, 'Cashflow Projection'!H125)</f>
        <v/>
      </c>
      <c r="J125" s="79" t="n"/>
      <c r="K125" s="56">
        <f>SUMIFS('Investor Exit List'!$Q:$Q, 'Investor Exit List'!$C:$C, 'Cashflow Projection'!J125)</f>
        <v/>
      </c>
      <c r="L125" s="79" t="n"/>
      <c r="M125" s="56">
        <f>SUMIFS('Investor Exit List'!$Q:$Q, 'Investor Exit List'!$C:$C, 'Cashflow Projection'!L125)</f>
        <v/>
      </c>
      <c r="N125" s="79" t="n"/>
      <c r="O125" s="56">
        <f>SUMIFS('Investor Exit List'!$Q:$Q, 'Investor Exit List'!$C:$C, 'Cashflow Projection'!N125)</f>
        <v/>
      </c>
      <c r="P125" s="79" t="n"/>
      <c r="Q125" s="56">
        <f>SUMIFS('Investor Exit List'!$Q:$Q, 'Investor Exit List'!$C:$C, 'Cashflow Projection'!P125)</f>
        <v/>
      </c>
      <c r="R125" s="79" t="n"/>
      <c r="S125" s="56">
        <f>SUMIFS('Investor Exit List'!$Q:$Q, 'Investor Exit List'!$C:$C, 'Cashflow Projection'!R125)</f>
        <v/>
      </c>
      <c r="T125" s="79" t="n"/>
      <c r="U125" s="56">
        <f>SUMIFS('Investor Exit List'!$Q:$Q, 'Investor Exit List'!$C:$C, 'Cashflow Projection'!T125)</f>
        <v/>
      </c>
      <c r="V125" s="79" t="n"/>
      <c r="W125" s="56">
        <f>SUMIFS('Investor Exit List'!$Q:$Q, 'Investor Exit List'!$C:$C, 'Cashflow Projection'!V125)</f>
        <v/>
      </c>
      <c r="X125" s="79" t="n"/>
      <c r="Y125" s="56">
        <f>SUMIFS('Investor Exit List'!$Q:$Q, 'Investor Exit List'!$C:$C, 'Cashflow Projection'!X125)</f>
        <v/>
      </c>
      <c r="Z125" s="79" t="n"/>
      <c r="AA125" s="56">
        <f>SUMIFS('Investor Exit List'!$Q:$Q, 'Investor Exit List'!$C:$C, 'Cashflow Projection'!Z125)</f>
        <v/>
      </c>
      <c r="AB125" s="79" t="n"/>
      <c r="AC125" s="56">
        <f>SUMIFS('Investor Exit List'!$Q:$Q, 'Investor Exit List'!$C:$C, 'Cashflow Projection'!AB125)</f>
        <v/>
      </c>
      <c r="AD125" s="79" t="n"/>
      <c r="AE125" s="56">
        <f>SUMIFS('Investor Exit List'!$Q:$Q, 'Investor Exit List'!$C:$C, 'Cashflow Projection'!AD125)</f>
        <v/>
      </c>
      <c r="AF125" s="80" t="n"/>
    </row>
    <row r="126">
      <c r="A126" s="18" t="inlineStr"/>
      <c r="B126" t="inlineStr"/>
      <c r="C126" s="77">
        <f>IF(H126&lt;&gt;"",I$5,IF(J126&lt;&gt;"",K$5,IF(L126&lt;&gt;"",M$5,IF(N126&lt;&gt;"",O$5,IF(P126&lt;&gt;"",Q$5,IF(R126&lt;&gt;"",S$5,IF(T126&lt;&gt;"",U$5,IF(V126&lt;&gt;"",W$5,IF(X126&lt;&gt;"",Y$5,IF(Z126&lt;&gt;"",AA$5,IF(AB126&lt;&gt;"",AC$5,IF(AD126&lt;&gt;"",AE$5,""))))))))))))</f>
        <v/>
      </c>
      <c r="D126" s="78" t="inlineStr">
        <is>
          <t>HVC202</t>
        </is>
      </c>
      <c r="E126" s="59">
        <f>IF(F126&lt;&gt;0,1,0)</f>
        <v/>
      </c>
      <c r="F126" s="69">
        <f>+I126+K126+M126+O126+Q126+S126+U126+W126+Y126+AA126+AC126+AE126</f>
        <v/>
      </c>
      <c r="H126" s="64" t="n"/>
      <c r="I126" s="56">
        <f>SUMIFS('Investor Exit List'!$Q:$Q, 'Investor Exit List'!$C:$C, 'Cashflow Projection'!H126)</f>
        <v/>
      </c>
      <c r="J126" s="79" t="n"/>
      <c r="K126" s="56">
        <f>SUMIFS('Investor Exit List'!$Q:$Q, 'Investor Exit List'!$C:$C, 'Cashflow Projection'!J126)</f>
        <v/>
      </c>
      <c r="L126" s="79" t="n"/>
      <c r="M126" s="56">
        <f>SUMIFS('Investor Exit List'!$Q:$Q, 'Investor Exit List'!$C:$C, 'Cashflow Projection'!L126)</f>
        <v/>
      </c>
      <c r="N126" s="79" t="n"/>
      <c r="O126" s="56">
        <f>SUMIFS('Investor Exit List'!$Q:$Q, 'Investor Exit List'!$C:$C, 'Cashflow Projection'!N126)</f>
        <v/>
      </c>
      <c r="P126" s="79" t="n"/>
      <c r="Q126" s="56">
        <f>SUMIFS('Investor Exit List'!$Q:$Q, 'Investor Exit List'!$C:$C, 'Cashflow Projection'!P126)</f>
        <v/>
      </c>
      <c r="R126" s="79" t="n"/>
      <c r="S126" s="56">
        <f>SUMIFS('Investor Exit List'!$Q:$Q, 'Investor Exit List'!$C:$C, 'Cashflow Projection'!R126)</f>
        <v/>
      </c>
      <c r="T126" s="79" t="n"/>
      <c r="U126" s="56">
        <f>SUMIFS('Investor Exit List'!$Q:$Q, 'Investor Exit List'!$C:$C, 'Cashflow Projection'!T126)</f>
        <v/>
      </c>
      <c r="V126" s="79" t="n"/>
      <c r="W126" s="56">
        <f>SUMIFS('Investor Exit List'!$Q:$Q, 'Investor Exit List'!$C:$C, 'Cashflow Projection'!V126)</f>
        <v/>
      </c>
      <c r="X126" s="79" t="n"/>
      <c r="Y126" s="56">
        <f>SUMIFS('Investor Exit List'!$Q:$Q, 'Investor Exit List'!$C:$C, 'Cashflow Projection'!X126)</f>
        <v/>
      </c>
      <c r="Z126" s="79" t="n"/>
      <c r="AA126" s="56">
        <f>SUMIFS('Investor Exit List'!$Q:$Q, 'Investor Exit List'!$C:$C, 'Cashflow Projection'!Z126)</f>
        <v/>
      </c>
      <c r="AB126" s="79" t="n"/>
      <c r="AC126" s="56">
        <f>SUMIFS('Investor Exit List'!$Q:$Q, 'Investor Exit List'!$C:$C, 'Cashflow Projection'!AB126)</f>
        <v/>
      </c>
      <c r="AD126" s="79" t="n"/>
      <c r="AE126" s="56">
        <f>SUMIFS('Investor Exit List'!$Q:$Q, 'Investor Exit List'!$C:$C, 'Cashflow Projection'!AD126)</f>
        <v/>
      </c>
      <c r="AF126" s="80" t="n"/>
    </row>
    <row r="127">
      <c r="A127" s="18" t="inlineStr"/>
      <c r="B127" t="inlineStr"/>
      <c r="C127" s="77">
        <f>IF(H127&lt;&gt;"",I$5,IF(J127&lt;&gt;"",K$5,IF(L127&lt;&gt;"",M$5,IF(N127&lt;&gt;"",O$5,IF(P127&lt;&gt;"",Q$5,IF(R127&lt;&gt;"",S$5,IF(T127&lt;&gt;"",U$5,IF(V127&lt;&gt;"",W$5,IF(X127&lt;&gt;"",Y$5,IF(Z127&lt;&gt;"",AA$5,IF(AB127&lt;&gt;"",AC$5,IF(AD127&lt;&gt;"",AE$5,""))))))))))))</f>
        <v/>
      </c>
      <c r="D127" s="78" t="inlineStr">
        <is>
          <t>HVC204</t>
        </is>
      </c>
      <c r="E127" s="59">
        <f>IF(F127&lt;&gt;0,1,0)</f>
        <v/>
      </c>
      <c r="F127" s="69">
        <f>+I127+K127+M127+O127+Q127+S127+U127+W127+Y127+AA127+AC127+AE127</f>
        <v/>
      </c>
      <c r="H127" s="64" t="n"/>
      <c r="I127" s="56">
        <f>SUMIFS('Investor Exit List'!$Q:$Q, 'Investor Exit List'!$C:$C, 'Cashflow Projection'!H127)</f>
        <v/>
      </c>
      <c r="J127" s="79" t="n"/>
      <c r="K127" s="56">
        <f>SUMIFS('Investor Exit List'!$Q:$Q, 'Investor Exit List'!$C:$C, 'Cashflow Projection'!J127)</f>
        <v/>
      </c>
      <c r="L127" s="79" t="n"/>
      <c r="M127" s="56">
        <f>SUMIFS('Investor Exit List'!$Q:$Q, 'Investor Exit List'!$C:$C, 'Cashflow Projection'!L127)</f>
        <v/>
      </c>
      <c r="N127" s="79" t="n"/>
      <c r="O127" s="56">
        <f>SUMIFS('Investor Exit List'!$Q:$Q, 'Investor Exit List'!$C:$C, 'Cashflow Projection'!N127)</f>
        <v/>
      </c>
      <c r="P127" s="79" t="n"/>
      <c r="Q127" s="56">
        <f>SUMIFS('Investor Exit List'!$Q:$Q, 'Investor Exit List'!$C:$C, 'Cashflow Projection'!P127)</f>
        <v/>
      </c>
      <c r="R127" s="79" t="n"/>
      <c r="S127" s="56">
        <f>SUMIFS('Investor Exit List'!$Q:$Q, 'Investor Exit List'!$C:$C, 'Cashflow Projection'!R127)</f>
        <v/>
      </c>
      <c r="T127" s="79" t="n"/>
      <c r="U127" s="56">
        <f>SUMIFS('Investor Exit List'!$Q:$Q, 'Investor Exit List'!$C:$C, 'Cashflow Projection'!T127)</f>
        <v/>
      </c>
      <c r="V127" s="79" t="n"/>
      <c r="W127" s="56">
        <f>SUMIFS('Investor Exit List'!$Q:$Q, 'Investor Exit List'!$C:$C, 'Cashflow Projection'!V127)</f>
        <v/>
      </c>
      <c r="X127" s="79" t="n"/>
      <c r="Y127" s="56">
        <f>SUMIFS('Investor Exit List'!$Q:$Q, 'Investor Exit List'!$C:$C, 'Cashflow Projection'!X127)</f>
        <v/>
      </c>
      <c r="Z127" s="79" t="n"/>
      <c r="AA127" s="56">
        <f>SUMIFS('Investor Exit List'!$Q:$Q, 'Investor Exit List'!$C:$C, 'Cashflow Projection'!Z127)</f>
        <v/>
      </c>
      <c r="AB127" s="79" t="n"/>
      <c r="AC127" s="56">
        <f>SUMIFS('Investor Exit List'!$Q:$Q, 'Investor Exit List'!$C:$C, 'Cashflow Projection'!AB127)</f>
        <v/>
      </c>
      <c r="AD127" s="79" t="n"/>
      <c r="AE127" s="56">
        <f>SUMIFS('Investor Exit List'!$Q:$Q, 'Investor Exit List'!$C:$C, 'Cashflow Projection'!AD127)</f>
        <v/>
      </c>
      <c r="AF127" s="80" t="n"/>
    </row>
    <row r="128">
      <c r="A128" s="18" t="inlineStr"/>
      <c r="B128" t="inlineStr"/>
      <c r="C128" s="77">
        <f>IF(H128&lt;&gt;"",I$5,IF(J128&lt;&gt;"",K$5,IF(L128&lt;&gt;"",M$5,IF(N128&lt;&gt;"",O$5,IF(P128&lt;&gt;"",Q$5,IF(R128&lt;&gt;"",S$5,IF(T128&lt;&gt;"",U$5,IF(V128&lt;&gt;"",W$5,IF(X128&lt;&gt;"",Y$5,IF(Z128&lt;&gt;"",AA$5,IF(AB128&lt;&gt;"",AC$5,IF(AD128&lt;&gt;"",AE$5,""))))))))))))</f>
        <v/>
      </c>
      <c r="D128" s="78" t="inlineStr">
        <is>
          <t>HVC302</t>
        </is>
      </c>
      <c r="E128" s="59">
        <f>IF(F128&lt;&gt;0,1,0)</f>
        <v/>
      </c>
      <c r="F128" s="69">
        <f>+I128+K128+M128+O128+Q128+S128+U128+W128+Y128+AA128+AC128+AE128</f>
        <v/>
      </c>
      <c r="H128" s="64" t="n"/>
      <c r="I128" s="56">
        <f>SUMIFS('Investor Exit List'!$Q:$Q, 'Investor Exit List'!$C:$C, 'Cashflow Projection'!H128)</f>
        <v/>
      </c>
      <c r="J128" s="79" t="n"/>
      <c r="K128" s="56">
        <f>SUMIFS('Investor Exit List'!$Q:$Q, 'Investor Exit List'!$C:$C, 'Cashflow Projection'!J128)</f>
        <v/>
      </c>
      <c r="L128" s="79" t="n"/>
      <c r="M128" s="56">
        <f>SUMIFS('Investor Exit List'!$Q:$Q, 'Investor Exit List'!$C:$C, 'Cashflow Projection'!L128)</f>
        <v/>
      </c>
      <c r="N128" s="79" t="n"/>
      <c r="O128" s="56">
        <f>SUMIFS('Investor Exit List'!$Q:$Q, 'Investor Exit List'!$C:$C, 'Cashflow Projection'!N128)</f>
        <v/>
      </c>
      <c r="P128" s="79" t="n"/>
      <c r="Q128" s="56">
        <f>SUMIFS('Investor Exit List'!$Q:$Q, 'Investor Exit List'!$C:$C, 'Cashflow Projection'!P128)</f>
        <v/>
      </c>
      <c r="R128" s="79" t="n"/>
      <c r="S128" s="56">
        <f>SUMIFS('Investor Exit List'!$Q:$Q, 'Investor Exit List'!$C:$C, 'Cashflow Projection'!R128)</f>
        <v/>
      </c>
      <c r="T128" s="79" t="n"/>
      <c r="U128" s="56">
        <f>SUMIFS('Investor Exit List'!$Q:$Q, 'Investor Exit List'!$C:$C, 'Cashflow Projection'!T128)</f>
        <v/>
      </c>
      <c r="V128" s="79" t="n"/>
      <c r="W128" s="56">
        <f>SUMIFS('Investor Exit List'!$Q:$Q, 'Investor Exit List'!$C:$C, 'Cashflow Projection'!V128)</f>
        <v/>
      </c>
      <c r="X128" s="79" t="n"/>
      <c r="Y128" s="56">
        <f>SUMIFS('Investor Exit List'!$Q:$Q, 'Investor Exit List'!$C:$C, 'Cashflow Projection'!X128)</f>
        <v/>
      </c>
      <c r="Z128" s="79" t="n"/>
      <c r="AA128" s="56">
        <f>SUMIFS('Investor Exit List'!$Q:$Q, 'Investor Exit List'!$C:$C, 'Cashflow Projection'!Z128)</f>
        <v/>
      </c>
      <c r="AB128" s="79" t="n"/>
      <c r="AC128" s="56">
        <f>SUMIFS('Investor Exit List'!$Q:$Q, 'Investor Exit List'!$C:$C, 'Cashflow Projection'!AB128)</f>
        <v/>
      </c>
      <c r="AD128" s="79" t="n"/>
      <c r="AE128" s="56">
        <f>SUMIFS('Investor Exit List'!$Q:$Q, 'Investor Exit List'!$C:$C, 'Cashflow Projection'!AD128)</f>
        <v/>
      </c>
      <c r="AF128" s="80" t="n"/>
    </row>
    <row r="129">
      <c r="A129" s="18" t="inlineStr"/>
      <c r="B129" t="inlineStr"/>
      <c r="C129" s="77">
        <f>IF(H129&lt;&gt;"",I$5,IF(J129&lt;&gt;"",K$5,IF(L129&lt;&gt;"",M$5,IF(N129&lt;&gt;"",O$5,IF(P129&lt;&gt;"",Q$5,IF(R129&lt;&gt;"",S$5,IF(T129&lt;&gt;"",U$5,IF(V129&lt;&gt;"",W$5,IF(X129&lt;&gt;"",Y$5,IF(Z129&lt;&gt;"",AA$5,IF(AB129&lt;&gt;"",AC$5,IF(AD129&lt;&gt;"",AE$5,""))))))))))))</f>
        <v/>
      </c>
      <c r="D129" s="78" t="inlineStr">
        <is>
          <t>HVC304</t>
        </is>
      </c>
      <c r="E129" s="59">
        <f>IF(F129&lt;&gt;0,1,0)</f>
        <v/>
      </c>
      <c r="F129" s="69">
        <f>+I129+K129+M129+O129+Q129+S129+U129+W129+Y129+AA129+AC129+AE129</f>
        <v/>
      </c>
      <c r="H129" s="64" t="n"/>
      <c r="I129" s="56">
        <f>SUMIFS('Investor Exit List'!$Q:$Q, 'Investor Exit List'!$C:$C, 'Cashflow Projection'!H129)</f>
        <v/>
      </c>
      <c r="J129" s="79" t="n"/>
      <c r="K129" s="56">
        <f>SUMIFS('Investor Exit List'!$Q:$Q, 'Investor Exit List'!$C:$C, 'Cashflow Projection'!J129)</f>
        <v/>
      </c>
      <c r="L129" s="79" t="n"/>
      <c r="M129" s="56">
        <f>SUMIFS('Investor Exit List'!$Q:$Q, 'Investor Exit List'!$C:$C, 'Cashflow Projection'!L129)</f>
        <v/>
      </c>
      <c r="N129" s="79" t="n"/>
      <c r="O129" s="56">
        <f>SUMIFS('Investor Exit List'!$Q:$Q, 'Investor Exit List'!$C:$C, 'Cashflow Projection'!N129)</f>
        <v/>
      </c>
      <c r="P129" s="79" t="n"/>
      <c r="Q129" s="56">
        <f>SUMIFS('Investor Exit List'!$Q:$Q, 'Investor Exit List'!$C:$C, 'Cashflow Projection'!P129)</f>
        <v/>
      </c>
      <c r="R129" s="79" t="n"/>
      <c r="S129" s="56">
        <f>SUMIFS('Investor Exit List'!$Q:$Q, 'Investor Exit List'!$C:$C, 'Cashflow Projection'!R129)</f>
        <v/>
      </c>
      <c r="T129" s="79" t="n"/>
      <c r="U129" s="56">
        <f>SUMIFS('Investor Exit List'!$Q:$Q, 'Investor Exit List'!$C:$C, 'Cashflow Projection'!T129)</f>
        <v/>
      </c>
      <c r="V129" s="79" t="n"/>
      <c r="W129" s="56">
        <f>SUMIFS('Investor Exit List'!$Q:$Q, 'Investor Exit List'!$C:$C, 'Cashflow Projection'!V129)</f>
        <v/>
      </c>
      <c r="X129" s="79" t="n"/>
      <c r="Y129" s="56">
        <f>SUMIFS('Investor Exit List'!$Q:$Q, 'Investor Exit List'!$C:$C, 'Cashflow Projection'!X129)</f>
        <v/>
      </c>
      <c r="Z129" s="79" t="n"/>
      <c r="AA129" s="56">
        <f>SUMIFS('Investor Exit List'!$Q:$Q, 'Investor Exit List'!$C:$C, 'Cashflow Projection'!Z129)</f>
        <v/>
      </c>
      <c r="AB129" s="79" t="n"/>
      <c r="AC129" s="56">
        <f>SUMIFS('Investor Exit List'!$Q:$Q, 'Investor Exit List'!$C:$C, 'Cashflow Projection'!AB129)</f>
        <v/>
      </c>
      <c r="AD129" s="79" t="n"/>
      <c r="AE129" s="56">
        <f>SUMIFS('Investor Exit List'!$Q:$Q, 'Investor Exit List'!$C:$C, 'Cashflow Projection'!AD129)</f>
        <v/>
      </c>
      <c r="AF129" s="80" t="n"/>
    </row>
    <row r="130">
      <c r="A130" s="18" t="inlineStr"/>
      <c r="B130" t="inlineStr"/>
      <c r="C130" s="77">
        <f>IF(H130&lt;&gt;"",I$5,IF(J130&lt;&gt;"",K$5,IF(L130&lt;&gt;"",M$5,IF(N130&lt;&gt;"",O$5,IF(P130&lt;&gt;"",Q$5,IF(R130&lt;&gt;"",S$5,IF(T130&lt;&gt;"",U$5,IF(V130&lt;&gt;"",W$5,IF(X130&lt;&gt;"",Y$5,IF(Z130&lt;&gt;"",AA$5,IF(AB130&lt;&gt;"",AC$5,IF(AD130&lt;&gt;"",AE$5,""))))))))))))</f>
        <v/>
      </c>
      <c r="D130" s="78" t="inlineStr">
        <is>
          <t>HVC305</t>
        </is>
      </c>
      <c r="E130" s="59">
        <f>IF(F130&lt;&gt;0,1,0)</f>
        <v/>
      </c>
      <c r="F130" s="69">
        <f>+I130+K130+M130+O130+Q130+S130+U130+W130+Y130+AA130+AC130+AE130</f>
        <v/>
      </c>
      <c r="H130" s="64" t="n"/>
      <c r="I130" s="56">
        <f>SUMIFS('Investor Exit List'!$Q:$Q, 'Investor Exit List'!$C:$C, 'Cashflow Projection'!H130)</f>
        <v/>
      </c>
      <c r="J130" s="79" t="n"/>
      <c r="K130" s="56">
        <f>SUMIFS('Investor Exit List'!$Q:$Q, 'Investor Exit List'!$C:$C, 'Cashflow Projection'!J130)</f>
        <v/>
      </c>
      <c r="L130" s="79" t="n"/>
      <c r="M130" s="56">
        <f>SUMIFS('Investor Exit List'!$Q:$Q, 'Investor Exit List'!$C:$C, 'Cashflow Projection'!L130)</f>
        <v/>
      </c>
      <c r="N130" s="79" t="n"/>
      <c r="O130" s="56">
        <f>SUMIFS('Investor Exit List'!$Q:$Q, 'Investor Exit List'!$C:$C, 'Cashflow Projection'!N130)</f>
        <v/>
      </c>
      <c r="P130" s="79" t="n"/>
      <c r="Q130" s="56">
        <f>SUMIFS('Investor Exit List'!$Q:$Q, 'Investor Exit List'!$C:$C, 'Cashflow Projection'!P130)</f>
        <v/>
      </c>
      <c r="R130" s="79" t="n"/>
      <c r="S130" s="56">
        <f>SUMIFS('Investor Exit List'!$Q:$Q, 'Investor Exit List'!$C:$C, 'Cashflow Projection'!R130)</f>
        <v/>
      </c>
      <c r="T130" s="79" t="n"/>
      <c r="U130" s="56">
        <f>SUMIFS('Investor Exit List'!$Q:$Q, 'Investor Exit List'!$C:$C, 'Cashflow Projection'!T130)</f>
        <v/>
      </c>
      <c r="V130" s="79" t="n"/>
      <c r="W130" s="56">
        <f>SUMIFS('Investor Exit List'!$Q:$Q, 'Investor Exit List'!$C:$C, 'Cashflow Projection'!V130)</f>
        <v/>
      </c>
      <c r="X130" s="79" t="n"/>
      <c r="Y130" s="56">
        <f>SUMIFS('Investor Exit List'!$Q:$Q, 'Investor Exit List'!$C:$C, 'Cashflow Projection'!X130)</f>
        <v/>
      </c>
      <c r="Z130" s="79" t="n"/>
      <c r="AA130" s="56">
        <f>SUMIFS('Investor Exit List'!$Q:$Q, 'Investor Exit List'!$C:$C, 'Cashflow Projection'!Z130)</f>
        <v/>
      </c>
      <c r="AB130" s="79" t="n"/>
      <c r="AC130" s="56">
        <f>SUMIFS('Investor Exit List'!$Q:$Q, 'Investor Exit List'!$C:$C, 'Cashflow Projection'!AB130)</f>
        <v/>
      </c>
      <c r="AD130" s="79" t="n"/>
      <c r="AE130" s="56">
        <f>SUMIFS('Investor Exit List'!$Q:$Q, 'Investor Exit List'!$C:$C, 'Cashflow Projection'!AD130)</f>
        <v/>
      </c>
      <c r="AF130" s="80" t="n"/>
    </row>
    <row r="131">
      <c r="A131" s="18" t="inlineStr"/>
      <c r="B131" t="inlineStr"/>
      <c r="C131" s="77">
        <f>IF(H131&lt;&gt;"",I$5,IF(J131&lt;&gt;"",K$5,IF(L131&lt;&gt;"",M$5,IF(N131&lt;&gt;"",O$5,IF(P131&lt;&gt;"",Q$5,IF(R131&lt;&gt;"",S$5,IF(T131&lt;&gt;"",U$5,IF(V131&lt;&gt;"",W$5,IF(X131&lt;&gt;"",Y$5,IF(Z131&lt;&gt;"",AA$5,IF(AB131&lt;&gt;"",AC$5,IF(AD131&lt;&gt;"",AE$5,""))))))))))))</f>
        <v/>
      </c>
      <c r="D131" s="78" t="inlineStr">
        <is>
          <t>HVO205</t>
        </is>
      </c>
      <c r="E131" s="59">
        <f>IF(F131&lt;&gt;0,1,0)</f>
        <v/>
      </c>
      <c r="F131" s="69">
        <f>+I131+K131+M131+O131+Q131+S131+U131+W131+Y131+AA131+AC131+AE131</f>
        <v/>
      </c>
      <c r="H131" s="64" t="n"/>
      <c r="I131" s="56">
        <f>SUMIFS('Investor Exit List'!$Q:$Q, 'Investor Exit List'!$C:$C, 'Cashflow Projection'!H131)</f>
        <v/>
      </c>
      <c r="J131" s="79" t="n"/>
      <c r="K131" s="56">
        <f>SUMIFS('Investor Exit List'!$Q:$Q, 'Investor Exit List'!$C:$C, 'Cashflow Projection'!J131)</f>
        <v/>
      </c>
      <c r="L131" s="79" t="n"/>
      <c r="M131" s="56">
        <f>SUMIFS('Investor Exit List'!$Q:$Q, 'Investor Exit List'!$C:$C, 'Cashflow Projection'!L131)</f>
        <v/>
      </c>
      <c r="N131" s="79" t="n"/>
      <c r="O131" s="56">
        <f>SUMIFS('Investor Exit List'!$Q:$Q, 'Investor Exit List'!$C:$C, 'Cashflow Projection'!N131)</f>
        <v/>
      </c>
      <c r="P131" s="79" t="n"/>
      <c r="Q131" s="56">
        <f>SUMIFS('Investor Exit List'!$Q:$Q, 'Investor Exit List'!$C:$C, 'Cashflow Projection'!P131)</f>
        <v/>
      </c>
      <c r="R131" s="79" t="n"/>
      <c r="S131" s="56">
        <f>SUMIFS('Investor Exit List'!$Q:$Q, 'Investor Exit List'!$C:$C, 'Cashflow Projection'!R131)</f>
        <v/>
      </c>
      <c r="T131" s="79" t="n"/>
      <c r="U131" s="56">
        <f>SUMIFS('Investor Exit List'!$Q:$Q, 'Investor Exit List'!$C:$C, 'Cashflow Projection'!T131)</f>
        <v/>
      </c>
      <c r="V131" s="79" t="n"/>
      <c r="W131" s="56">
        <f>SUMIFS('Investor Exit List'!$Q:$Q, 'Investor Exit List'!$C:$C, 'Cashflow Projection'!V131)</f>
        <v/>
      </c>
      <c r="X131" s="79" t="n"/>
      <c r="Y131" s="56">
        <f>SUMIFS('Investor Exit List'!$Q:$Q, 'Investor Exit List'!$C:$C, 'Cashflow Projection'!X131)</f>
        <v/>
      </c>
      <c r="Z131" s="79" t="n"/>
      <c r="AA131" s="56">
        <f>SUMIFS('Investor Exit List'!$Q:$Q, 'Investor Exit List'!$C:$C, 'Cashflow Projection'!Z131)</f>
        <v/>
      </c>
      <c r="AB131" s="79" t="n"/>
      <c r="AC131" s="56">
        <f>SUMIFS('Investor Exit List'!$Q:$Q, 'Investor Exit List'!$C:$C, 'Cashflow Projection'!AB131)</f>
        <v/>
      </c>
      <c r="AD131" s="79" t="n"/>
      <c r="AE131" s="56">
        <f>SUMIFS('Investor Exit List'!$Q:$Q, 'Investor Exit List'!$C:$C, 'Cashflow Projection'!AD131)</f>
        <v/>
      </c>
      <c r="AF131" s="80" t="n"/>
    </row>
    <row r="132">
      <c r="A132" s="18" t="inlineStr"/>
      <c r="B132" t="inlineStr"/>
      <c r="C132" s="77">
        <f>IF(H132&lt;&gt;"",I$5,IF(J132&lt;&gt;"",K$5,IF(L132&lt;&gt;"",M$5,IF(N132&lt;&gt;"",O$5,IF(P132&lt;&gt;"",Q$5,IF(R132&lt;&gt;"",S$5,IF(T132&lt;&gt;"",U$5,IF(V132&lt;&gt;"",W$5,IF(X132&lt;&gt;"",Y$5,IF(Z132&lt;&gt;"",AA$5,IF(AB132&lt;&gt;"",AC$5,IF(AD132&lt;&gt;"",AE$5,""))))))))))))</f>
        <v/>
      </c>
      <c r="D132" s="78" t="inlineStr">
        <is>
          <t>HVO305</t>
        </is>
      </c>
      <c r="E132" s="59">
        <f>IF(F132&lt;&gt;0,1,0)</f>
        <v/>
      </c>
      <c r="F132" s="69">
        <f>+I132+K132+M132+O132+Q132+S132+U132+W132+Y132+AA132+AC132+AE132</f>
        <v/>
      </c>
      <c r="H132" s="64" t="n"/>
      <c r="I132" s="56">
        <f>SUMIFS('Investor Exit List'!$Q:$Q, 'Investor Exit List'!$C:$C, 'Cashflow Projection'!H132)</f>
        <v/>
      </c>
      <c r="J132" s="79" t="n"/>
      <c r="K132" s="56">
        <f>SUMIFS('Investor Exit List'!$Q:$Q, 'Investor Exit List'!$C:$C, 'Cashflow Projection'!J132)</f>
        <v/>
      </c>
      <c r="L132" s="79" t="n"/>
      <c r="M132" s="56">
        <f>SUMIFS('Investor Exit List'!$Q:$Q, 'Investor Exit List'!$C:$C, 'Cashflow Projection'!L132)</f>
        <v/>
      </c>
      <c r="N132" s="79" t="n"/>
      <c r="O132" s="56">
        <f>SUMIFS('Investor Exit List'!$Q:$Q, 'Investor Exit List'!$C:$C, 'Cashflow Projection'!N132)</f>
        <v/>
      </c>
      <c r="P132" s="79" t="n"/>
      <c r="Q132" s="56">
        <f>SUMIFS('Investor Exit List'!$Q:$Q, 'Investor Exit List'!$C:$C, 'Cashflow Projection'!P132)</f>
        <v/>
      </c>
      <c r="R132" s="79" t="n"/>
      <c r="S132" s="56">
        <f>SUMIFS('Investor Exit List'!$Q:$Q, 'Investor Exit List'!$C:$C, 'Cashflow Projection'!R132)</f>
        <v/>
      </c>
      <c r="T132" s="79" t="n"/>
      <c r="U132" s="56">
        <f>SUMIFS('Investor Exit List'!$Q:$Q, 'Investor Exit List'!$C:$C, 'Cashflow Projection'!T132)</f>
        <v/>
      </c>
      <c r="V132" s="79" t="n"/>
      <c r="W132" s="56">
        <f>SUMIFS('Investor Exit List'!$Q:$Q, 'Investor Exit List'!$C:$C, 'Cashflow Projection'!V132)</f>
        <v/>
      </c>
      <c r="X132" s="79" t="n"/>
      <c r="Y132" s="56">
        <f>SUMIFS('Investor Exit List'!$Q:$Q, 'Investor Exit List'!$C:$C, 'Cashflow Projection'!X132)</f>
        <v/>
      </c>
      <c r="Z132" s="79" t="n"/>
      <c r="AA132" s="56">
        <f>SUMIFS('Investor Exit List'!$Q:$Q, 'Investor Exit List'!$C:$C, 'Cashflow Projection'!Z132)</f>
        <v/>
      </c>
      <c r="AB132" s="79" t="n"/>
      <c r="AC132" s="56">
        <f>SUMIFS('Investor Exit List'!$Q:$Q, 'Investor Exit List'!$C:$C, 'Cashflow Projection'!AB132)</f>
        <v/>
      </c>
      <c r="AD132" s="79" t="n"/>
      <c r="AE132" s="56">
        <f>SUMIFS('Investor Exit List'!$Q:$Q, 'Investor Exit List'!$C:$C, 'Cashflow Projection'!AD132)</f>
        <v/>
      </c>
      <c r="AF132" s="80" t="n"/>
    </row>
    <row r="133">
      <c r="A133" s="18" t="inlineStr"/>
      <c r="B133" t="inlineStr"/>
      <c r="C133" s="77">
        <f>IF(H133&lt;&gt;"",I$5,IF(J133&lt;&gt;"",K$5,IF(L133&lt;&gt;"",M$5,IF(N133&lt;&gt;"",O$5,IF(P133&lt;&gt;"",Q$5,IF(R133&lt;&gt;"",S$5,IF(T133&lt;&gt;"",U$5,IF(V133&lt;&gt;"",W$5,IF(X133&lt;&gt;"",Y$5,IF(Z133&lt;&gt;"",AA$5,IF(AB133&lt;&gt;"",AC$5,IF(AD133&lt;&gt;"",AE$5,""))))))))))))</f>
        <v/>
      </c>
      <c r="D133" s="78" t="inlineStr">
        <is>
          <t>HVJ102</t>
        </is>
      </c>
      <c r="E133" s="59">
        <f>IF(F133&lt;&gt;0,1,0)</f>
        <v/>
      </c>
      <c r="F133" s="69">
        <f>+I133+K133+M133+O133+Q133+S133+U133+W133+Y133+AA133+AC133+AE133</f>
        <v/>
      </c>
      <c r="H133" s="64" t="n"/>
      <c r="I133" s="56">
        <f>SUMIFS('Investor Exit List'!$Q:$Q, 'Investor Exit List'!$C:$C, 'Cashflow Projection'!H133)</f>
        <v/>
      </c>
      <c r="J133" s="79" t="n"/>
      <c r="K133" s="56">
        <f>SUMIFS('Investor Exit List'!$Q:$Q, 'Investor Exit List'!$C:$C, 'Cashflow Projection'!J133)</f>
        <v/>
      </c>
      <c r="L133" s="79" t="n"/>
      <c r="M133" s="56">
        <f>SUMIFS('Investor Exit List'!$Q:$Q, 'Investor Exit List'!$C:$C, 'Cashflow Projection'!L133)</f>
        <v/>
      </c>
      <c r="N133" s="79" t="n"/>
      <c r="O133" s="56">
        <f>SUMIFS('Investor Exit List'!$Q:$Q, 'Investor Exit List'!$C:$C, 'Cashflow Projection'!N133)</f>
        <v/>
      </c>
      <c r="P133" s="79" t="n"/>
      <c r="Q133" s="56">
        <f>SUMIFS('Investor Exit List'!$Q:$Q, 'Investor Exit List'!$C:$C, 'Cashflow Projection'!P133)</f>
        <v/>
      </c>
      <c r="R133" s="79" t="n"/>
      <c r="S133" s="56">
        <f>SUMIFS('Investor Exit List'!$Q:$Q, 'Investor Exit List'!$C:$C, 'Cashflow Projection'!R133)</f>
        <v/>
      </c>
      <c r="T133" s="79" t="n"/>
      <c r="U133" s="56">
        <f>SUMIFS('Investor Exit List'!$Q:$Q, 'Investor Exit List'!$C:$C, 'Cashflow Projection'!T133)</f>
        <v/>
      </c>
      <c r="V133" s="79" t="n"/>
      <c r="W133" s="56">
        <f>SUMIFS('Investor Exit List'!$Q:$Q, 'Investor Exit List'!$C:$C, 'Cashflow Projection'!V133)</f>
        <v/>
      </c>
      <c r="X133" s="79" t="n"/>
      <c r="Y133" s="56">
        <f>SUMIFS('Investor Exit List'!$Q:$Q, 'Investor Exit List'!$C:$C, 'Cashflow Projection'!X133)</f>
        <v/>
      </c>
      <c r="Z133" s="79" t="n"/>
      <c r="AA133" s="56">
        <f>SUMIFS('Investor Exit List'!$Q:$Q, 'Investor Exit List'!$C:$C, 'Cashflow Projection'!Z133)</f>
        <v/>
      </c>
      <c r="AB133" s="79" t="n"/>
      <c r="AC133" s="56">
        <f>SUMIFS('Investor Exit List'!$Q:$Q, 'Investor Exit List'!$C:$C, 'Cashflow Projection'!AB133)</f>
        <v/>
      </c>
      <c r="AD133" s="79" t="n"/>
      <c r="AE133" s="56">
        <f>SUMIFS('Investor Exit List'!$Q:$Q, 'Investor Exit List'!$C:$C, 'Cashflow Projection'!AD133)</f>
        <v/>
      </c>
      <c r="AF133" s="80" t="n"/>
    </row>
    <row r="134">
      <c r="A134" s="18" t="inlineStr"/>
      <c r="B134" t="inlineStr"/>
      <c r="C134" s="77">
        <f>IF(H134&lt;&gt;"",I$5,IF(J134&lt;&gt;"",K$5,IF(L134&lt;&gt;"",M$5,IF(N134&lt;&gt;"",O$5,IF(P134&lt;&gt;"",Q$5,IF(R134&lt;&gt;"",S$5,IF(T134&lt;&gt;"",U$5,IF(V134&lt;&gt;"",W$5,IF(X134&lt;&gt;"",Y$5,IF(Z134&lt;&gt;"",AA$5,IF(AB134&lt;&gt;"",AC$5,IF(AD134&lt;&gt;"",AE$5,""))))))))))))</f>
        <v/>
      </c>
      <c r="D134" s="78" t="inlineStr">
        <is>
          <t>HVJ203</t>
        </is>
      </c>
      <c r="E134" s="59">
        <f>IF(F134&lt;&gt;0,1,0)</f>
        <v/>
      </c>
      <c r="F134" s="69">
        <f>+I134+K134+M134+O134+Q134+S134+U134+W134+Y134+AA134+AC134+AE134</f>
        <v/>
      </c>
      <c r="H134" s="64" t="n"/>
      <c r="I134" s="56">
        <f>SUMIFS('Investor Exit List'!$Q:$Q, 'Investor Exit List'!$C:$C, 'Cashflow Projection'!H134)</f>
        <v/>
      </c>
      <c r="J134" s="79" t="n"/>
      <c r="K134" s="56">
        <f>SUMIFS('Investor Exit List'!$Q:$Q, 'Investor Exit List'!$C:$C, 'Cashflow Projection'!J134)</f>
        <v/>
      </c>
      <c r="L134" s="79" t="n"/>
      <c r="M134" s="56">
        <f>SUMIFS('Investor Exit List'!$Q:$Q, 'Investor Exit List'!$C:$C, 'Cashflow Projection'!L134)</f>
        <v/>
      </c>
      <c r="N134" s="79" t="n"/>
      <c r="O134" s="56">
        <f>SUMIFS('Investor Exit List'!$Q:$Q, 'Investor Exit List'!$C:$C, 'Cashflow Projection'!N134)</f>
        <v/>
      </c>
      <c r="P134" s="79" t="n"/>
      <c r="Q134" s="56">
        <f>SUMIFS('Investor Exit List'!$Q:$Q, 'Investor Exit List'!$C:$C, 'Cashflow Projection'!P134)</f>
        <v/>
      </c>
      <c r="R134" s="79" t="n"/>
      <c r="S134" s="56">
        <f>SUMIFS('Investor Exit List'!$Q:$Q, 'Investor Exit List'!$C:$C, 'Cashflow Projection'!R134)</f>
        <v/>
      </c>
      <c r="T134" s="79" t="n"/>
      <c r="U134" s="56">
        <f>SUMIFS('Investor Exit List'!$Q:$Q, 'Investor Exit List'!$C:$C, 'Cashflow Projection'!T134)</f>
        <v/>
      </c>
      <c r="V134" s="79" t="n"/>
      <c r="W134" s="56">
        <f>SUMIFS('Investor Exit List'!$Q:$Q, 'Investor Exit List'!$C:$C, 'Cashflow Projection'!V134)</f>
        <v/>
      </c>
      <c r="X134" s="79" t="n"/>
      <c r="Y134" s="56">
        <f>SUMIFS('Investor Exit List'!$Q:$Q, 'Investor Exit List'!$C:$C, 'Cashflow Projection'!X134)</f>
        <v/>
      </c>
      <c r="Z134" s="79" t="n"/>
      <c r="AA134" s="56">
        <f>SUMIFS('Investor Exit List'!$Q:$Q, 'Investor Exit List'!$C:$C, 'Cashflow Projection'!Z134)</f>
        <v/>
      </c>
      <c r="AB134" s="79" t="n"/>
      <c r="AC134" s="56">
        <f>SUMIFS('Investor Exit List'!$Q:$Q, 'Investor Exit List'!$C:$C, 'Cashflow Projection'!AB134)</f>
        <v/>
      </c>
      <c r="AD134" s="79" t="n"/>
      <c r="AE134" s="56">
        <f>SUMIFS('Investor Exit List'!$Q:$Q, 'Investor Exit List'!$C:$C, 'Cashflow Projection'!AD134)</f>
        <v/>
      </c>
      <c r="AF134" s="80" t="n"/>
    </row>
    <row r="135">
      <c r="A135" s="18" t="inlineStr"/>
      <c r="B135" t="inlineStr"/>
      <c r="C135" s="77">
        <f>IF(H135&lt;&gt;"",I$5,IF(J135&lt;&gt;"",K$5,IF(L135&lt;&gt;"",M$5,IF(N135&lt;&gt;"",O$5,IF(P135&lt;&gt;"",Q$5,IF(R135&lt;&gt;"",S$5,IF(T135&lt;&gt;"",U$5,IF(V135&lt;&gt;"",W$5,IF(X135&lt;&gt;"",Y$5,IF(Z135&lt;&gt;"",AA$5,IF(AB135&lt;&gt;"",AC$5,IF(AD135&lt;&gt;"",AE$5,""))))))))))))</f>
        <v/>
      </c>
      <c r="D135" s="78" t="inlineStr">
        <is>
          <t>HVJ302</t>
        </is>
      </c>
      <c r="E135" s="59">
        <f>IF(F135&lt;&gt;0,1,0)</f>
        <v/>
      </c>
      <c r="F135" s="69">
        <f>+I135+K135+M135+O135+Q135+S135+U135+W135+Y135+AA135+AC135+AE135</f>
        <v/>
      </c>
      <c r="H135" s="64" t="n"/>
      <c r="I135" s="56">
        <f>SUMIFS('Investor Exit List'!$Q:$Q, 'Investor Exit List'!$C:$C, 'Cashflow Projection'!H135)</f>
        <v/>
      </c>
      <c r="J135" s="79" t="n"/>
      <c r="K135" s="56">
        <f>SUMIFS('Investor Exit List'!$Q:$Q, 'Investor Exit List'!$C:$C, 'Cashflow Projection'!J135)</f>
        <v/>
      </c>
      <c r="L135" s="79" t="n"/>
      <c r="M135" s="56">
        <f>SUMIFS('Investor Exit List'!$Q:$Q, 'Investor Exit List'!$C:$C, 'Cashflow Projection'!L135)</f>
        <v/>
      </c>
      <c r="N135" s="79" t="n"/>
      <c r="O135" s="56">
        <f>SUMIFS('Investor Exit List'!$Q:$Q, 'Investor Exit List'!$C:$C, 'Cashflow Projection'!N135)</f>
        <v/>
      </c>
      <c r="P135" s="79" t="n"/>
      <c r="Q135" s="56">
        <f>SUMIFS('Investor Exit List'!$Q:$Q, 'Investor Exit List'!$C:$C, 'Cashflow Projection'!P135)</f>
        <v/>
      </c>
      <c r="R135" s="79" t="n"/>
      <c r="S135" s="56">
        <f>SUMIFS('Investor Exit List'!$Q:$Q, 'Investor Exit List'!$C:$C, 'Cashflow Projection'!R135)</f>
        <v/>
      </c>
      <c r="T135" s="79" t="n"/>
      <c r="U135" s="56">
        <f>SUMIFS('Investor Exit List'!$Q:$Q, 'Investor Exit List'!$C:$C, 'Cashflow Projection'!T135)</f>
        <v/>
      </c>
      <c r="V135" s="79" t="n"/>
      <c r="W135" s="56">
        <f>SUMIFS('Investor Exit List'!$Q:$Q, 'Investor Exit List'!$C:$C, 'Cashflow Projection'!V135)</f>
        <v/>
      </c>
      <c r="X135" s="79" t="n"/>
      <c r="Y135" s="56">
        <f>SUMIFS('Investor Exit List'!$Q:$Q, 'Investor Exit List'!$C:$C, 'Cashflow Projection'!X135)</f>
        <v/>
      </c>
      <c r="Z135" s="79" t="n"/>
      <c r="AA135" s="56">
        <f>SUMIFS('Investor Exit List'!$Q:$Q, 'Investor Exit List'!$C:$C, 'Cashflow Projection'!Z135)</f>
        <v/>
      </c>
      <c r="AB135" s="79" t="n"/>
      <c r="AC135" s="56">
        <f>SUMIFS('Investor Exit List'!$Q:$Q, 'Investor Exit List'!$C:$C, 'Cashflow Projection'!AB135)</f>
        <v/>
      </c>
      <c r="AD135" s="79" t="n"/>
      <c r="AE135" s="56">
        <f>SUMIFS('Investor Exit List'!$Q:$Q, 'Investor Exit List'!$C:$C, 'Cashflow Projection'!AD135)</f>
        <v/>
      </c>
      <c r="AF135" s="80" t="n"/>
    </row>
    <row r="136">
      <c r="A136" s="18" t="inlineStr"/>
      <c r="B136" t="inlineStr"/>
      <c r="C136" s="77">
        <f>IF(H136&lt;&gt;"",I$5,IF(J136&lt;&gt;"",K$5,IF(L136&lt;&gt;"",M$5,IF(N136&lt;&gt;"",O$5,IF(P136&lt;&gt;"",Q$5,IF(R136&lt;&gt;"",S$5,IF(T136&lt;&gt;"",U$5,IF(V136&lt;&gt;"",W$5,IF(X136&lt;&gt;"",Y$5,IF(Z136&lt;&gt;"",AA$5,IF(AB136&lt;&gt;"",AC$5,IF(AD136&lt;&gt;"",AE$5,""))))))))))))</f>
        <v/>
      </c>
      <c r="D136" s="78" t="inlineStr">
        <is>
          <t>HVJ103</t>
        </is>
      </c>
      <c r="E136" s="59">
        <f>IF(F136&lt;&gt;0,1,0)</f>
        <v/>
      </c>
      <c r="F136" s="69">
        <f>+I136+K136+M136+O136+Q136+S136+U136+W136+Y136+AA136+AC136+AE136</f>
        <v/>
      </c>
      <c r="H136" s="64" t="n"/>
      <c r="I136" s="56">
        <f>SUMIFS('Investor Exit List'!$Q:$Q, 'Investor Exit List'!$C:$C, 'Cashflow Projection'!H136)</f>
        <v/>
      </c>
      <c r="J136" s="79" t="n"/>
      <c r="K136" s="56">
        <f>SUMIFS('Investor Exit List'!$Q:$Q, 'Investor Exit List'!$C:$C, 'Cashflow Projection'!J136)</f>
        <v/>
      </c>
      <c r="L136" s="79" t="n"/>
      <c r="M136" s="56">
        <f>SUMIFS('Investor Exit List'!$Q:$Q, 'Investor Exit List'!$C:$C, 'Cashflow Projection'!L136)</f>
        <v/>
      </c>
      <c r="N136" s="79" t="n"/>
      <c r="O136" s="56">
        <f>SUMIFS('Investor Exit List'!$Q:$Q, 'Investor Exit List'!$C:$C, 'Cashflow Projection'!N136)</f>
        <v/>
      </c>
      <c r="P136" s="79" t="n"/>
      <c r="Q136" s="56">
        <f>SUMIFS('Investor Exit List'!$Q:$Q, 'Investor Exit List'!$C:$C, 'Cashflow Projection'!P136)</f>
        <v/>
      </c>
      <c r="R136" s="79" t="n"/>
      <c r="S136" s="56">
        <f>SUMIFS('Investor Exit List'!$Q:$Q, 'Investor Exit List'!$C:$C, 'Cashflow Projection'!R136)</f>
        <v/>
      </c>
      <c r="T136" s="79" t="n"/>
      <c r="U136" s="56">
        <f>SUMIFS('Investor Exit List'!$Q:$Q, 'Investor Exit List'!$C:$C, 'Cashflow Projection'!T136)</f>
        <v/>
      </c>
      <c r="V136" s="79" t="n"/>
      <c r="W136" s="56">
        <f>SUMIFS('Investor Exit List'!$Q:$Q, 'Investor Exit List'!$C:$C, 'Cashflow Projection'!V136)</f>
        <v/>
      </c>
      <c r="X136" s="79" t="n"/>
      <c r="Y136" s="56">
        <f>SUMIFS('Investor Exit List'!$Q:$Q, 'Investor Exit List'!$C:$C, 'Cashflow Projection'!X136)</f>
        <v/>
      </c>
      <c r="Z136" s="79" t="n"/>
      <c r="AA136" s="56">
        <f>SUMIFS('Investor Exit List'!$Q:$Q, 'Investor Exit List'!$C:$C, 'Cashflow Projection'!Z136)</f>
        <v/>
      </c>
      <c r="AB136" s="79" t="n"/>
      <c r="AC136" s="56">
        <f>SUMIFS('Investor Exit List'!$Q:$Q, 'Investor Exit List'!$C:$C, 'Cashflow Projection'!AB136)</f>
        <v/>
      </c>
      <c r="AD136" s="79" t="n"/>
      <c r="AE136" s="56">
        <f>SUMIFS('Investor Exit List'!$Q:$Q, 'Investor Exit List'!$C:$C, 'Cashflow Projection'!AD136)</f>
        <v/>
      </c>
      <c r="AF136" s="80" t="n"/>
    </row>
    <row r="137">
      <c r="A137" s="18" t="inlineStr"/>
      <c r="B137" t="inlineStr"/>
      <c r="C137" s="77">
        <f>IF(H137&lt;&gt;"",I$5,IF(J137&lt;&gt;"",K$5,IF(L137&lt;&gt;"",M$5,IF(N137&lt;&gt;"",O$5,IF(P137&lt;&gt;"",Q$5,IF(R137&lt;&gt;"",S$5,IF(T137&lt;&gt;"",U$5,IF(V137&lt;&gt;"",W$5,IF(X137&lt;&gt;"",Y$5,IF(Z137&lt;&gt;"",AA$5,IF(AB137&lt;&gt;"",AC$5,IF(AD137&lt;&gt;"",AE$5,""))))))))))))</f>
        <v/>
      </c>
      <c r="D137" s="78" t="inlineStr">
        <is>
          <t>HVJ303</t>
        </is>
      </c>
      <c r="E137" s="59">
        <f>IF(F137&lt;&gt;0,1,0)</f>
        <v/>
      </c>
      <c r="F137" s="69">
        <f>+I137+K137+M137+O137+Q137+S137+U137+W137+Y137+AA137+AC137+AE137</f>
        <v/>
      </c>
      <c r="H137" s="64" t="n"/>
      <c r="I137" s="56">
        <f>SUMIFS('Investor Exit List'!$Q:$Q, 'Investor Exit List'!$C:$C, 'Cashflow Projection'!H137)</f>
        <v/>
      </c>
      <c r="J137" s="79" t="n"/>
      <c r="K137" s="56">
        <f>SUMIFS('Investor Exit List'!$Q:$Q, 'Investor Exit List'!$C:$C, 'Cashflow Projection'!J137)</f>
        <v/>
      </c>
      <c r="L137" s="79" t="n"/>
      <c r="M137" s="56">
        <f>SUMIFS('Investor Exit List'!$Q:$Q, 'Investor Exit List'!$C:$C, 'Cashflow Projection'!L137)</f>
        <v/>
      </c>
      <c r="N137" s="79" t="n"/>
      <c r="O137" s="56">
        <f>SUMIFS('Investor Exit List'!$Q:$Q, 'Investor Exit List'!$C:$C, 'Cashflow Projection'!N137)</f>
        <v/>
      </c>
      <c r="P137" s="79" t="n"/>
      <c r="Q137" s="56">
        <f>SUMIFS('Investor Exit List'!$Q:$Q, 'Investor Exit List'!$C:$C, 'Cashflow Projection'!P137)</f>
        <v/>
      </c>
      <c r="R137" s="79" t="n"/>
      <c r="S137" s="56">
        <f>SUMIFS('Investor Exit List'!$Q:$Q, 'Investor Exit List'!$C:$C, 'Cashflow Projection'!R137)</f>
        <v/>
      </c>
      <c r="T137" s="79" t="n"/>
      <c r="U137" s="56">
        <f>SUMIFS('Investor Exit List'!$Q:$Q, 'Investor Exit List'!$C:$C, 'Cashflow Projection'!T137)</f>
        <v/>
      </c>
      <c r="V137" s="79" t="n"/>
      <c r="W137" s="56">
        <f>SUMIFS('Investor Exit List'!$Q:$Q, 'Investor Exit List'!$C:$C, 'Cashflow Projection'!V137)</f>
        <v/>
      </c>
      <c r="X137" s="79" t="n"/>
      <c r="Y137" s="56">
        <f>SUMIFS('Investor Exit List'!$Q:$Q, 'Investor Exit List'!$C:$C, 'Cashflow Projection'!X137)</f>
        <v/>
      </c>
      <c r="Z137" s="79" t="n"/>
      <c r="AA137" s="56">
        <f>SUMIFS('Investor Exit List'!$Q:$Q, 'Investor Exit List'!$C:$C, 'Cashflow Projection'!Z137)</f>
        <v/>
      </c>
      <c r="AB137" s="79" t="n"/>
      <c r="AC137" s="56">
        <f>SUMIFS('Investor Exit List'!$Q:$Q, 'Investor Exit List'!$C:$C, 'Cashflow Projection'!AB137)</f>
        <v/>
      </c>
      <c r="AD137" s="79" t="n"/>
      <c r="AE137" s="56">
        <f>SUMIFS('Investor Exit List'!$Q:$Q, 'Investor Exit List'!$C:$C, 'Cashflow Projection'!AD137)</f>
        <v/>
      </c>
      <c r="AF137" s="80" t="n"/>
    </row>
    <row r="138">
      <c r="A138" s="18" t="inlineStr"/>
      <c r="B138" t="inlineStr"/>
      <c r="C138" s="77">
        <f>IF(H138&lt;&gt;"",I$5,IF(J138&lt;&gt;"",K$5,IF(L138&lt;&gt;"",M$5,IF(N138&lt;&gt;"",O$5,IF(P138&lt;&gt;"",Q$5,IF(R138&lt;&gt;"",S$5,IF(T138&lt;&gt;"",U$5,IF(V138&lt;&gt;"",W$5,IF(X138&lt;&gt;"",Y$5,IF(Z138&lt;&gt;"",AA$5,IF(AB138&lt;&gt;"",AC$5,IF(AD138&lt;&gt;"",AE$5,""))))))))))))</f>
        <v/>
      </c>
      <c r="D138" s="78" t="inlineStr">
        <is>
          <t>HVJ403</t>
        </is>
      </c>
      <c r="E138" s="59">
        <f>IF(F138&lt;&gt;0,1,0)</f>
        <v/>
      </c>
      <c r="F138" s="69">
        <f>+I138+K138+M138+O138+Q138+S138+U138+W138+Y138+AA138+AC138+AE138</f>
        <v/>
      </c>
      <c r="H138" s="64" t="n"/>
      <c r="I138" s="56">
        <f>SUMIFS('Investor Exit List'!$Q:$Q, 'Investor Exit List'!$C:$C, 'Cashflow Projection'!H138)</f>
        <v/>
      </c>
      <c r="J138" s="79" t="n"/>
      <c r="K138" s="56">
        <f>SUMIFS('Investor Exit List'!$Q:$Q, 'Investor Exit List'!$C:$C, 'Cashflow Projection'!J138)</f>
        <v/>
      </c>
      <c r="L138" s="79" t="n"/>
      <c r="M138" s="56">
        <f>SUMIFS('Investor Exit List'!$Q:$Q, 'Investor Exit List'!$C:$C, 'Cashflow Projection'!L138)</f>
        <v/>
      </c>
      <c r="N138" s="79" t="n"/>
      <c r="O138" s="56">
        <f>SUMIFS('Investor Exit List'!$Q:$Q, 'Investor Exit List'!$C:$C, 'Cashflow Projection'!N138)</f>
        <v/>
      </c>
      <c r="P138" s="79" t="n"/>
      <c r="Q138" s="56">
        <f>SUMIFS('Investor Exit List'!$Q:$Q, 'Investor Exit List'!$C:$C, 'Cashflow Projection'!P138)</f>
        <v/>
      </c>
      <c r="R138" s="79" t="n"/>
      <c r="S138" s="56">
        <f>SUMIFS('Investor Exit List'!$Q:$Q, 'Investor Exit List'!$C:$C, 'Cashflow Projection'!R138)</f>
        <v/>
      </c>
      <c r="T138" s="79" t="n"/>
      <c r="U138" s="56">
        <f>SUMIFS('Investor Exit List'!$Q:$Q, 'Investor Exit List'!$C:$C, 'Cashflow Projection'!T138)</f>
        <v/>
      </c>
      <c r="V138" s="79" t="n"/>
      <c r="W138" s="56">
        <f>SUMIFS('Investor Exit List'!$Q:$Q, 'Investor Exit List'!$C:$C, 'Cashflow Projection'!V138)</f>
        <v/>
      </c>
      <c r="X138" s="79" t="n"/>
      <c r="Y138" s="56">
        <f>SUMIFS('Investor Exit List'!$Q:$Q, 'Investor Exit List'!$C:$C, 'Cashflow Projection'!X138)</f>
        <v/>
      </c>
      <c r="Z138" s="79" t="n"/>
      <c r="AA138" s="56">
        <f>SUMIFS('Investor Exit List'!$Q:$Q, 'Investor Exit List'!$C:$C, 'Cashflow Projection'!Z138)</f>
        <v/>
      </c>
      <c r="AB138" s="79" t="n"/>
      <c r="AC138" s="56">
        <f>SUMIFS('Investor Exit List'!$Q:$Q, 'Investor Exit List'!$C:$C, 'Cashflow Projection'!AB138)</f>
        <v/>
      </c>
      <c r="AD138" s="79" t="n"/>
      <c r="AE138" s="56">
        <f>SUMIFS('Investor Exit List'!$Q:$Q, 'Investor Exit List'!$C:$C, 'Cashflow Projection'!AD138)</f>
        <v/>
      </c>
      <c r="AF138" s="80" t="n"/>
    </row>
    <row r="139">
      <c r="A139" s="18" t="inlineStr"/>
      <c r="B139" t="inlineStr"/>
      <c r="C139" s="77">
        <f>IF(H139&lt;&gt;"",I$5,IF(J139&lt;&gt;"",K$5,IF(L139&lt;&gt;"",M$5,IF(N139&lt;&gt;"",O$5,IF(P139&lt;&gt;"",Q$5,IF(R139&lt;&gt;"",S$5,IF(T139&lt;&gt;"",U$5,IF(V139&lt;&gt;"",W$5,IF(X139&lt;&gt;"",Y$5,IF(Z139&lt;&gt;"",AA$5,IF(AB139&lt;&gt;"",AC$5,IF(AD139&lt;&gt;"",AE$5,""))))))))))))</f>
        <v/>
      </c>
      <c r="D139" s="78" t="inlineStr">
        <is>
          <t>HVJ201</t>
        </is>
      </c>
      <c r="E139" s="59">
        <f>IF(F139&lt;&gt;0,1,0)</f>
        <v/>
      </c>
      <c r="F139" s="69">
        <f>+I139+K139+M139+O139+Q139+S139+U139+W139+Y139+AA139+AC139+AE139</f>
        <v/>
      </c>
      <c r="H139" s="64" t="n"/>
      <c r="I139" s="56">
        <f>SUMIFS('Investor Exit List'!$Q:$Q, 'Investor Exit List'!$C:$C, 'Cashflow Projection'!H139)</f>
        <v/>
      </c>
      <c r="J139" s="79" t="n"/>
      <c r="K139" s="56">
        <f>SUMIFS('Investor Exit List'!$Q:$Q, 'Investor Exit List'!$C:$C, 'Cashflow Projection'!J139)</f>
        <v/>
      </c>
      <c r="L139" s="79" t="n"/>
      <c r="M139" s="56">
        <f>SUMIFS('Investor Exit List'!$Q:$Q, 'Investor Exit List'!$C:$C, 'Cashflow Projection'!L139)</f>
        <v/>
      </c>
      <c r="N139" s="79" t="n"/>
      <c r="O139" s="56">
        <f>SUMIFS('Investor Exit List'!$Q:$Q, 'Investor Exit List'!$C:$C, 'Cashflow Projection'!N139)</f>
        <v/>
      </c>
      <c r="P139" s="79" t="n"/>
      <c r="Q139" s="56">
        <f>SUMIFS('Investor Exit List'!$Q:$Q, 'Investor Exit List'!$C:$C, 'Cashflow Projection'!P139)</f>
        <v/>
      </c>
      <c r="R139" s="79" t="n"/>
      <c r="S139" s="56">
        <f>SUMIFS('Investor Exit List'!$Q:$Q, 'Investor Exit List'!$C:$C, 'Cashflow Projection'!R139)</f>
        <v/>
      </c>
      <c r="T139" s="79" t="n"/>
      <c r="U139" s="56">
        <f>SUMIFS('Investor Exit List'!$Q:$Q, 'Investor Exit List'!$C:$C, 'Cashflow Projection'!T139)</f>
        <v/>
      </c>
      <c r="V139" s="79" t="n"/>
      <c r="W139" s="56">
        <f>SUMIFS('Investor Exit List'!$Q:$Q, 'Investor Exit List'!$C:$C, 'Cashflow Projection'!V139)</f>
        <v/>
      </c>
      <c r="X139" s="79" t="n"/>
      <c r="Y139" s="56">
        <f>SUMIFS('Investor Exit List'!$Q:$Q, 'Investor Exit List'!$C:$C, 'Cashflow Projection'!X139)</f>
        <v/>
      </c>
      <c r="Z139" s="79" t="n"/>
      <c r="AA139" s="56">
        <f>SUMIFS('Investor Exit List'!$Q:$Q, 'Investor Exit List'!$C:$C, 'Cashflow Projection'!Z139)</f>
        <v/>
      </c>
      <c r="AB139" s="79" t="n"/>
      <c r="AC139" s="56">
        <f>SUMIFS('Investor Exit List'!$Q:$Q, 'Investor Exit List'!$C:$C, 'Cashflow Projection'!AB139)</f>
        <v/>
      </c>
      <c r="AD139" s="79" t="n"/>
      <c r="AE139" s="56">
        <f>SUMIFS('Investor Exit List'!$Q:$Q, 'Investor Exit List'!$C:$C, 'Cashflow Projection'!AD139)</f>
        <v/>
      </c>
      <c r="AF139" s="80" t="n"/>
    </row>
    <row r="140">
      <c r="A140" s="18" t="inlineStr"/>
      <c r="B140" t="inlineStr"/>
      <c r="C140" s="77">
        <f>IF(H140&lt;&gt;"",I$5,IF(J140&lt;&gt;"",K$5,IF(L140&lt;&gt;"",M$5,IF(N140&lt;&gt;"",O$5,IF(P140&lt;&gt;"",Q$5,IF(R140&lt;&gt;"",S$5,IF(T140&lt;&gt;"",U$5,IF(V140&lt;&gt;"",W$5,IF(X140&lt;&gt;"",Y$5,IF(Z140&lt;&gt;"",AA$5,IF(AB140&lt;&gt;"",AC$5,IF(AD140&lt;&gt;"",AE$5,""))))))))))))</f>
        <v/>
      </c>
      <c r="D140" s="78" t="inlineStr">
        <is>
          <t>HVJ202</t>
        </is>
      </c>
      <c r="E140" s="59">
        <f>IF(F140&lt;&gt;0,1,0)</f>
        <v/>
      </c>
      <c r="F140" s="69">
        <f>+I140+K140+M140+O140+Q140+S140+U140+W140+Y140+AA140+AC140+AE140</f>
        <v/>
      </c>
      <c r="H140" s="64" t="n"/>
      <c r="I140" s="56">
        <f>SUMIFS('Investor Exit List'!$Q:$Q, 'Investor Exit List'!$C:$C, 'Cashflow Projection'!H140)</f>
        <v/>
      </c>
      <c r="J140" s="79" t="n"/>
      <c r="K140" s="56">
        <f>SUMIFS('Investor Exit List'!$Q:$Q, 'Investor Exit List'!$C:$C, 'Cashflow Projection'!J140)</f>
        <v/>
      </c>
      <c r="L140" s="79" t="n"/>
      <c r="M140" s="56">
        <f>SUMIFS('Investor Exit List'!$Q:$Q, 'Investor Exit List'!$C:$C, 'Cashflow Projection'!L140)</f>
        <v/>
      </c>
      <c r="N140" s="79" t="n"/>
      <c r="O140" s="56">
        <f>SUMIFS('Investor Exit List'!$Q:$Q, 'Investor Exit List'!$C:$C, 'Cashflow Projection'!N140)</f>
        <v/>
      </c>
      <c r="P140" s="79" t="n"/>
      <c r="Q140" s="56">
        <f>SUMIFS('Investor Exit List'!$Q:$Q, 'Investor Exit List'!$C:$C, 'Cashflow Projection'!P140)</f>
        <v/>
      </c>
      <c r="R140" s="79" t="n"/>
      <c r="S140" s="56">
        <f>SUMIFS('Investor Exit List'!$Q:$Q, 'Investor Exit List'!$C:$C, 'Cashflow Projection'!R140)</f>
        <v/>
      </c>
      <c r="T140" s="79" t="n"/>
      <c r="U140" s="56">
        <f>SUMIFS('Investor Exit List'!$Q:$Q, 'Investor Exit List'!$C:$C, 'Cashflow Projection'!T140)</f>
        <v/>
      </c>
      <c r="V140" s="79" t="n"/>
      <c r="W140" s="56">
        <f>SUMIFS('Investor Exit List'!$Q:$Q, 'Investor Exit List'!$C:$C, 'Cashflow Projection'!V140)</f>
        <v/>
      </c>
      <c r="X140" s="79" t="n"/>
      <c r="Y140" s="56">
        <f>SUMIFS('Investor Exit List'!$Q:$Q, 'Investor Exit List'!$C:$C, 'Cashflow Projection'!X140)</f>
        <v/>
      </c>
      <c r="Z140" s="79" t="n"/>
      <c r="AA140" s="56">
        <f>SUMIFS('Investor Exit List'!$Q:$Q, 'Investor Exit List'!$C:$C, 'Cashflow Projection'!Z140)</f>
        <v/>
      </c>
      <c r="AB140" s="79" t="n"/>
      <c r="AC140" s="56">
        <f>SUMIFS('Investor Exit List'!$Q:$Q, 'Investor Exit List'!$C:$C, 'Cashflow Projection'!AB140)</f>
        <v/>
      </c>
      <c r="AD140" s="79" t="n"/>
      <c r="AE140" s="56">
        <f>SUMIFS('Investor Exit List'!$Q:$Q, 'Investor Exit List'!$C:$C, 'Cashflow Projection'!AD140)</f>
        <v/>
      </c>
      <c r="AF140" s="80" t="n"/>
    </row>
    <row r="141">
      <c r="A141" s="18" t="inlineStr"/>
      <c r="B141" t="inlineStr"/>
      <c r="C141" s="77">
        <f>IF(H141&lt;&gt;"",I$5,IF(J141&lt;&gt;"",K$5,IF(L141&lt;&gt;"",M$5,IF(N141&lt;&gt;"",O$5,IF(P141&lt;&gt;"",Q$5,IF(R141&lt;&gt;"",S$5,IF(T141&lt;&gt;"",U$5,IF(V141&lt;&gt;"",W$5,IF(X141&lt;&gt;"",Y$5,IF(Z141&lt;&gt;"",AA$5,IF(AB141&lt;&gt;"",AC$5,IF(AD141&lt;&gt;"",AE$5,""))))))))))))</f>
        <v/>
      </c>
      <c r="D141" s="78" t="inlineStr">
        <is>
          <t>HVJ301</t>
        </is>
      </c>
      <c r="E141" s="59">
        <f>IF(F141&lt;&gt;0,1,0)</f>
        <v/>
      </c>
      <c r="F141" s="69">
        <f>+I141+K141+M141+O141+Q141+S141+U141+W141+Y141+AA141+AC141+AE141</f>
        <v/>
      </c>
      <c r="H141" s="64" t="n"/>
      <c r="I141" s="56">
        <f>SUMIFS('Investor Exit List'!$Q:$Q, 'Investor Exit List'!$C:$C, 'Cashflow Projection'!H141)</f>
        <v/>
      </c>
      <c r="J141" s="79" t="n"/>
      <c r="K141" s="56">
        <f>SUMIFS('Investor Exit List'!$Q:$Q, 'Investor Exit List'!$C:$C, 'Cashflow Projection'!J141)</f>
        <v/>
      </c>
      <c r="L141" s="79" t="n"/>
      <c r="M141" s="56">
        <f>SUMIFS('Investor Exit List'!$Q:$Q, 'Investor Exit List'!$C:$C, 'Cashflow Projection'!L141)</f>
        <v/>
      </c>
      <c r="N141" s="79" t="n"/>
      <c r="O141" s="56">
        <f>SUMIFS('Investor Exit List'!$Q:$Q, 'Investor Exit List'!$C:$C, 'Cashflow Projection'!N141)</f>
        <v/>
      </c>
      <c r="P141" s="79" t="n"/>
      <c r="Q141" s="56">
        <f>SUMIFS('Investor Exit List'!$Q:$Q, 'Investor Exit List'!$C:$C, 'Cashflow Projection'!P141)</f>
        <v/>
      </c>
      <c r="R141" s="79" t="n"/>
      <c r="S141" s="56">
        <f>SUMIFS('Investor Exit List'!$Q:$Q, 'Investor Exit List'!$C:$C, 'Cashflow Projection'!R141)</f>
        <v/>
      </c>
      <c r="T141" s="79" t="n"/>
      <c r="U141" s="56">
        <f>SUMIFS('Investor Exit List'!$Q:$Q, 'Investor Exit List'!$C:$C, 'Cashflow Projection'!T141)</f>
        <v/>
      </c>
      <c r="V141" s="79" t="n"/>
      <c r="W141" s="56">
        <f>SUMIFS('Investor Exit List'!$Q:$Q, 'Investor Exit List'!$C:$C, 'Cashflow Projection'!V141)</f>
        <v/>
      </c>
      <c r="X141" s="79" t="n"/>
      <c r="Y141" s="56">
        <f>SUMIFS('Investor Exit List'!$Q:$Q, 'Investor Exit List'!$C:$C, 'Cashflow Projection'!X141)</f>
        <v/>
      </c>
      <c r="Z141" s="79" t="n"/>
      <c r="AA141" s="56">
        <f>SUMIFS('Investor Exit List'!$Q:$Q, 'Investor Exit List'!$C:$C, 'Cashflow Projection'!Z141)</f>
        <v/>
      </c>
      <c r="AB141" s="79" t="n"/>
      <c r="AC141" s="56">
        <f>SUMIFS('Investor Exit List'!$Q:$Q, 'Investor Exit List'!$C:$C, 'Cashflow Projection'!AB141)</f>
        <v/>
      </c>
      <c r="AD141" s="79" t="n"/>
      <c r="AE141" s="56">
        <f>SUMIFS('Investor Exit List'!$Q:$Q, 'Investor Exit List'!$C:$C, 'Cashflow Projection'!AD141)</f>
        <v/>
      </c>
      <c r="AF141" s="80" t="n"/>
    </row>
    <row r="142">
      <c r="A142" s="18" t="inlineStr"/>
      <c r="B142" t="inlineStr"/>
      <c r="C142" s="77">
        <f>IF(H142&lt;&gt;"",I$5,IF(J142&lt;&gt;"",K$5,IF(L142&lt;&gt;"",M$5,IF(N142&lt;&gt;"",O$5,IF(P142&lt;&gt;"",Q$5,IF(R142&lt;&gt;"",S$5,IF(T142&lt;&gt;"",U$5,IF(V142&lt;&gt;"",W$5,IF(X142&lt;&gt;"",Y$5,IF(Z142&lt;&gt;"",AA$5,IF(AB142&lt;&gt;"",AC$5,IF(AD142&lt;&gt;"",AE$5,""))))))))))))</f>
        <v/>
      </c>
      <c r="D142" s="78" t="inlineStr">
        <is>
          <t>HVJ401</t>
        </is>
      </c>
      <c r="E142" s="59">
        <f>IF(F142&lt;&gt;0,1,0)</f>
        <v/>
      </c>
      <c r="F142" s="69">
        <f>+I142+K142+M142+O142+Q142+S142+U142+W142+Y142+AA142+AC142+AE142</f>
        <v/>
      </c>
      <c r="H142" s="64" t="n"/>
      <c r="I142" s="56">
        <f>SUMIFS('Investor Exit List'!$Q:$Q, 'Investor Exit List'!$C:$C, 'Cashflow Projection'!H142)</f>
        <v/>
      </c>
      <c r="J142" s="79" t="n"/>
      <c r="K142" s="56">
        <f>SUMIFS('Investor Exit List'!$Q:$Q, 'Investor Exit List'!$C:$C, 'Cashflow Projection'!J142)</f>
        <v/>
      </c>
      <c r="L142" s="79" t="n"/>
      <c r="M142" s="56">
        <f>SUMIFS('Investor Exit List'!$Q:$Q, 'Investor Exit List'!$C:$C, 'Cashflow Projection'!L142)</f>
        <v/>
      </c>
      <c r="N142" s="79" t="n"/>
      <c r="O142" s="56">
        <f>SUMIFS('Investor Exit List'!$Q:$Q, 'Investor Exit List'!$C:$C, 'Cashflow Projection'!N142)</f>
        <v/>
      </c>
      <c r="P142" s="79" t="n"/>
      <c r="Q142" s="56">
        <f>SUMIFS('Investor Exit List'!$Q:$Q, 'Investor Exit List'!$C:$C, 'Cashflow Projection'!P142)</f>
        <v/>
      </c>
      <c r="R142" s="79" t="n"/>
      <c r="S142" s="56">
        <f>SUMIFS('Investor Exit List'!$Q:$Q, 'Investor Exit List'!$C:$C, 'Cashflow Projection'!R142)</f>
        <v/>
      </c>
      <c r="T142" s="79" t="n"/>
      <c r="U142" s="56">
        <f>SUMIFS('Investor Exit List'!$Q:$Q, 'Investor Exit List'!$C:$C, 'Cashflow Projection'!T142)</f>
        <v/>
      </c>
      <c r="V142" s="79" t="n"/>
      <c r="W142" s="56">
        <f>SUMIFS('Investor Exit List'!$Q:$Q, 'Investor Exit List'!$C:$C, 'Cashflow Projection'!V142)</f>
        <v/>
      </c>
      <c r="X142" s="79" t="n"/>
      <c r="Y142" s="56">
        <f>SUMIFS('Investor Exit List'!$Q:$Q, 'Investor Exit List'!$C:$C, 'Cashflow Projection'!X142)</f>
        <v/>
      </c>
      <c r="Z142" s="79" t="n"/>
      <c r="AA142" s="56">
        <f>SUMIFS('Investor Exit List'!$Q:$Q, 'Investor Exit List'!$C:$C, 'Cashflow Projection'!Z142)</f>
        <v/>
      </c>
      <c r="AB142" s="79" t="n"/>
      <c r="AC142" s="56">
        <f>SUMIFS('Investor Exit List'!$Q:$Q, 'Investor Exit List'!$C:$C, 'Cashflow Projection'!AB142)</f>
        <v/>
      </c>
      <c r="AD142" s="79" t="n"/>
      <c r="AE142" s="56">
        <f>SUMIFS('Investor Exit List'!$Q:$Q, 'Investor Exit List'!$C:$C, 'Cashflow Projection'!AD142)</f>
        <v/>
      </c>
      <c r="AF142" s="80" t="n"/>
    </row>
    <row r="143">
      <c r="A143" s="18" t="inlineStr"/>
      <c r="B143" t="inlineStr"/>
      <c r="C143" s="77">
        <f>IF(H143&lt;&gt;"",I$5,IF(J143&lt;&gt;"",K$5,IF(L143&lt;&gt;"",M$5,IF(N143&lt;&gt;"",O$5,IF(P143&lt;&gt;"",Q$5,IF(R143&lt;&gt;"",S$5,IF(T143&lt;&gt;"",U$5,IF(V143&lt;&gt;"",W$5,IF(X143&lt;&gt;"",Y$5,IF(Z143&lt;&gt;"",AA$5,IF(AB143&lt;&gt;"",AC$5,IF(AD143&lt;&gt;"",AE$5,""))))))))))))</f>
        <v/>
      </c>
      <c r="D143" s="78" t="inlineStr">
        <is>
          <t>HVJ402</t>
        </is>
      </c>
      <c r="E143" s="59">
        <f>IF(F143&lt;&gt;0,1,0)</f>
        <v/>
      </c>
      <c r="F143" s="69">
        <f>+I143+K143+M143+O143+Q143+S143+U143+W143+Y143+AA143+AC143+AE143</f>
        <v/>
      </c>
      <c r="H143" s="64" t="n"/>
      <c r="I143" s="56">
        <f>SUMIFS('Investor Exit List'!$Q:$Q, 'Investor Exit List'!$C:$C, 'Cashflow Projection'!H143)</f>
        <v/>
      </c>
      <c r="J143" s="79" t="n"/>
      <c r="K143" s="56">
        <f>SUMIFS('Investor Exit List'!$Q:$Q, 'Investor Exit List'!$C:$C, 'Cashflow Projection'!J143)</f>
        <v/>
      </c>
      <c r="L143" s="79" t="n"/>
      <c r="M143" s="56">
        <f>SUMIFS('Investor Exit List'!$Q:$Q, 'Investor Exit List'!$C:$C, 'Cashflow Projection'!L143)</f>
        <v/>
      </c>
      <c r="N143" s="79" t="n"/>
      <c r="O143" s="56">
        <f>SUMIFS('Investor Exit List'!$Q:$Q, 'Investor Exit List'!$C:$C, 'Cashflow Projection'!N143)</f>
        <v/>
      </c>
      <c r="P143" s="79" t="n"/>
      <c r="Q143" s="56">
        <f>SUMIFS('Investor Exit List'!$Q:$Q, 'Investor Exit List'!$C:$C, 'Cashflow Projection'!P143)</f>
        <v/>
      </c>
      <c r="R143" s="79" t="n"/>
      <c r="S143" s="56">
        <f>SUMIFS('Investor Exit List'!$Q:$Q, 'Investor Exit List'!$C:$C, 'Cashflow Projection'!R143)</f>
        <v/>
      </c>
      <c r="T143" s="79" t="n"/>
      <c r="U143" s="56">
        <f>SUMIFS('Investor Exit List'!$Q:$Q, 'Investor Exit List'!$C:$C, 'Cashflow Projection'!T143)</f>
        <v/>
      </c>
      <c r="V143" s="79" t="n"/>
      <c r="W143" s="56">
        <f>SUMIFS('Investor Exit List'!$Q:$Q, 'Investor Exit List'!$C:$C, 'Cashflow Projection'!V143)</f>
        <v/>
      </c>
      <c r="X143" s="79" t="n"/>
      <c r="Y143" s="56">
        <f>SUMIFS('Investor Exit List'!$Q:$Q, 'Investor Exit List'!$C:$C, 'Cashflow Projection'!X143)</f>
        <v/>
      </c>
      <c r="Z143" s="79" t="n"/>
      <c r="AA143" s="56">
        <f>SUMIFS('Investor Exit List'!$Q:$Q, 'Investor Exit List'!$C:$C, 'Cashflow Projection'!Z143)</f>
        <v/>
      </c>
      <c r="AB143" s="79" t="n"/>
      <c r="AC143" s="56">
        <f>SUMIFS('Investor Exit List'!$Q:$Q, 'Investor Exit List'!$C:$C, 'Cashflow Projection'!AB143)</f>
        <v/>
      </c>
      <c r="AD143" s="79" t="n"/>
      <c r="AE143" s="56">
        <f>SUMIFS('Investor Exit List'!$Q:$Q, 'Investor Exit List'!$C:$C, 'Cashflow Projection'!AD143)</f>
        <v/>
      </c>
      <c r="AF143" s="80" t="n"/>
    </row>
    <row r="144">
      <c r="A144" s="18" t="inlineStr"/>
      <c r="B144" t="inlineStr"/>
      <c r="C144" s="77">
        <f>IF(H144&lt;&gt;"",I$5,IF(J144&lt;&gt;"",K$5,IF(L144&lt;&gt;"",M$5,IF(N144&lt;&gt;"",O$5,IF(P144&lt;&gt;"",Q$5,IF(R144&lt;&gt;"",S$5,IF(T144&lt;&gt;"",U$5,IF(V144&lt;&gt;"",W$5,IF(X144&lt;&gt;"",Y$5,IF(Z144&lt;&gt;"",AA$5,IF(AB144&lt;&gt;"",AC$5,IF(AD144&lt;&gt;"",AE$5,""))))))))))))</f>
        <v/>
      </c>
      <c r="D144" s="78" t="inlineStr">
        <is>
          <t>HVM101</t>
        </is>
      </c>
      <c r="E144" s="59">
        <f>IF(F144&lt;&gt;0,1,0)</f>
        <v/>
      </c>
      <c r="F144" s="69">
        <f>+I144+K144+M144+O144+Q144+S144+U144+W144+Y144+AA144+AC144+AE144</f>
        <v/>
      </c>
      <c r="H144" s="64" t="n"/>
      <c r="I144" s="56">
        <f>SUMIFS('Investor Exit List'!$Q:$Q, 'Investor Exit List'!$C:$C, 'Cashflow Projection'!H144)</f>
        <v/>
      </c>
      <c r="J144" s="79" t="n"/>
      <c r="K144" s="56">
        <f>SUMIFS('Investor Exit List'!$Q:$Q, 'Investor Exit List'!$C:$C, 'Cashflow Projection'!J144)</f>
        <v/>
      </c>
      <c r="L144" s="79" t="n"/>
      <c r="M144" s="56">
        <f>SUMIFS('Investor Exit List'!$Q:$Q, 'Investor Exit List'!$C:$C, 'Cashflow Projection'!L144)</f>
        <v/>
      </c>
      <c r="N144" s="79" t="n"/>
      <c r="O144" s="56">
        <f>SUMIFS('Investor Exit List'!$Q:$Q, 'Investor Exit List'!$C:$C, 'Cashflow Projection'!N144)</f>
        <v/>
      </c>
      <c r="P144" s="79" t="n"/>
      <c r="Q144" s="56">
        <f>SUMIFS('Investor Exit List'!$Q:$Q, 'Investor Exit List'!$C:$C, 'Cashflow Projection'!P144)</f>
        <v/>
      </c>
      <c r="R144" s="79" t="n"/>
      <c r="S144" s="56">
        <f>SUMIFS('Investor Exit List'!$Q:$Q, 'Investor Exit List'!$C:$C, 'Cashflow Projection'!R144)</f>
        <v/>
      </c>
      <c r="T144" s="79" t="n"/>
      <c r="U144" s="56">
        <f>SUMIFS('Investor Exit List'!$Q:$Q, 'Investor Exit List'!$C:$C, 'Cashflow Projection'!T144)</f>
        <v/>
      </c>
      <c r="V144" s="79" t="n"/>
      <c r="W144" s="56">
        <f>SUMIFS('Investor Exit List'!$Q:$Q, 'Investor Exit List'!$C:$C, 'Cashflow Projection'!V144)</f>
        <v/>
      </c>
      <c r="X144" s="79" t="n"/>
      <c r="Y144" s="56">
        <f>SUMIFS('Investor Exit List'!$Q:$Q, 'Investor Exit List'!$C:$C, 'Cashflow Projection'!X144)</f>
        <v/>
      </c>
      <c r="Z144" s="79" t="n"/>
      <c r="AA144" s="56">
        <f>SUMIFS('Investor Exit List'!$Q:$Q, 'Investor Exit List'!$C:$C, 'Cashflow Projection'!Z144)</f>
        <v/>
      </c>
      <c r="AB144" s="79" t="n"/>
      <c r="AC144" s="56">
        <f>SUMIFS('Investor Exit List'!$Q:$Q, 'Investor Exit List'!$C:$C, 'Cashflow Projection'!AB144)</f>
        <v/>
      </c>
      <c r="AD144" s="79" t="n"/>
      <c r="AE144" s="56">
        <f>SUMIFS('Investor Exit List'!$Q:$Q, 'Investor Exit List'!$C:$C, 'Cashflow Projection'!AD144)</f>
        <v/>
      </c>
      <c r="AF144" s="80" t="n"/>
    </row>
    <row r="145">
      <c r="A145" s="18" t="inlineStr"/>
      <c r="B145" t="inlineStr"/>
      <c r="C145" s="77">
        <f>IF(H145&lt;&gt;"",I$5,IF(J145&lt;&gt;"",K$5,IF(L145&lt;&gt;"",M$5,IF(N145&lt;&gt;"",O$5,IF(P145&lt;&gt;"",Q$5,IF(R145&lt;&gt;"",S$5,IF(T145&lt;&gt;"",U$5,IF(V145&lt;&gt;"",W$5,IF(X145&lt;&gt;"",Y$5,IF(Z145&lt;&gt;"",AA$5,IF(AB145&lt;&gt;"",AC$5,IF(AD145&lt;&gt;"",AE$5,""))))))))))))</f>
        <v/>
      </c>
      <c r="D145" s="78" t="inlineStr">
        <is>
          <t>HVM102</t>
        </is>
      </c>
      <c r="E145" s="59">
        <f>IF(F145&lt;&gt;0,1,0)</f>
        <v/>
      </c>
      <c r="F145" s="69">
        <f>+I145+K145+M145+O145+Q145+S145+U145+W145+Y145+AA145+AC145+AE145</f>
        <v/>
      </c>
      <c r="H145" s="64" t="n"/>
      <c r="I145" s="56">
        <f>SUMIFS('Investor Exit List'!$Q:$Q, 'Investor Exit List'!$C:$C, 'Cashflow Projection'!H145)</f>
        <v/>
      </c>
      <c r="J145" s="79" t="n"/>
      <c r="K145" s="56">
        <f>SUMIFS('Investor Exit List'!$Q:$Q, 'Investor Exit List'!$C:$C, 'Cashflow Projection'!J145)</f>
        <v/>
      </c>
      <c r="L145" s="79" t="n"/>
      <c r="M145" s="56">
        <f>SUMIFS('Investor Exit List'!$Q:$Q, 'Investor Exit List'!$C:$C, 'Cashflow Projection'!L145)</f>
        <v/>
      </c>
      <c r="N145" s="79" t="n"/>
      <c r="O145" s="56">
        <f>SUMIFS('Investor Exit List'!$Q:$Q, 'Investor Exit List'!$C:$C, 'Cashflow Projection'!N145)</f>
        <v/>
      </c>
      <c r="P145" s="79" t="n"/>
      <c r="Q145" s="56">
        <f>SUMIFS('Investor Exit List'!$Q:$Q, 'Investor Exit List'!$C:$C, 'Cashflow Projection'!P145)</f>
        <v/>
      </c>
      <c r="R145" s="79" t="n"/>
      <c r="S145" s="56">
        <f>SUMIFS('Investor Exit List'!$Q:$Q, 'Investor Exit List'!$C:$C, 'Cashflow Projection'!R145)</f>
        <v/>
      </c>
      <c r="T145" s="79" t="n"/>
      <c r="U145" s="56">
        <f>SUMIFS('Investor Exit List'!$Q:$Q, 'Investor Exit List'!$C:$C, 'Cashflow Projection'!T145)</f>
        <v/>
      </c>
      <c r="V145" s="79" t="n"/>
      <c r="W145" s="56">
        <f>SUMIFS('Investor Exit List'!$Q:$Q, 'Investor Exit List'!$C:$C, 'Cashflow Projection'!V145)</f>
        <v/>
      </c>
      <c r="X145" s="79" t="n"/>
      <c r="Y145" s="56">
        <f>SUMIFS('Investor Exit List'!$Q:$Q, 'Investor Exit List'!$C:$C, 'Cashflow Projection'!X145)</f>
        <v/>
      </c>
      <c r="Z145" s="79" t="n"/>
      <c r="AA145" s="56">
        <f>SUMIFS('Investor Exit List'!$Q:$Q, 'Investor Exit List'!$C:$C, 'Cashflow Projection'!Z145)</f>
        <v/>
      </c>
      <c r="AB145" s="79" t="n"/>
      <c r="AC145" s="56">
        <f>SUMIFS('Investor Exit List'!$Q:$Q, 'Investor Exit List'!$C:$C, 'Cashflow Projection'!AB145)</f>
        <v/>
      </c>
      <c r="AD145" s="79" t="n"/>
      <c r="AE145" s="56">
        <f>SUMIFS('Investor Exit List'!$Q:$Q, 'Investor Exit List'!$C:$C, 'Cashflow Projection'!AD145)</f>
        <v/>
      </c>
      <c r="AF145" s="80" t="n"/>
    </row>
    <row r="146">
      <c r="A146" s="18" t="inlineStr"/>
      <c r="B146" t="inlineStr"/>
      <c r="C146" s="77">
        <f>IF(H146&lt;&gt;"",I$5,IF(J146&lt;&gt;"",K$5,IF(L146&lt;&gt;"",M$5,IF(N146&lt;&gt;"",O$5,IF(P146&lt;&gt;"",Q$5,IF(R146&lt;&gt;"",S$5,IF(T146&lt;&gt;"",U$5,IF(V146&lt;&gt;"",W$5,IF(X146&lt;&gt;"",Y$5,IF(Z146&lt;&gt;"",AA$5,IF(AB146&lt;&gt;"",AC$5,IF(AD146&lt;&gt;"",AE$5,""))))))))))))</f>
        <v/>
      </c>
      <c r="D146" s="78" t="inlineStr">
        <is>
          <t>HVM103</t>
        </is>
      </c>
      <c r="E146" s="59">
        <f>IF(F146&lt;&gt;0,1,0)</f>
        <v/>
      </c>
      <c r="F146" s="69">
        <f>+I146+K146+M146+O146+Q146+S146+U146+W146+Y146+AA146+AC146+AE146</f>
        <v/>
      </c>
      <c r="H146" s="64" t="n"/>
      <c r="I146" s="56">
        <f>SUMIFS('Investor Exit List'!$Q:$Q, 'Investor Exit List'!$C:$C, 'Cashflow Projection'!H146)</f>
        <v/>
      </c>
      <c r="J146" s="79" t="n"/>
      <c r="K146" s="56">
        <f>SUMIFS('Investor Exit List'!$Q:$Q, 'Investor Exit List'!$C:$C, 'Cashflow Projection'!J146)</f>
        <v/>
      </c>
      <c r="L146" s="79" t="n"/>
      <c r="M146" s="56">
        <f>SUMIFS('Investor Exit List'!$Q:$Q, 'Investor Exit List'!$C:$C, 'Cashflow Projection'!L146)</f>
        <v/>
      </c>
      <c r="N146" s="79" t="n"/>
      <c r="O146" s="56">
        <f>SUMIFS('Investor Exit List'!$Q:$Q, 'Investor Exit List'!$C:$C, 'Cashflow Projection'!N146)</f>
        <v/>
      </c>
      <c r="P146" s="79" t="n"/>
      <c r="Q146" s="56">
        <f>SUMIFS('Investor Exit List'!$Q:$Q, 'Investor Exit List'!$C:$C, 'Cashflow Projection'!P146)</f>
        <v/>
      </c>
      <c r="R146" s="79" t="n"/>
      <c r="S146" s="56">
        <f>SUMIFS('Investor Exit List'!$Q:$Q, 'Investor Exit List'!$C:$C, 'Cashflow Projection'!R146)</f>
        <v/>
      </c>
      <c r="T146" s="79" t="n"/>
      <c r="U146" s="56">
        <f>SUMIFS('Investor Exit List'!$Q:$Q, 'Investor Exit List'!$C:$C, 'Cashflow Projection'!T146)</f>
        <v/>
      </c>
      <c r="V146" s="79" t="n"/>
      <c r="W146" s="56">
        <f>SUMIFS('Investor Exit List'!$Q:$Q, 'Investor Exit List'!$C:$C, 'Cashflow Projection'!V146)</f>
        <v/>
      </c>
      <c r="X146" s="79" t="n"/>
      <c r="Y146" s="56">
        <f>SUMIFS('Investor Exit List'!$Q:$Q, 'Investor Exit List'!$C:$C, 'Cashflow Projection'!X146)</f>
        <v/>
      </c>
      <c r="Z146" s="79" t="n"/>
      <c r="AA146" s="56">
        <f>SUMIFS('Investor Exit List'!$Q:$Q, 'Investor Exit List'!$C:$C, 'Cashflow Projection'!Z146)</f>
        <v/>
      </c>
      <c r="AB146" s="79" t="n"/>
      <c r="AC146" s="56">
        <f>SUMIFS('Investor Exit List'!$Q:$Q, 'Investor Exit List'!$C:$C, 'Cashflow Projection'!AB146)</f>
        <v/>
      </c>
      <c r="AD146" s="79" t="n"/>
      <c r="AE146" s="56">
        <f>SUMIFS('Investor Exit List'!$Q:$Q, 'Investor Exit List'!$C:$C, 'Cashflow Projection'!AD146)</f>
        <v/>
      </c>
      <c r="AF146" s="80" t="n"/>
    </row>
    <row r="147">
      <c r="A147" s="18" t="inlineStr"/>
      <c r="B147" t="inlineStr"/>
      <c r="C147" s="77">
        <f>IF(H147&lt;&gt;"",I$5,IF(J147&lt;&gt;"",K$5,IF(L147&lt;&gt;"",M$5,IF(N147&lt;&gt;"",O$5,IF(P147&lt;&gt;"",Q$5,IF(R147&lt;&gt;"",S$5,IF(T147&lt;&gt;"",U$5,IF(V147&lt;&gt;"",W$5,IF(X147&lt;&gt;"",Y$5,IF(Z147&lt;&gt;"",AA$5,IF(AB147&lt;&gt;"",AC$5,IF(AD147&lt;&gt;"",AE$5,""))))))))))))</f>
        <v/>
      </c>
      <c r="D147" s="78" t="inlineStr">
        <is>
          <t>HVM104</t>
        </is>
      </c>
      <c r="E147" s="59">
        <f>IF(F147&lt;&gt;0,1,0)</f>
        <v/>
      </c>
      <c r="F147" s="69">
        <f>+I147+K147+M147+O147+Q147+S147+U147+W147+Y147+AA147+AC147+AE147</f>
        <v/>
      </c>
      <c r="H147" s="64" t="n"/>
      <c r="I147" s="56">
        <f>SUMIFS('Investor Exit List'!$Q:$Q, 'Investor Exit List'!$C:$C, 'Cashflow Projection'!H147)</f>
        <v/>
      </c>
      <c r="J147" s="79" t="n"/>
      <c r="K147" s="56">
        <f>SUMIFS('Investor Exit List'!$Q:$Q, 'Investor Exit List'!$C:$C, 'Cashflow Projection'!J147)</f>
        <v/>
      </c>
      <c r="L147" s="79" t="n"/>
      <c r="M147" s="56">
        <f>SUMIFS('Investor Exit List'!$Q:$Q, 'Investor Exit List'!$C:$C, 'Cashflow Projection'!L147)</f>
        <v/>
      </c>
      <c r="N147" s="79" t="n"/>
      <c r="O147" s="56">
        <f>SUMIFS('Investor Exit List'!$Q:$Q, 'Investor Exit List'!$C:$C, 'Cashflow Projection'!N147)</f>
        <v/>
      </c>
      <c r="P147" s="79" t="n"/>
      <c r="Q147" s="56">
        <f>SUMIFS('Investor Exit List'!$Q:$Q, 'Investor Exit List'!$C:$C, 'Cashflow Projection'!P147)</f>
        <v/>
      </c>
      <c r="R147" s="79" t="n"/>
      <c r="S147" s="56">
        <f>SUMIFS('Investor Exit List'!$Q:$Q, 'Investor Exit List'!$C:$C, 'Cashflow Projection'!R147)</f>
        <v/>
      </c>
      <c r="T147" s="79" t="n"/>
      <c r="U147" s="56">
        <f>SUMIFS('Investor Exit List'!$Q:$Q, 'Investor Exit List'!$C:$C, 'Cashflow Projection'!T147)</f>
        <v/>
      </c>
      <c r="V147" s="79" t="n"/>
      <c r="W147" s="56">
        <f>SUMIFS('Investor Exit List'!$Q:$Q, 'Investor Exit List'!$C:$C, 'Cashflow Projection'!V147)</f>
        <v/>
      </c>
      <c r="X147" s="79" t="n"/>
      <c r="Y147" s="56">
        <f>SUMIFS('Investor Exit List'!$Q:$Q, 'Investor Exit List'!$C:$C, 'Cashflow Projection'!X147)</f>
        <v/>
      </c>
      <c r="Z147" s="79" t="n"/>
      <c r="AA147" s="56">
        <f>SUMIFS('Investor Exit List'!$Q:$Q, 'Investor Exit List'!$C:$C, 'Cashflow Projection'!Z147)</f>
        <v/>
      </c>
      <c r="AB147" s="79" t="n"/>
      <c r="AC147" s="56">
        <f>SUMIFS('Investor Exit List'!$Q:$Q, 'Investor Exit List'!$C:$C, 'Cashflow Projection'!AB147)</f>
        <v/>
      </c>
      <c r="AD147" s="79" t="n"/>
      <c r="AE147" s="56">
        <f>SUMIFS('Investor Exit List'!$Q:$Q, 'Investor Exit List'!$C:$C, 'Cashflow Projection'!AD147)</f>
        <v/>
      </c>
      <c r="AF147" s="80" t="n"/>
    </row>
    <row r="148">
      <c r="A148" s="18" t="inlineStr"/>
      <c r="B148" t="inlineStr"/>
      <c r="C148" s="77">
        <f>IF(H148&lt;&gt;"",I$5,IF(J148&lt;&gt;"",K$5,IF(L148&lt;&gt;"",M$5,IF(N148&lt;&gt;"",O$5,IF(P148&lt;&gt;"",Q$5,IF(R148&lt;&gt;"",S$5,IF(T148&lt;&gt;"",U$5,IF(V148&lt;&gt;"",W$5,IF(X148&lt;&gt;"",Y$5,IF(Z148&lt;&gt;"",AA$5,IF(AB148&lt;&gt;"",AC$5,IF(AD148&lt;&gt;"",AE$5,""))))))))))))</f>
        <v/>
      </c>
      <c r="D148" s="78" t="inlineStr">
        <is>
          <t>HVM201</t>
        </is>
      </c>
      <c r="E148" s="59">
        <f>IF(F148&lt;&gt;0,1,0)</f>
        <v/>
      </c>
      <c r="F148" s="69">
        <f>+I148+K148+M148+O148+Q148+S148+U148+W148+Y148+AA148+AC148+AE148</f>
        <v/>
      </c>
      <c r="H148" s="64" t="n"/>
      <c r="I148" s="56">
        <f>SUMIFS('Investor Exit List'!$Q:$Q, 'Investor Exit List'!$C:$C, 'Cashflow Projection'!H148)</f>
        <v/>
      </c>
      <c r="J148" s="79" t="n"/>
      <c r="K148" s="56">
        <f>SUMIFS('Investor Exit List'!$Q:$Q, 'Investor Exit List'!$C:$C, 'Cashflow Projection'!J148)</f>
        <v/>
      </c>
      <c r="L148" s="79" t="n"/>
      <c r="M148" s="56">
        <f>SUMIFS('Investor Exit List'!$Q:$Q, 'Investor Exit List'!$C:$C, 'Cashflow Projection'!L148)</f>
        <v/>
      </c>
      <c r="N148" s="79" t="n"/>
      <c r="O148" s="56">
        <f>SUMIFS('Investor Exit List'!$Q:$Q, 'Investor Exit List'!$C:$C, 'Cashflow Projection'!N148)</f>
        <v/>
      </c>
      <c r="P148" s="79" t="n"/>
      <c r="Q148" s="56">
        <f>SUMIFS('Investor Exit List'!$Q:$Q, 'Investor Exit List'!$C:$C, 'Cashflow Projection'!P148)</f>
        <v/>
      </c>
      <c r="R148" s="79" t="n"/>
      <c r="S148" s="56">
        <f>SUMIFS('Investor Exit List'!$Q:$Q, 'Investor Exit List'!$C:$C, 'Cashflow Projection'!R148)</f>
        <v/>
      </c>
      <c r="T148" s="79" t="n"/>
      <c r="U148" s="56">
        <f>SUMIFS('Investor Exit List'!$Q:$Q, 'Investor Exit List'!$C:$C, 'Cashflow Projection'!T148)</f>
        <v/>
      </c>
      <c r="V148" s="79" t="n"/>
      <c r="W148" s="56">
        <f>SUMIFS('Investor Exit List'!$Q:$Q, 'Investor Exit List'!$C:$C, 'Cashflow Projection'!V148)</f>
        <v/>
      </c>
      <c r="X148" s="79" t="n"/>
      <c r="Y148" s="56">
        <f>SUMIFS('Investor Exit List'!$Q:$Q, 'Investor Exit List'!$C:$C, 'Cashflow Projection'!X148)</f>
        <v/>
      </c>
      <c r="Z148" s="79" t="n"/>
      <c r="AA148" s="56">
        <f>SUMIFS('Investor Exit List'!$Q:$Q, 'Investor Exit List'!$C:$C, 'Cashflow Projection'!Z148)</f>
        <v/>
      </c>
      <c r="AB148" s="79" t="n"/>
      <c r="AC148" s="56">
        <f>SUMIFS('Investor Exit List'!$Q:$Q, 'Investor Exit List'!$C:$C, 'Cashflow Projection'!AB148)</f>
        <v/>
      </c>
      <c r="AD148" s="79" t="n"/>
      <c r="AE148" s="56">
        <f>SUMIFS('Investor Exit List'!$Q:$Q, 'Investor Exit List'!$C:$C, 'Cashflow Projection'!AD148)</f>
        <v/>
      </c>
      <c r="AF148" s="80" t="n"/>
    </row>
    <row r="149">
      <c r="A149" s="18" t="inlineStr"/>
      <c r="B149" t="inlineStr"/>
      <c r="C149" s="77">
        <f>IF(H149&lt;&gt;"",I$5,IF(J149&lt;&gt;"",K$5,IF(L149&lt;&gt;"",M$5,IF(N149&lt;&gt;"",O$5,IF(P149&lt;&gt;"",Q$5,IF(R149&lt;&gt;"",S$5,IF(T149&lt;&gt;"",U$5,IF(V149&lt;&gt;"",W$5,IF(X149&lt;&gt;"",Y$5,IF(Z149&lt;&gt;"",AA$5,IF(AB149&lt;&gt;"",AC$5,IF(AD149&lt;&gt;"",AE$5,""))))))))))))</f>
        <v/>
      </c>
      <c r="D149" s="78" t="inlineStr">
        <is>
          <t>HVM202</t>
        </is>
      </c>
      <c r="E149" s="59">
        <f>IF(F149&lt;&gt;0,1,0)</f>
        <v/>
      </c>
      <c r="F149" s="69">
        <f>+I149+K149+M149+O149+Q149+S149+U149+W149+Y149+AA149+AC149+AE149</f>
        <v/>
      </c>
      <c r="H149" s="64" t="n"/>
      <c r="I149" s="56">
        <f>SUMIFS('Investor Exit List'!$Q:$Q, 'Investor Exit List'!$C:$C, 'Cashflow Projection'!H149)</f>
        <v/>
      </c>
      <c r="J149" s="79" t="n"/>
      <c r="K149" s="56">
        <f>SUMIFS('Investor Exit List'!$Q:$Q, 'Investor Exit List'!$C:$C, 'Cashflow Projection'!J149)</f>
        <v/>
      </c>
      <c r="L149" s="79" t="n"/>
      <c r="M149" s="56">
        <f>SUMIFS('Investor Exit List'!$Q:$Q, 'Investor Exit List'!$C:$C, 'Cashflow Projection'!L149)</f>
        <v/>
      </c>
      <c r="N149" s="79" t="n"/>
      <c r="O149" s="56">
        <f>SUMIFS('Investor Exit List'!$Q:$Q, 'Investor Exit List'!$C:$C, 'Cashflow Projection'!N149)</f>
        <v/>
      </c>
      <c r="P149" s="79" t="n"/>
      <c r="Q149" s="56">
        <f>SUMIFS('Investor Exit List'!$Q:$Q, 'Investor Exit List'!$C:$C, 'Cashflow Projection'!P149)</f>
        <v/>
      </c>
      <c r="R149" s="79" t="n"/>
      <c r="S149" s="56">
        <f>SUMIFS('Investor Exit List'!$Q:$Q, 'Investor Exit List'!$C:$C, 'Cashflow Projection'!R149)</f>
        <v/>
      </c>
      <c r="T149" s="79" t="n"/>
      <c r="U149" s="56">
        <f>SUMIFS('Investor Exit List'!$Q:$Q, 'Investor Exit List'!$C:$C, 'Cashflow Projection'!T149)</f>
        <v/>
      </c>
      <c r="V149" s="79" t="n"/>
      <c r="W149" s="56">
        <f>SUMIFS('Investor Exit List'!$Q:$Q, 'Investor Exit List'!$C:$C, 'Cashflow Projection'!V149)</f>
        <v/>
      </c>
      <c r="X149" s="79" t="n"/>
      <c r="Y149" s="56">
        <f>SUMIFS('Investor Exit List'!$Q:$Q, 'Investor Exit List'!$C:$C, 'Cashflow Projection'!X149)</f>
        <v/>
      </c>
      <c r="Z149" s="79" t="n"/>
      <c r="AA149" s="56">
        <f>SUMIFS('Investor Exit List'!$Q:$Q, 'Investor Exit List'!$C:$C, 'Cashflow Projection'!Z149)</f>
        <v/>
      </c>
      <c r="AB149" s="79" t="n"/>
      <c r="AC149" s="56">
        <f>SUMIFS('Investor Exit List'!$Q:$Q, 'Investor Exit List'!$C:$C, 'Cashflow Projection'!AB149)</f>
        <v/>
      </c>
      <c r="AD149" s="79" t="n"/>
      <c r="AE149" s="56">
        <f>SUMIFS('Investor Exit List'!$Q:$Q, 'Investor Exit List'!$C:$C, 'Cashflow Projection'!AD149)</f>
        <v/>
      </c>
      <c r="AF149" s="80" t="n"/>
    </row>
    <row r="150">
      <c r="A150" s="18" t="inlineStr"/>
      <c r="B150" t="inlineStr"/>
      <c r="C150" s="77">
        <f>IF(H150&lt;&gt;"",I$5,IF(J150&lt;&gt;"",K$5,IF(L150&lt;&gt;"",M$5,IF(N150&lt;&gt;"",O$5,IF(P150&lt;&gt;"",Q$5,IF(R150&lt;&gt;"",S$5,IF(T150&lt;&gt;"",U$5,IF(V150&lt;&gt;"",W$5,IF(X150&lt;&gt;"",Y$5,IF(Z150&lt;&gt;"",AA$5,IF(AB150&lt;&gt;"",AC$5,IF(AD150&lt;&gt;"",AE$5,""))))))))))))</f>
        <v/>
      </c>
      <c r="D150" s="78" t="inlineStr">
        <is>
          <t>HVM203</t>
        </is>
      </c>
      <c r="E150" s="59">
        <f>IF(F150&lt;&gt;0,1,0)</f>
        <v/>
      </c>
      <c r="F150" s="69">
        <f>+I150+K150+M150+O150+Q150+S150+U150+W150+Y150+AA150+AC150+AE150</f>
        <v/>
      </c>
      <c r="H150" s="64" t="n"/>
      <c r="I150" s="56">
        <f>SUMIFS('Investor Exit List'!$Q:$Q, 'Investor Exit List'!$C:$C, 'Cashflow Projection'!H150)</f>
        <v/>
      </c>
      <c r="J150" s="79" t="n"/>
      <c r="K150" s="56">
        <f>SUMIFS('Investor Exit List'!$Q:$Q, 'Investor Exit List'!$C:$C, 'Cashflow Projection'!J150)</f>
        <v/>
      </c>
      <c r="L150" s="79" t="n"/>
      <c r="M150" s="56">
        <f>SUMIFS('Investor Exit List'!$Q:$Q, 'Investor Exit List'!$C:$C, 'Cashflow Projection'!L150)</f>
        <v/>
      </c>
      <c r="N150" s="79" t="n"/>
      <c r="O150" s="56">
        <f>SUMIFS('Investor Exit List'!$Q:$Q, 'Investor Exit List'!$C:$C, 'Cashflow Projection'!N150)</f>
        <v/>
      </c>
      <c r="P150" s="79" t="n"/>
      <c r="Q150" s="56">
        <f>SUMIFS('Investor Exit List'!$Q:$Q, 'Investor Exit List'!$C:$C, 'Cashflow Projection'!P150)</f>
        <v/>
      </c>
      <c r="R150" s="79" t="n"/>
      <c r="S150" s="56">
        <f>SUMIFS('Investor Exit List'!$Q:$Q, 'Investor Exit List'!$C:$C, 'Cashflow Projection'!R150)</f>
        <v/>
      </c>
      <c r="T150" s="79" t="n"/>
      <c r="U150" s="56">
        <f>SUMIFS('Investor Exit List'!$Q:$Q, 'Investor Exit List'!$C:$C, 'Cashflow Projection'!T150)</f>
        <v/>
      </c>
      <c r="V150" s="79" t="n"/>
      <c r="W150" s="56">
        <f>SUMIFS('Investor Exit List'!$Q:$Q, 'Investor Exit List'!$C:$C, 'Cashflow Projection'!V150)</f>
        <v/>
      </c>
      <c r="X150" s="79" t="n"/>
      <c r="Y150" s="56">
        <f>SUMIFS('Investor Exit List'!$Q:$Q, 'Investor Exit List'!$C:$C, 'Cashflow Projection'!X150)</f>
        <v/>
      </c>
      <c r="Z150" s="79" t="n"/>
      <c r="AA150" s="56">
        <f>SUMIFS('Investor Exit List'!$Q:$Q, 'Investor Exit List'!$C:$C, 'Cashflow Projection'!Z150)</f>
        <v/>
      </c>
      <c r="AB150" s="79" t="n"/>
      <c r="AC150" s="56">
        <f>SUMIFS('Investor Exit List'!$Q:$Q, 'Investor Exit List'!$C:$C, 'Cashflow Projection'!AB150)</f>
        <v/>
      </c>
      <c r="AD150" s="79" t="n"/>
      <c r="AE150" s="56">
        <f>SUMIFS('Investor Exit List'!$Q:$Q, 'Investor Exit List'!$C:$C, 'Cashflow Projection'!AD150)</f>
        <v/>
      </c>
      <c r="AF150" s="80" t="n"/>
    </row>
    <row r="151">
      <c r="A151" s="18" t="inlineStr"/>
      <c r="B151" t="inlineStr"/>
      <c r="C151" s="77">
        <f>IF(H151&lt;&gt;"",I$5,IF(J151&lt;&gt;"",K$5,IF(L151&lt;&gt;"",M$5,IF(N151&lt;&gt;"",O$5,IF(P151&lt;&gt;"",Q$5,IF(R151&lt;&gt;"",S$5,IF(T151&lt;&gt;"",U$5,IF(V151&lt;&gt;"",W$5,IF(X151&lt;&gt;"",Y$5,IF(Z151&lt;&gt;"",AA$5,IF(AB151&lt;&gt;"",AC$5,IF(AD151&lt;&gt;"",AE$5,""))))))))))))</f>
        <v/>
      </c>
      <c r="D151" s="78" t="inlineStr">
        <is>
          <t>HVM204</t>
        </is>
      </c>
      <c r="E151" s="59">
        <f>IF(F151&lt;&gt;0,1,0)</f>
        <v/>
      </c>
      <c r="F151" s="69">
        <f>+I151+K151+M151+O151+Q151+S151+U151+W151+Y151+AA151+AC151+AE151</f>
        <v/>
      </c>
      <c r="H151" s="64" t="n"/>
      <c r="I151" s="56">
        <f>SUMIFS('Investor Exit List'!$Q:$Q, 'Investor Exit List'!$C:$C, 'Cashflow Projection'!H151)</f>
        <v/>
      </c>
      <c r="J151" s="79" t="n"/>
      <c r="K151" s="56">
        <f>SUMIFS('Investor Exit List'!$Q:$Q, 'Investor Exit List'!$C:$C, 'Cashflow Projection'!J151)</f>
        <v/>
      </c>
      <c r="L151" s="79" t="n"/>
      <c r="M151" s="56">
        <f>SUMIFS('Investor Exit List'!$Q:$Q, 'Investor Exit List'!$C:$C, 'Cashflow Projection'!L151)</f>
        <v/>
      </c>
      <c r="N151" s="79" t="n"/>
      <c r="O151" s="56">
        <f>SUMIFS('Investor Exit List'!$Q:$Q, 'Investor Exit List'!$C:$C, 'Cashflow Projection'!N151)</f>
        <v/>
      </c>
      <c r="P151" s="79" t="n"/>
      <c r="Q151" s="56">
        <f>SUMIFS('Investor Exit List'!$Q:$Q, 'Investor Exit List'!$C:$C, 'Cashflow Projection'!P151)</f>
        <v/>
      </c>
      <c r="R151" s="79" t="n"/>
      <c r="S151" s="56">
        <f>SUMIFS('Investor Exit List'!$Q:$Q, 'Investor Exit List'!$C:$C, 'Cashflow Projection'!R151)</f>
        <v/>
      </c>
      <c r="T151" s="79" t="n"/>
      <c r="U151" s="56">
        <f>SUMIFS('Investor Exit List'!$Q:$Q, 'Investor Exit List'!$C:$C, 'Cashflow Projection'!T151)</f>
        <v/>
      </c>
      <c r="V151" s="79" t="n"/>
      <c r="W151" s="56">
        <f>SUMIFS('Investor Exit List'!$Q:$Q, 'Investor Exit List'!$C:$C, 'Cashflow Projection'!V151)</f>
        <v/>
      </c>
      <c r="X151" s="79" t="n"/>
      <c r="Y151" s="56">
        <f>SUMIFS('Investor Exit List'!$Q:$Q, 'Investor Exit List'!$C:$C, 'Cashflow Projection'!X151)</f>
        <v/>
      </c>
      <c r="Z151" s="79" t="n"/>
      <c r="AA151" s="56">
        <f>SUMIFS('Investor Exit List'!$Q:$Q, 'Investor Exit List'!$C:$C, 'Cashflow Projection'!Z151)</f>
        <v/>
      </c>
      <c r="AB151" s="79" t="n"/>
      <c r="AC151" s="56">
        <f>SUMIFS('Investor Exit List'!$Q:$Q, 'Investor Exit List'!$C:$C, 'Cashflow Projection'!AB151)</f>
        <v/>
      </c>
      <c r="AD151" s="79" t="n"/>
      <c r="AE151" s="56">
        <f>SUMIFS('Investor Exit List'!$Q:$Q, 'Investor Exit List'!$C:$C, 'Cashflow Projection'!AD151)</f>
        <v/>
      </c>
      <c r="AF151" s="80" t="n"/>
    </row>
    <row r="152">
      <c r="A152" s="18" t="n"/>
      <c r="AF152" s="19" t="n"/>
    </row>
    <row r="153">
      <c r="A153" s="75" t="inlineStr">
        <is>
          <t>DEBENTURE TRANSACTION</t>
        </is>
      </c>
      <c r="B153" s="81" t="n">
        <v>900000</v>
      </c>
      <c r="C153" s="82" t="n">
        <v>8</v>
      </c>
      <c r="D153" s="83">
        <f>+I153+K153+M153+O153+Q153+S153+U153+W153+Y153+AA153+AC153+AE153</f>
        <v/>
      </c>
      <c r="I153" s="84">
        <f>$B153*J153</f>
        <v/>
      </c>
      <c r="J153" s="84">
        <f>$H117</f>
        <v/>
      </c>
      <c r="K153" s="84">
        <f>$B153*L153</f>
        <v/>
      </c>
      <c r="L153" s="84">
        <f>$J117</f>
        <v/>
      </c>
      <c r="M153" s="84">
        <f>$B153*N153</f>
        <v/>
      </c>
      <c r="N153" s="84">
        <f>$L117</f>
        <v/>
      </c>
      <c r="O153" s="84">
        <f>$B153*P153</f>
        <v/>
      </c>
      <c r="P153" s="84">
        <f>$N117</f>
        <v/>
      </c>
      <c r="Q153" s="84">
        <f>$B153*R153</f>
        <v/>
      </c>
      <c r="R153" s="84">
        <f>$P117</f>
        <v/>
      </c>
      <c r="S153" s="84">
        <f>$B153*T153</f>
        <v/>
      </c>
      <c r="T153" s="84">
        <f>$R117</f>
        <v/>
      </c>
      <c r="U153" s="84">
        <f>$B153*V153</f>
        <v/>
      </c>
      <c r="V153" s="84">
        <f>$T117</f>
        <v/>
      </c>
      <c r="W153" s="84">
        <f>$B153*X153</f>
        <v/>
      </c>
      <c r="X153" s="84">
        <f>$V117</f>
        <v/>
      </c>
      <c r="Y153" s="84">
        <f>$B153*Z153</f>
        <v/>
      </c>
      <c r="Z153" s="84">
        <f>$X117</f>
        <v/>
      </c>
      <c r="AA153" s="84">
        <f>$B153*AB153</f>
        <v/>
      </c>
      <c r="AB153" s="84">
        <f>$Z117</f>
        <v/>
      </c>
      <c r="AC153" s="84">
        <f>$B153*AD153</f>
        <v/>
      </c>
      <c r="AD153" s="84">
        <f>$AB117</f>
        <v/>
      </c>
      <c r="AE153" s="84">
        <f>$B153*AF153</f>
        <v/>
      </c>
      <c r="AF153" s="85">
        <f>$AD117</f>
        <v/>
      </c>
    </row>
    <row r="154">
      <c r="A154" s="18" t="inlineStr"/>
      <c r="AF154" s="19" t="n"/>
    </row>
    <row r="155">
      <c r="A155" s="18" t="inlineStr"/>
      <c r="AF155" s="19" t="n"/>
    </row>
    <row r="156">
      <c r="A156" s="86" t="inlineStr">
        <is>
          <t>ROLL OVER REFINANCE PROPERTIES</t>
        </is>
      </c>
      <c r="D156" s="87">
        <f>+I156+K156+M156+O156+Q156+S156+U156+W156+Y156+AA156+AC156+AE156</f>
        <v/>
      </c>
      <c r="I156" s="88">
        <f>sum(I159:I241)</f>
        <v/>
      </c>
      <c r="K156" s="88">
        <f>sum(K159:K241)</f>
        <v/>
      </c>
      <c r="M156" s="88">
        <f>sum(M159:M241)</f>
        <v/>
      </c>
      <c r="O156" s="88">
        <f>sum(O159:O241)</f>
        <v/>
      </c>
      <c r="Q156" s="88">
        <f>sum(Q159:Q241)</f>
        <v/>
      </c>
      <c r="S156" s="88">
        <f>sum(S159:S241)</f>
        <v/>
      </c>
      <c r="U156" s="88">
        <f>sum(U159:U241)</f>
        <v/>
      </c>
      <c r="W156" s="88">
        <f>sum(W159:W241)</f>
        <v/>
      </c>
      <c r="Y156" s="88">
        <f>sum(Y159:Y241)</f>
        <v/>
      </c>
      <c r="AA156" s="88">
        <f>sum(AA159:AA241)</f>
        <v/>
      </c>
      <c r="AC156" s="88">
        <f>sum(AC159:AC241)</f>
        <v/>
      </c>
      <c r="AE156" s="88">
        <f>sum(AE159:AE241)</f>
        <v/>
      </c>
      <c r="AF156" s="19" t="n"/>
    </row>
    <row r="157">
      <c r="A157" s="18" t="n">
        <v>0</v>
      </c>
      <c r="B157" s="89" t="inlineStr">
        <is>
          <t>Developer Contribution</t>
        </is>
      </c>
      <c r="C157" s="90" t="inlineStr">
        <is>
          <t>25%</t>
        </is>
      </c>
      <c r="D157" s="87">
        <f>+I157+K157+M157+O157+Q157+S157+U157+W157+Y157+AA157+AC157+AE157</f>
        <v/>
      </c>
      <c r="H157" s="91" t="n"/>
      <c r="I157" s="28">
        <f>SUM(I245:I595)</f>
        <v/>
      </c>
      <c r="K157" s="28">
        <f>SUM(K245:K595)</f>
        <v/>
      </c>
      <c r="M157" s="28">
        <f>SUM(M245:M595)</f>
        <v/>
      </c>
      <c r="O157" s="28">
        <f>SUM(O245:O595)</f>
        <v/>
      </c>
      <c r="Q157" s="28">
        <f>SUM(Q245:Q595)</f>
        <v/>
      </c>
      <c r="S157" s="28">
        <f>SUM(S245:S595)</f>
        <v/>
      </c>
      <c r="U157" s="28">
        <f>SUM(U245:U595)</f>
        <v/>
      </c>
      <c r="W157" s="28">
        <f>SUM(W245:W595)</f>
        <v/>
      </c>
      <c r="Y157" s="28">
        <f>SUM(Y245:Y595)</f>
        <v/>
      </c>
      <c r="AA157" s="28">
        <f>SUM(AA245:AA595)</f>
        <v/>
      </c>
      <c r="AC157" s="28">
        <f>SUM(AC245:AC595)</f>
        <v/>
      </c>
      <c r="AE157" s="28">
        <f>SUM(AE245:AE595)</f>
        <v/>
      </c>
      <c r="AF157" s="19" t="n"/>
    </row>
    <row r="158">
      <c r="A158" s="18" t="n">
        <v>1</v>
      </c>
      <c r="B158" s="89" t="inlineStr">
        <is>
          <t>Roll Over - Investors</t>
        </is>
      </c>
      <c r="D158" s="87">
        <f>+I158+K158+M158+O158+Q158+S158+U158+W158+Y158+AA158+AC158+AE158</f>
        <v/>
      </c>
      <c r="H158" s="91" t="n"/>
      <c r="I158" s="88">
        <f>I156-I157</f>
        <v/>
      </c>
      <c r="K158" s="88">
        <f>K156-K157</f>
        <v/>
      </c>
      <c r="M158" s="88">
        <f>M156-M157</f>
        <v/>
      </c>
      <c r="O158" s="88">
        <f>O156-O157</f>
        <v/>
      </c>
      <c r="Q158" s="88">
        <f>Q156-Q157</f>
        <v/>
      </c>
      <c r="S158" s="88">
        <f>S156-S157</f>
        <v/>
      </c>
      <c r="U158" s="88">
        <f>U156-U157</f>
        <v/>
      </c>
      <c r="W158" s="88">
        <f>W156-W157</f>
        <v/>
      </c>
      <c r="Y158" s="88">
        <f>Y156-Y157</f>
        <v/>
      </c>
      <c r="AA158" s="88">
        <f>AA156-AA157</f>
        <v/>
      </c>
      <c r="AC158" s="88">
        <f>AC156-AC157</f>
        <v/>
      </c>
      <c r="AE158" s="88">
        <f>AE156-AE157</f>
        <v/>
      </c>
      <c r="AF158" s="19" t="n"/>
    </row>
    <row r="159">
      <c r="A159" s="18" t="n">
        <v>2</v>
      </c>
      <c r="H159" s="91">
        <f>_xlfn.IFERROR(_xlfn.UNIQUE(_xlfn.FILTER($B$243:$B$593,($C$243:$C$593&lt;=I5)*($C$243:$C$593&gt;G5)*($F$243:$F$593=0))),"")</f>
        <v/>
      </c>
      <c r="I159" s="92">
        <f>SUMIFS($D$245:$D$595,$B$245:$B$595,H159)</f>
        <v/>
      </c>
      <c r="J159" s="92">
        <f>_xlfn.IFERROR(_xlfn.UNIQUE(_xlfn.FILTER($B$245:$B$595,($C$245:$C$595&lt;=K$5)*($C$245:$C$595&gt;I$5)*($F$245:$F$595=0))),"")</f>
        <v/>
      </c>
      <c r="K159" s="92">
        <f>SUMIFS($D$245:$D$595,$B$245:$B$595,J159)</f>
        <v/>
      </c>
      <c r="L159" s="92">
        <f>_xlfn.IFERROR(_xlfn.UNIQUE(_xlfn.FILTER($B$245:$B$595,($C$245:$C$595&lt;=M$5)*($C$245:$C$595&gt;K$5)*($F$245:$F$595=0))),"")</f>
        <v/>
      </c>
      <c r="M159" s="92">
        <f>SUMIFS($D$245:$D$595,$B$245:$B$595,L159)</f>
        <v/>
      </c>
      <c r="N159" s="92">
        <f>_xlfn.IFERROR(_xlfn.UNIQUE(_xlfn.FILTER($B$245:$B$595,($C$245:$C$595&lt;=O$5)*($C$245:$C$595&gt;M$5)*($F$245:$F$595=0))),"")</f>
        <v/>
      </c>
      <c r="O159" s="92">
        <f>SUMIFS($D$245:$D$595,$B$245:$B$595,N159)</f>
        <v/>
      </c>
      <c r="P159" s="92">
        <f>_xlfn.IFERROR(_xlfn.UNIQUE(_xlfn.FILTER($B$245:$B$595,($C$245:$C$595&lt;=Q$5)*($C$245:$C$595&gt;O$5)*($F$245:$F$595=0))),"")</f>
        <v/>
      </c>
      <c r="Q159" s="92">
        <f>SUMIFS($D$245:$D$595,$B$245:$B$595,P159)</f>
        <v/>
      </c>
      <c r="R159" s="92">
        <f>_xlfn.IFERROR(_xlfn.UNIQUE(_xlfn.FILTER($B$245:$B$595,($C$245:$C$595&lt;=S$5)*($C$245:$C$595&gt;Q$5)*($F$245:$F$595=0))),"")</f>
        <v/>
      </c>
      <c r="S159" s="92">
        <f>SUMIFS($D$245:$D$595,$B$245:$B$595,R159)</f>
        <v/>
      </c>
      <c r="T159" s="92">
        <f>_xlfn.IFERROR(_xlfn.UNIQUE(_xlfn.FILTER($B$245:$B$595,($C$245:$C$595&lt;=U$5)*($C$245:$C$595&gt;S$5)*($F$245:$F$595=0))),"")</f>
        <v/>
      </c>
      <c r="U159" s="92">
        <f>SUMIFS($D$245:$D$595,$B$245:$B$595,T159)</f>
        <v/>
      </c>
      <c r="V159" s="92">
        <f>_xlfn.IFERROR(_xlfn.UNIQUE(_xlfn.FILTER($B$245:$B$595,($C$245:$C$595&lt;=W$5)*($C$245:$C$595&gt;U$5)*($F$245:$F$595=0))),"")</f>
        <v/>
      </c>
      <c r="W159" s="92">
        <f>SUMIFS($D$245:$D$595,$B$245:$B$595,V159)</f>
        <v/>
      </c>
      <c r="X159" s="92">
        <f>_xlfn.IFERROR(_xlfn.UNIQUE(_xlfn.FILTER($B$245:$B$595,($C$245:$C$595&lt;=Y$5)*($C$245:$C$595&gt;W$5)*($F$245:$F$595=0))),"")</f>
        <v/>
      </c>
      <c r="Y159" s="92">
        <f>SUMIFS($D$245:$D$595,$B$245:$B$595,X159)</f>
        <v/>
      </c>
      <c r="Z159" s="92">
        <f>_xlfn.IFERROR(_xlfn.UNIQUE(_xlfn.FILTER($B$245:$B$595,($C$245:$C$595&lt;=AA$5)*($C$245:$C$595&gt;Y$5)*($F$245:$F$595=0))),"")</f>
        <v/>
      </c>
      <c r="AA159" s="92">
        <f>SUMIFS($D$245:$D$595,$B$245:$B$595,Z159)</f>
        <v/>
      </c>
      <c r="AB159" s="92">
        <f>_xlfn.IFERROR(_xlfn.UNIQUE(_xlfn.FILTER($B$245:$B$595,($C$245:$C$595&lt;=AC$5)*($C$245:$C$595&gt;AA$5)*($F$245:$F$595=0))),"")</f>
        <v/>
      </c>
      <c r="AC159" s="92">
        <f>SUMIFS($D$245:$D$595,$B$245:$B$595,AB159)</f>
        <v/>
      </c>
      <c r="AD159" s="92">
        <f>_xlfn.IFERROR(_xlfn.UNIQUE(_xlfn.FILTER($B$245:$B$595,($C$245:$C$595&lt;=AE$5)*($C$245:$C$595&gt;AC$5)*($F$245:$F$595=0))),"")</f>
        <v/>
      </c>
      <c r="AE159" s="92">
        <f>SUMIFS($D$245:$D$595,$B$245:$B$595,AD159)</f>
        <v/>
      </c>
      <c r="AF159" s="93" t="n"/>
    </row>
    <row r="160">
      <c r="A160" s="18" t="n">
        <v>3</v>
      </c>
      <c r="H160" s="91" t="n"/>
      <c r="I160" s="92">
        <f>SUMIFS($D$245:$D$595,$B$245:$B$595,H160)</f>
        <v/>
      </c>
      <c r="J160" s="94" t="n"/>
      <c r="K160" s="92">
        <f>SUMIFS($D$245:$D$595,$B$245:$B$595,J160)</f>
        <v/>
      </c>
      <c r="L160" s="94" t="n"/>
      <c r="M160" s="92">
        <f>SUMIFS($D$245:$D$595,$B$245:$B$595,L160)</f>
        <v/>
      </c>
      <c r="N160" s="94" t="n"/>
      <c r="O160" s="92">
        <f>SUMIFS($D$245:$D$595,$B$245:$B$595,N160)</f>
        <v/>
      </c>
      <c r="P160" s="94" t="n"/>
      <c r="Q160" s="92">
        <f>SUMIFS($D$245:$D$595,$B$245:$B$595,P160)</f>
        <v/>
      </c>
      <c r="R160" s="94" t="n"/>
      <c r="S160" s="92">
        <f>SUMIFS($D$245:$D$595,$B$245:$B$595,R160)</f>
        <v/>
      </c>
      <c r="T160" s="94" t="n"/>
      <c r="U160" s="92">
        <f>SUMIFS($D$245:$D$595,$B$245:$B$595,T160)</f>
        <v/>
      </c>
      <c r="V160" s="94" t="n"/>
      <c r="W160" s="92">
        <f>SUMIFS($D$245:$D$595,$B$245:$B$595,V160)</f>
        <v/>
      </c>
      <c r="X160" s="94" t="n"/>
      <c r="Y160" s="92">
        <f>SUMIFS($D$245:$D$595,$B$245:$B$595,X160)</f>
        <v/>
      </c>
      <c r="Z160" s="94" t="n"/>
      <c r="AA160" s="92">
        <f>SUMIFS($D$245:$D$595,$B$245:$B$595,Z160)</f>
        <v/>
      </c>
      <c r="AB160" s="94" t="n"/>
      <c r="AC160" s="92">
        <f>SUMIFS($D$245:$D$595,$B$245:$B$595,AB160)</f>
        <v/>
      </c>
      <c r="AD160" s="94" t="n"/>
      <c r="AE160" s="92">
        <f>SUMIFS($D$245:$D$595,$B$245:$B$595,AD160)</f>
        <v/>
      </c>
      <c r="AF160" s="93" t="n"/>
    </row>
    <row r="161">
      <c r="A161" s="18" t="n">
        <v>4</v>
      </c>
      <c r="H161" s="91" t="n"/>
      <c r="I161" s="92">
        <f>SUMIFS($D$245:$D$595,$B$245:$B$595,H161)</f>
        <v/>
      </c>
      <c r="J161" s="94" t="n"/>
      <c r="K161" s="92">
        <f>SUMIFS($D$245:$D$595,$B$245:$B$595,J161)</f>
        <v/>
      </c>
      <c r="L161" s="94" t="n"/>
      <c r="M161" s="92">
        <f>SUMIFS($D$245:$D$595,$B$245:$B$595,L161)</f>
        <v/>
      </c>
      <c r="N161" s="94" t="n"/>
      <c r="O161" s="92">
        <f>SUMIFS($D$245:$D$595,$B$245:$B$595,N161)</f>
        <v/>
      </c>
      <c r="P161" s="94" t="n"/>
      <c r="Q161" s="92">
        <f>SUMIFS($D$245:$D$595,$B$245:$B$595,P161)</f>
        <v/>
      </c>
      <c r="R161" s="94" t="n"/>
      <c r="S161" s="92">
        <f>SUMIFS($D$245:$D$595,$B$245:$B$595,R161)</f>
        <v/>
      </c>
      <c r="T161" s="94" t="n"/>
      <c r="U161" s="92">
        <f>SUMIFS($D$245:$D$595,$B$245:$B$595,T161)</f>
        <v/>
      </c>
      <c r="V161" s="94" t="n"/>
      <c r="W161" s="92">
        <f>SUMIFS($D$245:$D$595,$B$245:$B$595,V161)</f>
        <v/>
      </c>
      <c r="X161" s="94" t="n"/>
      <c r="Y161" s="92">
        <f>SUMIFS($D$245:$D$595,$B$245:$B$595,X161)</f>
        <v/>
      </c>
      <c r="Z161" s="94" t="n"/>
      <c r="AA161" s="92">
        <f>SUMIFS($D$245:$D$595,$B$245:$B$595,Z161)</f>
        <v/>
      </c>
      <c r="AB161" s="94" t="n"/>
      <c r="AC161" s="92">
        <f>SUMIFS($D$245:$D$595,$B$245:$B$595,AB161)</f>
        <v/>
      </c>
      <c r="AD161" s="94" t="n"/>
      <c r="AE161" s="92">
        <f>SUMIFS($D$245:$D$595,$B$245:$B$595,AD161)</f>
        <v/>
      </c>
      <c r="AF161" s="93" t="n"/>
    </row>
    <row r="162">
      <c r="A162" s="18" t="n">
        <v>5</v>
      </c>
      <c r="H162" s="91" t="n"/>
      <c r="I162" s="92">
        <f>SUMIFS($D$245:$D$595,$B$245:$B$595,H162)</f>
        <v/>
      </c>
      <c r="J162" s="94" t="n"/>
      <c r="K162" s="92">
        <f>SUMIFS($D$245:$D$595,$B$245:$B$595,J162)</f>
        <v/>
      </c>
      <c r="L162" s="94" t="n"/>
      <c r="M162" s="92">
        <f>SUMIFS($D$245:$D$595,$B$245:$B$595,L162)</f>
        <v/>
      </c>
      <c r="N162" s="94" t="n"/>
      <c r="O162" s="92">
        <f>SUMIFS($D$245:$D$595,$B$245:$B$595,N162)</f>
        <v/>
      </c>
      <c r="P162" s="94" t="n"/>
      <c r="Q162" s="92">
        <f>SUMIFS($D$245:$D$595,$B$245:$B$595,P162)</f>
        <v/>
      </c>
      <c r="R162" s="94" t="n"/>
      <c r="S162" s="92">
        <f>SUMIFS($D$245:$D$595,$B$245:$B$595,R162)</f>
        <v/>
      </c>
      <c r="T162" s="94" t="n"/>
      <c r="U162" s="92">
        <f>SUMIFS($D$245:$D$595,$B$245:$B$595,T162)</f>
        <v/>
      </c>
      <c r="V162" s="94" t="n"/>
      <c r="W162" s="92">
        <f>SUMIFS($D$245:$D$595,$B$245:$B$595,V162)</f>
        <v/>
      </c>
      <c r="X162" s="94" t="n"/>
      <c r="Y162" s="92">
        <f>SUMIFS($D$245:$D$595,$B$245:$B$595,X162)</f>
        <v/>
      </c>
      <c r="Z162" s="94" t="n"/>
      <c r="AA162" s="92">
        <f>SUMIFS($D$245:$D$595,$B$245:$B$595,Z162)</f>
        <v/>
      </c>
      <c r="AB162" s="94" t="n"/>
      <c r="AC162" s="92">
        <f>SUMIFS($D$245:$D$595,$B$245:$B$595,AB162)</f>
        <v/>
      </c>
      <c r="AD162" s="94" t="n"/>
      <c r="AE162" s="92">
        <f>SUMIFS($D$245:$D$595,$B$245:$B$595,AD162)</f>
        <v/>
      </c>
      <c r="AF162" s="93" t="n"/>
    </row>
    <row r="163">
      <c r="A163" s="18" t="n">
        <v>6</v>
      </c>
      <c r="H163" s="91" t="n"/>
      <c r="I163" s="92">
        <f>SUMIFS($D$245:$D$595,$B$245:$B$595,H163)</f>
        <v/>
      </c>
      <c r="J163" s="94" t="n"/>
      <c r="K163" s="92">
        <f>SUMIFS($D$245:$D$595,$B$245:$B$595,J163)</f>
        <v/>
      </c>
      <c r="L163" s="94" t="n"/>
      <c r="M163" s="92">
        <f>SUMIFS($D$245:$D$595,$B$245:$B$595,L163)</f>
        <v/>
      </c>
      <c r="N163" s="94" t="n"/>
      <c r="O163" s="92">
        <f>SUMIFS($D$245:$D$595,$B$245:$B$595,N163)</f>
        <v/>
      </c>
      <c r="P163" s="94" t="n"/>
      <c r="Q163" s="92">
        <f>SUMIFS($D$245:$D$595,$B$245:$B$595,P163)</f>
        <v/>
      </c>
      <c r="R163" s="94" t="n"/>
      <c r="S163" s="92">
        <f>SUMIFS($D$245:$D$595,$B$245:$B$595,R163)</f>
        <v/>
      </c>
      <c r="T163" s="94" t="n"/>
      <c r="U163" s="92">
        <f>SUMIFS($D$245:$D$595,$B$245:$B$595,T163)</f>
        <v/>
      </c>
      <c r="V163" s="94" t="n"/>
      <c r="W163" s="92">
        <f>SUMIFS($D$245:$D$595,$B$245:$B$595,V163)</f>
        <v/>
      </c>
      <c r="X163" s="94" t="n"/>
      <c r="Y163" s="92">
        <f>SUMIFS($D$245:$D$595,$B$245:$B$595,X163)</f>
        <v/>
      </c>
      <c r="Z163" s="94" t="n"/>
      <c r="AA163" s="92">
        <f>SUMIFS($D$245:$D$595,$B$245:$B$595,Z163)</f>
        <v/>
      </c>
      <c r="AB163" s="94" t="n"/>
      <c r="AC163" s="92">
        <f>SUMIFS($D$245:$D$595,$B$245:$B$595,AB163)</f>
        <v/>
      </c>
      <c r="AD163" s="94" t="n"/>
      <c r="AE163" s="92">
        <f>SUMIFS($D$245:$D$595,$B$245:$B$595,AD163)</f>
        <v/>
      </c>
      <c r="AF163" s="93" t="n"/>
    </row>
    <row r="164">
      <c r="A164" s="18" t="n">
        <v>7</v>
      </c>
      <c r="H164" s="91" t="n"/>
      <c r="I164" s="92">
        <f>SUMIFS($D$245:$D$595,$B$245:$B$595,H164)</f>
        <v/>
      </c>
      <c r="J164" s="94" t="n"/>
      <c r="K164" s="92">
        <f>SUMIFS($D$245:$D$595,$B$245:$B$595,J164)</f>
        <v/>
      </c>
      <c r="L164" s="94" t="n"/>
      <c r="M164" s="92">
        <f>SUMIFS($D$245:$D$595,$B$245:$B$595,L164)</f>
        <v/>
      </c>
      <c r="N164" s="94" t="n"/>
      <c r="O164" s="92">
        <f>SUMIFS($D$245:$D$595,$B$245:$B$595,N164)</f>
        <v/>
      </c>
      <c r="P164" s="94" t="n"/>
      <c r="Q164" s="92">
        <f>SUMIFS($D$245:$D$595,$B$245:$B$595,P164)</f>
        <v/>
      </c>
      <c r="R164" s="94" t="n"/>
      <c r="S164" s="92">
        <f>SUMIFS($D$245:$D$595,$B$245:$B$595,R164)</f>
        <v/>
      </c>
      <c r="T164" s="94" t="n"/>
      <c r="U164" s="92">
        <f>SUMIFS($D$245:$D$595,$B$245:$B$595,T164)</f>
        <v/>
      </c>
      <c r="V164" s="94" t="n"/>
      <c r="W164" s="92">
        <f>SUMIFS($D$245:$D$595,$B$245:$B$595,V164)</f>
        <v/>
      </c>
      <c r="X164" s="94" t="n"/>
      <c r="Y164" s="92">
        <f>SUMIFS($D$245:$D$595,$B$245:$B$595,X164)</f>
        <v/>
      </c>
      <c r="Z164" s="94" t="n"/>
      <c r="AA164" s="92">
        <f>SUMIFS($D$245:$D$595,$B$245:$B$595,Z164)</f>
        <v/>
      </c>
      <c r="AB164" s="94" t="n"/>
      <c r="AC164" s="92">
        <f>SUMIFS($D$245:$D$595,$B$245:$B$595,AB164)</f>
        <v/>
      </c>
      <c r="AD164" s="94" t="n"/>
      <c r="AE164" s="92">
        <f>SUMIFS($D$245:$D$595,$B$245:$B$595,AD164)</f>
        <v/>
      </c>
      <c r="AF164" s="93" t="n"/>
    </row>
    <row r="165">
      <c r="A165" s="18" t="n">
        <v>8</v>
      </c>
      <c r="H165" s="91" t="n"/>
      <c r="I165" s="92">
        <f>SUMIFS($D$245:$D$595,$B$245:$B$595,H165)</f>
        <v/>
      </c>
      <c r="J165" s="94" t="n"/>
      <c r="K165" s="92">
        <f>SUMIFS($D$245:$D$595,$B$245:$B$595,J165)</f>
        <v/>
      </c>
      <c r="L165" s="94" t="n"/>
      <c r="M165" s="92">
        <f>SUMIFS($D$245:$D$595,$B$245:$B$595,L165)</f>
        <v/>
      </c>
      <c r="N165" s="94" t="n"/>
      <c r="O165" s="92">
        <f>SUMIFS($D$245:$D$595,$B$245:$B$595,N165)</f>
        <v/>
      </c>
      <c r="P165" s="94" t="n"/>
      <c r="Q165" s="92">
        <f>SUMIFS($D$245:$D$595,$B$245:$B$595,P165)</f>
        <v/>
      </c>
      <c r="R165" s="94" t="n"/>
      <c r="S165" s="92">
        <f>SUMIFS($D$245:$D$595,$B$245:$B$595,R165)</f>
        <v/>
      </c>
      <c r="T165" s="94" t="n"/>
      <c r="U165" s="92">
        <f>SUMIFS($D$245:$D$595,$B$245:$B$595,T165)</f>
        <v/>
      </c>
      <c r="V165" s="94" t="n"/>
      <c r="W165" s="92">
        <f>SUMIFS($D$245:$D$595,$B$245:$B$595,V165)</f>
        <v/>
      </c>
      <c r="X165" s="94" t="n"/>
      <c r="Y165" s="92">
        <f>SUMIFS($D$245:$D$595,$B$245:$B$595,X165)</f>
        <v/>
      </c>
      <c r="Z165" s="94" t="n"/>
      <c r="AA165" s="92">
        <f>SUMIFS($D$245:$D$595,$B$245:$B$595,Z165)</f>
        <v/>
      </c>
      <c r="AB165" s="94" t="n"/>
      <c r="AC165" s="92">
        <f>SUMIFS($D$245:$D$595,$B$245:$B$595,AB165)</f>
        <v/>
      </c>
      <c r="AD165" s="94" t="n"/>
      <c r="AE165" s="92">
        <f>SUMIFS($D$245:$D$595,$B$245:$B$595,AD165)</f>
        <v/>
      </c>
      <c r="AF165" s="93" t="n"/>
    </row>
    <row r="166">
      <c r="A166" s="18" t="n">
        <v>9</v>
      </c>
      <c r="H166" s="91" t="n"/>
      <c r="I166" s="92">
        <f>SUMIFS($D$245:$D$595,$B$245:$B$595,H166)</f>
        <v/>
      </c>
      <c r="J166" s="94" t="n"/>
      <c r="K166" s="92">
        <f>SUMIFS($D$245:$D$595,$B$245:$B$595,J166)</f>
        <v/>
      </c>
      <c r="L166" s="94" t="n"/>
      <c r="M166" s="92">
        <f>SUMIFS($D$245:$D$595,$B$245:$B$595,L166)</f>
        <v/>
      </c>
      <c r="N166" s="94" t="n"/>
      <c r="O166" s="92">
        <f>SUMIFS($D$245:$D$595,$B$245:$B$595,N166)</f>
        <v/>
      </c>
      <c r="P166" s="94" t="n"/>
      <c r="Q166" s="92">
        <f>SUMIFS($D$245:$D$595,$B$245:$B$595,P166)</f>
        <v/>
      </c>
      <c r="R166" s="94" t="n"/>
      <c r="S166" s="92">
        <f>SUMIFS($D$245:$D$595,$B$245:$B$595,R166)</f>
        <v/>
      </c>
      <c r="T166" s="94" t="n"/>
      <c r="U166" s="92">
        <f>SUMIFS($D$245:$D$595,$B$245:$B$595,T166)</f>
        <v/>
      </c>
      <c r="V166" s="94" t="n"/>
      <c r="W166" s="92">
        <f>SUMIFS($D$245:$D$595,$B$245:$B$595,V166)</f>
        <v/>
      </c>
      <c r="X166" s="94" t="n"/>
      <c r="Y166" s="92">
        <f>SUMIFS($D$245:$D$595,$B$245:$B$595,X166)</f>
        <v/>
      </c>
      <c r="Z166" s="94" t="n"/>
      <c r="AA166" s="92">
        <f>SUMIFS($D$245:$D$595,$B$245:$B$595,Z166)</f>
        <v/>
      </c>
      <c r="AB166" s="94" t="n"/>
      <c r="AC166" s="92">
        <f>SUMIFS($D$245:$D$595,$B$245:$B$595,AB166)</f>
        <v/>
      </c>
      <c r="AD166" s="94" t="n"/>
      <c r="AE166" s="92">
        <f>SUMIFS($D$245:$D$595,$B$245:$B$595,AD166)</f>
        <v/>
      </c>
      <c r="AF166" s="93" t="n"/>
    </row>
    <row r="167">
      <c r="A167" s="18" t="n">
        <v>10</v>
      </c>
      <c r="H167" s="91" t="n"/>
      <c r="I167" s="92">
        <f>SUMIFS($D$245:$D$595,$B$245:$B$595,H167)</f>
        <v/>
      </c>
      <c r="J167" s="94" t="n"/>
      <c r="K167" s="92">
        <f>SUMIFS($D$245:$D$595,$B$245:$B$595,J167)</f>
        <v/>
      </c>
      <c r="L167" s="94" t="n"/>
      <c r="M167" s="92">
        <f>SUMIFS($D$245:$D$595,$B$245:$B$595,L167)</f>
        <v/>
      </c>
      <c r="N167" s="94" t="n"/>
      <c r="O167" s="92">
        <f>SUMIFS($D$245:$D$595,$B$245:$B$595,N167)</f>
        <v/>
      </c>
      <c r="P167" s="94" t="n"/>
      <c r="Q167" s="92">
        <f>SUMIFS($D$245:$D$595,$B$245:$B$595,P167)</f>
        <v/>
      </c>
      <c r="R167" s="94" t="n"/>
      <c r="S167" s="92">
        <f>SUMIFS($D$245:$D$595,$B$245:$B$595,R167)</f>
        <v/>
      </c>
      <c r="T167" s="94" t="n"/>
      <c r="U167" s="92">
        <f>SUMIFS($D$245:$D$595,$B$245:$B$595,T167)</f>
        <v/>
      </c>
      <c r="V167" s="94" t="n"/>
      <c r="W167" s="92">
        <f>SUMIFS($D$245:$D$595,$B$245:$B$595,V167)</f>
        <v/>
      </c>
      <c r="X167" s="94" t="n"/>
      <c r="Y167" s="92">
        <f>SUMIFS($D$245:$D$595,$B$245:$B$595,X167)</f>
        <v/>
      </c>
      <c r="Z167" s="94" t="n"/>
      <c r="AA167" s="92">
        <f>SUMIFS($D$245:$D$595,$B$245:$B$595,Z167)</f>
        <v/>
      </c>
      <c r="AB167" s="94" t="n"/>
      <c r="AC167" s="92">
        <f>SUMIFS($D$245:$D$595,$B$245:$B$595,AB167)</f>
        <v/>
      </c>
      <c r="AD167" s="94" t="n"/>
      <c r="AE167" s="92">
        <f>SUMIFS($D$245:$D$595,$B$245:$B$595,AD167)</f>
        <v/>
      </c>
      <c r="AF167" s="93" t="n"/>
    </row>
    <row r="168">
      <c r="A168" s="18" t="n">
        <v>11</v>
      </c>
      <c r="H168" s="91" t="n"/>
      <c r="I168" s="92">
        <f>SUMIFS($D$245:$D$595,$B$245:$B$595,H168)</f>
        <v/>
      </c>
      <c r="J168" s="94" t="n"/>
      <c r="K168" s="92">
        <f>SUMIFS($D$245:$D$595,$B$245:$B$595,J168)</f>
        <v/>
      </c>
      <c r="L168" s="94" t="n"/>
      <c r="M168" s="92">
        <f>SUMIFS($D$245:$D$595,$B$245:$B$595,L168)</f>
        <v/>
      </c>
      <c r="N168" s="94" t="n"/>
      <c r="O168" s="92">
        <f>SUMIFS($D$245:$D$595,$B$245:$B$595,N168)</f>
        <v/>
      </c>
      <c r="P168" s="94" t="n"/>
      <c r="Q168" s="92">
        <f>SUMIFS($D$245:$D$595,$B$245:$B$595,P168)</f>
        <v/>
      </c>
      <c r="R168" s="94" t="n"/>
      <c r="S168" s="92">
        <f>SUMIFS($D$245:$D$595,$B$245:$B$595,R168)</f>
        <v/>
      </c>
      <c r="T168" s="94" t="n"/>
      <c r="U168" s="92">
        <f>SUMIFS($D$245:$D$595,$B$245:$B$595,T168)</f>
        <v/>
      </c>
      <c r="V168" s="94" t="n"/>
      <c r="W168" s="92">
        <f>SUMIFS($D$245:$D$595,$B$245:$B$595,V168)</f>
        <v/>
      </c>
      <c r="X168" s="94" t="n"/>
      <c r="Y168" s="92">
        <f>SUMIFS($D$245:$D$595,$B$245:$B$595,X168)</f>
        <v/>
      </c>
      <c r="Z168" s="94" t="n"/>
      <c r="AA168" s="92">
        <f>SUMIFS($D$245:$D$595,$B$245:$B$595,Z168)</f>
        <v/>
      </c>
      <c r="AB168" s="94" t="n"/>
      <c r="AC168" s="92">
        <f>SUMIFS($D$245:$D$595,$B$245:$B$595,AB168)</f>
        <v/>
      </c>
      <c r="AD168" s="94" t="n"/>
      <c r="AE168" s="92">
        <f>SUMIFS($D$245:$D$595,$B$245:$B$595,AD168)</f>
        <v/>
      </c>
      <c r="AF168" s="93" t="n"/>
    </row>
    <row r="169">
      <c r="A169" s="18" t="n">
        <v>12</v>
      </c>
      <c r="H169" s="91" t="n"/>
      <c r="I169" s="92">
        <f>SUMIFS($D$245:$D$595,$B$245:$B$595,H169)</f>
        <v/>
      </c>
      <c r="J169" s="94" t="n"/>
      <c r="K169" s="92">
        <f>SUMIFS($D$245:$D$595,$B$245:$B$595,J169)</f>
        <v/>
      </c>
      <c r="L169" s="94" t="n"/>
      <c r="M169" s="92">
        <f>SUMIFS($D$245:$D$595,$B$245:$B$595,L169)</f>
        <v/>
      </c>
      <c r="N169" s="94" t="n"/>
      <c r="O169" s="92">
        <f>SUMIFS($D$245:$D$595,$B$245:$B$595,N169)</f>
        <v/>
      </c>
      <c r="P169" s="94" t="n"/>
      <c r="Q169" s="92">
        <f>SUMIFS($D$245:$D$595,$B$245:$B$595,P169)</f>
        <v/>
      </c>
      <c r="R169" s="94" t="n"/>
      <c r="S169" s="92">
        <f>SUMIFS($D$245:$D$595,$B$245:$B$595,R169)</f>
        <v/>
      </c>
      <c r="T169" s="94" t="n"/>
      <c r="U169" s="92">
        <f>SUMIFS($D$245:$D$595,$B$245:$B$595,T169)</f>
        <v/>
      </c>
      <c r="V169" s="94" t="n"/>
      <c r="W169" s="92">
        <f>SUMIFS($D$245:$D$595,$B$245:$B$595,V169)</f>
        <v/>
      </c>
      <c r="X169" s="94" t="n"/>
      <c r="Y169" s="92">
        <f>SUMIFS($D$245:$D$595,$B$245:$B$595,X169)</f>
        <v/>
      </c>
      <c r="Z169" s="94" t="n"/>
      <c r="AA169" s="92">
        <f>SUMIFS($D$245:$D$595,$B$245:$B$595,Z169)</f>
        <v/>
      </c>
      <c r="AB169" s="94" t="n"/>
      <c r="AC169" s="92">
        <f>SUMIFS($D$245:$D$595,$B$245:$B$595,AB169)</f>
        <v/>
      </c>
      <c r="AD169" s="94" t="n"/>
      <c r="AE169" s="92">
        <f>SUMIFS($D$245:$D$595,$B$245:$B$595,AD169)</f>
        <v/>
      </c>
      <c r="AF169" s="93" t="n"/>
    </row>
    <row r="170">
      <c r="A170" s="18" t="n">
        <v>13</v>
      </c>
      <c r="H170" s="91" t="n"/>
      <c r="I170" s="92">
        <f>SUMIFS($D$245:$D$595,$B$245:$B$595,H170)</f>
        <v/>
      </c>
      <c r="J170" s="94" t="n"/>
      <c r="K170" s="92">
        <f>SUMIFS($D$245:$D$595,$B$245:$B$595,J170)</f>
        <v/>
      </c>
      <c r="L170" s="94" t="n"/>
      <c r="M170" s="92">
        <f>SUMIFS($D$245:$D$595,$B$245:$B$595,L170)</f>
        <v/>
      </c>
      <c r="N170" s="94" t="n"/>
      <c r="O170" s="92">
        <f>SUMIFS($D$245:$D$595,$B$245:$B$595,N170)</f>
        <v/>
      </c>
      <c r="P170" s="94" t="n"/>
      <c r="Q170" s="92">
        <f>SUMIFS($D$245:$D$595,$B$245:$B$595,P170)</f>
        <v/>
      </c>
      <c r="R170" s="94" t="n"/>
      <c r="S170" s="92">
        <f>SUMIFS($D$245:$D$595,$B$245:$B$595,R170)</f>
        <v/>
      </c>
      <c r="T170" s="94" t="n"/>
      <c r="U170" s="92">
        <f>SUMIFS($D$245:$D$595,$B$245:$B$595,T170)</f>
        <v/>
      </c>
      <c r="V170" s="94" t="n"/>
      <c r="W170" s="92">
        <f>SUMIFS($D$245:$D$595,$B$245:$B$595,V170)</f>
        <v/>
      </c>
      <c r="X170" s="94" t="n"/>
      <c r="Y170" s="92">
        <f>SUMIFS($D$245:$D$595,$B$245:$B$595,X170)</f>
        <v/>
      </c>
      <c r="Z170" s="94" t="n"/>
      <c r="AA170" s="92">
        <f>SUMIFS($D$245:$D$595,$B$245:$B$595,Z170)</f>
        <v/>
      </c>
      <c r="AB170" s="94" t="n"/>
      <c r="AC170" s="92">
        <f>SUMIFS($D$245:$D$595,$B$245:$B$595,AB170)</f>
        <v/>
      </c>
      <c r="AD170" s="94" t="n"/>
      <c r="AE170" s="92">
        <f>SUMIFS($D$245:$D$595,$B$245:$B$595,AD170)</f>
        <v/>
      </c>
      <c r="AF170" s="93" t="n"/>
    </row>
    <row r="171">
      <c r="A171" s="18" t="n">
        <v>14</v>
      </c>
      <c r="H171" s="91" t="n"/>
      <c r="I171" s="92">
        <f>SUMIFS($D$245:$D$595,$B$245:$B$595,H171)</f>
        <v/>
      </c>
      <c r="J171" s="94" t="n"/>
      <c r="K171" s="92">
        <f>SUMIFS($D$245:$D$595,$B$245:$B$595,J171)</f>
        <v/>
      </c>
      <c r="L171" s="94" t="n"/>
      <c r="M171" s="92">
        <f>SUMIFS($D$245:$D$595,$B$245:$B$595,L171)</f>
        <v/>
      </c>
      <c r="N171" s="94" t="n"/>
      <c r="O171" s="92">
        <f>SUMIFS($D$245:$D$595,$B$245:$B$595,N171)</f>
        <v/>
      </c>
      <c r="P171" s="94" t="n"/>
      <c r="Q171" s="92">
        <f>SUMIFS($D$245:$D$595,$B$245:$B$595,P171)</f>
        <v/>
      </c>
      <c r="R171" s="94" t="n"/>
      <c r="S171" s="92">
        <f>SUMIFS($D$245:$D$595,$B$245:$B$595,R171)</f>
        <v/>
      </c>
      <c r="T171" s="94" t="n"/>
      <c r="U171" s="92">
        <f>SUMIFS($D$245:$D$595,$B$245:$B$595,T171)</f>
        <v/>
      </c>
      <c r="V171" s="94" t="n"/>
      <c r="W171" s="92">
        <f>SUMIFS($D$245:$D$595,$B$245:$B$595,V171)</f>
        <v/>
      </c>
      <c r="X171" s="94" t="n"/>
      <c r="Y171" s="92">
        <f>SUMIFS($D$245:$D$595,$B$245:$B$595,X171)</f>
        <v/>
      </c>
      <c r="Z171" s="94" t="n"/>
      <c r="AA171" s="92">
        <f>SUMIFS($D$245:$D$595,$B$245:$B$595,Z171)</f>
        <v/>
      </c>
      <c r="AB171" s="94" t="n"/>
      <c r="AC171" s="92">
        <f>SUMIFS($D$245:$D$595,$B$245:$B$595,AB171)</f>
        <v/>
      </c>
      <c r="AD171" s="94" t="n"/>
      <c r="AE171" s="92">
        <f>SUMIFS($D$245:$D$595,$B$245:$B$595,AD171)</f>
        <v/>
      </c>
      <c r="AF171" s="93" t="n"/>
    </row>
    <row r="172">
      <c r="A172" s="18" t="n">
        <v>15</v>
      </c>
      <c r="H172" s="91" t="n"/>
      <c r="I172" s="92">
        <f>SUMIFS($D$245:$D$595,$B$245:$B$595,H172)</f>
        <v/>
      </c>
      <c r="J172" s="94" t="n"/>
      <c r="K172" s="92">
        <f>SUMIFS($D$245:$D$595,$B$245:$B$595,J172)</f>
        <v/>
      </c>
      <c r="L172" s="94" t="n"/>
      <c r="M172" s="92">
        <f>SUMIFS($D$245:$D$595,$B$245:$B$595,L172)</f>
        <v/>
      </c>
      <c r="N172" s="94" t="n"/>
      <c r="O172" s="92">
        <f>SUMIFS($D$245:$D$595,$B$245:$B$595,N172)</f>
        <v/>
      </c>
      <c r="P172" s="94" t="n"/>
      <c r="Q172" s="92">
        <f>SUMIFS($D$245:$D$595,$B$245:$B$595,P172)</f>
        <v/>
      </c>
      <c r="R172" s="94" t="n"/>
      <c r="S172" s="92">
        <f>SUMIFS($D$245:$D$595,$B$245:$B$595,R172)</f>
        <v/>
      </c>
      <c r="T172" s="94" t="n"/>
      <c r="U172" s="92">
        <f>SUMIFS($D$245:$D$595,$B$245:$B$595,T172)</f>
        <v/>
      </c>
      <c r="V172" s="94" t="n"/>
      <c r="W172" s="92">
        <f>SUMIFS($D$245:$D$595,$B$245:$B$595,V172)</f>
        <v/>
      </c>
      <c r="X172" s="94" t="n"/>
      <c r="Y172" s="92">
        <f>SUMIFS($D$245:$D$595,$B$245:$B$595,X172)</f>
        <v/>
      </c>
      <c r="Z172" s="94" t="n"/>
      <c r="AA172" s="92">
        <f>SUMIFS($D$245:$D$595,$B$245:$B$595,Z172)</f>
        <v/>
      </c>
      <c r="AB172" s="94" t="n"/>
      <c r="AC172" s="92">
        <f>SUMIFS($D$245:$D$595,$B$245:$B$595,AB172)</f>
        <v/>
      </c>
      <c r="AD172" s="94" t="n"/>
      <c r="AE172" s="92">
        <f>SUMIFS($D$245:$D$595,$B$245:$B$595,AD172)</f>
        <v/>
      </c>
      <c r="AF172" s="93" t="n"/>
    </row>
    <row r="173">
      <c r="A173" s="18" t="n">
        <v>16</v>
      </c>
      <c r="H173" s="91" t="n"/>
      <c r="I173" s="92">
        <f>SUMIFS($D$245:$D$595,$B$245:$B$595,H173)</f>
        <v/>
      </c>
      <c r="J173" s="94" t="n"/>
      <c r="K173" s="92">
        <f>SUMIFS($D$245:$D$595,$B$245:$B$595,J173)</f>
        <v/>
      </c>
      <c r="L173" s="94" t="n"/>
      <c r="M173" s="92">
        <f>SUMIFS($D$245:$D$595,$B$245:$B$595,L173)</f>
        <v/>
      </c>
      <c r="N173" s="94" t="n"/>
      <c r="O173" s="92">
        <f>SUMIFS($D$245:$D$595,$B$245:$B$595,N173)</f>
        <v/>
      </c>
      <c r="P173" s="94" t="n"/>
      <c r="Q173" s="92">
        <f>SUMIFS($D$245:$D$595,$B$245:$B$595,P173)</f>
        <v/>
      </c>
      <c r="R173" s="94" t="n"/>
      <c r="S173" s="92">
        <f>SUMIFS($D$245:$D$595,$B$245:$B$595,R173)</f>
        <v/>
      </c>
      <c r="T173" s="94" t="n"/>
      <c r="U173" s="92">
        <f>SUMIFS($D$245:$D$595,$B$245:$B$595,T173)</f>
        <v/>
      </c>
      <c r="V173" s="94" t="n"/>
      <c r="W173" s="92">
        <f>SUMIFS($D$245:$D$595,$B$245:$B$595,V173)</f>
        <v/>
      </c>
      <c r="X173" s="94" t="n"/>
      <c r="Y173" s="92">
        <f>SUMIFS($D$245:$D$595,$B$245:$B$595,X173)</f>
        <v/>
      </c>
      <c r="Z173" s="94" t="n"/>
      <c r="AA173" s="92">
        <f>SUMIFS($D$245:$D$595,$B$245:$B$595,Z173)</f>
        <v/>
      </c>
      <c r="AB173" s="94" t="n"/>
      <c r="AC173" s="92">
        <f>SUMIFS($D$245:$D$595,$B$245:$B$595,AB173)</f>
        <v/>
      </c>
      <c r="AD173" s="94" t="n"/>
      <c r="AE173" s="92">
        <f>SUMIFS($D$245:$D$595,$B$245:$B$595,AD173)</f>
        <v/>
      </c>
      <c r="AF173" s="93" t="n"/>
    </row>
    <row r="174">
      <c r="A174" s="18" t="n">
        <v>17</v>
      </c>
      <c r="H174" s="91" t="n"/>
      <c r="I174" s="92">
        <f>SUMIFS($D$245:$D$595,$B$245:$B$595,H174)</f>
        <v/>
      </c>
      <c r="J174" s="94" t="n"/>
      <c r="K174" s="92">
        <f>SUMIFS($D$245:$D$595,$B$245:$B$595,J174)</f>
        <v/>
      </c>
      <c r="L174" s="94" t="n"/>
      <c r="M174" s="92">
        <f>SUMIFS($D$245:$D$595,$B$245:$B$595,L174)</f>
        <v/>
      </c>
      <c r="N174" s="94" t="n"/>
      <c r="O174" s="92">
        <f>SUMIFS($D$245:$D$595,$B$245:$B$595,N174)</f>
        <v/>
      </c>
      <c r="P174" s="94" t="n"/>
      <c r="Q174" s="92">
        <f>SUMIFS($D$245:$D$595,$B$245:$B$595,P174)</f>
        <v/>
      </c>
      <c r="R174" s="94" t="n"/>
      <c r="S174" s="92">
        <f>SUMIFS($D$245:$D$595,$B$245:$B$595,R174)</f>
        <v/>
      </c>
      <c r="T174" s="94" t="n"/>
      <c r="U174" s="92">
        <f>SUMIFS($D$245:$D$595,$B$245:$B$595,T174)</f>
        <v/>
      </c>
      <c r="V174" s="94" t="n"/>
      <c r="W174" s="92">
        <f>SUMIFS($D$245:$D$595,$B$245:$B$595,V174)</f>
        <v/>
      </c>
      <c r="X174" s="94" t="n"/>
      <c r="Y174" s="92">
        <f>SUMIFS($D$245:$D$595,$B$245:$B$595,X174)</f>
        <v/>
      </c>
      <c r="Z174" s="94" t="n"/>
      <c r="AA174" s="92">
        <f>SUMIFS($D$245:$D$595,$B$245:$B$595,Z174)</f>
        <v/>
      </c>
      <c r="AB174" s="94" t="n"/>
      <c r="AC174" s="92">
        <f>SUMIFS($D$245:$D$595,$B$245:$B$595,AB174)</f>
        <v/>
      </c>
      <c r="AD174" s="94" t="n"/>
      <c r="AE174" s="92">
        <f>SUMIFS($D$245:$D$595,$B$245:$B$595,AD174)</f>
        <v/>
      </c>
      <c r="AF174" s="93" t="n"/>
    </row>
    <row r="175">
      <c r="A175" s="18" t="n">
        <v>18</v>
      </c>
      <c r="H175" s="91" t="n"/>
      <c r="I175" s="92">
        <f>SUMIFS($D$245:$D$595,$B$245:$B$595,H175)</f>
        <v/>
      </c>
      <c r="J175" s="94" t="n"/>
      <c r="K175" s="92">
        <f>SUMIFS($D$245:$D$595,$B$245:$B$595,J175)</f>
        <v/>
      </c>
      <c r="L175" s="94" t="n"/>
      <c r="M175" s="92">
        <f>SUMIFS($D$245:$D$595,$B$245:$B$595,L175)</f>
        <v/>
      </c>
      <c r="N175" s="94" t="n"/>
      <c r="O175" s="92">
        <f>SUMIFS($D$245:$D$595,$B$245:$B$595,N175)</f>
        <v/>
      </c>
      <c r="P175" s="94" t="n"/>
      <c r="Q175" s="92">
        <f>SUMIFS($D$245:$D$595,$B$245:$B$595,P175)</f>
        <v/>
      </c>
      <c r="R175" s="94" t="n"/>
      <c r="S175" s="92">
        <f>SUMIFS($D$245:$D$595,$B$245:$B$595,R175)</f>
        <v/>
      </c>
      <c r="T175" s="94" t="n"/>
      <c r="U175" s="92">
        <f>SUMIFS($D$245:$D$595,$B$245:$B$595,T175)</f>
        <v/>
      </c>
      <c r="V175" s="94" t="n"/>
      <c r="W175" s="92">
        <f>SUMIFS($D$245:$D$595,$B$245:$B$595,V175)</f>
        <v/>
      </c>
      <c r="X175" s="94" t="n"/>
      <c r="Y175" s="92">
        <f>SUMIFS($D$245:$D$595,$B$245:$B$595,X175)</f>
        <v/>
      </c>
      <c r="Z175" s="94" t="n"/>
      <c r="AA175" s="92">
        <f>SUMIFS($D$245:$D$595,$B$245:$B$595,Z175)</f>
        <v/>
      </c>
      <c r="AB175" s="94" t="n"/>
      <c r="AC175" s="92">
        <f>SUMIFS($D$245:$D$595,$B$245:$B$595,AB175)</f>
        <v/>
      </c>
      <c r="AD175" s="94" t="n"/>
      <c r="AE175" s="92">
        <f>SUMIFS($D$245:$D$595,$B$245:$B$595,AD175)</f>
        <v/>
      </c>
      <c r="AF175" s="93" t="n"/>
    </row>
    <row r="176">
      <c r="A176" s="18" t="n">
        <v>19</v>
      </c>
      <c r="H176" s="91" t="n"/>
      <c r="I176" s="92">
        <f>SUMIFS($D$245:$D$595,$B$245:$B$595,H176)</f>
        <v/>
      </c>
      <c r="J176" s="94" t="n"/>
      <c r="K176" s="92">
        <f>SUMIFS($D$245:$D$595,$B$245:$B$595,J176)</f>
        <v/>
      </c>
      <c r="L176" s="94" t="n"/>
      <c r="M176" s="92">
        <f>SUMIFS($D$245:$D$595,$B$245:$B$595,L176)</f>
        <v/>
      </c>
      <c r="N176" s="94" t="n"/>
      <c r="O176" s="92">
        <f>SUMIFS($D$245:$D$595,$B$245:$B$595,N176)</f>
        <v/>
      </c>
      <c r="P176" s="94" t="n"/>
      <c r="Q176" s="92">
        <f>SUMIFS($D$245:$D$595,$B$245:$B$595,P176)</f>
        <v/>
      </c>
      <c r="R176" s="94" t="n"/>
      <c r="S176" s="92">
        <f>SUMIFS($D$245:$D$595,$B$245:$B$595,R176)</f>
        <v/>
      </c>
      <c r="T176" s="94" t="n"/>
      <c r="U176" s="92">
        <f>SUMIFS($D$245:$D$595,$B$245:$B$595,T176)</f>
        <v/>
      </c>
      <c r="V176" s="94" t="n"/>
      <c r="W176" s="92">
        <f>SUMIFS($D$245:$D$595,$B$245:$B$595,V176)</f>
        <v/>
      </c>
      <c r="X176" s="94" t="n"/>
      <c r="Y176" s="92">
        <f>SUMIFS($D$245:$D$595,$B$245:$B$595,X176)</f>
        <v/>
      </c>
      <c r="Z176" s="94" t="n"/>
      <c r="AA176" s="92">
        <f>SUMIFS($D$245:$D$595,$B$245:$B$595,Z176)</f>
        <v/>
      </c>
      <c r="AB176" s="94" t="n"/>
      <c r="AC176" s="92">
        <f>SUMIFS($D$245:$D$595,$B$245:$B$595,AB176)</f>
        <v/>
      </c>
      <c r="AD176" s="94" t="n"/>
      <c r="AE176" s="92">
        <f>SUMIFS($D$245:$D$595,$B$245:$B$595,AD176)</f>
        <v/>
      </c>
      <c r="AF176" s="93" t="n"/>
    </row>
    <row r="177">
      <c r="A177" s="18" t="n">
        <v>20</v>
      </c>
      <c r="H177" s="91" t="n"/>
      <c r="I177" s="92">
        <f>SUMIFS($D$245:$D$595,$B$245:$B$595,H177)</f>
        <v/>
      </c>
      <c r="J177" s="94" t="n"/>
      <c r="K177" s="92">
        <f>SUMIFS($D$245:$D$595,$B$245:$B$595,J177)</f>
        <v/>
      </c>
      <c r="L177" s="94" t="n"/>
      <c r="M177" s="92">
        <f>SUMIFS($D$245:$D$595,$B$245:$B$595,L177)</f>
        <v/>
      </c>
      <c r="N177" s="94" t="n"/>
      <c r="O177" s="92">
        <f>SUMIFS($D$245:$D$595,$B$245:$B$595,N177)</f>
        <v/>
      </c>
      <c r="P177" s="94" t="n"/>
      <c r="Q177" s="92">
        <f>SUMIFS($D$245:$D$595,$B$245:$B$595,P177)</f>
        <v/>
      </c>
      <c r="R177" s="94" t="n"/>
      <c r="S177" s="92">
        <f>SUMIFS($D$245:$D$595,$B$245:$B$595,R177)</f>
        <v/>
      </c>
      <c r="T177" s="94" t="n"/>
      <c r="U177" s="92">
        <f>SUMIFS($D$245:$D$595,$B$245:$B$595,T177)</f>
        <v/>
      </c>
      <c r="V177" s="94" t="n"/>
      <c r="W177" s="92">
        <f>SUMIFS($D$245:$D$595,$B$245:$B$595,V177)</f>
        <v/>
      </c>
      <c r="X177" s="94" t="n"/>
      <c r="Y177" s="92">
        <f>SUMIFS($D$245:$D$595,$B$245:$B$595,X177)</f>
        <v/>
      </c>
      <c r="Z177" s="94" t="n"/>
      <c r="AA177" s="92">
        <f>SUMIFS($D$245:$D$595,$B$245:$B$595,Z177)</f>
        <v/>
      </c>
      <c r="AB177" s="94" t="n"/>
      <c r="AC177" s="92">
        <f>SUMIFS($D$245:$D$595,$B$245:$B$595,AB177)</f>
        <v/>
      </c>
      <c r="AD177" s="94" t="n"/>
      <c r="AE177" s="92">
        <f>SUMIFS($D$245:$D$595,$B$245:$B$595,AD177)</f>
        <v/>
      </c>
      <c r="AF177" s="93" t="n"/>
    </row>
    <row r="178">
      <c r="A178" s="18" t="n">
        <v>21</v>
      </c>
      <c r="H178" s="91" t="n"/>
      <c r="I178" s="92">
        <f>SUMIFS($D$245:$D$595,$B$245:$B$595,H178)</f>
        <v/>
      </c>
      <c r="J178" s="94" t="n"/>
      <c r="K178" s="92">
        <f>SUMIFS($D$245:$D$595,$B$245:$B$595,J178)</f>
        <v/>
      </c>
      <c r="L178" s="94" t="n"/>
      <c r="M178" s="92">
        <f>SUMIFS($D$245:$D$595,$B$245:$B$595,L178)</f>
        <v/>
      </c>
      <c r="N178" s="94" t="n"/>
      <c r="O178" s="92">
        <f>SUMIFS($D$245:$D$595,$B$245:$B$595,N178)</f>
        <v/>
      </c>
      <c r="P178" s="94" t="n"/>
      <c r="Q178" s="92">
        <f>SUMIFS($D$245:$D$595,$B$245:$B$595,P178)</f>
        <v/>
      </c>
      <c r="R178" s="94" t="n"/>
      <c r="S178" s="92">
        <f>SUMIFS($D$245:$D$595,$B$245:$B$595,R178)</f>
        <v/>
      </c>
      <c r="T178" s="94" t="n"/>
      <c r="U178" s="92">
        <f>SUMIFS($D$245:$D$595,$B$245:$B$595,T178)</f>
        <v/>
      </c>
      <c r="V178" s="94" t="n"/>
      <c r="W178" s="92">
        <f>SUMIFS($D$245:$D$595,$B$245:$B$595,V178)</f>
        <v/>
      </c>
      <c r="X178" s="94" t="n"/>
      <c r="Y178" s="92">
        <f>SUMIFS($D$245:$D$595,$B$245:$B$595,X178)</f>
        <v/>
      </c>
      <c r="Z178" s="94" t="n"/>
      <c r="AA178" s="92">
        <f>SUMIFS($D$245:$D$595,$B$245:$B$595,Z178)</f>
        <v/>
      </c>
      <c r="AB178" s="94" t="n"/>
      <c r="AC178" s="92">
        <f>SUMIFS($D$245:$D$595,$B$245:$B$595,AB178)</f>
        <v/>
      </c>
      <c r="AD178" s="94" t="n"/>
      <c r="AE178" s="92">
        <f>SUMIFS($D$245:$D$595,$B$245:$B$595,AD178)</f>
        <v/>
      </c>
      <c r="AF178" s="93" t="n"/>
    </row>
    <row r="179">
      <c r="A179" s="18" t="n">
        <v>22</v>
      </c>
      <c r="H179" s="91" t="n"/>
      <c r="I179" s="92">
        <f>SUMIFS($D$245:$D$595,$B$245:$B$595,H179)</f>
        <v/>
      </c>
      <c r="J179" s="94" t="n"/>
      <c r="K179" s="92">
        <f>SUMIFS($D$245:$D$595,$B$245:$B$595,J179)</f>
        <v/>
      </c>
      <c r="L179" s="94" t="n"/>
      <c r="M179" s="92">
        <f>SUMIFS($D$245:$D$595,$B$245:$B$595,L179)</f>
        <v/>
      </c>
      <c r="N179" s="94" t="n"/>
      <c r="O179" s="92">
        <f>SUMIFS($D$245:$D$595,$B$245:$B$595,N179)</f>
        <v/>
      </c>
      <c r="P179" s="94" t="n"/>
      <c r="Q179" s="92">
        <f>SUMIFS($D$245:$D$595,$B$245:$B$595,P179)</f>
        <v/>
      </c>
      <c r="R179" s="94" t="n"/>
      <c r="S179" s="92">
        <f>SUMIFS($D$245:$D$595,$B$245:$B$595,R179)</f>
        <v/>
      </c>
      <c r="T179" s="94" t="n"/>
      <c r="U179" s="92">
        <f>SUMIFS($D$245:$D$595,$B$245:$B$595,T179)</f>
        <v/>
      </c>
      <c r="V179" s="94" t="n"/>
      <c r="W179" s="92">
        <f>SUMIFS($D$245:$D$595,$B$245:$B$595,V179)</f>
        <v/>
      </c>
      <c r="X179" s="94" t="n"/>
      <c r="Y179" s="92">
        <f>SUMIFS($D$245:$D$595,$B$245:$B$595,X179)</f>
        <v/>
      </c>
      <c r="Z179" s="94" t="n"/>
      <c r="AA179" s="92">
        <f>SUMIFS($D$245:$D$595,$B$245:$B$595,Z179)</f>
        <v/>
      </c>
      <c r="AB179" s="94" t="n"/>
      <c r="AC179" s="92">
        <f>SUMIFS($D$245:$D$595,$B$245:$B$595,AB179)</f>
        <v/>
      </c>
      <c r="AD179" s="94" t="n"/>
      <c r="AE179" s="92">
        <f>SUMIFS($D$245:$D$595,$B$245:$B$595,AD179)</f>
        <v/>
      </c>
      <c r="AF179" s="93" t="n"/>
    </row>
    <row r="180">
      <c r="A180" s="18" t="n">
        <v>23</v>
      </c>
      <c r="H180" s="91" t="n"/>
      <c r="I180" s="92">
        <f>SUMIFS($D$245:$D$595,$B$245:$B$595,H180)</f>
        <v/>
      </c>
      <c r="J180" s="94" t="n"/>
      <c r="K180" s="92">
        <f>SUMIFS($D$245:$D$595,$B$245:$B$595,J180)</f>
        <v/>
      </c>
      <c r="L180" s="94" t="n"/>
      <c r="M180" s="92">
        <f>SUMIFS($D$245:$D$595,$B$245:$B$595,L180)</f>
        <v/>
      </c>
      <c r="N180" s="94" t="n"/>
      <c r="O180" s="92">
        <f>SUMIFS($D$245:$D$595,$B$245:$B$595,N180)</f>
        <v/>
      </c>
      <c r="P180" s="94" t="n"/>
      <c r="Q180" s="92">
        <f>SUMIFS($D$245:$D$595,$B$245:$B$595,P180)</f>
        <v/>
      </c>
      <c r="R180" s="94" t="n"/>
      <c r="S180" s="92">
        <f>SUMIFS($D$245:$D$595,$B$245:$B$595,R180)</f>
        <v/>
      </c>
      <c r="T180" s="94" t="n"/>
      <c r="U180" s="92">
        <f>SUMIFS($D$245:$D$595,$B$245:$B$595,T180)</f>
        <v/>
      </c>
      <c r="V180" s="94" t="n"/>
      <c r="W180" s="92">
        <f>SUMIFS($D$245:$D$595,$B$245:$B$595,V180)</f>
        <v/>
      </c>
      <c r="X180" s="94" t="n"/>
      <c r="Y180" s="92">
        <f>SUMIFS($D$245:$D$595,$B$245:$B$595,X180)</f>
        <v/>
      </c>
      <c r="Z180" s="94" t="n"/>
      <c r="AA180" s="92">
        <f>SUMIFS($D$245:$D$595,$B$245:$B$595,Z180)</f>
        <v/>
      </c>
      <c r="AB180" s="94" t="n"/>
      <c r="AC180" s="92">
        <f>SUMIFS($D$245:$D$595,$B$245:$B$595,AB180)</f>
        <v/>
      </c>
      <c r="AD180" s="94" t="n"/>
      <c r="AE180" s="92">
        <f>SUMIFS($D$245:$D$595,$B$245:$B$595,AD180)</f>
        <v/>
      </c>
      <c r="AF180" s="93" t="n"/>
    </row>
    <row r="181">
      <c r="A181" s="18" t="n">
        <v>24</v>
      </c>
      <c r="H181" s="91" t="n"/>
      <c r="I181" s="92">
        <f>SUMIFS($D$245:$D$595,$B$245:$B$595,H181)</f>
        <v/>
      </c>
      <c r="J181" s="94" t="n"/>
      <c r="K181" s="92">
        <f>SUMIFS($D$245:$D$595,$B$245:$B$595,J181)</f>
        <v/>
      </c>
      <c r="L181" s="94" t="n"/>
      <c r="M181" s="92">
        <f>SUMIFS($D$245:$D$595,$B$245:$B$595,L181)</f>
        <v/>
      </c>
      <c r="N181" s="94" t="n"/>
      <c r="O181" s="92">
        <f>SUMIFS($D$245:$D$595,$B$245:$B$595,N181)</f>
        <v/>
      </c>
      <c r="P181" s="94" t="n"/>
      <c r="Q181" s="92">
        <f>SUMIFS($D$245:$D$595,$B$245:$B$595,P181)</f>
        <v/>
      </c>
      <c r="R181" s="94" t="n"/>
      <c r="S181" s="92">
        <f>SUMIFS($D$245:$D$595,$B$245:$B$595,R181)</f>
        <v/>
      </c>
      <c r="T181" s="94" t="n"/>
      <c r="U181" s="92">
        <f>SUMIFS($D$245:$D$595,$B$245:$B$595,T181)</f>
        <v/>
      </c>
      <c r="V181" s="94" t="n"/>
      <c r="W181" s="92">
        <f>SUMIFS($D$245:$D$595,$B$245:$B$595,V181)</f>
        <v/>
      </c>
      <c r="X181" s="94" t="n"/>
      <c r="Y181" s="92">
        <f>SUMIFS($D$245:$D$595,$B$245:$B$595,X181)</f>
        <v/>
      </c>
      <c r="Z181" s="94" t="n"/>
      <c r="AA181" s="92">
        <f>SUMIFS($D$245:$D$595,$B$245:$B$595,Z181)</f>
        <v/>
      </c>
      <c r="AB181" s="94" t="n"/>
      <c r="AC181" s="92">
        <f>SUMIFS($D$245:$D$595,$B$245:$B$595,AB181)</f>
        <v/>
      </c>
      <c r="AD181" s="94" t="n"/>
      <c r="AE181" s="92">
        <f>SUMIFS($D$245:$D$595,$B$245:$B$595,AD181)</f>
        <v/>
      </c>
      <c r="AF181" s="93" t="n"/>
    </row>
    <row r="182">
      <c r="A182" s="18" t="n">
        <v>25</v>
      </c>
      <c r="H182" s="91" t="n"/>
      <c r="I182" s="92">
        <f>SUMIFS($D$245:$D$595,$B$245:$B$595,H182)</f>
        <v/>
      </c>
      <c r="J182" s="94" t="n"/>
      <c r="K182" s="92">
        <f>SUMIFS($D$245:$D$595,$B$245:$B$595,J182)</f>
        <v/>
      </c>
      <c r="L182" s="94" t="n"/>
      <c r="M182" s="92">
        <f>SUMIFS($D$245:$D$595,$B$245:$B$595,L182)</f>
        <v/>
      </c>
      <c r="N182" s="94" t="n"/>
      <c r="O182" s="92">
        <f>SUMIFS($D$245:$D$595,$B$245:$B$595,N182)</f>
        <v/>
      </c>
      <c r="P182" s="94" t="n"/>
      <c r="Q182" s="92">
        <f>SUMIFS($D$245:$D$595,$B$245:$B$595,P182)</f>
        <v/>
      </c>
      <c r="R182" s="94" t="n"/>
      <c r="S182" s="92">
        <f>SUMIFS($D$245:$D$595,$B$245:$B$595,R182)</f>
        <v/>
      </c>
      <c r="T182" s="94" t="n"/>
      <c r="U182" s="92">
        <f>SUMIFS($D$245:$D$595,$B$245:$B$595,T182)</f>
        <v/>
      </c>
      <c r="V182" s="94" t="n"/>
      <c r="W182" s="92">
        <f>SUMIFS($D$245:$D$595,$B$245:$B$595,V182)</f>
        <v/>
      </c>
      <c r="X182" s="94" t="n"/>
      <c r="Y182" s="92">
        <f>SUMIFS($D$245:$D$595,$B$245:$B$595,X182)</f>
        <v/>
      </c>
      <c r="Z182" s="94" t="n"/>
      <c r="AA182" s="92">
        <f>SUMIFS($D$245:$D$595,$B$245:$B$595,Z182)</f>
        <v/>
      </c>
      <c r="AB182" s="94" t="n"/>
      <c r="AC182" s="92">
        <f>SUMIFS($D$245:$D$595,$B$245:$B$595,AB182)</f>
        <v/>
      </c>
      <c r="AD182" s="94" t="n"/>
      <c r="AE182" s="92">
        <f>SUMIFS($D$245:$D$595,$B$245:$B$595,AD182)</f>
        <v/>
      </c>
      <c r="AF182" s="93" t="n"/>
    </row>
    <row r="183">
      <c r="A183" s="18" t="n">
        <v>26</v>
      </c>
      <c r="H183" s="91" t="n"/>
      <c r="I183" s="92">
        <f>SUMIFS($D$245:$D$595,$B$245:$B$595,H183)</f>
        <v/>
      </c>
      <c r="J183" s="94" t="n"/>
      <c r="K183" s="92">
        <f>SUMIFS($D$245:$D$595,$B$245:$B$595,J183)</f>
        <v/>
      </c>
      <c r="L183" s="94" t="n"/>
      <c r="M183" s="92">
        <f>SUMIFS($D$245:$D$595,$B$245:$B$595,L183)</f>
        <v/>
      </c>
      <c r="N183" s="94" t="n"/>
      <c r="O183" s="92">
        <f>SUMIFS($D$245:$D$595,$B$245:$B$595,N183)</f>
        <v/>
      </c>
      <c r="P183" s="94" t="n"/>
      <c r="Q183" s="92">
        <f>SUMIFS($D$245:$D$595,$B$245:$B$595,P183)</f>
        <v/>
      </c>
      <c r="R183" s="94" t="n"/>
      <c r="S183" s="92">
        <f>SUMIFS($D$245:$D$595,$B$245:$B$595,R183)</f>
        <v/>
      </c>
      <c r="T183" s="94" t="n"/>
      <c r="U183" s="92">
        <f>SUMIFS($D$245:$D$595,$B$245:$B$595,T183)</f>
        <v/>
      </c>
      <c r="V183" s="94" t="n"/>
      <c r="W183" s="92">
        <f>SUMIFS($D$245:$D$595,$B$245:$B$595,V183)</f>
        <v/>
      </c>
      <c r="X183" s="94" t="n"/>
      <c r="Y183" s="92">
        <f>SUMIFS($D$245:$D$595,$B$245:$B$595,X183)</f>
        <v/>
      </c>
      <c r="Z183" s="94" t="n"/>
      <c r="AA183" s="92">
        <f>SUMIFS($D$245:$D$595,$B$245:$B$595,Z183)</f>
        <v/>
      </c>
      <c r="AB183" s="94" t="n"/>
      <c r="AC183" s="92">
        <f>SUMIFS($D$245:$D$595,$B$245:$B$595,AB183)</f>
        <v/>
      </c>
      <c r="AD183" s="94" t="n"/>
      <c r="AE183" s="92">
        <f>SUMIFS($D$245:$D$595,$B$245:$B$595,AD183)</f>
        <v/>
      </c>
      <c r="AF183" s="93" t="n"/>
    </row>
    <row r="184">
      <c r="A184" s="18" t="n">
        <v>27</v>
      </c>
      <c r="H184" s="91" t="n"/>
      <c r="I184" s="92">
        <f>SUMIFS($D$245:$D$595,$B$245:$B$595,H184)</f>
        <v/>
      </c>
      <c r="J184" s="94" t="n"/>
      <c r="K184" s="92">
        <f>SUMIFS($D$245:$D$595,$B$245:$B$595,J184)</f>
        <v/>
      </c>
      <c r="L184" s="94" t="n"/>
      <c r="M184" s="92">
        <f>SUMIFS($D$245:$D$595,$B$245:$B$595,L184)</f>
        <v/>
      </c>
      <c r="N184" s="94" t="n"/>
      <c r="O184" s="92">
        <f>SUMIFS($D$245:$D$595,$B$245:$B$595,N184)</f>
        <v/>
      </c>
      <c r="P184" s="94" t="n"/>
      <c r="Q184" s="92">
        <f>SUMIFS($D$245:$D$595,$B$245:$B$595,P184)</f>
        <v/>
      </c>
      <c r="R184" s="94" t="n"/>
      <c r="S184" s="92">
        <f>SUMIFS($D$245:$D$595,$B$245:$B$595,R184)</f>
        <v/>
      </c>
      <c r="T184" s="94" t="n"/>
      <c r="U184" s="92">
        <f>SUMIFS($D$245:$D$595,$B$245:$B$595,T184)</f>
        <v/>
      </c>
      <c r="V184" s="94" t="n"/>
      <c r="W184" s="92">
        <f>SUMIFS($D$245:$D$595,$B$245:$B$595,V184)</f>
        <v/>
      </c>
      <c r="X184" s="94" t="n"/>
      <c r="Y184" s="92">
        <f>SUMIFS($D$245:$D$595,$B$245:$B$595,X184)</f>
        <v/>
      </c>
      <c r="Z184" s="94" t="n"/>
      <c r="AA184" s="92">
        <f>SUMIFS($D$245:$D$595,$B$245:$B$595,Z184)</f>
        <v/>
      </c>
      <c r="AB184" s="94" t="n"/>
      <c r="AC184" s="92">
        <f>SUMIFS($D$245:$D$595,$B$245:$B$595,AB184)</f>
        <v/>
      </c>
      <c r="AD184" s="94" t="n"/>
      <c r="AE184" s="92">
        <f>SUMIFS($D$245:$D$595,$B$245:$B$595,AD184)</f>
        <v/>
      </c>
      <c r="AF184" s="93" t="n"/>
    </row>
    <row r="185">
      <c r="A185" s="18" t="n">
        <v>28</v>
      </c>
      <c r="H185" s="91" t="n"/>
      <c r="I185" s="92">
        <f>SUMIFS($D$245:$D$595,$B$245:$B$595,H185)</f>
        <v/>
      </c>
      <c r="J185" s="94" t="n"/>
      <c r="K185" s="92">
        <f>SUMIFS($D$245:$D$595,$B$245:$B$595,J185)</f>
        <v/>
      </c>
      <c r="L185" s="94" t="n"/>
      <c r="M185" s="92">
        <f>SUMIFS($D$245:$D$595,$B$245:$B$595,L185)</f>
        <v/>
      </c>
      <c r="N185" s="94" t="n"/>
      <c r="O185" s="92">
        <f>SUMIFS($D$245:$D$595,$B$245:$B$595,N185)</f>
        <v/>
      </c>
      <c r="P185" s="94" t="n"/>
      <c r="Q185" s="92">
        <f>SUMIFS($D$245:$D$595,$B$245:$B$595,P185)</f>
        <v/>
      </c>
      <c r="R185" s="94" t="n"/>
      <c r="S185" s="92">
        <f>SUMIFS($D$245:$D$595,$B$245:$B$595,R185)</f>
        <v/>
      </c>
      <c r="T185" s="94" t="n"/>
      <c r="U185" s="92">
        <f>SUMIFS($D$245:$D$595,$B$245:$B$595,T185)</f>
        <v/>
      </c>
      <c r="V185" s="94" t="n"/>
      <c r="W185" s="92">
        <f>SUMIFS($D$245:$D$595,$B$245:$B$595,V185)</f>
        <v/>
      </c>
      <c r="X185" s="94" t="n"/>
      <c r="Y185" s="92">
        <f>SUMIFS($D$245:$D$595,$B$245:$B$595,X185)</f>
        <v/>
      </c>
      <c r="Z185" s="94" t="n"/>
      <c r="AA185" s="92">
        <f>SUMIFS($D$245:$D$595,$B$245:$B$595,Z185)</f>
        <v/>
      </c>
      <c r="AB185" s="94" t="n"/>
      <c r="AC185" s="92">
        <f>SUMIFS($D$245:$D$595,$B$245:$B$595,AB185)</f>
        <v/>
      </c>
      <c r="AD185" s="94" t="n"/>
      <c r="AE185" s="92">
        <f>SUMIFS($D$245:$D$595,$B$245:$B$595,AD185)</f>
        <v/>
      </c>
      <c r="AF185" s="93" t="n"/>
    </row>
    <row r="186">
      <c r="A186" s="18" t="n">
        <v>29</v>
      </c>
      <c r="H186" s="91" t="n"/>
      <c r="I186" s="92">
        <f>SUMIFS($D$245:$D$595,$B$245:$B$595,H186)</f>
        <v/>
      </c>
      <c r="J186" s="94" t="n"/>
      <c r="K186" s="92">
        <f>SUMIFS($D$245:$D$595,$B$245:$B$595,J186)</f>
        <v/>
      </c>
      <c r="L186" s="94" t="n"/>
      <c r="M186" s="92">
        <f>SUMIFS($D$245:$D$595,$B$245:$B$595,L186)</f>
        <v/>
      </c>
      <c r="N186" s="94" t="n"/>
      <c r="O186" s="92">
        <f>SUMIFS($D$245:$D$595,$B$245:$B$595,N186)</f>
        <v/>
      </c>
      <c r="P186" s="94" t="n"/>
      <c r="Q186" s="92">
        <f>SUMIFS($D$245:$D$595,$B$245:$B$595,P186)</f>
        <v/>
      </c>
      <c r="R186" s="94" t="n"/>
      <c r="S186" s="92">
        <f>SUMIFS($D$245:$D$595,$B$245:$B$595,R186)</f>
        <v/>
      </c>
      <c r="T186" s="94" t="n"/>
      <c r="U186" s="92">
        <f>SUMIFS($D$245:$D$595,$B$245:$B$595,T186)</f>
        <v/>
      </c>
      <c r="V186" s="94" t="n"/>
      <c r="W186" s="92">
        <f>SUMIFS($D$245:$D$595,$B$245:$B$595,V186)</f>
        <v/>
      </c>
      <c r="X186" s="94" t="n"/>
      <c r="Y186" s="92">
        <f>SUMIFS($D$245:$D$595,$B$245:$B$595,X186)</f>
        <v/>
      </c>
      <c r="Z186" s="94" t="n"/>
      <c r="AA186" s="92">
        <f>SUMIFS($D$245:$D$595,$B$245:$B$595,Z186)</f>
        <v/>
      </c>
      <c r="AB186" s="94" t="n"/>
      <c r="AC186" s="92">
        <f>SUMIFS($D$245:$D$595,$B$245:$B$595,AB186)</f>
        <v/>
      </c>
      <c r="AD186" s="94" t="n"/>
      <c r="AE186" s="92">
        <f>SUMIFS($D$245:$D$595,$B$245:$B$595,AD186)</f>
        <v/>
      </c>
      <c r="AF186" s="93" t="n"/>
    </row>
    <row r="187">
      <c r="A187" s="18" t="n">
        <v>30</v>
      </c>
      <c r="H187" s="91" t="n"/>
      <c r="I187" s="92">
        <f>SUMIFS($D$245:$D$595,$B$245:$B$595,H187)</f>
        <v/>
      </c>
      <c r="J187" s="94" t="n"/>
      <c r="K187" s="92">
        <f>SUMIFS($D$245:$D$595,$B$245:$B$595,J187)</f>
        <v/>
      </c>
      <c r="L187" s="94" t="n"/>
      <c r="M187" s="92">
        <f>SUMIFS($D$245:$D$595,$B$245:$B$595,L187)</f>
        <v/>
      </c>
      <c r="N187" s="94" t="n"/>
      <c r="O187" s="92">
        <f>SUMIFS($D$245:$D$595,$B$245:$B$595,N187)</f>
        <v/>
      </c>
      <c r="P187" s="94" t="n"/>
      <c r="Q187" s="92">
        <f>SUMIFS($D$245:$D$595,$B$245:$B$595,P187)</f>
        <v/>
      </c>
      <c r="R187" s="94" t="n"/>
      <c r="S187" s="92">
        <f>SUMIFS($D$245:$D$595,$B$245:$B$595,R187)</f>
        <v/>
      </c>
      <c r="T187" s="94" t="n"/>
      <c r="U187" s="92">
        <f>SUMIFS($D$245:$D$595,$B$245:$B$595,T187)</f>
        <v/>
      </c>
      <c r="V187" s="94" t="n"/>
      <c r="W187" s="92">
        <f>SUMIFS($D$245:$D$595,$B$245:$B$595,V187)</f>
        <v/>
      </c>
      <c r="X187" s="94" t="n"/>
      <c r="Y187" s="92">
        <f>SUMIFS($D$245:$D$595,$B$245:$B$595,X187)</f>
        <v/>
      </c>
      <c r="Z187" s="94" t="n"/>
      <c r="AA187" s="92">
        <f>SUMIFS($D$245:$D$595,$B$245:$B$595,Z187)</f>
        <v/>
      </c>
      <c r="AB187" s="94" t="n"/>
      <c r="AC187" s="92">
        <f>SUMIFS($D$245:$D$595,$B$245:$B$595,AB187)</f>
        <v/>
      </c>
      <c r="AD187" s="94" t="n"/>
      <c r="AE187" s="92">
        <f>SUMIFS($D$245:$D$595,$B$245:$B$595,AD187)</f>
        <v/>
      </c>
      <c r="AF187" s="93" t="n"/>
    </row>
    <row r="188">
      <c r="A188" s="18" t="n">
        <v>31</v>
      </c>
      <c r="H188" s="91" t="n"/>
      <c r="I188" s="92">
        <f>SUMIFS($D$245:$D$595,$B$245:$B$595,H188)</f>
        <v/>
      </c>
      <c r="J188" s="94" t="n"/>
      <c r="K188" s="92">
        <f>SUMIFS($D$245:$D$595,$B$245:$B$595,J188)</f>
        <v/>
      </c>
      <c r="L188" s="94" t="n"/>
      <c r="M188" s="92">
        <f>SUMIFS($D$245:$D$595,$B$245:$B$595,L188)</f>
        <v/>
      </c>
      <c r="N188" s="94" t="n"/>
      <c r="O188" s="92">
        <f>SUMIFS($D$245:$D$595,$B$245:$B$595,N188)</f>
        <v/>
      </c>
      <c r="P188" s="94" t="n"/>
      <c r="Q188" s="92">
        <f>SUMIFS($D$245:$D$595,$B$245:$B$595,P188)</f>
        <v/>
      </c>
      <c r="R188" s="94" t="n"/>
      <c r="S188" s="92">
        <f>SUMIFS($D$245:$D$595,$B$245:$B$595,R188)</f>
        <v/>
      </c>
      <c r="T188" s="94" t="n"/>
      <c r="U188" s="92">
        <f>SUMIFS($D$245:$D$595,$B$245:$B$595,T188)</f>
        <v/>
      </c>
      <c r="V188" s="94" t="n"/>
      <c r="W188" s="92">
        <f>SUMIFS($D$245:$D$595,$B$245:$B$595,V188)</f>
        <v/>
      </c>
      <c r="X188" s="94" t="n"/>
      <c r="Y188" s="92">
        <f>SUMIFS($D$245:$D$595,$B$245:$B$595,X188)</f>
        <v/>
      </c>
      <c r="Z188" s="94" t="n"/>
      <c r="AA188" s="92">
        <f>SUMIFS($D$245:$D$595,$B$245:$B$595,Z188)</f>
        <v/>
      </c>
      <c r="AB188" s="94" t="n"/>
      <c r="AC188" s="92">
        <f>SUMIFS($D$245:$D$595,$B$245:$B$595,AB188)</f>
        <v/>
      </c>
      <c r="AD188" s="94" t="n"/>
      <c r="AE188" s="92">
        <f>SUMIFS($D$245:$D$595,$B$245:$B$595,AD188)</f>
        <v/>
      </c>
      <c r="AF188" s="93" t="n"/>
    </row>
    <row r="189">
      <c r="A189" s="18" t="n">
        <v>32</v>
      </c>
      <c r="H189" s="91" t="n"/>
      <c r="I189" s="92">
        <f>SUMIFS($D$245:$D$595,$B$245:$B$595,H189)</f>
        <v/>
      </c>
      <c r="J189" s="94" t="n"/>
      <c r="K189" s="92">
        <f>SUMIFS($D$245:$D$595,$B$245:$B$595,J189)</f>
        <v/>
      </c>
      <c r="L189" s="94" t="n"/>
      <c r="M189" s="92">
        <f>SUMIFS($D$245:$D$595,$B$245:$B$595,L189)</f>
        <v/>
      </c>
      <c r="N189" s="94" t="n"/>
      <c r="O189" s="92">
        <f>SUMIFS($D$245:$D$595,$B$245:$B$595,N189)</f>
        <v/>
      </c>
      <c r="P189" s="94" t="n"/>
      <c r="Q189" s="92">
        <f>SUMIFS($D$245:$D$595,$B$245:$B$595,P189)</f>
        <v/>
      </c>
      <c r="R189" s="94" t="n"/>
      <c r="S189" s="92">
        <f>SUMIFS($D$245:$D$595,$B$245:$B$595,R189)</f>
        <v/>
      </c>
      <c r="T189" s="94" t="n"/>
      <c r="U189" s="92">
        <f>SUMIFS($D$245:$D$595,$B$245:$B$595,T189)</f>
        <v/>
      </c>
      <c r="V189" s="94" t="n"/>
      <c r="W189" s="92">
        <f>SUMIFS($D$245:$D$595,$B$245:$B$595,V189)</f>
        <v/>
      </c>
      <c r="X189" s="94" t="n"/>
      <c r="Y189" s="92">
        <f>SUMIFS($D$245:$D$595,$B$245:$B$595,X189)</f>
        <v/>
      </c>
      <c r="Z189" s="94" t="n"/>
      <c r="AA189" s="92">
        <f>SUMIFS($D$245:$D$595,$B$245:$B$595,Z189)</f>
        <v/>
      </c>
      <c r="AB189" s="94" t="n"/>
      <c r="AC189" s="92">
        <f>SUMIFS($D$245:$D$595,$B$245:$B$595,AB189)</f>
        <v/>
      </c>
      <c r="AD189" s="94" t="n"/>
      <c r="AE189" s="92">
        <f>SUMIFS($D$245:$D$595,$B$245:$B$595,AD189)</f>
        <v/>
      </c>
      <c r="AF189" s="93" t="n"/>
    </row>
    <row r="190">
      <c r="A190" s="18" t="n">
        <v>33</v>
      </c>
      <c r="H190" s="91" t="n"/>
      <c r="I190" s="92">
        <f>SUMIFS($D$245:$D$595,$B$245:$B$595,H190)</f>
        <v/>
      </c>
      <c r="J190" s="94" t="n"/>
      <c r="K190" s="92">
        <f>SUMIFS($D$245:$D$595,$B$245:$B$595,J190)</f>
        <v/>
      </c>
      <c r="L190" s="94" t="n"/>
      <c r="M190" s="92">
        <f>SUMIFS($D$245:$D$595,$B$245:$B$595,L190)</f>
        <v/>
      </c>
      <c r="N190" s="94" t="n"/>
      <c r="O190" s="92">
        <f>SUMIFS($D$245:$D$595,$B$245:$B$595,N190)</f>
        <v/>
      </c>
      <c r="P190" s="94" t="n"/>
      <c r="Q190" s="92">
        <f>SUMIFS($D$245:$D$595,$B$245:$B$595,P190)</f>
        <v/>
      </c>
      <c r="R190" s="94" t="n"/>
      <c r="S190" s="92">
        <f>SUMIFS($D$245:$D$595,$B$245:$B$595,R190)</f>
        <v/>
      </c>
      <c r="T190" s="94" t="n"/>
      <c r="U190" s="92">
        <f>SUMIFS($D$245:$D$595,$B$245:$B$595,T190)</f>
        <v/>
      </c>
      <c r="V190" s="94" t="n"/>
      <c r="W190" s="92">
        <f>SUMIFS($D$245:$D$595,$B$245:$B$595,V190)</f>
        <v/>
      </c>
      <c r="X190" s="94" t="n"/>
      <c r="Y190" s="92">
        <f>SUMIFS($D$245:$D$595,$B$245:$B$595,X190)</f>
        <v/>
      </c>
      <c r="Z190" s="94" t="n"/>
      <c r="AA190" s="92">
        <f>SUMIFS($D$245:$D$595,$B$245:$B$595,Z190)</f>
        <v/>
      </c>
      <c r="AB190" s="94" t="n"/>
      <c r="AC190" s="92">
        <f>SUMIFS($D$245:$D$595,$B$245:$B$595,AB190)</f>
        <v/>
      </c>
      <c r="AD190" s="94" t="n"/>
      <c r="AE190" s="92">
        <f>SUMIFS($D$245:$D$595,$B$245:$B$595,AD190)</f>
        <v/>
      </c>
      <c r="AF190" s="93" t="n"/>
    </row>
    <row r="191">
      <c r="A191" s="18" t="n">
        <v>34</v>
      </c>
      <c r="H191" s="91" t="n"/>
      <c r="I191" s="92">
        <f>SUMIFS($D$245:$D$595,$B$245:$B$595,H191)</f>
        <v/>
      </c>
      <c r="J191" s="94" t="n"/>
      <c r="K191" s="92">
        <f>SUMIFS($D$245:$D$595,$B$245:$B$595,J191)</f>
        <v/>
      </c>
      <c r="L191" s="94" t="n"/>
      <c r="M191" s="92">
        <f>SUMIFS($D$245:$D$595,$B$245:$B$595,L191)</f>
        <v/>
      </c>
      <c r="N191" s="94" t="n"/>
      <c r="O191" s="92">
        <f>SUMIFS($D$245:$D$595,$B$245:$B$595,N191)</f>
        <v/>
      </c>
      <c r="P191" s="94" t="n"/>
      <c r="Q191" s="92">
        <f>SUMIFS($D$245:$D$595,$B$245:$B$595,P191)</f>
        <v/>
      </c>
      <c r="R191" s="94" t="n"/>
      <c r="S191" s="92">
        <f>SUMIFS($D$245:$D$595,$B$245:$B$595,R191)</f>
        <v/>
      </c>
      <c r="T191" s="94" t="n"/>
      <c r="U191" s="92">
        <f>SUMIFS($D$245:$D$595,$B$245:$B$595,T191)</f>
        <v/>
      </c>
      <c r="V191" s="94" t="n"/>
      <c r="W191" s="92">
        <f>SUMIFS($D$245:$D$595,$B$245:$B$595,V191)</f>
        <v/>
      </c>
      <c r="X191" s="94" t="n"/>
      <c r="Y191" s="92">
        <f>SUMIFS($D$245:$D$595,$B$245:$B$595,X191)</f>
        <v/>
      </c>
      <c r="Z191" s="94" t="n"/>
      <c r="AA191" s="92">
        <f>SUMIFS($D$245:$D$595,$B$245:$B$595,Z191)</f>
        <v/>
      </c>
      <c r="AB191" s="94" t="n"/>
      <c r="AC191" s="92">
        <f>SUMIFS($D$245:$D$595,$B$245:$B$595,AB191)</f>
        <v/>
      </c>
      <c r="AD191" s="94" t="n"/>
      <c r="AE191" s="92">
        <f>SUMIFS($D$245:$D$595,$B$245:$B$595,AD191)</f>
        <v/>
      </c>
      <c r="AF191" s="93" t="n"/>
    </row>
    <row r="192">
      <c r="A192" s="18" t="n">
        <v>35</v>
      </c>
      <c r="H192" s="91" t="n"/>
      <c r="I192" s="92">
        <f>SUMIFS($D$245:$D$595,$B$245:$B$595,H192)</f>
        <v/>
      </c>
      <c r="J192" s="94" t="n"/>
      <c r="K192" s="92">
        <f>SUMIFS($D$245:$D$595,$B$245:$B$595,J192)</f>
        <v/>
      </c>
      <c r="L192" s="94" t="n"/>
      <c r="M192" s="92">
        <f>SUMIFS($D$245:$D$595,$B$245:$B$595,L192)</f>
        <v/>
      </c>
      <c r="N192" s="94" t="n"/>
      <c r="O192" s="92">
        <f>SUMIFS($D$245:$D$595,$B$245:$B$595,N192)</f>
        <v/>
      </c>
      <c r="P192" s="94" t="n"/>
      <c r="Q192" s="92">
        <f>SUMIFS($D$245:$D$595,$B$245:$B$595,P192)</f>
        <v/>
      </c>
      <c r="R192" s="94" t="n"/>
      <c r="S192" s="92">
        <f>SUMIFS($D$245:$D$595,$B$245:$B$595,R192)</f>
        <v/>
      </c>
      <c r="T192" s="94" t="n"/>
      <c r="U192" s="92">
        <f>SUMIFS($D$245:$D$595,$B$245:$B$595,T192)</f>
        <v/>
      </c>
      <c r="V192" s="94" t="n"/>
      <c r="W192" s="92">
        <f>SUMIFS($D$245:$D$595,$B$245:$B$595,V192)</f>
        <v/>
      </c>
      <c r="X192" s="94" t="n"/>
      <c r="Y192" s="92">
        <f>SUMIFS($D$245:$D$595,$B$245:$B$595,X192)</f>
        <v/>
      </c>
      <c r="Z192" s="94" t="n"/>
      <c r="AA192" s="92">
        <f>SUMIFS($D$245:$D$595,$B$245:$B$595,Z192)</f>
        <v/>
      </c>
      <c r="AB192" s="94" t="n"/>
      <c r="AC192" s="92">
        <f>SUMIFS($D$245:$D$595,$B$245:$B$595,AB192)</f>
        <v/>
      </c>
      <c r="AD192" s="94" t="n"/>
      <c r="AE192" s="92">
        <f>SUMIFS($D$245:$D$595,$B$245:$B$595,AD192)</f>
        <v/>
      </c>
      <c r="AF192" s="93" t="n"/>
    </row>
    <row r="193">
      <c r="A193" s="18" t="n">
        <v>36</v>
      </c>
      <c r="H193" s="91" t="n"/>
      <c r="I193" s="92">
        <f>SUMIFS($D$245:$D$595,$B$245:$B$595,H193)</f>
        <v/>
      </c>
      <c r="J193" s="94" t="n"/>
      <c r="K193" s="92">
        <f>SUMIFS($D$245:$D$595,$B$245:$B$595,J193)</f>
        <v/>
      </c>
      <c r="L193" s="94" t="n"/>
      <c r="M193" s="92">
        <f>SUMIFS($D$245:$D$595,$B$245:$B$595,L193)</f>
        <v/>
      </c>
      <c r="N193" s="94" t="n"/>
      <c r="O193" s="92">
        <f>SUMIFS($D$245:$D$595,$B$245:$B$595,N193)</f>
        <v/>
      </c>
      <c r="P193" s="94" t="n"/>
      <c r="Q193" s="92">
        <f>SUMIFS($D$245:$D$595,$B$245:$B$595,P193)</f>
        <v/>
      </c>
      <c r="R193" s="94" t="n"/>
      <c r="S193" s="92">
        <f>SUMIFS($D$245:$D$595,$B$245:$B$595,R193)</f>
        <v/>
      </c>
      <c r="T193" s="94" t="n"/>
      <c r="U193" s="92">
        <f>SUMIFS($D$245:$D$595,$B$245:$B$595,T193)</f>
        <v/>
      </c>
      <c r="V193" s="94" t="n"/>
      <c r="W193" s="92">
        <f>SUMIFS($D$245:$D$595,$B$245:$B$595,V193)</f>
        <v/>
      </c>
      <c r="X193" s="94" t="n"/>
      <c r="Y193" s="92">
        <f>SUMIFS($D$245:$D$595,$B$245:$B$595,X193)</f>
        <v/>
      </c>
      <c r="Z193" s="94" t="n"/>
      <c r="AA193" s="92">
        <f>SUMIFS($D$245:$D$595,$B$245:$B$595,Z193)</f>
        <v/>
      </c>
      <c r="AB193" s="94" t="n"/>
      <c r="AC193" s="92">
        <f>SUMIFS($D$245:$D$595,$B$245:$B$595,AB193)</f>
        <v/>
      </c>
      <c r="AD193" s="94" t="n"/>
      <c r="AE193" s="92">
        <f>SUMIFS($D$245:$D$595,$B$245:$B$595,AD193)</f>
        <v/>
      </c>
      <c r="AF193" s="93" t="n"/>
    </row>
    <row r="194">
      <c r="A194" s="18" t="n">
        <v>37</v>
      </c>
      <c r="H194" s="91" t="n"/>
      <c r="I194" s="92">
        <f>SUMIFS($D$245:$D$595,$B$245:$B$595,H194)</f>
        <v/>
      </c>
      <c r="J194" s="94" t="n"/>
      <c r="K194" s="92">
        <f>SUMIFS($D$245:$D$595,$B$245:$B$595,J194)</f>
        <v/>
      </c>
      <c r="L194" s="94" t="n"/>
      <c r="M194" s="92">
        <f>SUMIFS($D$245:$D$595,$B$245:$B$595,L194)</f>
        <v/>
      </c>
      <c r="N194" s="94" t="n"/>
      <c r="O194" s="92">
        <f>SUMIFS($D$245:$D$595,$B$245:$B$595,N194)</f>
        <v/>
      </c>
      <c r="P194" s="94" t="n"/>
      <c r="Q194" s="92">
        <f>SUMIFS($D$245:$D$595,$B$245:$B$595,P194)</f>
        <v/>
      </c>
      <c r="R194" s="94" t="n"/>
      <c r="S194" s="92">
        <f>SUMIFS($D$245:$D$595,$B$245:$B$595,R194)</f>
        <v/>
      </c>
      <c r="T194" s="94" t="n"/>
      <c r="U194" s="92">
        <f>SUMIFS($D$245:$D$595,$B$245:$B$595,T194)</f>
        <v/>
      </c>
      <c r="V194" s="94" t="n"/>
      <c r="W194" s="92">
        <f>SUMIFS($D$245:$D$595,$B$245:$B$595,V194)</f>
        <v/>
      </c>
      <c r="X194" s="94" t="n"/>
      <c r="Y194" s="92">
        <f>SUMIFS($D$245:$D$595,$B$245:$B$595,X194)</f>
        <v/>
      </c>
      <c r="Z194" s="94" t="n"/>
      <c r="AA194" s="92">
        <f>SUMIFS($D$245:$D$595,$B$245:$B$595,Z194)</f>
        <v/>
      </c>
      <c r="AB194" s="94" t="n"/>
      <c r="AC194" s="92">
        <f>SUMIFS($D$245:$D$595,$B$245:$B$595,AB194)</f>
        <v/>
      </c>
      <c r="AD194" s="94" t="n"/>
      <c r="AE194" s="92">
        <f>SUMIFS($D$245:$D$595,$B$245:$B$595,AD194)</f>
        <v/>
      </c>
      <c r="AF194" s="93" t="n"/>
    </row>
    <row r="195">
      <c r="A195" s="18" t="n">
        <v>38</v>
      </c>
      <c r="H195" s="91" t="n"/>
      <c r="I195" s="92">
        <f>SUMIFS($D$245:$D$595,$B$245:$B$595,H195)</f>
        <v/>
      </c>
      <c r="J195" s="94" t="n"/>
      <c r="K195" s="92">
        <f>SUMIFS($D$245:$D$595,$B$245:$B$595,J195)</f>
        <v/>
      </c>
      <c r="L195" s="94" t="n"/>
      <c r="M195" s="92">
        <f>SUMIFS($D$245:$D$595,$B$245:$B$595,L195)</f>
        <v/>
      </c>
      <c r="N195" s="94" t="n"/>
      <c r="O195" s="92">
        <f>SUMIFS($D$245:$D$595,$B$245:$B$595,N195)</f>
        <v/>
      </c>
      <c r="P195" s="94" t="n"/>
      <c r="Q195" s="92">
        <f>SUMIFS($D$245:$D$595,$B$245:$B$595,P195)</f>
        <v/>
      </c>
      <c r="R195" s="94" t="n"/>
      <c r="S195" s="92">
        <f>SUMIFS($D$245:$D$595,$B$245:$B$595,R195)</f>
        <v/>
      </c>
      <c r="T195" s="94" t="n"/>
      <c r="U195" s="92">
        <f>SUMIFS($D$245:$D$595,$B$245:$B$595,T195)</f>
        <v/>
      </c>
      <c r="V195" s="94" t="n"/>
      <c r="W195" s="92">
        <f>SUMIFS($D$245:$D$595,$B$245:$B$595,V195)</f>
        <v/>
      </c>
      <c r="X195" s="94" t="n"/>
      <c r="Y195" s="92">
        <f>SUMIFS($D$245:$D$595,$B$245:$B$595,X195)</f>
        <v/>
      </c>
      <c r="Z195" s="94" t="n"/>
      <c r="AA195" s="92">
        <f>SUMIFS($D$245:$D$595,$B$245:$B$595,Z195)</f>
        <v/>
      </c>
      <c r="AB195" s="94" t="n"/>
      <c r="AC195" s="92">
        <f>SUMIFS($D$245:$D$595,$B$245:$B$595,AB195)</f>
        <v/>
      </c>
      <c r="AD195" s="94" t="n"/>
      <c r="AE195" s="92">
        <f>SUMIFS($D$245:$D$595,$B$245:$B$595,AD195)</f>
        <v/>
      </c>
      <c r="AF195" s="93" t="n"/>
    </row>
    <row r="196">
      <c r="A196" s="18" t="n">
        <v>39</v>
      </c>
      <c r="H196" s="91" t="n"/>
      <c r="I196" s="92">
        <f>SUMIFS($D$245:$D$595,$B$245:$B$595,H196)</f>
        <v/>
      </c>
      <c r="J196" s="94" t="n"/>
      <c r="K196" s="92">
        <f>SUMIFS($D$245:$D$595,$B$245:$B$595,J196)</f>
        <v/>
      </c>
      <c r="L196" s="94" t="n"/>
      <c r="M196" s="92">
        <f>SUMIFS($D$245:$D$595,$B$245:$B$595,L196)</f>
        <v/>
      </c>
      <c r="N196" s="94" t="n"/>
      <c r="O196" s="92">
        <f>SUMIFS($D$245:$D$595,$B$245:$B$595,N196)</f>
        <v/>
      </c>
      <c r="P196" s="94" t="n"/>
      <c r="Q196" s="92">
        <f>SUMIFS($D$245:$D$595,$B$245:$B$595,P196)</f>
        <v/>
      </c>
      <c r="R196" s="94" t="n"/>
      <c r="S196" s="92">
        <f>SUMIFS($D$245:$D$595,$B$245:$B$595,R196)</f>
        <v/>
      </c>
      <c r="T196" s="94" t="n"/>
      <c r="U196" s="92">
        <f>SUMIFS($D$245:$D$595,$B$245:$B$595,T196)</f>
        <v/>
      </c>
      <c r="V196" s="94" t="n"/>
      <c r="W196" s="92">
        <f>SUMIFS($D$245:$D$595,$B$245:$B$595,V196)</f>
        <v/>
      </c>
      <c r="X196" s="94" t="n"/>
      <c r="Y196" s="92">
        <f>SUMIFS($D$245:$D$595,$B$245:$B$595,X196)</f>
        <v/>
      </c>
      <c r="Z196" s="94" t="n"/>
      <c r="AA196" s="92">
        <f>SUMIFS($D$245:$D$595,$B$245:$B$595,Z196)</f>
        <v/>
      </c>
      <c r="AB196" s="94" t="n"/>
      <c r="AC196" s="92">
        <f>SUMIFS($D$245:$D$595,$B$245:$B$595,AB196)</f>
        <v/>
      </c>
      <c r="AD196" s="94" t="n"/>
      <c r="AE196" s="92">
        <f>SUMIFS($D$245:$D$595,$B$245:$B$595,AD196)</f>
        <v/>
      </c>
      <c r="AF196" s="93" t="n"/>
    </row>
    <row r="197">
      <c r="A197" s="18" t="n">
        <v>40</v>
      </c>
      <c r="H197" s="91" t="n"/>
      <c r="I197" s="92">
        <f>SUMIFS($D$245:$D$595,$B$245:$B$595,H197)</f>
        <v/>
      </c>
      <c r="J197" s="94" t="n"/>
      <c r="K197" s="92">
        <f>SUMIFS($D$245:$D$595,$B$245:$B$595,J197)</f>
        <v/>
      </c>
      <c r="L197" s="94" t="n"/>
      <c r="M197" s="92">
        <f>SUMIFS($D$245:$D$595,$B$245:$B$595,L197)</f>
        <v/>
      </c>
      <c r="N197" s="94" t="n"/>
      <c r="O197" s="92">
        <f>SUMIFS($D$245:$D$595,$B$245:$B$595,N197)</f>
        <v/>
      </c>
      <c r="P197" s="94" t="n"/>
      <c r="Q197" s="92">
        <f>SUMIFS($D$245:$D$595,$B$245:$B$595,P197)</f>
        <v/>
      </c>
      <c r="R197" s="94" t="n"/>
      <c r="S197" s="92">
        <f>SUMIFS($D$245:$D$595,$B$245:$B$595,R197)</f>
        <v/>
      </c>
      <c r="T197" s="94" t="n"/>
      <c r="U197" s="92">
        <f>SUMIFS($D$245:$D$595,$B$245:$B$595,T197)</f>
        <v/>
      </c>
      <c r="V197" s="94" t="n"/>
      <c r="W197" s="92">
        <f>SUMIFS($D$245:$D$595,$B$245:$B$595,V197)</f>
        <v/>
      </c>
      <c r="X197" s="94" t="n"/>
      <c r="Y197" s="92">
        <f>SUMIFS($D$245:$D$595,$B$245:$B$595,X197)</f>
        <v/>
      </c>
      <c r="Z197" s="94" t="n"/>
      <c r="AA197" s="92">
        <f>SUMIFS($D$245:$D$595,$B$245:$B$595,Z197)</f>
        <v/>
      </c>
      <c r="AB197" s="94" t="n"/>
      <c r="AC197" s="92">
        <f>SUMIFS($D$245:$D$595,$B$245:$B$595,AB197)</f>
        <v/>
      </c>
      <c r="AD197" s="94" t="n"/>
      <c r="AE197" s="92">
        <f>SUMIFS($D$245:$D$595,$B$245:$B$595,AD197)</f>
        <v/>
      </c>
      <c r="AF197" s="93" t="n"/>
    </row>
    <row r="198">
      <c r="A198" s="18" t="n">
        <v>41</v>
      </c>
      <c r="H198" s="91" t="n"/>
      <c r="I198" s="92">
        <f>SUMIFS($D$245:$D$595,$B$245:$B$595,H198)</f>
        <v/>
      </c>
      <c r="J198" s="94" t="n"/>
      <c r="K198" s="92">
        <f>SUMIFS($D$245:$D$595,$B$245:$B$595,J198)</f>
        <v/>
      </c>
      <c r="L198" s="94" t="n"/>
      <c r="M198" s="92">
        <f>SUMIFS($D$245:$D$595,$B$245:$B$595,L198)</f>
        <v/>
      </c>
      <c r="N198" s="94" t="n"/>
      <c r="O198" s="92">
        <f>SUMIFS($D$245:$D$595,$B$245:$B$595,N198)</f>
        <v/>
      </c>
      <c r="P198" s="94" t="n"/>
      <c r="Q198" s="92">
        <f>SUMIFS($D$245:$D$595,$B$245:$B$595,P198)</f>
        <v/>
      </c>
      <c r="R198" s="94" t="n"/>
      <c r="S198" s="92">
        <f>SUMIFS($D$245:$D$595,$B$245:$B$595,R198)</f>
        <v/>
      </c>
      <c r="T198" s="94" t="n"/>
      <c r="U198" s="92">
        <f>SUMIFS($D$245:$D$595,$B$245:$B$595,T198)</f>
        <v/>
      </c>
      <c r="V198" s="94" t="n"/>
      <c r="W198" s="92">
        <f>SUMIFS($D$245:$D$595,$B$245:$B$595,V198)</f>
        <v/>
      </c>
      <c r="X198" s="94" t="n"/>
      <c r="Y198" s="92">
        <f>SUMIFS($D$245:$D$595,$B$245:$B$595,X198)</f>
        <v/>
      </c>
      <c r="Z198" s="94" t="n"/>
      <c r="AA198" s="92">
        <f>SUMIFS($D$245:$D$595,$B$245:$B$595,Z198)</f>
        <v/>
      </c>
      <c r="AB198" s="94" t="n"/>
      <c r="AC198" s="92">
        <f>SUMIFS($D$245:$D$595,$B$245:$B$595,AB198)</f>
        <v/>
      </c>
      <c r="AD198" s="94" t="n"/>
      <c r="AE198" s="92">
        <f>SUMIFS($D$245:$D$595,$B$245:$B$595,AD198)</f>
        <v/>
      </c>
      <c r="AF198" s="93" t="n"/>
    </row>
    <row r="199">
      <c r="A199" s="18" t="n">
        <v>42</v>
      </c>
      <c r="H199" s="91" t="n"/>
      <c r="I199" s="92">
        <f>SUMIFS($D$245:$D$595,$B$245:$B$595,H199)</f>
        <v/>
      </c>
      <c r="J199" s="94" t="n"/>
      <c r="K199" s="92">
        <f>SUMIFS($D$245:$D$595,$B$245:$B$595,J199)</f>
        <v/>
      </c>
      <c r="L199" s="94" t="n"/>
      <c r="M199" s="92">
        <f>SUMIFS($D$245:$D$595,$B$245:$B$595,L199)</f>
        <v/>
      </c>
      <c r="N199" s="94" t="n"/>
      <c r="O199" s="92">
        <f>SUMIFS($D$245:$D$595,$B$245:$B$595,N199)</f>
        <v/>
      </c>
      <c r="P199" s="94" t="n"/>
      <c r="Q199" s="92">
        <f>SUMIFS($D$245:$D$595,$B$245:$B$595,P199)</f>
        <v/>
      </c>
      <c r="R199" s="94" t="n"/>
      <c r="S199" s="92">
        <f>SUMIFS($D$245:$D$595,$B$245:$B$595,R199)</f>
        <v/>
      </c>
      <c r="T199" s="94" t="n"/>
      <c r="U199" s="92">
        <f>SUMIFS($D$245:$D$595,$B$245:$B$595,T199)</f>
        <v/>
      </c>
      <c r="V199" s="94" t="n"/>
      <c r="W199" s="92">
        <f>SUMIFS($D$245:$D$595,$B$245:$B$595,V199)</f>
        <v/>
      </c>
      <c r="X199" s="94" t="n"/>
      <c r="Y199" s="92">
        <f>SUMIFS($D$245:$D$595,$B$245:$B$595,X199)</f>
        <v/>
      </c>
      <c r="Z199" s="94" t="n"/>
      <c r="AA199" s="92">
        <f>SUMIFS($D$245:$D$595,$B$245:$B$595,Z199)</f>
        <v/>
      </c>
      <c r="AB199" s="94" t="n"/>
      <c r="AC199" s="92">
        <f>SUMIFS($D$245:$D$595,$B$245:$B$595,AB199)</f>
        <v/>
      </c>
      <c r="AD199" s="94" t="n"/>
      <c r="AE199" s="92">
        <f>SUMIFS($D$245:$D$595,$B$245:$B$595,AD199)</f>
        <v/>
      </c>
      <c r="AF199" s="93" t="n"/>
    </row>
    <row r="200">
      <c r="A200" s="18" t="n">
        <v>43</v>
      </c>
      <c r="H200" s="91" t="n"/>
      <c r="I200" s="92">
        <f>SUMIFS($D$245:$D$595,$B$245:$B$595,H200)</f>
        <v/>
      </c>
      <c r="J200" s="94" t="n"/>
      <c r="K200" s="92">
        <f>SUMIFS($D$245:$D$595,$B$245:$B$595,J200)</f>
        <v/>
      </c>
      <c r="L200" s="94" t="n"/>
      <c r="M200" s="92">
        <f>SUMIFS($D$245:$D$595,$B$245:$B$595,L200)</f>
        <v/>
      </c>
      <c r="N200" s="94" t="n"/>
      <c r="O200" s="92">
        <f>SUMIFS($D$245:$D$595,$B$245:$B$595,N200)</f>
        <v/>
      </c>
      <c r="P200" s="94" t="n"/>
      <c r="Q200" s="92">
        <f>SUMIFS($D$245:$D$595,$B$245:$B$595,P200)</f>
        <v/>
      </c>
      <c r="R200" s="94" t="n"/>
      <c r="S200" s="92">
        <f>SUMIFS($D$245:$D$595,$B$245:$B$595,R200)</f>
        <v/>
      </c>
      <c r="T200" s="94" t="n"/>
      <c r="U200" s="92">
        <f>SUMIFS($D$245:$D$595,$B$245:$B$595,T200)</f>
        <v/>
      </c>
      <c r="V200" s="94" t="n"/>
      <c r="W200" s="92">
        <f>SUMIFS($D$245:$D$595,$B$245:$B$595,V200)</f>
        <v/>
      </c>
      <c r="X200" s="94" t="n"/>
      <c r="Y200" s="92">
        <f>SUMIFS($D$245:$D$595,$B$245:$B$595,X200)</f>
        <v/>
      </c>
      <c r="Z200" s="94" t="n"/>
      <c r="AA200" s="92">
        <f>SUMIFS($D$245:$D$595,$B$245:$B$595,Z200)</f>
        <v/>
      </c>
      <c r="AB200" s="94" t="n"/>
      <c r="AC200" s="92">
        <f>SUMIFS($D$245:$D$595,$B$245:$B$595,AB200)</f>
        <v/>
      </c>
      <c r="AD200" s="94" t="n"/>
      <c r="AE200" s="92">
        <f>SUMIFS($D$245:$D$595,$B$245:$B$595,AD200)</f>
        <v/>
      </c>
      <c r="AF200" s="93" t="n"/>
    </row>
    <row r="201">
      <c r="A201" s="18" t="n">
        <v>44</v>
      </c>
      <c r="H201" s="91" t="n"/>
      <c r="I201" s="92">
        <f>SUMIFS($D$245:$D$595,$B$245:$B$595,H201)</f>
        <v/>
      </c>
      <c r="J201" s="94" t="n"/>
      <c r="K201" s="92">
        <f>SUMIFS($D$245:$D$595,$B$245:$B$595,J201)</f>
        <v/>
      </c>
      <c r="L201" s="94" t="n"/>
      <c r="M201" s="92">
        <f>SUMIFS($D$245:$D$595,$B$245:$B$595,L201)</f>
        <v/>
      </c>
      <c r="N201" s="94" t="n"/>
      <c r="O201" s="92">
        <f>SUMIFS($D$245:$D$595,$B$245:$B$595,N201)</f>
        <v/>
      </c>
      <c r="P201" s="94" t="n"/>
      <c r="Q201" s="92">
        <f>SUMIFS($D$245:$D$595,$B$245:$B$595,P201)</f>
        <v/>
      </c>
      <c r="R201" s="94" t="n"/>
      <c r="S201" s="92">
        <f>SUMIFS($D$245:$D$595,$B$245:$B$595,R201)</f>
        <v/>
      </c>
      <c r="T201" s="94" t="n"/>
      <c r="U201" s="92">
        <f>SUMIFS($D$245:$D$595,$B$245:$B$595,T201)</f>
        <v/>
      </c>
      <c r="V201" s="94" t="n"/>
      <c r="W201" s="92">
        <f>SUMIFS($D$245:$D$595,$B$245:$B$595,V201)</f>
        <v/>
      </c>
      <c r="X201" s="94" t="n"/>
      <c r="Y201" s="92">
        <f>SUMIFS($D$245:$D$595,$B$245:$B$595,X201)</f>
        <v/>
      </c>
      <c r="Z201" s="94" t="n"/>
      <c r="AA201" s="92">
        <f>SUMIFS($D$245:$D$595,$B$245:$B$595,Z201)</f>
        <v/>
      </c>
      <c r="AB201" s="94" t="n"/>
      <c r="AC201" s="92">
        <f>SUMIFS($D$245:$D$595,$B$245:$B$595,AB201)</f>
        <v/>
      </c>
      <c r="AD201" s="94" t="n"/>
      <c r="AE201" s="92">
        <f>SUMIFS($D$245:$D$595,$B$245:$B$595,AD201)</f>
        <v/>
      </c>
      <c r="AF201" s="93" t="n"/>
    </row>
    <row r="202">
      <c r="A202" s="18" t="n">
        <v>45</v>
      </c>
      <c r="H202" s="91" t="n"/>
      <c r="I202" s="92">
        <f>SUMIFS($D$245:$D$595,$B$245:$B$595,H202)</f>
        <v/>
      </c>
      <c r="J202" s="94" t="n"/>
      <c r="K202" s="92">
        <f>SUMIFS($D$245:$D$595,$B$245:$B$595,J202)</f>
        <v/>
      </c>
      <c r="L202" s="94" t="n"/>
      <c r="M202" s="92">
        <f>SUMIFS($D$245:$D$595,$B$245:$B$595,L202)</f>
        <v/>
      </c>
      <c r="N202" s="94" t="n"/>
      <c r="O202" s="92">
        <f>SUMIFS($D$245:$D$595,$B$245:$B$595,N202)</f>
        <v/>
      </c>
      <c r="P202" s="94" t="n"/>
      <c r="Q202" s="92">
        <f>SUMIFS($D$245:$D$595,$B$245:$B$595,P202)</f>
        <v/>
      </c>
      <c r="R202" s="94" t="n"/>
      <c r="S202" s="92">
        <f>SUMIFS($D$245:$D$595,$B$245:$B$595,R202)</f>
        <v/>
      </c>
      <c r="T202" s="94" t="n"/>
      <c r="U202" s="92">
        <f>SUMIFS($D$245:$D$595,$B$245:$B$595,T202)</f>
        <v/>
      </c>
      <c r="V202" s="94" t="n"/>
      <c r="W202" s="92">
        <f>SUMIFS($D$245:$D$595,$B$245:$B$595,V202)</f>
        <v/>
      </c>
      <c r="X202" s="94" t="n"/>
      <c r="Y202" s="92">
        <f>SUMIFS($D$245:$D$595,$B$245:$B$595,X202)</f>
        <v/>
      </c>
      <c r="Z202" s="94" t="n"/>
      <c r="AA202" s="92">
        <f>SUMIFS($D$245:$D$595,$B$245:$B$595,Z202)</f>
        <v/>
      </c>
      <c r="AB202" s="94" t="n"/>
      <c r="AC202" s="92">
        <f>SUMIFS($D$245:$D$595,$B$245:$B$595,AB202)</f>
        <v/>
      </c>
      <c r="AD202" s="94" t="n"/>
      <c r="AE202" s="92">
        <f>SUMIFS($D$245:$D$595,$B$245:$B$595,AD202)</f>
        <v/>
      </c>
      <c r="AF202" s="93" t="n"/>
    </row>
    <row r="203">
      <c r="A203" s="18" t="n">
        <v>46</v>
      </c>
      <c r="H203" s="91" t="n"/>
      <c r="I203" s="92">
        <f>SUMIFS($D$245:$D$595,$B$245:$B$595,H203)</f>
        <v/>
      </c>
      <c r="J203" s="94" t="n"/>
      <c r="K203" s="92">
        <f>SUMIFS($D$245:$D$595,$B$245:$B$595,J203)</f>
        <v/>
      </c>
      <c r="L203" s="94" t="n"/>
      <c r="M203" s="92">
        <f>SUMIFS($D$245:$D$595,$B$245:$B$595,L203)</f>
        <v/>
      </c>
      <c r="N203" s="94" t="n"/>
      <c r="O203" s="92">
        <f>SUMIFS($D$245:$D$595,$B$245:$B$595,N203)</f>
        <v/>
      </c>
      <c r="P203" s="94" t="n"/>
      <c r="Q203" s="92">
        <f>SUMIFS($D$245:$D$595,$B$245:$B$595,P203)</f>
        <v/>
      </c>
      <c r="R203" s="94" t="n"/>
      <c r="S203" s="92">
        <f>SUMIFS($D$245:$D$595,$B$245:$B$595,R203)</f>
        <v/>
      </c>
      <c r="T203" s="94" t="n"/>
      <c r="U203" s="92">
        <f>SUMIFS($D$245:$D$595,$B$245:$B$595,T203)</f>
        <v/>
      </c>
      <c r="V203" s="94" t="n"/>
      <c r="W203" s="92">
        <f>SUMIFS($D$245:$D$595,$B$245:$B$595,V203)</f>
        <v/>
      </c>
      <c r="X203" s="94" t="n"/>
      <c r="Y203" s="92">
        <f>SUMIFS($D$245:$D$595,$B$245:$B$595,X203)</f>
        <v/>
      </c>
      <c r="Z203" s="94" t="n"/>
      <c r="AA203" s="92">
        <f>SUMIFS($D$245:$D$595,$B$245:$B$595,Z203)</f>
        <v/>
      </c>
      <c r="AB203" s="94" t="n"/>
      <c r="AC203" s="92">
        <f>SUMIFS($D$245:$D$595,$B$245:$B$595,AB203)</f>
        <v/>
      </c>
      <c r="AD203" s="94" t="n"/>
      <c r="AE203" s="92">
        <f>SUMIFS($D$245:$D$595,$B$245:$B$595,AD203)</f>
        <v/>
      </c>
      <c r="AF203" s="93" t="n"/>
    </row>
    <row r="204">
      <c r="A204" s="18" t="n">
        <v>47</v>
      </c>
      <c r="H204" s="91" t="n"/>
      <c r="I204" s="92">
        <f>SUMIFS($D$245:$D$595,$B$245:$B$595,H204)</f>
        <v/>
      </c>
      <c r="J204" s="94" t="n"/>
      <c r="K204" s="92">
        <f>SUMIFS($D$245:$D$595,$B$245:$B$595,J204)</f>
        <v/>
      </c>
      <c r="L204" s="94" t="n"/>
      <c r="M204" s="92">
        <f>SUMIFS($D$245:$D$595,$B$245:$B$595,L204)</f>
        <v/>
      </c>
      <c r="N204" s="94" t="n"/>
      <c r="O204" s="92">
        <f>SUMIFS($D$245:$D$595,$B$245:$B$595,N204)</f>
        <v/>
      </c>
      <c r="P204" s="94" t="n"/>
      <c r="Q204" s="92">
        <f>SUMIFS($D$245:$D$595,$B$245:$B$595,P204)</f>
        <v/>
      </c>
      <c r="R204" s="94" t="n"/>
      <c r="S204" s="92">
        <f>SUMIFS($D$245:$D$595,$B$245:$B$595,R204)</f>
        <v/>
      </c>
      <c r="T204" s="94" t="n"/>
      <c r="U204" s="92">
        <f>SUMIFS($D$245:$D$595,$B$245:$B$595,T204)</f>
        <v/>
      </c>
      <c r="V204" s="94" t="n"/>
      <c r="W204" s="92">
        <f>SUMIFS($D$245:$D$595,$B$245:$B$595,V204)</f>
        <v/>
      </c>
      <c r="X204" s="94" t="n"/>
      <c r="Y204" s="92">
        <f>SUMIFS($D$245:$D$595,$B$245:$B$595,X204)</f>
        <v/>
      </c>
      <c r="Z204" s="94" t="n"/>
      <c r="AA204" s="92">
        <f>SUMIFS($D$245:$D$595,$B$245:$B$595,Z204)</f>
        <v/>
      </c>
      <c r="AB204" s="94" t="n"/>
      <c r="AC204" s="92">
        <f>SUMIFS($D$245:$D$595,$B$245:$B$595,AB204)</f>
        <v/>
      </c>
      <c r="AD204" s="94" t="n"/>
      <c r="AE204" s="92">
        <f>SUMIFS($D$245:$D$595,$B$245:$B$595,AD204)</f>
        <v/>
      </c>
      <c r="AF204" s="93" t="n"/>
    </row>
    <row r="205">
      <c r="A205" s="18" t="n">
        <v>48</v>
      </c>
      <c r="H205" s="91" t="n"/>
      <c r="I205" s="92">
        <f>SUMIFS($D$245:$D$595,$B$245:$B$595,H205)</f>
        <v/>
      </c>
      <c r="J205" s="94" t="n"/>
      <c r="K205" s="92">
        <f>SUMIFS($D$245:$D$595,$B$245:$B$595,J205)</f>
        <v/>
      </c>
      <c r="L205" s="94" t="n"/>
      <c r="M205" s="92">
        <f>SUMIFS($D$245:$D$595,$B$245:$B$595,L205)</f>
        <v/>
      </c>
      <c r="N205" s="94" t="n"/>
      <c r="O205" s="92">
        <f>SUMIFS($D$245:$D$595,$B$245:$B$595,N205)</f>
        <v/>
      </c>
      <c r="P205" s="94" t="n"/>
      <c r="Q205" s="92">
        <f>SUMIFS($D$245:$D$595,$B$245:$B$595,P205)</f>
        <v/>
      </c>
      <c r="R205" s="94" t="n"/>
      <c r="S205" s="92">
        <f>SUMIFS($D$245:$D$595,$B$245:$B$595,R205)</f>
        <v/>
      </c>
      <c r="T205" s="94" t="n"/>
      <c r="U205" s="92">
        <f>SUMIFS($D$245:$D$595,$B$245:$B$595,T205)</f>
        <v/>
      </c>
      <c r="V205" s="94" t="n"/>
      <c r="W205" s="92">
        <f>SUMIFS($D$245:$D$595,$B$245:$B$595,V205)</f>
        <v/>
      </c>
      <c r="X205" s="94" t="n"/>
      <c r="Y205" s="92">
        <f>SUMIFS($D$245:$D$595,$B$245:$B$595,X205)</f>
        <v/>
      </c>
      <c r="Z205" s="94" t="n"/>
      <c r="AA205" s="92">
        <f>SUMIFS($D$245:$D$595,$B$245:$B$595,Z205)</f>
        <v/>
      </c>
      <c r="AB205" s="94" t="n"/>
      <c r="AC205" s="92">
        <f>SUMIFS($D$245:$D$595,$B$245:$B$595,AB205)</f>
        <v/>
      </c>
      <c r="AD205" s="94" t="n"/>
      <c r="AE205" s="92">
        <f>SUMIFS($D$245:$D$595,$B$245:$B$595,AD205)</f>
        <v/>
      </c>
      <c r="AF205" s="93" t="n"/>
    </row>
    <row r="206">
      <c r="A206" s="18" t="n">
        <v>49</v>
      </c>
      <c r="H206" s="91" t="n"/>
      <c r="I206" s="92">
        <f>SUMIFS($D$245:$D$595,$B$245:$B$595,H206)</f>
        <v/>
      </c>
      <c r="J206" s="94" t="n"/>
      <c r="K206" s="92">
        <f>SUMIFS($D$245:$D$595,$B$245:$B$595,J206)</f>
        <v/>
      </c>
      <c r="L206" s="94" t="n"/>
      <c r="M206" s="92">
        <f>SUMIFS($D$245:$D$595,$B$245:$B$595,L206)</f>
        <v/>
      </c>
      <c r="N206" s="94" t="n"/>
      <c r="O206" s="92">
        <f>SUMIFS($D$245:$D$595,$B$245:$B$595,N206)</f>
        <v/>
      </c>
      <c r="P206" s="94" t="n"/>
      <c r="Q206" s="92">
        <f>SUMIFS($D$245:$D$595,$B$245:$B$595,P206)</f>
        <v/>
      </c>
      <c r="R206" s="94" t="n"/>
      <c r="S206" s="92">
        <f>SUMIFS($D$245:$D$595,$B$245:$B$595,R206)</f>
        <v/>
      </c>
      <c r="T206" s="94" t="n"/>
      <c r="U206" s="92">
        <f>SUMIFS($D$245:$D$595,$B$245:$B$595,T206)</f>
        <v/>
      </c>
      <c r="V206" s="94" t="n"/>
      <c r="W206" s="92">
        <f>SUMIFS($D$245:$D$595,$B$245:$B$595,V206)</f>
        <v/>
      </c>
      <c r="X206" s="94" t="n"/>
      <c r="Y206" s="92">
        <f>SUMIFS($D$245:$D$595,$B$245:$B$595,X206)</f>
        <v/>
      </c>
      <c r="Z206" s="94" t="n"/>
      <c r="AA206" s="92">
        <f>SUMIFS($D$245:$D$595,$B$245:$B$595,Z206)</f>
        <v/>
      </c>
      <c r="AB206" s="94" t="n"/>
      <c r="AC206" s="92">
        <f>SUMIFS($D$245:$D$595,$B$245:$B$595,AB206)</f>
        <v/>
      </c>
      <c r="AD206" s="94" t="n"/>
      <c r="AE206" s="92">
        <f>SUMIFS($D$245:$D$595,$B$245:$B$595,AD206)</f>
        <v/>
      </c>
      <c r="AF206" s="93" t="n"/>
    </row>
    <row r="207">
      <c r="A207" s="18" t="n">
        <v>50</v>
      </c>
      <c r="H207" s="91" t="n"/>
      <c r="I207" s="92">
        <f>SUMIFS($D$245:$D$595,$B$245:$B$595,H207)</f>
        <v/>
      </c>
      <c r="J207" s="94" t="n"/>
      <c r="K207" s="92">
        <f>SUMIFS($D$245:$D$595,$B$245:$B$595,J207)</f>
        <v/>
      </c>
      <c r="L207" s="94" t="n"/>
      <c r="M207" s="92">
        <f>SUMIFS($D$245:$D$595,$B$245:$B$595,L207)</f>
        <v/>
      </c>
      <c r="N207" s="94" t="n"/>
      <c r="O207" s="92">
        <f>SUMIFS($D$245:$D$595,$B$245:$B$595,N207)</f>
        <v/>
      </c>
      <c r="P207" s="94" t="n"/>
      <c r="Q207" s="92">
        <f>SUMIFS($D$245:$D$595,$B$245:$B$595,P207)</f>
        <v/>
      </c>
      <c r="R207" s="94" t="n"/>
      <c r="S207" s="92">
        <f>SUMIFS($D$245:$D$595,$B$245:$B$595,R207)</f>
        <v/>
      </c>
      <c r="T207" s="94" t="n"/>
      <c r="U207" s="92">
        <f>SUMIFS($D$245:$D$595,$B$245:$B$595,T207)</f>
        <v/>
      </c>
      <c r="V207" s="94" t="n"/>
      <c r="W207" s="92">
        <f>SUMIFS($D$245:$D$595,$B$245:$B$595,V207)</f>
        <v/>
      </c>
      <c r="X207" s="94" t="n"/>
      <c r="Y207" s="92">
        <f>SUMIFS($D$245:$D$595,$B$245:$B$595,X207)</f>
        <v/>
      </c>
      <c r="Z207" s="94" t="n"/>
      <c r="AA207" s="92">
        <f>SUMIFS($D$245:$D$595,$B$245:$B$595,Z207)</f>
        <v/>
      </c>
      <c r="AB207" s="94" t="n"/>
      <c r="AC207" s="92">
        <f>SUMIFS($D$245:$D$595,$B$245:$B$595,AB207)</f>
        <v/>
      </c>
      <c r="AD207" s="94" t="n"/>
      <c r="AE207" s="92">
        <f>SUMIFS($D$245:$D$595,$B$245:$B$595,AD207)</f>
        <v/>
      </c>
      <c r="AF207" s="93" t="n"/>
    </row>
    <row r="208">
      <c r="A208" s="18" t="n">
        <v>51</v>
      </c>
      <c r="H208" s="91" t="n"/>
      <c r="I208" s="92">
        <f>SUMIFS($D$245:$D$595,$B$245:$B$595,H208)</f>
        <v/>
      </c>
      <c r="J208" s="94" t="n"/>
      <c r="K208" s="92">
        <f>SUMIFS($D$245:$D$595,$B$245:$B$595,J208)</f>
        <v/>
      </c>
      <c r="L208" s="94" t="n"/>
      <c r="M208" s="92">
        <f>SUMIFS($D$245:$D$595,$B$245:$B$595,L208)</f>
        <v/>
      </c>
      <c r="N208" s="94" t="n"/>
      <c r="O208" s="92">
        <f>SUMIFS($D$245:$D$595,$B$245:$B$595,N208)</f>
        <v/>
      </c>
      <c r="P208" s="94" t="n"/>
      <c r="Q208" s="92">
        <f>SUMIFS($D$245:$D$595,$B$245:$B$595,P208)</f>
        <v/>
      </c>
      <c r="R208" s="94" t="n"/>
      <c r="S208" s="92">
        <f>SUMIFS($D$245:$D$595,$B$245:$B$595,R208)</f>
        <v/>
      </c>
      <c r="T208" s="94" t="n"/>
      <c r="U208" s="92">
        <f>SUMIFS($D$245:$D$595,$B$245:$B$595,T208)</f>
        <v/>
      </c>
      <c r="V208" s="94" t="n"/>
      <c r="W208" s="92">
        <f>SUMIFS($D$245:$D$595,$B$245:$B$595,V208)</f>
        <v/>
      </c>
      <c r="X208" s="94" t="n"/>
      <c r="Y208" s="92">
        <f>SUMIFS($D$245:$D$595,$B$245:$B$595,X208)</f>
        <v/>
      </c>
      <c r="Z208" s="94" t="n"/>
      <c r="AA208" s="92">
        <f>SUMIFS($D$245:$D$595,$B$245:$B$595,Z208)</f>
        <v/>
      </c>
      <c r="AB208" s="94" t="n"/>
      <c r="AC208" s="92">
        <f>SUMIFS($D$245:$D$595,$B$245:$B$595,AB208)</f>
        <v/>
      </c>
      <c r="AD208" s="94" t="n"/>
      <c r="AE208" s="92">
        <f>SUMIFS($D$245:$D$595,$B$245:$B$595,AD208)</f>
        <v/>
      </c>
      <c r="AF208" s="93" t="n"/>
    </row>
    <row r="209">
      <c r="A209" s="18" t="n">
        <v>52</v>
      </c>
      <c r="H209" s="91" t="n"/>
      <c r="I209" s="92">
        <f>SUMIFS($D$245:$D$595,$B$245:$B$595,H209)</f>
        <v/>
      </c>
      <c r="J209" s="94" t="n"/>
      <c r="K209" s="92">
        <f>SUMIFS($D$245:$D$595,$B$245:$B$595,J209)</f>
        <v/>
      </c>
      <c r="L209" s="94" t="n"/>
      <c r="M209" s="92">
        <f>SUMIFS($D$245:$D$595,$B$245:$B$595,L209)</f>
        <v/>
      </c>
      <c r="N209" s="94" t="n"/>
      <c r="O209" s="92">
        <f>SUMIFS($D$245:$D$595,$B$245:$B$595,N209)</f>
        <v/>
      </c>
      <c r="P209" s="94" t="n"/>
      <c r="Q209" s="92">
        <f>SUMIFS($D$245:$D$595,$B$245:$B$595,P209)</f>
        <v/>
      </c>
      <c r="R209" s="94" t="n"/>
      <c r="S209" s="92">
        <f>SUMIFS($D$245:$D$595,$B$245:$B$595,R209)</f>
        <v/>
      </c>
      <c r="T209" s="94" t="n"/>
      <c r="U209" s="92">
        <f>SUMIFS($D$245:$D$595,$B$245:$B$595,T209)</f>
        <v/>
      </c>
      <c r="V209" s="94" t="n"/>
      <c r="W209" s="92">
        <f>SUMIFS($D$245:$D$595,$B$245:$B$595,V209)</f>
        <v/>
      </c>
      <c r="X209" s="94" t="n"/>
      <c r="Y209" s="92">
        <f>SUMIFS($D$245:$D$595,$B$245:$B$595,X209)</f>
        <v/>
      </c>
      <c r="Z209" s="94" t="n"/>
      <c r="AA209" s="92">
        <f>SUMIFS($D$245:$D$595,$B$245:$B$595,Z209)</f>
        <v/>
      </c>
      <c r="AB209" s="94" t="n"/>
      <c r="AC209" s="92">
        <f>SUMIFS($D$245:$D$595,$B$245:$B$595,AB209)</f>
        <v/>
      </c>
      <c r="AD209" s="94" t="n"/>
      <c r="AE209" s="92">
        <f>SUMIFS($D$245:$D$595,$B$245:$B$595,AD209)</f>
        <v/>
      </c>
      <c r="AF209" s="93" t="n"/>
    </row>
    <row r="210">
      <c r="A210" s="18" t="n">
        <v>53</v>
      </c>
      <c r="H210" s="91" t="n"/>
      <c r="I210" s="92">
        <f>SUMIFS($D$245:$D$595,$B$245:$B$595,H210)</f>
        <v/>
      </c>
      <c r="J210" s="94" t="n"/>
      <c r="K210" s="92">
        <f>SUMIFS($D$245:$D$595,$B$245:$B$595,J210)</f>
        <v/>
      </c>
      <c r="L210" s="94" t="n"/>
      <c r="M210" s="92">
        <f>SUMIFS($D$245:$D$595,$B$245:$B$595,L210)</f>
        <v/>
      </c>
      <c r="N210" s="94" t="n"/>
      <c r="O210" s="92">
        <f>SUMIFS($D$245:$D$595,$B$245:$B$595,N210)</f>
        <v/>
      </c>
      <c r="P210" s="94" t="n"/>
      <c r="Q210" s="92">
        <f>SUMIFS($D$245:$D$595,$B$245:$B$595,P210)</f>
        <v/>
      </c>
      <c r="R210" s="94" t="n"/>
      <c r="S210" s="92">
        <f>SUMIFS($D$245:$D$595,$B$245:$B$595,R210)</f>
        <v/>
      </c>
      <c r="T210" s="94" t="n"/>
      <c r="U210" s="92">
        <f>SUMIFS($D$245:$D$595,$B$245:$B$595,T210)</f>
        <v/>
      </c>
      <c r="V210" s="94" t="n"/>
      <c r="W210" s="92">
        <f>SUMIFS($D$245:$D$595,$B$245:$B$595,V210)</f>
        <v/>
      </c>
      <c r="X210" s="94" t="n"/>
      <c r="Y210" s="92">
        <f>SUMIFS($D$245:$D$595,$B$245:$B$595,X210)</f>
        <v/>
      </c>
      <c r="Z210" s="94" t="n"/>
      <c r="AA210" s="92">
        <f>SUMIFS($D$245:$D$595,$B$245:$B$595,Z210)</f>
        <v/>
      </c>
      <c r="AB210" s="94" t="n"/>
      <c r="AC210" s="92">
        <f>SUMIFS($D$245:$D$595,$B$245:$B$595,AB210)</f>
        <v/>
      </c>
      <c r="AD210" s="94" t="n"/>
      <c r="AE210" s="92">
        <f>SUMIFS($D$245:$D$595,$B$245:$B$595,AD210)</f>
        <v/>
      </c>
      <c r="AF210" s="93" t="n"/>
    </row>
    <row r="211">
      <c r="A211" s="18" t="n">
        <v>54</v>
      </c>
      <c r="H211" s="91" t="n"/>
      <c r="I211" s="92">
        <f>SUMIFS($D$245:$D$595,$B$245:$B$595,H211)</f>
        <v/>
      </c>
      <c r="J211" s="94" t="n"/>
      <c r="K211" s="92">
        <f>SUMIFS($D$245:$D$595,$B$245:$B$595,J211)</f>
        <v/>
      </c>
      <c r="L211" s="94" t="n"/>
      <c r="M211" s="92">
        <f>SUMIFS($D$245:$D$595,$B$245:$B$595,L211)</f>
        <v/>
      </c>
      <c r="N211" s="94" t="n"/>
      <c r="O211" s="92">
        <f>SUMIFS($D$245:$D$595,$B$245:$B$595,N211)</f>
        <v/>
      </c>
      <c r="P211" s="94" t="n"/>
      <c r="Q211" s="92">
        <f>SUMIFS($D$245:$D$595,$B$245:$B$595,P211)</f>
        <v/>
      </c>
      <c r="R211" s="94" t="n"/>
      <c r="S211" s="92">
        <f>SUMIFS($D$245:$D$595,$B$245:$B$595,R211)</f>
        <v/>
      </c>
      <c r="T211" s="94" t="n"/>
      <c r="U211" s="92">
        <f>SUMIFS($D$245:$D$595,$B$245:$B$595,T211)</f>
        <v/>
      </c>
      <c r="V211" s="94" t="n"/>
      <c r="W211" s="92">
        <f>SUMIFS($D$245:$D$595,$B$245:$B$595,V211)</f>
        <v/>
      </c>
      <c r="X211" s="94" t="n"/>
      <c r="Y211" s="92">
        <f>SUMIFS($D$245:$D$595,$B$245:$B$595,X211)</f>
        <v/>
      </c>
      <c r="Z211" s="94" t="n"/>
      <c r="AA211" s="92">
        <f>SUMIFS($D$245:$D$595,$B$245:$B$595,Z211)</f>
        <v/>
      </c>
      <c r="AB211" s="94" t="n"/>
      <c r="AC211" s="92">
        <f>SUMIFS($D$245:$D$595,$B$245:$B$595,AB211)</f>
        <v/>
      </c>
      <c r="AD211" s="94" t="n"/>
      <c r="AE211" s="92">
        <f>SUMIFS($D$245:$D$595,$B$245:$B$595,AD211)</f>
        <v/>
      </c>
      <c r="AF211" s="93" t="n"/>
    </row>
    <row r="212">
      <c r="A212" s="18" t="n">
        <v>55</v>
      </c>
      <c r="H212" s="91" t="n"/>
      <c r="I212" s="92">
        <f>SUMIFS($D$245:$D$595,$B$245:$B$595,H212)</f>
        <v/>
      </c>
      <c r="J212" s="94" t="n"/>
      <c r="K212" s="92">
        <f>SUMIFS($D$245:$D$595,$B$245:$B$595,J212)</f>
        <v/>
      </c>
      <c r="L212" s="94" t="n"/>
      <c r="M212" s="92">
        <f>SUMIFS($D$245:$D$595,$B$245:$B$595,L212)</f>
        <v/>
      </c>
      <c r="N212" s="94" t="n"/>
      <c r="O212" s="92">
        <f>SUMIFS($D$245:$D$595,$B$245:$B$595,N212)</f>
        <v/>
      </c>
      <c r="P212" s="94" t="n"/>
      <c r="Q212" s="92">
        <f>SUMIFS($D$245:$D$595,$B$245:$B$595,P212)</f>
        <v/>
      </c>
      <c r="R212" s="94" t="n"/>
      <c r="S212" s="92">
        <f>SUMIFS($D$245:$D$595,$B$245:$B$595,R212)</f>
        <v/>
      </c>
      <c r="T212" s="94" t="n"/>
      <c r="U212" s="92">
        <f>SUMIFS($D$245:$D$595,$B$245:$B$595,T212)</f>
        <v/>
      </c>
      <c r="V212" s="94" t="n"/>
      <c r="W212" s="92">
        <f>SUMIFS($D$245:$D$595,$B$245:$B$595,V212)</f>
        <v/>
      </c>
      <c r="X212" s="94" t="n"/>
      <c r="Y212" s="92">
        <f>SUMIFS($D$245:$D$595,$B$245:$B$595,X212)</f>
        <v/>
      </c>
      <c r="Z212" s="94" t="n"/>
      <c r="AA212" s="92">
        <f>SUMIFS($D$245:$D$595,$B$245:$B$595,Z212)</f>
        <v/>
      </c>
      <c r="AB212" s="94" t="n"/>
      <c r="AC212" s="92">
        <f>SUMIFS($D$245:$D$595,$B$245:$B$595,AB212)</f>
        <v/>
      </c>
      <c r="AD212" s="94" t="n"/>
      <c r="AE212" s="92">
        <f>SUMIFS($D$245:$D$595,$B$245:$B$595,AD212)</f>
        <v/>
      </c>
      <c r="AF212" s="93" t="n"/>
    </row>
    <row r="213">
      <c r="A213" s="18" t="n">
        <v>56</v>
      </c>
      <c r="H213" s="91" t="n"/>
      <c r="I213" s="92">
        <f>SUMIFS($D$245:$D$595,$B$245:$B$595,H213)</f>
        <v/>
      </c>
      <c r="J213" s="94" t="n"/>
      <c r="K213" s="92">
        <f>SUMIFS($D$245:$D$595,$B$245:$B$595,J213)</f>
        <v/>
      </c>
      <c r="L213" s="94" t="n"/>
      <c r="M213" s="92">
        <f>SUMIFS($D$245:$D$595,$B$245:$B$595,L213)</f>
        <v/>
      </c>
      <c r="N213" s="94" t="n"/>
      <c r="O213" s="92">
        <f>SUMIFS($D$245:$D$595,$B$245:$B$595,N213)</f>
        <v/>
      </c>
      <c r="P213" s="94" t="n"/>
      <c r="Q213" s="92">
        <f>SUMIFS($D$245:$D$595,$B$245:$B$595,P213)</f>
        <v/>
      </c>
      <c r="R213" s="94" t="n"/>
      <c r="S213" s="92">
        <f>SUMIFS($D$245:$D$595,$B$245:$B$595,R213)</f>
        <v/>
      </c>
      <c r="T213" s="94" t="n"/>
      <c r="U213" s="92">
        <f>SUMIFS($D$245:$D$595,$B$245:$B$595,T213)</f>
        <v/>
      </c>
      <c r="V213" s="94" t="n"/>
      <c r="W213" s="92">
        <f>SUMIFS($D$245:$D$595,$B$245:$B$595,V213)</f>
        <v/>
      </c>
      <c r="X213" s="94" t="n"/>
      <c r="Y213" s="92">
        <f>SUMIFS($D$245:$D$595,$B$245:$B$595,X213)</f>
        <v/>
      </c>
      <c r="Z213" s="94" t="n"/>
      <c r="AA213" s="92">
        <f>SUMIFS($D$245:$D$595,$B$245:$B$595,Z213)</f>
        <v/>
      </c>
      <c r="AB213" s="94" t="n"/>
      <c r="AC213" s="92">
        <f>SUMIFS($D$245:$D$595,$B$245:$B$595,AB213)</f>
        <v/>
      </c>
      <c r="AD213" s="94" t="n"/>
      <c r="AE213" s="92">
        <f>SUMIFS($D$245:$D$595,$B$245:$B$595,AD213)</f>
        <v/>
      </c>
      <c r="AF213" s="93" t="n"/>
    </row>
    <row r="214">
      <c r="A214" s="18" t="n">
        <v>57</v>
      </c>
      <c r="H214" s="91" t="n"/>
      <c r="I214" s="92">
        <f>SUMIFS($D$245:$D$595,$B$245:$B$595,H214)</f>
        <v/>
      </c>
      <c r="J214" s="94" t="n"/>
      <c r="K214" s="92">
        <f>SUMIFS($D$245:$D$595,$B$245:$B$595,J214)</f>
        <v/>
      </c>
      <c r="L214" s="94" t="n"/>
      <c r="M214" s="92">
        <f>SUMIFS($D$245:$D$595,$B$245:$B$595,L214)</f>
        <v/>
      </c>
      <c r="N214" s="94" t="n"/>
      <c r="O214" s="92">
        <f>SUMIFS($D$245:$D$595,$B$245:$B$595,N214)</f>
        <v/>
      </c>
      <c r="P214" s="94" t="n"/>
      <c r="Q214" s="92">
        <f>SUMIFS($D$245:$D$595,$B$245:$B$595,P214)</f>
        <v/>
      </c>
      <c r="R214" s="94" t="n"/>
      <c r="S214" s="92">
        <f>SUMIFS($D$245:$D$595,$B$245:$B$595,R214)</f>
        <v/>
      </c>
      <c r="T214" s="94" t="n"/>
      <c r="U214" s="92">
        <f>SUMIFS($D$245:$D$595,$B$245:$B$595,T214)</f>
        <v/>
      </c>
      <c r="V214" s="94" t="n"/>
      <c r="W214" s="92">
        <f>SUMIFS($D$245:$D$595,$B$245:$B$595,V214)</f>
        <v/>
      </c>
      <c r="X214" s="94" t="n"/>
      <c r="Y214" s="92">
        <f>SUMIFS($D$245:$D$595,$B$245:$B$595,X214)</f>
        <v/>
      </c>
      <c r="Z214" s="94" t="n"/>
      <c r="AA214" s="92">
        <f>SUMIFS($D$245:$D$595,$B$245:$B$595,Z214)</f>
        <v/>
      </c>
      <c r="AB214" s="94" t="n"/>
      <c r="AC214" s="92">
        <f>SUMIFS($D$245:$D$595,$B$245:$B$595,AB214)</f>
        <v/>
      </c>
      <c r="AD214" s="94" t="n"/>
      <c r="AE214" s="92">
        <f>SUMIFS($D$245:$D$595,$B$245:$B$595,AD214)</f>
        <v/>
      </c>
      <c r="AF214" s="93" t="n"/>
    </row>
    <row r="215">
      <c r="A215" s="18" t="n">
        <v>58</v>
      </c>
      <c r="H215" s="91" t="n"/>
      <c r="I215" s="92">
        <f>SUMIFS($D$245:$D$595,$B$245:$B$595,H215)</f>
        <v/>
      </c>
      <c r="J215" s="94" t="n"/>
      <c r="K215" s="92">
        <f>SUMIFS($D$245:$D$595,$B$245:$B$595,J215)</f>
        <v/>
      </c>
      <c r="L215" s="94" t="n"/>
      <c r="M215" s="92">
        <f>SUMIFS($D$245:$D$595,$B$245:$B$595,L215)</f>
        <v/>
      </c>
      <c r="N215" s="94" t="n"/>
      <c r="O215" s="92">
        <f>SUMIFS($D$245:$D$595,$B$245:$B$595,N215)</f>
        <v/>
      </c>
      <c r="P215" s="94" t="n"/>
      <c r="Q215" s="92">
        <f>SUMIFS($D$245:$D$595,$B$245:$B$595,P215)</f>
        <v/>
      </c>
      <c r="R215" s="94" t="n"/>
      <c r="S215" s="92">
        <f>SUMIFS($D$245:$D$595,$B$245:$B$595,R215)</f>
        <v/>
      </c>
      <c r="T215" s="94" t="n"/>
      <c r="U215" s="92">
        <f>SUMIFS($D$245:$D$595,$B$245:$B$595,T215)</f>
        <v/>
      </c>
      <c r="V215" s="94" t="n"/>
      <c r="W215" s="92">
        <f>SUMIFS($D$245:$D$595,$B$245:$B$595,V215)</f>
        <v/>
      </c>
      <c r="X215" s="94" t="n"/>
      <c r="Y215" s="92">
        <f>SUMIFS($D$245:$D$595,$B$245:$B$595,X215)</f>
        <v/>
      </c>
      <c r="Z215" s="94" t="n"/>
      <c r="AA215" s="92">
        <f>SUMIFS($D$245:$D$595,$B$245:$B$595,Z215)</f>
        <v/>
      </c>
      <c r="AB215" s="94" t="n"/>
      <c r="AC215" s="92">
        <f>SUMIFS($D$245:$D$595,$B$245:$B$595,AB215)</f>
        <v/>
      </c>
      <c r="AD215" s="94" t="n"/>
      <c r="AE215" s="92">
        <f>SUMIFS($D$245:$D$595,$B$245:$B$595,AD215)</f>
        <v/>
      </c>
      <c r="AF215" s="93" t="n"/>
    </row>
    <row r="216">
      <c r="A216" s="18" t="n">
        <v>59</v>
      </c>
      <c r="H216" s="91" t="n"/>
      <c r="I216" s="92">
        <f>SUMIFS($D$245:$D$595,$B$245:$B$595,H216)</f>
        <v/>
      </c>
      <c r="J216" s="94" t="n"/>
      <c r="K216" s="92">
        <f>SUMIFS($D$245:$D$595,$B$245:$B$595,J216)</f>
        <v/>
      </c>
      <c r="L216" s="94" t="n"/>
      <c r="M216" s="92">
        <f>SUMIFS($D$245:$D$595,$B$245:$B$595,L216)</f>
        <v/>
      </c>
      <c r="N216" s="94" t="n"/>
      <c r="O216" s="92">
        <f>SUMIFS($D$245:$D$595,$B$245:$B$595,N216)</f>
        <v/>
      </c>
      <c r="P216" s="94" t="n"/>
      <c r="Q216" s="92">
        <f>SUMIFS($D$245:$D$595,$B$245:$B$595,P216)</f>
        <v/>
      </c>
      <c r="R216" s="94" t="n"/>
      <c r="S216" s="92">
        <f>SUMIFS($D$245:$D$595,$B$245:$B$595,R216)</f>
        <v/>
      </c>
      <c r="T216" s="94" t="n"/>
      <c r="U216" s="92">
        <f>SUMIFS($D$245:$D$595,$B$245:$B$595,T216)</f>
        <v/>
      </c>
      <c r="V216" s="94" t="n"/>
      <c r="W216" s="92">
        <f>SUMIFS($D$245:$D$595,$B$245:$B$595,V216)</f>
        <v/>
      </c>
      <c r="X216" s="94" t="n"/>
      <c r="Y216" s="92">
        <f>SUMIFS($D$245:$D$595,$B$245:$B$595,X216)</f>
        <v/>
      </c>
      <c r="Z216" s="94" t="n"/>
      <c r="AA216" s="92">
        <f>SUMIFS($D$245:$D$595,$B$245:$B$595,Z216)</f>
        <v/>
      </c>
      <c r="AB216" s="94" t="n"/>
      <c r="AC216" s="92">
        <f>SUMIFS($D$245:$D$595,$B$245:$B$595,AB216)</f>
        <v/>
      </c>
      <c r="AD216" s="94" t="n"/>
      <c r="AE216" s="92">
        <f>SUMIFS($D$245:$D$595,$B$245:$B$595,AD216)</f>
        <v/>
      </c>
      <c r="AF216" s="93" t="n"/>
    </row>
    <row r="217">
      <c r="A217" s="18" t="n">
        <v>60</v>
      </c>
      <c r="H217" s="91" t="n"/>
      <c r="I217" s="92">
        <f>SUMIFS($D$245:$D$595,$B$245:$B$595,H217)</f>
        <v/>
      </c>
      <c r="J217" s="94" t="n"/>
      <c r="K217" s="92">
        <f>SUMIFS($D$245:$D$595,$B$245:$B$595,J217)</f>
        <v/>
      </c>
      <c r="L217" s="94" t="n"/>
      <c r="M217" s="92">
        <f>SUMIFS($D$245:$D$595,$B$245:$B$595,L217)</f>
        <v/>
      </c>
      <c r="N217" s="94" t="n"/>
      <c r="O217" s="92">
        <f>SUMIFS($D$245:$D$595,$B$245:$B$595,N217)</f>
        <v/>
      </c>
      <c r="P217" s="94" t="n"/>
      <c r="Q217" s="92">
        <f>SUMIFS($D$245:$D$595,$B$245:$B$595,P217)</f>
        <v/>
      </c>
      <c r="R217" s="94" t="n"/>
      <c r="S217" s="92">
        <f>SUMIFS($D$245:$D$595,$B$245:$B$595,R217)</f>
        <v/>
      </c>
      <c r="T217" s="94" t="n"/>
      <c r="U217" s="92">
        <f>SUMIFS($D$245:$D$595,$B$245:$B$595,T217)</f>
        <v/>
      </c>
      <c r="V217" s="94" t="n"/>
      <c r="W217" s="92">
        <f>SUMIFS($D$245:$D$595,$B$245:$B$595,V217)</f>
        <v/>
      </c>
      <c r="X217" s="94" t="n"/>
      <c r="Y217" s="92">
        <f>SUMIFS($D$245:$D$595,$B$245:$B$595,X217)</f>
        <v/>
      </c>
      <c r="Z217" s="94" t="n"/>
      <c r="AA217" s="92">
        <f>SUMIFS($D$245:$D$595,$B$245:$B$595,Z217)</f>
        <v/>
      </c>
      <c r="AB217" s="94" t="n"/>
      <c r="AC217" s="92">
        <f>SUMIFS($D$245:$D$595,$B$245:$B$595,AB217)</f>
        <v/>
      </c>
      <c r="AD217" s="94" t="n"/>
      <c r="AE217" s="92">
        <f>SUMIFS($D$245:$D$595,$B$245:$B$595,AD217)</f>
        <v/>
      </c>
      <c r="AF217" s="93" t="n"/>
    </row>
    <row r="218">
      <c r="A218" s="18" t="n">
        <v>61</v>
      </c>
      <c r="H218" s="91" t="n"/>
      <c r="I218" s="92">
        <f>SUMIFS($D$245:$D$595,$B$245:$B$595,H218)</f>
        <v/>
      </c>
      <c r="J218" s="94" t="n"/>
      <c r="K218" s="92">
        <f>SUMIFS($D$245:$D$595,$B$245:$B$595,J218)</f>
        <v/>
      </c>
      <c r="L218" s="94" t="n"/>
      <c r="M218" s="92">
        <f>SUMIFS($D$245:$D$595,$B$245:$B$595,L218)</f>
        <v/>
      </c>
      <c r="N218" s="94" t="n"/>
      <c r="O218" s="92">
        <f>SUMIFS($D$245:$D$595,$B$245:$B$595,N218)</f>
        <v/>
      </c>
      <c r="P218" s="94" t="n"/>
      <c r="Q218" s="92">
        <f>SUMIFS($D$245:$D$595,$B$245:$B$595,P218)</f>
        <v/>
      </c>
      <c r="R218" s="94" t="n"/>
      <c r="S218" s="92">
        <f>SUMIFS($D$245:$D$595,$B$245:$B$595,R218)</f>
        <v/>
      </c>
      <c r="T218" s="94" t="n"/>
      <c r="U218" s="92">
        <f>SUMIFS($D$245:$D$595,$B$245:$B$595,T218)</f>
        <v/>
      </c>
      <c r="V218" s="94" t="n"/>
      <c r="W218" s="92">
        <f>SUMIFS($D$245:$D$595,$B$245:$B$595,V218)</f>
        <v/>
      </c>
      <c r="X218" s="94" t="n"/>
      <c r="Y218" s="92">
        <f>SUMIFS($D$245:$D$595,$B$245:$B$595,X218)</f>
        <v/>
      </c>
      <c r="Z218" s="94" t="n"/>
      <c r="AA218" s="92">
        <f>SUMIFS($D$245:$D$595,$B$245:$B$595,Z218)</f>
        <v/>
      </c>
      <c r="AB218" s="94" t="n"/>
      <c r="AC218" s="92">
        <f>SUMIFS($D$245:$D$595,$B$245:$B$595,AB218)</f>
        <v/>
      </c>
      <c r="AD218" s="94" t="n"/>
      <c r="AE218" s="92">
        <f>SUMIFS($D$245:$D$595,$B$245:$B$595,AD218)</f>
        <v/>
      </c>
      <c r="AF218" s="93" t="n"/>
    </row>
    <row r="219">
      <c r="A219" s="18" t="n">
        <v>62</v>
      </c>
      <c r="H219" s="91" t="n"/>
      <c r="I219" s="92">
        <f>SUMIFS($D$245:$D$595,$B$245:$B$595,H219)</f>
        <v/>
      </c>
      <c r="J219" s="94" t="n"/>
      <c r="K219" s="92">
        <f>SUMIFS($D$245:$D$595,$B$245:$B$595,J219)</f>
        <v/>
      </c>
      <c r="L219" s="94" t="n"/>
      <c r="M219" s="92">
        <f>SUMIFS($D$245:$D$595,$B$245:$B$595,L219)</f>
        <v/>
      </c>
      <c r="N219" s="94" t="n"/>
      <c r="O219" s="92">
        <f>SUMIFS($D$245:$D$595,$B$245:$B$595,N219)</f>
        <v/>
      </c>
      <c r="P219" s="94" t="n"/>
      <c r="Q219" s="92">
        <f>SUMIFS($D$245:$D$595,$B$245:$B$595,P219)</f>
        <v/>
      </c>
      <c r="R219" s="94" t="n"/>
      <c r="S219" s="92">
        <f>SUMIFS($D$245:$D$595,$B$245:$B$595,R219)</f>
        <v/>
      </c>
      <c r="T219" s="94" t="n"/>
      <c r="U219" s="92">
        <f>SUMIFS($D$245:$D$595,$B$245:$B$595,T219)</f>
        <v/>
      </c>
      <c r="V219" s="94" t="n"/>
      <c r="W219" s="92">
        <f>SUMIFS($D$245:$D$595,$B$245:$B$595,V219)</f>
        <v/>
      </c>
      <c r="X219" s="94" t="n"/>
      <c r="Y219" s="92">
        <f>SUMIFS($D$245:$D$595,$B$245:$B$595,X219)</f>
        <v/>
      </c>
      <c r="Z219" s="94" t="n"/>
      <c r="AA219" s="92">
        <f>SUMIFS($D$245:$D$595,$B$245:$B$595,Z219)</f>
        <v/>
      </c>
      <c r="AB219" s="94" t="n"/>
      <c r="AC219" s="92">
        <f>SUMIFS($D$245:$D$595,$B$245:$B$595,AB219)</f>
        <v/>
      </c>
      <c r="AD219" s="94" t="n"/>
      <c r="AE219" s="92">
        <f>SUMIFS($D$245:$D$595,$B$245:$B$595,AD219)</f>
        <v/>
      </c>
      <c r="AF219" s="93" t="n"/>
    </row>
    <row r="220">
      <c r="A220" s="18" t="n">
        <v>63</v>
      </c>
      <c r="H220" s="91" t="n"/>
      <c r="I220" s="92">
        <f>SUMIFS($D$245:$D$595,$B$245:$B$595,H220)</f>
        <v/>
      </c>
      <c r="J220" s="94" t="n"/>
      <c r="K220" s="92">
        <f>SUMIFS($D$245:$D$595,$B$245:$B$595,J220)</f>
        <v/>
      </c>
      <c r="L220" s="94" t="n"/>
      <c r="M220" s="92">
        <f>SUMIFS($D$245:$D$595,$B$245:$B$595,L220)</f>
        <v/>
      </c>
      <c r="N220" s="94" t="n"/>
      <c r="O220" s="92">
        <f>SUMIFS($D$245:$D$595,$B$245:$B$595,N220)</f>
        <v/>
      </c>
      <c r="P220" s="94" t="n"/>
      <c r="Q220" s="92">
        <f>SUMIFS($D$245:$D$595,$B$245:$B$595,P220)</f>
        <v/>
      </c>
      <c r="R220" s="94" t="n"/>
      <c r="S220" s="92">
        <f>SUMIFS($D$245:$D$595,$B$245:$B$595,R220)</f>
        <v/>
      </c>
      <c r="T220" s="94" t="n"/>
      <c r="U220" s="92">
        <f>SUMIFS($D$245:$D$595,$B$245:$B$595,T220)</f>
        <v/>
      </c>
      <c r="V220" s="94" t="n"/>
      <c r="W220" s="92">
        <f>SUMIFS($D$245:$D$595,$B$245:$B$595,V220)</f>
        <v/>
      </c>
      <c r="X220" s="94" t="n"/>
      <c r="Y220" s="92">
        <f>SUMIFS($D$245:$D$595,$B$245:$B$595,X220)</f>
        <v/>
      </c>
      <c r="Z220" s="94" t="n"/>
      <c r="AA220" s="92">
        <f>SUMIFS($D$245:$D$595,$B$245:$B$595,Z220)</f>
        <v/>
      </c>
      <c r="AB220" s="94" t="n"/>
      <c r="AC220" s="92">
        <f>SUMIFS($D$245:$D$595,$B$245:$B$595,AB220)</f>
        <v/>
      </c>
      <c r="AD220" s="94" t="n"/>
      <c r="AE220" s="92">
        <f>SUMIFS($D$245:$D$595,$B$245:$B$595,AD220)</f>
        <v/>
      </c>
      <c r="AF220" s="93" t="n"/>
    </row>
    <row r="221">
      <c r="A221" s="18" t="n">
        <v>64</v>
      </c>
      <c r="H221" s="91" t="n"/>
      <c r="I221" s="92">
        <f>SUMIFS($D$245:$D$595,$B$245:$B$595,H221)</f>
        <v/>
      </c>
      <c r="J221" s="94" t="n"/>
      <c r="K221" s="92">
        <f>SUMIFS($D$245:$D$595,$B$245:$B$595,J221)</f>
        <v/>
      </c>
      <c r="L221" s="94" t="n"/>
      <c r="M221" s="92">
        <f>SUMIFS($D$245:$D$595,$B$245:$B$595,L221)</f>
        <v/>
      </c>
      <c r="N221" s="94" t="n"/>
      <c r="O221" s="92">
        <f>SUMIFS($D$245:$D$595,$B$245:$B$595,N221)</f>
        <v/>
      </c>
      <c r="P221" s="94" t="n"/>
      <c r="Q221" s="92">
        <f>SUMIFS($D$245:$D$595,$B$245:$B$595,P221)</f>
        <v/>
      </c>
      <c r="R221" s="94" t="n"/>
      <c r="S221" s="92">
        <f>SUMIFS($D$245:$D$595,$B$245:$B$595,R221)</f>
        <v/>
      </c>
      <c r="T221" s="94" t="n"/>
      <c r="U221" s="92">
        <f>SUMIFS($D$245:$D$595,$B$245:$B$595,T221)</f>
        <v/>
      </c>
      <c r="V221" s="94" t="n"/>
      <c r="W221" s="92">
        <f>SUMIFS($D$245:$D$595,$B$245:$B$595,V221)</f>
        <v/>
      </c>
      <c r="X221" s="94" t="n"/>
      <c r="Y221" s="92">
        <f>SUMIFS($D$245:$D$595,$B$245:$B$595,X221)</f>
        <v/>
      </c>
      <c r="Z221" s="94" t="n"/>
      <c r="AA221" s="92">
        <f>SUMIFS($D$245:$D$595,$B$245:$B$595,Z221)</f>
        <v/>
      </c>
      <c r="AB221" s="94" t="n"/>
      <c r="AC221" s="92">
        <f>SUMIFS($D$245:$D$595,$B$245:$B$595,AB221)</f>
        <v/>
      </c>
      <c r="AD221" s="94" t="n"/>
      <c r="AE221" s="92">
        <f>SUMIFS($D$245:$D$595,$B$245:$B$595,AD221)</f>
        <v/>
      </c>
      <c r="AF221" s="93" t="n"/>
    </row>
    <row r="222">
      <c r="A222" s="18" t="n">
        <v>65</v>
      </c>
      <c r="H222" s="91" t="n"/>
      <c r="I222" s="92">
        <f>SUMIFS($D$245:$D$595,$B$245:$B$595,H222)</f>
        <v/>
      </c>
      <c r="J222" s="94" t="n"/>
      <c r="K222" s="92">
        <f>SUMIFS($D$245:$D$595,$B$245:$B$595,J222)</f>
        <v/>
      </c>
      <c r="L222" s="94" t="n"/>
      <c r="M222" s="92">
        <f>SUMIFS($D$245:$D$595,$B$245:$B$595,L222)</f>
        <v/>
      </c>
      <c r="N222" s="94" t="n"/>
      <c r="O222" s="92">
        <f>SUMIFS($D$245:$D$595,$B$245:$B$595,N222)</f>
        <v/>
      </c>
      <c r="P222" s="94" t="n"/>
      <c r="Q222" s="92">
        <f>SUMIFS($D$245:$D$595,$B$245:$B$595,P222)</f>
        <v/>
      </c>
      <c r="R222" s="94" t="n"/>
      <c r="S222" s="92">
        <f>SUMIFS($D$245:$D$595,$B$245:$B$595,R222)</f>
        <v/>
      </c>
      <c r="T222" s="94" t="n"/>
      <c r="U222" s="92">
        <f>SUMIFS($D$245:$D$595,$B$245:$B$595,T222)</f>
        <v/>
      </c>
      <c r="V222" s="94" t="n"/>
      <c r="W222" s="92">
        <f>SUMIFS($D$245:$D$595,$B$245:$B$595,V222)</f>
        <v/>
      </c>
      <c r="X222" s="94" t="n"/>
      <c r="Y222" s="92">
        <f>SUMIFS($D$245:$D$595,$B$245:$B$595,X222)</f>
        <v/>
      </c>
      <c r="Z222" s="94" t="n"/>
      <c r="AA222" s="92">
        <f>SUMIFS($D$245:$D$595,$B$245:$B$595,Z222)</f>
        <v/>
      </c>
      <c r="AB222" s="94" t="n"/>
      <c r="AC222" s="92">
        <f>SUMIFS($D$245:$D$595,$B$245:$B$595,AB222)</f>
        <v/>
      </c>
      <c r="AD222" s="94" t="n"/>
      <c r="AE222" s="92">
        <f>SUMIFS($D$245:$D$595,$B$245:$B$595,AD222)</f>
        <v/>
      </c>
      <c r="AF222" s="93" t="n"/>
    </row>
    <row r="223">
      <c r="A223" s="18" t="n">
        <v>66</v>
      </c>
      <c r="H223" s="91" t="n"/>
      <c r="I223" s="92">
        <f>SUMIFS($D$245:$D$595,$B$245:$B$595,H223)</f>
        <v/>
      </c>
      <c r="J223" s="94" t="n"/>
      <c r="K223" s="92">
        <f>SUMIFS($D$245:$D$595,$B$245:$B$595,J223)</f>
        <v/>
      </c>
      <c r="L223" s="94" t="n"/>
      <c r="M223" s="92">
        <f>SUMIFS($D$245:$D$595,$B$245:$B$595,L223)</f>
        <v/>
      </c>
      <c r="N223" s="94" t="n"/>
      <c r="O223" s="92">
        <f>SUMIFS($D$245:$D$595,$B$245:$B$595,N223)</f>
        <v/>
      </c>
      <c r="P223" s="94" t="n"/>
      <c r="Q223" s="92">
        <f>SUMIFS($D$245:$D$595,$B$245:$B$595,P223)</f>
        <v/>
      </c>
      <c r="R223" s="94" t="n"/>
      <c r="S223" s="92">
        <f>SUMIFS($D$245:$D$595,$B$245:$B$595,R223)</f>
        <v/>
      </c>
      <c r="T223" s="94" t="n"/>
      <c r="U223" s="92">
        <f>SUMIFS($D$245:$D$595,$B$245:$B$595,T223)</f>
        <v/>
      </c>
      <c r="V223" s="94" t="n"/>
      <c r="W223" s="92">
        <f>SUMIFS($D$245:$D$595,$B$245:$B$595,V223)</f>
        <v/>
      </c>
      <c r="X223" s="94" t="n"/>
      <c r="Y223" s="92">
        <f>SUMIFS($D$245:$D$595,$B$245:$B$595,X223)</f>
        <v/>
      </c>
      <c r="Z223" s="94" t="n"/>
      <c r="AA223" s="92">
        <f>SUMIFS($D$245:$D$595,$B$245:$B$595,Z223)</f>
        <v/>
      </c>
      <c r="AB223" s="94" t="n"/>
      <c r="AC223" s="92">
        <f>SUMIFS($D$245:$D$595,$B$245:$B$595,AB223)</f>
        <v/>
      </c>
      <c r="AD223" s="94" t="n"/>
      <c r="AE223" s="92">
        <f>SUMIFS($D$245:$D$595,$B$245:$B$595,AD223)</f>
        <v/>
      </c>
      <c r="AF223" s="93" t="n"/>
    </row>
    <row r="224">
      <c r="A224" s="18" t="n">
        <v>67</v>
      </c>
      <c r="H224" s="91" t="n"/>
      <c r="I224" s="92">
        <f>SUMIFS($D$245:$D$595,$B$245:$B$595,H224)</f>
        <v/>
      </c>
      <c r="J224" s="94" t="n"/>
      <c r="K224" s="92">
        <f>SUMIFS($D$245:$D$595,$B$245:$B$595,J224)</f>
        <v/>
      </c>
      <c r="L224" s="94" t="n"/>
      <c r="M224" s="92">
        <f>SUMIFS($D$245:$D$595,$B$245:$B$595,L224)</f>
        <v/>
      </c>
      <c r="N224" s="94" t="n"/>
      <c r="O224" s="92">
        <f>SUMIFS($D$245:$D$595,$B$245:$B$595,N224)</f>
        <v/>
      </c>
      <c r="P224" s="94" t="n"/>
      <c r="Q224" s="92">
        <f>SUMIFS($D$245:$D$595,$B$245:$B$595,P224)</f>
        <v/>
      </c>
      <c r="R224" s="94" t="n"/>
      <c r="S224" s="92">
        <f>SUMIFS($D$245:$D$595,$B$245:$B$595,R224)</f>
        <v/>
      </c>
      <c r="T224" s="94" t="n"/>
      <c r="U224" s="92">
        <f>SUMIFS($D$245:$D$595,$B$245:$B$595,T224)</f>
        <v/>
      </c>
      <c r="V224" s="94" t="n"/>
      <c r="W224" s="92">
        <f>SUMIFS($D$245:$D$595,$B$245:$B$595,V224)</f>
        <v/>
      </c>
      <c r="X224" s="94" t="n"/>
      <c r="Y224" s="92">
        <f>SUMIFS($D$245:$D$595,$B$245:$B$595,X224)</f>
        <v/>
      </c>
      <c r="Z224" s="94" t="n"/>
      <c r="AA224" s="92">
        <f>SUMIFS($D$245:$D$595,$B$245:$B$595,Z224)</f>
        <v/>
      </c>
      <c r="AB224" s="94" t="n"/>
      <c r="AC224" s="92">
        <f>SUMIFS($D$245:$D$595,$B$245:$B$595,AB224)</f>
        <v/>
      </c>
      <c r="AD224" s="94" t="n"/>
      <c r="AE224" s="92">
        <f>SUMIFS($D$245:$D$595,$B$245:$B$595,AD224)</f>
        <v/>
      </c>
      <c r="AF224" s="93" t="n"/>
    </row>
    <row r="225">
      <c r="A225" s="18" t="n">
        <v>68</v>
      </c>
      <c r="H225" s="91" t="n"/>
      <c r="I225" s="92">
        <f>SUMIFS($D$245:$D$595,$B$245:$B$595,H225)</f>
        <v/>
      </c>
      <c r="J225" s="94" t="n"/>
      <c r="K225" s="92">
        <f>SUMIFS($D$245:$D$595,$B$245:$B$595,J225)</f>
        <v/>
      </c>
      <c r="L225" s="94" t="n"/>
      <c r="M225" s="92">
        <f>SUMIFS($D$245:$D$595,$B$245:$B$595,L225)</f>
        <v/>
      </c>
      <c r="N225" s="94" t="n"/>
      <c r="O225" s="92">
        <f>SUMIFS($D$245:$D$595,$B$245:$B$595,N225)</f>
        <v/>
      </c>
      <c r="P225" s="94" t="n"/>
      <c r="Q225" s="92">
        <f>SUMIFS($D$245:$D$595,$B$245:$B$595,P225)</f>
        <v/>
      </c>
      <c r="R225" s="94" t="n"/>
      <c r="S225" s="92">
        <f>SUMIFS($D$245:$D$595,$B$245:$B$595,R225)</f>
        <v/>
      </c>
      <c r="T225" s="94" t="n"/>
      <c r="U225" s="92">
        <f>SUMIFS($D$245:$D$595,$B$245:$B$595,T225)</f>
        <v/>
      </c>
      <c r="V225" s="94" t="n"/>
      <c r="W225" s="92">
        <f>SUMIFS($D$245:$D$595,$B$245:$B$595,V225)</f>
        <v/>
      </c>
      <c r="X225" s="94" t="n"/>
      <c r="Y225" s="92">
        <f>SUMIFS($D$245:$D$595,$B$245:$B$595,X225)</f>
        <v/>
      </c>
      <c r="Z225" s="94" t="n"/>
      <c r="AA225" s="92">
        <f>SUMIFS($D$245:$D$595,$B$245:$B$595,Z225)</f>
        <v/>
      </c>
      <c r="AB225" s="94" t="n"/>
      <c r="AC225" s="92">
        <f>SUMIFS($D$245:$D$595,$B$245:$B$595,AB225)</f>
        <v/>
      </c>
      <c r="AD225" s="94" t="n"/>
      <c r="AE225" s="92">
        <f>SUMIFS($D$245:$D$595,$B$245:$B$595,AD225)</f>
        <v/>
      </c>
      <c r="AF225" s="93" t="n"/>
    </row>
    <row r="226">
      <c r="A226" s="18" t="n">
        <v>69</v>
      </c>
      <c r="H226" s="91" t="n"/>
      <c r="I226" s="92">
        <f>SUMIFS($D$245:$D$595,$B$245:$B$595,H226)</f>
        <v/>
      </c>
      <c r="J226" s="94" t="n"/>
      <c r="K226" s="92">
        <f>SUMIFS($D$245:$D$595,$B$245:$B$595,J226)</f>
        <v/>
      </c>
      <c r="L226" s="94" t="n"/>
      <c r="M226" s="92">
        <f>SUMIFS($D$245:$D$595,$B$245:$B$595,L226)</f>
        <v/>
      </c>
      <c r="N226" s="94" t="n"/>
      <c r="O226" s="92">
        <f>SUMIFS($D$245:$D$595,$B$245:$B$595,N226)</f>
        <v/>
      </c>
      <c r="P226" s="94" t="n"/>
      <c r="Q226" s="92">
        <f>SUMIFS($D$245:$D$595,$B$245:$B$595,P226)</f>
        <v/>
      </c>
      <c r="R226" s="94" t="n"/>
      <c r="S226" s="92">
        <f>SUMIFS($D$245:$D$595,$B$245:$B$595,R226)</f>
        <v/>
      </c>
      <c r="T226" s="94" t="n"/>
      <c r="U226" s="92">
        <f>SUMIFS($D$245:$D$595,$B$245:$B$595,T226)</f>
        <v/>
      </c>
      <c r="V226" s="94" t="n"/>
      <c r="W226" s="92">
        <f>SUMIFS($D$245:$D$595,$B$245:$B$595,V226)</f>
        <v/>
      </c>
      <c r="X226" s="94" t="n"/>
      <c r="Y226" s="92">
        <f>SUMIFS($D$245:$D$595,$B$245:$B$595,X226)</f>
        <v/>
      </c>
      <c r="Z226" s="94" t="n"/>
      <c r="AA226" s="92">
        <f>SUMIFS($D$245:$D$595,$B$245:$B$595,Z226)</f>
        <v/>
      </c>
      <c r="AB226" s="94" t="n"/>
      <c r="AC226" s="92">
        <f>SUMIFS($D$245:$D$595,$B$245:$B$595,AB226)</f>
        <v/>
      </c>
      <c r="AD226" s="94" t="n"/>
      <c r="AE226" s="92">
        <f>SUMIFS($D$245:$D$595,$B$245:$B$595,AD226)</f>
        <v/>
      </c>
      <c r="AF226" s="93" t="n"/>
    </row>
    <row r="227">
      <c r="A227" s="18" t="n">
        <v>70</v>
      </c>
      <c r="H227" s="91" t="n"/>
      <c r="I227" s="92">
        <f>SUMIFS($D$245:$D$595,$B$245:$B$595,H227)</f>
        <v/>
      </c>
      <c r="J227" s="94" t="n"/>
      <c r="K227" s="92">
        <f>SUMIFS($D$245:$D$595,$B$245:$B$595,J227)</f>
        <v/>
      </c>
      <c r="L227" s="94" t="n"/>
      <c r="M227" s="92">
        <f>SUMIFS($D$245:$D$595,$B$245:$B$595,L227)</f>
        <v/>
      </c>
      <c r="N227" s="94" t="n"/>
      <c r="O227" s="92">
        <f>SUMIFS($D$245:$D$595,$B$245:$B$595,N227)</f>
        <v/>
      </c>
      <c r="P227" s="94" t="n"/>
      <c r="Q227" s="92">
        <f>SUMIFS($D$245:$D$595,$B$245:$B$595,P227)</f>
        <v/>
      </c>
      <c r="R227" s="94" t="n"/>
      <c r="S227" s="92">
        <f>SUMIFS($D$245:$D$595,$B$245:$B$595,R227)</f>
        <v/>
      </c>
      <c r="T227" s="94" t="n"/>
      <c r="U227" s="92">
        <f>SUMIFS($D$245:$D$595,$B$245:$B$595,T227)</f>
        <v/>
      </c>
      <c r="V227" s="94" t="n"/>
      <c r="W227" s="92">
        <f>SUMIFS($D$245:$D$595,$B$245:$B$595,V227)</f>
        <v/>
      </c>
      <c r="X227" s="94" t="n"/>
      <c r="Y227" s="92">
        <f>SUMIFS($D$245:$D$595,$B$245:$B$595,X227)</f>
        <v/>
      </c>
      <c r="Z227" s="94" t="n"/>
      <c r="AA227" s="92">
        <f>SUMIFS($D$245:$D$595,$B$245:$B$595,Z227)</f>
        <v/>
      </c>
      <c r="AB227" s="94" t="n"/>
      <c r="AC227" s="92">
        <f>SUMIFS($D$245:$D$595,$B$245:$B$595,AB227)</f>
        <v/>
      </c>
      <c r="AD227" s="94" t="n"/>
      <c r="AE227" s="92">
        <f>SUMIFS($D$245:$D$595,$B$245:$B$595,AD227)</f>
        <v/>
      </c>
      <c r="AF227" s="93" t="n"/>
    </row>
    <row r="228">
      <c r="A228" s="18" t="n">
        <v>71</v>
      </c>
      <c r="H228" s="91" t="n"/>
      <c r="I228" s="92">
        <f>SUMIFS($D$245:$D$595,$B$245:$B$595,H228)</f>
        <v/>
      </c>
      <c r="J228" s="94" t="n"/>
      <c r="K228" s="92">
        <f>SUMIFS($D$245:$D$595,$B$245:$B$595,J228)</f>
        <v/>
      </c>
      <c r="L228" s="94" t="n"/>
      <c r="M228" s="92">
        <f>SUMIFS($D$245:$D$595,$B$245:$B$595,L228)</f>
        <v/>
      </c>
      <c r="N228" s="94" t="n"/>
      <c r="O228" s="92">
        <f>SUMIFS($D$245:$D$595,$B$245:$B$595,N228)</f>
        <v/>
      </c>
      <c r="P228" s="94" t="n"/>
      <c r="Q228" s="92">
        <f>SUMIFS($D$245:$D$595,$B$245:$B$595,P228)</f>
        <v/>
      </c>
      <c r="R228" s="94" t="n"/>
      <c r="S228" s="92">
        <f>SUMIFS($D$245:$D$595,$B$245:$B$595,R228)</f>
        <v/>
      </c>
      <c r="T228" s="94" t="n"/>
      <c r="U228" s="92">
        <f>SUMIFS($D$245:$D$595,$B$245:$B$595,T228)</f>
        <v/>
      </c>
      <c r="V228" s="94" t="n"/>
      <c r="W228" s="92">
        <f>SUMIFS($D$245:$D$595,$B$245:$B$595,V228)</f>
        <v/>
      </c>
      <c r="X228" s="94" t="n"/>
      <c r="Y228" s="92">
        <f>SUMIFS($D$245:$D$595,$B$245:$B$595,X228)</f>
        <v/>
      </c>
      <c r="Z228" s="94" t="n"/>
      <c r="AA228" s="92">
        <f>SUMIFS($D$245:$D$595,$B$245:$B$595,Z228)</f>
        <v/>
      </c>
      <c r="AB228" s="94" t="n"/>
      <c r="AC228" s="92">
        <f>SUMIFS($D$245:$D$595,$B$245:$B$595,AB228)</f>
        <v/>
      </c>
      <c r="AD228" s="94" t="n"/>
      <c r="AE228" s="92">
        <f>SUMIFS($D$245:$D$595,$B$245:$B$595,AD228)</f>
        <v/>
      </c>
      <c r="AF228" s="93" t="n"/>
    </row>
    <row r="229">
      <c r="A229" s="18" t="n">
        <v>72</v>
      </c>
      <c r="H229" s="91" t="n"/>
      <c r="I229" s="92">
        <f>SUMIFS($D$245:$D$595,$B$245:$B$595,H229)</f>
        <v/>
      </c>
      <c r="J229" s="94" t="n"/>
      <c r="K229" s="92">
        <f>SUMIFS($D$245:$D$595,$B$245:$B$595,J229)</f>
        <v/>
      </c>
      <c r="L229" s="94" t="n"/>
      <c r="M229" s="92">
        <f>SUMIFS($D$245:$D$595,$B$245:$B$595,L229)</f>
        <v/>
      </c>
      <c r="N229" s="94" t="n"/>
      <c r="O229" s="92">
        <f>SUMIFS($D$245:$D$595,$B$245:$B$595,N229)</f>
        <v/>
      </c>
      <c r="P229" s="94" t="n"/>
      <c r="Q229" s="92">
        <f>SUMIFS($D$245:$D$595,$B$245:$B$595,P229)</f>
        <v/>
      </c>
      <c r="R229" s="94" t="n"/>
      <c r="S229" s="92">
        <f>SUMIFS($D$245:$D$595,$B$245:$B$595,R229)</f>
        <v/>
      </c>
      <c r="T229" s="94" t="n"/>
      <c r="U229" s="92">
        <f>SUMIFS($D$245:$D$595,$B$245:$B$595,T229)</f>
        <v/>
      </c>
      <c r="V229" s="94" t="n"/>
      <c r="W229" s="92">
        <f>SUMIFS($D$245:$D$595,$B$245:$B$595,V229)</f>
        <v/>
      </c>
      <c r="X229" s="94" t="n"/>
      <c r="Y229" s="92">
        <f>SUMIFS($D$245:$D$595,$B$245:$B$595,X229)</f>
        <v/>
      </c>
      <c r="Z229" s="94" t="n"/>
      <c r="AA229" s="92">
        <f>SUMIFS($D$245:$D$595,$B$245:$B$595,Z229)</f>
        <v/>
      </c>
      <c r="AB229" s="94" t="n"/>
      <c r="AC229" s="92">
        <f>SUMIFS($D$245:$D$595,$B$245:$B$595,AB229)</f>
        <v/>
      </c>
      <c r="AD229" s="94" t="n"/>
      <c r="AE229" s="92">
        <f>SUMIFS($D$245:$D$595,$B$245:$B$595,AD229)</f>
        <v/>
      </c>
      <c r="AF229" s="93" t="n"/>
    </row>
    <row r="230">
      <c r="A230" s="18" t="n">
        <v>73</v>
      </c>
      <c r="H230" s="91" t="n"/>
      <c r="I230" s="92">
        <f>SUMIFS($D$245:$D$595,$B$245:$B$595,H230)</f>
        <v/>
      </c>
      <c r="J230" s="94" t="n"/>
      <c r="K230" s="92">
        <f>SUMIFS($D$245:$D$595,$B$245:$B$595,J230)</f>
        <v/>
      </c>
      <c r="L230" s="94" t="n"/>
      <c r="M230" s="92">
        <f>SUMIFS($D$245:$D$595,$B$245:$B$595,L230)</f>
        <v/>
      </c>
      <c r="N230" s="94" t="n"/>
      <c r="O230" s="92">
        <f>SUMIFS($D$245:$D$595,$B$245:$B$595,N230)</f>
        <v/>
      </c>
      <c r="P230" s="94" t="n"/>
      <c r="Q230" s="92">
        <f>SUMIFS($D$245:$D$595,$B$245:$B$595,P230)</f>
        <v/>
      </c>
      <c r="R230" s="94" t="n"/>
      <c r="S230" s="92">
        <f>SUMIFS($D$245:$D$595,$B$245:$B$595,R230)</f>
        <v/>
      </c>
      <c r="T230" s="94" t="n"/>
      <c r="U230" s="92">
        <f>SUMIFS($D$245:$D$595,$B$245:$B$595,T230)</f>
        <v/>
      </c>
      <c r="V230" s="94" t="n"/>
      <c r="W230" s="92">
        <f>SUMIFS($D$245:$D$595,$B$245:$B$595,V230)</f>
        <v/>
      </c>
      <c r="X230" s="94" t="n"/>
      <c r="Y230" s="92">
        <f>SUMIFS($D$245:$D$595,$B$245:$B$595,X230)</f>
        <v/>
      </c>
      <c r="Z230" s="94" t="n"/>
      <c r="AA230" s="92">
        <f>SUMIFS($D$245:$D$595,$B$245:$B$595,Z230)</f>
        <v/>
      </c>
      <c r="AB230" s="94" t="n"/>
      <c r="AC230" s="92">
        <f>SUMIFS($D$245:$D$595,$B$245:$B$595,AB230)</f>
        <v/>
      </c>
      <c r="AD230" s="94" t="n"/>
      <c r="AE230" s="92">
        <f>SUMIFS($D$245:$D$595,$B$245:$B$595,AD230)</f>
        <v/>
      </c>
      <c r="AF230" s="93" t="n"/>
    </row>
    <row r="231">
      <c r="A231" s="18" t="n">
        <v>74</v>
      </c>
      <c r="H231" s="91" t="n"/>
      <c r="I231" s="92">
        <f>SUMIFS($D$245:$D$595,$B$245:$B$595,H231)</f>
        <v/>
      </c>
      <c r="J231" s="94" t="n"/>
      <c r="K231" s="92">
        <f>SUMIFS($D$245:$D$595,$B$245:$B$595,J231)</f>
        <v/>
      </c>
      <c r="L231" s="94" t="n"/>
      <c r="M231" s="92">
        <f>SUMIFS($D$245:$D$595,$B$245:$B$595,L231)</f>
        <v/>
      </c>
      <c r="N231" s="94" t="n"/>
      <c r="O231" s="92">
        <f>SUMIFS($D$245:$D$595,$B$245:$B$595,N231)</f>
        <v/>
      </c>
      <c r="P231" s="94" t="n"/>
      <c r="Q231" s="92">
        <f>SUMIFS($D$245:$D$595,$B$245:$B$595,P231)</f>
        <v/>
      </c>
      <c r="R231" s="94" t="n"/>
      <c r="S231" s="92">
        <f>SUMIFS($D$245:$D$595,$B$245:$B$595,R231)</f>
        <v/>
      </c>
      <c r="T231" s="94" t="n"/>
      <c r="U231" s="92">
        <f>SUMIFS($D$245:$D$595,$B$245:$B$595,T231)</f>
        <v/>
      </c>
      <c r="V231" s="94" t="n"/>
      <c r="W231" s="92">
        <f>SUMIFS($D$245:$D$595,$B$245:$B$595,V231)</f>
        <v/>
      </c>
      <c r="X231" s="94" t="n"/>
      <c r="Y231" s="92">
        <f>SUMIFS($D$245:$D$595,$B$245:$B$595,X231)</f>
        <v/>
      </c>
      <c r="Z231" s="94" t="n"/>
      <c r="AA231" s="92">
        <f>SUMIFS($D$245:$D$595,$B$245:$B$595,Z231)</f>
        <v/>
      </c>
      <c r="AB231" s="94" t="n"/>
      <c r="AC231" s="92">
        <f>SUMIFS($D$245:$D$595,$B$245:$B$595,AB231)</f>
        <v/>
      </c>
      <c r="AD231" s="94" t="n"/>
      <c r="AE231" s="92">
        <f>SUMIFS($D$245:$D$595,$B$245:$B$595,AD231)</f>
        <v/>
      </c>
      <c r="AF231" s="93" t="n"/>
    </row>
    <row r="232">
      <c r="A232" s="18" t="n">
        <v>75</v>
      </c>
      <c r="H232" s="91" t="n"/>
      <c r="I232" s="92">
        <f>SUMIFS($D$245:$D$595,$B$245:$B$595,H232)</f>
        <v/>
      </c>
      <c r="J232" s="94" t="n"/>
      <c r="K232" s="92">
        <f>SUMIFS($D$245:$D$595,$B$245:$B$595,J232)</f>
        <v/>
      </c>
      <c r="L232" s="94" t="n"/>
      <c r="M232" s="92">
        <f>SUMIFS($D$245:$D$595,$B$245:$B$595,L232)</f>
        <v/>
      </c>
      <c r="N232" s="94" t="n"/>
      <c r="O232" s="92">
        <f>SUMIFS($D$245:$D$595,$B$245:$B$595,N232)</f>
        <v/>
      </c>
      <c r="P232" s="94" t="n"/>
      <c r="Q232" s="92">
        <f>SUMIFS($D$245:$D$595,$B$245:$B$595,P232)</f>
        <v/>
      </c>
      <c r="R232" s="94" t="n"/>
      <c r="S232" s="92">
        <f>SUMIFS($D$245:$D$595,$B$245:$B$595,R232)</f>
        <v/>
      </c>
      <c r="T232" s="94" t="n"/>
      <c r="U232" s="92">
        <f>SUMIFS($D$245:$D$595,$B$245:$B$595,T232)</f>
        <v/>
      </c>
      <c r="V232" s="94" t="n"/>
      <c r="W232" s="92">
        <f>SUMIFS($D$245:$D$595,$B$245:$B$595,V232)</f>
        <v/>
      </c>
      <c r="X232" s="94" t="n"/>
      <c r="Y232" s="92">
        <f>SUMIFS($D$245:$D$595,$B$245:$B$595,X232)</f>
        <v/>
      </c>
      <c r="Z232" s="94" t="n"/>
      <c r="AA232" s="92">
        <f>SUMIFS($D$245:$D$595,$B$245:$B$595,Z232)</f>
        <v/>
      </c>
      <c r="AB232" s="94" t="n"/>
      <c r="AC232" s="92">
        <f>SUMIFS($D$245:$D$595,$B$245:$B$595,AB232)</f>
        <v/>
      </c>
      <c r="AD232" s="94" t="n"/>
      <c r="AE232" s="92">
        <f>SUMIFS($D$245:$D$595,$B$245:$B$595,AD232)</f>
        <v/>
      </c>
      <c r="AF232" s="93" t="n"/>
    </row>
    <row r="233">
      <c r="A233" s="18" t="n">
        <v>76</v>
      </c>
      <c r="H233" s="91" t="n"/>
      <c r="I233" s="92">
        <f>SUMIFS($D$245:$D$595,$B$245:$B$595,H233)</f>
        <v/>
      </c>
      <c r="J233" s="94" t="n"/>
      <c r="K233" s="92">
        <f>SUMIFS($D$245:$D$595,$B$245:$B$595,J233)</f>
        <v/>
      </c>
      <c r="L233" s="94" t="n"/>
      <c r="M233" s="92">
        <f>SUMIFS($D$245:$D$595,$B$245:$B$595,L233)</f>
        <v/>
      </c>
      <c r="N233" s="94" t="n"/>
      <c r="O233" s="92">
        <f>SUMIFS($D$245:$D$595,$B$245:$B$595,N233)</f>
        <v/>
      </c>
      <c r="P233" s="94" t="n"/>
      <c r="Q233" s="92">
        <f>SUMIFS($D$245:$D$595,$B$245:$B$595,P233)</f>
        <v/>
      </c>
      <c r="R233" s="94" t="n"/>
      <c r="S233" s="92">
        <f>SUMIFS($D$245:$D$595,$B$245:$B$595,R233)</f>
        <v/>
      </c>
      <c r="T233" s="94" t="n"/>
      <c r="U233" s="92">
        <f>SUMIFS($D$245:$D$595,$B$245:$B$595,T233)</f>
        <v/>
      </c>
      <c r="V233" s="94" t="n"/>
      <c r="W233" s="92">
        <f>SUMIFS($D$245:$D$595,$B$245:$B$595,V233)</f>
        <v/>
      </c>
      <c r="X233" s="94" t="n"/>
      <c r="Y233" s="92">
        <f>SUMIFS($D$245:$D$595,$B$245:$B$595,X233)</f>
        <v/>
      </c>
      <c r="Z233" s="94" t="n"/>
      <c r="AA233" s="92">
        <f>SUMIFS($D$245:$D$595,$B$245:$B$595,Z233)</f>
        <v/>
      </c>
      <c r="AB233" s="94" t="n"/>
      <c r="AC233" s="92">
        <f>SUMIFS($D$245:$D$595,$B$245:$B$595,AB233)</f>
        <v/>
      </c>
      <c r="AD233" s="94" t="n"/>
      <c r="AE233" s="92">
        <f>SUMIFS($D$245:$D$595,$B$245:$B$595,AD233)</f>
        <v/>
      </c>
      <c r="AF233" s="93" t="n"/>
    </row>
    <row r="234">
      <c r="A234" s="18" t="n">
        <v>77</v>
      </c>
      <c r="H234" s="91" t="n"/>
      <c r="I234" s="92">
        <f>SUMIFS($D$245:$D$595,$B$245:$B$595,H234)</f>
        <v/>
      </c>
      <c r="J234" s="94" t="n"/>
      <c r="K234" s="92">
        <f>SUMIFS($D$245:$D$595,$B$245:$B$595,J234)</f>
        <v/>
      </c>
      <c r="L234" s="94" t="n"/>
      <c r="M234" s="92">
        <f>SUMIFS($D$245:$D$595,$B$245:$B$595,L234)</f>
        <v/>
      </c>
      <c r="N234" s="94" t="n"/>
      <c r="O234" s="92">
        <f>SUMIFS($D$245:$D$595,$B$245:$B$595,N234)</f>
        <v/>
      </c>
      <c r="P234" s="94" t="n"/>
      <c r="Q234" s="92">
        <f>SUMIFS($D$245:$D$595,$B$245:$B$595,P234)</f>
        <v/>
      </c>
      <c r="R234" s="94" t="n"/>
      <c r="S234" s="92">
        <f>SUMIFS($D$245:$D$595,$B$245:$B$595,R234)</f>
        <v/>
      </c>
      <c r="T234" s="94" t="n"/>
      <c r="U234" s="92">
        <f>SUMIFS($D$245:$D$595,$B$245:$B$595,T234)</f>
        <v/>
      </c>
      <c r="V234" s="94" t="n"/>
      <c r="W234" s="92">
        <f>SUMIFS($D$245:$D$595,$B$245:$B$595,V234)</f>
        <v/>
      </c>
      <c r="X234" s="94" t="n"/>
      <c r="Y234" s="92">
        <f>SUMIFS($D$245:$D$595,$B$245:$B$595,X234)</f>
        <v/>
      </c>
      <c r="Z234" s="94" t="n"/>
      <c r="AA234" s="92">
        <f>SUMIFS($D$245:$D$595,$B$245:$B$595,Z234)</f>
        <v/>
      </c>
      <c r="AB234" s="94" t="n"/>
      <c r="AC234" s="92">
        <f>SUMIFS($D$245:$D$595,$B$245:$B$595,AB234)</f>
        <v/>
      </c>
      <c r="AD234" s="94" t="n"/>
      <c r="AE234" s="92">
        <f>SUMIFS($D$245:$D$595,$B$245:$B$595,AD234)</f>
        <v/>
      </c>
      <c r="AF234" s="93" t="n"/>
    </row>
    <row r="235">
      <c r="A235" s="18" t="n">
        <v>78</v>
      </c>
      <c r="H235" s="91" t="n"/>
      <c r="I235" s="92">
        <f>SUMIFS($D$245:$D$595,$B$245:$B$595,H235)</f>
        <v/>
      </c>
      <c r="J235" s="94" t="n"/>
      <c r="K235" s="92">
        <f>SUMIFS($D$245:$D$595,$B$245:$B$595,J235)</f>
        <v/>
      </c>
      <c r="L235" s="94" t="n"/>
      <c r="M235" s="92">
        <f>SUMIFS($D$245:$D$595,$B$245:$B$595,L235)</f>
        <v/>
      </c>
      <c r="N235" s="94" t="n"/>
      <c r="O235" s="92">
        <f>SUMIFS($D$245:$D$595,$B$245:$B$595,N235)</f>
        <v/>
      </c>
      <c r="P235" s="94" t="n"/>
      <c r="Q235" s="92">
        <f>SUMIFS($D$245:$D$595,$B$245:$B$595,P235)</f>
        <v/>
      </c>
      <c r="R235" s="94" t="n"/>
      <c r="S235" s="92">
        <f>SUMIFS($D$245:$D$595,$B$245:$B$595,R235)</f>
        <v/>
      </c>
      <c r="T235" s="94" t="n"/>
      <c r="U235" s="92">
        <f>SUMIFS($D$245:$D$595,$B$245:$B$595,T235)</f>
        <v/>
      </c>
      <c r="V235" s="94" t="n"/>
      <c r="W235" s="92">
        <f>SUMIFS($D$245:$D$595,$B$245:$B$595,V235)</f>
        <v/>
      </c>
      <c r="X235" s="94" t="n"/>
      <c r="Y235" s="92">
        <f>SUMIFS($D$245:$D$595,$B$245:$B$595,X235)</f>
        <v/>
      </c>
      <c r="Z235" s="94" t="n"/>
      <c r="AA235" s="92">
        <f>SUMIFS($D$245:$D$595,$B$245:$B$595,Z235)</f>
        <v/>
      </c>
      <c r="AB235" s="94" t="n"/>
      <c r="AC235" s="92">
        <f>SUMIFS($D$245:$D$595,$B$245:$B$595,AB235)</f>
        <v/>
      </c>
      <c r="AD235" s="94" t="n"/>
      <c r="AE235" s="92">
        <f>SUMIFS($D$245:$D$595,$B$245:$B$595,AD235)</f>
        <v/>
      </c>
      <c r="AF235" s="93" t="n"/>
    </row>
    <row r="236">
      <c r="A236" s="18" t="n">
        <v>79</v>
      </c>
      <c r="H236" s="91" t="n"/>
      <c r="I236" s="92">
        <f>SUMIFS($D$245:$D$595,$B$245:$B$595,H236)</f>
        <v/>
      </c>
      <c r="J236" s="94" t="n"/>
      <c r="K236" s="92">
        <f>SUMIFS($D$245:$D$595,$B$245:$B$595,J236)</f>
        <v/>
      </c>
      <c r="L236" s="94" t="n"/>
      <c r="M236" s="92">
        <f>SUMIFS($D$245:$D$595,$B$245:$B$595,L236)</f>
        <v/>
      </c>
      <c r="N236" s="94" t="n"/>
      <c r="O236" s="92">
        <f>SUMIFS($D$245:$D$595,$B$245:$B$595,N236)</f>
        <v/>
      </c>
      <c r="P236" s="94" t="n"/>
      <c r="Q236" s="92">
        <f>SUMIFS($D$245:$D$595,$B$245:$B$595,P236)</f>
        <v/>
      </c>
      <c r="R236" s="94" t="n"/>
      <c r="S236" s="92">
        <f>SUMIFS($D$245:$D$595,$B$245:$B$595,R236)</f>
        <v/>
      </c>
      <c r="T236" s="94" t="n"/>
      <c r="U236" s="92">
        <f>SUMIFS($D$245:$D$595,$B$245:$B$595,T236)</f>
        <v/>
      </c>
      <c r="V236" s="94" t="n"/>
      <c r="W236" s="92">
        <f>SUMIFS($D$245:$D$595,$B$245:$B$595,V236)</f>
        <v/>
      </c>
      <c r="X236" s="94" t="n"/>
      <c r="Y236" s="92">
        <f>SUMIFS($D$245:$D$595,$B$245:$B$595,X236)</f>
        <v/>
      </c>
      <c r="Z236" s="94" t="n"/>
      <c r="AA236" s="92">
        <f>SUMIFS($D$245:$D$595,$B$245:$B$595,Z236)</f>
        <v/>
      </c>
      <c r="AB236" s="94" t="n"/>
      <c r="AC236" s="92">
        <f>SUMIFS($D$245:$D$595,$B$245:$B$595,AB236)</f>
        <v/>
      </c>
      <c r="AD236" s="94" t="n"/>
      <c r="AE236" s="92">
        <f>SUMIFS($D$245:$D$595,$B$245:$B$595,AD236)</f>
        <v/>
      </c>
      <c r="AF236" s="93" t="n"/>
    </row>
    <row r="237">
      <c r="A237" s="18" t="n">
        <v>80</v>
      </c>
      <c r="H237" s="91" t="n"/>
      <c r="I237" s="92">
        <f>SUMIFS($D$245:$D$595,$B$245:$B$595,H237)</f>
        <v/>
      </c>
      <c r="J237" s="94" t="n"/>
      <c r="K237" s="92">
        <f>SUMIFS($D$245:$D$595,$B$245:$B$595,J237)</f>
        <v/>
      </c>
      <c r="L237" s="94" t="n"/>
      <c r="M237" s="92">
        <f>SUMIFS($D$245:$D$595,$B$245:$B$595,L237)</f>
        <v/>
      </c>
      <c r="N237" s="94" t="n"/>
      <c r="O237" s="92">
        <f>SUMIFS($D$245:$D$595,$B$245:$B$595,N237)</f>
        <v/>
      </c>
      <c r="P237" s="94" t="n"/>
      <c r="Q237" s="92">
        <f>SUMIFS($D$245:$D$595,$B$245:$B$595,P237)</f>
        <v/>
      </c>
      <c r="R237" s="94" t="n"/>
      <c r="S237" s="92">
        <f>SUMIFS($D$245:$D$595,$B$245:$B$595,R237)</f>
        <v/>
      </c>
      <c r="T237" s="94" t="n"/>
      <c r="U237" s="92">
        <f>SUMIFS($D$245:$D$595,$B$245:$B$595,T237)</f>
        <v/>
      </c>
      <c r="V237" s="94" t="n"/>
      <c r="W237" s="92">
        <f>SUMIFS($D$245:$D$595,$B$245:$B$595,V237)</f>
        <v/>
      </c>
      <c r="X237" s="94" t="n"/>
      <c r="Y237" s="92">
        <f>SUMIFS($D$245:$D$595,$B$245:$B$595,X237)</f>
        <v/>
      </c>
      <c r="Z237" s="94" t="n"/>
      <c r="AA237" s="92">
        <f>SUMIFS($D$245:$D$595,$B$245:$B$595,Z237)</f>
        <v/>
      </c>
      <c r="AB237" s="94" t="n"/>
      <c r="AC237" s="92">
        <f>SUMIFS($D$245:$D$595,$B$245:$B$595,AB237)</f>
        <v/>
      </c>
      <c r="AD237" s="94" t="n"/>
      <c r="AE237" s="92">
        <f>SUMIFS($D$245:$D$595,$B$245:$B$595,AD237)</f>
        <v/>
      </c>
      <c r="AF237" s="93" t="n"/>
    </row>
    <row r="238">
      <c r="A238" s="18" t="n">
        <v>81</v>
      </c>
      <c r="H238" s="91" t="n"/>
      <c r="I238" s="92">
        <f>SUMIFS($D$245:$D$595,$B$245:$B$595,H238)</f>
        <v/>
      </c>
      <c r="J238" s="94" t="n"/>
      <c r="K238" s="92">
        <f>SUMIFS($D$245:$D$595,$B$245:$B$595,J238)</f>
        <v/>
      </c>
      <c r="L238" s="94" t="n"/>
      <c r="M238" s="92">
        <f>SUMIFS($D$245:$D$595,$B$245:$B$595,L238)</f>
        <v/>
      </c>
      <c r="N238" s="94" t="n"/>
      <c r="O238" s="92">
        <f>SUMIFS($D$245:$D$595,$B$245:$B$595,N238)</f>
        <v/>
      </c>
      <c r="P238" s="94" t="n"/>
      <c r="Q238" s="92">
        <f>SUMIFS($D$245:$D$595,$B$245:$B$595,P238)</f>
        <v/>
      </c>
      <c r="R238" s="94" t="n"/>
      <c r="S238" s="92">
        <f>SUMIFS($D$245:$D$595,$B$245:$B$595,R238)</f>
        <v/>
      </c>
      <c r="T238" s="94" t="n"/>
      <c r="U238" s="92">
        <f>SUMIFS($D$245:$D$595,$B$245:$B$595,T238)</f>
        <v/>
      </c>
      <c r="V238" s="94" t="n"/>
      <c r="W238" s="92">
        <f>SUMIFS($D$245:$D$595,$B$245:$B$595,V238)</f>
        <v/>
      </c>
      <c r="X238" s="94" t="n"/>
      <c r="Y238" s="92">
        <f>SUMIFS($D$245:$D$595,$B$245:$B$595,X238)</f>
        <v/>
      </c>
      <c r="Z238" s="94" t="n"/>
      <c r="AA238" s="92">
        <f>SUMIFS($D$245:$D$595,$B$245:$B$595,Z238)</f>
        <v/>
      </c>
      <c r="AB238" s="94" t="n"/>
      <c r="AC238" s="92">
        <f>SUMIFS($D$245:$D$595,$B$245:$B$595,AB238)</f>
        <v/>
      </c>
      <c r="AD238" s="94" t="n"/>
      <c r="AE238" s="92">
        <f>SUMIFS($D$245:$D$595,$B$245:$B$595,AD238)</f>
        <v/>
      </c>
      <c r="AF238" s="93" t="n"/>
    </row>
    <row r="239">
      <c r="A239" s="18" t="n">
        <v>82</v>
      </c>
      <c r="H239" s="91" t="n"/>
      <c r="I239" s="92">
        <f>SUMIFS($D$245:$D$595,$B$245:$B$595,H239)</f>
        <v/>
      </c>
      <c r="J239" s="94" t="n"/>
      <c r="K239" s="92">
        <f>SUMIFS($D$245:$D$595,$B$245:$B$595,J239)</f>
        <v/>
      </c>
      <c r="L239" s="94" t="n"/>
      <c r="M239" s="92">
        <f>SUMIFS($D$245:$D$595,$B$245:$B$595,L239)</f>
        <v/>
      </c>
      <c r="N239" s="94" t="n"/>
      <c r="O239" s="92">
        <f>SUMIFS($D$245:$D$595,$B$245:$B$595,N239)</f>
        <v/>
      </c>
      <c r="P239" s="94" t="n"/>
      <c r="Q239" s="92">
        <f>SUMIFS($D$245:$D$595,$B$245:$B$595,P239)</f>
        <v/>
      </c>
      <c r="R239" s="94" t="n"/>
      <c r="S239" s="92">
        <f>SUMIFS($D$245:$D$595,$B$245:$B$595,R239)</f>
        <v/>
      </c>
      <c r="T239" s="94" t="n"/>
      <c r="U239" s="92">
        <f>SUMIFS($D$245:$D$595,$B$245:$B$595,T239)</f>
        <v/>
      </c>
      <c r="V239" s="94" t="n"/>
      <c r="W239" s="92">
        <f>SUMIFS($D$245:$D$595,$B$245:$B$595,V239)</f>
        <v/>
      </c>
      <c r="X239" s="94" t="n"/>
      <c r="Y239" s="92">
        <f>SUMIFS($D$245:$D$595,$B$245:$B$595,X239)</f>
        <v/>
      </c>
      <c r="Z239" s="94" t="n"/>
      <c r="AA239" s="92">
        <f>SUMIFS($D$245:$D$595,$B$245:$B$595,Z239)</f>
        <v/>
      </c>
      <c r="AB239" s="94" t="n"/>
      <c r="AC239" s="92">
        <f>SUMIFS($D$245:$D$595,$B$245:$B$595,AB239)</f>
        <v/>
      </c>
      <c r="AD239" s="94" t="n"/>
      <c r="AE239" s="92">
        <f>SUMIFS($D$245:$D$595,$B$245:$B$595,AD239)</f>
        <v/>
      </c>
      <c r="AF239" s="93" t="n"/>
    </row>
    <row r="240">
      <c r="A240" s="18" t="n">
        <v>83</v>
      </c>
      <c r="H240" s="91" t="n"/>
      <c r="I240" s="92">
        <f>SUMIFS($D$245:$D$595,$B$245:$B$595,H240)</f>
        <v/>
      </c>
      <c r="J240" s="94" t="n"/>
      <c r="K240" s="92">
        <f>SUMIFS($D$245:$D$595,$B$245:$B$595,J240)</f>
        <v/>
      </c>
      <c r="L240" s="94" t="n"/>
      <c r="M240" s="92">
        <f>SUMIFS($D$245:$D$595,$B$245:$B$595,L240)</f>
        <v/>
      </c>
      <c r="N240" s="94" t="n"/>
      <c r="O240" s="92">
        <f>SUMIFS($D$245:$D$595,$B$245:$B$595,N240)</f>
        <v/>
      </c>
      <c r="P240" s="94" t="n"/>
      <c r="Q240" s="92">
        <f>SUMIFS($D$245:$D$595,$B$245:$B$595,P240)</f>
        <v/>
      </c>
      <c r="R240" s="94" t="n"/>
      <c r="S240" s="92">
        <f>SUMIFS($D$245:$D$595,$B$245:$B$595,R240)</f>
        <v/>
      </c>
      <c r="T240" s="94" t="n"/>
      <c r="U240" s="92">
        <f>SUMIFS($D$245:$D$595,$B$245:$B$595,T240)</f>
        <v/>
      </c>
      <c r="V240" s="94" t="n"/>
      <c r="W240" s="92">
        <f>SUMIFS($D$245:$D$595,$B$245:$B$595,V240)</f>
        <v/>
      </c>
      <c r="X240" s="94" t="n"/>
      <c r="Y240" s="92">
        <f>SUMIFS($D$245:$D$595,$B$245:$B$595,X240)</f>
        <v/>
      </c>
      <c r="Z240" s="94" t="n"/>
      <c r="AA240" s="92">
        <f>SUMIFS($D$245:$D$595,$B$245:$B$595,Z240)</f>
        <v/>
      </c>
      <c r="AB240" s="94" t="n"/>
      <c r="AC240" s="92">
        <f>SUMIFS($D$245:$D$595,$B$245:$B$595,AB240)</f>
        <v/>
      </c>
      <c r="AD240" s="94" t="n"/>
      <c r="AE240" s="92">
        <f>SUMIFS($D$245:$D$595,$B$245:$B$595,AD240)</f>
        <v/>
      </c>
      <c r="AF240" s="93" t="n"/>
    </row>
    <row r="241">
      <c r="A241" s="18" t="n">
        <v>84</v>
      </c>
      <c r="H241" s="91" t="n"/>
      <c r="AF241" s="19" t="n"/>
    </row>
    <row r="242">
      <c r="A242" s="18" t="inlineStr"/>
      <c r="AF242" s="19" t="n"/>
    </row>
    <row r="243">
      <c r="A243" s="18" t="inlineStr"/>
      <c r="AF243" s="19" t="n"/>
    </row>
    <row r="244">
      <c r="A244" s="20" t="inlineStr">
        <is>
          <t>block</t>
        </is>
      </c>
      <c r="B244" s="14" t="inlineStr">
        <is>
          <t>unique</t>
        </is>
      </c>
      <c r="C244" s="14" t="inlineStr">
        <is>
          <t>date</t>
        </is>
      </c>
      <c r="D244" s="14" t="inlineStr">
        <is>
          <t>value</t>
        </is>
      </c>
      <c r="E244" s="14" t="inlineStr">
        <is>
          <t>unit</t>
        </is>
      </c>
      <c r="F244" s="14" t="inlineStr">
        <is>
          <t>unit_used</t>
        </is>
      </c>
      <c r="G244" s="14" t="inlineStr">
        <is>
          <t>sold</t>
        </is>
      </c>
      <c r="AF244" s="19" t="n"/>
    </row>
    <row r="245">
      <c r="A245" s="20">
        <f>mid(E245, 3, 1)</f>
        <v/>
      </c>
      <c r="B245" s="14">
        <f>_xlfn.UNIQUE(_xlfn.FILTER('Investor Exit List'!$AB:$AB,('Investor Exit List'!$I:$I=FALSE)*('Investor Exit List'!$H:$H=FALSE)*('Investor Exit List'!$U:$U=FALSE)*('Investor Exit List'!$F:$F&lt;&gt;0)))</f>
        <v/>
      </c>
      <c r="C245" s="14">
        <f>SUMIFS('Investor Exit List'!$AC:$AC,'Investor Exit List'!$AB:$AB,B245)</f>
        <v/>
      </c>
      <c r="D245" s="14">
        <f>SUMIFS('Investor Exit List'!$Q:$Q,'Investor Exit List'!$AB:$AB,B245)</f>
        <v/>
      </c>
      <c r="E245" s="14">
        <f>LEFT(B245,6)</f>
        <v/>
      </c>
      <c r="F245" s="14" t="n"/>
      <c r="G245" s="59">
        <f>_xlfn.UNIQUE(_xlfn.FILTER(E243:E593,(F243:F593=0)))</f>
        <v/>
      </c>
      <c r="I245" s="28">
        <f>IF(AND(SUMIFS($D$245:$D$595,$F$245:$F$595,0,$E$245:$E$595,$G245,$C$245:$C$595,"&lt;="&amp;B$2)&lt;1000000,SUMIFS($D$245:$D$595,$F$245:$F$595,0,$E$245:$E$595,$G245,$C$245:$C$595,"&lt;="&amp;I5)&gt;=1000000),SUMIFS($D$245:$D$595,$F$245:$F$595,0,$E$245:$E$595,$G245)*$C$157 ,0)</f>
        <v/>
      </c>
      <c r="K245" s="95">
        <f>IF(AND(SUMIFS($D$245:$D$595,$F$245:$F$595,0,$E$245:$E$595,$G245,$C$245:$C$595,"&lt;="&amp;I$5)&lt;1000000,SUMIFS($D$245:$D$595,$F$245:$F$595,0,$E$245:$E$595,$G245,$C$245:$C$595,"&lt;="&amp;K5)&gt;=1000000),SUMIFS($D$245:$D$595,$F$245:$F$595,0,$E$245:$E$595,$G245)*$C$157 ,0)</f>
        <v/>
      </c>
      <c r="M245" s="95">
        <f>IF(AND(SUMIFS($D$245:$D$595,$F$245:$F$595,0,$E$245:$E$595,$G245,$C$245:$C$595,"&lt;="&amp;K$5)&lt;1000000,SUMIFS($D$245:$D$595,$F$245:$F$595,0,$E$245:$E$595,$G245,$C$245:$C$595,"&lt;="&amp;M5)&gt;=1000000),SUMIFS($D$245:$D$595,$F$245:$F$595,0,$E$245:$E$595,$G245)*$C$157 ,0)</f>
        <v/>
      </c>
      <c r="O245" s="95">
        <f>IF(AND(SUMIFS($D$245:$D$595,$F$245:$F$595,0,$E$245:$E$595,$G245,$C$245:$C$595,"&lt;="&amp;M$5)&lt;1000000,SUMIFS($D$245:$D$595,$F$245:$F$595,0,$E$245:$E$595,$G245,$C$245:$C$595,"&lt;="&amp;O5)&gt;=1000000),SUMIFS($D$245:$D$595,$F$245:$F$595,0,$E$245:$E$595,$G245)*$C$157 ,0)</f>
        <v/>
      </c>
      <c r="Q245" s="95">
        <f>IF(AND(SUMIFS($D$245:$D$595,$F$245:$F$595,0,$E$245:$E$595,$G245,$C$245:$C$595,"&lt;="&amp;O$5)&lt;1000000,SUMIFS($D$245:$D$595,$F$245:$F$595,0,$E$245:$E$595,$G245,$C$245:$C$595,"&lt;="&amp;Q5)&gt;=1000000),SUMIFS($D$245:$D$595,$F$245:$F$595,0,$E$245:$E$595,$G245)*$C$157 ,0)</f>
        <v/>
      </c>
      <c r="S245" s="95">
        <f>IF(AND(SUMIFS($D$245:$D$595,$F$245:$F$595,0,$E$245:$E$595,$G245,$C$245:$C$595,"&lt;="&amp;Q$5)&lt;1000000,SUMIFS($D$245:$D$595,$F$245:$F$595,0,$E$245:$E$595,$G245,$C$245:$C$595,"&lt;="&amp;S5)&gt;=1000000),SUMIFS($D$245:$D$595,$F$245:$F$595,0,$E$245:$E$595,$G245)*$C$157 ,0)</f>
        <v/>
      </c>
      <c r="U245" s="95">
        <f>IF(AND(SUMIFS($D$245:$D$595,$F$245:$F$595,0,$E$245:$E$595,$G245,$C$245:$C$595,"&lt;="&amp;S$5)&lt;1000000,SUMIFS($D$245:$D$595,$F$245:$F$595,0,$E$245:$E$595,$G245,$C$245:$C$595,"&lt;="&amp;U5)&gt;=1000000),SUMIFS($D$245:$D$595,$F$245:$F$595,0,$E$245:$E$595,$G245)*$C$157 ,0)</f>
        <v/>
      </c>
      <c r="W245" s="95">
        <f>IF(AND(SUMIFS($D$245:$D$595,$F$245:$F$595,0,$E$245:$E$595,$G245,$C$245:$C$595,"&lt;="&amp;U$5)&lt;1000000,SUMIFS($D$245:$D$595,$F$245:$F$595,0,$E$245:$E$595,$G245,$C$245:$C$595,"&lt;="&amp;W5)&gt;=1000000),SUMIFS($D$245:$D$595,$F$245:$F$595,0,$E$245:$E$595,$G245)*$C$157 ,0)</f>
        <v/>
      </c>
      <c r="Y245" s="95">
        <f>IF(AND(SUMIFS($D$245:$D$595,$F$245:$F$595,0,$E$245:$E$595,$G245,$C$245:$C$595,"&lt;="&amp;W$5)&lt;1000000,SUMIFS($D$245:$D$595,$F$245:$F$595,0,$E$245:$E$595,$G245,$C$245:$C$595,"&lt;="&amp;Y5)&gt;=1000000),SUMIFS($D$245:$D$595,$F$245:$F$595,0,$E$245:$E$595,$G245)*$C$157 ,0)</f>
        <v/>
      </c>
      <c r="AA245" s="95">
        <f>IF(AND(SUMIFS($D$245:$D$595,$F$245:$F$595,0,$E$245:$E$595,$G245,$C$245:$C$595,"&lt;="&amp;Y$5)&lt;1000000,SUMIFS($D$245:$D$595,$F$245:$F$595,0,$E$245:$E$595,$G245,$C$245:$C$595,"&lt;="&amp;AA5)&gt;=1000000),SUMIFS($D$245:$D$595,$F$245:$F$595,0,$E$245:$E$595,$G245)*$C$157 ,0)</f>
        <v/>
      </c>
      <c r="AC245" s="95">
        <f>IF(AND(SUMIFS($D$245:$D$595,$F$245:$F$595,0,$E$245:$E$595,$G245,$C$245:$C$595,"&lt;="&amp;AA$5)&lt;1000000,SUMIFS($D$245:$D$595,$F$245:$F$595,0,$E$245:$E$595,$G245,$C$245:$C$595,"&lt;="&amp;AC5)&gt;=1000000),SUMIFS($D$245:$D$595,$F$245:$F$595,0,$E$245:$E$595,$G245)*$C$157 ,0)</f>
        <v/>
      </c>
      <c r="AE245" s="95">
        <f>IF(AND(SUMIFS($D$245:$D$595,$F$245:$F$595,0,$E$245:$E$595,$G245,$C$245:$C$595,"&lt;="&amp;AC$5)&lt;1000000,SUMIFS($D$245:$D$595,$F$245:$F$595,0,$E$245:$E$595,$G245,$C$245:$C$595,"&lt;="&amp;AE5)&gt;=1000000),SUMIFS($D$245:$D$595,$F$245:$F$595,0,$E$245:$E$595,$G245)*$C$157 ,0)</f>
        <v/>
      </c>
      <c r="AF245" s="19" t="n"/>
    </row>
    <row r="246">
      <c r="A246" s="20">
        <f>mid(E246, 3, 1)</f>
        <v/>
      </c>
      <c r="B246" s="14" t="inlineStr"/>
      <c r="C246" s="21">
        <f>SUMIFS('Investor Exit List'!$AC:$AC,'Investor Exit List'!$AB:$AB,B246)</f>
        <v/>
      </c>
      <c r="D246" s="14">
        <f>SUMIFS('Investor Exit List'!$Q:$Q,'Investor Exit List'!$AB:$AB,B246)</f>
        <v/>
      </c>
      <c r="E246" s="31">
        <f>LEFT(B246,6)</f>
        <v/>
      </c>
      <c r="F246" s="14">
        <f>IF(SUMIFS($E$119:$E$151,$D$119:$D$151,E246)&lt;&gt;0,E246,0)</f>
        <v/>
      </c>
      <c r="G246" s="59" t="n"/>
      <c r="I246" s="28">
        <f>IF(AND(SUMIFS($D$245:$D$595,$F$245:$F$595,0,$E$245:$E$595,$G246,$C$245:$C$595,"&lt;="&amp;B$2)&lt;1000000,SUMIFS($D$245:$D$595,$F$245:$F$595,0,$E$245:$E$595,$G246,$C$245:$C$595,"&lt;="&amp;I5)&gt;=1000000),SUMIFS($D$245:$D$595,$F$245:$F$595,0,$E$245:$E$595,$G246)*$C$157 ,0)</f>
        <v/>
      </c>
      <c r="K246" s="95">
        <f>IF(AND(SUMIFS($D$245:$D$595,$F$245:$F$595,0,$E$245:$E$595,$G246,$C$245:$C$595,"&lt;="&amp;I$5)&lt;1000000,SUMIFS($D$245:$D$595,$F$245:$F$595,0,$E$245:$E$595,$G246,$C$245:$C$595,"&lt;="&amp;K5)&gt;=1000000),SUMIFS($D$245:$D$595,$F$245:$F$595,0,$E$245:$E$595,$G246)*$C$157 ,0)</f>
        <v/>
      </c>
      <c r="M246" s="95">
        <f>IF(AND(SUMIFS($D$245:$D$595,$F$245:$F$595,0,$E$245:$E$595,$G246,$C$245:$C$595,"&lt;="&amp;K$5)&lt;1000000,SUMIFS($D$245:$D$595,$F$245:$F$595,0,$E$245:$E$595,$G246,$C$245:$C$595,"&lt;="&amp;M5)&gt;=1000000),SUMIFS($D$245:$D$595,$F$245:$F$595,0,$E$245:$E$595,$G246)*$C$157 ,0)</f>
        <v/>
      </c>
      <c r="O246" s="95">
        <f>IF(AND(SUMIFS($D$245:$D$595,$F$245:$F$595,0,$E$245:$E$595,$G246,$C$245:$C$595,"&lt;="&amp;M$5)&lt;1000000,SUMIFS($D$245:$D$595,$F$245:$F$595,0,$E$245:$E$595,$G246,$C$245:$C$595,"&lt;="&amp;O5)&gt;=1000000),SUMIFS($D$245:$D$595,$F$245:$F$595,0,$E$245:$E$595,$G246)*$C$157 ,0)</f>
        <v/>
      </c>
      <c r="Q246" s="95">
        <f>IF(AND(SUMIFS($D$245:$D$595,$F$245:$F$595,0,$E$245:$E$595,$G246,$C$245:$C$595,"&lt;="&amp;O$5)&lt;1000000,SUMIFS($D$245:$D$595,$F$245:$F$595,0,$E$245:$E$595,$G246,$C$245:$C$595,"&lt;="&amp;Q5)&gt;=1000000),SUMIFS($D$245:$D$595,$F$245:$F$595,0,$E$245:$E$595,$G246)*$C$157 ,0)</f>
        <v/>
      </c>
      <c r="S246" s="95">
        <f>IF(AND(SUMIFS($D$245:$D$595,$F$245:$F$595,0,$E$245:$E$595,$G246,$C$245:$C$595,"&lt;="&amp;Q$5)&lt;1000000,SUMIFS($D$245:$D$595,$F$245:$F$595,0,$E$245:$E$595,$G246,$C$245:$C$595,"&lt;="&amp;S5)&gt;=1000000),SUMIFS($D$245:$D$595,$F$245:$F$595,0,$E$245:$E$595,$G246)*$C$157 ,0)</f>
        <v/>
      </c>
      <c r="U246" s="95">
        <f>IF(AND(SUMIFS($D$245:$D$595,$F$245:$F$595,0,$E$245:$E$595,$G246,$C$245:$C$595,"&lt;="&amp;S$5)&lt;1000000,SUMIFS($D$245:$D$595,$F$245:$F$595,0,$E$245:$E$595,$G246,$C$245:$C$595,"&lt;="&amp;U5)&gt;=1000000),SUMIFS($D$245:$D$595,$F$245:$F$595,0,$E$245:$E$595,$G246)*$C$157 ,0)</f>
        <v/>
      </c>
      <c r="W246" s="95">
        <f>IF(AND(SUMIFS($D$245:$D$595,$F$245:$F$595,0,$E$245:$E$595,$G246,$C$245:$C$595,"&lt;="&amp;U$5)&lt;1000000,SUMIFS($D$245:$D$595,$F$245:$F$595,0,$E$245:$E$595,$G246,$C$245:$C$595,"&lt;="&amp;W5)&gt;=1000000),SUMIFS($D$245:$D$595,$F$245:$F$595,0,$E$245:$E$595,$G246)*$C$157 ,0)</f>
        <v/>
      </c>
      <c r="Y246" s="95">
        <f>IF(AND(SUMIFS($D$245:$D$595,$F$245:$F$595,0,$E$245:$E$595,$G246,$C$245:$C$595,"&lt;="&amp;W$5)&lt;1000000,SUMIFS($D$245:$D$595,$F$245:$F$595,0,$E$245:$E$595,$G246,$C$245:$C$595,"&lt;="&amp;Y5)&gt;=1000000),SUMIFS($D$245:$D$595,$F$245:$F$595,0,$E$245:$E$595,$G246)*$C$157 ,0)</f>
        <v/>
      </c>
      <c r="AA246" s="95">
        <f>IF(AND(SUMIFS($D$245:$D$595,$F$245:$F$595,0,$E$245:$E$595,$G246,$C$245:$C$595,"&lt;="&amp;Y$5)&lt;1000000,SUMIFS($D$245:$D$595,$F$245:$F$595,0,$E$245:$E$595,$G246,$C$245:$C$595,"&lt;="&amp;AA5)&gt;=1000000),SUMIFS($D$245:$D$595,$F$245:$F$595,0,$E$245:$E$595,$G246)*$C$157 ,0)</f>
        <v/>
      </c>
      <c r="AC246" s="95">
        <f>IF(AND(SUMIFS($D$245:$D$595,$F$245:$F$595,0,$E$245:$E$595,$G246,$C$245:$C$595,"&lt;="&amp;AA$5)&lt;1000000,SUMIFS($D$245:$D$595,$F$245:$F$595,0,$E$245:$E$595,$G246,$C$245:$C$595,"&lt;="&amp;AC5)&gt;=1000000),SUMIFS($D$245:$D$595,$F$245:$F$595,0,$E$245:$E$595,$G246)*$C$157 ,0)</f>
        <v/>
      </c>
      <c r="AE246" s="95">
        <f>IF(AND(SUMIFS($D$245:$D$595,$F$245:$F$595,0,$E$245:$E$595,$G246,$C$245:$C$595,"&lt;="&amp;AC$5)&lt;1000000,SUMIFS($D$245:$D$595,$F$245:$F$595,0,$E$245:$E$595,$G246,$C$245:$C$595,"&lt;="&amp;AE5)&gt;=1000000),SUMIFS($D$245:$D$595,$F$245:$F$595,0,$E$245:$E$595,$G246)*$C$157 ,0)</f>
        <v/>
      </c>
      <c r="AF246" s="19" t="n"/>
    </row>
    <row r="247">
      <c r="A247" s="20">
        <f>mid(E247, 3, 1)</f>
        <v/>
      </c>
      <c r="B247" s="14" t="inlineStr"/>
      <c r="C247" s="21">
        <f>SUMIFS('Investor Exit List'!$AC:$AC,'Investor Exit List'!$AB:$AB,B247)</f>
        <v/>
      </c>
      <c r="D247" s="14">
        <f>SUMIFS('Investor Exit List'!$Q:$Q,'Investor Exit List'!$AB:$AB,B247)</f>
        <v/>
      </c>
      <c r="E247" s="31">
        <f>LEFT(B247,6)</f>
        <v/>
      </c>
      <c r="F247" s="14">
        <f>IF(SUMIFS($E$119:$E$151,$D$119:$D$151,E247)&lt;&gt;0,E247,0)</f>
        <v/>
      </c>
      <c r="G247" s="59" t="n"/>
      <c r="I247" s="28">
        <f>IF(AND(SUMIFS($D$245:$D$595,$F$245:$F$595,0,$E$245:$E$595,$G247,$C$245:$C$595,"&lt;="&amp;B$2)&lt;1000000,SUMIFS($D$245:$D$595,$F$245:$F$595,0,$E$245:$E$595,$G247,$C$245:$C$595,"&lt;="&amp;I5)&gt;=1000000),SUMIFS($D$245:$D$595,$F$245:$F$595,0,$E$245:$E$595,$G247)*$C$157 ,0)</f>
        <v/>
      </c>
      <c r="K247" s="95">
        <f>IF(AND(SUMIFS($D$245:$D$595,$F$245:$F$595,0,$E$245:$E$595,$G247,$C$245:$C$595,"&lt;="&amp;I$5)&lt;1000000,SUMIFS($D$245:$D$595,$F$245:$F$595,0,$E$245:$E$595,$G247,$C$245:$C$595,"&lt;="&amp;K5)&gt;=1000000),SUMIFS($D$245:$D$595,$F$245:$F$595,0,$E$245:$E$595,$G247)*$C$157 ,0)</f>
        <v/>
      </c>
      <c r="M247" s="95">
        <f>IF(AND(SUMIFS($D$245:$D$595,$F$245:$F$595,0,$E$245:$E$595,$G247,$C$245:$C$595,"&lt;="&amp;K$5)&lt;1000000,SUMIFS($D$245:$D$595,$F$245:$F$595,0,$E$245:$E$595,$G247,$C$245:$C$595,"&lt;="&amp;M5)&gt;=1000000),SUMIFS($D$245:$D$595,$F$245:$F$595,0,$E$245:$E$595,$G247)*$C$157 ,0)</f>
        <v/>
      </c>
      <c r="O247" s="95">
        <f>IF(AND(SUMIFS($D$245:$D$595,$F$245:$F$595,0,$E$245:$E$595,$G247,$C$245:$C$595,"&lt;="&amp;M$5)&lt;1000000,SUMIFS($D$245:$D$595,$F$245:$F$595,0,$E$245:$E$595,$G247,$C$245:$C$595,"&lt;="&amp;O5)&gt;=1000000),SUMIFS($D$245:$D$595,$F$245:$F$595,0,$E$245:$E$595,$G247)*$C$157 ,0)</f>
        <v/>
      </c>
      <c r="Q247" s="95">
        <f>IF(AND(SUMIFS($D$245:$D$595,$F$245:$F$595,0,$E$245:$E$595,$G247,$C$245:$C$595,"&lt;="&amp;O$5)&lt;1000000,SUMIFS($D$245:$D$595,$F$245:$F$595,0,$E$245:$E$595,$G247,$C$245:$C$595,"&lt;="&amp;Q5)&gt;=1000000),SUMIFS($D$245:$D$595,$F$245:$F$595,0,$E$245:$E$595,$G247)*$C$157 ,0)</f>
        <v/>
      </c>
      <c r="S247" s="95">
        <f>IF(AND(SUMIFS($D$245:$D$595,$F$245:$F$595,0,$E$245:$E$595,$G247,$C$245:$C$595,"&lt;="&amp;Q$5)&lt;1000000,SUMIFS($D$245:$D$595,$F$245:$F$595,0,$E$245:$E$595,$G247,$C$245:$C$595,"&lt;="&amp;S5)&gt;=1000000),SUMIFS($D$245:$D$595,$F$245:$F$595,0,$E$245:$E$595,$G247)*$C$157 ,0)</f>
        <v/>
      </c>
      <c r="U247" s="95">
        <f>IF(AND(SUMIFS($D$245:$D$595,$F$245:$F$595,0,$E$245:$E$595,$G247,$C$245:$C$595,"&lt;="&amp;S$5)&lt;1000000,SUMIFS($D$245:$D$595,$F$245:$F$595,0,$E$245:$E$595,$G247,$C$245:$C$595,"&lt;="&amp;U5)&gt;=1000000),SUMIFS($D$245:$D$595,$F$245:$F$595,0,$E$245:$E$595,$G247)*$C$157 ,0)</f>
        <v/>
      </c>
      <c r="W247" s="95">
        <f>IF(AND(SUMIFS($D$245:$D$595,$F$245:$F$595,0,$E$245:$E$595,$G247,$C$245:$C$595,"&lt;="&amp;U$5)&lt;1000000,SUMIFS($D$245:$D$595,$F$245:$F$595,0,$E$245:$E$595,$G247,$C$245:$C$595,"&lt;="&amp;W5)&gt;=1000000),SUMIFS($D$245:$D$595,$F$245:$F$595,0,$E$245:$E$595,$G247)*$C$157 ,0)</f>
        <v/>
      </c>
      <c r="Y247" s="95">
        <f>IF(AND(SUMIFS($D$245:$D$595,$F$245:$F$595,0,$E$245:$E$595,$G247,$C$245:$C$595,"&lt;="&amp;W$5)&lt;1000000,SUMIFS($D$245:$D$595,$F$245:$F$595,0,$E$245:$E$595,$G247,$C$245:$C$595,"&lt;="&amp;Y5)&gt;=1000000),SUMIFS($D$245:$D$595,$F$245:$F$595,0,$E$245:$E$595,$G247)*$C$157 ,0)</f>
        <v/>
      </c>
      <c r="AA247" s="95">
        <f>IF(AND(SUMIFS($D$245:$D$595,$F$245:$F$595,0,$E$245:$E$595,$G247,$C$245:$C$595,"&lt;="&amp;Y$5)&lt;1000000,SUMIFS($D$245:$D$595,$F$245:$F$595,0,$E$245:$E$595,$G247,$C$245:$C$595,"&lt;="&amp;AA5)&gt;=1000000),SUMIFS($D$245:$D$595,$F$245:$F$595,0,$E$245:$E$595,$G247)*$C$157 ,0)</f>
        <v/>
      </c>
      <c r="AC247" s="95">
        <f>IF(AND(SUMIFS($D$245:$D$595,$F$245:$F$595,0,$E$245:$E$595,$G247,$C$245:$C$595,"&lt;="&amp;AA$5)&lt;1000000,SUMIFS($D$245:$D$595,$F$245:$F$595,0,$E$245:$E$595,$G247,$C$245:$C$595,"&lt;="&amp;AC5)&gt;=1000000),SUMIFS($D$245:$D$595,$F$245:$F$595,0,$E$245:$E$595,$G247)*$C$157 ,0)</f>
        <v/>
      </c>
      <c r="AE247" s="95">
        <f>IF(AND(SUMIFS($D$245:$D$595,$F$245:$F$595,0,$E$245:$E$595,$G247,$C$245:$C$595,"&lt;="&amp;AC$5)&lt;1000000,SUMIFS($D$245:$D$595,$F$245:$F$595,0,$E$245:$E$595,$G247,$C$245:$C$595,"&lt;="&amp;AE5)&gt;=1000000),SUMIFS($D$245:$D$595,$F$245:$F$595,0,$E$245:$E$595,$G247)*$C$157 ,0)</f>
        <v/>
      </c>
      <c r="AF247" s="19" t="n"/>
    </row>
    <row r="248">
      <c r="A248" s="20">
        <f>mid(E248, 3, 1)</f>
        <v/>
      </c>
      <c r="B248" s="14" t="inlineStr"/>
      <c r="C248" s="21">
        <f>SUMIFS('Investor Exit List'!$AC:$AC,'Investor Exit List'!$AB:$AB,B248)</f>
        <v/>
      </c>
      <c r="D248" s="14">
        <f>SUMIFS('Investor Exit List'!$Q:$Q,'Investor Exit List'!$AB:$AB,B248)</f>
        <v/>
      </c>
      <c r="E248" s="31">
        <f>LEFT(B248,6)</f>
        <v/>
      </c>
      <c r="F248" s="14">
        <f>IF(SUMIFS($E$119:$E$151,$D$119:$D$151,E248)&lt;&gt;0,E248,0)</f>
        <v/>
      </c>
      <c r="G248" s="59" t="n"/>
      <c r="I248" s="28">
        <f>IF(AND(SUMIFS($D$245:$D$595,$F$245:$F$595,0,$E$245:$E$595,$G248,$C$245:$C$595,"&lt;="&amp;B$2)&lt;1000000,SUMIFS($D$245:$D$595,$F$245:$F$595,0,$E$245:$E$595,$G248,$C$245:$C$595,"&lt;="&amp;I5)&gt;=1000000),SUMIFS($D$245:$D$595,$F$245:$F$595,0,$E$245:$E$595,$G248)*$C$157 ,0)</f>
        <v/>
      </c>
      <c r="K248" s="95">
        <f>IF(AND(SUMIFS($D$245:$D$595,$F$245:$F$595,0,$E$245:$E$595,$G248,$C$245:$C$595,"&lt;="&amp;I$5)&lt;1000000,SUMIFS($D$245:$D$595,$F$245:$F$595,0,$E$245:$E$595,$G248,$C$245:$C$595,"&lt;="&amp;K5)&gt;=1000000),SUMIFS($D$245:$D$595,$F$245:$F$595,0,$E$245:$E$595,$G248)*$C$157 ,0)</f>
        <v/>
      </c>
      <c r="M248" s="95">
        <f>IF(AND(SUMIFS($D$245:$D$595,$F$245:$F$595,0,$E$245:$E$595,$G248,$C$245:$C$595,"&lt;="&amp;K$5)&lt;1000000,SUMIFS($D$245:$D$595,$F$245:$F$595,0,$E$245:$E$595,$G248,$C$245:$C$595,"&lt;="&amp;M5)&gt;=1000000),SUMIFS($D$245:$D$595,$F$245:$F$595,0,$E$245:$E$595,$G248)*$C$157 ,0)</f>
        <v/>
      </c>
      <c r="O248" s="95">
        <f>IF(AND(SUMIFS($D$245:$D$595,$F$245:$F$595,0,$E$245:$E$595,$G248,$C$245:$C$595,"&lt;="&amp;M$5)&lt;1000000,SUMIFS($D$245:$D$595,$F$245:$F$595,0,$E$245:$E$595,$G248,$C$245:$C$595,"&lt;="&amp;O5)&gt;=1000000),SUMIFS($D$245:$D$595,$F$245:$F$595,0,$E$245:$E$595,$G248)*$C$157 ,0)</f>
        <v/>
      </c>
      <c r="Q248" s="95">
        <f>IF(AND(SUMIFS($D$245:$D$595,$F$245:$F$595,0,$E$245:$E$595,$G248,$C$245:$C$595,"&lt;="&amp;O$5)&lt;1000000,SUMIFS($D$245:$D$595,$F$245:$F$595,0,$E$245:$E$595,$G248,$C$245:$C$595,"&lt;="&amp;Q5)&gt;=1000000),SUMIFS($D$245:$D$595,$F$245:$F$595,0,$E$245:$E$595,$G248)*$C$157 ,0)</f>
        <v/>
      </c>
      <c r="S248" s="95">
        <f>IF(AND(SUMIFS($D$245:$D$595,$F$245:$F$595,0,$E$245:$E$595,$G248,$C$245:$C$595,"&lt;="&amp;Q$5)&lt;1000000,SUMIFS($D$245:$D$595,$F$245:$F$595,0,$E$245:$E$595,$G248,$C$245:$C$595,"&lt;="&amp;S5)&gt;=1000000),SUMIFS($D$245:$D$595,$F$245:$F$595,0,$E$245:$E$595,$G248)*$C$157 ,0)</f>
        <v/>
      </c>
      <c r="U248" s="95">
        <f>IF(AND(SUMIFS($D$245:$D$595,$F$245:$F$595,0,$E$245:$E$595,$G248,$C$245:$C$595,"&lt;="&amp;S$5)&lt;1000000,SUMIFS($D$245:$D$595,$F$245:$F$595,0,$E$245:$E$595,$G248,$C$245:$C$595,"&lt;="&amp;U5)&gt;=1000000),SUMIFS($D$245:$D$595,$F$245:$F$595,0,$E$245:$E$595,$G248)*$C$157 ,0)</f>
        <v/>
      </c>
      <c r="W248" s="95">
        <f>IF(AND(SUMIFS($D$245:$D$595,$F$245:$F$595,0,$E$245:$E$595,$G248,$C$245:$C$595,"&lt;="&amp;U$5)&lt;1000000,SUMIFS($D$245:$D$595,$F$245:$F$595,0,$E$245:$E$595,$G248,$C$245:$C$595,"&lt;="&amp;W5)&gt;=1000000),SUMIFS($D$245:$D$595,$F$245:$F$595,0,$E$245:$E$595,$G248)*$C$157 ,0)</f>
        <v/>
      </c>
      <c r="Y248" s="95">
        <f>IF(AND(SUMIFS($D$245:$D$595,$F$245:$F$595,0,$E$245:$E$595,$G248,$C$245:$C$595,"&lt;="&amp;W$5)&lt;1000000,SUMIFS($D$245:$D$595,$F$245:$F$595,0,$E$245:$E$595,$G248,$C$245:$C$595,"&lt;="&amp;Y5)&gt;=1000000),SUMIFS($D$245:$D$595,$F$245:$F$595,0,$E$245:$E$595,$G248)*$C$157 ,0)</f>
        <v/>
      </c>
      <c r="AA248" s="95">
        <f>IF(AND(SUMIFS($D$245:$D$595,$F$245:$F$595,0,$E$245:$E$595,$G248,$C$245:$C$595,"&lt;="&amp;Y$5)&lt;1000000,SUMIFS($D$245:$D$595,$F$245:$F$595,0,$E$245:$E$595,$G248,$C$245:$C$595,"&lt;="&amp;AA5)&gt;=1000000),SUMIFS($D$245:$D$595,$F$245:$F$595,0,$E$245:$E$595,$G248)*$C$157 ,0)</f>
        <v/>
      </c>
      <c r="AC248" s="95">
        <f>IF(AND(SUMIFS($D$245:$D$595,$F$245:$F$595,0,$E$245:$E$595,$G248,$C$245:$C$595,"&lt;="&amp;AA$5)&lt;1000000,SUMIFS($D$245:$D$595,$F$245:$F$595,0,$E$245:$E$595,$G248,$C$245:$C$595,"&lt;="&amp;AC5)&gt;=1000000),SUMIFS($D$245:$D$595,$F$245:$F$595,0,$E$245:$E$595,$G248)*$C$157 ,0)</f>
        <v/>
      </c>
      <c r="AE248" s="95">
        <f>IF(AND(SUMIFS($D$245:$D$595,$F$245:$F$595,0,$E$245:$E$595,$G248,$C$245:$C$595,"&lt;="&amp;AC$5)&lt;1000000,SUMIFS($D$245:$D$595,$F$245:$F$595,0,$E$245:$E$595,$G248,$C$245:$C$595,"&lt;="&amp;AE5)&gt;=1000000),SUMIFS($D$245:$D$595,$F$245:$F$595,0,$E$245:$E$595,$G248)*$C$157 ,0)</f>
        <v/>
      </c>
      <c r="AF248" s="19" t="n"/>
    </row>
    <row r="249">
      <c r="A249" s="20">
        <f>mid(E249, 3, 1)</f>
        <v/>
      </c>
      <c r="B249" s="14" t="inlineStr"/>
      <c r="C249" s="21">
        <f>SUMIFS('Investor Exit List'!$AC:$AC,'Investor Exit List'!$AB:$AB,B249)</f>
        <v/>
      </c>
      <c r="D249" s="14">
        <f>SUMIFS('Investor Exit List'!$Q:$Q,'Investor Exit List'!$AB:$AB,B249)</f>
        <v/>
      </c>
      <c r="E249" s="31">
        <f>LEFT(B249,6)</f>
        <v/>
      </c>
      <c r="F249" s="14">
        <f>IF(SUMIFS($E$119:$E$151,$D$119:$D$151,E249)&lt;&gt;0,E249,0)</f>
        <v/>
      </c>
      <c r="G249" s="59" t="n"/>
      <c r="I249" s="28">
        <f>IF(AND(SUMIFS($D$245:$D$595,$F$245:$F$595,0,$E$245:$E$595,$G249,$C$245:$C$595,"&lt;="&amp;B$2)&lt;1000000,SUMIFS($D$245:$D$595,$F$245:$F$595,0,$E$245:$E$595,$G249,$C$245:$C$595,"&lt;="&amp;I5)&gt;=1000000),SUMIFS($D$245:$D$595,$F$245:$F$595,0,$E$245:$E$595,$G249)*$C$157 ,0)</f>
        <v/>
      </c>
      <c r="K249" s="95">
        <f>IF(AND(SUMIFS($D$245:$D$595,$F$245:$F$595,0,$E$245:$E$595,$G249,$C$245:$C$595,"&lt;="&amp;I$5)&lt;1000000,SUMIFS($D$245:$D$595,$F$245:$F$595,0,$E$245:$E$595,$G249,$C$245:$C$595,"&lt;="&amp;K5)&gt;=1000000),SUMIFS($D$245:$D$595,$F$245:$F$595,0,$E$245:$E$595,$G249)*$C$157 ,0)</f>
        <v/>
      </c>
      <c r="M249" s="95">
        <f>IF(AND(SUMIFS($D$245:$D$595,$F$245:$F$595,0,$E$245:$E$595,$G249,$C$245:$C$595,"&lt;="&amp;K$5)&lt;1000000,SUMIFS($D$245:$D$595,$F$245:$F$595,0,$E$245:$E$595,$G249,$C$245:$C$595,"&lt;="&amp;M5)&gt;=1000000),SUMIFS($D$245:$D$595,$F$245:$F$595,0,$E$245:$E$595,$G249)*$C$157 ,0)</f>
        <v/>
      </c>
      <c r="O249" s="95">
        <f>IF(AND(SUMIFS($D$245:$D$595,$F$245:$F$595,0,$E$245:$E$595,$G249,$C$245:$C$595,"&lt;="&amp;M$5)&lt;1000000,SUMIFS($D$245:$D$595,$F$245:$F$595,0,$E$245:$E$595,$G249,$C$245:$C$595,"&lt;="&amp;O5)&gt;=1000000),SUMIFS($D$245:$D$595,$F$245:$F$595,0,$E$245:$E$595,$G249)*$C$157 ,0)</f>
        <v/>
      </c>
      <c r="Q249" s="95">
        <f>IF(AND(SUMIFS($D$245:$D$595,$F$245:$F$595,0,$E$245:$E$595,$G249,$C$245:$C$595,"&lt;="&amp;O$5)&lt;1000000,SUMIFS($D$245:$D$595,$F$245:$F$595,0,$E$245:$E$595,$G249,$C$245:$C$595,"&lt;="&amp;Q5)&gt;=1000000),SUMIFS($D$245:$D$595,$F$245:$F$595,0,$E$245:$E$595,$G249)*$C$157 ,0)</f>
        <v/>
      </c>
      <c r="S249" s="95">
        <f>IF(AND(SUMIFS($D$245:$D$595,$F$245:$F$595,0,$E$245:$E$595,$G249,$C$245:$C$595,"&lt;="&amp;Q$5)&lt;1000000,SUMIFS($D$245:$D$595,$F$245:$F$595,0,$E$245:$E$595,$G249,$C$245:$C$595,"&lt;="&amp;S5)&gt;=1000000),SUMIFS($D$245:$D$595,$F$245:$F$595,0,$E$245:$E$595,$G249)*$C$157 ,0)</f>
        <v/>
      </c>
      <c r="U249" s="95">
        <f>IF(AND(SUMIFS($D$245:$D$595,$F$245:$F$595,0,$E$245:$E$595,$G249,$C$245:$C$595,"&lt;="&amp;S$5)&lt;1000000,SUMIFS($D$245:$D$595,$F$245:$F$595,0,$E$245:$E$595,$G249,$C$245:$C$595,"&lt;="&amp;U5)&gt;=1000000),SUMIFS($D$245:$D$595,$F$245:$F$595,0,$E$245:$E$595,$G249)*$C$157 ,0)</f>
        <v/>
      </c>
      <c r="W249" s="95">
        <f>IF(AND(SUMIFS($D$245:$D$595,$F$245:$F$595,0,$E$245:$E$595,$G249,$C$245:$C$595,"&lt;="&amp;U$5)&lt;1000000,SUMIFS($D$245:$D$595,$F$245:$F$595,0,$E$245:$E$595,$G249,$C$245:$C$595,"&lt;="&amp;W5)&gt;=1000000),SUMIFS($D$245:$D$595,$F$245:$F$595,0,$E$245:$E$595,$G249)*$C$157 ,0)</f>
        <v/>
      </c>
      <c r="Y249" s="95">
        <f>IF(AND(SUMIFS($D$245:$D$595,$F$245:$F$595,0,$E$245:$E$595,$G249,$C$245:$C$595,"&lt;="&amp;W$5)&lt;1000000,SUMIFS($D$245:$D$595,$F$245:$F$595,0,$E$245:$E$595,$G249,$C$245:$C$595,"&lt;="&amp;Y5)&gt;=1000000),SUMIFS($D$245:$D$595,$F$245:$F$595,0,$E$245:$E$595,$G249)*$C$157 ,0)</f>
        <v/>
      </c>
      <c r="AA249" s="95">
        <f>IF(AND(SUMIFS($D$245:$D$595,$F$245:$F$595,0,$E$245:$E$595,$G249,$C$245:$C$595,"&lt;="&amp;Y$5)&lt;1000000,SUMIFS($D$245:$D$595,$F$245:$F$595,0,$E$245:$E$595,$G249,$C$245:$C$595,"&lt;="&amp;AA5)&gt;=1000000),SUMIFS($D$245:$D$595,$F$245:$F$595,0,$E$245:$E$595,$G249)*$C$157 ,0)</f>
        <v/>
      </c>
      <c r="AC249" s="95">
        <f>IF(AND(SUMIFS($D$245:$D$595,$F$245:$F$595,0,$E$245:$E$595,$G249,$C$245:$C$595,"&lt;="&amp;AA$5)&lt;1000000,SUMIFS($D$245:$D$595,$F$245:$F$595,0,$E$245:$E$595,$G249,$C$245:$C$595,"&lt;="&amp;AC5)&gt;=1000000),SUMIFS($D$245:$D$595,$F$245:$F$595,0,$E$245:$E$595,$G249)*$C$157 ,0)</f>
        <v/>
      </c>
      <c r="AE249" s="95">
        <f>IF(AND(SUMIFS($D$245:$D$595,$F$245:$F$595,0,$E$245:$E$595,$G249,$C$245:$C$595,"&lt;="&amp;AC$5)&lt;1000000,SUMIFS($D$245:$D$595,$F$245:$F$595,0,$E$245:$E$595,$G249,$C$245:$C$595,"&lt;="&amp;AE5)&gt;=1000000),SUMIFS($D$245:$D$595,$F$245:$F$595,0,$E$245:$E$595,$G249)*$C$157 ,0)</f>
        <v/>
      </c>
      <c r="AF249" s="19" t="n"/>
    </row>
    <row r="250">
      <c r="A250" s="20">
        <f>mid(E250, 3, 1)</f>
        <v/>
      </c>
      <c r="B250" s="14" t="inlineStr"/>
      <c r="C250" s="21">
        <f>SUMIFS('Investor Exit List'!$AC:$AC,'Investor Exit List'!$AB:$AB,B250)</f>
        <v/>
      </c>
      <c r="D250" s="14">
        <f>SUMIFS('Investor Exit List'!$Q:$Q,'Investor Exit List'!$AB:$AB,B250)</f>
        <v/>
      </c>
      <c r="E250" s="31">
        <f>LEFT(B250,6)</f>
        <v/>
      </c>
      <c r="F250" s="14">
        <f>IF(SUMIFS($E$119:$E$151,$D$119:$D$151,E250)&lt;&gt;0,E250,0)</f>
        <v/>
      </c>
      <c r="G250" s="59" t="n"/>
      <c r="I250" s="28">
        <f>IF(AND(SUMIFS($D$245:$D$595,$F$245:$F$595,0,$E$245:$E$595,$G250,$C$245:$C$595,"&lt;="&amp;B$2)&lt;1000000,SUMIFS($D$245:$D$595,$F$245:$F$595,0,$E$245:$E$595,$G250,$C$245:$C$595,"&lt;="&amp;I5)&gt;=1000000),SUMIFS($D$245:$D$595,$F$245:$F$595,0,$E$245:$E$595,$G250)*$C$157 ,0)</f>
        <v/>
      </c>
      <c r="K250" s="95">
        <f>IF(AND(SUMIFS($D$245:$D$595,$F$245:$F$595,0,$E$245:$E$595,$G250,$C$245:$C$595,"&lt;="&amp;I$5)&lt;1000000,SUMIFS($D$245:$D$595,$F$245:$F$595,0,$E$245:$E$595,$G250,$C$245:$C$595,"&lt;="&amp;K5)&gt;=1000000),SUMIFS($D$245:$D$595,$F$245:$F$595,0,$E$245:$E$595,$G250)*$C$157 ,0)</f>
        <v/>
      </c>
      <c r="M250" s="95">
        <f>IF(AND(SUMIFS($D$245:$D$595,$F$245:$F$595,0,$E$245:$E$595,$G250,$C$245:$C$595,"&lt;="&amp;K$5)&lt;1000000,SUMIFS($D$245:$D$595,$F$245:$F$595,0,$E$245:$E$595,$G250,$C$245:$C$595,"&lt;="&amp;M5)&gt;=1000000),SUMIFS($D$245:$D$595,$F$245:$F$595,0,$E$245:$E$595,$G250)*$C$157 ,0)</f>
        <v/>
      </c>
      <c r="O250" s="95">
        <f>IF(AND(SUMIFS($D$245:$D$595,$F$245:$F$595,0,$E$245:$E$595,$G250,$C$245:$C$595,"&lt;="&amp;M$5)&lt;1000000,SUMIFS($D$245:$D$595,$F$245:$F$595,0,$E$245:$E$595,$G250,$C$245:$C$595,"&lt;="&amp;O5)&gt;=1000000),SUMIFS($D$245:$D$595,$F$245:$F$595,0,$E$245:$E$595,$G250)*$C$157 ,0)</f>
        <v/>
      </c>
      <c r="Q250" s="95">
        <f>IF(AND(SUMIFS($D$245:$D$595,$F$245:$F$595,0,$E$245:$E$595,$G250,$C$245:$C$595,"&lt;="&amp;O$5)&lt;1000000,SUMIFS($D$245:$D$595,$F$245:$F$595,0,$E$245:$E$595,$G250,$C$245:$C$595,"&lt;="&amp;Q5)&gt;=1000000),SUMIFS($D$245:$D$595,$F$245:$F$595,0,$E$245:$E$595,$G250)*$C$157 ,0)</f>
        <v/>
      </c>
      <c r="S250" s="95">
        <f>IF(AND(SUMIFS($D$245:$D$595,$F$245:$F$595,0,$E$245:$E$595,$G250,$C$245:$C$595,"&lt;="&amp;Q$5)&lt;1000000,SUMIFS($D$245:$D$595,$F$245:$F$595,0,$E$245:$E$595,$G250,$C$245:$C$595,"&lt;="&amp;S5)&gt;=1000000),SUMIFS($D$245:$D$595,$F$245:$F$595,0,$E$245:$E$595,$G250)*$C$157 ,0)</f>
        <v/>
      </c>
      <c r="U250" s="95">
        <f>IF(AND(SUMIFS($D$245:$D$595,$F$245:$F$595,0,$E$245:$E$595,$G250,$C$245:$C$595,"&lt;="&amp;S$5)&lt;1000000,SUMIFS($D$245:$D$595,$F$245:$F$595,0,$E$245:$E$595,$G250,$C$245:$C$595,"&lt;="&amp;U5)&gt;=1000000),SUMIFS($D$245:$D$595,$F$245:$F$595,0,$E$245:$E$595,$G250)*$C$157 ,0)</f>
        <v/>
      </c>
      <c r="W250" s="95">
        <f>IF(AND(SUMIFS($D$245:$D$595,$F$245:$F$595,0,$E$245:$E$595,$G250,$C$245:$C$595,"&lt;="&amp;U$5)&lt;1000000,SUMIFS($D$245:$D$595,$F$245:$F$595,0,$E$245:$E$595,$G250,$C$245:$C$595,"&lt;="&amp;W5)&gt;=1000000),SUMIFS($D$245:$D$595,$F$245:$F$595,0,$E$245:$E$595,$G250)*$C$157 ,0)</f>
        <v/>
      </c>
      <c r="Y250" s="95">
        <f>IF(AND(SUMIFS($D$245:$D$595,$F$245:$F$595,0,$E$245:$E$595,$G250,$C$245:$C$595,"&lt;="&amp;W$5)&lt;1000000,SUMIFS($D$245:$D$595,$F$245:$F$595,0,$E$245:$E$595,$G250,$C$245:$C$595,"&lt;="&amp;Y5)&gt;=1000000),SUMIFS($D$245:$D$595,$F$245:$F$595,0,$E$245:$E$595,$G250)*$C$157 ,0)</f>
        <v/>
      </c>
      <c r="AA250" s="95">
        <f>IF(AND(SUMIFS($D$245:$D$595,$F$245:$F$595,0,$E$245:$E$595,$G250,$C$245:$C$595,"&lt;="&amp;Y$5)&lt;1000000,SUMIFS($D$245:$D$595,$F$245:$F$595,0,$E$245:$E$595,$G250,$C$245:$C$595,"&lt;="&amp;AA5)&gt;=1000000),SUMIFS($D$245:$D$595,$F$245:$F$595,0,$E$245:$E$595,$G250)*$C$157 ,0)</f>
        <v/>
      </c>
      <c r="AC250" s="95">
        <f>IF(AND(SUMIFS($D$245:$D$595,$F$245:$F$595,0,$E$245:$E$595,$G250,$C$245:$C$595,"&lt;="&amp;AA$5)&lt;1000000,SUMIFS($D$245:$D$595,$F$245:$F$595,0,$E$245:$E$595,$G250,$C$245:$C$595,"&lt;="&amp;AC5)&gt;=1000000),SUMIFS($D$245:$D$595,$F$245:$F$595,0,$E$245:$E$595,$G250)*$C$157 ,0)</f>
        <v/>
      </c>
      <c r="AE250" s="95">
        <f>IF(AND(SUMIFS($D$245:$D$595,$F$245:$F$595,0,$E$245:$E$595,$G250,$C$245:$C$595,"&lt;="&amp;AC$5)&lt;1000000,SUMIFS($D$245:$D$595,$F$245:$F$595,0,$E$245:$E$595,$G250,$C$245:$C$595,"&lt;="&amp;AE5)&gt;=1000000),SUMIFS($D$245:$D$595,$F$245:$F$595,0,$E$245:$E$595,$G250)*$C$157 ,0)</f>
        <v/>
      </c>
      <c r="AF250" s="19" t="n"/>
    </row>
    <row r="251">
      <c r="A251" s="20">
        <f>mid(E251, 3, 1)</f>
        <v/>
      </c>
      <c r="B251" s="14" t="inlineStr"/>
      <c r="C251" s="21">
        <f>SUMIFS('Investor Exit List'!$AC:$AC,'Investor Exit List'!$AB:$AB,B251)</f>
        <v/>
      </c>
      <c r="D251" s="14">
        <f>SUMIFS('Investor Exit List'!$Q:$Q,'Investor Exit List'!$AB:$AB,B251)</f>
        <v/>
      </c>
      <c r="E251" s="31">
        <f>LEFT(B251,6)</f>
        <v/>
      </c>
      <c r="F251" s="14">
        <f>IF(SUMIFS($E$119:$E$151,$D$119:$D$151,E251)&lt;&gt;0,E251,0)</f>
        <v/>
      </c>
      <c r="G251" s="59" t="n"/>
      <c r="I251" s="28">
        <f>IF(AND(SUMIFS($D$245:$D$595,$F$245:$F$595,0,$E$245:$E$595,$G251,$C$245:$C$595,"&lt;="&amp;B$2)&lt;1000000,SUMIFS($D$245:$D$595,$F$245:$F$595,0,$E$245:$E$595,$G251,$C$245:$C$595,"&lt;="&amp;I5)&gt;=1000000),SUMIFS($D$245:$D$595,$F$245:$F$595,0,$E$245:$E$595,$G251)*$C$157 ,0)</f>
        <v/>
      </c>
      <c r="K251" s="95">
        <f>IF(AND(SUMIFS($D$245:$D$595,$F$245:$F$595,0,$E$245:$E$595,$G251,$C$245:$C$595,"&lt;="&amp;I$5)&lt;1000000,SUMIFS($D$245:$D$595,$F$245:$F$595,0,$E$245:$E$595,$G251,$C$245:$C$595,"&lt;="&amp;K5)&gt;=1000000),SUMIFS($D$245:$D$595,$F$245:$F$595,0,$E$245:$E$595,$G251)*$C$157 ,0)</f>
        <v/>
      </c>
      <c r="M251" s="95">
        <f>IF(AND(SUMIFS($D$245:$D$595,$F$245:$F$595,0,$E$245:$E$595,$G251,$C$245:$C$595,"&lt;="&amp;K$5)&lt;1000000,SUMIFS($D$245:$D$595,$F$245:$F$595,0,$E$245:$E$595,$G251,$C$245:$C$595,"&lt;="&amp;M5)&gt;=1000000),SUMIFS($D$245:$D$595,$F$245:$F$595,0,$E$245:$E$595,$G251)*$C$157 ,0)</f>
        <v/>
      </c>
      <c r="O251" s="95">
        <f>IF(AND(SUMIFS($D$245:$D$595,$F$245:$F$595,0,$E$245:$E$595,$G251,$C$245:$C$595,"&lt;="&amp;M$5)&lt;1000000,SUMIFS($D$245:$D$595,$F$245:$F$595,0,$E$245:$E$595,$G251,$C$245:$C$595,"&lt;="&amp;O5)&gt;=1000000),SUMIFS($D$245:$D$595,$F$245:$F$595,0,$E$245:$E$595,$G251)*$C$157 ,0)</f>
        <v/>
      </c>
      <c r="Q251" s="95">
        <f>IF(AND(SUMIFS($D$245:$D$595,$F$245:$F$595,0,$E$245:$E$595,$G251,$C$245:$C$595,"&lt;="&amp;O$5)&lt;1000000,SUMIFS($D$245:$D$595,$F$245:$F$595,0,$E$245:$E$595,$G251,$C$245:$C$595,"&lt;="&amp;Q5)&gt;=1000000),SUMIFS($D$245:$D$595,$F$245:$F$595,0,$E$245:$E$595,$G251)*$C$157 ,0)</f>
        <v/>
      </c>
      <c r="S251" s="95">
        <f>IF(AND(SUMIFS($D$245:$D$595,$F$245:$F$595,0,$E$245:$E$595,$G251,$C$245:$C$595,"&lt;="&amp;Q$5)&lt;1000000,SUMIFS($D$245:$D$595,$F$245:$F$595,0,$E$245:$E$595,$G251,$C$245:$C$595,"&lt;="&amp;S5)&gt;=1000000),SUMIFS($D$245:$D$595,$F$245:$F$595,0,$E$245:$E$595,$G251)*$C$157 ,0)</f>
        <v/>
      </c>
      <c r="U251" s="95">
        <f>IF(AND(SUMIFS($D$245:$D$595,$F$245:$F$595,0,$E$245:$E$595,$G251,$C$245:$C$595,"&lt;="&amp;S$5)&lt;1000000,SUMIFS($D$245:$D$595,$F$245:$F$595,0,$E$245:$E$595,$G251,$C$245:$C$595,"&lt;="&amp;U5)&gt;=1000000),SUMIFS($D$245:$D$595,$F$245:$F$595,0,$E$245:$E$595,$G251)*$C$157 ,0)</f>
        <v/>
      </c>
      <c r="W251" s="95">
        <f>IF(AND(SUMIFS($D$245:$D$595,$F$245:$F$595,0,$E$245:$E$595,$G251,$C$245:$C$595,"&lt;="&amp;U$5)&lt;1000000,SUMIFS($D$245:$D$595,$F$245:$F$595,0,$E$245:$E$595,$G251,$C$245:$C$595,"&lt;="&amp;W5)&gt;=1000000),SUMIFS($D$245:$D$595,$F$245:$F$595,0,$E$245:$E$595,$G251)*$C$157 ,0)</f>
        <v/>
      </c>
      <c r="Y251" s="95">
        <f>IF(AND(SUMIFS($D$245:$D$595,$F$245:$F$595,0,$E$245:$E$595,$G251,$C$245:$C$595,"&lt;="&amp;W$5)&lt;1000000,SUMIFS($D$245:$D$595,$F$245:$F$595,0,$E$245:$E$595,$G251,$C$245:$C$595,"&lt;="&amp;Y5)&gt;=1000000),SUMIFS($D$245:$D$595,$F$245:$F$595,0,$E$245:$E$595,$G251)*$C$157 ,0)</f>
        <v/>
      </c>
      <c r="AA251" s="95">
        <f>IF(AND(SUMIFS($D$245:$D$595,$F$245:$F$595,0,$E$245:$E$595,$G251,$C$245:$C$595,"&lt;="&amp;Y$5)&lt;1000000,SUMIFS($D$245:$D$595,$F$245:$F$595,0,$E$245:$E$595,$G251,$C$245:$C$595,"&lt;="&amp;AA5)&gt;=1000000),SUMIFS($D$245:$D$595,$F$245:$F$595,0,$E$245:$E$595,$G251)*$C$157 ,0)</f>
        <v/>
      </c>
      <c r="AC251" s="95">
        <f>IF(AND(SUMIFS($D$245:$D$595,$F$245:$F$595,0,$E$245:$E$595,$G251,$C$245:$C$595,"&lt;="&amp;AA$5)&lt;1000000,SUMIFS($D$245:$D$595,$F$245:$F$595,0,$E$245:$E$595,$G251,$C$245:$C$595,"&lt;="&amp;AC5)&gt;=1000000),SUMIFS($D$245:$D$595,$F$245:$F$595,0,$E$245:$E$595,$G251)*$C$157 ,0)</f>
        <v/>
      </c>
      <c r="AE251" s="95">
        <f>IF(AND(SUMIFS($D$245:$D$595,$F$245:$F$595,0,$E$245:$E$595,$G251,$C$245:$C$595,"&lt;="&amp;AC$5)&lt;1000000,SUMIFS($D$245:$D$595,$F$245:$F$595,0,$E$245:$E$595,$G251,$C$245:$C$595,"&lt;="&amp;AE5)&gt;=1000000),SUMIFS($D$245:$D$595,$F$245:$F$595,0,$E$245:$E$595,$G251)*$C$157 ,0)</f>
        <v/>
      </c>
      <c r="AF251" s="19" t="n"/>
    </row>
    <row r="252">
      <c r="A252" s="20">
        <f>mid(E252, 3, 1)</f>
        <v/>
      </c>
      <c r="B252" s="14" t="inlineStr"/>
      <c r="C252" s="21">
        <f>SUMIFS('Investor Exit List'!$AC:$AC,'Investor Exit List'!$AB:$AB,B252)</f>
        <v/>
      </c>
      <c r="D252" s="14">
        <f>SUMIFS('Investor Exit List'!$Q:$Q,'Investor Exit List'!$AB:$AB,B252)</f>
        <v/>
      </c>
      <c r="E252" s="31">
        <f>LEFT(B252,6)</f>
        <v/>
      </c>
      <c r="F252" s="14">
        <f>IF(SUMIFS($E$119:$E$151,$D$119:$D$151,E252)&lt;&gt;0,E252,0)</f>
        <v/>
      </c>
      <c r="G252" s="59" t="n"/>
      <c r="I252" s="28">
        <f>IF(AND(SUMIFS($D$245:$D$595,$F$245:$F$595,0,$E$245:$E$595,$G252,$C$245:$C$595,"&lt;="&amp;B$2)&lt;1000000,SUMIFS($D$245:$D$595,$F$245:$F$595,0,$E$245:$E$595,$G252,$C$245:$C$595,"&lt;="&amp;I5)&gt;=1000000),SUMIFS($D$245:$D$595,$F$245:$F$595,0,$E$245:$E$595,$G252)*$C$157 ,0)</f>
        <v/>
      </c>
      <c r="K252" s="95">
        <f>IF(AND(SUMIFS($D$245:$D$595,$F$245:$F$595,0,$E$245:$E$595,$G252,$C$245:$C$595,"&lt;="&amp;I$5)&lt;1000000,SUMIFS($D$245:$D$595,$F$245:$F$595,0,$E$245:$E$595,$G252,$C$245:$C$595,"&lt;="&amp;K5)&gt;=1000000),SUMIFS($D$245:$D$595,$F$245:$F$595,0,$E$245:$E$595,$G252)*$C$157 ,0)</f>
        <v/>
      </c>
      <c r="M252" s="95">
        <f>IF(AND(SUMIFS($D$245:$D$595,$F$245:$F$595,0,$E$245:$E$595,$G252,$C$245:$C$595,"&lt;="&amp;K$5)&lt;1000000,SUMIFS($D$245:$D$595,$F$245:$F$595,0,$E$245:$E$595,$G252,$C$245:$C$595,"&lt;="&amp;M5)&gt;=1000000),SUMIFS($D$245:$D$595,$F$245:$F$595,0,$E$245:$E$595,$G252)*$C$157 ,0)</f>
        <v/>
      </c>
      <c r="O252" s="95">
        <f>IF(AND(SUMIFS($D$245:$D$595,$F$245:$F$595,0,$E$245:$E$595,$G252,$C$245:$C$595,"&lt;="&amp;M$5)&lt;1000000,SUMIFS($D$245:$D$595,$F$245:$F$595,0,$E$245:$E$595,$G252,$C$245:$C$595,"&lt;="&amp;O5)&gt;=1000000),SUMIFS($D$245:$D$595,$F$245:$F$595,0,$E$245:$E$595,$G252)*$C$157 ,0)</f>
        <v/>
      </c>
      <c r="Q252" s="95">
        <f>IF(AND(SUMIFS($D$245:$D$595,$F$245:$F$595,0,$E$245:$E$595,$G252,$C$245:$C$595,"&lt;="&amp;O$5)&lt;1000000,SUMIFS($D$245:$D$595,$F$245:$F$595,0,$E$245:$E$595,$G252,$C$245:$C$595,"&lt;="&amp;Q5)&gt;=1000000),SUMIFS($D$245:$D$595,$F$245:$F$595,0,$E$245:$E$595,$G252)*$C$157 ,0)</f>
        <v/>
      </c>
      <c r="S252" s="95">
        <f>IF(AND(SUMIFS($D$245:$D$595,$F$245:$F$595,0,$E$245:$E$595,$G252,$C$245:$C$595,"&lt;="&amp;Q$5)&lt;1000000,SUMIFS($D$245:$D$595,$F$245:$F$595,0,$E$245:$E$595,$G252,$C$245:$C$595,"&lt;="&amp;S5)&gt;=1000000),SUMIFS($D$245:$D$595,$F$245:$F$595,0,$E$245:$E$595,$G252)*$C$157 ,0)</f>
        <v/>
      </c>
      <c r="U252" s="95">
        <f>IF(AND(SUMIFS($D$245:$D$595,$F$245:$F$595,0,$E$245:$E$595,$G252,$C$245:$C$595,"&lt;="&amp;S$5)&lt;1000000,SUMIFS($D$245:$D$595,$F$245:$F$595,0,$E$245:$E$595,$G252,$C$245:$C$595,"&lt;="&amp;U5)&gt;=1000000),SUMIFS($D$245:$D$595,$F$245:$F$595,0,$E$245:$E$595,$G252)*$C$157 ,0)</f>
        <v/>
      </c>
      <c r="W252" s="95">
        <f>IF(AND(SUMIFS($D$245:$D$595,$F$245:$F$595,0,$E$245:$E$595,$G252,$C$245:$C$595,"&lt;="&amp;U$5)&lt;1000000,SUMIFS($D$245:$D$595,$F$245:$F$595,0,$E$245:$E$595,$G252,$C$245:$C$595,"&lt;="&amp;W5)&gt;=1000000),SUMIFS($D$245:$D$595,$F$245:$F$595,0,$E$245:$E$595,$G252)*$C$157 ,0)</f>
        <v/>
      </c>
      <c r="Y252" s="95">
        <f>IF(AND(SUMIFS($D$245:$D$595,$F$245:$F$595,0,$E$245:$E$595,$G252,$C$245:$C$595,"&lt;="&amp;W$5)&lt;1000000,SUMIFS($D$245:$D$595,$F$245:$F$595,0,$E$245:$E$595,$G252,$C$245:$C$595,"&lt;="&amp;Y5)&gt;=1000000),SUMIFS($D$245:$D$595,$F$245:$F$595,0,$E$245:$E$595,$G252)*$C$157 ,0)</f>
        <v/>
      </c>
      <c r="AA252" s="95">
        <f>IF(AND(SUMIFS($D$245:$D$595,$F$245:$F$595,0,$E$245:$E$595,$G252,$C$245:$C$595,"&lt;="&amp;Y$5)&lt;1000000,SUMIFS($D$245:$D$595,$F$245:$F$595,0,$E$245:$E$595,$G252,$C$245:$C$595,"&lt;="&amp;AA5)&gt;=1000000),SUMIFS($D$245:$D$595,$F$245:$F$595,0,$E$245:$E$595,$G252)*$C$157 ,0)</f>
        <v/>
      </c>
      <c r="AC252" s="95">
        <f>IF(AND(SUMIFS($D$245:$D$595,$F$245:$F$595,0,$E$245:$E$595,$G252,$C$245:$C$595,"&lt;="&amp;AA$5)&lt;1000000,SUMIFS($D$245:$D$595,$F$245:$F$595,0,$E$245:$E$595,$G252,$C$245:$C$595,"&lt;="&amp;AC5)&gt;=1000000),SUMIFS($D$245:$D$595,$F$245:$F$595,0,$E$245:$E$595,$G252)*$C$157 ,0)</f>
        <v/>
      </c>
      <c r="AE252" s="95">
        <f>IF(AND(SUMIFS($D$245:$D$595,$F$245:$F$595,0,$E$245:$E$595,$G252,$C$245:$C$595,"&lt;="&amp;AC$5)&lt;1000000,SUMIFS($D$245:$D$595,$F$245:$F$595,0,$E$245:$E$595,$G252,$C$245:$C$595,"&lt;="&amp;AE5)&gt;=1000000),SUMIFS($D$245:$D$595,$F$245:$F$595,0,$E$245:$E$595,$G252)*$C$157 ,0)</f>
        <v/>
      </c>
      <c r="AF252" s="19" t="n"/>
    </row>
    <row r="253">
      <c r="A253" s="20">
        <f>mid(E253, 3, 1)</f>
        <v/>
      </c>
      <c r="B253" s="14" t="inlineStr"/>
      <c r="C253" s="21">
        <f>SUMIFS('Investor Exit List'!$AC:$AC,'Investor Exit List'!$AB:$AB,B253)</f>
        <v/>
      </c>
      <c r="D253" s="14">
        <f>SUMIFS('Investor Exit List'!$Q:$Q,'Investor Exit List'!$AB:$AB,B253)</f>
        <v/>
      </c>
      <c r="E253" s="31">
        <f>LEFT(B253,6)</f>
        <v/>
      </c>
      <c r="F253" s="14">
        <f>IF(SUMIFS($E$119:$E$151,$D$119:$D$151,E253)&lt;&gt;0,E253,0)</f>
        <v/>
      </c>
      <c r="G253" s="59" t="n"/>
      <c r="I253" s="28">
        <f>IF(AND(SUMIFS($D$245:$D$595,$F$245:$F$595,0,$E$245:$E$595,$G253,$C$245:$C$595,"&lt;="&amp;B$2)&lt;1000000,SUMIFS($D$245:$D$595,$F$245:$F$595,0,$E$245:$E$595,$G253,$C$245:$C$595,"&lt;="&amp;I5)&gt;=1000000),SUMIFS($D$245:$D$595,$F$245:$F$595,0,$E$245:$E$595,$G253)*$C$157 ,0)</f>
        <v/>
      </c>
      <c r="K253" s="95">
        <f>IF(AND(SUMIFS($D$245:$D$595,$F$245:$F$595,0,$E$245:$E$595,$G253,$C$245:$C$595,"&lt;="&amp;I$5)&lt;1000000,SUMIFS($D$245:$D$595,$F$245:$F$595,0,$E$245:$E$595,$G253,$C$245:$C$595,"&lt;="&amp;K5)&gt;=1000000),SUMIFS($D$245:$D$595,$F$245:$F$595,0,$E$245:$E$595,$G253)*$C$157 ,0)</f>
        <v/>
      </c>
      <c r="M253" s="95">
        <f>IF(AND(SUMIFS($D$245:$D$595,$F$245:$F$595,0,$E$245:$E$595,$G253,$C$245:$C$595,"&lt;="&amp;K$5)&lt;1000000,SUMIFS($D$245:$D$595,$F$245:$F$595,0,$E$245:$E$595,$G253,$C$245:$C$595,"&lt;="&amp;M5)&gt;=1000000),SUMIFS($D$245:$D$595,$F$245:$F$595,0,$E$245:$E$595,$G253)*$C$157 ,0)</f>
        <v/>
      </c>
      <c r="O253" s="95">
        <f>IF(AND(SUMIFS($D$245:$D$595,$F$245:$F$595,0,$E$245:$E$595,$G253,$C$245:$C$595,"&lt;="&amp;M$5)&lt;1000000,SUMIFS($D$245:$D$595,$F$245:$F$595,0,$E$245:$E$595,$G253,$C$245:$C$595,"&lt;="&amp;O5)&gt;=1000000),SUMIFS($D$245:$D$595,$F$245:$F$595,0,$E$245:$E$595,$G253)*$C$157 ,0)</f>
        <v/>
      </c>
      <c r="Q253" s="95">
        <f>IF(AND(SUMIFS($D$245:$D$595,$F$245:$F$595,0,$E$245:$E$595,$G253,$C$245:$C$595,"&lt;="&amp;O$5)&lt;1000000,SUMIFS($D$245:$D$595,$F$245:$F$595,0,$E$245:$E$595,$G253,$C$245:$C$595,"&lt;="&amp;Q5)&gt;=1000000),SUMIFS($D$245:$D$595,$F$245:$F$595,0,$E$245:$E$595,$G253)*$C$157 ,0)</f>
        <v/>
      </c>
      <c r="S253" s="95">
        <f>IF(AND(SUMIFS($D$245:$D$595,$F$245:$F$595,0,$E$245:$E$595,$G253,$C$245:$C$595,"&lt;="&amp;Q$5)&lt;1000000,SUMIFS($D$245:$D$595,$F$245:$F$595,0,$E$245:$E$595,$G253,$C$245:$C$595,"&lt;="&amp;S5)&gt;=1000000),SUMIFS($D$245:$D$595,$F$245:$F$595,0,$E$245:$E$595,$G253)*$C$157 ,0)</f>
        <v/>
      </c>
      <c r="U253" s="95">
        <f>IF(AND(SUMIFS($D$245:$D$595,$F$245:$F$595,0,$E$245:$E$595,$G253,$C$245:$C$595,"&lt;="&amp;S$5)&lt;1000000,SUMIFS($D$245:$D$595,$F$245:$F$595,0,$E$245:$E$595,$G253,$C$245:$C$595,"&lt;="&amp;U5)&gt;=1000000),SUMIFS($D$245:$D$595,$F$245:$F$595,0,$E$245:$E$595,$G253)*$C$157 ,0)</f>
        <v/>
      </c>
      <c r="W253" s="95">
        <f>IF(AND(SUMIFS($D$245:$D$595,$F$245:$F$595,0,$E$245:$E$595,$G253,$C$245:$C$595,"&lt;="&amp;U$5)&lt;1000000,SUMIFS($D$245:$D$595,$F$245:$F$595,0,$E$245:$E$595,$G253,$C$245:$C$595,"&lt;="&amp;W5)&gt;=1000000),SUMIFS($D$245:$D$595,$F$245:$F$595,0,$E$245:$E$595,$G253)*$C$157 ,0)</f>
        <v/>
      </c>
      <c r="Y253" s="95">
        <f>IF(AND(SUMIFS($D$245:$D$595,$F$245:$F$595,0,$E$245:$E$595,$G253,$C$245:$C$595,"&lt;="&amp;W$5)&lt;1000000,SUMIFS($D$245:$D$595,$F$245:$F$595,0,$E$245:$E$595,$G253,$C$245:$C$595,"&lt;="&amp;Y5)&gt;=1000000),SUMIFS($D$245:$D$595,$F$245:$F$595,0,$E$245:$E$595,$G253)*$C$157 ,0)</f>
        <v/>
      </c>
      <c r="AA253" s="95">
        <f>IF(AND(SUMIFS($D$245:$D$595,$F$245:$F$595,0,$E$245:$E$595,$G253,$C$245:$C$595,"&lt;="&amp;Y$5)&lt;1000000,SUMIFS($D$245:$D$595,$F$245:$F$595,0,$E$245:$E$595,$G253,$C$245:$C$595,"&lt;="&amp;AA5)&gt;=1000000),SUMIFS($D$245:$D$595,$F$245:$F$595,0,$E$245:$E$595,$G253)*$C$157 ,0)</f>
        <v/>
      </c>
      <c r="AC253" s="95">
        <f>IF(AND(SUMIFS($D$245:$D$595,$F$245:$F$595,0,$E$245:$E$595,$G253,$C$245:$C$595,"&lt;="&amp;AA$5)&lt;1000000,SUMIFS($D$245:$D$595,$F$245:$F$595,0,$E$245:$E$595,$G253,$C$245:$C$595,"&lt;="&amp;AC5)&gt;=1000000),SUMIFS($D$245:$D$595,$F$245:$F$595,0,$E$245:$E$595,$G253)*$C$157 ,0)</f>
        <v/>
      </c>
      <c r="AE253" s="95">
        <f>IF(AND(SUMIFS($D$245:$D$595,$F$245:$F$595,0,$E$245:$E$595,$G253,$C$245:$C$595,"&lt;="&amp;AC$5)&lt;1000000,SUMIFS($D$245:$D$595,$F$245:$F$595,0,$E$245:$E$595,$G253,$C$245:$C$595,"&lt;="&amp;AE5)&gt;=1000000),SUMIFS($D$245:$D$595,$F$245:$F$595,0,$E$245:$E$595,$G253)*$C$157 ,0)</f>
        <v/>
      </c>
      <c r="AF253" s="19" t="n"/>
    </row>
    <row r="254">
      <c r="A254" s="20">
        <f>mid(E254, 3, 1)</f>
        <v/>
      </c>
      <c r="B254" s="14" t="inlineStr"/>
      <c r="C254" s="21">
        <f>SUMIFS('Investor Exit List'!$AC:$AC,'Investor Exit List'!$AB:$AB,B254)</f>
        <v/>
      </c>
      <c r="D254" s="14">
        <f>SUMIFS('Investor Exit List'!$Q:$Q,'Investor Exit List'!$AB:$AB,B254)</f>
        <v/>
      </c>
      <c r="E254" s="31">
        <f>LEFT(B254,6)</f>
        <v/>
      </c>
      <c r="F254" s="14">
        <f>IF(SUMIFS($E$119:$E$151,$D$119:$D$151,E254)&lt;&gt;0,E254,0)</f>
        <v/>
      </c>
      <c r="G254" s="59" t="n"/>
      <c r="I254" s="28">
        <f>IF(AND(SUMIFS($D$245:$D$595,$F$245:$F$595,0,$E$245:$E$595,$G254,$C$245:$C$595,"&lt;="&amp;B$2)&lt;1000000,SUMIFS($D$245:$D$595,$F$245:$F$595,0,$E$245:$E$595,$G254,$C$245:$C$595,"&lt;="&amp;I5)&gt;=1000000),SUMIFS($D$245:$D$595,$F$245:$F$595,0,$E$245:$E$595,$G254)*$C$157 ,0)</f>
        <v/>
      </c>
      <c r="K254" s="95">
        <f>IF(AND(SUMIFS($D$245:$D$595,$F$245:$F$595,0,$E$245:$E$595,$G254,$C$245:$C$595,"&lt;="&amp;I$5)&lt;1000000,SUMIFS($D$245:$D$595,$F$245:$F$595,0,$E$245:$E$595,$G254,$C$245:$C$595,"&lt;="&amp;K5)&gt;=1000000),SUMIFS($D$245:$D$595,$F$245:$F$595,0,$E$245:$E$595,$G254)*$C$157 ,0)</f>
        <v/>
      </c>
      <c r="M254" s="95">
        <f>IF(AND(SUMIFS($D$245:$D$595,$F$245:$F$595,0,$E$245:$E$595,$G254,$C$245:$C$595,"&lt;="&amp;K$5)&lt;1000000,SUMIFS($D$245:$D$595,$F$245:$F$595,0,$E$245:$E$595,$G254,$C$245:$C$595,"&lt;="&amp;M5)&gt;=1000000),SUMIFS($D$245:$D$595,$F$245:$F$595,0,$E$245:$E$595,$G254)*$C$157 ,0)</f>
        <v/>
      </c>
      <c r="O254" s="95">
        <f>IF(AND(SUMIFS($D$245:$D$595,$F$245:$F$595,0,$E$245:$E$595,$G254,$C$245:$C$595,"&lt;="&amp;M$5)&lt;1000000,SUMIFS($D$245:$D$595,$F$245:$F$595,0,$E$245:$E$595,$G254,$C$245:$C$595,"&lt;="&amp;O5)&gt;=1000000),SUMIFS($D$245:$D$595,$F$245:$F$595,0,$E$245:$E$595,$G254)*$C$157 ,0)</f>
        <v/>
      </c>
      <c r="Q254" s="95">
        <f>IF(AND(SUMIFS($D$245:$D$595,$F$245:$F$595,0,$E$245:$E$595,$G254,$C$245:$C$595,"&lt;="&amp;O$5)&lt;1000000,SUMIFS($D$245:$D$595,$F$245:$F$595,0,$E$245:$E$595,$G254,$C$245:$C$595,"&lt;="&amp;Q5)&gt;=1000000),SUMIFS($D$245:$D$595,$F$245:$F$595,0,$E$245:$E$595,$G254)*$C$157 ,0)</f>
        <v/>
      </c>
      <c r="S254" s="95">
        <f>IF(AND(SUMIFS($D$245:$D$595,$F$245:$F$595,0,$E$245:$E$595,$G254,$C$245:$C$595,"&lt;="&amp;Q$5)&lt;1000000,SUMIFS($D$245:$D$595,$F$245:$F$595,0,$E$245:$E$595,$G254,$C$245:$C$595,"&lt;="&amp;S5)&gt;=1000000),SUMIFS($D$245:$D$595,$F$245:$F$595,0,$E$245:$E$595,$G254)*$C$157 ,0)</f>
        <v/>
      </c>
      <c r="U254" s="95">
        <f>IF(AND(SUMIFS($D$245:$D$595,$F$245:$F$595,0,$E$245:$E$595,$G254,$C$245:$C$595,"&lt;="&amp;S$5)&lt;1000000,SUMIFS($D$245:$D$595,$F$245:$F$595,0,$E$245:$E$595,$G254,$C$245:$C$595,"&lt;="&amp;U5)&gt;=1000000),SUMIFS($D$245:$D$595,$F$245:$F$595,0,$E$245:$E$595,$G254)*$C$157 ,0)</f>
        <v/>
      </c>
      <c r="W254" s="95">
        <f>IF(AND(SUMIFS($D$245:$D$595,$F$245:$F$595,0,$E$245:$E$595,$G254,$C$245:$C$595,"&lt;="&amp;U$5)&lt;1000000,SUMIFS($D$245:$D$595,$F$245:$F$595,0,$E$245:$E$595,$G254,$C$245:$C$595,"&lt;="&amp;W5)&gt;=1000000),SUMIFS($D$245:$D$595,$F$245:$F$595,0,$E$245:$E$595,$G254)*$C$157 ,0)</f>
        <v/>
      </c>
      <c r="Y254" s="95">
        <f>IF(AND(SUMIFS($D$245:$D$595,$F$245:$F$595,0,$E$245:$E$595,$G254,$C$245:$C$595,"&lt;="&amp;W$5)&lt;1000000,SUMIFS($D$245:$D$595,$F$245:$F$595,0,$E$245:$E$595,$G254,$C$245:$C$595,"&lt;="&amp;Y5)&gt;=1000000),SUMIFS($D$245:$D$595,$F$245:$F$595,0,$E$245:$E$595,$G254)*$C$157 ,0)</f>
        <v/>
      </c>
      <c r="AA254" s="95">
        <f>IF(AND(SUMIFS($D$245:$D$595,$F$245:$F$595,0,$E$245:$E$595,$G254,$C$245:$C$595,"&lt;="&amp;Y$5)&lt;1000000,SUMIFS($D$245:$D$595,$F$245:$F$595,0,$E$245:$E$595,$G254,$C$245:$C$595,"&lt;="&amp;AA5)&gt;=1000000),SUMIFS($D$245:$D$595,$F$245:$F$595,0,$E$245:$E$595,$G254)*$C$157 ,0)</f>
        <v/>
      </c>
      <c r="AC254" s="95">
        <f>IF(AND(SUMIFS($D$245:$D$595,$F$245:$F$595,0,$E$245:$E$595,$G254,$C$245:$C$595,"&lt;="&amp;AA$5)&lt;1000000,SUMIFS($D$245:$D$595,$F$245:$F$595,0,$E$245:$E$595,$G254,$C$245:$C$595,"&lt;="&amp;AC5)&gt;=1000000),SUMIFS($D$245:$D$595,$F$245:$F$595,0,$E$245:$E$595,$G254)*$C$157 ,0)</f>
        <v/>
      </c>
      <c r="AE254" s="95">
        <f>IF(AND(SUMIFS($D$245:$D$595,$F$245:$F$595,0,$E$245:$E$595,$G254,$C$245:$C$595,"&lt;="&amp;AC$5)&lt;1000000,SUMIFS($D$245:$D$595,$F$245:$F$595,0,$E$245:$E$595,$G254,$C$245:$C$595,"&lt;="&amp;AE5)&gt;=1000000),SUMIFS($D$245:$D$595,$F$245:$F$595,0,$E$245:$E$595,$G254)*$C$157 ,0)</f>
        <v/>
      </c>
      <c r="AF254" s="19" t="n"/>
    </row>
    <row r="255">
      <c r="A255" s="20">
        <f>mid(E255, 3, 1)</f>
        <v/>
      </c>
      <c r="B255" s="14" t="inlineStr"/>
      <c r="C255" s="21">
        <f>SUMIFS('Investor Exit List'!$AC:$AC,'Investor Exit List'!$AB:$AB,B255)</f>
        <v/>
      </c>
      <c r="D255" s="14">
        <f>SUMIFS('Investor Exit List'!$Q:$Q,'Investor Exit List'!$AB:$AB,B255)</f>
        <v/>
      </c>
      <c r="E255" s="31">
        <f>LEFT(B255,6)</f>
        <v/>
      </c>
      <c r="F255" s="14">
        <f>IF(SUMIFS($E$119:$E$151,$D$119:$D$151,E255)&lt;&gt;0,E255,0)</f>
        <v/>
      </c>
      <c r="G255" s="59" t="n"/>
      <c r="I255" s="28">
        <f>IF(AND(SUMIFS($D$245:$D$595,$F$245:$F$595,0,$E$245:$E$595,$G255,$C$245:$C$595,"&lt;="&amp;B$2)&lt;1000000,SUMIFS($D$245:$D$595,$F$245:$F$595,0,$E$245:$E$595,$G255,$C$245:$C$595,"&lt;="&amp;I5)&gt;=1000000),SUMIFS($D$245:$D$595,$F$245:$F$595,0,$E$245:$E$595,$G255)*$C$157 ,0)</f>
        <v/>
      </c>
      <c r="K255" s="95">
        <f>IF(AND(SUMIFS($D$245:$D$595,$F$245:$F$595,0,$E$245:$E$595,$G255,$C$245:$C$595,"&lt;="&amp;I$5)&lt;1000000,SUMIFS($D$245:$D$595,$F$245:$F$595,0,$E$245:$E$595,$G255,$C$245:$C$595,"&lt;="&amp;K5)&gt;=1000000),SUMIFS($D$245:$D$595,$F$245:$F$595,0,$E$245:$E$595,$G255)*$C$157 ,0)</f>
        <v/>
      </c>
      <c r="M255" s="95">
        <f>IF(AND(SUMIFS($D$245:$D$595,$F$245:$F$595,0,$E$245:$E$595,$G255,$C$245:$C$595,"&lt;="&amp;K$5)&lt;1000000,SUMIFS($D$245:$D$595,$F$245:$F$595,0,$E$245:$E$595,$G255,$C$245:$C$595,"&lt;="&amp;M5)&gt;=1000000),SUMIFS($D$245:$D$595,$F$245:$F$595,0,$E$245:$E$595,$G255)*$C$157 ,0)</f>
        <v/>
      </c>
      <c r="O255" s="95">
        <f>IF(AND(SUMIFS($D$245:$D$595,$F$245:$F$595,0,$E$245:$E$595,$G255,$C$245:$C$595,"&lt;="&amp;M$5)&lt;1000000,SUMIFS($D$245:$D$595,$F$245:$F$595,0,$E$245:$E$595,$G255,$C$245:$C$595,"&lt;="&amp;O5)&gt;=1000000),SUMIFS($D$245:$D$595,$F$245:$F$595,0,$E$245:$E$595,$G255)*$C$157 ,0)</f>
        <v/>
      </c>
      <c r="Q255" s="95">
        <f>IF(AND(SUMIFS($D$245:$D$595,$F$245:$F$595,0,$E$245:$E$595,$G255,$C$245:$C$595,"&lt;="&amp;O$5)&lt;1000000,SUMIFS($D$245:$D$595,$F$245:$F$595,0,$E$245:$E$595,$G255,$C$245:$C$595,"&lt;="&amp;Q5)&gt;=1000000),SUMIFS($D$245:$D$595,$F$245:$F$595,0,$E$245:$E$595,$G255)*$C$157 ,0)</f>
        <v/>
      </c>
      <c r="S255" s="95">
        <f>IF(AND(SUMIFS($D$245:$D$595,$F$245:$F$595,0,$E$245:$E$595,$G255,$C$245:$C$595,"&lt;="&amp;Q$5)&lt;1000000,SUMIFS($D$245:$D$595,$F$245:$F$595,0,$E$245:$E$595,$G255,$C$245:$C$595,"&lt;="&amp;S5)&gt;=1000000),SUMIFS($D$245:$D$595,$F$245:$F$595,0,$E$245:$E$595,$G255)*$C$157 ,0)</f>
        <v/>
      </c>
      <c r="U255" s="95">
        <f>IF(AND(SUMIFS($D$245:$D$595,$F$245:$F$595,0,$E$245:$E$595,$G255,$C$245:$C$595,"&lt;="&amp;S$5)&lt;1000000,SUMIFS($D$245:$D$595,$F$245:$F$595,0,$E$245:$E$595,$G255,$C$245:$C$595,"&lt;="&amp;U5)&gt;=1000000),SUMIFS($D$245:$D$595,$F$245:$F$595,0,$E$245:$E$595,$G255)*$C$157 ,0)</f>
        <v/>
      </c>
      <c r="W255" s="95">
        <f>IF(AND(SUMIFS($D$245:$D$595,$F$245:$F$595,0,$E$245:$E$595,$G255,$C$245:$C$595,"&lt;="&amp;U$5)&lt;1000000,SUMIFS($D$245:$D$595,$F$245:$F$595,0,$E$245:$E$595,$G255,$C$245:$C$595,"&lt;="&amp;W5)&gt;=1000000),SUMIFS($D$245:$D$595,$F$245:$F$595,0,$E$245:$E$595,$G255)*$C$157 ,0)</f>
        <v/>
      </c>
      <c r="Y255" s="95">
        <f>IF(AND(SUMIFS($D$245:$D$595,$F$245:$F$595,0,$E$245:$E$595,$G255,$C$245:$C$595,"&lt;="&amp;W$5)&lt;1000000,SUMIFS($D$245:$D$595,$F$245:$F$595,0,$E$245:$E$595,$G255,$C$245:$C$595,"&lt;="&amp;Y5)&gt;=1000000),SUMIFS($D$245:$D$595,$F$245:$F$595,0,$E$245:$E$595,$G255)*$C$157 ,0)</f>
        <v/>
      </c>
      <c r="AA255" s="95">
        <f>IF(AND(SUMIFS($D$245:$D$595,$F$245:$F$595,0,$E$245:$E$595,$G255,$C$245:$C$595,"&lt;="&amp;Y$5)&lt;1000000,SUMIFS($D$245:$D$595,$F$245:$F$595,0,$E$245:$E$595,$G255,$C$245:$C$595,"&lt;="&amp;AA5)&gt;=1000000),SUMIFS($D$245:$D$595,$F$245:$F$595,0,$E$245:$E$595,$G255)*$C$157 ,0)</f>
        <v/>
      </c>
      <c r="AC255" s="95">
        <f>IF(AND(SUMIFS($D$245:$D$595,$F$245:$F$595,0,$E$245:$E$595,$G255,$C$245:$C$595,"&lt;="&amp;AA$5)&lt;1000000,SUMIFS($D$245:$D$595,$F$245:$F$595,0,$E$245:$E$595,$G255,$C$245:$C$595,"&lt;="&amp;AC5)&gt;=1000000),SUMIFS($D$245:$D$595,$F$245:$F$595,0,$E$245:$E$595,$G255)*$C$157 ,0)</f>
        <v/>
      </c>
      <c r="AE255" s="95">
        <f>IF(AND(SUMIFS($D$245:$D$595,$F$245:$F$595,0,$E$245:$E$595,$G255,$C$245:$C$595,"&lt;="&amp;AC$5)&lt;1000000,SUMIFS($D$245:$D$595,$F$245:$F$595,0,$E$245:$E$595,$G255,$C$245:$C$595,"&lt;="&amp;AE5)&gt;=1000000),SUMIFS($D$245:$D$595,$F$245:$F$595,0,$E$245:$E$595,$G255)*$C$157 ,0)</f>
        <v/>
      </c>
      <c r="AF255" s="19" t="n"/>
    </row>
    <row r="256">
      <c r="A256" s="20">
        <f>mid(E256, 3, 1)</f>
        <v/>
      </c>
      <c r="B256" s="14" t="inlineStr"/>
      <c r="C256" s="21">
        <f>SUMIFS('Investor Exit List'!$AC:$AC,'Investor Exit List'!$AB:$AB,B256)</f>
        <v/>
      </c>
      <c r="D256" s="14">
        <f>SUMIFS('Investor Exit List'!$Q:$Q,'Investor Exit List'!$AB:$AB,B256)</f>
        <v/>
      </c>
      <c r="E256" s="31">
        <f>LEFT(B256,6)</f>
        <v/>
      </c>
      <c r="F256" s="14">
        <f>IF(SUMIFS($E$119:$E$151,$D$119:$D$151,E256)&lt;&gt;0,E256,0)</f>
        <v/>
      </c>
      <c r="G256" s="59" t="n"/>
      <c r="I256" s="28">
        <f>IF(AND(SUMIFS($D$245:$D$595,$F$245:$F$595,0,$E$245:$E$595,$G256,$C$245:$C$595,"&lt;="&amp;B$2)&lt;1000000,SUMIFS($D$245:$D$595,$F$245:$F$595,0,$E$245:$E$595,$G256,$C$245:$C$595,"&lt;="&amp;I5)&gt;=1000000),SUMIFS($D$245:$D$595,$F$245:$F$595,0,$E$245:$E$595,$G256)*$C$157 ,0)</f>
        <v/>
      </c>
      <c r="K256" s="95">
        <f>IF(AND(SUMIFS($D$245:$D$595,$F$245:$F$595,0,$E$245:$E$595,$G256,$C$245:$C$595,"&lt;="&amp;I$5)&lt;1000000,SUMIFS($D$245:$D$595,$F$245:$F$595,0,$E$245:$E$595,$G256,$C$245:$C$595,"&lt;="&amp;K5)&gt;=1000000),SUMIFS($D$245:$D$595,$F$245:$F$595,0,$E$245:$E$595,$G256)*$C$157 ,0)</f>
        <v/>
      </c>
      <c r="M256" s="95">
        <f>IF(AND(SUMIFS($D$245:$D$595,$F$245:$F$595,0,$E$245:$E$595,$G256,$C$245:$C$595,"&lt;="&amp;K$5)&lt;1000000,SUMIFS($D$245:$D$595,$F$245:$F$595,0,$E$245:$E$595,$G256,$C$245:$C$595,"&lt;="&amp;M5)&gt;=1000000),SUMIFS($D$245:$D$595,$F$245:$F$595,0,$E$245:$E$595,$G256)*$C$157 ,0)</f>
        <v/>
      </c>
      <c r="O256" s="95">
        <f>IF(AND(SUMIFS($D$245:$D$595,$F$245:$F$595,0,$E$245:$E$595,$G256,$C$245:$C$595,"&lt;="&amp;M$5)&lt;1000000,SUMIFS($D$245:$D$595,$F$245:$F$595,0,$E$245:$E$595,$G256,$C$245:$C$595,"&lt;="&amp;O5)&gt;=1000000),SUMIFS($D$245:$D$595,$F$245:$F$595,0,$E$245:$E$595,$G256)*$C$157 ,0)</f>
        <v/>
      </c>
      <c r="Q256" s="95">
        <f>IF(AND(SUMIFS($D$245:$D$595,$F$245:$F$595,0,$E$245:$E$595,$G256,$C$245:$C$595,"&lt;="&amp;O$5)&lt;1000000,SUMIFS($D$245:$D$595,$F$245:$F$595,0,$E$245:$E$595,$G256,$C$245:$C$595,"&lt;="&amp;Q5)&gt;=1000000),SUMIFS($D$245:$D$595,$F$245:$F$595,0,$E$245:$E$595,$G256)*$C$157 ,0)</f>
        <v/>
      </c>
      <c r="S256" s="95">
        <f>IF(AND(SUMIFS($D$245:$D$595,$F$245:$F$595,0,$E$245:$E$595,$G256,$C$245:$C$595,"&lt;="&amp;Q$5)&lt;1000000,SUMIFS($D$245:$D$595,$F$245:$F$595,0,$E$245:$E$595,$G256,$C$245:$C$595,"&lt;="&amp;S5)&gt;=1000000),SUMIFS($D$245:$D$595,$F$245:$F$595,0,$E$245:$E$595,$G256)*$C$157 ,0)</f>
        <v/>
      </c>
      <c r="U256" s="95">
        <f>IF(AND(SUMIFS($D$245:$D$595,$F$245:$F$595,0,$E$245:$E$595,$G256,$C$245:$C$595,"&lt;="&amp;S$5)&lt;1000000,SUMIFS($D$245:$D$595,$F$245:$F$595,0,$E$245:$E$595,$G256,$C$245:$C$595,"&lt;="&amp;U5)&gt;=1000000),SUMIFS($D$245:$D$595,$F$245:$F$595,0,$E$245:$E$595,$G256)*$C$157 ,0)</f>
        <v/>
      </c>
      <c r="W256" s="95">
        <f>IF(AND(SUMIFS($D$245:$D$595,$F$245:$F$595,0,$E$245:$E$595,$G256,$C$245:$C$595,"&lt;="&amp;U$5)&lt;1000000,SUMIFS($D$245:$D$595,$F$245:$F$595,0,$E$245:$E$595,$G256,$C$245:$C$595,"&lt;="&amp;W5)&gt;=1000000),SUMIFS($D$245:$D$595,$F$245:$F$595,0,$E$245:$E$595,$G256)*$C$157 ,0)</f>
        <v/>
      </c>
      <c r="Y256" s="95">
        <f>IF(AND(SUMIFS($D$245:$D$595,$F$245:$F$595,0,$E$245:$E$595,$G256,$C$245:$C$595,"&lt;="&amp;W$5)&lt;1000000,SUMIFS($D$245:$D$595,$F$245:$F$595,0,$E$245:$E$595,$G256,$C$245:$C$595,"&lt;="&amp;Y5)&gt;=1000000),SUMIFS($D$245:$D$595,$F$245:$F$595,0,$E$245:$E$595,$G256)*$C$157 ,0)</f>
        <v/>
      </c>
      <c r="AA256" s="95">
        <f>IF(AND(SUMIFS($D$245:$D$595,$F$245:$F$595,0,$E$245:$E$595,$G256,$C$245:$C$595,"&lt;="&amp;Y$5)&lt;1000000,SUMIFS($D$245:$D$595,$F$245:$F$595,0,$E$245:$E$595,$G256,$C$245:$C$595,"&lt;="&amp;AA5)&gt;=1000000),SUMIFS($D$245:$D$595,$F$245:$F$595,0,$E$245:$E$595,$G256)*$C$157 ,0)</f>
        <v/>
      </c>
      <c r="AC256" s="95">
        <f>IF(AND(SUMIFS($D$245:$D$595,$F$245:$F$595,0,$E$245:$E$595,$G256,$C$245:$C$595,"&lt;="&amp;AA$5)&lt;1000000,SUMIFS($D$245:$D$595,$F$245:$F$595,0,$E$245:$E$595,$G256,$C$245:$C$595,"&lt;="&amp;AC5)&gt;=1000000),SUMIFS($D$245:$D$595,$F$245:$F$595,0,$E$245:$E$595,$G256)*$C$157 ,0)</f>
        <v/>
      </c>
      <c r="AE256" s="95">
        <f>IF(AND(SUMIFS($D$245:$D$595,$F$245:$F$595,0,$E$245:$E$595,$G256,$C$245:$C$595,"&lt;="&amp;AC$5)&lt;1000000,SUMIFS($D$245:$D$595,$F$245:$F$595,0,$E$245:$E$595,$G256,$C$245:$C$595,"&lt;="&amp;AE5)&gt;=1000000),SUMIFS($D$245:$D$595,$F$245:$F$595,0,$E$245:$E$595,$G256)*$C$157 ,0)</f>
        <v/>
      </c>
      <c r="AF256" s="19" t="n"/>
    </row>
    <row r="257">
      <c r="A257" s="20">
        <f>mid(E257, 3, 1)</f>
        <v/>
      </c>
      <c r="B257" s="14" t="inlineStr"/>
      <c r="C257" s="21">
        <f>SUMIFS('Investor Exit List'!$AC:$AC,'Investor Exit List'!$AB:$AB,B257)</f>
        <v/>
      </c>
      <c r="D257" s="14">
        <f>SUMIFS('Investor Exit List'!$Q:$Q,'Investor Exit List'!$AB:$AB,B257)</f>
        <v/>
      </c>
      <c r="E257" s="31">
        <f>LEFT(B257,6)</f>
        <v/>
      </c>
      <c r="F257" s="14">
        <f>IF(SUMIFS($E$119:$E$151,$D$119:$D$151,E257)&lt;&gt;0,E257,0)</f>
        <v/>
      </c>
      <c r="G257" s="59" t="n"/>
      <c r="I257" s="28">
        <f>IF(AND(SUMIFS($D$245:$D$595,$F$245:$F$595,0,$E$245:$E$595,$G257,$C$245:$C$595,"&lt;="&amp;B$2)&lt;1000000,SUMIFS($D$245:$D$595,$F$245:$F$595,0,$E$245:$E$595,$G257,$C$245:$C$595,"&lt;="&amp;I5)&gt;=1000000),SUMIFS($D$245:$D$595,$F$245:$F$595,0,$E$245:$E$595,$G257)*$C$157 ,0)</f>
        <v/>
      </c>
      <c r="K257" s="95">
        <f>IF(AND(SUMIFS($D$245:$D$595,$F$245:$F$595,0,$E$245:$E$595,$G257,$C$245:$C$595,"&lt;="&amp;I$5)&lt;1000000,SUMIFS($D$245:$D$595,$F$245:$F$595,0,$E$245:$E$595,$G257,$C$245:$C$595,"&lt;="&amp;K5)&gt;=1000000),SUMIFS($D$245:$D$595,$F$245:$F$595,0,$E$245:$E$595,$G257)*$C$157 ,0)</f>
        <v/>
      </c>
      <c r="M257" s="95">
        <f>IF(AND(SUMIFS($D$245:$D$595,$F$245:$F$595,0,$E$245:$E$595,$G257,$C$245:$C$595,"&lt;="&amp;K$5)&lt;1000000,SUMIFS($D$245:$D$595,$F$245:$F$595,0,$E$245:$E$595,$G257,$C$245:$C$595,"&lt;="&amp;M5)&gt;=1000000),SUMIFS($D$245:$D$595,$F$245:$F$595,0,$E$245:$E$595,$G257)*$C$157 ,0)</f>
        <v/>
      </c>
      <c r="O257" s="95">
        <f>IF(AND(SUMIFS($D$245:$D$595,$F$245:$F$595,0,$E$245:$E$595,$G257,$C$245:$C$595,"&lt;="&amp;M$5)&lt;1000000,SUMIFS($D$245:$D$595,$F$245:$F$595,0,$E$245:$E$595,$G257,$C$245:$C$595,"&lt;="&amp;O5)&gt;=1000000),SUMIFS($D$245:$D$595,$F$245:$F$595,0,$E$245:$E$595,$G257)*$C$157 ,0)</f>
        <v/>
      </c>
      <c r="Q257" s="95">
        <f>IF(AND(SUMIFS($D$245:$D$595,$F$245:$F$595,0,$E$245:$E$595,$G257,$C$245:$C$595,"&lt;="&amp;O$5)&lt;1000000,SUMIFS($D$245:$D$595,$F$245:$F$595,0,$E$245:$E$595,$G257,$C$245:$C$595,"&lt;="&amp;Q5)&gt;=1000000),SUMIFS($D$245:$D$595,$F$245:$F$595,0,$E$245:$E$595,$G257)*$C$157 ,0)</f>
        <v/>
      </c>
      <c r="S257" s="95">
        <f>IF(AND(SUMIFS($D$245:$D$595,$F$245:$F$595,0,$E$245:$E$595,$G257,$C$245:$C$595,"&lt;="&amp;Q$5)&lt;1000000,SUMIFS($D$245:$D$595,$F$245:$F$595,0,$E$245:$E$595,$G257,$C$245:$C$595,"&lt;="&amp;S5)&gt;=1000000),SUMIFS($D$245:$D$595,$F$245:$F$595,0,$E$245:$E$595,$G257)*$C$157 ,0)</f>
        <v/>
      </c>
      <c r="U257" s="95">
        <f>IF(AND(SUMIFS($D$245:$D$595,$F$245:$F$595,0,$E$245:$E$595,$G257,$C$245:$C$595,"&lt;="&amp;S$5)&lt;1000000,SUMIFS($D$245:$D$595,$F$245:$F$595,0,$E$245:$E$595,$G257,$C$245:$C$595,"&lt;="&amp;U5)&gt;=1000000),SUMIFS($D$245:$D$595,$F$245:$F$595,0,$E$245:$E$595,$G257)*$C$157 ,0)</f>
        <v/>
      </c>
      <c r="W257" s="95">
        <f>IF(AND(SUMIFS($D$245:$D$595,$F$245:$F$595,0,$E$245:$E$595,$G257,$C$245:$C$595,"&lt;="&amp;U$5)&lt;1000000,SUMIFS($D$245:$D$595,$F$245:$F$595,0,$E$245:$E$595,$G257,$C$245:$C$595,"&lt;="&amp;W5)&gt;=1000000),SUMIFS($D$245:$D$595,$F$245:$F$595,0,$E$245:$E$595,$G257)*$C$157 ,0)</f>
        <v/>
      </c>
      <c r="Y257" s="95">
        <f>IF(AND(SUMIFS($D$245:$D$595,$F$245:$F$595,0,$E$245:$E$595,$G257,$C$245:$C$595,"&lt;="&amp;W$5)&lt;1000000,SUMIFS($D$245:$D$595,$F$245:$F$595,0,$E$245:$E$595,$G257,$C$245:$C$595,"&lt;="&amp;Y5)&gt;=1000000),SUMIFS($D$245:$D$595,$F$245:$F$595,0,$E$245:$E$595,$G257)*$C$157 ,0)</f>
        <v/>
      </c>
      <c r="AA257" s="95">
        <f>IF(AND(SUMIFS($D$245:$D$595,$F$245:$F$595,0,$E$245:$E$595,$G257,$C$245:$C$595,"&lt;="&amp;Y$5)&lt;1000000,SUMIFS($D$245:$D$595,$F$245:$F$595,0,$E$245:$E$595,$G257,$C$245:$C$595,"&lt;="&amp;AA5)&gt;=1000000),SUMIFS($D$245:$D$595,$F$245:$F$595,0,$E$245:$E$595,$G257)*$C$157 ,0)</f>
        <v/>
      </c>
      <c r="AC257" s="95">
        <f>IF(AND(SUMIFS($D$245:$D$595,$F$245:$F$595,0,$E$245:$E$595,$G257,$C$245:$C$595,"&lt;="&amp;AA$5)&lt;1000000,SUMIFS($D$245:$D$595,$F$245:$F$595,0,$E$245:$E$595,$G257,$C$245:$C$595,"&lt;="&amp;AC5)&gt;=1000000),SUMIFS($D$245:$D$595,$F$245:$F$595,0,$E$245:$E$595,$G257)*$C$157 ,0)</f>
        <v/>
      </c>
      <c r="AE257" s="95">
        <f>IF(AND(SUMIFS($D$245:$D$595,$F$245:$F$595,0,$E$245:$E$595,$G257,$C$245:$C$595,"&lt;="&amp;AC$5)&lt;1000000,SUMIFS($D$245:$D$595,$F$245:$F$595,0,$E$245:$E$595,$G257,$C$245:$C$595,"&lt;="&amp;AE5)&gt;=1000000),SUMIFS($D$245:$D$595,$F$245:$F$595,0,$E$245:$E$595,$G257)*$C$157 ,0)</f>
        <v/>
      </c>
      <c r="AF257" s="19" t="n"/>
    </row>
    <row r="258">
      <c r="A258" s="20">
        <f>mid(E258, 3, 1)</f>
        <v/>
      </c>
      <c r="B258" s="14" t="inlineStr"/>
      <c r="C258" s="21">
        <f>SUMIFS('Investor Exit List'!$AC:$AC,'Investor Exit List'!$AB:$AB,B258)</f>
        <v/>
      </c>
      <c r="D258" s="14">
        <f>SUMIFS('Investor Exit List'!$Q:$Q,'Investor Exit List'!$AB:$AB,B258)</f>
        <v/>
      </c>
      <c r="E258" s="31">
        <f>LEFT(B258,6)</f>
        <v/>
      </c>
      <c r="F258" s="14">
        <f>IF(SUMIFS($E$119:$E$151,$D$119:$D$151,E258)&lt;&gt;0,E258,0)</f>
        <v/>
      </c>
      <c r="G258" s="59" t="n"/>
      <c r="I258" s="28">
        <f>IF(AND(SUMIFS($D$245:$D$595,$F$245:$F$595,0,$E$245:$E$595,$G258,$C$245:$C$595,"&lt;="&amp;B$2)&lt;1000000,SUMIFS($D$245:$D$595,$F$245:$F$595,0,$E$245:$E$595,$G258,$C$245:$C$595,"&lt;="&amp;I5)&gt;=1000000),SUMIFS($D$245:$D$595,$F$245:$F$595,0,$E$245:$E$595,$G258)*$C$157 ,0)</f>
        <v/>
      </c>
      <c r="K258" s="95">
        <f>IF(AND(SUMIFS($D$245:$D$595,$F$245:$F$595,0,$E$245:$E$595,$G258,$C$245:$C$595,"&lt;="&amp;I$5)&lt;1000000,SUMIFS($D$245:$D$595,$F$245:$F$595,0,$E$245:$E$595,$G258,$C$245:$C$595,"&lt;="&amp;K5)&gt;=1000000),SUMIFS($D$245:$D$595,$F$245:$F$595,0,$E$245:$E$595,$G258)*$C$157 ,0)</f>
        <v/>
      </c>
      <c r="M258" s="95">
        <f>IF(AND(SUMIFS($D$245:$D$595,$F$245:$F$595,0,$E$245:$E$595,$G258,$C$245:$C$595,"&lt;="&amp;K$5)&lt;1000000,SUMIFS($D$245:$D$595,$F$245:$F$595,0,$E$245:$E$595,$G258,$C$245:$C$595,"&lt;="&amp;M5)&gt;=1000000),SUMIFS($D$245:$D$595,$F$245:$F$595,0,$E$245:$E$595,$G258)*$C$157 ,0)</f>
        <v/>
      </c>
      <c r="O258" s="95">
        <f>IF(AND(SUMIFS($D$245:$D$595,$F$245:$F$595,0,$E$245:$E$595,$G258,$C$245:$C$595,"&lt;="&amp;M$5)&lt;1000000,SUMIFS($D$245:$D$595,$F$245:$F$595,0,$E$245:$E$595,$G258,$C$245:$C$595,"&lt;="&amp;O5)&gt;=1000000),SUMIFS($D$245:$D$595,$F$245:$F$595,0,$E$245:$E$595,$G258)*$C$157 ,0)</f>
        <v/>
      </c>
      <c r="Q258" s="95">
        <f>IF(AND(SUMIFS($D$245:$D$595,$F$245:$F$595,0,$E$245:$E$595,$G258,$C$245:$C$595,"&lt;="&amp;O$5)&lt;1000000,SUMIFS($D$245:$D$595,$F$245:$F$595,0,$E$245:$E$595,$G258,$C$245:$C$595,"&lt;="&amp;Q5)&gt;=1000000),SUMIFS($D$245:$D$595,$F$245:$F$595,0,$E$245:$E$595,$G258)*$C$157 ,0)</f>
        <v/>
      </c>
      <c r="S258" s="95">
        <f>IF(AND(SUMIFS($D$245:$D$595,$F$245:$F$595,0,$E$245:$E$595,$G258,$C$245:$C$595,"&lt;="&amp;Q$5)&lt;1000000,SUMIFS($D$245:$D$595,$F$245:$F$595,0,$E$245:$E$595,$G258,$C$245:$C$595,"&lt;="&amp;S5)&gt;=1000000),SUMIFS($D$245:$D$595,$F$245:$F$595,0,$E$245:$E$595,$G258)*$C$157 ,0)</f>
        <v/>
      </c>
      <c r="U258" s="95">
        <f>IF(AND(SUMIFS($D$245:$D$595,$F$245:$F$595,0,$E$245:$E$595,$G258,$C$245:$C$595,"&lt;="&amp;S$5)&lt;1000000,SUMIFS($D$245:$D$595,$F$245:$F$595,0,$E$245:$E$595,$G258,$C$245:$C$595,"&lt;="&amp;U5)&gt;=1000000),SUMIFS($D$245:$D$595,$F$245:$F$595,0,$E$245:$E$595,$G258)*$C$157 ,0)</f>
        <v/>
      </c>
      <c r="W258" s="95">
        <f>IF(AND(SUMIFS($D$245:$D$595,$F$245:$F$595,0,$E$245:$E$595,$G258,$C$245:$C$595,"&lt;="&amp;U$5)&lt;1000000,SUMIFS($D$245:$D$595,$F$245:$F$595,0,$E$245:$E$595,$G258,$C$245:$C$595,"&lt;="&amp;W5)&gt;=1000000),SUMIFS($D$245:$D$595,$F$245:$F$595,0,$E$245:$E$595,$G258)*$C$157 ,0)</f>
        <v/>
      </c>
      <c r="Y258" s="95">
        <f>IF(AND(SUMIFS($D$245:$D$595,$F$245:$F$595,0,$E$245:$E$595,$G258,$C$245:$C$595,"&lt;="&amp;W$5)&lt;1000000,SUMIFS($D$245:$D$595,$F$245:$F$595,0,$E$245:$E$595,$G258,$C$245:$C$595,"&lt;="&amp;Y5)&gt;=1000000),SUMIFS($D$245:$D$595,$F$245:$F$595,0,$E$245:$E$595,$G258)*$C$157 ,0)</f>
        <v/>
      </c>
      <c r="AA258" s="95">
        <f>IF(AND(SUMIFS($D$245:$D$595,$F$245:$F$595,0,$E$245:$E$595,$G258,$C$245:$C$595,"&lt;="&amp;Y$5)&lt;1000000,SUMIFS($D$245:$D$595,$F$245:$F$595,0,$E$245:$E$595,$G258,$C$245:$C$595,"&lt;="&amp;AA5)&gt;=1000000),SUMIFS($D$245:$D$595,$F$245:$F$595,0,$E$245:$E$595,$G258)*$C$157 ,0)</f>
        <v/>
      </c>
      <c r="AC258" s="95">
        <f>IF(AND(SUMIFS($D$245:$D$595,$F$245:$F$595,0,$E$245:$E$595,$G258,$C$245:$C$595,"&lt;="&amp;AA$5)&lt;1000000,SUMIFS($D$245:$D$595,$F$245:$F$595,0,$E$245:$E$595,$G258,$C$245:$C$595,"&lt;="&amp;AC5)&gt;=1000000),SUMIFS($D$245:$D$595,$F$245:$F$595,0,$E$245:$E$595,$G258)*$C$157 ,0)</f>
        <v/>
      </c>
      <c r="AE258" s="95">
        <f>IF(AND(SUMIFS($D$245:$D$595,$F$245:$F$595,0,$E$245:$E$595,$G258,$C$245:$C$595,"&lt;="&amp;AC$5)&lt;1000000,SUMIFS($D$245:$D$595,$F$245:$F$595,0,$E$245:$E$595,$G258,$C$245:$C$595,"&lt;="&amp;AE5)&gt;=1000000),SUMIFS($D$245:$D$595,$F$245:$F$595,0,$E$245:$E$595,$G258)*$C$157 ,0)</f>
        <v/>
      </c>
      <c r="AF258" s="19" t="n"/>
    </row>
    <row r="259">
      <c r="A259" s="20">
        <f>mid(E259, 3, 1)</f>
        <v/>
      </c>
      <c r="B259" s="14" t="inlineStr"/>
      <c r="C259" s="21">
        <f>SUMIFS('Investor Exit List'!$AC:$AC,'Investor Exit List'!$AB:$AB,B259)</f>
        <v/>
      </c>
      <c r="D259" s="14">
        <f>SUMIFS('Investor Exit List'!$Q:$Q,'Investor Exit List'!$AB:$AB,B259)</f>
        <v/>
      </c>
      <c r="E259" s="31">
        <f>LEFT(B259,6)</f>
        <v/>
      </c>
      <c r="F259" s="14">
        <f>IF(SUMIFS($E$119:$E$151,$D$119:$D$151,E259)&lt;&gt;0,E259,0)</f>
        <v/>
      </c>
      <c r="G259" s="59" t="n"/>
      <c r="I259" s="28">
        <f>IF(AND(SUMIFS($D$245:$D$595,$F$245:$F$595,0,$E$245:$E$595,$G259,$C$245:$C$595,"&lt;="&amp;B$2)&lt;1000000,SUMIFS($D$245:$D$595,$F$245:$F$595,0,$E$245:$E$595,$G259,$C$245:$C$595,"&lt;="&amp;I5)&gt;=1000000),SUMIFS($D$245:$D$595,$F$245:$F$595,0,$E$245:$E$595,$G259)*$C$157 ,0)</f>
        <v/>
      </c>
      <c r="K259" s="95">
        <f>IF(AND(SUMIFS($D$245:$D$595,$F$245:$F$595,0,$E$245:$E$595,$G259,$C$245:$C$595,"&lt;="&amp;I$5)&lt;1000000,SUMIFS($D$245:$D$595,$F$245:$F$595,0,$E$245:$E$595,$G259,$C$245:$C$595,"&lt;="&amp;K5)&gt;=1000000),SUMIFS($D$245:$D$595,$F$245:$F$595,0,$E$245:$E$595,$G259)*$C$157 ,0)</f>
        <v/>
      </c>
      <c r="M259" s="95">
        <f>IF(AND(SUMIFS($D$245:$D$595,$F$245:$F$595,0,$E$245:$E$595,$G259,$C$245:$C$595,"&lt;="&amp;K$5)&lt;1000000,SUMIFS($D$245:$D$595,$F$245:$F$595,0,$E$245:$E$595,$G259,$C$245:$C$595,"&lt;="&amp;M5)&gt;=1000000),SUMIFS($D$245:$D$595,$F$245:$F$595,0,$E$245:$E$595,$G259)*$C$157 ,0)</f>
        <v/>
      </c>
      <c r="O259" s="95">
        <f>IF(AND(SUMIFS($D$245:$D$595,$F$245:$F$595,0,$E$245:$E$595,$G259,$C$245:$C$595,"&lt;="&amp;M$5)&lt;1000000,SUMIFS($D$245:$D$595,$F$245:$F$595,0,$E$245:$E$595,$G259,$C$245:$C$595,"&lt;="&amp;O5)&gt;=1000000),SUMIFS($D$245:$D$595,$F$245:$F$595,0,$E$245:$E$595,$G259)*$C$157 ,0)</f>
        <v/>
      </c>
      <c r="Q259" s="95">
        <f>IF(AND(SUMIFS($D$245:$D$595,$F$245:$F$595,0,$E$245:$E$595,$G259,$C$245:$C$595,"&lt;="&amp;O$5)&lt;1000000,SUMIFS($D$245:$D$595,$F$245:$F$595,0,$E$245:$E$595,$G259,$C$245:$C$595,"&lt;="&amp;Q5)&gt;=1000000),SUMIFS($D$245:$D$595,$F$245:$F$595,0,$E$245:$E$595,$G259)*$C$157 ,0)</f>
        <v/>
      </c>
      <c r="S259" s="95">
        <f>IF(AND(SUMIFS($D$245:$D$595,$F$245:$F$595,0,$E$245:$E$595,$G259,$C$245:$C$595,"&lt;="&amp;Q$5)&lt;1000000,SUMIFS($D$245:$D$595,$F$245:$F$595,0,$E$245:$E$595,$G259,$C$245:$C$595,"&lt;="&amp;S5)&gt;=1000000),SUMIFS($D$245:$D$595,$F$245:$F$595,0,$E$245:$E$595,$G259)*$C$157 ,0)</f>
        <v/>
      </c>
      <c r="U259" s="95">
        <f>IF(AND(SUMIFS($D$245:$D$595,$F$245:$F$595,0,$E$245:$E$595,$G259,$C$245:$C$595,"&lt;="&amp;S$5)&lt;1000000,SUMIFS($D$245:$D$595,$F$245:$F$595,0,$E$245:$E$595,$G259,$C$245:$C$595,"&lt;="&amp;U5)&gt;=1000000),SUMIFS($D$245:$D$595,$F$245:$F$595,0,$E$245:$E$595,$G259)*$C$157 ,0)</f>
        <v/>
      </c>
      <c r="W259" s="95">
        <f>IF(AND(SUMIFS($D$245:$D$595,$F$245:$F$595,0,$E$245:$E$595,$G259,$C$245:$C$595,"&lt;="&amp;U$5)&lt;1000000,SUMIFS($D$245:$D$595,$F$245:$F$595,0,$E$245:$E$595,$G259,$C$245:$C$595,"&lt;="&amp;W5)&gt;=1000000),SUMIFS($D$245:$D$595,$F$245:$F$595,0,$E$245:$E$595,$G259)*$C$157 ,0)</f>
        <v/>
      </c>
      <c r="Y259" s="95">
        <f>IF(AND(SUMIFS($D$245:$D$595,$F$245:$F$595,0,$E$245:$E$595,$G259,$C$245:$C$595,"&lt;="&amp;W$5)&lt;1000000,SUMIFS($D$245:$D$595,$F$245:$F$595,0,$E$245:$E$595,$G259,$C$245:$C$595,"&lt;="&amp;Y5)&gt;=1000000),SUMIFS($D$245:$D$595,$F$245:$F$595,0,$E$245:$E$595,$G259)*$C$157 ,0)</f>
        <v/>
      </c>
      <c r="AA259" s="95">
        <f>IF(AND(SUMIFS($D$245:$D$595,$F$245:$F$595,0,$E$245:$E$595,$G259,$C$245:$C$595,"&lt;="&amp;Y$5)&lt;1000000,SUMIFS($D$245:$D$595,$F$245:$F$595,0,$E$245:$E$595,$G259,$C$245:$C$595,"&lt;="&amp;AA5)&gt;=1000000),SUMIFS($D$245:$D$595,$F$245:$F$595,0,$E$245:$E$595,$G259)*$C$157 ,0)</f>
        <v/>
      </c>
      <c r="AC259" s="95">
        <f>IF(AND(SUMIFS($D$245:$D$595,$F$245:$F$595,0,$E$245:$E$595,$G259,$C$245:$C$595,"&lt;="&amp;AA$5)&lt;1000000,SUMIFS($D$245:$D$595,$F$245:$F$595,0,$E$245:$E$595,$G259,$C$245:$C$595,"&lt;="&amp;AC5)&gt;=1000000),SUMIFS($D$245:$D$595,$F$245:$F$595,0,$E$245:$E$595,$G259)*$C$157 ,0)</f>
        <v/>
      </c>
      <c r="AE259" s="95">
        <f>IF(AND(SUMIFS($D$245:$D$595,$F$245:$F$595,0,$E$245:$E$595,$G259,$C$245:$C$595,"&lt;="&amp;AC$5)&lt;1000000,SUMIFS($D$245:$D$595,$F$245:$F$595,0,$E$245:$E$595,$G259,$C$245:$C$595,"&lt;="&amp;AE5)&gt;=1000000),SUMIFS($D$245:$D$595,$F$245:$F$595,0,$E$245:$E$595,$G259)*$C$157 ,0)</f>
        <v/>
      </c>
      <c r="AF259" s="19" t="n"/>
    </row>
    <row r="260">
      <c r="A260" s="20">
        <f>mid(E260, 3, 1)</f>
        <v/>
      </c>
      <c r="B260" s="14" t="inlineStr"/>
      <c r="C260" s="21">
        <f>SUMIFS('Investor Exit List'!$AC:$AC,'Investor Exit List'!$AB:$AB,B260)</f>
        <v/>
      </c>
      <c r="D260" s="14">
        <f>SUMIFS('Investor Exit List'!$Q:$Q,'Investor Exit List'!$AB:$AB,B260)</f>
        <v/>
      </c>
      <c r="E260" s="31">
        <f>LEFT(B260,6)</f>
        <v/>
      </c>
      <c r="F260" s="14">
        <f>IF(SUMIFS($E$119:$E$151,$D$119:$D$151,E260)&lt;&gt;0,E260,0)</f>
        <v/>
      </c>
      <c r="G260" s="59" t="n"/>
      <c r="I260" s="28">
        <f>IF(AND(SUMIFS($D$245:$D$595,$F$245:$F$595,0,$E$245:$E$595,$G260,$C$245:$C$595,"&lt;="&amp;B$2)&lt;1000000,SUMIFS($D$245:$D$595,$F$245:$F$595,0,$E$245:$E$595,$G260,$C$245:$C$595,"&lt;="&amp;I5)&gt;=1000000),SUMIFS($D$245:$D$595,$F$245:$F$595,0,$E$245:$E$595,$G260)*$C$157 ,0)</f>
        <v/>
      </c>
      <c r="K260" s="95">
        <f>IF(AND(SUMIFS($D$245:$D$595,$F$245:$F$595,0,$E$245:$E$595,$G260,$C$245:$C$595,"&lt;="&amp;I$5)&lt;1000000,SUMIFS($D$245:$D$595,$F$245:$F$595,0,$E$245:$E$595,$G260,$C$245:$C$595,"&lt;="&amp;K5)&gt;=1000000),SUMIFS($D$245:$D$595,$F$245:$F$595,0,$E$245:$E$595,$G260)*$C$157 ,0)</f>
        <v/>
      </c>
      <c r="M260" s="95">
        <f>IF(AND(SUMIFS($D$245:$D$595,$F$245:$F$595,0,$E$245:$E$595,$G260,$C$245:$C$595,"&lt;="&amp;K$5)&lt;1000000,SUMIFS($D$245:$D$595,$F$245:$F$595,0,$E$245:$E$595,$G260,$C$245:$C$595,"&lt;="&amp;M5)&gt;=1000000),SUMIFS($D$245:$D$595,$F$245:$F$595,0,$E$245:$E$595,$G260)*$C$157 ,0)</f>
        <v/>
      </c>
      <c r="O260" s="95">
        <f>IF(AND(SUMIFS($D$245:$D$595,$F$245:$F$595,0,$E$245:$E$595,$G260,$C$245:$C$595,"&lt;="&amp;M$5)&lt;1000000,SUMIFS($D$245:$D$595,$F$245:$F$595,0,$E$245:$E$595,$G260,$C$245:$C$595,"&lt;="&amp;O5)&gt;=1000000),SUMIFS($D$245:$D$595,$F$245:$F$595,0,$E$245:$E$595,$G260)*$C$157 ,0)</f>
        <v/>
      </c>
      <c r="Q260" s="95">
        <f>IF(AND(SUMIFS($D$245:$D$595,$F$245:$F$595,0,$E$245:$E$595,$G260,$C$245:$C$595,"&lt;="&amp;O$5)&lt;1000000,SUMIFS($D$245:$D$595,$F$245:$F$595,0,$E$245:$E$595,$G260,$C$245:$C$595,"&lt;="&amp;Q5)&gt;=1000000),SUMIFS($D$245:$D$595,$F$245:$F$595,0,$E$245:$E$595,$G260)*$C$157 ,0)</f>
        <v/>
      </c>
      <c r="S260" s="95">
        <f>IF(AND(SUMIFS($D$245:$D$595,$F$245:$F$595,0,$E$245:$E$595,$G260,$C$245:$C$595,"&lt;="&amp;Q$5)&lt;1000000,SUMIFS($D$245:$D$595,$F$245:$F$595,0,$E$245:$E$595,$G260,$C$245:$C$595,"&lt;="&amp;S5)&gt;=1000000),SUMIFS($D$245:$D$595,$F$245:$F$595,0,$E$245:$E$595,$G260)*$C$157 ,0)</f>
        <v/>
      </c>
      <c r="U260" s="95">
        <f>IF(AND(SUMIFS($D$245:$D$595,$F$245:$F$595,0,$E$245:$E$595,$G260,$C$245:$C$595,"&lt;="&amp;S$5)&lt;1000000,SUMIFS($D$245:$D$595,$F$245:$F$595,0,$E$245:$E$595,$G260,$C$245:$C$595,"&lt;="&amp;U5)&gt;=1000000),SUMIFS($D$245:$D$595,$F$245:$F$595,0,$E$245:$E$595,$G260)*$C$157 ,0)</f>
        <v/>
      </c>
      <c r="W260" s="95">
        <f>IF(AND(SUMIFS($D$245:$D$595,$F$245:$F$595,0,$E$245:$E$595,$G260,$C$245:$C$595,"&lt;="&amp;U$5)&lt;1000000,SUMIFS($D$245:$D$595,$F$245:$F$595,0,$E$245:$E$595,$G260,$C$245:$C$595,"&lt;="&amp;W5)&gt;=1000000),SUMIFS($D$245:$D$595,$F$245:$F$595,0,$E$245:$E$595,$G260)*$C$157 ,0)</f>
        <v/>
      </c>
      <c r="Y260" s="95">
        <f>IF(AND(SUMIFS($D$245:$D$595,$F$245:$F$595,0,$E$245:$E$595,$G260,$C$245:$C$595,"&lt;="&amp;W$5)&lt;1000000,SUMIFS($D$245:$D$595,$F$245:$F$595,0,$E$245:$E$595,$G260,$C$245:$C$595,"&lt;="&amp;Y5)&gt;=1000000),SUMIFS($D$245:$D$595,$F$245:$F$595,0,$E$245:$E$595,$G260)*$C$157 ,0)</f>
        <v/>
      </c>
      <c r="AA260" s="95">
        <f>IF(AND(SUMIFS($D$245:$D$595,$F$245:$F$595,0,$E$245:$E$595,$G260,$C$245:$C$595,"&lt;="&amp;Y$5)&lt;1000000,SUMIFS($D$245:$D$595,$F$245:$F$595,0,$E$245:$E$595,$G260,$C$245:$C$595,"&lt;="&amp;AA5)&gt;=1000000),SUMIFS($D$245:$D$595,$F$245:$F$595,0,$E$245:$E$595,$G260)*$C$157 ,0)</f>
        <v/>
      </c>
      <c r="AC260" s="95">
        <f>IF(AND(SUMIFS($D$245:$D$595,$F$245:$F$595,0,$E$245:$E$595,$G260,$C$245:$C$595,"&lt;="&amp;AA$5)&lt;1000000,SUMIFS($D$245:$D$595,$F$245:$F$595,0,$E$245:$E$595,$G260,$C$245:$C$595,"&lt;="&amp;AC5)&gt;=1000000),SUMIFS($D$245:$D$595,$F$245:$F$595,0,$E$245:$E$595,$G260)*$C$157 ,0)</f>
        <v/>
      </c>
      <c r="AE260" s="95">
        <f>IF(AND(SUMIFS($D$245:$D$595,$F$245:$F$595,0,$E$245:$E$595,$G260,$C$245:$C$595,"&lt;="&amp;AC$5)&lt;1000000,SUMIFS($D$245:$D$595,$F$245:$F$595,0,$E$245:$E$595,$G260,$C$245:$C$595,"&lt;="&amp;AE5)&gt;=1000000),SUMIFS($D$245:$D$595,$F$245:$F$595,0,$E$245:$E$595,$G260)*$C$157 ,0)</f>
        <v/>
      </c>
      <c r="AF260" s="19" t="n"/>
    </row>
    <row r="261">
      <c r="A261" s="20">
        <f>mid(E261, 3, 1)</f>
        <v/>
      </c>
      <c r="B261" s="14" t="inlineStr"/>
      <c r="C261" s="21">
        <f>SUMIFS('Investor Exit List'!$AC:$AC,'Investor Exit List'!$AB:$AB,B261)</f>
        <v/>
      </c>
      <c r="D261" s="14">
        <f>SUMIFS('Investor Exit List'!$Q:$Q,'Investor Exit List'!$AB:$AB,B261)</f>
        <v/>
      </c>
      <c r="E261" s="31">
        <f>LEFT(B261,6)</f>
        <v/>
      </c>
      <c r="F261" s="14">
        <f>IF(SUMIFS($E$119:$E$151,$D$119:$D$151,E261)&lt;&gt;0,E261,0)</f>
        <v/>
      </c>
      <c r="G261" s="59" t="n"/>
      <c r="I261" s="28">
        <f>IF(AND(SUMIFS($D$245:$D$595,$F$245:$F$595,0,$E$245:$E$595,$G261,$C$245:$C$595,"&lt;="&amp;B$2)&lt;1000000,SUMIFS($D$245:$D$595,$F$245:$F$595,0,$E$245:$E$595,$G261,$C$245:$C$595,"&lt;="&amp;I5)&gt;=1000000),SUMIFS($D$245:$D$595,$F$245:$F$595,0,$E$245:$E$595,$G261)*$C$157 ,0)</f>
        <v/>
      </c>
      <c r="K261" s="95">
        <f>IF(AND(SUMIFS($D$245:$D$595,$F$245:$F$595,0,$E$245:$E$595,$G261,$C$245:$C$595,"&lt;="&amp;I$5)&lt;1000000,SUMIFS($D$245:$D$595,$F$245:$F$595,0,$E$245:$E$595,$G261,$C$245:$C$595,"&lt;="&amp;K5)&gt;=1000000),SUMIFS($D$245:$D$595,$F$245:$F$595,0,$E$245:$E$595,$G261)*$C$157 ,0)</f>
        <v/>
      </c>
      <c r="M261" s="95">
        <f>IF(AND(SUMIFS($D$245:$D$595,$F$245:$F$595,0,$E$245:$E$595,$G261,$C$245:$C$595,"&lt;="&amp;K$5)&lt;1000000,SUMIFS($D$245:$D$595,$F$245:$F$595,0,$E$245:$E$595,$G261,$C$245:$C$595,"&lt;="&amp;M5)&gt;=1000000),SUMIFS($D$245:$D$595,$F$245:$F$595,0,$E$245:$E$595,$G261)*$C$157 ,0)</f>
        <v/>
      </c>
      <c r="O261" s="95">
        <f>IF(AND(SUMIFS($D$245:$D$595,$F$245:$F$595,0,$E$245:$E$595,$G261,$C$245:$C$595,"&lt;="&amp;M$5)&lt;1000000,SUMIFS($D$245:$D$595,$F$245:$F$595,0,$E$245:$E$595,$G261,$C$245:$C$595,"&lt;="&amp;O5)&gt;=1000000),SUMIFS($D$245:$D$595,$F$245:$F$595,0,$E$245:$E$595,$G261)*$C$157 ,0)</f>
        <v/>
      </c>
      <c r="Q261" s="95">
        <f>IF(AND(SUMIFS($D$245:$D$595,$F$245:$F$595,0,$E$245:$E$595,$G261,$C$245:$C$595,"&lt;="&amp;O$5)&lt;1000000,SUMIFS($D$245:$D$595,$F$245:$F$595,0,$E$245:$E$595,$G261,$C$245:$C$595,"&lt;="&amp;Q5)&gt;=1000000),SUMIFS($D$245:$D$595,$F$245:$F$595,0,$E$245:$E$595,$G261)*$C$157 ,0)</f>
        <v/>
      </c>
      <c r="S261" s="95">
        <f>IF(AND(SUMIFS($D$245:$D$595,$F$245:$F$595,0,$E$245:$E$595,$G261,$C$245:$C$595,"&lt;="&amp;Q$5)&lt;1000000,SUMIFS($D$245:$D$595,$F$245:$F$595,0,$E$245:$E$595,$G261,$C$245:$C$595,"&lt;="&amp;S5)&gt;=1000000),SUMIFS($D$245:$D$595,$F$245:$F$595,0,$E$245:$E$595,$G261)*$C$157 ,0)</f>
        <v/>
      </c>
      <c r="U261" s="95">
        <f>IF(AND(SUMIFS($D$245:$D$595,$F$245:$F$595,0,$E$245:$E$595,$G261,$C$245:$C$595,"&lt;="&amp;S$5)&lt;1000000,SUMIFS($D$245:$D$595,$F$245:$F$595,0,$E$245:$E$595,$G261,$C$245:$C$595,"&lt;="&amp;U5)&gt;=1000000),SUMIFS($D$245:$D$595,$F$245:$F$595,0,$E$245:$E$595,$G261)*$C$157 ,0)</f>
        <v/>
      </c>
      <c r="W261" s="95">
        <f>IF(AND(SUMIFS($D$245:$D$595,$F$245:$F$595,0,$E$245:$E$595,$G261,$C$245:$C$595,"&lt;="&amp;U$5)&lt;1000000,SUMIFS($D$245:$D$595,$F$245:$F$595,0,$E$245:$E$595,$G261,$C$245:$C$595,"&lt;="&amp;W5)&gt;=1000000),SUMIFS($D$245:$D$595,$F$245:$F$595,0,$E$245:$E$595,$G261)*$C$157 ,0)</f>
        <v/>
      </c>
      <c r="Y261" s="95">
        <f>IF(AND(SUMIFS($D$245:$D$595,$F$245:$F$595,0,$E$245:$E$595,$G261,$C$245:$C$595,"&lt;="&amp;W$5)&lt;1000000,SUMIFS($D$245:$D$595,$F$245:$F$595,0,$E$245:$E$595,$G261,$C$245:$C$595,"&lt;="&amp;Y5)&gt;=1000000),SUMIFS($D$245:$D$595,$F$245:$F$595,0,$E$245:$E$595,$G261)*$C$157 ,0)</f>
        <v/>
      </c>
      <c r="AA261" s="95">
        <f>IF(AND(SUMIFS($D$245:$D$595,$F$245:$F$595,0,$E$245:$E$595,$G261,$C$245:$C$595,"&lt;="&amp;Y$5)&lt;1000000,SUMIFS($D$245:$D$595,$F$245:$F$595,0,$E$245:$E$595,$G261,$C$245:$C$595,"&lt;="&amp;AA5)&gt;=1000000),SUMIFS($D$245:$D$595,$F$245:$F$595,0,$E$245:$E$595,$G261)*$C$157 ,0)</f>
        <v/>
      </c>
      <c r="AC261" s="95">
        <f>IF(AND(SUMIFS($D$245:$D$595,$F$245:$F$595,0,$E$245:$E$595,$G261,$C$245:$C$595,"&lt;="&amp;AA$5)&lt;1000000,SUMIFS($D$245:$D$595,$F$245:$F$595,0,$E$245:$E$595,$G261,$C$245:$C$595,"&lt;="&amp;AC5)&gt;=1000000),SUMIFS($D$245:$D$595,$F$245:$F$595,0,$E$245:$E$595,$G261)*$C$157 ,0)</f>
        <v/>
      </c>
      <c r="AE261" s="95">
        <f>IF(AND(SUMIFS($D$245:$D$595,$F$245:$F$595,0,$E$245:$E$595,$G261,$C$245:$C$595,"&lt;="&amp;AC$5)&lt;1000000,SUMIFS($D$245:$D$595,$F$245:$F$595,0,$E$245:$E$595,$G261,$C$245:$C$595,"&lt;="&amp;AE5)&gt;=1000000),SUMIFS($D$245:$D$595,$F$245:$F$595,0,$E$245:$E$595,$G261)*$C$157 ,0)</f>
        <v/>
      </c>
      <c r="AF261" s="19" t="n"/>
    </row>
    <row r="262">
      <c r="A262" s="20">
        <f>mid(E262, 3, 1)</f>
        <v/>
      </c>
      <c r="B262" s="14" t="inlineStr"/>
      <c r="C262" s="21">
        <f>SUMIFS('Investor Exit List'!$AC:$AC,'Investor Exit List'!$AB:$AB,B262)</f>
        <v/>
      </c>
      <c r="D262" s="14">
        <f>SUMIFS('Investor Exit List'!$Q:$Q,'Investor Exit List'!$AB:$AB,B262)</f>
        <v/>
      </c>
      <c r="E262" s="31">
        <f>LEFT(B262,6)</f>
        <v/>
      </c>
      <c r="F262" s="14">
        <f>IF(SUMIFS($E$119:$E$151,$D$119:$D$151,E262)&lt;&gt;0,E262,0)</f>
        <v/>
      </c>
      <c r="G262" s="59" t="n"/>
      <c r="I262" s="28">
        <f>IF(AND(SUMIFS($D$245:$D$595,$F$245:$F$595,0,$E$245:$E$595,$G262,$C$245:$C$595,"&lt;="&amp;B$2)&lt;1000000,SUMIFS($D$245:$D$595,$F$245:$F$595,0,$E$245:$E$595,$G262,$C$245:$C$595,"&lt;="&amp;I5)&gt;=1000000),SUMIFS($D$245:$D$595,$F$245:$F$595,0,$E$245:$E$595,$G262)*$C$157 ,0)</f>
        <v/>
      </c>
      <c r="K262" s="95">
        <f>IF(AND(SUMIFS($D$245:$D$595,$F$245:$F$595,0,$E$245:$E$595,$G262,$C$245:$C$595,"&lt;="&amp;I$5)&lt;1000000,SUMIFS($D$245:$D$595,$F$245:$F$595,0,$E$245:$E$595,$G262,$C$245:$C$595,"&lt;="&amp;K5)&gt;=1000000),SUMIFS($D$245:$D$595,$F$245:$F$595,0,$E$245:$E$595,$G262)*$C$157 ,0)</f>
        <v/>
      </c>
      <c r="M262" s="95">
        <f>IF(AND(SUMIFS($D$245:$D$595,$F$245:$F$595,0,$E$245:$E$595,$G262,$C$245:$C$595,"&lt;="&amp;K$5)&lt;1000000,SUMIFS($D$245:$D$595,$F$245:$F$595,0,$E$245:$E$595,$G262,$C$245:$C$595,"&lt;="&amp;M5)&gt;=1000000),SUMIFS($D$245:$D$595,$F$245:$F$595,0,$E$245:$E$595,$G262)*$C$157 ,0)</f>
        <v/>
      </c>
      <c r="O262" s="95">
        <f>IF(AND(SUMIFS($D$245:$D$595,$F$245:$F$595,0,$E$245:$E$595,$G262,$C$245:$C$595,"&lt;="&amp;M$5)&lt;1000000,SUMIFS($D$245:$D$595,$F$245:$F$595,0,$E$245:$E$595,$G262,$C$245:$C$595,"&lt;="&amp;O5)&gt;=1000000),SUMIFS($D$245:$D$595,$F$245:$F$595,0,$E$245:$E$595,$G262)*$C$157 ,0)</f>
        <v/>
      </c>
      <c r="Q262" s="95">
        <f>IF(AND(SUMIFS($D$245:$D$595,$F$245:$F$595,0,$E$245:$E$595,$G262,$C$245:$C$595,"&lt;="&amp;O$5)&lt;1000000,SUMIFS($D$245:$D$595,$F$245:$F$595,0,$E$245:$E$595,$G262,$C$245:$C$595,"&lt;="&amp;Q5)&gt;=1000000),SUMIFS($D$245:$D$595,$F$245:$F$595,0,$E$245:$E$595,$G262)*$C$157 ,0)</f>
        <v/>
      </c>
      <c r="S262" s="95">
        <f>IF(AND(SUMIFS($D$245:$D$595,$F$245:$F$595,0,$E$245:$E$595,$G262,$C$245:$C$595,"&lt;="&amp;Q$5)&lt;1000000,SUMIFS($D$245:$D$595,$F$245:$F$595,0,$E$245:$E$595,$G262,$C$245:$C$595,"&lt;="&amp;S5)&gt;=1000000),SUMIFS($D$245:$D$595,$F$245:$F$595,0,$E$245:$E$595,$G262)*$C$157 ,0)</f>
        <v/>
      </c>
      <c r="U262" s="95">
        <f>IF(AND(SUMIFS($D$245:$D$595,$F$245:$F$595,0,$E$245:$E$595,$G262,$C$245:$C$595,"&lt;="&amp;S$5)&lt;1000000,SUMIFS($D$245:$D$595,$F$245:$F$595,0,$E$245:$E$595,$G262,$C$245:$C$595,"&lt;="&amp;U5)&gt;=1000000),SUMIFS($D$245:$D$595,$F$245:$F$595,0,$E$245:$E$595,$G262)*$C$157 ,0)</f>
        <v/>
      </c>
      <c r="W262" s="95">
        <f>IF(AND(SUMIFS($D$245:$D$595,$F$245:$F$595,0,$E$245:$E$595,$G262,$C$245:$C$595,"&lt;="&amp;U$5)&lt;1000000,SUMIFS($D$245:$D$595,$F$245:$F$595,0,$E$245:$E$595,$G262,$C$245:$C$595,"&lt;="&amp;W5)&gt;=1000000),SUMIFS($D$245:$D$595,$F$245:$F$595,0,$E$245:$E$595,$G262)*$C$157 ,0)</f>
        <v/>
      </c>
      <c r="Y262" s="95">
        <f>IF(AND(SUMIFS($D$245:$D$595,$F$245:$F$595,0,$E$245:$E$595,$G262,$C$245:$C$595,"&lt;="&amp;W$5)&lt;1000000,SUMIFS($D$245:$D$595,$F$245:$F$595,0,$E$245:$E$595,$G262,$C$245:$C$595,"&lt;="&amp;Y5)&gt;=1000000),SUMIFS($D$245:$D$595,$F$245:$F$595,0,$E$245:$E$595,$G262)*$C$157 ,0)</f>
        <v/>
      </c>
      <c r="AA262" s="95">
        <f>IF(AND(SUMIFS($D$245:$D$595,$F$245:$F$595,0,$E$245:$E$595,$G262,$C$245:$C$595,"&lt;="&amp;Y$5)&lt;1000000,SUMIFS($D$245:$D$595,$F$245:$F$595,0,$E$245:$E$595,$G262,$C$245:$C$595,"&lt;="&amp;AA5)&gt;=1000000),SUMIFS($D$245:$D$595,$F$245:$F$595,0,$E$245:$E$595,$G262)*$C$157 ,0)</f>
        <v/>
      </c>
      <c r="AC262" s="95">
        <f>IF(AND(SUMIFS($D$245:$D$595,$F$245:$F$595,0,$E$245:$E$595,$G262,$C$245:$C$595,"&lt;="&amp;AA$5)&lt;1000000,SUMIFS($D$245:$D$595,$F$245:$F$595,0,$E$245:$E$595,$G262,$C$245:$C$595,"&lt;="&amp;AC5)&gt;=1000000),SUMIFS($D$245:$D$595,$F$245:$F$595,0,$E$245:$E$595,$G262)*$C$157 ,0)</f>
        <v/>
      </c>
      <c r="AE262" s="95">
        <f>IF(AND(SUMIFS($D$245:$D$595,$F$245:$F$595,0,$E$245:$E$595,$G262,$C$245:$C$595,"&lt;="&amp;AC$5)&lt;1000000,SUMIFS($D$245:$D$595,$F$245:$F$595,0,$E$245:$E$595,$G262,$C$245:$C$595,"&lt;="&amp;AE5)&gt;=1000000),SUMIFS($D$245:$D$595,$F$245:$F$595,0,$E$245:$E$595,$G262)*$C$157 ,0)</f>
        <v/>
      </c>
      <c r="AF262" s="19" t="n"/>
    </row>
    <row r="263">
      <c r="A263" s="20">
        <f>mid(E263, 3, 1)</f>
        <v/>
      </c>
      <c r="B263" s="14" t="inlineStr"/>
      <c r="C263" s="21">
        <f>SUMIFS('Investor Exit List'!$AC:$AC,'Investor Exit List'!$AB:$AB,B263)</f>
        <v/>
      </c>
      <c r="D263" s="14">
        <f>SUMIFS('Investor Exit List'!$Q:$Q,'Investor Exit List'!$AB:$AB,B263)</f>
        <v/>
      </c>
      <c r="E263" s="31">
        <f>LEFT(B263,6)</f>
        <v/>
      </c>
      <c r="F263" s="14">
        <f>IF(SUMIFS($E$119:$E$151,$D$119:$D$151,E263)&lt;&gt;0,E263,0)</f>
        <v/>
      </c>
      <c r="G263" s="59" t="n"/>
      <c r="I263" s="28">
        <f>IF(AND(SUMIFS($D$245:$D$595,$F$245:$F$595,0,$E$245:$E$595,$G263,$C$245:$C$595,"&lt;="&amp;B$2)&lt;1000000,SUMIFS($D$245:$D$595,$F$245:$F$595,0,$E$245:$E$595,$G263,$C$245:$C$595,"&lt;="&amp;I5)&gt;=1000000),SUMIFS($D$245:$D$595,$F$245:$F$595,0,$E$245:$E$595,$G263)*$C$157 ,0)</f>
        <v/>
      </c>
      <c r="K263" s="95">
        <f>IF(AND(SUMIFS($D$245:$D$595,$F$245:$F$595,0,$E$245:$E$595,$G263,$C$245:$C$595,"&lt;="&amp;I$5)&lt;1000000,SUMIFS($D$245:$D$595,$F$245:$F$595,0,$E$245:$E$595,$G263,$C$245:$C$595,"&lt;="&amp;K5)&gt;=1000000),SUMIFS($D$245:$D$595,$F$245:$F$595,0,$E$245:$E$595,$G263)*$C$157 ,0)</f>
        <v/>
      </c>
      <c r="M263" s="95">
        <f>IF(AND(SUMIFS($D$245:$D$595,$F$245:$F$595,0,$E$245:$E$595,$G263,$C$245:$C$595,"&lt;="&amp;K$5)&lt;1000000,SUMIFS($D$245:$D$595,$F$245:$F$595,0,$E$245:$E$595,$G263,$C$245:$C$595,"&lt;="&amp;M5)&gt;=1000000),SUMIFS($D$245:$D$595,$F$245:$F$595,0,$E$245:$E$595,$G263)*$C$157 ,0)</f>
        <v/>
      </c>
      <c r="O263" s="95">
        <f>IF(AND(SUMIFS($D$245:$D$595,$F$245:$F$595,0,$E$245:$E$595,$G263,$C$245:$C$595,"&lt;="&amp;M$5)&lt;1000000,SUMIFS($D$245:$D$595,$F$245:$F$595,0,$E$245:$E$595,$G263,$C$245:$C$595,"&lt;="&amp;O5)&gt;=1000000),SUMIFS($D$245:$D$595,$F$245:$F$595,0,$E$245:$E$595,$G263)*$C$157 ,0)</f>
        <v/>
      </c>
      <c r="Q263" s="95">
        <f>IF(AND(SUMIFS($D$245:$D$595,$F$245:$F$595,0,$E$245:$E$595,$G263,$C$245:$C$595,"&lt;="&amp;O$5)&lt;1000000,SUMIFS($D$245:$D$595,$F$245:$F$595,0,$E$245:$E$595,$G263,$C$245:$C$595,"&lt;="&amp;Q5)&gt;=1000000),SUMIFS($D$245:$D$595,$F$245:$F$595,0,$E$245:$E$595,$G263)*$C$157 ,0)</f>
        <v/>
      </c>
      <c r="S263" s="95">
        <f>IF(AND(SUMIFS($D$245:$D$595,$F$245:$F$595,0,$E$245:$E$595,$G263,$C$245:$C$595,"&lt;="&amp;Q$5)&lt;1000000,SUMIFS($D$245:$D$595,$F$245:$F$595,0,$E$245:$E$595,$G263,$C$245:$C$595,"&lt;="&amp;S5)&gt;=1000000),SUMIFS($D$245:$D$595,$F$245:$F$595,0,$E$245:$E$595,$G263)*$C$157 ,0)</f>
        <v/>
      </c>
      <c r="U263" s="95">
        <f>IF(AND(SUMIFS($D$245:$D$595,$F$245:$F$595,0,$E$245:$E$595,$G263,$C$245:$C$595,"&lt;="&amp;S$5)&lt;1000000,SUMIFS($D$245:$D$595,$F$245:$F$595,0,$E$245:$E$595,$G263,$C$245:$C$595,"&lt;="&amp;U5)&gt;=1000000),SUMIFS($D$245:$D$595,$F$245:$F$595,0,$E$245:$E$595,$G263)*$C$157 ,0)</f>
        <v/>
      </c>
      <c r="W263" s="95">
        <f>IF(AND(SUMIFS($D$245:$D$595,$F$245:$F$595,0,$E$245:$E$595,$G263,$C$245:$C$595,"&lt;="&amp;U$5)&lt;1000000,SUMIFS($D$245:$D$595,$F$245:$F$595,0,$E$245:$E$595,$G263,$C$245:$C$595,"&lt;="&amp;W5)&gt;=1000000),SUMIFS($D$245:$D$595,$F$245:$F$595,0,$E$245:$E$595,$G263)*$C$157 ,0)</f>
        <v/>
      </c>
      <c r="Y263" s="95">
        <f>IF(AND(SUMIFS($D$245:$D$595,$F$245:$F$595,0,$E$245:$E$595,$G263,$C$245:$C$595,"&lt;="&amp;W$5)&lt;1000000,SUMIFS($D$245:$D$595,$F$245:$F$595,0,$E$245:$E$595,$G263,$C$245:$C$595,"&lt;="&amp;Y5)&gt;=1000000),SUMIFS($D$245:$D$595,$F$245:$F$595,0,$E$245:$E$595,$G263)*$C$157 ,0)</f>
        <v/>
      </c>
      <c r="AA263" s="95">
        <f>IF(AND(SUMIFS($D$245:$D$595,$F$245:$F$595,0,$E$245:$E$595,$G263,$C$245:$C$595,"&lt;="&amp;Y$5)&lt;1000000,SUMIFS($D$245:$D$595,$F$245:$F$595,0,$E$245:$E$595,$G263,$C$245:$C$595,"&lt;="&amp;AA5)&gt;=1000000),SUMIFS($D$245:$D$595,$F$245:$F$595,0,$E$245:$E$595,$G263)*$C$157 ,0)</f>
        <v/>
      </c>
      <c r="AC263" s="95">
        <f>IF(AND(SUMIFS($D$245:$D$595,$F$245:$F$595,0,$E$245:$E$595,$G263,$C$245:$C$595,"&lt;="&amp;AA$5)&lt;1000000,SUMIFS($D$245:$D$595,$F$245:$F$595,0,$E$245:$E$595,$G263,$C$245:$C$595,"&lt;="&amp;AC5)&gt;=1000000),SUMIFS($D$245:$D$595,$F$245:$F$595,0,$E$245:$E$595,$G263)*$C$157 ,0)</f>
        <v/>
      </c>
      <c r="AE263" s="95">
        <f>IF(AND(SUMIFS($D$245:$D$595,$F$245:$F$595,0,$E$245:$E$595,$G263,$C$245:$C$595,"&lt;="&amp;AC$5)&lt;1000000,SUMIFS($D$245:$D$595,$F$245:$F$595,0,$E$245:$E$595,$G263,$C$245:$C$595,"&lt;="&amp;AE5)&gt;=1000000),SUMIFS($D$245:$D$595,$F$245:$F$595,0,$E$245:$E$595,$G263)*$C$157 ,0)</f>
        <v/>
      </c>
      <c r="AF263" s="19" t="n"/>
    </row>
    <row r="264">
      <c r="A264" s="20">
        <f>mid(E264, 3, 1)</f>
        <v/>
      </c>
      <c r="B264" s="14" t="inlineStr"/>
      <c r="C264" s="21">
        <f>SUMIFS('Investor Exit List'!$AC:$AC,'Investor Exit List'!$AB:$AB,B264)</f>
        <v/>
      </c>
      <c r="D264" s="14">
        <f>SUMIFS('Investor Exit List'!$Q:$Q,'Investor Exit List'!$AB:$AB,B264)</f>
        <v/>
      </c>
      <c r="E264" s="31">
        <f>LEFT(B264,6)</f>
        <v/>
      </c>
      <c r="F264" s="14">
        <f>IF(SUMIFS($E$119:$E$151,$D$119:$D$151,E264)&lt;&gt;0,E264,0)</f>
        <v/>
      </c>
      <c r="G264" s="59" t="n"/>
      <c r="I264" s="28">
        <f>IF(AND(SUMIFS($D$245:$D$595,$F$245:$F$595,0,$E$245:$E$595,$G264,$C$245:$C$595,"&lt;="&amp;B$2)&lt;1000000,SUMIFS($D$245:$D$595,$F$245:$F$595,0,$E$245:$E$595,$G264,$C$245:$C$595,"&lt;="&amp;I5)&gt;=1000000),SUMIFS($D$245:$D$595,$F$245:$F$595,0,$E$245:$E$595,$G264)*$C$157 ,0)</f>
        <v/>
      </c>
      <c r="K264" s="95">
        <f>IF(AND(SUMIFS($D$245:$D$595,$F$245:$F$595,0,$E$245:$E$595,$G264,$C$245:$C$595,"&lt;="&amp;I$5)&lt;1000000,SUMIFS($D$245:$D$595,$F$245:$F$595,0,$E$245:$E$595,$G264,$C$245:$C$595,"&lt;="&amp;K5)&gt;=1000000),SUMIFS($D$245:$D$595,$F$245:$F$595,0,$E$245:$E$595,$G264)*$C$157 ,0)</f>
        <v/>
      </c>
      <c r="M264" s="95">
        <f>IF(AND(SUMIFS($D$245:$D$595,$F$245:$F$595,0,$E$245:$E$595,$G264,$C$245:$C$595,"&lt;="&amp;K$5)&lt;1000000,SUMIFS($D$245:$D$595,$F$245:$F$595,0,$E$245:$E$595,$G264,$C$245:$C$595,"&lt;="&amp;M5)&gt;=1000000),SUMIFS($D$245:$D$595,$F$245:$F$595,0,$E$245:$E$595,$G264)*$C$157 ,0)</f>
        <v/>
      </c>
      <c r="O264" s="95">
        <f>IF(AND(SUMIFS($D$245:$D$595,$F$245:$F$595,0,$E$245:$E$595,$G264,$C$245:$C$595,"&lt;="&amp;M$5)&lt;1000000,SUMIFS($D$245:$D$595,$F$245:$F$595,0,$E$245:$E$595,$G264,$C$245:$C$595,"&lt;="&amp;O5)&gt;=1000000),SUMIFS($D$245:$D$595,$F$245:$F$595,0,$E$245:$E$595,$G264)*$C$157 ,0)</f>
        <v/>
      </c>
      <c r="Q264" s="95">
        <f>IF(AND(SUMIFS($D$245:$D$595,$F$245:$F$595,0,$E$245:$E$595,$G264,$C$245:$C$595,"&lt;="&amp;O$5)&lt;1000000,SUMIFS($D$245:$D$595,$F$245:$F$595,0,$E$245:$E$595,$G264,$C$245:$C$595,"&lt;="&amp;Q5)&gt;=1000000),SUMIFS($D$245:$D$595,$F$245:$F$595,0,$E$245:$E$595,$G264)*$C$157 ,0)</f>
        <v/>
      </c>
      <c r="S264" s="95">
        <f>IF(AND(SUMIFS($D$245:$D$595,$F$245:$F$595,0,$E$245:$E$595,$G264,$C$245:$C$595,"&lt;="&amp;Q$5)&lt;1000000,SUMIFS($D$245:$D$595,$F$245:$F$595,0,$E$245:$E$595,$G264,$C$245:$C$595,"&lt;="&amp;S5)&gt;=1000000),SUMIFS($D$245:$D$595,$F$245:$F$595,0,$E$245:$E$595,$G264)*$C$157 ,0)</f>
        <v/>
      </c>
      <c r="U264" s="95">
        <f>IF(AND(SUMIFS($D$245:$D$595,$F$245:$F$595,0,$E$245:$E$595,$G264,$C$245:$C$595,"&lt;="&amp;S$5)&lt;1000000,SUMIFS($D$245:$D$595,$F$245:$F$595,0,$E$245:$E$595,$G264,$C$245:$C$595,"&lt;="&amp;U5)&gt;=1000000),SUMIFS($D$245:$D$595,$F$245:$F$595,0,$E$245:$E$595,$G264)*$C$157 ,0)</f>
        <v/>
      </c>
      <c r="W264" s="95">
        <f>IF(AND(SUMIFS($D$245:$D$595,$F$245:$F$595,0,$E$245:$E$595,$G264,$C$245:$C$595,"&lt;="&amp;U$5)&lt;1000000,SUMIFS($D$245:$D$595,$F$245:$F$595,0,$E$245:$E$595,$G264,$C$245:$C$595,"&lt;="&amp;W5)&gt;=1000000),SUMIFS($D$245:$D$595,$F$245:$F$595,0,$E$245:$E$595,$G264)*$C$157 ,0)</f>
        <v/>
      </c>
      <c r="Y264" s="95">
        <f>IF(AND(SUMIFS($D$245:$D$595,$F$245:$F$595,0,$E$245:$E$595,$G264,$C$245:$C$595,"&lt;="&amp;W$5)&lt;1000000,SUMIFS($D$245:$D$595,$F$245:$F$595,0,$E$245:$E$595,$G264,$C$245:$C$595,"&lt;="&amp;Y5)&gt;=1000000),SUMIFS($D$245:$D$595,$F$245:$F$595,0,$E$245:$E$595,$G264)*$C$157 ,0)</f>
        <v/>
      </c>
      <c r="AA264" s="95">
        <f>IF(AND(SUMIFS($D$245:$D$595,$F$245:$F$595,0,$E$245:$E$595,$G264,$C$245:$C$595,"&lt;="&amp;Y$5)&lt;1000000,SUMIFS($D$245:$D$595,$F$245:$F$595,0,$E$245:$E$595,$G264,$C$245:$C$595,"&lt;="&amp;AA5)&gt;=1000000),SUMIFS($D$245:$D$595,$F$245:$F$595,0,$E$245:$E$595,$G264)*$C$157 ,0)</f>
        <v/>
      </c>
      <c r="AC264" s="95">
        <f>IF(AND(SUMIFS($D$245:$D$595,$F$245:$F$595,0,$E$245:$E$595,$G264,$C$245:$C$595,"&lt;="&amp;AA$5)&lt;1000000,SUMIFS($D$245:$D$595,$F$245:$F$595,0,$E$245:$E$595,$G264,$C$245:$C$595,"&lt;="&amp;AC5)&gt;=1000000),SUMIFS($D$245:$D$595,$F$245:$F$595,0,$E$245:$E$595,$G264)*$C$157 ,0)</f>
        <v/>
      </c>
      <c r="AE264" s="95">
        <f>IF(AND(SUMIFS($D$245:$D$595,$F$245:$F$595,0,$E$245:$E$595,$G264,$C$245:$C$595,"&lt;="&amp;AC$5)&lt;1000000,SUMIFS($D$245:$D$595,$F$245:$F$595,0,$E$245:$E$595,$G264,$C$245:$C$595,"&lt;="&amp;AE5)&gt;=1000000),SUMIFS($D$245:$D$595,$F$245:$F$595,0,$E$245:$E$595,$G264)*$C$157 ,0)</f>
        <v/>
      </c>
      <c r="AF264" s="19" t="n"/>
    </row>
    <row r="265">
      <c r="A265" s="20">
        <f>mid(E265, 3, 1)</f>
        <v/>
      </c>
      <c r="B265" s="14" t="inlineStr"/>
      <c r="C265" s="21">
        <f>SUMIFS('Investor Exit List'!$AC:$AC,'Investor Exit List'!$AB:$AB,B265)</f>
        <v/>
      </c>
      <c r="D265" s="14">
        <f>SUMIFS('Investor Exit List'!$Q:$Q,'Investor Exit List'!$AB:$AB,B265)</f>
        <v/>
      </c>
      <c r="E265" s="31">
        <f>LEFT(B265,6)</f>
        <v/>
      </c>
      <c r="F265" s="14">
        <f>IF(SUMIFS($E$119:$E$151,$D$119:$D$151,E265)&lt;&gt;0,E265,0)</f>
        <v/>
      </c>
      <c r="G265" s="59" t="n"/>
      <c r="I265" s="28">
        <f>IF(AND(SUMIFS($D$245:$D$595,$F$245:$F$595,0,$E$245:$E$595,$G265,$C$245:$C$595,"&lt;="&amp;B$2)&lt;1000000,SUMIFS($D$245:$D$595,$F$245:$F$595,0,$E$245:$E$595,$G265,$C$245:$C$595,"&lt;="&amp;I5)&gt;=1000000),SUMIFS($D$245:$D$595,$F$245:$F$595,0,$E$245:$E$595,$G265)*$C$157 ,0)</f>
        <v/>
      </c>
      <c r="K265" s="95">
        <f>IF(AND(SUMIFS($D$245:$D$595,$F$245:$F$595,0,$E$245:$E$595,$G265,$C$245:$C$595,"&lt;="&amp;I$5)&lt;1000000,SUMIFS($D$245:$D$595,$F$245:$F$595,0,$E$245:$E$595,$G265,$C$245:$C$595,"&lt;="&amp;K5)&gt;=1000000),SUMIFS($D$245:$D$595,$F$245:$F$595,0,$E$245:$E$595,$G265)*$C$157 ,0)</f>
        <v/>
      </c>
      <c r="M265" s="95">
        <f>IF(AND(SUMIFS($D$245:$D$595,$F$245:$F$595,0,$E$245:$E$595,$G265,$C$245:$C$595,"&lt;="&amp;K$5)&lt;1000000,SUMIFS($D$245:$D$595,$F$245:$F$595,0,$E$245:$E$595,$G265,$C$245:$C$595,"&lt;="&amp;M5)&gt;=1000000),SUMIFS($D$245:$D$595,$F$245:$F$595,0,$E$245:$E$595,$G265)*$C$157 ,0)</f>
        <v/>
      </c>
      <c r="O265" s="95">
        <f>IF(AND(SUMIFS($D$245:$D$595,$F$245:$F$595,0,$E$245:$E$595,$G265,$C$245:$C$595,"&lt;="&amp;M$5)&lt;1000000,SUMIFS($D$245:$D$595,$F$245:$F$595,0,$E$245:$E$595,$G265,$C$245:$C$595,"&lt;="&amp;O5)&gt;=1000000),SUMIFS($D$245:$D$595,$F$245:$F$595,0,$E$245:$E$595,$G265)*$C$157 ,0)</f>
        <v/>
      </c>
      <c r="Q265" s="95">
        <f>IF(AND(SUMIFS($D$245:$D$595,$F$245:$F$595,0,$E$245:$E$595,$G265,$C$245:$C$595,"&lt;="&amp;O$5)&lt;1000000,SUMIFS($D$245:$D$595,$F$245:$F$595,0,$E$245:$E$595,$G265,$C$245:$C$595,"&lt;="&amp;Q5)&gt;=1000000),SUMIFS($D$245:$D$595,$F$245:$F$595,0,$E$245:$E$595,$G265)*$C$157 ,0)</f>
        <v/>
      </c>
      <c r="S265" s="95">
        <f>IF(AND(SUMIFS($D$245:$D$595,$F$245:$F$595,0,$E$245:$E$595,$G265,$C$245:$C$595,"&lt;="&amp;Q$5)&lt;1000000,SUMIFS($D$245:$D$595,$F$245:$F$595,0,$E$245:$E$595,$G265,$C$245:$C$595,"&lt;="&amp;S5)&gt;=1000000),SUMIFS($D$245:$D$595,$F$245:$F$595,0,$E$245:$E$595,$G265)*$C$157 ,0)</f>
        <v/>
      </c>
      <c r="U265" s="95">
        <f>IF(AND(SUMIFS($D$245:$D$595,$F$245:$F$595,0,$E$245:$E$595,$G265,$C$245:$C$595,"&lt;="&amp;S$5)&lt;1000000,SUMIFS($D$245:$D$595,$F$245:$F$595,0,$E$245:$E$595,$G265,$C$245:$C$595,"&lt;="&amp;U5)&gt;=1000000),SUMIFS($D$245:$D$595,$F$245:$F$595,0,$E$245:$E$595,$G265)*$C$157 ,0)</f>
        <v/>
      </c>
      <c r="W265" s="95">
        <f>IF(AND(SUMIFS($D$245:$D$595,$F$245:$F$595,0,$E$245:$E$595,$G265,$C$245:$C$595,"&lt;="&amp;U$5)&lt;1000000,SUMIFS($D$245:$D$595,$F$245:$F$595,0,$E$245:$E$595,$G265,$C$245:$C$595,"&lt;="&amp;W5)&gt;=1000000),SUMIFS($D$245:$D$595,$F$245:$F$595,0,$E$245:$E$595,$G265)*$C$157 ,0)</f>
        <v/>
      </c>
      <c r="Y265" s="95">
        <f>IF(AND(SUMIFS($D$245:$D$595,$F$245:$F$595,0,$E$245:$E$595,$G265,$C$245:$C$595,"&lt;="&amp;W$5)&lt;1000000,SUMIFS($D$245:$D$595,$F$245:$F$595,0,$E$245:$E$595,$G265,$C$245:$C$595,"&lt;="&amp;Y5)&gt;=1000000),SUMIFS($D$245:$D$595,$F$245:$F$595,0,$E$245:$E$595,$G265)*$C$157 ,0)</f>
        <v/>
      </c>
      <c r="AA265" s="95">
        <f>IF(AND(SUMIFS($D$245:$D$595,$F$245:$F$595,0,$E$245:$E$595,$G265,$C$245:$C$595,"&lt;="&amp;Y$5)&lt;1000000,SUMIFS($D$245:$D$595,$F$245:$F$595,0,$E$245:$E$595,$G265,$C$245:$C$595,"&lt;="&amp;AA5)&gt;=1000000),SUMIFS($D$245:$D$595,$F$245:$F$595,0,$E$245:$E$595,$G265)*$C$157 ,0)</f>
        <v/>
      </c>
      <c r="AC265" s="95">
        <f>IF(AND(SUMIFS($D$245:$D$595,$F$245:$F$595,0,$E$245:$E$595,$G265,$C$245:$C$595,"&lt;="&amp;AA$5)&lt;1000000,SUMIFS($D$245:$D$595,$F$245:$F$595,0,$E$245:$E$595,$G265,$C$245:$C$595,"&lt;="&amp;AC5)&gt;=1000000),SUMIFS($D$245:$D$595,$F$245:$F$595,0,$E$245:$E$595,$G265)*$C$157 ,0)</f>
        <v/>
      </c>
      <c r="AE265" s="95">
        <f>IF(AND(SUMIFS($D$245:$D$595,$F$245:$F$595,0,$E$245:$E$595,$G265,$C$245:$C$595,"&lt;="&amp;AC$5)&lt;1000000,SUMIFS($D$245:$D$595,$F$245:$F$595,0,$E$245:$E$595,$G265,$C$245:$C$595,"&lt;="&amp;AE5)&gt;=1000000),SUMIFS($D$245:$D$595,$F$245:$F$595,0,$E$245:$E$595,$G265)*$C$157 ,0)</f>
        <v/>
      </c>
      <c r="AF265" s="19" t="n"/>
    </row>
    <row r="266">
      <c r="A266" s="20">
        <f>mid(E266, 3, 1)</f>
        <v/>
      </c>
      <c r="B266" s="14" t="inlineStr"/>
      <c r="C266" s="21">
        <f>SUMIFS('Investor Exit List'!$AC:$AC,'Investor Exit List'!$AB:$AB,B266)</f>
        <v/>
      </c>
      <c r="D266" s="14">
        <f>SUMIFS('Investor Exit List'!$Q:$Q,'Investor Exit List'!$AB:$AB,B266)</f>
        <v/>
      </c>
      <c r="E266" s="31">
        <f>LEFT(B266,6)</f>
        <v/>
      </c>
      <c r="F266" s="14">
        <f>IF(SUMIFS($E$119:$E$151,$D$119:$D$151,E266)&lt;&gt;0,E266,0)</f>
        <v/>
      </c>
      <c r="G266" s="59" t="n"/>
      <c r="I266" s="28">
        <f>IF(AND(SUMIFS($D$245:$D$595,$F$245:$F$595,0,$E$245:$E$595,$G266,$C$245:$C$595,"&lt;="&amp;B$2)&lt;1000000,SUMIFS($D$245:$D$595,$F$245:$F$595,0,$E$245:$E$595,$G266,$C$245:$C$595,"&lt;="&amp;I5)&gt;=1000000),SUMIFS($D$245:$D$595,$F$245:$F$595,0,$E$245:$E$595,$G266)*$C$157 ,0)</f>
        <v/>
      </c>
      <c r="K266" s="95">
        <f>IF(AND(SUMIFS($D$245:$D$595,$F$245:$F$595,0,$E$245:$E$595,$G266,$C$245:$C$595,"&lt;="&amp;I$5)&lt;1000000,SUMIFS($D$245:$D$595,$F$245:$F$595,0,$E$245:$E$595,$G266,$C$245:$C$595,"&lt;="&amp;K5)&gt;=1000000),SUMIFS($D$245:$D$595,$F$245:$F$595,0,$E$245:$E$595,$G266)*$C$157 ,0)</f>
        <v/>
      </c>
      <c r="M266" s="95">
        <f>IF(AND(SUMIFS($D$245:$D$595,$F$245:$F$595,0,$E$245:$E$595,$G266,$C$245:$C$595,"&lt;="&amp;K$5)&lt;1000000,SUMIFS($D$245:$D$595,$F$245:$F$595,0,$E$245:$E$595,$G266,$C$245:$C$595,"&lt;="&amp;M5)&gt;=1000000),SUMIFS($D$245:$D$595,$F$245:$F$595,0,$E$245:$E$595,$G266)*$C$157 ,0)</f>
        <v/>
      </c>
      <c r="O266" s="95">
        <f>IF(AND(SUMIFS($D$245:$D$595,$F$245:$F$595,0,$E$245:$E$595,$G266,$C$245:$C$595,"&lt;="&amp;M$5)&lt;1000000,SUMIFS($D$245:$D$595,$F$245:$F$595,0,$E$245:$E$595,$G266,$C$245:$C$595,"&lt;="&amp;O5)&gt;=1000000),SUMIFS($D$245:$D$595,$F$245:$F$595,0,$E$245:$E$595,$G266)*$C$157 ,0)</f>
        <v/>
      </c>
      <c r="Q266" s="95">
        <f>IF(AND(SUMIFS($D$245:$D$595,$F$245:$F$595,0,$E$245:$E$595,$G266,$C$245:$C$595,"&lt;="&amp;O$5)&lt;1000000,SUMIFS($D$245:$D$595,$F$245:$F$595,0,$E$245:$E$595,$G266,$C$245:$C$595,"&lt;="&amp;Q5)&gt;=1000000),SUMIFS($D$245:$D$595,$F$245:$F$595,0,$E$245:$E$595,$G266)*$C$157 ,0)</f>
        <v/>
      </c>
      <c r="S266" s="95">
        <f>IF(AND(SUMIFS($D$245:$D$595,$F$245:$F$595,0,$E$245:$E$595,$G266,$C$245:$C$595,"&lt;="&amp;Q$5)&lt;1000000,SUMIFS($D$245:$D$595,$F$245:$F$595,0,$E$245:$E$595,$G266,$C$245:$C$595,"&lt;="&amp;S5)&gt;=1000000),SUMIFS($D$245:$D$595,$F$245:$F$595,0,$E$245:$E$595,$G266)*$C$157 ,0)</f>
        <v/>
      </c>
      <c r="U266" s="95">
        <f>IF(AND(SUMIFS($D$245:$D$595,$F$245:$F$595,0,$E$245:$E$595,$G266,$C$245:$C$595,"&lt;="&amp;S$5)&lt;1000000,SUMIFS($D$245:$D$595,$F$245:$F$595,0,$E$245:$E$595,$G266,$C$245:$C$595,"&lt;="&amp;U5)&gt;=1000000),SUMIFS($D$245:$D$595,$F$245:$F$595,0,$E$245:$E$595,$G266)*$C$157 ,0)</f>
        <v/>
      </c>
      <c r="W266" s="95">
        <f>IF(AND(SUMIFS($D$245:$D$595,$F$245:$F$595,0,$E$245:$E$595,$G266,$C$245:$C$595,"&lt;="&amp;U$5)&lt;1000000,SUMIFS($D$245:$D$595,$F$245:$F$595,0,$E$245:$E$595,$G266,$C$245:$C$595,"&lt;="&amp;W5)&gt;=1000000),SUMIFS($D$245:$D$595,$F$245:$F$595,0,$E$245:$E$595,$G266)*$C$157 ,0)</f>
        <v/>
      </c>
      <c r="Y266" s="95">
        <f>IF(AND(SUMIFS($D$245:$D$595,$F$245:$F$595,0,$E$245:$E$595,$G266,$C$245:$C$595,"&lt;="&amp;W$5)&lt;1000000,SUMIFS($D$245:$D$595,$F$245:$F$595,0,$E$245:$E$595,$G266,$C$245:$C$595,"&lt;="&amp;Y5)&gt;=1000000),SUMIFS($D$245:$D$595,$F$245:$F$595,0,$E$245:$E$595,$G266)*$C$157 ,0)</f>
        <v/>
      </c>
      <c r="AA266" s="95">
        <f>IF(AND(SUMIFS($D$245:$D$595,$F$245:$F$595,0,$E$245:$E$595,$G266,$C$245:$C$595,"&lt;="&amp;Y$5)&lt;1000000,SUMIFS($D$245:$D$595,$F$245:$F$595,0,$E$245:$E$595,$G266,$C$245:$C$595,"&lt;="&amp;AA5)&gt;=1000000),SUMIFS($D$245:$D$595,$F$245:$F$595,0,$E$245:$E$595,$G266)*$C$157 ,0)</f>
        <v/>
      </c>
      <c r="AC266" s="95">
        <f>IF(AND(SUMIFS($D$245:$D$595,$F$245:$F$595,0,$E$245:$E$595,$G266,$C$245:$C$595,"&lt;="&amp;AA$5)&lt;1000000,SUMIFS($D$245:$D$595,$F$245:$F$595,0,$E$245:$E$595,$G266,$C$245:$C$595,"&lt;="&amp;AC5)&gt;=1000000),SUMIFS($D$245:$D$595,$F$245:$F$595,0,$E$245:$E$595,$G266)*$C$157 ,0)</f>
        <v/>
      </c>
      <c r="AE266" s="95">
        <f>IF(AND(SUMIFS($D$245:$D$595,$F$245:$F$595,0,$E$245:$E$595,$G266,$C$245:$C$595,"&lt;="&amp;AC$5)&lt;1000000,SUMIFS($D$245:$D$595,$F$245:$F$595,0,$E$245:$E$595,$G266,$C$245:$C$595,"&lt;="&amp;AE5)&gt;=1000000),SUMIFS($D$245:$D$595,$F$245:$F$595,0,$E$245:$E$595,$G266)*$C$157 ,0)</f>
        <v/>
      </c>
      <c r="AF266" s="19" t="n"/>
    </row>
    <row r="267">
      <c r="A267" s="20">
        <f>mid(E267, 3, 1)</f>
        <v/>
      </c>
      <c r="B267" s="14" t="inlineStr"/>
      <c r="C267" s="21">
        <f>SUMIFS('Investor Exit List'!$AC:$AC,'Investor Exit List'!$AB:$AB,B267)</f>
        <v/>
      </c>
      <c r="D267" s="14">
        <f>SUMIFS('Investor Exit List'!$Q:$Q,'Investor Exit List'!$AB:$AB,B267)</f>
        <v/>
      </c>
      <c r="E267" s="31">
        <f>LEFT(B267,6)</f>
        <v/>
      </c>
      <c r="F267" s="14">
        <f>IF(SUMIFS($E$119:$E$151,$D$119:$D$151,E267)&lt;&gt;0,E267,0)</f>
        <v/>
      </c>
      <c r="G267" s="59" t="n"/>
      <c r="I267" s="28">
        <f>IF(AND(SUMIFS($D$245:$D$595,$F$245:$F$595,0,$E$245:$E$595,$G267,$C$245:$C$595,"&lt;="&amp;B$2)&lt;1000000,SUMIFS($D$245:$D$595,$F$245:$F$595,0,$E$245:$E$595,$G267,$C$245:$C$595,"&lt;="&amp;I5)&gt;=1000000),SUMIFS($D$245:$D$595,$F$245:$F$595,0,$E$245:$E$595,$G267)*$C$157 ,0)</f>
        <v/>
      </c>
      <c r="K267" s="95">
        <f>IF(AND(SUMIFS($D$245:$D$595,$F$245:$F$595,0,$E$245:$E$595,$G267,$C$245:$C$595,"&lt;="&amp;I$5)&lt;1000000,SUMIFS($D$245:$D$595,$F$245:$F$595,0,$E$245:$E$595,$G267,$C$245:$C$595,"&lt;="&amp;K5)&gt;=1000000),SUMIFS($D$245:$D$595,$F$245:$F$595,0,$E$245:$E$595,$G267)*$C$157 ,0)</f>
        <v/>
      </c>
      <c r="M267" s="95">
        <f>IF(AND(SUMIFS($D$245:$D$595,$F$245:$F$595,0,$E$245:$E$595,$G267,$C$245:$C$595,"&lt;="&amp;K$5)&lt;1000000,SUMIFS($D$245:$D$595,$F$245:$F$595,0,$E$245:$E$595,$G267,$C$245:$C$595,"&lt;="&amp;M5)&gt;=1000000),SUMIFS($D$245:$D$595,$F$245:$F$595,0,$E$245:$E$595,$G267)*$C$157 ,0)</f>
        <v/>
      </c>
      <c r="O267" s="95">
        <f>IF(AND(SUMIFS($D$245:$D$595,$F$245:$F$595,0,$E$245:$E$595,$G267,$C$245:$C$595,"&lt;="&amp;M$5)&lt;1000000,SUMIFS($D$245:$D$595,$F$245:$F$595,0,$E$245:$E$595,$G267,$C$245:$C$595,"&lt;="&amp;O5)&gt;=1000000),SUMIFS($D$245:$D$595,$F$245:$F$595,0,$E$245:$E$595,$G267)*$C$157 ,0)</f>
        <v/>
      </c>
      <c r="Q267" s="95">
        <f>IF(AND(SUMIFS($D$245:$D$595,$F$245:$F$595,0,$E$245:$E$595,$G267,$C$245:$C$595,"&lt;="&amp;O$5)&lt;1000000,SUMIFS($D$245:$D$595,$F$245:$F$595,0,$E$245:$E$595,$G267,$C$245:$C$595,"&lt;="&amp;Q5)&gt;=1000000),SUMIFS($D$245:$D$595,$F$245:$F$595,0,$E$245:$E$595,$G267)*$C$157 ,0)</f>
        <v/>
      </c>
      <c r="S267" s="95">
        <f>IF(AND(SUMIFS($D$245:$D$595,$F$245:$F$595,0,$E$245:$E$595,$G267,$C$245:$C$595,"&lt;="&amp;Q$5)&lt;1000000,SUMIFS($D$245:$D$595,$F$245:$F$595,0,$E$245:$E$595,$G267,$C$245:$C$595,"&lt;="&amp;S5)&gt;=1000000),SUMIFS($D$245:$D$595,$F$245:$F$595,0,$E$245:$E$595,$G267)*$C$157 ,0)</f>
        <v/>
      </c>
      <c r="U267" s="95">
        <f>IF(AND(SUMIFS($D$245:$D$595,$F$245:$F$595,0,$E$245:$E$595,$G267,$C$245:$C$595,"&lt;="&amp;S$5)&lt;1000000,SUMIFS($D$245:$D$595,$F$245:$F$595,0,$E$245:$E$595,$G267,$C$245:$C$595,"&lt;="&amp;U5)&gt;=1000000),SUMIFS($D$245:$D$595,$F$245:$F$595,0,$E$245:$E$595,$G267)*$C$157 ,0)</f>
        <v/>
      </c>
      <c r="W267" s="95">
        <f>IF(AND(SUMIFS($D$245:$D$595,$F$245:$F$595,0,$E$245:$E$595,$G267,$C$245:$C$595,"&lt;="&amp;U$5)&lt;1000000,SUMIFS($D$245:$D$595,$F$245:$F$595,0,$E$245:$E$595,$G267,$C$245:$C$595,"&lt;="&amp;W5)&gt;=1000000),SUMIFS($D$245:$D$595,$F$245:$F$595,0,$E$245:$E$595,$G267)*$C$157 ,0)</f>
        <v/>
      </c>
      <c r="Y267" s="95">
        <f>IF(AND(SUMIFS($D$245:$D$595,$F$245:$F$595,0,$E$245:$E$595,$G267,$C$245:$C$595,"&lt;="&amp;W$5)&lt;1000000,SUMIFS($D$245:$D$595,$F$245:$F$595,0,$E$245:$E$595,$G267,$C$245:$C$595,"&lt;="&amp;Y5)&gt;=1000000),SUMIFS($D$245:$D$595,$F$245:$F$595,0,$E$245:$E$595,$G267)*$C$157 ,0)</f>
        <v/>
      </c>
      <c r="AA267" s="95">
        <f>IF(AND(SUMIFS($D$245:$D$595,$F$245:$F$595,0,$E$245:$E$595,$G267,$C$245:$C$595,"&lt;="&amp;Y$5)&lt;1000000,SUMIFS($D$245:$D$595,$F$245:$F$595,0,$E$245:$E$595,$G267,$C$245:$C$595,"&lt;="&amp;AA5)&gt;=1000000),SUMIFS($D$245:$D$595,$F$245:$F$595,0,$E$245:$E$595,$G267)*$C$157 ,0)</f>
        <v/>
      </c>
      <c r="AC267" s="95">
        <f>IF(AND(SUMIFS($D$245:$D$595,$F$245:$F$595,0,$E$245:$E$595,$G267,$C$245:$C$595,"&lt;="&amp;AA$5)&lt;1000000,SUMIFS($D$245:$D$595,$F$245:$F$595,0,$E$245:$E$595,$G267,$C$245:$C$595,"&lt;="&amp;AC5)&gt;=1000000),SUMIFS($D$245:$D$595,$F$245:$F$595,0,$E$245:$E$595,$G267)*$C$157 ,0)</f>
        <v/>
      </c>
      <c r="AE267" s="95">
        <f>IF(AND(SUMIFS($D$245:$D$595,$F$245:$F$595,0,$E$245:$E$595,$G267,$C$245:$C$595,"&lt;="&amp;AC$5)&lt;1000000,SUMIFS($D$245:$D$595,$F$245:$F$595,0,$E$245:$E$595,$G267,$C$245:$C$595,"&lt;="&amp;AE5)&gt;=1000000),SUMIFS($D$245:$D$595,$F$245:$F$595,0,$E$245:$E$595,$G267)*$C$157 ,0)</f>
        <v/>
      </c>
      <c r="AF267" s="19" t="n"/>
    </row>
    <row r="268">
      <c r="A268" s="20">
        <f>mid(E268, 3, 1)</f>
        <v/>
      </c>
      <c r="B268" s="14" t="inlineStr"/>
      <c r="C268" s="21">
        <f>SUMIFS('Investor Exit List'!$AC:$AC,'Investor Exit List'!$AB:$AB,B268)</f>
        <v/>
      </c>
      <c r="D268" s="14">
        <f>SUMIFS('Investor Exit List'!$Q:$Q,'Investor Exit List'!$AB:$AB,B268)</f>
        <v/>
      </c>
      <c r="E268" s="31">
        <f>LEFT(B268,6)</f>
        <v/>
      </c>
      <c r="F268" s="14">
        <f>IF(SUMIFS($E$119:$E$151,$D$119:$D$151,E268)&lt;&gt;0,E268,0)</f>
        <v/>
      </c>
      <c r="G268" s="59" t="n"/>
      <c r="I268" s="28">
        <f>IF(AND(SUMIFS($D$245:$D$595,$F$245:$F$595,0,$E$245:$E$595,$G268,$C$245:$C$595,"&lt;="&amp;B$2)&lt;1000000,SUMIFS($D$245:$D$595,$F$245:$F$595,0,$E$245:$E$595,$G268,$C$245:$C$595,"&lt;="&amp;I5)&gt;=1000000),SUMIFS($D$245:$D$595,$F$245:$F$595,0,$E$245:$E$595,$G268)*$C$157 ,0)</f>
        <v/>
      </c>
      <c r="K268" s="95">
        <f>IF(AND(SUMIFS($D$245:$D$595,$F$245:$F$595,0,$E$245:$E$595,$G268,$C$245:$C$595,"&lt;="&amp;I$5)&lt;1000000,SUMIFS($D$245:$D$595,$F$245:$F$595,0,$E$245:$E$595,$G268,$C$245:$C$595,"&lt;="&amp;K5)&gt;=1000000),SUMIFS($D$245:$D$595,$F$245:$F$595,0,$E$245:$E$595,$G268)*$C$157 ,0)</f>
        <v/>
      </c>
      <c r="M268" s="95">
        <f>IF(AND(SUMIFS($D$245:$D$595,$F$245:$F$595,0,$E$245:$E$595,$G268,$C$245:$C$595,"&lt;="&amp;K$5)&lt;1000000,SUMIFS($D$245:$D$595,$F$245:$F$595,0,$E$245:$E$595,$G268,$C$245:$C$595,"&lt;="&amp;M5)&gt;=1000000),SUMIFS($D$245:$D$595,$F$245:$F$595,0,$E$245:$E$595,$G268)*$C$157 ,0)</f>
        <v/>
      </c>
      <c r="O268" s="95">
        <f>IF(AND(SUMIFS($D$245:$D$595,$F$245:$F$595,0,$E$245:$E$595,$G268,$C$245:$C$595,"&lt;="&amp;M$5)&lt;1000000,SUMIFS($D$245:$D$595,$F$245:$F$595,0,$E$245:$E$595,$G268,$C$245:$C$595,"&lt;="&amp;O5)&gt;=1000000),SUMIFS($D$245:$D$595,$F$245:$F$595,0,$E$245:$E$595,$G268)*$C$157 ,0)</f>
        <v/>
      </c>
      <c r="Q268" s="95">
        <f>IF(AND(SUMIFS($D$245:$D$595,$F$245:$F$595,0,$E$245:$E$595,$G268,$C$245:$C$595,"&lt;="&amp;O$5)&lt;1000000,SUMIFS($D$245:$D$595,$F$245:$F$595,0,$E$245:$E$595,$G268,$C$245:$C$595,"&lt;="&amp;Q5)&gt;=1000000),SUMIFS($D$245:$D$595,$F$245:$F$595,0,$E$245:$E$595,$G268)*$C$157 ,0)</f>
        <v/>
      </c>
      <c r="S268" s="95">
        <f>IF(AND(SUMIFS($D$245:$D$595,$F$245:$F$595,0,$E$245:$E$595,$G268,$C$245:$C$595,"&lt;="&amp;Q$5)&lt;1000000,SUMIFS($D$245:$D$595,$F$245:$F$595,0,$E$245:$E$595,$G268,$C$245:$C$595,"&lt;="&amp;S5)&gt;=1000000),SUMIFS($D$245:$D$595,$F$245:$F$595,0,$E$245:$E$595,$G268)*$C$157 ,0)</f>
        <v/>
      </c>
      <c r="U268" s="95">
        <f>IF(AND(SUMIFS($D$245:$D$595,$F$245:$F$595,0,$E$245:$E$595,$G268,$C$245:$C$595,"&lt;="&amp;S$5)&lt;1000000,SUMIFS($D$245:$D$595,$F$245:$F$595,0,$E$245:$E$595,$G268,$C$245:$C$595,"&lt;="&amp;U5)&gt;=1000000),SUMIFS($D$245:$D$595,$F$245:$F$595,0,$E$245:$E$595,$G268)*$C$157 ,0)</f>
        <v/>
      </c>
      <c r="W268" s="95">
        <f>IF(AND(SUMIFS($D$245:$D$595,$F$245:$F$595,0,$E$245:$E$595,$G268,$C$245:$C$595,"&lt;="&amp;U$5)&lt;1000000,SUMIFS($D$245:$D$595,$F$245:$F$595,0,$E$245:$E$595,$G268,$C$245:$C$595,"&lt;="&amp;W5)&gt;=1000000),SUMIFS($D$245:$D$595,$F$245:$F$595,0,$E$245:$E$595,$G268)*$C$157 ,0)</f>
        <v/>
      </c>
      <c r="Y268" s="95">
        <f>IF(AND(SUMIFS($D$245:$D$595,$F$245:$F$595,0,$E$245:$E$595,$G268,$C$245:$C$595,"&lt;="&amp;W$5)&lt;1000000,SUMIFS($D$245:$D$595,$F$245:$F$595,0,$E$245:$E$595,$G268,$C$245:$C$595,"&lt;="&amp;Y5)&gt;=1000000),SUMIFS($D$245:$D$595,$F$245:$F$595,0,$E$245:$E$595,$G268)*$C$157 ,0)</f>
        <v/>
      </c>
      <c r="AA268" s="95">
        <f>IF(AND(SUMIFS($D$245:$D$595,$F$245:$F$595,0,$E$245:$E$595,$G268,$C$245:$C$595,"&lt;="&amp;Y$5)&lt;1000000,SUMIFS($D$245:$D$595,$F$245:$F$595,0,$E$245:$E$595,$G268,$C$245:$C$595,"&lt;="&amp;AA5)&gt;=1000000),SUMIFS($D$245:$D$595,$F$245:$F$595,0,$E$245:$E$595,$G268)*$C$157 ,0)</f>
        <v/>
      </c>
      <c r="AC268" s="95">
        <f>IF(AND(SUMIFS($D$245:$D$595,$F$245:$F$595,0,$E$245:$E$595,$G268,$C$245:$C$595,"&lt;="&amp;AA$5)&lt;1000000,SUMIFS($D$245:$D$595,$F$245:$F$595,0,$E$245:$E$595,$G268,$C$245:$C$595,"&lt;="&amp;AC5)&gt;=1000000),SUMIFS($D$245:$D$595,$F$245:$F$595,0,$E$245:$E$595,$G268)*$C$157 ,0)</f>
        <v/>
      </c>
      <c r="AE268" s="95">
        <f>IF(AND(SUMIFS($D$245:$D$595,$F$245:$F$595,0,$E$245:$E$595,$G268,$C$245:$C$595,"&lt;="&amp;AC$5)&lt;1000000,SUMIFS($D$245:$D$595,$F$245:$F$595,0,$E$245:$E$595,$G268,$C$245:$C$595,"&lt;="&amp;AE5)&gt;=1000000),SUMIFS($D$245:$D$595,$F$245:$F$595,0,$E$245:$E$595,$G268)*$C$157 ,0)</f>
        <v/>
      </c>
      <c r="AF268" s="19" t="n"/>
    </row>
    <row r="269">
      <c r="A269" s="20">
        <f>mid(E269, 3, 1)</f>
        <v/>
      </c>
      <c r="B269" s="14" t="inlineStr"/>
      <c r="C269" s="21">
        <f>SUMIFS('Investor Exit List'!$AC:$AC,'Investor Exit List'!$AB:$AB,B269)</f>
        <v/>
      </c>
      <c r="D269" s="14">
        <f>SUMIFS('Investor Exit List'!$Q:$Q,'Investor Exit List'!$AB:$AB,B269)</f>
        <v/>
      </c>
      <c r="E269" s="31">
        <f>LEFT(B269,6)</f>
        <v/>
      </c>
      <c r="F269" s="14">
        <f>IF(SUMIFS($E$119:$E$151,$D$119:$D$151,E269)&lt;&gt;0,E269,0)</f>
        <v/>
      </c>
      <c r="G269" s="59" t="n"/>
      <c r="I269" s="28">
        <f>IF(AND(SUMIFS($D$245:$D$595,$F$245:$F$595,0,$E$245:$E$595,$G269,$C$245:$C$595,"&lt;="&amp;B$2)&lt;1000000,SUMIFS($D$245:$D$595,$F$245:$F$595,0,$E$245:$E$595,$G269,$C$245:$C$595,"&lt;="&amp;I5)&gt;=1000000),SUMIFS($D$245:$D$595,$F$245:$F$595,0,$E$245:$E$595,$G269)*$C$157 ,0)</f>
        <v/>
      </c>
      <c r="K269" s="95">
        <f>IF(AND(SUMIFS($D$245:$D$595,$F$245:$F$595,0,$E$245:$E$595,$G269,$C$245:$C$595,"&lt;="&amp;I$5)&lt;1000000,SUMIFS($D$245:$D$595,$F$245:$F$595,0,$E$245:$E$595,$G269,$C$245:$C$595,"&lt;="&amp;K5)&gt;=1000000),SUMIFS($D$245:$D$595,$F$245:$F$595,0,$E$245:$E$595,$G269)*$C$157 ,0)</f>
        <v/>
      </c>
      <c r="M269" s="95">
        <f>IF(AND(SUMIFS($D$245:$D$595,$F$245:$F$595,0,$E$245:$E$595,$G269,$C$245:$C$595,"&lt;="&amp;K$5)&lt;1000000,SUMIFS($D$245:$D$595,$F$245:$F$595,0,$E$245:$E$595,$G269,$C$245:$C$595,"&lt;="&amp;M5)&gt;=1000000),SUMIFS($D$245:$D$595,$F$245:$F$595,0,$E$245:$E$595,$G269)*$C$157 ,0)</f>
        <v/>
      </c>
      <c r="O269" s="95">
        <f>IF(AND(SUMIFS($D$245:$D$595,$F$245:$F$595,0,$E$245:$E$595,$G269,$C$245:$C$595,"&lt;="&amp;M$5)&lt;1000000,SUMIFS($D$245:$D$595,$F$245:$F$595,0,$E$245:$E$595,$G269,$C$245:$C$595,"&lt;="&amp;O5)&gt;=1000000),SUMIFS($D$245:$D$595,$F$245:$F$595,0,$E$245:$E$595,$G269)*$C$157 ,0)</f>
        <v/>
      </c>
      <c r="Q269" s="95">
        <f>IF(AND(SUMIFS($D$245:$D$595,$F$245:$F$595,0,$E$245:$E$595,$G269,$C$245:$C$595,"&lt;="&amp;O$5)&lt;1000000,SUMIFS($D$245:$D$595,$F$245:$F$595,0,$E$245:$E$595,$G269,$C$245:$C$595,"&lt;="&amp;Q5)&gt;=1000000),SUMIFS($D$245:$D$595,$F$245:$F$595,0,$E$245:$E$595,$G269)*$C$157 ,0)</f>
        <v/>
      </c>
      <c r="S269" s="95">
        <f>IF(AND(SUMIFS($D$245:$D$595,$F$245:$F$595,0,$E$245:$E$595,$G269,$C$245:$C$595,"&lt;="&amp;Q$5)&lt;1000000,SUMIFS($D$245:$D$595,$F$245:$F$595,0,$E$245:$E$595,$G269,$C$245:$C$595,"&lt;="&amp;S5)&gt;=1000000),SUMIFS($D$245:$D$595,$F$245:$F$595,0,$E$245:$E$595,$G269)*$C$157 ,0)</f>
        <v/>
      </c>
      <c r="U269" s="95">
        <f>IF(AND(SUMIFS($D$245:$D$595,$F$245:$F$595,0,$E$245:$E$595,$G269,$C$245:$C$595,"&lt;="&amp;S$5)&lt;1000000,SUMIFS($D$245:$D$595,$F$245:$F$595,0,$E$245:$E$595,$G269,$C$245:$C$595,"&lt;="&amp;U5)&gt;=1000000),SUMIFS($D$245:$D$595,$F$245:$F$595,0,$E$245:$E$595,$G269)*$C$157 ,0)</f>
        <v/>
      </c>
      <c r="W269" s="95">
        <f>IF(AND(SUMIFS($D$245:$D$595,$F$245:$F$595,0,$E$245:$E$595,$G269,$C$245:$C$595,"&lt;="&amp;U$5)&lt;1000000,SUMIFS($D$245:$D$595,$F$245:$F$595,0,$E$245:$E$595,$G269,$C$245:$C$595,"&lt;="&amp;W5)&gt;=1000000),SUMIFS($D$245:$D$595,$F$245:$F$595,0,$E$245:$E$595,$G269)*$C$157 ,0)</f>
        <v/>
      </c>
      <c r="Y269" s="95">
        <f>IF(AND(SUMIFS($D$245:$D$595,$F$245:$F$595,0,$E$245:$E$595,$G269,$C$245:$C$595,"&lt;="&amp;W$5)&lt;1000000,SUMIFS($D$245:$D$595,$F$245:$F$595,0,$E$245:$E$595,$G269,$C$245:$C$595,"&lt;="&amp;Y5)&gt;=1000000),SUMIFS($D$245:$D$595,$F$245:$F$595,0,$E$245:$E$595,$G269)*$C$157 ,0)</f>
        <v/>
      </c>
      <c r="AA269" s="95">
        <f>IF(AND(SUMIFS($D$245:$D$595,$F$245:$F$595,0,$E$245:$E$595,$G269,$C$245:$C$595,"&lt;="&amp;Y$5)&lt;1000000,SUMIFS($D$245:$D$595,$F$245:$F$595,0,$E$245:$E$595,$G269,$C$245:$C$595,"&lt;="&amp;AA5)&gt;=1000000),SUMIFS($D$245:$D$595,$F$245:$F$595,0,$E$245:$E$595,$G269)*$C$157 ,0)</f>
        <v/>
      </c>
      <c r="AC269" s="95">
        <f>IF(AND(SUMIFS($D$245:$D$595,$F$245:$F$595,0,$E$245:$E$595,$G269,$C$245:$C$595,"&lt;="&amp;AA$5)&lt;1000000,SUMIFS($D$245:$D$595,$F$245:$F$595,0,$E$245:$E$595,$G269,$C$245:$C$595,"&lt;="&amp;AC5)&gt;=1000000),SUMIFS($D$245:$D$595,$F$245:$F$595,0,$E$245:$E$595,$G269)*$C$157 ,0)</f>
        <v/>
      </c>
      <c r="AE269" s="95">
        <f>IF(AND(SUMIFS($D$245:$D$595,$F$245:$F$595,0,$E$245:$E$595,$G269,$C$245:$C$595,"&lt;="&amp;AC$5)&lt;1000000,SUMIFS($D$245:$D$595,$F$245:$F$595,0,$E$245:$E$595,$G269,$C$245:$C$595,"&lt;="&amp;AE5)&gt;=1000000),SUMIFS($D$245:$D$595,$F$245:$F$595,0,$E$245:$E$595,$G269)*$C$157 ,0)</f>
        <v/>
      </c>
      <c r="AF269" s="19" t="n"/>
    </row>
    <row r="270">
      <c r="A270" s="20">
        <f>mid(E270, 3, 1)</f>
        <v/>
      </c>
      <c r="B270" s="14" t="inlineStr"/>
      <c r="C270" s="21">
        <f>SUMIFS('Investor Exit List'!$AC:$AC,'Investor Exit List'!$AB:$AB,B270)</f>
        <v/>
      </c>
      <c r="D270" s="14">
        <f>SUMIFS('Investor Exit List'!$Q:$Q,'Investor Exit List'!$AB:$AB,B270)</f>
        <v/>
      </c>
      <c r="E270" s="31">
        <f>LEFT(B270,6)</f>
        <v/>
      </c>
      <c r="F270" s="14">
        <f>IF(SUMIFS($E$119:$E$151,$D$119:$D$151,E270)&lt;&gt;0,E270,0)</f>
        <v/>
      </c>
      <c r="G270" s="59" t="n"/>
      <c r="I270" s="28">
        <f>IF(AND(SUMIFS($D$245:$D$595,$F$245:$F$595,0,$E$245:$E$595,$G270,$C$245:$C$595,"&lt;="&amp;B$2)&lt;1000000,SUMIFS($D$245:$D$595,$F$245:$F$595,0,$E$245:$E$595,$G270,$C$245:$C$595,"&lt;="&amp;I5)&gt;=1000000),SUMIFS($D$245:$D$595,$F$245:$F$595,0,$E$245:$E$595,$G270)*$C$157 ,0)</f>
        <v/>
      </c>
      <c r="K270" s="95">
        <f>IF(AND(SUMIFS($D$245:$D$595,$F$245:$F$595,0,$E$245:$E$595,$G270,$C$245:$C$595,"&lt;="&amp;I$5)&lt;1000000,SUMIFS($D$245:$D$595,$F$245:$F$595,0,$E$245:$E$595,$G270,$C$245:$C$595,"&lt;="&amp;K5)&gt;=1000000),SUMIFS($D$245:$D$595,$F$245:$F$595,0,$E$245:$E$595,$G270)*$C$157 ,0)</f>
        <v/>
      </c>
      <c r="M270" s="95">
        <f>IF(AND(SUMIFS($D$245:$D$595,$F$245:$F$595,0,$E$245:$E$595,$G270,$C$245:$C$595,"&lt;="&amp;K$5)&lt;1000000,SUMIFS($D$245:$D$595,$F$245:$F$595,0,$E$245:$E$595,$G270,$C$245:$C$595,"&lt;="&amp;M5)&gt;=1000000),SUMIFS($D$245:$D$595,$F$245:$F$595,0,$E$245:$E$595,$G270)*$C$157 ,0)</f>
        <v/>
      </c>
      <c r="O270" s="95">
        <f>IF(AND(SUMIFS($D$245:$D$595,$F$245:$F$595,0,$E$245:$E$595,$G270,$C$245:$C$595,"&lt;="&amp;M$5)&lt;1000000,SUMIFS($D$245:$D$595,$F$245:$F$595,0,$E$245:$E$595,$G270,$C$245:$C$595,"&lt;="&amp;O5)&gt;=1000000),SUMIFS($D$245:$D$595,$F$245:$F$595,0,$E$245:$E$595,$G270)*$C$157 ,0)</f>
        <v/>
      </c>
      <c r="Q270" s="95">
        <f>IF(AND(SUMIFS($D$245:$D$595,$F$245:$F$595,0,$E$245:$E$595,$G270,$C$245:$C$595,"&lt;="&amp;O$5)&lt;1000000,SUMIFS($D$245:$D$595,$F$245:$F$595,0,$E$245:$E$595,$G270,$C$245:$C$595,"&lt;="&amp;Q5)&gt;=1000000),SUMIFS($D$245:$D$595,$F$245:$F$595,0,$E$245:$E$595,$G270)*$C$157 ,0)</f>
        <v/>
      </c>
      <c r="S270" s="95">
        <f>IF(AND(SUMIFS($D$245:$D$595,$F$245:$F$595,0,$E$245:$E$595,$G270,$C$245:$C$595,"&lt;="&amp;Q$5)&lt;1000000,SUMIFS($D$245:$D$595,$F$245:$F$595,0,$E$245:$E$595,$G270,$C$245:$C$595,"&lt;="&amp;S5)&gt;=1000000),SUMIFS($D$245:$D$595,$F$245:$F$595,0,$E$245:$E$595,$G270)*$C$157 ,0)</f>
        <v/>
      </c>
      <c r="U270" s="95">
        <f>IF(AND(SUMIFS($D$245:$D$595,$F$245:$F$595,0,$E$245:$E$595,$G270,$C$245:$C$595,"&lt;="&amp;S$5)&lt;1000000,SUMIFS($D$245:$D$595,$F$245:$F$595,0,$E$245:$E$595,$G270,$C$245:$C$595,"&lt;="&amp;U5)&gt;=1000000),SUMIFS($D$245:$D$595,$F$245:$F$595,0,$E$245:$E$595,$G270)*$C$157 ,0)</f>
        <v/>
      </c>
      <c r="W270" s="95">
        <f>IF(AND(SUMIFS($D$245:$D$595,$F$245:$F$595,0,$E$245:$E$595,$G270,$C$245:$C$595,"&lt;="&amp;U$5)&lt;1000000,SUMIFS($D$245:$D$595,$F$245:$F$595,0,$E$245:$E$595,$G270,$C$245:$C$595,"&lt;="&amp;W5)&gt;=1000000),SUMIFS($D$245:$D$595,$F$245:$F$595,0,$E$245:$E$595,$G270)*$C$157 ,0)</f>
        <v/>
      </c>
      <c r="Y270" s="95">
        <f>IF(AND(SUMIFS($D$245:$D$595,$F$245:$F$595,0,$E$245:$E$595,$G270,$C$245:$C$595,"&lt;="&amp;W$5)&lt;1000000,SUMIFS($D$245:$D$595,$F$245:$F$595,0,$E$245:$E$595,$G270,$C$245:$C$595,"&lt;="&amp;Y5)&gt;=1000000),SUMIFS($D$245:$D$595,$F$245:$F$595,0,$E$245:$E$595,$G270)*$C$157 ,0)</f>
        <v/>
      </c>
      <c r="AA270" s="95">
        <f>IF(AND(SUMIFS($D$245:$D$595,$F$245:$F$595,0,$E$245:$E$595,$G270,$C$245:$C$595,"&lt;="&amp;Y$5)&lt;1000000,SUMIFS($D$245:$D$595,$F$245:$F$595,0,$E$245:$E$595,$G270,$C$245:$C$595,"&lt;="&amp;AA5)&gt;=1000000),SUMIFS($D$245:$D$595,$F$245:$F$595,0,$E$245:$E$595,$G270)*$C$157 ,0)</f>
        <v/>
      </c>
      <c r="AC270" s="95">
        <f>IF(AND(SUMIFS($D$245:$D$595,$F$245:$F$595,0,$E$245:$E$595,$G270,$C$245:$C$595,"&lt;="&amp;AA$5)&lt;1000000,SUMIFS($D$245:$D$595,$F$245:$F$595,0,$E$245:$E$595,$G270,$C$245:$C$595,"&lt;="&amp;AC5)&gt;=1000000),SUMIFS($D$245:$D$595,$F$245:$F$595,0,$E$245:$E$595,$G270)*$C$157 ,0)</f>
        <v/>
      </c>
      <c r="AE270" s="95">
        <f>IF(AND(SUMIFS($D$245:$D$595,$F$245:$F$595,0,$E$245:$E$595,$G270,$C$245:$C$595,"&lt;="&amp;AC$5)&lt;1000000,SUMIFS($D$245:$D$595,$F$245:$F$595,0,$E$245:$E$595,$G270,$C$245:$C$595,"&lt;="&amp;AE5)&gt;=1000000),SUMIFS($D$245:$D$595,$F$245:$F$595,0,$E$245:$E$595,$G270)*$C$157 ,0)</f>
        <v/>
      </c>
      <c r="AF270" s="19" t="n"/>
    </row>
    <row r="271">
      <c r="A271" s="20">
        <f>mid(E271, 3, 1)</f>
        <v/>
      </c>
      <c r="B271" s="14" t="inlineStr"/>
      <c r="C271" s="21">
        <f>SUMIFS('Investor Exit List'!$AC:$AC,'Investor Exit List'!$AB:$AB,B271)</f>
        <v/>
      </c>
      <c r="D271" s="14">
        <f>SUMIFS('Investor Exit List'!$Q:$Q,'Investor Exit List'!$AB:$AB,B271)</f>
        <v/>
      </c>
      <c r="E271" s="31">
        <f>LEFT(B271,6)</f>
        <v/>
      </c>
      <c r="F271" s="14">
        <f>IF(SUMIFS($E$119:$E$151,$D$119:$D$151,E271)&lt;&gt;0,E271,0)</f>
        <v/>
      </c>
      <c r="G271" s="59" t="n"/>
      <c r="I271" s="28">
        <f>IF(AND(SUMIFS($D$245:$D$595,$F$245:$F$595,0,$E$245:$E$595,$G271,$C$245:$C$595,"&lt;="&amp;B$2)&lt;1000000,SUMIFS($D$245:$D$595,$F$245:$F$595,0,$E$245:$E$595,$G271,$C$245:$C$595,"&lt;="&amp;I5)&gt;=1000000),SUMIFS($D$245:$D$595,$F$245:$F$595,0,$E$245:$E$595,$G271)*$C$157 ,0)</f>
        <v/>
      </c>
      <c r="K271" s="95">
        <f>IF(AND(SUMIFS($D$245:$D$595,$F$245:$F$595,0,$E$245:$E$595,$G271,$C$245:$C$595,"&lt;="&amp;I$5)&lt;1000000,SUMIFS($D$245:$D$595,$F$245:$F$595,0,$E$245:$E$595,$G271,$C$245:$C$595,"&lt;="&amp;K5)&gt;=1000000),SUMIFS($D$245:$D$595,$F$245:$F$595,0,$E$245:$E$595,$G271)*$C$157 ,0)</f>
        <v/>
      </c>
      <c r="M271" s="95">
        <f>IF(AND(SUMIFS($D$245:$D$595,$F$245:$F$595,0,$E$245:$E$595,$G271,$C$245:$C$595,"&lt;="&amp;K$5)&lt;1000000,SUMIFS($D$245:$D$595,$F$245:$F$595,0,$E$245:$E$595,$G271,$C$245:$C$595,"&lt;="&amp;M5)&gt;=1000000),SUMIFS($D$245:$D$595,$F$245:$F$595,0,$E$245:$E$595,$G271)*$C$157 ,0)</f>
        <v/>
      </c>
      <c r="O271" s="95">
        <f>IF(AND(SUMIFS($D$245:$D$595,$F$245:$F$595,0,$E$245:$E$595,$G271,$C$245:$C$595,"&lt;="&amp;M$5)&lt;1000000,SUMIFS($D$245:$D$595,$F$245:$F$595,0,$E$245:$E$595,$G271,$C$245:$C$595,"&lt;="&amp;O5)&gt;=1000000),SUMIFS($D$245:$D$595,$F$245:$F$595,0,$E$245:$E$595,$G271)*$C$157 ,0)</f>
        <v/>
      </c>
      <c r="Q271" s="95">
        <f>IF(AND(SUMIFS($D$245:$D$595,$F$245:$F$595,0,$E$245:$E$595,$G271,$C$245:$C$595,"&lt;="&amp;O$5)&lt;1000000,SUMIFS($D$245:$D$595,$F$245:$F$595,0,$E$245:$E$595,$G271,$C$245:$C$595,"&lt;="&amp;Q5)&gt;=1000000),SUMIFS($D$245:$D$595,$F$245:$F$595,0,$E$245:$E$595,$G271)*$C$157 ,0)</f>
        <v/>
      </c>
      <c r="S271" s="95">
        <f>IF(AND(SUMIFS($D$245:$D$595,$F$245:$F$595,0,$E$245:$E$595,$G271,$C$245:$C$595,"&lt;="&amp;Q$5)&lt;1000000,SUMIFS($D$245:$D$595,$F$245:$F$595,0,$E$245:$E$595,$G271,$C$245:$C$595,"&lt;="&amp;S5)&gt;=1000000),SUMIFS($D$245:$D$595,$F$245:$F$595,0,$E$245:$E$595,$G271)*$C$157 ,0)</f>
        <v/>
      </c>
      <c r="U271" s="95">
        <f>IF(AND(SUMIFS($D$245:$D$595,$F$245:$F$595,0,$E$245:$E$595,$G271,$C$245:$C$595,"&lt;="&amp;S$5)&lt;1000000,SUMIFS($D$245:$D$595,$F$245:$F$595,0,$E$245:$E$595,$G271,$C$245:$C$595,"&lt;="&amp;U5)&gt;=1000000),SUMIFS($D$245:$D$595,$F$245:$F$595,0,$E$245:$E$595,$G271)*$C$157 ,0)</f>
        <v/>
      </c>
      <c r="W271" s="95">
        <f>IF(AND(SUMIFS($D$245:$D$595,$F$245:$F$595,0,$E$245:$E$595,$G271,$C$245:$C$595,"&lt;="&amp;U$5)&lt;1000000,SUMIFS($D$245:$D$595,$F$245:$F$595,0,$E$245:$E$595,$G271,$C$245:$C$595,"&lt;="&amp;W5)&gt;=1000000),SUMIFS($D$245:$D$595,$F$245:$F$595,0,$E$245:$E$595,$G271)*$C$157 ,0)</f>
        <v/>
      </c>
      <c r="Y271" s="95">
        <f>IF(AND(SUMIFS($D$245:$D$595,$F$245:$F$595,0,$E$245:$E$595,$G271,$C$245:$C$595,"&lt;="&amp;W$5)&lt;1000000,SUMIFS($D$245:$D$595,$F$245:$F$595,0,$E$245:$E$595,$G271,$C$245:$C$595,"&lt;="&amp;Y5)&gt;=1000000),SUMIFS($D$245:$D$595,$F$245:$F$595,0,$E$245:$E$595,$G271)*$C$157 ,0)</f>
        <v/>
      </c>
      <c r="AA271" s="95">
        <f>IF(AND(SUMIFS($D$245:$D$595,$F$245:$F$595,0,$E$245:$E$595,$G271,$C$245:$C$595,"&lt;="&amp;Y$5)&lt;1000000,SUMIFS($D$245:$D$595,$F$245:$F$595,0,$E$245:$E$595,$G271,$C$245:$C$595,"&lt;="&amp;AA5)&gt;=1000000),SUMIFS($D$245:$D$595,$F$245:$F$595,0,$E$245:$E$595,$G271)*$C$157 ,0)</f>
        <v/>
      </c>
      <c r="AC271" s="95">
        <f>IF(AND(SUMIFS($D$245:$D$595,$F$245:$F$595,0,$E$245:$E$595,$G271,$C$245:$C$595,"&lt;="&amp;AA$5)&lt;1000000,SUMIFS($D$245:$D$595,$F$245:$F$595,0,$E$245:$E$595,$G271,$C$245:$C$595,"&lt;="&amp;AC5)&gt;=1000000),SUMIFS($D$245:$D$595,$F$245:$F$595,0,$E$245:$E$595,$G271)*$C$157 ,0)</f>
        <v/>
      </c>
      <c r="AE271" s="95">
        <f>IF(AND(SUMIFS($D$245:$D$595,$F$245:$F$595,0,$E$245:$E$595,$G271,$C$245:$C$595,"&lt;="&amp;AC$5)&lt;1000000,SUMIFS($D$245:$D$595,$F$245:$F$595,0,$E$245:$E$595,$G271,$C$245:$C$595,"&lt;="&amp;AE5)&gt;=1000000),SUMIFS($D$245:$D$595,$F$245:$F$595,0,$E$245:$E$595,$G271)*$C$157 ,0)</f>
        <v/>
      </c>
      <c r="AF271" s="19" t="n"/>
    </row>
    <row r="272">
      <c r="A272" s="20">
        <f>mid(E272, 3, 1)</f>
        <v/>
      </c>
      <c r="B272" s="14" t="inlineStr"/>
      <c r="C272" s="21">
        <f>SUMIFS('Investor Exit List'!$AC:$AC,'Investor Exit List'!$AB:$AB,B272)</f>
        <v/>
      </c>
      <c r="D272" s="14">
        <f>SUMIFS('Investor Exit List'!$Q:$Q,'Investor Exit List'!$AB:$AB,B272)</f>
        <v/>
      </c>
      <c r="E272" s="31">
        <f>LEFT(B272,6)</f>
        <v/>
      </c>
      <c r="F272" s="14">
        <f>IF(SUMIFS($E$119:$E$151,$D$119:$D$151,E272)&lt;&gt;0,E272,0)</f>
        <v/>
      </c>
      <c r="G272" s="59" t="n"/>
      <c r="I272" s="28">
        <f>IF(AND(SUMIFS($D$245:$D$595,$F$245:$F$595,0,$E$245:$E$595,$G272,$C$245:$C$595,"&lt;="&amp;B$2)&lt;1000000,SUMIFS($D$245:$D$595,$F$245:$F$595,0,$E$245:$E$595,$G272,$C$245:$C$595,"&lt;="&amp;I5)&gt;=1000000),SUMIFS($D$245:$D$595,$F$245:$F$595,0,$E$245:$E$595,$G272)*$C$157 ,0)</f>
        <v/>
      </c>
      <c r="K272" s="95">
        <f>IF(AND(SUMIFS($D$245:$D$595,$F$245:$F$595,0,$E$245:$E$595,$G272,$C$245:$C$595,"&lt;="&amp;I$5)&lt;1000000,SUMIFS($D$245:$D$595,$F$245:$F$595,0,$E$245:$E$595,$G272,$C$245:$C$595,"&lt;="&amp;K5)&gt;=1000000),SUMIFS($D$245:$D$595,$F$245:$F$595,0,$E$245:$E$595,$G272)*$C$157 ,0)</f>
        <v/>
      </c>
      <c r="M272" s="95">
        <f>IF(AND(SUMIFS($D$245:$D$595,$F$245:$F$595,0,$E$245:$E$595,$G272,$C$245:$C$595,"&lt;="&amp;K$5)&lt;1000000,SUMIFS($D$245:$D$595,$F$245:$F$595,0,$E$245:$E$595,$G272,$C$245:$C$595,"&lt;="&amp;M5)&gt;=1000000),SUMIFS($D$245:$D$595,$F$245:$F$595,0,$E$245:$E$595,$G272)*$C$157 ,0)</f>
        <v/>
      </c>
      <c r="O272" s="95">
        <f>IF(AND(SUMIFS($D$245:$D$595,$F$245:$F$595,0,$E$245:$E$595,$G272,$C$245:$C$595,"&lt;="&amp;M$5)&lt;1000000,SUMIFS($D$245:$D$595,$F$245:$F$595,0,$E$245:$E$595,$G272,$C$245:$C$595,"&lt;="&amp;O5)&gt;=1000000),SUMIFS($D$245:$D$595,$F$245:$F$595,0,$E$245:$E$595,$G272)*$C$157 ,0)</f>
        <v/>
      </c>
      <c r="Q272" s="95">
        <f>IF(AND(SUMIFS($D$245:$D$595,$F$245:$F$595,0,$E$245:$E$595,$G272,$C$245:$C$595,"&lt;="&amp;O$5)&lt;1000000,SUMIFS($D$245:$D$595,$F$245:$F$595,0,$E$245:$E$595,$G272,$C$245:$C$595,"&lt;="&amp;Q5)&gt;=1000000),SUMIFS($D$245:$D$595,$F$245:$F$595,0,$E$245:$E$595,$G272)*$C$157 ,0)</f>
        <v/>
      </c>
      <c r="S272" s="95">
        <f>IF(AND(SUMIFS($D$245:$D$595,$F$245:$F$595,0,$E$245:$E$595,$G272,$C$245:$C$595,"&lt;="&amp;Q$5)&lt;1000000,SUMIFS($D$245:$D$595,$F$245:$F$595,0,$E$245:$E$595,$G272,$C$245:$C$595,"&lt;="&amp;S5)&gt;=1000000),SUMIFS($D$245:$D$595,$F$245:$F$595,0,$E$245:$E$595,$G272)*$C$157 ,0)</f>
        <v/>
      </c>
      <c r="U272" s="95">
        <f>IF(AND(SUMIFS($D$245:$D$595,$F$245:$F$595,0,$E$245:$E$595,$G272,$C$245:$C$595,"&lt;="&amp;S$5)&lt;1000000,SUMIFS($D$245:$D$595,$F$245:$F$595,0,$E$245:$E$595,$G272,$C$245:$C$595,"&lt;="&amp;U5)&gt;=1000000),SUMIFS($D$245:$D$595,$F$245:$F$595,0,$E$245:$E$595,$G272)*$C$157 ,0)</f>
        <v/>
      </c>
      <c r="W272" s="95">
        <f>IF(AND(SUMIFS($D$245:$D$595,$F$245:$F$595,0,$E$245:$E$595,$G272,$C$245:$C$595,"&lt;="&amp;U$5)&lt;1000000,SUMIFS($D$245:$D$595,$F$245:$F$595,0,$E$245:$E$595,$G272,$C$245:$C$595,"&lt;="&amp;W5)&gt;=1000000),SUMIFS($D$245:$D$595,$F$245:$F$595,0,$E$245:$E$595,$G272)*$C$157 ,0)</f>
        <v/>
      </c>
      <c r="Y272" s="95">
        <f>IF(AND(SUMIFS($D$245:$D$595,$F$245:$F$595,0,$E$245:$E$595,$G272,$C$245:$C$595,"&lt;="&amp;W$5)&lt;1000000,SUMIFS($D$245:$D$595,$F$245:$F$595,0,$E$245:$E$595,$G272,$C$245:$C$595,"&lt;="&amp;Y5)&gt;=1000000),SUMIFS($D$245:$D$595,$F$245:$F$595,0,$E$245:$E$595,$G272)*$C$157 ,0)</f>
        <v/>
      </c>
      <c r="AA272" s="95">
        <f>IF(AND(SUMIFS($D$245:$D$595,$F$245:$F$595,0,$E$245:$E$595,$G272,$C$245:$C$595,"&lt;="&amp;Y$5)&lt;1000000,SUMIFS($D$245:$D$595,$F$245:$F$595,0,$E$245:$E$595,$G272,$C$245:$C$595,"&lt;="&amp;AA5)&gt;=1000000),SUMIFS($D$245:$D$595,$F$245:$F$595,0,$E$245:$E$595,$G272)*$C$157 ,0)</f>
        <v/>
      </c>
      <c r="AC272" s="95">
        <f>IF(AND(SUMIFS($D$245:$D$595,$F$245:$F$595,0,$E$245:$E$595,$G272,$C$245:$C$595,"&lt;="&amp;AA$5)&lt;1000000,SUMIFS($D$245:$D$595,$F$245:$F$595,0,$E$245:$E$595,$G272,$C$245:$C$595,"&lt;="&amp;AC5)&gt;=1000000),SUMIFS($D$245:$D$595,$F$245:$F$595,0,$E$245:$E$595,$G272)*$C$157 ,0)</f>
        <v/>
      </c>
      <c r="AE272" s="95">
        <f>IF(AND(SUMIFS($D$245:$D$595,$F$245:$F$595,0,$E$245:$E$595,$G272,$C$245:$C$595,"&lt;="&amp;AC$5)&lt;1000000,SUMIFS($D$245:$D$595,$F$245:$F$595,0,$E$245:$E$595,$G272,$C$245:$C$595,"&lt;="&amp;AE5)&gt;=1000000),SUMIFS($D$245:$D$595,$F$245:$F$595,0,$E$245:$E$595,$G272)*$C$157 ,0)</f>
        <v/>
      </c>
      <c r="AF272" s="19" t="n"/>
    </row>
    <row r="273">
      <c r="A273" s="20">
        <f>mid(E273, 3, 1)</f>
        <v/>
      </c>
      <c r="B273" s="14" t="inlineStr"/>
      <c r="C273" s="21">
        <f>SUMIFS('Investor Exit List'!$AC:$AC,'Investor Exit List'!$AB:$AB,B273)</f>
        <v/>
      </c>
      <c r="D273" s="14">
        <f>SUMIFS('Investor Exit List'!$Q:$Q,'Investor Exit List'!$AB:$AB,B273)</f>
        <v/>
      </c>
      <c r="E273" s="31">
        <f>LEFT(B273,6)</f>
        <v/>
      </c>
      <c r="F273" s="14">
        <f>IF(SUMIFS($E$119:$E$151,$D$119:$D$151,E273)&lt;&gt;0,E273,0)</f>
        <v/>
      </c>
      <c r="G273" s="59" t="n"/>
      <c r="I273" s="28">
        <f>IF(AND(SUMIFS($D$245:$D$595,$F$245:$F$595,0,$E$245:$E$595,$G273,$C$245:$C$595,"&lt;="&amp;B$2)&lt;1000000,SUMIFS($D$245:$D$595,$F$245:$F$595,0,$E$245:$E$595,$G273,$C$245:$C$595,"&lt;="&amp;I5)&gt;=1000000),SUMIFS($D$245:$D$595,$F$245:$F$595,0,$E$245:$E$595,$G273)*$C$157 ,0)</f>
        <v/>
      </c>
      <c r="K273" s="95">
        <f>IF(AND(SUMIFS($D$245:$D$595,$F$245:$F$595,0,$E$245:$E$595,$G273,$C$245:$C$595,"&lt;="&amp;I$5)&lt;1000000,SUMIFS($D$245:$D$595,$F$245:$F$595,0,$E$245:$E$595,$G273,$C$245:$C$595,"&lt;="&amp;K5)&gt;=1000000),SUMIFS($D$245:$D$595,$F$245:$F$595,0,$E$245:$E$595,$G273)*$C$157 ,0)</f>
        <v/>
      </c>
      <c r="M273" s="95">
        <f>IF(AND(SUMIFS($D$245:$D$595,$F$245:$F$595,0,$E$245:$E$595,$G273,$C$245:$C$595,"&lt;="&amp;K$5)&lt;1000000,SUMIFS($D$245:$D$595,$F$245:$F$595,0,$E$245:$E$595,$G273,$C$245:$C$595,"&lt;="&amp;M5)&gt;=1000000),SUMIFS($D$245:$D$595,$F$245:$F$595,0,$E$245:$E$595,$G273)*$C$157 ,0)</f>
        <v/>
      </c>
      <c r="O273" s="95">
        <f>IF(AND(SUMIFS($D$245:$D$595,$F$245:$F$595,0,$E$245:$E$595,$G273,$C$245:$C$595,"&lt;="&amp;M$5)&lt;1000000,SUMIFS($D$245:$D$595,$F$245:$F$595,0,$E$245:$E$595,$G273,$C$245:$C$595,"&lt;="&amp;O5)&gt;=1000000),SUMIFS($D$245:$D$595,$F$245:$F$595,0,$E$245:$E$595,$G273)*$C$157 ,0)</f>
        <v/>
      </c>
      <c r="Q273" s="95">
        <f>IF(AND(SUMIFS($D$245:$D$595,$F$245:$F$595,0,$E$245:$E$595,$G273,$C$245:$C$595,"&lt;="&amp;O$5)&lt;1000000,SUMIFS($D$245:$D$595,$F$245:$F$595,0,$E$245:$E$595,$G273,$C$245:$C$595,"&lt;="&amp;Q5)&gt;=1000000),SUMIFS($D$245:$D$595,$F$245:$F$595,0,$E$245:$E$595,$G273)*$C$157 ,0)</f>
        <v/>
      </c>
      <c r="S273" s="95">
        <f>IF(AND(SUMIFS($D$245:$D$595,$F$245:$F$595,0,$E$245:$E$595,$G273,$C$245:$C$595,"&lt;="&amp;Q$5)&lt;1000000,SUMIFS($D$245:$D$595,$F$245:$F$595,0,$E$245:$E$595,$G273,$C$245:$C$595,"&lt;="&amp;S5)&gt;=1000000),SUMIFS($D$245:$D$595,$F$245:$F$595,0,$E$245:$E$595,$G273)*$C$157 ,0)</f>
        <v/>
      </c>
      <c r="U273" s="95">
        <f>IF(AND(SUMIFS($D$245:$D$595,$F$245:$F$595,0,$E$245:$E$595,$G273,$C$245:$C$595,"&lt;="&amp;S$5)&lt;1000000,SUMIFS($D$245:$D$595,$F$245:$F$595,0,$E$245:$E$595,$G273,$C$245:$C$595,"&lt;="&amp;U5)&gt;=1000000),SUMIFS($D$245:$D$595,$F$245:$F$595,0,$E$245:$E$595,$G273)*$C$157 ,0)</f>
        <v/>
      </c>
      <c r="W273" s="95">
        <f>IF(AND(SUMIFS($D$245:$D$595,$F$245:$F$595,0,$E$245:$E$595,$G273,$C$245:$C$595,"&lt;="&amp;U$5)&lt;1000000,SUMIFS($D$245:$D$595,$F$245:$F$595,0,$E$245:$E$595,$G273,$C$245:$C$595,"&lt;="&amp;W5)&gt;=1000000),SUMIFS($D$245:$D$595,$F$245:$F$595,0,$E$245:$E$595,$G273)*$C$157 ,0)</f>
        <v/>
      </c>
      <c r="Y273" s="95">
        <f>IF(AND(SUMIFS($D$245:$D$595,$F$245:$F$595,0,$E$245:$E$595,$G273,$C$245:$C$595,"&lt;="&amp;W$5)&lt;1000000,SUMIFS($D$245:$D$595,$F$245:$F$595,0,$E$245:$E$595,$G273,$C$245:$C$595,"&lt;="&amp;Y5)&gt;=1000000),SUMIFS($D$245:$D$595,$F$245:$F$595,0,$E$245:$E$595,$G273)*$C$157 ,0)</f>
        <v/>
      </c>
      <c r="AA273" s="95">
        <f>IF(AND(SUMIFS($D$245:$D$595,$F$245:$F$595,0,$E$245:$E$595,$G273,$C$245:$C$595,"&lt;="&amp;Y$5)&lt;1000000,SUMIFS($D$245:$D$595,$F$245:$F$595,0,$E$245:$E$595,$G273,$C$245:$C$595,"&lt;="&amp;AA5)&gt;=1000000),SUMIFS($D$245:$D$595,$F$245:$F$595,0,$E$245:$E$595,$G273)*$C$157 ,0)</f>
        <v/>
      </c>
      <c r="AC273" s="95">
        <f>IF(AND(SUMIFS($D$245:$D$595,$F$245:$F$595,0,$E$245:$E$595,$G273,$C$245:$C$595,"&lt;="&amp;AA$5)&lt;1000000,SUMIFS($D$245:$D$595,$F$245:$F$595,0,$E$245:$E$595,$G273,$C$245:$C$595,"&lt;="&amp;AC5)&gt;=1000000),SUMIFS($D$245:$D$595,$F$245:$F$595,0,$E$245:$E$595,$G273)*$C$157 ,0)</f>
        <v/>
      </c>
      <c r="AE273" s="95">
        <f>IF(AND(SUMIFS($D$245:$D$595,$F$245:$F$595,0,$E$245:$E$595,$G273,$C$245:$C$595,"&lt;="&amp;AC$5)&lt;1000000,SUMIFS($D$245:$D$595,$F$245:$F$595,0,$E$245:$E$595,$G273,$C$245:$C$595,"&lt;="&amp;AE5)&gt;=1000000),SUMIFS($D$245:$D$595,$F$245:$F$595,0,$E$245:$E$595,$G273)*$C$157 ,0)</f>
        <v/>
      </c>
      <c r="AF273" s="19" t="n"/>
    </row>
    <row r="274">
      <c r="A274" s="20">
        <f>mid(E274, 3, 1)</f>
        <v/>
      </c>
      <c r="B274" s="14" t="inlineStr"/>
      <c r="C274" s="21">
        <f>SUMIFS('Investor Exit List'!$AC:$AC,'Investor Exit List'!$AB:$AB,B274)</f>
        <v/>
      </c>
      <c r="D274" s="14">
        <f>SUMIFS('Investor Exit List'!$Q:$Q,'Investor Exit List'!$AB:$AB,B274)</f>
        <v/>
      </c>
      <c r="E274" s="31">
        <f>LEFT(B274,6)</f>
        <v/>
      </c>
      <c r="F274" s="14">
        <f>IF(SUMIFS($E$119:$E$151,$D$119:$D$151,E274)&lt;&gt;0,E274,0)</f>
        <v/>
      </c>
      <c r="G274" s="59" t="n"/>
      <c r="I274" s="28">
        <f>IF(AND(SUMIFS($D$245:$D$595,$F$245:$F$595,0,$E$245:$E$595,$G274,$C$245:$C$595,"&lt;="&amp;B$2)&lt;1000000,SUMIFS($D$245:$D$595,$F$245:$F$595,0,$E$245:$E$595,$G274,$C$245:$C$595,"&lt;="&amp;I5)&gt;=1000000),SUMIFS($D$245:$D$595,$F$245:$F$595,0,$E$245:$E$595,$G274)*$C$157 ,0)</f>
        <v/>
      </c>
      <c r="K274" s="95">
        <f>IF(AND(SUMIFS($D$245:$D$595,$F$245:$F$595,0,$E$245:$E$595,$G274,$C$245:$C$595,"&lt;="&amp;I$5)&lt;1000000,SUMIFS($D$245:$D$595,$F$245:$F$595,0,$E$245:$E$595,$G274,$C$245:$C$595,"&lt;="&amp;K5)&gt;=1000000),SUMIFS($D$245:$D$595,$F$245:$F$595,0,$E$245:$E$595,$G274)*$C$157 ,0)</f>
        <v/>
      </c>
      <c r="M274" s="95">
        <f>IF(AND(SUMIFS($D$245:$D$595,$F$245:$F$595,0,$E$245:$E$595,$G274,$C$245:$C$595,"&lt;="&amp;K$5)&lt;1000000,SUMIFS($D$245:$D$595,$F$245:$F$595,0,$E$245:$E$595,$G274,$C$245:$C$595,"&lt;="&amp;M5)&gt;=1000000),SUMIFS($D$245:$D$595,$F$245:$F$595,0,$E$245:$E$595,$G274)*$C$157 ,0)</f>
        <v/>
      </c>
      <c r="O274" s="95">
        <f>IF(AND(SUMIFS($D$245:$D$595,$F$245:$F$595,0,$E$245:$E$595,$G274,$C$245:$C$595,"&lt;="&amp;M$5)&lt;1000000,SUMIFS($D$245:$D$595,$F$245:$F$595,0,$E$245:$E$595,$G274,$C$245:$C$595,"&lt;="&amp;O5)&gt;=1000000),SUMIFS($D$245:$D$595,$F$245:$F$595,0,$E$245:$E$595,$G274)*$C$157 ,0)</f>
        <v/>
      </c>
      <c r="Q274" s="95">
        <f>IF(AND(SUMIFS($D$245:$D$595,$F$245:$F$595,0,$E$245:$E$595,$G274,$C$245:$C$595,"&lt;="&amp;O$5)&lt;1000000,SUMIFS($D$245:$D$595,$F$245:$F$595,0,$E$245:$E$595,$G274,$C$245:$C$595,"&lt;="&amp;Q5)&gt;=1000000),SUMIFS($D$245:$D$595,$F$245:$F$595,0,$E$245:$E$595,$G274)*$C$157 ,0)</f>
        <v/>
      </c>
      <c r="S274" s="95">
        <f>IF(AND(SUMIFS($D$245:$D$595,$F$245:$F$595,0,$E$245:$E$595,$G274,$C$245:$C$595,"&lt;="&amp;Q$5)&lt;1000000,SUMIFS($D$245:$D$595,$F$245:$F$595,0,$E$245:$E$595,$G274,$C$245:$C$595,"&lt;="&amp;S5)&gt;=1000000),SUMIFS($D$245:$D$595,$F$245:$F$595,0,$E$245:$E$595,$G274)*$C$157 ,0)</f>
        <v/>
      </c>
      <c r="U274" s="95">
        <f>IF(AND(SUMIFS($D$245:$D$595,$F$245:$F$595,0,$E$245:$E$595,$G274,$C$245:$C$595,"&lt;="&amp;S$5)&lt;1000000,SUMIFS($D$245:$D$595,$F$245:$F$595,0,$E$245:$E$595,$G274,$C$245:$C$595,"&lt;="&amp;U5)&gt;=1000000),SUMIFS($D$245:$D$595,$F$245:$F$595,0,$E$245:$E$595,$G274)*$C$157 ,0)</f>
        <v/>
      </c>
      <c r="W274" s="95">
        <f>IF(AND(SUMIFS($D$245:$D$595,$F$245:$F$595,0,$E$245:$E$595,$G274,$C$245:$C$595,"&lt;="&amp;U$5)&lt;1000000,SUMIFS($D$245:$D$595,$F$245:$F$595,0,$E$245:$E$595,$G274,$C$245:$C$595,"&lt;="&amp;W5)&gt;=1000000),SUMIFS($D$245:$D$595,$F$245:$F$595,0,$E$245:$E$595,$G274)*$C$157 ,0)</f>
        <v/>
      </c>
      <c r="Y274" s="95">
        <f>IF(AND(SUMIFS($D$245:$D$595,$F$245:$F$595,0,$E$245:$E$595,$G274,$C$245:$C$595,"&lt;="&amp;W$5)&lt;1000000,SUMIFS($D$245:$D$595,$F$245:$F$595,0,$E$245:$E$595,$G274,$C$245:$C$595,"&lt;="&amp;Y5)&gt;=1000000),SUMIFS($D$245:$D$595,$F$245:$F$595,0,$E$245:$E$595,$G274)*$C$157 ,0)</f>
        <v/>
      </c>
      <c r="AA274" s="95">
        <f>IF(AND(SUMIFS($D$245:$D$595,$F$245:$F$595,0,$E$245:$E$595,$G274,$C$245:$C$595,"&lt;="&amp;Y$5)&lt;1000000,SUMIFS($D$245:$D$595,$F$245:$F$595,0,$E$245:$E$595,$G274,$C$245:$C$595,"&lt;="&amp;AA5)&gt;=1000000),SUMIFS($D$245:$D$595,$F$245:$F$595,0,$E$245:$E$595,$G274)*$C$157 ,0)</f>
        <v/>
      </c>
      <c r="AC274" s="95">
        <f>IF(AND(SUMIFS($D$245:$D$595,$F$245:$F$595,0,$E$245:$E$595,$G274,$C$245:$C$595,"&lt;="&amp;AA$5)&lt;1000000,SUMIFS($D$245:$D$595,$F$245:$F$595,0,$E$245:$E$595,$G274,$C$245:$C$595,"&lt;="&amp;AC5)&gt;=1000000),SUMIFS($D$245:$D$595,$F$245:$F$595,0,$E$245:$E$595,$G274)*$C$157 ,0)</f>
        <v/>
      </c>
      <c r="AE274" s="95">
        <f>IF(AND(SUMIFS($D$245:$D$595,$F$245:$F$595,0,$E$245:$E$595,$G274,$C$245:$C$595,"&lt;="&amp;AC$5)&lt;1000000,SUMIFS($D$245:$D$595,$F$245:$F$595,0,$E$245:$E$595,$G274,$C$245:$C$595,"&lt;="&amp;AE5)&gt;=1000000),SUMIFS($D$245:$D$595,$F$245:$F$595,0,$E$245:$E$595,$G274)*$C$157 ,0)</f>
        <v/>
      </c>
      <c r="AF274" s="19" t="n"/>
    </row>
    <row r="275">
      <c r="A275" s="20">
        <f>mid(E275, 3, 1)</f>
        <v/>
      </c>
      <c r="B275" s="14" t="inlineStr"/>
      <c r="C275" s="21">
        <f>SUMIFS('Investor Exit List'!$AC:$AC,'Investor Exit List'!$AB:$AB,B275)</f>
        <v/>
      </c>
      <c r="D275" s="14">
        <f>SUMIFS('Investor Exit List'!$Q:$Q,'Investor Exit List'!$AB:$AB,B275)</f>
        <v/>
      </c>
      <c r="E275" s="31">
        <f>LEFT(B275,6)</f>
        <v/>
      </c>
      <c r="F275" s="14">
        <f>IF(SUMIFS($E$119:$E$151,$D$119:$D$151,E275)&lt;&gt;0,E275,0)</f>
        <v/>
      </c>
      <c r="G275" s="59" t="n"/>
      <c r="I275" s="28">
        <f>IF(AND(SUMIFS($D$245:$D$595,$F$245:$F$595,0,$E$245:$E$595,$G275,$C$245:$C$595,"&lt;="&amp;B$2)&lt;1000000,SUMIFS($D$245:$D$595,$F$245:$F$595,0,$E$245:$E$595,$G275,$C$245:$C$595,"&lt;="&amp;I5)&gt;=1000000),SUMIFS($D$245:$D$595,$F$245:$F$595,0,$E$245:$E$595,$G275)*$C$157 ,0)</f>
        <v/>
      </c>
      <c r="K275" s="95">
        <f>IF(AND(SUMIFS($D$245:$D$595,$F$245:$F$595,0,$E$245:$E$595,$G275,$C$245:$C$595,"&lt;="&amp;I$5)&lt;1000000,SUMIFS($D$245:$D$595,$F$245:$F$595,0,$E$245:$E$595,$G275,$C$245:$C$595,"&lt;="&amp;K5)&gt;=1000000),SUMIFS($D$245:$D$595,$F$245:$F$595,0,$E$245:$E$595,$G275)*$C$157 ,0)</f>
        <v/>
      </c>
      <c r="M275" s="95">
        <f>IF(AND(SUMIFS($D$245:$D$595,$F$245:$F$595,0,$E$245:$E$595,$G275,$C$245:$C$595,"&lt;="&amp;K$5)&lt;1000000,SUMIFS($D$245:$D$595,$F$245:$F$595,0,$E$245:$E$595,$G275,$C$245:$C$595,"&lt;="&amp;M5)&gt;=1000000),SUMIFS($D$245:$D$595,$F$245:$F$595,0,$E$245:$E$595,$G275)*$C$157 ,0)</f>
        <v/>
      </c>
      <c r="O275" s="95">
        <f>IF(AND(SUMIFS($D$245:$D$595,$F$245:$F$595,0,$E$245:$E$595,$G275,$C$245:$C$595,"&lt;="&amp;M$5)&lt;1000000,SUMIFS($D$245:$D$595,$F$245:$F$595,0,$E$245:$E$595,$G275,$C$245:$C$595,"&lt;="&amp;O5)&gt;=1000000),SUMIFS($D$245:$D$595,$F$245:$F$595,0,$E$245:$E$595,$G275)*$C$157 ,0)</f>
        <v/>
      </c>
      <c r="Q275" s="95">
        <f>IF(AND(SUMIFS($D$245:$D$595,$F$245:$F$595,0,$E$245:$E$595,$G275,$C$245:$C$595,"&lt;="&amp;O$5)&lt;1000000,SUMIFS($D$245:$D$595,$F$245:$F$595,0,$E$245:$E$595,$G275,$C$245:$C$595,"&lt;="&amp;Q5)&gt;=1000000),SUMIFS($D$245:$D$595,$F$245:$F$595,0,$E$245:$E$595,$G275)*$C$157 ,0)</f>
        <v/>
      </c>
      <c r="S275" s="95">
        <f>IF(AND(SUMIFS($D$245:$D$595,$F$245:$F$595,0,$E$245:$E$595,$G275,$C$245:$C$595,"&lt;="&amp;Q$5)&lt;1000000,SUMIFS($D$245:$D$595,$F$245:$F$595,0,$E$245:$E$595,$G275,$C$245:$C$595,"&lt;="&amp;S5)&gt;=1000000),SUMIFS($D$245:$D$595,$F$245:$F$595,0,$E$245:$E$595,$G275)*$C$157 ,0)</f>
        <v/>
      </c>
      <c r="U275" s="95">
        <f>IF(AND(SUMIFS($D$245:$D$595,$F$245:$F$595,0,$E$245:$E$595,$G275,$C$245:$C$595,"&lt;="&amp;S$5)&lt;1000000,SUMIFS($D$245:$D$595,$F$245:$F$595,0,$E$245:$E$595,$G275,$C$245:$C$595,"&lt;="&amp;U5)&gt;=1000000),SUMIFS($D$245:$D$595,$F$245:$F$595,0,$E$245:$E$595,$G275)*$C$157 ,0)</f>
        <v/>
      </c>
      <c r="W275" s="95">
        <f>IF(AND(SUMIFS($D$245:$D$595,$F$245:$F$595,0,$E$245:$E$595,$G275,$C$245:$C$595,"&lt;="&amp;U$5)&lt;1000000,SUMIFS($D$245:$D$595,$F$245:$F$595,0,$E$245:$E$595,$G275,$C$245:$C$595,"&lt;="&amp;W5)&gt;=1000000),SUMIFS($D$245:$D$595,$F$245:$F$595,0,$E$245:$E$595,$G275)*$C$157 ,0)</f>
        <v/>
      </c>
      <c r="Y275" s="95">
        <f>IF(AND(SUMIFS($D$245:$D$595,$F$245:$F$595,0,$E$245:$E$595,$G275,$C$245:$C$595,"&lt;="&amp;W$5)&lt;1000000,SUMIFS($D$245:$D$595,$F$245:$F$595,0,$E$245:$E$595,$G275,$C$245:$C$595,"&lt;="&amp;Y5)&gt;=1000000),SUMIFS($D$245:$D$595,$F$245:$F$595,0,$E$245:$E$595,$G275)*$C$157 ,0)</f>
        <v/>
      </c>
      <c r="AA275" s="95">
        <f>IF(AND(SUMIFS($D$245:$D$595,$F$245:$F$595,0,$E$245:$E$595,$G275,$C$245:$C$595,"&lt;="&amp;Y$5)&lt;1000000,SUMIFS($D$245:$D$595,$F$245:$F$595,0,$E$245:$E$595,$G275,$C$245:$C$595,"&lt;="&amp;AA5)&gt;=1000000),SUMIFS($D$245:$D$595,$F$245:$F$595,0,$E$245:$E$595,$G275)*$C$157 ,0)</f>
        <v/>
      </c>
      <c r="AC275" s="95">
        <f>IF(AND(SUMIFS($D$245:$D$595,$F$245:$F$595,0,$E$245:$E$595,$G275,$C$245:$C$595,"&lt;="&amp;AA$5)&lt;1000000,SUMIFS($D$245:$D$595,$F$245:$F$595,0,$E$245:$E$595,$G275,$C$245:$C$595,"&lt;="&amp;AC5)&gt;=1000000),SUMIFS($D$245:$D$595,$F$245:$F$595,0,$E$245:$E$595,$G275)*$C$157 ,0)</f>
        <v/>
      </c>
      <c r="AE275" s="95">
        <f>IF(AND(SUMIFS($D$245:$D$595,$F$245:$F$595,0,$E$245:$E$595,$G275,$C$245:$C$595,"&lt;="&amp;AC$5)&lt;1000000,SUMIFS($D$245:$D$595,$F$245:$F$595,0,$E$245:$E$595,$G275,$C$245:$C$595,"&lt;="&amp;AE5)&gt;=1000000),SUMIFS($D$245:$D$595,$F$245:$F$595,0,$E$245:$E$595,$G275)*$C$157 ,0)</f>
        <v/>
      </c>
      <c r="AF275" s="19" t="n"/>
    </row>
    <row r="276">
      <c r="A276" s="20">
        <f>mid(E276, 3, 1)</f>
        <v/>
      </c>
      <c r="B276" s="14" t="inlineStr"/>
      <c r="C276" s="21">
        <f>SUMIFS('Investor Exit List'!$AC:$AC,'Investor Exit List'!$AB:$AB,B276)</f>
        <v/>
      </c>
      <c r="D276" s="14">
        <f>SUMIFS('Investor Exit List'!$Q:$Q,'Investor Exit List'!$AB:$AB,B276)</f>
        <v/>
      </c>
      <c r="E276" s="31">
        <f>LEFT(B276,6)</f>
        <v/>
      </c>
      <c r="F276" s="14">
        <f>IF(SUMIFS($E$119:$E$151,$D$119:$D$151,E276)&lt;&gt;0,E276,0)</f>
        <v/>
      </c>
      <c r="G276" s="59" t="n"/>
      <c r="I276" s="28">
        <f>IF(AND(SUMIFS($D$245:$D$595,$F$245:$F$595,0,$E$245:$E$595,$G276,$C$245:$C$595,"&lt;="&amp;B$2)&lt;1000000,SUMIFS($D$245:$D$595,$F$245:$F$595,0,$E$245:$E$595,$G276,$C$245:$C$595,"&lt;="&amp;I5)&gt;=1000000),SUMIFS($D$245:$D$595,$F$245:$F$595,0,$E$245:$E$595,$G276)*$C$157 ,0)</f>
        <v/>
      </c>
      <c r="K276" s="95">
        <f>IF(AND(SUMIFS($D$245:$D$595,$F$245:$F$595,0,$E$245:$E$595,$G276,$C$245:$C$595,"&lt;="&amp;I$5)&lt;1000000,SUMIFS($D$245:$D$595,$F$245:$F$595,0,$E$245:$E$595,$G276,$C$245:$C$595,"&lt;="&amp;K5)&gt;=1000000),SUMIFS($D$245:$D$595,$F$245:$F$595,0,$E$245:$E$595,$G276)*$C$157 ,0)</f>
        <v/>
      </c>
      <c r="M276" s="95">
        <f>IF(AND(SUMIFS($D$245:$D$595,$F$245:$F$595,0,$E$245:$E$595,$G276,$C$245:$C$595,"&lt;="&amp;K$5)&lt;1000000,SUMIFS($D$245:$D$595,$F$245:$F$595,0,$E$245:$E$595,$G276,$C$245:$C$595,"&lt;="&amp;M5)&gt;=1000000),SUMIFS($D$245:$D$595,$F$245:$F$595,0,$E$245:$E$595,$G276)*$C$157 ,0)</f>
        <v/>
      </c>
      <c r="O276" s="95">
        <f>IF(AND(SUMIFS($D$245:$D$595,$F$245:$F$595,0,$E$245:$E$595,$G276,$C$245:$C$595,"&lt;="&amp;M$5)&lt;1000000,SUMIFS($D$245:$D$595,$F$245:$F$595,0,$E$245:$E$595,$G276,$C$245:$C$595,"&lt;="&amp;O5)&gt;=1000000),SUMIFS($D$245:$D$595,$F$245:$F$595,0,$E$245:$E$595,$G276)*$C$157 ,0)</f>
        <v/>
      </c>
      <c r="Q276" s="95">
        <f>IF(AND(SUMIFS($D$245:$D$595,$F$245:$F$595,0,$E$245:$E$595,$G276,$C$245:$C$595,"&lt;="&amp;O$5)&lt;1000000,SUMIFS($D$245:$D$595,$F$245:$F$595,0,$E$245:$E$595,$G276,$C$245:$C$595,"&lt;="&amp;Q5)&gt;=1000000),SUMIFS($D$245:$D$595,$F$245:$F$595,0,$E$245:$E$595,$G276)*$C$157 ,0)</f>
        <v/>
      </c>
      <c r="S276" s="95">
        <f>IF(AND(SUMIFS($D$245:$D$595,$F$245:$F$595,0,$E$245:$E$595,$G276,$C$245:$C$595,"&lt;="&amp;Q$5)&lt;1000000,SUMIFS($D$245:$D$595,$F$245:$F$595,0,$E$245:$E$595,$G276,$C$245:$C$595,"&lt;="&amp;S5)&gt;=1000000),SUMIFS($D$245:$D$595,$F$245:$F$595,0,$E$245:$E$595,$G276)*$C$157 ,0)</f>
        <v/>
      </c>
      <c r="U276" s="95">
        <f>IF(AND(SUMIFS($D$245:$D$595,$F$245:$F$595,0,$E$245:$E$595,$G276,$C$245:$C$595,"&lt;="&amp;S$5)&lt;1000000,SUMIFS($D$245:$D$595,$F$245:$F$595,0,$E$245:$E$595,$G276,$C$245:$C$595,"&lt;="&amp;U5)&gt;=1000000),SUMIFS($D$245:$D$595,$F$245:$F$595,0,$E$245:$E$595,$G276)*$C$157 ,0)</f>
        <v/>
      </c>
      <c r="W276" s="95">
        <f>IF(AND(SUMIFS($D$245:$D$595,$F$245:$F$595,0,$E$245:$E$595,$G276,$C$245:$C$595,"&lt;="&amp;U$5)&lt;1000000,SUMIFS($D$245:$D$595,$F$245:$F$595,0,$E$245:$E$595,$G276,$C$245:$C$595,"&lt;="&amp;W5)&gt;=1000000),SUMIFS($D$245:$D$595,$F$245:$F$595,0,$E$245:$E$595,$G276)*$C$157 ,0)</f>
        <v/>
      </c>
      <c r="Y276" s="95">
        <f>IF(AND(SUMIFS($D$245:$D$595,$F$245:$F$595,0,$E$245:$E$595,$G276,$C$245:$C$595,"&lt;="&amp;W$5)&lt;1000000,SUMIFS($D$245:$D$595,$F$245:$F$595,0,$E$245:$E$595,$G276,$C$245:$C$595,"&lt;="&amp;Y5)&gt;=1000000),SUMIFS($D$245:$D$595,$F$245:$F$595,0,$E$245:$E$595,$G276)*$C$157 ,0)</f>
        <v/>
      </c>
      <c r="AA276" s="95">
        <f>IF(AND(SUMIFS($D$245:$D$595,$F$245:$F$595,0,$E$245:$E$595,$G276,$C$245:$C$595,"&lt;="&amp;Y$5)&lt;1000000,SUMIFS($D$245:$D$595,$F$245:$F$595,0,$E$245:$E$595,$G276,$C$245:$C$595,"&lt;="&amp;AA5)&gt;=1000000),SUMIFS($D$245:$D$595,$F$245:$F$595,0,$E$245:$E$595,$G276)*$C$157 ,0)</f>
        <v/>
      </c>
      <c r="AC276" s="95">
        <f>IF(AND(SUMIFS($D$245:$D$595,$F$245:$F$595,0,$E$245:$E$595,$G276,$C$245:$C$595,"&lt;="&amp;AA$5)&lt;1000000,SUMIFS($D$245:$D$595,$F$245:$F$595,0,$E$245:$E$595,$G276,$C$245:$C$595,"&lt;="&amp;AC5)&gt;=1000000),SUMIFS($D$245:$D$595,$F$245:$F$595,0,$E$245:$E$595,$G276)*$C$157 ,0)</f>
        <v/>
      </c>
      <c r="AE276" s="95">
        <f>IF(AND(SUMIFS($D$245:$D$595,$F$245:$F$595,0,$E$245:$E$595,$G276,$C$245:$C$595,"&lt;="&amp;AC$5)&lt;1000000,SUMIFS($D$245:$D$595,$F$245:$F$595,0,$E$245:$E$595,$G276,$C$245:$C$595,"&lt;="&amp;AE5)&gt;=1000000),SUMIFS($D$245:$D$595,$F$245:$F$595,0,$E$245:$E$595,$G276)*$C$157 ,0)</f>
        <v/>
      </c>
      <c r="AF276" s="19" t="n"/>
    </row>
    <row r="277">
      <c r="A277" s="20">
        <f>mid(E277, 3, 1)</f>
        <v/>
      </c>
      <c r="B277" s="14" t="inlineStr"/>
      <c r="C277" s="21">
        <f>SUMIFS('Investor Exit List'!$AC:$AC,'Investor Exit List'!$AB:$AB,B277)</f>
        <v/>
      </c>
      <c r="D277" s="14">
        <f>SUMIFS('Investor Exit List'!$Q:$Q,'Investor Exit List'!$AB:$AB,B277)</f>
        <v/>
      </c>
      <c r="E277" s="31">
        <f>LEFT(B277,6)</f>
        <v/>
      </c>
      <c r="F277" s="14">
        <f>IF(SUMIFS($E$119:$E$151,$D$119:$D$151,E277)&lt;&gt;0,E277,0)</f>
        <v/>
      </c>
      <c r="G277" s="59" t="n"/>
      <c r="I277" s="28">
        <f>IF(AND(SUMIFS($D$245:$D$595,$F$245:$F$595,0,$E$245:$E$595,$G277,$C$245:$C$595,"&lt;="&amp;B$2)&lt;1000000,SUMIFS($D$245:$D$595,$F$245:$F$595,0,$E$245:$E$595,$G277,$C$245:$C$595,"&lt;="&amp;I5)&gt;=1000000),SUMIFS($D$245:$D$595,$F$245:$F$595,0,$E$245:$E$595,$G277)*$C$157 ,0)</f>
        <v/>
      </c>
      <c r="K277" s="95">
        <f>IF(AND(SUMIFS($D$245:$D$595,$F$245:$F$595,0,$E$245:$E$595,$G277,$C$245:$C$595,"&lt;="&amp;I$5)&lt;1000000,SUMIFS($D$245:$D$595,$F$245:$F$595,0,$E$245:$E$595,$G277,$C$245:$C$595,"&lt;="&amp;K5)&gt;=1000000),SUMIFS($D$245:$D$595,$F$245:$F$595,0,$E$245:$E$595,$G277)*$C$157 ,0)</f>
        <v/>
      </c>
      <c r="M277" s="95">
        <f>IF(AND(SUMIFS($D$245:$D$595,$F$245:$F$595,0,$E$245:$E$595,$G277,$C$245:$C$595,"&lt;="&amp;K$5)&lt;1000000,SUMIFS($D$245:$D$595,$F$245:$F$595,0,$E$245:$E$595,$G277,$C$245:$C$595,"&lt;="&amp;M5)&gt;=1000000),SUMIFS($D$245:$D$595,$F$245:$F$595,0,$E$245:$E$595,$G277)*$C$157 ,0)</f>
        <v/>
      </c>
      <c r="O277" s="95">
        <f>IF(AND(SUMIFS($D$245:$D$595,$F$245:$F$595,0,$E$245:$E$595,$G277,$C$245:$C$595,"&lt;="&amp;M$5)&lt;1000000,SUMIFS($D$245:$D$595,$F$245:$F$595,0,$E$245:$E$595,$G277,$C$245:$C$595,"&lt;="&amp;O5)&gt;=1000000),SUMIFS($D$245:$D$595,$F$245:$F$595,0,$E$245:$E$595,$G277)*$C$157 ,0)</f>
        <v/>
      </c>
      <c r="Q277" s="95">
        <f>IF(AND(SUMIFS($D$245:$D$595,$F$245:$F$595,0,$E$245:$E$595,$G277,$C$245:$C$595,"&lt;="&amp;O$5)&lt;1000000,SUMIFS($D$245:$D$595,$F$245:$F$595,0,$E$245:$E$595,$G277,$C$245:$C$595,"&lt;="&amp;Q5)&gt;=1000000),SUMIFS($D$245:$D$595,$F$245:$F$595,0,$E$245:$E$595,$G277)*$C$157 ,0)</f>
        <v/>
      </c>
      <c r="S277" s="95">
        <f>IF(AND(SUMIFS($D$245:$D$595,$F$245:$F$595,0,$E$245:$E$595,$G277,$C$245:$C$595,"&lt;="&amp;Q$5)&lt;1000000,SUMIFS($D$245:$D$595,$F$245:$F$595,0,$E$245:$E$595,$G277,$C$245:$C$595,"&lt;="&amp;S5)&gt;=1000000),SUMIFS($D$245:$D$595,$F$245:$F$595,0,$E$245:$E$595,$G277)*$C$157 ,0)</f>
        <v/>
      </c>
      <c r="U277" s="95">
        <f>IF(AND(SUMIFS($D$245:$D$595,$F$245:$F$595,0,$E$245:$E$595,$G277,$C$245:$C$595,"&lt;="&amp;S$5)&lt;1000000,SUMIFS($D$245:$D$595,$F$245:$F$595,0,$E$245:$E$595,$G277,$C$245:$C$595,"&lt;="&amp;U5)&gt;=1000000),SUMIFS($D$245:$D$595,$F$245:$F$595,0,$E$245:$E$595,$G277)*$C$157 ,0)</f>
        <v/>
      </c>
      <c r="W277" s="95">
        <f>IF(AND(SUMIFS($D$245:$D$595,$F$245:$F$595,0,$E$245:$E$595,$G277,$C$245:$C$595,"&lt;="&amp;U$5)&lt;1000000,SUMIFS($D$245:$D$595,$F$245:$F$595,0,$E$245:$E$595,$G277,$C$245:$C$595,"&lt;="&amp;W5)&gt;=1000000),SUMIFS($D$245:$D$595,$F$245:$F$595,0,$E$245:$E$595,$G277)*$C$157 ,0)</f>
        <v/>
      </c>
      <c r="Y277" s="95">
        <f>IF(AND(SUMIFS($D$245:$D$595,$F$245:$F$595,0,$E$245:$E$595,$G277,$C$245:$C$595,"&lt;="&amp;W$5)&lt;1000000,SUMIFS($D$245:$D$595,$F$245:$F$595,0,$E$245:$E$595,$G277,$C$245:$C$595,"&lt;="&amp;Y5)&gt;=1000000),SUMIFS($D$245:$D$595,$F$245:$F$595,0,$E$245:$E$595,$G277)*$C$157 ,0)</f>
        <v/>
      </c>
      <c r="AA277" s="95">
        <f>IF(AND(SUMIFS($D$245:$D$595,$F$245:$F$595,0,$E$245:$E$595,$G277,$C$245:$C$595,"&lt;="&amp;Y$5)&lt;1000000,SUMIFS($D$245:$D$595,$F$245:$F$595,0,$E$245:$E$595,$G277,$C$245:$C$595,"&lt;="&amp;AA5)&gt;=1000000),SUMIFS($D$245:$D$595,$F$245:$F$595,0,$E$245:$E$595,$G277)*$C$157 ,0)</f>
        <v/>
      </c>
      <c r="AC277" s="95">
        <f>IF(AND(SUMIFS($D$245:$D$595,$F$245:$F$595,0,$E$245:$E$595,$G277,$C$245:$C$595,"&lt;="&amp;AA$5)&lt;1000000,SUMIFS($D$245:$D$595,$F$245:$F$595,0,$E$245:$E$595,$G277,$C$245:$C$595,"&lt;="&amp;AC5)&gt;=1000000),SUMIFS($D$245:$D$595,$F$245:$F$595,0,$E$245:$E$595,$G277)*$C$157 ,0)</f>
        <v/>
      </c>
      <c r="AE277" s="95">
        <f>IF(AND(SUMIFS($D$245:$D$595,$F$245:$F$595,0,$E$245:$E$595,$G277,$C$245:$C$595,"&lt;="&amp;AC$5)&lt;1000000,SUMIFS($D$245:$D$595,$F$245:$F$595,0,$E$245:$E$595,$G277,$C$245:$C$595,"&lt;="&amp;AE5)&gt;=1000000),SUMIFS($D$245:$D$595,$F$245:$F$595,0,$E$245:$E$595,$G277)*$C$157 ,0)</f>
        <v/>
      </c>
      <c r="AF277" s="19" t="n"/>
    </row>
    <row r="278">
      <c r="A278" s="20">
        <f>mid(E278, 3, 1)</f>
        <v/>
      </c>
      <c r="B278" s="14" t="inlineStr"/>
      <c r="C278" s="21">
        <f>SUMIFS('Investor Exit List'!$AC:$AC,'Investor Exit List'!$AB:$AB,B278)</f>
        <v/>
      </c>
      <c r="D278" s="14">
        <f>SUMIFS('Investor Exit List'!$Q:$Q,'Investor Exit List'!$AB:$AB,B278)</f>
        <v/>
      </c>
      <c r="E278" s="31">
        <f>LEFT(B278,6)</f>
        <v/>
      </c>
      <c r="F278" s="14">
        <f>IF(SUMIFS($E$119:$E$151,$D$119:$D$151,E278)&lt;&gt;0,E278,0)</f>
        <v/>
      </c>
      <c r="G278" s="59" t="n"/>
      <c r="I278" s="28">
        <f>IF(AND(SUMIFS($D$245:$D$595,$F$245:$F$595,0,$E$245:$E$595,$G278,$C$245:$C$595,"&lt;="&amp;B$2)&lt;1000000,SUMIFS($D$245:$D$595,$F$245:$F$595,0,$E$245:$E$595,$G278,$C$245:$C$595,"&lt;="&amp;I5)&gt;=1000000),SUMIFS($D$245:$D$595,$F$245:$F$595,0,$E$245:$E$595,$G278)*$C$157 ,0)</f>
        <v/>
      </c>
      <c r="K278" s="95">
        <f>IF(AND(SUMIFS($D$245:$D$595,$F$245:$F$595,0,$E$245:$E$595,$G278,$C$245:$C$595,"&lt;="&amp;I$5)&lt;1000000,SUMIFS($D$245:$D$595,$F$245:$F$595,0,$E$245:$E$595,$G278,$C$245:$C$595,"&lt;="&amp;K5)&gt;=1000000),SUMIFS($D$245:$D$595,$F$245:$F$595,0,$E$245:$E$595,$G278)*$C$157 ,0)</f>
        <v/>
      </c>
      <c r="M278" s="95">
        <f>IF(AND(SUMIFS($D$245:$D$595,$F$245:$F$595,0,$E$245:$E$595,$G278,$C$245:$C$595,"&lt;="&amp;K$5)&lt;1000000,SUMIFS($D$245:$D$595,$F$245:$F$595,0,$E$245:$E$595,$G278,$C$245:$C$595,"&lt;="&amp;M5)&gt;=1000000),SUMIFS($D$245:$D$595,$F$245:$F$595,0,$E$245:$E$595,$G278)*$C$157 ,0)</f>
        <v/>
      </c>
      <c r="O278" s="95">
        <f>IF(AND(SUMIFS($D$245:$D$595,$F$245:$F$595,0,$E$245:$E$595,$G278,$C$245:$C$595,"&lt;="&amp;M$5)&lt;1000000,SUMIFS($D$245:$D$595,$F$245:$F$595,0,$E$245:$E$595,$G278,$C$245:$C$595,"&lt;="&amp;O5)&gt;=1000000),SUMIFS($D$245:$D$595,$F$245:$F$595,0,$E$245:$E$595,$G278)*$C$157 ,0)</f>
        <v/>
      </c>
      <c r="Q278" s="95">
        <f>IF(AND(SUMIFS($D$245:$D$595,$F$245:$F$595,0,$E$245:$E$595,$G278,$C$245:$C$595,"&lt;="&amp;O$5)&lt;1000000,SUMIFS($D$245:$D$595,$F$245:$F$595,0,$E$245:$E$595,$G278,$C$245:$C$595,"&lt;="&amp;Q5)&gt;=1000000),SUMIFS($D$245:$D$595,$F$245:$F$595,0,$E$245:$E$595,$G278)*$C$157 ,0)</f>
        <v/>
      </c>
      <c r="S278" s="95">
        <f>IF(AND(SUMIFS($D$245:$D$595,$F$245:$F$595,0,$E$245:$E$595,$G278,$C$245:$C$595,"&lt;="&amp;Q$5)&lt;1000000,SUMIFS($D$245:$D$595,$F$245:$F$595,0,$E$245:$E$595,$G278,$C$245:$C$595,"&lt;="&amp;S5)&gt;=1000000),SUMIFS($D$245:$D$595,$F$245:$F$595,0,$E$245:$E$595,$G278)*$C$157 ,0)</f>
        <v/>
      </c>
      <c r="U278" s="95">
        <f>IF(AND(SUMIFS($D$245:$D$595,$F$245:$F$595,0,$E$245:$E$595,$G278,$C$245:$C$595,"&lt;="&amp;S$5)&lt;1000000,SUMIFS($D$245:$D$595,$F$245:$F$595,0,$E$245:$E$595,$G278,$C$245:$C$595,"&lt;="&amp;U5)&gt;=1000000),SUMIFS($D$245:$D$595,$F$245:$F$595,0,$E$245:$E$595,$G278)*$C$157 ,0)</f>
        <v/>
      </c>
      <c r="W278" s="95">
        <f>IF(AND(SUMIFS($D$245:$D$595,$F$245:$F$595,0,$E$245:$E$595,$G278,$C$245:$C$595,"&lt;="&amp;U$5)&lt;1000000,SUMIFS($D$245:$D$595,$F$245:$F$595,0,$E$245:$E$595,$G278,$C$245:$C$595,"&lt;="&amp;W5)&gt;=1000000),SUMIFS($D$245:$D$595,$F$245:$F$595,0,$E$245:$E$595,$G278)*$C$157 ,0)</f>
        <v/>
      </c>
      <c r="Y278" s="95">
        <f>IF(AND(SUMIFS($D$245:$D$595,$F$245:$F$595,0,$E$245:$E$595,$G278,$C$245:$C$595,"&lt;="&amp;W$5)&lt;1000000,SUMIFS($D$245:$D$595,$F$245:$F$595,0,$E$245:$E$595,$G278,$C$245:$C$595,"&lt;="&amp;Y5)&gt;=1000000),SUMIFS($D$245:$D$595,$F$245:$F$595,0,$E$245:$E$595,$G278)*$C$157 ,0)</f>
        <v/>
      </c>
      <c r="AA278" s="95">
        <f>IF(AND(SUMIFS($D$245:$D$595,$F$245:$F$595,0,$E$245:$E$595,$G278,$C$245:$C$595,"&lt;="&amp;Y$5)&lt;1000000,SUMIFS($D$245:$D$595,$F$245:$F$595,0,$E$245:$E$595,$G278,$C$245:$C$595,"&lt;="&amp;AA5)&gt;=1000000),SUMIFS($D$245:$D$595,$F$245:$F$595,0,$E$245:$E$595,$G278)*$C$157 ,0)</f>
        <v/>
      </c>
      <c r="AC278" s="95">
        <f>IF(AND(SUMIFS($D$245:$D$595,$F$245:$F$595,0,$E$245:$E$595,$G278,$C$245:$C$595,"&lt;="&amp;AA$5)&lt;1000000,SUMIFS($D$245:$D$595,$F$245:$F$595,0,$E$245:$E$595,$G278,$C$245:$C$595,"&lt;="&amp;AC5)&gt;=1000000),SUMIFS($D$245:$D$595,$F$245:$F$595,0,$E$245:$E$595,$G278)*$C$157 ,0)</f>
        <v/>
      </c>
      <c r="AE278" s="95">
        <f>IF(AND(SUMIFS($D$245:$D$595,$F$245:$F$595,0,$E$245:$E$595,$G278,$C$245:$C$595,"&lt;="&amp;AC$5)&lt;1000000,SUMIFS($D$245:$D$595,$F$245:$F$595,0,$E$245:$E$595,$G278,$C$245:$C$595,"&lt;="&amp;AE5)&gt;=1000000),SUMIFS($D$245:$D$595,$F$245:$F$595,0,$E$245:$E$595,$G278)*$C$157 ,0)</f>
        <v/>
      </c>
      <c r="AF278" s="19" t="n"/>
    </row>
    <row r="279">
      <c r="A279" s="20">
        <f>mid(E279, 3, 1)</f>
        <v/>
      </c>
      <c r="B279" s="14" t="inlineStr"/>
      <c r="C279" s="21">
        <f>SUMIFS('Investor Exit List'!$AC:$AC,'Investor Exit List'!$AB:$AB,B279)</f>
        <v/>
      </c>
      <c r="D279" s="14">
        <f>SUMIFS('Investor Exit List'!$Q:$Q,'Investor Exit List'!$AB:$AB,B279)</f>
        <v/>
      </c>
      <c r="E279" s="31">
        <f>LEFT(B279,6)</f>
        <v/>
      </c>
      <c r="F279" s="14">
        <f>IF(SUMIFS($E$119:$E$151,$D$119:$D$151,E279)&lt;&gt;0,E279,0)</f>
        <v/>
      </c>
      <c r="G279" s="59" t="n"/>
      <c r="I279" s="28">
        <f>IF(AND(SUMIFS($D$245:$D$595,$F$245:$F$595,0,$E$245:$E$595,$G279,$C$245:$C$595,"&lt;="&amp;B$2)&lt;1000000,SUMIFS($D$245:$D$595,$F$245:$F$595,0,$E$245:$E$595,$G279,$C$245:$C$595,"&lt;="&amp;I5)&gt;=1000000),SUMIFS($D$245:$D$595,$F$245:$F$595,0,$E$245:$E$595,$G279)*$C$157 ,0)</f>
        <v/>
      </c>
      <c r="K279" s="95">
        <f>IF(AND(SUMIFS($D$245:$D$595,$F$245:$F$595,0,$E$245:$E$595,$G279,$C$245:$C$595,"&lt;="&amp;I$5)&lt;1000000,SUMIFS($D$245:$D$595,$F$245:$F$595,0,$E$245:$E$595,$G279,$C$245:$C$595,"&lt;="&amp;K5)&gt;=1000000),SUMIFS($D$245:$D$595,$F$245:$F$595,0,$E$245:$E$595,$G279)*$C$157 ,0)</f>
        <v/>
      </c>
      <c r="M279" s="95">
        <f>IF(AND(SUMIFS($D$245:$D$595,$F$245:$F$595,0,$E$245:$E$595,$G279,$C$245:$C$595,"&lt;="&amp;K$5)&lt;1000000,SUMIFS($D$245:$D$595,$F$245:$F$595,0,$E$245:$E$595,$G279,$C$245:$C$595,"&lt;="&amp;M5)&gt;=1000000),SUMIFS($D$245:$D$595,$F$245:$F$595,0,$E$245:$E$595,$G279)*$C$157 ,0)</f>
        <v/>
      </c>
      <c r="O279" s="95">
        <f>IF(AND(SUMIFS($D$245:$D$595,$F$245:$F$595,0,$E$245:$E$595,$G279,$C$245:$C$595,"&lt;="&amp;M$5)&lt;1000000,SUMIFS($D$245:$D$595,$F$245:$F$595,0,$E$245:$E$595,$G279,$C$245:$C$595,"&lt;="&amp;O5)&gt;=1000000),SUMIFS($D$245:$D$595,$F$245:$F$595,0,$E$245:$E$595,$G279)*$C$157 ,0)</f>
        <v/>
      </c>
      <c r="Q279" s="95">
        <f>IF(AND(SUMIFS($D$245:$D$595,$F$245:$F$595,0,$E$245:$E$595,$G279,$C$245:$C$595,"&lt;="&amp;O$5)&lt;1000000,SUMIFS($D$245:$D$595,$F$245:$F$595,0,$E$245:$E$595,$G279,$C$245:$C$595,"&lt;="&amp;Q5)&gt;=1000000),SUMIFS($D$245:$D$595,$F$245:$F$595,0,$E$245:$E$595,$G279)*$C$157 ,0)</f>
        <v/>
      </c>
      <c r="S279" s="95">
        <f>IF(AND(SUMIFS($D$245:$D$595,$F$245:$F$595,0,$E$245:$E$595,$G279,$C$245:$C$595,"&lt;="&amp;Q$5)&lt;1000000,SUMIFS($D$245:$D$595,$F$245:$F$595,0,$E$245:$E$595,$G279,$C$245:$C$595,"&lt;="&amp;S5)&gt;=1000000),SUMIFS($D$245:$D$595,$F$245:$F$595,0,$E$245:$E$595,$G279)*$C$157 ,0)</f>
        <v/>
      </c>
      <c r="U279" s="95">
        <f>IF(AND(SUMIFS($D$245:$D$595,$F$245:$F$595,0,$E$245:$E$595,$G279,$C$245:$C$595,"&lt;="&amp;S$5)&lt;1000000,SUMIFS($D$245:$D$595,$F$245:$F$595,0,$E$245:$E$595,$G279,$C$245:$C$595,"&lt;="&amp;U5)&gt;=1000000),SUMIFS($D$245:$D$595,$F$245:$F$595,0,$E$245:$E$595,$G279)*$C$157 ,0)</f>
        <v/>
      </c>
      <c r="W279" s="95">
        <f>IF(AND(SUMIFS($D$245:$D$595,$F$245:$F$595,0,$E$245:$E$595,$G279,$C$245:$C$595,"&lt;="&amp;U$5)&lt;1000000,SUMIFS($D$245:$D$595,$F$245:$F$595,0,$E$245:$E$595,$G279,$C$245:$C$595,"&lt;="&amp;W5)&gt;=1000000),SUMIFS($D$245:$D$595,$F$245:$F$595,0,$E$245:$E$595,$G279)*$C$157 ,0)</f>
        <v/>
      </c>
      <c r="Y279" s="95">
        <f>IF(AND(SUMIFS($D$245:$D$595,$F$245:$F$595,0,$E$245:$E$595,$G279,$C$245:$C$595,"&lt;="&amp;W$5)&lt;1000000,SUMIFS($D$245:$D$595,$F$245:$F$595,0,$E$245:$E$595,$G279,$C$245:$C$595,"&lt;="&amp;Y5)&gt;=1000000),SUMIFS($D$245:$D$595,$F$245:$F$595,0,$E$245:$E$595,$G279)*$C$157 ,0)</f>
        <v/>
      </c>
      <c r="AA279" s="95">
        <f>IF(AND(SUMIFS($D$245:$D$595,$F$245:$F$595,0,$E$245:$E$595,$G279,$C$245:$C$595,"&lt;="&amp;Y$5)&lt;1000000,SUMIFS($D$245:$D$595,$F$245:$F$595,0,$E$245:$E$595,$G279,$C$245:$C$595,"&lt;="&amp;AA5)&gt;=1000000),SUMIFS($D$245:$D$595,$F$245:$F$595,0,$E$245:$E$595,$G279)*$C$157 ,0)</f>
        <v/>
      </c>
      <c r="AC279" s="95">
        <f>IF(AND(SUMIFS($D$245:$D$595,$F$245:$F$595,0,$E$245:$E$595,$G279,$C$245:$C$595,"&lt;="&amp;AA$5)&lt;1000000,SUMIFS($D$245:$D$595,$F$245:$F$595,0,$E$245:$E$595,$G279,$C$245:$C$595,"&lt;="&amp;AC5)&gt;=1000000),SUMIFS($D$245:$D$595,$F$245:$F$595,0,$E$245:$E$595,$G279)*$C$157 ,0)</f>
        <v/>
      </c>
      <c r="AE279" s="95">
        <f>IF(AND(SUMIFS($D$245:$D$595,$F$245:$F$595,0,$E$245:$E$595,$G279,$C$245:$C$595,"&lt;="&amp;AC$5)&lt;1000000,SUMIFS($D$245:$D$595,$F$245:$F$595,0,$E$245:$E$595,$G279,$C$245:$C$595,"&lt;="&amp;AE5)&gt;=1000000),SUMIFS($D$245:$D$595,$F$245:$F$595,0,$E$245:$E$595,$G279)*$C$157 ,0)</f>
        <v/>
      </c>
      <c r="AF279" s="19" t="n"/>
    </row>
    <row r="280">
      <c r="A280" s="20">
        <f>mid(E280, 3, 1)</f>
        <v/>
      </c>
      <c r="B280" s="14" t="inlineStr"/>
      <c r="C280" s="21">
        <f>SUMIFS('Investor Exit List'!$AC:$AC,'Investor Exit List'!$AB:$AB,B280)</f>
        <v/>
      </c>
      <c r="D280" s="14">
        <f>SUMIFS('Investor Exit List'!$Q:$Q,'Investor Exit List'!$AB:$AB,B280)</f>
        <v/>
      </c>
      <c r="E280" s="31">
        <f>LEFT(B280,6)</f>
        <v/>
      </c>
      <c r="F280" s="14">
        <f>IF(SUMIFS($E$119:$E$151,$D$119:$D$151,E280)&lt;&gt;0,E280,0)</f>
        <v/>
      </c>
      <c r="G280" s="59" t="n"/>
      <c r="I280" s="28">
        <f>IF(AND(SUMIFS($D$245:$D$595,$F$245:$F$595,0,$E$245:$E$595,$G280,$C$245:$C$595,"&lt;="&amp;B$2)&lt;1000000,SUMIFS($D$245:$D$595,$F$245:$F$595,0,$E$245:$E$595,$G280,$C$245:$C$595,"&lt;="&amp;I5)&gt;=1000000),SUMIFS($D$245:$D$595,$F$245:$F$595,0,$E$245:$E$595,$G280)*$C$157 ,0)</f>
        <v/>
      </c>
      <c r="K280" s="95">
        <f>IF(AND(SUMIFS($D$245:$D$595,$F$245:$F$595,0,$E$245:$E$595,$G280,$C$245:$C$595,"&lt;="&amp;I$5)&lt;1000000,SUMIFS($D$245:$D$595,$F$245:$F$595,0,$E$245:$E$595,$G280,$C$245:$C$595,"&lt;="&amp;K5)&gt;=1000000),SUMIFS($D$245:$D$595,$F$245:$F$595,0,$E$245:$E$595,$G280)*$C$157 ,0)</f>
        <v/>
      </c>
      <c r="M280" s="95">
        <f>IF(AND(SUMIFS($D$245:$D$595,$F$245:$F$595,0,$E$245:$E$595,$G280,$C$245:$C$595,"&lt;="&amp;K$5)&lt;1000000,SUMIFS($D$245:$D$595,$F$245:$F$595,0,$E$245:$E$595,$G280,$C$245:$C$595,"&lt;="&amp;M5)&gt;=1000000),SUMIFS($D$245:$D$595,$F$245:$F$595,0,$E$245:$E$595,$G280)*$C$157 ,0)</f>
        <v/>
      </c>
      <c r="O280" s="95">
        <f>IF(AND(SUMIFS($D$245:$D$595,$F$245:$F$595,0,$E$245:$E$595,$G280,$C$245:$C$595,"&lt;="&amp;M$5)&lt;1000000,SUMIFS($D$245:$D$595,$F$245:$F$595,0,$E$245:$E$595,$G280,$C$245:$C$595,"&lt;="&amp;O5)&gt;=1000000),SUMIFS($D$245:$D$595,$F$245:$F$595,0,$E$245:$E$595,$G280)*$C$157 ,0)</f>
        <v/>
      </c>
      <c r="Q280" s="95">
        <f>IF(AND(SUMIFS($D$245:$D$595,$F$245:$F$595,0,$E$245:$E$595,$G280,$C$245:$C$595,"&lt;="&amp;O$5)&lt;1000000,SUMIFS($D$245:$D$595,$F$245:$F$595,0,$E$245:$E$595,$G280,$C$245:$C$595,"&lt;="&amp;Q5)&gt;=1000000),SUMIFS($D$245:$D$595,$F$245:$F$595,0,$E$245:$E$595,$G280)*$C$157 ,0)</f>
        <v/>
      </c>
      <c r="S280" s="95">
        <f>IF(AND(SUMIFS($D$245:$D$595,$F$245:$F$595,0,$E$245:$E$595,$G280,$C$245:$C$595,"&lt;="&amp;Q$5)&lt;1000000,SUMIFS($D$245:$D$595,$F$245:$F$595,0,$E$245:$E$595,$G280,$C$245:$C$595,"&lt;="&amp;S5)&gt;=1000000),SUMIFS($D$245:$D$595,$F$245:$F$595,0,$E$245:$E$595,$G280)*$C$157 ,0)</f>
        <v/>
      </c>
      <c r="U280" s="95">
        <f>IF(AND(SUMIFS($D$245:$D$595,$F$245:$F$595,0,$E$245:$E$595,$G280,$C$245:$C$595,"&lt;="&amp;S$5)&lt;1000000,SUMIFS($D$245:$D$595,$F$245:$F$595,0,$E$245:$E$595,$G280,$C$245:$C$595,"&lt;="&amp;U5)&gt;=1000000),SUMIFS($D$245:$D$595,$F$245:$F$595,0,$E$245:$E$595,$G280)*$C$157 ,0)</f>
        <v/>
      </c>
      <c r="W280" s="95">
        <f>IF(AND(SUMIFS($D$245:$D$595,$F$245:$F$595,0,$E$245:$E$595,$G280,$C$245:$C$595,"&lt;="&amp;U$5)&lt;1000000,SUMIFS($D$245:$D$595,$F$245:$F$595,0,$E$245:$E$595,$G280,$C$245:$C$595,"&lt;="&amp;W5)&gt;=1000000),SUMIFS($D$245:$D$595,$F$245:$F$595,0,$E$245:$E$595,$G280)*$C$157 ,0)</f>
        <v/>
      </c>
      <c r="Y280" s="95">
        <f>IF(AND(SUMIFS($D$245:$D$595,$F$245:$F$595,0,$E$245:$E$595,$G280,$C$245:$C$595,"&lt;="&amp;W$5)&lt;1000000,SUMIFS($D$245:$D$595,$F$245:$F$595,0,$E$245:$E$595,$G280,$C$245:$C$595,"&lt;="&amp;Y5)&gt;=1000000),SUMIFS($D$245:$D$595,$F$245:$F$595,0,$E$245:$E$595,$G280)*$C$157 ,0)</f>
        <v/>
      </c>
      <c r="AA280" s="95">
        <f>IF(AND(SUMIFS($D$245:$D$595,$F$245:$F$595,0,$E$245:$E$595,$G280,$C$245:$C$595,"&lt;="&amp;Y$5)&lt;1000000,SUMIFS($D$245:$D$595,$F$245:$F$595,0,$E$245:$E$595,$G280,$C$245:$C$595,"&lt;="&amp;AA5)&gt;=1000000),SUMIFS($D$245:$D$595,$F$245:$F$595,0,$E$245:$E$595,$G280)*$C$157 ,0)</f>
        <v/>
      </c>
      <c r="AC280" s="95">
        <f>IF(AND(SUMIFS($D$245:$D$595,$F$245:$F$595,0,$E$245:$E$595,$G280,$C$245:$C$595,"&lt;="&amp;AA$5)&lt;1000000,SUMIFS($D$245:$D$595,$F$245:$F$595,0,$E$245:$E$595,$G280,$C$245:$C$595,"&lt;="&amp;AC5)&gt;=1000000),SUMIFS($D$245:$D$595,$F$245:$F$595,0,$E$245:$E$595,$G280)*$C$157 ,0)</f>
        <v/>
      </c>
      <c r="AE280" s="95">
        <f>IF(AND(SUMIFS($D$245:$D$595,$F$245:$F$595,0,$E$245:$E$595,$G280,$C$245:$C$595,"&lt;="&amp;AC$5)&lt;1000000,SUMIFS($D$245:$D$595,$F$245:$F$595,0,$E$245:$E$595,$G280,$C$245:$C$595,"&lt;="&amp;AE5)&gt;=1000000),SUMIFS($D$245:$D$595,$F$245:$F$595,0,$E$245:$E$595,$G280)*$C$157 ,0)</f>
        <v/>
      </c>
      <c r="AF280" s="19" t="n"/>
    </row>
    <row r="281">
      <c r="A281" s="20">
        <f>mid(E281, 3, 1)</f>
        <v/>
      </c>
      <c r="B281" s="14" t="inlineStr"/>
      <c r="C281" s="21">
        <f>SUMIFS('Investor Exit List'!$AC:$AC,'Investor Exit List'!$AB:$AB,B281)</f>
        <v/>
      </c>
      <c r="D281" s="14">
        <f>SUMIFS('Investor Exit List'!$Q:$Q,'Investor Exit List'!$AB:$AB,B281)</f>
        <v/>
      </c>
      <c r="E281" s="31">
        <f>LEFT(B281,6)</f>
        <v/>
      </c>
      <c r="F281" s="14">
        <f>IF(SUMIFS($E$119:$E$151,$D$119:$D$151,E281)&lt;&gt;0,E281,0)</f>
        <v/>
      </c>
      <c r="G281" s="59" t="n"/>
      <c r="I281" s="28">
        <f>IF(AND(SUMIFS($D$245:$D$595,$F$245:$F$595,0,$E$245:$E$595,$G281,$C$245:$C$595,"&lt;="&amp;B$2)&lt;1000000,SUMIFS($D$245:$D$595,$F$245:$F$595,0,$E$245:$E$595,$G281,$C$245:$C$595,"&lt;="&amp;I5)&gt;=1000000),SUMIFS($D$245:$D$595,$F$245:$F$595,0,$E$245:$E$595,$G281)*$C$157 ,0)</f>
        <v/>
      </c>
      <c r="K281" s="95">
        <f>IF(AND(SUMIFS($D$245:$D$595,$F$245:$F$595,0,$E$245:$E$595,$G281,$C$245:$C$595,"&lt;="&amp;I$5)&lt;1000000,SUMIFS($D$245:$D$595,$F$245:$F$595,0,$E$245:$E$595,$G281,$C$245:$C$595,"&lt;="&amp;K5)&gt;=1000000),SUMIFS($D$245:$D$595,$F$245:$F$595,0,$E$245:$E$595,$G281)*$C$157 ,0)</f>
        <v/>
      </c>
      <c r="M281" s="95">
        <f>IF(AND(SUMIFS($D$245:$D$595,$F$245:$F$595,0,$E$245:$E$595,$G281,$C$245:$C$595,"&lt;="&amp;K$5)&lt;1000000,SUMIFS($D$245:$D$595,$F$245:$F$595,0,$E$245:$E$595,$G281,$C$245:$C$595,"&lt;="&amp;M5)&gt;=1000000),SUMIFS($D$245:$D$595,$F$245:$F$595,0,$E$245:$E$595,$G281)*$C$157 ,0)</f>
        <v/>
      </c>
      <c r="O281" s="95">
        <f>IF(AND(SUMIFS($D$245:$D$595,$F$245:$F$595,0,$E$245:$E$595,$G281,$C$245:$C$595,"&lt;="&amp;M$5)&lt;1000000,SUMIFS($D$245:$D$595,$F$245:$F$595,0,$E$245:$E$595,$G281,$C$245:$C$595,"&lt;="&amp;O5)&gt;=1000000),SUMIFS($D$245:$D$595,$F$245:$F$595,0,$E$245:$E$595,$G281)*$C$157 ,0)</f>
        <v/>
      </c>
      <c r="Q281" s="95">
        <f>IF(AND(SUMIFS($D$245:$D$595,$F$245:$F$595,0,$E$245:$E$595,$G281,$C$245:$C$595,"&lt;="&amp;O$5)&lt;1000000,SUMIFS($D$245:$D$595,$F$245:$F$595,0,$E$245:$E$595,$G281,$C$245:$C$595,"&lt;="&amp;Q5)&gt;=1000000),SUMIFS($D$245:$D$595,$F$245:$F$595,0,$E$245:$E$595,$G281)*$C$157 ,0)</f>
        <v/>
      </c>
      <c r="S281" s="95">
        <f>IF(AND(SUMIFS($D$245:$D$595,$F$245:$F$595,0,$E$245:$E$595,$G281,$C$245:$C$595,"&lt;="&amp;Q$5)&lt;1000000,SUMIFS($D$245:$D$595,$F$245:$F$595,0,$E$245:$E$595,$G281,$C$245:$C$595,"&lt;="&amp;S5)&gt;=1000000),SUMIFS($D$245:$D$595,$F$245:$F$595,0,$E$245:$E$595,$G281)*$C$157 ,0)</f>
        <v/>
      </c>
      <c r="U281" s="95">
        <f>IF(AND(SUMIFS($D$245:$D$595,$F$245:$F$595,0,$E$245:$E$595,$G281,$C$245:$C$595,"&lt;="&amp;S$5)&lt;1000000,SUMIFS($D$245:$D$595,$F$245:$F$595,0,$E$245:$E$595,$G281,$C$245:$C$595,"&lt;="&amp;U5)&gt;=1000000),SUMIFS($D$245:$D$595,$F$245:$F$595,0,$E$245:$E$595,$G281)*$C$157 ,0)</f>
        <v/>
      </c>
      <c r="W281" s="95">
        <f>IF(AND(SUMIFS($D$245:$D$595,$F$245:$F$595,0,$E$245:$E$595,$G281,$C$245:$C$595,"&lt;="&amp;U$5)&lt;1000000,SUMIFS($D$245:$D$595,$F$245:$F$595,0,$E$245:$E$595,$G281,$C$245:$C$595,"&lt;="&amp;W5)&gt;=1000000),SUMIFS($D$245:$D$595,$F$245:$F$595,0,$E$245:$E$595,$G281)*$C$157 ,0)</f>
        <v/>
      </c>
      <c r="Y281" s="95">
        <f>IF(AND(SUMIFS($D$245:$D$595,$F$245:$F$595,0,$E$245:$E$595,$G281,$C$245:$C$595,"&lt;="&amp;W$5)&lt;1000000,SUMIFS($D$245:$D$595,$F$245:$F$595,0,$E$245:$E$595,$G281,$C$245:$C$595,"&lt;="&amp;Y5)&gt;=1000000),SUMIFS($D$245:$D$595,$F$245:$F$595,0,$E$245:$E$595,$G281)*$C$157 ,0)</f>
        <v/>
      </c>
      <c r="AA281" s="95">
        <f>IF(AND(SUMIFS($D$245:$D$595,$F$245:$F$595,0,$E$245:$E$595,$G281,$C$245:$C$595,"&lt;="&amp;Y$5)&lt;1000000,SUMIFS($D$245:$D$595,$F$245:$F$595,0,$E$245:$E$595,$G281,$C$245:$C$595,"&lt;="&amp;AA5)&gt;=1000000),SUMIFS($D$245:$D$595,$F$245:$F$595,0,$E$245:$E$595,$G281)*$C$157 ,0)</f>
        <v/>
      </c>
      <c r="AC281" s="95">
        <f>IF(AND(SUMIFS($D$245:$D$595,$F$245:$F$595,0,$E$245:$E$595,$G281,$C$245:$C$595,"&lt;="&amp;AA$5)&lt;1000000,SUMIFS($D$245:$D$595,$F$245:$F$595,0,$E$245:$E$595,$G281,$C$245:$C$595,"&lt;="&amp;AC5)&gt;=1000000),SUMIFS($D$245:$D$595,$F$245:$F$595,0,$E$245:$E$595,$G281)*$C$157 ,0)</f>
        <v/>
      </c>
      <c r="AE281" s="95">
        <f>IF(AND(SUMIFS($D$245:$D$595,$F$245:$F$595,0,$E$245:$E$595,$G281,$C$245:$C$595,"&lt;="&amp;AC$5)&lt;1000000,SUMIFS($D$245:$D$595,$F$245:$F$595,0,$E$245:$E$595,$G281,$C$245:$C$595,"&lt;="&amp;AE5)&gt;=1000000),SUMIFS($D$245:$D$595,$F$245:$F$595,0,$E$245:$E$595,$G281)*$C$157 ,0)</f>
        <v/>
      </c>
      <c r="AF281" s="19" t="n"/>
    </row>
    <row r="282">
      <c r="A282" s="20">
        <f>mid(E282, 3, 1)</f>
        <v/>
      </c>
      <c r="B282" s="14" t="inlineStr"/>
      <c r="C282" s="21">
        <f>SUMIFS('Investor Exit List'!$AC:$AC,'Investor Exit List'!$AB:$AB,B282)</f>
        <v/>
      </c>
      <c r="D282" s="14">
        <f>SUMIFS('Investor Exit List'!$Q:$Q,'Investor Exit List'!$AB:$AB,B282)</f>
        <v/>
      </c>
      <c r="E282" s="31">
        <f>LEFT(B282,6)</f>
        <v/>
      </c>
      <c r="F282" s="14">
        <f>IF(SUMIFS($E$119:$E$151,$D$119:$D$151,E282)&lt;&gt;0,E282,0)</f>
        <v/>
      </c>
      <c r="G282" s="59" t="n"/>
      <c r="I282" s="28">
        <f>IF(AND(SUMIFS($D$245:$D$595,$F$245:$F$595,0,$E$245:$E$595,$G282,$C$245:$C$595,"&lt;="&amp;B$2)&lt;1000000,SUMIFS($D$245:$D$595,$F$245:$F$595,0,$E$245:$E$595,$G282,$C$245:$C$595,"&lt;="&amp;I5)&gt;=1000000),SUMIFS($D$245:$D$595,$F$245:$F$595,0,$E$245:$E$595,$G282)*$C$157 ,0)</f>
        <v/>
      </c>
      <c r="K282" s="95">
        <f>IF(AND(SUMIFS($D$245:$D$595,$F$245:$F$595,0,$E$245:$E$595,$G282,$C$245:$C$595,"&lt;="&amp;I$5)&lt;1000000,SUMIFS($D$245:$D$595,$F$245:$F$595,0,$E$245:$E$595,$G282,$C$245:$C$595,"&lt;="&amp;K5)&gt;=1000000),SUMIFS($D$245:$D$595,$F$245:$F$595,0,$E$245:$E$595,$G282)*$C$157 ,0)</f>
        <v/>
      </c>
      <c r="M282" s="95">
        <f>IF(AND(SUMIFS($D$245:$D$595,$F$245:$F$595,0,$E$245:$E$595,$G282,$C$245:$C$595,"&lt;="&amp;K$5)&lt;1000000,SUMIFS($D$245:$D$595,$F$245:$F$595,0,$E$245:$E$595,$G282,$C$245:$C$595,"&lt;="&amp;M5)&gt;=1000000),SUMIFS($D$245:$D$595,$F$245:$F$595,0,$E$245:$E$595,$G282)*$C$157 ,0)</f>
        <v/>
      </c>
      <c r="O282" s="95">
        <f>IF(AND(SUMIFS($D$245:$D$595,$F$245:$F$595,0,$E$245:$E$595,$G282,$C$245:$C$595,"&lt;="&amp;M$5)&lt;1000000,SUMIFS($D$245:$D$595,$F$245:$F$595,0,$E$245:$E$595,$G282,$C$245:$C$595,"&lt;="&amp;O5)&gt;=1000000),SUMIFS($D$245:$D$595,$F$245:$F$595,0,$E$245:$E$595,$G282)*$C$157 ,0)</f>
        <v/>
      </c>
      <c r="Q282" s="95">
        <f>IF(AND(SUMIFS($D$245:$D$595,$F$245:$F$595,0,$E$245:$E$595,$G282,$C$245:$C$595,"&lt;="&amp;O$5)&lt;1000000,SUMIFS($D$245:$D$595,$F$245:$F$595,0,$E$245:$E$595,$G282,$C$245:$C$595,"&lt;="&amp;Q5)&gt;=1000000),SUMIFS($D$245:$D$595,$F$245:$F$595,0,$E$245:$E$595,$G282)*$C$157 ,0)</f>
        <v/>
      </c>
      <c r="S282" s="95">
        <f>IF(AND(SUMIFS($D$245:$D$595,$F$245:$F$595,0,$E$245:$E$595,$G282,$C$245:$C$595,"&lt;="&amp;Q$5)&lt;1000000,SUMIFS($D$245:$D$595,$F$245:$F$595,0,$E$245:$E$595,$G282,$C$245:$C$595,"&lt;="&amp;S5)&gt;=1000000),SUMIFS($D$245:$D$595,$F$245:$F$595,0,$E$245:$E$595,$G282)*$C$157 ,0)</f>
        <v/>
      </c>
      <c r="U282" s="95">
        <f>IF(AND(SUMIFS($D$245:$D$595,$F$245:$F$595,0,$E$245:$E$595,$G282,$C$245:$C$595,"&lt;="&amp;S$5)&lt;1000000,SUMIFS($D$245:$D$595,$F$245:$F$595,0,$E$245:$E$595,$G282,$C$245:$C$595,"&lt;="&amp;U5)&gt;=1000000),SUMIFS($D$245:$D$595,$F$245:$F$595,0,$E$245:$E$595,$G282)*$C$157 ,0)</f>
        <v/>
      </c>
      <c r="W282" s="95">
        <f>IF(AND(SUMIFS($D$245:$D$595,$F$245:$F$595,0,$E$245:$E$595,$G282,$C$245:$C$595,"&lt;="&amp;U$5)&lt;1000000,SUMIFS($D$245:$D$595,$F$245:$F$595,0,$E$245:$E$595,$G282,$C$245:$C$595,"&lt;="&amp;W5)&gt;=1000000),SUMIFS($D$245:$D$595,$F$245:$F$595,0,$E$245:$E$595,$G282)*$C$157 ,0)</f>
        <v/>
      </c>
      <c r="Y282" s="95">
        <f>IF(AND(SUMIFS($D$245:$D$595,$F$245:$F$595,0,$E$245:$E$595,$G282,$C$245:$C$595,"&lt;="&amp;W$5)&lt;1000000,SUMIFS($D$245:$D$595,$F$245:$F$595,0,$E$245:$E$595,$G282,$C$245:$C$595,"&lt;="&amp;Y5)&gt;=1000000),SUMIFS($D$245:$D$595,$F$245:$F$595,0,$E$245:$E$595,$G282)*$C$157 ,0)</f>
        <v/>
      </c>
      <c r="AA282" s="95">
        <f>IF(AND(SUMIFS($D$245:$D$595,$F$245:$F$595,0,$E$245:$E$595,$G282,$C$245:$C$595,"&lt;="&amp;Y$5)&lt;1000000,SUMIFS($D$245:$D$595,$F$245:$F$595,0,$E$245:$E$595,$G282,$C$245:$C$595,"&lt;="&amp;AA5)&gt;=1000000),SUMIFS($D$245:$D$595,$F$245:$F$595,0,$E$245:$E$595,$G282)*$C$157 ,0)</f>
        <v/>
      </c>
      <c r="AC282" s="95">
        <f>IF(AND(SUMIFS($D$245:$D$595,$F$245:$F$595,0,$E$245:$E$595,$G282,$C$245:$C$595,"&lt;="&amp;AA$5)&lt;1000000,SUMIFS($D$245:$D$595,$F$245:$F$595,0,$E$245:$E$595,$G282,$C$245:$C$595,"&lt;="&amp;AC5)&gt;=1000000),SUMIFS($D$245:$D$595,$F$245:$F$595,0,$E$245:$E$595,$G282)*$C$157 ,0)</f>
        <v/>
      </c>
      <c r="AE282" s="95">
        <f>IF(AND(SUMIFS($D$245:$D$595,$F$245:$F$595,0,$E$245:$E$595,$G282,$C$245:$C$595,"&lt;="&amp;AC$5)&lt;1000000,SUMIFS($D$245:$D$595,$F$245:$F$595,0,$E$245:$E$595,$G282,$C$245:$C$595,"&lt;="&amp;AE5)&gt;=1000000),SUMIFS($D$245:$D$595,$F$245:$F$595,0,$E$245:$E$595,$G282)*$C$157 ,0)</f>
        <v/>
      </c>
      <c r="AF282" s="19" t="n"/>
    </row>
    <row r="283">
      <c r="A283" s="20">
        <f>mid(E283, 3, 1)</f>
        <v/>
      </c>
      <c r="B283" s="14" t="inlineStr"/>
      <c r="C283" s="21">
        <f>SUMIFS('Investor Exit List'!$AC:$AC,'Investor Exit List'!$AB:$AB,B283)</f>
        <v/>
      </c>
      <c r="D283" s="14">
        <f>SUMIFS('Investor Exit List'!$Q:$Q,'Investor Exit List'!$AB:$AB,B283)</f>
        <v/>
      </c>
      <c r="E283" s="31">
        <f>LEFT(B283,6)</f>
        <v/>
      </c>
      <c r="F283" s="14">
        <f>IF(SUMIFS($E$119:$E$151,$D$119:$D$151,E283)&lt;&gt;0,E283,0)</f>
        <v/>
      </c>
      <c r="G283" s="59" t="n"/>
      <c r="I283" s="28">
        <f>IF(AND(SUMIFS($D$245:$D$595,$F$245:$F$595,0,$E$245:$E$595,$G283,$C$245:$C$595,"&lt;="&amp;B$2)&lt;1000000,SUMIFS($D$245:$D$595,$F$245:$F$595,0,$E$245:$E$595,$G283,$C$245:$C$595,"&lt;="&amp;I5)&gt;=1000000),SUMIFS($D$245:$D$595,$F$245:$F$595,0,$E$245:$E$595,$G283)*$C$157 ,0)</f>
        <v/>
      </c>
      <c r="K283" s="95">
        <f>IF(AND(SUMIFS($D$245:$D$595,$F$245:$F$595,0,$E$245:$E$595,$G283,$C$245:$C$595,"&lt;="&amp;I$5)&lt;1000000,SUMIFS($D$245:$D$595,$F$245:$F$595,0,$E$245:$E$595,$G283,$C$245:$C$595,"&lt;="&amp;K5)&gt;=1000000),SUMIFS($D$245:$D$595,$F$245:$F$595,0,$E$245:$E$595,$G283)*$C$157 ,0)</f>
        <v/>
      </c>
      <c r="M283" s="95">
        <f>IF(AND(SUMIFS($D$245:$D$595,$F$245:$F$595,0,$E$245:$E$595,$G283,$C$245:$C$595,"&lt;="&amp;K$5)&lt;1000000,SUMIFS($D$245:$D$595,$F$245:$F$595,0,$E$245:$E$595,$G283,$C$245:$C$595,"&lt;="&amp;M5)&gt;=1000000),SUMIFS($D$245:$D$595,$F$245:$F$595,0,$E$245:$E$595,$G283)*$C$157 ,0)</f>
        <v/>
      </c>
      <c r="O283" s="95">
        <f>IF(AND(SUMIFS($D$245:$D$595,$F$245:$F$595,0,$E$245:$E$595,$G283,$C$245:$C$595,"&lt;="&amp;M$5)&lt;1000000,SUMIFS($D$245:$D$595,$F$245:$F$595,0,$E$245:$E$595,$G283,$C$245:$C$595,"&lt;="&amp;O5)&gt;=1000000),SUMIFS($D$245:$D$595,$F$245:$F$595,0,$E$245:$E$595,$G283)*$C$157 ,0)</f>
        <v/>
      </c>
      <c r="Q283" s="95">
        <f>IF(AND(SUMIFS($D$245:$D$595,$F$245:$F$595,0,$E$245:$E$595,$G283,$C$245:$C$595,"&lt;="&amp;O$5)&lt;1000000,SUMIFS($D$245:$D$595,$F$245:$F$595,0,$E$245:$E$595,$G283,$C$245:$C$595,"&lt;="&amp;Q5)&gt;=1000000),SUMIFS($D$245:$D$595,$F$245:$F$595,0,$E$245:$E$595,$G283)*$C$157 ,0)</f>
        <v/>
      </c>
      <c r="S283" s="95">
        <f>IF(AND(SUMIFS($D$245:$D$595,$F$245:$F$595,0,$E$245:$E$595,$G283,$C$245:$C$595,"&lt;="&amp;Q$5)&lt;1000000,SUMIFS($D$245:$D$595,$F$245:$F$595,0,$E$245:$E$595,$G283,$C$245:$C$595,"&lt;="&amp;S5)&gt;=1000000),SUMIFS($D$245:$D$595,$F$245:$F$595,0,$E$245:$E$595,$G283)*$C$157 ,0)</f>
        <v/>
      </c>
      <c r="U283" s="95">
        <f>IF(AND(SUMIFS($D$245:$D$595,$F$245:$F$595,0,$E$245:$E$595,$G283,$C$245:$C$595,"&lt;="&amp;S$5)&lt;1000000,SUMIFS($D$245:$D$595,$F$245:$F$595,0,$E$245:$E$595,$G283,$C$245:$C$595,"&lt;="&amp;U5)&gt;=1000000),SUMIFS($D$245:$D$595,$F$245:$F$595,0,$E$245:$E$595,$G283)*$C$157 ,0)</f>
        <v/>
      </c>
      <c r="W283" s="95">
        <f>IF(AND(SUMIFS($D$245:$D$595,$F$245:$F$595,0,$E$245:$E$595,$G283,$C$245:$C$595,"&lt;="&amp;U$5)&lt;1000000,SUMIFS($D$245:$D$595,$F$245:$F$595,0,$E$245:$E$595,$G283,$C$245:$C$595,"&lt;="&amp;W5)&gt;=1000000),SUMIFS($D$245:$D$595,$F$245:$F$595,0,$E$245:$E$595,$G283)*$C$157 ,0)</f>
        <v/>
      </c>
      <c r="Y283" s="95">
        <f>IF(AND(SUMIFS($D$245:$D$595,$F$245:$F$595,0,$E$245:$E$595,$G283,$C$245:$C$595,"&lt;="&amp;W$5)&lt;1000000,SUMIFS($D$245:$D$595,$F$245:$F$595,0,$E$245:$E$595,$G283,$C$245:$C$595,"&lt;="&amp;Y5)&gt;=1000000),SUMIFS($D$245:$D$595,$F$245:$F$595,0,$E$245:$E$595,$G283)*$C$157 ,0)</f>
        <v/>
      </c>
      <c r="AA283" s="95">
        <f>IF(AND(SUMIFS($D$245:$D$595,$F$245:$F$595,0,$E$245:$E$595,$G283,$C$245:$C$595,"&lt;="&amp;Y$5)&lt;1000000,SUMIFS($D$245:$D$595,$F$245:$F$595,0,$E$245:$E$595,$G283,$C$245:$C$595,"&lt;="&amp;AA5)&gt;=1000000),SUMIFS($D$245:$D$595,$F$245:$F$595,0,$E$245:$E$595,$G283)*$C$157 ,0)</f>
        <v/>
      </c>
      <c r="AC283" s="95">
        <f>IF(AND(SUMIFS($D$245:$D$595,$F$245:$F$595,0,$E$245:$E$595,$G283,$C$245:$C$595,"&lt;="&amp;AA$5)&lt;1000000,SUMIFS($D$245:$D$595,$F$245:$F$595,0,$E$245:$E$595,$G283,$C$245:$C$595,"&lt;="&amp;AC5)&gt;=1000000),SUMIFS($D$245:$D$595,$F$245:$F$595,0,$E$245:$E$595,$G283)*$C$157 ,0)</f>
        <v/>
      </c>
      <c r="AE283" s="95">
        <f>IF(AND(SUMIFS($D$245:$D$595,$F$245:$F$595,0,$E$245:$E$595,$G283,$C$245:$C$595,"&lt;="&amp;AC$5)&lt;1000000,SUMIFS($D$245:$D$595,$F$245:$F$595,0,$E$245:$E$595,$G283,$C$245:$C$595,"&lt;="&amp;AE5)&gt;=1000000),SUMIFS($D$245:$D$595,$F$245:$F$595,0,$E$245:$E$595,$G283)*$C$157 ,0)</f>
        <v/>
      </c>
      <c r="AF283" s="19" t="n"/>
    </row>
    <row r="284">
      <c r="A284" s="20">
        <f>mid(E284, 3, 1)</f>
        <v/>
      </c>
      <c r="B284" s="14" t="inlineStr"/>
      <c r="C284" s="21">
        <f>SUMIFS('Investor Exit List'!$AC:$AC,'Investor Exit List'!$AB:$AB,B284)</f>
        <v/>
      </c>
      <c r="D284" s="14">
        <f>SUMIFS('Investor Exit List'!$Q:$Q,'Investor Exit List'!$AB:$AB,B284)</f>
        <v/>
      </c>
      <c r="E284" s="31">
        <f>LEFT(B284,6)</f>
        <v/>
      </c>
      <c r="F284" s="14">
        <f>IF(SUMIFS($E$119:$E$151,$D$119:$D$151,E284)&lt;&gt;0,E284,0)</f>
        <v/>
      </c>
      <c r="G284" s="59" t="n"/>
      <c r="I284" s="28">
        <f>IF(AND(SUMIFS($D$245:$D$595,$F$245:$F$595,0,$E$245:$E$595,$G284,$C$245:$C$595,"&lt;="&amp;B$2)&lt;1000000,SUMIFS($D$245:$D$595,$F$245:$F$595,0,$E$245:$E$595,$G284,$C$245:$C$595,"&lt;="&amp;I5)&gt;=1000000),SUMIFS($D$245:$D$595,$F$245:$F$595,0,$E$245:$E$595,$G284)*$C$157 ,0)</f>
        <v/>
      </c>
      <c r="K284" s="95">
        <f>IF(AND(SUMIFS($D$245:$D$595,$F$245:$F$595,0,$E$245:$E$595,$G284,$C$245:$C$595,"&lt;="&amp;I$5)&lt;1000000,SUMIFS($D$245:$D$595,$F$245:$F$595,0,$E$245:$E$595,$G284,$C$245:$C$595,"&lt;="&amp;K5)&gt;=1000000),SUMIFS($D$245:$D$595,$F$245:$F$595,0,$E$245:$E$595,$G284)*$C$157 ,0)</f>
        <v/>
      </c>
      <c r="M284" s="95">
        <f>IF(AND(SUMIFS($D$245:$D$595,$F$245:$F$595,0,$E$245:$E$595,$G284,$C$245:$C$595,"&lt;="&amp;K$5)&lt;1000000,SUMIFS($D$245:$D$595,$F$245:$F$595,0,$E$245:$E$595,$G284,$C$245:$C$595,"&lt;="&amp;M5)&gt;=1000000),SUMIFS($D$245:$D$595,$F$245:$F$595,0,$E$245:$E$595,$G284)*$C$157 ,0)</f>
        <v/>
      </c>
      <c r="O284" s="95">
        <f>IF(AND(SUMIFS($D$245:$D$595,$F$245:$F$595,0,$E$245:$E$595,$G284,$C$245:$C$595,"&lt;="&amp;M$5)&lt;1000000,SUMIFS($D$245:$D$595,$F$245:$F$595,0,$E$245:$E$595,$G284,$C$245:$C$595,"&lt;="&amp;O5)&gt;=1000000),SUMIFS($D$245:$D$595,$F$245:$F$595,0,$E$245:$E$595,$G284)*$C$157 ,0)</f>
        <v/>
      </c>
      <c r="Q284" s="95">
        <f>IF(AND(SUMIFS($D$245:$D$595,$F$245:$F$595,0,$E$245:$E$595,$G284,$C$245:$C$595,"&lt;="&amp;O$5)&lt;1000000,SUMIFS($D$245:$D$595,$F$245:$F$595,0,$E$245:$E$595,$G284,$C$245:$C$595,"&lt;="&amp;Q5)&gt;=1000000),SUMIFS($D$245:$D$595,$F$245:$F$595,0,$E$245:$E$595,$G284)*$C$157 ,0)</f>
        <v/>
      </c>
      <c r="S284" s="95">
        <f>IF(AND(SUMIFS($D$245:$D$595,$F$245:$F$595,0,$E$245:$E$595,$G284,$C$245:$C$595,"&lt;="&amp;Q$5)&lt;1000000,SUMIFS($D$245:$D$595,$F$245:$F$595,0,$E$245:$E$595,$G284,$C$245:$C$595,"&lt;="&amp;S5)&gt;=1000000),SUMIFS($D$245:$D$595,$F$245:$F$595,0,$E$245:$E$595,$G284)*$C$157 ,0)</f>
        <v/>
      </c>
      <c r="U284" s="95">
        <f>IF(AND(SUMIFS($D$245:$D$595,$F$245:$F$595,0,$E$245:$E$595,$G284,$C$245:$C$595,"&lt;="&amp;S$5)&lt;1000000,SUMIFS($D$245:$D$595,$F$245:$F$595,0,$E$245:$E$595,$G284,$C$245:$C$595,"&lt;="&amp;U5)&gt;=1000000),SUMIFS($D$245:$D$595,$F$245:$F$595,0,$E$245:$E$595,$G284)*$C$157 ,0)</f>
        <v/>
      </c>
      <c r="W284" s="95">
        <f>IF(AND(SUMIFS($D$245:$D$595,$F$245:$F$595,0,$E$245:$E$595,$G284,$C$245:$C$595,"&lt;="&amp;U$5)&lt;1000000,SUMIFS($D$245:$D$595,$F$245:$F$595,0,$E$245:$E$595,$G284,$C$245:$C$595,"&lt;="&amp;W5)&gt;=1000000),SUMIFS($D$245:$D$595,$F$245:$F$595,0,$E$245:$E$595,$G284)*$C$157 ,0)</f>
        <v/>
      </c>
      <c r="Y284" s="95">
        <f>IF(AND(SUMIFS($D$245:$D$595,$F$245:$F$595,0,$E$245:$E$595,$G284,$C$245:$C$595,"&lt;="&amp;W$5)&lt;1000000,SUMIFS($D$245:$D$595,$F$245:$F$595,0,$E$245:$E$595,$G284,$C$245:$C$595,"&lt;="&amp;Y5)&gt;=1000000),SUMIFS($D$245:$D$595,$F$245:$F$595,0,$E$245:$E$595,$G284)*$C$157 ,0)</f>
        <v/>
      </c>
      <c r="AA284" s="95">
        <f>IF(AND(SUMIFS($D$245:$D$595,$F$245:$F$595,0,$E$245:$E$595,$G284,$C$245:$C$595,"&lt;="&amp;Y$5)&lt;1000000,SUMIFS($D$245:$D$595,$F$245:$F$595,0,$E$245:$E$595,$G284,$C$245:$C$595,"&lt;="&amp;AA5)&gt;=1000000),SUMIFS($D$245:$D$595,$F$245:$F$595,0,$E$245:$E$595,$G284)*$C$157 ,0)</f>
        <v/>
      </c>
      <c r="AC284" s="95">
        <f>IF(AND(SUMIFS($D$245:$D$595,$F$245:$F$595,0,$E$245:$E$595,$G284,$C$245:$C$595,"&lt;="&amp;AA$5)&lt;1000000,SUMIFS($D$245:$D$595,$F$245:$F$595,0,$E$245:$E$595,$G284,$C$245:$C$595,"&lt;="&amp;AC5)&gt;=1000000),SUMIFS($D$245:$D$595,$F$245:$F$595,0,$E$245:$E$595,$G284)*$C$157 ,0)</f>
        <v/>
      </c>
      <c r="AE284" s="95">
        <f>IF(AND(SUMIFS($D$245:$D$595,$F$245:$F$595,0,$E$245:$E$595,$G284,$C$245:$C$595,"&lt;="&amp;AC$5)&lt;1000000,SUMIFS($D$245:$D$595,$F$245:$F$595,0,$E$245:$E$595,$G284,$C$245:$C$595,"&lt;="&amp;AE5)&gt;=1000000),SUMIFS($D$245:$D$595,$F$245:$F$595,0,$E$245:$E$595,$G284)*$C$157 ,0)</f>
        <v/>
      </c>
      <c r="AF284" s="19" t="n"/>
    </row>
    <row r="285">
      <c r="A285" s="20">
        <f>mid(E285, 3, 1)</f>
        <v/>
      </c>
      <c r="B285" s="14" t="inlineStr"/>
      <c r="C285" s="21">
        <f>SUMIFS('Investor Exit List'!$AC:$AC,'Investor Exit List'!$AB:$AB,B285)</f>
        <v/>
      </c>
      <c r="D285" s="14">
        <f>SUMIFS('Investor Exit List'!$Q:$Q,'Investor Exit List'!$AB:$AB,B285)</f>
        <v/>
      </c>
      <c r="E285" s="31">
        <f>LEFT(B285,6)</f>
        <v/>
      </c>
      <c r="F285" s="14">
        <f>IF(SUMIFS($E$119:$E$151,$D$119:$D$151,E285)&lt;&gt;0,E285,0)</f>
        <v/>
      </c>
      <c r="G285" s="59" t="n"/>
      <c r="I285" s="28">
        <f>IF(AND(SUMIFS($D$245:$D$595,$F$245:$F$595,0,$E$245:$E$595,$G285,$C$245:$C$595,"&lt;="&amp;B$2)&lt;1000000,SUMIFS($D$245:$D$595,$F$245:$F$595,0,$E$245:$E$595,$G285,$C$245:$C$595,"&lt;="&amp;I5)&gt;=1000000),SUMIFS($D$245:$D$595,$F$245:$F$595,0,$E$245:$E$595,$G285)*$C$157 ,0)</f>
        <v/>
      </c>
      <c r="K285" s="95">
        <f>IF(AND(SUMIFS($D$245:$D$595,$F$245:$F$595,0,$E$245:$E$595,$G285,$C$245:$C$595,"&lt;="&amp;I$5)&lt;1000000,SUMIFS($D$245:$D$595,$F$245:$F$595,0,$E$245:$E$595,$G285,$C$245:$C$595,"&lt;="&amp;K5)&gt;=1000000),SUMIFS($D$245:$D$595,$F$245:$F$595,0,$E$245:$E$595,$G285)*$C$157 ,0)</f>
        <v/>
      </c>
      <c r="M285" s="95">
        <f>IF(AND(SUMIFS($D$245:$D$595,$F$245:$F$595,0,$E$245:$E$595,$G285,$C$245:$C$595,"&lt;="&amp;K$5)&lt;1000000,SUMIFS($D$245:$D$595,$F$245:$F$595,0,$E$245:$E$595,$G285,$C$245:$C$595,"&lt;="&amp;M5)&gt;=1000000),SUMIFS($D$245:$D$595,$F$245:$F$595,0,$E$245:$E$595,$G285)*$C$157 ,0)</f>
        <v/>
      </c>
      <c r="O285" s="95">
        <f>IF(AND(SUMIFS($D$245:$D$595,$F$245:$F$595,0,$E$245:$E$595,$G285,$C$245:$C$595,"&lt;="&amp;M$5)&lt;1000000,SUMIFS($D$245:$D$595,$F$245:$F$595,0,$E$245:$E$595,$G285,$C$245:$C$595,"&lt;="&amp;O5)&gt;=1000000),SUMIFS($D$245:$D$595,$F$245:$F$595,0,$E$245:$E$595,$G285)*$C$157 ,0)</f>
        <v/>
      </c>
      <c r="Q285" s="95">
        <f>IF(AND(SUMIFS($D$245:$D$595,$F$245:$F$595,0,$E$245:$E$595,$G285,$C$245:$C$595,"&lt;="&amp;O$5)&lt;1000000,SUMIFS($D$245:$D$595,$F$245:$F$595,0,$E$245:$E$595,$G285,$C$245:$C$595,"&lt;="&amp;Q5)&gt;=1000000),SUMIFS($D$245:$D$595,$F$245:$F$595,0,$E$245:$E$595,$G285)*$C$157 ,0)</f>
        <v/>
      </c>
      <c r="S285" s="95">
        <f>IF(AND(SUMIFS($D$245:$D$595,$F$245:$F$595,0,$E$245:$E$595,$G285,$C$245:$C$595,"&lt;="&amp;Q$5)&lt;1000000,SUMIFS($D$245:$D$595,$F$245:$F$595,0,$E$245:$E$595,$G285,$C$245:$C$595,"&lt;="&amp;S5)&gt;=1000000),SUMIFS($D$245:$D$595,$F$245:$F$595,0,$E$245:$E$595,$G285)*$C$157 ,0)</f>
        <v/>
      </c>
      <c r="U285" s="95">
        <f>IF(AND(SUMIFS($D$245:$D$595,$F$245:$F$595,0,$E$245:$E$595,$G285,$C$245:$C$595,"&lt;="&amp;S$5)&lt;1000000,SUMIFS($D$245:$D$595,$F$245:$F$595,0,$E$245:$E$595,$G285,$C$245:$C$595,"&lt;="&amp;U5)&gt;=1000000),SUMIFS($D$245:$D$595,$F$245:$F$595,0,$E$245:$E$595,$G285)*$C$157 ,0)</f>
        <v/>
      </c>
      <c r="W285" s="95">
        <f>IF(AND(SUMIFS($D$245:$D$595,$F$245:$F$595,0,$E$245:$E$595,$G285,$C$245:$C$595,"&lt;="&amp;U$5)&lt;1000000,SUMIFS($D$245:$D$595,$F$245:$F$595,0,$E$245:$E$595,$G285,$C$245:$C$595,"&lt;="&amp;W5)&gt;=1000000),SUMIFS($D$245:$D$595,$F$245:$F$595,0,$E$245:$E$595,$G285)*$C$157 ,0)</f>
        <v/>
      </c>
      <c r="Y285" s="95">
        <f>IF(AND(SUMIFS($D$245:$D$595,$F$245:$F$595,0,$E$245:$E$595,$G285,$C$245:$C$595,"&lt;="&amp;W$5)&lt;1000000,SUMIFS($D$245:$D$595,$F$245:$F$595,0,$E$245:$E$595,$G285,$C$245:$C$595,"&lt;="&amp;Y5)&gt;=1000000),SUMIFS($D$245:$D$595,$F$245:$F$595,0,$E$245:$E$595,$G285)*$C$157 ,0)</f>
        <v/>
      </c>
      <c r="AA285" s="95">
        <f>IF(AND(SUMIFS($D$245:$D$595,$F$245:$F$595,0,$E$245:$E$595,$G285,$C$245:$C$595,"&lt;="&amp;Y$5)&lt;1000000,SUMIFS($D$245:$D$595,$F$245:$F$595,0,$E$245:$E$595,$G285,$C$245:$C$595,"&lt;="&amp;AA5)&gt;=1000000),SUMIFS($D$245:$D$595,$F$245:$F$595,0,$E$245:$E$595,$G285)*$C$157 ,0)</f>
        <v/>
      </c>
      <c r="AC285" s="95">
        <f>IF(AND(SUMIFS($D$245:$D$595,$F$245:$F$595,0,$E$245:$E$595,$G285,$C$245:$C$595,"&lt;="&amp;AA$5)&lt;1000000,SUMIFS($D$245:$D$595,$F$245:$F$595,0,$E$245:$E$595,$G285,$C$245:$C$595,"&lt;="&amp;AC5)&gt;=1000000),SUMIFS($D$245:$D$595,$F$245:$F$595,0,$E$245:$E$595,$G285)*$C$157 ,0)</f>
        <v/>
      </c>
      <c r="AE285" s="95">
        <f>IF(AND(SUMIFS($D$245:$D$595,$F$245:$F$595,0,$E$245:$E$595,$G285,$C$245:$C$595,"&lt;="&amp;AC$5)&lt;1000000,SUMIFS($D$245:$D$595,$F$245:$F$595,0,$E$245:$E$595,$G285,$C$245:$C$595,"&lt;="&amp;AE5)&gt;=1000000),SUMIFS($D$245:$D$595,$F$245:$F$595,0,$E$245:$E$595,$G285)*$C$157 ,0)</f>
        <v/>
      </c>
      <c r="AF285" s="19" t="n"/>
    </row>
    <row r="286">
      <c r="A286" s="20">
        <f>mid(E286, 3, 1)</f>
        <v/>
      </c>
      <c r="B286" s="14" t="inlineStr"/>
      <c r="C286" s="21">
        <f>SUMIFS('Investor Exit List'!$AC:$AC,'Investor Exit List'!$AB:$AB,B286)</f>
        <v/>
      </c>
      <c r="D286" s="14">
        <f>SUMIFS('Investor Exit List'!$Q:$Q,'Investor Exit List'!$AB:$AB,B286)</f>
        <v/>
      </c>
      <c r="E286" s="31">
        <f>LEFT(B286,6)</f>
        <v/>
      </c>
      <c r="F286" s="14">
        <f>IF(SUMIFS($E$119:$E$151,$D$119:$D$151,E286)&lt;&gt;0,E286,0)</f>
        <v/>
      </c>
      <c r="G286" s="59" t="n"/>
      <c r="I286" s="28">
        <f>IF(AND(SUMIFS($D$245:$D$595,$F$245:$F$595,0,$E$245:$E$595,$G286,$C$245:$C$595,"&lt;="&amp;B$2)&lt;1000000,SUMIFS($D$245:$D$595,$F$245:$F$595,0,$E$245:$E$595,$G286,$C$245:$C$595,"&lt;="&amp;I5)&gt;=1000000),SUMIFS($D$245:$D$595,$F$245:$F$595,0,$E$245:$E$595,$G286)*$C$157 ,0)</f>
        <v/>
      </c>
      <c r="K286" s="95">
        <f>IF(AND(SUMIFS($D$245:$D$595,$F$245:$F$595,0,$E$245:$E$595,$G286,$C$245:$C$595,"&lt;="&amp;I$5)&lt;1000000,SUMIFS($D$245:$D$595,$F$245:$F$595,0,$E$245:$E$595,$G286,$C$245:$C$595,"&lt;="&amp;K5)&gt;=1000000),SUMIFS($D$245:$D$595,$F$245:$F$595,0,$E$245:$E$595,$G286)*$C$157 ,0)</f>
        <v/>
      </c>
      <c r="M286" s="95">
        <f>IF(AND(SUMIFS($D$245:$D$595,$F$245:$F$595,0,$E$245:$E$595,$G286,$C$245:$C$595,"&lt;="&amp;K$5)&lt;1000000,SUMIFS($D$245:$D$595,$F$245:$F$595,0,$E$245:$E$595,$G286,$C$245:$C$595,"&lt;="&amp;M5)&gt;=1000000),SUMIFS($D$245:$D$595,$F$245:$F$595,0,$E$245:$E$595,$G286)*$C$157 ,0)</f>
        <v/>
      </c>
      <c r="O286" s="95">
        <f>IF(AND(SUMIFS($D$245:$D$595,$F$245:$F$595,0,$E$245:$E$595,$G286,$C$245:$C$595,"&lt;="&amp;M$5)&lt;1000000,SUMIFS($D$245:$D$595,$F$245:$F$595,0,$E$245:$E$595,$G286,$C$245:$C$595,"&lt;="&amp;O5)&gt;=1000000),SUMIFS($D$245:$D$595,$F$245:$F$595,0,$E$245:$E$595,$G286)*$C$157 ,0)</f>
        <v/>
      </c>
      <c r="Q286" s="95">
        <f>IF(AND(SUMIFS($D$245:$D$595,$F$245:$F$595,0,$E$245:$E$595,$G286,$C$245:$C$595,"&lt;="&amp;O$5)&lt;1000000,SUMIFS($D$245:$D$595,$F$245:$F$595,0,$E$245:$E$595,$G286,$C$245:$C$595,"&lt;="&amp;Q5)&gt;=1000000),SUMIFS($D$245:$D$595,$F$245:$F$595,0,$E$245:$E$595,$G286)*$C$157 ,0)</f>
        <v/>
      </c>
      <c r="S286" s="95">
        <f>IF(AND(SUMIFS($D$245:$D$595,$F$245:$F$595,0,$E$245:$E$595,$G286,$C$245:$C$595,"&lt;="&amp;Q$5)&lt;1000000,SUMIFS($D$245:$D$595,$F$245:$F$595,0,$E$245:$E$595,$G286,$C$245:$C$595,"&lt;="&amp;S5)&gt;=1000000),SUMIFS($D$245:$D$595,$F$245:$F$595,0,$E$245:$E$595,$G286)*$C$157 ,0)</f>
        <v/>
      </c>
      <c r="U286" s="95">
        <f>IF(AND(SUMIFS($D$245:$D$595,$F$245:$F$595,0,$E$245:$E$595,$G286,$C$245:$C$595,"&lt;="&amp;S$5)&lt;1000000,SUMIFS($D$245:$D$595,$F$245:$F$595,0,$E$245:$E$595,$G286,$C$245:$C$595,"&lt;="&amp;U5)&gt;=1000000),SUMIFS($D$245:$D$595,$F$245:$F$595,0,$E$245:$E$595,$G286)*$C$157 ,0)</f>
        <v/>
      </c>
      <c r="W286" s="95">
        <f>IF(AND(SUMIFS($D$245:$D$595,$F$245:$F$595,0,$E$245:$E$595,$G286,$C$245:$C$595,"&lt;="&amp;U$5)&lt;1000000,SUMIFS($D$245:$D$595,$F$245:$F$595,0,$E$245:$E$595,$G286,$C$245:$C$595,"&lt;="&amp;W5)&gt;=1000000),SUMIFS($D$245:$D$595,$F$245:$F$595,0,$E$245:$E$595,$G286)*$C$157 ,0)</f>
        <v/>
      </c>
      <c r="Y286" s="95">
        <f>IF(AND(SUMIFS($D$245:$D$595,$F$245:$F$595,0,$E$245:$E$595,$G286,$C$245:$C$595,"&lt;="&amp;W$5)&lt;1000000,SUMIFS($D$245:$D$595,$F$245:$F$595,0,$E$245:$E$595,$G286,$C$245:$C$595,"&lt;="&amp;Y5)&gt;=1000000),SUMIFS($D$245:$D$595,$F$245:$F$595,0,$E$245:$E$595,$G286)*$C$157 ,0)</f>
        <v/>
      </c>
      <c r="AA286" s="95">
        <f>IF(AND(SUMIFS($D$245:$D$595,$F$245:$F$595,0,$E$245:$E$595,$G286,$C$245:$C$595,"&lt;="&amp;Y$5)&lt;1000000,SUMIFS($D$245:$D$595,$F$245:$F$595,0,$E$245:$E$595,$G286,$C$245:$C$595,"&lt;="&amp;AA5)&gt;=1000000),SUMIFS($D$245:$D$595,$F$245:$F$595,0,$E$245:$E$595,$G286)*$C$157 ,0)</f>
        <v/>
      </c>
      <c r="AC286" s="95">
        <f>IF(AND(SUMIFS($D$245:$D$595,$F$245:$F$595,0,$E$245:$E$595,$G286,$C$245:$C$595,"&lt;="&amp;AA$5)&lt;1000000,SUMIFS($D$245:$D$595,$F$245:$F$595,0,$E$245:$E$595,$G286,$C$245:$C$595,"&lt;="&amp;AC5)&gt;=1000000),SUMIFS($D$245:$D$595,$F$245:$F$595,0,$E$245:$E$595,$G286)*$C$157 ,0)</f>
        <v/>
      </c>
      <c r="AE286" s="95">
        <f>IF(AND(SUMIFS($D$245:$D$595,$F$245:$F$595,0,$E$245:$E$595,$G286,$C$245:$C$595,"&lt;="&amp;AC$5)&lt;1000000,SUMIFS($D$245:$D$595,$F$245:$F$595,0,$E$245:$E$595,$G286,$C$245:$C$595,"&lt;="&amp;AE5)&gt;=1000000),SUMIFS($D$245:$D$595,$F$245:$F$595,0,$E$245:$E$595,$G286)*$C$157 ,0)</f>
        <v/>
      </c>
      <c r="AF286" s="19" t="n"/>
    </row>
    <row r="287">
      <c r="A287" s="20">
        <f>mid(E287, 3, 1)</f>
        <v/>
      </c>
      <c r="B287" s="14" t="inlineStr"/>
      <c r="C287" s="21">
        <f>SUMIFS('Investor Exit List'!$AC:$AC,'Investor Exit List'!$AB:$AB,B287)</f>
        <v/>
      </c>
      <c r="D287" s="14">
        <f>SUMIFS('Investor Exit List'!$Q:$Q,'Investor Exit List'!$AB:$AB,B287)</f>
        <v/>
      </c>
      <c r="E287" s="31">
        <f>LEFT(B287,6)</f>
        <v/>
      </c>
      <c r="F287" s="14">
        <f>IF(SUMIFS($E$119:$E$151,$D$119:$D$151,E287)&lt;&gt;0,E287,0)</f>
        <v/>
      </c>
      <c r="G287" s="59" t="n"/>
      <c r="I287" s="28">
        <f>IF(AND(SUMIFS($D$245:$D$595,$F$245:$F$595,0,$E$245:$E$595,$G287,$C$245:$C$595,"&lt;="&amp;B$2)&lt;1000000,SUMIFS($D$245:$D$595,$F$245:$F$595,0,$E$245:$E$595,$G287,$C$245:$C$595,"&lt;="&amp;I5)&gt;=1000000),SUMIFS($D$245:$D$595,$F$245:$F$595,0,$E$245:$E$595,$G287)*$C$157 ,0)</f>
        <v/>
      </c>
      <c r="K287" s="95">
        <f>IF(AND(SUMIFS($D$245:$D$595,$F$245:$F$595,0,$E$245:$E$595,$G287,$C$245:$C$595,"&lt;="&amp;I$5)&lt;1000000,SUMIFS($D$245:$D$595,$F$245:$F$595,0,$E$245:$E$595,$G287,$C$245:$C$595,"&lt;="&amp;K5)&gt;=1000000),SUMIFS($D$245:$D$595,$F$245:$F$595,0,$E$245:$E$595,$G287)*$C$157 ,0)</f>
        <v/>
      </c>
      <c r="M287" s="95">
        <f>IF(AND(SUMIFS($D$245:$D$595,$F$245:$F$595,0,$E$245:$E$595,$G287,$C$245:$C$595,"&lt;="&amp;K$5)&lt;1000000,SUMIFS($D$245:$D$595,$F$245:$F$595,0,$E$245:$E$595,$G287,$C$245:$C$595,"&lt;="&amp;M5)&gt;=1000000),SUMIFS($D$245:$D$595,$F$245:$F$595,0,$E$245:$E$595,$G287)*$C$157 ,0)</f>
        <v/>
      </c>
      <c r="O287" s="95">
        <f>IF(AND(SUMIFS($D$245:$D$595,$F$245:$F$595,0,$E$245:$E$595,$G287,$C$245:$C$595,"&lt;="&amp;M$5)&lt;1000000,SUMIFS($D$245:$D$595,$F$245:$F$595,0,$E$245:$E$595,$G287,$C$245:$C$595,"&lt;="&amp;O5)&gt;=1000000),SUMIFS($D$245:$D$595,$F$245:$F$595,0,$E$245:$E$595,$G287)*$C$157 ,0)</f>
        <v/>
      </c>
      <c r="Q287" s="95">
        <f>IF(AND(SUMIFS($D$245:$D$595,$F$245:$F$595,0,$E$245:$E$595,$G287,$C$245:$C$595,"&lt;="&amp;O$5)&lt;1000000,SUMIFS($D$245:$D$595,$F$245:$F$595,0,$E$245:$E$595,$G287,$C$245:$C$595,"&lt;="&amp;Q5)&gt;=1000000),SUMIFS($D$245:$D$595,$F$245:$F$595,0,$E$245:$E$595,$G287)*$C$157 ,0)</f>
        <v/>
      </c>
      <c r="S287" s="95">
        <f>IF(AND(SUMIFS($D$245:$D$595,$F$245:$F$595,0,$E$245:$E$595,$G287,$C$245:$C$595,"&lt;="&amp;Q$5)&lt;1000000,SUMIFS($D$245:$D$595,$F$245:$F$595,0,$E$245:$E$595,$G287,$C$245:$C$595,"&lt;="&amp;S5)&gt;=1000000),SUMIFS($D$245:$D$595,$F$245:$F$595,0,$E$245:$E$595,$G287)*$C$157 ,0)</f>
        <v/>
      </c>
      <c r="U287" s="95">
        <f>IF(AND(SUMIFS($D$245:$D$595,$F$245:$F$595,0,$E$245:$E$595,$G287,$C$245:$C$595,"&lt;="&amp;S$5)&lt;1000000,SUMIFS($D$245:$D$595,$F$245:$F$595,0,$E$245:$E$595,$G287,$C$245:$C$595,"&lt;="&amp;U5)&gt;=1000000),SUMIFS($D$245:$D$595,$F$245:$F$595,0,$E$245:$E$595,$G287)*$C$157 ,0)</f>
        <v/>
      </c>
      <c r="W287" s="95">
        <f>IF(AND(SUMIFS($D$245:$D$595,$F$245:$F$595,0,$E$245:$E$595,$G287,$C$245:$C$595,"&lt;="&amp;U$5)&lt;1000000,SUMIFS($D$245:$D$595,$F$245:$F$595,0,$E$245:$E$595,$G287,$C$245:$C$595,"&lt;="&amp;W5)&gt;=1000000),SUMIFS($D$245:$D$595,$F$245:$F$595,0,$E$245:$E$595,$G287)*$C$157 ,0)</f>
        <v/>
      </c>
      <c r="Y287" s="95">
        <f>IF(AND(SUMIFS($D$245:$D$595,$F$245:$F$595,0,$E$245:$E$595,$G287,$C$245:$C$595,"&lt;="&amp;W$5)&lt;1000000,SUMIFS($D$245:$D$595,$F$245:$F$595,0,$E$245:$E$595,$G287,$C$245:$C$595,"&lt;="&amp;Y5)&gt;=1000000),SUMIFS($D$245:$D$595,$F$245:$F$595,0,$E$245:$E$595,$G287)*$C$157 ,0)</f>
        <v/>
      </c>
      <c r="AA287" s="95">
        <f>IF(AND(SUMIFS($D$245:$D$595,$F$245:$F$595,0,$E$245:$E$595,$G287,$C$245:$C$595,"&lt;="&amp;Y$5)&lt;1000000,SUMIFS($D$245:$D$595,$F$245:$F$595,0,$E$245:$E$595,$G287,$C$245:$C$595,"&lt;="&amp;AA5)&gt;=1000000),SUMIFS($D$245:$D$595,$F$245:$F$595,0,$E$245:$E$595,$G287)*$C$157 ,0)</f>
        <v/>
      </c>
      <c r="AC287" s="95">
        <f>IF(AND(SUMIFS($D$245:$D$595,$F$245:$F$595,0,$E$245:$E$595,$G287,$C$245:$C$595,"&lt;="&amp;AA$5)&lt;1000000,SUMIFS($D$245:$D$595,$F$245:$F$595,0,$E$245:$E$595,$G287,$C$245:$C$595,"&lt;="&amp;AC5)&gt;=1000000),SUMIFS($D$245:$D$595,$F$245:$F$595,0,$E$245:$E$595,$G287)*$C$157 ,0)</f>
        <v/>
      </c>
      <c r="AE287" s="95">
        <f>IF(AND(SUMIFS($D$245:$D$595,$F$245:$F$595,0,$E$245:$E$595,$G287,$C$245:$C$595,"&lt;="&amp;AC$5)&lt;1000000,SUMIFS($D$245:$D$595,$F$245:$F$595,0,$E$245:$E$595,$G287,$C$245:$C$595,"&lt;="&amp;AE5)&gt;=1000000),SUMIFS($D$245:$D$595,$F$245:$F$595,0,$E$245:$E$595,$G287)*$C$157 ,0)</f>
        <v/>
      </c>
      <c r="AF287" s="19" t="n"/>
    </row>
    <row r="288">
      <c r="A288" s="20">
        <f>mid(E288, 3, 1)</f>
        <v/>
      </c>
      <c r="B288" s="14" t="inlineStr"/>
      <c r="C288" s="21">
        <f>SUMIFS('Investor Exit List'!$AC:$AC,'Investor Exit List'!$AB:$AB,B288)</f>
        <v/>
      </c>
      <c r="D288" s="14">
        <f>SUMIFS('Investor Exit List'!$Q:$Q,'Investor Exit List'!$AB:$AB,B288)</f>
        <v/>
      </c>
      <c r="E288" s="31">
        <f>LEFT(B288,6)</f>
        <v/>
      </c>
      <c r="F288" s="14">
        <f>IF(SUMIFS($E$119:$E$151,$D$119:$D$151,E288)&lt;&gt;0,E288,0)</f>
        <v/>
      </c>
      <c r="G288" s="59" t="n"/>
      <c r="I288" s="28">
        <f>IF(AND(SUMIFS($D$245:$D$595,$F$245:$F$595,0,$E$245:$E$595,$G288,$C$245:$C$595,"&lt;="&amp;B$2)&lt;1000000,SUMIFS($D$245:$D$595,$F$245:$F$595,0,$E$245:$E$595,$G288,$C$245:$C$595,"&lt;="&amp;I5)&gt;=1000000),SUMIFS($D$245:$D$595,$F$245:$F$595,0,$E$245:$E$595,$G288)*$C$157 ,0)</f>
        <v/>
      </c>
      <c r="K288" s="95">
        <f>IF(AND(SUMIFS($D$245:$D$595,$F$245:$F$595,0,$E$245:$E$595,$G288,$C$245:$C$595,"&lt;="&amp;I$5)&lt;1000000,SUMIFS($D$245:$D$595,$F$245:$F$595,0,$E$245:$E$595,$G288,$C$245:$C$595,"&lt;="&amp;K5)&gt;=1000000),SUMIFS($D$245:$D$595,$F$245:$F$595,0,$E$245:$E$595,$G288)*$C$157 ,0)</f>
        <v/>
      </c>
      <c r="M288" s="95">
        <f>IF(AND(SUMIFS($D$245:$D$595,$F$245:$F$595,0,$E$245:$E$595,$G288,$C$245:$C$595,"&lt;="&amp;K$5)&lt;1000000,SUMIFS($D$245:$D$595,$F$245:$F$595,0,$E$245:$E$595,$G288,$C$245:$C$595,"&lt;="&amp;M5)&gt;=1000000),SUMIFS($D$245:$D$595,$F$245:$F$595,0,$E$245:$E$595,$G288)*$C$157 ,0)</f>
        <v/>
      </c>
      <c r="O288" s="95">
        <f>IF(AND(SUMIFS($D$245:$D$595,$F$245:$F$595,0,$E$245:$E$595,$G288,$C$245:$C$595,"&lt;="&amp;M$5)&lt;1000000,SUMIFS($D$245:$D$595,$F$245:$F$595,0,$E$245:$E$595,$G288,$C$245:$C$595,"&lt;="&amp;O5)&gt;=1000000),SUMIFS($D$245:$D$595,$F$245:$F$595,0,$E$245:$E$595,$G288)*$C$157 ,0)</f>
        <v/>
      </c>
      <c r="Q288" s="95">
        <f>IF(AND(SUMIFS($D$245:$D$595,$F$245:$F$595,0,$E$245:$E$595,$G288,$C$245:$C$595,"&lt;="&amp;O$5)&lt;1000000,SUMIFS($D$245:$D$595,$F$245:$F$595,0,$E$245:$E$595,$G288,$C$245:$C$595,"&lt;="&amp;Q5)&gt;=1000000),SUMIFS($D$245:$D$595,$F$245:$F$595,0,$E$245:$E$595,$G288)*$C$157 ,0)</f>
        <v/>
      </c>
      <c r="S288" s="95">
        <f>IF(AND(SUMIFS($D$245:$D$595,$F$245:$F$595,0,$E$245:$E$595,$G288,$C$245:$C$595,"&lt;="&amp;Q$5)&lt;1000000,SUMIFS($D$245:$D$595,$F$245:$F$595,0,$E$245:$E$595,$G288,$C$245:$C$595,"&lt;="&amp;S5)&gt;=1000000),SUMIFS($D$245:$D$595,$F$245:$F$595,0,$E$245:$E$595,$G288)*$C$157 ,0)</f>
        <v/>
      </c>
      <c r="U288" s="95">
        <f>IF(AND(SUMIFS($D$245:$D$595,$F$245:$F$595,0,$E$245:$E$595,$G288,$C$245:$C$595,"&lt;="&amp;S$5)&lt;1000000,SUMIFS($D$245:$D$595,$F$245:$F$595,0,$E$245:$E$595,$G288,$C$245:$C$595,"&lt;="&amp;U5)&gt;=1000000),SUMIFS($D$245:$D$595,$F$245:$F$595,0,$E$245:$E$595,$G288)*$C$157 ,0)</f>
        <v/>
      </c>
      <c r="W288" s="95">
        <f>IF(AND(SUMIFS($D$245:$D$595,$F$245:$F$595,0,$E$245:$E$595,$G288,$C$245:$C$595,"&lt;="&amp;U$5)&lt;1000000,SUMIFS($D$245:$D$595,$F$245:$F$595,0,$E$245:$E$595,$G288,$C$245:$C$595,"&lt;="&amp;W5)&gt;=1000000),SUMIFS($D$245:$D$595,$F$245:$F$595,0,$E$245:$E$595,$G288)*$C$157 ,0)</f>
        <v/>
      </c>
      <c r="Y288" s="95">
        <f>IF(AND(SUMIFS($D$245:$D$595,$F$245:$F$595,0,$E$245:$E$595,$G288,$C$245:$C$595,"&lt;="&amp;W$5)&lt;1000000,SUMIFS($D$245:$D$595,$F$245:$F$595,0,$E$245:$E$595,$G288,$C$245:$C$595,"&lt;="&amp;Y5)&gt;=1000000),SUMIFS($D$245:$D$595,$F$245:$F$595,0,$E$245:$E$595,$G288)*$C$157 ,0)</f>
        <v/>
      </c>
      <c r="AA288" s="95">
        <f>IF(AND(SUMIFS($D$245:$D$595,$F$245:$F$595,0,$E$245:$E$595,$G288,$C$245:$C$595,"&lt;="&amp;Y$5)&lt;1000000,SUMIFS($D$245:$D$595,$F$245:$F$595,0,$E$245:$E$595,$G288,$C$245:$C$595,"&lt;="&amp;AA5)&gt;=1000000),SUMIFS($D$245:$D$595,$F$245:$F$595,0,$E$245:$E$595,$G288)*$C$157 ,0)</f>
        <v/>
      </c>
      <c r="AC288" s="95">
        <f>IF(AND(SUMIFS($D$245:$D$595,$F$245:$F$595,0,$E$245:$E$595,$G288,$C$245:$C$595,"&lt;="&amp;AA$5)&lt;1000000,SUMIFS($D$245:$D$595,$F$245:$F$595,0,$E$245:$E$595,$G288,$C$245:$C$595,"&lt;="&amp;AC5)&gt;=1000000),SUMIFS($D$245:$D$595,$F$245:$F$595,0,$E$245:$E$595,$G288)*$C$157 ,0)</f>
        <v/>
      </c>
      <c r="AE288" s="95">
        <f>IF(AND(SUMIFS($D$245:$D$595,$F$245:$F$595,0,$E$245:$E$595,$G288,$C$245:$C$595,"&lt;="&amp;AC$5)&lt;1000000,SUMIFS($D$245:$D$595,$F$245:$F$595,0,$E$245:$E$595,$G288,$C$245:$C$595,"&lt;="&amp;AE5)&gt;=1000000),SUMIFS($D$245:$D$595,$F$245:$F$595,0,$E$245:$E$595,$G288)*$C$157 ,0)</f>
        <v/>
      </c>
      <c r="AF288" s="19" t="n"/>
    </row>
    <row r="289">
      <c r="A289" s="20">
        <f>mid(E289, 3, 1)</f>
        <v/>
      </c>
      <c r="B289" s="14" t="inlineStr"/>
      <c r="C289" s="21">
        <f>SUMIFS('Investor Exit List'!$AC:$AC,'Investor Exit List'!$AB:$AB,B289)</f>
        <v/>
      </c>
      <c r="D289" s="14">
        <f>SUMIFS('Investor Exit List'!$Q:$Q,'Investor Exit List'!$AB:$AB,B289)</f>
        <v/>
      </c>
      <c r="E289" s="31">
        <f>LEFT(B289,6)</f>
        <v/>
      </c>
      <c r="F289" s="14">
        <f>IF(SUMIFS($E$119:$E$151,$D$119:$D$151,E289)&lt;&gt;0,E289,0)</f>
        <v/>
      </c>
      <c r="G289" s="59" t="n"/>
      <c r="I289" s="28">
        <f>IF(AND(SUMIFS($D$245:$D$595,$F$245:$F$595,0,$E$245:$E$595,$G289,$C$245:$C$595,"&lt;="&amp;B$2)&lt;1000000,SUMIFS($D$245:$D$595,$F$245:$F$595,0,$E$245:$E$595,$G289,$C$245:$C$595,"&lt;="&amp;I5)&gt;=1000000),SUMIFS($D$245:$D$595,$F$245:$F$595,0,$E$245:$E$595,$G289)*$C$157 ,0)</f>
        <v/>
      </c>
      <c r="K289" s="95">
        <f>IF(AND(SUMIFS($D$245:$D$595,$F$245:$F$595,0,$E$245:$E$595,$G289,$C$245:$C$595,"&lt;="&amp;I$5)&lt;1000000,SUMIFS($D$245:$D$595,$F$245:$F$595,0,$E$245:$E$595,$G289,$C$245:$C$595,"&lt;="&amp;K5)&gt;=1000000),SUMIFS($D$245:$D$595,$F$245:$F$595,0,$E$245:$E$595,$G289)*$C$157 ,0)</f>
        <v/>
      </c>
      <c r="M289" s="95">
        <f>IF(AND(SUMIFS($D$245:$D$595,$F$245:$F$595,0,$E$245:$E$595,$G289,$C$245:$C$595,"&lt;="&amp;K$5)&lt;1000000,SUMIFS($D$245:$D$595,$F$245:$F$595,0,$E$245:$E$595,$G289,$C$245:$C$595,"&lt;="&amp;M5)&gt;=1000000),SUMIFS($D$245:$D$595,$F$245:$F$595,0,$E$245:$E$595,$G289)*$C$157 ,0)</f>
        <v/>
      </c>
      <c r="O289" s="95">
        <f>IF(AND(SUMIFS($D$245:$D$595,$F$245:$F$595,0,$E$245:$E$595,$G289,$C$245:$C$595,"&lt;="&amp;M$5)&lt;1000000,SUMIFS($D$245:$D$595,$F$245:$F$595,0,$E$245:$E$595,$G289,$C$245:$C$595,"&lt;="&amp;O5)&gt;=1000000),SUMIFS($D$245:$D$595,$F$245:$F$595,0,$E$245:$E$595,$G289)*$C$157 ,0)</f>
        <v/>
      </c>
      <c r="Q289" s="95">
        <f>IF(AND(SUMIFS($D$245:$D$595,$F$245:$F$595,0,$E$245:$E$595,$G289,$C$245:$C$595,"&lt;="&amp;O$5)&lt;1000000,SUMIFS($D$245:$D$595,$F$245:$F$595,0,$E$245:$E$595,$G289,$C$245:$C$595,"&lt;="&amp;Q5)&gt;=1000000),SUMIFS($D$245:$D$595,$F$245:$F$595,0,$E$245:$E$595,$G289)*$C$157 ,0)</f>
        <v/>
      </c>
      <c r="S289" s="95">
        <f>IF(AND(SUMIFS($D$245:$D$595,$F$245:$F$595,0,$E$245:$E$595,$G289,$C$245:$C$595,"&lt;="&amp;Q$5)&lt;1000000,SUMIFS($D$245:$D$595,$F$245:$F$595,0,$E$245:$E$595,$G289,$C$245:$C$595,"&lt;="&amp;S5)&gt;=1000000),SUMIFS($D$245:$D$595,$F$245:$F$595,0,$E$245:$E$595,$G289)*$C$157 ,0)</f>
        <v/>
      </c>
      <c r="U289" s="95">
        <f>IF(AND(SUMIFS($D$245:$D$595,$F$245:$F$595,0,$E$245:$E$595,$G289,$C$245:$C$595,"&lt;="&amp;S$5)&lt;1000000,SUMIFS($D$245:$D$595,$F$245:$F$595,0,$E$245:$E$595,$G289,$C$245:$C$595,"&lt;="&amp;U5)&gt;=1000000),SUMIFS($D$245:$D$595,$F$245:$F$595,0,$E$245:$E$595,$G289)*$C$157 ,0)</f>
        <v/>
      </c>
      <c r="W289" s="95">
        <f>IF(AND(SUMIFS($D$245:$D$595,$F$245:$F$595,0,$E$245:$E$595,$G289,$C$245:$C$595,"&lt;="&amp;U$5)&lt;1000000,SUMIFS($D$245:$D$595,$F$245:$F$595,0,$E$245:$E$595,$G289,$C$245:$C$595,"&lt;="&amp;W5)&gt;=1000000),SUMIFS($D$245:$D$595,$F$245:$F$595,0,$E$245:$E$595,$G289)*$C$157 ,0)</f>
        <v/>
      </c>
      <c r="Y289" s="95">
        <f>IF(AND(SUMIFS($D$245:$D$595,$F$245:$F$595,0,$E$245:$E$595,$G289,$C$245:$C$595,"&lt;="&amp;W$5)&lt;1000000,SUMIFS($D$245:$D$595,$F$245:$F$595,0,$E$245:$E$595,$G289,$C$245:$C$595,"&lt;="&amp;Y5)&gt;=1000000),SUMIFS($D$245:$D$595,$F$245:$F$595,0,$E$245:$E$595,$G289)*$C$157 ,0)</f>
        <v/>
      </c>
      <c r="AA289" s="95">
        <f>IF(AND(SUMIFS($D$245:$D$595,$F$245:$F$595,0,$E$245:$E$595,$G289,$C$245:$C$595,"&lt;="&amp;Y$5)&lt;1000000,SUMIFS($D$245:$D$595,$F$245:$F$595,0,$E$245:$E$595,$G289,$C$245:$C$595,"&lt;="&amp;AA5)&gt;=1000000),SUMIFS($D$245:$D$595,$F$245:$F$595,0,$E$245:$E$595,$G289)*$C$157 ,0)</f>
        <v/>
      </c>
      <c r="AC289" s="95">
        <f>IF(AND(SUMIFS($D$245:$D$595,$F$245:$F$595,0,$E$245:$E$595,$G289,$C$245:$C$595,"&lt;="&amp;AA$5)&lt;1000000,SUMIFS($D$245:$D$595,$F$245:$F$595,0,$E$245:$E$595,$G289,$C$245:$C$595,"&lt;="&amp;AC5)&gt;=1000000),SUMIFS($D$245:$D$595,$F$245:$F$595,0,$E$245:$E$595,$G289)*$C$157 ,0)</f>
        <v/>
      </c>
      <c r="AE289" s="95">
        <f>IF(AND(SUMIFS($D$245:$D$595,$F$245:$F$595,0,$E$245:$E$595,$G289,$C$245:$C$595,"&lt;="&amp;AC$5)&lt;1000000,SUMIFS($D$245:$D$595,$F$245:$F$595,0,$E$245:$E$595,$G289,$C$245:$C$595,"&lt;="&amp;AE5)&gt;=1000000),SUMIFS($D$245:$D$595,$F$245:$F$595,0,$E$245:$E$595,$G289)*$C$157 ,0)</f>
        <v/>
      </c>
      <c r="AF289" s="19" t="n"/>
    </row>
    <row r="290">
      <c r="A290" s="20">
        <f>mid(E290, 3, 1)</f>
        <v/>
      </c>
      <c r="B290" s="14" t="inlineStr"/>
      <c r="C290" s="21">
        <f>SUMIFS('Investor Exit List'!$AC:$AC,'Investor Exit List'!$AB:$AB,B290)</f>
        <v/>
      </c>
      <c r="D290" s="14">
        <f>SUMIFS('Investor Exit List'!$Q:$Q,'Investor Exit List'!$AB:$AB,B290)</f>
        <v/>
      </c>
      <c r="E290" s="31">
        <f>LEFT(B290,6)</f>
        <v/>
      </c>
      <c r="F290" s="14">
        <f>IF(SUMIFS($E$119:$E$151,$D$119:$D$151,E290)&lt;&gt;0,E290,0)</f>
        <v/>
      </c>
      <c r="G290" s="59" t="n"/>
      <c r="I290" s="28">
        <f>IF(AND(SUMIFS($D$245:$D$595,$F$245:$F$595,0,$E$245:$E$595,$G290,$C$245:$C$595,"&lt;="&amp;B$2)&lt;1000000,SUMIFS($D$245:$D$595,$F$245:$F$595,0,$E$245:$E$595,$G290,$C$245:$C$595,"&lt;="&amp;I5)&gt;=1000000),SUMIFS($D$245:$D$595,$F$245:$F$595,0,$E$245:$E$595,$G290)*$C$157 ,0)</f>
        <v/>
      </c>
      <c r="K290" s="95">
        <f>IF(AND(SUMIFS($D$245:$D$595,$F$245:$F$595,0,$E$245:$E$595,$G290,$C$245:$C$595,"&lt;="&amp;I$5)&lt;1000000,SUMIFS($D$245:$D$595,$F$245:$F$595,0,$E$245:$E$595,$G290,$C$245:$C$595,"&lt;="&amp;K5)&gt;=1000000),SUMIFS($D$245:$D$595,$F$245:$F$595,0,$E$245:$E$595,$G290)*$C$157 ,0)</f>
        <v/>
      </c>
      <c r="M290" s="95">
        <f>IF(AND(SUMIFS($D$245:$D$595,$F$245:$F$595,0,$E$245:$E$595,$G290,$C$245:$C$595,"&lt;="&amp;K$5)&lt;1000000,SUMIFS($D$245:$D$595,$F$245:$F$595,0,$E$245:$E$595,$G290,$C$245:$C$595,"&lt;="&amp;M5)&gt;=1000000),SUMIFS($D$245:$D$595,$F$245:$F$595,0,$E$245:$E$595,$G290)*$C$157 ,0)</f>
        <v/>
      </c>
      <c r="O290" s="95">
        <f>IF(AND(SUMIFS($D$245:$D$595,$F$245:$F$595,0,$E$245:$E$595,$G290,$C$245:$C$595,"&lt;="&amp;M$5)&lt;1000000,SUMIFS($D$245:$D$595,$F$245:$F$595,0,$E$245:$E$595,$G290,$C$245:$C$595,"&lt;="&amp;O5)&gt;=1000000),SUMIFS($D$245:$D$595,$F$245:$F$595,0,$E$245:$E$595,$G290)*$C$157 ,0)</f>
        <v/>
      </c>
      <c r="Q290" s="95">
        <f>IF(AND(SUMIFS($D$245:$D$595,$F$245:$F$595,0,$E$245:$E$595,$G290,$C$245:$C$595,"&lt;="&amp;O$5)&lt;1000000,SUMIFS($D$245:$D$595,$F$245:$F$595,0,$E$245:$E$595,$G290,$C$245:$C$595,"&lt;="&amp;Q5)&gt;=1000000),SUMIFS($D$245:$D$595,$F$245:$F$595,0,$E$245:$E$595,$G290)*$C$157 ,0)</f>
        <v/>
      </c>
      <c r="S290" s="95">
        <f>IF(AND(SUMIFS($D$245:$D$595,$F$245:$F$595,0,$E$245:$E$595,$G290,$C$245:$C$595,"&lt;="&amp;Q$5)&lt;1000000,SUMIFS($D$245:$D$595,$F$245:$F$595,0,$E$245:$E$595,$G290,$C$245:$C$595,"&lt;="&amp;S5)&gt;=1000000),SUMIFS($D$245:$D$595,$F$245:$F$595,0,$E$245:$E$595,$G290)*$C$157 ,0)</f>
        <v/>
      </c>
      <c r="U290" s="95">
        <f>IF(AND(SUMIFS($D$245:$D$595,$F$245:$F$595,0,$E$245:$E$595,$G290,$C$245:$C$595,"&lt;="&amp;S$5)&lt;1000000,SUMIFS($D$245:$D$595,$F$245:$F$595,0,$E$245:$E$595,$G290,$C$245:$C$595,"&lt;="&amp;U5)&gt;=1000000),SUMIFS($D$245:$D$595,$F$245:$F$595,0,$E$245:$E$595,$G290)*$C$157 ,0)</f>
        <v/>
      </c>
      <c r="W290" s="95">
        <f>IF(AND(SUMIFS($D$245:$D$595,$F$245:$F$595,0,$E$245:$E$595,$G290,$C$245:$C$595,"&lt;="&amp;U$5)&lt;1000000,SUMIFS($D$245:$D$595,$F$245:$F$595,0,$E$245:$E$595,$G290,$C$245:$C$595,"&lt;="&amp;W5)&gt;=1000000),SUMIFS($D$245:$D$595,$F$245:$F$595,0,$E$245:$E$595,$G290)*$C$157 ,0)</f>
        <v/>
      </c>
      <c r="Y290" s="95">
        <f>IF(AND(SUMIFS($D$245:$D$595,$F$245:$F$595,0,$E$245:$E$595,$G290,$C$245:$C$595,"&lt;="&amp;W$5)&lt;1000000,SUMIFS($D$245:$D$595,$F$245:$F$595,0,$E$245:$E$595,$G290,$C$245:$C$595,"&lt;="&amp;Y5)&gt;=1000000),SUMIFS($D$245:$D$595,$F$245:$F$595,0,$E$245:$E$595,$G290)*$C$157 ,0)</f>
        <v/>
      </c>
      <c r="AA290" s="95">
        <f>IF(AND(SUMIFS($D$245:$D$595,$F$245:$F$595,0,$E$245:$E$595,$G290,$C$245:$C$595,"&lt;="&amp;Y$5)&lt;1000000,SUMIFS($D$245:$D$595,$F$245:$F$595,0,$E$245:$E$595,$G290,$C$245:$C$595,"&lt;="&amp;AA5)&gt;=1000000),SUMIFS($D$245:$D$595,$F$245:$F$595,0,$E$245:$E$595,$G290)*$C$157 ,0)</f>
        <v/>
      </c>
      <c r="AC290" s="95">
        <f>IF(AND(SUMIFS($D$245:$D$595,$F$245:$F$595,0,$E$245:$E$595,$G290,$C$245:$C$595,"&lt;="&amp;AA$5)&lt;1000000,SUMIFS($D$245:$D$595,$F$245:$F$595,0,$E$245:$E$595,$G290,$C$245:$C$595,"&lt;="&amp;AC5)&gt;=1000000),SUMIFS($D$245:$D$595,$F$245:$F$595,0,$E$245:$E$595,$G290)*$C$157 ,0)</f>
        <v/>
      </c>
      <c r="AE290" s="95">
        <f>IF(AND(SUMIFS($D$245:$D$595,$F$245:$F$595,0,$E$245:$E$595,$G290,$C$245:$C$595,"&lt;="&amp;AC$5)&lt;1000000,SUMIFS($D$245:$D$595,$F$245:$F$595,0,$E$245:$E$595,$G290,$C$245:$C$595,"&lt;="&amp;AE5)&gt;=1000000),SUMIFS($D$245:$D$595,$F$245:$F$595,0,$E$245:$E$595,$G290)*$C$157 ,0)</f>
        <v/>
      </c>
      <c r="AF290" s="19" t="n"/>
    </row>
    <row r="291">
      <c r="A291" s="20">
        <f>mid(E291, 3, 1)</f>
        <v/>
      </c>
      <c r="B291" s="14" t="inlineStr"/>
      <c r="C291" s="21">
        <f>SUMIFS('Investor Exit List'!$AC:$AC,'Investor Exit List'!$AB:$AB,B291)</f>
        <v/>
      </c>
      <c r="D291" s="14">
        <f>SUMIFS('Investor Exit List'!$Q:$Q,'Investor Exit List'!$AB:$AB,B291)</f>
        <v/>
      </c>
      <c r="E291" s="31">
        <f>LEFT(B291,6)</f>
        <v/>
      </c>
      <c r="F291" s="14">
        <f>IF(SUMIFS($E$119:$E$151,$D$119:$D$151,E291)&lt;&gt;0,E291,0)</f>
        <v/>
      </c>
      <c r="G291" s="59" t="n"/>
      <c r="I291" s="28">
        <f>IF(AND(SUMIFS($D$245:$D$595,$F$245:$F$595,0,$E$245:$E$595,$G291,$C$245:$C$595,"&lt;="&amp;B$2)&lt;1000000,SUMIFS($D$245:$D$595,$F$245:$F$595,0,$E$245:$E$595,$G291,$C$245:$C$595,"&lt;="&amp;I5)&gt;=1000000),SUMIFS($D$245:$D$595,$F$245:$F$595,0,$E$245:$E$595,$G291)*$C$157 ,0)</f>
        <v/>
      </c>
      <c r="K291" s="95">
        <f>IF(AND(SUMIFS($D$245:$D$595,$F$245:$F$595,0,$E$245:$E$595,$G291,$C$245:$C$595,"&lt;="&amp;I$5)&lt;1000000,SUMIFS($D$245:$D$595,$F$245:$F$595,0,$E$245:$E$595,$G291,$C$245:$C$595,"&lt;="&amp;K5)&gt;=1000000),SUMIFS($D$245:$D$595,$F$245:$F$595,0,$E$245:$E$595,$G291)*$C$157 ,0)</f>
        <v/>
      </c>
      <c r="M291" s="95">
        <f>IF(AND(SUMIFS($D$245:$D$595,$F$245:$F$595,0,$E$245:$E$595,$G291,$C$245:$C$595,"&lt;="&amp;K$5)&lt;1000000,SUMIFS($D$245:$D$595,$F$245:$F$595,0,$E$245:$E$595,$G291,$C$245:$C$595,"&lt;="&amp;M5)&gt;=1000000),SUMIFS($D$245:$D$595,$F$245:$F$595,0,$E$245:$E$595,$G291)*$C$157 ,0)</f>
        <v/>
      </c>
      <c r="O291" s="95">
        <f>IF(AND(SUMIFS($D$245:$D$595,$F$245:$F$595,0,$E$245:$E$595,$G291,$C$245:$C$595,"&lt;="&amp;M$5)&lt;1000000,SUMIFS($D$245:$D$595,$F$245:$F$595,0,$E$245:$E$595,$G291,$C$245:$C$595,"&lt;="&amp;O5)&gt;=1000000),SUMIFS($D$245:$D$595,$F$245:$F$595,0,$E$245:$E$595,$G291)*$C$157 ,0)</f>
        <v/>
      </c>
      <c r="Q291" s="95">
        <f>IF(AND(SUMIFS($D$245:$D$595,$F$245:$F$595,0,$E$245:$E$595,$G291,$C$245:$C$595,"&lt;="&amp;O$5)&lt;1000000,SUMIFS($D$245:$D$595,$F$245:$F$595,0,$E$245:$E$595,$G291,$C$245:$C$595,"&lt;="&amp;Q5)&gt;=1000000),SUMIFS($D$245:$D$595,$F$245:$F$595,0,$E$245:$E$595,$G291)*$C$157 ,0)</f>
        <v/>
      </c>
      <c r="S291" s="95">
        <f>IF(AND(SUMIFS($D$245:$D$595,$F$245:$F$595,0,$E$245:$E$595,$G291,$C$245:$C$595,"&lt;="&amp;Q$5)&lt;1000000,SUMIFS($D$245:$D$595,$F$245:$F$595,0,$E$245:$E$595,$G291,$C$245:$C$595,"&lt;="&amp;S5)&gt;=1000000),SUMIFS($D$245:$D$595,$F$245:$F$595,0,$E$245:$E$595,$G291)*$C$157 ,0)</f>
        <v/>
      </c>
      <c r="U291" s="95">
        <f>IF(AND(SUMIFS($D$245:$D$595,$F$245:$F$595,0,$E$245:$E$595,$G291,$C$245:$C$595,"&lt;="&amp;S$5)&lt;1000000,SUMIFS($D$245:$D$595,$F$245:$F$595,0,$E$245:$E$595,$G291,$C$245:$C$595,"&lt;="&amp;U5)&gt;=1000000),SUMIFS($D$245:$D$595,$F$245:$F$595,0,$E$245:$E$595,$G291)*$C$157 ,0)</f>
        <v/>
      </c>
      <c r="W291" s="95">
        <f>IF(AND(SUMIFS($D$245:$D$595,$F$245:$F$595,0,$E$245:$E$595,$G291,$C$245:$C$595,"&lt;="&amp;U$5)&lt;1000000,SUMIFS($D$245:$D$595,$F$245:$F$595,0,$E$245:$E$595,$G291,$C$245:$C$595,"&lt;="&amp;W5)&gt;=1000000),SUMIFS($D$245:$D$595,$F$245:$F$595,0,$E$245:$E$595,$G291)*$C$157 ,0)</f>
        <v/>
      </c>
      <c r="Y291" s="95">
        <f>IF(AND(SUMIFS($D$245:$D$595,$F$245:$F$595,0,$E$245:$E$595,$G291,$C$245:$C$595,"&lt;="&amp;W$5)&lt;1000000,SUMIFS($D$245:$D$595,$F$245:$F$595,0,$E$245:$E$595,$G291,$C$245:$C$595,"&lt;="&amp;Y5)&gt;=1000000),SUMIFS($D$245:$D$595,$F$245:$F$595,0,$E$245:$E$595,$G291)*$C$157 ,0)</f>
        <v/>
      </c>
      <c r="AA291" s="95">
        <f>IF(AND(SUMIFS($D$245:$D$595,$F$245:$F$595,0,$E$245:$E$595,$G291,$C$245:$C$595,"&lt;="&amp;Y$5)&lt;1000000,SUMIFS($D$245:$D$595,$F$245:$F$595,0,$E$245:$E$595,$G291,$C$245:$C$595,"&lt;="&amp;AA5)&gt;=1000000),SUMIFS($D$245:$D$595,$F$245:$F$595,0,$E$245:$E$595,$G291)*$C$157 ,0)</f>
        <v/>
      </c>
      <c r="AC291" s="95">
        <f>IF(AND(SUMIFS($D$245:$D$595,$F$245:$F$595,0,$E$245:$E$595,$G291,$C$245:$C$595,"&lt;="&amp;AA$5)&lt;1000000,SUMIFS($D$245:$D$595,$F$245:$F$595,0,$E$245:$E$595,$G291,$C$245:$C$595,"&lt;="&amp;AC5)&gt;=1000000),SUMIFS($D$245:$D$595,$F$245:$F$595,0,$E$245:$E$595,$G291)*$C$157 ,0)</f>
        <v/>
      </c>
      <c r="AE291" s="95">
        <f>IF(AND(SUMIFS($D$245:$D$595,$F$245:$F$595,0,$E$245:$E$595,$G291,$C$245:$C$595,"&lt;="&amp;AC$5)&lt;1000000,SUMIFS($D$245:$D$595,$F$245:$F$595,0,$E$245:$E$595,$G291,$C$245:$C$595,"&lt;="&amp;AE5)&gt;=1000000),SUMIFS($D$245:$D$595,$F$245:$F$595,0,$E$245:$E$595,$G291)*$C$157 ,0)</f>
        <v/>
      </c>
      <c r="AF291" s="19" t="n"/>
    </row>
    <row r="292">
      <c r="A292" s="20">
        <f>mid(E292, 3, 1)</f>
        <v/>
      </c>
      <c r="B292" s="14" t="inlineStr"/>
      <c r="C292" s="21">
        <f>SUMIFS('Investor Exit List'!$AC:$AC,'Investor Exit List'!$AB:$AB,B292)</f>
        <v/>
      </c>
      <c r="D292" s="14">
        <f>SUMIFS('Investor Exit List'!$Q:$Q,'Investor Exit List'!$AB:$AB,B292)</f>
        <v/>
      </c>
      <c r="E292" s="31">
        <f>LEFT(B292,6)</f>
        <v/>
      </c>
      <c r="F292" s="14">
        <f>IF(SUMIFS($E$119:$E$151,$D$119:$D$151,E292)&lt;&gt;0,E292,0)</f>
        <v/>
      </c>
      <c r="G292" s="59" t="n"/>
      <c r="I292" s="28">
        <f>IF(AND(SUMIFS($D$245:$D$595,$F$245:$F$595,0,$E$245:$E$595,$G292,$C$245:$C$595,"&lt;="&amp;B$2)&lt;1000000,SUMIFS($D$245:$D$595,$F$245:$F$595,0,$E$245:$E$595,$G292,$C$245:$C$595,"&lt;="&amp;I5)&gt;=1000000),SUMIFS($D$245:$D$595,$F$245:$F$595,0,$E$245:$E$595,$G292)*$C$157 ,0)</f>
        <v/>
      </c>
      <c r="K292" s="95">
        <f>IF(AND(SUMIFS($D$245:$D$595,$F$245:$F$595,0,$E$245:$E$595,$G292,$C$245:$C$595,"&lt;="&amp;I$5)&lt;1000000,SUMIFS($D$245:$D$595,$F$245:$F$595,0,$E$245:$E$595,$G292,$C$245:$C$595,"&lt;="&amp;K5)&gt;=1000000),SUMIFS($D$245:$D$595,$F$245:$F$595,0,$E$245:$E$595,$G292)*$C$157 ,0)</f>
        <v/>
      </c>
      <c r="M292" s="95">
        <f>IF(AND(SUMIFS($D$245:$D$595,$F$245:$F$595,0,$E$245:$E$595,$G292,$C$245:$C$595,"&lt;="&amp;K$5)&lt;1000000,SUMIFS($D$245:$D$595,$F$245:$F$595,0,$E$245:$E$595,$G292,$C$245:$C$595,"&lt;="&amp;M5)&gt;=1000000),SUMIFS($D$245:$D$595,$F$245:$F$595,0,$E$245:$E$595,$G292)*$C$157 ,0)</f>
        <v/>
      </c>
      <c r="O292" s="95">
        <f>IF(AND(SUMIFS($D$245:$D$595,$F$245:$F$595,0,$E$245:$E$595,$G292,$C$245:$C$595,"&lt;="&amp;M$5)&lt;1000000,SUMIFS($D$245:$D$595,$F$245:$F$595,0,$E$245:$E$595,$G292,$C$245:$C$595,"&lt;="&amp;O5)&gt;=1000000),SUMIFS($D$245:$D$595,$F$245:$F$595,0,$E$245:$E$595,$G292)*$C$157 ,0)</f>
        <v/>
      </c>
      <c r="Q292" s="95">
        <f>IF(AND(SUMIFS($D$245:$D$595,$F$245:$F$595,0,$E$245:$E$595,$G292,$C$245:$C$595,"&lt;="&amp;O$5)&lt;1000000,SUMIFS($D$245:$D$595,$F$245:$F$595,0,$E$245:$E$595,$G292,$C$245:$C$595,"&lt;="&amp;Q5)&gt;=1000000),SUMIFS($D$245:$D$595,$F$245:$F$595,0,$E$245:$E$595,$G292)*$C$157 ,0)</f>
        <v/>
      </c>
      <c r="S292" s="95">
        <f>IF(AND(SUMIFS($D$245:$D$595,$F$245:$F$595,0,$E$245:$E$595,$G292,$C$245:$C$595,"&lt;="&amp;Q$5)&lt;1000000,SUMIFS($D$245:$D$595,$F$245:$F$595,0,$E$245:$E$595,$G292,$C$245:$C$595,"&lt;="&amp;S5)&gt;=1000000),SUMIFS($D$245:$D$595,$F$245:$F$595,0,$E$245:$E$595,$G292)*$C$157 ,0)</f>
        <v/>
      </c>
      <c r="U292" s="95">
        <f>IF(AND(SUMIFS($D$245:$D$595,$F$245:$F$595,0,$E$245:$E$595,$G292,$C$245:$C$595,"&lt;="&amp;S$5)&lt;1000000,SUMIFS($D$245:$D$595,$F$245:$F$595,0,$E$245:$E$595,$G292,$C$245:$C$595,"&lt;="&amp;U5)&gt;=1000000),SUMIFS($D$245:$D$595,$F$245:$F$595,0,$E$245:$E$595,$G292)*$C$157 ,0)</f>
        <v/>
      </c>
      <c r="W292" s="95">
        <f>IF(AND(SUMIFS($D$245:$D$595,$F$245:$F$595,0,$E$245:$E$595,$G292,$C$245:$C$595,"&lt;="&amp;U$5)&lt;1000000,SUMIFS($D$245:$D$595,$F$245:$F$595,0,$E$245:$E$595,$G292,$C$245:$C$595,"&lt;="&amp;W5)&gt;=1000000),SUMIFS($D$245:$D$595,$F$245:$F$595,0,$E$245:$E$595,$G292)*$C$157 ,0)</f>
        <v/>
      </c>
      <c r="Y292" s="95">
        <f>IF(AND(SUMIFS($D$245:$D$595,$F$245:$F$595,0,$E$245:$E$595,$G292,$C$245:$C$595,"&lt;="&amp;W$5)&lt;1000000,SUMIFS($D$245:$D$595,$F$245:$F$595,0,$E$245:$E$595,$G292,$C$245:$C$595,"&lt;="&amp;Y5)&gt;=1000000),SUMIFS($D$245:$D$595,$F$245:$F$595,0,$E$245:$E$595,$G292)*$C$157 ,0)</f>
        <v/>
      </c>
      <c r="AA292" s="95">
        <f>IF(AND(SUMIFS($D$245:$D$595,$F$245:$F$595,0,$E$245:$E$595,$G292,$C$245:$C$595,"&lt;="&amp;Y$5)&lt;1000000,SUMIFS($D$245:$D$595,$F$245:$F$595,0,$E$245:$E$595,$G292,$C$245:$C$595,"&lt;="&amp;AA5)&gt;=1000000),SUMIFS($D$245:$D$595,$F$245:$F$595,0,$E$245:$E$595,$G292)*$C$157 ,0)</f>
        <v/>
      </c>
      <c r="AC292" s="95">
        <f>IF(AND(SUMIFS($D$245:$D$595,$F$245:$F$595,0,$E$245:$E$595,$G292,$C$245:$C$595,"&lt;="&amp;AA$5)&lt;1000000,SUMIFS($D$245:$D$595,$F$245:$F$595,0,$E$245:$E$595,$G292,$C$245:$C$595,"&lt;="&amp;AC5)&gt;=1000000),SUMIFS($D$245:$D$595,$F$245:$F$595,0,$E$245:$E$595,$G292)*$C$157 ,0)</f>
        <v/>
      </c>
      <c r="AE292" s="95">
        <f>IF(AND(SUMIFS($D$245:$D$595,$F$245:$F$595,0,$E$245:$E$595,$G292,$C$245:$C$595,"&lt;="&amp;AC$5)&lt;1000000,SUMIFS($D$245:$D$595,$F$245:$F$595,0,$E$245:$E$595,$G292,$C$245:$C$595,"&lt;="&amp;AE5)&gt;=1000000),SUMIFS($D$245:$D$595,$F$245:$F$595,0,$E$245:$E$595,$G292)*$C$157 ,0)</f>
        <v/>
      </c>
      <c r="AF292" s="19" t="n"/>
    </row>
    <row r="293">
      <c r="A293" s="20">
        <f>mid(E293, 3, 1)</f>
        <v/>
      </c>
      <c r="B293" s="14" t="inlineStr"/>
      <c r="C293" s="21">
        <f>SUMIFS('Investor Exit List'!$AC:$AC,'Investor Exit List'!$AB:$AB,B293)</f>
        <v/>
      </c>
      <c r="D293" s="14">
        <f>SUMIFS('Investor Exit List'!$Q:$Q,'Investor Exit List'!$AB:$AB,B293)</f>
        <v/>
      </c>
      <c r="E293" s="31">
        <f>LEFT(B293,6)</f>
        <v/>
      </c>
      <c r="F293" s="14">
        <f>IF(SUMIFS($E$119:$E$151,$D$119:$D$151,E293)&lt;&gt;0,E293,0)</f>
        <v/>
      </c>
      <c r="G293" s="59" t="n"/>
      <c r="I293" s="28">
        <f>IF(AND(SUMIFS($D$245:$D$595,$F$245:$F$595,0,$E$245:$E$595,$G293,$C$245:$C$595,"&lt;="&amp;B$2)&lt;1000000,SUMIFS($D$245:$D$595,$F$245:$F$595,0,$E$245:$E$595,$G293,$C$245:$C$595,"&lt;="&amp;I5)&gt;=1000000),SUMIFS($D$245:$D$595,$F$245:$F$595,0,$E$245:$E$595,$G293)*$C$157 ,0)</f>
        <v/>
      </c>
      <c r="K293" s="95">
        <f>IF(AND(SUMIFS($D$245:$D$595,$F$245:$F$595,0,$E$245:$E$595,$G293,$C$245:$C$595,"&lt;="&amp;I$5)&lt;1000000,SUMIFS($D$245:$D$595,$F$245:$F$595,0,$E$245:$E$595,$G293,$C$245:$C$595,"&lt;="&amp;K5)&gt;=1000000),SUMIFS($D$245:$D$595,$F$245:$F$595,0,$E$245:$E$595,$G293)*$C$157 ,0)</f>
        <v/>
      </c>
      <c r="M293" s="95">
        <f>IF(AND(SUMIFS($D$245:$D$595,$F$245:$F$595,0,$E$245:$E$595,$G293,$C$245:$C$595,"&lt;="&amp;K$5)&lt;1000000,SUMIFS($D$245:$D$595,$F$245:$F$595,0,$E$245:$E$595,$G293,$C$245:$C$595,"&lt;="&amp;M5)&gt;=1000000),SUMIFS($D$245:$D$595,$F$245:$F$595,0,$E$245:$E$595,$G293)*$C$157 ,0)</f>
        <v/>
      </c>
      <c r="O293" s="95">
        <f>IF(AND(SUMIFS($D$245:$D$595,$F$245:$F$595,0,$E$245:$E$595,$G293,$C$245:$C$595,"&lt;="&amp;M$5)&lt;1000000,SUMIFS($D$245:$D$595,$F$245:$F$595,0,$E$245:$E$595,$G293,$C$245:$C$595,"&lt;="&amp;O5)&gt;=1000000),SUMIFS($D$245:$D$595,$F$245:$F$595,0,$E$245:$E$595,$G293)*$C$157 ,0)</f>
        <v/>
      </c>
      <c r="Q293" s="95">
        <f>IF(AND(SUMIFS($D$245:$D$595,$F$245:$F$595,0,$E$245:$E$595,$G293,$C$245:$C$595,"&lt;="&amp;O$5)&lt;1000000,SUMIFS($D$245:$D$595,$F$245:$F$595,0,$E$245:$E$595,$G293,$C$245:$C$595,"&lt;="&amp;Q5)&gt;=1000000),SUMIFS($D$245:$D$595,$F$245:$F$595,0,$E$245:$E$595,$G293)*$C$157 ,0)</f>
        <v/>
      </c>
      <c r="S293" s="95">
        <f>IF(AND(SUMIFS($D$245:$D$595,$F$245:$F$595,0,$E$245:$E$595,$G293,$C$245:$C$595,"&lt;="&amp;Q$5)&lt;1000000,SUMIFS($D$245:$D$595,$F$245:$F$595,0,$E$245:$E$595,$G293,$C$245:$C$595,"&lt;="&amp;S5)&gt;=1000000),SUMIFS($D$245:$D$595,$F$245:$F$595,0,$E$245:$E$595,$G293)*$C$157 ,0)</f>
        <v/>
      </c>
      <c r="U293" s="95">
        <f>IF(AND(SUMIFS($D$245:$D$595,$F$245:$F$595,0,$E$245:$E$595,$G293,$C$245:$C$595,"&lt;="&amp;S$5)&lt;1000000,SUMIFS($D$245:$D$595,$F$245:$F$595,0,$E$245:$E$595,$G293,$C$245:$C$595,"&lt;="&amp;U5)&gt;=1000000),SUMIFS($D$245:$D$595,$F$245:$F$595,0,$E$245:$E$595,$G293)*$C$157 ,0)</f>
        <v/>
      </c>
      <c r="W293" s="95">
        <f>IF(AND(SUMIFS($D$245:$D$595,$F$245:$F$595,0,$E$245:$E$595,$G293,$C$245:$C$595,"&lt;="&amp;U$5)&lt;1000000,SUMIFS($D$245:$D$595,$F$245:$F$595,0,$E$245:$E$595,$G293,$C$245:$C$595,"&lt;="&amp;W5)&gt;=1000000),SUMIFS($D$245:$D$595,$F$245:$F$595,0,$E$245:$E$595,$G293)*$C$157 ,0)</f>
        <v/>
      </c>
      <c r="Y293" s="95">
        <f>IF(AND(SUMIFS($D$245:$D$595,$F$245:$F$595,0,$E$245:$E$595,$G293,$C$245:$C$595,"&lt;="&amp;W$5)&lt;1000000,SUMIFS($D$245:$D$595,$F$245:$F$595,0,$E$245:$E$595,$G293,$C$245:$C$595,"&lt;="&amp;Y5)&gt;=1000000),SUMIFS($D$245:$D$595,$F$245:$F$595,0,$E$245:$E$595,$G293)*$C$157 ,0)</f>
        <v/>
      </c>
      <c r="AA293" s="95">
        <f>IF(AND(SUMIFS($D$245:$D$595,$F$245:$F$595,0,$E$245:$E$595,$G293,$C$245:$C$595,"&lt;="&amp;Y$5)&lt;1000000,SUMIFS($D$245:$D$595,$F$245:$F$595,0,$E$245:$E$595,$G293,$C$245:$C$595,"&lt;="&amp;AA5)&gt;=1000000),SUMIFS($D$245:$D$595,$F$245:$F$595,0,$E$245:$E$595,$G293)*$C$157 ,0)</f>
        <v/>
      </c>
      <c r="AC293" s="95">
        <f>IF(AND(SUMIFS($D$245:$D$595,$F$245:$F$595,0,$E$245:$E$595,$G293,$C$245:$C$595,"&lt;="&amp;AA$5)&lt;1000000,SUMIFS($D$245:$D$595,$F$245:$F$595,0,$E$245:$E$595,$G293,$C$245:$C$595,"&lt;="&amp;AC5)&gt;=1000000),SUMIFS($D$245:$D$595,$F$245:$F$595,0,$E$245:$E$595,$G293)*$C$157 ,0)</f>
        <v/>
      </c>
      <c r="AE293" s="95">
        <f>IF(AND(SUMIFS($D$245:$D$595,$F$245:$F$595,0,$E$245:$E$595,$G293,$C$245:$C$595,"&lt;="&amp;AC$5)&lt;1000000,SUMIFS($D$245:$D$595,$F$245:$F$595,0,$E$245:$E$595,$G293,$C$245:$C$595,"&lt;="&amp;AE5)&gt;=1000000),SUMIFS($D$245:$D$595,$F$245:$F$595,0,$E$245:$E$595,$G293)*$C$157 ,0)</f>
        <v/>
      </c>
      <c r="AF293" s="19" t="n"/>
    </row>
    <row r="294">
      <c r="A294" s="20">
        <f>mid(E294, 3, 1)</f>
        <v/>
      </c>
      <c r="B294" s="14" t="inlineStr"/>
      <c r="C294" s="21">
        <f>SUMIFS('Investor Exit List'!$AC:$AC,'Investor Exit List'!$AB:$AB,B294)</f>
        <v/>
      </c>
      <c r="D294" s="14">
        <f>SUMIFS('Investor Exit List'!$Q:$Q,'Investor Exit List'!$AB:$AB,B294)</f>
        <v/>
      </c>
      <c r="E294" s="31">
        <f>LEFT(B294,6)</f>
        <v/>
      </c>
      <c r="F294" s="14">
        <f>IF(SUMIFS($E$119:$E$151,$D$119:$D$151,E294)&lt;&gt;0,E294,0)</f>
        <v/>
      </c>
      <c r="G294" s="59" t="n"/>
      <c r="I294" s="28">
        <f>IF(AND(SUMIFS($D$245:$D$595,$F$245:$F$595,0,$E$245:$E$595,$G294,$C$245:$C$595,"&lt;="&amp;B$2)&lt;1000000,SUMIFS($D$245:$D$595,$F$245:$F$595,0,$E$245:$E$595,$G294,$C$245:$C$595,"&lt;="&amp;I5)&gt;=1000000),SUMIFS($D$245:$D$595,$F$245:$F$595,0,$E$245:$E$595,$G294)*$C$157 ,0)</f>
        <v/>
      </c>
      <c r="K294" s="95">
        <f>IF(AND(SUMIFS($D$245:$D$595,$F$245:$F$595,0,$E$245:$E$595,$G294,$C$245:$C$595,"&lt;="&amp;I$5)&lt;1000000,SUMIFS($D$245:$D$595,$F$245:$F$595,0,$E$245:$E$595,$G294,$C$245:$C$595,"&lt;="&amp;K5)&gt;=1000000),SUMIFS($D$245:$D$595,$F$245:$F$595,0,$E$245:$E$595,$G294)*$C$157 ,0)</f>
        <v/>
      </c>
      <c r="M294" s="95">
        <f>IF(AND(SUMIFS($D$245:$D$595,$F$245:$F$595,0,$E$245:$E$595,$G294,$C$245:$C$595,"&lt;="&amp;K$5)&lt;1000000,SUMIFS($D$245:$D$595,$F$245:$F$595,0,$E$245:$E$595,$G294,$C$245:$C$595,"&lt;="&amp;M5)&gt;=1000000),SUMIFS($D$245:$D$595,$F$245:$F$595,0,$E$245:$E$595,$G294)*$C$157 ,0)</f>
        <v/>
      </c>
      <c r="O294" s="95">
        <f>IF(AND(SUMIFS($D$245:$D$595,$F$245:$F$595,0,$E$245:$E$595,$G294,$C$245:$C$595,"&lt;="&amp;M$5)&lt;1000000,SUMIFS($D$245:$D$595,$F$245:$F$595,0,$E$245:$E$595,$G294,$C$245:$C$595,"&lt;="&amp;O5)&gt;=1000000),SUMIFS($D$245:$D$595,$F$245:$F$595,0,$E$245:$E$595,$G294)*$C$157 ,0)</f>
        <v/>
      </c>
      <c r="Q294" s="95">
        <f>IF(AND(SUMIFS($D$245:$D$595,$F$245:$F$595,0,$E$245:$E$595,$G294,$C$245:$C$595,"&lt;="&amp;O$5)&lt;1000000,SUMIFS($D$245:$D$595,$F$245:$F$595,0,$E$245:$E$595,$G294,$C$245:$C$595,"&lt;="&amp;Q5)&gt;=1000000),SUMIFS($D$245:$D$595,$F$245:$F$595,0,$E$245:$E$595,$G294)*$C$157 ,0)</f>
        <v/>
      </c>
      <c r="S294" s="95">
        <f>IF(AND(SUMIFS($D$245:$D$595,$F$245:$F$595,0,$E$245:$E$595,$G294,$C$245:$C$595,"&lt;="&amp;Q$5)&lt;1000000,SUMIFS($D$245:$D$595,$F$245:$F$595,0,$E$245:$E$595,$G294,$C$245:$C$595,"&lt;="&amp;S5)&gt;=1000000),SUMIFS($D$245:$D$595,$F$245:$F$595,0,$E$245:$E$595,$G294)*$C$157 ,0)</f>
        <v/>
      </c>
      <c r="U294" s="95">
        <f>IF(AND(SUMIFS($D$245:$D$595,$F$245:$F$595,0,$E$245:$E$595,$G294,$C$245:$C$595,"&lt;="&amp;S$5)&lt;1000000,SUMIFS($D$245:$D$595,$F$245:$F$595,0,$E$245:$E$595,$G294,$C$245:$C$595,"&lt;="&amp;U5)&gt;=1000000),SUMIFS($D$245:$D$595,$F$245:$F$595,0,$E$245:$E$595,$G294)*$C$157 ,0)</f>
        <v/>
      </c>
      <c r="W294" s="95">
        <f>IF(AND(SUMIFS($D$245:$D$595,$F$245:$F$595,0,$E$245:$E$595,$G294,$C$245:$C$595,"&lt;="&amp;U$5)&lt;1000000,SUMIFS($D$245:$D$595,$F$245:$F$595,0,$E$245:$E$595,$G294,$C$245:$C$595,"&lt;="&amp;W5)&gt;=1000000),SUMIFS($D$245:$D$595,$F$245:$F$595,0,$E$245:$E$595,$G294)*$C$157 ,0)</f>
        <v/>
      </c>
      <c r="Y294" s="95">
        <f>IF(AND(SUMIFS($D$245:$D$595,$F$245:$F$595,0,$E$245:$E$595,$G294,$C$245:$C$595,"&lt;="&amp;W$5)&lt;1000000,SUMIFS($D$245:$D$595,$F$245:$F$595,0,$E$245:$E$595,$G294,$C$245:$C$595,"&lt;="&amp;Y5)&gt;=1000000),SUMIFS($D$245:$D$595,$F$245:$F$595,0,$E$245:$E$595,$G294)*$C$157 ,0)</f>
        <v/>
      </c>
      <c r="AA294" s="95">
        <f>IF(AND(SUMIFS($D$245:$D$595,$F$245:$F$595,0,$E$245:$E$595,$G294,$C$245:$C$595,"&lt;="&amp;Y$5)&lt;1000000,SUMIFS($D$245:$D$595,$F$245:$F$595,0,$E$245:$E$595,$G294,$C$245:$C$595,"&lt;="&amp;AA5)&gt;=1000000),SUMIFS($D$245:$D$595,$F$245:$F$595,0,$E$245:$E$595,$G294)*$C$157 ,0)</f>
        <v/>
      </c>
      <c r="AC294" s="95">
        <f>IF(AND(SUMIFS($D$245:$D$595,$F$245:$F$595,0,$E$245:$E$595,$G294,$C$245:$C$595,"&lt;="&amp;AA$5)&lt;1000000,SUMIFS($D$245:$D$595,$F$245:$F$595,0,$E$245:$E$595,$G294,$C$245:$C$595,"&lt;="&amp;AC5)&gt;=1000000),SUMIFS($D$245:$D$595,$F$245:$F$595,0,$E$245:$E$595,$G294)*$C$157 ,0)</f>
        <v/>
      </c>
      <c r="AE294" s="95">
        <f>IF(AND(SUMIFS($D$245:$D$595,$F$245:$F$595,0,$E$245:$E$595,$G294,$C$245:$C$595,"&lt;="&amp;AC$5)&lt;1000000,SUMIFS($D$245:$D$595,$F$245:$F$595,0,$E$245:$E$595,$G294,$C$245:$C$595,"&lt;="&amp;AE5)&gt;=1000000),SUMIFS($D$245:$D$595,$F$245:$F$595,0,$E$245:$E$595,$G294)*$C$157 ,0)</f>
        <v/>
      </c>
      <c r="AF294" s="19" t="n"/>
    </row>
    <row r="295">
      <c r="A295" s="20">
        <f>mid(E295, 3, 1)</f>
        <v/>
      </c>
      <c r="B295" s="14" t="inlineStr"/>
      <c r="C295" s="21">
        <f>SUMIFS('Investor Exit List'!$AC:$AC,'Investor Exit List'!$AB:$AB,B295)</f>
        <v/>
      </c>
      <c r="D295" s="14">
        <f>SUMIFS('Investor Exit List'!$Q:$Q,'Investor Exit List'!$AB:$AB,B295)</f>
        <v/>
      </c>
      <c r="E295" s="31">
        <f>LEFT(B295,6)</f>
        <v/>
      </c>
      <c r="F295" s="14">
        <f>IF(SUMIFS($E$119:$E$151,$D$119:$D$151,E295)&lt;&gt;0,E295,0)</f>
        <v/>
      </c>
      <c r="G295" s="59" t="n"/>
      <c r="I295" s="28">
        <f>IF(AND(SUMIFS($D$245:$D$595,$F$245:$F$595,0,$E$245:$E$595,$G295,$C$245:$C$595,"&lt;="&amp;B$2)&lt;1000000,SUMIFS($D$245:$D$595,$F$245:$F$595,0,$E$245:$E$595,$G295,$C$245:$C$595,"&lt;="&amp;I5)&gt;=1000000),SUMIFS($D$245:$D$595,$F$245:$F$595,0,$E$245:$E$595,$G295)*$C$157 ,0)</f>
        <v/>
      </c>
      <c r="K295" s="95">
        <f>IF(AND(SUMIFS($D$245:$D$595,$F$245:$F$595,0,$E$245:$E$595,$G295,$C$245:$C$595,"&lt;="&amp;I$5)&lt;1000000,SUMIFS($D$245:$D$595,$F$245:$F$595,0,$E$245:$E$595,$G295,$C$245:$C$595,"&lt;="&amp;K5)&gt;=1000000),SUMIFS($D$245:$D$595,$F$245:$F$595,0,$E$245:$E$595,$G295)*$C$157 ,0)</f>
        <v/>
      </c>
      <c r="M295" s="95">
        <f>IF(AND(SUMIFS($D$245:$D$595,$F$245:$F$595,0,$E$245:$E$595,$G295,$C$245:$C$595,"&lt;="&amp;K$5)&lt;1000000,SUMIFS($D$245:$D$595,$F$245:$F$595,0,$E$245:$E$595,$G295,$C$245:$C$595,"&lt;="&amp;M5)&gt;=1000000),SUMIFS($D$245:$D$595,$F$245:$F$595,0,$E$245:$E$595,$G295)*$C$157 ,0)</f>
        <v/>
      </c>
      <c r="O295" s="95">
        <f>IF(AND(SUMIFS($D$245:$D$595,$F$245:$F$595,0,$E$245:$E$595,$G295,$C$245:$C$595,"&lt;="&amp;M$5)&lt;1000000,SUMIFS($D$245:$D$595,$F$245:$F$595,0,$E$245:$E$595,$G295,$C$245:$C$595,"&lt;="&amp;O5)&gt;=1000000),SUMIFS($D$245:$D$595,$F$245:$F$595,0,$E$245:$E$595,$G295)*$C$157 ,0)</f>
        <v/>
      </c>
      <c r="Q295" s="95">
        <f>IF(AND(SUMIFS($D$245:$D$595,$F$245:$F$595,0,$E$245:$E$595,$G295,$C$245:$C$595,"&lt;="&amp;O$5)&lt;1000000,SUMIFS($D$245:$D$595,$F$245:$F$595,0,$E$245:$E$595,$G295,$C$245:$C$595,"&lt;="&amp;Q5)&gt;=1000000),SUMIFS($D$245:$D$595,$F$245:$F$595,0,$E$245:$E$595,$G295)*$C$157 ,0)</f>
        <v/>
      </c>
      <c r="S295" s="95">
        <f>IF(AND(SUMIFS($D$245:$D$595,$F$245:$F$595,0,$E$245:$E$595,$G295,$C$245:$C$595,"&lt;="&amp;Q$5)&lt;1000000,SUMIFS($D$245:$D$595,$F$245:$F$595,0,$E$245:$E$595,$G295,$C$245:$C$595,"&lt;="&amp;S5)&gt;=1000000),SUMIFS($D$245:$D$595,$F$245:$F$595,0,$E$245:$E$595,$G295)*$C$157 ,0)</f>
        <v/>
      </c>
      <c r="U295" s="95">
        <f>IF(AND(SUMIFS($D$245:$D$595,$F$245:$F$595,0,$E$245:$E$595,$G295,$C$245:$C$595,"&lt;="&amp;S$5)&lt;1000000,SUMIFS($D$245:$D$595,$F$245:$F$595,0,$E$245:$E$595,$G295,$C$245:$C$595,"&lt;="&amp;U5)&gt;=1000000),SUMIFS($D$245:$D$595,$F$245:$F$595,0,$E$245:$E$595,$G295)*$C$157 ,0)</f>
        <v/>
      </c>
      <c r="W295" s="95">
        <f>IF(AND(SUMIFS($D$245:$D$595,$F$245:$F$595,0,$E$245:$E$595,$G295,$C$245:$C$595,"&lt;="&amp;U$5)&lt;1000000,SUMIFS($D$245:$D$595,$F$245:$F$595,0,$E$245:$E$595,$G295,$C$245:$C$595,"&lt;="&amp;W5)&gt;=1000000),SUMIFS($D$245:$D$595,$F$245:$F$595,0,$E$245:$E$595,$G295)*$C$157 ,0)</f>
        <v/>
      </c>
      <c r="Y295" s="95">
        <f>IF(AND(SUMIFS($D$245:$D$595,$F$245:$F$595,0,$E$245:$E$595,$G295,$C$245:$C$595,"&lt;="&amp;W$5)&lt;1000000,SUMIFS($D$245:$D$595,$F$245:$F$595,0,$E$245:$E$595,$G295,$C$245:$C$595,"&lt;="&amp;Y5)&gt;=1000000),SUMIFS($D$245:$D$595,$F$245:$F$595,0,$E$245:$E$595,$G295)*$C$157 ,0)</f>
        <v/>
      </c>
      <c r="AA295" s="95">
        <f>IF(AND(SUMIFS($D$245:$D$595,$F$245:$F$595,0,$E$245:$E$595,$G295,$C$245:$C$595,"&lt;="&amp;Y$5)&lt;1000000,SUMIFS($D$245:$D$595,$F$245:$F$595,0,$E$245:$E$595,$G295,$C$245:$C$595,"&lt;="&amp;AA5)&gt;=1000000),SUMIFS($D$245:$D$595,$F$245:$F$595,0,$E$245:$E$595,$G295)*$C$157 ,0)</f>
        <v/>
      </c>
      <c r="AC295" s="95">
        <f>IF(AND(SUMIFS($D$245:$D$595,$F$245:$F$595,0,$E$245:$E$595,$G295,$C$245:$C$595,"&lt;="&amp;AA$5)&lt;1000000,SUMIFS($D$245:$D$595,$F$245:$F$595,0,$E$245:$E$595,$G295,$C$245:$C$595,"&lt;="&amp;AC5)&gt;=1000000),SUMIFS($D$245:$D$595,$F$245:$F$595,0,$E$245:$E$595,$G295)*$C$157 ,0)</f>
        <v/>
      </c>
      <c r="AE295" s="95">
        <f>IF(AND(SUMIFS($D$245:$D$595,$F$245:$F$595,0,$E$245:$E$595,$G295,$C$245:$C$595,"&lt;="&amp;AC$5)&lt;1000000,SUMIFS($D$245:$D$595,$F$245:$F$595,0,$E$245:$E$595,$G295,$C$245:$C$595,"&lt;="&amp;AE5)&gt;=1000000),SUMIFS($D$245:$D$595,$F$245:$F$595,0,$E$245:$E$595,$G295)*$C$157 ,0)</f>
        <v/>
      </c>
      <c r="AF295" s="19" t="n"/>
    </row>
    <row r="296">
      <c r="A296" s="20">
        <f>mid(E296, 3, 1)</f>
        <v/>
      </c>
      <c r="B296" s="14" t="inlineStr"/>
      <c r="C296" s="21">
        <f>SUMIFS('Investor Exit List'!$AC:$AC,'Investor Exit List'!$AB:$AB,B296)</f>
        <v/>
      </c>
      <c r="D296" s="14">
        <f>SUMIFS('Investor Exit List'!$Q:$Q,'Investor Exit List'!$AB:$AB,B296)</f>
        <v/>
      </c>
      <c r="E296" s="31">
        <f>LEFT(B296,6)</f>
        <v/>
      </c>
      <c r="F296" s="14">
        <f>IF(SUMIFS($E$119:$E$151,$D$119:$D$151,E296)&lt;&gt;0,E296,0)</f>
        <v/>
      </c>
      <c r="G296" s="59" t="n"/>
      <c r="I296" s="28">
        <f>IF(AND(SUMIFS($D$245:$D$595,$F$245:$F$595,0,$E$245:$E$595,$G296,$C$245:$C$595,"&lt;="&amp;B$2)&lt;1000000,SUMIFS($D$245:$D$595,$F$245:$F$595,0,$E$245:$E$595,$G296,$C$245:$C$595,"&lt;="&amp;I5)&gt;=1000000),SUMIFS($D$245:$D$595,$F$245:$F$595,0,$E$245:$E$595,$G296)*$C$157 ,0)</f>
        <v/>
      </c>
      <c r="K296" s="95">
        <f>IF(AND(SUMIFS($D$245:$D$595,$F$245:$F$595,0,$E$245:$E$595,$G296,$C$245:$C$595,"&lt;="&amp;I$5)&lt;1000000,SUMIFS($D$245:$D$595,$F$245:$F$595,0,$E$245:$E$595,$G296,$C$245:$C$595,"&lt;="&amp;K5)&gt;=1000000),SUMIFS($D$245:$D$595,$F$245:$F$595,0,$E$245:$E$595,$G296)*$C$157 ,0)</f>
        <v/>
      </c>
      <c r="M296" s="95">
        <f>IF(AND(SUMIFS($D$245:$D$595,$F$245:$F$595,0,$E$245:$E$595,$G296,$C$245:$C$595,"&lt;="&amp;K$5)&lt;1000000,SUMIFS($D$245:$D$595,$F$245:$F$595,0,$E$245:$E$595,$G296,$C$245:$C$595,"&lt;="&amp;M5)&gt;=1000000),SUMIFS($D$245:$D$595,$F$245:$F$595,0,$E$245:$E$595,$G296)*$C$157 ,0)</f>
        <v/>
      </c>
      <c r="O296" s="95">
        <f>IF(AND(SUMIFS($D$245:$D$595,$F$245:$F$595,0,$E$245:$E$595,$G296,$C$245:$C$595,"&lt;="&amp;M$5)&lt;1000000,SUMIFS($D$245:$D$595,$F$245:$F$595,0,$E$245:$E$595,$G296,$C$245:$C$595,"&lt;="&amp;O5)&gt;=1000000),SUMIFS($D$245:$D$595,$F$245:$F$595,0,$E$245:$E$595,$G296)*$C$157 ,0)</f>
        <v/>
      </c>
      <c r="Q296" s="95">
        <f>IF(AND(SUMIFS($D$245:$D$595,$F$245:$F$595,0,$E$245:$E$595,$G296,$C$245:$C$595,"&lt;="&amp;O$5)&lt;1000000,SUMIFS($D$245:$D$595,$F$245:$F$595,0,$E$245:$E$595,$G296,$C$245:$C$595,"&lt;="&amp;Q5)&gt;=1000000),SUMIFS($D$245:$D$595,$F$245:$F$595,0,$E$245:$E$595,$G296)*$C$157 ,0)</f>
        <v/>
      </c>
      <c r="S296" s="95">
        <f>IF(AND(SUMIFS($D$245:$D$595,$F$245:$F$595,0,$E$245:$E$595,$G296,$C$245:$C$595,"&lt;="&amp;Q$5)&lt;1000000,SUMIFS($D$245:$D$595,$F$245:$F$595,0,$E$245:$E$595,$G296,$C$245:$C$595,"&lt;="&amp;S5)&gt;=1000000),SUMIFS($D$245:$D$595,$F$245:$F$595,0,$E$245:$E$595,$G296)*$C$157 ,0)</f>
        <v/>
      </c>
      <c r="U296" s="95">
        <f>IF(AND(SUMIFS($D$245:$D$595,$F$245:$F$595,0,$E$245:$E$595,$G296,$C$245:$C$595,"&lt;="&amp;S$5)&lt;1000000,SUMIFS($D$245:$D$595,$F$245:$F$595,0,$E$245:$E$595,$G296,$C$245:$C$595,"&lt;="&amp;U5)&gt;=1000000),SUMIFS($D$245:$D$595,$F$245:$F$595,0,$E$245:$E$595,$G296)*$C$157 ,0)</f>
        <v/>
      </c>
      <c r="W296" s="95">
        <f>IF(AND(SUMIFS($D$245:$D$595,$F$245:$F$595,0,$E$245:$E$595,$G296,$C$245:$C$595,"&lt;="&amp;U$5)&lt;1000000,SUMIFS($D$245:$D$595,$F$245:$F$595,0,$E$245:$E$595,$G296,$C$245:$C$595,"&lt;="&amp;W5)&gt;=1000000),SUMIFS($D$245:$D$595,$F$245:$F$595,0,$E$245:$E$595,$G296)*$C$157 ,0)</f>
        <v/>
      </c>
      <c r="Y296" s="95">
        <f>IF(AND(SUMIFS($D$245:$D$595,$F$245:$F$595,0,$E$245:$E$595,$G296,$C$245:$C$595,"&lt;="&amp;W$5)&lt;1000000,SUMIFS($D$245:$D$595,$F$245:$F$595,0,$E$245:$E$595,$G296,$C$245:$C$595,"&lt;="&amp;Y5)&gt;=1000000),SUMIFS($D$245:$D$595,$F$245:$F$595,0,$E$245:$E$595,$G296)*$C$157 ,0)</f>
        <v/>
      </c>
      <c r="AA296" s="95">
        <f>IF(AND(SUMIFS($D$245:$D$595,$F$245:$F$595,0,$E$245:$E$595,$G296,$C$245:$C$595,"&lt;="&amp;Y$5)&lt;1000000,SUMIFS($D$245:$D$595,$F$245:$F$595,0,$E$245:$E$595,$G296,$C$245:$C$595,"&lt;="&amp;AA5)&gt;=1000000),SUMIFS($D$245:$D$595,$F$245:$F$595,0,$E$245:$E$595,$G296)*$C$157 ,0)</f>
        <v/>
      </c>
      <c r="AC296" s="95">
        <f>IF(AND(SUMIFS($D$245:$D$595,$F$245:$F$595,0,$E$245:$E$595,$G296,$C$245:$C$595,"&lt;="&amp;AA$5)&lt;1000000,SUMIFS($D$245:$D$595,$F$245:$F$595,0,$E$245:$E$595,$G296,$C$245:$C$595,"&lt;="&amp;AC5)&gt;=1000000),SUMIFS($D$245:$D$595,$F$245:$F$595,0,$E$245:$E$595,$G296)*$C$157 ,0)</f>
        <v/>
      </c>
      <c r="AE296" s="95">
        <f>IF(AND(SUMIFS($D$245:$D$595,$F$245:$F$595,0,$E$245:$E$595,$G296,$C$245:$C$595,"&lt;="&amp;AC$5)&lt;1000000,SUMIFS($D$245:$D$595,$F$245:$F$595,0,$E$245:$E$595,$G296,$C$245:$C$595,"&lt;="&amp;AE5)&gt;=1000000),SUMIFS($D$245:$D$595,$F$245:$F$595,0,$E$245:$E$595,$G296)*$C$157 ,0)</f>
        <v/>
      </c>
      <c r="AF296" s="19" t="n"/>
    </row>
    <row r="297">
      <c r="A297" s="20">
        <f>mid(E297, 3, 1)</f>
        <v/>
      </c>
      <c r="B297" s="14" t="inlineStr"/>
      <c r="C297" s="21">
        <f>SUMIFS('Investor Exit List'!$AC:$AC,'Investor Exit List'!$AB:$AB,B297)</f>
        <v/>
      </c>
      <c r="D297" s="14">
        <f>SUMIFS('Investor Exit List'!$Q:$Q,'Investor Exit List'!$AB:$AB,B297)</f>
        <v/>
      </c>
      <c r="E297" s="31">
        <f>LEFT(B297,6)</f>
        <v/>
      </c>
      <c r="F297" s="14">
        <f>IF(SUMIFS($E$119:$E$151,$D$119:$D$151,E297)&lt;&gt;0,E297,0)</f>
        <v/>
      </c>
      <c r="G297" s="59" t="n"/>
      <c r="I297" s="28">
        <f>IF(AND(SUMIFS($D$245:$D$595,$F$245:$F$595,0,$E$245:$E$595,$G297,$C$245:$C$595,"&lt;="&amp;B$2)&lt;1000000,SUMIFS($D$245:$D$595,$F$245:$F$595,0,$E$245:$E$595,$G297,$C$245:$C$595,"&lt;="&amp;I5)&gt;=1000000),SUMIFS($D$245:$D$595,$F$245:$F$595,0,$E$245:$E$595,$G297)*$C$157 ,0)</f>
        <v/>
      </c>
      <c r="K297" s="95">
        <f>IF(AND(SUMIFS($D$245:$D$595,$F$245:$F$595,0,$E$245:$E$595,$G297,$C$245:$C$595,"&lt;="&amp;I$5)&lt;1000000,SUMIFS($D$245:$D$595,$F$245:$F$595,0,$E$245:$E$595,$G297,$C$245:$C$595,"&lt;="&amp;K5)&gt;=1000000),SUMIFS($D$245:$D$595,$F$245:$F$595,0,$E$245:$E$595,$G297)*$C$157 ,0)</f>
        <v/>
      </c>
      <c r="M297" s="95">
        <f>IF(AND(SUMIFS($D$245:$D$595,$F$245:$F$595,0,$E$245:$E$595,$G297,$C$245:$C$595,"&lt;="&amp;K$5)&lt;1000000,SUMIFS($D$245:$D$595,$F$245:$F$595,0,$E$245:$E$595,$G297,$C$245:$C$595,"&lt;="&amp;M5)&gt;=1000000),SUMIFS($D$245:$D$595,$F$245:$F$595,0,$E$245:$E$595,$G297)*$C$157 ,0)</f>
        <v/>
      </c>
      <c r="O297" s="95">
        <f>IF(AND(SUMIFS($D$245:$D$595,$F$245:$F$595,0,$E$245:$E$595,$G297,$C$245:$C$595,"&lt;="&amp;M$5)&lt;1000000,SUMIFS($D$245:$D$595,$F$245:$F$595,0,$E$245:$E$595,$G297,$C$245:$C$595,"&lt;="&amp;O5)&gt;=1000000),SUMIFS($D$245:$D$595,$F$245:$F$595,0,$E$245:$E$595,$G297)*$C$157 ,0)</f>
        <v/>
      </c>
      <c r="Q297" s="95">
        <f>IF(AND(SUMIFS($D$245:$D$595,$F$245:$F$595,0,$E$245:$E$595,$G297,$C$245:$C$595,"&lt;="&amp;O$5)&lt;1000000,SUMIFS($D$245:$D$595,$F$245:$F$595,0,$E$245:$E$595,$G297,$C$245:$C$595,"&lt;="&amp;Q5)&gt;=1000000),SUMIFS($D$245:$D$595,$F$245:$F$595,0,$E$245:$E$595,$G297)*$C$157 ,0)</f>
        <v/>
      </c>
      <c r="S297" s="95">
        <f>IF(AND(SUMIFS($D$245:$D$595,$F$245:$F$595,0,$E$245:$E$595,$G297,$C$245:$C$595,"&lt;="&amp;Q$5)&lt;1000000,SUMIFS($D$245:$D$595,$F$245:$F$595,0,$E$245:$E$595,$G297,$C$245:$C$595,"&lt;="&amp;S5)&gt;=1000000),SUMIFS($D$245:$D$595,$F$245:$F$595,0,$E$245:$E$595,$G297)*$C$157 ,0)</f>
        <v/>
      </c>
      <c r="U297" s="95">
        <f>IF(AND(SUMIFS($D$245:$D$595,$F$245:$F$595,0,$E$245:$E$595,$G297,$C$245:$C$595,"&lt;="&amp;S$5)&lt;1000000,SUMIFS($D$245:$D$595,$F$245:$F$595,0,$E$245:$E$595,$G297,$C$245:$C$595,"&lt;="&amp;U5)&gt;=1000000),SUMIFS($D$245:$D$595,$F$245:$F$595,0,$E$245:$E$595,$G297)*$C$157 ,0)</f>
        <v/>
      </c>
      <c r="W297" s="95">
        <f>IF(AND(SUMIFS($D$245:$D$595,$F$245:$F$595,0,$E$245:$E$595,$G297,$C$245:$C$595,"&lt;="&amp;U$5)&lt;1000000,SUMIFS($D$245:$D$595,$F$245:$F$595,0,$E$245:$E$595,$G297,$C$245:$C$595,"&lt;="&amp;W5)&gt;=1000000),SUMIFS($D$245:$D$595,$F$245:$F$595,0,$E$245:$E$595,$G297)*$C$157 ,0)</f>
        <v/>
      </c>
      <c r="Y297" s="95">
        <f>IF(AND(SUMIFS($D$245:$D$595,$F$245:$F$595,0,$E$245:$E$595,$G297,$C$245:$C$595,"&lt;="&amp;W$5)&lt;1000000,SUMIFS($D$245:$D$595,$F$245:$F$595,0,$E$245:$E$595,$G297,$C$245:$C$595,"&lt;="&amp;Y5)&gt;=1000000),SUMIFS($D$245:$D$595,$F$245:$F$595,0,$E$245:$E$595,$G297)*$C$157 ,0)</f>
        <v/>
      </c>
      <c r="AA297" s="95">
        <f>IF(AND(SUMIFS($D$245:$D$595,$F$245:$F$595,0,$E$245:$E$595,$G297,$C$245:$C$595,"&lt;="&amp;Y$5)&lt;1000000,SUMIFS($D$245:$D$595,$F$245:$F$595,0,$E$245:$E$595,$G297,$C$245:$C$595,"&lt;="&amp;AA5)&gt;=1000000),SUMIFS($D$245:$D$595,$F$245:$F$595,0,$E$245:$E$595,$G297)*$C$157 ,0)</f>
        <v/>
      </c>
      <c r="AC297" s="95">
        <f>IF(AND(SUMIFS($D$245:$D$595,$F$245:$F$595,0,$E$245:$E$595,$G297,$C$245:$C$595,"&lt;="&amp;AA$5)&lt;1000000,SUMIFS($D$245:$D$595,$F$245:$F$595,0,$E$245:$E$595,$G297,$C$245:$C$595,"&lt;="&amp;AC5)&gt;=1000000),SUMIFS($D$245:$D$595,$F$245:$F$595,0,$E$245:$E$595,$G297)*$C$157 ,0)</f>
        <v/>
      </c>
      <c r="AE297" s="95">
        <f>IF(AND(SUMIFS($D$245:$D$595,$F$245:$F$595,0,$E$245:$E$595,$G297,$C$245:$C$595,"&lt;="&amp;AC$5)&lt;1000000,SUMIFS($D$245:$D$595,$F$245:$F$595,0,$E$245:$E$595,$G297,$C$245:$C$595,"&lt;="&amp;AE5)&gt;=1000000),SUMIFS($D$245:$D$595,$F$245:$F$595,0,$E$245:$E$595,$G297)*$C$157 ,0)</f>
        <v/>
      </c>
      <c r="AF297" s="19" t="n"/>
    </row>
    <row r="298">
      <c r="A298" s="20">
        <f>mid(E298, 3, 1)</f>
        <v/>
      </c>
      <c r="B298" s="14" t="inlineStr"/>
      <c r="C298" s="21">
        <f>SUMIFS('Investor Exit List'!$AC:$AC,'Investor Exit List'!$AB:$AB,B298)</f>
        <v/>
      </c>
      <c r="D298" s="14">
        <f>SUMIFS('Investor Exit List'!$Q:$Q,'Investor Exit List'!$AB:$AB,B298)</f>
        <v/>
      </c>
      <c r="E298" s="31">
        <f>LEFT(B298,6)</f>
        <v/>
      </c>
      <c r="F298" s="14">
        <f>IF(SUMIFS($E$119:$E$151,$D$119:$D$151,E298)&lt;&gt;0,E298,0)</f>
        <v/>
      </c>
      <c r="G298" s="59" t="n"/>
      <c r="I298" s="28">
        <f>IF(AND(SUMIFS($D$245:$D$595,$F$245:$F$595,0,$E$245:$E$595,$G298,$C$245:$C$595,"&lt;="&amp;B$2)&lt;1000000,SUMIFS($D$245:$D$595,$F$245:$F$595,0,$E$245:$E$595,$G298,$C$245:$C$595,"&lt;="&amp;I5)&gt;=1000000),SUMIFS($D$245:$D$595,$F$245:$F$595,0,$E$245:$E$595,$G298)*$C$157 ,0)</f>
        <v/>
      </c>
      <c r="K298" s="95">
        <f>IF(AND(SUMIFS($D$245:$D$595,$F$245:$F$595,0,$E$245:$E$595,$G298,$C$245:$C$595,"&lt;="&amp;I$5)&lt;1000000,SUMIFS($D$245:$D$595,$F$245:$F$595,0,$E$245:$E$595,$G298,$C$245:$C$595,"&lt;="&amp;K5)&gt;=1000000),SUMIFS($D$245:$D$595,$F$245:$F$595,0,$E$245:$E$595,$G298)*$C$157 ,0)</f>
        <v/>
      </c>
      <c r="M298" s="95">
        <f>IF(AND(SUMIFS($D$245:$D$595,$F$245:$F$595,0,$E$245:$E$595,$G298,$C$245:$C$595,"&lt;="&amp;K$5)&lt;1000000,SUMIFS($D$245:$D$595,$F$245:$F$595,0,$E$245:$E$595,$G298,$C$245:$C$595,"&lt;="&amp;M5)&gt;=1000000),SUMIFS($D$245:$D$595,$F$245:$F$595,0,$E$245:$E$595,$G298)*$C$157 ,0)</f>
        <v/>
      </c>
      <c r="O298" s="95">
        <f>IF(AND(SUMIFS($D$245:$D$595,$F$245:$F$595,0,$E$245:$E$595,$G298,$C$245:$C$595,"&lt;="&amp;M$5)&lt;1000000,SUMIFS($D$245:$D$595,$F$245:$F$595,0,$E$245:$E$595,$G298,$C$245:$C$595,"&lt;="&amp;O5)&gt;=1000000),SUMIFS($D$245:$D$595,$F$245:$F$595,0,$E$245:$E$595,$G298)*$C$157 ,0)</f>
        <v/>
      </c>
      <c r="Q298" s="95">
        <f>IF(AND(SUMIFS($D$245:$D$595,$F$245:$F$595,0,$E$245:$E$595,$G298,$C$245:$C$595,"&lt;="&amp;O$5)&lt;1000000,SUMIFS($D$245:$D$595,$F$245:$F$595,0,$E$245:$E$595,$G298,$C$245:$C$595,"&lt;="&amp;Q5)&gt;=1000000),SUMIFS($D$245:$D$595,$F$245:$F$595,0,$E$245:$E$595,$G298)*$C$157 ,0)</f>
        <v/>
      </c>
      <c r="S298" s="95">
        <f>IF(AND(SUMIFS($D$245:$D$595,$F$245:$F$595,0,$E$245:$E$595,$G298,$C$245:$C$595,"&lt;="&amp;Q$5)&lt;1000000,SUMIFS($D$245:$D$595,$F$245:$F$595,0,$E$245:$E$595,$G298,$C$245:$C$595,"&lt;="&amp;S5)&gt;=1000000),SUMIFS($D$245:$D$595,$F$245:$F$595,0,$E$245:$E$595,$G298)*$C$157 ,0)</f>
        <v/>
      </c>
      <c r="U298" s="95">
        <f>IF(AND(SUMIFS($D$245:$D$595,$F$245:$F$595,0,$E$245:$E$595,$G298,$C$245:$C$595,"&lt;="&amp;S$5)&lt;1000000,SUMIFS($D$245:$D$595,$F$245:$F$595,0,$E$245:$E$595,$G298,$C$245:$C$595,"&lt;="&amp;U5)&gt;=1000000),SUMIFS($D$245:$D$595,$F$245:$F$595,0,$E$245:$E$595,$G298)*$C$157 ,0)</f>
        <v/>
      </c>
      <c r="W298" s="95">
        <f>IF(AND(SUMIFS($D$245:$D$595,$F$245:$F$595,0,$E$245:$E$595,$G298,$C$245:$C$595,"&lt;="&amp;U$5)&lt;1000000,SUMIFS($D$245:$D$595,$F$245:$F$595,0,$E$245:$E$595,$G298,$C$245:$C$595,"&lt;="&amp;W5)&gt;=1000000),SUMIFS($D$245:$D$595,$F$245:$F$595,0,$E$245:$E$595,$G298)*$C$157 ,0)</f>
        <v/>
      </c>
      <c r="Y298" s="95">
        <f>IF(AND(SUMIFS($D$245:$D$595,$F$245:$F$595,0,$E$245:$E$595,$G298,$C$245:$C$595,"&lt;="&amp;W$5)&lt;1000000,SUMIFS($D$245:$D$595,$F$245:$F$595,0,$E$245:$E$595,$G298,$C$245:$C$595,"&lt;="&amp;Y5)&gt;=1000000),SUMIFS($D$245:$D$595,$F$245:$F$595,0,$E$245:$E$595,$G298)*$C$157 ,0)</f>
        <v/>
      </c>
      <c r="AA298" s="95">
        <f>IF(AND(SUMIFS($D$245:$D$595,$F$245:$F$595,0,$E$245:$E$595,$G298,$C$245:$C$595,"&lt;="&amp;Y$5)&lt;1000000,SUMIFS($D$245:$D$595,$F$245:$F$595,0,$E$245:$E$595,$G298,$C$245:$C$595,"&lt;="&amp;AA5)&gt;=1000000),SUMIFS($D$245:$D$595,$F$245:$F$595,0,$E$245:$E$595,$G298)*$C$157 ,0)</f>
        <v/>
      </c>
      <c r="AC298" s="95">
        <f>IF(AND(SUMIFS($D$245:$D$595,$F$245:$F$595,0,$E$245:$E$595,$G298,$C$245:$C$595,"&lt;="&amp;AA$5)&lt;1000000,SUMIFS($D$245:$D$595,$F$245:$F$595,0,$E$245:$E$595,$G298,$C$245:$C$595,"&lt;="&amp;AC5)&gt;=1000000),SUMIFS($D$245:$D$595,$F$245:$F$595,0,$E$245:$E$595,$G298)*$C$157 ,0)</f>
        <v/>
      </c>
      <c r="AE298" s="95">
        <f>IF(AND(SUMIFS($D$245:$D$595,$F$245:$F$595,0,$E$245:$E$595,$G298,$C$245:$C$595,"&lt;="&amp;AC$5)&lt;1000000,SUMIFS($D$245:$D$595,$F$245:$F$595,0,$E$245:$E$595,$G298,$C$245:$C$595,"&lt;="&amp;AE5)&gt;=1000000),SUMIFS($D$245:$D$595,$F$245:$F$595,0,$E$245:$E$595,$G298)*$C$157 ,0)</f>
        <v/>
      </c>
      <c r="AF298" s="19" t="n"/>
    </row>
    <row r="299">
      <c r="A299" s="20">
        <f>mid(E299, 3, 1)</f>
        <v/>
      </c>
      <c r="B299" s="14" t="inlineStr"/>
      <c r="C299" s="21">
        <f>SUMIFS('Investor Exit List'!$AC:$AC,'Investor Exit List'!$AB:$AB,B299)</f>
        <v/>
      </c>
      <c r="D299" s="14">
        <f>SUMIFS('Investor Exit List'!$Q:$Q,'Investor Exit List'!$AB:$AB,B299)</f>
        <v/>
      </c>
      <c r="E299" s="31">
        <f>LEFT(B299,6)</f>
        <v/>
      </c>
      <c r="F299" s="14">
        <f>IF(SUMIFS($E$119:$E$151,$D$119:$D$151,E299)&lt;&gt;0,E299,0)</f>
        <v/>
      </c>
      <c r="G299" s="59" t="n"/>
      <c r="I299" s="28">
        <f>IF(AND(SUMIFS($D$245:$D$595,$F$245:$F$595,0,$E$245:$E$595,$G299,$C$245:$C$595,"&lt;="&amp;B$2)&lt;1000000,SUMIFS($D$245:$D$595,$F$245:$F$595,0,$E$245:$E$595,$G299,$C$245:$C$595,"&lt;="&amp;I5)&gt;=1000000),SUMIFS($D$245:$D$595,$F$245:$F$595,0,$E$245:$E$595,$G299)*$C$157 ,0)</f>
        <v/>
      </c>
      <c r="K299" s="95">
        <f>IF(AND(SUMIFS($D$245:$D$595,$F$245:$F$595,0,$E$245:$E$595,$G299,$C$245:$C$595,"&lt;="&amp;I$5)&lt;1000000,SUMIFS($D$245:$D$595,$F$245:$F$595,0,$E$245:$E$595,$G299,$C$245:$C$595,"&lt;="&amp;K5)&gt;=1000000),SUMIFS($D$245:$D$595,$F$245:$F$595,0,$E$245:$E$595,$G299)*$C$157 ,0)</f>
        <v/>
      </c>
      <c r="M299" s="95">
        <f>IF(AND(SUMIFS($D$245:$D$595,$F$245:$F$595,0,$E$245:$E$595,$G299,$C$245:$C$595,"&lt;="&amp;K$5)&lt;1000000,SUMIFS($D$245:$D$595,$F$245:$F$595,0,$E$245:$E$595,$G299,$C$245:$C$595,"&lt;="&amp;M5)&gt;=1000000),SUMIFS($D$245:$D$595,$F$245:$F$595,0,$E$245:$E$595,$G299)*$C$157 ,0)</f>
        <v/>
      </c>
      <c r="O299" s="95">
        <f>IF(AND(SUMIFS($D$245:$D$595,$F$245:$F$595,0,$E$245:$E$595,$G299,$C$245:$C$595,"&lt;="&amp;M$5)&lt;1000000,SUMIFS($D$245:$D$595,$F$245:$F$595,0,$E$245:$E$595,$G299,$C$245:$C$595,"&lt;="&amp;O5)&gt;=1000000),SUMIFS($D$245:$D$595,$F$245:$F$595,0,$E$245:$E$595,$G299)*$C$157 ,0)</f>
        <v/>
      </c>
      <c r="Q299" s="95">
        <f>IF(AND(SUMIFS($D$245:$D$595,$F$245:$F$595,0,$E$245:$E$595,$G299,$C$245:$C$595,"&lt;="&amp;O$5)&lt;1000000,SUMIFS($D$245:$D$595,$F$245:$F$595,0,$E$245:$E$595,$G299,$C$245:$C$595,"&lt;="&amp;Q5)&gt;=1000000),SUMIFS($D$245:$D$595,$F$245:$F$595,0,$E$245:$E$595,$G299)*$C$157 ,0)</f>
        <v/>
      </c>
      <c r="S299" s="95">
        <f>IF(AND(SUMIFS($D$245:$D$595,$F$245:$F$595,0,$E$245:$E$595,$G299,$C$245:$C$595,"&lt;="&amp;Q$5)&lt;1000000,SUMIFS($D$245:$D$595,$F$245:$F$595,0,$E$245:$E$595,$G299,$C$245:$C$595,"&lt;="&amp;S5)&gt;=1000000),SUMIFS($D$245:$D$595,$F$245:$F$595,0,$E$245:$E$595,$G299)*$C$157 ,0)</f>
        <v/>
      </c>
      <c r="U299" s="95">
        <f>IF(AND(SUMIFS($D$245:$D$595,$F$245:$F$595,0,$E$245:$E$595,$G299,$C$245:$C$595,"&lt;="&amp;S$5)&lt;1000000,SUMIFS($D$245:$D$595,$F$245:$F$595,0,$E$245:$E$595,$G299,$C$245:$C$595,"&lt;="&amp;U5)&gt;=1000000),SUMIFS($D$245:$D$595,$F$245:$F$595,0,$E$245:$E$595,$G299)*$C$157 ,0)</f>
        <v/>
      </c>
      <c r="W299" s="95">
        <f>IF(AND(SUMIFS($D$245:$D$595,$F$245:$F$595,0,$E$245:$E$595,$G299,$C$245:$C$595,"&lt;="&amp;U$5)&lt;1000000,SUMIFS($D$245:$D$595,$F$245:$F$595,0,$E$245:$E$595,$G299,$C$245:$C$595,"&lt;="&amp;W5)&gt;=1000000),SUMIFS($D$245:$D$595,$F$245:$F$595,0,$E$245:$E$595,$G299)*$C$157 ,0)</f>
        <v/>
      </c>
      <c r="Y299" s="95">
        <f>IF(AND(SUMIFS($D$245:$D$595,$F$245:$F$595,0,$E$245:$E$595,$G299,$C$245:$C$595,"&lt;="&amp;W$5)&lt;1000000,SUMIFS($D$245:$D$595,$F$245:$F$595,0,$E$245:$E$595,$G299,$C$245:$C$595,"&lt;="&amp;Y5)&gt;=1000000),SUMIFS($D$245:$D$595,$F$245:$F$595,0,$E$245:$E$595,$G299)*$C$157 ,0)</f>
        <v/>
      </c>
      <c r="AA299" s="95">
        <f>IF(AND(SUMIFS($D$245:$D$595,$F$245:$F$595,0,$E$245:$E$595,$G299,$C$245:$C$595,"&lt;="&amp;Y$5)&lt;1000000,SUMIFS($D$245:$D$595,$F$245:$F$595,0,$E$245:$E$595,$G299,$C$245:$C$595,"&lt;="&amp;AA5)&gt;=1000000),SUMIFS($D$245:$D$595,$F$245:$F$595,0,$E$245:$E$595,$G299)*$C$157 ,0)</f>
        <v/>
      </c>
      <c r="AC299" s="95">
        <f>IF(AND(SUMIFS($D$245:$D$595,$F$245:$F$595,0,$E$245:$E$595,$G299,$C$245:$C$595,"&lt;="&amp;AA$5)&lt;1000000,SUMIFS($D$245:$D$595,$F$245:$F$595,0,$E$245:$E$595,$G299,$C$245:$C$595,"&lt;="&amp;AC5)&gt;=1000000),SUMIFS($D$245:$D$595,$F$245:$F$595,0,$E$245:$E$595,$G299)*$C$157 ,0)</f>
        <v/>
      </c>
      <c r="AE299" s="95">
        <f>IF(AND(SUMIFS($D$245:$D$595,$F$245:$F$595,0,$E$245:$E$595,$G299,$C$245:$C$595,"&lt;="&amp;AC$5)&lt;1000000,SUMIFS($D$245:$D$595,$F$245:$F$595,0,$E$245:$E$595,$G299,$C$245:$C$595,"&lt;="&amp;AE5)&gt;=1000000),SUMIFS($D$245:$D$595,$F$245:$F$595,0,$E$245:$E$595,$G299)*$C$157 ,0)</f>
        <v/>
      </c>
      <c r="AF299" s="19" t="n"/>
    </row>
    <row r="300">
      <c r="A300" s="20">
        <f>mid(E300, 3, 1)</f>
        <v/>
      </c>
      <c r="B300" s="14" t="inlineStr"/>
      <c r="C300" s="21">
        <f>SUMIFS('Investor Exit List'!$AC:$AC,'Investor Exit List'!$AB:$AB,B300)</f>
        <v/>
      </c>
      <c r="D300" s="14">
        <f>SUMIFS('Investor Exit List'!$Q:$Q,'Investor Exit List'!$AB:$AB,B300)</f>
        <v/>
      </c>
      <c r="E300" s="31">
        <f>LEFT(B300,6)</f>
        <v/>
      </c>
      <c r="F300" s="14">
        <f>IF(SUMIFS($E$119:$E$151,$D$119:$D$151,E300)&lt;&gt;0,E300,0)</f>
        <v/>
      </c>
      <c r="G300" s="59" t="n"/>
      <c r="I300" s="28">
        <f>IF(AND(SUMIFS($D$245:$D$595,$F$245:$F$595,0,$E$245:$E$595,$G300,$C$245:$C$595,"&lt;="&amp;B$2)&lt;1000000,SUMIFS($D$245:$D$595,$F$245:$F$595,0,$E$245:$E$595,$G300,$C$245:$C$595,"&lt;="&amp;I5)&gt;=1000000),SUMIFS($D$245:$D$595,$F$245:$F$595,0,$E$245:$E$595,$G300)*$C$157 ,0)</f>
        <v/>
      </c>
      <c r="K300" s="95">
        <f>IF(AND(SUMIFS($D$245:$D$595,$F$245:$F$595,0,$E$245:$E$595,$G300,$C$245:$C$595,"&lt;="&amp;I$5)&lt;1000000,SUMIFS($D$245:$D$595,$F$245:$F$595,0,$E$245:$E$595,$G300,$C$245:$C$595,"&lt;="&amp;K5)&gt;=1000000),SUMIFS($D$245:$D$595,$F$245:$F$595,0,$E$245:$E$595,$G300)*$C$157 ,0)</f>
        <v/>
      </c>
      <c r="M300" s="95">
        <f>IF(AND(SUMIFS($D$245:$D$595,$F$245:$F$595,0,$E$245:$E$595,$G300,$C$245:$C$595,"&lt;="&amp;K$5)&lt;1000000,SUMIFS($D$245:$D$595,$F$245:$F$595,0,$E$245:$E$595,$G300,$C$245:$C$595,"&lt;="&amp;M5)&gt;=1000000),SUMIFS($D$245:$D$595,$F$245:$F$595,0,$E$245:$E$595,$G300)*$C$157 ,0)</f>
        <v/>
      </c>
      <c r="O300" s="95">
        <f>IF(AND(SUMIFS($D$245:$D$595,$F$245:$F$595,0,$E$245:$E$595,$G300,$C$245:$C$595,"&lt;="&amp;M$5)&lt;1000000,SUMIFS($D$245:$D$595,$F$245:$F$595,0,$E$245:$E$595,$G300,$C$245:$C$595,"&lt;="&amp;O5)&gt;=1000000),SUMIFS($D$245:$D$595,$F$245:$F$595,0,$E$245:$E$595,$G300)*$C$157 ,0)</f>
        <v/>
      </c>
      <c r="Q300" s="95">
        <f>IF(AND(SUMIFS($D$245:$D$595,$F$245:$F$595,0,$E$245:$E$595,$G300,$C$245:$C$595,"&lt;="&amp;O$5)&lt;1000000,SUMIFS($D$245:$D$595,$F$245:$F$595,0,$E$245:$E$595,$G300,$C$245:$C$595,"&lt;="&amp;Q5)&gt;=1000000),SUMIFS($D$245:$D$595,$F$245:$F$595,0,$E$245:$E$595,$G300)*$C$157 ,0)</f>
        <v/>
      </c>
      <c r="S300" s="95">
        <f>IF(AND(SUMIFS($D$245:$D$595,$F$245:$F$595,0,$E$245:$E$595,$G300,$C$245:$C$595,"&lt;="&amp;Q$5)&lt;1000000,SUMIFS($D$245:$D$595,$F$245:$F$595,0,$E$245:$E$595,$G300,$C$245:$C$595,"&lt;="&amp;S5)&gt;=1000000),SUMIFS($D$245:$D$595,$F$245:$F$595,0,$E$245:$E$595,$G300)*$C$157 ,0)</f>
        <v/>
      </c>
      <c r="U300" s="95">
        <f>IF(AND(SUMIFS($D$245:$D$595,$F$245:$F$595,0,$E$245:$E$595,$G300,$C$245:$C$595,"&lt;="&amp;S$5)&lt;1000000,SUMIFS($D$245:$D$595,$F$245:$F$595,0,$E$245:$E$595,$G300,$C$245:$C$595,"&lt;="&amp;U5)&gt;=1000000),SUMIFS($D$245:$D$595,$F$245:$F$595,0,$E$245:$E$595,$G300)*$C$157 ,0)</f>
        <v/>
      </c>
      <c r="W300" s="95">
        <f>IF(AND(SUMIFS($D$245:$D$595,$F$245:$F$595,0,$E$245:$E$595,$G300,$C$245:$C$595,"&lt;="&amp;U$5)&lt;1000000,SUMIFS($D$245:$D$595,$F$245:$F$595,0,$E$245:$E$595,$G300,$C$245:$C$595,"&lt;="&amp;W5)&gt;=1000000),SUMIFS($D$245:$D$595,$F$245:$F$595,0,$E$245:$E$595,$G300)*$C$157 ,0)</f>
        <v/>
      </c>
      <c r="Y300" s="95">
        <f>IF(AND(SUMIFS($D$245:$D$595,$F$245:$F$595,0,$E$245:$E$595,$G300,$C$245:$C$595,"&lt;="&amp;W$5)&lt;1000000,SUMIFS($D$245:$D$595,$F$245:$F$595,0,$E$245:$E$595,$G300,$C$245:$C$595,"&lt;="&amp;Y5)&gt;=1000000),SUMIFS($D$245:$D$595,$F$245:$F$595,0,$E$245:$E$595,$G300)*$C$157 ,0)</f>
        <v/>
      </c>
      <c r="AA300" s="95">
        <f>IF(AND(SUMIFS($D$245:$D$595,$F$245:$F$595,0,$E$245:$E$595,$G300,$C$245:$C$595,"&lt;="&amp;Y$5)&lt;1000000,SUMIFS($D$245:$D$595,$F$245:$F$595,0,$E$245:$E$595,$G300,$C$245:$C$595,"&lt;="&amp;AA5)&gt;=1000000),SUMIFS($D$245:$D$595,$F$245:$F$595,0,$E$245:$E$595,$G300)*$C$157 ,0)</f>
        <v/>
      </c>
      <c r="AC300" s="95">
        <f>IF(AND(SUMIFS($D$245:$D$595,$F$245:$F$595,0,$E$245:$E$595,$G300,$C$245:$C$595,"&lt;="&amp;AA$5)&lt;1000000,SUMIFS($D$245:$D$595,$F$245:$F$595,0,$E$245:$E$595,$G300,$C$245:$C$595,"&lt;="&amp;AC5)&gt;=1000000),SUMIFS($D$245:$D$595,$F$245:$F$595,0,$E$245:$E$595,$G300)*$C$157 ,0)</f>
        <v/>
      </c>
      <c r="AE300" s="95">
        <f>IF(AND(SUMIFS($D$245:$D$595,$F$245:$F$595,0,$E$245:$E$595,$G300,$C$245:$C$595,"&lt;="&amp;AC$5)&lt;1000000,SUMIFS($D$245:$D$595,$F$245:$F$595,0,$E$245:$E$595,$G300,$C$245:$C$595,"&lt;="&amp;AE5)&gt;=1000000),SUMIFS($D$245:$D$595,$F$245:$F$595,0,$E$245:$E$595,$G300)*$C$157 ,0)</f>
        <v/>
      </c>
      <c r="AF300" s="19" t="n"/>
    </row>
    <row r="301">
      <c r="A301" s="20">
        <f>mid(E301, 3, 1)</f>
        <v/>
      </c>
      <c r="B301" s="14" t="inlineStr"/>
      <c r="C301" s="21">
        <f>SUMIFS('Investor Exit List'!$AC:$AC,'Investor Exit List'!$AB:$AB,B301)</f>
        <v/>
      </c>
      <c r="D301" s="14">
        <f>SUMIFS('Investor Exit List'!$Q:$Q,'Investor Exit List'!$AB:$AB,B301)</f>
        <v/>
      </c>
      <c r="E301" s="31">
        <f>LEFT(B301,6)</f>
        <v/>
      </c>
      <c r="F301" s="14">
        <f>IF(SUMIFS($E$119:$E$151,$D$119:$D$151,E301)&lt;&gt;0,E301,0)</f>
        <v/>
      </c>
      <c r="G301" s="59" t="n"/>
      <c r="I301" s="28">
        <f>IF(AND(SUMIFS($D$245:$D$595,$F$245:$F$595,0,$E$245:$E$595,$G301,$C$245:$C$595,"&lt;="&amp;B$2)&lt;1000000,SUMIFS($D$245:$D$595,$F$245:$F$595,0,$E$245:$E$595,$G301,$C$245:$C$595,"&lt;="&amp;I5)&gt;=1000000),SUMIFS($D$245:$D$595,$F$245:$F$595,0,$E$245:$E$595,$G301)*$C$157 ,0)</f>
        <v/>
      </c>
      <c r="K301" s="95">
        <f>IF(AND(SUMIFS($D$245:$D$595,$F$245:$F$595,0,$E$245:$E$595,$G301,$C$245:$C$595,"&lt;="&amp;I$5)&lt;1000000,SUMIFS($D$245:$D$595,$F$245:$F$595,0,$E$245:$E$595,$G301,$C$245:$C$595,"&lt;="&amp;K5)&gt;=1000000),SUMIFS($D$245:$D$595,$F$245:$F$595,0,$E$245:$E$595,$G301)*$C$157 ,0)</f>
        <v/>
      </c>
      <c r="M301" s="95">
        <f>IF(AND(SUMIFS($D$245:$D$595,$F$245:$F$595,0,$E$245:$E$595,$G301,$C$245:$C$595,"&lt;="&amp;K$5)&lt;1000000,SUMIFS($D$245:$D$595,$F$245:$F$595,0,$E$245:$E$595,$G301,$C$245:$C$595,"&lt;="&amp;M5)&gt;=1000000),SUMIFS($D$245:$D$595,$F$245:$F$595,0,$E$245:$E$595,$G301)*$C$157 ,0)</f>
        <v/>
      </c>
      <c r="O301" s="95">
        <f>IF(AND(SUMIFS($D$245:$D$595,$F$245:$F$595,0,$E$245:$E$595,$G301,$C$245:$C$595,"&lt;="&amp;M$5)&lt;1000000,SUMIFS($D$245:$D$595,$F$245:$F$595,0,$E$245:$E$595,$G301,$C$245:$C$595,"&lt;="&amp;O5)&gt;=1000000),SUMIFS($D$245:$D$595,$F$245:$F$595,0,$E$245:$E$595,$G301)*$C$157 ,0)</f>
        <v/>
      </c>
      <c r="Q301" s="95">
        <f>IF(AND(SUMIFS($D$245:$D$595,$F$245:$F$595,0,$E$245:$E$595,$G301,$C$245:$C$595,"&lt;="&amp;O$5)&lt;1000000,SUMIFS($D$245:$D$595,$F$245:$F$595,0,$E$245:$E$595,$G301,$C$245:$C$595,"&lt;="&amp;Q5)&gt;=1000000),SUMIFS($D$245:$D$595,$F$245:$F$595,0,$E$245:$E$595,$G301)*$C$157 ,0)</f>
        <v/>
      </c>
      <c r="S301" s="95">
        <f>IF(AND(SUMIFS($D$245:$D$595,$F$245:$F$595,0,$E$245:$E$595,$G301,$C$245:$C$595,"&lt;="&amp;Q$5)&lt;1000000,SUMIFS($D$245:$D$595,$F$245:$F$595,0,$E$245:$E$595,$G301,$C$245:$C$595,"&lt;="&amp;S5)&gt;=1000000),SUMIFS($D$245:$D$595,$F$245:$F$595,0,$E$245:$E$595,$G301)*$C$157 ,0)</f>
        <v/>
      </c>
      <c r="U301" s="95">
        <f>IF(AND(SUMIFS($D$245:$D$595,$F$245:$F$595,0,$E$245:$E$595,$G301,$C$245:$C$595,"&lt;="&amp;S$5)&lt;1000000,SUMIFS($D$245:$D$595,$F$245:$F$595,0,$E$245:$E$595,$G301,$C$245:$C$595,"&lt;="&amp;U5)&gt;=1000000),SUMIFS($D$245:$D$595,$F$245:$F$595,0,$E$245:$E$595,$G301)*$C$157 ,0)</f>
        <v/>
      </c>
      <c r="W301" s="95">
        <f>IF(AND(SUMIFS($D$245:$D$595,$F$245:$F$595,0,$E$245:$E$595,$G301,$C$245:$C$595,"&lt;="&amp;U$5)&lt;1000000,SUMIFS($D$245:$D$595,$F$245:$F$595,0,$E$245:$E$595,$G301,$C$245:$C$595,"&lt;="&amp;W5)&gt;=1000000),SUMIFS($D$245:$D$595,$F$245:$F$595,0,$E$245:$E$595,$G301)*$C$157 ,0)</f>
        <v/>
      </c>
      <c r="Y301" s="95">
        <f>IF(AND(SUMIFS($D$245:$D$595,$F$245:$F$595,0,$E$245:$E$595,$G301,$C$245:$C$595,"&lt;="&amp;W$5)&lt;1000000,SUMIFS($D$245:$D$595,$F$245:$F$595,0,$E$245:$E$595,$G301,$C$245:$C$595,"&lt;="&amp;Y5)&gt;=1000000),SUMIFS($D$245:$D$595,$F$245:$F$595,0,$E$245:$E$595,$G301)*$C$157 ,0)</f>
        <v/>
      </c>
      <c r="AA301" s="95">
        <f>IF(AND(SUMIFS($D$245:$D$595,$F$245:$F$595,0,$E$245:$E$595,$G301,$C$245:$C$595,"&lt;="&amp;Y$5)&lt;1000000,SUMIFS($D$245:$D$595,$F$245:$F$595,0,$E$245:$E$595,$G301,$C$245:$C$595,"&lt;="&amp;AA5)&gt;=1000000),SUMIFS($D$245:$D$595,$F$245:$F$595,0,$E$245:$E$595,$G301)*$C$157 ,0)</f>
        <v/>
      </c>
      <c r="AC301" s="95">
        <f>IF(AND(SUMIFS($D$245:$D$595,$F$245:$F$595,0,$E$245:$E$595,$G301,$C$245:$C$595,"&lt;="&amp;AA$5)&lt;1000000,SUMIFS($D$245:$D$595,$F$245:$F$595,0,$E$245:$E$595,$G301,$C$245:$C$595,"&lt;="&amp;AC5)&gt;=1000000),SUMIFS($D$245:$D$595,$F$245:$F$595,0,$E$245:$E$595,$G301)*$C$157 ,0)</f>
        <v/>
      </c>
      <c r="AE301" s="95">
        <f>IF(AND(SUMIFS($D$245:$D$595,$F$245:$F$595,0,$E$245:$E$595,$G301,$C$245:$C$595,"&lt;="&amp;AC$5)&lt;1000000,SUMIFS($D$245:$D$595,$F$245:$F$595,0,$E$245:$E$595,$G301,$C$245:$C$595,"&lt;="&amp;AE5)&gt;=1000000),SUMIFS($D$245:$D$595,$F$245:$F$595,0,$E$245:$E$595,$G301)*$C$157 ,0)</f>
        <v/>
      </c>
      <c r="AF301" s="19" t="n"/>
    </row>
    <row r="302">
      <c r="A302" s="20">
        <f>mid(E302, 3, 1)</f>
        <v/>
      </c>
      <c r="B302" s="14" t="inlineStr"/>
      <c r="C302" s="21">
        <f>SUMIFS('Investor Exit List'!$AC:$AC,'Investor Exit List'!$AB:$AB,B302)</f>
        <v/>
      </c>
      <c r="D302" s="14">
        <f>SUMIFS('Investor Exit List'!$Q:$Q,'Investor Exit List'!$AB:$AB,B302)</f>
        <v/>
      </c>
      <c r="E302" s="31">
        <f>LEFT(B302,6)</f>
        <v/>
      </c>
      <c r="F302" s="14">
        <f>IF(SUMIFS($E$119:$E$151,$D$119:$D$151,E302)&lt;&gt;0,E302,0)</f>
        <v/>
      </c>
      <c r="G302" s="59" t="n"/>
      <c r="I302" s="28">
        <f>IF(AND(SUMIFS($D$245:$D$595,$F$245:$F$595,0,$E$245:$E$595,$G302,$C$245:$C$595,"&lt;="&amp;B$2)&lt;1000000,SUMIFS($D$245:$D$595,$F$245:$F$595,0,$E$245:$E$595,$G302,$C$245:$C$595,"&lt;="&amp;I5)&gt;=1000000),SUMIFS($D$245:$D$595,$F$245:$F$595,0,$E$245:$E$595,$G302)*$C$157 ,0)</f>
        <v/>
      </c>
      <c r="K302" s="95">
        <f>IF(AND(SUMIFS($D$245:$D$595,$F$245:$F$595,0,$E$245:$E$595,$G302,$C$245:$C$595,"&lt;="&amp;I$5)&lt;1000000,SUMIFS($D$245:$D$595,$F$245:$F$595,0,$E$245:$E$595,$G302,$C$245:$C$595,"&lt;="&amp;K5)&gt;=1000000),SUMIFS($D$245:$D$595,$F$245:$F$595,0,$E$245:$E$595,$G302)*$C$157 ,0)</f>
        <v/>
      </c>
      <c r="M302" s="95">
        <f>IF(AND(SUMIFS($D$245:$D$595,$F$245:$F$595,0,$E$245:$E$595,$G302,$C$245:$C$595,"&lt;="&amp;K$5)&lt;1000000,SUMIFS($D$245:$D$595,$F$245:$F$595,0,$E$245:$E$595,$G302,$C$245:$C$595,"&lt;="&amp;M5)&gt;=1000000),SUMIFS($D$245:$D$595,$F$245:$F$595,0,$E$245:$E$595,$G302)*$C$157 ,0)</f>
        <v/>
      </c>
      <c r="O302" s="95">
        <f>IF(AND(SUMIFS($D$245:$D$595,$F$245:$F$595,0,$E$245:$E$595,$G302,$C$245:$C$595,"&lt;="&amp;M$5)&lt;1000000,SUMIFS($D$245:$D$595,$F$245:$F$595,0,$E$245:$E$595,$G302,$C$245:$C$595,"&lt;="&amp;O5)&gt;=1000000),SUMIFS($D$245:$D$595,$F$245:$F$595,0,$E$245:$E$595,$G302)*$C$157 ,0)</f>
        <v/>
      </c>
      <c r="Q302" s="95">
        <f>IF(AND(SUMIFS($D$245:$D$595,$F$245:$F$595,0,$E$245:$E$595,$G302,$C$245:$C$595,"&lt;="&amp;O$5)&lt;1000000,SUMIFS($D$245:$D$595,$F$245:$F$595,0,$E$245:$E$595,$G302,$C$245:$C$595,"&lt;="&amp;Q5)&gt;=1000000),SUMIFS($D$245:$D$595,$F$245:$F$595,0,$E$245:$E$595,$G302)*$C$157 ,0)</f>
        <v/>
      </c>
      <c r="S302" s="95">
        <f>IF(AND(SUMIFS($D$245:$D$595,$F$245:$F$595,0,$E$245:$E$595,$G302,$C$245:$C$595,"&lt;="&amp;Q$5)&lt;1000000,SUMIFS($D$245:$D$595,$F$245:$F$595,0,$E$245:$E$595,$G302,$C$245:$C$595,"&lt;="&amp;S5)&gt;=1000000),SUMIFS($D$245:$D$595,$F$245:$F$595,0,$E$245:$E$595,$G302)*$C$157 ,0)</f>
        <v/>
      </c>
      <c r="U302" s="95">
        <f>IF(AND(SUMIFS($D$245:$D$595,$F$245:$F$595,0,$E$245:$E$595,$G302,$C$245:$C$595,"&lt;="&amp;S$5)&lt;1000000,SUMIFS($D$245:$D$595,$F$245:$F$595,0,$E$245:$E$595,$G302,$C$245:$C$595,"&lt;="&amp;U5)&gt;=1000000),SUMIFS($D$245:$D$595,$F$245:$F$595,0,$E$245:$E$595,$G302)*$C$157 ,0)</f>
        <v/>
      </c>
      <c r="W302" s="95">
        <f>IF(AND(SUMIFS($D$245:$D$595,$F$245:$F$595,0,$E$245:$E$595,$G302,$C$245:$C$595,"&lt;="&amp;U$5)&lt;1000000,SUMIFS($D$245:$D$595,$F$245:$F$595,0,$E$245:$E$595,$G302,$C$245:$C$595,"&lt;="&amp;W5)&gt;=1000000),SUMIFS($D$245:$D$595,$F$245:$F$595,0,$E$245:$E$595,$G302)*$C$157 ,0)</f>
        <v/>
      </c>
      <c r="Y302" s="95">
        <f>IF(AND(SUMIFS($D$245:$D$595,$F$245:$F$595,0,$E$245:$E$595,$G302,$C$245:$C$595,"&lt;="&amp;W$5)&lt;1000000,SUMIFS($D$245:$D$595,$F$245:$F$595,0,$E$245:$E$595,$G302,$C$245:$C$595,"&lt;="&amp;Y5)&gt;=1000000),SUMIFS($D$245:$D$595,$F$245:$F$595,0,$E$245:$E$595,$G302)*$C$157 ,0)</f>
        <v/>
      </c>
      <c r="AA302" s="95">
        <f>IF(AND(SUMIFS($D$245:$D$595,$F$245:$F$595,0,$E$245:$E$595,$G302,$C$245:$C$595,"&lt;="&amp;Y$5)&lt;1000000,SUMIFS($D$245:$D$595,$F$245:$F$595,0,$E$245:$E$595,$G302,$C$245:$C$595,"&lt;="&amp;AA5)&gt;=1000000),SUMIFS($D$245:$D$595,$F$245:$F$595,0,$E$245:$E$595,$G302)*$C$157 ,0)</f>
        <v/>
      </c>
      <c r="AC302" s="95">
        <f>IF(AND(SUMIFS($D$245:$D$595,$F$245:$F$595,0,$E$245:$E$595,$G302,$C$245:$C$595,"&lt;="&amp;AA$5)&lt;1000000,SUMIFS($D$245:$D$595,$F$245:$F$595,0,$E$245:$E$595,$G302,$C$245:$C$595,"&lt;="&amp;AC5)&gt;=1000000),SUMIFS($D$245:$D$595,$F$245:$F$595,0,$E$245:$E$595,$G302)*$C$157 ,0)</f>
        <v/>
      </c>
      <c r="AE302" s="95">
        <f>IF(AND(SUMIFS($D$245:$D$595,$F$245:$F$595,0,$E$245:$E$595,$G302,$C$245:$C$595,"&lt;="&amp;AC$5)&lt;1000000,SUMIFS($D$245:$D$595,$F$245:$F$595,0,$E$245:$E$595,$G302,$C$245:$C$595,"&lt;="&amp;AE5)&gt;=1000000),SUMIFS($D$245:$D$595,$F$245:$F$595,0,$E$245:$E$595,$G302)*$C$157 ,0)</f>
        <v/>
      </c>
      <c r="AF302" s="19" t="n"/>
    </row>
    <row r="303">
      <c r="A303" s="20">
        <f>mid(E303, 3, 1)</f>
        <v/>
      </c>
      <c r="B303" s="14" t="inlineStr"/>
      <c r="C303" s="21">
        <f>SUMIFS('Investor Exit List'!$AC:$AC,'Investor Exit List'!$AB:$AB,B303)</f>
        <v/>
      </c>
      <c r="D303" s="14">
        <f>SUMIFS('Investor Exit List'!$Q:$Q,'Investor Exit List'!$AB:$AB,B303)</f>
        <v/>
      </c>
      <c r="E303" s="31">
        <f>LEFT(B303,6)</f>
        <v/>
      </c>
      <c r="F303" s="14">
        <f>IF(SUMIFS($E$119:$E$151,$D$119:$D$151,E303)&lt;&gt;0,E303,0)</f>
        <v/>
      </c>
      <c r="G303" s="59" t="n"/>
      <c r="I303" s="28">
        <f>IF(AND(SUMIFS($D$245:$D$595,$F$245:$F$595,0,$E$245:$E$595,$G303,$C$245:$C$595,"&lt;="&amp;B$2)&lt;1000000,SUMIFS($D$245:$D$595,$F$245:$F$595,0,$E$245:$E$595,$G303,$C$245:$C$595,"&lt;="&amp;I5)&gt;=1000000),SUMIFS($D$245:$D$595,$F$245:$F$595,0,$E$245:$E$595,$G303)*$C$157 ,0)</f>
        <v/>
      </c>
      <c r="K303" s="95">
        <f>IF(AND(SUMIFS($D$245:$D$595,$F$245:$F$595,0,$E$245:$E$595,$G303,$C$245:$C$595,"&lt;="&amp;I$5)&lt;1000000,SUMIFS($D$245:$D$595,$F$245:$F$595,0,$E$245:$E$595,$G303,$C$245:$C$595,"&lt;="&amp;K5)&gt;=1000000),SUMIFS($D$245:$D$595,$F$245:$F$595,0,$E$245:$E$595,$G303)*$C$157 ,0)</f>
        <v/>
      </c>
      <c r="M303" s="95">
        <f>IF(AND(SUMIFS($D$245:$D$595,$F$245:$F$595,0,$E$245:$E$595,$G303,$C$245:$C$595,"&lt;="&amp;K$5)&lt;1000000,SUMIFS($D$245:$D$595,$F$245:$F$595,0,$E$245:$E$595,$G303,$C$245:$C$595,"&lt;="&amp;M5)&gt;=1000000),SUMIFS($D$245:$D$595,$F$245:$F$595,0,$E$245:$E$595,$G303)*$C$157 ,0)</f>
        <v/>
      </c>
      <c r="O303" s="95">
        <f>IF(AND(SUMIFS($D$245:$D$595,$F$245:$F$595,0,$E$245:$E$595,$G303,$C$245:$C$595,"&lt;="&amp;M$5)&lt;1000000,SUMIFS($D$245:$D$595,$F$245:$F$595,0,$E$245:$E$595,$G303,$C$245:$C$595,"&lt;="&amp;O5)&gt;=1000000),SUMIFS($D$245:$D$595,$F$245:$F$595,0,$E$245:$E$595,$G303)*$C$157 ,0)</f>
        <v/>
      </c>
      <c r="Q303" s="95">
        <f>IF(AND(SUMIFS($D$245:$D$595,$F$245:$F$595,0,$E$245:$E$595,$G303,$C$245:$C$595,"&lt;="&amp;O$5)&lt;1000000,SUMIFS($D$245:$D$595,$F$245:$F$595,0,$E$245:$E$595,$G303,$C$245:$C$595,"&lt;="&amp;Q5)&gt;=1000000),SUMIFS($D$245:$D$595,$F$245:$F$595,0,$E$245:$E$595,$G303)*$C$157 ,0)</f>
        <v/>
      </c>
      <c r="S303" s="95">
        <f>IF(AND(SUMIFS($D$245:$D$595,$F$245:$F$595,0,$E$245:$E$595,$G303,$C$245:$C$595,"&lt;="&amp;Q$5)&lt;1000000,SUMIFS($D$245:$D$595,$F$245:$F$595,0,$E$245:$E$595,$G303,$C$245:$C$595,"&lt;="&amp;S5)&gt;=1000000),SUMIFS($D$245:$D$595,$F$245:$F$595,0,$E$245:$E$595,$G303)*$C$157 ,0)</f>
        <v/>
      </c>
      <c r="U303" s="95">
        <f>IF(AND(SUMIFS($D$245:$D$595,$F$245:$F$595,0,$E$245:$E$595,$G303,$C$245:$C$595,"&lt;="&amp;S$5)&lt;1000000,SUMIFS($D$245:$D$595,$F$245:$F$595,0,$E$245:$E$595,$G303,$C$245:$C$595,"&lt;="&amp;U5)&gt;=1000000),SUMIFS($D$245:$D$595,$F$245:$F$595,0,$E$245:$E$595,$G303)*$C$157 ,0)</f>
        <v/>
      </c>
      <c r="W303" s="95">
        <f>IF(AND(SUMIFS($D$245:$D$595,$F$245:$F$595,0,$E$245:$E$595,$G303,$C$245:$C$595,"&lt;="&amp;U$5)&lt;1000000,SUMIFS($D$245:$D$595,$F$245:$F$595,0,$E$245:$E$595,$G303,$C$245:$C$595,"&lt;="&amp;W5)&gt;=1000000),SUMIFS($D$245:$D$595,$F$245:$F$595,0,$E$245:$E$595,$G303)*$C$157 ,0)</f>
        <v/>
      </c>
      <c r="Y303" s="95">
        <f>IF(AND(SUMIFS($D$245:$D$595,$F$245:$F$595,0,$E$245:$E$595,$G303,$C$245:$C$595,"&lt;="&amp;W$5)&lt;1000000,SUMIFS($D$245:$D$595,$F$245:$F$595,0,$E$245:$E$595,$G303,$C$245:$C$595,"&lt;="&amp;Y5)&gt;=1000000),SUMIFS($D$245:$D$595,$F$245:$F$595,0,$E$245:$E$595,$G303)*$C$157 ,0)</f>
        <v/>
      </c>
      <c r="AA303" s="95">
        <f>IF(AND(SUMIFS($D$245:$D$595,$F$245:$F$595,0,$E$245:$E$595,$G303,$C$245:$C$595,"&lt;="&amp;Y$5)&lt;1000000,SUMIFS($D$245:$D$595,$F$245:$F$595,0,$E$245:$E$595,$G303,$C$245:$C$595,"&lt;="&amp;AA5)&gt;=1000000),SUMIFS($D$245:$D$595,$F$245:$F$595,0,$E$245:$E$595,$G303)*$C$157 ,0)</f>
        <v/>
      </c>
      <c r="AC303" s="95">
        <f>IF(AND(SUMIFS($D$245:$D$595,$F$245:$F$595,0,$E$245:$E$595,$G303,$C$245:$C$595,"&lt;="&amp;AA$5)&lt;1000000,SUMIFS($D$245:$D$595,$F$245:$F$595,0,$E$245:$E$595,$G303,$C$245:$C$595,"&lt;="&amp;AC5)&gt;=1000000),SUMIFS($D$245:$D$595,$F$245:$F$595,0,$E$245:$E$595,$G303)*$C$157 ,0)</f>
        <v/>
      </c>
      <c r="AE303" s="95">
        <f>IF(AND(SUMIFS($D$245:$D$595,$F$245:$F$595,0,$E$245:$E$595,$G303,$C$245:$C$595,"&lt;="&amp;AC$5)&lt;1000000,SUMIFS($D$245:$D$595,$F$245:$F$595,0,$E$245:$E$595,$G303,$C$245:$C$595,"&lt;="&amp;AE5)&gt;=1000000),SUMIFS($D$245:$D$595,$F$245:$F$595,0,$E$245:$E$595,$G303)*$C$157 ,0)</f>
        <v/>
      </c>
      <c r="AF303" s="19" t="n"/>
    </row>
    <row r="304">
      <c r="A304" s="20">
        <f>mid(E304, 3, 1)</f>
        <v/>
      </c>
      <c r="B304" s="14" t="inlineStr"/>
      <c r="C304" s="21">
        <f>SUMIFS('Investor Exit List'!$AC:$AC,'Investor Exit List'!$AB:$AB,B304)</f>
        <v/>
      </c>
      <c r="D304" s="14">
        <f>SUMIFS('Investor Exit List'!$Q:$Q,'Investor Exit List'!$AB:$AB,B304)</f>
        <v/>
      </c>
      <c r="E304" s="31">
        <f>LEFT(B304,6)</f>
        <v/>
      </c>
      <c r="F304" s="14">
        <f>IF(SUMIFS($E$119:$E$151,$D$119:$D$151,E304)&lt;&gt;0,E304,0)</f>
        <v/>
      </c>
      <c r="G304" s="59" t="n"/>
      <c r="I304" s="28">
        <f>IF(AND(SUMIFS($D$245:$D$595,$F$245:$F$595,0,$E$245:$E$595,$G304,$C$245:$C$595,"&lt;="&amp;B$2)&lt;1000000,SUMIFS($D$245:$D$595,$F$245:$F$595,0,$E$245:$E$595,$G304,$C$245:$C$595,"&lt;="&amp;I5)&gt;=1000000),SUMIFS($D$245:$D$595,$F$245:$F$595,0,$E$245:$E$595,$G304)*$C$157 ,0)</f>
        <v/>
      </c>
      <c r="K304" s="95">
        <f>IF(AND(SUMIFS($D$245:$D$595,$F$245:$F$595,0,$E$245:$E$595,$G304,$C$245:$C$595,"&lt;="&amp;I$5)&lt;1000000,SUMIFS($D$245:$D$595,$F$245:$F$595,0,$E$245:$E$595,$G304,$C$245:$C$595,"&lt;="&amp;K5)&gt;=1000000),SUMIFS($D$245:$D$595,$F$245:$F$595,0,$E$245:$E$595,$G304)*$C$157 ,0)</f>
        <v/>
      </c>
      <c r="M304" s="95">
        <f>IF(AND(SUMIFS($D$245:$D$595,$F$245:$F$595,0,$E$245:$E$595,$G304,$C$245:$C$595,"&lt;="&amp;K$5)&lt;1000000,SUMIFS($D$245:$D$595,$F$245:$F$595,0,$E$245:$E$595,$G304,$C$245:$C$595,"&lt;="&amp;M5)&gt;=1000000),SUMIFS($D$245:$D$595,$F$245:$F$595,0,$E$245:$E$595,$G304)*$C$157 ,0)</f>
        <v/>
      </c>
      <c r="O304" s="95">
        <f>IF(AND(SUMIFS($D$245:$D$595,$F$245:$F$595,0,$E$245:$E$595,$G304,$C$245:$C$595,"&lt;="&amp;M$5)&lt;1000000,SUMIFS($D$245:$D$595,$F$245:$F$595,0,$E$245:$E$595,$G304,$C$245:$C$595,"&lt;="&amp;O5)&gt;=1000000),SUMIFS($D$245:$D$595,$F$245:$F$595,0,$E$245:$E$595,$G304)*$C$157 ,0)</f>
        <v/>
      </c>
      <c r="Q304" s="95">
        <f>IF(AND(SUMIFS($D$245:$D$595,$F$245:$F$595,0,$E$245:$E$595,$G304,$C$245:$C$595,"&lt;="&amp;O$5)&lt;1000000,SUMIFS($D$245:$D$595,$F$245:$F$595,0,$E$245:$E$595,$G304,$C$245:$C$595,"&lt;="&amp;Q5)&gt;=1000000),SUMIFS($D$245:$D$595,$F$245:$F$595,0,$E$245:$E$595,$G304)*$C$157 ,0)</f>
        <v/>
      </c>
      <c r="S304" s="95">
        <f>IF(AND(SUMIFS($D$245:$D$595,$F$245:$F$595,0,$E$245:$E$595,$G304,$C$245:$C$595,"&lt;="&amp;Q$5)&lt;1000000,SUMIFS($D$245:$D$595,$F$245:$F$595,0,$E$245:$E$595,$G304,$C$245:$C$595,"&lt;="&amp;S5)&gt;=1000000),SUMIFS($D$245:$D$595,$F$245:$F$595,0,$E$245:$E$595,$G304)*$C$157 ,0)</f>
        <v/>
      </c>
      <c r="U304" s="95">
        <f>IF(AND(SUMIFS($D$245:$D$595,$F$245:$F$595,0,$E$245:$E$595,$G304,$C$245:$C$595,"&lt;="&amp;S$5)&lt;1000000,SUMIFS($D$245:$D$595,$F$245:$F$595,0,$E$245:$E$595,$G304,$C$245:$C$595,"&lt;="&amp;U5)&gt;=1000000),SUMIFS($D$245:$D$595,$F$245:$F$595,0,$E$245:$E$595,$G304)*$C$157 ,0)</f>
        <v/>
      </c>
      <c r="W304" s="95">
        <f>IF(AND(SUMIFS($D$245:$D$595,$F$245:$F$595,0,$E$245:$E$595,$G304,$C$245:$C$595,"&lt;="&amp;U$5)&lt;1000000,SUMIFS($D$245:$D$595,$F$245:$F$595,0,$E$245:$E$595,$G304,$C$245:$C$595,"&lt;="&amp;W5)&gt;=1000000),SUMIFS($D$245:$D$595,$F$245:$F$595,0,$E$245:$E$595,$G304)*$C$157 ,0)</f>
        <v/>
      </c>
      <c r="Y304" s="95">
        <f>IF(AND(SUMIFS($D$245:$D$595,$F$245:$F$595,0,$E$245:$E$595,$G304,$C$245:$C$595,"&lt;="&amp;W$5)&lt;1000000,SUMIFS($D$245:$D$595,$F$245:$F$595,0,$E$245:$E$595,$G304,$C$245:$C$595,"&lt;="&amp;Y5)&gt;=1000000),SUMIFS($D$245:$D$595,$F$245:$F$595,0,$E$245:$E$595,$G304)*$C$157 ,0)</f>
        <v/>
      </c>
      <c r="AA304" s="95">
        <f>IF(AND(SUMIFS($D$245:$D$595,$F$245:$F$595,0,$E$245:$E$595,$G304,$C$245:$C$595,"&lt;="&amp;Y$5)&lt;1000000,SUMIFS($D$245:$D$595,$F$245:$F$595,0,$E$245:$E$595,$G304,$C$245:$C$595,"&lt;="&amp;AA5)&gt;=1000000),SUMIFS($D$245:$D$595,$F$245:$F$595,0,$E$245:$E$595,$G304)*$C$157 ,0)</f>
        <v/>
      </c>
      <c r="AC304" s="95">
        <f>IF(AND(SUMIFS($D$245:$D$595,$F$245:$F$595,0,$E$245:$E$595,$G304,$C$245:$C$595,"&lt;="&amp;AA$5)&lt;1000000,SUMIFS($D$245:$D$595,$F$245:$F$595,0,$E$245:$E$595,$G304,$C$245:$C$595,"&lt;="&amp;AC5)&gt;=1000000),SUMIFS($D$245:$D$595,$F$245:$F$595,0,$E$245:$E$595,$G304)*$C$157 ,0)</f>
        <v/>
      </c>
      <c r="AE304" s="95">
        <f>IF(AND(SUMIFS($D$245:$D$595,$F$245:$F$595,0,$E$245:$E$595,$G304,$C$245:$C$595,"&lt;="&amp;AC$5)&lt;1000000,SUMIFS($D$245:$D$595,$F$245:$F$595,0,$E$245:$E$595,$G304,$C$245:$C$595,"&lt;="&amp;AE5)&gt;=1000000),SUMIFS($D$245:$D$595,$F$245:$F$595,0,$E$245:$E$595,$G304)*$C$157 ,0)</f>
        <v/>
      </c>
      <c r="AF304" s="19" t="n"/>
    </row>
    <row r="305">
      <c r="A305" s="20">
        <f>mid(E305, 3, 1)</f>
        <v/>
      </c>
      <c r="B305" s="14" t="inlineStr"/>
      <c r="C305" s="21">
        <f>SUMIFS('Investor Exit List'!$AC:$AC,'Investor Exit List'!$AB:$AB,B305)</f>
        <v/>
      </c>
      <c r="D305" s="14">
        <f>SUMIFS('Investor Exit List'!$Q:$Q,'Investor Exit List'!$AB:$AB,B305)</f>
        <v/>
      </c>
      <c r="E305" s="31">
        <f>LEFT(B305,6)</f>
        <v/>
      </c>
      <c r="F305" s="14">
        <f>IF(SUMIFS($E$119:$E$151,$D$119:$D$151,E305)&lt;&gt;0,E305,0)</f>
        <v/>
      </c>
      <c r="G305" s="59" t="n"/>
      <c r="I305" s="28">
        <f>IF(AND(SUMIFS($D$245:$D$595,$F$245:$F$595,0,$E$245:$E$595,$G305,$C$245:$C$595,"&lt;="&amp;B$2)&lt;1000000,SUMIFS($D$245:$D$595,$F$245:$F$595,0,$E$245:$E$595,$G305,$C$245:$C$595,"&lt;="&amp;I5)&gt;=1000000),SUMIFS($D$245:$D$595,$F$245:$F$595,0,$E$245:$E$595,$G305)*$C$157 ,0)</f>
        <v/>
      </c>
      <c r="K305" s="95">
        <f>IF(AND(SUMIFS($D$245:$D$595,$F$245:$F$595,0,$E$245:$E$595,$G305,$C$245:$C$595,"&lt;="&amp;I$5)&lt;1000000,SUMIFS($D$245:$D$595,$F$245:$F$595,0,$E$245:$E$595,$G305,$C$245:$C$595,"&lt;="&amp;K5)&gt;=1000000),SUMIFS($D$245:$D$595,$F$245:$F$595,0,$E$245:$E$595,$G305)*$C$157 ,0)</f>
        <v/>
      </c>
      <c r="M305" s="95">
        <f>IF(AND(SUMIFS($D$245:$D$595,$F$245:$F$595,0,$E$245:$E$595,$G305,$C$245:$C$595,"&lt;="&amp;K$5)&lt;1000000,SUMIFS($D$245:$D$595,$F$245:$F$595,0,$E$245:$E$595,$G305,$C$245:$C$595,"&lt;="&amp;M5)&gt;=1000000),SUMIFS($D$245:$D$595,$F$245:$F$595,0,$E$245:$E$595,$G305)*$C$157 ,0)</f>
        <v/>
      </c>
      <c r="O305" s="95">
        <f>IF(AND(SUMIFS($D$245:$D$595,$F$245:$F$595,0,$E$245:$E$595,$G305,$C$245:$C$595,"&lt;="&amp;M$5)&lt;1000000,SUMIFS($D$245:$D$595,$F$245:$F$595,0,$E$245:$E$595,$G305,$C$245:$C$595,"&lt;="&amp;O5)&gt;=1000000),SUMIFS($D$245:$D$595,$F$245:$F$595,0,$E$245:$E$595,$G305)*$C$157 ,0)</f>
        <v/>
      </c>
      <c r="Q305" s="95">
        <f>IF(AND(SUMIFS($D$245:$D$595,$F$245:$F$595,0,$E$245:$E$595,$G305,$C$245:$C$595,"&lt;="&amp;O$5)&lt;1000000,SUMIFS($D$245:$D$595,$F$245:$F$595,0,$E$245:$E$595,$G305,$C$245:$C$595,"&lt;="&amp;Q5)&gt;=1000000),SUMIFS($D$245:$D$595,$F$245:$F$595,0,$E$245:$E$595,$G305)*$C$157 ,0)</f>
        <v/>
      </c>
      <c r="S305" s="95">
        <f>IF(AND(SUMIFS($D$245:$D$595,$F$245:$F$595,0,$E$245:$E$595,$G305,$C$245:$C$595,"&lt;="&amp;Q$5)&lt;1000000,SUMIFS($D$245:$D$595,$F$245:$F$595,0,$E$245:$E$595,$G305,$C$245:$C$595,"&lt;="&amp;S5)&gt;=1000000),SUMIFS($D$245:$D$595,$F$245:$F$595,0,$E$245:$E$595,$G305)*$C$157 ,0)</f>
        <v/>
      </c>
      <c r="U305" s="95">
        <f>IF(AND(SUMIFS($D$245:$D$595,$F$245:$F$595,0,$E$245:$E$595,$G305,$C$245:$C$595,"&lt;="&amp;S$5)&lt;1000000,SUMIFS($D$245:$D$595,$F$245:$F$595,0,$E$245:$E$595,$G305,$C$245:$C$595,"&lt;="&amp;U5)&gt;=1000000),SUMIFS($D$245:$D$595,$F$245:$F$595,0,$E$245:$E$595,$G305)*$C$157 ,0)</f>
        <v/>
      </c>
      <c r="W305" s="95">
        <f>IF(AND(SUMIFS($D$245:$D$595,$F$245:$F$595,0,$E$245:$E$595,$G305,$C$245:$C$595,"&lt;="&amp;U$5)&lt;1000000,SUMIFS($D$245:$D$595,$F$245:$F$595,0,$E$245:$E$595,$G305,$C$245:$C$595,"&lt;="&amp;W5)&gt;=1000000),SUMIFS($D$245:$D$595,$F$245:$F$595,0,$E$245:$E$595,$G305)*$C$157 ,0)</f>
        <v/>
      </c>
      <c r="Y305" s="95">
        <f>IF(AND(SUMIFS($D$245:$D$595,$F$245:$F$595,0,$E$245:$E$595,$G305,$C$245:$C$595,"&lt;="&amp;W$5)&lt;1000000,SUMIFS($D$245:$D$595,$F$245:$F$595,0,$E$245:$E$595,$G305,$C$245:$C$595,"&lt;="&amp;Y5)&gt;=1000000),SUMIFS($D$245:$D$595,$F$245:$F$595,0,$E$245:$E$595,$G305)*$C$157 ,0)</f>
        <v/>
      </c>
      <c r="AA305" s="95">
        <f>IF(AND(SUMIFS($D$245:$D$595,$F$245:$F$595,0,$E$245:$E$595,$G305,$C$245:$C$595,"&lt;="&amp;Y$5)&lt;1000000,SUMIFS($D$245:$D$595,$F$245:$F$595,0,$E$245:$E$595,$G305,$C$245:$C$595,"&lt;="&amp;AA5)&gt;=1000000),SUMIFS($D$245:$D$595,$F$245:$F$595,0,$E$245:$E$595,$G305)*$C$157 ,0)</f>
        <v/>
      </c>
      <c r="AC305" s="95">
        <f>IF(AND(SUMIFS($D$245:$D$595,$F$245:$F$595,0,$E$245:$E$595,$G305,$C$245:$C$595,"&lt;="&amp;AA$5)&lt;1000000,SUMIFS($D$245:$D$595,$F$245:$F$595,0,$E$245:$E$595,$G305,$C$245:$C$595,"&lt;="&amp;AC5)&gt;=1000000),SUMIFS($D$245:$D$595,$F$245:$F$595,0,$E$245:$E$595,$G305)*$C$157 ,0)</f>
        <v/>
      </c>
      <c r="AE305" s="95">
        <f>IF(AND(SUMIFS($D$245:$D$595,$F$245:$F$595,0,$E$245:$E$595,$G305,$C$245:$C$595,"&lt;="&amp;AC$5)&lt;1000000,SUMIFS($D$245:$D$595,$F$245:$F$595,0,$E$245:$E$595,$G305,$C$245:$C$595,"&lt;="&amp;AE5)&gt;=1000000),SUMIFS($D$245:$D$595,$F$245:$F$595,0,$E$245:$E$595,$G305)*$C$157 ,0)</f>
        <v/>
      </c>
      <c r="AF305" s="19" t="n"/>
    </row>
    <row r="306">
      <c r="A306" s="20">
        <f>mid(E306, 3, 1)</f>
        <v/>
      </c>
      <c r="B306" s="14" t="inlineStr"/>
      <c r="C306" s="21">
        <f>SUMIFS('Investor Exit List'!$AC:$AC,'Investor Exit List'!$AB:$AB,B306)</f>
        <v/>
      </c>
      <c r="D306" s="14">
        <f>SUMIFS('Investor Exit List'!$Q:$Q,'Investor Exit List'!$AB:$AB,B306)</f>
        <v/>
      </c>
      <c r="E306" s="31">
        <f>LEFT(B306,6)</f>
        <v/>
      </c>
      <c r="F306" s="14">
        <f>IF(SUMIFS($E$119:$E$151,$D$119:$D$151,E306)&lt;&gt;0,E306,0)</f>
        <v/>
      </c>
      <c r="G306" s="59" t="n"/>
      <c r="I306" s="28">
        <f>IF(AND(SUMIFS($D$245:$D$595,$F$245:$F$595,0,$E$245:$E$595,$G306,$C$245:$C$595,"&lt;="&amp;B$2)&lt;1000000,SUMIFS($D$245:$D$595,$F$245:$F$595,0,$E$245:$E$595,$G306,$C$245:$C$595,"&lt;="&amp;I5)&gt;=1000000),SUMIFS($D$245:$D$595,$F$245:$F$595,0,$E$245:$E$595,$G306)*$C$157 ,0)</f>
        <v/>
      </c>
      <c r="K306" s="95">
        <f>IF(AND(SUMIFS($D$245:$D$595,$F$245:$F$595,0,$E$245:$E$595,$G306,$C$245:$C$595,"&lt;="&amp;I$5)&lt;1000000,SUMIFS($D$245:$D$595,$F$245:$F$595,0,$E$245:$E$595,$G306,$C$245:$C$595,"&lt;="&amp;K5)&gt;=1000000),SUMIFS($D$245:$D$595,$F$245:$F$595,0,$E$245:$E$595,$G306)*$C$157 ,0)</f>
        <v/>
      </c>
      <c r="M306" s="95">
        <f>IF(AND(SUMIFS($D$245:$D$595,$F$245:$F$595,0,$E$245:$E$595,$G306,$C$245:$C$595,"&lt;="&amp;K$5)&lt;1000000,SUMIFS($D$245:$D$595,$F$245:$F$595,0,$E$245:$E$595,$G306,$C$245:$C$595,"&lt;="&amp;M5)&gt;=1000000),SUMIFS($D$245:$D$595,$F$245:$F$595,0,$E$245:$E$595,$G306)*$C$157 ,0)</f>
        <v/>
      </c>
      <c r="O306" s="95">
        <f>IF(AND(SUMIFS($D$245:$D$595,$F$245:$F$595,0,$E$245:$E$595,$G306,$C$245:$C$595,"&lt;="&amp;M$5)&lt;1000000,SUMIFS($D$245:$D$595,$F$245:$F$595,0,$E$245:$E$595,$G306,$C$245:$C$595,"&lt;="&amp;O5)&gt;=1000000),SUMIFS($D$245:$D$595,$F$245:$F$595,0,$E$245:$E$595,$G306)*$C$157 ,0)</f>
        <v/>
      </c>
      <c r="Q306" s="95">
        <f>IF(AND(SUMIFS($D$245:$D$595,$F$245:$F$595,0,$E$245:$E$595,$G306,$C$245:$C$595,"&lt;="&amp;O$5)&lt;1000000,SUMIFS($D$245:$D$595,$F$245:$F$595,0,$E$245:$E$595,$G306,$C$245:$C$595,"&lt;="&amp;Q5)&gt;=1000000),SUMIFS($D$245:$D$595,$F$245:$F$595,0,$E$245:$E$595,$G306)*$C$157 ,0)</f>
        <v/>
      </c>
      <c r="S306" s="95">
        <f>IF(AND(SUMIFS($D$245:$D$595,$F$245:$F$595,0,$E$245:$E$595,$G306,$C$245:$C$595,"&lt;="&amp;Q$5)&lt;1000000,SUMIFS($D$245:$D$595,$F$245:$F$595,0,$E$245:$E$595,$G306,$C$245:$C$595,"&lt;="&amp;S5)&gt;=1000000),SUMIFS($D$245:$D$595,$F$245:$F$595,0,$E$245:$E$595,$G306)*$C$157 ,0)</f>
        <v/>
      </c>
      <c r="U306" s="95">
        <f>IF(AND(SUMIFS($D$245:$D$595,$F$245:$F$595,0,$E$245:$E$595,$G306,$C$245:$C$595,"&lt;="&amp;S$5)&lt;1000000,SUMIFS($D$245:$D$595,$F$245:$F$595,0,$E$245:$E$595,$G306,$C$245:$C$595,"&lt;="&amp;U5)&gt;=1000000),SUMIFS($D$245:$D$595,$F$245:$F$595,0,$E$245:$E$595,$G306)*$C$157 ,0)</f>
        <v/>
      </c>
      <c r="W306" s="95">
        <f>IF(AND(SUMIFS($D$245:$D$595,$F$245:$F$595,0,$E$245:$E$595,$G306,$C$245:$C$595,"&lt;="&amp;U$5)&lt;1000000,SUMIFS($D$245:$D$595,$F$245:$F$595,0,$E$245:$E$595,$G306,$C$245:$C$595,"&lt;="&amp;W5)&gt;=1000000),SUMIFS($D$245:$D$595,$F$245:$F$595,0,$E$245:$E$595,$G306)*$C$157 ,0)</f>
        <v/>
      </c>
      <c r="Y306" s="95">
        <f>IF(AND(SUMIFS($D$245:$D$595,$F$245:$F$595,0,$E$245:$E$595,$G306,$C$245:$C$595,"&lt;="&amp;W$5)&lt;1000000,SUMIFS($D$245:$D$595,$F$245:$F$595,0,$E$245:$E$595,$G306,$C$245:$C$595,"&lt;="&amp;Y5)&gt;=1000000),SUMIFS($D$245:$D$595,$F$245:$F$595,0,$E$245:$E$595,$G306)*$C$157 ,0)</f>
        <v/>
      </c>
      <c r="AA306" s="95">
        <f>IF(AND(SUMIFS($D$245:$D$595,$F$245:$F$595,0,$E$245:$E$595,$G306,$C$245:$C$595,"&lt;="&amp;Y$5)&lt;1000000,SUMIFS($D$245:$D$595,$F$245:$F$595,0,$E$245:$E$595,$G306,$C$245:$C$595,"&lt;="&amp;AA5)&gt;=1000000),SUMIFS($D$245:$D$595,$F$245:$F$595,0,$E$245:$E$595,$G306)*$C$157 ,0)</f>
        <v/>
      </c>
      <c r="AC306" s="95">
        <f>IF(AND(SUMIFS($D$245:$D$595,$F$245:$F$595,0,$E$245:$E$595,$G306,$C$245:$C$595,"&lt;="&amp;AA$5)&lt;1000000,SUMIFS($D$245:$D$595,$F$245:$F$595,0,$E$245:$E$595,$G306,$C$245:$C$595,"&lt;="&amp;AC5)&gt;=1000000),SUMIFS($D$245:$D$595,$F$245:$F$595,0,$E$245:$E$595,$G306)*$C$157 ,0)</f>
        <v/>
      </c>
      <c r="AE306" s="95">
        <f>IF(AND(SUMIFS($D$245:$D$595,$F$245:$F$595,0,$E$245:$E$595,$G306,$C$245:$C$595,"&lt;="&amp;AC$5)&lt;1000000,SUMIFS($D$245:$D$595,$F$245:$F$595,0,$E$245:$E$595,$G306,$C$245:$C$595,"&lt;="&amp;AE5)&gt;=1000000),SUMIFS($D$245:$D$595,$F$245:$F$595,0,$E$245:$E$595,$G306)*$C$157 ,0)</f>
        <v/>
      </c>
      <c r="AF306" s="19" t="n"/>
    </row>
    <row r="307">
      <c r="A307" s="20">
        <f>mid(E307, 3, 1)</f>
        <v/>
      </c>
      <c r="B307" s="14" t="inlineStr"/>
      <c r="C307" s="21">
        <f>SUMIFS('Investor Exit List'!$AC:$AC,'Investor Exit List'!$AB:$AB,B307)</f>
        <v/>
      </c>
      <c r="D307" s="14">
        <f>SUMIFS('Investor Exit List'!$Q:$Q,'Investor Exit List'!$AB:$AB,B307)</f>
        <v/>
      </c>
      <c r="E307" s="31">
        <f>LEFT(B307,6)</f>
        <v/>
      </c>
      <c r="F307" s="14">
        <f>IF(SUMIFS($E$119:$E$151,$D$119:$D$151,E307)&lt;&gt;0,E307,0)</f>
        <v/>
      </c>
      <c r="G307" s="59" t="n"/>
      <c r="I307" s="28">
        <f>IF(AND(SUMIFS($D$245:$D$595,$F$245:$F$595,0,$E$245:$E$595,$G307,$C$245:$C$595,"&lt;="&amp;B$2)&lt;1000000,SUMIFS($D$245:$D$595,$F$245:$F$595,0,$E$245:$E$595,$G307,$C$245:$C$595,"&lt;="&amp;I5)&gt;=1000000),SUMIFS($D$245:$D$595,$F$245:$F$595,0,$E$245:$E$595,$G307)*$C$157 ,0)</f>
        <v/>
      </c>
      <c r="K307" s="95">
        <f>IF(AND(SUMIFS($D$245:$D$595,$F$245:$F$595,0,$E$245:$E$595,$G307,$C$245:$C$595,"&lt;="&amp;I$5)&lt;1000000,SUMIFS($D$245:$D$595,$F$245:$F$595,0,$E$245:$E$595,$G307,$C$245:$C$595,"&lt;="&amp;K5)&gt;=1000000),SUMIFS($D$245:$D$595,$F$245:$F$595,0,$E$245:$E$595,$G307)*$C$157 ,0)</f>
        <v/>
      </c>
      <c r="M307" s="95">
        <f>IF(AND(SUMIFS($D$245:$D$595,$F$245:$F$595,0,$E$245:$E$595,$G307,$C$245:$C$595,"&lt;="&amp;K$5)&lt;1000000,SUMIFS($D$245:$D$595,$F$245:$F$595,0,$E$245:$E$595,$G307,$C$245:$C$595,"&lt;="&amp;M5)&gt;=1000000),SUMIFS($D$245:$D$595,$F$245:$F$595,0,$E$245:$E$595,$G307)*$C$157 ,0)</f>
        <v/>
      </c>
      <c r="O307" s="95">
        <f>IF(AND(SUMIFS($D$245:$D$595,$F$245:$F$595,0,$E$245:$E$595,$G307,$C$245:$C$595,"&lt;="&amp;M$5)&lt;1000000,SUMIFS($D$245:$D$595,$F$245:$F$595,0,$E$245:$E$595,$G307,$C$245:$C$595,"&lt;="&amp;O5)&gt;=1000000),SUMIFS($D$245:$D$595,$F$245:$F$595,0,$E$245:$E$595,$G307)*$C$157 ,0)</f>
        <v/>
      </c>
      <c r="Q307" s="95">
        <f>IF(AND(SUMIFS($D$245:$D$595,$F$245:$F$595,0,$E$245:$E$595,$G307,$C$245:$C$595,"&lt;="&amp;O$5)&lt;1000000,SUMIFS($D$245:$D$595,$F$245:$F$595,0,$E$245:$E$595,$G307,$C$245:$C$595,"&lt;="&amp;Q5)&gt;=1000000),SUMIFS($D$245:$D$595,$F$245:$F$595,0,$E$245:$E$595,$G307)*$C$157 ,0)</f>
        <v/>
      </c>
      <c r="S307" s="95">
        <f>IF(AND(SUMIFS($D$245:$D$595,$F$245:$F$595,0,$E$245:$E$595,$G307,$C$245:$C$595,"&lt;="&amp;Q$5)&lt;1000000,SUMIFS($D$245:$D$595,$F$245:$F$595,0,$E$245:$E$595,$G307,$C$245:$C$595,"&lt;="&amp;S5)&gt;=1000000),SUMIFS($D$245:$D$595,$F$245:$F$595,0,$E$245:$E$595,$G307)*$C$157 ,0)</f>
        <v/>
      </c>
      <c r="U307" s="95">
        <f>IF(AND(SUMIFS($D$245:$D$595,$F$245:$F$595,0,$E$245:$E$595,$G307,$C$245:$C$595,"&lt;="&amp;S$5)&lt;1000000,SUMIFS($D$245:$D$595,$F$245:$F$595,0,$E$245:$E$595,$G307,$C$245:$C$595,"&lt;="&amp;U5)&gt;=1000000),SUMIFS($D$245:$D$595,$F$245:$F$595,0,$E$245:$E$595,$G307)*$C$157 ,0)</f>
        <v/>
      </c>
      <c r="W307" s="95">
        <f>IF(AND(SUMIFS($D$245:$D$595,$F$245:$F$595,0,$E$245:$E$595,$G307,$C$245:$C$595,"&lt;="&amp;U$5)&lt;1000000,SUMIFS($D$245:$D$595,$F$245:$F$595,0,$E$245:$E$595,$G307,$C$245:$C$595,"&lt;="&amp;W5)&gt;=1000000),SUMIFS($D$245:$D$595,$F$245:$F$595,0,$E$245:$E$595,$G307)*$C$157 ,0)</f>
        <v/>
      </c>
      <c r="Y307" s="95">
        <f>IF(AND(SUMIFS($D$245:$D$595,$F$245:$F$595,0,$E$245:$E$595,$G307,$C$245:$C$595,"&lt;="&amp;W$5)&lt;1000000,SUMIFS($D$245:$D$595,$F$245:$F$595,0,$E$245:$E$595,$G307,$C$245:$C$595,"&lt;="&amp;Y5)&gt;=1000000),SUMIFS($D$245:$D$595,$F$245:$F$595,0,$E$245:$E$595,$G307)*$C$157 ,0)</f>
        <v/>
      </c>
      <c r="AA307" s="95">
        <f>IF(AND(SUMIFS($D$245:$D$595,$F$245:$F$595,0,$E$245:$E$595,$G307,$C$245:$C$595,"&lt;="&amp;Y$5)&lt;1000000,SUMIFS($D$245:$D$595,$F$245:$F$595,0,$E$245:$E$595,$G307,$C$245:$C$595,"&lt;="&amp;AA5)&gt;=1000000),SUMIFS($D$245:$D$595,$F$245:$F$595,0,$E$245:$E$595,$G307)*$C$157 ,0)</f>
        <v/>
      </c>
      <c r="AC307" s="95">
        <f>IF(AND(SUMIFS($D$245:$D$595,$F$245:$F$595,0,$E$245:$E$595,$G307,$C$245:$C$595,"&lt;="&amp;AA$5)&lt;1000000,SUMIFS($D$245:$D$595,$F$245:$F$595,0,$E$245:$E$595,$G307,$C$245:$C$595,"&lt;="&amp;AC5)&gt;=1000000),SUMIFS($D$245:$D$595,$F$245:$F$595,0,$E$245:$E$595,$G307)*$C$157 ,0)</f>
        <v/>
      </c>
      <c r="AE307" s="95">
        <f>IF(AND(SUMIFS($D$245:$D$595,$F$245:$F$595,0,$E$245:$E$595,$G307,$C$245:$C$595,"&lt;="&amp;AC$5)&lt;1000000,SUMIFS($D$245:$D$595,$F$245:$F$595,0,$E$245:$E$595,$G307,$C$245:$C$595,"&lt;="&amp;AE5)&gt;=1000000),SUMIFS($D$245:$D$595,$F$245:$F$595,0,$E$245:$E$595,$G307)*$C$157 ,0)</f>
        <v/>
      </c>
      <c r="AF307" s="19" t="n"/>
    </row>
    <row r="308">
      <c r="A308" s="20">
        <f>mid(E308, 3, 1)</f>
        <v/>
      </c>
      <c r="B308" s="14" t="inlineStr"/>
      <c r="C308" s="21">
        <f>SUMIFS('Investor Exit List'!$AC:$AC,'Investor Exit List'!$AB:$AB,B308)</f>
        <v/>
      </c>
      <c r="D308" s="14">
        <f>SUMIFS('Investor Exit List'!$Q:$Q,'Investor Exit List'!$AB:$AB,B308)</f>
        <v/>
      </c>
      <c r="E308" s="31">
        <f>LEFT(B308,6)</f>
        <v/>
      </c>
      <c r="F308" s="14">
        <f>IF(SUMIFS($E$119:$E$151,$D$119:$D$151,E308)&lt;&gt;0,E308,0)</f>
        <v/>
      </c>
      <c r="G308" s="59" t="n"/>
      <c r="I308" s="28">
        <f>IF(AND(SUMIFS($D$245:$D$595,$F$245:$F$595,0,$E$245:$E$595,$G308,$C$245:$C$595,"&lt;="&amp;B$2)&lt;1000000,SUMIFS($D$245:$D$595,$F$245:$F$595,0,$E$245:$E$595,$G308,$C$245:$C$595,"&lt;="&amp;I5)&gt;=1000000),SUMIFS($D$245:$D$595,$F$245:$F$595,0,$E$245:$E$595,$G308)*$C$157 ,0)</f>
        <v/>
      </c>
      <c r="K308" s="95">
        <f>IF(AND(SUMIFS($D$245:$D$595,$F$245:$F$595,0,$E$245:$E$595,$G308,$C$245:$C$595,"&lt;="&amp;I$5)&lt;1000000,SUMIFS($D$245:$D$595,$F$245:$F$595,0,$E$245:$E$595,$G308,$C$245:$C$595,"&lt;="&amp;K5)&gt;=1000000),SUMIFS($D$245:$D$595,$F$245:$F$595,0,$E$245:$E$595,$G308)*$C$157 ,0)</f>
        <v/>
      </c>
      <c r="M308" s="95">
        <f>IF(AND(SUMIFS($D$245:$D$595,$F$245:$F$595,0,$E$245:$E$595,$G308,$C$245:$C$595,"&lt;="&amp;K$5)&lt;1000000,SUMIFS($D$245:$D$595,$F$245:$F$595,0,$E$245:$E$595,$G308,$C$245:$C$595,"&lt;="&amp;M5)&gt;=1000000),SUMIFS($D$245:$D$595,$F$245:$F$595,0,$E$245:$E$595,$G308)*$C$157 ,0)</f>
        <v/>
      </c>
      <c r="O308" s="95">
        <f>IF(AND(SUMIFS($D$245:$D$595,$F$245:$F$595,0,$E$245:$E$595,$G308,$C$245:$C$595,"&lt;="&amp;M$5)&lt;1000000,SUMIFS($D$245:$D$595,$F$245:$F$595,0,$E$245:$E$595,$G308,$C$245:$C$595,"&lt;="&amp;O5)&gt;=1000000),SUMIFS($D$245:$D$595,$F$245:$F$595,0,$E$245:$E$595,$G308)*$C$157 ,0)</f>
        <v/>
      </c>
      <c r="Q308" s="95">
        <f>IF(AND(SUMIFS($D$245:$D$595,$F$245:$F$595,0,$E$245:$E$595,$G308,$C$245:$C$595,"&lt;="&amp;O$5)&lt;1000000,SUMIFS($D$245:$D$595,$F$245:$F$595,0,$E$245:$E$595,$G308,$C$245:$C$595,"&lt;="&amp;Q5)&gt;=1000000),SUMIFS($D$245:$D$595,$F$245:$F$595,0,$E$245:$E$595,$G308)*$C$157 ,0)</f>
        <v/>
      </c>
      <c r="S308" s="95">
        <f>IF(AND(SUMIFS($D$245:$D$595,$F$245:$F$595,0,$E$245:$E$595,$G308,$C$245:$C$595,"&lt;="&amp;Q$5)&lt;1000000,SUMIFS($D$245:$D$595,$F$245:$F$595,0,$E$245:$E$595,$G308,$C$245:$C$595,"&lt;="&amp;S5)&gt;=1000000),SUMIFS($D$245:$D$595,$F$245:$F$595,0,$E$245:$E$595,$G308)*$C$157 ,0)</f>
        <v/>
      </c>
      <c r="U308" s="95">
        <f>IF(AND(SUMIFS($D$245:$D$595,$F$245:$F$595,0,$E$245:$E$595,$G308,$C$245:$C$595,"&lt;="&amp;S$5)&lt;1000000,SUMIFS($D$245:$D$595,$F$245:$F$595,0,$E$245:$E$595,$G308,$C$245:$C$595,"&lt;="&amp;U5)&gt;=1000000),SUMIFS($D$245:$D$595,$F$245:$F$595,0,$E$245:$E$595,$G308)*$C$157 ,0)</f>
        <v/>
      </c>
      <c r="W308" s="95">
        <f>IF(AND(SUMIFS($D$245:$D$595,$F$245:$F$595,0,$E$245:$E$595,$G308,$C$245:$C$595,"&lt;="&amp;U$5)&lt;1000000,SUMIFS($D$245:$D$595,$F$245:$F$595,0,$E$245:$E$595,$G308,$C$245:$C$595,"&lt;="&amp;W5)&gt;=1000000),SUMIFS($D$245:$D$595,$F$245:$F$595,0,$E$245:$E$595,$G308)*$C$157 ,0)</f>
        <v/>
      </c>
      <c r="Y308" s="95">
        <f>IF(AND(SUMIFS($D$245:$D$595,$F$245:$F$595,0,$E$245:$E$595,$G308,$C$245:$C$595,"&lt;="&amp;W$5)&lt;1000000,SUMIFS($D$245:$D$595,$F$245:$F$595,0,$E$245:$E$595,$G308,$C$245:$C$595,"&lt;="&amp;Y5)&gt;=1000000),SUMIFS($D$245:$D$595,$F$245:$F$595,0,$E$245:$E$595,$G308)*$C$157 ,0)</f>
        <v/>
      </c>
      <c r="AA308" s="95">
        <f>IF(AND(SUMIFS($D$245:$D$595,$F$245:$F$595,0,$E$245:$E$595,$G308,$C$245:$C$595,"&lt;="&amp;Y$5)&lt;1000000,SUMIFS($D$245:$D$595,$F$245:$F$595,0,$E$245:$E$595,$G308,$C$245:$C$595,"&lt;="&amp;AA5)&gt;=1000000),SUMIFS($D$245:$D$595,$F$245:$F$595,0,$E$245:$E$595,$G308)*$C$157 ,0)</f>
        <v/>
      </c>
      <c r="AC308" s="95">
        <f>IF(AND(SUMIFS($D$245:$D$595,$F$245:$F$595,0,$E$245:$E$595,$G308,$C$245:$C$595,"&lt;="&amp;AA$5)&lt;1000000,SUMIFS($D$245:$D$595,$F$245:$F$595,0,$E$245:$E$595,$G308,$C$245:$C$595,"&lt;="&amp;AC5)&gt;=1000000),SUMIFS($D$245:$D$595,$F$245:$F$595,0,$E$245:$E$595,$G308)*$C$157 ,0)</f>
        <v/>
      </c>
      <c r="AE308" s="95">
        <f>IF(AND(SUMIFS($D$245:$D$595,$F$245:$F$595,0,$E$245:$E$595,$G308,$C$245:$C$595,"&lt;="&amp;AC$5)&lt;1000000,SUMIFS($D$245:$D$595,$F$245:$F$595,0,$E$245:$E$595,$G308,$C$245:$C$595,"&lt;="&amp;AE5)&gt;=1000000),SUMIFS($D$245:$D$595,$F$245:$F$595,0,$E$245:$E$595,$G308)*$C$157 ,0)</f>
        <v/>
      </c>
      <c r="AF308" s="19" t="n"/>
    </row>
    <row r="309">
      <c r="A309" s="20">
        <f>mid(E309, 3, 1)</f>
        <v/>
      </c>
      <c r="B309" s="14" t="inlineStr"/>
      <c r="C309" s="21">
        <f>SUMIFS('Investor Exit List'!$AC:$AC,'Investor Exit List'!$AB:$AB,B309)</f>
        <v/>
      </c>
      <c r="D309" s="14">
        <f>SUMIFS('Investor Exit List'!$Q:$Q,'Investor Exit List'!$AB:$AB,B309)</f>
        <v/>
      </c>
      <c r="E309" s="31">
        <f>LEFT(B309,6)</f>
        <v/>
      </c>
      <c r="F309" s="14">
        <f>IF(SUMIFS($E$119:$E$151,$D$119:$D$151,E309)&lt;&gt;0,E309,0)</f>
        <v/>
      </c>
      <c r="G309" s="59" t="n"/>
      <c r="I309" s="28">
        <f>IF(AND(SUMIFS($D$245:$D$595,$F$245:$F$595,0,$E$245:$E$595,$G309,$C$245:$C$595,"&lt;="&amp;B$2)&lt;1000000,SUMIFS($D$245:$D$595,$F$245:$F$595,0,$E$245:$E$595,$G309,$C$245:$C$595,"&lt;="&amp;I5)&gt;=1000000),SUMIFS($D$245:$D$595,$F$245:$F$595,0,$E$245:$E$595,$G309)*$C$157 ,0)</f>
        <v/>
      </c>
      <c r="K309" s="95">
        <f>IF(AND(SUMIFS($D$245:$D$595,$F$245:$F$595,0,$E$245:$E$595,$G309,$C$245:$C$595,"&lt;="&amp;I$5)&lt;1000000,SUMIFS($D$245:$D$595,$F$245:$F$595,0,$E$245:$E$595,$G309,$C$245:$C$595,"&lt;="&amp;K5)&gt;=1000000),SUMIFS($D$245:$D$595,$F$245:$F$595,0,$E$245:$E$595,$G309)*$C$157 ,0)</f>
        <v/>
      </c>
      <c r="M309" s="95">
        <f>IF(AND(SUMIFS($D$245:$D$595,$F$245:$F$595,0,$E$245:$E$595,$G309,$C$245:$C$595,"&lt;="&amp;K$5)&lt;1000000,SUMIFS($D$245:$D$595,$F$245:$F$595,0,$E$245:$E$595,$G309,$C$245:$C$595,"&lt;="&amp;M5)&gt;=1000000),SUMIFS($D$245:$D$595,$F$245:$F$595,0,$E$245:$E$595,$G309)*$C$157 ,0)</f>
        <v/>
      </c>
      <c r="O309" s="95">
        <f>IF(AND(SUMIFS($D$245:$D$595,$F$245:$F$595,0,$E$245:$E$595,$G309,$C$245:$C$595,"&lt;="&amp;M$5)&lt;1000000,SUMIFS($D$245:$D$595,$F$245:$F$595,0,$E$245:$E$595,$G309,$C$245:$C$595,"&lt;="&amp;O5)&gt;=1000000),SUMIFS($D$245:$D$595,$F$245:$F$595,0,$E$245:$E$595,$G309)*$C$157 ,0)</f>
        <v/>
      </c>
      <c r="Q309" s="95">
        <f>IF(AND(SUMIFS($D$245:$D$595,$F$245:$F$595,0,$E$245:$E$595,$G309,$C$245:$C$595,"&lt;="&amp;O$5)&lt;1000000,SUMIFS($D$245:$D$595,$F$245:$F$595,0,$E$245:$E$595,$G309,$C$245:$C$595,"&lt;="&amp;Q5)&gt;=1000000),SUMIFS($D$245:$D$595,$F$245:$F$595,0,$E$245:$E$595,$G309)*$C$157 ,0)</f>
        <v/>
      </c>
      <c r="S309" s="95">
        <f>IF(AND(SUMIFS($D$245:$D$595,$F$245:$F$595,0,$E$245:$E$595,$G309,$C$245:$C$595,"&lt;="&amp;Q$5)&lt;1000000,SUMIFS($D$245:$D$595,$F$245:$F$595,0,$E$245:$E$595,$G309,$C$245:$C$595,"&lt;="&amp;S5)&gt;=1000000),SUMIFS($D$245:$D$595,$F$245:$F$595,0,$E$245:$E$595,$G309)*$C$157 ,0)</f>
        <v/>
      </c>
      <c r="U309" s="95">
        <f>IF(AND(SUMIFS($D$245:$D$595,$F$245:$F$595,0,$E$245:$E$595,$G309,$C$245:$C$595,"&lt;="&amp;S$5)&lt;1000000,SUMIFS($D$245:$D$595,$F$245:$F$595,0,$E$245:$E$595,$G309,$C$245:$C$595,"&lt;="&amp;U5)&gt;=1000000),SUMIFS($D$245:$D$595,$F$245:$F$595,0,$E$245:$E$595,$G309)*$C$157 ,0)</f>
        <v/>
      </c>
      <c r="W309" s="95">
        <f>IF(AND(SUMIFS($D$245:$D$595,$F$245:$F$595,0,$E$245:$E$595,$G309,$C$245:$C$595,"&lt;="&amp;U$5)&lt;1000000,SUMIFS($D$245:$D$595,$F$245:$F$595,0,$E$245:$E$595,$G309,$C$245:$C$595,"&lt;="&amp;W5)&gt;=1000000),SUMIFS($D$245:$D$595,$F$245:$F$595,0,$E$245:$E$595,$G309)*$C$157 ,0)</f>
        <v/>
      </c>
      <c r="Y309" s="95">
        <f>IF(AND(SUMIFS($D$245:$D$595,$F$245:$F$595,0,$E$245:$E$595,$G309,$C$245:$C$595,"&lt;="&amp;W$5)&lt;1000000,SUMIFS($D$245:$D$595,$F$245:$F$595,0,$E$245:$E$595,$G309,$C$245:$C$595,"&lt;="&amp;Y5)&gt;=1000000),SUMIFS($D$245:$D$595,$F$245:$F$595,0,$E$245:$E$595,$G309)*$C$157 ,0)</f>
        <v/>
      </c>
      <c r="AA309" s="95">
        <f>IF(AND(SUMIFS($D$245:$D$595,$F$245:$F$595,0,$E$245:$E$595,$G309,$C$245:$C$595,"&lt;="&amp;Y$5)&lt;1000000,SUMIFS($D$245:$D$595,$F$245:$F$595,0,$E$245:$E$595,$G309,$C$245:$C$595,"&lt;="&amp;AA5)&gt;=1000000),SUMIFS($D$245:$D$595,$F$245:$F$595,0,$E$245:$E$595,$G309)*$C$157 ,0)</f>
        <v/>
      </c>
      <c r="AC309" s="95">
        <f>IF(AND(SUMIFS($D$245:$D$595,$F$245:$F$595,0,$E$245:$E$595,$G309,$C$245:$C$595,"&lt;="&amp;AA$5)&lt;1000000,SUMIFS($D$245:$D$595,$F$245:$F$595,0,$E$245:$E$595,$G309,$C$245:$C$595,"&lt;="&amp;AC5)&gt;=1000000),SUMIFS($D$245:$D$595,$F$245:$F$595,0,$E$245:$E$595,$G309)*$C$157 ,0)</f>
        <v/>
      </c>
      <c r="AE309" s="95">
        <f>IF(AND(SUMIFS($D$245:$D$595,$F$245:$F$595,0,$E$245:$E$595,$G309,$C$245:$C$595,"&lt;="&amp;AC$5)&lt;1000000,SUMIFS($D$245:$D$595,$F$245:$F$595,0,$E$245:$E$595,$G309,$C$245:$C$595,"&lt;="&amp;AE5)&gt;=1000000),SUMIFS($D$245:$D$595,$F$245:$F$595,0,$E$245:$E$595,$G309)*$C$157 ,0)</f>
        <v/>
      </c>
      <c r="AF309" s="19" t="n"/>
    </row>
    <row r="310">
      <c r="A310" s="20">
        <f>mid(E310, 3, 1)</f>
        <v/>
      </c>
      <c r="B310" s="14" t="inlineStr"/>
      <c r="C310" s="21">
        <f>SUMIFS('Investor Exit List'!$AC:$AC,'Investor Exit List'!$AB:$AB,B310)</f>
        <v/>
      </c>
      <c r="D310" s="14">
        <f>SUMIFS('Investor Exit List'!$Q:$Q,'Investor Exit List'!$AB:$AB,B310)</f>
        <v/>
      </c>
      <c r="E310" s="31">
        <f>LEFT(B310,6)</f>
        <v/>
      </c>
      <c r="F310" s="14">
        <f>IF(SUMIFS($E$119:$E$151,$D$119:$D$151,E310)&lt;&gt;0,E310,0)</f>
        <v/>
      </c>
      <c r="G310" s="59" t="n"/>
      <c r="I310" s="28">
        <f>IF(AND(SUMIFS($D$245:$D$595,$F$245:$F$595,0,$E$245:$E$595,$G310,$C$245:$C$595,"&lt;="&amp;B$2)&lt;1000000,SUMIFS($D$245:$D$595,$F$245:$F$595,0,$E$245:$E$595,$G310,$C$245:$C$595,"&lt;="&amp;I5)&gt;=1000000),SUMIFS($D$245:$D$595,$F$245:$F$595,0,$E$245:$E$595,$G310)*$C$157 ,0)</f>
        <v/>
      </c>
      <c r="K310" s="95">
        <f>IF(AND(SUMIFS($D$245:$D$595,$F$245:$F$595,0,$E$245:$E$595,$G310,$C$245:$C$595,"&lt;="&amp;I$5)&lt;1000000,SUMIFS($D$245:$D$595,$F$245:$F$595,0,$E$245:$E$595,$G310,$C$245:$C$595,"&lt;="&amp;K5)&gt;=1000000),SUMIFS($D$245:$D$595,$F$245:$F$595,0,$E$245:$E$595,$G310)*$C$157 ,0)</f>
        <v/>
      </c>
      <c r="M310" s="95">
        <f>IF(AND(SUMIFS($D$245:$D$595,$F$245:$F$595,0,$E$245:$E$595,$G310,$C$245:$C$595,"&lt;="&amp;K$5)&lt;1000000,SUMIFS($D$245:$D$595,$F$245:$F$595,0,$E$245:$E$595,$G310,$C$245:$C$595,"&lt;="&amp;M5)&gt;=1000000),SUMIFS($D$245:$D$595,$F$245:$F$595,0,$E$245:$E$595,$G310)*$C$157 ,0)</f>
        <v/>
      </c>
      <c r="O310" s="95">
        <f>IF(AND(SUMIFS($D$245:$D$595,$F$245:$F$595,0,$E$245:$E$595,$G310,$C$245:$C$595,"&lt;="&amp;M$5)&lt;1000000,SUMIFS($D$245:$D$595,$F$245:$F$595,0,$E$245:$E$595,$G310,$C$245:$C$595,"&lt;="&amp;O5)&gt;=1000000),SUMIFS($D$245:$D$595,$F$245:$F$595,0,$E$245:$E$595,$G310)*$C$157 ,0)</f>
        <v/>
      </c>
      <c r="Q310" s="95">
        <f>IF(AND(SUMIFS($D$245:$D$595,$F$245:$F$595,0,$E$245:$E$595,$G310,$C$245:$C$595,"&lt;="&amp;O$5)&lt;1000000,SUMIFS($D$245:$D$595,$F$245:$F$595,0,$E$245:$E$595,$G310,$C$245:$C$595,"&lt;="&amp;Q5)&gt;=1000000),SUMIFS($D$245:$D$595,$F$245:$F$595,0,$E$245:$E$595,$G310)*$C$157 ,0)</f>
        <v/>
      </c>
      <c r="S310" s="95">
        <f>IF(AND(SUMIFS($D$245:$D$595,$F$245:$F$595,0,$E$245:$E$595,$G310,$C$245:$C$595,"&lt;="&amp;Q$5)&lt;1000000,SUMIFS($D$245:$D$595,$F$245:$F$595,0,$E$245:$E$595,$G310,$C$245:$C$595,"&lt;="&amp;S5)&gt;=1000000),SUMIFS($D$245:$D$595,$F$245:$F$595,0,$E$245:$E$595,$G310)*$C$157 ,0)</f>
        <v/>
      </c>
      <c r="U310" s="95">
        <f>IF(AND(SUMIFS($D$245:$D$595,$F$245:$F$595,0,$E$245:$E$595,$G310,$C$245:$C$595,"&lt;="&amp;S$5)&lt;1000000,SUMIFS($D$245:$D$595,$F$245:$F$595,0,$E$245:$E$595,$G310,$C$245:$C$595,"&lt;="&amp;U5)&gt;=1000000),SUMIFS($D$245:$D$595,$F$245:$F$595,0,$E$245:$E$595,$G310)*$C$157 ,0)</f>
        <v/>
      </c>
      <c r="W310" s="95">
        <f>IF(AND(SUMIFS($D$245:$D$595,$F$245:$F$595,0,$E$245:$E$595,$G310,$C$245:$C$595,"&lt;="&amp;U$5)&lt;1000000,SUMIFS($D$245:$D$595,$F$245:$F$595,0,$E$245:$E$595,$G310,$C$245:$C$595,"&lt;="&amp;W5)&gt;=1000000),SUMIFS($D$245:$D$595,$F$245:$F$595,0,$E$245:$E$595,$G310)*$C$157 ,0)</f>
        <v/>
      </c>
      <c r="Y310" s="95">
        <f>IF(AND(SUMIFS($D$245:$D$595,$F$245:$F$595,0,$E$245:$E$595,$G310,$C$245:$C$595,"&lt;="&amp;W$5)&lt;1000000,SUMIFS($D$245:$D$595,$F$245:$F$595,0,$E$245:$E$595,$G310,$C$245:$C$595,"&lt;="&amp;Y5)&gt;=1000000),SUMIFS($D$245:$D$595,$F$245:$F$595,0,$E$245:$E$595,$G310)*$C$157 ,0)</f>
        <v/>
      </c>
      <c r="AA310" s="95">
        <f>IF(AND(SUMIFS($D$245:$D$595,$F$245:$F$595,0,$E$245:$E$595,$G310,$C$245:$C$595,"&lt;="&amp;Y$5)&lt;1000000,SUMIFS($D$245:$D$595,$F$245:$F$595,0,$E$245:$E$595,$G310,$C$245:$C$595,"&lt;="&amp;AA5)&gt;=1000000),SUMIFS($D$245:$D$595,$F$245:$F$595,0,$E$245:$E$595,$G310)*$C$157 ,0)</f>
        <v/>
      </c>
      <c r="AC310" s="95">
        <f>IF(AND(SUMIFS($D$245:$D$595,$F$245:$F$595,0,$E$245:$E$595,$G310,$C$245:$C$595,"&lt;="&amp;AA$5)&lt;1000000,SUMIFS($D$245:$D$595,$F$245:$F$595,0,$E$245:$E$595,$G310,$C$245:$C$595,"&lt;="&amp;AC5)&gt;=1000000),SUMIFS($D$245:$D$595,$F$245:$F$595,0,$E$245:$E$595,$G310)*$C$157 ,0)</f>
        <v/>
      </c>
      <c r="AE310" s="95">
        <f>IF(AND(SUMIFS($D$245:$D$595,$F$245:$F$595,0,$E$245:$E$595,$G310,$C$245:$C$595,"&lt;="&amp;AC$5)&lt;1000000,SUMIFS($D$245:$D$595,$F$245:$F$595,0,$E$245:$E$595,$G310,$C$245:$C$595,"&lt;="&amp;AE5)&gt;=1000000),SUMIFS($D$245:$D$595,$F$245:$F$595,0,$E$245:$E$595,$G310)*$C$157 ,0)</f>
        <v/>
      </c>
      <c r="AF310" s="19" t="n"/>
    </row>
    <row r="311">
      <c r="A311" s="20">
        <f>mid(E311, 3, 1)</f>
        <v/>
      </c>
      <c r="B311" s="14" t="inlineStr"/>
      <c r="C311" s="21">
        <f>SUMIFS('Investor Exit List'!$AC:$AC,'Investor Exit List'!$AB:$AB,B311)</f>
        <v/>
      </c>
      <c r="D311" s="14">
        <f>SUMIFS('Investor Exit List'!$Q:$Q,'Investor Exit List'!$AB:$AB,B311)</f>
        <v/>
      </c>
      <c r="E311" s="31">
        <f>LEFT(B311,6)</f>
        <v/>
      </c>
      <c r="F311" s="14">
        <f>IF(SUMIFS($E$119:$E$151,$D$119:$D$151,E311)&lt;&gt;0,E311,0)</f>
        <v/>
      </c>
      <c r="G311" s="59" t="n"/>
      <c r="I311" s="28">
        <f>IF(AND(SUMIFS($D$245:$D$595,$F$245:$F$595,0,$E$245:$E$595,$G311,$C$245:$C$595,"&lt;="&amp;B$2)&lt;1000000,SUMIFS($D$245:$D$595,$F$245:$F$595,0,$E$245:$E$595,$G311,$C$245:$C$595,"&lt;="&amp;I5)&gt;=1000000),SUMIFS($D$245:$D$595,$F$245:$F$595,0,$E$245:$E$595,$G311)*$C$157 ,0)</f>
        <v/>
      </c>
      <c r="K311" s="95">
        <f>IF(AND(SUMIFS($D$245:$D$595,$F$245:$F$595,0,$E$245:$E$595,$G311,$C$245:$C$595,"&lt;="&amp;I$5)&lt;1000000,SUMIFS($D$245:$D$595,$F$245:$F$595,0,$E$245:$E$595,$G311,$C$245:$C$595,"&lt;="&amp;K5)&gt;=1000000),SUMIFS($D$245:$D$595,$F$245:$F$595,0,$E$245:$E$595,$G311)*$C$157 ,0)</f>
        <v/>
      </c>
      <c r="M311" s="95">
        <f>IF(AND(SUMIFS($D$245:$D$595,$F$245:$F$595,0,$E$245:$E$595,$G311,$C$245:$C$595,"&lt;="&amp;K$5)&lt;1000000,SUMIFS($D$245:$D$595,$F$245:$F$595,0,$E$245:$E$595,$G311,$C$245:$C$595,"&lt;="&amp;M5)&gt;=1000000),SUMIFS($D$245:$D$595,$F$245:$F$595,0,$E$245:$E$595,$G311)*$C$157 ,0)</f>
        <v/>
      </c>
      <c r="O311" s="95">
        <f>IF(AND(SUMIFS($D$245:$D$595,$F$245:$F$595,0,$E$245:$E$595,$G311,$C$245:$C$595,"&lt;="&amp;M$5)&lt;1000000,SUMIFS($D$245:$D$595,$F$245:$F$595,0,$E$245:$E$595,$G311,$C$245:$C$595,"&lt;="&amp;O5)&gt;=1000000),SUMIFS($D$245:$D$595,$F$245:$F$595,0,$E$245:$E$595,$G311)*$C$157 ,0)</f>
        <v/>
      </c>
      <c r="Q311" s="95">
        <f>IF(AND(SUMIFS($D$245:$D$595,$F$245:$F$595,0,$E$245:$E$595,$G311,$C$245:$C$595,"&lt;="&amp;O$5)&lt;1000000,SUMIFS($D$245:$D$595,$F$245:$F$595,0,$E$245:$E$595,$G311,$C$245:$C$595,"&lt;="&amp;Q5)&gt;=1000000),SUMIFS($D$245:$D$595,$F$245:$F$595,0,$E$245:$E$595,$G311)*$C$157 ,0)</f>
        <v/>
      </c>
      <c r="S311" s="95">
        <f>IF(AND(SUMIFS($D$245:$D$595,$F$245:$F$595,0,$E$245:$E$595,$G311,$C$245:$C$595,"&lt;="&amp;Q$5)&lt;1000000,SUMIFS($D$245:$D$595,$F$245:$F$595,0,$E$245:$E$595,$G311,$C$245:$C$595,"&lt;="&amp;S5)&gt;=1000000),SUMIFS($D$245:$D$595,$F$245:$F$595,0,$E$245:$E$595,$G311)*$C$157 ,0)</f>
        <v/>
      </c>
      <c r="U311" s="95">
        <f>IF(AND(SUMIFS($D$245:$D$595,$F$245:$F$595,0,$E$245:$E$595,$G311,$C$245:$C$595,"&lt;="&amp;S$5)&lt;1000000,SUMIFS($D$245:$D$595,$F$245:$F$595,0,$E$245:$E$595,$G311,$C$245:$C$595,"&lt;="&amp;U5)&gt;=1000000),SUMIFS($D$245:$D$595,$F$245:$F$595,0,$E$245:$E$595,$G311)*$C$157 ,0)</f>
        <v/>
      </c>
      <c r="W311" s="95">
        <f>IF(AND(SUMIFS($D$245:$D$595,$F$245:$F$595,0,$E$245:$E$595,$G311,$C$245:$C$595,"&lt;="&amp;U$5)&lt;1000000,SUMIFS($D$245:$D$595,$F$245:$F$595,0,$E$245:$E$595,$G311,$C$245:$C$595,"&lt;="&amp;W5)&gt;=1000000),SUMIFS($D$245:$D$595,$F$245:$F$595,0,$E$245:$E$595,$G311)*$C$157 ,0)</f>
        <v/>
      </c>
      <c r="Y311" s="95">
        <f>IF(AND(SUMIFS($D$245:$D$595,$F$245:$F$595,0,$E$245:$E$595,$G311,$C$245:$C$595,"&lt;="&amp;W$5)&lt;1000000,SUMIFS($D$245:$D$595,$F$245:$F$595,0,$E$245:$E$595,$G311,$C$245:$C$595,"&lt;="&amp;Y5)&gt;=1000000),SUMIFS($D$245:$D$595,$F$245:$F$595,0,$E$245:$E$595,$G311)*$C$157 ,0)</f>
        <v/>
      </c>
      <c r="AA311" s="95">
        <f>IF(AND(SUMIFS($D$245:$D$595,$F$245:$F$595,0,$E$245:$E$595,$G311,$C$245:$C$595,"&lt;="&amp;Y$5)&lt;1000000,SUMIFS($D$245:$D$595,$F$245:$F$595,0,$E$245:$E$595,$G311,$C$245:$C$595,"&lt;="&amp;AA5)&gt;=1000000),SUMIFS($D$245:$D$595,$F$245:$F$595,0,$E$245:$E$595,$G311)*$C$157 ,0)</f>
        <v/>
      </c>
      <c r="AC311" s="95">
        <f>IF(AND(SUMIFS($D$245:$D$595,$F$245:$F$595,0,$E$245:$E$595,$G311,$C$245:$C$595,"&lt;="&amp;AA$5)&lt;1000000,SUMIFS($D$245:$D$595,$F$245:$F$595,0,$E$245:$E$595,$G311,$C$245:$C$595,"&lt;="&amp;AC5)&gt;=1000000),SUMIFS($D$245:$D$595,$F$245:$F$595,0,$E$245:$E$595,$G311)*$C$157 ,0)</f>
        <v/>
      </c>
      <c r="AE311" s="95">
        <f>IF(AND(SUMIFS($D$245:$D$595,$F$245:$F$595,0,$E$245:$E$595,$G311,$C$245:$C$595,"&lt;="&amp;AC$5)&lt;1000000,SUMIFS($D$245:$D$595,$F$245:$F$595,0,$E$245:$E$595,$G311,$C$245:$C$595,"&lt;="&amp;AE5)&gt;=1000000),SUMIFS($D$245:$D$595,$F$245:$F$595,0,$E$245:$E$595,$G311)*$C$157 ,0)</f>
        <v/>
      </c>
      <c r="AF311" s="19" t="n"/>
    </row>
    <row r="312">
      <c r="A312" s="20">
        <f>mid(E312, 3, 1)</f>
        <v/>
      </c>
      <c r="B312" s="14" t="inlineStr"/>
      <c r="C312" s="21">
        <f>SUMIFS('Investor Exit List'!$AC:$AC,'Investor Exit List'!$AB:$AB,B312)</f>
        <v/>
      </c>
      <c r="D312" s="14">
        <f>SUMIFS('Investor Exit List'!$Q:$Q,'Investor Exit List'!$AB:$AB,B312)</f>
        <v/>
      </c>
      <c r="E312" s="31">
        <f>LEFT(B312,6)</f>
        <v/>
      </c>
      <c r="F312" s="14">
        <f>IF(SUMIFS($E$119:$E$151,$D$119:$D$151,E312)&lt;&gt;0,E312,0)</f>
        <v/>
      </c>
      <c r="G312" s="59" t="n"/>
      <c r="I312" s="28">
        <f>IF(AND(SUMIFS($D$245:$D$595,$F$245:$F$595,0,$E$245:$E$595,$G312,$C$245:$C$595,"&lt;="&amp;B$2)&lt;1000000,SUMIFS($D$245:$D$595,$F$245:$F$595,0,$E$245:$E$595,$G312,$C$245:$C$595,"&lt;="&amp;I5)&gt;=1000000),SUMIFS($D$245:$D$595,$F$245:$F$595,0,$E$245:$E$595,$G312)*$C$157 ,0)</f>
        <v/>
      </c>
      <c r="K312" s="95">
        <f>IF(AND(SUMIFS($D$245:$D$595,$F$245:$F$595,0,$E$245:$E$595,$G312,$C$245:$C$595,"&lt;="&amp;I$5)&lt;1000000,SUMIFS($D$245:$D$595,$F$245:$F$595,0,$E$245:$E$595,$G312,$C$245:$C$595,"&lt;="&amp;K5)&gt;=1000000),SUMIFS($D$245:$D$595,$F$245:$F$595,0,$E$245:$E$595,$G312)*$C$157 ,0)</f>
        <v/>
      </c>
      <c r="M312" s="95">
        <f>IF(AND(SUMIFS($D$245:$D$595,$F$245:$F$595,0,$E$245:$E$595,$G312,$C$245:$C$595,"&lt;="&amp;K$5)&lt;1000000,SUMIFS($D$245:$D$595,$F$245:$F$595,0,$E$245:$E$595,$G312,$C$245:$C$595,"&lt;="&amp;M5)&gt;=1000000),SUMIFS($D$245:$D$595,$F$245:$F$595,0,$E$245:$E$595,$G312)*$C$157 ,0)</f>
        <v/>
      </c>
      <c r="O312" s="95">
        <f>IF(AND(SUMIFS($D$245:$D$595,$F$245:$F$595,0,$E$245:$E$595,$G312,$C$245:$C$595,"&lt;="&amp;M$5)&lt;1000000,SUMIFS($D$245:$D$595,$F$245:$F$595,0,$E$245:$E$595,$G312,$C$245:$C$595,"&lt;="&amp;O5)&gt;=1000000),SUMIFS($D$245:$D$595,$F$245:$F$595,0,$E$245:$E$595,$G312)*$C$157 ,0)</f>
        <v/>
      </c>
      <c r="Q312" s="95">
        <f>IF(AND(SUMIFS($D$245:$D$595,$F$245:$F$595,0,$E$245:$E$595,$G312,$C$245:$C$595,"&lt;="&amp;O$5)&lt;1000000,SUMIFS($D$245:$D$595,$F$245:$F$595,0,$E$245:$E$595,$G312,$C$245:$C$595,"&lt;="&amp;Q5)&gt;=1000000),SUMIFS($D$245:$D$595,$F$245:$F$595,0,$E$245:$E$595,$G312)*$C$157 ,0)</f>
        <v/>
      </c>
      <c r="S312" s="95">
        <f>IF(AND(SUMIFS($D$245:$D$595,$F$245:$F$595,0,$E$245:$E$595,$G312,$C$245:$C$595,"&lt;="&amp;Q$5)&lt;1000000,SUMIFS($D$245:$D$595,$F$245:$F$595,0,$E$245:$E$595,$G312,$C$245:$C$595,"&lt;="&amp;S5)&gt;=1000000),SUMIFS($D$245:$D$595,$F$245:$F$595,0,$E$245:$E$595,$G312)*$C$157 ,0)</f>
        <v/>
      </c>
      <c r="U312" s="95">
        <f>IF(AND(SUMIFS($D$245:$D$595,$F$245:$F$595,0,$E$245:$E$595,$G312,$C$245:$C$595,"&lt;="&amp;S$5)&lt;1000000,SUMIFS($D$245:$D$595,$F$245:$F$595,0,$E$245:$E$595,$G312,$C$245:$C$595,"&lt;="&amp;U5)&gt;=1000000),SUMIFS($D$245:$D$595,$F$245:$F$595,0,$E$245:$E$595,$G312)*$C$157 ,0)</f>
        <v/>
      </c>
      <c r="W312" s="95">
        <f>IF(AND(SUMIFS($D$245:$D$595,$F$245:$F$595,0,$E$245:$E$595,$G312,$C$245:$C$595,"&lt;="&amp;U$5)&lt;1000000,SUMIFS($D$245:$D$595,$F$245:$F$595,0,$E$245:$E$595,$G312,$C$245:$C$595,"&lt;="&amp;W5)&gt;=1000000),SUMIFS($D$245:$D$595,$F$245:$F$595,0,$E$245:$E$595,$G312)*$C$157 ,0)</f>
        <v/>
      </c>
      <c r="Y312" s="95">
        <f>IF(AND(SUMIFS($D$245:$D$595,$F$245:$F$595,0,$E$245:$E$595,$G312,$C$245:$C$595,"&lt;="&amp;W$5)&lt;1000000,SUMIFS($D$245:$D$595,$F$245:$F$595,0,$E$245:$E$595,$G312,$C$245:$C$595,"&lt;="&amp;Y5)&gt;=1000000),SUMIFS($D$245:$D$595,$F$245:$F$595,0,$E$245:$E$595,$G312)*$C$157 ,0)</f>
        <v/>
      </c>
      <c r="AA312" s="95">
        <f>IF(AND(SUMIFS($D$245:$D$595,$F$245:$F$595,0,$E$245:$E$595,$G312,$C$245:$C$595,"&lt;="&amp;Y$5)&lt;1000000,SUMIFS($D$245:$D$595,$F$245:$F$595,0,$E$245:$E$595,$G312,$C$245:$C$595,"&lt;="&amp;AA5)&gt;=1000000),SUMIFS($D$245:$D$595,$F$245:$F$595,0,$E$245:$E$595,$G312)*$C$157 ,0)</f>
        <v/>
      </c>
      <c r="AC312" s="95">
        <f>IF(AND(SUMIFS($D$245:$D$595,$F$245:$F$595,0,$E$245:$E$595,$G312,$C$245:$C$595,"&lt;="&amp;AA$5)&lt;1000000,SUMIFS($D$245:$D$595,$F$245:$F$595,0,$E$245:$E$595,$G312,$C$245:$C$595,"&lt;="&amp;AC5)&gt;=1000000),SUMIFS($D$245:$D$595,$F$245:$F$595,0,$E$245:$E$595,$G312)*$C$157 ,0)</f>
        <v/>
      </c>
      <c r="AE312" s="95">
        <f>IF(AND(SUMIFS($D$245:$D$595,$F$245:$F$595,0,$E$245:$E$595,$G312,$C$245:$C$595,"&lt;="&amp;AC$5)&lt;1000000,SUMIFS($D$245:$D$595,$F$245:$F$595,0,$E$245:$E$595,$G312,$C$245:$C$595,"&lt;="&amp;AE5)&gt;=1000000),SUMIFS($D$245:$D$595,$F$245:$F$595,0,$E$245:$E$595,$G312)*$C$157 ,0)</f>
        <v/>
      </c>
      <c r="AF312" s="19" t="n"/>
    </row>
    <row r="313">
      <c r="A313" s="20">
        <f>mid(E313, 3, 1)</f>
        <v/>
      </c>
      <c r="B313" s="14" t="inlineStr"/>
      <c r="C313" s="21">
        <f>SUMIFS('Investor Exit List'!$AC:$AC,'Investor Exit List'!$AB:$AB,B313)</f>
        <v/>
      </c>
      <c r="D313" s="14">
        <f>SUMIFS('Investor Exit List'!$Q:$Q,'Investor Exit List'!$AB:$AB,B313)</f>
        <v/>
      </c>
      <c r="E313" s="31">
        <f>LEFT(B313,6)</f>
        <v/>
      </c>
      <c r="F313" s="14">
        <f>IF(SUMIFS($E$119:$E$151,$D$119:$D$151,E313)&lt;&gt;0,E313,0)</f>
        <v/>
      </c>
      <c r="G313" s="59" t="n"/>
      <c r="I313" s="28">
        <f>IF(AND(SUMIFS($D$245:$D$595,$F$245:$F$595,0,$E$245:$E$595,$G313,$C$245:$C$595,"&lt;="&amp;B$2)&lt;1000000,SUMIFS($D$245:$D$595,$F$245:$F$595,0,$E$245:$E$595,$G313,$C$245:$C$595,"&lt;="&amp;I5)&gt;=1000000),SUMIFS($D$245:$D$595,$F$245:$F$595,0,$E$245:$E$595,$G313)*$C$157 ,0)</f>
        <v/>
      </c>
      <c r="K313" s="95">
        <f>IF(AND(SUMIFS($D$245:$D$595,$F$245:$F$595,0,$E$245:$E$595,$G313,$C$245:$C$595,"&lt;="&amp;I$5)&lt;1000000,SUMIFS($D$245:$D$595,$F$245:$F$595,0,$E$245:$E$595,$G313,$C$245:$C$595,"&lt;="&amp;K5)&gt;=1000000),SUMIFS($D$245:$D$595,$F$245:$F$595,0,$E$245:$E$595,$G313)*$C$157 ,0)</f>
        <v/>
      </c>
      <c r="M313" s="95">
        <f>IF(AND(SUMIFS($D$245:$D$595,$F$245:$F$595,0,$E$245:$E$595,$G313,$C$245:$C$595,"&lt;="&amp;K$5)&lt;1000000,SUMIFS($D$245:$D$595,$F$245:$F$595,0,$E$245:$E$595,$G313,$C$245:$C$595,"&lt;="&amp;M5)&gt;=1000000),SUMIFS($D$245:$D$595,$F$245:$F$595,0,$E$245:$E$595,$G313)*$C$157 ,0)</f>
        <v/>
      </c>
      <c r="O313" s="95">
        <f>IF(AND(SUMIFS($D$245:$D$595,$F$245:$F$595,0,$E$245:$E$595,$G313,$C$245:$C$595,"&lt;="&amp;M$5)&lt;1000000,SUMIFS($D$245:$D$595,$F$245:$F$595,0,$E$245:$E$595,$G313,$C$245:$C$595,"&lt;="&amp;O5)&gt;=1000000),SUMIFS($D$245:$D$595,$F$245:$F$595,0,$E$245:$E$595,$G313)*$C$157 ,0)</f>
        <v/>
      </c>
      <c r="Q313" s="95">
        <f>IF(AND(SUMIFS($D$245:$D$595,$F$245:$F$595,0,$E$245:$E$595,$G313,$C$245:$C$595,"&lt;="&amp;O$5)&lt;1000000,SUMIFS($D$245:$D$595,$F$245:$F$595,0,$E$245:$E$595,$G313,$C$245:$C$595,"&lt;="&amp;Q5)&gt;=1000000),SUMIFS($D$245:$D$595,$F$245:$F$595,0,$E$245:$E$595,$G313)*$C$157 ,0)</f>
        <v/>
      </c>
      <c r="S313" s="95">
        <f>IF(AND(SUMIFS($D$245:$D$595,$F$245:$F$595,0,$E$245:$E$595,$G313,$C$245:$C$595,"&lt;="&amp;Q$5)&lt;1000000,SUMIFS($D$245:$D$595,$F$245:$F$595,0,$E$245:$E$595,$G313,$C$245:$C$595,"&lt;="&amp;S5)&gt;=1000000),SUMIFS($D$245:$D$595,$F$245:$F$595,0,$E$245:$E$595,$G313)*$C$157 ,0)</f>
        <v/>
      </c>
      <c r="U313" s="95">
        <f>IF(AND(SUMIFS($D$245:$D$595,$F$245:$F$595,0,$E$245:$E$595,$G313,$C$245:$C$595,"&lt;="&amp;S$5)&lt;1000000,SUMIFS($D$245:$D$595,$F$245:$F$595,0,$E$245:$E$595,$G313,$C$245:$C$595,"&lt;="&amp;U5)&gt;=1000000),SUMIFS($D$245:$D$595,$F$245:$F$595,0,$E$245:$E$595,$G313)*$C$157 ,0)</f>
        <v/>
      </c>
      <c r="W313" s="95">
        <f>IF(AND(SUMIFS($D$245:$D$595,$F$245:$F$595,0,$E$245:$E$595,$G313,$C$245:$C$595,"&lt;="&amp;U$5)&lt;1000000,SUMIFS($D$245:$D$595,$F$245:$F$595,0,$E$245:$E$595,$G313,$C$245:$C$595,"&lt;="&amp;W5)&gt;=1000000),SUMIFS($D$245:$D$595,$F$245:$F$595,0,$E$245:$E$595,$G313)*$C$157 ,0)</f>
        <v/>
      </c>
      <c r="Y313" s="95">
        <f>IF(AND(SUMIFS($D$245:$D$595,$F$245:$F$595,0,$E$245:$E$595,$G313,$C$245:$C$595,"&lt;="&amp;W$5)&lt;1000000,SUMIFS($D$245:$D$595,$F$245:$F$595,0,$E$245:$E$595,$G313,$C$245:$C$595,"&lt;="&amp;Y5)&gt;=1000000),SUMIFS($D$245:$D$595,$F$245:$F$595,0,$E$245:$E$595,$G313)*$C$157 ,0)</f>
        <v/>
      </c>
      <c r="AA313" s="95">
        <f>IF(AND(SUMIFS($D$245:$D$595,$F$245:$F$595,0,$E$245:$E$595,$G313,$C$245:$C$595,"&lt;="&amp;Y$5)&lt;1000000,SUMIFS($D$245:$D$595,$F$245:$F$595,0,$E$245:$E$595,$G313,$C$245:$C$595,"&lt;="&amp;AA5)&gt;=1000000),SUMIFS($D$245:$D$595,$F$245:$F$595,0,$E$245:$E$595,$G313)*$C$157 ,0)</f>
        <v/>
      </c>
      <c r="AC313" s="95">
        <f>IF(AND(SUMIFS($D$245:$D$595,$F$245:$F$595,0,$E$245:$E$595,$G313,$C$245:$C$595,"&lt;="&amp;AA$5)&lt;1000000,SUMIFS($D$245:$D$595,$F$245:$F$595,0,$E$245:$E$595,$G313,$C$245:$C$595,"&lt;="&amp;AC5)&gt;=1000000),SUMIFS($D$245:$D$595,$F$245:$F$595,0,$E$245:$E$595,$G313)*$C$157 ,0)</f>
        <v/>
      </c>
      <c r="AE313" s="95">
        <f>IF(AND(SUMIFS($D$245:$D$595,$F$245:$F$595,0,$E$245:$E$595,$G313,$C$245:$C$595,"&lt;="&amp;AC$5)&lt;1000000,SUMIFS($D$245:$D$595,$F$245:$F$595,0,$E$245:$E$595,$G313,$C$245:$C$595,"&lt;="&amp;AE5)&gt;=1000000),SUMIFS($D$245:$D$595,$F$245:$F$595,0,$E$245:$E$595,$G313)*$C$157 ,0)</f>
        <v/>
      </c>
      <c r="AF313" s="19" t="n"/>
    </row>
    <row r="314">
      <c r="A314" s="20">
        <f>mid(E314, 3, 1)</f>
        <v/>
      </c>
      <c r="B314" s="14" t="inlineStr"/>
      <c r="C314" s="21">
        <f>SUMIFS('Investor Exit List'!$AC:$AC,'Investor Exit List'!$AB:$AB,B314)</f>
        <v/>
      </c>
      <c r="D314" s="14">
        <f>SUMIFS('Investor Exit List'!$Q:$Q,'Investor Exit List'!$AB:$AB,B314)</f>
        <v/>
      </c>
      <c r="E314" s="31">
        <f>LEFT(B314,6)</f>
        <v/>
      </c>
      <c r="F314" s="14">
        <f>IF(SUMIFS($E$119:$E$151,$D$119:$D$151,E314)&lt;&gt;0,E314,0)</f>
        <v/>
      </c>
      <c r="G314" s="59" t="n"/>
      <c r="I314" s="28">
        <f>IF(AND(SUMIFS($D$245:$D$595,$F$245:$F$595,0,$E$245:$E$595,$G314,$C$245:$C$595,"&lt;="&amp;B$2)&lt;1000000,SUMIFS($D$245:$D$595,$F$245:$F$595,0,$E$245:$E$595,$G314,$C$245:$C$595,"&lt;="&amp;I5)&gt;=1000000),SUMIFS($D$245:$D$595,$F$245:$F$595,0,$E$245:$E$595,$G314)*$C$157 ,0)</f>
        <v/>
      </c>
      <c r="K314" s="95">
        <f>IF(AND(SUMIFS($D$245:$D$595,$F$245:$F$595,0,$E$245:$E$595,$G314,$C$245:$C$595,"&lt;="&amp;I$5)&lt;1000000,SUMIFS($D$245:$D$595,$F$245:$F$595,0,$E$245:$E$595,$G314,$C$245:$C$595,"&lt;="&amp;K5)&gt;=1000000),SUMIFS($D$245:$D$595,$F$245:$F$595,0,$E$245:$E$595,$G314)*$C$157 ,0)</f>
        <v/>
      </c>
      <c r="M314" s="95">
        <f>IF(AND(SUMIFS($D$245:$D$595,$F$245:$F$595,0,$E$245:$E$595,$G314,$C$245:$C$595,"&lt;="&amp;K$5)&lt;1000000,SUMIFS($D$245:$D$595,$F$245:$F$595,0,$E$245:$E$595,$G314,$C$245:$C$595,"&lt;="&amp;M5)&gt;=1000000),SUMIFS($D$245:$D$595,$F$245:$F$595,0,$E$245:$E$595,$G314)*$C$157 ,0)</f>
        <v/>
      </c>
      <c r="O314" s="95">
        <f>IF(AND(SUMIFS($D$245:$D$595,$F$245:$F$595,0,$E$245:$E$595,$G314,$C$245:$C$595,"&lt;="&amp;M$5)&lt;1000000,SUMIFS($D$245:$D$595,$F$245:$F$595,0,$E$245:$E$595,$G314,$C$245:$C$595,"&lt;="&amp;O5)&gt;=1000000),SUMIFS($D$245:$D$595,$F$245:$F$595,0,$E$245:$E$595,$G314)*$C$157 ,0)</f>
        <v/>
      </c>
      <c r="Q314" s="95">
        <f>IF(AND(SUMIFS($D$245:$D$595,$F$245:$F$595,0,$E$245:$E$595,$G314,$C$245:$C$595,"&lt;="&amp;O$5)&lt;1000000,SUMIFS($D$245:$D$595,$F$245:$F$595,0,$E$245:$E$595,$G314,$C$245:$C$595,"&lt;="&amp;Q5)&gt;=1000000),SUMIFS($D$245:$D$595,$F$245:$F$595,0,$E$245:$E$595,$G314)*$C$157 ,0)</f>
        <v/>
      </c>
      <c r="S314" s="95">
        <f>IF(AND(SUMIFS($D$245:$D$595,$F$245:$F$595,0,$E$245:$E$595,$G314,$C$245:$C$595,"&lt;="&amp;Q$5)&lt;1000000,SUMIFS($D$245:$D$595,$F$245:$F$595,0,$E$245:$E$595,$G314,$C$245:$C$595,"&lt;="&amp;S5)&gt;=1000000),SUMIFS($D$245:$D$595,$F$245:$F$595,0,$E$245:$E$595,$G314)*$C$157 ,0)</f>
        <v/>
      </c>
      <c r="U314" s="95">
        <f>IF(AND(SUMIFS($D$245:$D$595,$F$245:$F$595,0,$E$245:$E$595,$G314,$C$245:$C$595,"&lt;="&amp;S$5)&lt;1000000,SUMIFS($D$245:$D$595,$F$245:$F$595,0,$E$245:$E$595,$G314,$C$245:$C$595,"&lt;="&amp;U5)&gt;=1000000),SUMIFS($D$245:$D$595,$F$245:$F$595,0,$E$245:$E$595,$G314)*$C$157 ,0)</f>
        <v/>
      </c>
      <c r="W314" s="95">
        <f>IF(AND(SUMIFS($D$245:$D$595,$F$245:$F$595,0,$E$245:$E$595,$G314,$C$245:$C$595,"&lt;="&amp;U$5)&lt;1000000,SUMIFS($D$245:$D$595,$F$245:$F$595,0,$E$245:$E$595,$G314,$C$245:$C$595,"&lt;="&amp;W5)&gt;=1000000),SUMIFS($D$245:$D$595,$F$245:$F$595,0,$E$245:$E$595,$G314)*$C$157 ,0)</f>
        <v/>
      </c>
      <c r="Y314" s="95">
        <f>IF(AND(SUMIFS($D$245:$D$595,$F$245:$F$595,0,$E$245:$E$595,$G314,$C$245:$C$595,"&lt;="&amp;W$5)&lt;1000000,SUMIFS($D$245:$D$595,$F$245:$F$595,0,$E$245:$E$595,$G314,$C$245:$C$595,"&lt;="&amp;Y5)&gt;=1000000),SUMIFS($D$245:$D$595,$F$245:$F$595,0,$E$245:$E$595,$G314)*$C$157 ,0)</f>
        <v/>
      </c>
      <c r="AA314" s="95">
        <f>IF(AND(SUMIFS($D$245:$D$595,$F$245:$F$595,0,$E$245:$E$595,$G314,$C$245:$C$595,"&lt;="&amp;Y$5)&lt;1000000,SUMIFS($D$245:$D$595,$F$245:$F$595,0,$E$245:$E$595,$G314,$C$245:$C$595,"&lt;="&amp;AA5)&gt;=1000000),SUMIFS($D$245:$D$595,$F$245:$F$595,0,$E$245:$E$595,$G314)*$C$157 ,0)</f>
        <v/>
      </c>
      <c r="AC314" s="95">
        <f>IF(AND(SUMIFS($D$245:$D$595,$F$245:$F$595,0,$E$245:$E$595,$G314,$C$245:$C$595,"&lt;="&amp;AA$5)&lt;1000000,SUMIFS($D$245:$D$595,$F$245:$F$595,0,$E$245:$E$595,$G314,$C$245:$C$595,"&lt;="&amp;AC5)&gt;=1000000),SUMIFS($D$245:$D$595,$F$245:$F$595,0,$E$245:$E$595,$G314)*$C$157 ,0)</f>
        <v/>
      </c>
      <c r="AE314" s="95">
        <f>IF(AND(SUMIFS($D$245:$D$595,$F$245:$F$595,0,$E$245:$E$595,$G314,$C$245:$C$595,"&lt;="&amp;AC$5)&lt;1000000,SUMIFS($D$245:$D$595,$F$245:$F$595,0,$E$245:$E$595,$G314,$C$245:$C$595,"&lt;="&amp;AE5)&gt;=1000000),SUMIFS($D$245:$D$595,$F$245:$F$595,0,$E$245:$E$595,$G314)*$C$157 ,0)</f>
        <v/>
      </c>
      <c r="AF314" s="19" t="n"/>
    </row>
    <row r="315">
      <c r="A315" s="20">
        <f>mid(E315, 3, 1)</f>
        <v/>
      </c>
      <c r="B315" s="14" t="inlineStr"/>
      <c r="C315" s="21">
        <f>SUMIFS('Investor Exit List'!$AC:$AC,'Investor Exit List'!$AB:$AB,B315)</f>
        <v/>
      </c>
      <c r="D315" s="14">
        <f>SUMIFS('Investor Exit List'!$Q:$Q,'Investor Exit List'!$AB:$AB,B315)</f>
        <v/>
      </c>
      <c r="E315" s="31">
        <f>LEFT(B315,6)</f>
        <v/>
      </c>
      <c r="F315" s="14">
        <f>IF(SUMIFS($E$119:$E$151,$D$119:$D$151,E315)&lt;&gt;0,E315,0)</f>
        <v/>
      </c>
      <c r="G315" s="59" t="n"/>
      <c r="I315" s="28">
        <f>IF(AND(SUMIFS($D$245:$D$595,$F$245:$F$595,0,$E$245:$E$595,$G315,$C$245:$C$595,"&lt;="&amp;B$2)&lt;1000000,SUMIFS($D$245:$D$595,$F$245:$F$595,0,$E$245:$E$595,$G315,$C$245:$C$595,"&lt;="&amp;I5)&gt;=1000000),SUMIFS($D$245:$D$595,$F$245:$F$595,0,$E$245:$E$595,$G315)*$C$157 ,0)</f>
        <v/>
      </c>
      <c r="K315" s="95">
        <f>IF(AND(SUMIFS($D$245:$D$595,$F$245:$F$595,0,$E$245:$E$595,$G315,$C$245:$C$595,"&lt;="&amp;I$5)&lt;1000000,SUMIFS($D$245:$D$595,$F$245:$F$595,0,$E$245:$E$595,$G315,$C$245:$C$595,"&lt;="&amp;K5)&gt;=1000000),SUMIFS($D$245:$D$595,$F$245:$F$595,0,$E$245:$E$595,$G315)*$C$157 ,0)</f>
        <v/>
      </c>
      <c r="M315" s="95">
        <f>IF(AND(SUMIFS($D$245:$D$595,$F$245:$F$595,0,$E$245:$E$595,$G315,$C$245:$C$595,"&lt;="&amp;K$5)&lt;1000000,SUMIFS($D$245:$D$595,$F$245:$F$595,0,$E$245:$E$595,$G315,$C$245:$C$595,"&lt;="&amp;M5)&gt;=1000000),SUMIFS($D$245:$D$595,$F$245:$F$595,0,$E$245:$E$595,$G315)*$C$157 ,0)</f>
        <v/>
      </c>
      <c r="O315" s="95">
        <f>IF(AND(SUMIFS($D$245:$D$595,$F$245:$F$595,0,$E$245:$E$595,$G315,$C$245:$C$595,"&lt;="&amp;M$5)&lt;1000000,SUMIFS($D$245:$D$595,$F$245:$F$595,0,$E$245:$E$595,$G315,$C$245:$C$595,"&lt;="&amp;O5)&gt;=1000000),SUMIFS($D$245:$D$595,$F$245:$F$595,0,$E$245:$E$595,$G315)*$C$157 ,0)</f>
        <v/>
      </c>
      <c r="Q315" s="95">
        <f>IF(AND(SUMIFS($D$245:$D$595,$F$245:$F$595,0,$E$245:$E$595,$G315,$C$245:$C$595,"&lt;="&amp;O$5)&lt;1000000,SUMIFS($D$245:$D$595,$F$245:$F$595,0,$E$245:$E$595,$G315,$C$245:$C$595,"&lt;="&amp;Q5)&gt;=1000000),SUMIFS($D$245:$D$595,$F$245:$F$595,0,$E$245:$E$595,$G315)*$C$157 ,0)</f>
        <v/>
      </c>
      <c r="S315" s="95">
        <f>IF(AND(SUMIFS($D$245:$D$595,$F$245:$F$595,0,$E$245:$E$595,$G315,$C$245:$C$595,"&lt;="&amp;Q$5)&lt;1000000,SUMIFS($D$245:$D$595,$F$245:$F$595,0,$E$245:$E$595,$G315,$C$245:$C$595,"&lt;="&amp;S5)&gt;=1000000),SUMIFS($D$245:$D$595,$F$245:$F$595,0,$E$245:$E$595,$G315)*$C$157 ,0)</f>
        <v/>
      </c>
      <c r="U315" s="95">
        <f>IF(AND(SUMIFS($D$245:$D$595,$F$245:$F$595,0,$E$245:$E$595,$G315,$C$245:$C$595,"&lt;="&amp;S$5)&lt;1000000,SUMIFS($D$245:$D$595,$F$245:$F$595,0,$E$245:$E$595,$G315,$C$245:$C$595,"&lt;="&amp;U5)&gt;=1000000),SUMIFS($D$245:$D$595,$F$245:$F$595,0,$E$245:$E$595,$G315)*$C$157 ,0)</f>
        <v/>
      </c>
      <c r="W315" s="95">
        <f>IF(AND(SUMIFS($D$245:$D$595,$F$245:$F$595,0,$E$245:$E$595,$G315,$C$245:$C$595,"&lt;="&amp;U$5)&lt;1000000,SUMIFS($D$245:$D$595,$F$245:$F$595,0,$E$245:$E$595,$G315,$C$245:$C$595,"&lt;="&amp;W5)&gt;=1000000),SUMIFS($D$245:$D$595,$F$245:$F$595,0,$E$245:$E$595,$G315)*$C$157 ,0)</f>
        <v/>
      </c>
      <c r="Y315" s="95">
        <f>IF(AND(SUMIFS($D$245:$D$595,$F$245:$F$595,0,$E$245:$E$595,$G315,$C$245:$C$595,"&lt;="&amp;W$5)&lt;1000000,SUMIFS($D$245:$D$595,$F$245:$F$595,0,$E$245:$E$595,$G315,$C$245:$C$595,"&lt;="&amp;Y5)&gt;=1000000),SUMIFS($D$245:$D$595,$F$245:$F$595,0,$E$245:$E$595,$G315)*$C$157 ,0)</f>
        <v/>
      </c>
      <c r="AA315" s="95">
        <f>IF(AND(SUMIFS($D$245:$D$595,$F$245:$F$595,0,$E$245:$E$595,$G315,$C$245:$C$595,"&lt;="&amp;Y$5)&lt;1000000,SUMIFS($D$245:$D$595,$F$245:$F$595,0,$E$245:$E$595,$G315,$C$245:$C$595,"&lt;="&amp;AA5)&gt;=1000000),SUMIFS($D$245:$D$595,$F$245:$F$595,0,$E$245:$E$595,$G315)*$C$157 ,0)</f>
        <v/>
      </c>
      <c r="AC315" s="95">
        <f>IF(AND(SUMIFS($D$245:$D$595,$F$245:$F$595,0,$E$245:$E$595,$G315,$C$245:$C$595,"&lt;="&amp;AA$5)&lt;1000000,SUMIFS($D$245:$D$595,$F$245:$F$595,0,$E$245:$E$595,$G315,$C$245:$C$595,"&lt;="&amp;AC5)&gt;=1000000),SUMIFS($D$245:$D$595,$F$245:$F$595,0,$E$245:$E$595,$G315)*$C$157 ,0)</f>
        <v/>
      </c>
      <c r="AE315" s="95">
        <f>IF(AND(SUMIFS($D$245:$D$595,$F$245:$F$595,0,$E$245:$E$595,$G315,$C$245:$C$595,"&lt;="&amp;AC$5)&lt;1000000,SUMIFS($D$245:$D$595,$F$245:$F$595,0,$E$245:$E$595,$G315,$C$245:$C$595,"&lt;="&amp;AE5)&gt;=1000000),SUMIFS($D$245:$D$595,$F$245:$F$595,0,$E$245:$E$595,$G315)*$C$157 ,0)</f>
        <v/>
      </c>
      <c r="AF315" s="19" t="n"/>
    </row>
    <row r="316">
      <c r="A316" s="20">
        <f>mid(E316, 3, 1)</f>
        <v/>
      </c>
      <c r="B316" s="14" t="inlineStr"/>
      <c r="C316" s="21">
        <f>SUMIFS('Investor Exit List'!$AC:$AC,'Investor Exit List'!$AB:$AB,B316)</f>
        <v/>
      </c>
      <c r="D316" s="14">
        <f>SUMIFS('Investor Exit List'!$Q:$Q,'Investor Exit List'!$AB:$AB,B316)</f>
        <v/>
      </c>
      <c r="E316" s="31">
        <f>LEFT(B316,6)</f>
        <v/>
      </c>
      <c r="F316" s="14">
        <f>IF(SUMIFS($E$119:$E$151,$D$119:$D$151,E316)&lt;&gt;0,E316,0)</f>
        <v/>
      </c>
      <c r="G316" s="59" t="n"/>
      <c r="I316" s="28">
        <f>IF(AND(SUMIFS($D$245:$D$595,$F$245:$F$595,0,$E$245:$E$595,$G316,$C$245:$C$595,"&lt;="&amp;B$2)&lt;1000000,SUMIFS($D$245:$D$595,$F$245:$F$595,0,$E$245:$E$595,$G316,$C$245:$C$595,"&lt;="&amp;I5)&gt;=1000000),SUMIFS($D$245:$D$595,$F$245:$F$595,0,$E$245:$E$595,$G316)*$C$157 ,0)</f>
        <v/>
      </c>
      <c r="K316" s="95">
        <f>IF(AND(SUMIFS($D$245:$D$595,$F$245:$F$595,0,$E$245:$E$595,$G316,$C$245:$C$595,"&lt;="&amp;I$5)&lt;1000000,SUMIFS($D$245:$D$595,$F$245:$F$595,0,$E$245:$E$595,$G316,$C$245:$C$595,"&lt;="&amp;K5)&gt;=1000000),SUMIFS($D$245:$D$595,$F$245:$F$595,0,$E$245:$E$595,$G316)*$C$157 ,0)</f>
        <v/>
      </c>
      <c r="M316" s="95">
        <f>IF(AND(SUMIFS($D$245:$D$595,$F$245:$F$595,0,$E$245:$E$595,$G316,$C$245:$C$595,"&lt;="&amp;K$5)&lt;1000000,SUMIFS($D$245:$D$595,$F$245:$F$595,0,$E$245:$E$595,$G316,$C$245:$C$595,"&lt;="&amp;M5)&gt;=1000000),SUMIFS($D$245:$D$595,$F$245:$F$595,0,$E$245:$E$595,$G316)*$C$157 ,0)</f>
        <v/>
      </c>
      <c r="O316" s="95">
        <f>IF(AND(SUMIFS($D$245:$D$595,$F$245:$F$595,0,$E$245:$E$595,$G316,$C$245:$C$595,"&lt;="&amp;M$5)&lt;1000000,SUMIFS($D$245:$D$595,$F$245:$F$595,0,$E$245:$E$595,$G316,$C$245:$C$595,"&lt;="&amp;O5)&gt;=1000000),SUMIFS($D$245:$D$595,$F$245:$F$595,0,$E$245:$E$595,$G316)*$C$157 ,0)</f>
        <v/>
      </c>
      <c r="Q316" s="95">
        <f>IF(AND(SUMIFS($D$245:$D$595,$F$245:$F$595,0,$E$245:$E$595,$G316,$C$245:$C$595,"&lt;="&amp;O$5)&lt;1000000,SUMIFS($D$245:$D$595,$F$245:$F$595,0,$E$245:$E$595,$G316,$C$245:$C$595,"&lt;="&amp;Q5)&gt;=1000000),SUMIFS($D$245:$D$595,$F$245:$F$595,0,$E$245:$E$595,$G316)*$C$157 ,0)</f>
        <v/>
      </c>
      <c r="S316" s="95">
        <f>IF(AND(SUMIFS($D$245:$D$595,$F$245:$F$595,0,$E$245:$E$595,$G316,$C$245:$C$595,"&lt;="&amp;Q$5)&lt;1000000,SUMIFS($D$245:$D$595,$F$245:$F$595,0,$E$245:$E$595,$G316,$C$245:$C$595,"&lt;="&amp;S5)&gt;=1000000),SUMIFS($D$245:$D$595,$F$245:$F$595,0,$E$245:$E$595,$G316)*$C$157 ,0)</f>
        <v/>
      </c>
      <c r="U316" s="95">
        <f>IF(AND(SUMIFS($D$245:$D$595,$F$245:$F$595,0,$E$245:$E$595,$G316,$C$245:$C$595,"&lt;="&amp;S$5)&lt;1000000,SUMIFS($D$245:$D$595,$F$245:$F$595,0,$E$245:$E$595,$G316,$C$245:$C$595,"&lt;="&amp;U5)&gt;=1000000),SUMIFS($D$245:$D$595,$F$245:$F$595,0,$E$245:$E$595,$G316)*$C$157 ,0)</f>
        <v/>
      </c>
      <c r="W316" s="95">
        <f>IF(AND(SUMIFS($D$245:$D$595,$F$245:$F$595,0,$E$245:$E$595,$G316,$C$245:$C$595,"&lt;="&amp;U$5)&lt;1000000,SUMIFS($D$245:$D$595,$F$245:$F$595,0,$E$245:$E$595,$G316,$C$245:$C$595,"&lt;="&amp;W5)&gt;=1000000),SUMIFS($D$245:$D$595,$F$245:$F$595,0,$E$245:$E$595,$G316)*$C$157 ,0)</f>
        <v/>
      </c>
      <c r="Y316" s="95">
        <f>IF(AND(SUMIFS($D$245:$D$595,$F$245:$F$595,0,$E$245:$E$595,$G316,$C$245:$C$595,"&lt;="&amp;W$5)&lt;1000000,SUMIFS($D$245:$D$595,$F$245:$F$595,0,$E$245:$E$595,$G316,$C$245:$C$595,"&lt;="&amp;Y5)&gt;=1000000),SUMIFS($D$245:$D$595,$F$245:$F$595,0,$E$245:$E$595,$G316)*$C$157 ,0)</f>
        <v/>
      </c>
      <c r="AA316" s="95">
        <f>IF(AND(SUMIFS($D$245:$D$595,$F$245:$F$595,0,$E$245:$E$595,$G316,$C$245:$C$595,"&lt;="&amp;Y$5)&lt;1000000,SUMIFS($D$245:$D$595,$F$245:$F$595,0,$E$245:$E$595,$G316,$C$245:$C$595,"&lt;="&amp;AA5)&gt;=1000000),SUMIFS($D$245:$D$595,$F$245:$F$595,0,$E$245:$E$595,$G316)*$C$157 ,0)</f>
        <v/>
      </c>
      <c r="AC316" s="95">
        <f>IF(AND(SUMIFS($D$245:$D$595,$F$245:$F$595,0,$E$245:$E$595,$G316,$C$245:$C$595,"&lt;="&amp;AA$5)&lt;1000000,SUMIFS($D$245:$D$595,$F$245:$F$595,0,$E$245:$E$595,$G316,$C$245:$C$595,"&lt;="&amp;AC5)&gt;=1000000),SUMIFS($D$245:$D$595,$F$245:$F$595,0,$E$245:$E$595,$G316)*$C$157 ,0)</f>
        <v/>
      </c>
      <c r="AE316" s="95">
        <f>IF(AND(SUMIFS($D$245:$D$595,$F$245:$F$595,0,$E$245:$E$595,$G316,$C$245:$C$595,"&lt;="&amp;AC$5)&lt;1000000,SUMIFS($D$245:$D$595,$F$245:$F$595,0,$E$245:$E$595,$G316,$C$245:$C$595,"&lt;="&amp;AE5)&gt;=1000000),SUMIFS($D$245:$D$595,$F$245:$F$595,0,$E$245:$E$595,$G316)*$C$157 ,0)</f>
        <v/>
      </c>
      <c r="AF316" s="19" t="n"/>
    </row>
    <row r="317">
      <c r="A317" s="20">
        <f>mid(E317, 3, 1)</f>
        <v/>
      </c>
      <c r="B317" s="14" t="inlineStr"/>
      <c r="C317" s="21">
        <f>SUMIFS('Investor Exit List'!$AC:$AC,'Investor Exit List'!$AB:$AB,B317)</f>
        <v/>
      </c>
      <c r="D317" s="14">
        <f>SUMIFS('Investor Exit List'!$Q:$Q,'Investor Exit List'!$AB:$AB,B317)</f>
        <v/>
      </c>
      <c r="E317" s="31">
        <f>LEFT(B317,6)</f>
        <v/>
      </c>
      <c r="F317" s="14">
        <f>IF(SUMIFS($E$119:$E$151,$D$119:$D$151,E317)&lt;&gt;0,E317,0)</f>
        <v/>
      </c>
      <c r="G317" s="59" t="n"/>
      <c r="I317" s="28">
        <f>IF(AND(SUMIFS($D$245:$D$595,$F$245:$F$595,0,$E$245:$E$595,$G317,$C$245:$C$595,"&lt;="&amp;B$2)&lt;1000000,SUMIFS($D$245:$D$595,$F$245:$F$595,0,$E$245:$E$595,$G317,$C$245:$C$595,"&lt;="&amp;I5)&gt;=1000000),SUMIFS($D$245:$D$595,$F$245:$F$595,0,$E$245:$E$595,$G317)*$C$157 ,0)</f>
        <v/>
      </c>
      <c r="K317" s="95">
        <f>IF(AND(SUMIFS($D$245:$D$595,$F$245:$F$595,0,$E$245:$E$595,$G317,$C$245:$C$595,"&lt;="&amp;I$5)&lt;1000000,SUMIFS($D$245:$D$595,$F$245:$F$595,0,$E$245:$E$595,$G317,$C$245:$C$595,"&lt;="&amp;K5)&gt;=1000000),SUMIFS($D$245:$D$595,$F$245:$F$595,0,$E$245:$E$595,$G317)*$C$157 ,0)</f>
        <v/>
      </c>
      <c r="M317" s="95">
        <f>IF(AND(SUMIFS($D$245:$D$595,$F$245:$F$595,0,$E$245:$E$595,$G317,$C$245:$C$595,"&lt;="&amp;K$5)&lt;1000000,SUMIFS($D$245:$D$595,$F$245:$F$595,0,$E$245:$E$595,$G317,$C$245:$C$595,"&lt;="&amp;M5)&gt;=1000000),SUMIFS($D$245:$D$595,$F$245:$F$595,0,$E$245:$E$595,$G317)*$C$157 ,0)</f>
        <v/>
      </c>
      <c r="O317" s="95">
        <f>IF(AND(SUMIFS($D$245:$D$595,$F$245:$F$595,0,$E$245:$E$595,$G317,$C$245:$C$595,"&lt;="&amp;M$5)&lt;1000000,SUMIFS($D$245:$D$595,$F$245:$F$595,0,$E$245:$E$595,$G317,$C$245:$C$595,"&lt;="&amp;O5)&gt;=1000000),SUMIFS($D$245:$D$595,$F$245:$F$595,0,$E$245:$E$595,$G317)*$C$157 ,0)</f>
        <v/>
      </c>
      <c r="Q317" s="95">
        <f>IF(AND(SUMIFS($D$245:$D$595,$F$245:$F$595,0,$E$245:$E$595,$G317,$C$245:$C$595,"&lt;="&amp;O$5)&lt;1000000,SUMIFS($D$245:$D$595,$F$245:$F$595,0,$E$245:$E$595,$G317,$C$245:$C$595,"&lt;="&amp;Q5)&gt;=1000000),SUMIFS($D$245:$D$595,$F$245:$F$595,0,$E$245:$E$595,$G317)*$C$157 ,0)</f>
        <v/>
      </c>
      <c r="S317" s="95">
        <f>IF(AND(SUMIFS($D$245:$D$595,$F$245:$F$595,0,$E$245:$E$595,$G317,$C$245:$C$595,"&lt;="&amp;Q$5)&lt;1000000,SUMIFS($D$245:$D$595,$F$245:$F$595,0,$E$245:$E$595,$G317,$C$245:$C$595,"&lt;="&amp;S5)&gt;=1000000),SUMIFS($D$245:$D$595,$F$245:$F$595,0,$E$245:$E$595,$G317)*$C$157 ,0)</f>
        <v/>
      </c>
      <c r="U317" s="95">
        <f>IF(AND(SUMIFS($D$245:$D$595,$F$245:$F$595,0,$E$245:$E$595,$G317,$C$245:$C$595,"&lt;="&amp;S$5)&lt;1000000,SUMIFS($D$245:$D$595,$F$245:$F$595,0,$E$245:$E$595,$G317,$C$245:$C$595,"&lt;="&amp;U5)&gt;=1000000),SUMIFS($D$245:$D$595,$F$245:$F$595,0,$E$245:$E$595,$G317)*$C$157 ,0)</f>
        <v/>
      </c>
      <c r="W317" s="95">
        <f>IF(AND(SUMIFS($D$245:$D$595,$F$245:$F$595,0,$E$245:$E$595,$G317,$C$245:$C$595,"&lt;="&amp;U$5)&lt;1000000,SUMIFS($D$245:$D$595,$F$245:$F$595,0,$E$245:$E$595,$G317,$C$245:$C$595,"&lt;="&amp;W5)&gt;=1000000),SUMIFS($D$245:$D$595,$F$245:$F$595,0,$E$245:$E$595,$G317)*$C$157 ,0)</f>
        <v/>
      </c>
      <c r="Y317" s="95">
        <f>IF(AND(SUMIFS($D$245:$D$595,$F$245:$F$595,0,$E$245:$E$595,$G317,$C$245:$C$595,"&lt;="&amp;W$5)&lt;1000000,SUMIFS($D$245:$D$595,$F$245:$F$595,0,$E$245:$E$595,$G317,$C$245:$C$595,"&lt;="&amp;Y5)&gt;=1000000),SUMIFS($D$245:$D$595,$F$245:$F$595,0,$E$245:$E$595,$G317)*$C$157 ,0)</f>
        <v/>
      </c>
      <c r="AA317" s="95">
        <f>IF(AND(SUMIFS($D$245:$D$595,$F$245:$F$595,0,$E$245:$E$595,$G317,$C$245:$C$595,"&lt;="&amp;Y$5)&lt;1000000,SUMIFS($D$245:$D$595,$F$245:$F$595,0,$E$245:$E$595,$G317,$C$245:$C$595,"&lt;="&amp;AA5)&gt;=1000000),SUMIFS($D$245:$D$595,$F$245:$F$595,0,$E$245:$E$595,$G317)*$C$157 ,0)</f>
        <v/>
      </c>
      <c r="AC317" s="95">
        <f>IF(AND(SUMIFS($D$245:$D$595,$F$245:$F$595,0,$E$245:$E$595,$G317,$C$245:$C$595,"&lt;="&amp;AA$5)&lt;1000000,SUMIFS($D$245:$D$595,$F$245:$F$595,0,$E$245:$E$595,$G317,$C$245:$C$595,"&lt;="&amp;AC5)&gt;=1000000),SUMIFS($D$245:$D$595,$F$245:$F$595,0,$E$245:$E$595,$G317)*$C$157 ,0)</f>
        <v/>
      </c>
      <c r="AE317" s="95">
        <f>IF(AND(SUMIFS($D$245:$D$595,$F$245:$F$595,0,$E$245:$E$595,$G317,$C$245:$C$595,"&lt;="&amp;AC$5)&lt;1000000,SUMIFS($D$245:$D$595,$F$245:$F$595,0,$E$245:$E$595,$G317,$C$245:$C$595,"&lt;="&amp;AE5)&gt;=1000000),SUMIFS($D$245:$D$595,$F$245:$F$595,0,$E$245:$E$595,$G317)*$C$157 ,0)</f>
        <v/>
      </c>
      <c r="AF317" s="19" t="n"/>
    </row>
    <row r="318">
      <c r="A318" s="20">
        <f>mid(E318, 3, 1)</f>
        <v/>
      </c>
      <c r="B318" s="14" t="inlineStr"/>
      <c r="C318" s="21">
        <f>SUMIFS('Investor Exit List'!$AC:$AC,'Investor Exit List'!$AB:$AB,B318)</f>
        <v/>
      </c>
      <c r="D318" s="14">
        <f>SUMIFS('Investor Exit List'!$Q:$Q,'Investor Exit List'!$AB:$AB,B318)</f>
        <v/>
      </c>
      <c r="E318" s="31">
        <f>LEFT(B318,6)</f>
        <v/>
      </c>
      <c r="F318" s="14">
        <f>IF(SUMIFS($E$119:$E$151,$D$119:$D$151,E318)&lt;&gt;0,E318,0)</f>
        <v/>
      </c>
      <c r="G318" s="59" t="n"/>
      <c r="I318" s="28">
        <f>IF(AND(SUMIFS($D$245:$D$595,$F$245:$F$595,0,$E$245:$E$595,$G318,$C$245:$C$595,"&lt;="&amp;B$2)&lt;1000000,SUMIFS($D$245:$D$595,$F$245:$F$595,0,$E$245:$E$595,$G318,$C$245:$C$595,"&lt;="&amp;I5)&gt;=1000000),SUMIFS($D$245:$D$595,$F$245:$F$595,0,$E$245:$E$595,$G318)*$C$157 ,0)</f>
        <v/>
      </c>
      <c r="K318" s="95">
        <f>IF(AND(SUMIFS($D$245:$D$595,$F$245:$F$595,0,$E$245:$E$595,$G318,$C$245:$C$595,"&lt;="&amp;I$5)&lt;1000000,SUMIFS($D$245:$D$595,$F$245:$F$595,0,$E$245:$E$595,$G318,$C$245:$C$595,"&lt;="&amp;K5)&gt;=1000000),SUMIFS($D$245:$D$595,$F$245:$F$595,0,$E$245:$E$595,$G318)*$C$157 ,0)</f>
        <v/>
      </c>
      <c r="M318" s="95">
        <f>IF(AND(SUMIFS($D$245:$D$595,$F$245:$F$595,0,$E$245:$E$595,$G318,$C$245:$C$595,"&lt;="&amp;K$5)&lt;1000000,SUMIFS($D$245:$D$595,$F$245:$F$595,0,$E$245:$E$595,$G318,$C$245:$C$595,"&lt;="&amp;M5)&gt;=1000000),SUMIFS($D$245:$D$595,$F$245:$F$595,0,$E$245:$E$595,$G318)*$C$157 ,0)</f>
        <v/>
      </c>
      <c r="O318" s="95">
        <f>IF(AND(SUMIFS($D$245:$D$595,$F$245:$F$595,0,$E$245:$E$595,$G318,$C$245:$C$595,"&lt;="&amp;M$5)&lt;1000000,SUMIFS($D$245:$D$595,$F$245:$F$595,0,$E$245:$E$595,$G318,$C$245:$C$595,"&lt;="&amp;O5)&gt;=1000000),SUMIFS($D$245:$D$595,$F$245:$F$595,0,$E$245:$E$595,$G318)*$C$157 ,0)</f>
        <v/>
      </c>
      <c r="Q318" s="95">
        <f>IF(AND(SUMIFS($D$245:$D$595,$F$245:$F$595,0,$E$245:$E$595,$G318,$C$245:$C$595,"&lt;="&amp;O$5)&lt;1000000,SUMIFS($D$245:$D$595,$F$245:$F$595,0,$E$245:$E$595,$G318,$C$245:$C$595,"&lt;="&amp;Q5)&gt;=1000000),SUMIFS($D$245:$D$595,$F$245:$F$595,0,$E$245:$E$595,$G318)*$C$157 ,0)</f>
        <v/>
      </c>
      <c r="S318" s="95">
        <f>IF(AND(SUMIFS($D$245:$D$595,$F$245:$F$595,0,$E$245:$E$595,$G318,$C$245:$C$595,"&lt;="&amp;Q$5)&lt;1000000,SUMIFS($D$245:$D$595,$F$245:$F$595,0,$E$245:$E$595,$G318,$C$245:$C$595,"&lt;="&amp;S5)&gt;=1000000),SUMIFS($D$245:$D$595,$F$245:$F$595,0,$E$245:$E$595,$G318)*$C$157 ,0)</f>
        <v/>
      </c>
      <c r="U318" s="95">
        <f>IF(AND(SUMIFS($D$245:$D$595,$F$245:$F$595,0,$E$245:$E$595,$G318,$C$245:$C$595,"&lt;="&amp;S$5)&lt;1000000,SUMIFS($D$245:$D$595,$F$245:$F$595,0,$E$245:$E$595,$G318,$C$245:$C$595,"&lt;="&amp;U5)&gt;=1000000),SUMIFS($D$245:$D$595,$F$245:$F$595,0,$E$245:$E$595,$G318)*$C$157 ,0)</f>
        <v/>
      </c>
      <c r="W318" s="95">
        <f>IF(AND(SUMIFS($D$245:$D$595,$F$245:$F$595,0,$E$245:$E$595,$G318,$C$245:$C$595,"&lt;="&amp;U$5)&lt;1000000,SUMIFS($D$245:$D$595,$F$245:$F$595,0,$E$245:$E$595,$G318,$C$245:$C$595,"&lt;="&amp;W5)&gt;=1000000),SUMIFS($D$245:$D$595,$F$245:$F$595,0,$E$245:$E$595,$G318)*$C$157 ,0)</f>
        <v/>
      </c>
      <c r="Y318" s="95">
        <f>IF(AND(SUMIFS($D$245:$D$595,$F$245:$F$595,0,$E$245:$E$595,$G318,$C$245:$C$595,"&lt;="&amp;W$5)&lt;1000000,SUMIFS($D$245:$D$595,$F$245:$F$595,0,$E$245:$E$595,$G318,$C$245:$C$595,"&lt;="&amp;Y5)&gt;=1000000),SUMIFS($D$245:$D$595,$F$245:$F$595,0,$E$245:$E$595,$G318)*$C$157 ,0)</f>
        <v/>
      </c>
      <c r="AA318" s="95">
        <f>IF(AND(SUMIFS($D$245:$D$595,$F$245:$F$595,0,$E$245:$E$595,$G318,$C$245:$C$595,"&lt;="&amp;Y$5)&lt;1000000,SUMIFS($D$245:$D$595,$F$245:$F$595,0,$E$245:$E$595,$G318,$C$245:$C$595,"&lt;="&amp;AA5)&gt;=1000000),SUMIFS($D$245:$D$595,$F$245:$F$595,0,$E$245:$E$595,$G318)*$C$157 ,0)</f>
        <v/>
      </c>
      <c r="AC318" s="95">
        <f>IF(AND(SUMIFS($D$245:$D$595,$F$245:$F$595,0,$E$245:$E$595,$G318,$C$245:$C$595,"&lt;="&amp;AA$5)&lt;1000000,SUMIFS($D$245:$D$595,$F$245:$F$595,0,$E$245:$E$595,$G318,$C$245:$C$595,"&lt;="&amp;AC5)&gt;=1000000),SUMIFS($D$245:$D$595,$F$245:$F$595,0,$E$245:$E$595,$G318)*$C$157 ,0)</f>
        <v/>
      </c>
      <c r="AE318" s="95">
        <f>IF(AND(SUMIFS($D$245:$D$595,$F$245:$F$595,0,$E$245:$E$595,$G318,$C$245:$C$595,"&lt;="&amp;AC$5)&lt;1000000,SUMIFS($D$245:$D$595,$F$245:$F$595,0,$E$245:$E$595,$G318,$C$245:$C$595,"&lt;="&amp;AE5)&gt;=1000000),SUMIFS($D$245:$D$595,$F$245:$F$595,0,$E$245:$E$595,$G318)*$C$157 ,0)</f>
        <v/>
      </c>
      <c r="AF318" s="19" t="n"/>
    </row>
    <row r="319">
      <c r="A319" s="20">
        <f>mid(E319, 3, 1)</f>
        <v/>
      </c>
      <c r="B319" s="14" t="inlineStr"/>
      <c r="C319" s="21">
        <f>SUMIFS('Investor Exit List'!$AC:$AC,'Investor Exit List'!$AB:$AB,B319)</f>
        <v/>
      </c>
      <c r="D319" s="14">
        <f>SUMIFS('Investor Exit List'!$Q:$Q,'Investor Exit List'!$AB:$AB,B319)</f>
        <v/>
      </c>
      <c r="E319" s="31">
        <f>LEFT(B319,6)</f>
        <v/>
      </c>
      <c r="F319" s="14">
        <f>IF(SUMIFS($E$119:$E$151,$D$119:$D$151,E319)&lt;&gt;0,E319,0)</f>
        <v/>
      </c>
      <c r="G319" s="59" t="n"/>
      <c r="I319" s="28">
        <f>IF(AND(SUMIFS($D$245:$D$595,$F$245:$F$595,0,$E$245:$E$595,$G319,$C$245:$C$595,"&lt;="&amp;B$2)&lt;1000000,SUMIFS($D$245:$D$595,$F$245:$F$595,0,$E$245:$E$595,$G319,$C$245:$C$595,"&lt;="&amp;I5)&gt;=1000000),SUMIFS($D$245:$D$595,$F$245:$F$595,0,$E$245:$E$595,$G319)*$C$157 ,0)</f>
        <v/>
      </c>
      <c r="K319" s="95">
        <f>IF(AND(SUMIFS($D$245:$D$595,$F$245:$F$595,0,$E$245:$E$595,$G319,$C$245:$C$595,"&lt;="&amp;I$5)&lt;1000000,SUMIFS($D$245:$D$595,$F$245:$F$595,0,$E$245:$E$595,$G319,$C$245:$C$595,"&lt;="&amp;K5)&gt;=1000000),SUMIFS($D$245:$D$595,$F$245:$F$595,0,$E$245:$E$595,$G319)*$C$157 ,0)</f>
        <v/>
      </c>
      <c r="M319" s="95">
        <f>IF(AND(SUMIFS($D$245:$D$595,$F$245:$F$595,0,$E$245:$E$595,$G319,$C$245:$C$595,"&lt;="&amp;K$5)&lt;1000000,SUMIFS($D$245:$D$595,$F$245:$F$595,0,$E$245:$E$595,$G319,$C$245:$C$595,"&lt;="&amp;M5)&gt;=1000000),SUMIFS($D$245:$D$595,$F$245:$F$595,0,$E$245:$E$595,$G319)*$C$157 ,0)</f>
        <v/>
      </c>
      <c r="O319" s="95">
        <f>IF(AND(SUMIFS($D$245:$D$595,$F$245:$F$595,0,$E$245:$E$595,$G319,$C$245:$C$595,"&lt;="&amp;M$5)&lt;1000000,SUMIFS($D$245:$D$595,$F$245:$F$595,0,$E$245:$E$595,$G319,$C$245:$C$595,"&lt;="&amp;O5)&gt;=1000000),SUMIFS($D$245:$D$595,$F$245:$F$595,0,$E$245:$E$595,$G319)*$C$157 ,0)</f>
        <v/>
      </c>
      <c r="Q319" s="95">
        <f>IF(AND(SUMIFS($D$245:$D$595,$F$245:$F$595,0,$E$245:$E$595,$G319,$C$245:$C$595,"&lt;="&amp;O$5)&lt;1000000,SUMIFS($D$245:$D$595,$F$245:$F$595,0,$E$245:$E$595,$G319,$C$245:$C$595,"&lt;="&amp;Q5)&gt;=1000000),SUMIFS($D$245:$D$595,$F$245:$F$595,0,$E$245:$E$595,$G319)*$C$157 ,0)</f>
        <v/>
      </c>
      <c r="S319" s="95">
        <f>IF(AND(SUMIFS($D$245:$D$595,$F$245:$F$595,0,$E$245:$E$595,$G319,$C$245:$C$595,"&lt;="&amp;Q$5)&lt;1000000,SUMIFS($D$245:$D$595,$F$245:$F$595,0,$E$245:$E$595,$G319,$C$245:$C$595,"&lt;="&amp;S5)&gt;=1000000),SUMIFS($D$245:$D$595,$F$245:$F$595,0,$E$245:$E$595,$G319)*$C$157 ,0)</f>
        <v/>
      </c>
      <c r="U319" s="95">
        <f>IF(AND(SUMIFS($D$245:$D$595,$F$245:$F$595,0,$E$245:$E$595,$G319,$C$245:$C$595,"&lt;="&amp;S$5)&lt;1000000,SUMIFS($D$245:$D$595,$F$245:$F$595,0,$E$245:$E$595,$G319,$C$245:$C$595,"&lt;="&amp;U5)&gt;=1000000),SUMIFS($D$245:$D$595,$F$245:$F$595,0,$E$245:$E$595,$G319)*$C$157 ,0)</f>
        <v/>
      </c>
      <c r="W319" s="95">
        <f>IF(AND(SUMIFS($D$245:$D$595,$F$245:$F$595,0,$E$245:$E$595,$G319,$C$245:$C$595,"&lt;="&amp;U$5)&lt;1000000,SUMIFS($D$245:$D$595,$F$245:$F$595,0,$E$245:$E$595,$G319,$C$245:$C$595,"&lt;="&amp;W5)&gt;=1000000),SUMIFS($D$245:$D$595,$F$245:$F$595,0,$E$245:$E$595,$G319)*$C$157 ,0)</f>
        <v/>
      </c>
      <c r="Y319" s="95">
        <f>IF(AND(SUMIFS($D$245:$D$595,$F$245:$F$595,0,$E$245:$E$595,$G319,$C$245:$C$595,"&lt;="&amp;W$5)&lt;1000000,SUMIFS($D$245:$D$595,$F$245:$F$595,0,$E$245:$E$595,$G319,$C$245:$C$595,"&lt;="&amp;Y5)&gt;=1000000),SUMIFS($D$245:$D$595,$F$245:$F$595,0,$E$245:$E$595,$G319)*$C$157 ,0)</f>
        <v/>
      </c>
      <c r="AA319" s="95">
        <f>IF(AND(SUMIFS($D$245:$D$595,$F$245:$F$595,0,$E$245:$E$595,$G319,$C$245:$C$595,"&lt;="&amp;Y$5)&lt;1000000,SUMIFS($D$245:$D$595,$F$245:$F$595,0,$E$245:$E$595,$G319,$C$245:$C$595,"&lt;="&amp;AA5)&gt;=1000000),SUMIFS($D$245:$D$595,$F$245:$F$595,0,$E$245:$E$595,$G319)*$C$157 ,0)</f>
        <v/>
      </c>
      <c r="AC319" s="95">
        <f>IF(AND(SUMIFS($D$245:$D$595,$F$245:$F$595,0,$E$245:$E$595,$G319,$C$245:$C$595,"&lt;="&amp;AA$5)&lt;1000000,SUMIFS($D$245:$D$595,$F$245:$F$595,0,$E$245:$E$595,$G319,$C$245:$C$595,"&lt;="&amp;AC5)&gt;=1000000),SUMIFS($D$245:$D$595,$F$245:$F$595,0,$E$245:$E$595,$G319)*$C$157 ,0)</f>
        <v/>
      </c>
      <c r="AE319" s="95">
        <f>IF(AND(SUMIFS($D$245:$D$595,$F$245:$F$595,0,$E$245:$E$595,$G319,$C$245:$C$595,"&lt;="&amp;AC$5)&lt;1000000,SUMIFS($D$245:$D$595,$F$245:$F$595,0,$E$245:$E$595,$G319,$C$245:$C$595,"&lt;="&amp;AE5)&gt;=1000000),SUMIFS($D$245:$D$595,$F$245:$F$595,0,$E$245:$E$595,$G319)*$C$157 ,0)</f>
        <v/>
      </c>
      <c r="AF319" s="19" t="n"/>
    </row>
    <row r="320">
      <c r="A320" s="20">
        <f>mid(E320, 3, 1)</f>
        <v/>
      </c>
      <c r="B320" s="14" t="inlineStr"/>
      <c r="C320" s="21">
        <f>SUMIFS('Investor Exit List'!$AC:$AC,'Investor Exit List'!$AB:$AB,B320)</f>
        <v/>
      </c>
      <c r="D320" s="14">
        <f>SUMIFS('Investor Exit List'!$Q:$Q,'Investor Exit List'!$AB:$AB,B320)</f>
        <v/>
      </c>
      <c r="E320" s="31">
        <f>LEFT(B320,6)</f>
        <v/>
      </c>
      <c r="F320" s="14">
        <f>IF(SUMIFS($E$119:$E$151,$D$119:$D$151,E320)&lt;&gt;0,E320,0)</f>
        <v/>
      </c>
      <c r="G320" s="59" t="n"/>
      <c r="I320" s="28">
        <f>IF(AND(SUMIFS($D$245:$D$595,$F$245:$F$595,0,$E$245:$E$595,$G320,$C$245:$C$595,"&lt;="&amp;B$2)&lt;1000000,SUMIFS($D$245:$D$595,$F$245:$F$595,0,$E$245:$E$595,$G320,$C$245:$C$595,"&lt;="&amp;I5)&gt;=1000000),SUMIFS($D$245:$D$595,$F$245:$F$595,0,$E$245:$E$595,$G320)*$C$157 ,0)</f>
        <v/>
      </c>
      <c r="K320" s="95">
        <f>IF(AND(SUMIFS($D$245:$D$595,$F$245:$F$595,0,$E$245:$E$595,$G320,$C$245:$C$595,"&lt;="&amp;I$5)&lt;1000000,SUMIFS($D$245:$D$595,$F$245:$F$595,0,$E$245:$E$595,$G320,$C$245:$C$595,"&lt;="&amp;K5)&gt;=1000000),SUMIFS($D$245:$D$595,$F$245:$F$595,0,$E$245:$E$595,$G320)*$C$157 ,0)</f>
        <v/>
      </c>
      <c r="M320" s="95">
        <f>IF(AND(SUMIFS($D$245:$D$595,$F$245:$F$595,0,$E$245:$E$595,$G320,$C$245:$C$595,"&lt;="&amp;K$5)&lt;1000000,SUMIFS($D$245:$D$595,$F$245:$F$595,0,$E$245:$E$595,$G320,$C$245:$C$595,"&lt;="&amp;M5)&gt;=1000000),SUMIFS($D$245:$D$595,$F$245:$F$595,0,$E$245:$E$595,$G320)*$C$157 ,0)</f>
        <v/>
      </c>
      <c r="O320" s="95">
        <f>IF(AND(SUMIFS($D$245:$D$595,$F$245:$F$595,0,$E$245:$E$595,$G320,$C$245:$C$595,"&lt;="&amp;M$5)&lt;1000000,SUMIFS($D$245:$D$595,$F$245:$F$595,0,$E$245:$E$595,$G320,$C$245:$C$595,"&lt;="&amp;O5)&gt;=1000000),SUMIFS($D$245:$D$595,$F$245:$F$595,0,$E$245:$E$595,$G320)*$C$157 ,0)</f>
        <v/>
      </c>
      <c r="Q320" s="95">
        <f>IF(AND(SUMIFS($D$245:$D$595,$F$245:$F$595,0,$E$245:$E$595,$G320,$C$245:$C$595,"&lt;="&amp;O$5)&lt;1000000,SUMIFS($D$245:$D$595,$F$245:$F$595,0,$E$245:$E$595,$G320,$C$245:$C$595,"&lt;="&amp;Q5)&gt;=1000000),SUMIFS($D$245:$D$595,$F$245:$F$595,0,$E$245:$E$595,$G320)*$C$157 ,0)</f>
        <v/>
      </c>
      <c r="S320" s="95">
        <f>IF(AND(SUMIFS($D$245:$D$595,$F$245:$F$595,0,$E$245:$E$595,$G320,$C$245:$C$595,"&lt;="&amp;Q$5)&lt;1000000,SUMIFS($D$245:$D$595,$F$245:$F$595,0,$E$245:$E$595,$G320,$C$245:$C$595,"&lt;="&amp;S5)&gt;=1000000),SUMIFS($D$245:$D$595,$F$245:$F$595,0,$E$245:$E$595,$G320)*$C$157 ,0)</f>
        <v/>
      </c>
      <c r="U320" s="95">
        <f>IF(AND(SUMIFS($D$245:$D$595,$F$245:$F$595,0,$E$245:$E$595,$G320,$C$245:$C$595,"&lt;="&amp;S$5)&lt;1000000,SUMIFS($D$245:$D$595,$F$245:$F$595,0,$E$245:$E$595,$G320,$C$245:$C$595,"&lt;="&amp;U5)&gt;=1000000),SUMIFS($D$245:$D$595,$F$245:$F$595,0,$E$245:$E$595,$G320)*$C$157 ,0)</f>
        <v/>
      </c>
      <c r="W320" s="95">
        <f>IF(AND(SUMIFS($D$245:$D$595,$F$245:$F$595,0,$E$245:$E$595,$G320,$C$245:$C$595,"&lt;="&amp;U$5)&lt;1000000,SUMIFS($D$245:$D$595,$F$245:$F$595,0,$E$245:$E$595,$G320,$C$245:$C$595,"&lt;="&amp;W5)&gt;=1000000),SUMIFS($D$245:$D$595,$F$245:$F$595,0,$E$245:$E$595,$G320)*$C$157 ,0)</f>
        <v/>
      </c>
      <c r="Y320" s="95">
        <f>IF(AND(SUMIFS($D$245:$D$595,$F$245:$F$595,0,$E$245:$E$595,$G320,$C$245:$C$595,"&lt;="&amp;W$5)&lt;1000000,SUMIFS($D$245:$D$595,$F$245:$F$595,0,$E$245:$E$595,$G320,$C$245:$C$595,"&lt;="&amp;Y5)&gt;=1000000),SUMIFS($D$245:$D$595,$F$245:$F$595,0,$E$245:$E$595,$G320)*$C$157 ,0)</f>
        <v/>
      </c>
      <c r="AA320" s="95">
        <f>IF(AND(SUMIFS($D$245:$D$595,$F$245:$F$595,0,$E$245:$E$595,$G320,$C$245:$C$595,"&lt;="&amp;Y$5)&lt;1000000,SUMIFS($D$245:$D$595,$F$245:$F$595,0,$E$245:$E$595,$G320,$C$245:$C$595,"&lt;="&amp;AA5)&gt;=1000000),SUMIFS($D$245:$D$595,$F$245:$F$595,0,$E$245:$E$595,$G320)*$C$157 ,0)</f>
        <v/>
      </c>
      <c r="AC320" s="95">
        <f>IF(AND(SUMIFS($D$245:$D$595,$F$245:$F$595,0,$E$245:$E$595,$G320,$C$245:$C$595,"&lt;="&amp;AA$5)&lt;1000000,SUMIFS($D$245:$D$595,$F$245:$F$595,0,$E$245:$E$595,$G320,$C$245:$C$595,"&lt;="&amp;AC5)&gt;=1000000),SUMIFS($D$245:$D$595,$F$245:$F$595,0,$E$245:$E$595,$G320)*$C$157 ,0)</f>
        <v/>
      </c>
      <c r="AE320" s="95">
        <f>IF(AND(SUMIFS($D$245:$D$595,$F$245:$F$595,0,$E$245:$E$595,$G320,$C$245:$C$595,"&lt;="&amp;AC$5)&lt;1000000,SUMIFS($D$245:$D$595,$F$245:$F$595,0,$E$245:$E$595,$G320,$C$245:$C$595,"&lt;="&amp;AE5)&gt;=1000000),SUMIFS($D$245:$D$595,$F$245:$F$595,0,$E$245:$E$595,$G320)*$C$157 ,0)</f>
        <v/>
      </c>
      <c r="AF320" s="19" t="n"/>
    </row>
    <row r="321">
      <c r="A321" s="20">
        <f>mid(E321, 3, 1)</f>
        <v/>
      </c>
      <c r="B321" s="14" t="inlineStr"/>
      <c r="C321" s="21">
        <f>SUMIFS('Investor Exit List'!$AC:$AC,'Investor Exit List'!$AB:$AB,B321)</f>
        <v/>
      </c>
      <c r="D321" s="14">
        <f>SUMIFS('Investor Exit List'!$Q:$Q,'Investor Exit List'!$AB:$AB,B321)</f>
        <v/>
      </c>
      <c r="E321" s="31">
        <f>LEFT(B321,6)</f>
        <v/>
      </c>
      <c r="F321" s="14">
        <f>IF(SUMIFS($E$119:$E$151,$D$119:$D$151,E321)&lt;&gt;0,E321,0)</f>
        <v/>
      </c>
      <c r="G321" s="59" t="n"/>
      <c r="I321" s="28">
        <f>IF(AND(SUMIFS($D$245:$D$595,$F$245:$F$595,0,$E$245:$E$595,$G321,$C$245:$C$595,"&lt;="&amp;B$2)&lt;1000000,SUMIFS($D$245:$D$595,$F$245:$F$595,0,$E$245:$E$595,$G321,$C$245:$C$595,"&lt;="&amp;I5)&gt;=1000000),SUMIFS($D$245:$D$595,$F$245:$F$595,0,$E$245:$E$595,$G321)*$C$157 ,0)</f>
        <v/>
      </c>
      <c r="K321" s="95">
        <f>IF(AND(SUMIFS($D$245:$D$595,$F$245:$F$595,0,$E$245:$E$595,$G321,$C$245:$C$595,"&lt;="&amp;I$5)&lt;1000000,SUMIFS($D$245:$D$595,$F$245:$F$595,0,$E$245:$E$595,$G321,$C$245:$C$595,"&lt;="&amp;K5)&gt;=1000000),SUMIFS($D$245:$D$595,$F$245:$F$595,0,$E$245:$E$595,$G321)*$C$157 ,0)</f>
        <v/>
      </c>
      <c r="M321" s="95">
        <f>IF(AND(SUMIFS($D$245:$D$595,$F$245:$F$595,0,$E$245:$E$595,$G321,$C$245:$C$595,"&lt;="&amp;K$5)&lt;1000000,SUMIFS($D$245:$D$595,$F$245:$F$595,0,$E$245:$E$595,$G321,$C$245:$C$595,"&lt;="&amp;M5)&gt;=1000000),SUMIFS($D$245:$D$595,$F$245:$F$595,0,$E$245:$E$595,$G321)*$C$157 ,0)</f>
        <v/>
      </c>
      <c r="O321" s="95">
        <f>IF(AND(SUMIFS($D$245:$D$595,$F$245:$F$595,0,$E$245:$E$595,$G321,$C$245:$C$595,"&lt;="&amp;M$5)&lt;1000000,SUMIFS($D$245:$D$595,$F$245:$F$595,0,$E$245:$E$595,$G321,$C$245:$C$595,"&lt;="&amp;O5)&gt;=1000000),SUMIFS($D$245:$D$595,$F$245:$F$595,0,$E$245:$E$595,$G321)*$C$157 ,0)</f>
        <v/>
      </c>
      <c r="Q321" s="95">
        <f>IF(AND(SUMIFS($D$245:$D$595,$F$245:$F$595,0,$E$245:$E$595,$G321,$C$245:$C$595,"&lt;="&amp;O$5)&lt;1000000,SUMIFS($D$245:$D$595,$F$245:$F$595,0,$E$245:$E$595,$G321,$C$245:$C$595,"&lt;="&amp;Q5)&gt;=1000000),SUMIFS($D$245:$D$595,$F$245:$F$595,0,$E$245:$E$595,$G321)*$C$157 ,0)</f>
        <v/>
      </c>
      <c r="S321" s="95">
        <f>IF(AND(SUMIFS($D$245:$D$595,$F$245:$F$595,0,$E$245:$E$595,$G321,$C$245:$C$595,"&lt;="&amp;Q$5)&lt;1000000,SUMIFS($D$245:$D$595,$F$245:$F$595,0,$E$245:$E$595,$G321,$C$245:$C$595,"&lt;="&amp;S5)&gt;=1000000),SUMIFS($D$245:$D$595,$F$245:$F$595,0,$E$245:$E$595,$G321)*$C$157 ,0)</f>
        <v/>
      </c>
      <c r="U321" s="95">
        <f>IF(AND(SUMIFS($D$245:$D$595,$F$245:$F$595,0,$E$245:$E$595,$G321,$C$245:$C$595,"&lt;="&amp;S$5)&lt;1000000,SUMIFS($D$245:$D$595,$F$245:$F$595,0,$E$245:$E$595,$G321,$C$245:$C$595,"&lt;="&amp;U5)&gt;=1000000),SUMIFS($D$245:$D$595,$F$245:$F$595,0,$E$245:$E$595,$G321)*$C$157 ,0)</f>
        <v/>
      </c>
      <c r="W321" s="95">
        <f>IF(AND(SUMIFS($D$245:$D$595,$F$245:$F$595,0,$E$245:$E$595,$G321,$C$245:$C$595,"&lt;="&amp;U$5)&lt;1000000,SUMIFS($D$245:$D$595,$F$245:$F$595,0,$E$245:$E$595,$G321,$C$245:$C$595,"&lt;="&amp;W5)&gt;=1000000),SUMIFS($D$245:$D$595,$F$245:$F$595,0,$E$245:$E$595,$G321)*$C$157 ,0)</f>
        <v/>
      </c>
      <c r="Y321" s="95">
        <f>IF(AND(SUMIFS($D$245:$D$595,$F$245:$F$595,0,$E$245:$E$595,$G321,$C$245:$C$595,"&lt;="&amp;W$5)&lt;1000000,SUMIFS($D$245:$D$595,$F$245:$F$595,0,$E$245:$E$595,$G321,$C$245:$C$595,"&lt;="&amp;Y5)&gt;=1000000),SUMIFS($D$245:$D$595,$F$245:$F$595,0,$E$245:$E$595,$G321)*$C$157 ,0)</f>
        <v/>
      </c>
      <c r="AA321" s="95">
        <f>IF(AND(SUMIFS($D$245:$D$595,$F$245:$F$595,0,$E$245:$E$595,$G321,$C$245:$C$595,"&lt;="&amp;Y$5)&lt;1000000,SUMIFS($D$245:$D$595,$F$245:$F$595,0,$E$245:$E$595,$G321,$C$245:$C$595,"&lt;="&amp;AA5)&gt;=1000000),SUMIFS($D$245:$D$595,$F$245:$F$595,0,$E$245:$E$595,$G321)*$C$157 ,0)</f>
        <v/>
      </c>
      <c r="AC321" s="95">
        <f>IF(AND(SUMIFS($D$245:$D$595,$F$245:$F$595,0,$E$245:$E$595,$G321,$C$245:$C$595,"&lt;="&amp;AA$5)&lt;1000000,SUMIFS($D$245:$D$595,$F$245:$F$595,0,$E$245:$E$595,$G321,$C$245:$C$595,"&lt;="&amp;AC5)&gt;=1000000),SUMIFS($D$245:$D$595,$F$245:$F$595,0,$E$245:$E$595,$G321)*$C$157 ,0)</f>
        <v/>
      </c>
      <c r="AE321" s="95">
        <f>IF(AND(SUMIFS($D$245:$D$595,$F$245:$F$595,0,$E$245:$E$595,$G321,$C$245:$C$595,"&lt;="&amp;AC$5)&lt;1000000,SUMIFS($D$245:$D$595,$F$245:$F$595,0,$E$245:$E$595,$G321,$C$245:$C$595,"&lt;="&amp;AE5)&gt;=1000000),SUMIFS($D$245:$D$595,$F$245:$F$595,0,$E$245:$E$595,$G321)*$C$157 ,0)</f>
        <v/>
      </c>
      <c r="AF321" s="19" t="n"/>
    </row>
    <row r="322">
      <c r="A322" s="20">
        <f>mid(E322, 3, 1)</f>
        <v/>
      </c>
      <c r="B322" s="14" t="inlineStr"/>
      <c r="C322" s="21">
        <f>SUMIFS('Investor Exit List'!$AC:$AC,'Investor Exit List'!$AB:$AB,B322)</f>
        <v/>
      </c>
      <c r="D322" s="14">
        <f>SUMIFS('Investor Exit List'!$Q:$Q,'Investor Exit List'!$AB:$AB,B322)</f>
        <v/>
      </c>
      <c r="E322" s="31">
        <f>LEFT(B322,6)</f>
        <v/>
      </c>
      <c r="F322" s="14">
        <f>IF(SUMIFS($E$119:$E$151,$D$119:$D$151,E322)&lt;&gt;0,E322,0)</f>
        <v/>
      </c>
      <c r="G322" s="59" t="n"/>
      <c r="I322" s="28">
        <f>IF(AND(SUMIFS($D$245:$D$595,$F$245:$F$595,0,$E$245:$E$595,$G322,$C$245:$C$595,"&lt;="&amp;B$2)&lt;1000000,SUMIFS($D$245:$D$595,$F$245:$F$595,0,$E$245:$E$595,$G322,$C$245:$C$595,"&lt;="&amp;I5)&gt;=1000000),SUMIFS($D$245:$D$595,$F$245:$F$595,0,$E$245:$E$595,$G322)*$C$157 ,0)</f>
        <v/>
      </c>
      <c r="K322" s="95">
        <f>IF(AND(SUMIFS($D$245:$D$595,$F$245:$F$595,0,$E$245:$E$595,$G322,$C$245:$C$595,"&lt;="&amp;I$5)&lt;1000000,SUMIFS($D$245:$D$595,$F$245:$F$595,0,$E$245:$E$595,$G322,$C$245:$C$595,"&lt;="&amp;K5)&gt;=1000000),SUMIFS($D$245:$D$595,$F$245:$F$595,0,$E$245:$E$595,$G322)*$C$157 ,0)</f>
        <v/>
      </c>
      <c r="M322" s="95">
        <f>IF(AND(SUMIFS($D$245:$D$595,$F$245:$F$595,0,$E$245:$E$595,$G322,$C$245:$C$595,"&lt;="&amp;K$5)&lt;1000000,SUMIFS($D$245:$D$595,$F$245:$F$595,0,$E$245:$E$595,$G322,$C$245:$C$595,"&lt;="&amp;M5)&gt;=1000000),SUMIFS($D$245:$D$595,$F$245:$F$595,0,$E$245:$E$595,$G322)*$C$157 ,0)</f>
        <v/>
      </c>
      <c r="O322" s="95">
        <f>IF(AND(SUMIFS($D$245:$D$595,$F$245:$F$595,0,$E$245:$E$595,$G322,$C$245:$C$595,"&lt;="&amp;M$5)&lt;1000000,SUMIFS($D$245:$D$595,$F$245:$F$595,0,$E$245:$E$595,$G322,$C$245:$C$595,"&lt;="&amp;O5)&gt;=1000000),SUMIFS($D$245:$D$595,$F$245:$F$595,0,$E$245:$E$595,$G322)*$C$157 ,0)</f>
        <v/>
      </c>
      <c r="Q322" s="95">
        <f>IF(AND(SUMIFS($D$245:$D$595,$F$245:$F$595,0,$E$245:$E$595,$G322,$C$245:$C$595,"&lt;="&amp;O$5)&lt;1000000,SUMIFS($D$245:$D$595,$F$245:$F$595,0,$E$245:$E$595,$G322,$C$245:$C$595,"&lt;="&amp;Q5)&gt;=1000000),SUMIFS($D$245:$D$595,$F$245:$F$595,0,$E$245:$E$595,$G322)*$C$157 ,0)</f>
        <v/>
      </c>
      <c r="S322" s="95">
        <f>IF(AND(SUMIFS($D$245:$D$595,$F$245:$F$595,0,$E$245:$E$595,$G322,$C$245:$C$595,"&lt;="&amp;Q$5)&lt;1000000,SUMIFS($D$245:$D$595,$F$245:$F$595,0,$E$245:$E$595,$G322,$C$245:$C$595,"&lt;="&amp;S5)&gt;=1000000),SUMIFS($D$245:$D$595,$F$245:$F$595,0,$E$245:$E$595,$G322)*$C$157 ,0)</f>
        <v/>
      </c>
      <c r="U322" s="95">
        <f>IF(AND(SUMIFS($D$245:$D$595,$F$245:$F$595,0,$E$245:$E$595,$G322,$C$245:$C$595,"&lt;="&amp;S$5)&lt;1000000,SUMIFS($D$245:$D$595,$F$245:$F$595,0,$E$245:$E$595,$G322,$C$245:$C$595,"&lt;="&amp;U5)&gt;=1000000),SUMIFS($D$245:$D$595,$F$245:$F$595,0,$E$245:$E$595,$G322)*$C$157 ,0)</f>
        <v/>
      </c>
      <c r="W322" s="95">
        <f>IF(AND(SUMIFS($D$245:$D$595,$F$245:$F$595,0,$E$245:$E$595,$G322,$C$245:$C$595,"&lt;="&amp;U$5)&lt;1000000,SUMIFS($D$245:$D$595,$F$245:$F$595,0,$E$245:$E$595,$G322,$C$245:$C$595,"&lt;="&amp;W5)&gt;=1000000),SUMIFS($D$245:$D$595,$F$245:$F$595,0,$E$245:$E$595,$G322)*$C$157 ,0)</f>
        <v/>
      </c>
      <c r="Y322" s="95">
        <f>IF(AND(SUMIFS($D$245:$D$595,$F$245:$F$595,0,$E$245:$E$595,$G322,$C$245:$C$595,"&lt;="&amp;W$5)&lt;1000000,SUMIFS($D$245:$D$595,$F$245:$F$595,0,$E$245:$E$595,$G322,$C$245:$C$595,"&lt;="&amp;Y5)&gt;=1000000),SUMIFS($D$245:$D$595,$F$245:$F$595,0,$E$245:$E$595,$G322)*$C$157 ,0)</f>
        <v/>
      </c>
      <c r="AA322" s="95">
        <f>IF(AND(SUMIFS($D$245:$D$595,$F$245:$F$595,0,$E$245:$E$595,$G322,$C$245:$C$595,"&lt;="&amp;Y$5)&lt;1000000,SUMIFS($D$245:$D$595,$F$245:$F$595,0,$E$245:$E$595,$G322,$C$245:$C$595,"&lt;="&amp;AA5)&gt;=1000000),SUMIFS($D$245:$D$595,$F$245:$F$595,0,$E$245:$E$595,$G322)*$C$157 ,0)</f>
        <v/>
      </c>
      <c r="AC322" s="95">
        <f>IF(AND(SUMIFS($D$245:$D$595,$F$245:$F$595,0,$E$245:$E$595,$G322,$C$245:$C$595,"&lt;="&amp;AA$5)&lt;1000000,SUMIFS($D$245:$D$595,$F$245:$F$595,0,$E$245:$E$595,$G322,$C$245:$C$595,"&lt;="&amp;AC5)&gt;=1000000),SUMIFS($D$245:$D$595,$F$245:$F$595,0,$E$245:$E$595,$G322)*$C$157 ,0)</f>
        <v/>
      </c>
      <c r="AE322" s="95">
        <f>IF(AND(SUMIFS($D$245:$D$595,$F$245:$F$595,0,$E$245:$E$595,$G322,$C$245:$C$595,"&lt;="&amp;AC$5)&lt;1000000,SUMIFS($D$245:$D$595,$F$245:$F$595,0,$E$245:$E$595,$G322,$C$245:$C$595,"&lt;="&amp;AE5)&gt;=1000000),SUMIFS($D$245:$D$595,$F$245:$F$595,0,$E$245:$E$595,$G322)*$C$157 ,0)</f>
        <v/>
      </c>
      <c r="AF322" s="19" t="n"/>
    </row>
    <row r="323">
      <c r="A323" s="20">
        <f>mid(E323, 3, 1)</f>
        <v/>
      </c>
      <c r="B323" s="14" t="inlineStr"/>
      <c r="C323" s="21">
        <f>SUMIFS('Investor Exit List'!$AC:$AC,'Investor Exit List'!$AB:$AB,B323)</f>
        <v/>
      </c>
      <c r="D323" s="14">
        <f>SUMIFS('Investor Exit List'!$Q:$Q,'Investor Exit List'!$AB:$AB,B323)</f>
        <v/>
      </c>
      <c r="E323" s="31">
        <f>LEFT(B323,6)</f>
        <v/>
      </c>
      <c r="F323" s="14">
        <f>IF(SUMIFS($E$119:$E$151,$D$119:$D$151,E323)&lt;&gt;0,E323,0)</f>
        <v/>
      </c>
      <c r="G323" s="59" t="n"/>
      <c r="I323" s="28">
        <f>IF(AND(SUMIFS($D$245:$D$595,$F$245:$F$595,0,$E$245:$E$595,$G323,$C$245:$C$595,"&lt;="&amp;B$2)&lt;1000000,SUMIFS($D$245:$D$595,$F$245:$F$595,0,$E$245:$E$595,$G323,$C$245:$C$595,"&lt;="&amp;I5)&gt;=1000000),SUMIFS($D$245:$D$595,$F$245:$F$595,0,$E$245:$E$595,$G323)*$C$157 ,0)</f>
        <v/>
      </c>
      <c r="K323" s="95">
        <f>IF(AND(SUMIFS($D$245:$D$595,$F$245:$F$595,0,$E$245:$E$595,$G323,$C$245:$C$595,"&lt;="&amp;I$5)&lt;1000000,SUMIFS($D$245:$D$595,$F$245:$F$595,0,$E$245:$E$595,$G323,$C$245:$C$595,"&lt;="&amp;K5)&gt;=1000000),SUMIFS($D$245:$D$595,$F$245:$F$595,0,$E$245:$E$595,$G323)*$C$157 ,0)</f>
        <v/>
      </c>
      <c r="M323" s="95">
        <f>IF(AND(SUMIFS($D$245:$D$595,$F$245:$F$595,0,$E$245:$E$595,$G323,$C$245:$C$595,"&lt;="&amp;K$5)&lt;1000000,SUMIFS($D$245:$D$595,$F$245:$F$595,0,$E$245:$E$595,$G323,$C$245:$C$595,"&lt;="&amp;M5)&gt;=1000000),SUMIFS($D$245:$D$595,$F$245:$F$595,0,$E$245:$E$595,$G323)*$C$157 ,0)</f>
        <v/>
      </c>
      <c r="O323" s="95">
        <f>IF(AND(SUMIFS($D$245:$D$595,$F$245:$F$595,0,$E$245:$E$595,$G323,$C$245:$C$595,"&lt;="&amp;M$5)&lt;1000000,SUMIFS($D$245:$D$595,$F$245:$F$595,0,$E$245:$E$595,$G323,$C$245:$C$595,"&lt;="&amp;O5)&gt;=1000000),SUMIFS($D$245:$D$595,$F$245:$F$595,0,$E$245:$E$595,$G323)*$C$157 ,0)</f>
        <v/>
      </c>
      <c r="Q323" s="95">
        <f>IF(AND(SUMIFS($D$245:$D$595,$F$245:$F$595,0,$E$245:$E$595,$G323,$C$245:$C$595,"&lt;="&amp;O$5)&lt;1000000,SUMIFS($D$245:$D$595,$F$245:$F$595,0,$E$245:$E$595,$G323,$C$245:$C$595,"&lt;="&amp;Q5)&gt;=1000000),SUMIFS($D$245:$D$595,$F$245:$F$595,0,$E$245:$E$595,$G323)*$C$157 ,0)</f>
        <v/>
      </c>
      <c r="S323" s="95">
        <f>IF(AND(SUMIFS($D$245:$D$595,$F$245:$F$595,0,$E$245:$E$595,$G323,$C$245:$C$595,"&lt;="&amp;Q$5)&lt;1000000,SUMIFS($D$245:$D$595,$F$245:$F$595,0,$E$245:$E$595,$G323,$C$245:$C$595,"&lt;="&amp;S5)&gt;=1000000),SUMIFS($D$245:$D$595,$F$245:$F$595,0,$E$245:$E$595,$G323)*$C$157 ,0)</f>
        <v/>
      </c>
      <c r="U323" s="95">
        <f>IF(AND(SUMIFS($D$245:$D$595,$F$245:$F$595,0,$E$245:$E$595,$G323,$C$245:$C$595,"&lt;="&amp;S$5)&lt;1000000,SUMIFS($D$245:$D$595,$F$245:$F$595,0,$E$245:$E$595,$G323,$C$245:$C$595,"&lt;="&amp;U5)&gt;=1000000),SUMIFS($D$245:$D$595,$F$245:$F$595,0,$E$245:$E$595,$G323)*$C$157 ,0)</f>
        <v/>
      </c>
      <c r="W323" s="95">
        <f>IF(AND(SUMIFS($D$245:$D$595,$F$245:$F$595,0,$E$245:$E$595,$G323,$C$245:$C$595,"&lt;="&amp;U$5)&lt;1000000,SUMIFS($D$245:$D$595,$F$245:$F$595,0,$E$245:$E$595,$G323,$C$245:$C$595,"&lt;="&amp;W5)&gt;=1000000),SUMIFS($D$245:$D$595,$F$245:$F$595,0,$E$245:$E$595,$G323)*$C$157 ,0)</f>
        <v/>
      </c>
      <c r="Y323" s="95">
        <f>IF(AND(SUMIFS($D$245:$D$595,$F$245:$F$595,0,$E$245:$E$595,$G323,$C$245:$C$595,"&lt;="&amp;W$5)&lt;1000000,SUMIFS($D$245:$D$595,$F$245:$F$595,0,$E$245:$E$595,$G323,$C$245:$C$595,"&lt;="&amp;Y5)&gt;=1000000),SUMIFS($D$245:$D$595,$F$245:$F$595,0,$E$245:$E$595,$G323)*$C$157 ,0)</f>
        <v/>
      </c>
      <c r="AA323" s="95">
        <f>IF(AND(SUMIFS($D$245:$D$595,$F$245:$F$595,0,$E$245:$E$595,$G323,$C$245:$C$595,"&lt;="&amp;Y$5)&lt;1000000,SUMIFS($D$245:$D$595,$F$245:$F$595,0,$E$245:$E$595,$G323,$C$245:$C$595,"&lt;="&amp;AA5)&gt;=1000000),SUMIFS($D$245:$D$595,$F$245:$F$595,0,$E$245:$E$595,$G323)*$C$157 ,0)</f>
        <v/>
      </c>
      <c r="AC323" s="95">
        <f>IF(AND(SUMIFS($D$245:$D$595,$F$245:$F$595,0,$E$245:$E$595,$G323,$C$245:$C$595,"&lt;="&amp;AA$5)&lt;1000000,SUMIFS($D$245:$D$595,$F$245:$F$595,0,$E$245:$E$595,$G323,$C$245:$C$595,"&lt;="&amp;AC5)&gt;=1000000),SUMIFS($D$245:$D$595,$F$245:$F$595,0,$E$245:$E$595,$G323)*$C$157 ,0)</f>
        <v/>
      </c>
      <c r="AE323" s="95">
        <f>IF(AND(SUMIFS($D$245:$D$595,$F$245:$F$595,0,$E$245:$E$595,$G323,$C$245:$C$595,"&lt;="&amp;AC$5)&lt;1000000,SUMIFS($D$245:$D$595,$F$245:$F$595,0,$E$245:$E$595,$G323,$C$245:$C$595,"&lt;="&amp;AE5)&gt;=1000000),SUMIFS($D$245:$D$595,$F$245:$F$595,0,$E$245:$E$595,$G323)*$C$157 ,0)</f>
        <v/>
      </c>
      <c r="AF323" s="19" t="n"/>
    </row>
    <row r="324">
      <c r="A324" s="20">
        <f>mid(E324, 3, 1)</f>
        <v/>
      </c>
      <c r="B324" s="14" t="inlineStr"/>
      <c r="C324" s="21">
        <f>SUMIFS('Investor Exit List'!$AC:$AC,'Investor Exit List'!$AB:$AB,B324)</f>
        <v/>
      </c>
      <c r="D324" s="14">
        <f>SUMIFS('Investor Exit List'!$Q:$Q,'Investor Exit List'!$AB:$AB,B324)</f>
        <v/>
      </c>
      <c r="E324" s="31">
        <f>LEFT(B324,6)</f>
        <v/>
      </c>
      <c r="F324" s="14">
        <f>IF(SUMIFS($E$119:$E$151,$D$119:$D$151,E324)&lt;&gt;0,E324,0)</f>
        <v/>
      </c>
      <c r="G324" s="59" t="n"/>
      <c r="I324" s="28">
        <f>IF(AND(SUMIFS($D$245:$D$595,$F$245:$F$595,0,$E$245:$E$595,$G324,$C$245:$C$595,"&lt;="&amp;B$2)&lt;1000000,SUMIFS($D$245:$D$595,$F$245:$F$595,0,$E$245:$E$595,$G324,$C$245:$C$595,"&lt;="&amp;I5)&gt;=1000000),SUMIFS($D$245:$D$595,$F$245:$F$595,0,$E$245:$E$595,$G324)*$C$157 ,0)</f>
        <v/>
      </c>
      <c r="K324" s="95">
        <f>IF(AND(SUMIFS($D$245:$D$595,$F$245:$F$595,0,$E$245:$E$595,$G324,$C$245:$C$595,"&lt;="&amp;I$5)&lt;1000000,SUMIFS($D$245:$D$595,$F$245:$F$595,0,$E$245:$E$595,$G324,$C$245:$C$595,"&lt;="&amp;K5)&gt;=1000000),SUMIFS($D$245:$D$595,$F$245:$F$595,0,$E$245:$E$595,$G324)*$C$157 ,0)</f>
        <v/>
      </c>
      <c r="M324" s="95">
        <f>IF(AND(SUMIFS($D$245:$D$595,$F$245:$F$595,0,$E$245:$E$595,$G324,$C$245:$C$595,"&lt;="&amp;K$5)&lt;1000000,SUMIFS($D$245:$D$595,$F$245:$F$595,0,$E$245:$E$595,$G324,$C$245:$C$595,"&lt;="&amp;M5)&gt;=1000000),SUMIFS($D$245:$D$595,$F$245:$F$595,0,$E$245:$E$595,$G324)*$C$157 ,0)</f>
        <v/>
      </c>
      <c r="O324" s="95">
        <f>IF(AND(SUMIFS($D$245:$D$595,$F$245:$F$595,0,$E$245:$E$595,$G324,$C$245:$C$595,"&lt;="&amp;M$5)&lt;1000000,SUMIFS($D$245:$D$595,$F$245:$F$595,0,$E$245:$E$595,$G324,$C$245:$C$595,"&lt;="&amp;O5)&gt;=1000000),SUMIFS($D$245:$D$595,$F$245:$F$595,0,$E$245:$E$595,$G324)*$C$157 ,0)</f>
        <v/>
      </c>
      <c r="Q324" s="95">
        <f>IF(AND(SUMIFS($D$245:$D$595,$F$245:$F$595,0,$E$245:$E$595,$G324,$C$245:$C$595,"&lt;="&amp;O$5)&lt;1000000,SUMIFS($D$245:$D$595,$F$245:$F$595,0,$E$245:$E$595,$G324,$C$245:$C$595,"&lt;="&amp;Q5)&gt;=1000000),SUMIFS($D$245:$D$595,$F$245:$F$595,0,$E$245:$E$595,$G324)*$C$157 ,0)</f>
        <v/>
      </c>
      <c r="S324" s="95">
        <f>IF(AND(SUMIFS($D$245:$D$595,$F$245:$F$595,0,$E$245:$E$595,$G324,$C$245:$C$595,"&lt;="&amp;Q$5)&lt;1000000,SUMIFS($D$245:$D$595,$F$245:$F$595,0,$E$245:$E$595,$G324,$C$245:$C$595,"&lt;="&amp;S5)&gt;=1000000),SUMIFS($D$245:$D$595,$F$245:$F$595,0,$E$245:$E$595,$G324)*$C$157 ,0)</f>
        <v/>
      </c>
      <c r="U324" s="95">
        <f>IF(AND(SUMIFS($D$245:$D$595,$F$245:$F$595,0,$E$245:$E$595,$G324,$C$245:$C$595,"&lt;="&amp;S$5)&lt;1000000,SUMIFS($D$245:$D$595,$F$245:$F$595,0,$E$245:$E$595,$G324,$C$245:$C$595,"&lt;="&amp;U5)&gt;=1000000),SUMIFS($D$245:$D$595,$F$245:$F$595,0,$E$245:$E$595,$G324)*$C$157 ,0)</f>
        <v/>
      </c>
      <c r="W324" s="95">
        <f>IF(AND(SUMIFS($D$245:$D$595,$F$245:$F$595,0,$E$245:$E$595,$G324,$C$245:$C$595,"&lt;="&amp;U$5)&lt;1000000,SUMIFS($D$245:$D$595,$F$245:$F$595,0,$E$245:$E$595,$G324,$C$245:$C$595,"&lt;="&amp;W5)&gt;=1000000),SUMIFS($D$245:$D$595,$F$245:$F$595,0,$E$245:$E$595,$G324)*$C$157 ,0)</f>
        <v/>
      </c>
      <c r="Y324" s="95">
        <f>IF(AND(SUMIFS($D$245:$D$595,$F$245:$F$595,0,$E$245:$E$595,$G324,$C$245:$C$595,"&lt;="&amp;W$5)&lt;1000000,SUMIFS($D$245:$D$595,$F$245:$F$595,0,$E$245:$E$595,$G324,$C$245:$C$595,"&lt;="&amp;Y5)&gt;=1000000),SUMIFS($D$245:$D$595,$F$245:$F$595,0,$E$245:$E$595,$G324)*$C$157 ,0)</f>
        <v/>
      </c>
      <c r="AA324" s="95">
        <f>IF(AND(SUMIFS($D$245:$D$595,$F$245:$F$595,0,$E$245:$E$595,$G324,$C$245:$C$595,"&lt;="&amp;Y$5)&lt;1000000,SUMIFS($D$245:$D$595,$F$245:$F$595,0,$E$245:$E$595,$G324,$C$245:$C$595,"&lt;="&amp;AA5)&gt;=1000000),SUMIFS($D$245:$D$595,$F$245:$F$595,0,$E$245:$E$595,$G324)*$C$157 ,0)</f>
        <v/>
      </c>
      <c r="AC324" s="95">
        <f>IF(AND(SUMIFS($D$245:$D$595,$F$245:$F$595,0,$E$245:$E$595,$G324,$C$245:$C$595,"&lt;="&amp;AA$5)&lt;1000000,SUMIFS($D$245:$D$595,$F$245:$F$595,0,$E$245:$E$595,$G324,$C$245:$C$595,"&lt;="&amp;AC5)&gt;=1000000),SUMIFS($D$245:$D$595,$F$245:$F$595,0,$E$245:$E$595,$G324)*$C$157 ,0)</f>
        <v/>
      </c>
      <c r="AE324" s="95">
        <f>IF(AND(SUMIFS($D$245:$D$595,$F$245:$F$595,0,$E$245:$E$595,$G324,$C$245:$C$595,"&lt;="&amp;AC$5)&lt;1000000,SUMIFS($D$245:$D$595,$F$245:$F$595,0,$E$245:$E$595,$G324,$C$245:$C$595,"&lt;="&amp;AE5)&gt;=1000000),SUMIFS($D$245:$D$595,$F$245:$F$595,0,$E$245:$E$595,$G324)*$C$157 ,0)</f>
        <v/>
      </c>
      <c r="AF324" s="19" t="n"/>
    </row>
    <row r="325">
      <c r="A325" s="20">
        <f>mid(E325, 3, 1)</f>
        <v/>
      </c>
      <c r="B325" s="14" t="inlineStr"/>
      <c r="C325" s="21">
        <f>SUMIFS('Investor Exit List'!$AC:$AC,'Investor Exit List'!$AB:$AB,B325)</f>
        <v/>
      </c>
      <c r="D325" s="14">
        <f>SUMIFS('Investor Exit List'!$Q:$Q,'Investor Exit List'!$AB:$AB,B325)</f>
        <v/>
      </c>
      <c r="E325" s="31">
        <f>LEFT(B325,6)</f>
        <v/>
      </c>
      <c r="F325" s="14">
        <f>IF(SUMIFS($E$119:$E$151,$D$119:$D$151,E325)&lt;&gt;0,E325,0)</f>
        <v/>
      </c>
      <c r="G325" s="59" t="n"/>
      <c r="I325" s="28">
        <f>IF(AND(SUMIFS($D$245:$D$595,$F$245:$F$595,0,$E$245:$E$595,$G325,$C$245:$C$595,"&lt;="&amp;B$2)&lt;1000000,SUMIFS($D$245:$D$595,$F$245:$F$595,0,$E$245:$E$595,$G325,$C$245:$C$595,"&lt;="&amp;I5)&gt;=1000000),SUMIFS($D$245:$D$595,$F$245:$F$595,0,$E$245:$E$595,$G325)*$C$157 ,0)</f>
        <v/>
      </c>
      <c r="K325" s="95">
        <f>IF(AND(SUMIFS($D$245:$D$595,$F$245:$F$595,0,$E$245:$E$595,$G325,$C$245:$C$595,"&lt;="&amp;I$5)&lt;1000000,SUMIFS($D$245:$D$595,$F$245:$F$595,0,$E$245:$E$595,$G325,$C$245:$C$595,"&lt;="&amp;K5)&gt;=1000000),SUMIFS($D$245:$D$595,$F$245:$F$595,0,$E$245:$E$595,$G325)*$C$157 ,0)</f>
        <v/>
      </c>
      <c r="M325" s="95">
        <f>IF(AND(SUMIFS($D$245:$D$595,$F$245:$F$595,0,$E$245:$E$595,$G325,$C$245:$C$595,"&lt;="&amp;K$5)&lt;1000000,SUMIFS($D$245:$D$595,$F$245:$F$595,0,$E$245:$E$595,$G325,$C$245:$C$595,"&lt;="&amp;M5)&gt;=1000000),SUMIFS($D$245:$D$595,$F$245:$F$595,0,$E$245:$E$595,$G325)*$C$157 ,0)</f>
        <v/>
      </c>
      <c r="O325" s="95">
        <f>IF(AND(SUMIFS($D$245:$D$595,$F$245:$F$595,0,$E$245:$E$595,$G325,$C$245:$C$595,"&lt;="&amp;M$5)&lt;1000000,SUMIFS($D$245:$D$595,$F$245:$F$595,0,$E$245:$E$595,$G325,$C$245:$C$595,"&lt;="&amp;O5)&gt;=1000000),SUMIFS($D$245:$D$595,$F$245:$F$595,0,$E$245:$E$595,$G325)*$C$157 ,0)</f>
        <v/>
      </c>
      <c r="Q325" s="95">
        <f>IF(AND(SUMIFS($D$245:$D$595,$F$245:$F$595,0,$E$245:$E$595,$G325,$C$245:$C$595,"&lt;="&amp;O$5)&lt;1000000,SUMIFS($D$245:$D$595,$F$245:$F$595,0,$E$245:$E$595,$G325,$C$245:$C$595,"&lt;="&amp;Q5)&gt;=1000000),SUMIFS($D$245:$D$595,$F$245:$F$595,0,$E$245:$E$595,$G325)*$C$157 ,0)</f>
        <v/>
      </c>
      <c r="S325" s="95">
        <f>IF(AND(SUMIFS($D$245:$D$595,$F$245:$F$595,0,$E$245:$E$595,$G325,$C$245:$C$595,"&lt;="&amp;Q$5)&lt;1000000,SUMIFS($D$245:$D$595,$F$245:$F$595,0,$E$245:$E$595,$G325,$C$245:$C$595,"&lt;="&amp;S5)&gt;=1000000),SUMIFS($D$245:$D$595,$F$245:$F$595,0,$E$245:$E$595,$G325)*$C$157 ,0)</f>
        <v/>
      </c>
      <c r="U325" s="95">
        <f>IF(AND(SUMIFS($D$245:$D$595,$F$245:$F$595,0,$E$245:$E$595,$G325,$C$245:$C$595,"&lt;="&amp;S$5)&lt;1000000,SUMIFS($D$245:$D$595,$F$245:$F$595,0,$E$245:$E$595,$G325,$C$245:$C$595,"&lt;="&amp;U5)&gt;=1000000),SUMIFS($D$245:$D$595,$F$245:$F$595,0,$E$245:$E$595,$G325)*$C$157 ,0)</f>
        <v/>
      </c>
      <c r="W325" s="95">
        <f>IF(AND(SUMIFS($D$245:$D$595,$F$245:$F$595,0,$E$245:$E$595,$G325,$C$245:$C$595,"&lt;="&amp;U$5)&lt;1000000,SUMIFS($D$245:$D$595,$F$245:$F$595,0,$E$245:$E$595,$G325,$C$245:$C$595,"&lt;="&amp;W5)&gt;=1000000),SUMIFS($D$245:$D$595,$F$245:$F$595,0,$E$245:$E$595,$G325)*$C$157 ,0)</f>
        <v/>
      </c>
      <c r="Y325" s="95">
        <f>IF(AND(SUMIFS($D$245:$D$595,$F$245:$F$595,0,$E$245:$E$595,$G325,$C$245:$C$595,"&lt;="&amp;W$5)&lt;1000000,SUMIFS($D$245:$D$595,$F$245:$F$595,0,$E$245:$E$595,$G325,$C$245:$C$595,"&lt;="&amp;Y5)&gt;=1000000),SUMIFS($D$245:$D$595,$F$245:$F$595,0,$E$245:$E$595,$G325)*$C$157 ,0)</f>
        <v/>
      </c>
      <c r="AA325" s="95">
        <f>IF(AND(SUMIFS($D$245:$D$595,$F$245:$F$595,0,$E$245:$E$595,$G325,$C$245:$C$595,"&lt;="&amp;Y$5)&lt;1000000,SUMIFS($D$245:$D$595,$F$245:$F$595,0,$E$245:$E$595,$G325,$C$245:$C$595,"&lt;="&amp;AA5)&gt;=1000000),SUMIFS($D$245:$D$595,$F$245:$F$595,0,$E$245:$E$595,$G325)*$C$157 ,0)</f>
        <v/>
      </c>
      <c r="AC325" s="95">
        <f>IF(AND(SUMIFS($D$245:$D$595,$F$245:$F$595,0,$E$245:$E$595,$G325,$C$245:$C$595,"&lt;="&amp;AA$5)&lt;1000000,SUMIFS($D$245:$D$595,$F$245:$F$595,0,$E$245:$E$595,$G325,$C$245:$C$595,"&lt;="&amp;AC5)&gt;=1000000),SUMIFS($D$245:$D$595,$F$245:$F$595,0,$E$245:$E$595,$G325)*$C$157 ,0)</f>
        <v/>
      </c>
      <c r="AE325" s="95">
        <f>IF(AND(SUMIFS($D$245:$D$595,$F$245:$F$595,0,$E$245:$E$595,$G325,$C$245:$C$595,"&lt;="&amp;AC$5)&lt;1000000,SUMIFS($D$245:$D$595,$F$245:$F$595,0,$E$245:$E$595,$G325,$C$245:$C$595,"&lt;="&amp;AE5)&gt;=1000000),SUMIFS($D$245:$D$595,$F$245:$F$595,0,$E$245:$E$595,$G325)*$C$157 ,0)</f>
        <v/>
      </c>
      <c r="AF325" s="19" t="n"/>
    </row>
    <row r="326">
      <c r="A326" s="20">
        <f>mid(E326, 3, 1)</f>
        <v/>
      </c>
      <c r="B326" s="14" t="inlineStr"/>
      <c r="C326" s="21">
        <f>SUMIFS('Investor Exit List'!$AC:$AC,'Investor Exit List'!$AB:$AB,B326)</f>
        <v/>
      </c>
      <c r="D326" s="14">
        <f>SUMIFS('Investor Exit List'!$Q:$Q,'Investor Exit List'!$AB:$AB,B326)</f>
        <v/>
      </c>
      <c r="E326" s="31">
        <f>LEFT(B326,6)</f>
        <v/>
      </c>
      <c r="F326" s="14">
        <f>IF(SUMIFS($E$119:$E$151,$D$119:$D$151,E326)&lt;&gt;0,E326,0)</f>
        <v/>
      </c>
      <c r="G326" s="59" t="n"/>
      <c r="I326" s="28">
        <f>IF(AND(SUMIFS($D$245:$D$595,$F$245:$F$595,0,$E$245:$E$595,$G326,$C$245:$C$595,"&lt;="&amp;B$2)&lt;1000000,SUMIFS($D$245:$D$595,$F$245:$F$595,0,$E$245:$E$595,$G326,$C$245:$C$595,"&lt;="&amp;I5)&gt;=1000000),SUMIFS($D$245:$D$595,$F$245:$F$595,0,$E$245:$E$595,$G326)*$C$157 ,0)</f>
        <v/>
      </c>
      <c r="K326" s="95">
        <f>IF(AND(SUMIFS($D$245:$D$595,$F$245:$F$595,0,$E$245:$E$595,$G326,$C$245:$C$595,"&lt;="&amp;I$5)&lt;1000000,SUMIFS($D$245:$D$595,$F$245:$F$595,0,$E$245:$E$595,$G326,$C$245:$C$595,"&lt;="&amp;K5)&gt;=1000000),SUMIFS($D$245:$D$595,$F$245:$F$595,0,$E$245:$E$595,$G326)*$C$157 ,0)</f>
        <v/>
      </c>
      <c r="M326" s="95">
        <f>IF(AND(SUMIFS($D$245:$D$595,$F$245:$F$595,0,$E$245:$E$595,$G326,$C$245:$C$595,"&lt;="&amp;K$5)&lt;1000000,SUMIFS($D$245:$D$595,$F$245:$F$595,0,$E$245:$E$595,$G326,$C$245:$C$595,"&lt;="&amp;M5)&gt;=1000000),SUMIFS($D$245:$D$595,$F$245:$F$595,0,$E$245:$E$595,$G326)*$C$157 ,0)</f>
        <v/>
      </c>
      <c r="O326" s="95">
        <f>IF(AND(SUMIFS($D$245:$D$595,$F$245:$F$595,0,$E$245:$E$595,$G326,$C$245:$C$595,"&lt;="&amp;M$5)&lt;1000000,SUMIFS($D$245:$D$595,$F$245:$F$595,0,$E$245:$E$595,$G326,$C$245:$C$595,"&lt;="&amp;O5)&gt;=1000000),SUMIFS($D$245:$D$595,$F$245:$F$595,0,$E$245:$E$595,$G326)*$C$157 ,0)</f>
        <v/>
      </c>
      <c r="Q326" s="95">
        <f>IF(AND(SUMIFS($D$245:$D$595,$F$245:$F$595,0,$E$245:$E$595,$G326,$C$245:$C$595,"&lt;="&amp;O$5)&lt;1000000,SUMIFS($D$245:$D$595,$F$245:$F$595,0,$E$245:$E$595,$G326,$C$245:$C$595,"&lt;="&amp;Q5)&gt;=1000000),SUMIFS($D$245:$D$595,$F$245:$F$595,0,$E$245:$E$595,$G326)*$C$157 ,0)</f>
        <v/>
      </c>
      <c r="S326" s="95">
        <f>IF(AND(SUMIFS($D$245:$D$595,$F$245:$F$595,0,$E$245:$E$595,$G326,$C$245:$C$595,"&lt;="&amp;Q$5)&lt;1000000,SUMIFS($D$245:$D$595,$F$245:$F$595,0,$E$245:$E$595,$G326,$C$245:$C$595,"&lt;="&amp;S5)&gt;=1000000),SUMIFS($D$245:$D$595,$F$245:$F$595,0,$E$245:$E$595,$G326)*$C$157 ,0)</f>
        <v/>
      </c>
      <c r="U326" s="95">
        <f>IF(AND(SUMIFS($D$245:$D$595,$F$245:$F$595,0,$E$245:$E$595,$G326,$C$245:$C$595,"&lt;="&amp;S$5)&lt;1000000,SUMIFS($D$245:$D$595,$F$245:$F$595,0,$E$245:$E$595,$G326,$C$245:$C$595,"&lt;="&amp;U5)&gt;=1000000),SUMIFS($D$245:$D$595,$F$245:$F$595,0,$E$245:$E$595,$G326)*$C$157 ,0)</f>
        <v/>
      </c>
      <c r="W326" s="95">
        <f>IF(AND(SUMIFS($D$245:$D$595,$F$245:$F$595,0,$E$245:$E$595,$G326,$C$245:$C$595,"&lt;="&amp;U$5)&lt;1000000,SUMIFS($D$245:$D$595,$F$245:$F$595,0,$E$245:$E$595,$G326,$C$245:$C$595,"&lt;="&amp;W5)&gt;=1000000),SUMIFS($D$245:$D$595,$F$245:$F$595,0,$E$245:$E$595,$G326)*$C$157 ,0)</f>
        <v/>
      </c>
      <c r="Y326" s="95">
        <f>IF(AND(SUMIFS($D$245:$D$595,$F$245:$F$595,0,$E$245:$E$595,$G326,$C$245:$C$595,"&lt;="&amp;W$5)&lt;1000000,SUMIFS($D$245:$D$595,$F$245:$F$595,0,$E$245:$E$595,$G326,$C$245:$C$595,"&lt;="&amp;Y5)&gt;=1000000),SUMIFS($D$245:$D$595,$F$245:$F$595,0,$E$245:$E$595,$G326)*$C$157 ,0)</f>
        <v/>
      </c>
      <c r="AA326" s="95">
        <f>IF(AND(SUMIFS($D$245:$D$595,$F$245:$F$595,0,$E$245:$E$595,$G326,$C$245:$C$595,"&lt;="&amp;Y$5)&lt;1000000,SUMIFS($D$245:$D$595,$F$245:$F$595,0,$E$245:$E$595,$G326,$C$245:$C$595,"&lt;="&amp;AA5)&gt;=1000000),SUMIFS($D$245:$D$595,$F$245:$F$595,0,$E$245:$E$595,$G326)*$C$157 ,0)</f>
        <v/>
      </c>
      <c r="AC326" s="95">
        <f>IF(AND(SUMIFS($D$245:$D$595,$F$245:$F$595,0,$E$245:$E$595,$G326,$C$245:$C$595,"&lt;="&amp;AA$5)&lt;1000000,SUMIFS($D$245:$D$595,$F$245:$F$595,0,$E$245:$E$595,$G326,$C$245:$C$595,"&lt;="&amp;AC5)&gt;=1000000),SUMIFS($D$245:$D$595,$F$245:$F$595,0,$E$245:$E$595,$G326)*$C$157 ,0)</f>
        <v/>
      </c>
      <c r="AE326" s="95">
        <f>IF(AND(SUMIFS($D$245:$D$595,$F$245:$F$595,0,$E$245:$E$595,$G326,$C$245:$C$595,"&lt;="&amp;AC$5)&lt;1000000,SUMIFS($D$245:$D$595,$F$245:$F$595,0,$E$245:$E$595,$G326,$C$245:$C$595,"&lt;="&amp;AE5)&gt;=1000000),SUMIFS($D$245:$D$595,$F$245:$F$595,0,$E$245:$E$595,$G326)*$C$157 ,0)</f>
        <v/>
      </c>
      <c r="AF326" s="19" t="n"/>
    </row>
    <row r="327">
      <c r="A327" s="20">
        <f>mid(E327, 3, 1)</f>
        <v/>
      </c>
      <c r="B327" s="14" t="inlineStr"/>
      <c r="C327" s="21">
        <f>SUMIFS('Investor Exit List'!$AC:$AC,'Investor Exit List'!$AB:$AB,B327)</f>
        <v/>
      </c>
      <c r="D327" s="14">
        <f>SUMIFS('Investor Exit List'!$Q:$Q,'Investor Exit List'!$AB:$AB,B327)</f>
        <v/>
      </c>
      <c r="E327" s="31">
        <f>LEFT(B327,6)</f>
        <v/>
      </c>
      <c r="F327" s="14">
        <f>IF(SUMIFS($E$119:$E$151,$D$119:$D$151,E327)&lt;&gt;0,E327,0)</f>
        <v/>
      </c>
      <c r="G327" s="59" t="n"/>
      <c r="I327" s="28">
        <f>IF(AND(SUMIFS($D$245:$D$595,$F$245:$F$595,0,$E$245:$E$595,$G327,$C$245:$C$595,"&lt;="&amp;B$2)&lt;1000000,SUMIFS($D$245:$D$595,$F$245:$F$595,0,$E$245:$E$595,$G327,$C$245:$C$595,"&lt;="&amp;I5)&gt;=1000000),SUMIFS($D$245:$D$595,$F$245:$F$595,0,$E$245:$E$595,$G327)*$C$157 ,0)</f>
        <v/>
      </c>
      <c r="K327" s="95">
        <f>IF(AND(SUMIFS($D$245:$D$595,$F$245:$F$595,0,$E$245:$E$595,$G327,$C$245:$C$595,"&lt;="&amp;I$5)&lt;1000000,SUMIFS($D$245:$D$595,$F$245:$F$595,0,$E$245:$E$595,$G327,$C$245:$C$595,"&lt;="&amp;K5)&gt;=1000000),SUMIFS($D$245:$D$595,$F$245:$F$595,0,$E$245:$E$595,$G327)*$C$157 ,0)</f>
        <v/>
      </c>
      <c r="M327" s="95">
        <f>IF(AND(SUMIFS($D$245:$D$595,$F$245:$F$595,0,$E$245:$E$595,$G327,$C$245:$C$595,"&lt;="&amp;K$5)&lt;1000000,SUMIFS($D$245:$D$595,$F$245:$F$595,0,$E$245:$E$595,$G327,$C$245:$C$595,"&lt;="&amp;M5)&gt;=1000000),SUMIFS($D$245:$D$595,$F$245:$F$595,0,$E$245:$E$595,$G327)*$C$157 ,0)</f>
        <v/>
      </c>
      <c r="O327" s="95">
        <f>IF(AND(SUMIFS($D$245:$D$595,$F$245:$F$595,0,$E$245:$E$595,$G327,$C$245:$C$595,"&lt;="&amp;M$5)&lt;1000000,SUMIFS($D$245:$D$595,$F$245:$F$595,0,$E$245:$E$595,$G327,$C$245:$C$595,"&lt;="&amp;O5)&gt;=1000000),SUMIFS($D$245:$D$595,$F$245:$F$595,0,$E$245:$E$595,$G327)*$C$157 ,0)</f>
        <v/>
      </c>
      <c r="Q327" s="95">
        <f>IF(AND(SUMIFS($D$245:$D$595,$F$245:$F$595,0,$E$245:$E$595,$G327,$C$245:$C$595,"&lt;="&amp;O$5)&lt;1000000,SUMIFS($D$245:$D$595,$F$245:$F$595,0,$E$245:$E$595,$G327,$C$245:$C$595,"&lt;="&amp;Q5)&gt;=1000000),SUMIFS($D$245:$D$595,$F$245:$F$595,0,$E$245:$E$595,$G327)*$C$157 ,0)</f>
        <v/>
      </c>
      <c r="S327" s="95">
        <f>IF(AND(SUMIFS($D$245:$D$595,$F$245:$F$595,0,$E$245:$E$595,$G327,$C$245:$C$595,"&lt;="&amp;Q$5)&lt;1000000,SUMIFS($D$245:$D$595,$F$245:$F$595,0,$E$245:$E$595,$G327,$C$245:$C$595,"&lt;="&amp;S5)&gt;=1000000),SUMIFS($D$245:$D$595,$F$245:$F$595,0,$E$245:$E$595,$G327)*$C$157 ,0)</f>
        <v/>
      </c>
      <c r="U327" s="95">
        <f>IF(AND(SUMIFS($D$245:$D$595,$F$245:$F$595,0,$E$245:$E$595,$G327,$C$245:$C$595,"&lt;="&amp;S$5)&lt;1000000,SUMIFS($D$245:$D$595,$F$245:$F$595,0,$E$245:$E$595,$G327,$C$245:$C$595,"&lt;="&amp;U5)&gt;=1000000),SUMIFS($D$245:$D$595,$F$245:$F$595,0,$E$245:$E$595,$G327)*$C$157 ,0)</f>
        <v/>
      </c>
      <c r="W327" s="95">
        <f>IF(AND(SUMIFS($D$245:$D$595,$F$245:$F$595,0,$E$245:$E$595,$G327,$C$245:$C$595,"&lt;="&amp;U$5)&lt;1000000,SUMIFS($D$245:$D$595,$F$245:$F$595,0,$E$245:$E$595,$G327,$C$245:$C$595,"&lt;="&amp;W5)&gt;=1000000),SUMIFS($D$245:$D$595,$F$245:$F$595,0,$E$245:$E$595,$G327)*$C$157 ,0)</f>
        <v/>
      </c>
      <c r="Y327" s="95">
        <f>IF(AND(SUMIFS($D$245:$D$595,$F$245:$F$595,0,$E$245:$E$595,$G327,$C$245:$C$595,"&lt;="&amp;W$5)&lt;1000000,SUMIFS($D$245:$D$595,$F$245:$F$595,0,$E$245:$E$595,$G327,$C$245:$C$595,"&lt;="&amp;Y5)&gt;=1000000),SUMIFS($D$245:$D$595,$F$245:$F$595,0,$E$245:$E$595,$G327)*$C$157 ,0)</f>
        <v/>
      </c>
      <c r="AA327" s="95">
        <f>IF(AND(SUMIFS($D$245:$D$595,$F$245:$F$595,0,$E$245:$E$595,$G327,$C$245:$C$595,"&lt;="&amp;Y$5)&lt;1000000,SUMIFS($D$245:$D$595,$F$245:$F$595,0,$E$245:$E$595,$G327,$C$245:$C$595,"&lt;="&amp;AA5)&gt;=1000000),SUMIFS($D$245:$D$595,$F$245:$F$595,0,$E$245:$E$595,$G327)*$C$157 ,0)</f>
        <v/>
      </c>
      <c r="AC327" s="95">
        <f>IF(AND(SUMIFS($D$245:$D$595,$F$245:$F$595,0,$E$245:$E$595,$G327,$C$245:$C$595,"&lt;="&amp;AA$5)&lt;1000000,SUMIFS($D$245:$D$595,$F$245:$F$595,0,$E$245:$E$595,$G327,$C$245:$C$595,"&lt;="&amp;AC5)&gt;=1000000),SUMIFS($D$245:$D$595,$F$245:$F$595,0,$E$245:$E$595,$G327)*$C$157 ,0)</f>
        <v/>
      </c>
      <c r="AE327" s="95">
        <f>IF(AND(SUMIFS($D$245:$D$595,$F$245:$F$595,0,$E$245:$E$595,$G327,$C$245:$C$595,"&lt;="&amp;AC$5)&lt;1000000,SUMIFS($D$245:$D$595,$F$245:$F$595,0,$E$245:$E$595,$G327,$C$245:$C$595,"&lt;="&amp;AE5)&gt;=1000000),SUMIFS($D$245:$D$595,$F$245:$F$595,0,$E$245:$E$595,$G327)*$C$157 ,0)</f>
        <v/>
      </c>
      <c r="AF327" s="19" t="n"/>
    </row>
    <row r="328">
      <c r="A328" s="20">
        <f>mid(E328, 3, 1)</f>
        <v/>
      </c>
      <c r="B328" s="14" t="inlineStr"/>
      <c r="C328" s="21">
        <f>SUMIFS('Investor Exit List'!$AC:$AC,'Investor Exit List'!$AB:$AB,B328)</f>
        <v/>
      </c>
      <c r="D328" s="14">
        <f>SUMIFS('Investor Exit List'!$Q:$Q,'Investor Exit List'!$AB:$AB,B328)</f>
        <v/>
      </c>
      <c r="E328" s="31">
        <f>LEFT(B328,6)</f>
        <v/>
      </c>
      <c r="F328" s="14">
        <f>IF(SUMIFS($E$119:$E$151,$D$119:$D$151,E328)&lt;&gt;0,E328,0)</f>
        <v/>
      </c>
      <c r="G328" s="59" t="n"/>
      <c r="I328" s="28">
        <f>IF(AND(SUMIFS($D$245:$D$595,$F$245:$F$595,0,$E$245:$E$595,$G328,$C$245:$C$595,"&lt;="&amp;B$2)&lt;1000000,SUMIFS($D$245:$D$595,$F$245:$F$595,0,$E$245:$E$595,$G328,$C$245:$C$595,"&lt;="&amp;I5)&gt;=1000000),SUMIFS($D$245:$D$595,$F$245:$F$595,0,$E$245:$E$595,$G328)*$C$157 ,0)</f>
        <v/>
      </c>
      <c r="K328" s="95">
        <f>IF(AND(SUMIFS($D$245:$D$595,$F$245:$F$595,0,$E$245:$E$595,$G328,$C$245:$C$595,"&lt;="&amp;I$5)&lt;1000000,SUMIFS($D$245:$D$595,$F$245:$F$595,0,$E$245:$E$595,$G328,$C$245:$C$595,"&lt;="&amp;K5)&gt;=1000000),SUMIFS($D$245:$D$595,$F$245:$F$595,0,$E$245:$E$595,$G328)*$C$157 ,0)</f>
        <v/>
      </c>
      <c r="M328" s="95">
        <f>IF(AND(SUMIFS($D$245:$D$595,$F$245:$F$595,0,$E$245:$E$595,$G328,$C$245:$C$595,"&lt;="&amp;K$5)&lt;1000000,SUMIFS($D$245:$D$595,$F$245:$F$595,0,$E$245:$E$595,$G328,$C$245:$C$595,"&lt;="&amp;M5)&gt;=1000000),SUMIFS($D$245:$D$595,$F$245:$F$595,0,$E$245:$E$595,$G328)*$C$157 ,0)</f>
        <v/>
      </c>
      <c r="O328" s="95">
        <f>IF(AND(SUMIFS($D$245:$D$595,$F$245:$F$595,0,$E$245:$E$595,$G328,$C$245:$C$595,"&lt;="&amp;M$5)&lt;1000000,SUMIFS($D$245:$D$595,$F$245:$F$595,0,$E$245:$E$595,$G328,$C$245:$C$595,"&lt;="&amp;O5)&gt;=1000000),SUMIFS($D$245:$D$595,$F$245:$F$595,0,$E$245:$E$595,$G328)*$C$157 ,0)</f>
        <v/>
      </c>
      <c r="Q328" s="95">
        <f>IF(AND(SUMIFS($D$245:$D$595,$F$245:$F$595,0,$E$245:$E$595,$G328,$C$245:$C$595,"&lt;="&amp;O$5)&lt;1000000,SUMIFS($D$245:$D$595,$F$245:$F$595,0,$E$245:$E$595,$G328,$C$245:$C$595,"&lt;="&amp;Q5)&gt;=1000000),SUMIFS($D$245:$D$595,$F$245:$F$595,0,$E$245:$E$595,$G328)*$C$157 ,0)</f>
        <v/>
      </c>
      <c r="S328" s="95">
        <f>IF(AND(SUMIFS($D$245:$D$595,$F$245:$F$595,0,$E$245:$E$595,$G328,$C$245:$C$595,"&lt;="&amp;Q$5)&lt;1000000,SUMIFS($D$245:$D$595,$F$245:$F$595,0,$E$245:$E$595,$G328,$C$245:$C$595,"&lt;="&amp;S5)&gt;=1000000),SUMIFS($D$245:$D$595,$F$245:$F$595,0,$E$245:$E$595,$G328)*$C$157 ,0)</f>
        <v/>
      </c>
      <c r="U328" s="95">
        <f>IF(AND(SUMIFS($D$245:$D$595,$F$245:$F$595,0,$E$245:$E$595,$G328,$C$245:$C$595,"&lt;="&amp;S$5)&lt;1000000,SUMIFS($D$245:$D$595,$F$245:$F$595,0,$E$245:$E$595,$G328,$C$245:$C$595,"&lt;="&amp;U5)&gt;=1000000),SUMIFS($D$245:$D$595,$F$245:$F$595,0,$E$245:$E$595,$G328)*$C$157 ,0)</f>
        <v/>
      </c>
      <c r="W328" s="95">
        <f>IF(AND(SUMIFS($D$245:$D$595,$F$245:$F$595,0,$E$245:$E$595,$G328,$C$245:$C$595,"&lt;="&amp;U$5)&lt;1000000,SUMIFS($D$245:$D$595,$F$245:$F$595,0,$E$245:$E$595,$G328,$C$245:$C$595,"&lt;="&amp;W5)&gt;=1000000),SUMIFS($D$245:$D$595,$F$245:$F$595,0,$E$245:$E$595,$G328)*$C$157 ,0)</f>
        <v/>
      </c>
      <c r="Y328" s="95">
        <f>IF(AND(SUMIFS($D$245:$D$595,$F$245:$F$595,0,$E$245:$E$595,$G328,$C$245:$C$595,"&lt;="&amp;W$5)&lt;1000000,SUMIFS($D$245:$D$595,$F$245:$F$595,0,$E$245:$E$595,$G328,$C$245:$C$595,"&lt;="&amp;Y5)&gt;=1000000),SUMIFS($D$245:$D$595,$F$245:$F$595,0,$E$245:$E$595,$G328)*$C$157 ,0)</f>
        <v/>
      </c>
      <c r="AA328" s="95">
        <f>IF(AND(SUMIFS($D$245:$D$595,$F$245:$F$595,0,$E$245:$E$595,$G328,$C$245:$C$595,"&lt;="&amp;Y$5)&lt;1000000,SUMIFS($D$245:$D$595,$F$245:$F$595,0,$E$245:$E$595,$G328,$C$245:$C$595,"&lt;="&amp;AA5)&gt;=1000000),SUMIFS($D$245:$D$595,$F$245:$F$595,0,$E$245:$E$595,$G328)*$C$157 ,0)</f>
        <v/>
      </c>
      <c r="AC328" s="95">
        <f>IF(AND(SUMIFS($D$245:$D$595,$F$245:$F$595,0,$E$245:$E$595,$G328,$C$245:$C$595,"&lt;="&amp;AA$5)&lt;1000000,SUMIFS($D$245:$D$595,$F$245:$F$595,0,$E$245:$E$595,$G328,$C$245:$C$595,"&lt;="&amp;AC5)&gt;=1000000),SUMIFS($D$245:$D$595,$F$245:$F$595,0,$E$245:$E$595,$G328)*$C$157 ,0)</f>
        <v/>
      </c>
      <c r="AE328" s="95">
        <f>IF(AND(SUMIFS($D$245:$D$595,$F$245:$F$595,0,$E$245:$E$595,$G328,$C$245:$C$595,"&lt;="&amp;AC$5)&lt;1000000,SUMIFS($D$245:$D$595,$F$245:$F$595,0,$E$245:$E$595,$G328,$C$245:$C$595,"&lt;="&amp;AE5)&gt;=1000000),SUMIFS($D$245:$D$595,$F$245:$F$595,0,$E$245:$E$595,$G328)*$C$157 ,0)</f>
        <v/>
      </c>
      <c r="AF328" s="19" t="n"/>
    </row>
    <row r="329">
      <c r="A329" s="20">
        <f>mid(E329, 3, 1)</f>
        <v/>
      </c>
      <c r="B329" s="14" t="inlineStr"/>
      <c r="C329" s="21">
        <f>SUMIFS('Investor Exit List'!$AC:$AC,'Investor Exit List'!$AB:$AB,B329)</f>
        <v/>
      </c>
      <c r="D329" s="14">
        <f>SUMIFS('Investor Exit List'!$Q:$Q,'Investor Exit List'!$AB:$AB,B329)</f>
        <v/>
      </c>
      <c r="E329" s="31">
        <f>LEFT(B329,6)</f>
        <v/>
      </c>
      <c r="F329" s="14">
        <f>IF(SUMIFS($E$119:$E$151,$D$119:$D$151,E329)&lt;&gt;0,E329,0)</f>
        <v/>
      </c>
      <c r="G329" s="59" t="n"/>
      <c r="I329" s="28">
        <f>IF(AND(SUMIFS($D$245:$D$595,$F$245:$F$595,0,$E$245:$E$595,$G329,$C$245:$C$595,"&lt;="&amp;B$2)&lt;1000000,SUMIFS($D$245:$D$595,$F$245:$F$595,0,$E$245:$E$595,$G329,$C$245:$C$595,"&lt;="&amp;I5)&gt;=1000000),SUMIFS($D$245:$D$595,$F$245:$F$595,0,$E$245:$E$595,$G329)*$C$157 ,0)</f>
        <v/>
      </c>
      <c r="K329" s="95">
        <f>IF(AND(SUMIFS($D$245:$D$595,$F$245:$F$595,0,$E$245:$E$595,$G329,$C$245:$C$595,"&lt;="&amp;I$5)&lt;1000000,SUMIFS($D$245:$D$595,$F$245:$F$595,0,$E$245:$E$595,$G329,$C$245:$C$595,"&lt;="&amp;K5)&gt;=1000000),SUMIFS($D$245:$D$595,$F$245:$F$595,0,$E$245:$E$595,$G329)*$C$157 ,0)</f>
        <v/>
      </c>
      <c r="M329" s="95">
        <f>IF(AND(SUMIFS($D$245:$D$595,$F$245:$F$595,0,$E$245:$E$595,$G329,$C$245:$C$595,"&lt;="&amp;K$5)&lt;1000000,SUMIFS($D$245:$D$595,$F$245:$F$595,0,$E$245:$E$595,$G329,$C$245:$C$595,"&lt;="&amp;M5)&gt;=1000000),SUMIFS($D$245:$D$595,$F$245:$F$595,0,$E$245:$E$595,$G329)*$C$157 ,0)</f>
        <v/>
      </c>
      <c r="O329" s="95">
        <f>IF(AND(SUMIFS($D$245:$D$595,$F$245:$F$595,0,$E$245:$E$595,$G329,$C$245:$C$595,"&lt;="&amp;M$5)&lt;1000000,SUMIFS($D$245:$D$595,$F$245:$F$595,0,$E$245:$E$595,$G329,$C$245:$C$595,"&lt;="&amp;O5)&gt;=1000000),SUMIFS($D$245:$D$595,$F$245:$F$595,0,$E$245:$E$595,$G329)*$C$157 ,0)</f>
        <v/>
      </c>
      <c r="Q329" s="95">
        <f>IF(AND(SUMIFS($D$245:$D$595,$F$245:$F$595,0,$E$245:$E$595,$G329,$C$245:$C$595,"&lt;="&amp;O$5)&lt;1000000,SUMIFS($D$245:$D$595,$F$245:$F$595,0,$E$245:$E$595,$G329,$C$245:$C$595,"&lt;="&amp;Q5)&gt;=1000000),SUMIFS($D$245:$D$595,$F$245:$F$595,0,$E$245:$E$595,$G329)*$C$157 ,0)</f>
        <v/>
      </c>
      <c r="S329" s="95">
        <f>IF(AND(SUMIFS($D$245:$D$595,$F$245:$F$595,0,$E$245:$E$595,$G329,$C$245:$C$595,"&lt;="&amp;Q$5)&lt;1000000,SUMIFS($D$245:$D$595,$F$245:$F$595,0,$E$245:$E$595,$G329,$C$245:$C$595,"&lt;="&amp;S5)&gt;=1000000),SUMIFS($D$245:$D$595,$F$245:$F$595,0,$E$245:$E$595,$G329)*$C$157 ,0)</f>
        <v/>
      </c>
      <c r="U329" s="95">
        <f>IF(AND(SUMIFS($D$245:$D$595,$F$245:$F$595,0,$E$245:$E$595,$G329,$C$245:$C$595,"&lt;="&amp;S$5)&lt;1000000,SUMIFS($D$245:$D$595,$F$245:$F$595,0,$E$245:$E$595,$G329,$C$245:$C$595,"&lt;="&amp;U5)&gt;=1000000),SUMIFS($D$245:$D$595,$F$245:$F$595,0,$E$245:$E$595,$G329)*$C$157 ,0)</f>
        <v/>
      </c>
      <c r="W329" s="95">
        <f>IF(AND(SUMIFS($D$245:$D$595,$F$245:$F$595,0,$E$245:$E$595,$G329,$C$245:$C$595,"&lt;="&amp;U$5)&lt;1000000,SUMIFS($D$245:$D$595,$F$245:$F$595,0,$E$245:$E$595,$G329,$C$245:$C$595,"&lt;="&amp;W5)&gt;=1000000),SUMIFS($D$245:$D$595,$F$245:$F$595,0,$E$245:$E$595,$G329)*$C$157 ,0)</f>
        <v/>
      </c>
      <c r="Y329" s="95">
        <f>IF(AND(SUMIFS($D$245:$D$595,$F$245:$F$595,0,$E$245:$E$595,$G329,$C$245:$C$595,"&lt;="&amp;W$5)&lt;1000000,SUMIFS($D$245:$D$595,$F$245:$F$595,0,$E$245:$E$595,$G329,$C$245:$C$595,"&lt;="&amp;Y5)&gt;=1000000),SUMIFS($D$245:$D$595,$F$245:$F$595,0,$E$245:$E$595,$G329)*$C$157 ,0)</f>
        <v/>
      </c>
      <c r="AA329" s="95">
        <f>IF(AND(SUMIFS($D$245:$D$595,$F$245:$F$595,0,$E$245:$E$595,$G329,$C$245:$C$595,"&lt;="&amp;Y$5)&lt;1000000,SUMIFS($D$245:$D$595,$F$245:$F$595,0,$E$245:$E$595,$G329,$C$245:$C$595,"&lt;="&amp;AA5)&gt;=1000000),SUMIFS($D$245:$D$595,$F$245:$F$595,0,$E$245:$E$595,$G329)*$C$157 ,0)</f>
        <v/>
      </c>
      <c r="AC329" s="95">
        <f>IF(AND(SUMIFS($D$245:$D$595,$F$245:$F$595,0,$E$245:$E$595,$G329,$C$245:$C$595,"&lt;="&amp;AA$5)&lt;1000000,SUMIFS($D$245:$D$595,$F$245:$F$595,0,$E$245:$E$595,$G329,$C$245:$C$595,"&lt;="&amp;AC5)&gt;=1000000),SUMIFS($D$245:$D$595,$F$245:$F$595,0,$E$245:$E$595,$G329)*$C$157 ,0)</f>
        <v/>
      </c>
      <c r="AE329" s="95">
        <f>IF(AND(SUMIFS($D$245:$D$595,$F$245:$F$595,0,$E$245:$E$595,$G329,$C$245:$C$595,"&lt;="&amp;AC$5)&lt;1000000,SUMIFS($D$245:$D$595,$F$245:$F$595,0,$E$245:$E$595,$G329,$C$245:$C$595,"&lt;="&amp;AE5)&gt;=1000000),SUMIFS($D$245:$D$595,$F$245:$F$595,0,$E$245:$E$595,$G329)*$C$157 ,0)</f>
        <v/>
      </c>
      <c r="AF329" s="19" t="n"/>
    </row>
    <row r="330">
      <c r="A330" s="20">
        <f>mid(E330, 3, 1)</f>
        <v/>
      </c>
      <c r="B330" s="14" t="inlineStr"/>
      <c r="C330" s="21">
        <f>SUMIFS('Investor Exit List'!$AC:$AC,'Investor Exit List'!$AB:$AB,B330)</f>
        <v/>
      </c>
      <c r="D330" s="14">
        <f>SUMIFS('Investor Exit List'!$Q:$Q,'Investor Exit List'!$AB:$AB,B330)</f>
        <v/>
      </c>
      <c r="E330" s="31">
        <f>LEFT(B330,6)</f>
        <v/>
      </c>
      <c r="F330" s="14">
        <f>IF(SUMIFS($E$119:$E$151,$D$119:$D$151,E330)&lt;&gt;0,E330,0)</f>
        <v/>
      </c>
      <c r="G330" s="59" t="n"/>
      <c r="I330" s="28">
        <f>IF(AND(SUMIFS($D$245:$D$595,$F$245:$F$595,0,$E$245:$E$595,$G330,$C$245:$C$595,"&lt;="&amp;B$2)&lt;1000000,SUMIFS($D$245:$D$595,$F$245:$F$595,0,$E$245:$E$595,$G330,$C$245:$C$595,"&lt;="&amp;I5)&gt;=1000000),SUMIFS($D$245:$D$595,$F$245:$F$595,0,$E$245:$E$595,$G330)*$C$157 ,0)</f>
        <v/>
      </c>
      <c r="K330" s="95">
        <f>IF(AND(SUMIFS($D$245:$D$595,$F$245:$F$595,0,$E$245:$E$595,$G330,$C$245:$C$595,"&lt;="&amp;I$5)&lt;1000000,SUMIFS($D$245:$D$595,$F$245:$F$595,0,$E$245:$E$595,$G330,$C$245:$C$595,"&lt;="&amp;K5)&gt;=1000000),SUMIFS($D$245:$D$595,$F$245:$F$595,0,$E$245:$E$595,$G330)*$C$157 ,0)</f>
        <v/>
      </c>
      <c r="M330" s="95">
        <f>IF(AND(SUMIFS($D$245:$D$595,$F$245:$F$595,0,$E$245:$E$595,$G330,$C$245:$C$595,"&lt;="&amp;K$5)&lt;1000000,SUMIFS($D$245:$D$595,$F$245:$F$595,0,$E$245:$E$595,$G330,$C$245:$C$595,"&lt;="&amp;M5)&gt;=1000000),SUMIFS($D$245:$D$595,$F$245:$F$595,0,$E$245:$E$595,$G330)*$C$157 ,0)</f>
        <v/>
      </c>
      <c r="O330" s="95">
        <f>IF(AND(SUMIFS($D$245:$D$595,$F$245:$F$595,0,$E$245:$E$595,$G330,$C$245:$C$595,"&lt;="&amp;M$5)&lt;1000000,SUMIFS($D$245:$D$595,$F$245:$F$595,0,$E$245:$E$595,$G330,$C$245:$C$595,"&lt;="&amp;O5)&gt;=1000000),SUMIFS($D$245:$D$595,$F$245:$F$595,0,$E$245:$E$595,$G330)*$C$157 ,0)</f>
        <v/>
      </c>
      <c r="Q330" s="95">
        <f>IF(AND(SUMIFS($D$245:$D$595,$F$245:$F$595,0,$E$245:$E$595,$G330,$C$245:$C$595,"&lt;="&amp;O$5)&lt;1000000,SUMIFS($D$245:$D$595,$F$245:$F$595,0,$E$245:$E$595,$G330,$C$245:$C$595,"&lt;="&amp;Q5)&gt;=1000000),SUMIFS($D$245:$D$595,$F$245:$F$595,0,$E$245:$E$595,$G330)*$C$157 ,0)</f>
        <v/>
      </c>
      <c r="S330" s="95">
        <f>IF(AND(SUMIFS($D$245:$D$595,$F$245:$F$595,0,$E$245:$E$595,$G330,$C$245:$C$595,"&lt;="&amp;Q$5)&lt;1000000,SUMIFS($D$245:$D$595,$F$245:$F$595,0,$E$245:$E$595,$G330,$C$245:$C$595,"&lt;="&amp;S5)&gt;=1000000),SUMIFS($D$245:$D$595,$F$245:$F$595,0,$E$245:$E$595,$G330)*$C$157 ,0)</f>
        <v/>
      </c>
      <c r="U330" s="95">
        <f>IF(AND(SUMIFS($D$245:$D$595,$F$245:$F$595,0,$E$245:$E$595,$G330,$C$245:$C$595,"&lt;="&amp;S$5)&lt;1000000,SUMIFS($D$245:$D$595,$F$245:$F$595,0,$E$245:$E$595,$G330,$C$245:$C$595,"&lt;="&amp;U5)&gt;=1000000),SUMIFS($D$245:$D$595,$F$245:$F$595,0,$E$245:$E$595,$G330)*$C$157 ,0)</f>
        <v/>
      </c>
      <c r="W330" s="95">
        <f>IF(AND(SUMIFS($D$245:$D$595,$F$245:$F$595,0,$E$245:$E$595,$G330,$C$245:$C$595,"&lt;="&amp;U$5)&lt;1000000,SUMIFS($D$245:$D$595,$F$245:$F$595,0,$E$245:$E$595,$G330,$C$245:$C$595,"&lt;="&amp;W5)&gt;=1000000),SUMIFS($D$245:$D$595,$F$245:$F$595,0,$E$245:$E$595,$G330)*$C$157 ,0)</f>
        <v/>
      </c>
      <c r="Y330" s="95">
        <f>IF(AND(SUMIFS($D$245:$D$595,$F$245:$F$595,0,$E$245:$E$595,$G330,$C$245:$C$595,"&lt;="&amp;W$5)&lt;1000000,SUMIFS($D$245:$D$595,$F$245:$F$595,0,$E$245:$E$595,$G330,$C$245:$C$595,"&lt;="&amp;Y5)&gt;=1000000),SUMIFS($D$245:$D$595,$F$245:$F$595,0,$E$245:$E$595,$G330)*$C$157 ,0)</f>
        <v/>
      </c>
      <c r="AA330" s="95">
        <f>IF(AND(SUMIFS($D$245:$D$595,$F$245:$F$595,0,$E$245:$E$595,$G330,$C$245:$C$595,"&lt;="&amp;Y$5)&lt;1000000,SUMIFS($D$245:$D$595,$F$245:$F$595,0,$E$245:$E$595,$G330,$C$245:$C$595,"&lt;="&amp;AA5)&gt;=1000000),SUMIFS($D$245:$D$595,$F$245:$F$595,0,$E$245:$E$595,$G330)*$C$157 ,0)</f>
        <v/>
      </c>
      <c r="AC330" s="95">
        <f>IF(AND(SUMIFS($D$245:$D$595,$F$245:$F$595,0,$E$245:$E$595,$G330,$C$245:$C$595,"&lt;="&amp;AA$5)&lt;1000000,SUMIFS($D$245:$D$595,$F$245:$F$595,0,$E$245:$E$595,$G330,$C$245:$C$595,"&lt;="&amp;AC5)&gt;=1000000),SUMIFS($D$245:$D$595,$F$245:$F$595,0,$E$245:$E$595,$G330)*$C$157 ,0)</f>
        <v/>
      </c>
      <c r="AE330" s="95">
        <f>IF(AND(SUMIFS($D$245:$D$595,$F$245:$F$595,0,$E$245:$E$595,$G330,$C$245:$C$595,"&lt;="&amp;AC$5)&lt;1000000,SUMIFS($D$245:$D$595,$F$245:$F$595,0,$E$245:$E$595,$G330,$C$245:$C$595,"&lt;="&amp;AE5)&gt;=1000000),SUMIFS($D$245:$D$595,$F$245:$F$595,0,$E$245:$E$595,$G330)*$C$157 ,0)</f>
        <v/>
      </c>
      <c r="AF330" s="19" t="n"/>
    </row>
    <row r="331">
      <c r="A331" s="20">
        <f>mid(E331, 3, 1)</f>
        <v/>
      </c>
      <c r="B331" s="14" t="inlineStr"/>
      <c r="C331" s="21">
        <f>SUMIFS('Investor Exit List'!$AC:$AC,'Investor Exit List'!$AB:$AB,B331)</f>
        <v/>
      </c>
      <c r="D331" s="14">
        <f>SUMIFS('Investor Exit List'!$Q:$Q,'Investor Exit List'!$AB:$AB,B331)</f>
        <v/>
      </c>
      <c r="E331" s="31">
        <f>LEFT(B331,6)</f>
        <v/>
      </c>
      <c r="F331" s="14">
        <f>IF(SUMIFS($E$119:$E$151,$D$119:$D$151,E331)&lt;&gt;0,E331,0)</f>
        <v/>
      </c>
      <c r="G331" s="59" t="n"/>
      <c r="I331" s="28">
        <f>IF(AND(SUMIFS($D$245:$D$595,$F$245:$F$595,0,$E$245:$E$595,$G331,$C$245:$C$595,"&lt;="&amp;B$2)&lt;1000000,SUMIFS($D$245:$D$595,$F$245:$F$595,0,$E$245:$E$595,$G331,$C$245:$C$595,"&lt;="&amp;I5)&gt;=1000000),SUMIFS($D$245:$D$595,$F$245:$F$595,0,$E$245:$E$595,$G331)*$C$157 ,0)</f>
        <v/>
      </c>
      <c r="K331" s="95">
        <f>IF(AND(SUMIFS($D$245:$D$595,$F$245:$F$595,0,$E$245:$E$595,$G331,$C$245:$C$595,"&lt;="&amp;I$5)&lt;1000000,SUMIFS($D$245:$D$595,$F$245:$F$595,0,$E$245:$E$595,$G331,$C$245:$C$595,"&lt;="&amp;K5)&gt;=1000000),SUMIFS($D$245:$D$595,$F$245:$F$595,0,$E$245:$E$595,$G331)*$C$157 ,0)</f>
        <v/>
      </c>
      <c r="M331" s="95">
        <f>IF(AND(SUMIFS($D$245:$D$595,$F$245:$F$595,0,$E$245:$E$595,$G331,$C$245:$C$595,"&lt;="&amp;K$5)&lt;1000000,SUMIFS($D$245:$D$595,$F$245:$F$595,0,$E$245:$E$595,$G331,$C$245:$C$595,"&lt;="&amp;M5)&gt;=1000000),SUMIFS($D$245:$D$595,$F$245:$F$595,0,$E$245:$E$595,$G331)*$C$157 ,0)</f>
        <v/>
      </c>
      <c r="O331" s="95">
        <f>IF(AND(SUMIFS($D$245:$D$595,$F$245:$F$595,0,$E$245:$E$595,$G331,$C$245:$C$595,"&lt;="&amp;M$5)&lt;1000000,SUMIFS($D$245:$D$595,$F$245:$F$595,0,$E$245:$E$595,$G331,$C$245:$C$595,"&lt;="&amp;O5)&gt;=1000000),SUMIFS($D$245:$D$595,$F$245:$F$595,0,$E$245:$E$595,$G331)*$C$157 ,0)</f>
        <v/>
      </c>
      <c r="Q331" s="95">
        <f>IF(AND(SUMIFS($D$245:$D$595,$F$245:$F$595,0,$E$245:$E$595,$G331,$C$245:$C$595,"&lt;="&amp;O$5)&lt;1000000,SUMIFS($D$245:$D$595,$F$245:$F$595,0,$E$245:$E$595,$G331,$C$245:$C$595,"&lt;="&amp;Q5)&gt;=1000000),SUMIFS($D$245:$D$595,$F$245:$F$595,0,$E$245:$E$595,$G331)*$C$157 ,0)</f>
        <v/>
      </c>
      <c r="S331" s="95">
        <f>IF(AND(SUMIFS($D$245:$D$595,$F$245:$F$595,0,$E$245:$E$595,$G331,$C$245:$C$595,"&lt;="&amp;Q$5)&lt;1000000,SUMIFS($D$245:$D$595,$F$245:$F$595,0,$E$245:$E$595,$G331,$C$245:$C$595,"&lt;="&amp;S5)&gt;=1000000),SUMIFS($D$245:$D$595,$F$245:$F$595,0,$E$245:$E$595,$G331)*$C$157 ,0)</f>
        <v/>
      </c>
      <c r="U331" s="95">
        <f>IF(AND(SUMIFS($D$245:$D$595,$F$245:$F$595,0,$E$245:$E$595,$G331,$C$245:$C$595,"&lt;="&amp;S$5)&lt;1000000,SUMIFS($D$245:$D$595,$F$245:$F$595,0,$E$245:$E$595,$G331,$C$245:$C$595,"&lt;="&amp;U5)&gt;=1000000),SUMIFS($D$245:$D$595,$F$245:$F$595,0,$E$245:$E$595,$G331)*$C$157 ,0)</f>
        <v/>
      </c>
      <c r="W331" s="95">
        <f>IF(AND(SUMIFS($D$245:$D$595,$F$245:$F$595,0,$E$245:$E$595,$G331,$C$245:$C$595,"&lt;="&amp;U$5)&lt;1000000,SUMIFS($D$245:$D$595,$F$245:$F$595,0,$E$245:$E$595,$G331,$C$245:$C$595,"&lt;="&amp;W5)&gt;=1000000),SUMIFS($D$245:$D$595,$F$245:$F$595,0,$E$245:$E$595,$G331)*$C$157 ,0)</f>
        <v/>
      </c>
      <c r="Y331" s="95">
        <f>IF(AND(SUMIFS($D$245:$D$595,$F$245:$F$595,0,$E$245:$E$595,$G331,$C$245:$C$595,"&lt;="&amp;W$5)&lt;1000000,SUMIFS($D$245:$D$595,$F$245:$F$595,0,$E$245:$E$595,$G331,$C$245:$C$595,"&lt;="&amp;Y5)&gt;=1000000),SUMIFS($D$245:$D$595,$F$245:$F$595,0,$E$245:$E$595,$G331)*$C$157 ,0)</f>
        <v/>
      </c>
      <c r="AA331" s="95">
        <f>IF(AND(SUMIFS($D$245:$D$595,$F$245:$F$595,0,$E$245:$E$595,$G331,$C$245:$C$595,"&lt;="&amp;Y$5)&lt;1000000,SUMIFS($D$245:$D$595,$F$245:$F$595,0,$E$245:$E$595,$G331,$C$245:$C$595,"&lt;="&amp;AA5)&gt;=1000000),SUMIFS($D$245:$D$595,$F$245:$F$595,0,$E$245:$E$595,$G331)*$C$157 ,0)</f>
        <v/>
      </c>
      <c r="AC331" s="95">
        <f>IF(AND(SUMIFS($D$245:$D$595,$F$245:$F$595,0,$E$245:$E$595,$G331,$C$245:$C$595,"&lt;="&amp;AA$5)&lt;1000000,SUMIFS($D$245:$D$595,$F$245:$F$595,0,$E$245:$E$595,$G331,$C$245:$C$595,"&lt;="&amp;AC5)&gt;=1000000),SUMIFS($D$245:$D$595,$F$245:$F$595,0,$E$245:$E$595,$G331)*$C$157 ,0)</f>
        <v/>
      </c>
      <c r="AE331" s="95">
        <f>IF(AND(SUMIFS($D$245:$D$595,$F$245:$F$595,0,$E$245:$E$595,$G331,$C$245:$C$595,"&lt;="&amp;AC$5)&lt;1000000,SUMIFS($D$245:$D$595,$F$245:$F$595,0,$E$245:$E$595,$G331,$C$245:$C$595,"&lt;="&amp;AE5)&gt;=1000000),SUMIFS($D$245:$D$595,$F$245:$F$595,0,$E$245:$E$595,$G331)*$C$157 ,0)</f>
        <v/>
      </c>
      <c r="AF331" s="19" t="n"/>
    </row>
    <row r="332">
      <c r="A332" s="20">
        <f>mid(E332, 3, 1)</f>
        <v/>
      </c>
      <c r="B332" s="14" t="inlineStr"/>
      <c r="C332" s="21">
        <f>SUMIFS('Investor Exit List'!$AC:$AC,'Investor Exit List'!$AB:$AB,B332)</f>
        <v/>
      </c>
      <c r="D332" s="14">
        <f>SUMIFS('Investor Exit List'!$Q:$Q,'Investor Exit List'!$AB:$AB,B332)</f>
        <v/>
      </c>
      <c r="E332" s="31">
        <f>LEFT(B332,6)</f>
        <v/>
      </c>
      <c r="F332" s="14">
        <f>IF(SUMIFS($E$119:$E$151,$D$119:$D$151,E332)&lt;&gt;0,E332,0)</f>
        <v/>
      </c>
      <c r="G332" s="59" t="n"/>
      <c r="I332" s="28">
        <f>IF(AND(SUMIFS($D$245:$D$595,$F$245:$F$595,0,$E$245:$E$595,$G332,$C$245:$C$595,"&lt;="&amp;B$2)&lt;1000000,SUMIFS($D$245:$D$595,$F$245:$F$595,0,$E$245:$E$595,$G332,$C$245:$C$595,"&lt;="&amp;I5)&gt;=1000000),SUMIFS($D$245:$D$595,$F$245:$F$595,0,$E$245:$E$595,$G332)*$C$157 ,0)</f>
        <v/>
      </c>
      <c r="K332" s="95">
        <f>IF(AND(SUMIFS($D$245:$D$595,$F$245:$F$595,0,$E$245:$E$595,$G332,$C$245:$C$595,"&lt;="&amp;I$5)&lt;1000000,SUMIFS($D$245:$D$595,$F$245:$F$595,0,$E$245:$E$595,$G332,$C$245:$C$595,"&lt;="&amp;K5)&gt;=1000000),SUMIFS($D$245:$D$595,$F$245:$F$595,0,$E$245:$E$595,$G332)*$C$157 ,0)</f>
        <v/>
      </c>
      <c r="M332" s="95">
        <f>IF(AND(SUMIFS($D$245:$D$595,$F$245:$F$595,0,$E$245:$E$595,$G332,$C$245:$C$595,"&lt;="&amp;K$5)&lt;1000000,SUMIFS($D$245:$D$595,$F$245:$F$595,0,$E$245:$E$595,$G332,$C$245:$C$595,"&lt;="&amp;M5)&gt;=1000000),SUMIFS($D$245:$D$595,$F$245:$F$595,0,$E$245:$E$595,$G332)*$C$157 ,0)</f>
        <v/>
      </c>
      <c r="O332" s="95">
        <f>IF(AND(SUMIFS($D$245:$D$595,$F$245:$F$595,0,$E$245:$E$595,$G332,$C$245:$C$595,"&lt;="&amp;M$5)&lt;1000000,SUMIFS($D$245:$D$595,$F$245:$F$595,0,$E$245:$E$595,$G332,$C$245:$C$595,"&lt;="&amp;O5)&gt;=1000000),SUMIFS($D$245:$D$595,$F$245:$F$595,0,$E$245:$E$595,$G332)*$C$157 ,0)</f>
        <v/>
      </c>
      <c r="Q332" s="95">
        <f>IF(AND(SUMIFS($D$245:$D$595,$F$245:$F$595,0,$E$245:$E$595,$G332,$C$245:$C$595,"&lt;="&amp;O$5)&lt;1000000,SUMIFS($D$245:$D$595,$F$245:$F$595,0,$E$245:$E$595,$G332,$C$245:$C$595,"&lt;="&amp;Q5)&gt;=1000000),SUMIFS($D$245:$D$595,$F$245:$F$595,0,$E$245:$E$595,$G332)*$C$157 ,0)</f>
        <v/>
      </c>
      <c r="S332" s="95">
        <f>IF(AND(SUMIFS($D$245:$D$595,$F$245:$F$595,0,$E$245:$E$595,$G332,$C$245:$C$595,"&lt;="&amp;Q$5)&lt;1000000,SUMIFS($D$245:$D$595,$F$245:$F$595,0,$E$245:$E$595,$G332,$C$245:$C$595,"&lt;="&amp;S5)&gt;=1000000),SUMIFS($D$245:$D$595,$F$245:$F$595,0,$E$245:$E$595,$G332)*$C$157 ,0)</f>
        <v/>
      </c>
      <c r="U332" s="95">
        <f>IF(AND(SUMIFS($D$245:$D$595,$F$245:$F$595,0,$E$245:$E$595,$G332,$C$245:$C$595,"&lt;="&amp;S$5)&lt;1000000,SUMIFS($D$245:$D$595,$F$245:$F$595,0,$E$245:$E$595,$G332,$C$245:$C$595,"&lt;="&amp;U5)&gt;=1000000),SUMIFS($D$245:$D$595,$F$245:$F$595,0,$E$245:$E$595,$G332)*$C$157 ,0)</f>
        <v/>
      </c>
      <c r="W332" s="95">
        <f>IF(AND(SUMIFS($D$245:$D$595,$F$245:$F$595,0,$E$245:$E$595,$G332,$C$245:$C$595,"&lt;="&amp;U$5)&lt;1000000,SUMIFS($D$245:$D$595,$F$245:$F$595,0,$E$245:$E$595,$G332,$C$245:$C$595,"&lt;="&amp;W5)&gt;=1000000),SUMIFS($D$245:$D$595,$F$245:$F$595,0,$E$245:$E$595,$G332)*$C$157 ,0)</f>
        <v/>
      </c>
      <c r="Y332" s="95">
        <f>IF(AND(SUMIFS($D$245:$D$595,$F$245:$F$595,0,$E$245:$E$595,$G332,$C$245:$C$595,"&lt;="&amp;W$5)&lt;1000000,SUMIFS($D$245:$D$595,$F$245:$F$595,0,$E$245:$E$595,$G332,$C$245:$C$595,"&lt;="&amp;Y5)&gt;=1000000),SUMIFS($D$245:$D$595,$F$245:$F$595,0,$E$245:$E$595,$G332)*$C$157 ,0)</f>
        <v/>
      </c>
      <c r="AA332" s="95">
        <f>IF(AND(SUMIFS($D$245:$D$595,$F$245:$F$595,0,$E$245:$E$595,$G332,$C$245:$C$595,"&lt;="&amp;Y$5)&lt;1000000,SUMIFS($D$245:$D$595,$F$245:$F$595,0,$E$245:$E$595,$G332,$C$245:$C$595,"&lt;="&amp;AA5)&gt;=1000000),SUMIFS($D$245:$D$595,$F$245:$F$595,0,$E$245:$E$595,$G332)*$C$157 ,0)</f>
        <v/>
      </c>
      <c r="AC332" s="95">
        <f>IF(AND(SUMIFS($D$245:$D$595,$F$245:$F$595,0,$E$245:$E$595,$G332,$C$245:$C$595,"&lt;="&amp;AA$5)&lt;1000000,SUMIFS($D$245:$D$595,$F$245:$F$595,0,$E$245:$E$595,$G332,$C$245:$C$595,"&lt;="&amp;AC5)&gt;=1000000),SUMIFS($D$245:$D$595,$F$245:$F$595,0,$E$245:$E$595,$G332)*$C$157 ,0)</f>
        <v/>
      </c>
      <c r="AE332" s="95">
        <f>IF(AND(SUMIFS($D$245:$D$595,$F$245:$F$595,0,$E$245:$E$595,$G332,$C$245:$C$595,"&lt;="&amp;AC$5)&lt;1000000,SUMIFS($D$245:$D$595,$F$245:$F$595,0,$E$245:$E$595,$G332,$C$245:$C$595,"&lt;="&amp;AE5)&gt;=1000000),SUMIFS($D$245:$D$595,$F$245:$F$595,0,$E$245:$E$595,$G332)*$C$157 ,0)</f>
        <v/>
      </c>
      <c r="AF332" s="19" t="n"/>
    </row>
    <row r="333">
      <c r="A333" s="20">
        <f>mid(E333, 3, 1)</f>
        <v/>
      </c>
      <c r="B333" s="14" t="inlineStr"/>
      <c r="C333" s="21">
        <f>SUMIFS('Investor Exit List'!$AC:$AC,'Investor Exit List'!$AB:$AB,B333)</f>
        <v/>
      </c>
      <c r="D333" s="14">
        <f>SUMIFS('Investor Exit List'!$Q:$Q,'Investor Exit List'!$AB:$AB,B333)</f>
        <v/>
      </c>
      <c r="E333" s="31">
        <f>LEFT(B333,6)</f>
        <v/>
      </c>
      <c r="F333" s="14">
        <f>IF(SUMIFS($E$119:$E$151,$D$119:$D$151,E333)&lt;&gt;0,E333,0)</f>
        <v/>
      </c>
      <c r="G333" s="59" t="n"/>
      <c r="I333" s="28">
        <f>IF(AND(SUMIFS($D$245:$D$595,$F$245:$F$595,0,$E$245:$E$595,$G333,$C$245:$C$595,"&lt;="&amp;B$2)&lt;1000000,SUMIFS($D$245:$D$595,$F$245:$F$595,0,$E$245:$E$595,$G333,$C$245:$C$595,"&lt;="&amp;I5)&gt;=1000000),SUMIFS($D$245:$D$595,$F$245:$F$595,0,$E$245:$E$595,$G333)*$C$157 ,0)</f>
        <v/>
      </c>
      <c r="K333" s="95">
        <f>IF(AND(SUMIFS($D$245:$D$595,$F$245:$F$595,0,$E$245:$E$595,$G333,$C$245:$C$595,"&lt;="&amp;I$5)&lt;1000000,SUMIFS($D$245:$D$595,$F$245:$F$595,0,$E$245:$E$595,$G333,$C$245:$C$595,"&lt;="&amp;K5)&gt;=1000000),SUMIFS($D$245:$D$595,$F$245:$F$595,0,$E$245:$E$595,$G333)*$C$157 ,0)</f>
        <v/>
      </c>
      <c r="M333" s="95">
        <f>IF(AND(SUMIFS($D$245:$D$595,$F$245:$F$595,0,$E$245:$E$595,$G333,$C$245:$C$595,"&lt;="&amp;K$5)&lt;1000000,SUMIFS($D$245:$D$595,$F$245:$F$595,0,$E$245:$E$595,$G333,$C$245:$C$595,"&lt;="&amp;M5)&gt;=1000000),SUMIFS($D$245:$D$595,$F$245:$F$595,0,$E$245:$E$595,$G333)*$C$157 ,0)</f>
        <v/>
      </c>
      <c r="O333" s="95">
        <f>IF(AND(SUMIFS($D$245:$D$595,$F$245:$F$595,0,$E$245:$E$595,$G333,$C$245:$C$595,"&lt;="&amp;M$5)&lt;1000000,SUMIFS($D$245:$D$595,$F$245:$F$595,0,$E$245:$E$595,$G333,$C$245:$C$595,"&lt;="&amp;O5)&gt;=1000000),SUMIFS($D$245:$D$595,$F$245:$F$595,0,$E$245:$E$595,$G333)*$C$157 ,0)</f>
        <v/>
      </c>
      <c r="Q333" s="95">
        <f>IF(AND(SUMIFS($D$245:$D$595,$F$245:$F$595,0,$E$245:$E$595,$G333,$C$245:$C$595,"&lt;="&amp;O$5)&lt;1000000,SUMIFS($D$245:$D$595,$F$245:$F$595,0,$E$245:$E$595,$G333,$C$245:$C$595,"&lt;="&amp;Q5)&gt;=1000000),SUMIFS($D$245:$D$595,$F$245:$F$595,0,$E$245:$E$595,$G333)*$C$157 ,0)</f>
        <v/>
      </c>
      <c r="S333" s="95">
        <f>IF(AND(SUMIFS($D$245:$D$595,$F$245:$F$595,0,$E$245:$E$595,$G333,$C$245:$C$595,"&lt;="&amp;Q$5)&lt;1000000,SUMIFS($D$245:$D$595,$F$245:$F$595,0,$E$245:$E$595,$G333,$C$245:$C$595,"&lt;="&amp;S5)&gt;=1000000),SUMIFS($D$245:$D$595,$F$245:$F$595,0,$E$245:$E$595,$G333)*$C$157 ,0)</f>
        <v/>
      </c>
      <c r="U333" s="95">
        <f>IF(AND(SUMIFS($D$245:$D$595,$F$245:$F$595,0,$E$245:$E$595,$G333,$C$245:$C$595,"&lt;="&amp;S$5)&lt;1000000,SUMIFS($D$245:$D$595,$F$245:$F$595,0,$E$245:$E$595,$G333,$C$245:$C$595,"&lt;="&amp;U5)&gt;=1000000),SUMIFS($D$245:$D$595,$F$245:$F$595,0,$E$245:$E$595,$G333)*$C$157 ,0)</f>
        <v/>
      </c>
      <c r="W333" s="95">
        <f>IF(AND(SUMIFS($D$245:$D$595,$F$245:$F$595,0,$E$245:$E$595,$G333,$C$245:$C$595,"&lt;="&amp;U$5)&lt;1000000,SUMIFS($D$245:$D$595,$F$245:$F$595,0,$E$245:$E$595,$G333,$C$245:$C$595,"&lt;="&amp;W5)&gt;=1000000),SUMIFS($D$245:$D$595,$F$245:$F$595,0,$E$245:$E$595,$G333)*$C$157 ,0)</f>
        <v/>
      </c>
      <c r="Y333" s="95">
        <f>IF(AND(SUMIFS($D$245:$D$595,$F$245:$F$595,0,$E$245:$E$595,$G333,$C$245:$C$595,"&lt;="&amp;W$5)&lt;1000000,SUMIFS($D$245:$D$595,$F$245:$F$595,0,$E$245:$E$595,$G333,$C$245:$C$595,"&lt;="&amp;Y5)&gt;=1000000),SUMIFS($D$245:$D$595,$F$245:$F$595,0,$E$245:$E$595,$G333)*$C$157 ,0)</f>
        <v/>
      </c>
      <c r="AA333" s="95">
        <f>IF(AND(SUMIFS($D$245:$D$595,$F$245:$F$595,0,$E$245:$E$595,$G333,$C$245:$C$595,"&lt;="&amp;Y$5)&lt;1000000,SUMIFS($D$245:$D$595,$F$245:$F$595,0,$E$245:$E$595,$G333,$C$245:$C$595,"&lt;="&amp;AA5)&gt;=1000000),SUMIFS($D$245:$D$595,$F$245:$F$595,0,$E$245:$E$595,$G333)*$C$157 ,0)</f>
        <v/>
      </c>
      <c r="AC333" s="95">
        <f>IF(AND(SUMIFS($D$245:$D$595,$F$245:$F$595,0,$E$245:$E$595,$G333,$C$245:$C$595,"&lt;="&amp;AA$5)&lt;1000000,SUMIFS($D$245:$D$595,$F$245:$F$595,0,$E$245:$E$595,$G333,$C$245:$C$595,"&lt;="&amp;AC5)&gt;=1000000),SUMIFS($D$245:$D$595,$F$245:$F$595,0,$E$245:$E$595,$G333)*$C$157 ,0)</f>
        <v/>
      </c>
      <c r="AE333" s="95">
        <f>IF(AND(SUMIFS($D$245:$D$595,$F$245:$F$595,0,$E$245:$E$595,$G333,$C$245:$C$595,"&lt;="&amp;AC$5)&lt;1000000,SUMIFS($D$245:$D$595,$F$245:$F$595,0,$E$245:$E$595,$G333,$C$245:$C$595,"&lt;="&amp;AE5)&gt;=1000000),SUMIFS($D$245:$D$595,$F$245:$F$595,0,$E$245:$E$595,$G333)*$C$157 ,0)</f>
        <v/>
      </c>
      <c r="AF333" s="19" t="n"/>
    </row>
    <row r="334">
      <c r="A334" s="20">
        <f>mid(E334, 3, 1)</f>
        <v/>
      </c>
      <c r="B334" s="14" t="inlineStr"/>
      <c r="C334" s="21">
        <f>SUMIFS('Investor Exit List'!$AC:$AC,'Investor Exit List'!$AB:$AB,B334)</f>
        <v/>
      </c>
      <c r="D334" s="14">
        <f>SUMIFS('Investor Exit List'!$Q:$Q,'Investor Exit List'!$AB:$AB,B334)</f>
        <v/>
      </c>
      <c r="E334" s="31">
        <f>LEFT(B334,6)</f>
        <v/>
      </c>
      <c r="F334" s="14">
        <f>IF(SUMIFS($E$119:$E$151,$D$119:$D$151,E334)&lt;&gt;0,E334,0)</f>
        <v/>
      </c>
      <c r="G334" s="59" t="n"/>
      <c r="I334" s="28">
        <f>IF(AND(SUMIFS($D$245:$D$595,$F$245:$F$595,0,$E$245:$E$595,$G334,$C$245:$C$595,"&lt;="&amp;B$2)&lt;1000000,SUMIFS($D$245:$D$595,$F$245:$F$595,0,$E$245:$E$595,$G334,$C$245:$C$595,"&lt;="&amp;I5)&gt;=1000000),SUMIFS($D$245:$D$595,$F$245:$F$595,0,$E$245:$E$595,$G334)*$C$157 ,0)</f>
        <v/>
      </c>
      <c r="K334" s="95">
        <f>IF(AND(SUMIFS($D$245:$D$595,$F$245:$F$595,0,$E$245:$E$595,$G334,$C$245:$C$595,"&lt;="&amp;I$5)&lt;1000000,SUMIFS($D$245:$D$595,$F$245:$F$595,0,$E$245:$E$595,$G334,$C$245:$C$595,"&lt;="&amp;K5)&gt;=1000000),SUMIFS($D$245:$D$595,$F$245:$F$595,0,$E$245:$E$595,$G334)*$C$157 ,0)</f>
        <v/>
      </c>
      <c r="M334" s="95">
        <f>IF(AND(SUMIFS($D$245:$D$595,$F$245:$F$595,0,$E$245:$E$595,$G334,$C$245:$C$595,"&lt;="&amp;K$5)&lt;1000000,SUMIFS($D$245:$D$595,$F$245:$F$595,0,$E$245:$E$595,$G334,$C$245:$C$595,"&lt;="&amp;M5)&gt;=1000000),SUMIFS($D$245:$D$595,$F$245:$F$595,0,$E$245:$E$595,$G334)*$C$157 ,0)</f>
        <v/>
      </c>
      <c r="O334" s="95">
        <f>IF(AND(SUMIFS($D$245:$D$595,$F$245:$F$595,0,$E$245:$E$595,$G334,$C$245:$C$595,"&lt;="&amp;M$5)&lt;1000000,SUMIFS($D$245:$D$595,$F$245:$F$595,0,$E$245:$E$595,$G334,$C$245:$C$595,"&lt;="&amp;O5)&gt;=1000000),SUMIFS($D$245:$D$595,$F$245:$F$595,0,$E$245:$E$595,$G334)*$C$157 ,0)</f>
        <v/>
      </c>
      <c r="Q334" s="95">
        <f>IF(AND(SUMIFS($D$245:$D$595,$F$245:$F$595,0,$E$245:$E$595,$G334,$C$245:$C$595,"&lt;="&amp;O$5)&lt;1000000,SUMIFS($D$245:$D$595,$F$245:$F$595,0,$E$245:$E$595,$G334,$C$245:$C$595,"&lt;="&amp;Q5)&gt;=1000000),SUMIFS($D$245:$D$595,$F$245:$F$595,0,$E$245:$E$595,$G334)*$C$157 ,0)</f>
        <v/>
      </c>
      <c r="S334" s="95">
        <f>IF(AND(SUMIFS($D$245:$D$595,$F$245:$F$595,0,$E$245:$E$595,$G334,$C$245:$C$595,"&lt;="&amp;Q$5)&lt;1000000,SUMIFS($D$245:$D$595,$F$245:$F$595,0,$E$245:$E$595,$G334,$C$245:$C$595,"&lt;="&amp;S5)&gt;=1000000),SUMIFS($D$245:$D$595,$F$245:$F$595,0,$E$245:$E$595,$G334)*$C$157 ,0)</f>
        <v/>
      </c>
      <c r="U334" s="95">
        <f>IF(AND(SUMIFS($D$245:$D$595,$F$245:$F$595,0,$E$245:$E$595,$G334,$C$245:$C$595,"&lt;="&amp;S$5)&lt;1000000,SUMIFS($D$245:$D$595,$F$245:$F$595,0,$E$245:$E$595,$G334,$C$245:$C$595,"&lt;="&amp;U5)&gt;=1000000),SUMIFS($D$245:$D$595,$F$245:$F$595,0,$E$245:$E$595,$G334)*$C$157 ,0)</f>
        <v/>
      </c>
      <c r="W334" s="95">
        <f>IF(AND(SUMIFS($D$245:$D$595,$F$245:$F$595,0,$E$245:$E$595,$G334,$C$245:$C$595,"&lt;="&amp;U$5)&lt;1000000,SUMIFS($D$245:$D$595,$F$245:$F$595,0,$E$245:$E$595,$G334,$C$245:$C$595,"&lt;="&amp;W5)&gt;=1000000),SUMIFS($D$245:$D$595,$F$245:$F$595,0,$E$245:$E$595,$G334)*$C$157 ,0)</f>
        <v/>
      </c>
      <c r="Y334" s="95">
        <f>IF(AND(SUMIFS($D$245:$D$595,$F$245:$F$595,0,$E$245:$E$595,$G334,$C$245:$C$595,"&lt;="&amp;W$5)&lt;1000000,SUMIFS($D$245:$D$595,$F$245:$F$595,0,$E$245:$E$595,$G334,$C$245:$C$595,"&lt;="&amp;Y5)&gt;=1000000),SUMIFS($D$245:$D$595,$F$245:$F$595,0,$E$245:$E$595,$G334)*$C$157 ,0)</f>
        <v/>
      </c>
      <c r="AA334" s="95">
        <f>IF(AND(SUMIFS($D$245:$D$595,$F$245:$F$595,0,$E$245:$E$595,$G334,$C$245:$C$595,"&lt;="&amp;Y$5)&lt;1000000,SUMIFS($D$245:$D$595,$F$245:$F$595,0,$E$245:$E$595,$G334,$C$245:$C$595,"&lt;="&amp;AA5)&gt;=1000000),SUMIFS($D$245:$D$595,$F$245:$F$595,0,$E$245:$E$595,$G334)*$C$157 ,0)</f>
        <v/>
      </c>
      <c r="AC334" s="95">
        <f>IF(AND(SUMIFS($D$245:$D$595,$F$245:$F$595,0,$E$245:$E$595,$G334,$C$245:$C$595,"&lt;="&amp;AA$5)&lt;1000000,SUMIFS($D$245:$D$595,$F$245:$F$595,0,$E$245:$E$595,$G334,$C$245:$C$595,"&lt;="&amp;AC5)&gt;=1000000),SUMIFS($D$245:$D$595,$F$245:$F$595,0,$E$245:$E$595,$G334)*$C$157 ,0)</f>
        <v/>
      </c>
      <c r="AE334" s="95">
        <f>IF(AND(SUMIFS($D$245:$D$595,$F$245:$F$595,0,$E$245:$E$595,$G334,$C$245:$C$595,"&lt;="&amp;AC$5)&lt;1000000,SUMIFS($D$245:$D$595,$F$245:$F$595,0,$E$245:$E$595,$G334,$C$245:$C$595,"&lt;="&amp;AE5)&gt;=1000000),SUMIFS($D$245:$D$595,$F$245:$F$595,0,$E$245:$E$595,$G334)*$C$157 ,0)</f>
        <v/>
      </c>
      <c r="AF334" s="19" t="n"/>
    </row>
    <row r="335">
      <c r="A335" s="20">
        <f>mid(E335, 3, 1)</f>
        <v/>
      </c>
      <c r="B335" s="14" t="inlineStr"/>
      <c r="C335" s="21">
        <f>SUMIFS('Investor Exit List'!$AC:$AC,'Investor Exit List'!$AB:$AB,B335)</f>
        <v/>
      </c>
      <c r="D335" s="14">
        <f>SUMIFS('Investor Exit List'!$Q:$Q,'Investor Exit List'!$AB:$AB,B335)</f>
        <v/>
      </c>
      <c r="E335" s="31">
        <f>LEFT(B335,6)</f>
        <v/>
      </c>
      <c r="F335" s="14">
        <f>IF(SUMIFS($E$119:$E$151,$D$119:$D$151,E335)&lt;&gt;0,E335,0)</f>
        <v/>
      </c>
      <c r="G335" s="59" t="n"/>
      <c r="I335" s="28">
        <f>IF(AND(SUMIFS($D$245:$D$595,$F$245:$F$595,0,$E$245:$E$595,$G335,$C$245:$C$595,"&lt;="&amp;B$2)&lt;1000000,SUMIFS($D$245:$D$595,$F$245:$F$595,0,$E$245:$E$595,$G335,$C$245:$C$595,"&lt;="&amp;I5)&gt;=1000000),SUMIFS($D$245:$D$595,$F$245:$F$595,0,$E$245:$E$595,$G335)*$C$157 ,0)</f>
        <v/>
      </c>
      <c r="K335" s="95">
        <f>IF(AND(SUMIFS($D$245:$D$595,$F$245:$F$595,0,$E$245:$E$595,$G335,$C$245:$C$595,"&lt;="&amp;I$5)&lt;1000000,SUMIFS($D$245:$D$595,$F$245:$F$595,0,$E$245:$E$595,$G335,$C$245:$C$595,"&lt;="&amp;K5)&gt;=1000000),SUMIFS($D$245:$D$595,$F$245:$F$595,0,$E$245:$E$595,$G335)*$C$157 ,0)</f>
        <v/>
      </c>
      <c r="M335" s="95">
        <f>IF(AND(SUMIFS($D$245:$D$595,$F$245:$F$595,0,$E$245:$E$595,$G335,$C$245:$C$595,"&lt;="&amp;K$5)&lt;1000000,SUMIFS($D$245:$D$595,$F$245:$F$595,0,$E$245:$E$595,$G335,$C$245:$C$595,"&lt;="&amp;M5)&gt;=1000000),SUMIFS($D$245:$D$595,$F$245:$F$595,0,$E$245:$E$595,$G335)*$C$157 ,0)</f>
        <v/>
      </c>
      <c r="O335" s="95">
        <f>IF(AND(SUMIFS($D$245:$D$595,$F$245:$F$595,0,$E$245:$E$595,$G335,$C$245:$C$595,"&lt;="&amp;M$5)&lt;1000000,SUMIFS($D$245:$D$595,$F$245:$F$595,0,$E$245:$E$595,$G335,$C$245:$C$595,"&lt;="&amp;O5)&gt;=1000000),SUMIFS($D$245:$D$595,$F$245:$F$595,0,$E$245:$E$595,$G335)*$C$157 ,0)</f>
        <v/>
      </c>
      <c r="Q335" s="95">
        <f>IF(AND(SUMIFS($D$245:$D$595,$F$245:$F$595,0,$E$245:$E$595,$G335,$C$245:$C$595,"&lt;="&amp;O$5)&lt;1000000,SUMIFS($D$245:$D$595,$F$245:$F$595,0,$E$245:$E$595,$G335,$C$245:$C$595,"&lt;="&amp;Q5)&gt;=1000000),SUMIFS($D$245:$D$595,$F$245:$F$595,0,$E$245:$E$595,$G335)*$C$157 ,0)</f>
        <v/>
      </c>
      <c r="S335" s="95">
        <f>IF(AND(SUMIFS($D$245:$D$595,$F$245:$F$595,0,$E$245:$E$595,$G335,$C$245:$C$595,"&lt;="&amp;Q$5)&lt;1000000,SUMIFS($D$245:$D$595,$F$245:$F$595,0,$E$245:$E$595,$G335,$C$245:$C$595,"&lt;="&amp;S5)&gt;=1000000),SUMIFS($D$245:$D$595,$F$245:$F$595,0,$E$245:$E$595,$G335)*$C$157 ,0)</f>
        <v/>
      </c>
      <c r="U335" s="95">
        <f>IF(AND(SUMIFS($D$245:$D$595,$F$245:$F$595,0,$E$245:$E$595,$G335,$C$245:$C$595,"&lt;="&amp;S$5)&lt;1000000,SUMIFS($D$245:$D$595,$F$245:$F$595,0,$E$245:$E$595,$G335,$C$245:$C$595,"&lt;="&amp;U5)&gt;=1000000),SUMIFS($D$245:$D$595,$F$245:$F$595,0,$E$245:$E$595,$G335)*$C$157 ,0)</f>
        <v/>
      </c>
      <c r="W335" s="95">
        <f>IF(AND(SUMIFS($D$245:$D$595,$F$245:$F$595,0,$E$245:$E$595,$G335,$C$245:$C$595,"&lt;="&amp;U$5)&lt;1000000,SUMIFS($D$245:$D$595,$F$245:$F$595,0,$E$245:$E$595,$G335,$C$245:$C$595,"&lt;="&amp;W5)&gt;=1000000),SUMIFS($D$245:$D$595,$F$245:$F$595,0,$E$245:$E$595,$G335)*$C$157 ,0)</f>
        <v/>
      </c>
      <c r="Y335" s="95">
        <f>IF(AND(SUMIFS($D$245:$D$595,$F$245:$F$595,0,$E$245:$E$595,$G335,$C$245:$C$595,"&lt;="&amp;W$5)&lt;1000000,SUMIFS($D$245:$D$595,$F$245:$F$595,0,$E$245:$E$595,$G335,$C$245:$C$595,"&lt;="&amp;Y5)&gt;=1000000),SUMIFS($D$245:$D$595,$F$245:$F$595,0,$E$245:$E$595,$G335)*$C$157 ,0)</f>
        <v/>
      </c>
      <c r="AA335" s="95">
        <f>IF(AND(SUMIFS($D$245:$D$595,$F$245:$F$595,0,$E$245:$E$595,$G335,$C$245:$C$595,"&lt;="&amp;Y$5)&lt;1000000,SUMIFS($D$245:$D$595,$F$245:$F$595,0,$E$245:$E$595,$G335,$C$245:$C$595,"&lt;="&amp;AA5)&gt;=1000000),SUMIFS($D$245:$D$595,$F$245:$F$595,0,$E$245:$E$595,$G335)*$C$157 ,0)</f>
        <v/>
      </c>
      <c r="AC335" s="95">
        <f>IF(AND(SUMIFS($D$245:$D$595,$F$245:$F$595,0,$E$245:$E$595,$G335,$C$245:$C$595,"&lt;="&amp;AA$5)&lt;1000000,SUMIFS($D$245:$D$595,$F$245:$F$595,0,$E$245:$E$595,$G335,$C$245:$C$595,"&lt;="&amp;AC5)&gt;=1000000),SUMIFS($D$245:$D$595,$F$245:$F$595,0,$E$245:$E$595,$G335)*$C$157 ,0)</f>
        <v/>
      </c>
      <c r="AE335" s="95">
        <f>IF(AND(SUMIFS($D$245:$D$595,$F$245:$F$595,0,$E$245:$E$595,$G335,$C$245:$C$595,"&lt;="&amp;AC$5)&lt;1000000,SUMIFS($D$245:$D$595,$F$245:$F$595,0,$E$245:$E$595,$G335,$C$245:$C$595,"&lt;="&amp;AE5)&gt;=1000000),SUMIFS($D$245:$D$595,$F$245:$F$595,0,$E$245:$E$595,$G335)*$C$157 ,0)</f>
        <v/>
      </c>
      <c r="AF335" s="19" t="n"/>
    </row>
    <row r="336">
      <c r="A336" s="20">
        <f>mid(E336, 3, 1)</f>
        <v/>
      </c>
      <c r="B336" s="14" t="inlineStr"/>
      <c r="C336" s="21">
        <f>SUMIFS('Investor Exit List'!$AC:$AC,'Investor Exit List'!$AB:$AB,B336)</f>
        <v/>
      </c>
      <c r="D336" s="14">
        <f>SUMIFS('Investor Exit List'!$Q:$Q,'Investor Exit List'!$AB:$AB,B336)</f>
        <v/>
      </c>
      <c r="E336" s="31">
        <f>LEFT(B336,6)</f>
        <v/>
      </c>
      <c r="F336" s="14">
        <f>IF(SUMIFS($E$119:$E$151,$D$119:$D$151,E336)&lt;&gt;0,E336,0)</f>
        <v/>
      </c>
      <c r="G336" s="59" t="n"/>
      <c r="I336" s="28">
        <f>IF(AND(SUMIFS($D$245:$D$595,$F$245:$F$595,0,$E$245:$E$595,$G336,$C$245:$C$595,"&lt;="&amp;B$2)&lt;1000000,SUMIFS($D$245:$D$595,$F$245:$F$595,0,$E$245:$E$595,$G336,$C$245:$C$595,"&lt;="&amp;I5)&gt;=1000000),SUMIFS($D$245:$D$595,$F$245:$F$595,0,$E$245:$E$595,$G336)*$C$157 ,0)</f>
        <v/>
      </c>
      <c r="K336" s="95">
        <f>IF(AND(SUMIFS($D$245:$D$595,$F$245:$F$595,0,$E$245:$E$595,$G336,$C$245:$C$595,"&lt;="&amp;I$5)&lt;1000000,SUMIFS($D$245:$D$595,$F$245:$F$595,0,$E$245:$E$595,$G336,$C$245:$C$595,"&lt;="&amp;K5)&gt;=1000000),SUMIFS($D$245:$D$595,$F$245:$F$595,0,$E$245:$E$595,$G336)*$C$157 ,0)</f>
        <v/>
      </c>
      <c r="M336" s="95">
        <f>IF(AND(SUMIFS($D$245:$D$595,$F$245:$F$595,0,$E$245:$E$595,$G336,$C$245:$C$595,"&lt;="&amp;K$5)&lt;1000000,SUMIFS($D$245:$D$595,$F$245:$F$595,0,$E$245:$E$595,$G336,$C$245:$C$595,"&lt;="&amp;M5)&gt;=1000000),SUMIFS($D$245:$D$595,$F$245:$F$595,0,$E$245:$E$595,$G336)*$C$157 ,0)</f>
        <v/>
      </c>
      <c r="O336" s="95">
        <f>IF(AND(SUMIFS($D$245:$D$595,$F$245:$F$595,0,$E$245:$E$595,$G336,$C$245:$C$595,"&lt;="&amp;M$5)&lt;1000000,SUMIFS($D$245:$D$595,$F$245:$F$595,0,$E$245:$E$595,$G336,$C$245:$C$595,"&lt;="&amp;O5)&gt;=1000000),SUMIFS($D$245:$D$595,$F$245:$F$595,0,$E$245:$E$595,$G336)*$C$157 ,0)</f>
        <v/>
      </c>
      <c r="Q336" s="95">
        <f>IF(AND(SUMIFS($D$245:$D$595,$F$245:$F$595,0,$E$245:$E$595,$G336,$C$245:$C$595,"&lt;="&amp;O$5)&lt;1000000,SUMIFS($D$245:$D$595,$F$245:$F$595,0,$E$245:$E$595,$G336,$C$245:$C$595,"&lt;="&amp;Q5)&gt;=1000000),SUMIFS($D$245:$D$595,$F$245:$F$595,0,$E$245:$E$595,$G336)*$C$157 ,0)</f>
        <v/>
      </c>
      <c r="S336" s="95">
        <f>IF(AND(SUMIFS($D$245:$D$595,$F$245:$F$595,0,$E$245:$E$595,$G336,$C$245:$C$595,"&lt;="&amp;Q$5)&lt;1000000,SUMIFS($D$245:$D$595,$F$245:$F$595,0,$E$245:$E$595,$G336,$C$245:$C$595,"&lt;="&amp;S5)&gt;=1000000),SUMIFS($D$245:$D$595,$F$245:$F$595,0,$E$245:$E$595,$G336)*$C$157 ,0)</f>
        <v/>
      </c>
      <c r="U336" s="95">
        <f>IF(AND(SUMIFS($D$245:$D$595,$F$245:$F$595,0,$E$245:$E$595,$G336,$C$245:$C$595,"&lt;="&amp;S$5)&lt;1000000,SUMIFS($D$245:$D$595,$F$245:$F$595,0,$E$245:$E$595,$G336,$C$245:$C$595,"&lt;="&amp;U5)&gt;=1000000),SUMIFS($D$245:$D$595,$F$245:$F$595,0,$E$245:$E$595,$G336)*$C$157 ,0)</f>
        <v/>
      </c>
      <c r="W336" s="95">
        <f>IF(AND(SUMIFS($D$245:$D$595,$F$245:$F$595,0,$E$245:$E$595,$G336,$C$245:$C$595,"&lt;="&amp;U$5)&lt;1000000,SUMIFS($D$245:$D$595,$F$245:$F$595,0,$E$245:$E$595,$G336,$C$245:$C$595,"&lt;="&amp;W5)&gt;=1000000),SUMIFS($D$245:$D$595,$F$245:$F$595,0,$E$245:$E$595,$G336)*$C$157 ,0)</f>
        <v/>
      </c>
      <c r="Y336" s="95">
        <f>IF(AND(SUMIFS($D$245:$D$595,$F$245:$F$595,0,$E$245:$E$595,$G336,$C$245:$C$595,"&lt;="&amp;W$5)&lt;1000000,SUMIFS($D$245:$D$595,$F$245:$F$595,0,$E$245:$E$595,$G336,$C$245:$C$595,"&lt;="&amp;Y5)&gt;=1000000),SUMIFS($D$245:$D$595,$F$245:$F$595,0,$E$245:$E$595,$G336)*$C$157 ,0)</f>
        <v/>
      </c>
      <c r="AA336" s="95">
        <f>IF(AND(SUMIFS($D$245:$D$595,$F$245:$F$595,0,$E$245:$E$595,$G336,$C$245:$C$595,"&lt;="&amp;Y$5)&lt;1000000,SUMIFS($D$245:$D$595,$F$245:$F$595,0,$E$245:$E$595,$G336,$C$245:$C$595,"&lt;="&amp;AA5)&gt;=1000000),SUMIFS($D$245:$D$595,$F$245:$F$595,0,$E$245:$E$595,$G336)*$C$157 ,0)</f>
        <v/>
      </c>
      <c r="AC336" s="95">
        <f>IF(AND(SUMIFS($D$245:$D$595,$F$245:$F$595,0,$E$245:$E$595,$G336,$C$245:$C$595,"&lt;="&amp;AA$5)&lt;1000000,SUMIFS($D$245:$D$595,$F$245:$F$595,0,$E$245:$E$595,$G336,$C$245:$C$595,"&lt;="&amp;AC5)&gt;=1000000),SUMIFS($D$245:$D$595,$F$245:$F$595,0,$E$245:$E$595,$G336)*$C$157 ,0)</f>
        <v/>
      </c>
      <c r="AE336" s="95">
        <f>IF(AND(SUMIFS($D$245:$D$595,$F$245:$F$595,0,$E$245:$E$595,$G336,$C$245:$C$595,"&lt;="&amp;AC$5)&lt;1000000,SUMIFS($D$245:$D$595,$F$245:$F$595,0,$E$245:$E$595,$G336,$C$245:$C$595,"&lt;="&amp;AE5)&gt;=1000000),SUMIFS($D$245:$D$595,$F$245:$F$595,0,$E$245:$E$595,$G336)*$C$157 ,0)</f>
        <v/>
      </c>
      <c r="AF336" s="19" t="n"/>
    </row>
    <row r="337">
      <c r="A337" s="20">
        <f>mid(E337, 3, 1)</f>
        <v/>
      </c>
      <c r="B337" s="14" t="inlineStr"/>
      <c r="C337" s="21">
        <f>SUMIFS('Investor Exit List'!$AC:$AC,'Investor Exit List'!$AB:$AB,B337)</f>
        <v/>
      </c>
      <c r="D337" s="14">
        <f>SUMIFS('Investor Exit List'!$Q:$Q,'Investor Exit List'!$AB:$AB,B337)</f>
        <v/>
      </c>
      <c r="E337" s="31">
        <f>LEFT(B337,6)</f>
        <v/>
      </c>
      <c r="F337" s="14">
        <f>IF(SUMIFS($E$119:$E$151,$D$119:$D$151,E337)&lt;&gt;0,E337,0)</f>
        <v/>
      </c>
      <c r="G337" s="59" t="n"/>
      <c r="I337" s="28">
        <f>IF(AND(SUMIFS($D$245:$D$595,$F$245:$F$595,0,$E$245:$E$595,$G337,$C$245:$C$595,"&lt;="&amp;B$2)&lt;1000000,SUMIFS($D$245:$D$595,$F$245:$F$595,0,$E$245:$E$595,$G337,$C$245:$C$595,"&lt;="&amp;I5)&gt;=1000000),SUMIFS($D$245:$D$595,$F$245:$F$595,0,$E$245:$E$595,$G337)*$C$157 ,0)</f>
        <v/>
      </c>
      <c r="K337" s="95">
        <f>IF(AND(SUMIFS($D$245:$D$595,$F$245:$F$595,0,$E$245:$E$595,$G337,$C$245:$C$595,"&lt;="&amp;I$5)&lt;1000000,SUMIFS($D$245:$D$595,$F$245:$F$595,0,$E$245:$E$595,$G337,$C$245:$C$595,"&lt;="&amp;K5)&gt;=1000000),SUMIFS($D$245:$D$595,$F$245:$F$595,0,$E$245:$E$595,$G337)*$C$157 ,0)</f>
        <v/>
      </c>
      <c r="M337" s="95">
        <f>IF(AND(SUMIFS($D$245:$D$595,$F$245:$F$595,0,$E$245:$E$595,$G337,$C$245:$C$595,"&lt;="&amp;K$5)&lt;1000000,SUMIFS($D$245:$D$595,$F$245:$F$595,0,$E$245:$E$595,$G337,$C$245:$C$595,"&lt;="&amp;M5)&gt;=1000000),SUMIFS($D$245:$D$595,$F$245:$F$595,0,$E$245:$E$595,$G337)*$C$157 ,0)</f>
        <v/>
      </c>
      <c r="O337" s="95">
        <f>IF(AND(SUMIFS($D$245:$D$595,$F$245:$F$595,0,$E$245:$E$595,$G337,$C$245:$C$595,"&lt;="&amp;M$5)&lt;1000000,SUMIFS($D$245:$D$595,$F$245:$F$595,0,$E$245:$E$595,$G337,$C$245:$C$595,"&lt;="&amp;O5)&gt;=1000000),SUMIFS($D$245:$D$595,$F$245:$F$595,0,$E$245:$E$595,$G337)*$C$157 ,0)</f>
        <v/>
      </c>
      <c r="Q337" s="95">
        <f>IF(AND(SUMIFS($D$245:$D$595,$F$245:$F$595,0,$E$245:$E$595,$G337,$C$245:$C$595,"&lt;="&amp;O$5)&lt;1000000,SUMIFS($D$245:$D$595,$F$245:$F$595,0,$E$245:$E$595,$G337,$C$245:$C$595,"&lt;="&amp;Q5)&gt;=1000000),SUMIFS($D$245:$D$595,$F$245:$F$595,0,$E$245:$E$595,$G337)*$C$157 ,0)</f>
        <v/>
      </c>
      <c r="S337" s="95">
        <f>IF(AND(SUMIFS($D$245:$D$595,$F$245:$F$595,0,$E$245:$E$595,$G337,$C$245:$C$595,"&lt;="&amp;Q$5)&lt;1000000,SUMIFS($D$245:$D$595,$F$245:$F$595,0,$E$245:$E$595,$G337,$C$245:$C$595,"&lt;="&amp;S5)&gt;=1000000),SUMIFS($D$245:$D$595,$F$245:$F$595,0,$E$245:$E$595,$G337)*$C$157 ,0)</f>
        <v/>
      </c>
      <c r="U337" s="95">
        <f>IF(AND(SUMIFS($D$245:$D$595,$F$245:$F$595,0,$E$245:$E$595,$G337,$C$245:$C$595,"&lt;="&amp;S$5)&lt;1000000,SUMIFS($D$245:$D$595,$F$245:$F$595,0,$E$245:$E$595,$G337,$C$245:$C$595,"&lt;="&amp;U5)&gt;=1000000),SUMIFS($D$245:$D$595,$F$245:$F$595,0,$E$245:$E$595,$G337)*$C$157 ,0)</f>
        <v/>
      </c>
      <c r="W337" s="95">
        <f>IF(AND(SUMIFS($D$245:$D$595,$F$245:$F$595,0,$E$245:$E$595,$G337,$C$245:$C$595,"&lt;="&amp;U$5)&lt;1000000,SUMIFS($D$245:$D$595,$F$245:$F$595,0,$E$245:$E$595,$G337,$C$245:$C$595,"&lt;="&amp;W5)&gt;=1000000),SUMIFS($D$245:$D$595,$F$245:$F$595,0,$E$245:$E$595,$G337)*$C$157 ,0)</f>
        <v/>
      </c>
      <c r="Y337" s="95">
        <f>IF(AND(SUMIFS($D$245:$D$595,$F$245:$F$595,0,$E$245:$E$595,$G337,$C$245:$C$595,"&lt;="&amp;W$5)&lt;1000000,SUMIFS($D$245:$D$595,$F$245:$F$595,0,$E$245:$E$595,$G337,$C$245:$C$595,"&lt;="&amp;Y5)&gt;=1000000),SUMIFS($D$245:$D$595,$F$245:$F$595,0,$E$245:$E$595,$G337)*$C$157 ,0)</f>
        <v/>
      </c>
      <c r="AA337" s="95">
        <f>IF(AND(SUMIFS($D$245:$D$595,$F$245:$F$595,0,$E$245:$E$595,$G337,$C$245:$C$595,"&lt;="&amp;Y$5)&lt;1000000,SUMIFS($D$245:$D$595,$F$245:$F$595,0,$E$245:$E$595,$G337,$C$245:$C$595,"&lt;="&amp;AA5)&gt;=1000000),SUMIFS($D$245:$D$595,$F$245:$F$595,0,$E$245:$E$595,$G337)*$C$157 ,0)</f>
        <v/>
      </c>
      <c r="AC337" s="95">
        <f>IF(AND(SUMIFS($D$245:$D$595,$F$245:$F$595,0,$E$245:$E$595,$G337,$C$245:$C$595,"&lt;="&amp;AA$5)&lt;1000000,SUMIFS($D$245:$D$595,$F$245:$F$595,0,$E$245:$E$595,$G337,$C$245:$C$595,"&lt;="&amp;AC5)&gt;=1000000),SUMIFS($D$245:$D$595,$F$245:$F$595,0,$E$245:$E$595,$G337)*$C$157 ,0)</f>
        <v/>
      </c>
      <c r="AE337" s="95">
        <f>IF(AND(SUMIFS($D$245:$D$595,$F$245:$F$595,0,$E$245:$E$595,$G337,$C$245:$C$595,"&lt;="&amp;AC$5)&lt;1000000,SUMIFS($D$245:$D$595,$F$245:$F$595,0,$E$245:$E$595,$G337,$C$245:$C$595,"&lt;="&amp;AE5)&gt;=1000000),SUMIFS($D$245:$D$595,$F$245:$F$595,0,$E$245:$E$595,$G337)*$C$157 ,0)</f>
        <v/>
      </c>
      <c r="AF337" s="19" t="n"/>
    </row>
    <row r="338">
      <c r="A338" s="20">
        <f>mid(E338, 3, 1)</f>
        <v/>
      </c>
      <c r="B338" s="14" t="inlineStr"/>
      <c r="C338" s="21">
        <f>SUMIFS('Investor Exit List'!$AC:$AC,'Investor Exit List'!$AB:$AB,B338)</f>
        <v/>
      </c>
      <c r="D338" s="14">
        <f>SUMIFS('Investor Exit List'!$Q:$Q,'Investor Exit List'!$AB:$AB,B338)</f>
        <v/>
      </c>
      <c r="E338" s="31">
        <f>LEFT(B338,6)</f>
        <v/>
      </c>
      <c r="F338" s="14">
        <f>IF(SUMIFS($E$119:$E$151,$D$119:$D$151,E338)&lt;&gt;0,E338,0)</f>
        <v/>
      </c>
      <c r="G338" s="59" t="n"/>
      <c r="I338" s="28">
        <f>IF(AND(SUMIFS($D$245:$D$595,$F$245:$F$595,0,$E$245:$E$595,$G338,$C$245:$C$595,"&lt;="&amp;B$2)&lt;1000000,SUMIFS($D$245:$D$595,$F$245:$F$595,0,$E$245:$E$595,$G338,$C$245:$C$595,"&lt;="&amp;I5)&gt;=1000000),SUMIFS($D$245:$D$595,$F$245:$F$595,0,$E$245:$E$595,$G338)*$C$157 ,0)</f>
        <v/>
      </c>
      <c r="K338" s="95">
        <f>IF(AND(SUMIFS($D$245:$D$595,$F$245:$F$595,0,$E$245:$E$595,$G338,$C$245:$C$595,"&lt;="&amp;I$5)&lt;1000000,SUMIFS($D$245:$D$595,$F$245:$F$595,0,$E$245:$E$595,$G338,$C$245:$C$595,"&lt;="&amp;K5)&gt;=1000000),SUMIFS($D$245:$D$595,$F$245:$F$595,0,$E$245:$E$595,$G338)*$C$157 ,0)</f>
        <v/>
      </c>
      <c r="M338" s="95">
        <f>IF(AND(SUMIFS($D$245:$D$595,$F$245:$F$595,0,$E$245:$E$595,$G338,$C$245:$C$595,"&lt;="&amp;K$5)&lt;1000000,SUMIFS($D$245:$D$595,$F$245:$F$595,0,$E$245:$E$595,$G338,$C$245:$C$595,"&lt;="&amp;M5)&gt;=1000000),SUMIFS($D$245:$D$595,$F$245:$F$595,0,$E$245:$E$595,$G338)*$C$157 ,0)</f>
        <v/>
      </c>
      <c r="O338" s="95">
        <f>IF(AND(SUMIFS($D$245:$D$595,$F$245:$F$595,0,$E$245:$E$595,$G338,$C$245:$C$595,"&lt;="&amp;M$5)&lt;1000000,SUMIFS($D$245:$D$595,$F$245:$F$595,0,$E$245:$E$595,$G338,$C$245:$C$595,"&lt;="&amp;O5)&gt;=1000000),SUMIFS($D$245:$D$595,$F$245:$F$595,0,$E$245:$E$595,$G338)*$C$157 ,0)</f>
        <v/>
      </c>
      <c r="Q338" s="95">
        <f>IF(AND(SUMIFS($D$245:$D$595,$F$245:$F$595,0,$E$245:$E$595,$G338,$C$245:$C$595,"&lt;="&amp;O$5)&lt;1000000,SUMIFS($D$245:$D$595,$F$245:$F$595,0,$E$245:$E$595,$G338,$C$245:$C$595,"&lt;="&amp;Q5)&gt;=1000000),SUMIFS($D$245:$D$595,$F$245:$F$595,0,$E$245:$E$595,$G338)*$C$157 ,0)</f>
        <v/>
      </c>
      <c r="S338" s="95">
        <f>IF(AND(SUMIFS($D$245:$D$595,$F$245:$F$595,0,$E$245:$E$595,$G338,$C$245:$C$595,"&lt;="&amp;Q$5)&lt;1000000,SUMIFS($D$245:$D$595,$F$245:$F$595,0,$E$245:$E$595,$G338,$C$245:$C$595,"&lt;="&amp;S5)&gt;=1000000),SUMIFS($D$245:$D$595,$F$245:$F$595,0,$E$245:$E$595,$G338)*$C$157 ,0)</f>
        <v/>
      </c>
      <c r="U338" s="95">
        <f>IF(AND(SUMIFS($D$245:$D$595,$F$245:$F$595,0,$E$245:$E$595,$G338,$C$245:$C$595,"&lt;="&amp;S$5)&lt;1000000,SUMIFS($D$245:$D$595,$F$245:$F$595,0,$E$245:$E$595,$G338,$C$245:$C$595,"&lt;="&amp;U5)&gt;=1000000),SUMIFS($D$245:$D$595,$F$245:$F$595,0,$E$245:$E$595,$G338)*$C$157 ,0)</f>
        <v/>
      </c>
      <c r="W338" s="95">
        <f>IF(AND(SUMIFS($D$245:$D$595,$F$245:$F$595,0,$E$245:$E$595,$G338,$C$245:$C$595,"&lt;="&amp;U$5)&lt;1000000,SUMIFS($D$245:$D$595,$F$245:$F$595,0,$E$245:$E$595,$G338,$C$245:$C$595,"&lt;="&amp;W5)&gt;=1000000),SUMIFS($D$245:$D$595,$F$245:$F$595,0,$E$245:$E$595,$G338)*$C$157 ,0)</f>
        <v/>
      </c>
      <c r="Y338" s="95">
        <f>IF(AND(SUMIFS($D$245:$D$595,$F$245:$F$595,0,$E$245:$E$595,$G338,$C$245:$C$595,"&lt;="&amp;W$5)&lt;1000000,SUMIFS($D$245:$D$595,$F$245:$F$595,0,$E$245:$E$595,$G338,$C$245:$C$595,"&lt;="&amp;Y5)&gt;=1000000),SUMIFS($D$245:$D$595,$F$245:$F$595,0,$E$245:$E$595,$G338)*$C$157 ,0)</f>
        <v/>
      </c>
      <c r="AA338" s="95">
        <f>IF(AND(SUMIFS($D$245:$D$595,$F$245:$F$595,0,$E$245:$E$595,$G338,$C$245:$C$595,"&lt;="&amp;Y$5)&lt;1000000,SUMIFS($D$245:$D$595,$F$245:$F$595,0,$E$245:$E$595,$G338,$C$245:$C$595,"&lt;="&amp;AA5)&gt;=1000000),SUMIFS($D$245:$D$595,$F$245:$F$595,0,$E$245:$E$595,$G338)*$C$157 ,0)</f>
        <v/>
      </c>
      <c r="AC338" s="95">
        <f>IF(AND(SUMIFS($D$245:$D$595,$F$245:$F$595,0,$E$245:$E$595,$G338,$C$245:$C$595,"&lt;="&amp;AA$5)&lt;1000000,SUMIFS($D$245:$D$595,$F$245:$F$595,0,$E$245:$E$595,$G338,$C$245:$C$595,"&lt;="&amp;AC5)&gt;=1000000),SUMIFS($D$245:$D$595,$F$245:$F$595,0,$E$245:$E$595,$G338)*$C$157 ,0)</f>
        <v/>
      </c>
      <c r="AE338" s="95">
        <f>IF(AND(SUMIFS($D$245:$D$595,$F$245:$F$595,0,$E$245:$E$595,$G338,$C$245:$C$595,"&lt;="&amp;AC$5)&lt;1000000,SUMIFS($D$245:$D$595,$F$245:$F$595,0,$E$245:$E$595,$G338,$C$245:$C$595,"&lt;="&amp;AE5)&gt;=1000000),SUMIFS($D$245:$D$595,$F$245:$F$595,0,$E$245:$E$595,$G338)*$C$157 ,0)</f>
        <v/>
      </c>
      <c r="AF338" s="19" t="n"/>
    </row>
    <row r="339">
      <c r="A339" s="20">
        <f>mid(E339, 3, 1)</f>
        <v/>
      </c>
      <c r="B339" s="14" t="inlineStr"/>
      <c r="C339" s="21">
        <f>SUMIFS('Investor Exit List'!$AC:$AC,'Investor Exit List'!$AB:$AB,B339)</f>
        <v/>
      </c>
      <c r="D339" s="14">
        <f>SUMIFS('Investor Exit List'!$Q:$Q,'Investor Exit List'!$AB:$AB,B339)</f>
        <v/>
      </c>
      <c r="E339" s="31">
        <f>LEFT(B339,6)</f>
        <v/>
      </c>
      <c r="F339" s="14">
        <f>IF(SUMIFS($E$119:$E$151,$D$119:$D$151,E339)&lt;&gt;0,E339,0)</f>
        <v/>
      </c>
      <c r="G339" s="59" t="n"/>
      <c r="I339" s="28">
        <f>IF(AND(SUMIFS($D$245:$D$595,$F$245:$F$595,0,$E$245:$E$595,$G339,$C$245:$C$595,"&lt;="&amp;B$2)&lt;1000000,SUMIFS($D$245:$D$595,$F$245:$F$595,0,$E$245:$E$595,$G339,$C$245:$C$595,"&lt;="&amp;I5)&gt;=1000000),SUMIFS($D$245:$D$595,$F$245:$F$595,0,$E$245:$E$595,$G339)*$C$157 ,0)</f>
        <v/>
      </c>
      <c r="K339" s="95">
        <f>IF(AND(SUMIFS($D$245:$D$595,$F$245:$F$595,0,$E$245:$E$595,$G339,$C$245:$C$595,"&lt;="&amp;I$5)&lt;1000000,SUMIFS($D$245:$D$595,$F$245:$F$595,0,$E$245:$E$595,$G339,$C$245:$C$595,"&lt;="&amp;K5)&gt;=1000000),SUMIFS($D$245:$D$595,$F$245:$F$595,0,$E$245:$E$595,$G339)*$C$157 ,0)</f>
        <v/>
      </c>
      <c r="M339" s="95">
        <f>IF(AND(SUMIFS($D$245:$D$595,$F$245:$F$595,0,$E$245:$E$595,$G339,$C$245:$C$595,"&lt;="&amp;K$5)&lt;1000000,SUMIFS($D$245:$D$595,$F$245:$F$595,0,$E$245:$E$595,$G339,$C$245:$C$595,"&lt;="&amp;M5)&gt;=1000000),SUMIFS($D$245:$D$595,$F$245:$F$595,0,$E$245:$E$595,$G339)*$C$157 ,0)</f>
        <v/>
      </c>
      <c r="O339" s="95">
        <f>IF(AND(SUMIFS($D$245:$D$595,$F$245:$F$595,0,$E$245:$E$595,$G339,$C$245:$C$595,"&lt;="&amp;M$5)&lt;1000000,SUMIFS($D$245:$D$595,$F$245:$F$595,0,$E$245:$E$595,$G339,$C$245:$C$595,"&lt;="&amp;O5)&gt;=1000000),SUMIFS($D$245:$D$595,$F$245:$F$595,0,$E$245:$E$595,$G339)*$C$157 ,0)</f>
        <v/>
      </c>
      <c r="Q339" s="95">
        <f>IF(AND(SUMIFS($D$245:$D$595,$F$245:$F$595,0,$E$245:$E$595,$G339,$C$245:$C$595,"&lt;="&amp;O$5)&lt;1000000,SUMIFS($D$245:$D$595,$F$245:$F$595,0,$E$245:$E$595,$G339,$C$245:$C$595,"&lt;="&amp;Q5)&gt;=1000000),SUMIFS($D$245:$D$595,$F$245:$F$595,0,$E$245:$E$595,$G339)*$C$157 ,0)</f>
        <v/>
      </c>
      <c r="S339" s="95">
        <f>IF(AND(SUMIFS($D$245:$D$595,$F$245:$F$595,0,$E$245:$E$595,$G339,$C$245:$C$595,"&lt;="&amp;Q$5)&lt;1000000,SUMIFS($D$245:$D$595,$F$245:$F$595,0,$E$245:$E$595,$G339,$C$245:$C$595,"&lt;="&amp;S5)&gt;=1000000),SUMIFS($D$245:$D$595,$F$245:$F$595,0,$E$245:$E$595,$G339)*$C$157 ,0)</f>
        <v/>
      </c>
      <c r="U339" s="95">
        <f>IF(AND(SUMIFS($D$245:$D$595,$F$245:$F$595,0,$E$245:$E$595,$G339,$C$245:$C$595,"&lt;="&amp;S$5)&lt;1000000,SUMIFS($D$245:$D$595,$F$245:$F$595,0,$E$245:$E$595,$G339,$C$245:$C$595,"&lt;="&amp;U5)&gt;=1000000),SUMIFS($D$245:$D$595,$F$245:$F$595,0,$E$245:$E$595,$G339)*$C$157 ,0)</f>
        <v/>
      </c>
      <c r="W339" s="95">
        <f>IF(AND(SUMIFS($D$245:$D$595,$F$245:$F$595,0,$E$245:$E$595,$G339,$C$245:$C$595,"&lt;="&amp;U$5)&lt;1000000,SUMIFS($D$245:$D$595,$F$245:$F$595,0,$E$245:$E$595,$G339,$C$245:$C$595,"&lt;="&amp;W5)&gt;=1000000),SUMIFS($D$245:$D$595,$F$245:$F$595,0,$E$245:$E$595,$G339)*$C$157 ,0)</f>
        <v/>
      </c>
      <c r="Y339" s="95">
        <f>IF(AND(SUMIFS($D$245:$D$595,$F$245:$F$595,0,$E$245:$E$595,$G339,$C$245:$C$595,"&lt;="&amp;W$5)&lt;1000000,SUMIFS($D$245:$D$595,$F$245:$F$595,0,$E$245:$E$595,$G339,$C$245:$C$595,"&lt;="&amp;Y5)&gt;=1000000),SUMIFS($D$245:$D$595,$F$245:$F$595,0,$E$245:$E$595,$G339)*$C$157 ,0)</f>
        <v/>
      </c>
      <c r="AA339" s="95">
        <f>IF(AND(SUMIFS($D$245:$D$595,$F$245:$F$595,0,$E$245:$E$595,$G339,$C$245:$C$595,"&lt;="&amp;Y$5)&lt;1000000,SUMIFS($D$245:$D$595,$F$245:$F$595,0,$E$245:$E$595,$G339,$C$245:$C$595,"&lt;="&amp;AA5)&gt;=1000000),SUMIFS($D$245:$D$595,$F$245:$F$595,0,$E$245:$E$595,$G339)*$C$157 ,0)</f>
        <v/>
      </c>
      <c r="AC339" s="95">
        <f>IF(AND(SUMIFS($D$245:$D$595,$F$245:$F$595,0,$E$245:$E$595,$G339,$C$245:$C$595,"&lt;="&amp;AA$5)&lt;1000000,SUMIFS($D$245:$D$595,$F$245:$F$595,0,$E$245:$E$595,$G339,$C$245:$C$595,"&lt;="&amp;AC5)&gt;=1000000),SUMIFS($D$245:$D$595,$F$245:$F$595,0,$E$245:$E$595,$G339)*$C$157 ,0)</f>
        <v/>
      </c>
      <c r="AE339" s="95">
        <f>IF(AND(SUMIFS($D$245:$D$595,$F$245:$F$595,0,$E$245:$E$595,$G339,$C$245:$C$595,"&lt;="&amp;AC$5)&lt;1000000,SUMIFS($D$245:$D$595,$F$245:$F$595,0,$E$245:$E$595,$G339,$C$245:$C$595,"&lt;="&amp;AE5)&gt;=1000000),SUMIFS($D$245:$D$595,$F$245:$F$595,0,$E$245:$E$595,$G339)*$C$157 ,0)</f>
        <v/>
      </c>
      <c r="AF339" s="19" t="n"/>
    </row>
    <row r="340">
      <c r="A340" s="20">
        <f>mid(E340, 3, 1)</f>
        <v/>
      </c>
      <c r="B340" s="14" t="inlineStr"/>
      <c r="C340" s="21">
        <f>SUMIFS('Investor Exit List'!$AC:$AC,'Investor Exit List'!$AB:$AB,B340)</f>
        <v/>
      </c>
      <c r="D340" s="14">
        <f>SUMIFS('Investor Exit List'!$Q:$Q,'Investor Exit List'!$AB:$AB,B340)</f>
        <v/>
      </c>
      <c r="E340" s="31">
        <f>LEFT(B340,6)</f>
        <v/>
      </c>
      <c r="F340" s="14">
        <f>IF(SUMIFS($E$119:$E$151,$D$119:$D$151,E340)&lt;&gt;0,E340,0)</f>
        <v/>
      </c>
      <c r="G340" s="59" t="n"/>
      <c r="I340" s="28">
        <f>IF(AND(SUMIFS($D$245:$D$595,$F$245:$F$595,0,$E$245:$E$595,$G340,$C$245:$C$595,"&lt;="&amp;B$2)&lt;1000000,SUMIFS($D$245:$D$595,$F$245:$F$595,0,$E$245:$E$595,$G340,$C$245:$C$595,"&lt;="&amp;I5)&gt;=1000000),SUMIFS($D$245:$D$595,$F$245:$F$595,0,$E$245:$E$595,$G340)*$C$157 ,0)</f>
        <v/>
      </c>
      <c r="K340" s="95">
        <f>IF(AND(SUMIFS($D$245:$D$595,$F$245:$F$595,0,$E$245:$E$595,$G340,$C$245:$C$595,"&lt;="&amp;I$5)&lt;1000000,SUMIFS($D$245:$D$595,$F$245:$F$595,0,$E$245:$E$595,$G340,$C$245:$C$595,"&lt;="&amp;K5)&gt;=1000000),SUMIFS($D$245:$D$595,$F$245:$F$595,0,$E$245:$E$595,$G340)*$C$157 ,0)</f>
        <v/>
      </c>
      <c r="M340" s="95">
        <f>IF(AND(SUMIFS($D$245:$D$595,$F$245:$F$595,0,$E$245:$E$595,$G340,$C$245:$C$595,"&lt;="&amp;K$5)&lt;1000000,SUMIFS($D$245:$D$595,$F$245:$F$595,0,$E$245:$E$595,$G340,$C$245:$C$595,"&lt;="&amp;M5)&gt;=1000000),SUMIFS($D$245:$D$595,$F$245:$F$595,0,$E$245:$E$595,$G340)*$C$157 ,0)</f>
        <v/>
      </c>
      <c r="O340" s="95">
        <f>IF(AND(SUMIFS($D$245:$D$595,$F$245:$F$595,0,$E$245:$E$595,$G340,$C$245:$C$595,"&lt;="&amp;M$5)&lt;1000000,SUMIFS($D$245:$D$595,$F$245:$F$595,0,$E$245:$E$595,$G340,$C$245:$C$595,"&lt;="&amp;O5)&gt;=1000000),SUMIFS($D$245:$D$595,$F$245:$F$595,0,$E$245:$E$595,$G340)*$C$157 ,0)</f>
        <v/>
      </c>
      <c r="Q340" s="95">
        <f>IF(AND(SUMIFS($D$245:$D$595,$F$245:$F$595,0,$E$245:$E$595,$G340,$C$245:$C$595,"&lt;="&amp;O$5)&lt;1000000,SUMIFS($D$245:$D$595,$F$245:$F$595,0,$E$245:$E$595,$G340,$C$245:$C$595,"&lt;="&amp;Q5)&gt;=1000000),SUMIFS($D$245:$D$595,$F$245:$F$595,0,$E$245:$E$595,$G340)*$C$157 ,0)</f>
        <v/>
      </c>
      <c r="S340" s="95">
        <f>IF(AND(SUMIFS($D$245:$D$595,$F$245:$F$595,0,$E$245:$E$595,$G340,$C$245:$C$595,"&lt;="&amp;Q$5)&lt;1000000,SUMIFS($D$245:$D$595,$F$245:$F$595,0,$E$245:$E$595,$G340,$C$245:$C$595,"&lt;="&amp;S5)&gt;=1000000),SUMIFS($D$245:$D$595,$F$245:$F$595,0,$E$245:$E$595,$G340)*$C$157 ,0)</f>
        <v/>
      </c>
      <c r="U340" s="95">
        <f>IF(AND(SUMIFS($D$245:$D$595,$F$245:$F$595,0,$E$245:$E$595,$G340,$C$245:$C$595,"&lt;="&amp;S$5)&lt;1000000,SUMIFS($D$245:$D$595,$F$245:$F$595,0,$E$245:$E$595,$G340,$C$245:$C$595,"&lt;="&amp;U5)&gt;=1000000),SUMIFS($D$245:$D$595,$F$245:$F$595,0,$E$245:$E$595,$G340)*$C$157 ,0)</f>
        <v/>
      </c>
      <c r="W340" s="95">
        <f>IF(AND(SUMIFS($D$245:$D$595,$F$245:$F$595,0,$E$245:$E$595,$G340,$C$245:$C$595,"&lt;="&amp;U$5)&lt;1000000,SUMIFS($D$245:$D$595,$F$245:$F$595,0,$E$245:$E$595,$G340,$C$245:$C$595,"&lt;="&amp;W5)&gt;=1000000),SUMIFS($D$245:$D$595,$F$245:$F$595,0,$E$245:$E$595,$G340)*$C$157 ,0)</f>
        <v/>
      </c>
      <c r="Y340" s="95">
        <f>IF(AND(SUMIFS($D$245:$D$595,$F$245:$F$595,0,$E$245:$E$595,$G340,$C$245:$C$595,"&lt;="&amp;W$5)&lt;1000000,SUMIFS($D$245:$D$595,$F$245:$F$595,0,$E$245:$E$595,$G340,$C$245:$C$595,"&lt;="&amp;Y5)&gt;=1000000),SUMIFS($D$245:$D$595,$F$245:$F$595,0,$E$245:$E$595,$G340)*$C$157 ,0)</f>
        <v/>
      </c>
      <c r="AA340" s="95">
        <f>IF(AND(SUMIFS($D$245:$D$595,$F$245:$F$595,0,$E$245:$E$595,$G340,$C$245:$C$595,"&lt;="&amp;Y$5)&lt;1000000,SUMIFS($D$245:$D$595,$F$245:$F$595,0,$E$245:$E$595,$G340,$C$245:$C$595,"&lt;="&amp;AA5)&gt;=1000000),SUMIFS($D$245:$D$595,$F$245:$F$595,0,$E$245:$E$595,$G340)*$C$157 ,0)</f>
        <v/>
      </c>
      <c r="AC340" s="95">
        <f>IF(AND(SUMIFS($D$245:$D$595,$F$245:$F$595,0,$E$245:$E$595,$G340,$C$245:$C$595,"&lt;="&amp;AA$5)&lt;1000000,SUMIFS($D$245:$D$595,$F$245:$F$595,0,$E$245:$E$595,$G340,$C$245:$C$595,"&lt;="&amp;AC5)&gt;=1000000),SUMIFS($D$245:$D$595,$F$245:$F$595,0,$E$245:$E$595,$G340)*$C$157 ,0)</f>
        <v/>
      </c>
      <c r="AE340" s="95">
        <f>IF(AND(SUMIFS($D$245:$D$595,$F$245:$F$595,0,$E$245:$E$595,$G340,$C$245:$C$595,"&lt;="&amp;AC$5)&lt;1000000,SUMIFS($D$245:$D$595,$F$245:$F$595,0,$E$245:$E$595,$G340,$C$245:$C$595,"&lt;="&amp;AE5)&gt;=1000000),SUMIFS($D$245:$D$595,$F$245:$F$595,0,$E$245:$E$595,$G340)*$C$157 ,0)</f>
        <v/>
      </c>
      <c r="AF340" s="19" t="n"/>
    </row>
    <row r="341">
      <c r="A341" s="20">
        <f>mid(E341, 3, 1)</f>
        <v/>
      </c>
      <c r="B341" s="14" t="inlineStr"/>
      <c r="C341" s="21">
        <f>SUMIFS('Investor Exit List'!$AC:$AC,'Investor Exit List'!$AB:$AB,B341)</f>
        <v/>
      </c>
      <c r="D341" s="14">
        <f>SUMIFS('Investor Exit List'!$Q:$Q,'Investor Exit List'!$AB:$AB,B341)</f>
        <v/>
      </c>
      <c r="E341" s="31">
        <f>LEFT(B341,6)</f>
        <v/>
      </c>
      <c r="F341" s="14">
        <f>IF(SUMIFS($E$119:$E$151,$D$119:$D$151,E341)&lt;&gt;0,E341,0)</f>
        <v/>
      </c>
      <c r="G341" s="59" t="n"/>
      <c r="I341" s="28">
        <f>IF(AND(SUMIFS($D$245:$D$595,$F$245:$F$595,0,$E$245:$E$595,$G341,$C$245:$C$595,"&lt;="&amp;B$2)&lt;1000000,SUMIFS($D$245:$D$595,$F$245:$F$595,0,$E$245:$E$595,$G341,$C$245:$C$595,"&lt;="&amp;I5)&gt;=1000000),SUMIFS($D$245:$D$595,$F$245:$F$595,0,$E$245:$E$595,$G341)*$C$157 ,0)</f>
        <v/>
      </c>
      <c r="K341" s="95">
        <f>IF(AND(SUMIFS($D$245:$D$595,$F$245:$F$595,0,$E$245:$E$595,$G341,$C$245:$C$595,"&lt;="&amp;I$5)&lt;1000000,SUMIFS($D$245:$D$595,$F$245:$F$595,0,$E$245:$E$595,$G341,$C$245:$C$595,"&lt;="&amp;K5)&gt;=1000000),SUMIFS($D$245:$D$595,$F$245:$F$595,0,$E$245:$E$595,$G341)*$C$157 ,0)</f>
        <v/>
      </c>
      <c r="M341" s="95">
        <f>IF(AND(SUMIFS($D$245:$D$595,$F$245:$F$595,0,$E$245:$E$595,$G341,$C$245:$C$595,"&lt;="&amp;K$5)&lt;1000000,SUMIFS($D$245:$D$595,$F$245:$F$595,0,$E$245:$E$595,$G341,$C$245:$C$595,"&lt;="&amp;M5)&gt;=1000000),SUMIFS($D$245:$D$595,$F$245:$F$595,0,$E$245:$E$595,$G341)*$C$157 ,0)</f>
        <v/>
      </c>
      <c r="O341" s="95">
        <f>IF(AND(SUMIFS($D$245:$D$595,$F$245:$F$595,0,$E$245:$E$595,$G341,$C$245:$C$595,"&lt;="&amp;M$5)&lt;1000000,SUMIFS($D$245:$D$595,$F$245:$F$595,0,$E$245:$E$595,$G341,$C$245:$C$595,"&lt;="&amp;O5)&gt;=1000000),SUMIFS($D$245:$D$595,$F$245:$F$595,0,$E$245:$E$595,$G341)*$C$157 ,0)</f>
        <v/>
      </c>
      <c r="Q341" s="95">
        <f>IF(AND(SUMIFS($D$245:$D$595,$F$245:$F$595,0,$E$245:$E$595,$G341,$C$245:$C$595,"&lt;="&amp;O$5)&lt;1000000,SUMIFS($D$245:$D$595,$F$245:$F$595,0,$E$245:$E$595,$G341,$C$245:$C$595,"&lt;="&amp;Q5)&gt;=1000000),SUMIFS($D$245:$D$595,$F$245:$F$595,0,$E$245:$E$595,$G341)*$C$157 ,0)</f>
        <v/>
      </c>
      <c r="S341" s="95">
        <f>IF(AND(SUMIFS($D$245:$D$595,$F$245:$F$595,0,$E$245:$E$595,$G341,$C$245:$C$595,"&lt;="&amp;Q$5)&lt;1000000,SUMIFS($D$245:$D$595,$F$245:$F$595,0,$E$245:$E$595,$G341,$C$245:$C$595,"&lt;="&amp;S5)&gt;=1000000),SUMIFS($D$245:$D$595,$F$245:$F$595,0,$E$245:$E$595,$G341)*$C$157 ,0)</f>
        <v/>
      </c>
      <c r="U341" s="95">
        <f>IF(AND(SUMIFS($D$245:$D$595,$F$245:$F$595,0,$E$245:$E$595,$G341,$C$245:$C$595,"&lt;="&amp;S$5)&lt;1000000,SUMIFS($D$245:$D$595,$F$245:$F$595,0,$E$245:$E$595,$G341,$C$245:$C$595,"&lt;="&amp;U5)&gt;=1000000),SUMIFS($D$245:$D$595,$F$245:$F$595,0,$E$245:$E$595,$G341)*$C$157 ,0)</f>
        <v/>
      </c>
      <c r="W341" s="95">
        <f>IF(AND(SUMIFS($D$245:$D$595,$F$245:$F$595,0,$E$245:$E$595,$G341,$C$245:$C$595,"&lt;="&amp;U$5)&lt;1000000,SUMIFS($D$245:$D$595,$F$245:$F$595,0,$E$245:$E$595,$G341,$C$245:$C$595,"&lt;="&amp;W5)&gt;=1000000),SUMIFS($D$245:$D$595,$F$245:$F$595,0,$E$245:$E$595,$G341)*$C$157 ,0)</f>
        <v/>
      </c>
      <c r="Y341" s="95">
        <f>IF(AND(SUMIFS($D$245:$D$595,$F$245:$F$595,0,$E$245:$E$595,$G341,$C$245:$C$595,"&lt;="&amp;W$5)&lt;1000000,SUMIFS($D$245:$D$595,$F$245:$F$595,0,$E$245:$E$595,$G341,$C$245:$C$595,"&lt;="&amp;Y5)&gt;=1000000),SUMIFS($D$245:$D$595,$F$245:$F$595,0,$E$245:$E$595,$G341)*$C$157 ,0)</f>
        <v/>
      </c>
      <c r="AA341" s="95">
        <f>IF(AND(SUMIFS($D$245:$D$595,$F$245:$F$595,0,$E$245:$E$595,$G341,$C$245:$C$595,"&lt;="&amp;Y$5)&lt;1000000,SUMIFS($D$245:$D$595,$F$245:$F$595,0,$E$245:$E$595,$G341,$C$245:$C$595,"&lt;="&amp;AA5)&gt;=1000000),SUMIFS($D$245:$D$595,$F$245:$F$595,0,$E$245:$E$595,$G341)*$C$157 ,0)</f>
        <v/>
      </c>
      <c r="AC341" s="95">
        <f>IF(AND(SUMIFS($D$245:$D$595,$F$245:$F$595,0,$E$245:$E$595,$G341,$C$245:$C$595,"&lt;="&amp;AA$5)&lt;1000000,SUMIFS($D$245:$D$595,$F$245:$F$595,0,$E$245:$E$595,$G341,$C$245:$C$595,"&lt;="&amp;AC5)&gt;=1000000),SUMIFS($D$245:$D$595,$F$245:$F$595,0,$E$245:$E$595,$G341)*$C$157 ,0)</f>
        <v/>
      </c>
      <c r="AE341" s="95">
        <f>IF(AND(SUMIFS($D$245:$D$595,$F$245:$F$595,0,$E$245:$E$595,$G341,$C$245:$C$595,"&lt;="&amp;AC$5)&lt;1000000,SUMIFS($D$245:$D$595,$F$245:$F$595,0,$E$245:$E$595,$G341,$C$245:$C$595,"&lt;="&amp;AE5)&gt;=1000000),SUMIFS($D$245:$D$595,$F$245:$F$595,0,$E$245:$E$595,$G341)*$C$157 ,0)</f>
        <v/>
      </c>
      <c r="AF341" s="19" t="n"/>
    </row>
    <row r="342">
      <c r="A342" s="20">
        <f>mid(E342, 3, 1)</f>
        <v/>
      </c>
      <c r="B342" s="14" t="inlineStr"/>
      <c r="C342" s="21">
        <f>SUMIFS('Investor Exit List'!$AC:$AC,'Investor Exit List'!$AB:$AB,B342)</f>
        <v/>
      </c>
      <c r="D342" s="14">
        <f>SUMIFS('Investor Exit List'!$Q:$Q,'Investor Exit List'!$AB:$AB,B342)</f>
        <v/>
      </c>
      <c r="E342" s="31">
        <f>LEFT(B342,6)</f>
        <v/>
      </c>
      <c r="F342" s="14">
        <f>IF(SUMIFS($E$119:$E$151,$D$119:$D$151,E342)&lt;&gt;0,E342,0)</f>
        <v/>
      </c>
      <c r="G342" s="59" t="n"/>
      <c r="I342" s="28">
        <f>IF(AND(SUMIFS($D$245:$D$595,$F$245:$F$595,0,$E$245:$E$595,$G342,$C$245:$C$595,"&lt;="&amp;B$2)&lt;1000000,SUMIFS($D$245:$D$595,$F$245:$F$595,0,$E$245:$E$595,$G342,$C$245:$C$595,"&lt;="&amp;I5)&gt;=1000000),SUMIFS($D$245:$D$595,$F$245:$F$595,0,$E$245:$E$595,$G342)*$C$157 ,0)</f>
        <v/>
      </c>
      <c r="K342" s="95">
        <f>IF(AND(SUMIFS($D$245:$D$595,$F$245:$F$595,0,$E$245:$E$595,$G342,$C$245:$C$595,"&lt;="&amp;I$5)&lt;1000000,SUMIFS($D$245:$D$595,$F$245:$F$595,0,$E$245:$E$595,$G342,$C$245:$C$595,"&lt;="&amp;K5)&gt;=1000000),SUMIFS($D$245:$D$595,$F$245:$F$595,0,$E$245:$E$595,$G342)*$C$157 ,0)</f>
        <v/>
      </c>
      <c r="M342" s="95">
        <f>IF(AND(SUMIFS($D$245:$D$595,$F$245:$F$595,0,$E$245:$E$595,$G342,$C$245:$C$595,"&lt;="&amp;K$5)&lt;1000000,SUMIFS($D$245:$D$595,$F$245:$F$595,0,$E$245:$E$595,$G342,$C$245:$C$595,"&lt;="&amp;M5)&gt;=1000000),SUMIFS($D$245:$D$595,$F$245:$F$595,0,$E$245:$E$595,$G342)*$C$157 ,0)</f>
        <v/>
      </c>
      <c r="O342" s="95">
        <f>IF(AND(SUMIFS($D$245:$D$595,$F$245:$F$595,0,$E$245:$E$595,$G342,$C$245:$C$595,"&lt;="&amp;M$5)&lt;1000000,SUMIFS($D$245:$D$595,$F$245:$F$595,0,$E$245:$E$595,$G342,$C$245:$C$595,"&lt;="&amp;O5)&gt;=1000000),SUMIFS($D$245:$D$595,$F$245:$F$595,0,$E$245:$E$595,$G342)*$C$157 ,0)</f>
        <v/>
      </c>
      <c r="Q342" s="95">
        <f>IF(AND(SUMIFS($D$245:$D$595,$F$245:$F$595,0,$E$245:$E$595,$G342,$C$245:$C$595,"&lt;="&amp;O$5)&lt;1000000,SUMIFS($D$245:$D$595,$F$245:$F$595,0,$E$245:$E$595,$G342,$C$245:$C$595,"&lt;="&amp;Q5)&gt;=1000000),SUMIFS($D$245:$D$595,$F$245:$F$595,0,$E$245:$E$595,$G342)*$C$157 ,0)</f>
        <v/>
      </c>
      <c r="S342" s="95">
        <f>IF(AND(SUMIFS($D$245:$D$595,$F$245:$F$595,0,$E$245:$E$595,$G342,$C$245:$C$595,"&lt;="&amp;Q$5)&lt;1000000,SUMIFS($D$245:$D$595,$F$245:$F$595,0,$E$245:$E$595,$G342,$C$245:$C$595,"&lt;="&amp;S5)&gt;=1000000),SUMIFS($D$245:$D$595,$F$245:$F$595,0,$E$245:$E$595,$G342)*$C$157 ,0)</f>
        <v/>
      </c>
      <c r="U342" s="95">
        <f>IF(AND(SUMIFS($D$245:$D$595,$F$245:$F$595,0,$E$245:$E$595,$G342,$C$245:$C$595,"&lt;="&amp;S$5)&lt;1000000,SUMIFS($D$245:$D$595,$F$245:$F$595,0,$E$245:$E$595,$G342,$C$245:$C$595,"&lt;="&amp;U5)&gt;=1000000),SUMIFS($D$245:$D$595,$F$245:$F$595,0,$E$245:$E$595,$G342)*$C$157 ,0)</f>
        <v/>
      </c>
      <c r="W342" s="95">
        <f>IF(AND(SUMIFS($D$245:$D$595,$F$245:$F$595,0,$E$245:$E$595,$G342,$C$245:$C$595,"&lt;="&amp;U$5)&lt;1000000,SUMIFS($D$245:$D$595,$F$245:$F$595,0,$E$245:$E$595,$G342,$C$245:$C$595,"&lt;="&amp;W5)&gt;=1000000),SUMIFS($D$245:$D$595,$F$245:$F$595,0,$E$245:$E$595,$G342)*$C$157 ,0)</f>
        <v/>
      </c>
      <c r="Y342" s="95">
        <f>IF(AND(SUMIFS($D$245:$D$595,$F$245:$F$595,0,$E$245:$E$595,$G342,$C$245:$C$595,"&lt;="&amp;W$5)&lt;1000000,SUMIFS($D$245:$D$595,$F$245:$F$595,0,$E$245:$E$595,$G342,$C$245:$C$595,"&lt;="&amp;Y5)&gt;=1000000),SUMIFS($D$245:$D$595,$F$245:$F$595,0,$E$245:$E$595,$G342)*$C$157 ,0)</f>
        <v/>
      </c>
      <c r="AA342" s="95">
        <f>IF(AND(SUMIFS($D$245:$D$595,$F$245:$F$595,0,$E$245:$E$595,$G342,$C$245:$C$595,"&lt;="&amp;Y$5)&lt;1000000,SUMIFS($D$245:$D$595,$F$245:$F$595,0,$E$245:$E$595,$G342,$C$245:$C$595,"&lt;="&amp;AA5)&gt;=1000000),SUMIFS($D$245:$D$595,$F$245:$F$595,0,$E$245:$E$595,$G342)*$C$157 ,0)</f>
        <v/>
      </c>
      <c r="AC342" s="95">
        <f>IF(AND(SUMIFS($D$245:$D$595,$F$245:$F$595,0,$E$245:$E$595,$G342,$C$245:$C$595,"&lt;="&amp;AA$5)&lt;1000000,SUMIFS($D$245:$D$595,$F$245:$F$595,0,$E$245:$E$595,$G342,$C$245:$C$595,"&lt;="&amp;AC5)&gt;=1000000),SUMIFS($D$245:$D$595,$F$245:$F$595,0,$E$245:$E$595,$G342)*$C$157 ,0)</f>
        <v/>
      </c>
      <c r="AE342" s="95">
        <f>IF(AND(SUMIFS($D$245:$D$595,$F$245:$F$595,0,$E$245:$E$595,$G342,$C$245:$C$595,"&lt;="&amp;AC$5)&lt;1000000,SUMIFS($D$245:$D$595,$F$245:$F$595,0,$E$245:$E$595,$G342,$C$245:$C$595,"&lt;="&amp;AE5)&gt;=1000000),SUMIFS($D$245:$D$595,$F$245:$F$595,0,$E$245:$E$595,$G342)*$C$157 ,0)</f>
        <v/>
      </c>
      <c r="AF342" s="19" t="n"/>
    </row>
    <row r="343">
      <c r="A343" s="20">
        <f>mid(E343, 3, 1)</f>
        <v/>
      </c>
      <c r="B343" s="14" t="inlineStr"/>
      <c r="C343" s="21">
        <f>SUMIFS('Investor Exit List'!$AC:$AC,'Investor Exit List'!$AB:$AB,B343)</f>
        <v/>
      </c>
      <c r="D343" s="14">
        <f>SUMIFS('Investor Exit List'!$Q:$Q,'Investor Exit List'!$AB:$AB,B343)</f>
        <v/>
      </c>
      <c r="E343" s="31">
        <f>LEFT(B343,6)</f>
        <v/>
      </c>
      <c r="F343" s="14">
        <f>IF(SUMIFS($E$119:$E$151,$D$119:$D$151,E343)&lt;&gt;0,E343,0)</f>
        <v/>
      </c>
      <c r="G343" s="59" t="n"/>
      <c r="I343" s="28">
        <f>IF(AND(SUMIFS($D$245:$D$595,$F$245:$F$595,0,$E$245:$E$595,$G343,$C$245:$C$595,"&lt;="&amp;B$2)&lt;1000000,SUMIFS($D$245:$D$595,$F$245:$F$595,0,$E$245:$E$595,$G343,$C$245:$C$595,"&lt;="&amp;I5)&gt;=1000000),SUMIFS($D$245:$D$595,$F$245:$F$595,0,$E$245:$E$595,$G343)*$C$157 ,0)</f>
        <v/>
      </c>
      <c r="K343" s="95">
        <f>IF(AND(SUMIFS($D$245:$D$595,$F$245:$F$595,0,$E$245:$E$595,$G343,$C$245:$C$595,"&lt;="&amp;I$5)&lt;1000000,SUMIFS($D$245:$D$595,$F$245:$F$595,0,$E$245:$E$595,$G343,$C$245:$C$595,"&lt;="&amp;K5)&gt;=1000000),SUMIFS($D$245:$D$595,$F$245:$F$595,0,$E$245:$E$595,$G343)*$C$157 ,0)</f>
        <v/>
      </c>
      <c r="M343" s="95">
        <f>IF(AND(SUMIFS($D$245:$D$595,$F$245:$F$595,0,$E$245:$E$595,$G343,$C$245:$C$595,"&lt;="&amp;K$5)&lt;1000000,SUMIFS($D$245:$D$595,$F$245:$F$595,0,$E$245:$E$595,$G343,$C$245:$C$595,"&lt;="&amp;M5)&gt;=1000000),SUMIFS($D$245:$D$595,$F$245:$F$595,0,$E$245:$E$595,$G343)*$C$157 ,0)</f>
        <v/>
      </c>
      <c r="O343" s="95">
        <f>IF(AND(SUMIFS($D$245:$D$595,$F$245:$F$595,0,$E$245:$E$595,$G343,$C$245:$C$595,"&lt;="&amp;M$5)&lt;1000000,SUMIFS($D$245:$D$595,$F$245:$F$595,0,$E$245:$E$595,$G343,$C$245:$C$595,"&lt;="&amp;O5)&gt;=1000000),SUMIFS($D$245:$D$595,$F$245:$F$595,0,$E$245:$E$595,$G343)*$C$157 ,0)</f>
        <v/>
      </c>
      <c r="Q343" s="95">
        <f>IF(AND(SUMIFS($D$245:$D$595,$F$245:$F$595,0,$E$245:$E$595,$G343,$C$245:$C$595,"&lt;="&amp;O$5)&lt;1000000,SUMIFS($D$245:$D$595,$F$245:$F$595,0,$E$245:$E$595,$G343,$C$245:$C$595,"&lt;="&amp;Q5)&gt;=1000000),SUMIFS($D$245:$D$595,$F$245:$F$595,0,$E$245:$E$595,$G343)*$C$157 ,0)</f>
        <v/>
      </c>
      <c r="S343" s="95">
        <f>IF(AND(SUMIFS($D$245:$D$595,$F$245:$F$595,0,$E$245:$E$595,$G343,$C$245:$C$595,"&lt;="&amp;Q$5)&lt;1000000,SUMIFS($D$245:$D$595,$F$245:$F$595,0,$E$245:$E$595,$G343,$C$245:$C$595,"&lt;="&amp;S5)&gt;=1000000),SUMIFS($D$245:$D$595,$F$245:$F$595,0,$E$245:$E$595,$G343)*$C$157 ,0)</f>
        <v/>
      </c>
      <c r="U343" s="95">
        <f>IF(AND(SUMIFS($D$245:$D$595,$F$245:$F$595,0,$E$245:$E$595,$G343,$C$245:$C$595,"&lt;="&amp;S$5)&lt;1000000,SUMIFS($D$245:$D$595,$F$245:$F$595,0,$E$245:$E$595,$G343,$C$245:$C$595,"&lt;="&amp;U5)&gt;=1000000),SUMIFS($D$245:$D$595,$F$245:$F$595,0,$E$245:$E$595,$G343)*$C$157 ,0)</f>
        <v/>
      </c>
      <c r="W343" s="95">
        <f>IF(AND(SUMIFS($D$245:$D$595,$F$245:$F$595,0,$E$245:$E$595,$G343,$C$245:$C$595,"&lt;="&amp;U$5)&lt;1000000,SUMIFS($D$245:$D$595,$F$245:$F$595,0,$E$245:$E$595,$G343,$C$245:$C$595,"&lt;="&amp;W5)&gt;=1000000),SUMIFS($D$245:$D$595,$F$245:$F$595,0,$E$245:$E$595,$G343)*$C$157 ,0)</f>
        <v/>
      </c>
      <c r="Y343" s="95">
        <f>IF(AND(SUMIFS($D$245:$D$595,$F$245:$F$595,0,$E$245:$E$595,$G343,$C$245:$C$595,"&lt;="&amp;W$5)&lt;1000000,SUMIFS($D$245:$D$595,$F$245:$F$595,0,$E$245:$E$595,$G343,$C$245:$C$595,"&lt;="&amp;Y5)&gt;=1000000),SUMIFS($D$245:$D$595,$F$245:$F$595,0,$E$245:$E$595,$G343)*$C$157 ,0)</f>
        <v/>
      </c>
      <c r="AA343" s="95">
        <f>IF(AND(SUMIFS($D$245:$D$595,$F$245:$F$595,0,$E$245:$E$595,$G343,$C$245:$C$595,"&lt;="&amp;Y$5)&lt;1000000,SUMIFS($D$245:$D$595,$F$245:$F$595,0,$E$245:$E$595,$G343,$C$245:$C$595,"&lt;="&amp;AA5)&gt;=1000000),SUMIFS($D$245:$D$595,$F$245:$F$595,0,$E$245:$E$595,$G343)*$C$157 ,0)</f>
        <v/>
      </c>
      <c r="AC343" s="95">
        <f>IF(AND(SUMIFS($D$245:$D$595,$F$245:$F$595,0,$E$245:$E$595,$G343,$C$245:$C$595,"&lt;="&amp;AA$5)&lt;1000000,SUMIFS($D$245:$D$595,$F$245:$F$595,0,$E$245:$E$595,$G343,$C$245:$C$595,"&lt;="&amp;AC5)&gt;=1000000),SUMIFS($D$245:$D$595,$F$245:$F$595,0,$E$245:$E$595,$G343)*$C$157 ,0)</f>
        <v/>
      </c>
      <c r="AE343" s="95">
        <f>IF(AND(SUMIFS($D$245:$D$595,$F$245:$F$595,0,$E$245:$E$595,$G343,$C$245:$C$595,"&lt;="&amp;AC$5)&lt;1000000,SUMIFS($D$245:$D$595,$F$245:$F$595,0,$E$245:$E$595,$G343,$C$245:$C$595,"&lt;="&amp;AE5)&gt;=1000000),SUMIFS($D$245:$D$595,$F$245:$F$595,0,$E$245:$E$595,$G343)*$C$157 ,0)</f>
        <v/>
      </c>
      <c r="AF343" s="19" t="n"/>
    </row>
    <row r="344">
      <c r="A344" s="20">
        <f>mid(E344, 3, 1)</f>
        <v/>
      </c>
      <c r="B344" s="14" t="inlineStr"/>
      <c r="C344" s="21">
        <f>SUMIFS('Investor Exit List'!$AC:$AC,'Investor Exit List'!$AB:$AB,B344)</f>
        <v/>
      </c>
      <c r="D344" s="14">
        <f>SUMIFS('Investor Exit List'!$Q:$Q,'Investor Exit List'!$AB:$AB,B344)</f>
        <v/>
      </c>
      <c r="E344" s="31">
        <f>LEFT(B344,6)</f>
        <v/>
      </c>
      <c r="F344" s="14">
        <f>IF(SUMIFS($E$119:$E$151,$D$119:$D$151,E344)&lt;&gt;0,E344,0)</f>
        <v/>
      </c>
      <c r="G344" s="59" t="n"/>
      <c r="I344" s="28">
        <f>IF(AND(SUMIFS($D$245:$D$595,$F$245:$F$595,0,$E$245:$E$595,$G344,$C$245:$C$595,"&lt;="&amp;B$2)&lt;1000000,SUMIFS($D$245:$D$595,$F$245:$F$595,0,$E$245:$E$595,$G344,$C$245:$C$595,"&lt;="&amp;I5)&gt;=1000000),SUMIFS($D$245:$D$595,$F$245:$F$595,0,$E$245:$E$595,$G344)*$C$157 ,0)</f>
        <v/>
      </c>
      <c r="K344" s="95">
        <f>IF(AND(SUMIFS($D$245:$D$595,$F$245:$F$595,0,$E$245:$E$595,$G344,$C$245:$C$595,"&lt;="&amp;I$5)&lt;1000000,SUMIFS($D$245:$D$595,$F$245:$F$595,0,$E$245:$E$595,$G344,$C$245:$C$595,"&lt;="&amp;K5)&gt;=1000000),SUMIFS($D$245:$D$595,$F$245:$F$595,0,$E$245:$E$595,$G344)*$C$157 ,0)</f>
        <v/>
      </c>
      <c r="M344" s="95">
        <f>IF(AND(SUMIFS($D$245:$D$595,$F$245:$F$595,0,$E$245:$E$595,$G344,$C$245:$C$595,"&lt;="&amp;K$5)&lt;1000000,SUMIFS($D$245:$D$595,$F$245:$F$595,0,$E$245:$E$595,$G344,$C$245:$C$595,"&lt;="&amp;M5)&gt;=1000000),SUMIFS($D$245:$D$595,$F$245:$F$595,0,$E$245:$E$595,$G344)*$C$157 ,0)</f>
        <v/>
      </c>
      <c r="O344" s="95">
        <f>IF(AND(SUMIFS($D$245:$D$595,$F$245:$F$595,0,$E$245:$E$595,$G344,$C$245:$C$595,"&lt;="&amp;M$5)&lt;1000000,SUMIFS($D$245:$D$595,$F$245:$F$595,0,$E$245:$E$595,$G344,$C$245:$C$595,"&lt;="&amp;O5)&gt;=1000000),SUMIFS($D$245:$D$595,$F$245:$F$595,0,$E$245:$E$595,$G344)*$C$157 ,0)</f>
        <v/>
      </c>
      <c r="Q344" s="95">
        <f>IF(AND(SUMIFS($D$245:$D$595,$F$245:$F$595,0,$E$245:$E$595,$G344,$C$245:$C$595,"&lt;="&amp;O$5)&lt;1000000,SUMIFS($D$245:$D$595,$F$245:$F$595,0,$E$245:$E$595,$G344,$C$245:$C$595,"&lt;="&amp;Q5)&gt;=1000000),SUMIFS($D$245:$D$595,$F$245:$F$595,0,$E$245:$E$595,$G344)*$C$157 ,0)</f>
        <v/>
      </c>
      <c r="S344" s="95">
        <f>IF(AND(SUMIFS($D$245:$D$595,$F$245:$F$595,0,$E$245:$E$595,$G344,$C$245:$C$595,"&lt;="&amp;Q$5)&lt;1000000,SUMIFS($D$245:$D$595,$F$245:$F$595,0,$E$245:$E$595,$G344,$C$245:$C$595,"&lt;="&amp;S5)&gt;=1000000),SUMIFS($D$245:$D$595,$F$245:$F$595,0,$E$245:$E$595,$G344)*$C$157 ,0)</f>
        <v/>
      </c>
      <c r="U344" s="95">
        <f>IF(AND(SUMIFS($D$245:$D$595,$F$245:$F$595,0,$E$245:$E$595,$G344,$C$245:$C$595,"&lt;="&amp;S$5)&lt;1000000,SUMIFS($D$245:$D$595,$F$245:$F$595,0,$E$245:$E$595,$G344,$C$245:$C$595,"&lt;="&amp;U5)&gt;=1000000),SUMIFS($D$245:$D$595,$F$245:$F$595,0,$E$245:$E$595,$G344)*$C$157 ,0)</f>
        <v/>
      </c>
      <c r="W344" s="95">
        <f>IF(AND(SUMIFS($D$245:$D$595,$F$245:$F$595,0,$E$245:$E$595,$G344,$C$245:$C$595,"&lt;="&amp;U$5)&lt;1000000,SUMIFS($D$245:$D$595,$F$245:$F$595,0,$E$245:$E$595,$G344,$C$245:$C$595,"&lt;="&amp;W5)&gt;=1000000),SUMIFS($D$245:$D$595,$F$245:$F$595,0,$E$245:$E$595,$G344)*$C$157 ,0)</f>
        <v/>
      </c>
      <c r="Y344" s="95">
        <f>IF(AND(SUMIFS($D$245:$D$595,$F$245:$F$595,0,$E$245:$E$595,$G344,$C$245:$C$595,"&lt;="&amp;W$5)&lt;1000000,SUMIFS($D$245:$D$595,$F$245:$F$595,0,$E$245:$E$595,$G344,$C$245:$C$595,"&lt;="&amp;Y5)&gt;=1000000),SUMIFS($D$245:$D$595,$F$245:$F$595,0,$E$245:$E$595,$G344)*$C$157 ,0)</f>
        <v/>
      </c>
      <c r="AA344" s="95">
        <f>IF(AND(SUMIFS($D$245:$D$595,$F$245:$F$595,0,$E$245:$E$595,$G344,$C$245:$C$595,"&lt;="&amp;Y$5)&lt;1000000,SUMIFS($D$245:$D$595,$F$245:$F$595,0,$E$245:$E$595,$G344,$C$245:$C$595,"&lt;="&amp;AA5)&gt;=1000000),SUMIFS($D$245:$D$595,$F$245:$F$595,0,$E$245:$E$595,$G344)*$C$157 ,0)</f>
        <v/>
      </c>
      <c r="AC344" s="95">
        <f>IF(AND(SUMIFS($D$245:$D$595,$F$245:$F$595,0,$E$245:$E$595,$G344,$C$245:$C$595,"&lt;="&amp;AA$5)&lt;1000000,SUMIFS($D$245:$D$595,$F$245:$F$595,0,$E$245:$E$595,$G344,$C$245:$C$595,"&lt;="&amp;AC5)&gt;=1000000),SUMIFS($D$245:$D$595,$F$245:$F$595,0,$E$245:$E$595,$G344)*$C$157 ,0)</f>
        <v/>
      </c>
      <c r="AE344" s="95">
        <f>IF(AND(SUMIFS($D$245:$D$595,$F$245:$F$595,0,$E$245:$E$595,$G344,$C$245:$C$595,"&lt;="&amp;AC$5)&lt;1000000,SUMIFS($D$245:$D$595,$F$245:$F$595,0,$E$245:$E$595,$G344,$C$245:$C$595,"&lt;="&amp;AE5)&gt;=1000000),SUMIFS($D$245:$D$595,$F$245:$F$595,0,$E$245:$E$595,$G344)*$C$157 ,0)</f>
        <v/>
      </c>
      <c r="AF344" s="19" t="n"/>
    </row>
    <row r="345">
      <c r="A345" s="20">
        <f>mid(E345, 3, 1)</f>
        <v/>
      </c>
      <c r="B345" s="14" t="inlineStr"/>
      <c r="C345" s="21">
        <f>SUMIFS('Investor Exit List'!$AC:$AC,'Investor Exit List'!$AB:$AB,B345)</f>
        <v/>
      </c>
      <c r="D345" s="14">
        <f>SUMIFS('Investor Exit List'!$Q:$Q,'Investor Exit List'!$AB:$AB,B345)</f>
        <v/>
      </c>
      <c r="E345" s="31">
        <f>LEFT(B345,6)</f>
        <v/>
      </c>
      <c r="F345" s="14">
        <f>IF(SUMIFS($E$119:$E$151,$D$119:$D$151,E345)&lt;&gt;0,E345,0)</f>
        <v/>
      </c>
      <c r="G345" s="59" t="n"/>
      <c r="I345" s="28">
        <f>IF(AND(SUMIFS($D$245:$D$595,$F$245:$F$595,0,$E$245:$E$595,$G345,$C$245:$C$595,"&lt;="&amp;B$2)&lt;1000000,SUMIFS($D$245:$D$595,$F$245:$F$595,0,$E$245:$E$595,$G345,$C$245:$C$595,"&lt;="&amp;I5)&gt;=1000000),SUMIFS($D$245:$D$595,$F$245:$F$595,0,$E$245:$E$595,$G345)*$C$157 ,0)</f>
        <v/>
      </c>
      <c r="K345" s="95">
        <f>IF(AND(SUMIFS($D$245:$D$595,$F$245:$F$595,0,$E$245:$E$595,$G345,$C$245:$C$595,"&lt;="&amp;I$5)&lt;1000000,SUMIFS($D$245:$D$595,$F$245:$F$595,0,$E$245:$E$595,$G345,$C$245:$C$595,"&lt;="&amp;K5)&gt;=1000000),SUMIFS($D$245:$D$595,$F$245:$F$595,0,$E$245:$E$595,$G345)*$C$157 ,0)</f>
        <v/>
      </c>
      <c r="M345" s="95">
        <f>IF(AND(SUMIFS($D$245:$D$595,$F$245:$F$595,0,$E$245:$E$595,$G345,$C$245:$C$595,"&lt;="&amp;K$5)&lt;1000000,SUMIFS($D$245:$D$595,$F$245:$F$595,0,$E$245:$E$595,$G345,$C$245:$C$595,"&lt;="&amp;M5)&gt;=1000000),SUMIFS($D$245:$D$595,$F$245:$F$595,0,$E$245:$E$595,$G345)*$C$157 ,0)</f>
        <v/>
      </c>
      <c r="O345" s="95">
        <f>IF(AND(SUMIFS($D$245:$D$595,$F$245:$F$595,0,$E$245:$E$595,$G345,$C$245:$C$595,"&lt;="&amp;M$5)&lt;1000000,SUMIFS($D$245:$D$595,$F$245:$F$595,0,$E$245:$E$595,$G345,$C$245:$C$595,"&lt;="&amp;O5)&gt;=1000000),SUMIFS($D$245:$D$595,$F$245:$F$595,0,$E$245:$E$595,$G345)*$C$157 ,0)</f>
        <v/>
      </c>
      <c r="Q345" s="95">
        <f>IF(AND(SUMIFS($D$245:$D$595,$F$245:$F$595,0,$E$245:$E$595,$G345,$C$245:$C$595,"&lt;="&amp;O$5)&lt;1000000,SUMIFS($D$245:$D$595,$F$245:$F$595,0,$E$245:$E$595,$G345,$C$245:$C$595,"&lt;="&amp;Q5)&gt;=1000000),SUMIFS($D$245:$D$595,$F$245:$F$595,0,$E$245:$E$595,$G345)*$C$157 ,0)</f>
        <v/>
      </c>
      <c r="S345" s="95">
        <f>IF(AND(SUMIFS($D$245:$D$595,$F$245:$F$595,0,$E$245:$E$595,$G345,$C$245:$C$595,"&lt;="&amp;Q$5)&lt;1000000,SUMIFS($D$245:$D$595,$F$245:$F$595,0,$E$245:$E$595,$G345,$C$245:$C$595,"&lt;="&amp;S5)&gt;=1000000),SUMIFS($D$245:$D$595,$F$245:$F$595,0,$E$245:$E$595,$G345)*$C$157 ,0)</f>
        <v/>
      </c>
      <c r="U345" s="95">
        <f>IF(AND(SUMIFS($D$245:$D$595,$F$245:$F$595,0,$E$245:$E$595,$G345,$C$245:$C$595,"&lt;="&amp;S$5)&lt;1000000,SUMIFS($D$245:$D$595,$F$245:$F$595,0,$E$245:$E$595,$G345,$C$245:$C$595,"&lt;="&amp;U5)&gt;=1000000),SUMIFS($D$245:$D$595,$F$245:$F$595,0,$E$245:$E$595,$G345)*$C$157 ,0)</f>
        <v/>
      </c>
      <c r="W345" s="95">
        <f>IF(AND(SUMIFS($D$245:$D$595,$F$245:$F$595,0,$E$245:$E$595,$G345,$C$245:$C$595,"&lt;="&amp;U$5)&lt;1000000,SUMIFS($D$245:$D$595,$F$245:$F$595,0,$E$245:$E$595,$G345,$C$245:$C$595,"&lt;="&amp;W5)&gt;=1000000),SUMIFS($D$245:$D$595,$F$245:$F$595,0,$E$245:$E$595,$G345)*$C$157 ,0)</f>
        <v/>
      </c>
      <c r="Y345" s="95">
        <f>IF(AND(SUMIFS($D$245:$D$595,$F$245:$F$595,0,$E$245:$E$595,$G345,$C$245:$C$595,"&lt;="&amp;W$5)&lt;1000000,SUMIFS($D$245:$D$595,$F$245:$F$595,0,$E$245:$E$595,$G345,$C$245:$C$595,"&lt;="&amp;Y5)&gt;=1000000),SUMIFS($D$245:$D$595,$F$245:$F$595,0,$E$245:$E$595,$G345)*$C$157 ,0)</f>
        <v/>
      </c>
      <c r="AA345" s="95">
        <f>IF(AND(SUMIFS($D$245:$D$595,$F$245:$F$595,0,$E$245:$E$595,$G345,$C$245:$C$595,"&lt;="&amp;Y$5)&lt;1000000,SUMIFS($D$245:$D$595,$F$245:$F$595,0,$E$245:$E$595,$G345,$C$245:$C$595,"&lt;="&amp;AA5)&gt;=1000000),SUMIFS($D$245:$D$595,$F$245:$F$595,0,$E$245:$E$595,$G345)*$C$157 ,0)</f>
        <v/>
      </c>
      <c r="AC345" s="95">
        <f>IF(AND(SUMIFS($D$245:$D$595,$F$245:$F$595,0,$E$245:$E$595,$G345,$C$245:$C$595,"&lt;="&amp;AA$5)&lt;1000000,SUMIFS($D$245:$D$595,$F$245:$F$595,0,$E$245:$E$595,$G345,$C$245:$C$595,"&lt;="&amp;AC5)&gt;=1000000),SUMIFS($D$245:$D$595,$F$245:$F$595,0,$E$245:$E$595,$G345)*$C$157 ,0)</f>
        <v/>
      </c>
      <c r="AE345" s="95">
        <f>IF(AND(SUMIFS($D$245:$D$595,$F$245:$F$595,0,$E$245:$E$595,$G345,$C$245:$C$595,"&lt;="&amp;AC$5)&lt;1000000,SUMIFS($D$245:$D$595,$F$245:$F$595,0,$E$245:$E$595,$G345,$C$245:$C$595,"&lt;="&amp;AE5)&gt;=1000000),SUMIFS($D$245:$D$595,$F$245:$F$595,0,$E$245:$E$595,$G345)*$C$157 ,0)</f>
        <v/>
      </c>
      <c r="AF345" s="19" t="n"/>
    </row>
    <row r="346">
      <c r="A346" s="20">
        <f>mid(E346, 3, 1)</f>
        <v/>
      </c>
      <c r="B346" s="14" t="inlineStr"/>
      <c r="C346" s="21">
        <f>SUMIFS('Investor Exit List'!$AC:$AC,'Investor Exit List'!$AB:$AB,B346)</f>
        <v/>
      </c>
      <c r="D346" s="14">
        <f>SUMIFS('Investor Exit List'!$Q:$Q,'Investor Exit List'!$AB:$AB,B346)</f>
        <v/>
      </c>
      <c r="E346" s="31">
        <f>LEFT(B346,6)</f>
        <v/>
      </c>
      <c r="F346" s="14">
        <f>IF(SUMIFS($E$119:$E$151,$D$119:$D$151,E346)&lt;&gt;0,E346,0)</f>
        <v/>
      </c>
      <c r="G346" s="59" t="n"/>
      <c r="I346" s="28">
        <f>IF(AND(SUMIFS($D$245:$D$595,$F$245:$F$595,0,$E$245:$E$595,$G346,$C$245:$C$595,"&lt;="&amp;B$2)&lt;1000000,SUMIFS($D$245:$D$595,$F$245:$F$595,0,$E$245:$E$595,$G346,$C$245:$C$595,"&lt;="&amp;I5)&gt;=1000000),SUMIFS($D$245:$D$595,$F$245:$F$595,0,$E$245:$E$595,$G346)*$C$157 ,0)</f>
        <v/>
      </c>
      <c r="K346" s="95">
        <f>IF(AND(SUMIFS($D$245:$D$595,$F$245:$F$595,0,$E$245:$E$595,$G346,$C$245:$C$595,"&lt;="&amp;I$5)&lt;1000000,SUMIFS($D$245:$D$595,$F$245:$F$595,0,$E$245:$E$595,$G346,$C$245:$C$595,"&lt;="&amp;K5)&gt;=1000000),SUMIFS($D$245:$D$595,$F$245:$F$595,0,$E$245:$E$595,$G346)*$C$157 ,0)</f>
        <v/>
      </c>
      <c r="M346" s="95">
        <f>IF(AND(SUMIFS($D$245:$D$595,$F$245:$F$595,0,$E$245:$E$595,$G346,$C$245:$C$595,"&lt;="&amp;K$5)&lt;1000000,SUMIFS($D$245:$D$595,$F$245:$F$595,0,$E$245:$E$595,$G346,$C$245:$C$595,"&lt;="&amp;M5)&gt;=1000000),SUMIFS($D$245:$D$595,$F$245:$F$595,0,$E$245:$E$595,$G346)*$C$157 ,0)</f>
        <v/>
      </c>
      <c r="O346" s="95">
        <f>IF(AND(SUMIFS($D$245:$D$595,$F$245:$F$595,0,$E$245:$E$595,$G346,$C$245:$C$595,"&lt;="&amp;M$5)&lt;1000000,SUMIFS($D$245:$D$595,$F$245:$F$595,0,$E$245:$E$595,$G346,$C$245:$C$595,"&lt;="&amp;O5)&gt;=1000000),SUMIFS($D$245:$D$595,$F$245:$F$595,0,$E$245:$E$595,$G346)*$C$157 ,0)</f>
        <v/>
      </c>
      <c r="Q346" s="95">
        <f>IF(AND(SUMIFS($D$245:$D$595,$F$245:$F$595,0,$E$245:$E$595,$G346,$C$245:$C$595,"&lt;="&amp;O$5)&lt;1000000,SUMIFS($D$245:$D$595,$F$245:$F$595,0,$E$245:$E$595,$G346,$C$245:$C$595,"&lt;="&amp;Q5)&gt;=1000000),SUMIFS($D$245:$D$595,$F$245:$F$595,0,$E$245:$E$595,$G346)*$C$157 ,0)</f>
        <v/>
      </c>
      <c r="S346" s="95">
        <f>IF(AND(SUMIFS($D$245:$D$595,$F$245:$F$595,0,$E$245:$E$595,$G346,$C$245:$C$595,"&lt;="&amp;Q$5)&lt;1000000,SUMIFS($D$245:$D$595,$F$245:$F$595,0,$E$245:$E$595,$G346,$C$245:$C$595,"&lt;="&amp;S5)&gt;=1000000),SUMIFS($D$245:$D$595,$F$245:$F$595,0,$E$245:$E$595,$G346)*$C$157 ,0)</f>
        <v/>
      </c>
      <c r="U346" s="95">
        <f>IF(AND(SUMIFS($D$245:$D$595,$F$245:$F$595,0,$E$245:$E$595,$G346,$C$245:$C$595,"&lt;="&amp;S$5)&lt;1000000,SUMIFS($D$245:$D$595,$F$245:$F$595,0,$E$245:$E$595,$G346,$C$245:$C$595,"&lt;="&amp;U5)&gt;=1000000),SUMIFS($D$245:$D$595,$F$245:$F$595,0,$E$245:$E$595,$G346)*$C$157 ,0)</f>
        <v/>
      </c>
      <c r="W346" s="95">
        <f>IF(AND(SUMIFS($D$245:$D$595,$F$245:$F$595,0,$E$245:$E$595,$G346,$C$245:$C$595,"&lt;="&amp;U$5)&lt;1000000,SUMIFS($D$245:$D$595,$F$245:$F$595,0,$E$245:$E$595,$G346,$C$245:$C$595,"&lt;="&amp;W5)&gt;=1000000),SUMIFS($D$245:$D$595,$F$245:$F$595,0,$E$245:$E$595,$G346)*$C$157 ,0)</f>
        <v/>
      </c>
      <c r="Y346" s="95">
        <f>IF(AND(SUMIFS($D$245:$D$595,$F$245:$F$595,0,$E$245:$E$595,$G346,$C$245:$C$595,"&lt;="&amp;W$5)&lt;1000000,SUMIFS($D$245:$D$595,$F$245:$F$595,0,$E$245:$E$595,$G346,$C$245:$C$595,"&lt;="&amp;Y5)&gt;=1000000),SUMIFS($D$245:$D$595,$F$245:$F$595,0,$E$245:$E$595,$G346)*$C$157 ,0)</f>
        <v/>
      </c>
      <c r="AA346" s="95">
        <f>IF(AND(SUMIFS($D$245:$D$595,$F$245:$F$595,0,$E$245:$E$595,$G346,$C$245:$C$595,"&lt;="&amp;Y$5)&lt;1000000,SUMIFS($D$245:$D$595,$F$245:$F$595,0,$E$245:$E$595,$G346,$C$245:$C$595,"&lt;="&amp;AA5)&gt;=1000000),SUMIFS($D$245:$D$595,$F$245:$F$595,0,$E$245:$E$595,$G346)*$C$157 ,0)</f>
        <v/>
      </c>
      <c r="AC346" s="95">
        <f>IF(AND(SUMIFS($D$245:$D$595,$F$245:$F$595,0,$E$245:$E$595,$G346,$C$245:$C$595,"&lt;="&amp;AA$5)&lt;1000000,SUMIFS($D$245:$D$595,$F$245:$F$595,0,$E$245:$E$595,$G346,$C$245:$C$595,"&lt;="&amp;AC5)&gt;=1000000),SUMIFS($D$245:$D$595,$F$245:$F$595,0,$E$245:$E$595,$G346)*$C$157 ,0)</f>
        <v/>
      </c>
      <c r="AE346" s="95">
        <f>IF(AND(SUMIFS($D$245:$D$595,$F$245:$F$595,0,$E$245:$E$595,$G346,$C$245:$C$595,"&lt;="&amp;AC$5)&lt;1000000,SUMIFS($D$245:$D$595,$F$245:$F$595,0,$E$245:$E$595,$G346,$C$245:$C$595,"&lt;="&amp;AE5)&gt;=1000000),SUMIFS($D$245:$D$595,$F$245:$F$595,0,$E$245:$E$595,$G346)*$C$157 ,0)</f>
        <v/>
      </c>
      <c r="AF346" s="19" t="n"/>
    </row>
    <row r="347">
      <c r="A347" s="20">
        <f>mid(E347, 3, 1)</f>
        <v/>
      </c>
      <c r="B347" s="14" t="inlineStr"/>
      <c r="C347" s="21">
        <f>SUMIFS('Investor Exit List'!$AC:$AC,'Investor Exit List'!$AB:$AB,B347)</f>
        <v/>
      </c>
      <c r="D347" s="14">
        <f>SUMIFS('Investor Exit List'!$Q:$Q,'Investor Exit List'!$AB:$AB,B347)</f>
        <v/>
      </c>
      <c r="E347" s="31">
        <f>LEFT(B347,6)</f>
        <v/>
      </c>
      <c r="F347" s="14">
        <f>IF(SUMIFS($E$119:$E$151,$D$119:$D$151,E347)&lt;&gt;0,E347,0)</f>
        <v/>
      </c>
      <c r="G347" s="59" t="n"/>
      <c r="I347" s="28">
        <f>IF(AND(SUMIFS($D$245:$D$595,$F$245:$F$595,0,$E$245:$E$595,$G347,$C$245:$C$595,"&lt;="&amp;B$2)&lt;1000000,SUMIFS($D$245:$D$595,$F$245:$F$595,0,$E$245:$E$595,$G347,$C$245:$C$595,"&lt;="&amp;I5)&gt;=1000000),SUMIFS($D$245:$D$595,$F$245:$F$595,0,$E$245:$E$595,$G347)*$C$157 ,0)</f>
        <v/>
      </c>
      <c r="K347" s="95">
        <f>IF(AND(SUMIFS($D$245:$D$595,$F$245:$F$595,0,$E$245:$E$595,$G347,$C$245:$C$595,"&lt;="&amp;I$5)&lt;1000000,SUMIFS($D$245:$D$595,$F$245:$F$595,0,$E$245:$E$595,$G347,$C$245:$C$595,"&lt;="&amp;K5)&gt;=1000000),SUMIFS($D$245:$D$595,$F$245:$F$595,0,$E$245:$E$595,$G347)*$C$157 ,0)</f>
        <v/>
      </c>
      <c r="M347" s="95">
        <f>IF(AND(SUMIFS($D$245:$D$595,$F$245:$F$595,0,$E$245:$E$595,$G347,$C$245:$C$595,"&lt;="&amp;K$5)&lt;1000000,SUMIFS($D$245:$D$595,$F$245:$F$595,0,$E$245:$E$595,$G347,$C$245:$C$595,"&lt;="&amp;M5)&gt;=1000000),SUMIFS($D$245:$D$595,$F$245:$F$595,0,$E$245:$E$595,$G347)*$C$157 ,0)</f>
        <v/>
      </c>
      <c r="O347" s="95">
        <f>IF(AND(SUMIFS($D$245:$D$595,$F$245:$F$595,0,$E$245:$E$595,$G347,$C$245:$C$595,"&lt;="&amp;M$5)&lt;1000000,SUMIFS($D$245:$D$595,$F$245:$F$595,0,$E$245:$E$595,$G347,$C$245:$C$595,"&lt;="&amp;O5)&gt;=1000000),SUMIFS($D$245:$D$595,$F$245:$F$595,0,$E$245:$E$595,$G347)*$C$157 ,0)</f>
        <v/>
      </c>
      <c r="Q347" s="95">
        <f>IF(AND(SUMIFS($D$245:$D$595,$F$245:$F$595,0,$E$245:$E$595,$G347,$C$245:$C$595,"&lt;="&amp;O$5)&lt;1000000,SUMIFS($D$245:$D$595,$F$245:$F$595,0,$E$245:$E$595,$G347,$C$245:$C$595,"&lt;="&amp;Q5)&gt;=1000000),SUMIFS($D$245:$D$595,$F$245:$F$595,0,$E$245:$E$595,$G347)*$C$157 ,0)</f>
        <v/>
      </c>
      <c r="S347" s="95">
        <f>IF(AND(SUMIFS($D$245:$D$595,$F$245:$F$595,0,$E$245:$E$595,$G347,$C$245:$C$595,"&lt;="&amp;Q$5)&lt;1000000,SUMIFS($D$245:$D$595,$F$245:$F$595,0,$E$245:$E$595,$G347,$C$245:$C$595,"&lt;="&amp;S5)&gt;=1000000),SUMIFS($D$245:$D$595,$F$245:$F$595,0,$E$245:$E$595,$G347)*$C$157 ,0)</f>
        <v/>
      </c>
      <c r="U347" s="95">
        <f>IF(AND(SUMIFS($D$245:$D$595,$F$245:$F$595,0,$E$245:$E$595,$G347,$C$245:$C$595,"&lt;="&amp;S$5)&lt;1000000,SUMIFS($D$245:$D$595,$F$245:$F$595,0,$E$245:$E$595,$G347,$C$245:$C$595,"&lt;="&amp;U5)&gt;=1000000),SUMIFS($D$245:$D$595,$F$245:$F$595,0,$E$245:$E$595,$G347)*$C$157 ,0)</f>
        <v/>
      </c>
      <c r="W347" s="95">
        <f>IF(AND(SUMIFS($D$245:$D$595,$F$245:$F$595,0,$E$245:$E$595,$G347,$C$245:$C$595,"&lt;="&amp;U$5)&lt;1000000,SUMIFS($D$245:$D$595,$F$245:$F$595,0,$E$245:$E$595,$G347,$C$245:$C$595,"&lt;="&amp;W5)&gt;=1000000),SUMIFS($D$245:$D$595,$F$245:$F$595,0,$E$245:$E$595,$G347)*$C$157 ,0)</f>
        <v/>
      </c>
      <c r="Y347" s="95">
        <f>IF(AND(SUMIFS($D$245:$D$595,$F$245:$F$595,0,$E$245:$E$595,$G347,$C$245:$C$595,"&lt;="&amp;W$5)&lt;1000000,SUMIFS($D$245:$D$595,$F$245:$F$595,0,$E$245:$E$595,$G347,$C$245:$C$595,"&lt;="&amp;Y5)&gt;=1000000),SUMIFS($D$245:$D$595,$F$245:$F$595,0,$E$245:$E$595,$G347)*$C$157 ,0)</f>
        <v/>
      </c>
      <c r="AA347" s="95">
        <f>IF(AND(SUMIFS($D$245:$D$595,$F$245:$F$595,0,$E$245:$E$595,$G347,$C$245:$C$595,"&lt;="&amp;Y$5)&lt;1000000,SUMIFS($D$245:$D$595,$F$245:$F$595,0,$E$245:$E$595,$G347,$C$245:$C$595,"&lt;="&amp;AA5)&gt;=1000000),SUMIFS($D$245:$D$595,$F$245:$F$595,0,$E$245:$E$595,$G347)*$C$157 ,0)</f>
        <v/>
      </c>
      <c r="AC347" s="95">
        <f>IF(AND(SUMIFS($D$245:$D$595,$F$245:$F$595,0,$E$245:$E$595,$G347,$C$245:$C$595,"&lt;="&amp;AA$5)&lt;1000000,SUMIFS($D$245:$D$595,$F$245:$F$595,0,$E$245:$E$595,$G347,$C$245:$C$595,"&lt;="&amp;AC5)&gt;=1000000),SUMIFS($D$245:$D$595,$F$245:$F$595,0,$E$245:$E$595,$G347)*$C$157 ,0)</f>
        <v/>
      </c>
      <c r="AE347" s="95">
        <f>IF(AND(SUMIFS($D$245:$D$595,$F$245:$F$595,0,$E$245:$E$595,$G347,$C$245:$C$595,"&lt;="&amp;AC$5)&lt;1000000,SUMIFS($D$245:$D$595,$F$245:$F$595,0,$E$245:$E$595,$G347,$C$245:$C$595,"&lt;="&amp;AE5)&gt;=1000000),SUMIFS($D$245:$D$595,$F$245:$F$595,0,$E$245:$E$595,$G347)*$C$157 ,0)</f>
        <v/>
      </c>
      <c r="AF347" s="19" t="n"/>
    </row>
    <row r="348">
      <c r="A348" s="20">
        <f>mid(E348, 3, 1)</f>
        <v/>
      </c>
      <c r="B348" s="14" t="inlineStr"/>
      <c r="C348" s="21">
        <f>SUMIFS('Investor Exit List'!$AC:$AC,'Investor Exit List'!$AB:$AB,B348)</f>
        <v/>
      </c>
      <c r="D348" s="14">
        <f>SUMIFS('Investor Exit List'!$Q:$Q,'Investor Exit List'!$AB:$AB,B348)</f>
        <v/>
      </c>
      <c r="E348" s="31">
        <f>LEFT(B348,6)</f>
        <v/>
      </c>
      <c r="F348" s="14">
        <f>IF(SUMIFS($E$119:$E$151,$D$119:$D$151,E348)&lt;&gt;0,E348,0)</f>
        <v/>
      </c>
      <c r="G348" s="59" t="n"/>
      <c r="I348" s="28">
        <f>IF(AND(SUMIFS($D$245:$D$595,$F$245:$F$595,0,$E$245:$E$595,$G348,$C$245:$C$595,"&lt;="&amp;B$2)&lt;1000000,SUMIFS($D$245:$D$595,$F$245:$F$595,0,$E$245:$E$595,$G348,$C$245:$C$595,"&lt;="&amp;I5)&gt;=1000000),SUMIFS($D$245:$D$595,$F$245:$F$595,0,$E$245:$E$595,$G348)*$C$157 ,0)</f>
        <v/>
      </c>
      <c r="K348" s="95">
        <f>IF(AND(SUMIFS($D$245:$D$595,$F$245:$F$595,0,$E$245:$E$595,$G348,$C$245:$C$595,"&lt;="&amp;I$5)&lt;1000000,SUMIFS($D$245:$D$595,$F$245:$F$595,0,$E$245:$E$595,$G348,$C$245:$C$595,"&lt;="&amp;K5)&gt;=1000000),SUMIFS($D$245:$D$595,$F$245:$F$595,0,$E$245:$E$595,$G348)*$C$157 ,0)</f>
        <v/>
      </c>
      <c r="M348" s="95">
        <f>IF(AND(SUMIFS($D$245:$D$595,$F$245:$F$595,0,$E$245:$E$595,$G348,$C$245:$C$595,"&lt;="&amp;K$5)&lt;1000000,SUMIFS($D$245:$D$595,$F$245:$F$595,0,$E$245:$E$595,$G348,$C$245:$C$595,"&lt;="&amp;M5)&gt;=1000000),SUMIFS($D$245:$D$595,$F$245:$F$595,0,$E$245:$E$595,$G348)*$C$157 ,0)</f>
        <v/>
      </c>
      <c r="O348" s="95">
        <f>IF(AND(SUMIFS($D$245:$D$595,$F$245:$F$595,0,$E$245:$E$595,$G348,$C$245:$C$595,"&lt;="&amp;M$5)&lt;1000000,SUMIFS($D$245:$D$595,$F$245:$F$595,0,$E$245:$E$595,$G348,$C$245:$C$595,"&lt;="&amp;O5)&gt;=1000000),SUMIFS($D$245:$D$595,$F$245:$F$595,0,$E$245:$E$595,$G348)*$C$157 ,0)</f>
        <v/>
      </c>
      <c r="Q348" s="95">
        <f>IF(AND(SUMIFS($D$245:$D$595,$F$245:$F$595,0,$E$245:$E$595,$G348,$C$245:$C$595,"&lt;="&amp;O$5)&lt;1000000,SUMIFS($D$245:$D$595,$F$245:$F$595,0,$E$245:$E$595,$G348,$C$245:$C$595,"&lt;="&amp;Q5)&gt;=1000000),SUMIFS($D$245:$D$595,$F$245:$F$595,0,$E$245:$E$595,$G348)*$C$157 ,0)</f>
        <v/>
      </c>
      <c r="S348" s="95">
        <f>IF(AND(SUMIFS($D$245:$D$595,$F$245:$F$595,0,$E$245:$E$595,$G348,$C$245:$C$595,"&lt;="&amp;Q$5)&lt;1000000,SUMIFS($D$245:$D$595,$F$245:$F$595,0,$E$245:$E$595,$G348,$C$245:$C$595,"&lt;="&amp;S5)&gt;=1000000),SUMIFS($D$245:$D$595,$F$245:$F$595,0,$E$245:$E$595,$G348)*$C$157 ,0)</f>
        <v/>
      </c>
      <c r="U348" s="95">
        <f>IF(AND(SUMIFS($D$245:$D$595,$F$245:$F$595,0,$E$245:$E$595,$G348,$C$245:$C$595,"&lt;="&amp;S$5)&lt;1000000,SUMIFS($D$245:$D$595,$F$245:$F$595,0,$E$245:$E$595,$G348,$C$245:$C$595,"&lt;="&amp;U5)&gt;=1000000),SUMIFS($D$245:$D$595,$F$245:$F$595,0,$E$245:$E$595,$G348)*$C$157 ,0)</f>
        <v/>
      </c>
      <c r="W348" s="95">
        <f>IF(AND(SUMIFS($D$245:$D$595,$F$245:$F$595,0,$E$245:$E$595,$G348,$C$245:$C$595,"&lt;="&amp;U$5)&lt;1000000,SUMIFS($D$245:$D$595,$F$245:$F$595,0,$E$245:$E$595,$G348,$C$245:$C$595,"&lt;="&amp;W5)&gt;=1000000),SUMIFS($D$245:$D$595,$F$245:$F$595,0,$E$245:$E$595,$G348)*$C$157 ,0)</f>
        <v/>
      </c>
      <c r="Y348" s="95">
        <f>IF(AND(SUMIFS($D$245:$D$595,$F$245:$F$595,0,$E$245:$E$595,$G348,$C$245:$C$595,"&lt;="&amp;W$5)&lt;1000000,SUMIFS($D$245:$D$595,$F$245:$F$595,0,$E$245:$E$595,$G348,$C$245:$C$595,"&lt;="&amp;Y5)&gt;=1000000),SUMIFS($D$245:$D$595,$F$245:$F$595,0,$E$245:$E$595,$G348)*$C$157 ,0)</f>
        <v/>
      </c>
      <c r="AA348" s="95">
        <f>IF(AND(SUMIFS($D$245:$D$595,$F$245:$F$595,0,$E$245:$E$595,$G348,$C$245:$C$595,"&lt;="&amp;Y$5)&lt;1000000,SUMIFS($D$245:$D$595,$F$245:$F$595,0,$E$245:$E$595,$G348,$C$245:$C$595,"&lt;="&amp;AA5)&gt;=1000000),SUMIFS($D$245:$D$595,$F$245:$F$595,0,$E$245:$E$595,$G348)*$C$157 ,0)</f>
        <v/>
      </c>
      <c r="AC348" s="95">
        <f>IF(AND(SUMIFS($D$245:$D$595,$F$245:$F$595,0,$E$245:$E$595,$G348,$C$245:$C$595,"&lt;="&amp;AA$5)&lt;1000000,SUMIFS($D$245:$D$595,$F$245:$F$595,0,$E$245:$E$595,$G348,$C$245:$C$595,"&lt;="&amp;AC5)&gt;=1000000),SUMIFS($D$245:$D$595,$F$245:$F$595,0,$E$245:$E$595,$G348)*$C$157 ,0)</f>
        <v/>
      </c>
      <c r="AE348" s="95">
        <f>IF(AND(SUMIFS($D$245:$D$595,$F$245:$F$595,0,$E$245:$E$595,$G348,$C$245:$C$595,"&lt;="&amp;AC$5)&lt;1000000,SUMIFS($D$245:$D$595,$F$245:$F$595,0,$E$245:$E$595,$G348,$C$245:$C$595,"&lt;="&amp;AE5)&gt;=1000000),SUMIFS($D$245:$D$595,$F$245:$F$595,0,$E$245:$E$595,$G348)*$C$157 ,0)</f>
        <v/>
      </c>
      <c r="AF348" s="19" t="n"/>
    </row>
    <row r="349">
      <c r="A349" s="20">
        <f>mid(E349, 3, 1)</f>
        <v/>
      </c>
      <c r="B349" s="14" t="inlineStr"/>
      <c r="C349" s="21">
        <f>SUMIFS('Investor Exit List'!$AC:$AC,'Investor Exit List'!$AB:$AB,B349)</f>
        <v/>
      </c>
      <c r="D349" s="14">
        <f>SUMIFS('Investor Exit List'!$Q:$Q,'Investor Exit List'!$AB:$AB,B349)</f>
        <v/>
      </c>
      <c r="E349" s="31">
        <f>LEFT(B349,6)</f>
        <v/>
      </c>
      <c r="F349" s="14">
        <f>IF(SUMIFS($E$119:$E$151,$D$119:$D$151,E349)&lt;&gt;0,E349,0)</f>
        <v/>
      </c>
      <c r="G349" s="59" t="n"/>
      <c r="I349" s="28">
        <f>IF(AND(SUMIFS($D$245:$D$595,$F$245:$F$595,0,$E$245:$E$595,$G349,$C$245:$C$595,"&lt;="&amp;B$2)&lt;1000000,SUMIFS($D$245:$D$595,$F$245:$F$595,0,$E$245:$E$595,$G349,$C$245:$C$595,"&lt;="&amp;I5)&gt;=1000000),SUMIFS($D$245:$D$595,$F$245:$F$595,0,$E$245:$E$595,$G349)*$C$157 ,0)</f>
        <v/>
      </c>
      <c r="K349" s="95">
        <f>IF(AND(SUMIFS($D$245:$D$595,$F$245:$F$595,0,$E$245:$E$595,$G349,$C$245:$C$595,"&lt;="&amp;I$5)&lt;1000000,SUMIFS($D$245:$D$595,$F$245:$F$595,0,$E$245:$E$595,$G349,$C$245:$C$595,"&lt;="&amp;K5)&gt;=1000000),SUMIFS($D$245:$D$595,$F$245:$F$595,0,$E$245:$E$595,$G349)*$C$157 ,0)</f>
        <v/>
      </c>
      <c r="M349" s="95">
        <f>IF(AND(SUMIFS($D$245:$D$595,$F$245:$F$595,0,$E$245:$E$595,$G349,$C$245:$C$595,"&lt;="&amp;K$5)&lt;1000000,SUMIFS($D$245:$D$595,$F$245:$F$595,0,$E$245:$E$595,$G349,$C$245:$C$595,"&lt;="&amp;M5)&gt;=1000000),SUMIFS($D$245:$D$595,$F$245:$F$595,0,$E$245:$E$595,$G349)*$C$157 ,0)</f>
        <v/>
      </c>
      <c r="O349" s="95">
        <f>IF(AND(SUMIFS($D$245:$D$595,$F$245:$F$595,0,$E$245:$E$595,$G349,$C$245:$C$595,"&lt;="&amp;M$5)&lt;1000000,SUMIFS($D$245:$D$595,$F$245:$F$595,0,$E$245:$E$595,$G349,$C$245:$C$595,"&lt;="&amp;O5)&gt;=1000000),SUMIFS($D$245:$D$595,$F$245:$F$595,0,$E$245:$E$595,$G349)*$C$157 ,0)</f>
        <v/>
      </c>
      <c r="Q349" s="95">
        <f>IF(AND(SUMIFS($D$245:$D$595,$F$245:$F$595,0,$E$245:$E$595,$G349,$C$245:$C$595,"&lt;="&amp;O$5)&lt;1000000,SUMIFS($D$245:$D$595,$F$245:$F$595,0,$E$245:$E$595,$G349,$C$245:$C$595,"&lt;="&amp;Q5)&gt;=1000000),SUMIFS($D$245:$D$595,$F$245:$F$595,0,$E$245:$E$595,$G349)*$C$157 ,0)</f>
        <v/>
      </c>
      <c r="S349" s="95">
        <f>IF(AND(SUMIFS($D$245:$D$595,$F$245:$F$595,0,$E$245:$E$595,$G349,$C$245:$C$595,"&lt;="&amp;Q$5)&lt;1000000,SUMIFS($D$245:$D$595,$F$245:$F$595,0,$E$245:$E$595,$G349,$C$245:$C$595,"&lt;="&amp;S5)&gt;=1000000),SUMIFS($D$245:$D$595,$F$245:$F$595,0,$E$245:$E$595,$G349)*$C$157 ,0)</f>
        <v/>
      </c>
      <c r="U349" s="95">
        <f>IF(AND(SUMIFS($D$245:$D$595,$F$245:$F$595,0,$E$245:$E$595,$G349,$C$245:$C$595,"&lt;="&amp;S$5)&lt;1000000,SUMIFS($D$245:$D$595,$F$245:$F$595,0,$E$245:$E$595,$G349,$C$245:$C$595,"&lt;="&amp;U5)&gt;=1000000),SUMIFS($D$245:$D$595,$F$245:$F$595,0,$E$245:$E$595,$G349)*$C$157 ,0)</f>
        <v/>
      </c>
      <c r="W349" s="95">
        <f>IF(AND(SUMIFS($D$245:$D$595,$F$245:$F$595,0,$E$245:$E$595,$G349,$C$245:$C$595,"&lt;="&amp;U$5)&lt;1000000,SUMIFS($D$245:$D$595,$F$245:$F$595,0,$E$245:$E$595,$G349,$C$245:$C$595,"&lt;="&amp;W5)&gt;=1000000),SUMIFS($D$245:$D$595,$F$245:$F$595,0,$E$245:$E$595,$G349)*$C$157 ,0)</f>
        <v/>
      </c>
      <c r="Y349" s="95">
        <f>IF(AND(SUMIFS($D$245:$D$595,$F$245:$F$595,0,$E$245:$E$595,$G349,$C$245:$C$595,"&lt;="&amp;W$5)&lt;1000000,SUMIFS($D$245:$D$595,$F$245:$F$595,0,$E$245:$E$595,$G349,$C$245:$C$595,"&lt;="&amp;Y5)&gt;=1000000),SUMIFS($D$245:$D$595,$F$245:$F$595,0,$E$245:$E$595,$G349)*$C$157 ,0)</f>
        <v/>
      </c>
      <c r="AA349" s="95">
        <f>IF(AND(SUMIFS($D$245:$D$595,$F$245:$F$595,0,$E$245:$E$595,$G349,$C$245:$C$595,"&lt;="&amp;Y$5)&lt;1000000,SUMIFS($D$245:$D$595,$F$245:$F$595,0,$E$245:$E$595,$G349,$C$245:$C$595,"&lt;="&amp;AA5)&gt;=1000000),SUMIFS($D$245:$D$595,$F$245:$F$595,0,$E$245:$E$595,$G349)*$C$157 ,0)</f>
        <v/>
      </c>
      <c r="AC349" s="95">
        <f>IF(AND(SUMIFS($D$245:$D$595,$F$245:$F$595,0,$E$245:$E$595,$G349,$C$245:$C$595,"&lt;="&amp;AA$5)&lt;1000000,SUMIFS($D$245:$D$595,$F$245:$F$595,0,$E$245:$E$595,$G349,$C$245:$C$595,"&lt;="&amp;AC5)&gt;=1000000),SUMIFS($D$245:$D$595,$F$245:$F$595,0,$E$245:$E$595,$G349)*$C$157 ,0)</f>
        <v/>
      </c>
      <c r="AE349" s="95">
        <f>IF(AND(SUMIFS($D$245:$D$595,$F$245:$F$595,0,$E$245:$E$595,$G349,$C$245:$C$595,"&lt;="&amp;AC$5)&lt;1000000,SUMIFS($D$245:$D$595,$F$245:$F$595,0,$E$245:$E$595,$G349,$C$245:$C$595,"&lt;="&amp;AE5)&gt;=1000000),SUMIFS($D$245:$D$595,$F$245:$F$595,0,$E$245:$E$595,$G349)*$C$157 ,0)</f>
        <v/>
      </c>
      <c r="AF349" s="19" t="n"/>
    </row>
    <row r="350">
      <c r="A350" s="20">
        <f>mid(E350, 3, 1)</f>
        <v/>
      </c>
      <c r="B350" s="14" t="inlineStr"/>
      <c r="C350" s="21">
        <f>SUMIFS('Investor Exit List'!$AC:$AC,'Investor Exit List'!$AB:$AB,B350)</f>
        <v/>
      </c>
      <c r="D350" s="14">
        <f>SUMIFS('Investor Exit List'!$Q:$Q,'Investor Exit List'!$AB:$AB,B350)</f>
        <v/>
      </c>
      <c r="E350" s="31">
        <f>LEFT(B350,6)</f>
        <v/>
      </c>
      <c r="F350" s="14">
        <f>IF(SUMIFS($E$119:$E$151,$D$119:$D$151,E350)&lt;&gt;0,E350,0)</f>
        <v/>
      </c>
      <c r="G350" s="59" t="n"/>
      <c r="I350" s="28">
        <f>IF(AND(SUMIFS($D$245:$D$595,$F$245:$F$595,0,$E$245:$E$595,$G350,$C$245:$C$595,"&lt;="&amp;B$2)&lt;1000000,SUMIFS($D$245:$D$595,$F$245:$F$595,0,$E$245:$E$595,$G350,$C$245:$C$595,"&lt;="&amp;I5)&gt;=1000000),SUMIFS($D$245:$D$595,$F$245:$F$595,0,$E$245:$E$595,$G350)*$C$157 ,0)</f>
        <v/>
      </c>
      <c r="K350" s="95">
        <f>IF(AND(SUMIFS($D$245:$D$595,$F$245:$F$595,0,$E$245:$E$595,$G350,$C$245:$C$595,"&lt;="&amp;I$5)&lt;1000000,SUMIFS($D$245:$D$595,$F$245:$F$595,0,$E$245:$E$595,$G350,$C$245:$C$595,"&lt;="&amp;K5)&gt;=1000000),SUMIFS($D$245:$D$595,$F$245:$F$595,0,$E$245:$E$595,$G350)*$C$157 ,0)</f>
        <v/>
      </c>
      <c r="M350" s="95">
        <f>IF(AND(SUMIFS($D$245:$D$595,$F$245:$F$595,0,$E$245:$E$595,$G350,$C$245:$C$595,"&lt;="&amp;K$5)&lt;1000000,SUMIFS($D$245:$D$595,$F$245:$F$595,0,$E$245:$E$595,$G350,$C$245:$C$595,"&lt;="&amp;M5)&gt;=1000000),SUMIFS($D$245:$D$595,$F$245:$F$595,0,$E$245:$E$595,$G350)*$C$157 ,0)</f>
        <v/>
      </c>
      <c r="O350" s="95">
        <f>IF(AND(SUMIFS($D$245:$D$595,$F$245:$F$595,0,$E$245:$E$595,$G350,$C$245:$C$595,"&lt;="&amp;M$5)&lt;1000000,SUMIFS($D$245:$D$595,$F$245:$F$595,0,$E$245:$E$595,$G350,$C$245:$C$595,"&lt;="&amp;O5)&gt;=1000000),SUMIFS($D$245:$D$595,$F$245:$F$595,0,$E$245:$E$595,$G350)*$C$157 ,0)</f>
        <v/>
      </c>
      <c r="Q350" s="95">
        <f>IF(AND(SUMIFS($D$245:$D$595,$F$245:$F$595,0,$E$245:$E$595,$G350,$C$245:$C$595,"&lt;="&amp;O$5)&lt;1000000,SUMIFS($D$245:$D$595,$F$245:$F$595,0,$E$245:$E$595,$G350,$C$245:$C$595,"&lt;="&amp;Q5)&gt;=1000000),SUMIFS($D$245:$D$595,$F$245:$F$595,0,$E$245:$E$595,$G350)*$C$157 ,0)</f>
        <v/>
      </c>
      <c r="S350" s="95">
        <f>IF(AND(SUMIFS($D$245:$D$595,$F$245:$F$595,0,$E$245:$E$595,$G350,$C$245:$C$595,"&lt;="&amp;Q$5)&lt;1000000,SUMIFS($D$245:$D$595,$F$245:$F$595,0,$E$245:$E$595,$G350,$C$245:$C$595,"&lt;="&amp;S5)&gt;=1000000),SUMIFS($D$245:$D$595,$F$245:$F$595,0,$E$245:$E$595,$G350)*$C$157 ,0)</f>
        <v/>
      </c>
      <c r="U350" s="95">
        <f>IF(AND(SUMIFS($D$245:$D$595,$F$245:$F$595,0,$E$245:$E$595,$G350,$C$245:$C$595,"&lt;="&amp;S$5)&lt;1000000,SUMIFS($D$245:$D$595,$F$245:$F$595,0,$E$245:$E$595,$G350,$C$245:$C$595,"&lt;="&amp;U5)&gt;=1000000),SUMIFS($D$245:$D$595,$F$245:$F$595,0,$E$245:$E$595,$G350)*$C$157 ,0)</f>
        <v/>
      </c>
      <c r="W350" s="95">
        <f>IF(AND(SUMIFS($D$245:$D$595,$F$245:$F$595,0,$E$245:$E$595,$G350,$C$245:$C$595,"&lt;="&amp;U$5)&lt;1000000,SUMIFS($D$245:$D$595,$F$245:$F$595,0,$E$245:$E$595,$G350,$C$245:$C$595,"&lt;="&amp;W5)&gt;=1000000),SUMIFS($D$245:$D$595,$F$245:$F$595,0,$E$245:$E$595,$G350)*$C$157 ,0)</f>
        <v/>
      </c>
      <c r="Y350" s="95">
        <f>IF(AND(SUMIFS($D$245:$D$595,$F$245:$F$595,0,$E$245:$E$595,$G350,$C$245:$C$595,"&lt;="&amp;W$5)&lt;1000000,SUMIFS($D$245:$D$595,$F$245:$F$595,0,$E$245:$E$595,$G350,$C$245:$C$595,"&lt;="&amp;Y5)&gt;=1000000),SUMIFS($D$245:$D$595,$F$245:$F$595,0,$E$245:$E$595,$G350)*$C$157 ,0)</f>
        <v/>
      </c>
      <c r="AA350" s="95">
        <f>IF(AND(SUMIFS($D$245:$D$595,$F$245:$F$595,0,$E$245:$E$595,$G350,$C$245:$C$595,"&lt;="&amp;Y$5)&lt;1000000,SUMIFS($D$245:$D$595,$F$245:$F$595,0,$E$245:$E$595,$G350,$C$245:$C$595,"&lt;="&amp;AA5)&gt;=1000000),SUMIFS($D$245:$D$595,$F$245:$F$595,0,$E$245:$E$595,$G350)*$C$157 ,0)</f>
        <v/>
      </c>
      <c r="AC350" s="95">
        <f>IF(AND(SUMIFS($D$245:$D$595,$F$245:$F$595,0,$E$245:$E$595,$G350,$C$245:$C$595,"&lt;="&amp;AA$5)&lt;1000000,SUMIFS($D$245:$D$595,$F$245:$F$595,0,$E$245:$E$595,$G350,$C$245:$C$595,"&lt;="&amp;AC5)&gt;=1000000),SUMIFS($D$245:$D$595,$F$245:$F$595,0,$E$245:$E$595,$G350)*$C$157 ,0)</f>
        <v/>
      </c>
      <c r="AE350" s="95">
        <f>IF(AND(SUMIFS($D$245:$D$595,$F$245:$F$595,0,$E$245:$E$595,$G350,$C$245:$C$595,"&lt;="&amp;AC$5)&lt;1000000,SUMIFS($D$245:$D$595,$F$245:$F$595,0,$E$245:$E$595,$G350,$C$245:$C$595,"&lt;="&amp;AE5)&gt;=1000000),SUMIFS($D$245:$D$595,$F$245:$F$595,0,$E$245:$E$595,$G350)*$C$157 ,0)</f>
        <v/>
      </c>
      <c r="AF350" s="19" t="n"/>
    </row>
    <row r="351">
      <c r="A351" s="20">
        <f>mid(E351, 3, 1)</f>
        <v/>
      </c>
      <c r="B351" s="14" t="inlineStr"/>
      <c r="C351" s="21">
        <f>SUMIFS('Investor Exit List'!$AC:$AC,'Investor Exit List'!$AB:$AB,B351)</f>
        <v/>
      </c>
      <c r="D351" s="14">
        <f>SUMIFS('Investor Exit List'!$Q:$Q,'Investor Exit List'!$AB:$AB,B351)</f>
        <v/>
      </c>
      <c r="E351" s="31">
        <f>LEFT(B351,6)</f>
        <v/>
      </c>
      <c r="F351" s="14">
        <f>IF(SUMIFS($E$119:$E$151,$D$119:$D$151,E351)&lt;&gt;0,E351,0)</f>
        <v/>
      </c>
      <c r="G351" s="59" t="n"/>
      <c r="I351" s="28">
        <f>IF(AND(SUMIFS($D$245:$D$595,$F$245:$F$595,0,$E$245:$E$595,$G351,$C$245:$C$595,"&lt;="&amp;B$2)&lt;1000000,SUMIFS($D$245:$D$595,$F$245:$F$595,0,$E$245:$E$595,$G351,$C$245:$C$595,"&lt;="&amp;I5)&gt;=1000000),SUMIFS($D$245:$D$595,$F$245:$F$595,0,$E$245:$E$595,$G351)*$C$157 ,0)</f>
        <v/>
      </c>
      <c r="K351" s="95">
        <f>IF(AND(SUMIFS($D$245:$D$595,$F$245:$F$595,0,$E$245:$E$595,$G351,$C$245:$C$595,"&lt;="&amp;I$5)&lt;1000000,SUMIFS($D$245:$D$595,$F$245:$F$595,0,$E$245:$E$595,$G351,$C$245:$C$595,"&lt;="&amp;K5)&gt;=1000000),SUMIFS($D$245:$D$595,$F$245:$F$595,0,$E$245:$E$595,$G351)*$C$157 ,0)</f>
        <v/>
      </c>
      <c r="M351" s="95">
        <f>IF(AND(SUMIFS($D$245:$D$595,$F$245:$F$595,0,$E$245:$E$595,$G351,$C$245:$C$595,"&lt;="&amp;K$5)&lt;1000000,SUMIFS($D$245:$D$595,$F$245:$F$595,0,$E$245:$E$595,$G351,$C$245:$C$595,"&lt;="&amp;M5)&gt;=1000000),SUMIFS($D$245:$D$595,$F$245:$F$595,0,$E$245:$E$595,$G351)*$C$157 ,0)</f>
        <v/>
      </c>
      <c r="O351" s="95">
        <f>IF(AND(SUMIFS($D$245:$D$595,$F$245:$F$595,0,$E$245:$E$595,$G351,$C$245:$C$595,"&lt;="&amp;M$5)&lt;1000000,SUMIFS($D$245:$D$595,$F$245:$F$595,0,$E$245:$E$595,$G351,$C$245:$C$595,"&lt;="&amp;O5)&gt;=1000000),SUMIFS($D$245:$D$595,$F$245:$F$595,0,$E$245:$E$595,$G351)*$C$157 ,0)</f>
        <v/>
      </c>
      <c r="Q351" s="95">
        <f>IF(AND(SUMIFS($D$245:$D$595,$F$245:$F$595,0,$E$245:$E$595,$G351,$C$245:$C$595,"&lt;="&amp;O$5)&lt;1000000,SUMIFS($D$245:$D$595,$F$245:$F$595,0,$E$245:$E$595,$G351,$C$245:$C$595,"&lt;="&amp;Q5)&gt;=1000000),SUMIFS($D$245:$D$595,$F$245:$F$595,0,$E$245:$E$595,$G351)*$C$157 ,0)</f>
        <v/>
      </c>
      <c r="S351" s="95">
        <f>IF(AND(SUMIFS($D$245:$D$595,$F$245:$F$595,0,$E$245:$E$595,$G351,$C$245:$C$595,"&lt;="&amp;Q$5)&lt;1000000,SUMIFS($D$245:$D$595,$F$245:$F$595,0,$E$245:$E$595,$G351,$C$245:$C$595,"&lt;="&amp;S5)&gt;=1000000),SUMIFS($D$245:$D$595,$F$245:$F$595,0,$E$245:$E$595,$G351)*$C$157 ,0)</f>
        <v/>
      </c>
      <c r="U351" s="95">
        <f>IF(AND(SUMIFS($D$245:$D$595,$F$245:$F$595,0,$E$245:$E$595,$G351,$C$245:$C$595,"&lt;="&amp;S$5)&lt;1000000,SUMIFS($D$245:$D$595,$F$245:$F$595,0,$E$245:$E$595,$G351,$C$245:$C$595,"&lt;="&amp;U5)&gt;=1000000),SUMIFS($D$245:$D$595,$F$245:$F$595,0,$E$245:$E$595,$G351)*$C$157 ,0)</f>
        <v/>
      </c>
      <c r="W351" s="95">
        <f>IF(AND(SUMIFS($D$245:$D$595,$F$245:$F$595,0,$E$245:$E$595,$G351,$C$245:$C$595,"&lt;="&amp;U$5)&lt;1000000,SUMIFS($D$245:$D$595,$F$245:$F$595,0,$E$245:$E$595,$G351,$C$245:$C$595,"&lt;="&amp;W5)&gt;=1000000),SUMIFS($D$245:$D$595,$F$245:$F$595,0,$E$245:$E$595,$G351)*$C$157 ,0)</f>
        <v/>
      </c>
      <c r="Y351" s="95">
        <f>IF(AND(SUMIFS($D$245:$D$595,$F$245:$F$595,0,$E$245:$E$595,$G351,$C$245:$C$595,"&lt;="&amp;W$5)&lt;1000000,SUMIFS($D$245:$D$595,$F$245:$F$595,0,$E$245:$E$595,$G351,$C$245:$C$595,"&lt;="&amp;Y5)&gt;=1000000),SUMIFS($D$245:$D$595,$F$245:$F$595,0,$E$245:$E$595,$G351)*$C$157 ,0)</f>
        <v/>
      </c>
      <c r="AA351" s="95">
        <f>IF(AND(SUMIFS($D$245:$D$595,$F$245:$F$595,0,$E$245:$E$595,$G351,$C$245:$C$595,"&lt;="&amp;Y$5)&lt;1000000,SUMIFS($D$245:$D$595,$F$245:$F$595,0,$E$245:$E$595,$G351,$C$245:$C$595,"&lt;="&amp;AA5)&gt;=1000000),SUMIFS($D$245:$D$595,$F$245:$F$595,0,$E$245:$E$595,$G351)*$C$157 ,0)</f>
        <v/>
      </c>
      <c r="AC351" s="95">
        <f>IF(AND(SUMIFS($D$245:$D$595,$F$245:$F$595,0,$E$245:$E$595,$G351,$C$245:$C$595,"&lt;="&amp;AA$5)&lt;1000000,SUMIFS($D$245:$D$595,$F$245:$F$595,0,$E$245:$E$595,$G351,$C$245:$C$595,"&lt;="&amp;AC5)&gt;=1000000),SUMIFS($D$245:$D$595,$F$245:$F$595,0,$E$245:$E$595,$G351)*$C$157 ,0)</f>
        <v/>
      </c>
      <c r="AE351" s="95">
        <f>IF(AND(SUMIFS($D$245:$D$595,$F$245:$F$595,0,$E$245:$E$595,$G351,$C$245:$C$595,"&lt;="&amp;AC$5)&lt;1000000,SUMIFS($D$245:$D$595,$F$245:$F$595,0,$E$245:$E$595,$G351,$C$245:$C$595,"&lt;="&amp;AE5)&gt;=1000000),SUMIFS($D$245:$D$595,$F$245:$F$595,0,$E$245:$E$595,$G351)*$C$157 ,0)</f>
        <v/>
      </c>
      <c r="AF351" s="19" t="n"/>
    </row>
    <row r="352">
      <c r="A352" s="20">
        <f>mid(E352, 3, 1)</f>
        <v/>
      </c>
      <c r="B352" s="14" t="inlineStr"/>
      <c r="C352" s="21">
        <f>SUMIFS('Investor Exit List'!$AC:$AC,'Investor Exit List'!$AB:$AB,B352)</f>
        <v/>
      </c>
      <c r="D352" s="14">
        <f>SUMIFS('Investor Exit List'!$Q:$Q,'Investor Exit List'!$AB:$AB,B352)</f>
        <v/>
      </c>
      <c r="E352" s="31">
        <f>LEFT(B352,6)</f>
        <v/>
      </c>
      <c r="F352" s="14">
        <f>IF(SUMIFS($E$119:$E$151,$D$119:$D$151,E352)&lt;&gt;0,E352,0)</f>
        <v/>
      </c>
      <c r="G352" s="59" t="n"/>
      <c r="I352" s="28">
        <f>IF(AND(SUMIFS($D$245:$D$595,$F$245:$F$595,0,$E$245:$E$595,$G352,$C$245:$C$595,"&lt;="&amp;B$2)&lt;1000000,SUMIFS($D$245:$D$595,$F$245:$F$595,0,$E$245:$E$595,$G352,$C$245:$C$595,"&lt;="&amp;I5)&gt;=1000000),SUMIFS($D$245:$D$595,$F$245:$F$595,0,$E$245:$E$595,$G352)*$C$157 ,0)</f>
        <v/>
      </c>
      <c r="K352" s="95">
        <f>IF(AND(SUMIFS($D$245:$D$595,$F$245:$F$595,0,$E$245:$E$595,$G352,$C$245:$C$595,"&lt;="&amp;I$5)&lt;1000000,SUMIFS($D$245:$D$595,$F$245:$F$595,0,$E$245:$E$595,$G352,$C$245:$C$595,"&lt;="&amp;K5)&gt;=1000000),SUMIFS($D$245:$D$595,$F$245:$F$595,0,$E$245:$E$595,$G352)*$C$157 ,0)</f>
        <v/>
      </c>
      <c r="M352" s="95">
        <f>IF(AND(SUMIFS($D$245:$D$595,$F$245:$F$595,0,$E$245:$E$595,$G352,$C$245:$C$595,"&lt;="&amp;K$5)&lt;1000000,SUMIFS($D$245:$D$595,$F$245:$F$595,0,$E$245:$E$595,$G352,$C$245:$C$595,"&lt;="&amp;M5)&gt;=1000000),SUMIFS($D$245:$D$595,$F$245:$F$595,0,$E$245:$E$595,$G352)*$C$157 ,0)</f>
        <v/>
      </c>
      <c r="O352" s="95">
        <f>IF(AND(SUMIFS($D$245:$D$595,$F$245:$F$595,0,$E$245:$E$595,$G352,$C$245:$C$595,"&lt;="&amp;M$5)&lt;1000000,SUMIFS($D$245:$D$595,$F$245:$F$595,0,$E$245:$E$595,$G352,$C$245:$C$595,"&lt;="&amp;O5)&gt;=1000000),SUMIFS($D$245:$D$595,$F$245:$F$595,0,$E$245:$E$595,$G352)*$C$157 ,0)</f>
        <v/>
      </c>
      <c r="Q352" s="95">
        <f>IF(AND(SUMIFS($D$245:$D$595,$F$245:$F$595,0,$E$245:$E$595,$G352,$C$245:$C$595,"&lt;="&amp;O$5)&lt;1000000,SUMIFS($D$245:$D$595,$F$245:$F$595,0,$E$245:$E$595,$G352,$C$245:$C$595,"&lt;="&amp;Q5)&gt;=1000000),SUMIFS($D$245:$D$595,$F$245:$F$595,0,$E$245:$E$595,$G352)*$C$157 ,0)</f>
        <v/>
      </c>
      <c r="S352" s="95">
        <f>IF(AND(SUMIFS($D$245:$D$595,$F$245:$F$595,0,$E$245:$E$595,$G352,$C$245:$C$595,"&lt;="&amp;Q$5)&lt;1000000,SUMIFS($D$245:$D$595,$F$245:$F$595,0,$E$245:$E$595,$G352,$C$245:$C$595,"&lt;="&amp;S5)&gt;=1000000),SUMIFS($D$245:$D$595,$F$245:$F$595,0,$E$245:$E$595,$G352)*$C$157 ,0)</f>
        <v/>
      </c>
      <c r="U352" s="95">
        <f>IF(AND(SUMIFS($D$245:$D$595,$F$245:$F$595,0,$E$245:$E$595,$G352,$C$245:$C$595,"&lt;="&amp;S$5)&lt;1000000,SUMIFS($D$245:$D$595,$F$245:$F$595,0,$E$245:$E$595,$G352,$C$245:$C$595,"&lt;="&amp;U5)&gt;=1000000),SUMIFS($D$245:$D$595,$F$245:$F$595,0,$E$245:$E$595,$G352)*$C$157 ,0)</f>
        <v/>
      </c>
      <c r="W352" s="95">
        <f>IF(AND(SUMIFS($D$245:$D$595,$F$245:$F$595,0,$E$245:$E$595,$G352,$C$245:$C$595,"&lt;="&amp;U$5)&lt;1000000,SUMIFS($D$245:$D$595,$F$245:$F$595,0,$E$245:$E$595,$G352,$C$245:$C$595,"&lt;="&amp;W5)&gt;=1000000),SUMIFS($D$245:$D$595,$F$245:$F$595,0,$E$245:$E$595,$G352)*$C$157 ,0)</f>
        <v/>
      </c>
      <c r="Y352" s="95">
        <f>IF(AND(SUMIFS($D$245:$D$595,$F$245:$F$595,0,$E$245:$E$595,$G352,$C$245:$C$595,"&lt;="&amp;W$5)&lt;1000000,SUMIFS($D$245:$D$595,$F$245:$F$595,0,$E$245:$E$595,$G352,$C$245:$C$595,"&lt;="&amp;Y5)&gt;=1000000),SUMIFS($D$245:$D$595,$F$245:$F$595,0,$E$245:$E$595,$G352)*$C$157 ,0)</f>
        <v/>
      </c>
      <c r="AA352" s="95">
        <f>IF(AND(SUMIFS($D$245:$D$595,$F$245:$F$595,0,$E$245:$E$595,$G352,$C$245:$C$595,"&lt;="&amp;Y$5)&lt;1000000,SUMIFS($D$245:$D$595,$F$245:$F$595,0,$E$245:$E$595,$G352,$C$245:$C$595,"&lt;="&amp;AA5)&gt;=1000000),SUMIFS($D$245:$D$595,$F$245:$F$595,0,$E$245:$E$595,$G352)*$C$157 ,0)</f>
        <v/>
      </c>
      <c r="AC352" s="95">
        <f>IF(AND(SUMIFS($D$245:$D$595,$F$245:$F$595,0,$E$245:$E$595,$G352,$C$245:$C$595,"&lt;="&amp;AA$5)&lt;1000000,SUMIFS($D$245:$D$595,$F$245:$F$595,0,$E$245:$E$595,$G352,$C$245:$C$595,"&lt;="&amp;AC5)&gt;=1000000),SUMIFS($D$245:$D$595,$F$245:$F$595,0,$E$245:$E$595,$G352)*$C$157 ,0)</f>
        <v/>
      </c>
      <c r="AE352" s="95">
        <f>IF(AND(SUMIFS($D$245:$D$595,$F$245:$F$595,0,$E$245:$E$595,$G352,$C$245:$C$595,"&lt;="&amp;AC$5)&lt;1000000,SUMIFS($D$245:$D$595,$F$245:$F$595,0,$E$245:$E$595,$G352,$C$245:$C$595,"&lt;="&amp;AE5)&gt;=1000000),SUMIFS($D$245:$D$595,$F$245:$F$595,0,$E$245:$E$595,$G352)*$C$157 ,0)</f>
        <v/>
      </c>
      <c r="AF352" s="19" t="n"/>
    </row>
    <row r="353">
      <c r="A353" s="20">
        <f>mid(E353, 3, 1)</f>
        <v/>
      </c>
      <c r="B353" s="14" t="inlineStr"/>
      <c r="C353" s="21">
        <f>SUMIFS('Investor Exit List'!$AC:$AC,'Investor Exit List'!$AB:$AB,B353)</f>
        <v/>
      </c>
      <c r="D353" s="14">
        <f>SUMIFS('Investor Exit List'!$Q:$Q,'Investor Exit List'!$AB:$AB,B353)</f>
        <v/>
      </c>
      <c r="E353" s="31">
        <f>LEFT(B353,6)</f>
        <v/>
      </c>
      <c r="F353" s="14">
        <f>IF(SUMIFS($E$119:$E$151,$D$119:$D$151,E353)&lt;&gt;0,E353,0)</f>
        <v/>
      </c>
      <c r="G353" s="59" t="n"/>
      <c r="I353" s="28">
        <f>IF(AND(SUMIFS($D$245:$D$595,$F$245:$F$595,0,$E$245:$E$595,$G353,$C$245:$C$595,"&lt;="&amp;B$2)&lt;1000000,SUMIFS($D$245:$D$595,$F$245:$F$595,0,$E$245:$E$595,$G353,$C$245:$C$595,"&lt;="&amp;I5)&gt;=1000000),SUMIFS($D$245:$D$595,$F$245:$F$595,0,$E$245:$E$595,$G353)*$C$157 ,0)</f>
        <v/>
      </c>
      <c r="K353" s="95">
        <f>IF(AND(SUMIFS($D$245:$D$595,$F$245:$F$595,0,$E$245:$E$595,$G353,$C$245:$C$595,"&lt;="&amp;I$5)&lt;1000000,SUMIFS($D$245:$D$595,$F$245:$F$595,0,$E$245:$E$595,$G353,$C$245:$C$595,"&lt;="&amp;K5)&gt;=1000000),SUMIFS($D$245:$D$595,$F$245:$F$595,0,$E$245:$E$595,$G353)*$C$157 ,0)</f>
        <v/>
      </c>
      <c r="M353" s="95">
        <f>IF(AND(SUMIFS($D$245:$D$595,$F$245:$F$595,0,$E$245:$E$595,$G353,$C$245:$C$595,"&lt;="&amp;K$5)&lt;1000000,SUMIFS($D$245:$D$595,$F$245:$F$595,0,$E$245:$E$595,$G353,$C$245:$C$595,"&lt;="&amp;M5)&gt;=1000000),SUMIFS($D$245:$D$595,$F$245:$F$595,0,$E$245:$E$595,$G353)*$C$157 ,0)</f>
        <v/>
      </c>
      <c r="O353" s="95">
        <f>IF(AND(SUMIFS($D$245:$D$595,$F$245:$F$595,0,$E$245:$E$595,$G353,$C$245:$C$595,"&lt;="&amp;M$5)&lt;1000000,SUMIFS($D$245:$D$595,$F$245:$F$595,0,$E$245:$E$595,$G353,$C$245:$C$595,"&lt;="&amp;O5)&gt;=1000000),SUMIFS($D$245:$D$595,$F$245:$F$595,0,$E$245:$E$595,$G353)*$C$157 ,0)</f>
        <v/>
      </c>
      <c r="Q353" s="95">
        <f>IF(AND(SUMIFS($D$245:$D$595,$F$245:$F$595,0,$E$245:$E$595,$G353,$C$245:$C$595,"&lt;="&amp;O$5)&lt;1000000,SUMIFS($D$245:$D$595,$F$245:$F$595,0,$E$245:$E$595,$G353,$C$245:$C$595,"&lt;="&amp;Q5)&gt;=1000000),SUMIFS($D$245:$D$595,$F$245:$F$595,0,$E$245:$E$595,$G353)*$C$157 ,0)</f>
        <v/>
      </c>
      <c r="S353" s="95">
        <f>IF(AND(SUMIFS($D$245:$D$595,$F$245:$F$595,0,$E$245:$E$595,$G353,$C$245:$C$595,"&lt;="&amp;Q$5)&lt;1000000,SUMIFS($D$245:$D$595,$F$245:$F$595,0,$E$245:$E$595,$G353,$C$245:$C$595,"&lt;="&amp;S5)&gt;=1000000),SUMIFS($D$245:$D$595,$F$245:$F$595,0,$E$245:$E$595,$G353)*$C$157 ,0)</f>
        <v/>
      </c>
      <c r="U353" s="95">
        <f>IF(AND(SUMIFS($D$245:$D$595,$F$245:$F$595,0,$E$245:$E$595,$G353,$C$245:$C$595,"&lt;="&amp;S$5)&lt;1000000,SUMIFS($D$245:$D$595,$F$245:$F$595,0,$E$245:$E$595,$G353,$C$245:$C$595,"&lt;="&amp;U5)&gt;=1000000),SUMIFS($D$245:$D$595,$F$245:$F$595,0,$E$245:$E$595,$G353)*$C$157 ,0)</f>
        <v/>
      </c>
      <c r="W353" s="95">
        <f>IF(AND(SUMIFS($D$245:$D$595,$F$245:$F$595,0,$E$245:$E$595,$G353,$C$245:$C$595,"&lt;="&amp;U$5)&lt;1000000,SUMIFS($D$245:$D$595,$F$245:$F$595,0,$E$245:$E$595,$G353,$C$245:$C$595,"&lt;="&amp;W5)&gt;=1000000),SUMIFS($D$245:$D$595,$F$245:$F$595,0,$E$245:$E$595,$G353)*$C$157 ,0)</f>
        <v/>
      </c>
      <c r="Y353" s="95">
        <f>IF(AND(SUMIFS($D$245:$D$595,$F$245:$F$595,0,$E$245:$E$595,$G353,$C$245:$C$595,"&lt;="&amp;W$5)&lt;1000000,SUMIFS($D$245:$D$595,$F$245:$F$595,0,$E$245:$E$595,$G353,$C$245:$C$595,"&lt;="&amp;Y5)&gt;=1000000),SUMIFS($D$245:$D$595,$F$245:$F$595,0,$E$245:$E$595,$G353)*$C$157 ,0)</f>
        <v/>
      </c>
      <c r="AA353" s="95">
        <f>IF(AND(SUMIFS($D$245:$D$595,$F$245:$F$595,0,$E$245:$E$595,$G353,$C$245:$C$595,"&lt;="&amp;Y$5)&lt;1000000,SUMIFS($D$245:$D$595,$F$245:$F$595,0,$E$245:$E$595,$G353,$C$245:$C$595,"&lt;="&amp;AA5)&gt;=1000000),SUMIFS($D$245:$D$595,$F$245:$F$595,0,$E$245:$E$595,$G353)*$C$157 ,0)</f>
        <v/>
      </c>
      <c r="AC353" s="95">
        <f>IF(AND(SUMIFS($D$245:$D$595,$F$245:$F$595,0,$E$245:$E$595,$G353,$C$245:$C$595,"&lt;="&amp;AA$5)&lt;1000000,SUMIFS($D$245:$D$595,$F$245:$F$595,0,$E$245:$E$595,$G353,$C$245:$C$595,"&lt;="&amp;AC5)&gt;=1000000),SUMIFS($D$245:$D$595,$F$245:$F$595,0,$E$245:$E$595,$G353)*$C$157 ,0)</f>
        <v/>
      </c>
      <c r="AE353" s="95">
        <f>IF(AND(SUMIFS($D$245:$D$595,$F$245:$F$595,0,$E$245:$E$595,$G353,$C$245:$C$595,"&lt;="&amp;AC$5)&lt;1000000,SUMIFS($D$245:$D$595,$F$245:$F$595,0,$E$245:$E$595,$G353,$C$245:$C$595,"&lt;="&amp;AE5)&gt;=1000000),SUMIFS($D$245:$D$595,$F$245:$F$595,0,$E$245:$E$595,$G353)*$C$157 ,0)</f>
        <v/>
      </c>
      <c r="AF353" s="19" t="n"/>
    </row>
    <row r="354">
      <c r="A354" s="20">
        <f>mid(E354, 3, 1)</f>
        <v/>
      </c>
      <c r="B354" s="14" t="inlineStr"/>
      <c r="C354" s="21">
        <f>SUMIFS('Investor Exit List'!$AC:$AC,'Investor Exit List'!$AB:$AB,B354)</f>
        <v/>
      </c>
      <c r="D354" s="14">
        <f>SUMIFS('Investor Exit List'!$Q:$Q,'Investor Exit List'!$AB:$AB,B354)</f>
        <v/>
      </c>
      <c r="E354" s="31">
        <f>LEFT(B354,6)</f>
        <v/>
      </c>
      <c r="F354" s="14">
        <f>IF(SUMIFS($E$119:$E$151,$D$119:$D$151,E354)&lt;&gt;0,E354,0)</f>
        <v/>
      </c>
      <c r="G354" s="59" t="n"/>
      <c r="I354" s="28">
        <f>IF(AND(SUMIFS($D$245:$D$595,$F$245:$F$595,0,$E$245:$E$595,$G354,$C$245:$C$595,"&lt;="&amp;B$2)&lt;1000000,SUMIFS($D$245:$D$595,$F$245:$F$595,0,$E$245:$E$595,$G354,$C$245:$C$595,"&lt;="&amp;I5)&gt;=1000000),SUMIFS($D$245:$D$595,$F$245:$F$595,0,$E$245:$E$595,$G354)*$C$157 ,0)</f>
        <v/>
      </c>
      <c r="K354" s="95">
        <f>IF(AND(SUMIFS($D$245:$D$595,$F$245:$F$595,0,$E$245:$E$595,$G354,$C$245:$C$595,"&lt;="&amp;I$5)&lt;1000000,SUMIFS($D$245:$D$595,$F$245:$F$595,0,$E$245:$E$595,$G354,$C$245:$C$595,"&lt;="&amp;K5)&gt;=1000000),SUMIFS($D$245:$D$595,$F$245:$F$595,0,$E$245:$E$595,$G354)*$C$157 ,0)</f>
        <v/>
      </c>
      <c r="M354" s="95">
        <f>IF(AND(SUMIFS($D$245:$D$595,$F$245:$F$595,0,$E$245:$E$595,$G354,$C$245:$C$595,"&lt;="&amp;K$5)&lt;1000000,SUMIFS($D$245:$D$595,$F$245:$F$595,0,$E$245:$E$595,$G354,$C$245:$C$595,"&lt;="&amp;M5)&gt;=1000000),SUMIFS($D$245:$D$595,$F$245:$F$595,0,$E$245:$E$595,$G354)*$C$157 ,0)</f>
        <v/>
      </c>
      <c r="O354" s="95">
        <f>IF(AND(SUMIFS($D$245:$D$595,$F$245:$F$595,0,$E$245:$E$595,$G354,$C$245:$C$595,"&lt;="&amp;M$5)&lt;1000000,SUMIFS($D$245:$D$595,$F$245:$F$595,0,$E$245:$E$595,$G354,$C$245:$C$595,"&lt;="&amp;O5)&gt;=1000000),SUMIFS($D$245:$D$595,$F$245:$F$595,0,$E$245:$E$595,$G354)*$C$157 ,0)</f>
        <v/>
      </c>
      <c r="Q354" s="95">
        <f>IF(AND(SUMIFS($D$245:$D$595,$F$245:$F$595,0,$E$245:$E$595,$G354,$C$245:$C$595,"&lt;="&amp;O$5)&lt;1000000,SUMIFS($D$245:$D$595,$F$245:$F$595,0,$E$245:$E$595,$G354,$C$245:$C$595,"&lt;="&amp;Q5)&gt;=1000000),SUMIFS($D$245:$D$595,$F$245:$F$595,0,$E$245:$E$595,$G354)*$C$157 ,0)</f>
        <v/>
      </c>
      <c r="S354" s="95">
        <f>IF(AND(SUMIFS($D$245:$D$595,$F$245:$F$595,0,$E$245:$E$595,$G354,$C$245:$C$595,"&lt;="&amp;Q$5)&lt;1000000,SUMIFS($D$245:$D$595,$F$245:$F$595,0,$E$245:$E$595,$G354,$C$245:$C$595,"&lt;="&amp;S5)&gt;=1000000),SUMIFS($D$245:$D$595,$F$245:$F$595,0,$E$245:$E$595,$G354)*$C$157 ,0)</f>
        <v/>
      </c>
      <c r="U354" s="95">
        <f>IF(AND(SUMIFS($D$245:$D$595,$F$245:$F$595,0,$E$245:$E$595,$G354,$C$245:$C$595,"&lt;="&amp;S$5)&lt;1000000,SUMIFS($D$245:$D$595,$F$245:$F$595,0,$E$245:$E$595,$G354,$C$245:$C$595,"&lt;="&amp;U5)&gt;=1000000),SUMIFS($D$245:$D$595,$F$245:$F$595,0,$E$245:$E$595,$G354)*$C$157 ,0)</f>
        <v/>
      </c>
      <c r="W354" s="95">
        <f>IF(AND(SUMIFS($D$245:$D$595,$F$245:$F$595,0,$E$245:$E$595,$G354,$C$245:$C$595,"&lt;="&amp;U$5)&lt;1000000,SUMIFS($D$245:$D$595,$F$245:$F$595,0,$E$245:$E$595,$G354,$C$245:$C$595,"&lt;="&amp;W5)&gt;=1000000),SUMIFS($D$245:$D$595,$F$245:$F$595,0,$E$245:$E$595,$G354)*$C$157 ,0)</f>
        <v/>
      </c>
      <c r="Y354" s="95">
        <f>IF(AND(SUMIFS($D$245:$D$595,$F$245:$F$595,0,$E$245:$E$595,$G354,$C$245:$C$595,"&lt;="&amp;W$5)&lt;1000000,SUMIFS($D$245:$D$595,$F$245:$F$595,0,$E$245:$E$595,$G354,$C$245:$C$595,"&lt;="&amp;Y5)&gt;=1000000),SUMIFS($D$245:$D$595,$F$245:$F$595,0,$E$245:$E$595,$G354)*$C$157 ,0)</f>
        <v/>
      </c>
      <c r="AA354" s="95">
        <f>IF(AND(SUMIFS($D$245:$D$595,$F$245:$F$595,0,$E$245:$E$595,$G354,$C$245:$C$595,"&lt;="&amp;Y$5)&lt;1000000,SUMIFS($D$245:$D$595,$F$245:$F$595,0,$E$245:$E$595,$G354,$C$245:$C$595,"&lt;="&amp;AA5)&gt;=1000000),SUMIFS($D$245:$D$595,$F$245:$F$595,0,$E$245:$E$595,$G354)*$C$157 ,0)</f>
        <v/>
      </c>
      <c r="AC354" s="95">
        <f>IF(AND(SUMIFS($D$245:$D$595,$F$245:$F$595,0,$E$245:$E$595,$G354,$C$245:$C$595,"&lt;="&amp;AA$5)&lt;1000000,SUMIFS($D$245:$D$595,$F$245:$F$595,0,$E$245:$E$595,$G354,$C$245:$C$595,"&lt;="&amp;AC5)&gt;=1000000),SUMIFS($D$245:$D$595,$F$245:$F$595,0,$E$245:$E$595,$G354)*$C$157 ,0)</f>
        <v/>
      </c>
      <c r="AE354" s="95">
        <f>IF(AND(SUMIFS($D$245:$D$595,$F$245:$F$595,0,$E$245:$E$595,$G354,$C$245:$C$595,"&lt;="&amp;AC$5)&lt;1000000,SUMIFS($D$245:$D$595,$F$245:$F$595,0,$E$245:$E$595,$G354,$C$245:$C$595,"&lt;="&amp;AE5)&gt;=1000000),SUMIFS($D$245:$D$595,$F$245:$F$595,0,$E$245:$E$595,$G354)*$C$157 ,0)</f>
        <v/>
      </c>
      <c r="AF354" s="19" t="n"/>
    </row>
    <row r="355">
      <c r="A355" s="20">
        <f>mid(E355, 3, 1)</f>
        <v/>
      </c>
      <c r="B355" s="14" t="inlineStr"/>
      <c r="C355" s="21">
        <f>SUMIFS('Investor Exit List'!$AC:$AC,'Investor Exit List'!$AB:$AB,B355)</f>
        <v/>
      </c>
      <c r="D355" s="14">
        <f>SUMIFS('Investor Exit List'!$Q:$Q,'Investor Exit List'!$AB:$AB,B355)</f>
        <v/>
      </c>
      <c r="E355" s="31">
        <f>LEFT(B355,6)</f>
        <v/>
      </c>
      <c r="F355" s="14">
        <f>IF(SUMIFS($E$119:$E$151,$D$119:$D$151,E355)&lt;&gt;0,E355,0)</f>
        <v/>
      </c>
      <c r="G355" s="59" t="n"/>
      <c r="I355" s="28">
        <f>IF(AND(SUMIFS($D$245:$D$595,$F$245:$F$595,0,$E$245:$E$595,$G355,$C$245:$C$595,"&lt;="&amp;B$2)&lt;1000000,SUMIFS($D$245:$D$595,$F$245:$F$595,0,$E$245:$E$595,$G355,$C$245:$C$595,"&lt;="&amp;I5)&gt;=1000000),SUMIFS($D$245:$D$595,$F$245:$F$595,0,$E$245:$E$595,$G355)*$C$157 ,0)</f>
        <v/>
      </c>
      <c r="K355" s="95">
        <f>IF(AND(SUMIFS($D$245:$D$595,$F$245:$F$595,0,$E$245:$E$595,$G355,$C$245:$C$595,"&lt;="&amp;I$5)&lt;1000000,SUMIFS($D$245:$D$595,$F$245:$F$595,0,$E$245:$E$595,$G355,$C$245:$C$595,"&lt;="&amp;K5)&gt;=1000000),SUMIFS($D$245:$D$595,$F$245:$F$595,0,$E$245:$E$595,$G355)*$C$157 ,0)</f>
        <v/>
      </c>
      <c r="M355" s="95">
        <f>IF(AND(SUMIFS($D$245:$D$595,$F$245:$F$595,0,$E$245:$E$595,$G355,$C$245:$C$595,"&lt;="&amp;K$5)&lt;1000000,SUMIFS($D$245:$D$595,$F$245:$F$595,0,$E$245:$E$595,$G355,$C$245:$C$595,"&lt;="&amp;M5)&gt;=1000000),SUMIFS($D$245:$D$595,$F$245:$F$595,0,$E$245:$E$595,$G355)*$C$157 ,0)</f>
        <v/>
      </c>
      <c r="O355" s="95">
        <f>IF(AND(SUMIFS($D$245:$D$595,$F$245:$F$595,0,$E$245:$E$595,$G355,$C$245:$C$595,"&lt;="&amp;M$5)&lt;1000000,SUMIFS($D$245:$D$595,$F$245:$F$595,0,$E$245:$E$595,$G355,$C$245:$C$595,"&lt;="&amp;O5)&gt;=1000000),SUMIFS($D$245:$D$595,$F$245:$F$595,0,$E$245:$E$595,$G355)*$C$157 ,0)</f>
        <v/>
      </c>
      <c r="Q355" s="95">
        <f>IF(AND(SUMIFS($D$245:$D$595,$F$245:$F$595,0,$E$245:$E$595,$G355,$C$245:$C$595,"&lt;="&amp;O$5)&lt;1000000,SUMIFS($D$245:$D$595,$F$245:$F$595,0,$E$245:$E$595,$G355,$C$245:$C$595,"&lt;="&amp;Q5)&gt;=1000000),SUMIFS($D$245:$D$595,$F$245:$F$595,0,$E$245:$E$595,$G355)*$C$157 ,0)</f>
        <v/>
      </c>
      <c r="S355" s="95">
        <f>IF(AND(SUMIFS($D$245:$D$595,$F$245:$F$595,0,$E$245:$E$595,$G355,$C$245:$C$595,"&lt;="&amp;Q$5)&lt;1000000,SUMIFS($D$245:$D$595,$F$245:$F$595,0,$E$245:$E$595,$G355,$C$245:$C$595,"&lt;="&amp;S5)&gt;=1000000),SUMIFS($D$245:$D$595,$F$245:$F$595,0,$E$245:$E$595,$G355)*$C$157 ,0)</f>
        <v/>
      </c>
      <c r="U355" s="95">
        <f>IF(AND(SUMIFS($D$245:$D$595,$F$245:$F$595,0,$E$245:$E$595,$G355,$C$245:$C$595,"&lt;="&amp;S$5)&lt;1000000,SUMIFS($D$245:$D$595,$F$245:$F$595,0,$E$245:$E$595,$G355,$C$245:$C$595,"&lt;="&amp;U5)&gt;=1000000),SUMIFS($D$245:$D$595,$F$245:$F$595,0,$E$245:$E$595,$G355)*$C$157 ,0)</f>
        <v/>
      </c>
      <c r="W355" s="95">
        <f>IF(AND(SUMIFS($D$245:$D$595,$F$245:$F$595,0,$E$245:$E$595,$G355,$C$245:$C$595,"&lt;="&amp;U$5)&lt;1000000,SUMIFS($D$245:$D$595,$F$245:$F$595,0,$E$245:$E$595,$G355,$C$245:$C$595,"&lt;="&amp;W5)&gt;=1000000),SUMIFS($D$245:$D$595,$F$245:$F$595,0,$E$245:$E$595,$G355)*$C$157 ,0)</f>
        <v/>
      </c>
      <c r="Y355" s="95">
        <f>IF(AND(SUMIFS($D$245:$D$595,$F$245:$F$595,0,$E$245:$E$595,$G355,$C$245:$C$595,"&lt;="&amp;W$5)&lt;1000000,SUMIFS($D$245:$D$595,$F$245:$F$595,0,$E$245:$E$595,$G355,$C$245:$C$595,"&lt;="&amp;Y5)&gt;=1000000),SUMIFS($D$245:$D$595,$F$245:$F$595,0,$E$245:$E$595,$G355)*$C$157 ,0)</f>
        <v/>
      </c>
      <c r="AA355" s="95">
        <f>IF(AND(SUMIFS($D$245:$D$595,$F$245:$F$595,0,$E$245:$E$595,$G355,$C$245:$C$595,"&lt;="&amp;Y$5)&lt;1000000,SUMIFS($D$245:$D$595,$F$245:$F$595,0,$E$245:$E$595,$G355,$C$245:$C$595,"&lt;="&amp;AA5)&gt;=1000000),SUMIFS($D$245:$D$595,$F$245:$F$595,0,$E$245:$E$595,$G355)*$C$157 ,0)</f>
        <v/>
      </c>
      <c r="AC355" s="95">
        <f>IF(AND(SUMIFS($D$245:$D$595,$F$245:$F$595,0,$E$245:$E$595,$G355,$C$245:$C$595,"&lt;="&amp;AA$5)&lt;1000000,SUMIFS($D$245:$D$595,$F$245:$F$595,0,$E$245:$E$595,$G355,$C$245:$C$595,"&lt;="&amp;AC5)&gt;=1000000),SUMIFS($D$245:$D$595,$F$245:$F$595,0,$E$245:$E$595,$G355)*$C$157 ,0)</f>
        <v/>
      </c>
      <c r="AE355" s="95">
        <f>IF(AND(SUMIFS($D$245:$D$595,$F$245:$F$595,0,$E$245:$E$595,$G355,$C$245:$C$595,"&lt;="&amp;AC$5)&lt;1000000,SUMIFS($D$245:$D$595,$F$245:$F$595,0,$E$245:$E$595,$G355,$C$245:$C$595,"&lt;="&amp;AE5)&gt;=1000000),SUMIFS($D$245:$D$595,$F$245:$F$595,0,$E$245:$E$595,$G355)*$C$157 ,0)</f>
        <v/>
      </c>
      <c r="AF355" s="19" t="n"/>
    </row>
    <row r="356">
      <c r="A356" s="20">
        <f>mid(E356, 3, 1)</f>
        <v/>
      </c>
      <c r="B356" s="14" t="inlineStr"/>
      <c r="C356" s="21">
        <f>SUMIFS('Investor Exit List'!$AC:$AC,'Investor Exit List'!$AB:$AB,B356)</f>
        <v/>
      </c>
      <c r="D356" s="14">
        <f>SUMIFS('Investor Exit List'!$Q:$Q,'Investor Exit List'!$AB:$AB,B356)</f>
        <v/>
      </c>
      <c r="E356" s="31">
        <f>LEFT(B356,6)</f>
        <v/>
      </c>
      <c r="F356" s="14">
        <f>IF(SUMIFS($E$119:$E$151,$D$119:$D$151,E356)&lt;&gt;0,E356,0)</f>
        <v/>
      </c>
      <c r="G356" s="59" t="n"/>
      <c r="I356" s="28">
        <f>IF(AND(SUMIFS($D$245:$D$595,$F$245:$F$595,0,$E$245:$E$595,$G356,$C$245:$C$595,"&lt;="&amp;B$2)&lt;1000000,SUMIFS($D$245:$D$595,$F$245:$F$595,0,$E$245:$E$595,$G356,$C$245:$C$595,"&lt;="&amp;I5)&gt;=1000000),SUMIFS($D$245:$D$595,$F$245:$F$595,0,$E$245:$E$595,$G356)*$C$157 ,0)</f>
        <v/>
      </c>
      <c r="K356" s="95">
        <f>IF(AND(SUMIFS($D$245:$D$595,$F$245:$F$595,0,$E$245:$E$595,$G356,$C$245:$C$595,"&lt;="&amp;I$5)&lt;1000000,SUMIFS($D$245:$D$595,$F$245:$F$595,0,$E$245:$E$595,$G356,$C$245:$C$595,"&lt;="&amp;K5)&gt;=1000000),SUMIFS($D$245:$D$595,$F$245:$F$595,0,$E$245:$E$595,$G356)*$C$157 ,0)</f>
        <v/>
      </c>
      <c r="M356" s="95">
        <f>IF(AND(SUMIFS($D$245:$D$595,$F$245:$F$595,0,$E$245:$E$595,$G356,$C$245:$C$595,"&lt;="&amp;K$5)&lt;1000000,SUMIFS($D$245:$D$595,$F$245:$F$595,0,$E$245:$E$595,$G356,$C$245:$C$595,"&lt;="&amp;M5)&gt;=1000000),SUMIFS($D$245:$D$595,$F$245:$F$595,0,$E$245:$E$595,$G356)*$C$157 ,0)</f>
        <v/>
      </c>
      <c r="O356" s="95">
        <f>IF(AND(SUMIFS($D$245:$D$595,$F$245:$F$595,0,$E$245:$E$595,$G356,$C$245:$C$595,"&lt;="&amp;M$5)&lt;1000000,SUMIFS($D$245:$D$595,$F$245:$F$595,0,$E$245:$E$595,$G356,$C$245:$C$595,"&lt;="&amp;O5)&gt;=1000000),SUMIFS($D$245:$D$595,$F$245:$F$595,0,$E$245:$E$595,$G356)*$C$157 ,0)</f>
        <v/>
      </c>
      <c r="Q356" s="95">
        <f>IF(AND(SUMIFS($D$245:$D$595,$F$245:$F$595,0,$E$245:$E$595,$G356,$C$245:$C$595,"&lt;="&amp;O$5)&lt;1000000,SUMIFS($D$245:$D$595,$F$245:$F$595,0,$E$245:$E$595,$G356,$C$245:$C$595,"&lt;="&amp;Q5)&gt;=1000000),SUMIFS($D$245:$D$595,$F$245:$F$595,0,$E$245:$E$595,$G356)*$C$157 ,0)</f>
        <v/>
      </c>
      <c r="S356" s="95">
        <f>IF(AND(SUMIFS($D$245:$D$595,$F$245:$F$595,0,$E$245:$E$595,$G356,$C$245:$C$595,"&lt;="&amp;Q$5)&lt;1000000,SUMIFS($D$245:$D$595,$F$245:$F$595,0,$E$245:$E$595,$G356,$C$245:$C$595,"&lt;="&amp;S5)&gt;=1000000),SUMIFS($D$245:$D$595,$F$245:$F$595,0,$E$245:$E$595,$G356)*$C$157 ,0)</f>
        <v/>
      </c>
      <c r="U356" s="95">
        <f>IF(AND(SUMIFS($D$245:$D$595,$F$245:$F$595,0,$E$245:$E$595,$G356,$C$245:$C$595,"&lt;="&amp;S$5)&lt;1000000,SUMIFS($D$245:$D$595,$F$245:$F$595,0,$E$245:$E$595,$G356,$C$245:$C$595,"&lt;="&amp;U5)&gt;=1000000),SUMIFS($D$245:$D$595,$F$245:$F$595,0,$E$245:$E$595,$G356)*$C$157 ,0)</f>
        <v/>
      </c>
      <c r="W356" s="95">
        <f>IF(AND(SUMIFS($D$245:$D$595,$F$245:$F$595,0,$E$245:$E$595,$G356,$C$245:$C$595,"&lt;="&amp;U$5)&lt;1000000,SUMIFS($D$245:$D$595,$F$245:$F$595,0,$E$245:$E$595,$G356,$C$245:$C$595,"&lt;="&amp;W5)&gt;=1000000),SUMIFS($D$245:$D$595,$F$245:$F$595,0,$E$245:$E$595,$G356)*$C$157 ,0)</f>
        <v/>
      </c>
      <c r="Y356" s="95">
        <f>IF(AND(SUMIFS($D$245:$D$595,$F$245:$F$595,0,$E$245:$E$595,$G356,$C$245:$C$595,"&lt;="&amp;W$5)&lt;1000000,SUMIFS($D$245:$D$595,$F$245:$F$595,0,$E$245:$E$595,$G356,$C$245:$C$595,"&lt;="&amp;Y5)&gt;=1000000),SUMIFS($D$245:$D$595,$F$245:$F$595,0,$E$245:$E$595,$G356)*$C$157 ,0)</f>
        <v/>
      </c>
      <c r="AA356" s="95">
        <f>IF(AND(SUMIFS($D$245:$D$595,$F$245:$F$595,0,$E$245:$E$595,$G356,$C$245:$C$595,"&lt;="&amp;Y$5)&lt;1000000,SUMIFS($D$245:$D$595,$F$245:$F$595,0,$E$245:$E$595,$G356,$C$245:$C$595,"&lt;="&amp;AA5)&gt;=1000000),SUMIFS($D$245:$D$595,$F$245:$F$595,0,$E$245:$E$595,$G356)*$C$157 ,0)</f>
        <v/>
      </c>
      <c r="AC356" s="95">
        <f>IF(AND(SUMIFS($D$245:$D$595,$F$245:$F$595,0,$E$245:$E$595,$G356,$C$245:$C$595,"&lt;="&amp;AA$5)&lt;1000000,SUMIFS($D$245:$D$595,$F$245:$F$595,0,$E$245:$E$595,$G356,$C$245:$C$595,"&lt;="&amp;AC5)&gt;=1000000),SUMIFS($D$245:$D$595,$F$245:$F$595,0,$E$245:$E$595,$G356)*$C$157 ,0)</f>
        <v/>
      </c>
      <c r="AE356" s="95">
        <f>IF(AND(SUMIFS($D$245:$D$595,$F$245:$F$595,0,$E$245:$E$595,$G356,$C$245:$C$595,"&lt;="&amp;AC$5)&lt;1000000,SUMIFS($D$245:$D$595,$F$245:$F$595,0,$E$245:$E$595,$G356,$C$245:$C$595,"&lt;="&amp;AE5)&gt;=1000000),SUMIFS($D$245:$D$595,$F$245:$F$595,0,$E$245:$E$595,$G356)*$C$157 ,0)</f>
        <v/>
      </c>
      <c r="AF356" s="19" t="n"/>
    </row>
    <row r="357">
      <c r="A357" s="20">
        <f>mid(E357, 3, 1)</f>
        <v/>
      </c>
      <c r="B357" s="14" t="inlineStr"/>
      <c r="C357" s="21">
        <f>SUMIFS('Investor Exit List'!$AC:$AC,'Investor Exit List'!$AB:$AB,B357)</f>
        <v/>
      </c>
      <c r="D357" s="14">
        <f>SUMIFS('Investor Exit List'!$Q:$Q,'Investor Exit List'!$AB:$AB,B357)</f>
        <v/>
      </c>
      <c r="E357" s="31">
        <f>LEFT(B357,6)</f>
        <v/>
      </c>
      <c r="F357" s="14">
        <f>IF(SUMIFS($E$119:$E$151,$D$119:$D$151,E357)&lt;&gt;0,E357,0)</f>
        <v/>
      </c>
      <c r="G357" s="59" t="n"/>
      <c r="I357" s="28">
        <f>IF(AND(SUMIFS($D$245:$D$595,$F$245:$F$595,0,$E$245:$E$595,$G357,$C$245:$C$595,"&lt;="&amp;B$2)&lt;1000000,SUMIFS($D$245:$D$595,$F$245:$F$595,0,$E$245:$E$595,$G357,$C$245:$C$595,"&lt;="&amp;I5)&gt;=1000000),SUMIFS($D$245:$D$595,$F$245:$F$595,0,$E$245:$E$595,$G357)*$C$157 ,0)</f>
        <v/>
      </c>
      <c r="K357" s="95">
        <f>IF(AND(SUMIFS($D$245:$D$595,$F$245:$F$595,0,$E$245:$E$595,$G357,$C$245:$C$595,"&lt;="&amp;I$5)&lt;1000000,SUMIFS($D$245:$D$595,$F$245:$F$595,0,$E$245:$E$595,$G357,$C$245:$C$595,"&lt;="&amp;K5)&gt;=1000000),SUMIFS($D$245:$D$595,$F$245:$F$595,0,$E$245:$E$595,$G357)*$C$157 ,0)</f>
        <v/>
      </c>
      <c r="M357" s="95">
        <f>IF(AND(SUMIFS($D$245:$D$595,$F$245:$F$595,0,$E$245:$E$595,$G357,$C$245:$C$595,"&lt;="&amp;K$5)&lt;1000000,SUMIFS($D$245:$D$595,$F$245:$F$595,0,$E$245:$E$595,$G357,$C$245:$C$595,"&lt;="&amp;M5)&gt;=1000000),SUMIFS($D$245:$D$595,$F$245:$F$595,0,$E$245:$E$595,$G357)*$C$157 ,0)</f>
        <v/>
      </c>
      <c r="O357" s="95">
        <f>IF(AND(SUMIFS($D$245:$D$595,$F$245:$F$595,0,$E$245:$E$595,$G357,$C$245:$C$595,"&lt;="&amp;M$5)&lt;1000000,SUMIFS($D$245:$D$595,$F$245:$F$595,0,$E$245:$E$595,$G357,$C$245:$C$595,"&lt;="&amp;O5)&gt;=1000000),SUMIFS($D$245:$D$595,$F$245:$F$595,0,$E$245:$E$595,$G357)*$C$157 ,0)</f>
        <v/>
      </c>
      <c r="Q357" s="95">
        <f>IF(AND(SUMIFS($D$245:$D$595,$F$245:$F$595,0,$E$245:$E$595,$G357,$C$245:$C$595,"&lt;="&amp;O$5)&lt;1000000,SUMIFS($D$245:$D$595,$F$245:$F$595,0,$E$245:$E$595,$G357,$C$245:$C$595,"&lt;="&amp;Q5)&gt;=1000000),SUMIFS($D$245:$D$595,$F$245:$F$595,0,$E$245:$E$595,$G357)*$C$157 ,0)</f>
        <v/>
      </c>
      <c r="S357" s="95">
        <f>IF(AND(SUMIFS($D$245:$D$595,$F$245:$F$595,0,$E$245:$E$595,$G357,$C$245:$C$595,"&lt;="&amp;Q$5)&lt;1000000,SUMIFS($D$245:$D$595,$F$245:$F$595,0,$E$245:$E$595,$G357,$C$245:$C$595,"&lt;="&amp;S5)&gt;=1000000),SUMIFS($D$245:$D$595,$F$245:$F$595,0,$E$245:$E$595,$G357)*$C$157 ,0)</f>
        <v/>
      </c>
      <c r="U357" s="95">
        <f>IF(AND(SUMIFS($D$245:$D$595,$F$245:$F$595,0,$E$245:$E$595,$G357,$C$245:$C$595,"&lt;="&amp;S$5)&lt;1000000,SUMIFS($D$245:$D$595,$F$245:$F$595,0,$E$245:$E$595,$G357,$C$245:$C$595,"&lt;="&amp;U5)&gt;=1000000),SUMIFS($D$245:$D$595,$F$245:$F$595,0,$E$245:$E$595,$G357)*$C$157 ,0)</f>
        <v/>
      </c>
      <c r="W357" s="95">
        <f>IF(AND(SUMIFS($D$245:$D$595,$F$245:$F$595,0,$E$245:$E$595,$G357,$C$245:$C$595,"&lt;="&amp;U$5)&lt;1000000,SUMIFS($D$245:$D$595,$F$245:$F$595,0,$E$245:$E$595,$G357,$C$245:$C$595,"&lt;="&amp;W5)&gt;=1000000),SUMIFS($D$245:$D$595,$F$245:$F$595,0,$E$245:$E$595,$G357)*$C$157 ,0)</f>
        <v/>
      </c>
      <c r="Y357" s="95">
        <f>IF(AND(SUMIFS($D$245:$D$595,$F$245:$F$595,0,$E$245:$E$595,$G357,$C$245:$C$595,"&lt;="&amp;W$5)&lt;1000000,SUMIFS($D$245:$D$595,$F$245:$F$595,0,$E$245:$E$595,$G357,$C$245:$C$595,"&lt;="&amp;Y5)&gt;=1000000),SUMIFS($D$245:$D$595,$F$245:$F$595,0,$E$245:$E$595,$G357)*$C$157 ,0)</f>
        <v/>
      </c>
      <c r="AA357" s="95">
        <f>IF(AND(SUMIFS($D$245:$D$595,$F$245:$F$595,0,$E$245:$E$595,$G357,$C$245:$C$595,"&lt;="&amp;Y$5)&lt;1000000,SUMIFS($D$245:$D$595,$F$245:$F$595,0,$E$245:$E$595,$G357,$C$245:$C$595,"&lt;="&amp;AA5)&gt;=1000000),SUMIFS($D$245:$D$595,$F$245:$F$595,0,$E$245:$E$595,$G357)*$C$157 ,0)</f>
        <v/>
      </c>
      <c r="AC357" s="95">
        <f>IF(AND(SUMIFS($D$245:$D$595,$F$245:$F$595,0,$E$245:$E$595,$G357,$C$245:$C$595,"&lt;="&amp;AA$5)&lt;1000000,SUMIFS($D$245:$D$595,$F$245:$F$595,0,$E$245:$E$595,$G357,$C$245:$C$595,"&lt;="&amp;AC5)&gt;=1000000),SUMIFS($D$245:$D$595,$F$245:$F$595,0,$E$245:$E$595,$G357)*$C$157 ,0)</f>
        <v/>
      </c>
      <c r="AE357" s="95">
        <f>IF(AND(SUMIFS($D$245:$D$595,$F$245:$F$595,0,$E$245:$E$595,$G357,$C$245:$C$595,"&lt;="&amp;AC$5)&lt;1000000,SUMIFS($D$245:$D$595,$F$245:$F$595,0,$E$245:$E$595,$G357,$C$245:$C$595,"&lt;="&amp;AE5)&gt;=1000000),SUMIFS($D$245:$D$595,$F$245:$F$595,0,$E$245:$E$595,$G357)*$C$157 ,0)</f>
        <v/>
      </c>
      <c r="AF357" s="19" t="n"/>
    </row>
    <row r="358">
      <c r="A358" s="20">
        <f>mid(E358, 3, 1)</f>
        <v/>
      </c>
      <c r="B358" s="14" t="inlineStr"/>
      <c r="C358" s="21">
        <f>SUMIFS('Investor Exit List'!$AC:$AC,'Investor Exit List'!$AB:$AB,B358)</f>
        <v/>
      </c>
      <c r="D358" s="14">
        <f>SUMIFS('Investor Exit List'!$Q:$Q,'Investor Exit List'!$AB:$AB,B358)</f>
        <v/>
      </c>
      <c r="E358" s="31">
        <f>LEFT(B358,6)</f>
        <v/>
      </c>
      <c r="F358" s="14">
        <f>IF(SUMIFS($E$119:$E$151,$D$119:$D$151,E358)&lt;&gt;0,E358,0)</f>
        <v/>
      </c>
      <c r="G358" s="59" t="n"/>
      <c r="I358" s="28">
        <f>IF(AND(SUMIFS($D$245:$D$595,$F$245:$F$595,0,$E$245:$E$595,$G358,$C$245:$C$595,"&lt;="&amp;B$2)&lt;1000000,SUMIFS($D$245:$D$595,$F$245:$F$595,0,$E$245:$E$595,$G358,$C$245:$C$595,"&lt;="&amp;I5)&gt;=1000000),SUMIFS($D$245:$D$595,$F$245:$F$595,0,$E$245:$E$595,$G358)*$C$157 ,0)</f>
        <v/>
      </c>
      <c r="K358" s="95">
        <f>IF(AND(SUMIFS($D$245:$D$595,$F$245:$F$595,0,$E$245:$E$595,$G358,$C$245:$C$595,"&lt;="&amp;I$5)&lt;1000000,SUMIFS($D$245:$D$595,$F$245:$F$595,0,$E$245:$E$595,$G358,$C$245:$C$595,"&lt;="&amp;K5)&gt;=1000000),SUMIFS($D$245:$D$595,$F$245:$F$595,0,$E$245:$E$595,$G358)*$C$157 ,0)</f>
        <v/>
      </c>
      <c r="M358" s="95">
        <f>IF(AND(SUMIFS($D$245:$D$595,$F$245:$F$595,0,$E$245:$E$595,$G358,$C$245:$C$595,"&lt;="&amp;K$5)&lt;1000000,SUMIFS($D$245:$D$595,$F$245:$F$595,0,$E$245:$E$595,$G358,$C$245:$C$595,"&lt;="&amp;M5)&gt;=1000000),SUMIFS($D$245:$D$595,$F$245:$F$595,0,$E$245:$E$595,$G358)*$C$157 ,0)</f>
        <v/>
      </c>
      <c r="O358" s="95">
        <f>IF(AND(SUMIFS($D$245:$D$595,$F$245:$F$595,0,$E$245:$E$595,$G358,$C$245:$C$595,"&lt;="&amp;M$5)&lt;1000000,SUMIFS($D$245:$D$595,$F$245:$F$595,0,$E$245:$E$595,$G358,$C$245:$C$595,"&lt;="&amp;O5)&gt;=1000000),SUMIFS($D$245:$D$595,$F$245:$F$595,0,$E$245:$E$595,$G358)*$C$157 ,0)</f>
        <v/>
      </c>
      <c r="Q358" s="95">
        <f>IF(AND(SUMIFS($D$245:$D$595,$F$245:$F$595,0,$E$245:$E$595,$G358,$C$245:$C$595,"&lt;="&amp;O$5)&lt;1000000,SUMIFS($D$245:$D$595,$F$245:$F$595,0,$E$245:$E$595,$G358,$C$245:$C$595,"&lt;="&amp;Q5)&gt;=1000000),SUMIFS($D$245:$D$595,$F$245:$F$595,0,$E$245:$E$595,$G358)*$C$157 ,0)</f>
        <v/>
      </c>
      <c r="S358" s="95">
        <f>IF(AND(SUMIFS($D$245:$D$595,$F$245:$F$595,0,$E$245:$E$595,$G358,$C$245:$C$595,"&lt;="&amp;Q$5)&lt;1000000,SUMIFS($D$245:$D$595,$F$245:$F$595,0,$E$245:$E$595,$G358,$C$245:$C$595,"&lt;="&amp;S5)&gt;=1000000),SUMIFS($D$245:$D$595,$F$245:$F$595,0,$E$245:$E$595,$G358)*$C$157 ,0)</f>
        <v/>
      </c>
      <c r="U358" s="95">
        <f>IF(AND(SUMIFS($D$245:$D$595,$F$245:$F$595,0,$E$245:$E$595,$G358,$C$245:$C$595,"&lt;="&amp;S$5)&lt;1000000,SUMIFS($D$245:$D$595,$F$245:$F$595,0,$E$245:$E$595,$G358,$C$245:$C$595,"&lt;="&amp;U5)&gt;=1000000),SUMIFS($D$245:$D$595,$F$245:$F$595,0,$E$245:$E$595,$G358)*$C$157 ,0)</f>
        <v/>
      </c>
      <c r="W358" s="95">
        <f>IF(AND(SUMIFS($D$245:$D$595,$F$245:$F$595,0,$E$245:$E$595,$G358,$C$245:$C$595,"&lt;="&amp;U$5)&lt;1000000,SUMIFS($D$245:$D$595,$F$245:$F$595,0,$E$245:$E$595,$G358,$C$245:$C$595,"&lt;="&amp;W5)&gt;=1000000),SUMIFS($D$245:$D$595,$F$245:$F$595,0,$E$245:$E$595,$G358)*$C$157 ,0)</f>
        <v/>
      </c>
      <c r="Y358" s="95">
        <f>IF(AND(SUMIFS($D$245:$D$595,$F$245:$F$595,0,$E$245:$E$595,$G358,$C$245:$C$595,"&lt;="&amp;W$5)&lt;1000000,SUMIFS($D$245:$D$595,$F$245:$F$595,0,$E$245:$E$595,$G358,$C$245:$C$595,"&lt;="&amp;Y5)&gt;=1000000),SUMIFS($D$245:$D$595,$F$245:$F$595,0,$E$245:$E$595,$G358)*$C$157 ,0)</f>
        <v/>
      </c>
      <c r="AA358" s="95">
        <f>IF(AND(SUMIFS($D$245:$D$595,$F$245:$F$595,0,$E$245:$E$595,$G358,$C$245:$C$595,"&lt;="&amp;Y$5)&lt;1000000,SUMIFS($D$245:$D$595,$F$245:$F$595,0,$E$245:$E$595,$G358,$C$245:$C$595,"&lt;="&amp;AA5)&gt;=1000000),SUMIFS($D$245:$D$595,$F$245:$F$595,0,$E$245:$E$595,$G358)*$C$157 ,0)</f>
        <v/>
      </c>
      <c r="AC358" s="95">
        <f>IF(AND(SUMIFS($D$245:$D$595,$F$245:$F$595,0,$E$245:$E$595,$G358,$C$245:$C$595,"&lt;="&amp;AA$5)&lt;1000000,SUMIFS($D$245:$D$595,$F$245:$F$595,0,$E$245:$E$595,$G358,$C$245:$C$595,"&lt;="&amp;AC5)&gt;=1000000),SUMIFS($D$245:$D$595,$F$245:$F$595,0,$E$245:$E$595,$G358)*$C$157 ,0)</f>
        <v/>
      </c>
      <c r="AE358" s="95">
        <f>IF(AND(SUMIFS($D$245:$D$595,$F$245:$F$595,0,$E$245:$E$595,$G358,$C$245:$C$595,"&lt;="&amp;AC$5)&lt;1000000,SUMIFS($D$245:$D$595,$F$245:$F$595,0,$E$245:$E$595,$G358,$C$245:$C$595,"&lt;="&amp;AE5)&gt;=1000000),SUMIFS($D$245:$D$595,$F$245:$F$595,0,$E$245:$E$595,$G358)*$C$157 ,0)</f>
        <v/>
      </c>
      <c r="AF358" s="19" t="n"/>
    </row>
    <row r="359">
      <c r="A359" s="20">
        <f>mid(E359, 3, 1)</f>
        <v/>
      </c>
      <c r="B359" s="14" t="inlineStr"/>
      <c r="C359" s="21">
        <f>SUMIFS('Investor Exit List'!$AC:$AC,'Investor Exit List'!$AB:$AB,B359)</f>
        <v/>
      </c>
      <c r="D359" s="14">
        <f>SUMIFS('Investor Exit List'!$Q:$Q,'Investor Exit List'!$AB:$AB,B359)</f>
        <v/>
      </c>
      <c r="E359" s="31">
        <f>LEFT(B359,6)</f>
        <v/>
      </c>
      <c r="F359" s="14">
        <f>IF(SUMIFS($E$119:$E$151,$D$119:$D$151,E359)&lt;&gt;0,E359,0)</f>
        <v/>
      </c>
      <c r="G359" s="59" t="n"/>
      <c r="I359" s="28">
        <f>IF(AND(SUMIFS($D$245:$D$595,$F$245:$F$595,0,$E$245:$E$595,$G359,$C$245:$C$595,"&lt;="&amp;B$2)&lt;1000000,SUMIFS($D$245:$D$595,$F$245:$F$595,0,$E$245:$E$595,$G359,$C$245:$C$595,"&lt;="&amp;I5)&gt;=1000000),SUMIFS($D$245:$D$595,$F$245:$F$595,0,$E$245:$E$595,$G359)*$C$157 ,0)</f>
        <v/>
      </c>
      <c r="K359" s="95">
        <f>IF(AND(SUMIFS($D$245:$D$595,$F$245:$F$595,0,$E$245:$E$595,$G359,$C$245:$C$595,"&lt;="&amp;I$5)&lt;1000000,SUMIFS($D$245:$D$595,$F$245:$F$595,0,$E$245:$E$595,$G359,$C$245:$C$595,"&lt;="&amp;K5)&gt;=1000000),SUMIFS($D$245:$D$595,$F$245:$F$595,0,$E$245:$E$595,$G359)*$C$157 ,0)</f>
        <v/>
      </c>
      <c r="M359" s="95">
        <f>IF(AND(SUMIFS($D$245:$D$595,$F$245:$F$595,0,$E$245:$E$595,$G359,$C$245:$C$595,"&lt;="&amp;K$5)&lt;1000000,SUMIFS($D$245:$D$595,$F$245:$F$595,0,$E$245:$E$595,$G359,$C$245:$C$595,"&lt;="&amp;M5)&gt;=1000000),SUMIFS($D$245:$D$595,$F$245:$F$595,0,$E$245:$E$595,$G359)*$C$157 ,0)</f>
        <v/>
      </c>
      <c r="O359" s="95">
        <f>IF(AND(SUMIFS($D$245:$D$595,$F$245:$F$595,0,$E$245:$E$595,$G359,$C$245:$C$595,"&lt;="&amp;M$5)&lt;1000000,SUMIFS($D$245:$D$595,$F$245:$F$595,0,$E$245:$E$595,$G359,$C$245:$C$595,"&lt;="&amp;O5)&gt;=1000000),SUMIFS($D$245:$D$595,$F$245:$F$595,0,$E$245:$E$595,$G359)*$C$157 ,0)</f>
        <v/>
      </c>
      <c r="Q359" s="95">
        <f>IF(AND(SUMIFS($D$245:$D$595,$F$245:$F$595,0,$E$245:$E$595,$G359,$C$245:$C$595,"&lt;="&amp;O$5)&lt;1000000,SUMIFS($D$245:$D$595,$F$245:$F$595,0,$E$245:$E$595,$G359,$C$245:$C$595,"&lt;="&amp;Q5)&gt;=1000000),SUMIFS($D$245:$D$595,$F$245:$F$595,0,$E$245:$E$595,$G359)*$C$157 ,0)</f>
        <v/>
      </c>
      <c r="S359" s="95">
        <f>IF(AND(SUMIFS($D$245:$D$595,$F$245:$F$595,0,$E$245:$E$595,$G359,$C$245:$C$595,"&lt;="&amp;Q$5)&lt;1000000,SUMIFS($D$245:$D$595,$F$245:$F$595,0,$E$245:$E$595,$G359,$C$245:$C$595,"&lt;="&amp;S5)&gt;=1000000),SUMIFS($D$245:$D$595,$F$245:$F$595,0,$E$245:$E$595,$G359)*$C$157 ,0)</f>
        <v/>
      </c>
      <c r="U359" s="95">
        <f>IF(AND(SUMIFS($D$245:$D$595,$F$245:$F$595,0,$E$245:$E$595,$G359,$C$245:$C$595,"&lt;="&amp;S$5)&lt;1000000,SUMIFS($D$245:$D$595,$F$245:$F$595,0,$E$245:$E$595,$G359,$C$245:$C$595,"&lt;="&amp;U5)&gt;=1000000),SUMIFS($D$245:$D$595,$F$245:$F$595,0,$E$245:$E$595,$G359)*$C$157 ,0)</f>
        <v/>
      </c>
      <c r="W359" s="95">
        <f>IF(AND(SUMIFS($D$245:$D$595,$F$245:$F$595,0,$E$245:$E$595,$G359,$C$245:$C$595,"&lt;="&amp;U$5)&lt;1000000,SUMIFS($D$245:$D$595,$F$245:$F$595,0,$E$245:$E$595,$G359,$C$245:$C$595,"&lt;="&amp;W5)&gt;=1000000),SUMIFS($D$245:$D$595,$F$245:$F$595,0,$E$245:$E$595,$G359)*$C$157 ,0)</f>
        <v/>
      </c>
      <c r="Y359" s="95">
        <f>IF(AND(SUMIFS($D$245:$D$595,$F$245:$F$595,0,$E$245:$E$595,$G359,$C$245:$C$595,"&lt;="&amp;W$5)&lt;1000000,SUMIFS($D$245:$D$595,$F$245:$F$595,0,$E$245:$E$595,$G359,$C$245:$C$595,"&lt;="&amp;Y5)&gt;=1000000),SUMIFS($D$245:$D$595,$F$245:$F$595,0,$E$245:$E$595,$G359)*$C$157 ,0)</f>
        <v/>
      </c>
      <c r="AA359" s="95">
        <f>IF(AND(SUMIFS($D$245:$D$595,$F$245:$F$595,0,$E$245:$E$595,$G359,$C$245:$C$595,"&lt;="&amp;Y$5)&lt;1000000,SUMIFS($D$245:$D$595,$F$245:$F$595,0,$E$245:$E$595,$G359,$C$245:$C$595,"&lt;="&amp;AA5)&gt;=1000000),SUMIFS($D$245:$D$595,$F$245:$F$595,0,$E$245:$E$595,$G359)*$C$157 ,0)</f>
        <v/>
      </c>
      <c r="AC359" s="95">
        <f>IF(AND(SUMIFS($D$245:$D$595,$F$245:$F$595,0,$E$245:$E$595,$G359,$C$245:$C$595,"&lt;="&amp;AA$5)&lt;1000000,SUMIFS($D$245:$D$595,$F$245:$F$595,0,$E$245:$E$595,$G359,$C$245:$C$595,"&lt;="&amp;AC5)&gt;=1000000),SUMIFS($D$245:$D$595,$F$245:$F$595,0,$E$245:$E$595,$G359)*$C$157 ,0)</f>
        <v/>
      </c>
      <c r="AE359" s="95">
        <f>IF(AND(SUMIFS($D$245:$D$595,$F$245:$F$595,0,$E$245:$E$595,$G359,$C$245:$C$595,"&lt;="&amp;AC$5)&lt;1000000,SUMIFS($D$245:$D$595,$F$245:$F$595,0,$E$245:$E$595,$G359,$C$245:$C$595,"&lt;="&amp;AE5)&gt;=1000000),SUMIFS($D$245:$D$595,$F$245:$F$595,0,$E$245:$E$595,$G359)*$C$157 ,0)</f>
        <v/>
      </c>
      <c r="AF359" s="19" t="n"/>
    </row>
    <row r="360">
      <c r="A360" s="20">
        <f>mid(E360, 3, 1)</f>
        <v/>
      </c>
      <c r="B360" s="14" t="inlineStr"/>
      <c r="C360" s="21">
        <f>SUMIFS('Investor Exit List'!$AC:$AC,'Investor Exit List'!$AB:$AB,B360)</f>
        <v/>
      </c>
      <c r="D360" s="14">
        <f>SUMIFS('Investor Exit List'!$Q:$Q,'Investor Exit List'!$AB:$AB,B360)</f>
        <v/>
      </c>
      <c r="E360" s="31">
        <f>LEFT(B360,6)</f>
        <v/>
      </c>
      <c r="F360" s="14">
        <f>IF(SUMIFS($E$119:$E$151,$D$119:$D$151,E360)&lt;&gt;0,E360,0)</f>
        <v/>
      </c>
      <c r="G360" s="59" t="n"/>
      <c r="I360" s="28">
        <f>IF(AND(SUMIFS($D$245:$D$595,$F$245:$F$595,0,$E$245:$E$595,$G360,$C$245:$C$595,"&lt;="&amp;B$2)&lt;1000000,SUMIFS($D$245:$D$595,$F$245:$F$595,0,$E$245:$E$595,$G360,$C$245:$C$595,"&lt;="&amp;I5)&gt;=1000000),SUMIFS($D$245:$D$595,$F$245:$F$595,0,$E$245:$E$595,$G360)*$C$157 ,0)</f>
        <v/>
      </c>
      <c r="K360" s="95">
        <f>IF(AND(SUMIFS($D$245:$D$595,$F$245:$F$595,0,$E$245:$E$595,$G360,$C$245:$C$595,"&lt;="&amp;I$5)&lt;1000000,SUMIFS($D$245:$D$595,$F$245:$F$595,0,$E$245:$E$595,$G360,$C$245:$C$595,"&lt;="&amp;K5)&gt;=1000000),SUMIFS($D$245:$D$595,$F$245:$F$595,0,$E$245:$E$595,$G360)*$C$157 ,0)</f>
        <v/>
      </c>
      <c r="M360" s="95">
        <f>IF(AND(SUMIFS($D$245:$D$595,$F$245:$F$595,0,$E$245:$E$595,$G360,$C$245:$C$595,"&lt;="&amp;K$5)&lt;1000000,SUMIFS($D$245:$D$595,$F$245:$F$595,0,$E$245:$E$595,$G360,$C$245:$C$595,"&lt;="&amp;M5)&gt;=1000000),SUMIFS($D$245:$D$595,$F$245:$F$595,0,$E$245:$E$595,$G360)*$C$157 ,0)</f>
        <v/>
      </c>
      <c r="O360" s="95">
        <f>IF(AND(SUMIFS($D$245:$D$595,$F$245:$F$595,0,$E$245:$E$595,$G360,$C$245:$C$595,"&lt;="&amp;M$5)&lt;1000000,SUMIFS($D$245:$D$595,$F$245:$F$595,0,$E$245:$E$595,$G360,$C$245:$C$595,"&lt;="&amp;O5)&gt;=1000000),SUMIFS($D$245:$D$595,$F$245:$F$595,0,$E$245:$E$595,$G360)*$C$157 ,0)</f>
        <v/>
      </c>
      <c r="Q360" s="95">
        <f>IF(AND(SUMIFS($D$245:$D$595,$F$245:$F$595,0,$E$245:$E$595,$G360,$C$245:$C$595,"&lt;="&amp;O$5)&lt;1000000,SUMIFS($D$245:$D$595,$F$245:$F$595,0,$E$245:$E$595,$G360,$C$245:$C$595,"&lt;="&amp;Q5)&gt;=1000000),SUMIFS($D$245:$D$595,$F$245:$F$595,0,$E$245:$E$595,$G360)*$C$157 ,0)</f>
        <v/>
      </c>
      <c r="S360" s="95">
        <f>IF(AND(SUMIFS($D$245:$D$595,$F$245:$F$595,0,$E$245:$E$595,$G360,$C$245:$C$595,"&lt;="&amp;Q$5)&lt;1000000,SUMIFS($D$245:$D$595,$F$245:$F$595,0,$E$245:$E$595,$G360,$C$245:$C$595,"&lt;="&amp;S5)&gt;=1000000),SUMIFS($D$245:$D$595,$F$245:$F$595,0,$E$245:$E$595,$G360)*$C$157 ,0)</f>
        <v/>
      </c>
      <c r="U360" s="95">
        <f>IF(AND(SUMIFS($D$245:$D$595,$F$245:$F$595,0,$E$245:$E$595,$G360,$C$245:$C$595,"&lt;="&amp;S$5)&lt;1000000,SUMIFS($D$245:$D$595,$F$245:$F$595,0,$E$245:$E$595,$G360,$C$245:$C$595,"&lt;="&amp;U5)&gt;=1000000),SUMIFS($D$245:$D$595,$F$245:$F$595,0,$E$245:$E$595,$G360)*$C$157 ,0)</f>
        <v/>
      </c>
      <c r="W360" s="95">
        <f>IF(AND(SUMIFS($D$245:$D$595,$F$245:$F$595,0,$E$245:$E$595,$G360,$C$245:$C$595,"&lt;="&amp;U$5)&lt;1000000,SUMIFS($D$245:$D$595,$F$245:$F$595,0,$E$245:$E$595,$G360,$C$245:$C$595,"&lt;="&amp;W5)&gt;=1000000),SUMIFS($D$245:$D$595,$F$245:$F$595,0,$E$245:$E$595,$G360)*$C$157 ,0)</f>
        <v/>
      </c>
      <c r="Y360" s="95">
        <f>IF(AND(SUMIFS($D$245:$D$595,$F$245:$F$595,0,$E$245:$E$595,$G360,$C$245:$C$595,"&lt;="&amp;W$5)&lt;1000000,SUMIFS($D$245:$D$595,$F$245:$F$595,0,$E$245:$E$595,$G360,$C$245:$C$595,"&lt;="&amp;Y5)&gt;=1000000),SUMIFS($D$245:$D$595,$F$245:$F$595,0,$E$245:$E$595,$G360)*$C$157 ,0)</f>
        <v/>
      </c>
      <c r="AA360" s="95">
        <f>IF(AND(SUMIFS($D$245:$D$595,$F$245:$F$595,0,$E$245:$E$595,$G360,$C$245:$C$595,"&lt;="&amp;Y$5)&lt;1000000,SUMIFS($D$245:$D$595,$F$245:$F$595,0,$E$245:$E$595,$G360,$C$245:$C$595,"&lt;="&amp;AA5)&gt;=1000000),SUMIFS($D$245:$D$595,$F$245:$F$595,0,$E$245:$E$595,$G360)*$C$157 ,0)</f>
        <v/>
      </c>
      <c r="AC360" s="95">
        <f>IF(AND(SUMIFS($D$245:$D$595,$F$245:$F$595,0,$E$245:$E$595,$G360,$C$245:$C$595,"&lt;="&amp;AA$5)&lt;1000000,SUMIFS($D$245:$D$595,$F$245:$F$595,0,$E$245:$E$595,$G360,$C$245:$C$595,"&lt;="&amp;AC5)&gt;=1000000),SUMIFS($D$245:$D$595,$F$245:$F$595,0,$E$245:$E$595,$G360)*$C$157 ,0)</f>
        <v/>
      </c>
      <c r="AE360" s="95">
        <f>IF(AND(SUMIFS($D$245:$D$595,$F$245:$F$595,0,$E$245:$E$595,$G360,$C$245:$C$595,"&lt;="&amp;AC$5)&lt;1000000,SUMIFS($D$245:$D$595,$F$245:$F$595,0,$E$245:$E$595,$G360,$C$245:$C$595,"&lt;="&amp;AE5)&gt;=1000000),SUMIFS($D$245:$D$595,$F$245:$F$595,0,$E$245:$E$595,$G360)*$C$157 ,0)</f>
        <v/>
      </c>
      <c r="AF360" s="19" t="n"/>
    </row>
    <row r="361">
      <c r="A361" s="20">
        <f>mid(E361, 3, 1)</f>
        <v/>
      </c>
      <c r="B361" s="14" t="inlineStr"/>
      <c r="C361" s="21">
        <f>SUMIFS('Investor Exit List'!$AC:$AC,'Investor Exit List'!$AB:$AB,B361)</f>
        <v/>
      </c>
      <c r="D361" s="14">
        <f>SUMIFS('Investor Exit List'!$Q:$Q,'Investor Exit List'!$AB:$AB,B361)</f>
        <v/>
      </c>
      <c r="E361" s="31">
        <f>LEFT(B361,6)</f>
        <v/>
      </c>
      <c r="F361" s="14">
        <f>IF(SUMIFS($E$119:$E$151,$D$119:$D$151,E361)&lt;&gt;0,E361,0)</f>
        <v/>
      </c>
      <c r="G361" s="59" t="n"/>
      <c r="I361" s="28">
        <f>IF(AND(SUMIFS($D$245:$D$595,$F$245:$F$595,0,$E$245:$E$595,$G361,$C$245:$C$595,"&lt;="&amp;B$2)&lt;1000000,SUMIFS($D$245:$D$595,$F$245:$F$595,0,$E$245:$E$595,$G361,$C$245:$C$595,"&lt;="&amp;I5)&gt;=1000000),SUMIFS($D$245:$D$595,$F$245:$F$595,0,$E$245:$E$595,$G361)*$C$157 ,0)</f>
        <v/>
      </c>
      <c r="K361" s="95">
        <f>IF(AND(SUMIFS($D$245:$D$595,$F$245:$F$595,0,$E$245:$E$595,$G361,$C$245:$C$595,"&lt;="&amp;I$5)&lt;1000000,SUMIFS($D$245:$D$595,$F$245:$F$595,0,$E$245:$E$595,$G361,$C$245:$C$595,"&lt;="&amp;K5)&gt;=1000000),SUMIFS($D$245:$D$595,$F$245:$F$595,0,$E$245:$E$595,$G361)*$C$157 ,0)</f>
        <v/>
      </c>
      <c r="M361" s="95">
        <f>IF(AND(SUMIFS($D$245:$D$595,$F$245:$F$595,0,$E$245:$E$595,$G361,$C$245:$C$595,"&lt;="&amp;K$5)&lt;1000000,SUMIFS($D$245:$D$595,$F$245:$F$595,0,$E$245:$E$595,$G361,$C$245:$C$595,"&lt;="&amp;M5)&gt;=1000000),SUMIFS($D$245:$D$595,$F$245:$F$595,0,$E$245:$E$595,$G361)*$C$157 ,0)</f>
        <v/>
      </c>
      <c r="O361" s="95">
        <f>IF(AND(SUMIFS($D$245:$D$595,$F$245:$F$595,0,$E$245:$E$595,$G361,$C$245:$C$595,"&lt;="&amp;M$5)&lt;1000000,SUMIFS($D$245:$D$595,$F$245:$F$595,0,$E$245:$E$595,$G361,$C$245:$C$595,"&lt;="&amp;O5)&gt;=1000000),SUMIFS($D$245:$D$595,$F$245:$F$595,0,$E$245:$E$595,$G361)*$C$157 ,0)</f>
        <v/>
      </c>
      <c r="Q361" s="95">
        <f>IF(AND(SUMIFS($D$245:$D$595,$F$245:$F$595,0,$E$245:$E$595,$G361,$C$245:$C$595,"&lt;="&amp;O$5)&lt;1000000,SUMIFS($D$245:$D$595,$F$245:$F$595,0,$E$245:$E$595,$G361,$C$245:$C$595,"&lt;="&amp;Q5)&gt;=1000000),SUMIFS($D$245:$D$595,$F$245:$F$595,0,$E$245:$E$595,$G361)*$C$157 ,0)</f>
        <v/>
      </c>
      <c r="S361" s="95">
        <f>IF(AND(SUMIFS($D$245:$D$595,$F$245:$F$595,0,$E$245:$E$595,$G361,$C$245:$C$595,"&lt;="&amp;Q$5)&lt;1000000,SUMIFS($D$245:$D$595,$F$245:$F$595,0,$E$245:$E$595,$G361,$C$245:$C$595,"&lt;="&amp;S5)&gt;=1000000),SUMIFS($D$245:$D$595,$F$245:$F$595,0,$E$245:$E$595,$G361)*$C$157 ,0)</f>
        <v/>
      </c>
      <c r="U361" s="95">
        <f>IF(AND(SUMIFS($D$245:$D$595,$F$245:$F$595,0,$E$245:$E$595,$G361,$C$245:$C$595,"&lt;="&amp;S$5)&lt;1000000,SUMIFS($D$245:$D$595,$F$245:$F$595,0,$E$245:$E$595,$G361,$C$245:$C$595,"&lt;="&amp;U5)&gt;=1000000),SUMIFS($D$245:$D$595,$F$245:$F$595,0,$E$245:$E$595,$G361)*$C$157 ,0)</f>
        <v/>
      </c>
      <c r="W361" s="95">
        <f>IF(AND(SUMIFS($D$245:$D$595,$F$245:$F$595,0,$E$245:$E$595,$G361,$C$245:$C$595,"&lt;="&amp;U$5)&lt;1000000,SUMIFS($D$245:$D$595,$F$245:$F$595,0,$E$245:$E$595,$G361,$C$245:$C$595,"&lt;="&amp;W5)&gt;=1000000),SUMIFS($D$245:$D$595,$F$245:$F$595,0,$E$245:$E$595,$G361)*$C$157 ,0)</f>
        <v/>
      </c>
      <c r="Y361" s="95">
        <f>IF(AND(SUMIFS($D$245:$D$595,$F$245:$F$595,0,$E$245:$E$595,$G361,$C$245:$C$595,"&lt;="&amp;W$5)&lt;1000000,SUMIFS($D$245:$D$595,$F$245:$F$595,0,$E$245:$E$595,$G361,$C$245:$C$595,"&lt;="&amp;Y5)&gt;=1000000),SUMIFS($D$245:$D$595,$F$245:$F$595,0,$E$245:$E$595,$G361)*$C$157 ,0)</f>
        <v/>
      </c>
      <c r="AA361" s="95">
        <f>IF(AND(SUMIFS($D$245:$D$595,$F$245:$F$595,0,$E$245:$E$595,$G361,$C$245:$C$595,"&lt;="&amp;Y$5)&lt;1000000,SUMIFS($D$245:$D$595,$F$245:$F$595,0,$E$245:$E$595,$G361,$C$245:$C$595,"&lt;="&amp;AA5)&gt;=1000000),SUMIFS($D$245:$D$595,$F$245:$F$595,0,$E$245:$E$595,$G361)*$C$157 ,0)</f>
        <v/>
      </c>
      <c r="AC361" s="95">
        <f>IF(AND(SUMIFS($D$245:$D$595,$F$245:$F$595,0,$E$245:$E$595,$G361,$C$245:$C$595,"&lt;="&amp;AA$5)&lt;1000000,SUMIFS($D$245:$D$595,$F$245:$F$595,0,$E$245:$E$595,$G361,$C$245:$C$595,"&lt;="&amp;AC5)&gt;=1000000),SUMIFS($D$245:$D$595,$F$245:$F$595,0,$E$245:$E$595,$G361)*$C$157 ,0)</f>
        <v/>
      </c>
      <c r="AE361" s="95">
        <f>IF(AND(SUMIFS($D$245:$D$595,$F$245:$F$595,0,$E$245:$E$595,$G361,$C$245:$C$595,"&lt;="&amp;AC$5)&lt;1000000,SUMIFS($D$245:$D$595,$F$245:$F$595,0,$E$245:$E$595,$G361,$C$245:$C$595,"&lt;="&amp;AE5)&gt;=1000000),SUMIFS($D$245:$D$595,$F$245:$F$595,0,$E$245:$E$595,$G361)*$C$157 ,0)</f>
        <v/>
      </c>
      <c r="AF361" s="19" t="n"/>
    </row>
    <row r="362">
      <c r="A362" s="20">
        <f>mid(E362, 3, 1)</f>
        <v/>
      </c>
      <c r="B362" s="14" t="inlineStr"/>
      <c r="C362" s="21">
        <f>SUMIFS('Investor Exit List'!$AC:$AC,'Investor Exit List'!$AB:$AB,B362)</f>
        <v/>
      </c>
      <c r="D362" s="14">
        <f>SUMIFS('Investor Exit List'!$Q:$Q,'Investor Exit List'!$AB:$AB,B362)</f>
        <v/>
      </c>
      <c r="E362" s="31">
        <f>LEFT(B362,6)</f>
        <v/>
      </c>
      <c r="F362" s="14">
        <f>IF(SUMIFS($E$119:$E$151,$D$119:$D$151,E362)&lt;&gt;0,E362,0)</f>
        <v/>
      </c>
      <c r="G362" s="59" t="n"/>
      <c r="I362" s="28">
        <f>IF(AND(SUMIFS($D$245:$D$595,$F$245:$F$595,0,$E$245:$E$595,$G362,$C$245:$C$595,"&lt;="&amp;B$2)&lt;1000000,SUMIFS($D$245:$D$595,$F$245:$F$595,0,$E$245:$E$595,$G362,$C$245:$C$595,"&lt;="&amp;I5)&gt;=1000000),SUMIFS($D$245:$D$595,$F$245:$F$595,0,$E$245:$E$595,$G362)*$C$157 ,0)</f>
        <v/>
      </c>
      <c r="K362" s="95">
        <f>IF(AND(SUMIFS($D$245:$D$595,$F$245:$F$595,0,$E$245:$E$595,$G362,$C$245:$C$595,"&lt;="&amp;I$5)&lt;1000000,SUMIFS($D$245:$D$595,$F$245:$F$595,0,$E$245:$E$595,$G362,$C$245:$C$595,"&lt;="&amp;K5)&gt;=1000000),SUMIFS($D$245:$D$595,$F$245:$F$595,0,$E$245:$E$595,$G362)*$C$157 ,0)</f>
        <v/>
      </c>
      <c r="M362" s="95">
        <f>IF(AND(SUMIFS($D$245:$D$595,$F$245:$F$595,0,$E$245:$E$595,$G362,$C$245:$C$595,"&lt;="&amp;K$5)&lt;1000000,SUMIFS($D$245:$D$595,$F$245:$F$595,0,$E$245:$E$595,$G362,$C$245:$C$595,"&lt;="&amp;M5)&gt;=1000000),SUMIFS($D$245:$D$595,$F$245:$F$595,0,$E$245:$E$595,$G362)*$C$157 ,0)</f>
        <v/>
      </c>
      <c r="O362" s="95">
        <f>IF(AND(SUMIFS($D$245:$D$595,$F$245:$F$595,0,$E$245:$E$595,$G362,$C$245:$C$595,"&lt;="&amp;M$5)&lt;1000000,SUMIFS($D$245:$D$595,$F$245:$F$595,0,$E$245:$E$595,$G362,$C$245:$C$595,"&lt;="&amp;O5)&gt;=1000000),SUMIFS($D$245:$D$595,$F$245:$F$595,0,$E$245:$E$595,$G362)*$C$157 ,0)</f>
        <v/>
      </c>
      <c r="Q362" s="95">
        <f>IF(AND(SUMIFS($D$245:$D$595,$F$245:$F$595,0,$E$245:$E$595,$G362,$C$245:$C$595,"&lt;="&amp;O$5)&lt;1000000,SUMIFS($D$245:$D$595,$F$245:$F$595,0,$E$245:$E$595,$G362,$C$245:$C$595,"&lt;="&amp;Q5)&gt;=1000000),SUMIFS($D$245:$D$595,$F$245:$F$595,0,$E$245:$E$595,$G362)*$C$157 ,0)</f>
        <v/>
      </c>
      <c r="S362" s="95">
        <f>IF(AND(SUMIFS($D$245:$D$595,$F$245:$F$595,0,$E$245:$E$595,$G362,$C$245:$C$595,"&lt;="&amp;Q$5)&lt;1000000,SUMIFS($D$245:$D$595,$F$245:$F$595,0,$E$245:$E$595,$G362,$C$245:$C$595,"&lt;="&amp;S5)&gt;=1000000),SUMIFS($D$245:$D$595,$F$245:$F$595,0,$E$245:$E$595,$G362)*$C$157 ,0)</f>
        <v/>
      </c>
      <c r="U362" s="95">
        <f>IF(AND(SUMIFS($D$245:$D$595,$F$245:$F$595,0,$E$245:$E$595,$G362,$C$245:$C$595,"&lt;="&amp;S$5)&lt;1000000,SUMIFS($D$245:$D$595,$F$245:$F$595,0,$E$245:$E$595,$G362,$C$245:$C$595,"&lt;="&amp;U5)&gt;=1000000),SUMIFS($D$245:$D$595,$F$245:$F$595,0,$E$245:$E$595,$G362)*$C$157 ,0)</f>
        <v/>
      </c>
      <c r="W362" s="95">
        <f>IF(AND(SUMIFS($D$245:$D$595,$F$245:$F$595,0,$E$245:$E$595,$G362,$C$245:$C$595,"&lt;="&amp;U$5)&lt;1000000,SUMIFS($D$245:$D$595,$F$245:$F$595,0,$E$245:$E$595,$G362,$C$245:$C$595,"&lt;="&amp;W5)&gt;=1000000),SUMIFS($D$245:$D$595,$F$245:$F$595,0,$E$245:$E$595,$G362)*$C$157 ,0)</f>
        <v/>
      </c>
      <c r="Y362" s="95">
        <f>IF(AND(SUMIFS($D$245:$D$595,$F$245:$F$595,0,$E$245:$E$595,$G362,$C$245:$C$595,"&lt;="&amp;W$5)&lt;1000000,SUMIFS($D$245:$D$595,$F$245:$F$595,0,$E$245:$E$595,$G362,$C$245:$C$595,"&lt;="&amp;Y5)&gt;=1000000),SUMIFS($D$245:$D$595,$F$245:$F$595,0,$E$245:$E$595,$G362)*$C$157 ,0)</f>
        <v/>
      </c>
      <c r="AA362" s="95">
        <f>IF(AND(SUMIFS($D$245:$D$595,$F$245:$F$595,0,$E$245:$E$595,$G362,$C$245:$C$595,"&lt;="&amp;Y$5)&lt;1000000,SUMIFS($D$245:$D$595,$F$245:$F$595,0,$E$245:$E$595,$G362,$C$245:$C$595,"&lt;="&amp;AA5)&gt;=1000000),SUMIFS($D$245:$D$595,$F$245:$F$595,0,$E$245:$E$595,$G362)*$C$157 ,0)</f>
        <v/>
      </c>
      <c r="AC362" s="95">
        <f>IF(AND(SUMIFS($D$245:$D$595,$F$245:$F$595,0,$E$245:$E$595,$G362,$C$245:$C$595,"&lt;="&amp;AA$5)&lt;1000000,SUMIFS($D$245:$D$595,$F$245:$F$595,0,$E$245:$E$595,$G362,$C$245:$C$595,"&lt;="&amp;AC5)&gt;=1000000),SUMIFS($D$245:$D$595,$F$245:$F$595,0,$E$245:$E$595,$G362)*$C$157 ,0)</f>
        <v/>
      </c>
      <c r="AE362" s="95">
        <f>IF(AND(SUMIFS($D$245:$D$595,$F$245:$F$595,0,$E$245:$E$595,$G362,$C$245:$C$595,"&lt;="&amp;AC$5)&lt;1000000,SUMIFS($D$245:$D$595,$F$245:$F$595,0,$E$245:$E$595,$G362,$C$245:$C$595,"&lt;="&amp;AE5)&gt;=1000000),SUMIFS($D$245:$D$595,$F$245:$F$595,0,$E$245:$E$595,$G362)*$C$157 ,0)</f>
        <v/>
      </c>
      <c r="AF362" s="19" t="n"/>
    </row>
    <row r="363">
      <c r="A363" s="20">
        <f>mid(E363, 3, 1)</f>
        <v/>
      </c>
      <c r="B363" s="14" t="inlineStr"/>
      <c r="C363" s="21">
        <f>SUMIFS('Investor Exit List'!$AC:$AC,'Investor Exit List'!$AB:$AB,B363)</f>
        <v/>
      </c>
      <c r="D363" s="14">
        <f>SUMIFS('Investor Exit List'!$Q:$Q,'Investor Exit List'!$AB:$AB,B363)</f>
        <v/>
      </c>
      <c r="E363" s="31">
        <f>LEFT(B363,6)</f>
        <v/>
      </c>
      <c r="F363" s="14">
        <f>IF(SUMIFS($E$119:$E$151,$D$119:$D$151,E363)&lt;&gt;0,E363,0)</f>
        <v/>
      </c>
      <c r="G363" s="59" t="n"/>
      <c r="I363" s="28">
        <f>IF(AND(SUMIFS($D$245:$D$595,$F$245:$F$595,0,$E$245:$E$595,$G363,$C$245:$C$595,"&lt;="&amp;B$2)&lt;1000000,SUMIFS($D$245:$D$595,$F$245:$F$595,0,$E$245:$E$595,$G363,$C$245:$C$595,"&lt;="&amp;I5)&gt;=1000000),SUMIFS($D$245:$D$595,$F$245:$F$595,0,$E$245:$E$595,$G363)*$C$157 ,0)</f>
        <v/>
      </c>
      <c r="K363" s="95">
        <f>IF(AND(SUMIFS($D$245:$D$595,$F$245:$F$595,0,$E$245:$E$595,$G363,$C$245:$C$595,"&lt;="&amp;I$5)&lt;1000000,SUMIFS($D$245:$D$595,$F$245:$F$595,0,$E$245:$E$595,$G363,$C$245:$C$595,"&lt;="&amp;K5)&gt;=1000000),SUMIFS($D$245:$D$595,$F$245:$F$595,0,$E$245:$E$595,$G363)*$C$157 ,0)</f>
        <v/>
      </c>
      <c r="M363" s="95">
        <f>IF(AND(SUMIFS($D$245:$D$595,$F$245:$F$595,0,$E$245:$E$595,$G363,$C$245:$C$595,"&lt;="&amp;K$5)&lt;1000000,SUMIFS($D$245:$D$595,$F$245:$F$595,0,$E$245:$E$595,$G363,$C$245:$C$595,"&lt;="&amp;M5)&gt;=1000000),SUMIFS($D$245:$D$595,$F$245:$F$595,0,$E$245:$E$595,$G363)*$C$157 ,0)</f>
        <v/>
      </c>
      <c r="O363" s="95">
        <f>IF(AND(SUMIFS($D$245:$D$595,$F$245:$F$595,0,$E$245:$E$595,$G363,$C$245:$C$595,"&lt;="&amp;M$5)&lt;1000000,SUMIFS($D$245:$D$595,$F$245:$F$595,0,$E$245:$E$595,$G363,$C$245:$C$595,"&lt;="&amp;O5)&gt;=1000000),SUMIFS($D$245:$D$595,$F$245:$F$595,0,$E$245:$E$595,$G363)*$C$157 ,0)</f>
        <v/>
      </c>
      <c r="Q363" s="95">
        <f>IF(AND(SUMIFS($D$245:$D$595,$F$245:$F$595,0,$E$245:$E$595,$G363,$C$245:$C$595,"&lt;="&amp;O$5)&lt;1000000,SUMIFS($D$245:$D$595,$F$245:$F$595,0,$E$245:$E$595,$G363,$C$245:$C$595,"&lt;="&amp;Q5)&gt;=1000000),SUMIFS($D$245:$D$595,$F$245:$F$595,0,$E$245:$E$595,$G363)*$C$157 ,0)</f>
        <v/>
      </c>
      <c r="S363" s="95">
        <f>IF(AND(SUMIFS($D$245:$D$595,$F$245:$F$595,0,$E$245:$E$595,$G363,$C$245:$C$595,"&lt;="&amp;Q$5)&lt;1000000,SUMIFS($D$245:$D$595,$F$245:$F$595,0,$E$245:$E$595,$G363,$C$245:$C$595,"&lt;="&amp;S5)&gt;=1000000),SUMIFS($D$245:$D$595,$F$245:$F$595,0,$E$245:$E$595,$G363)*$C$157 ,0)</f>
        <v/>
      </c>
      <c r="U363" s="95">
        <f>IF(AND(SUMIFS($D$245:$D$595,$F$245:$F$595,0,$E$245:$E$595,$G363,$C$245:$C$595,"&lt;="&amp;S$5)&lt;1000000,SUMIFS($D$245:$D$595,$F$245:$F$595,0,$E$245:$E$595,$G363,$C$245:$C$595,"&lt;="&amp;U5)&gt;=1000000),SUMIFS($D$245:$D$595,$F$245:$F$595,0,$E$245:$E$595,$G363)*$C$157 ,0)</f>
        <v/>
      </c>
      <c r="W363" s="95">
        <f>IF(AND(SUMIFS($D$245:$D$595,$F$245:$F$595,0,$E$245:$E$595,$G363,$C$245:$C$595,"&lt;="&amp;U$5)&lt;1000000,SUMIFS($D$245:$D$595,$F$245:$F$595,0,$E$245:$E$595,$G363,$C$245:$C$595,"&lt;="&amp;W5)&gt;=1000000),SUMIFS($D$245:$D$595,$F$245:$F$595,0,$E$245:$E$595,$G363)*$C$157 ,0)</f>
        <v/>
      </c>
      <c r="Y363" s="95">
        <f>IF(AND(SUMIFS($D$245:$D$595,$F$245:$F$595,0,$E$245:$E$595,$G363,$C$245:$C$595,"&lt;="&amp;W$5)&lt;1000000,SUMIFS($D$245:$D$595,$F$245:$F$595,0,$E$245:$E$595,$G363,$C$245:$C$595,"&lt;="&amp;Y5)&gt;=1000000),SUMIFS($D$245:$D$595,$F$245:$F$595,0,$E$245:$E$595,$G363)*$C$157 ,0)</f>
        <v/>
      </c>
      <c r="AA363" s="95">
        <f>IF(AND(SUMIFS($D$245:$D$595,$F$245:$F$595,0,$E$245:$E$595,$G363,$C$245:$C$595,"&lt;="&amp;Y$5)&lt;1000000,SUMIFS($D$245:$D$595,$F$245:$F$595,0,$E$245:$E$595,$G363,$C$245:$C$595,"&lt;="&amp;AA5)&gt;=1000000),SUMIFS($D$245:$D$595,$F$245:$F$595,0,$E$245:$E$595,$G363)*$C$157 ,0)</f>
        <v/>
      </c>
      <c r="AC363" s="95">
        <f>IF(AND(SUMIFS($D$245:$D$595,$F$245:$F$595,0,$E$245:$E$595,$G363,$C$245:$C$595,"&lt;="&amp;AA$5)&lt;1000000,SUMIFS($D$245:$D$595,$F$245:$F$595,0,$E$245:$E$595,$G363,$C$245:$C$595,"&lt;="&amp;AC5)&gt;=1000000),SUMIFS($D$245:$D$595,$F$245:$F$595,0,$E$245:$E$595,$G363)*$C$157 ,0)</f>
        <v/>
      </c>
      <c r="AE363" s="95">
        <f>IF(AND(SUMIFS($D$245:$D$595,$F$245:$F$595,0,$E$245:$E$595,$G363,$C$245:$C$595,"&lt;="&amp;AC$5)&lt;1000000,SUMIFS($D$245:$D$595,$F$245:$F$595,0,$E$245:$E$595,$G363,$C$245:$C$595,"&lt;="&amp;AE5)&gt;=1000000),SUMIFS($D$245:$D$595,$F$245:$F$595,0,$E$245:$E$595,$G363)*$C$157 ,0)</f>
        <v/>
      </c>
      <c r="AF363" s="19" t="n"/>
    </row>
    <row r="364">
      <c r="A364" s="20">
        <f>mid(E364, 3, 1)</f>
        <v/>
      </c>
      <c r="B364" s="14" t="inlineStr"/>
      <c r="C364" s="21">
        <f>SUMIFS('Investor Exit List'!$AC:$AC,'Investor Exit List'!$AB:$AB,B364)</f>
        <v/>
      </c>
      <c r="D364" s="14">
        <f>SUMIFS('Investor Exit List'!$Q:$Q,'Investor Exit List'!$AB:$AB,B364)</f>
        <v/>
      </c>
      <c r="E364" s="31">
        <f>LEFT(B364,6)</f>
        <v/>
      </c>
      <c r="F364" s="14">
        <f>IF(SUMIFS($E$119:$E$151,$D$119:$D$151,E364)&lt;&gt;0,E364,0)</f>
        <v/>
      </c>
      <c r="G364" s="59" t="n"/>
      <c r="I364" s="28">
        <f>IF(AND(SUMIFS($D$245:$D$595,$F$245:$F$595,0,$E$245:$E$595,$G364,$C$245:$C$595,"&lt;="&amp;B$2)&lt;1000000,SUMIFS($D$245:$D$595,$F$245:$F$595,0,$E$245:$E$595,$G364,$C$245:$C$595,"&lt;="&amp;I5)&gt;=1000000),SUMIFS($D$245:$D$595,$F$245:$F$595,0,$E$245:$E$595,$G364)*$C$157 ,0)</f>
        <v/>
      </c>
      <c r="K364" s="95">
        <f>IF(AND(SUMIFS($D$245:$D$595,$F$245:$F$595,0,$E$245:$E$595,$G364,$C$245:$C$595,"&lt;="&amp;I$5)&lt;1000000,SUMIFS($D$245:$D$595,$F$245:$F$595,0,$E$245:$E$595,$G364,$C$245:$C$595,"&lt;="&amp;K5)&gt;=1000000),SUMIFS($D$245:$D$595,$F$245:$F$595,0,$E$245:$E$595,$G364)*$C$157 ,0)</f>
        <v/>
      </c>
      <c r="M364" s="95">
        <f>IF(AND(SUMIFS($D$245:$D$595,$F$245:$F$595,0,$E$245:$E$595,$G364,$C$245:$C$595,"&lt;="&amp;K$5)&lt;1000000,SUMIFS($D$245:$D$595,$F$245:$F$595,0,$E$245:$E$595,$G364,$C$245:$C$595,"&lt;="&amp;M5)&gt;=1000000),SUMIFS($D$245:$D$595,$F$245:$F$595,0,$E$245:$E$595,$G364)*$C$157 ,0)</f>
        <v/>
      </c>
      <c r="O364" s="95">
        <f>IF(AND(SUMIFS($D$245:$D$595,$F$245:$F$595,0,$E$245:$E$595,$G364,$C$245:$C$595,"&lt;="&amp;M$5)&lt;1000000,SUMIFS($D$245:$D$595,$F$245:$F$595,0,$E$245:$E$595,$G364,$C$245:$C$595,"&lt;="&amp;O5)&gt;=1000000),SUMIFS($D$245:$D$595,$F$245:$F$595,0,$E$245:$E$595,$G364)*$C$157 ,0)</f>
        <v/>
      </c>
      <c r="Q364" s="95">
        <f>IF(AND(SUMIFS($D$245:$D$595,$F$245:$F$595,0,$E$245:$E$595,$G364,$C$245:$C$595,"&lt;="&amp;O$5)&lt;1000000,SUMIFS($D$245:$D$595,$F$245:$F$595,0,$E$245:$E$595,$G364,$C$245:$C$595,"&lt;="&amp;Q5)&gt;=1000000),SUMIFS($D$245:$D$595,$F$245:$F$595,0,$E$245:$E$595,$G364)*$C$157 ,0)</f>
        <v/>
      </c>
      <c r="S364" s="95">
        <f>IF(AND(SUMIFS($D$245:$D$595,$F$245:$F$595,0,$E$245:$E$595,$G364,$C$245:$C$595,"&lt;="&amp;Q$5)&lt;1000000,SUMIFS($D$245:$D$595,$F$245:$F$595,0,$E$245:$E$595,$G364,$C$245:$C$595,"&lt;="&amp;S5)&gt;=1000000),SUMIFS($D$245:$D$595,$F$245:$F$595,0,$E$245:$E$595,$G364)*$C$157 ,0)</f>
        <v/>
      </c>
      <c r="U364" s="95">
        <f>IF(AND(SUMIFS($D$245:$D$595,$F$245:$F$595,0,$E$245:$E$595,$G364,$C$245:$C$595,"&lt;="&amp;S$5)&lt;1000000,SUMIFS($D$245:$D$595,$F$245:$F$595,0,$E$245:$E$595,$G364,$C$245:$C$595,"&lt;="&amp;U5)&gt;=1000000),SUMIFS($D$245:$D$595,$F$245:$F$595,0,$E$245:$E$595,$G364)*$C$157 ,0)</f>
        <v/>
      </c>
      <c r="W364" s="95">
        <f>IF(AND(SUMIFS($D$245:$D$595,$F$245:$F$595,0,$E$245:$E$595,$G364,$C$245:$C$595,"&lt;="&amp;U$5)&lt;1000000,SUMIFS($D$245:$D$595,$F$245:$F$595,0,$E$245:$E$595,$G364,$C$245:$C$595,"&lt;="&amp;W5)&gt;=1000000),SUMIFS($D$245:$D$595,$F$245:$F$595,0,$E$245:$E$595,$G364)*$C$157 ,0)</f>
        <v/>
      </c>
      <c r="Y364" s="95">
        <f>IF(AND(SUMIFS($D$245:$D$595,$F$245:$F$595,0,$E$245:$E$595,$G364,$C$245:$C$595,"&lt;="&amp;W$5)&lt;1000000,SUMIFS($D$245:$D$595,$F$245:$F$595,0,$E$245:$E$595,$G364,$C$245:$C$595,"&lt;="&amp;Y5)&gt;=1000000),SUMIFS($D$245:$D$595,$F$245:$F$595,0,$E$245:$E$595,$G364)*$C$157 ,0)</f>
        <v/>
      </c>
      <c r="AA364" s="95">
        <f>IF(AND(SUMIFS($D$245:$D$595,$F$245:$F$595,0,$E$245:$E$595,$G364,$C$245:$C$595,"&lt;="&amp;Y$5)&lt;1000000,SUMIFS($D$245:$D$595,$F$245:$F$595,0,$E$245:$E$595,$G364,$C$245:$C$595,"&lt;="&amp;AA5)&gt;=1000000),SUMIFS($D$245:$D$595,$F$245:$F$595,0,$E$245:$E$595,$G364)*$C$157 ,0)</f>
        <v/>
      </c>
      <c r="AC364" s="95">
        <f>IF(AND(SUMIFS($D$245:$D$595,$F$245:$F$595,0,$E$245:$E$595,$G364,$C$245:$C$595,"&lt;="&amp;AA$5)&lt;1000000,SUMIFS($D$245:$D$595,$F$245:$F$595,0,$E$245:$E$595,$G364,$C$245:$C$595,"&lt;="&amp;AC5)&gt;=1000000),SUMIFS($D$245:$D$595,$F$245:$F$595,0,$E$245:$E$595,$G364)*$C$157 ,0)</f>
        <v/>
      </c>
      <c r="AE364" s="95">
        <f>IF(AND(SUMIFS($D$245:$D$595,$F$245:$F$595,0,$E$245:$E$595,$G364,$C$245:$C$595,"&lt;="&amp;AC$5)&lt;1000000,SUMIFS($D$245:$D$595,$F$245:$F$595,0,$E$245:$E$595,$G364,$C$245:$C$595,"&lt;="&amp;AE5)&gt;=1000000),SUMIFS($D$245:$D$595,$F$245:$F$595,0,$E$245:$E$595,$G364)*$C$157 ,0)</f>
        <v/>
      </c>
      <c r="AF364" s="19" t="n"/>
    </row>
    <row r="365">
      <c r="A365" s="20">
        <f>mid(E365, 3, 1)</f>
        <v/>
      </c>
      <c r="B365" s="14" t="inlineStr"/>
      <c r="C365" s="21">
        <f>SUMIFS('Investor Exit List'!$AC:$AC,'Investor Exit List'!$AB:$AB,B365)</f>
        <v/>
      </c>
      <c r="D365" s="14">
        <f>SUMIFS('Investor Exit List'!$Q:$Q,'Investor Exit List'!$AB:$AB,B365)</f>
        <v/>
      </c>
      <c r="E365" s="31">
        <f>LEFT(B365,6)</f>
        <v/>
      </c>
      <c r="F365" s="14">
        <f>IF(SUMIFS($E$119:$E$151,$D$119:$D$151,E365)&lt;&gt;0,E365,0)</f>
        <v/>
      </c>
      <c r="G365" s="59" t="n"/>
      <c r="I365" s="28">
        <f>IF(AND(SUMIFS($D$245:$D$595,$F$245:$F$595,0,$E$245:$E$595,$G365,$C$245:$C$595,"&lt;="&amp;B$2)&lt;1000000,SUMIFS($D$245:$D$595,$F$245:$F$595,0,$E$245:$E$595,$G365,$C$245:$C$595,"&lt;="&amp;I5)&gt;=1000000),SUMIFS($D$245:$D$595,$F$245:$F$595,0,$E$245:$E$595,$G365)*$C$157 ,0)</f>
        <v/>
      </c>
      <c r="K365" s="95">
        <f>IF(AND(SUMIFS($D$245:$D$595,$F$245:$F$595,0,$E$245:$E$595,$G365,$C$245:$C$595,"&lt;="&amp;I$5)&lt;1000000,SUMIFS($D$245:$D$595,$F$245:$F$595,0,$E$245:$E$595,$G365,$C$245:$C$595,"&lt;="&amp;K5)&gt;=1000000),SUMIFS($D$245:$D$595,$F$245:$F$595,0,$E$245:$E$595,$G365)*$C$157 ,0)</f>
        <v/>
      </c>
      <c r="M365" s="95">
        <f>IF(AND(SUMIFS($D$245:$D$595,$F$245:$F$595,0,$E$245:$E$595,$G365,$C$245:$C$595,"&lt;="&amp;K$5)&lt;1000000,SUMIFS($D$245:$D$595,$F$245:$F$595,0,$E$245:$E$595,$G365,$C$245:$C$595,"&lt;="&amp;M5)&gt;=1000000),SUMIFS($D$245:$D$595,$F$245:$F$595,0,$E$245:$E$595,$G365)*$C$157 ,0)</f>
        <v/>
      </c>
      <c r="O365" s="95">
        <f>IF(AND(SUMIFS($D$245:$D$595,$F$245:$F$595,0,$E$245:$E$595,$G365,$C$245:$C$595,"&lt;="&amp;M$5)&lt;1000000,SUMIFS($D$245:$D$595,$F$245:$F$595,0,$E$245:$E$595,$G365,$C$245:$C$595,"&lt;="&amp;O5)&gt;=1000000),SUMIFS($D$245:$D$595,$F$245:$F$595,0,$E$245:$E$595,$G365)*$C$157 ,0)</f>
        <v/>
      </c>
      <c r="Q365" s="95">
        <f>IF(AND(SUMIFS($D$245:$D$595,$F$245:$F$595,0,$E$245:$E$595,$G365,$C$245:$C$595,"&lt;="&amp;O$5)&lt;1000000,SUMIFS($D$245:$D$595,$F$245:$F$595,0,$E$245:$E$595,$G365,$C$245:$C$595,"&lt;="&amp;Q5)&gt;=1000000),SUMIFS($D$245:$D$595,$F$245:$F$595,0,$E$245:$E$595,$G365)*$C$157 ,0)</f>
        <v/>
      </c>
      <c r="S365" s="95">
        <f>IF(AND(SUMIFS($D$245:$D$595,$F$245:$F$595,0,$E$245:$E$595,$G365,$C$245:$C$595,"&lt;="&amp;Q$5)&lt;1000000,SUMIFS($D$245:$D$595,$F$245:$F$595,0,$E$245:$E$595,$G365,$C$245:$C$595,"&lt;="&amp;S5)&gt;=1000000),SUMIFS($D$245:$D$595,$F$245:$F$595,0,$E$245:$E$595,$G365)*$C$157 ,0)</f>
        <v/>
      </c>
      <c r="U365" s="95">
        <f>IF(AND(SUMIFS($D$245:$D$595,$F$245:$F$595,0,$E$245:$E$595,$G365,$C$245:$C$595,"&lt;="&amp;S$5)&lt;1000000,SUMIFS($D$245:$D$595,$F$245:$F$595,0,$E$245:$E$595,$G365,$C$245:$C$595,"&lt;="&amp;U5)&gt;=1000000),SUMIFS($D$245:$D$595,$F$245:$F$595,0,$E$245:$E$595,$G365)*$C$157 ,0)</f>
        <v/>
      </c>
      <c r="W365" s="95">
        <f>IF(AND(SUMIFS($D$245:$D$595,$F$245:$F$595,0,$E$245:$E$595,$G365,$C$245:$C$595,"&lt;="&amp;U$5)&lt;1000000,SUMIFS($D$245:$D$595,$F$245:$F$595,0,$E$245:$E$595,$G365,$C$245:$C$595,"&lt;="&amp;W5)&gt;=1000000),SUMIFS($D$245:$D$595,$F$245:$F$595,0,$E$245:$E$595,$G365)*$C$157 ,0)</f>
        <v/>
      </c>
      <c r="Y365" s="95">
        <f>IF(AND(SUMIFS($D$245:$D$595,$F$245:$F$595,0,$E$245:$E$595,$G365,$C$245:$C$595,"&lt;="&amp;W$5)&lt;1000000,SUMIFS($D$245:$D$595,$F$245:$F$595,0,$E$245:$E$595,$G365,$C$245:$C$595,"&lt;="&amp;Y5)&gt;=1000000),SUMIFS($D$245:$D$595,$F$245:$F$595,0,$E$245:$E$595,$G365)*$C$157 ,0)</f>
        <v/>
      </c>
      <c r="AA365" s="95">
        <f>IF(AND(SUMIFS($D$245:$D$595,$F$245:$F$595,0,$E$245:$E$595,$G365,$C$245:$C$595,"&lt;="&amp;Y$5)&lt;1000000,SUMIFS($D$245:$D$595,$F$245:$F$595,0,$E$245:$E$595,$G365,$C$245:$C$595,"&lt;="&amp;AA5)&gt;=1000000),SUMIFS($D$245:$D$595,$F$245:$F$595,0,$E$245:$E$595,$G365)*$C$157 ,0)</f>
        <v/>
      </c>
      <c r="AC365" s="95">
        <f>IF(AND(SUMIFS($D$245:$D$595,$F$245:$F$595,0,$E$245:$E$595,$G365,$C$245:$C$595,"&lt;="&amp;AA$5)&lt;1000000,SUMIFS($D$245:$D$595,$F$245:$F$595,0,$E$245:$E$595,$G365,$C$245:$C$595,"&lt;="&amp;AC5)&gt;=1000000),SUMIFS($D$245:$D$595,$F$245:$F$595,0,$E$245:$E$595,$G365)*$C$157 ,0)</f>
        <v/>
      </c>
      <c r="AE365" s="95">
        <f>IF(AND(SUMIFS($D$245:$D$595,$F$245:$F$595,0,$E$245:$E$595,$G365,$C$245:$C$595,"&lt;="&amp;AC$5)&lt;1000000,SUMIFS($D$245:$D$595,$F$245:$F$595,0,$E$245:$E$595,$G365,$C$245:$C$595,"&lt;="&amp;AE5)&gt;=1000000),SUMIFS($D$245:$D$595,$F$245:$F$595,0,$E$245:$E$595,$G365)*$C$157 ,0)</f>
        <v/>
      </c>
      <c r="AF365" s="19" t="n"/>
    </row>
    <row r="366">
      <c r="A366" s="20">
        <f>mid(E366, 3, 1)</f>
        <v/>
      </c>
      <c r="B366" s="14" t="inlineStr"/>
      <c r="C366" s="21">
        <f>SUMIFS('Investor Exit List'!$AC:$AC,'Investor Exit List'!$AB:$AB,B366)</f>
        <v/>
      </c>
      <c r="D366" s="14">
        <f>SUMIFS('Investor Exit List'!$Q:$Q,'Investor Exit List'!$AB:$AB,B366)</f>
        <v/>
      </c>
      <c r="E366" s="31">
        <f>LEFT(B366,6)</f>
        <v/>
      </c>
      <c r="F366" s="14">
        <f>IF(SUMIFS($E$119:$E$151,$D$119:$D$151,E366)&lt;&gt;0,E366,0)</f>
        <v/>
      </c>
      <c r="G366" s="59" t="n"/>
      <c r="I366" s="28">
        <f>IF(AND(SUMIFS($D$245:$D$595,$F$245:$F$595,0,$E$245:$E$595,$G366,$C$245:$C$595,"&lt;="&amp;B$2)&lt;1000000,SUMIFS($D$245:$D$595,$F$245:$F$595,0,$E$245:$E$595,$G366,$C$245:$C$595,"&lt;="&amp;I5)&gt;=1000000),SUMIFS($D$245:$D$595,$F$245:$F$595,0,$E$245:$E$595,$G366)*$C$157 ,0)</f>
        <v/>
      </c>
      <c r="K366" s="95">
        <f>IF(AND(SUMIFS($D$245:$D$595,$F$245:$F$595,0,$E$245:$E$595,$G366,$C$245:$C$595,"&lt;="&amp;I$5)&lt;1000000,SUMIFS($D$245:$D$595,$F$245:$F$595,0,$E$245:$E$595,$G366,$C$245:$C$595,"&lt;="&amp;K5)&gt;=1000000),SUMIFS($D$245:$D$595,$F$245:$F$595,0,$E$245:$E$595,$G366)*$C$157 ,0)</f>
        <v/>
      </c>
      <c r="M366" s="95">
        <f>IF(AND(SUMIFS($D$245:$D$595,$F$245:$F$595,0,$E$245:$E$595,$G366,$C$245:$C$595,"&lt;="&amp;K$5)&lt;1000000,SUMIFS($D$245:$D$595,$F$245:$F$595,0,$E$245:$E$595,$G366,$C$245:$C$595,"&lt;="&amp;M5)&gt;=1000000),SUMIFS($D$245:$D$595,$F$245:$F$595,0,$E$245:$E$595,$G366)*$C$157 ,0)</f>
        <v/>
      </c>
      <c r="O366" s="95">
        <f>IF(AND(SUMIFS($D$245:$D$595,$F$245:$F$595,0,$E$245:$E$595,$G366,$C$245:$C$595,"&lt;="&amp;M$5)&lt;1000000,SUMIFS($D$245:$D$595,$F$245:$F$595,0,$E$245:$E$595,$G366,$C$245:$C$595,"&lt;="&amp;O5)&gt;=1000000),SUMIFS($D$245:$D$595,$F$245:$F$595,0,$E$245:$E$595,$G366)*$C$157 ,0)</f>
        <v/>
      </c>
      <c r="Q366" s="95">
        <f>IF(AND(SUMIFS($D$245:$D$595,$F$245:$F$595,0,$E$245:$E$595,$G366,$C$245:$C$595,"&lt;="&amp;O$5)&lt;1000000,SUMIFS($D$245:$D$595,$F$245:$F$595,0,$E$245:$E$595,$G366,$C$245:$C$595,"&lt;="&amp;Q5)&gt;=1000000),SUMIFS($D$245:$D$595,$F$245:$F$595,0,$E$245:$E$595,$G366)*$C$157 ,0)</f>
        <v/>
      </c>
      <c r="S366" s="95">
        <f>IF(AND(SUMIFS($D$245:$D$595,$F$245:$F$595,0,$E$245:$E$595,$G366,$C$245:$C$595,"&lt;="&amp;Q$5)&lt;1000000,SUMIFS($D$245:$D$595,$F$245:$F$595,0,$E$245:$E$595,$G366,$C$245:$C$595,"&lt;="&amp;S5)&gt;=1000000),SUMIFS($D$245:$D$595,$F$245:$F$595,0,$E$245:$E$595,$G366)*$C$157 ,0)</f>
        <v/>
      </c>
      <c r="U366" s="95">
        <f>IF(AND(SUMIFS($D$245:$D$595,$F$245:$F$595,0,$E$245:$E$595,$G366,$C$245:$C$595,"&lt;="&amp;S$5)&lt;1000000,SUMIFS($D$245:$D$595,$F$245:$F$595,0,$E$245:$E$595,$G366,$C$245:$C$595,"&lt;="&amp;U5)&gt;=1000000),SUMIFS($D$245:$D$595,$F$245:$F$595,0,$E$245:$E$595,$G366)*$C$157 ,0)</f>
        <v/>
      </c>
      <c r="W366" s="95">
        <f>IF(AND(SUMIFS($D$245:$D$595,$F$245:$F$595,0,$E$245:$E$595,$G366,$C$245:$C$595,"&lt;="&amp;U$5)&lt;1000000,SUMIFS($D$245:$D$595,$F$245:$F$595,0,$E$245:$E$595,$G366,$C$245:$C$595,"&lt;="&amp;W5)&gt;=1000000),SUMIFS($D$245:$D$595,$F$245:$F$595,0,$E$245:$E$595,$G366)*$C$157 ,0)</f>
        <v/>
      </c>
      <c r="Y366" s="95">
        <f>IF(AND(SUMIFS($D$245:$D$595,$F$245:$F$595,0,$E$245:$E$595,$G366,$C$245:$C$595,"&lt;="&amp;W$5)&lt;1000000,SUMIFS($D$245:$D$595,$F$245:$F$595,0,$E$245:$E$595,$G366,$C$245:$C$595,"&lt;="&amp;Y5)&gt;=1000000),SUMIFS($D$245:$D$595,$F$245:$F$595,0,$E$245:$E$595,$G366)*$C$157 ,0)</f>
        <v/>
      </c>
      <c r="AA366" s="95">
        <f>IF(AND(SUMIFS($D$245:$D$595,$F$245:$F$595,0,$E$245:$E$595,$G366,$C$245:$C$595,"&lt;="&amp;Y$5)&lt;1000000,SUMIFS($D$245:$D$595,$F$245:$F$595,0,$E$245:$E$595,$G366,$C$245:$C$595,"&lt;="&amp;AA5)&gt;=1000000),SUMIFS($D$245:$D$595,$F$245:$F$595,0,$E$245:$E$595,$G366)*$C$157 ,0)</f>
        <v/>
      </c>
      <c r="AC366" s="95">
        <f>IF(AND(SUMIFS($D$245:$D$595,$F$245:$F$595,0,$E$245:$E$595,$G366,$C$245:$C$595,"&lt;="&amp;AA$5)&lt;1000000,SUMIFS($D$245:$D$595,$F$245:$F$595,0,$E$245:$E$595,$G366,$C$245:$C$595,"&lt;="&amp;AC5)&gt;=1000000),SUMIFS($D$245:$D$595,$F$245:$F$595,0,$E$245:$E$595,$G366)*$C$157 ,0)</f>
        <v/>
      </c>
      <c r="AE366" s="95">
        <f>IF(AND(SUMIFS($D$245:$D$595,$F$245:$F$595,0,$E$245:$E$595,$G366,$C$245:$C$595,"&lt;="&amp;AC$5)&lt;1000000,SUMIFS($D$245:$D$595,$F$245:$F$595,0,$E$245:$E$595,$G366,$C$245:$C$595,"&lt;="&amp;AE5)&gt;=1000000),SUMIFS($D$245:$D$595,$F$245:$F$595,0,$E$245:$E$595,$G366)*$C$157 ,0)</f>
        <v/>
      </c>
      <c r="AF366" s="19" t="n"/>
    </row>
    <row r="367">
      <c r="A367" s="20">
        <f>mid(E367, 3, 1)</f>
        <v/>
      </c>
      <c r="B367" s="14" t="inlineStr"/>
      <c r="C367" s="21">
        <f>SUMIFS('Investor Exit List'!$AC:$AC,'Investor Exit List'!$AB:$AB,B367)</f>
        <v/>
      </c>
      <c r="D367" s="14">
        <f>SUMIFS('Investor Exit List'!$Q:$Q,'Investor Exit List'!$AB:$AB,B367)</f>
        <v/>
      </c>
      <c r="E367" s="31">
        <f>LEFT(B367,6)</f>
        <v/>
      </c>
      <c r="F367" s="14">
        <f>IF(SUMIFS($E$119:$E$151,$D$119:$D$151,E367)&lt;&gt;0,E367,0)</f>
        <v/>
      </c>
      <c r="G367" s="59" t="n"/>
      <c r="I367" s="28">
        <f>IF(AND(SUMIFS($D$245:$D$595,$F$245:$F$595,0,$E$245:$E$595,$G367,$C$245:$C$595,"&lt;="&amp;B$2)&lt;1000000,SUMIFS($D$245:$D$595,$F$245:$F$595,0,$E$245:$E$595,$G367,$C$245:$C$595,"&lt;="&amp;I5)&gt;=1000000),SUMIFS($D$245:$D$595,$F$245:$F$595,0,$E$245:$E$595,$G367)*$C$157 ,0)</f>
        <v/>
      </c>
      <c r="K367" s="95">
        <f>IF(AND(SUMIFS($D$245:$D$595,$F$245:$F$595,0,$E$245:$E$595,$G367,$C$245:$C$595,"&lt;="&amp;I$5)&lt;1000000,SUMIFS($D$245:$D$595,$F$245:$F$595,0,$E$245:$E$595,$G367,$C$245:$C$595,"&lt;="&amp;K5)&gt;=1000000),SUMIFS($D$245:$D$595,$F$245:$F$595,0,$E$245:$E$595,$G367)*$C$157 ,0)</f>
        <v/>
      </c>
      <c r="M367" s="95">
        <f>IF(AND(SUMIFS($D$245:$D$595,$F$245:$F$595,0,$E$245:$E$595,$G367,$C$245:$C$595,"&lt;="&amp;K$5)&lt;1000000,SUMIFS($D$245:$D$595,$F$245:$F$595,0,$E$245:$E$595,$G367,$C$245:$C$595,"&lt;="&amp;M5)&gt;=1000000),SUMIFS($D$245:$D$595,$F$245:$F$595,0,$E$245:$E$595,$G367)*$C$157 ,0)</f>
        <v/>
      </c>
      <c r="O367" s="95">
        <f>IF(AND(SUMIFS($D$245:$D$595,$F$245:$F$595,0,$E$245:$E$595,$G367,$C$245:$C$595,"&lt;="&amp;M$5)&lt;1000000,SUMIFS($D$245:$D$595,$F$245:$F$595,0,$E$245:$E$595,$G367,$C$245:$C$595,"&lt;="&amp;O5)&gt;=1000000),SUMIFS($D$245:$D$595,$F$245:$F$595,0,$E$245:$E$595,$G367)*$C$157 ,0)</f>
        <v/>
      </c>
      <c r="Q367" s="95">
        <f>IF(AND(SUMIFS($D$245:$D$595,$F$245:$F$595,0,$E$245:$E$595,$G367,$C$245:$C$595,"&lt;="&amp;O$5)&lt;1000000,SUMIFS($D$245:$D$595,$F$245:$F$595,0,$E$245:$E$595,$G367,$C$245:$C$595,"&lt;="&amp;Q5)&gt;=1000000),SUMIFS($D$245:$D$595,$F$245:$F$595,0,$E$245:$E$595,$G367)*$C$157 ,0)</f>
        <v/>
      </c>
      <c r="S367" s="95">
        <f>IF(AND(SUMIFS($D$245:$D$595,$F$245:$F$595,0,$E$245:$E$595,$G367,$C$245:$C$595,"&lt;="&amp;Q$5)&lt;1000000,SUMIFS($D$245:$D$595,$F$245:$F$595,0,$E$245:$E$595,$G367,$C$245:$C$595,"&lt;="&amp;S5)&gt;=1000000),SUMIFS($D$245:$D$595,$F$245:$F$595,0,$E$245:$E$595,$G367)*$C$157 ,0)</f>
        <v/>
      </c>
      <c r="U367" s="95">
        <f>IF(AND(SUMIFS($D$245:$D$595,$F$245:$F$595,0,$E$245:$E$595,$G367,$C$245:$C$595,"&lt;="&amp;S$5)&lt;1000000,SUMIFS($D$245:$D$595,$F$245:$F$595,0,$E$245:$E$595,$G367,$C$245:$C$595,"&lt;="&amp;U5)&gt;=1000000),SUMIFS($D$245:$D$595,$F$245:$F$595,0,$E$245:$E$595,$G367)*$C$157 ,0)</f>
        <v/>
      </c>
      <c r="W367" s="95">
        <f>IF(AND(SUMIFS($D$245:$D$595,$F$245:$F$595,0,$E$245:$E$595,$G367,$C$245:$C$595,"&lt;="&amp;U$5)&lt;1000000,SUMIFS($D$245:$D$595,$F$245:$F$595,0,$E$245:$E$595,$G367,$C$245:$C$595,"&lt;="&amp;W5)&gt;=1000000),SUMIFS($D$245:$D$595,$F$245:$F$595,0,$E$245:$E$595,$G367)*$C$157 ,0)</f>
        <v/>
      </c>
      <c r="Y367" s="95">
        <f>IF(AND(SUMIFS($D$245:$D$595,$F$245:$F$595,0,$E$245:$E$595,$G367,$C$245:$C$595,"&lt;="&amp;W$5)&lt;1000000,SUMIFS($D$245:$D$595,$F$245:$F$595,0,$E$245:$E$595,$G367,$C$245:$C$595,"&lt;="&amp;Y5)&gt;=1000000),SUMIFS($D$245:$D$595,$F$245:$F$595,0,$E$245:$E$595,$G367)*$C$157 ,0)</f>
        <v/>
      </c>
      <c r="AA367" s="95">
        <f>IF(AND(SUMIFS($D$245:$D$595,$F$245:$F$595,0,$E$245:$E$595,$G367,$C$245:$C$595,"&lt;="&amp;Y$5)&lt;1000000,SUMIFS($D$245:$D$595,$F$245:$F$595,0,$E$245:$E$595,$G367,$C$245:$C$595,"&lt;="&amp;AA5)&gt;=1000000),SUMIFS($D$245:$D$595,$F$245:$F$595,0,$E$245:$E$595,$G367)*$C$157 ,0)</f>
        <v/>
      </c>
      <c r="AC367" s="95">
        <f>IF(AND(SUMIFS($D$245:$D$595,$F$245:$F$595,0,$E$245:$E$595,$G367,$C$245:$C$595,"&lt;="&amp;AA$5)&lt;1000000,SUMIFS($D$245:$D$595,$F$245:$F$595,0,$E$245:$E$595,$G367,$C$245:$C$595,"&lt;="&amp;AC5)&gt;=1000000),SUMIFS($D$245:$D$595,$F$245:$F$595,0,$E$245:$E$595,$G367)*$C$157 ,0)</f>
        <v/>
      </c>
      <c r="AE367" s="95">
        <f>IF(AND(SUMIFS($D$245:$D$595,$F$245:$F$595,0,$E$245:$E$595,$G367,$C$245:$C$595,"&lt;="&amp;AC$5)&lt;1000000,SUMIFS($D$245:$D$595,$F$245:$F$595,0,$E$245:$E$595,$G367,$C$245:$C$595,"&lt;="&amp;AE5)&gt;=1000000),SUMIFS($D$245:$D$595,$F$245:$F$595,0,$E$245:$E$595,$G367)*$C$157 ,0)</f>
        <v/>
      </c>
      <c r="AF367" s="19" t="n"/>
    </row>
    <row r="368">
      <c r="A368" s="20">
        <f>mid(E368, 3, 1)</f>
        <v/>
      </c>
      <c r="B368" s="14" t="inlineStr"/>
      <c r="C368" s="21">
        <f>SUMIFS('Investor Exit List'!$AC:$AC,'Investor Exit List'!$AB:$AB,B368)</f>
        <v/>
      </c>
      <c r="D368" s="14">
        <f>SUMIFS('Investor Exit List'!$Q:$Q,'Investor Exit List'!$AB:$AB,B368)</f>
        <v/>
      </c>
      <c r="E368" s="31">
        <f>LEFT(B368,6)</f>
        <v/>
      </c>
      <c r="F368" s="14">
        <f>IF(SUMIFS($E$119:$E$151,$D$119:$D$151,E368)&lt;&gt;0,E368,0)</f>
        <v/>
      </c>
      <c r="G368" s="59" t="n"/>
      <c r="I368" s="28">
        <f>IF(AND(SUMIFS($D$245:$D$595,$F$245:$F$595,0,$E$245:$E$595,$G368,$C$245:$C$595,"&lt;="&amp;B$2)&lt;1000000,SUMIFS($D$245:$D$595,$F$245:$F$595,0,$E$245:$E$595,$G368,$C$245:$C$595,"&lt;="&amp;I5)&gt;=1000000),SUMIFS($D$245:$D$595,$F$245:$F$595,0,$E$245:$E$595,$G368)*$C$157 ,0)</f>
        <v/>
      </c>
      <c r="K368" s="95">
        <f>IF(AND(SUMIFS($D$245:$D$595,$F$245:$F$595,0,$E$245:$E$595,$G368,$C$245:$C$595,"&lt;="&amp;I$5)&lt;1000000,SUMIFS($D$245:$D$595,$F$245:$F$595,0,$E$245:$E$595,$G368,$C$245:$C$595,"&lt;="&amp;K5)&gt;=1000000),SUMIFS($D$245:$D$595,$F$245:$F$595,0,$E$245:$E$595,$G368)*$C$157 ,0)</f>
        <v/>
      </c>
      <c r="M368" s="95">
        <f>IF(AND(SUMIFS($D$245:$D$595,$F$245:$F$595,0,$E$245:$E$595,$G368,$C$245:$C$595,"&lt;="&amp;K$5)&lt;1000000,SUMIFS($D$245:$D$595,$F$245:$F$595,0,$E$245:$E$595,$G368,$C$245:$C$595,"&lt;="&amp;M5)&gt;=1000000),SUMIFS($D$245:$D$595,$F$245:$F$595,0,$E$245:$E$595,$G368)*$C$157 ,0)</f>
        <v/>
      </c>
      <c r="O368" s="95">
        <f>IF(AND(SUMIFS($D$245:$D$595,$F$245:$F$595,0,$E$245:$E$595,$G368,$C$245:$C$595,"&lt;="&amp;M$5)&lt;1000000,SUMIFS($D$245:$D$595,$F$245:$F$595,0,$E$245:$E$595,$G368,$C$245:$C$595,"&lt;="&amp;O5)&gt;=1000000),SUMIFS($D$245:$D$595,$F$245:$F$595,0,$E$245:$E$595,$G368)*$C$157 ,0)</f>
        <v/>
      </c>
      <c r="Q368" s="95">
        <f>IF(AND(SUMIFS($D$245:$D$595,$F$245:$F$595,0,$E$245:$E$595,$G368,$C$245:$C$595,"&lt;="&amp;O$5)&lt;1000000,SUMIFS($D$245:$D$595,$F$245:$F$595,0,$E$245:$E$595,$G368,$C$245:$C$595,"&lt;="&amp;Q5)&gt;=1000000),SUMIFS($D$245:$D$595,$F$245:$F$595,0,$E$245:$E$595,$G368)*$C$157 ,0)</f>
        <v/>
      </c>
      <c r="S368" s="95">
        <f>IF(AND(SUMIFS($D$245:$D$595,$F$245:$F$595,0,$E$245:$E$595,$G368,$C$245:$C$595,"&lt;="&amp;Q$5)&lt;1000000,SUMIFS($D$245:$D$595,$F$245:$F$595,0,$E$245:$E$595,$G368,$C$245:$C$595,"&lt;="&amp;S5)&gt;=1000000),SUMIFS($D$245:$D$595,$F$245:$F$595,0,$E$245:$E$595,$G368)*$C$157 ,0)</f>
        <v/>
      </c>
      <c r="U368" s="95">
        <f>IF(AND(SUMIFS($D$245:$D$595,$F$245:$F$595,0,$E$245:$E$595,$G368,$C$245:$C$595,"&lt;="&amp;S$5)&lt;1000000,SUMIFS($D$245:$D$595,$F$245:$F$595,0,$E$245:$E$595,$G368,$C$245:$C$595,"&lt;="&amp;U5)&gt;=1000000),SUMIFS($D$245:$D$595,$F$245:$F$595,0,$E$245:$E$595,$G368)*$C$157 ,0)</f>
        <v/>
      </c>
      <c r="W368" s="95">
        <f>IF(AND(SUMIFS($D$245:$D$595,$F$245:$F$595,0,$E$245:$E$595,$G368,$C$245:$C$595,"&lt;="&amp;U$5)&lt;1000000,SUMIFS($D$245:$D$595,$F$245:$F$595,0,$E$245:$E$595,$G368,$C$245:$C$595,"&lt;="&amp;W5)&gt;=1000000),SUMIFS($D$245:$D$595,$F$245:$F$595,0,$E$245:$E$595,$G368)*$C$157 ,0)</f>
        <v/>
      </c>
      <c r="Y368" s="95">
        <f>IF(AND(SUMIFS($D$245:$D$595,$F$245:$F$595,0,$E$245:$E$595,$G368,$C$245:$C$595,"&lt;="&amp;W$5)&lt;1000000,SUMIFS($D$245:$D$595,$F$245:$F$595,0,$E$245:$E$595,$G368,$C$245:$C$595,"&lt;="&amp;Y5)&gt;=1000000),SUMIFS($D$245:$D$595,$F$245:$F$595,0,$E$245:$E$595,$G368)*$C$157 ,0)</f>
        <v/>
      </c>
      <c r="AA368" s="95">
        <f>IF(AND(SUMIFS($D$245:$D$595,$F$245:$F$595,0,$E$245:$E$595,$G368,$C$245:$C$595,"&lt;="&amp;Y$5)&lt;1000000,SUMIFS($D$245:$D$595,$F$245:$F$595,0,$E$245:$E$595,$G368,$C$245:$C$595,"&lt;="&amp;AA5)&gt;=1000000),SUMIFS($D$245:$D$595,$F$245:$F$595,0,$E$245:$E$595,$G368)*$C$157 ,0)</f>
        <v/>
      </c>
      <c r="AC368" s="95">
        <f>IF(AND(SUMIFS($D$245:$D$595,$F$245:$F$595,0,$E$245:$E$595,$G368,$C$245:$C$595,"&lt;="&amp;AA$5)&lt;1000000,SUMIFS($D$245:$D$595,$F$245:$F$595,0,$E$245:$E$595,$G368,$C$245:$C$595,"&lt;="&amp;AC5)&gt;=1000000),SUMIFS($D$245:$D$595,$F$245:$F$595,0,$E$245:$E$595,$G368)*$C$157 ,0)</f>
        <v/>
      </c>
      <c r="AE368" s="95">
        <f>IF(AND(SUMIFS($D$245:$D$595,$F$245:$F$595,0,$E$245:$E$595,$G368,$C$245:$C$595,"&lt;="&amp;AC$5)&lt;1000000,SUMIFS($D$245:$D$595,$F$245:$F$595,0,$E$245:$E$595,$G368,$C$245:$C$595,"&lt;="&amp;AE5)&gt;=1000000),SUMIFS($D$245:$D$595,$F$245:$F$595,0,$E$245:$E$595,$G368)*$C$157 ,0)</f>
        <v/>
      </c>
      <c r="AF368" s="19" t="n"/>
    </row>
    <row r="369">
      <c r="A369" s="20">
        <f>mid(E369, 3, 1)</f>
        <v/>
      </c>
      <c r="B369" s="14" t="inlineStr"/>
      <c r="C369" s="21">
        <f>SUMIFS('Investor Exit List'!$AC:$AC,'Investor Exit List'!$AB:$AB,B369)</f>
        <v/>
      </c>
      <c r="D369" s="14">
        <f>SUMIFS('Investor Exit List'!$Q:$Q,'Investor Exit List'!$AB:$AB,B369)</f>
        <v/>
      </c>
      <c r="E369" s="31">
        <f>LEFT(B369,6)</f>
        <v/>
      </c>
      <c r="F369" s="14">
        <f>IF(SUMIFS($E$119:$E$151,$D$119:$D$151,E369)&lt;&gt;0,E369,0)</f>
        <v/>
      </c>
      <c r="G369" s="59" t="n"/>
      <c r="I369" s="28">
        <f>IF(AND(SUMIFS($D$245:$D$595,$F$245:$F$595,0,$E$245:$E$595,$G369,$C$245:$C$595,"&lt;="&amp;B$2)&lt;1000000,SUMIFS($D$245:$D$595,$F$245:$F$595,0,$E$245:$E$595,$G369,$C$245:$C$595,"&lt;="&amp;I5)&gt;=1000000),SUMIFS($D$245:$D$595,$F$245:$F$595,0,$E$245:$E$595,$G369)*$C$157 ,0)</f>
        <v/>
      </c>
      <c r="K369" s="95">
        <f>IF(AND(SUMIFS($D$245:$D$595,$F$245:$F$595,0,$E$245:$E$595,$G369,$C$245:$C$595,"&lt;="&amp;I$5)&lt;1000000,SUMIFS($D$245:$D$595,$F$245:$F$595,0,$E$245:$E$595,$G369,$C$245:$C$595,"&lt;="&amp;K5)&gt;=1000000),SUMIFS($D$245:$D$595,$F$245:$F$595,0,$E$245:$E$595,$G369)*$C$157 ,0)</f>
        <v/>
      </c>
      <c r="M369" s="95">
        <f>IF(AND(SUMIFS($D$245:$D$595,$F$245:$F$595,0,$E$245:$E$595,$G369,$C$245:$C$595,"&lt;="&amp;K$5)&lt;1000000,SUMIFS($D$245:$D$595,$F$245:$F$595,0,$E$245:$E$595,$G369,$C$245:$C$595,"&lt;="&amp;M5)&gt;=1000000),SUMIFS($D$245:$D$595,$F$245:$F$595,0,$E$245:$E$595,$G369)*$C$157 ,0)</f>
        <v/>
      </c>
      <c r="O369" s="95">
        <f>IF(AND(SUMIFS($D$245:$D$595,$F$245:$F$595,0,$E$245:$E$595,$G369,$C$245:$C$595,"&lt;="&amp;M$5)&lt;1000000,SUMIFS($D$245:$D$595,$F$245:$F$595,0,$E$245:$E$595,$G369,$C$245:$C$595,"&lt;="&amp;O5)&gt;=1000000),SUMIFS($D$245:$D$595,$F$245:$F$595,0,$E$245:$E$595,$G369)*$C$157 ,0)</f>
        <v/>
      </c>
      <c r="Q369" s="95">
        <f>IF(AND(SUMIFS($D$245:$D$595,$F$245:$F$595,0,$E$245:$E$595,$G369,$C$245:$C$595,"&lt;="&amp;O$5)&lt;1000000,SUMIFS($D$245:$D$595,$F$245:$F$595,0,$E$245:$E$595,$G369,$C$245:$C$595,"&lt;="&amp;Q5)&gt;=1000000),SUMIFS($D$245:$D$595,$F$245:$F$595,0,$E$245:$E$595,$G369)*$C$157 ,0)</f>
        <v/>
      </c>
      <c r="S369" s="95">
        <f>IF(AND(SUMIFS($D$245:$D$595,$F$245:$F$595,0,$E$245:$E$595,$G369,$C$245:$C$595,"&lt;="&amp;Q$5)&lt;1000000,SUMIFS($D$245:$D$595,$F$245:$F$595,0,$E$245:$E$595,$G369,$C$245:$C$595,"&lt;="&amp;S5)&gt;=1000000),SUMIFS($D$245:$D$595,$F$245:$F$595,0,$E$245:$E$595,$G369)*$C$157 ,0)</f>
        <v/>
      </c>
      <c r="U369" s="95">
        <f>IF(AND(SUMIFS($D$245:$D$595,$F$245:$F$595,0,$E$245:$E$595,$G369,$C$245:$C$595,"&lt;="&amp;S$5)&lt;1000000,SUMIFS($D$245:$D$595,$F$245:$F$595,0,$E$245:$E$595,$G369,$C$245:$C$595,"&lt;="&amp;U5)&gt;=1000000),SUMIFS($D$245:$D$595,$F$245:$F$595,0,$E$245:$E$595,$G369)*$C$157 ,0)</f>
        <v/>
      </c>
      <c r="W369" s="95">
        <f>IF(AND(SUMIFS($D$245:$D$595,$F$245:$F$595,0,$E$245:$E$595,$G369,$C$245:$C$595,"&lt;="&amp;U$5)&lt;1000000,SUMIFS($D$245:$D$595,$F$245:$F$595,0,$E$245:$E$595,$G369,$C$245:$C$595,"&lt;="&amp;W5)&gt;=1000000),SUMIFS($D$245:$D$595,$F$245:$F$595,0,$E$245:$E$595,$G369)*$C$157 ,0)</f>
        <v/>
      </c>
      <c r="Y369" s="95">
        <f>IF(AND(SUMIFS($D$245:$D$595,$F$245:$F$595,0,$E$245:$E$595,$G369,$C$245:$C$595,"&lt;="&amp;W$5)&lt;1000000,SUMIFS($D$245:$D$595,$F$245:$F$595,0,$E$245:$E$595,$G369,$C$245:$C$595,"&lt;="&amp;Y5)&gt;=1000000),SUMIFS($D$245:$D$595,$F$245:$F$595,0,$E$245:$E$595,$G369)*$C$157 ,0)</f>
        <v/>
      </c>
      <c r="AA369" s="95">
        <f>IF(AND(SUMIFS($D$245:$D$595,$F$245:$F$595,0,$E$245:$E$595,$G369,$C$245:$C$595,"&lt;="&amp;Y$5)&lt;1000000,SUMIFS($D$245:$D$595,$F$245:$F$595,0,$E$245:$E$595,$G369,$C$245:$C$595,"&lt;="&amp;AA5)&gt;=1000000),SUMIFS($D$245:$D$595,$F$245:$F$595,0,$E$245:$E$595,$G369)*$C$157 ,0)</f>
        <v/>
      </c>
      <c r="AC369" s="95">
        <f>IF(AND(SUMIFS($D$245:$D$595,$F$245:$F$595,0,$E$245:$E$595,$G369,$C$245:$C$595,"&lt;="&amp;AA$5)&lt;1000000,SUMIFS($D$245:$D$595,$F$245:$F$595,0,$E$245:$E$595,$G369,$C$245:$C$595,"&lt;="&amp;AC5)&gt;=1000000),SUMIFS($D$245:$D$595,$F$245:$F$595,0,$E$245:$E$595,$G369)*$C$157 ,0)</f>
        <v/>
      </c>
      <c r="AE369" s="95">
        <f>IF(AND(SUMIFS($D$245:$D$595,$F$245:$F$595,0,$E$245:$E$595,$G369,$C$245:$C$595,"&lt;="&amp;AC$5)&lt;1000000,SUMIFS($D$245:$D$595,$F$245:$F$595,0,$E$245:$E$595,$G369,$C$245:$C$595,"&lt;="&amp;AE5)&gt;=1000000),SUMIFS($D$245:$D$595,$F$245:$F$595,0,$E$245:$E$595,$G369)*$C$157 ,0)</f>
        <v/>
      </c>
      <c r="AF369" s="19" t="n"/>
    </row>
    <row r="370">
      <c r="A370" s="20">
        <f>mid(E370, 3, 1)</f>
        <v/>
      </c>
      <c r="B370" s="14" t="inlineStr"/>
      <c r="C370" s="21">
        <f>SUMIFS('Investor Exit List'!$AC:$AC,'Investor Exit List'!$AB:$AB,B370)</f>
        <v/>
      </c>
      <c r="D370" s="14">
        <f>SUMIFS('Investor Exit List'!$Q:$Q,'Investor Exit List'!$AB:$AB,B370)</f>
        <v/>
      </c>
      <c r="E370" s="31">
        <f>LEFT(B370,6)</f>
        <v/>
      </c>
      <c r="F370" s="14">
        <f>IF(SUMIFS($E$119:$E$151,$D$119:$D$151,E370)&lt;&gt;0,E370,0)</f>
        <v/>
      </c>
      <c r="G370" s="59" t="n"/>
      <c r="I370" s="28">
        <f>IF(AND(SUMIFS($D$245:$D$595,$F$245:$F$595,0,$E$245:$E$595,$G370,$C$245:$C$595,"&lt;="&amp;B$2)&lt;1000000,SUMIFS($D$245:$D$595,$F$245:$F$595,0,$E$245:$E$595,$G370,$C$245:$C$595,"&lt;="&amp;I5)&gt;=1000000),SUMIFS($D$245:$D$595,$F$245:$F$595,0,$E$245:$E$595,$G370)*$C$157 ,0)</f>
        <v/>
      </c>
      <c r="K370" s="95">
        <f>IF(AND(SUMIFS($D$245:$D$595,$F$245:$F$595,0,$E$245:$E$595,$G370,$C$245:$C$595,"&lt;="&amp;I$5)&lt;1000000,SUMIFS($D$245:$D$595,$F$245:$F$595,0,$E$245:$E$595,$G370,$C$245:$C$595,"&lt;="&amp;K5)&gt;=1000000),SUMIFS($D$245:$D$595,$F$245:$F$595,0,$E$245:$E$595,$G370)*$C$157 ,0)</f>
        <v/>
      </c>
      <c r="M370" s="95">
        <f>IF(AND(SUMIFS($D$245:$D$595,$F$245:$F$595,0,$E$245:$E$595,$G370,$C$245:$C$595,"&lt;="&amp;K$5)&lt;1000000,SUMIFS($D$245:$D$595,$F$245:$F$595,0,$E$245:$E$595,$G370,$C$245:$C$595,"&lt;="&amp;M5)&gt;=1000000),SUMIFS($D$245:$D$595,$F$245:$F$595,0,$E$245:$E$595,$G370)*$C$157 ,0)</f>
        <v/>
      </c>
      <c r="O370" s="95">
        <f>IF(AND(SUMIFS($D$245:$D$595,$F$245:$F$595,0,$E$245:$E$595,$G370,$C$245:$C$595,"&lt;="&amp;M$5)&lt;1000000,SUMIFS($D$245:$D$595,$F$245:$F$595,0,$E$245:$E$595,$G370,$C$245:$C$595,"&lt;="&amp;O5)&gt;=1000000),SUMIFS($D$245:$D$595,$F$245:$F$595,0,$E$245:$E$595,$G370)*$C$157 ,0)</f>
        <v/>
      </c>
      <c r="Q370" s="95">
        <f>IF(AND(SUMIFS($D$245:$D$595,$F$245:$F$595,0,$E$245:$E$595,$G370,$C$245:$C$595,"&lt;="&amp;O$5)&lt;1000000,SUMIFS($D$245:$D$595,$F$245:$F$595,0,$E$245:$E$595,$G370,$C$245:$C$595,"&lt;="&amp;Q5)&gt;=1000000),SUMIFS($D$245:$D$595,$F$245:$F$595,0,$E$245:$E$595,$G370)*$C$157 ,0)</f>
        <v/>
      </c>
      <c r="S370" s="95">
        <f>IF(AND(SUMIFS($D$245:$D$595,$F$245:$F$595,0,$E$245:$E$595,$G370,$C$245:$C$595,"&lt;="&amp;Q$5)&lt;1000000,SUMIFS($D$245:$D$595,$F$245:$F$595,0,$E$245:$E$595,$G370,$C$245:$C$595,"&lt;="&amp;S5)&gt;=1000000),SUMIFS($D$245:$D$595,$F$245:$F$595,0,$E$245:$E$595,$G370)*$C$157 ,0)</f>
        <v/>
      </c>
      <c r="U370" s="95">
        <f>IF(AND(SUMIFS($D$245:$D$595,$F$245:$F$595,0,$E$245:$E$595,$G370,$C$245:$C$595,"&lt;="&amp;S$5)&lt;1000000,SUMIFS($D$245:$D$595,$F$245:$F$595,0,$E$245:$E$595,$G370,$C$245:$C$595,"&lt;="&amp;U5)&gt;=1000000),SUMIFS($D$245:$D$595,$F$245:$F$595,0,$E$245:$E$595,$G370)*$C$157 ,0)</f>
        <v/>
      </c>
      <c r="W370" s="95">
        <f>IF(AND(SUMIFS($D$245:$D$595,$F$245:$F$595,0,$E$245:$E$595,$G370,$C$245:$C$595,"&lt;="&amp;U$5)&lt;1000000,SUMIFS($D$245:$D$595,$F$245:$F$595,0,$E$245:$E$595,$G370,$C$245:$C$595,"&lt;="&amp;W5)&gt;=1000000),SUMIFS($D$245:$D$595,$F$245:$F$595,0,$E$245:$E$595,$G370)*$C$157 ,0)</f>
        <v/>
      </c>
      <c r="Y370" s="95">
        <f>IF(AND(SUMIFS($D$245:$D$595,$F$245:$F$595,0,$E$245:$E$595,$G370,$C$245:$C$595,"&lt;="&amp;W$5)&lt;1000000,SUMIFS($D$245:$D$595,$F$245:$F$595,0,$E$245:$E$595,$G370,$C$245:$C$595,"&lt;="&amp;Y5)&gt;=1000000),SUMIFS($D$245:$D$595,$F$245:$F$595,0,$E$245:$E$595,$G370)*$C$157 ,0)</f>
        <v/>
      </c>
      <c r="AA370" s="95">
        <f>IF(AND(SUMIFS($D$245:$D$595,$F$245:$F$595,0,$E$245:$E$595,$G370,$C$245:$C$595,"&lt;="&amp;Y$5)&lt;1000000,SUMIFS($D$245:$D$595,$F$245:$F$595,0,$E$245:$E$595,$G370,$C$245:$C$595,"&lt;="&amp;AA5)&gt;=1000000),SUMIFS($D$245:$D$595,$F$245:$F$595,0,$E$245:$E$595,$G370)*$C$157 ,0)</f>
        <v/>
      </c>
      <c r="AC370" s="95">
        <f>IF(AND(SUMIFS($D$245:$D$595,$F$245:$F$595,0,$E$245:$E$595,$G370,$C$245:$C$595,"&lt;="&amp;AA$5)&lt;1000000,SUMIFS($D$245:$D$595,$F$245:$F$595,0,$E$245:$E$595,$G370,$C$245:$C$595,"&lt;="&amp;AC5)&gt;=1000000),SUMIFS($D$245:$D$595,$F$245:$F$595,0,$E$245:$E$595,$G370)*$C$157 ,0)</f>
        <v/>
      </c>
      <c r="AE370" s="95">
        <f>IF(AND(SUMIFS($D$245:$D$595,$F$245:$F$595,0,$E$245:$E$595,$G370,$C$245:$C$595,"&lt;="&amp;AC$5)&lt;1000000,SUMIFS($D$245:$D$595,$F$245:$F$595,0,$E$245:$E$595,$G370,$C$245:$C$595,"&lt;="&amp;AE5)&gt;=1000000),SUMIFS($D$245:$D$595,$F$245:$F$595,0,$E$245:$E$595,$G370)*$C$157 ,0)</f>
        <v/>
      </c>
      <c r="AF370" s="19" t="n"/>
    </row>
    <row r="371">
      <c r="A371" s="20">
        <f>mid(E371, 3, 1)</f>
        <v/>
      </c>
      <c r="B371" s="14" t="inlineStr"/>
      <c r="C371" s="21">
        <f>SUMIFS('Investor Exit List'!$AC:$AC,'Investor Exit List'!$AB:$AB,B371)</f>
        <v/>
      </c>
      <c r="D371" s="14">
        <f>SUMIFS('Investor Exit List'!$Q:$Q,'Investor Exit List'!$AB:$AB,B371)</f>
        <v/>
      </c>
      <c r="E371" s="31">
        <f>LEFT(B371,6)</f>
        <v/>
      </c>
      <c r="F371" s="14">
        <f>IF(SUMIFS($E$119:$E$151,$D$119:$D$151,E371)&lt;&gt;0,E371,0)</f>
        <v/>
      </c>
      <c r="G371" s="59" t="n"/>
      <c r="I371" s="28">
        <f>IF(AND(SUMIFS($D$245:$D$595,$F$245:$F$595,0,$E$245:$E$595,$G371,$C$245:$C$595,"&lt;="&amp;B$2)&lt;1000000,SUMIFS($D$245:$D$595,$F$245:$F$595,0,$E$245:$E$595,$G371,$C$245:$C$595,"&lt;="&amp;I5)&gt;=1000000),SUMIFS($D$245:$D$595,$F$245:$F$595,0,$E$245:$E$595,$G371)*$C$157 ,0)</f>
        <v/>
      </c>
      <c r="K371" s="95">
        <f>IF(AND(SUMIFS($D$245:$D$595,$F$245:$F$595,0,$E$245:$E$595,$G371,$C$245:$C$595,"&lt;="&amp;I$5)&lt;1000000,SUMIFS($D$245:$D$595,$F$245:$F$595,0,$E$245:$E$595,$G371,$C$245:$C$595,"&lt;="&amp;K5)&gt;=1000000),SUMIFS($D$245:$D$595,$F$245:$F$595,0,$E$245:$E$595,$G371)*$C$157 ,0)</f>
        <v/>
      </c>
      <c r="M371" s="95">
        <f>IF(AND(SUMIFS($D$245:$D$595,$F$245:$F$595,0,$E$245:$E$595,$G371,$C$245:$C$595,"&lt;="&amp;K$5)&lt;1000000,SUMIFS($D$245:$D$595,$F$245:$F$595,0,$E$245:$E$595,$G371,$C$245:$C$595,"&lt;="&amp;M5)&gt;=1000000),SUMIFS($D$245:$D$595,$F$245:$F$595,0,$E$245:$E$595,$G371)*$C$157 ,0)</f>
        <v/>
      </c>
      <c r="O371" s="95">
        <f>IF(AND(SUMIFS($D$245:$D$595,$F$245:$F$595,0,$E$245:$E$595,$G371,$C$245:$C$595,"&lt;="&amp;M$5)&lt;1000000,SUMIFS($D$245:$D$595,$F$245:$F$595,0,$E$245:$E$595,$G371,$C$245:$C$595,"&lt;="&amp;O5)&gt;=1000000),SUMIFS($D$245:$D$595,$F$245:$F$595,0,$E$245:$E$595,$G371)*$C$157 ,0)</f>
        <v/>
      </c>
      <c r="Q371" s="95">
        <f>IF(AND(SUMIFS($D$245:$D$595,$F$245:$F$595,0,$E$245:$E$595,$G371,$C$245:$C$595,"&lt;="&amp;O$5)&lt;1000000,SUMIFS($D$245:$D$595,$F$245:$F$595,0,$E$245:$E$595,$G371,$C$245:$C$595,"&lt;="&amp;Q5)&gt;=1000000),SUMIFS($D$245:$D$595,$F$245:$F$595,0,$E$245:$E$595,$G371)*$C$157 ,0)</f>
        <v/>
      </c>
      <c r="S371" s="95">
        <f>IF(AND(SUMIFS($D$245:$D$595,$F$245:$F$595,0,$E$245:$E$595,$G371,$C$245:$C$595,"&lt;="&amp;Q$5)&lt;1000000,SUMIFS($D$245:$D$595,$F$245:$F$595,0,$E$245:$E$595,$G371,$C$245:$C$595,"&lt;="&amp;S5)&gt;=1000000),SUMIFS($D$245:$D$595,$F$245:$F$595,0,$E$245:$E$595,$G371)*$C$157 ,0)</f>
        <v/>
      </c>
      <c r="U371" s="95">
        <f>IF(AND(SUMIFS($D$245:$D$595,$F$245:$F$595,0,$E$245:$E$595,$G371,$C$245:$C$595,"&lt;="&amp;S$5)&lt;1000000,SUMIFS($D$245:$D$595,$F$245:$F$595,0,$E$245:$E$595,$G371,$C$245:$C$595,"&lt;="&amp;U5)&gt;=1000000),SUMIFS($D$245:$D$595,$F$245:$F$595,0,$E$245:$E$595,$G371)*$C$157 ,0)</f>
        <v/>
      </c>
      <c r="W371" s="95">
        <f>IF(AND(SUMIFS($D$245:$D$595,$F$245:$F$595,0,$E$245:$E$595,$G371,$C$245:$C$595,"&lt;="&amp;U$5)&lt;1000000,SUMIFS($D$245:$D$595,$F$245:$F$595,0,$E$245:$E$595,$G371,$C$245:$C$595,"&lt;="&amp;W5)&gt;=1000000),SUMIFS($D$245:$D$595,$F$245:$F$595,0,$E$245:$E$595,$G371)*$C$157 ,0)</f>
        <v/>
      </c>
      <c r="Y371" s="95">
        <f>IF(AND(SUMIFS($D$245:$D$595,$F$245:$F$595,0,$E$245:$E$595,$G371,$C$245:$C$595,"&lt;="&amp;W$5)&lt;1000000,SUMIFS($D$245:$D$595,$F$245:$F$595,0,$E$245:$E$595,$G371,$C$245:$C$595,"&lt;="&amp;Y5)&gt;=1000000),SUMIFS($D$245:$D$595,$F$245:$F$595,0,$E$245:$E$595,$G371)*$C$157 ,0)</f>
        <v/>
      </c>
      <c r="AA371" s="95">
        <f>IF(AND(SUMIFS($D$245:$D$595,$F$245:$F$595,0,$E$245:$E$595,$G371,$C$245:$C$595,"&lt;="&amp;Y$5)&lt;1000000,SUMIFS($D$245:$D$595,$F$245:$F$595,0,$E$245:$E$595,$G371,$C$245:$C$595,"&lt;="&amp;AA5)&gt;=1000000),SUMIFS($D$245:$D$595,$F$245:$F$595,0,$E$245:$E$595,$G371)*$C$157 ,0)</f>
        <v/>
      </c>
      <c r="AC371" s="95">
        <f>IF(AND(SUMIFS($D$245:$D$595,$F$245:$F$595,0,$E$245:$E$595,$G371,$C$245:$C$595,"&lt;="&amp;AA$5)&lt;1000000,SUMIFS($D$245:$D$595,$F$245:$F$595,0,$E$245:$E$595,$G371,$C$245:$C$595,"&lt;="&amp;AC5)&gt;=1000000),SUMIFS($D$245:$D$595,$F$245:$F$595,0,$E$245:$E$595,$G371)*$C$157 ,0)</f>
        <v/>
      </c>
      <c r="AE371" s="95">
        <f>IF(AND(SUMIFS($D$245:$D$595,$F$245:$F$595,0,$E$245:$E$595,$G371,$C$245:$C$595,"&lt;="&amp;AC$5)&lt;1000000,SUMIFS($D$245:$D$595,$F$245:$F$595,0,$E$245:$E$595,$G371,$C$245:$C$595,"&lt;="&amp;AE5)&gt;=1000000),SUMIFS($D$245:$D$595,$F$245:$F$595,0,$E$245:$E$595,$G371)*$C$157 ,0)</f>
        <v/>
      </c>
      <c r="AF371" s="19" t="n"/>
    </row>
    <row r="372">
      <c r="A372" s="20">
        <f>mid(E372, 3, 1)</f>
        <v/>
      </c>
      <c r="B372" s="14" t="inlineStr"/>
      <c r="C372" s="21">
        <f>SUMIFS('Investor Exit List'!$AC:$AC,'Investor Exit List'!$AB:$AB,B372)</f>
        <v/>
      </c>
      <c r="D372" s="14">
        <f>SUMIFS('Investor Exit List'!$Q:$Q,'Investor Exit List'!$AB:$AB,B372)</f>
        <v/>
      </c>
      <c r="E372" s="31">
        <f>LEFT(B372,6)</f>
        <v/>
      </c>
      <c r="F372" s="14">
        <f>IF(SUMIFS($E$119:$E$151,$D$119:$D$151,E372)&lt;&gt;0,E372,0)</f>
        <v/>
      </c>
      <c r="G372" s="59" t="n"/>
      <c r="I372" s="28">
        <f>IF(AND(SUMIFS($D$245:$D$595,$F$245:$F$595,0,$E$245:$E$595,$G372,$C$245:$C$595,"&lt;="&amp;B$2)&lt;1000000,SUMIFS($D$245:$D$595,$F$245:$F$595,0,$E$245:$E$595,$G372,$C$245:$C$595,"&lt;="&amp;I5)&gt;=1000000),SUMIFS($D$245:$D$595,$F$245:$F$595,0,$E$245:$E$595,$G372)*$C$157 ,0)</f>
        <v/>
      </c>
      <c r="K372" s="95">
        <f>IF(AND(SUMIFS($D$245:$D$595,$F$245:$F$595,0,$E$245:$E$595,$G372,$C$245:$C$595,"&lt;="&amp;I$5)&lt;1000000,SUMIFS($D$245:$D$595,$F$245:$F$595,0,$E$245:$E$595,$G372,$C$245:$C$595,"&lt;="&amp;K5)&gt;=1000000),SUMIFS($D$245:$D$595,$F$245:$F$595,0,$E$245:$E$595,$G372)*$C$157 ,0)</f>
        <v/>
      </c>
      <c r="M372" s="95">
        <f>IF(AND(SUMIFS($D$245:$D$595,$F$245:$F$595,0,$E$245:$E$595,$G372,$C$245:$C$595,"&lt;="&amp;K$5)&lt;1000000,SUMIFS($D$245:$D$595,$F$245:$F$595,0,$E$245:$E$595,$G372,$C$245:$C$595,"&lt;="&amp;M5)&gt;=1000000),SUMIFS($D$245:$D$595,$F$245:$F$595,0,$E$245:$E$595,$G372)*$C$157 ,0)</f>
        <v/>
      </c>
      <c r="O372" s="95">
        <f>IF(AND(SUMIFS($D$245:$D$595,$F$245:$F$595,0,$E$245:$E$595,$G372,$C$245:$C$595,"&lt;="&amp;M$5)&lt;1000000,SUMIFS($D$245:$D$595,$F$245:$F$595,0,$E$245:$E$595,$G372,$C$245:$C$595,"&lt;="&amp;O5)&gt;=1000000),SUMIFS($D$245:$D$595,$F$245:$F$595,0,$E$245:$E$595,$G372)*$C$157 ,0)</f>
        <v/>
      </c>
      <c r="Q372" s="95">
        <f>IF(AND(SUMIFS($D$245:$D$595,$F$245:$F$595,0,$E$245:$E$595,$G372,$C$245:$C$595,"&lt;="&amp;O$5)&lt;1000000,SUMIFS($D$245:$D$595,$F$245:$F$595,0,$E$245:$E$595,$G372,$C$245:$C$595,"&lt;="&amp;Q5)&gt;=1000000),SUMIFS($D$245:$D$595,$F$245:$F$595,0,$E$245:$E$595,$G372)*$C$157 ,0)</f>
        <v/>
      </c>
      <c r="S372" s="95">
        <f>IF(AND(SUMIFS($D$245:$D$595,$F$245:$F$595,0,$E$245:$E$595,$G372,$C$245:$C$595,"&lt;="&amp;Q$5)&lt;1000000,SUMIFS($D$245:$D$595,$F$245:$F$595,0,$E$245:$E$595,$G372,$C$245:$C$595,"&lt;="&amp;S5)&gt;=1000000),SUMIFS($D$245:$D$595,$F$245:$F$595,0,$E$245:$E$595,$G372)*$C$157 ,0)</f>
        <v/>
      </c>
      <c r="U372" s="95">
        <f>IF(AND(SUMIFS($D$245:$D$595,$F$245:$F$595,0,$E$245:$E$595,$G372,$C$245:$C$595,"&lt;="&amp;S$5)&lt;1000000,SUMIFS($D$245:$D$595,$F$245:$F$595,0,$E$245:$E$595,$G372,$C$245:$C$595,"&lt;="&amp;U5)&gt;=1000000),SUMIFS($D$245:$D$595,$F$245:$F$595,0,$E$245:$E$595,$G372)*$C$157 ,0)</f>
        <v/>
      </c>
      <c r="W372" s="95">
        <f>IF(AND(SUMIFS($D$245:$D$595,$F$245:$F$595,0,$E$245:$E$595,$G372,$C$245:$C$595,"&lt;="&amp;U$5)&lt;1000000,SUMIFS($D$245:$D$595,$F$245:$F$595,0,$E$245:$E$595,$G372,$C$245:$C$595,"&lt;="&amp;W5)&gt;=1000000),SUMIFS($D$245:$D$595,$F$245:$F$595,0,$E$245:$E$595,$G372)*$C$157 ,0)</f>
        <v/>
      </c>
      <c r="Y372" s="95">
        <f>IF(AND(SUMIFS($D$245:$D$595,$F$245:$F$595,0,$E$245:$E$595,$G372,$C$245:$C$595,"&lt;="&amp;W$5)&lt;1000000,SUMIFS($D$245:$D$595,$F$245:$F$595,0,$E$245:$E$595,$G372,$C$245:$C$595,"&lt;="&amp;Y5)&gt;=1000000),SUMIFS($D$245:$D$595,$F$245:$F$595,0,$E$245:$E$595,$G372)*$C$157 ,0)</f>
        <v/>
      </c>
      <c r="AA372" s="95">
        <f>IF(AND(SUMIFS($D$245:$D$595,$F$245:$F$595,0,$E$245:$E$595,$G372,$C$245:$C$595,"&lt;="&amp;Y$5)&lt;1000000,SUMIFS($D$245:$D$595,$F$245:$F$595,0,$E$245:$E$595,$G372,$C$245:$C$595,"&lt;="&amp;AA5)&gt;=1000000),SUMIFS($D$245:$D$595,$F$245:$F$595,0,$E$245:$E$595,$G372)*$C$157 ,0)</f>
        <v/>
      </c>
      <c r="AC372" s="95">
        <f>IF(AND(SUMIFS($D$245:$D$595,$F$245:$F$595,0,$E$245:$E$595,$G372,$C$245:$C$595,"&lt;="&amp;AA$5)&lt;1000000,SUMIFS($D$245:$D$595,$F$245:$F$595,0,$E$245:$E$595,$G372,$C$245:$C$595,"&lt;="&amp;AC5)&gt;=1000000),SUMIFS($D$245:$D$595,$F$245:$F$595,0,$E$245:$E$595,$G372)*$C$157 ,0)</f>
        <v/>
      </c>
      <c r="AE372" s="95">
        <f>IF(AND(SUMIFS($D$245:$D$595,$F$245:$F$595,0,$E$245:$E$595,$G372,$C$245:$C$595,"&lt;="&amp;AC$5)&lt;1000000,SUMIFS($D$245:$D$595,$F$245:$F$595,0,$E$245:$E$595,$G372,$C$245:$C$595,"&lt;="&amp;AE5)&gt;=1000000),SUMIFS($D$245:$D$595,$F$245:$F$595,0,$E$245:$E$595,$G372)*$C$157 ,0)</f>
        <v/>
      </c>
      <c r="AF372" s="19" t="n"/>
    </row>
    <row r="373">
      <c r="A373" s="20">
        <f>mid(E373, 3, 1)</f>
        <v/>
      </c>
      <c r="B373" s="14" t="inlineStr"/>
      <c r="C373" s="21">
        <f>SUMIFS('Investor Exit List'!$AC:$AC,'Investor Exit List'!$AB:$AB,B373)</f>
        <v/>
      </c>
      <c r="D373" s="14">
        <f>SUMIFS('Investor Exit List'!$Q:$Q,'Investor Exit List'!$AB:$AB,B373)</f>
        <v/>
      </c>
      <c r="E373" s="31">
        <f>LEFT(B373,6)</f>
        <v/>
      </c>
      <c r="F373" s="14">
        <f>IF(SUMIFS($E$119:$E$151,$D$119:$D$151,E373)&lt;&gt;0,E373,0)</f>
        <v/>
      </c>
      <c r="G373" s="59" t="n"/>
      <c r="I373" s="28">
        <f>IF(AND(SUMIFS($D$245:$D$595,$F$245:$F$595,0,$E$245:$E$595,$G373,$C$245:$C$595,"&lt;="&amp;B$2)&lt;1000000,SUMIFS($D$245:$D$595,$F$245:$F$595,0,$E$245:$E$595,$G373,$C$245:$C$595,"&lt;="&amp;I5)&gt;=1000000),SUMIFS($D$245:$D$595,$F$245:$F$595,0,$E$245:$E$595,$G373)*$C$157 ,0)</f>
        <v/>
      </c>
      <c r="K373" s="95">
        <f>IF(AND(SUMIFS($D$245:$D$595,$F$245:$F$595,0,$E$245:$E$595,$G373,$C$245:$C$595,"&lt;="&amp;I$5)&lt;1000000,SUMIFS($D$245:$D$595,$F$245:$F$595,0,$E$245:$E$595,$G373,$C$245:$C$595,"&lt;="&amp;K5)&gt;=1000000),SUMIFS($D$245:$D$595,$F$245:$F$595,0,$E$245:$E$595,$G373)*$C$157 ,0)</f>
        <v/>
      </c>
      <c r="M373" s="95">
        <f>IF(AND(SUMIFS($D$245:$D$595,$F$245:$F$595,0,$E$245:$E$595,$G373,$C$245:$C$595,"&lt;="&amp;K$5)&lt;1000000,SUMIFS($D$245:$D$595,$F$245:$F$595,0,$E$245:$E$595,$G373,$C$245:$C$595,"&lt;="&amp;M5)&gt;=1000000),SUMIFS($D$245:$D$595,$F$245:$F$595,0,$E$245:$E$595,$G373)*$C$157 ,0)</f>
        <v/>
      </c>
      <c r="O373" s="95">
        <f>IF(AND(SUMIFS($D$245:$D$595,$F$245:$F$595,0,$E$245:$E$595,$G373,$C$245:$C$595,"&lt;="&amp;M$5)&lt;1000000,SUMIFS($D$245:$D$595,$F$245:$F$595,0,$E$245:$E$595,$G373,$C$245:$C$595,"&lt;="&amp;O5)&gt;=1000000),SUMIFS($D$245:$D$595,$F$245:$F$595,0,$E$245:$E$595,$G373)*$C$157 ,0)</f>
        <v/>
      </c>
      <c r="Q373" s="95">
        <f>IF(AND(SUMIFS($D$245:$D$595,$F$245:$F$595,0,$E$245:$E$595,$G373,$C$245:$C$595,"&lt;="&amp;O$5)&lt;1000000,SUMIFS($D$245:$D$595,$F$245:$F$595,0,$E$245:$E$595,$G373,$C$245:$C$595,"&lt;="&amp;Q5)&gt;=1000000),SUMIFS($D$245:$D$595,$F$245:$F$595,0,$E$245:$E$595,$G373)*$C$157 ,0)</f>
        <v/>
      </c>
      <c r="S373" s="95">
        <f>IF(AND(SUMIFS($D$245:$D$595,$F$245:$F$595,0,$E$245:$E$595,$G373,$C$245:$C$595,"&lt;="&amp;Q$5)&lt;1000000,SUMIFS($D$245:$D$595,$F$245:$F$595,0,$E$245:$E$595,$G373,$C$245:$C$595,"&lt;="&amp;S5)&gt;=1000000),SUMIFS($D$245:$D$595,$F$245:$F$595,0,$E$245:$E$595,$G373)*$C$157 ,0)</f>
        <v/>
      </c>
      <c r="U373" s="95">
        <f>IF(AND(SUMIFS($D$245:$D$595,$F$245:$F$595,0,$E$245:$E$595,$G373,$C$245:$C$595,"&lt;="&amp;S$5)&lt;1000000,SUMIFS($D$245:$D$595,$F$245:$F$595,0,$E$245:$E$595,$G373,$C$245:$C$595,"&lt;="&amp;U5)&gt;=1000000),SUMIFS($D$245:$D$595,$F$245:$F$595,0,$E$245:$E$595,$G373)*$C$157 ,0)</f>
        <v/>
      </c>
      <c r="W373" s="95">
        <f>IF(AND(SUMIFS($D$245:$D$595,$F$245:$F$595,0,$E$245:$E$595,$G373,$C$245:$C$595,"&lt;="&amp;U$5)&lt;1000000,SUMIFS($D$245:$D$595,$F$245:$F$595,0,$E$245:$E$595,$G373,$C$245:$C$595,"&lt;="&amp;W5)&gt;=1000000),SUMIFS($D$245:$D$595,$F$245:$F$595,0,$E$245:$E$595,$G373)*$C$157 ,0)</f>
        <v/>
      </c>
      <c r="Y373" s="95">
        <f>IF(AND(SUMIFS($D$245:$D$595,$F$245:$F$595,0,$E$245:$E$595,$G373,$C$245:$C$595,"&lt;="&amp;W$5)&lt;1000000,SUMIFS($D$245:$D$595,$F$245:$F$595,0,$E$245:$E$595,$G373,$C$245:$C$595,"&lt;="&amp;Y5)&gt;=1000000),SUMIFS($D$245:$D$595,$F$245:$F$595,0,$E$245:$E$595,$G373)*$C$157 ,0)</f>
        <v/>
      </c>
      <c r="AA373" s="95">
        <f>IF(AND(SUMIFS($D$245:$D$595,$F$245:$F$595,0,$E$245:$E$595,$G373,$C$245:$C$595,"&lt;="&amp;Y$5)&lt;1000000,SUMIFS($D$245:$D$595,$F$245:$F$595,0,$E$245:$E$595,$G373,$C$245:$C$595,"&lt;="&amp;AA5)&gt;=1000000),SUMIFS($D$245:$D$595,$F$245:$F$595,0,$E$245:$E$595,$G373)*$C$157 ,0)</f>
        <v/>
      </c>
      <c r="AC373" s="95">
        <f>IF(AND(SUMIFS($D$245:$D$595,$F$245:$F$595,0,$E$245:$E$595,$G373,$C$245:$C$595,"&lt;="&amp;AA$5)&lt;1000000,SUMIFS($D$245:$D$595,$F$245:$F$595,0,$E$245:$E$595,$G373,$C$245:$C$595,"&lt;="&amp;AC5)&gt;=1000000),SUMIFS($D$245:$D$595,$F$245:$F$595,0,$E$245:$E$595,$G373)*$C$157 ,0)</f>
        <v/>
      </c>
      <c r="AE373" s="95">
        <f>IF(AND(SUMIFS($D$245:$D$595,$F$245:$F$595,0,$E$245:$E$595,$G373,$C$245:$C$595,"&lt;="&amp;AC$5)&lt;1000000,SUMIFS($D$245:$D$595,$F$245:$F$595,0,$E$245:$E$595,$G373,$C$245:$C$595,"&lt;="&amp;AE5)&gt;=1000000),SUMIFS($D$245:$D$595,$F$245:$F$595,0,$E$245:$E$595,$G373)*$C$157 ,0)</f>
        <v/>
      </c>
      <c r="AF373" s="19" t="n"/>
    </row>
    <row r="374">
      <c r="A374" s="20">
        <f>mid(E374, 3, 1)</f>
        <v/>
      </c>
      <c r="B374" s="14" t="inlineStr"/>
      <c r="C374" s="21">
        <f>SUMIFS('Investor Exit List'!$AC:$AC,'Investor Exit List'!$AB:$AB,B374)</f>
        <v/>
      </c>
      <c r="D374" s="14">
        <f>SUMIFS('Investor Exit List'!$Q:$Q,'Investor Exit List'!$AB:$AB,B374)</f>
        <v/>
      </c>
      <c r="E374" s="31">
        <f>LEFT(B374,6)</f>
        <v/>
      </c>
      <c r="F374" s="14">
        <f>IF(SUMIFS($E$119:$E$151,$D$119:$D$151,E374)&lt;&gt;0,E374,0)</f>
        <v/>
      </c>
      <c r="G374" s="59" t="n"/>
      <c r="I374" s="28">
        <f>IF(AND(SUMIFS($D$245:$D$595,$F$245:$F$595,0,$E$245:$E$595,$G374,$C$245:$C$595,"&lt;="&amp;B$2)&lt;1000000,SUMIFS($D$245:$D$595,$F$245:$F$595,0,$E$245:$E$595,$G374,$C$245:$C$595,"&lt;="&amp;I5)&gt;=1000000),SUMIFS($D$245:$D$595,$F$245:$F$595,0,$E$245:$E$595,$G374)*$C$157 ,0)</f>
        <v/>
      </c>
      <c r="K374" s="95">
        <f>IF(AND(SUMIFS($D$245:$D$595,$F$245:$F$595,0,$E$245:$E$595,$G374,$C$245:$C$595,"&lt;="&amp;I$5)&lt;1000000,SUMIFS($D$245:$D$595,$F$245:$F$595,0,$E$245:$E$595,$G374,$C$245:$C$595,"&lt;="&amp;K5)&gt;=1000000),SUMIFS($D$245:$D$595,$F$245:$F$595,0,$E$245:$E$595,$G374)*$C$157 ,0)</f>
        <v/>
      </c>
      <c r="M374" s="95">
        <f>IF(AND(SUMIFS($D$245:$D$595,$F$245:$F$595,0,$E$245:$E$595,$G374,$C$245:$C$595,"&lt;="&amp;K$5)&lt;1000000,SUMIFS($D$245:$D$595,$F$245:$F$595,0,$E$245:$E$595,$G374,$C$245:$C$595,"&lt;="&amp;M5)&gt;=1000000),SUMIFS($D$245:$D$595,$F$245:$F$595,0,$E$245:$E$595,$G374)*$C$157 ,0)</f>
        <v/>
      </c>
      <c r="O374" s="95">
        <f>IF(AND(SUMIFS($D$245:$D$595,$F$245:$F$595,0,$E$245:$E$595,$G374,$C$245:$C$595,"&lt;="&amp;M$5)&lt;1000000,SUMIFS($D$245:$D$595,$F$245:$F$595,0,$E$245:$E$595,$G374,$C$245:$C$595,"&lt;="&amp;O5)&gt;=1000000),SUMIFS($D$245:$D$595,$F$245:$F$595,0,$E$245:$E$595,$G374)*$C$157 ,0)</f>
        <v/>
      </c>
      <c r="Q374" s="95">
        <f>IF(AND(SUMIFS($D$245:$D$595,$F$245:$F$595,0,$E$245:$E$595,$G374,$C$245:$C$595,"&lt;="&amp;O$5)&lt;1000000,SUMIFS($D$245:$D$595,$F$245:$F$595,0,$E$245:$E$595,$G374,$C$245:$C$595,"&lt;="&amp;Q5)&gt;=1000000),SUMIFS($D$245:$D$595,$F$245:$F$595,0,$E$245:$E$595,$G374)*$C$157 ,0)</f>
        <v/>
      </c>
      <c r="S374" s="95">
        <f>IF(AND(SUMIFS($D$245:$D$595,$F$245:$F$595,0,$E$245:$E$595,$G374,$C$245:$C$595,"&lt;="&amp;Q$5)&lt;1000000,SUMIFS($D$245:$D$595,$F$245:$F$595,0,$E$245:$E$595,$G374,$C$245:$C$595,"&lt;="&amp;S5)&gt;=1000000),SUMIFS($D$245:$D$595,$F$245:$F$595,0,$E$245:$E$595,$G374)*$C$157 ,0)</f>
        <v/>
      </c>
      <c r="U374" s="95">
        <f>IF(AND(SUMIFS($D$245:$D$595,$F$245:$F$595,0,$E$245:$E$595,$G374,$C$245:$C$595,"&lt;="&amp;S$5)&lt;1000000,SUMIFS($D$245:$D$595,$F$245:$F$595,0,$E$245:$E$595,$G374,$C$245:$C$595,"&lt;="&amp;U5)&gt;=1000000),SUMIFS($D$245:$D$595,$F$245:$F$595,0,$E$245:$E$595,$G374)*$C$157 ,0)</f>
        <v/>
      </c>
      <c r="W374" s="95">
        <f>IF(AND(SUMIFS($D$245:$D$595,$F$245:$F$595,0,$E$245:$E$595,$G374,$C$245:$C$595,"&lt;="&amp;U$5)&lt;1000000,SUMIFS($D$245:$D$595,$F$245:$F$595,0,$E$245:$E$595,$G374,$C$245:$C$595,"&lt;="&amp;W5)&gt;=1000000),SUMIFS($D$245:$D$595,$F$245:$F$595,0,$E$245:$E$595,$G374)*$C$157 ,0)</f>
        <v/>
      </c>
      <c r="Y374" s="95">
        <f>IF(AND(SUMIFS($D$245:$D$595,$F$245:$F$595,0,$E$245:$E$595,$G374,$C$245:$C$595,"&lt;="&amp;W$5)&lt;1000000,SUMIFS($D$245:$D$595,$F$245:$F$595,0,$E$245:$E$595,$G374,$C$245:$C$595,"&lt;="&amp;Y5)&gt;=1000000),SUMIFS($D$245:$D$595,$F$245:$F$595,0,$E$245:$E$595,$G374)*$C$157 ,0)</f>
        <v/>
      </c>
      <c r="AA374" s="95">
        <f>IF(AND(SUMIFS($D$245:$D$595,$F$245:$F$595,0,$E$245:$E$595,$G374,$C$245:$C$595,"&lt;="&amp;Y$5)&lt;1000000,SUMIFS($D$245:$D$595,$F$245:$F$595,0,$E$245:$E$595,$G374,$C$245:$C$595,"&lt;="&amp;AA5)&gt;=1000000),SUMIFS($D$245:$D$595,$F$245:$F$595,0,$E$245:$E$595,$G374)*$C$157 ,0)</f>
        <v/>
      </c>
      <c r="AC374" s="95">
        <f>IF(AND(SUMIFS($D$245:$D$595,$F$245:$F$595,0,$E$245:$E$595,$G374,$C$245:$C$595,"&lt;="&amp;AA$5)&lt;1000000,SUMIFS($D$245:$D$595,$F$245:$F$595,0,$E$245:$E$595,$G374,$C$245:$C$595,"&lt;="&amp;AC5)&gt;=1000000),SUMIFS($D$245:$D$595,$F$245:$F$595,0,$E$245:$E$595,$G374)*$C$157 ,0)</f>
        <v/>
      </c>
      <c r="AE374" s="95">
        <f>IF(AND(SUMIFS($D$245:$D$595,$F$245:$F$595,0,$E$245:$E$595,$G374,$C$245:$C$595,"&lt;="&amp;AC$5)&lt;1000000,SUMIFS($D$245:$D$595,$F$245:$F$595,0,$E$245:$E$595,$G374,$C$245:$C$595,"&lt;="&amp;AE5)&gt;=1000000),SUMIFS($D$245:$D$595,$F$245:$F$595,0,$E$245:$E$595,$G374)*$C$157 ,0)</f>
        <v/>
      </c>
      <c r="AF374" s="19" t="n"/>
    </row>
    <row r="375">
      <c r="A375" s="20">
        <f>mid(E375, 3, 1)</f>
        <v/>
      </c>
      <c r="B375" s="14" t="inlineStr"/>
      <c r="C375" s="21">
        <f>SUMIFS('Investor Exit List'!$AC:$AC,'Investor Exit List'!$AB:$AB,B375)</f>
        <v/>
      </c>
      <c r="D375" s="14">
        <f>SUMIFS('Investor Exit List'!$Q:$Q,'Investor Exit List'!$AB:$AB,B375)</f>
        <v/>
      </c>
      <c r="E375" s="31">
        <f>LEFT(B375,6)</f>
        <v/>
      </c>
      <c r="F375" s="14">
        <f>IF(SUMIFS($E$119:$E$151,$D$119:$D$151,E375)&lt;&gt;0,E375,0)</f>
        <v/>
      </c>
      <c r="G375" s="59" t="n"/>
      <c r="I375" s="28">
        <f>IF(AND(SUMIFS($D$245:$D$595,$F$245:$F$595,0,$E$245:$E$595,$G375,$C$245:$C$595,"&lt;="&amp;B$2)&lt;1000000,SUMIFS($D$245:$D$595,$F$245:$F$595,0,$E$245:$E$595,$G375,$C$245:$C$595,"&lt;="&amp;I5)&gt;=1000000),SUMIFS($D$245:$D$595,$F$245:$F$595,0,$E$245:$E$595,$G375)*$C$157 ,0)</f>
        <v/>
      </c>
      <c r="K375" s="95">
        <f>IF(AND(SUMIFS($D$245:$D$595,$F$245:$F$595,0,$E$245:$E$595,$G375,$C$245:$C$595,"&lt;="&amp;I$5)&lt;1000000,SUMIFS($D$245:$D$595,$F$245:$F$595,0,$E$245:$E$595,$G375,$C$245:$C$595,"&lt;="&amp;K5)&gt;=1000000),SUMIFS($D$245:$D$595,$F$245:$F$595,0,$E$245:$E$595,$G375)*$C$157 ,0)</f>
        <v/>
      </c>
      <c r="M375" s="95">
        <f>IF(AND(SUMIFS($D$245:$D$595,$F$245:$F$595,0,$E$245:$E$595,$G375,$C$245:$C$595,"&lt;="&amp;K$5)&lt;1000000,SUMIFS($D$245:$D$595,$F$245:$F$595,0,$E$245:$E$595,$G375,$C$245:$C$595,"&lt;="&amp;M5)&gt;=1000000),SUMIFS($D$245:$D$595,$F$245:$F$595,0,$E$245:$E$595,$G375)*$C$157 ,0)</f>
        <v/>
      </c>
      <c r="O375" s="95">
        <f>IF(AND(SUMIFS($D$245:$D$595,$F$245:$F$595,0,$E$245:$E$595,$G375,$C$245:$C$595,"&lt;="&amp;M$5)&lt;1000000,SUMIFS($D$245:$D$595,$F$245:$F$595,0,$E$245:$E$595,$G375,$C$245:$C$595,"&lt;="&amp;O5)&gt;=1000000),SUMIFS($D$245:$D$595,$F$245:$F$595,0,$E$245:$E$595,$G375)*$C$157 ,0)</f>
        <v/>
      </c>
      <c r="Q375" s="95">
        <f>IF(AND(SUMIFS($D$245:$D$595,$F$245:$F$595,0,$E$245:$E$595,$G375,$C$245:$C$595,"&lt;="&amp;O$5)&lt;1000000,SUMIFS($D$245:$D$595,$F$245:$F$595,0,$E$245:$E$595,$G375,$C$245:$C$595,"&lt;="&amp;Q5)&gt;=1000000),SUMIFS($D$245:$D$595,$F$245:$F$595,0,$E$245:$E$595,$G375)*$C$157 ,0)</f>
        <v/>
      </c>
      <c r="S375" s="95">
        <f>IF(AND(SUMIFS($D$245:$D$595,$F$245:$F$595,0,$E$245:$E$595,$G375,$C$245:$C$595,"&lt;="&amp;Q$5)&lt;1000000,SUMIFS($D$245:$D$595,$F$245:$F$595,0,$E$245:$E$595,$G375,$C$245:$C$595,"&lt;="&amp;S5)&gt;=1000000),SUMIFS($D$245:$D$595,$F$245:$F$595,0,$E$245:$E$595,$G375)*$C$157 ,0)</f>
        <v/>
      </c>
      <c r="U375" s="95">
        <f>IF(AND(SUMIFS($D$245:$D$595,$F$245:$F$595,0,$E$245:$E$595,$G375,$C$245:$C$595,"&lt;="&amp;S$5)&lt;1000000,SUMIFS($D$245:$D$595,$F$245:$F$595,0,$E$245:$E$595,$G375,$C$245:$C$595,"&lt;="&amp;U5)&gt;=1000000),SUMIFS($D$245:$D$595,$F$245:$F$595,0,$E$245:$E$595,$G375)*$C$157 ,0)</f>
        <v/>
      </c>
      <c r="W375" s="95">
        <f>IF(AND(SUMIFS($D$245:$D$595,$F$245:$F$595,0,$E$245:$E$595,$G375,$C$245:$C$595,"&lt;="&amp;U$5)&lt;1000000,SUMIFS($D$245:$D$595,$F$245:$F$595,0,$E$245:$E$595,$G375,$C$245:$C$595,"&lt;="&amp;W5)&gt;=1000000),SUMIFS($D$245:$D$595,$F$245:$F$595,0,$E$245:$E$595,$G375)*$C$157 ,0)</f>
        <v/>
      </c>
      <c r="Y375" s="95">
        <f>IF(AND(SUMIFS($D$245:$D$595,$F$245:$F$595,0,$E$245:$E$595,$G375,$C$245:$C$595,"&lt;="&amp;W$5)&lt;1000000,SUMIFS($D$245:$D$595,$F$245:$F$595,0,$E$245:$E$595,$G375,$C$245:$C$595,"&lt;="&amp;Y5)&gt;=1000000),SUMIFS($D$245:$D$595,$F$245:$F$595,0,$E$245:$E$595,$G375)*$C$157 ,0)</f>
        <v/>
      </c>
      <c r="AA375" s="95">
        <f>IF(AND(SUMIFS($D$245:$D$595,$F$245:$F$595,0,$E$245:$E$595,$G375,$C$245:$C$595,"&lt;="&amp;Y$5)&lt;1000000,SUMIFS($D$245:$D$595,$F$245:$F$595,0,$E$245:$E$595,$G375,$C$245:$C$595,"&lt;="&amp;AA5)&gt;=1000000),SUMIFS($D$245:$D$595,$F$245:$F$595,0,$E$245:$E$595,$G375)*$C$157 ,0)</f>
        <v/>
      </c>
      <c r="AC375" s="95">
        <f>IF(AND(SUMIFS($D$245:$D$595,$F$245:$F$595,0,$E$245:$E$595,$G375,$C$245:$C$595,"&lt;="&amp;AA$5)&lt;1000000,SUMIFS($D$245:$D$595,$F$245:$F$595,0,$E$245:$E$595,$G375,$C$245:$C$595,"&lt;="&amp;AC5)&gt;=1000000),SUMIFS($D$245:$D$595,$F$245:$F$595,0,$E$245:$E$595,$G375)*$C$157 ,0)</f>
        <v/>
      </c>
      <c r="AE375" s="95">
        <f>IF(AND(SUMIFS($D$245:$D$595,$F$245:$F$595,0,$E$245:$E$595,$G375,$C$245:$C$595,"&lt;="&amp;AC$5)&lt;1000000,SUMIFS($D$245:$D$595,$F$245:$F$595,0,$E$245:$E$595,$G375,$C$245:$C$595,"&lt;="&amp;AE5)&gt;=1000000),SUMIFS($D$245:$D$595,$F$245:$F$595,0,$E$245:$E$595,$G375)*$C$157 ,0)</f>
        <v/>
      </c>
      <c r="AF375" s="19" t="n"/>
    </row>
    <row r="376">
      <c r="A376" s="20">
        <f>mid(E376, 3, 1)</f>
        <v/>
      </c>
      <c r="B376" s="14" t="inlineStr"/>
      <c r="C376" s="21">
        <f>SUMIFS('Investor Exit List'!$AC:$AC,'Investor Exit List'!$AB:$AB,B376)</f>
        <v/>
      </c>
      <c r="D376" s="14">
        <f>SUMIFS('Investor Exit List'!$Q:$Q,'Investor Exit List'!$AB:$AB,B376)</f>
        <v/>
      </c>
      <c r="E376" s="31">
        <f>LEFT(B376,6)</f>
        <v/>
      </c>
      <c r="F376" s="14">
        <f>IF(SUMIFS($E$119:$E$151,$D$119:$D$151,E376)&lt;&gt;0,E376,0)</f>
        <v/>
      </c>
      <c r="G376" s="59" t="n"/>
      <c r="I376" s="28">
        <f>IF(AND(SUMIFS($D$245:$D$595,$F$245:$F$595,0,$E$245:$E$595,$G376,$C$245:$C$595,"&lt;="&amp;B$2)&lt;1000000,SUMIFS($D$245:$D$595,$F$245:$F$595,0,$E$245:$E$595,$G376,$C$245:$C$595,"&lt;="&amp;I5)&gt;=1000000),SUMIFS($D$245:$D$595,$F$245:$F$595,0,$E$245:$E$595,$G376)*$C$157 ,0)</f>
        <v/>
      </c>
      <c r="K376" s="95">
        <f>IF(AND(SUMIFS($D$245:$D$595,$F$245:$F$595,0,$E$245:$E$595,$G376,$C$245:$C$595,"&lt;="&amp;I$5)&lt;1000000,SUMIFS($D$245:$D$595,$F$245:$F$595,0,$E$245:$E$595,$G376,$C$245:$C$595,"&lt;="&amp;K5)&gt;=1000000),SUMIFS($D$245:$D$595,$F$245:$F$595,0,$E$245:$E$595,$G376)*$C$157 ,0)</f>
        <v/>
      </c>
      <c r="M376" s="95">
        <f>IF(AND(SUMIFS($D$245:$D$595,$F$245:$F$595,0,$E$245:$E$595,$G376,$C$245:$C$595,"&lt;="&amp;K$5)&lt;1000000,SUMIFS($D$245:$D$595,$F$245:$F$595,0,$E$245:$E$595,$G376,$C$245:$C$595,"&lt;="&amp;M5)&gt;=1000000),SUMIFS($D$245:$D$595,$F$245:$F$595,0,$E$245:$E$595,$G376)*$C$157 ,0)</f>
        <v/>
      </c>
      <c r="O376" s="95">
        <f>IF(AND(SUMIFS($D$245:$D$595,$F$245:$F$595,0,$E$245:$E$595,$G376,$C$245:$C$595,"&lt;="&amp;M$5)&lt;1000000,SUMIFS($D$245:$D$595,$F$245:$F$595,0,$E$245:$E$595,$G376,$C$245:$C$595,"&lt;="&amp;O5)&gt;=1000000),SUMIFS($D$245:$D$595,$F$245:$F$595,0,$E$245:$E$595,$G376)*$C$157 ,0)</f>
        <v/>
      </c>
      <c r="Q376" s="95">
        <f>IF(AND(SUMIFS($D$245:$D$595,$F$245:$F$595,0,$E$245:$E$595,$G376,$C$245:$C$595,"&lt;="&amp;O$5)&lt;1000000,SUMIFS($D$245:$D$595,$F$245:$F$595,0,$E$245:$E$595,$G376,$C$245:$C$595,"&lt;="&amp;Q5)&gt;=1000000),SUMIFS($D$245:$D$595,$F$245:$F$595,0,$E$245:$E$595,$G376)*$C$157 ,0)</f>
        <v/>
      </c>
      <c r="S376" s="95">
        <f>IF(AND(SUMIFS($D$245:$D$595,$F$245:$F$595,0,$E$245:$E$595,$G376,$C$245:$C$595,"&lt;="&amp;Q$5)&lt;1000000,SUMIFS($D$245:$D$595,$F$245:$F$595,0,$E$245:$E$595,$G376,$C$245:$C$595,"&lt;="&amp;S5)&gt;=1000000),SUMIFS($D$245:$D$595,$F$245:$F$595,0,$E$245:$E$595,$G376)*$C$157 ,0)</f>
        <v/>
      </c>
      <c r="U376" s="95">
        <f>IF(AND(SUMIFS($D$245:$D$595,$F$245:$F$595,0,$E$245:$E$595,$G376,$C$245:$C$595,"&lt;="&amp;S$5)&lt;1000000,SUMIFS($D$245:$D$595,$F$245:$F$595,0,$E$245:$E$595,$G376,$C$245:$C$595,"&lt;="&amp;U5)&gt;=1000000),SUMIFS($D$245:$D$595,$F$245:$F$595,0,$E$245:$E$595,$G376)*$C$157 ,0)</f>
        <v/>
      </c>
      <c r="W376" s="95">
        <f>IF(AND(SUMIFS($D$245:$D$595,$F$245:$F$595,0,$E$245:$E$595,$G376,$C$245:$C$595,"&lt;="&amp;U$5)&lt;1000000,SUMIFS($D$245:$D$595,$F$245:$F$595,0,$E$245:$E$595,$G376,$C$245:$C$595,"&lt;="&amp;W5)&gt;=1000000),SUMIFS($D$245:$D$595,$F$245:$F$595,0,$E$245:$E$595,$G376)*$C$157 ,0)</f>
        <v/>
      </c>
      <c r="Y376" s="95">
        <f>IF(AND(SUMIFS($D$245:$D$595,$F$245:$F$595,0,$E$245:$E$595,$G376,$C$245:$C$595,"&lt;="&amp;W$5)&lt;1000000,SUMIFS($D$245:$D$595,$F$245:$F$595,0,$E$245:$E$595,$G376,$C$245:$C$595,"&lt;="&amp;Y5)&gt;=1000000),SUMIFS($D$245:$D$595,$F$245:$F$595,0,$E$245:$E$595,$G376)*$C$157 ,0)</f>
        <v/>
      </c>
      <c r="AA376" s="95">
        <f>IF(AND(SUMIFS($D$245:$D$595,$F$245:$F$595,0,$E$245:$E$595,$G376,$C$245:$C$595,"&lt;="&amp;Y$5)&lt;1000000,SUMIFS($D$245:$D$595,$F$245:$F$595,0,$E$245:$E$595,$G376,$C$245:$C$595,"&lt;="&amp;AA5)&gt;=1000000),SUMIFS($D$245:$D$595,$F$245:$F$595,0,$E$245:$E$595,$G376)*$C$157 ,0)</f>
        <v/>
      </c>
      <c r="AC376" s="95">
        <f>IF(AND(SUMIFS($D$245:$D$595,$F$245:$F$595,0,$E$245:$E$595,$G376,$C$245:$C$595,"&lt;="&amp;AA$5)&lt;1000000,SUMIFS($D$245:$D$595,$F$245:$F$595,0,$E$245:$E$595,$G376,$C$245:$C$595,"&lt;="&amp;AC5)&gt;=1000000),SUMIFS($D$245:$D$595,$F$245:$F$595,0,$E$245:$E$595,$G376)*$C$157 ,0)</f>
        <v/>
      </c>
      <c r="AE376" s="95">
        <f>IF(AND(SUMIFS($D$245:$D$595,$F$245:$F$595,0,$E$245:$E$595,$G376,$C$245:$C$595,"&lt;="&amp;AC$5)&lt;1000000,SUMIFS($D$245:$D$595,$F$245:$F$595,0,$E$245:$E$595,$G376,$C$245:$C$595,"&lt;="&amp;AE5)&gt;=1000000),SUMIFS($D$245:$D$595,$F$245:$F$595,0,$E$245:$E$595,$G376)*$C$157 ,0)</f>
        <v/>
      </c>
      <c r="AF376" s="19" t="n"/>
    </row>
    <row r="377">
      <c r="A377" s="20">
        <f>mid(E377, 3, 1)</f>
        <v/>
      </c>
      <c r="B377" s="14" t="inlineStr"/>
      <c r="C377" s="21">
        <f>SUMIFS('Investor Exit List'!$AC:$AC,'Investor Exit List'!$AB:$AB,B377)</f>
        <v/>
      </c>
      <c r="D377" s="14">
        <f>SUMIFS('Investor Exit List'!$Q:$Q,'Investor Exit List'!$AB:$AB,B377)</f>
        <v/>
      </c>
      <c r="E377" s="31">
        <f>LEFT(B377,6)</f>
        <v/>
      </c>
      <c r="F377" s="14">
        <f>IF(SUMIFS($E$119:$E$151,$D$119:$D$151,E377)&lt;&gt;0,E377,0)</f>
        <v/>
      </c>
      <c r="G377" s="59" t="n"/>
      <c r="I377" s="28">
        <f>IF(AND(SUMIFS($D$245:$D$595,$F$245:$F$595,0,$E$245:$E$595,$G377,$C$245:$C$595,"&lt;="&amp;B$2)&lt;1000000,SUMIFS($D$245:$D$595,$F$245:$F$595,0,$E$245:$E$595,$G377,$C$245:$C$595,"&lt;="&amp;I5)&gt;=1000000),SUMIFS($D$245:$D$595,$F$245:$F$595,0,$E$245:$E$595,$G377)*$C$157 ,0)</f>
        <v/>
      </c>
      <c r="K377" s="95">
        <f>IF(AND(SUMIFS($D$245:$D$595,$F$245:$F$595,0,$E$245:$E$595,$G377,$C$245:$C$595,"&lt;="&amp;I$5)&lt;1000000,SUMIFS($D$245:$D$595,$F$245:$F$595,0,$E$245:$E$595,$G377,$C$245:$C$595,"&lt;="&amp;K5)&gt;=1000000),SUMIFS($D$245:$D$595,$F$245:$F$595,0,$E$245:$E$595,$G377)*$C$157 ,0)</f>
        <v/>
      </c>
      <c r="M377" s="95">
        <f>IF(AND(SUMIFS($D$245:$D$595,$F$245:$F$595,0,$E$245:$E$595,$G377,$C$245:$C$595,"&lt;="&amp;K$5)&lt;1000000,SUMIFS($D$245:$D$595,$F$245:$F$595,0,$E$245:$E$595,$G377,$C$245:$C$595,"&lt;="&amp;M5)&gt;=1000000),SUMIFS($D$245:$D$595,$F$245:$F$595,0,$E$245:$E$595,$G377)*$C$157 ,0)</f>
        <v/>
      </c>
      <c r="O377" s="95">
        <f>IF(AND(SUMIFS($D$245:$D$595,$F$245:$F$595,0,$E$245:$E$595,$G377,$C$245:$C$595,"&lt;="&amp;M$5)&lt;1000000,SUMIFS($D$245:$D$595,$F$245:$F$595,0,$E$245:$E$595,$G377,$C$245:$C$595,"&lt;="&amp;O5)&gt;=1000000),SUMIFS($D$245:$D$595,$F$245:$F$595,0,$E$245:$E$595,$G377)*$C$157 ,0)</f>
        <v/>
      </c>
      <c r="Q377" s="95">
        <f>IF(AND(SUMIFS($D$245:$D$595,$F$245:$F$595,0,$E$245:$E$595,$G377,$C$245:$C$595,"&lt;="&amp;O$5)&lt;1000000,SUMIFS($D$245:$D$595,$F$245:$F$595,0,$E$245:$E$595,$G377,$C$245:$C$595,"&lt;="&amp;Q5)&gt;=1000000),SUMIFS($D$245:$D$595,$F$245:$F$595,0,$E$245:$E$595,$G377)*$C$157 ,0)</f>
        <v/>
      </c>
      <c r="S377" s="95">
        <f>IF(AND(SUMIFS($D$245:$D$595,$F$245:$F$595,0,$E$245:$E$595,$G377,$C$245:$C$595,"&lt;="&amp;Q$5)&lt;1000000,SUMIFS($D$245:$D$595,$F$245:$F$595,0,$E$245:$E$595,$G377,$C$245:$C$595,"&lt;="&amp;S5)&gt;=1000000),SUMIFS($D$245:$D$595,$F$245:$F$595,0,$E$245:$E$595,$G377)*$C$157 ,0)</f>
        <v/>
      </c>
      <c r="U377" s="95">
        <f>IF(AND(SUMIFS($D$245:$D$595,$F$245:$F$595,0,$E$245:$E$595,$G377,$C$245:$C$595,"&lt;="&amp;S$5)&lt;1000000,SUMIFS($D$245:$D$595,$F$245:$F$595,0,$E$245:$E$595,$G377,$C$245:$C$595,"&lt;="&amp;U5)&gt;=1000000),SUMIFS($D$245:$D$595,$F$245:$F$595,0,$E$245:$E$595,$G377)*$C$157 ,0)</f>
        <v/>
      </c>
      <c r="W377" s="95">
        <f>IF(AND(SUMIFS($D$245:$D$595,$F$245:$F$595,0,$E$245:$E$595,$G377,$C$245:$C$595,"&lt;="&amp;U$5)&lt;1000000,SUMIFS($D$245:$D$595,$F$245:$F$595,0,$E$245:$E$595,$G377,$C$245:$C$595,"&lt;="&amp;W5)&gt;=1000000),SUMIFS($D$245:$D$595,$F$245:$F$595,0,$E$245:$E$595,$G377)*$C$157 ,0)</f>
        <v/>
      </c>
      <c r="Y377" s="95">
        <f>IF(AND(SUMIFS($D$245:$D$595,$F$245:$F$595,0,$E$245:$E$595,$G377,$C$245:$C$595,"&lt;="&amp;W$5)&lt;1000000,SUMIFS($D$245:$D$595,$F$245:$F$595,0,$E$245:$E$595,$G377,$C$245:$C$595,"&lt;="&amp;Y5)&gt;=1000000),SUMIFS($D$245:$D$595,$F$245:$F$595,0,$E$245:$E$595,$G377)*$C$157 ,0)</f>
        <v/>
      </c>
      <c r="AA377" s="95">
        <f>IF(AND(SUMIFS($D$245:$D$595,$F$245:$F$595,0,$E$245:$E$595,$G377,$C$245:$C$595,"&lt;="&amp;Y$5)&lt;1000000,SUMIFS($D$245:$D$595,$F$245:$F$595,0,$E$245:$E$595,$G377,$C$245:$C$595,"&lt;="&amp;AA5)&gt;=1000000),SUMIFS($D$245:$D$595,$F$245:$F$595,0,$E$245:$E$595,$G377)*$C$157 ,0)</f>
        <v/>
      </c>
      <c r="AC377" s="95">
        <f>IF(AND(SUMIFS($D$245:$D$595,$F$245:$F$595,0,$E$245:$E$595,$G377,$C$245:$C$595,"&lt;="&amp;AA$5)&lt;1000000,SUMIFS($D$245:$D$595,$F$245:$F$595,0,$E$245:$E$595,$G377,$C$245:$C$595,"&lt;="&amp;AC5)&gt;=1000000),SUMIFS($D$245:$D$595,$F$245:$F$595,0,$E$245:$E$595,$G377)*$C$157 ,0)</f>
        <v/>
      </c>
      <c r="AE377" s="95">
        <f>IF(AND(SUMIFS($D$245:$D$595,$F$245:$F$595,0,$E$245:$E$595,$G377,$C$245:$C$595,"&lt;="&amp;AC$5)&lt;1000000,SUMIFS($D$245:$D$595,$F$245:$F$595,0,$E$245:$E$595,$G377,$C$245:$C$595,"&lt;="&amp;AE5)&gt;=1000000),SUMIFS($D$245:$D$595,$F$245:$F$595,0,$E$245:$E$595,$G377)*$C$157 ,0)</f>
        <v/>
      </c>
      <c r="AF377" s="19" t="n"/>
    </row>
    <row r="378">
      <c r="A378" s="20">
        <f>mid(E378, 3, 1)</f>
        <v/>
      </c>
      <c r="B378" s="14" t="inlineStr"/>
      <c r="C378" s="21">
        <f>SUMIFS('Investor Exit List'!$AC:$AC,'Investor Exit List'!$AB:$AB,B378)</f>
        <v/>
      </c>
      <c r="D378" s="14">
        <f>SUMIFS('Investor Exit List'!$Q:$Q,'Investor Exit List'!$AB:$AB,B378)</f>
        <v/>
      </c>
      <c r="E378" s="31">
        <f>LEFT(B378,6)</f>
        <v/>
      </c>
      <c r="F378" s="14">
        <f>IF(SUMIFS($E$119:$E$151,$D$119:$D$151,E378)&lt;&gt;0,E378,0)</f>
        <v/>
      </c>
      <c r="G378" s="59" t="n"/>
      <c r="I378" s="28">
        <f>IF(AND(SUMIFS($D$245:$D$595,$F$245:$F$595,0,$E$245:$E$595,$G378,$C$245:$C$595,"&lt;="&amp;B$2)&lt;1000000,SUMIFS($D$245:$D$595,$F$245:$F$595,0,$E$245:$E$595,$G378,$C$245:$C$595,"&lt;="&amp;I5)&gt;=1000000),SUMIFS($D$245:$D$595,$F$245:$F$595,0,$E$245:$E$595,$G378)*$C$157 ,0)</f>
        <v/>
      </c>
      <c r="K378" s="95">
        <f>IF(AND(SUMIFS($D$245:$D$595,$F$245:$F$595,0,$E$245:$E$595,$G378,$C$245:$C$595,"&lt;="&amp;I$5)&lt;1000000,SUMIFS($D$245:$D$595,$F$245:$F$595,0,$E$245:$E$595,$G378,$C$245:$C$595,"&lt;="&amp;K5)&gt;=1000000),SUMIFS($D$245:$D$595,$F$245:$F$595,0,$E$245:$E$595,$G378)*$C$157 ,0)</f>
        <v/>
      </c>
      <c r="M378" s="95">
        <f>IF(AND(SUMIFS($D$245:$D$595,$F$245:$F$595,0,$E$245:$E$595,$G378,$C$245:$C$595,"&lt;="&amp;K$5)&lt;1000000,SUMIFS($D$245:$D$595,$F$245:$F$595,0,$E$245:$E$595,$G378,$C$245:$C$595,"&lt;="&amp;M5)&gt;=1000000),SUMIFS($D$245:$D$595,$F$245:$F$595,0,$E$245:$E$595,$G378)*$C$157 ,0)</f>
        <v/>
      </c>
      <c r="O378" s="95">
        <f>IF(AND(SUMIFS($D$245:$D$595,$F$245:$F$595,0,$E$245:$E$595,$G378,$C$245:$C$595,"&lt;="&amp;M$5)&lt;1000000,SUMIFS($D$245:$D$595,$F$245:$F$595,0,$E$245:$E$595,$G378,$C$245:$C$595,"&lt;="&amp;O5)&gt;=1000000),SUMIFS($D$245:$D$595,$F$245:$F$595,0,$E$245:$E$595,$G378)*$C$157 ,0)</f>
        <v/>
      </c>
      <c r="Q378" s="95">
        <f>IF(AND(SUMIFS($D$245:$D$595,$F$245:$F$595,0,$E$245:$E$595,$G378,$C$245:$C$595,"&lt;="&amp;O$5)&lt;1000000,SUMIFS($D$245:$D$595,$F$245:$F$595,0,$E$245:$E$595,$G378,$C$245:$C$595,"&lt;="&amp;Q5)&gt;=1000000),SUMIFS($D$245:$D$595,$F$245:$F$595,0,$E$245:$E$595,$G378)*$C$157 ,0)</f>
        <v/>
      </c>
      <c r="S378" s="95">
        <f>IF(AND(SUMIFS($D$245:$D$595,$F$245:$F$595,0,$E$245:$E$595,$G378,$C$245:$C$595,"&lt;="&amp;Q$5)&lt;1000000,SUMIFS($D$245:$D$595,$F$245:$F$595,0,$E$245:$E$595,$G378,$C$245:$C$595,"&lt;="&amp;S5)&gt;=1000000),SUMIFS($D$245:$D$595,$F$245:$F$595,0,$E$245:$E$595,$G378)*$C$157 ,0)</f>
        <v/>
      </c>
      <c r="U378" s="95">
        <f>IF(AND(SUMIFS($D$245:$D$595,$F$245:$F$595,0,$E$245:$E$595,$G378,$C$245:$C$595,"&lt;="&amp;S$5)&lt;1000000,SUMIFS($D$245:$D$595,$F$245:$F$595,0,$E$245:$E$595,$G378,$C$245:$C$595,"&lt;="&amp;U5)&gt;=1000000),SUMIFS($D$245:$D$595,$F$245:$F$595,0,$E$245:$E$595,$G378)*$C$157 ,0)</f>
        <v/>
      </c>
      <c r="W378" s="95">
        <f>IF(AND(SUMIFS($D$245:$D$595,$F$245:$F$595,0,$E$245:$E$595,$G378,$C$245:$C$595,"&lt;="&amp;U$5)&lt;1000000,SUMIFS($D$245:$D$595,$F$245:$F$595,0,$E$245:$E$595,$G378,$C$245:$C$595,"&lt;="&amp;W5)&gt;=1000000),SUMIFS($D$245:$D$595,$F$245:$F$595,0,$E$245:$E$595,$G378)*$C$157 ,0)</f>
        <v/>
      </c>
      <c r="Y378" s="95">
        <f>IF(AND(SUMIFS($D$245:$D$595,$F$245:$F$595,0,$E$245:$E$595,$G378,$C$245:$C$595,"&lt;="&amp;W$5)&lt;1000000,SUMIFS($D$245:$D$595,$F$245:$F$595,0,$E$245:$E$595,$G378,$C$245:$C$595,"&lt;="&amp;Y5)&gt;=1000000),SUMIFS($D$245:$D$595,$F$245:$F$595,0,$E$245:$E$595,$G378)*$C$157 ,0)</f>
        <v/>
      </c>
      <c r="AA378" s="95">
        <f>IF(AND(SUMIFS($D$245:$D$595,$F$245:$F$595,0,$E$245:$E$595,$G378,$C$245:$C$595,"&lt;="&amp;Y$5)&lt;1000000,SUMIFS($D$245:$D$595,$F$245:$F$595,0,$E$245:$E$595,$G378,$C$245:$C$595,"&lt;="&amp;AA5)&gt;=1000000),SUMIFS($D$245:$D$595,$F$245:$F$595,0,$E$245:$E$595,$G378)*$C$157 ,0)</f>
        <v/>
      </c>
      <c r="AC378" s="95">
        <f>IF(AND(SUMIFS($D$245:$D$595,$F$245:$F$595,0,$E$245:$E$595,$G378,$C$245:$C$595,"&lt;="&amp;AA$5)&lt;1000000,SUMIFS($D$245:$D$595,$F$245:$F$595,0,$E$245:$E$595,$G378,$C$245:$C$595,"&lt;="&amp;AC5)&gt;=1000000),SUMIFS($D$245:$D$595,$F$245:$F$595,0,$E$245:$E$595,$G378)*$C$157 ,0)</f>
        <v/>
      </c>
      <c r="AE378" s="95">
        <f>IF(AND(SUMIFS($D$245:$D$595,$F$245:$F$595,0,$E$245:$E$595,$G378,$C$245:$C$595,"&lt;="&amp;AC$5)&lt;1000000,SUMIFS($D$245:$D$595,$F$245:$F$595,0,$E$245:$E$595,$G378,$C$245:$C$595,"&lt;="&amp;AE5)&gt;=1000000),SUMIFS($D$245:$D$595,$F$245:$F$595,0,$E$245:$E$595,$G378)*$C$157 ,0)</f>
        <v/>
      </c>
      <c r="AF378" s="19" t="n"/>
    </row>
    <row r="379">
      <c r="A379" s="20">
        <f>mid(E379, 3, 1)</f>
        <v/>
      </c>
      <c r="B379" s="14" t="inlineStr"/>
      <c r="C379" s="21">
        <f>SUMIFS('Investor Exit List'!$AC:$AC,'Investor Exit List'!$AB:$AB,B379)</f>
        <v/>
      </c>
      <c r="D379" s="14">
        <f>SUMIFS('Investor Exit List'!$Q:$Q,'Investor Exit List'!$AB:$AB,B379)</f>
        <v/>
      </c>
      <c r="E379" s="31">
        <f>LEFT(B379,6)</f>
        <v/>
      </c>
      <c r="F379" s="14">
        <f>IF(SUMIFS($E$119:$E$151,$D$119:$D$151,E379)&lt;&gt;0,E379,0)</f>
        <v/>
      </c>
      <c r="G379" s="59" t="n"/>
      <c r="I379" s="28">
        <f>IF(AND(SUMIFS($D$245:$D$595,$F$245:$F$595,0,$E$245:$E$595,$G379,$C$245:$C$595,"&lt;="&amp;B$2)&lt;1000000,SUMIFS($D$245:$D$595,$F$245:$F$595,0,$E$245:$E$595,$G379,$C$245:$C$595,"&lt;="&amp;I5)&gt;=1000000),SUMIFS($D$245:$D$595,$F$245:$F$595,0,$E$245:$E$595,$G379)*$C$157 ,0)</f>
        <v/>
      </c>
      <c r="K379" s="95">
        <f>IF(AND(SUMIFS($D$245:$D$595,$F$245:$F$595,0,$E$245:$E$595,$G379,$C$245:$C$595,"&lt;="&amp;I$5)&lt;1000000,SUMIFS($D$245:$D$595,$F$245:$F$595,0,$E$245:$E$595,$G379,$C$245:$C$595,"&lt;="&amp;K5)&gt;=1000000),SUMIFS($D$245:$D$595,$F$245:$F$595,0,$E$245:$E$595,$G379)*$C$157 ,0)</f>
        <v/>
      </c>
      <c r="M379" s="95">
        <f>IF(AND(SUMIFS($D$245:$D$595,$F$245:$F$595,0,$E$245:$E$595,$G379,$C$245:$C$595,"&lt;="&amp;K$5)&lt;1000000,SUMIFS($D$245:$D$595,$F$245:$F$595,0,$E$245:$E$595,$G379,$C$245:$C$595,"&lt;="&amp;M5)&gt;=1000000),SUMIFS($D$245:$D$595,$F$245:$F$595,0,$E$245:$E$595,$G379)*$C$157 ,0)</f>
        <v/>
      </c>
      <c r="O379" s="95">
        <f>IF(AND(SUMIFS($D$245:$D$595,$F$245:$F$595,0,$E$245:$E$595,$G379,$C$245:$C$595,"&lt;="&amp;M$5)&lt;1000000,SUMIFS($D$245:$D$595,$F$245:$F$595,0,$E$245:$E$595,$G379,$C$245:$C$595,"&lt;="&amp;O5)&gt;=1000000),SUMIFS($D$245:$D$595,$F$245:$F$595,0,$E$245:$E$595,$G379)*$C$157 ,0)</f>
        <v/>
      </c>
      <c r="Q379" s="95">
        <f>IF(AND(SUMIFS($D$245:$D$595,$F$245:$F$595,0,$E$245:$E$595,$G379,$C$245:$C$595,"&lt;="&amp;O$5)&lt;1000000,SUMIFS($D$245:$D$595,$F$245:$F$595,0,$E$245:$E$595,$G379,$C$245:$C$595,"&lt;="&amp;Q5)&gt;=1000000),SUMIFS($D$245:$D$595,$F$245:$F$595,0,$E$245:$E$595,$G379)*$C$157 ,0)</f>
        <v/>
      </c>
      <c r="S379" s="95">
        <f>IF(AND(SUMIFS($D$245:$D$595,$F$245:$F$595,0,$E$245:$E$595,$G379,$C$245:$C$595,"&lt;="&amp;Q$5)&lt;1000000,SUMIFS($D$245:$D$595,$F$245:$F$595,0,$E$245:$E$595,$G379,$C$245:$C$595,"&lt;="&amp;S5)&gt;=1000000),SUMIFS($D$245:$D$595,$F$245:$F$595,0,$E$245:$E$595,$G379)*$C$157 ,0)</f>
        <v/>
      </c>
      <c r="U379" s="95">
        <f>IF(AND(SUMIFS($D$245:$D$595,$F$245:$F$595,0,$E$245:$E$595,$G379,$C$245:$C$595,"&lt;="&amp;S$5)&lt;1000000,SUMIFS($D$245:$D$595,$F$245:$F$595,0,$E$245:$E$595,$G379,$C$245:$C$595,"&lt;="&amp;U5)&gt;=1000000),SUMIFS($D$245:$D$595,$F$245:$F$595,0,$E$245:$E$595,$G379)*$C$157 ,0)</f>
        <v/>
      </c>
      <c r="W379" s="95">
        <f>IF(AND(SUMIFS($D$245:$D$595,$F$245:$F$595,0,$E$245:$E$595,$G379,$C$245:$C$595,"&lt;="&amp;U$5)&lt;1000000,SUMIFS($D$245:$D$595,$F$245:$F$595,0,$E$245:$E$595,$G379,$C$245:$C$595,"&lt;="&amp;W5)&gt;=1000000),SUMIFS($D$245:$D$595,$F$245:$F$595,0,$E$245:$E$595,$G379)*$C$157 ,0)</f>
        <v/>
      </c>
      <c r="Y379" s="95">
        <f>IF(AND(SUMIFS($D$245:$D$595,$F$245:$F$595,0,$E$245:$E$595,$G379,$C$245:$C$595,"&lt;="&amp;W$5)&lt;1000000,SUMIFS($D$245:$D$595,$F$245:$F$595,0,$E$245:$E$595,$G379,$C$245:$C$595,"&lt;="&amp;Y5)&gt;=1000000),SUMIFS($D$245:$D$595,$F$245:$F$595,0,$E$245:$E$595,$G379)*$C$157 ,0)</f>
        <v/>
      </c>
      <c r="AA379" s="95">
        <f>IF(AND(SUMIFS($D$245:$D$595,$F$245:$F$595,0,$E$245:$E$595,$G379,$C$245:$C$595,"&lt;="&amp;Y$5)&lt;1000000,SUMIFS($D$245:$D$595,$F$245:$F$595,0,$E$245:$E$595,$G379,$C$245:$C$595,"&lt;="&amp;AA5)&gt;=1000000),SUMIFS($D$245:$D$595,$F$245:$F$595,0,$E$245:$E$595,$G379)*$C$157 ,0)</f>
        <v/>
      </c>
      <c r="AC379" s="95">
        <f>IF(AND(SUMIFS($D$245:$D$595,$F$245:$F$595,0,$E$245:$E$595,$G379,$C$245:$C$595,"&lt;="&amp;AA$5)&lt;1000000,SUMIFS($D$245:$D$595,$F$245:$F$595,0,$E$245:$E$595,$G379,$C$245:$C$595,"&lt;="&amp;AC5)&gt;=1000000),SUMIFS($D$245:$D$595,$F$245:$F$595,0,$E$245:$E$595,$G379)*$C$157 ,0)</f>
        <v/>
      </c>
      <c r="AE379" s="95">
        <f>IF(AND(SUMIFS($D$245:$D$595,$F$245:$F$595,0,$E$245:$E$595,$G379,$C$245:$C$595,"&lt;="&amp;AC$5)&lt;1000000,SUMIFS($D$245:$D$595,$F$245:$F$595,0,$E$245:$E$595,$G379,$C$245:$C$595,"&lt;="&amp;AE5)&gt;=1000000),SUMIFS($D$245:$D$595,$F$245:$F$595,0,$E$245:$E$595,$G379)*$C$157 ,0)</f>
        <v/>
      </c>
      <c r="AF379" s="19" t="n"/>
    </row>
    <row r="380">
      <c r="A380" s="20">
        <f>mid(E380, 3, 1)</f>
        <v/>
      </c>
      <c r="B380" s="14" t="inlineStr"/>
      <c r="C380" s="21">
        <f>SUMIFS('Investor Exit List'!$AC:$AC,'Investor Exit List'!$AB:$AB,B380)</f>
        <v/>
      </c>
      <c r="D380" s="14">
        <f>SUMIFS('Investor Exit List'!$Q:$Q,'Investor Exit List'!$AB:$AB,B380)</f>
        <v/>
      </c>
      <c r="E380" s="31">
        <f>LEFT(B380,6)</f>
        <v/>
      </c>
      <c r="F380" s="14">
        <f>IF(SUMIFS($E$119:$E$151,$D$119:$D$151,E380)&lt;&gt;0,E380,0)</f>
        <v/>
      </c>
      <c r="G380" s="59" t="n"/>
      <c r="I380" s="28">
        <f>IF(AND(SUMIFS($D$245:$D$595,$F$245:$F$595,0,$E$245:$E$595,$G380,$C$245:$C$595,"&lt;="&amp;B$2)&lt;1000000,SUMIFS($D$245:$D$595,$F$245:$F$595,0,$E$245:$E$595,$G380,$C$245:$C$595,"&lt;="&amp;I5)&gt;=1000000),SUMIFS($D$245:$D$595,$F$245:$F$595,0,$E$245:$E$595,$G380)*$C$157 ,0)</f>
        <v/>
      </c>
      <c r="K380" s="95">
        <f>IF(AND(SUMIFS($D$245:$D$595,$F$245:$F$595,0,$E$245:$E$595,$G380,$C$245:$C$595,"&lt;="&amp;I$5)&lt;1000000,SUMIFS($D$245:$D$595,$F$245:$F$595,0,$E$245:$E$595,$G380,$C$245:$C$595,"&lt;="&amp;K5)&gt;=1000000),SUMIFS($D$245:$D$595,$F$245:$F$595,0,$E$245:$E$595,$G380)*$C$157 ,0)</f>
        <v/>
      </c>
      <c r="M380" s="95">
        <f>IF(AND(SUMIFS($D$245:$D$595,$F$245:$F$595,0,$E$245:$E$595,$G380,$C$245:$C$595,"&lt;="&amp;K$5)&lt;1000000,SUMIFS($D$245:$D$595,$F$245:$F$595,0,$E$245:$E$595,$G380,$C$245:$C$595,"&lt;="&amp;M5)&gt;=1000000),SUMIFS($D$245:$D$595,$F$245:$F$595,0,$E$245:$E$595,$G380)*$C$157 ,0)</f>
        <v/>
      </c>
      <c r="O380" s="95">
        <f>IF(AND(SUMIFS($D$245:$D$595,$F$245:$F$595,0,$E$245:$E$595,$G380,$C$245:$C$595,"&lt;="&amp;M$5)&lt;1000000,SUMIFS($D$245:$D$595,$F$245:$F$595,0,$E$245:$E$595,$G380,$C$245:$C$595,"&lt;="&amp;O5)&gt;=1000000),SUMIFS($D$245:$D$595,$F$245:$F$595,0,$E$245:$E$595,$G380)*$C$157 ,0)</f>
        <v/>
      </c>
      <c r="Q380" s="95">
        <f>IF(AND(SUMIFS($D$245:$D$595,$F$245:$F$595,0,$E$245:$E$595,$G380,$C$245:$C$595,"&lt;="&amp;O$5)&lt;1000000,SUMIFS($D$245:$D$595,$F$245:$F$595,0,$E$245:$E$595,$G380,$C$245:$C$595,"&lt;="&amp;Q5)&gt;=1000000),SUMIFS($D$245:$D$595,$F$245:$F$595,0,$E$245:$E$595,$G380)*$C$157 ,0)</f>
        <v/>
      </c>
      <c r="S380" s="95">
        <f>IF(AND(SUMIFS($D$245:$D$595,$F$245:$F$595,0,$E$245:$E$595,$G380,$C$245:$C$595,"&lt;="&amp;Q$5)&lt;1000000,SUMIFS($D$245:$D$595,$F$245:$F$595,0,$E$245:$E$595,$G380,$C$245:$C$595,"&lt;="&amp;S5)&gt;=1000000),SUMIFS($D$245:$D$595,$F$245:$F$595,0,$E$245:$E$595,$G380)*$C$157 ,0)</f>
        <v/>
      </c>
      <c r="U380" s="95">
        <f>IF(AND(SUMIFS($D$245:$D$595,$F$245:$F$595,0,$E$245:$E$595,$G380,$C$245:$C$595,"&lt;="&amp;S$5)&lt;1000000,SUMIFS($D$245:$D$595,$F$245:$F$595,0,$E$245:$E$595,$G380,$C$245:$C$595,"&lt;="&amp;U5)&gt;=1000000),SUMIFS($D$245:$D$595,$F$245:$F$595,0,$E$245:$E$595,$G380)*$C$157 ,0)</f>
        <v/>
      </c>
      <c r="W380" s="95">
        <f>IF(AND(SUMIFS($D$245:$D$595,$F$245:$F$595,0,$E$245:$E$595,$G380,$C$245:$C$595,"&lt;="&amp;U$5)&lt;1000000,SUMIFS($D$245:$D$595,$F$245:$F$595,0,$E$245:$E$595,$G380,$C$245:$C$595,"&lt;="&amp;W5)&gt;=1000000),SUMIFS($D$245:$D$595,$F$245:$F$595,0,$E$245:$E$595,$G380)*$C$157 ,0)</f>
        <v/>
      </c>
      <c r="Y380" s="95">
        <f>IF(AND(SUMIFS($D$245:$D$595,$F$245:$F$595,0,$E$245:$E$595,$G380,$C$245:$C$595,"&lt;="&amp;W$5)&lt;1000000,SUMIFS($D$245:$D$595,$F$245:$F$595,0,$E$245:$E$595,$G380,$C$245:$C$595,"&lt;="&amp;Y5)&gt;=1000000),SUMIFS($D$245:$D$595,$F$245:$F$595,0,$E$245:$E$595,$G380)*$C$157 ,0)</f>
        <v/>
      </c>
      <c r="AA380" s="95">
        <f>IF(AND(SUMIFS($D$245:$D$595,$F$245:$F$595,0,$E$245:$E$595,$G380,$C$245:$C$595,"&lt;="&amp;Y$5)&lt;1000000,SUMIFS($D$245:$D$595,$F$245:$F$595,0,$E$245:$E$595,$G380,$C$245:$C$595,"&lt;="&amp;AA5)&gt;=1000000),SUMIFS($D$245:$D$595,$F$245:$F$595,0,$E$245:$E$595,$G380)*$C$157 ,0)</f>
        <v/>
      </c>
      <c r="AC380" s="95">
        <f>IF(AND(SUMIFS($D$245:$D$595,$F$245:$F$595,0,$E$245:$E$595,$G380,$C$245:$C$595,"&lt;="&amp;AA$5)&lt;1000000,SUMIFS($D$245:$D$595,$F$245:$F$595,0,$E$245:$E$595,$G380,$C$245:$C$595,"&lt;="&amp;AC5)&gt;=1000000),SUMIFS($D$245:$D$595,$F$245:$F$595,0,$E$245:$E$595,$G380)*$C$157 ,0)</f>
        <v/>
      </c>
      <c r="AE380" s="95">
        <f>IF(AND(SUMIFS($D$245:$D$595,$F$245:$F$595,0,$E$245:$E$595,$G380,$C$245:$C$595,"&lt;="&amp;AC$5)&lt;1000000,SUMIFS($D$245:$D$595,$F$245:$F$595,0,$E$245:$E$595,$G380,$C$245:$C$595,"&lt;="&amp;AE5)&gt;=1000000),SUMIFS($D$245:$D$595,$F$245:$F$595,0,$E$245:$E$595,$G380)*$C$157 ,0)</f>
        <v/>
      </c>
      <c r="AF380" s="19" t="n"/>
    </row>
    <row r="381">
      <c r="A381" s="20">
        <f>mid(E381, 3, 1)</f>
        <v/>
      </c>
      <c r="B381" s="14" t="inlineStr"/>
      <c r="C381" s="21">
        <f>SUMIFS('Investor Exit List'!$AC:$AC,'Investor Exit List'!$AB:$AB,B381)</f>
        <v/>
      </c>
      <c r="D381" s="14">
        <f>SUMIFS('Investor Exit List'!$Q:$Q,'Investor Exit List'!$AB:$AB,B381)</f>
        <v/>
      </c>
      <c r="E381" s="31">
        <f>LEFT(B381,6)</f>
        <v/>
      </c>
      <c r="F381" s="14">
        <f>IF(SUMIFS($E$119:$E$151,$D$119:$D$151,E381)&lt;&gt;0,E381,0)</f>
        <v/>
      </c>
      <c r="G381" s="59" t="n"/>
      <c r="I381" s="28">
        <f>IF(AND(SUMIFS($D$245:$D$595,$F$245:$F$595,0,$E$245:$E$595,$G381,$C$245:$C$595,"&lt;="&amp;B$2)&lt;1000000,SUMIFS($D$245:$D$595,$F$245:$F$595,0,$E$245:$E$595,$G381,$C$245:$C$595,"&lt;="&amp;I5)&gt;=1000000),SUMIFS($D$245:$D$595,$F$245:$F$595,0,$E$245:$E$595,$G381)*$C$157 ,0)</f>
        <v/>
      </c>
      <c r="K381" s="95">
        <f>IF(AND(SUMIFS($D$245:$D$595,$F$245:$F$595,0,$E$245:$E$595,$G381,$C$245:$C$595,"&lt;="&amp;I$5)&lt;1000000,SUMIFS($D$245:$D$595,$F$245:$F$595,0,$E$245:$E$595,$G381,$C$245:$C$595,"&lt;="&amp;K5)&gt;=1000000),SUMIFS($D$245:$D$595,$F$245:$F$595,0,$E$245:$E$595,$G381)*$C$157 ,0)</f>
        <v/>
      </c>
      <c r="M381" s="95">
        <f>IF(AND(SUMIFS($D$245:$D$595,$F$245:$F$595,0,$E$245:$E$595,$G381,$C$245:$C$595,"&lt;="&amp;K$5)&lt;1000000,SUMIFS($D$245:$D$595,$F$245:$F$595,0,$E$245:$E$595,$G381,$C$245:$C$595,"&lt;="&amp;M5)&gt;=1000000),SUMIFS($D$245:$D$595,$F$245:$F$595,0,$E$245:$E$595,$G381)*$C$157 ,0)</f>
        <v/>
      </c>
      <c r="O381" s="95">
        <f>IF(AND(SUMIFS($D$245:$D$595,$F$245:$F$595,0,$E$245:$E$595,$G381,$C$245:$C$595,"&lt;="&amp;M$5)&lt;1000000,SUMIFS($D$245:$D$595,$F$245:$F$595,0,$E$245:$E$595,$G381,$C$245:$C$595,"&lt;="&amp;O5)&gt;=1000000),SUMIFS($D$245:$D$595,$F$245:$F$595,0,$E$245:$E$595,$G381)*$C$157 ,0)</f>
        <v/>
      </c>
      <c r="Q381" s="95">
        <f>IF(AND(SUMIFS($D$245:$D$595,$F$245:$F$595,0,$E$245:$E$595,$G381,$C$245:$C$595,"&lt;="&amp;O$5)&lt;1000000,SUMIFS($D$245:$D$595,$F$245:$F$595,0,$E$245:$E$595,$G381,$C$245:$C$595,"&lt;="&amp;Q5)&gt;=1000000),SUMIFS($D$245:$D$595,$F$245:$F$595,0,$E$245:$E$595,$G381)*$C$157 ,0)</f>
        <v/>
      </c>
      <c r="S381" s="95">
        <f>IF(AND(SUMIFS($D$245:$D$595,$F$245:$F$595,0,$E$245:$E$595,$G381,$C$245:$C$595,"&lt;="&amp;Q$5)&lt;1000000,SUMIFS($D$245:$D$595,$F$245:$F$595,0,$E$245:$E$595,$G381,$C$245:$C$595,"&lt;="&amp;S5)&gt;=1000000),SUMIFS($D$245:$D$595,$F$245:$F$595,0,$E$245:$E$595,$G381)*$C$157 ,0)</f>
        <v/>
      </c>
      <c r="U381" s="95">
        <f>IF(AND(SUMIFS($D$245:$D$595,$F$245:$F$595,0,$E$245:$E$595,$G381,$C$245:$C$595,"&lt;="&amp;S$5)&lt;1000000,SUMIFS($D$245:$D$595,$F$245:$F$595,0,$E$245:$E$595,$G381,$C$245:$C$595,"&lt;="&amp;U5)&gt;=1000000),SUMIFS($D$245:$D$595,$F$245:$F$595,0,$E$245:$E$595,$G381)*$C$157 ,0)</f>
        <v/>
      </c>
      <c r="W381" s="95">
        <f>IF(AND(SUMIFS($D$245:$D$595,$F$245:$F$595,0,$E$245:$E$595,$G381,$C$245:$C$595,"&lt;="&amp;U$5)&lt;1000000,SUMIFS($D$245:$D$595,$F$245:$F$595,0,$E$245:$E$595,$G381,$C$245:$C$595,"&lt;="&amp;W5)&gt;=1000000),SUMIFS($D$245:$D$595,$F$245:$F$595,0,$E$245:$E$595,$G381)*$C$157 ,0)</f>
        <v/>
      </c>
      <c r="Y381" s="95">
        <f>IF(AND(SUMIFS($D$245:$D$595,$F$245:$F$595,0,$E$245:$E$595,$G381,$C$245:$C$595,"&lt;="&amp;W$5)&lt;1000000,SUMIFS($D$245:$D$595,$F$245:$F$595,0,$E$245:$E$595,$G381,$C$245:$C$595,"&lt;="&amp;Y5)&gt;=1000000),SUMIFS($D$245:$D$595,$F$245:$F$595,0,$E$245:$E$595,$G381)*$C$157 ,0)</f>
        <v/>
      </c>
      <c r="AA381" s="95">
        <f>IF(AND(SUMIFS($D$245:$D$595,$F$245:$F$595,0,$E$245:$E$595,$G381,$C$245:$C$595,"&lt;="&amp;Y$5)&lt;1000000,SUMIFS($D$245:$D$595,$F$245:$F$595,0,$E$245:$E$595,$G381,$C$245:$C$595,"&lt;="&amp;AA5)&gt;=1000000),SUMIFS($D$245:$D$595,$F$245:$F$595,0,$E$245:$E$595,$G381)*$C$157 ,0)</f>
        <v/>
      </c>
      <c r="AC381" s="95">
        <f>IF(AND(SUMIFS($D$245:$D$595,$F$245:$F$595,0,$E$245:$E$595,$G381,$C$245:$C$595,"&lt;="&amp;AA$5)&lt;1000000,SUMIFS($D$245:$D$595,$F$245:$F$595,0,$E$245:$E$595,$G381,$C$245:$C$595,"&lt;="&amp;AC5)&gt;=1000000),SUMIFS($D$245:$D$595,$F$245:$F$595,0,$E$245:$E$595,$G381)*$C$157 ,0)</f>
        <v/>
      </c>
      <c r="AE381" s="95">
        <f>IF(AND(SUMIFS($D$245:$D$595,$F$245:$F$595,0,$E$245:$E$595,$G381,$C$245:$C$595,"&lt;="&amp;AC$5)&lt;1000000,SUMIFS($D$245:$D$595,$F$245:$F$595,0,$E$245:$E$595,$G381,$C$245:$C$595,"&lt;="&amp;AE5)&gt;=1000000),SUMIFS($D$245:$D$595,$F$245:$F$595,0,$E$245:$E$595,$G381)*$C$157 ,0)</f>
        <v/>
      </c>
      <c r="AF381" s="19" t="n"/>
    </row>
    <row r="382">
      <c r="A382" s="20">
        <f>mid(E382, 3, 1)</f>
        <v/>
      </c>
      <c r="B382" s="14" t="inlineStr"/>
      <c r="C382" s="21">
        <f>SUMIFS('Investor Exit List'!$AC:$AC,'Investor Exit List'!$AB:$AB,B382)</f>
        <v/>
      </c>
      <c r="D382" s="14">
        <f>SUMIFS('Investor Exit List'!$Q:$Q,'Investor Exit List'!$AB:$AB,B382)</f>
        <v/>
      </c>
      <c r="E382" s="31">
        <f>LEFT(B382,6)</f>
        <v/>
      </c>
      <c r="F382" s="14">
        <f>IF(SUMIFS($E$119:$E$151,$D$119:$D$151,E382)&lt;&gt;0,E382,0)</f>
        <v/>
      </c>
      <c r="G382" s="59" t="n"/>
      <c r="I382" s="28">
        <f>IF(AND(SUMIFS($D$245:$D$595,$F$245:$F$595,0,$E$245:$E$595,$G382,$C$245:$C$595,"&lt;="&amp;B$2)&lt;1000000,SUMIFS($D$245:$D$595,$F$245:$F$595,0,$E$245:$E$595,$G382,$C$245:$C$595,"&lt;="&amp;I5)&gt;=1000000),SUMIFS($D$245:$D$595,$F$245:$F$595,0,$E$245:$E$595,$G382)*$C$157 ,0)</f>
        <v/>
      </c>
      <c r="K382" s="95">
        <f>IF(AND(SUMIFS($D$245:$D$595,$F$245:$F$595,0,$E$245:$E$595,$G382,$C$245:$C$595,"&lt;="&amp;I$5)&lt;1000000,SUMIFS($D$245:$D$595,$F$245:$F$595,0,$E$245:$E$595,$G382,$C$245:$C$595,"&lt;="&amp;K5)&gt;=1000000),SUMIFS($D$245:$D$595,$F$245:$F$595,0,$E$245:$E$595,$G382)*$C$157 ,0)</f>
        <v/>
      </c>
      <c r="M382" s="95">
        <f>IF(AND(SUMIFS($D$245:$D$595,$F$245:$F$595,0,$E$245:$E$595,$G382,$C$245:$C$595,"&lt;="&amp;K$5)&lt;1000000,SUMIFS($D$245:$D$595,$F$245:$F$595,0,$E$245:$E$595,$G382,$C$245:$C$595,"&lt;="&amp;M5)&gt;=1000000),SUMIFS($D$245:$D$595,$F$245:$F$595,0,$E$245:$E$595,$G382)*$C$157 ,0)</f>
        <v/>
      </c>
      <c r="O382" s="95">
        <f>IF(AND(SUMIFS($D$245:$D$595,$F$245:$F$595,0,$E$245:$E$595,$G382,$C$245:$C$595,"&lt;="&amp;M$5)&lt;1000000,SUMIFS($D$245:$D$595,$F$245:$F$595,0,$E$245:$E$595,$G382,$C$245:$C$595,"&lt;="&amp;O5)&gt;=1000000),SUMIFS($D$245:$D$595,$F$245:$F$595,0,$E$245:$E$595,$G382)*$C$157 ,0)</f>
        <v/>
      </c>
      <c r="Q382" s="95">
        <f>IF(AND(SUMIFS($D$245:$D$595,$F$245:$F$595,0,$E$245:$E$595,$G382,$C$245:$C$595,"&lt;="&amp;O$5)&lt;1000000,SUMIFS($D$245:$D$595,$F$245:$F$595,0,$E$245:$E$595,$G382,$C$245:$C$595,"&lt;="&amp;Q5)&gt;=1000000),SUMIFS($D$245:$D$595,$F$245:$F$595,0,$E$245:$E$595,$G382)*$C$157 ,0)</f>
        <v/>
      </c>
      <c r="S382" s="95">
        <f>IF(AND(SUMIFS($D$245:$D$595,$F$245:$F$595,0,$E$245:$E$595,$G382,$C$245:$C$595,"&lt;="&amp;Q$5)&lt;1000000,SUMIFS($D$245:$D$595,$F$245:$F$595,0,$E$245:$E$595,$G382,$C$245:$C$595,"&lt;="&amp;S5)&gt;=1000000),SUMIFS($D$245:$D$595,$F$245:$F$595,0,$E$245:$E$595,$G382)*$C$157 ,0)</f>
        <v/>
      </c>
      <c r="U382" s="95">
        <f>IF(AND(SUMIFS($D$245:$D$595,$F$245:$F$595,0,$E$245:$E$595,$G382,$C$245:$C$595,"&lt;="&amp;S$5)&lt;1000000,SUMIFS($D$245:$D$595,$F$245:$F$595,0,$E$245:$E$595,$G382,$C$245:$C$595,"&lt;="&amp;U5)&gt;=1000000),SUMIFS($D$245:$D$595,$F$245:$F$595,0,$E$245:$E$595,$G382)*$C$157 ,0)</f>
        <v/>
      </c>
      <c r="W382" s="95">
        <f>IF(AND(SUMIFS($D$245:$D$595,$F$245:$F$595,0,$E$245:$E$595,$G382,$C$245:$C$595,"&lt;="&amp;U$5)&lt;1000000,SUMIFS($D$245:$D$595,$F$245:$F$595,0,$E$245:$E$595,$G382,$C$245:$C$595,"&lt;="&amp;W5)&gt;=1000000),SUMIFS($D$245:$D$595,$F$245:$F$595,0,$E$245:$E$595,$G382)*$C$157 ,0)</f>
        <v/>
      </c>
      <c r="Y382" s="95">
        <f>IF(AND(SUMIFS($D$245:$D$595,$F$245:$F$595,0,$E$245:$E$595,$G382,$C$245:$C$595,"&lt;="&amp;W$5)&lt;1000000,SUMIFS($D$245:$D$595,$F$245:$F$595,0,$E$245:$E$595,$G382,$C$245:$C$595,"&lt;="&amp;Y5)&gt;=1000000),SUMIFS($D$245:$D$595,$F$245:$F$595,0,$E$245:$E$595,$G382)*$C$157 ,0)</f>
        <v/>
      </c>
      <c r="AA382" s="95">
        <f>IF(AND(SUMIFS($D$245:$D$595,$F$245:$F$595,0,$E$245:$E$595,$G382,$C$245:$C$595,"&lt;="&amp;Y$5)&lt;1000000,SUMIFS($D$245:$D$595,$F$245:$F$595,0,$E$245:$E$595,$G382,$C$245:$C$595,"&lt;="&amp;AA5)&gt;=1000000),SUMIFS($D$245:$D$595,$F$245:$F$595,0,$E$245:$E$595,$G382)*$C$157 ,0)</f>
        <v/>
      </c>
      <c r="AC382" s="95">
        <f>IF(AND(SUMIFS($D$245:$D$595,$F$245:$F$595,0,$E$245:$E$595,$G382,$C$245:$C$595,"&lt;="&amp;AA$5)&lt;1000000,SUMIFS($D$245:$D$595,$F$245:$F$595,0,$E$245:$E$595,$G382,$C$245:$C$595,"&lt;="&amp;AC5)&gt;=1000000),SUMIFS($D$245:$D$595,$F$245:$F$595,0,$E$245:$E$595,$G382)*$C$157 ,0)</f>
        <v/>
      </c>
      <c r="AE382" s="95">
        <f>IF(AND(SUMIFS($D$245:$D$595,$F$245:$F$595,0,$E$245:$E$595,$G382,$C$245:$C$595,"&lt;="&amp;AC$5)&lt;1000000,SUMIFS($D$245:$D$595,$F$245:$F$595,0,$E$245:$E$595,$G382,$C$245:$C$595,"&lt;="&amp;AE5)&gt;=1000000),SUMIFS($D$245:$D$595,$F$245:$F$595,0,$E$245:$E$595,$G382)*$C$157 ,0)</f>
        <v/>
      </c>
      <c r="AF382" s="19" t="n"/>
    </row>
    <row r="383">
      <c r="A383" s="20">
        <f>mid(E383, 3, 1)</f>
        <v/>
      </c>
      <c r="B383" s="14" t="inlineStr"/>
      <c r="C383" s="21">
        <f>SUMIFS('Investor Exit List'!$AC:$AC,'Investor Exit List'!$AB:$AB,B383)</f>
        <v/>
      </c>
      <c r="D383" s="14">
        <f>SUMIFS('Investor Exit List'!$Q:$Q,'Investor Exit List'!$AB:$AB,B383)</f>
        <v/>
      </c>
      <c r="E383" s="31">
        <f>LEFT(B383,6)</f>
        <v/>
      </c>
      <c r="F383" s="14">
        <f>IF(SUMIFS($E$119:$E$151,$D$119:$D$151,E383)&lt;&gt;0,E383,0)</f>
        <v/>
      </c>
      <c r="G383" s="59" t="n"/>
      <c r="I383" s="28">
        <f>IF(AND(SUMIFS($D$245:$D$595,$F$245:$F$595,0,$E$245:$E$595,$G383,$C$245:$C$595,"&lt;="&amp;B$2)&lt;1000000,SUMIFS($D$245:$D$595,$F$245:$F$595,0,$E$245:$E$595,$G383,$C$245:$C$595,"&lt;="&amp;I5)&gt;=1000000),SUMIFS($D$245:$D$595,$F$245:$F$595,0,$E$245:$E$595,$G383)*$C$157 ,0)</f>
        <v/>
      </c>
      <c r="K383" s="95">
        <f>IF(AND(SUMIFS($D$245:$D$595,$F$245:$F$595,0,$E$245:$E$595,$G383,$C$245:$C$595,"&lt;="&amp;I$5)&lt;1000000,SUMIFS($D$245:$D$595,$F$245:$F$595,0,$E$245:$E$595,$G383,$C$245:$C$595,"&lt;="&amp;K5)&gt;=1000000),SUMIFS($D$245:$D$595,$F$245:$F$595,0,$E$245:$E$595,$G383)*$C$157 ,0)</f>
        <v/>
      </c>
      <c r="M383" s="95">
        <f>IF(AND(SUMIFS($D$245:$D$595,$F$245:$F$595,0,$E$245:$E$595,$G383,$C$245:$C$595,"&lt;="&amp;K$5)&lt;1000000,SUMIFS($D$245:$D$595,$F$245:$F$595,0,$E$245:$E$595,$G383,$C$245:$C$595,"&lt;="&amp;M5)&gt;=1000000),SUMIFS($D$245:$D$595,$F$245:$F$595,0,$E$245:$E$595,$G383)*$C$157 ,0)</f>
        <v/>
      </c>
      <c r="O383" s="95">
        <f>IF(AND(SUMIFS($D$245:$D$595,$F$245:$F$595,0,$E$245:$E$595,$G383,$C$245:$C$595,"&lt;="&amp;M$5)&lt;1000000,SUMIFS($D$245:$D$595,$F$245:$F$595,0,$E$245:$E$595,$G383,$C$245:$C$595,"&lt;="&amp;O5)&gt;=1000000),SUMIFS($D$245:$D$595,$F$245:$F$595,0,$E$245:$E$595,$G383)*$C$157 ,0)</f>
        <v/>
      </c>
      <c r="Q383" s="95">
        <f>IF(AND(SUMIFS($D$245:$D$595,$F$245:$F$595,0,$E$245:$E$595,$G383,$C$245:$C$595,"&lt;="&amp;O$5)&lt;1000000,SUMIFS($D$245:$D$595,$F$245:$F$595,0,$E$245:$E$595,$G383,$C$245:$C$595,"&lt;="&amp;Q5)&gt;=1000000),SUMIFS($D$245:$D$595,$F$245:$F$595,0,$E$245:$E$595,$G383)*$C$157 ,0)</f>
        <v/>
      </c>
      <c r="S383" s="95">
        <f>IF(AND(SUMIFS($D$245:$D$595,$F$245:$F$595,0,$E$245:$E$595,$G383,$C$245:$C$595,"&lt;="&amp;Q$5)&lt;1000000,SUMIFS($D$245:$D$595,$F$245:$F$595,0,$E$245:$E$595,$G383,$C$245:$C$595,"&lt;="&amp;S5)&gt;=1000000),SUMIFS($D$245:$D$595,$F$245:$F$595,0,$E$245:$E$595,$G383)*$C$157 ,0)</f>
        <v/>
      </c>
      <c r="U383" s="95">
        <f>IF(AND(SUMIFS($D$245:$D$595,$F$245:$F$595,0,$E$245:$E$595,$G383,$C$245:$C$595,"&lt;="&amp;S$5)&lt;1000000,SUMIFS($D$245:$D$595,$F$245:$F$595,0,$E$245:$E$595,$G383,$C$245:$C$595,"&lt;="&amp;U5)&gt;=1000000),SUMIFS($D$245:$D$595,$F$245:$F$595,0,$E$245:$E$595,$G383)*$C$157 ,0)</f>
        <v/>
      </c>
      <c r="W383" s="95">
        <f>IF(AND(SUMIFS($D$245:$D$595,$F$245:$F$595,0,$E$245:$E$595,$G383,$C$245:$C$595,"&lt;="&amp;U$5)&lt;1000000,SUMIFS($D$245:$D$595,$F$245:$F$595,0,$E$245:$E$595,$G383,$C$245:$C$595,"&lt;="&amp;W5)&gt;=1000000),SUMIFS($D$245:$D$595,$F$245:$F$595,0,$E$245:$E$595,$G383)*$C$157 ,0)</f>
        <v/>
      </c>
      <c r="Y383" s="95">
        <f>IF(AND(SUMIFS($D$245:$D$595,$F$245:$F$595,0,$E$245:$E$595,$G383,$C$245:$C$595,"&lt;="&amp;W$5)&lt;1000000,SUMIFS($D$245:$D$595,$F$245:$F$595,0,$E$245:$E$595,$G383,$C$245:$C$595,"&lt;="&amp;Y5)&gt;=1000000),SUMIFS($D$245:$D$595,$F$245:$F$595,0,$E$245:$E$595,$G383)*$C$157 ,0)</f>
        <v/>
      </c>
      <c r="AA383" s="95">
        <f>IF(AND(SUMIFS($D$245:$D$595,$F$245:$F$595,0,$E$245:$E$595,$G383,$C$245:$C$595,"&lt;="&amp;Y$5)&lt;1000000,SUMIFS($D$245:$D$595,$F$245:$F$595,0,$E$245:$E$595,$G383,$C$245:$C$595,"&lt;="&amp;AA5)&gt;=1000000),SUMIFS($D$245:$D$595,$F$245:$F$595,0,$E$245:$E$595,$G383)*$C$157 ,0)</f>
        <v/>
      </c>
      <c r="AC383" s="95">
        <f>IF(AND(SUMIFS($D$245:$D$595,$F$245:$F$595,0,$E$245:$E$595,$G383,$C$245:$C$595,"&lt;="&amp;AA$5)&lt;1000000,SUMIFS($D$245:$D$595,$F$245:$F$595,0,$E$245:$E$595,$G383,$C$245:$C$595,"&lt;="&amp;AC5)&gt;=1000000),SUMIFS($D$245:$D$595,$F$245:$F$595,0,$E$245:$E$595,$G383)*$C$157 ,0)</f>
        <v/>
      </c>
      <c r="AE383" s="95">
        <f>IF(AND(SUMIFS($D$245:$D$595,$F$245:$F$595,0,$E$245:$E$595,$G383,$C$245:$C$595,"&lt;="&amp;AC$5)&lt;1000000,SUMIFS($D$245:$D$595,$F$245:$F$595,0,$E$245:$E$595,$G383,$C$245:$C$595,"&lt;="&amp;AE5)&gt;=1000000),SUMIFS($D$245:$D$595,$F$245:$F$595,0,$E$245:$E$595,$G383)*$C$157 ,0)</f>
        <v/>
      </c>
      <c r="AF383" s="19" t="n"/>
    </row>
    <row r="384">
      <c r="A384" s="20">
        <f>mid(E384, 3, 1)</f>
        <v/>
      </c>
      <c r="B384" s="14" t="inlineStr"/>
      <c r="C384" s="21">
        <f>SUMIFS('Investor Exit List'!$AC:$AC,'Investor Exit List'!$AB:$AB,B384)</f>
        <v/>
      </c>
      <c r="D384" s="14">
        <f>SUMIFS('Investor Exit List'!$Q:$Q,'Investor Exit List'!$AB:$AB,B384)</f>
        <v/>
      </c>
      <c r="E384" s="31">
        <f>LEFT(B384,6)</f>
        <v/>
      </c>
      <c r="F384" s="14">
        <f>IF(SUMIFS($E$119:$E$151,$D$119:$D$151,E384)&lt;&gt;0,E384,0)</f>
        <v/>
      </c>
      <c r="G384" s="59" t="n"/>
      <c r="I384" s="28">
        <f>IF(AND(SUMIFS($D$245:$D$595,$F$245:$F$595,0,$E$245:$E$595,$G384,$C$245:$C$595,"&lt;="&amp;B$2)&lt;1000000,SUMIFS($D$245:$D$595,$F$245:$F$595,0,$E$245:$E$595,$G384,$C$245:$C$595,"&lt;="&amp;I5)&gt;=1000000),SUMIFS($D$245:$D$595,$F$245:$F$595,0,$E$245:$E$595,$G384)*$C$157 ,0)</f>
        <v/>
      </c>
      <c r="K384" s="95">
        <f>IF(AND(SUMIFS($D$245:$D$595,$F$245:$F$595,0,$E$245:$E$595,$G384,$C$245:$C$595,"&lt;="&amp;I$5)&lt;1000000,SUMIFS($D$245:$D$595,$F$245:$F$595,0,$E$245:$E$595,$G384,$C$245:$C$595,"&lt;="&amp;K5)&gt;=1000000),SUMIFS($D$245:$D$595,$F$245:$F$595,0,$E$245:$E$595,$G384)*$C$157 ,0)</f>
        <v/>
      </c>
      <c r="M384" s="95">
        <f>IF(AND(SUMIFS($D$245:$D$595,$F$245:$F$595,0,$E$245:$E$595,$G384,$C$245:$C$595,"&lt;="&amp;K$5)&lt;1000000,SUMIFS($D$245:$D$595,$F$245:$F$595,0,$E$245:$E$595,$G384,$C$245:$C$595,"&lt;="&amp;M5)&gt;=1000000),SUMIFS($D$245:$D$595,$F$245:$F$595,0,$E$245:$E$595,$G384)*$C$157 ,0)</f>
        <v/>
      </c>
      <c r="O384" s="95">
        <f>IF(AND(SUMIFS($D$245:$D$595,$F$245:$F$595,0,$E$245:$E$595,$G384,$C$245:$C$595,"&lt;="&amp;M$5)&lt;1000000,SUMIFS($D$245:$D$595,$F$245:$F$595,0,$E$245:$E$595,$G384,$C$245:$C$595,"&lt;="&amp;O5)&gt;=1000000),SUMIFS($D$245:$D$595,$F$245:$F$595,0,$E$245:$E$595,$G384)*$C$157 ,0)</f>
        <v/>
      </c>
      <c r="Q384" s="95">
        <f>IF(AND(SUMIFS($D$245:$D$595,$F$245:$F$595,0,$E$245:$E$595,$G384,$C$245:$C$595,"&lt;="&amp;O$5)&lt;1000000,SUMIFS($D$245:$D$595,$F$245:$F$595,0,$E$245:$E$595,$G384,$C$245:$C$595,"&lt;="&amp;Q5)&gt;=1000000),SUMIFS($D$245:$D$595,$F$245:$F$595,0,$E$245:$E$595,$G384)*$C$157 ,0)</f>
        <v/>
      </c>
      <c r="S384" s="95">
        <f>IF(AND(SUMIFS($D$245:$D$595,$F$245:$F$595,0,$E$245:$E$595,$G384,$C$245:$C$595,"&lt;="&amp;Q$5)&lt;1000000,SUMIFS($D$245:$D$595,$F$245:$F$595,0,$E$245:$E$595,$G384,$C$245:$C$595,"&lt;="&amp;S5)&gt;=1000000),SUMIFS($D$245:$D$595,$F$245:$F$595,0,$E$245:$E$595,$G384)*$C$157 ,0)</f>
        <v/>
      </c>
      <c r="U384" s="95">
        <f>IF(AND(SUMIFS($D$245:$D$595,$F$245:$F$595,0,$E$245:$E$595,$G384,$C$245:$C$595,"&lt;="&amp;S$5)&lt;1000000,SUMIFS($D$245:$D$595,$F$245:$F$595,0,$E$245:$E$595,$G384,$C$245:$C$595,"&lt;="&amp;U5)&gt;=1000000),SUMIFS($D$245:$D$595,$F$245:$F$595,0,$E$245:$E$595,$G384)*$C$157 ,0)</f>
        <v/>
      </c>
      <c r="W384" s="95">
        <f>IF(AND(SUMIFS($D$245:$D$595,$F$245:$F$595,0,$E$245:$E$595,$G384,$C$245:$C$595,"&lt;="&amp;U$5)&lt;1000000,SUMIFS($D$245:$D$595,$F$245:$F$595,0,$E$245:$E$595,$G384,$C$245:$C$595,"&lt;="&amp;W5)&gt;=1000000),SUMIFS($D$245:$D$595,$F$245:$F$595,0,$E$245:$E$595,$G384)*$C$157 ,0)</f>
        <v/>
      </c>
      <c r="Y384" s="95">
        <f>IF(AND(SUMIFS($D$245:$D$595,$F$245:$F$595,0,$E$245:$E$595,$G384,$C$245:$C$595,"&lt;="&amp;W$5)&lt;1000000,SUMIFS($D$245:$D$595,$F$245:$F$595,0,$E$245:$E$595,$G384,$C$245:$C$595,"&lt;="&amp;Y5)&gt;=1000000),SUMIFS($D$245:$D$595,$F$245:$F$595,0,$E$245:$E$595,$G384)*$C$157 ,0)</f>
        <v/>
      </c>
      <c r="AA384" s="95">
        <f>IF(AND(SUMIFS($D$245:$D$595,$F$245:$F$595,0,$E$245:$E$595,$G384,$C$245:$C$595,"&lt;="&amp;Y$5)&lt;1000000,SUMIFS($D$245:$D$595,$F$245:$F$595,0,$E$245:$E$595,$G384,$C$245:$C$595,"&lt;="&amp;AA5)&gt;=1000000),SUMIFS($D$245:$D$595,$F$245:$F$595,0,$E$245:$E$595,$G384)*$C$157 ,0)</f>
        <v/>
      </c>
      <c r="AC384" s="95">
        <f>IF(AND(SUMIFS($D$245:$D$595,$F$245:$F$595,0,$E$245:$E$595,$G384,$C$245:$C$595,"&lt;="&amp;AA$5)&lt;1000000,SUMIFS($D$245:$D$595,$F$245:$F$595,0,$E$245:$E$595,$G384,$C$245:$C$595,"&lt;="&amp;AC5)&gt;=1000000),SUMIFS($D$245:$D$595,$F$245:$F$595,0,$E$245:$E$595,$G384)*$C$157 ,0)</f>
        <v/>
      </c>
      <c r="AE384" s="95">
        <f>IF(AND(SUMIFS($D$245:$D$595,$F$245:$F$595,0,$E$245:$E$595,$G384,$C$245:$C$595,"&lt;="&amp;AC$5)&lt;1000000,SUMIFS($D$245:$D$595,$F$245:$F$595,0,$E$245:$E$595,$G384,$C$245:$C$595,"&lt;="&amp;AE5)&gt;=1000000),SUMIFS($D$245:$D$595,$F$245:$F$595,0,$E$245:$E$595,$G384)*$C$157 ,0)</f>
        <v/>
      </c>
      <c r="AF384" s="19" t="n"/>
    </row>
    <row r="385">
      <c r="A385" s="20">
        <f>mid(E385, 3, 1)</f>
        <v/>
      </c>
      <c r="B385" s="14" t="inlineStr"/>
      <c r="C385" s="21">
        <f>SUMIFS('Investor Exit List'!$AC:$AC,'Investor Exit List'!$AB:$AB,B385)</f>
        <v/>
      </c>
      <c r="D385" s="14">
        <f>SUMIFS('Investor Exit List'!$Q:$Q,'Investor Exit List'!$AB:$AB,B385)</f>
        <v/>
      </c>
      <c r="E385" s="31">
        <f>LEFT(B385,6)</f>
        <v/>
      </c>
      <c r="F385" s="14">
        <f>IF(SUMIFS($E$119:$E$151,$D$119:$D$151,E385)&lt;&gt;0,E385,0)</f>
        <v/>
      </c>
      <c r="G385" s="59" t="n"/>
      <c r="I385" s="28">
        <f>IF(AND(SUMIFS($D$245:$D$595,$F$245:$F$595,0,$E$245:$E$595,$G385,$C$245:$C$595,"&lt;="&amp;B$2)&lt;1000000,SUMIFS($D$245:$D$595,$F$245:$F$595,0,$E$245:$E$595,$G385,$C$245:$C$595,"&lt;="&amp;I5)&gt;=1000000),SUMIFS($D$245:$D$595,$F$245:$F$595,0,$E$245:$E$595,$G385)*$C$157 ,0)</f>
        <v/>
      </c>
      <c r="K385" s="95">
        <f>IF(AND(SUMIFS($D$245:$D$595,$F$245:$F$595,0,$E$245:$E$595,$G385,$C$245:$C$595,"&lt;="&amp;I$5)&lt;1000000,SUMIFS($D$245:$D$595,$F$245:$F$595,0,$E$245:$E$595,$G385,$C$245:$C$595,"&lt;="&amp;K5)&gt;=1000000),SUMIFS($D$245:$D$595,$F$245:$F$595,0,$E$245:$E$595,$G385)*$C$157 ,0)</f>
        <v/>
      </c>
      <c r="M385" s="95">
        <f>IF(AND(SUMIFS($D$245:$D$595,$F$245:$F$595,0,$E$245:$E$595,$G385,$C$245:$C$595,"&lt;="&amp;K$5)&lt;1000000,SUMIFS($D$245:$D$595,$F$245:$F$595,0,$E$245:$E$595,$G385,$C$245:$C$595,"&lt;="&amp;M5)&gt;=1000000),SUMIFS($D$245:$D$595,$F$245:$F$595,0,$E$245:$E$595,$G385)*$C$157 ,0)</f>
        <v/>
      </c>
      <c r="O385" s="95">
        <f>IF(AND(SUMIFS($D$245:$D$595,$F$245:$F$595,0,$E$245:$E$595,$G385,$C$245:$C$595,"&lt;="&amp;M$5)&lt;1000000,SUMIFS($D$245:$D$595,$F$245:$F$595,0,$E$245:$E$595,$G385,$C$245:$C$595,"&lt;="&amp;O5)&gt;=1000000),SUMIFS($D$245:$D$595,$F$245:$F$595,0,$E$245:$E$595,$G385)*$C$157 ,0)</f>
        <v/>
      </c>
      <c r="Q385" s="95">
        <f>IF(AND(SUMIFS($D$245:$D$595,$F$245:$F$595,0,$E$245:$E$595,$G385,$C$245:$C$595,"&lt;="&amp;O$5)&lt;1000000,SUMIFS($D$245:$D$595,$F$245:$F$595,0,$E$245:$E$595,$G385,$C$245:$C$595,"&lt;="&amp;Q5)&gt;=1000000),SUMIFS($D$245:$D$595,$F$245:$F$595,0,$E$245:$E$595,$G385)*$C$157 ,0)</f>
        <v/>
      </c>
      <c r="S385" s="95">
        <f>IF(AND(SUMIFS($D$245:$D$595,$F$245:$F$595,0,$E$245:$E$595,$G385,$C$245:$C$595,"&lt;="&amp;Q$5)&lt;1000000,SUMIFS($D$245:$D$595,$F$245:$F$595,0,$E$245:$E$595,$G385,$C$245:$C$595,"&lt;="&amp;S5)&gt;=1000000),SUMIFS($D$245:$D$595,$F$245:$F$595,0,$E$245:$E$595,$G385)*$C$157 ,0)</f>
        <v/>
      </c>
      <c r="U385" s="95">
        <f>IF(AND(SUMIFS($D$245:$D$595,$F$245:$F$595,0,$E$245:$E$595,$G385,$C$245:$C$595,"&lt;="&amp;S$5)&lt;1000000,SUMIFS($D$245:$D$595,$F$245:$F$595,0,$E$245:$E$595,$G385,$C$245:$C$595,"&lt;="&amp;U5)&gt;=1000000),SUMIFS($D$245:$D$595,$F$245:$F$595,0,$E$245:$E$595,$G385)*$C$157 ,0)</f>
        <v/>
      </c>
      <c r="W385" s="95">
        <f>IF(AND(SUMIFS($D$245:$D$595,$F$245:$F$595,0,$E$245:$E$595,$G385,$C$245:$C$595,"&lt;="&amp;U$5)&lt;1000000,SUMIFS($D$245:$D$595,$F$245:$F$595,0,$E$245:$E$595,$G385,$C$245:$C$595,"&lt;="&amp;W5)&gt;=1000000),SUMIFS($D$245:$D$595,$F$245:$F$595,0,$E$245:$E$595,$G385)*$C$157 ,0)</f>
        <v/>
      </c>
      <c r="Y385" s="95">
        <f>IF(AND(SUMIFS($D$245:$D$595,$F$245:$F$595,0,$E$245:$E$595,$G385,$C$245:$C$595,"&lt;="&amp;W$5)&lt;1000000,SUMIFS($D$245:$D$595,$F$245:$F$595,0,$E$245:$E$595,$G385,$C$245:$C$595,"&lt;="&amp;Y5)&gt;=1000000),SUMIFS($D$245:$D$595,$F$245:$F$595,0,$E$245:$E$595,$G385)*$C$157 ,0)</f>
        <v/>
      </c>
      <c r="AA385" s="95">
        <f>IF(AND(SUMIFS($D$245:$D$595,$F$245:$F$595,0,$E$245:$E$595,$G385,$C$245:$C$595,"&lt;="&amp;Y$5)&lt;1000000,SUMIFS($D$245:$D$595,$F$245:$F$595,0,$E$245:$E$595,$G385,$C$245:$C$595,"&lt;="&amp;AA5)&gt;=1000000),SUMIFS($D$245:$D$595,$F$245:$F$595,0,$E$245:$E$595,$G385)*$C$157 ,0)</f>
        <v/>
      </c>
      <c r="AC385" s="95">
        <f>IF(AND(SUMIFS($D$245:$D$595,$F$245:$F$595,0,$E$245:$E$595,$G385,$C$245:$C$595,"&lt;="&amp;AA$5)&lt;1000000,SUMIFS($D$245:$D$595,$F$245:$F$595,0,$E$245:$E$595,$G385,$C$245:$C$595,"&lt;="&amp;AC5)&gt;=1000000),SUMIFS($D$245:$D$595,$F$245:$F$595,0,$E$245:$E$595,$G385)*$C$157 ,0)</f>
        <v/>
      </c>
      <c r="AE385" s="95">
        <f>IF(AND(SUMIFS($D$245:$D$595,$F$245:$F$595,0,$E$245:$E$595,$G385,$C$245:$C$595,"&lt;="&amp;AC$5)&lt;1000000,SUMIFS($D$245:$D$595,$F$245:$F$595,0,$E$245:$E$595,$G385,$C$245:$C$595,"&lt;="&amp;AE5)&gt;=1000000),SUMIFS($D$245:$D$595,$F$245:$F$595,0,$E$245:$E$595,$G385)*$C$157 ,0)</f>
        <v/>
      </c>
      <c r="AF385" s="19" t="n"/>
    </row>
    <row r="386">
      <c r="A386" s="20">
        <f>mid(E386, 3, 1)</f>
        <v/>
      </c>
      <c r="B386" s="14" t="inlineStr"/>
      <c r="C386" s="21">
        <f>SUMIFS('Investor Exit List'!$AC:$AC,'Investor Exit List'!$AB:$AB,B386)</f>
        <v/>
      </c>
      <c r="D386" s="14">
        <f>SUMIFS('Investor Exit List'!$Q:$Q,'Investor Exit List'!$AB:$AB,B386)</f>
        <v/>
      </c>
      <c r="E386" s="31">
        <f>LEFT(B386,6)</f>
        <v/>
      </c>
      <c r="F386" s="14">
        <f>IF(SUMIFS($E$119:$E$151,$D$119:$D$151,E386)&lt;&gt;0,E386,0)</f>
        <v/>
      </c>
      <c r="G386" s="59" t="n"/>
      <c r="I386" s="28">
        <f>IF(AND(SUMIFS($D$245:$D$595,$F$245:$F$595,0,$E$245:$E$595,$G386,$C$245:$C$595,"&lt;="&amp;B$2)&lt;1000000,SUMIFS($D$245:$D$595,$F$245:$F$595,0,$E$245:$E$595,$G386,$C$245:$C$595,"&lt;="&amp;I5)&gt;=1000000),SUMIFS($D$245:$D$595,$F$245:$F$595,0,$E$245:$E$595,$G386)*$C$157 ,0)</f>
        <v/>
      </c>
      <c r="K386" s="95">
        <f>IF(AND(SUMIFS($D$245:$D$595,$F$245:$F$595,0,$E$245:$E$595,$G386,$C$245:$C$595,"&lt;="&amp;I$5)&lt;1000000,SUMIFS($D$245:$D$595,$F$245:$F$595,0,$E$245:$E$595,$G386,$C$245:$C$595,"&lt;="&amp;K5)&gt;=1000000),SUMIFS($D$245:$D$595,$F$245:$F$595,0,$E$245:$E$595,$G386)*$C$157 ,0)</f>
        <v/>
      </c>
      <c r="M386" s="95">
        <f>IF(AND(SUMIFS($D$245:$D$595,$F$245:$F$595,0,$E$245:$E$595,$G386,$C$245:$C$595,"&lt;="&amp;K$5)&lt;1000000,SUMIFS($D$245:$D$595,$F$245:$F$595,0,$E$245:$E$595,$G386,$C$245:$C$595,"&lt;="&amp;M5)&gt;=1000000),SUMIFS($D$245:$D$595,$F$245:$F$595,0,$E$245:$E$595,$G386)*$C$157 ,0)</f>
        <v/>
      </c>
      <c r="O386" s="95">
        <f>IF(AND(SUMIFS($D$245:$D$595,$F$245:$F$595,0,$E$245:$E$595,$G386,$C$245:$C$595,"&lt;="&amp;M$5)&lt;1000000,SUMIFS($D$245:$D$595,$F$245:$F$595,0,$E$245:$E$595,$G386,$C$245:$C$595,"&lt;="&amp;O5)&gt;=1000000),SUMIFS($D$245:$D$595,$F$245:$F$595,0,$E$245:$E$595,$G386)*$C$157 ,0)</f>
        <v/>
      </c>
      <c r="Q386" s="95">
        <f>IF(AND(SUMIFS($D$245:$D$595,$F$245:$F$595,0,$E$245:$E$595,$G386,$C$245:$C$595,"&lt;="&amp;O$5)&lt;1000000,SUMIFS($D$245:$D$595,$F$245:$F$595,0,$E$245:$E$595,$G386,$C$245:$C$595,"&lt;="&amp;Q5)&gt;=1000000),SUMIFS($D$245:$D$595,$F$245:$F$595,0,$E$245:$E$595,$G386)*$C$157 ,0)</f>
        <v/>
      </c>
      <c r="S386" s="95">
        <f>IF(AND(SUMIFS($D$245:$D$595,$F$245:$F$595,0,$E$245:$E$595,$G386,$C$245:$C$595,"&lt;="&amp;Q$5)&lt;1000000,SUMIFS($D$245:$D$595,$F$245:$F$595,0,$E$245:$E$595,$G386,$C$245:$C$595,"&lt;="&amp;S5)&gt;=1000000),SUMIFS($D$245:$D$595,$F$245:$F$595,0,$E$245:$E$595,$G386)*$C$157 ,0)</f>
        <v/>
      </c>
      <c r="U386" s="95">
        <f>IF(AND(SUMIFS($D$245:$D$595,$F$245:$F$595,0,$E$245:$E$595,$G386,$C$245:$C$595,"&lt;="&amp;S$5)&lt;1000000,SUMIFS($D$245:$D$595,$F$245:$F$595,0,$E$245:$E$595,$G386,$C$245:$C$595,"&lt;="&amp;U5)&gt;=1000000),SUMIFS($D$245:$D$595,$F$245:$F$595,0,$E$245:$E$595,$G386)*$C$157 ,0)</f>
        <v/>
      </c>
      <c r="W386" s="95">
        <f>IF(AND(SUMIFS($D$245:$D$595,$F$245:$F$595,0,$E$245:$E$595,$G386,$C$245:$C$595,"&lt;="&amp;U$5)&lt;1000000,SUMIFS($D$245:$D$595,$F$245:$F$595,0,$E$245:$E$595,$G386,$C$245:$C$595,"&lt;="&amp;W5)&gt;=1000000),SUMIFS($D$245:$D$595,$F$245:$F$595,0,$E$245:$E$595,$G386)*$C$157 ,0)</f>
        <v/>
      </c>
      <c r="Y386" s="95">
        <f>IF(AND(SUMIFS($D$245:$D$595,$F$245:$F$595,0,$E$245:$E$595,$G386,$C$245:$C$595,"&lt;="&amp;W$5)&lt;1000000,SUMIFS($D$245:$D$595,$F$245:$F$595,0,$E$245:$E$595,$G386,$C$245:$C$595,"&lt;="&amp;Y5)&gt;=1000000),SUMIFS($D$245:$D$595,$F$245:$F$595,0,$E$245:$E$595,$G386)*$C$157 ,0)</f>
        <v/>
      </c>
      <c r="AA386" s="95">
        <f>IF(AND(SUMIFS($D$245:$D$595,$F$245:$F$595,0,$E$245:$E$595,$G386,$C$245:$C$595,"&lt;="&amp;Y$5)&lt;1000000,SUMIFS($D$245:$D$595,$F$245:$F$595,0,$E$245:$E$595,$G386,$C$245:$C$595,"&lt;="&amp;AA5)&gt;=1000000),SUMIFS($D$245:$D$595,$F$245:$F$595,0,$E$245:$E$595,$G386)*$C$157 ,0)</f>
        <v/>
      </c>
      <c r="AC386" s="95">
        <f>IF(AND(SUMIFS($D$245:$D$595,$F$245:$F$595,0,$E$245:$E$595,$G386,$C$245:$C$595,"&lt;="&amp;AA$5)&lt;1000000,SUMIFS($D$245:$D$595,$F$245:$F$595,0,$E$245:$E$595,$G386,$C$245:$C$595,"&lt;="&amp;AC5)&gt;=1000000),SUMIFS($D$245:$D$595,$F$245:$F$595,0,$E$245:$E$595,$G386)*$C$157 ,0)</f>
        <v/>
      </c>
      <c r="AE386" s="95">
        <f>IF(AND(SUMIFS($D$245:$D$595,$F$245:$F$595,0,$E$245:$E$595,$G386,$C$245:$C$595,"&lt;="&amp;AC$5)&lt;1000000,SUMIFS($D$245:$D$595,$F$245:$F$595,0,$E$245:$E$595,$G386,$C$245:$C$595,"&lt;="&amp;AE5)&gt;=1000000),SUMIFS($D$245:$D$595,$F$245:$F$595,0,$E$245:$E$595,$G386)*$C$157 ,0)</f>
        <v/>
      </c>
      <c r="AF386" s="19" t="n"/>
    </row>
    <row r="387">
      <c r="A387" s="20">
        <f>mid(E387, 3, 1)</f>
        <v/>
      </c>
      <c r="B387" s="14" t="inlineStr"/>
      <c r="C387" s="21">
        <f>SUMIFS('Investor Exit List'!$AC:$AC,'Investor Exit List'!$AB:$AB,B387)</f>
        <v/>
      </c>
      <c r="D387" s="14">
        <f>SUMIFS('Investor Exit List'!$Q:$Q,'Investor Exit List'!$AB:$AB,B387)</f>
        <v/>
      </c>
      <c r="E387" s="31">
        <f>LEFT(B387,6)</f>
        <v/>
      </c>
      <c r="F387" s="14">
        <f>IF(SUMIFS($E$119:$E$151,$D$119:$D$151,E387)&lt;&gt;0,E387,0)</f>
        <v/>
      </c>
      <c r="G387" s="59" t="n"/>
      <c r="I387" s="28">
        <f>IF(AND(SUMIFS($D$245:$D$595,$F$245:$F$595,0,$E$245:$E$595,$G387,$C$245:$C$595,"&lt;="&amp;B$2)&lt;1000000,SUMIFS($D$245:$D$595,$F$245:$F$595,0,$E$245:$E$595,$G387,$C$245:$C$595,"&lt;="&amp;I5)&gt;=1000000),SUMIFS($D$245:$D$595,$F$245:$F$595,0,$E$245:$E$595,$G387)*$C$157 ,0)</f>
        <v/>
      </c>
      <c r="K387" s="95">
        <f>IF(AND(SUMIFS($D$245:$D$595,$F$245:$F$595,0,$E$245:$E$595,$G387,$C$245:$C$595,"&lt;="&amp;I$5)&lt;1000000,SUMIFS($D$245:$D$595,$F$245:$F$595,0,$E$245:$E$595,$G387,$C$245:$C$595,"&lt;="&amp;K5)&gt;=1000000),SUMIFS($D$245:$D$595,$F$245:$F$595,0,$E$245:$E$595,$G387)*$C$157 ,0)</f>
        <v/>
      </c>
      <c r="M387" s="95">
        <f>IF(AND(SUMIFS($D$245:$D$595,$F$245:$F$595,0,$E$245:$E$595,$G387,$C$245:$C$595,"&lt;="&amp;K$5)&lt;1000000,SUMIFS($D$245:$D$595,$F$245:$F$595,0,$E$245:$E$595,$G387,$C$245:$C$595,"&lt;="&amp;M5)&gt;=1000000),SUMIFS($D$245:$D$595,$F$245:$F$595,0,$E$245:$E$595,$G387)*$C$157 ,0)</f>
        <v/>
      </c>
      <c r="O387" s="95">
        <f>IF(AND(SUMIFS($D$245:$D$595,$F$245:$F$595,0,$E$245:$E$595,$G387,$C$245:$C$595,"&lt;="&amp;M$5)&lt;1000000,SUMIFS($D$245:$D$595,$F$245:$F$595,0,$E$245:$E$595,$G387,$C$245:$C$595,"&lt;="&amp;O5)&gt;=1000000),SUMIFS($D$245:$D$595,$F$245:$F$595,0,$E$245:$E$595,$G387)*$C$157 ,0)</f>
        <v/>
      </c>
      <c r="Q387" s="95">
        <f>IF(AND(SUMIFS($D$245:$D$595,$F$245:$F$595,0,$E$245:$E$595,$G387,$C$245:$C$595,"&lt;="&amp;O$5)&lt;1000000,SUMIFS($D$245:$D$595,$F$245:$F$595,0,$E$245:$E$595,$G387,$C$245:$C$595,"&lt;="&amp;Q5)&gt;=1000000),SUMIFS($D$245:$D$595,$F$245:$F$595,0,$E$245:$E$595,$G387)*$C$157 ,0)</f>
        <v/>
      </c>
      <c r="S387" s="95">
        <f>IF(AND(SUMIFS($D$245:$D$595,$F$245:$F$595,0,$E$245:$E$595,$G387,$C$245:$C$595,"&lt;="&amp;Q$5)&lt;1000000,SUMIFS($D$245:$D$595,$F$245:$F$595,0,$E$245:$E$595,$G387,$C$245:$C$595,"&lt;="&amp;S5)&gt;=1000000),SUMIFS($D$245:$D$595,$F$245:$F$595,0,$E$245:$E$595,$G387)*$C$157 ,0)</f>
        <v/>
      </c>
      <c r="U387" s="95">
        <f>IF(AND(SUMIFS($D$245:$D$595,$F$245:$F$595,0,$E$245:$E$595,$G387,$C$245:$C$595,"&lt;="&amp;S$5)&lt;1000000,SUMIFS($D$245:$D$595,$F$245:$F$595,0,$E$245:$E$595,$G387,$C$245:$C$595,"&lt;="&amp;U5)&gt;=1000000),SUMIFS($D$245:$D$595,$F$245:$F$595,0,$E$245:$E$595,$G387)*$C$157 ,0)</f>
        <v/>
      </c>
      <c r="W387" s="95">
        <f>IF(AND(SUMIFS($D$245:$D$595,$F$245:$F$595,0,$E$245:$E$595,$G387,$C$245:$C$595,"&lt;="&amp;U$5)&lt;1000000,SUMIFS($D$245:$D$595,$F$245:$F$595,0,$E$245:$E$595,$G387,$C$245:$C$595,"&lt;="&amp;W5)&gt;=1000000),SUMIFS($D$245:$D$595,$F$245:$F$595,0,$E$245:$E$595,$G387)*$C$157 ,0)</f>
        <v/>
      </c>
      <c r="Y387" s="95">
        <f>IF(AND(SUMIFS($D$245:$D$595,$F$245:$F$595,0,$E$245:$E$595,$G387,$C$245:$C$595,"&lt;="&amp;W$5)&lt;1000000,SUMIFS($D$245:$D$595,$F$245:$F$595,0,$E$245:$E$595,$G387,$C$245:$C$595,"&lt;="&amp;Y5)&gt;=1000000),SUMIFS($D$245:$D$595,$F$245:$F$595,0,$E$245:$E$595,$G387)*$C$157 ,0)</f>
        <v/>
      </c>
      <c r="AA387" s="95">
        <f>IF(AND(SUMIFS($D$245:$D$595,$F$245:$F$595,0,$E$245:$E$595,$G387,$C$245:$C$595,"&lt;="&amp;Y$5)&lt;1000000,SUMIFS($D$245:$D$595,$F$245:$F$595,0,$E$245:$E$595,$G387,$C$245:$C$595,"&lt;="&amp;AA5)&gt;=1000000),SUMIFS($D$245:$D$595,$F$245:$F$595,0,$E$245:$E$595,$G387)*$C$157 ,0)</f>
        <v/>
      </c>
      <c r="AC387" s="95">
        <f>IF(AND(SUMIFS($D$245:$D$595,$F$245:$F$595,0,$E$245:$E$595,$G387,$C$245:$C$595,"&lt;="&amp;AA$5)&lt;1000000,SUMIFS($D$245:$D$595,$F$245:$F$595,0,$E$245:$E$595,$G387,$C$245:$C$595,"&lt;="&amp;AC5)&gt;=1000000),SUMIFS($D$245:$D$595,$F$245:$F$595,0,$E$245:$E$595,$G387)*$C$157 ,0)</f>
        <v/>
      </c>
      <c r="AE387" s="95">
        <f>IF(AND(SUMIFS($D$245:$D$595,$F$245:$F$595,0,$E$245:$E$595,$G387,$C$245:$C$595,"&lt;="&amp;AC$5)&lt;1000000,SUMIFS($D$245:$D$595,$F$245:$F$595,0,$E$245:$E$595,$G387,$C$245:$C$595,"&lt;="&amp;AE5)&gt;=1000000),SUMIFS($D$245:$D$595,$F$245:$F$595,0,$E$245:$E$595,$G387)*$C$157 ,0)</f>
        <v/>
      </c>
      <c r="AF387" s="19" t="n"/>
    </row>
    <row r="388">
      <c r="A388" s="20">
        <f>mid(E388, 3, 1)</f>
        <v/>
      </c>
      <c r="B388" s="14" t="inlineStr"/>
      <c r="C388" s="21">
        <f>SUMIFS('Investor Exit List'!$AC:$AC,'Investor Exit List'!$AB:$AB,B388)</f>
        <v/>
      </c>
      <c r="D388" s="14">
        <f>SUMIFS('Investor Exit List'!$Q:$Q,'Investor Exit List'!$AB:$AB,B388)</f>
        <v/>
      </c>
      <c r="E388" s="31">
        <f>LEFT(B388,6)</f>
        <v/>
      </c>
      <c r="F388" s="14">
        <f>IF(SUMIFS($E$119:$E$151,$D$119:$D$151,E388)&lt;&gt;0,E388,0)</f>
        <v/>
      </c>
      <c r="G388" s="59" t="n"/>
      <c r="I388" s="28">
        <f>IF(AND(SUMIFS($D$245:$D$595,$F$245:$F$595,0,$E$245:$E$595,$G388,$C$245:$C$595,"&lt;="&amp;B$2)&lt;1000000,SUMIFS($D$245:$D$595,$F$245:$F$595,0,$E$245:$E$595,$G388,$C$245:$C$595,"&lt;="&amp;I5)&gt;=1000000),SUMIFS($D$245:$D$595,$F$245:$F$595,0,$E$245:$E$595,$G388)*$C$157 ,0)</f>
        <v/>
      </c>
      <c r="K388" s="95">
        <f>IF(AND(SUMIFS($D$245:$D$595,$F$245:$F$595,0,$E$245:$E$595,$G388,$C$245:$C$595,"&lt;="&amp;I$5)&lt;1000000,SUMIFS($D$245:$D$595,$F$245:$F$595,0,$E$245:$E$595,$G388,$C$245:$C$595,"&lt;="&amp;K5)&gt;=1000000),SUMIFS($D$245:$D$595,$F$245:$F$595,0,$E$245:$E$595,$G388)*$C$157 ,0)</f>
        <v/>
      </c>
      <c r="M388" s="95">
        <f>IF(AND(SUMIFS($D$245:$D$595,$F$245:$F$595,0,$E$245:$E$595,$G388,$C$245:$C$595,"&lt;="&amp;K$5)&lt;1000000,SUMIFS($D$245:$D$595,$F$245:$F$595,0,$E$245:$E$595,$G388,$C$245:$C$595,"&lt;="&amp;M5)&gt;=1000000),SUMIFS($D$245:$D$595,$F$245:$F$595,0,$E$245:$E$595,$G388)*$C$157 ,0)</f>
        <v/>
      </c>
      <c r="O388" s="95">
        <f>IF(AND(SUMIFS($D$245:$D$595,$F$245:$F$595,0,$E$245:$E$595,$G388,$C$245:$C$595,"&lt;="&amp;M$5)&lt;1000000,SUMIFS($D$245:$D$595,$F$245:$F$595,0,$E$245:$E$595,$G388,$C$245:$C$595,"&lt;="&amp;O5)&gt;=1000000),SUMIFS($D$245:$D$595,$F$245:$F$595,0,$E$245:$E$595,$G388)*$C$157 ,0)</f>
        <v/>
      </c>
      <c r="Q388" s="95">
        <f>IF(AND(SUMIFS($D$245:$D$595,$F$245:$F$595,0,$E$245:$E$595,$G388,$C$245:$C$595,"&lt;="&amp;O$5)&lt;1000000,SUMIFS($D$245:$D$595,$F$245:$F$595,0,$E$245:$E$595,$G388,$C$245:$C$595,"&lt;="&amp;Q5)&gt;=1000000),SUMIFS($D$245:$D$595,$F$245:$F$595,0,$E$245:$E$595,$G388)*$C$157 ,0)</f>
        <v/>
      </c>
      <c r="S388" s="95">
        <f>IF(AND(SUMIFS($D$245:$D$595,$F$245:$F$595,0,$E$245:$E$595,$G388,$C$245:$C$595,"&lt;="&amp;Q$5)&lt;1000000,SUMIFS($D$245:$D$595,$F$245:$F$595,0,$E$245:$E$595,$G388,$C$245:$C$595,"&lt;="&amp;S5)&gt;=1000000),SUMIFS($D$245:$D$595,$F$245:$F$595,0,$E$245:$E$595,$G388)*$C$157 ,0)</f>
        <v/>
      </c>
      <c r="U388" s="95">
        <f>IF(AND(SUMIFS($D$245:$D$595,$F$245:$F$595,0,$E$245:$E$595,$G388,$C$245:$C$595,"&lt;="&amp;S$5)&lt;1000000,SUMIFS($D$245:$D$595,$F$245:$F$595,0,$E$245:$E$595,$G388,$C$245:$C$595,"&lt;="&amp;U5)&gt;=1000000),SUMIFS($D$245:$D$595,$F$245:$F$595,0,$E$245:$E$595,$G388)*$C$157 ,0)</f>
        <v/>
      </c>
      <c r="W388" s="95">
        <f>IF(AND(SUMIFS($D$245:$D$595,$F$245:$F$595,0,$E$245:$E$595,$G388,$C$245:$C$595,"&lt;="&amp;U$5)&lt;1000000,SUMIFS($D$245:$D$595,$F$245:$F$595,0,$E$245:$E$595,$G388,$C$245:$C$595,"&lt;="&amp;W5)&gt;=1000000),SUMIFS($D$245:$D$595,$F$245:$F$595,0,$E$245:$E$595,$G388)*$C$157 ,0)</f>
        <v/>
      </c>
      <c r="Y388" s="95">
        <f>IF(AND(SUMIFS($D$245:$D$595,$F$245:$F$595,0,$E$245:$E$595,$G388,$C$245:$C$595,"&lt;="&amp;W$5)&lt;1000000,SUMIFS($D$245:$D$595,$F$245:$F$595,0,$E$245:$E$595,$G388,$C$245:$C$595,"&lt;="&amp;Y5)&gt;=1000000),SUMIFS($D$245:$D$595,$F$245:$F$595,0,$E$245:$E$595,$G388)*$C$157 ,0)</f>
        <v/>
      </c>
      <c r="AA388" s="95">
        <f>IF(AND(SUMIFS($D$245:$D$595,$F$245:$F$595,0,$E$245:$E$595,$G388,$C$245:$C$595,"&lt;="&amp;Y$5)&lt;1000000,SUMIFS($D$245:$D$595,$F$245:$F$595,0,$E$245:$E$595,$G388,$C$245:$C$595,"&lt;="&amp;AA5)&gt;=1000000),SUMIFS($D$245:$D$595,$F$245:$F$595,0,$E$245:$E$595,$G388)*$C$157 ,0)</f>
        <v/>
      </c>
      <c r="AC388" s="95">
        <f>IF(AND(SUMIFS($D$245:$D$595,$F$245:$F$595,0,$E$245:$E$595,$G388,$C$245:$C$595,"&lt;="&amp;AA$5)&lt;1000000,SUMIFS($D$245:$D$595,$F$245:$F$595,0,$E$245:$E$595,$G388,$C$245:$C$595,"&lt;="&amp;AC5)&gt;=1000000),SUMIFS($D$245:$D$595,$F$245:$F$595,0,$E$245:$E$595,$G388)*$C$157 ,0)</f>
        <v/>
      </c>
      <c r="AE388" s="95">
        <f>IF(AND(SUMIFS($D$245:$D$595,$F$245:$F$595,0,$E$245:$E$595,$G388,$C$245:$C$595,"&lt;="&amp;AC$5)&lt;1000000,SUMIFS($D$245:$D$595,$F$245:$F$595,0,$E$245:$E$595,$G388,$C$245:$C$595,"&lt;="&amp;AE5)&gt;=1000000),SUMIFS($D$245:$D$595,$F$245:$F$595,0,$E$245:$E$595,$G388)*$C$157 ,0)</f>
        <v/>
      </c>
      <c r="AF388" s="19" t="n"/>
    </row>
    <row r="389">
      <c r="A389" s="20">
        <f>mid(E389, 3, 1)</f>
        <v/>
      </c>
      <c r="B389" s="14" t="inlineStr"/>
      <c r="C389" s="21">
        <f>SUMIFS('Investor Exit List'!$AC:$AC,'Investor Exit List'!$AB:$AB,B389)</f>
        <v/>
      </c>
      <c r="D389" s="14">
        <f>SUMIFS('Investor Exit List'!$Q:$Q,'Investor Exit List'!$AB:$AB,B389)</f>
        <v/>
      </c>
      <c r="E389" s="31">
        <f>LEFT(B389,6)</f>
        <v/>
      </c>
      <c r="F389" s="14">
        <f>IF(SUMIFS($E$119:$E$151,$D$119:$D$151,E389)&lt;&gt;0,E389,0)</f>
        <v/>
      </c>
      <c r="G389" s="59" t="n"/>
      <c r="I389" s="28">
        <f>IF(AND(SUMIFS($D$245:$D$595,$F$245:$F$595,0,$E$245:$E$595,$G389,$C$245:$C$595,"&lt;="&amp;B$2)&lt;1000000,SUMIFS($D$245:$D$595,$F$245:$F$595,0,$E$245:$E$595,$G389,$C$245:$C$595,"&lt;="&amp;I5)&gt;=1000000),SUMIFS($D$245:$D$595,$F$245:$F$595,0,$E$245:$E$595,$G389)*$C$157 ,0)</f>
        <v/>
      </c>
      <c r="K389" s="95">
        <f>IF(AND(SUMIFS($D$245:$D$595,$F$245:$F$595,0,$E$245:$E$595,$G389,$C$245:$C$595,"&lt;="&amp;I$5)&lt;1000000,SUMIFS($D$245:$D$595,$F$245:$F$595,0,$E$245:$E$595,$G389,$C$245:$C$595,"&lt;="&amp;K5)&gt;=1000000),SUMIFS($D$245:$D$595,$F$245:$F$595,0,$E$245:$E$595,$G389)*$C$157 ,0)</f>
        <v/>
      </c>
      <c r="M389" s="95">
        <f>IF(AND(SUMIFS($D$245:$D$595,$F$245:$F$595,0,$E$245:$E$595,$G389,$C$245:$C$595,"&lt;="&amp;K$5)&lt;1000000,SUMIFS($D$245:$D$595,$F$245:$F$595,0,$E$245:$E$595,$G389,$C$245:$C$595,"&lt;="&amp;M5)&gt;=1000000),SUMIFS($D$245:$D$595,$F$245:$F$595,0,$E$245:$E$595,$G389)*$C$157 ,0)</f>
        <v/>
      </c>
      <c r="O389" s="95">
        <f>IF(AND(SUMIFS($D$245:$D$595,$F$245:$F$595,0,$E$245:$E$595,$G389,$C$245:$C$595,"&lt;="&amp;M$5)&lt;1000000,SUMIFS($D$245:$D$595,$F$245:$F$595,0,$E$245:$E$595,$G389,$C$245:$C$595,"&lt;="&amp;O5)&gt;=1000000),SUMIFS($D$245:$D$595,$F$245:$F$595,0,$E$245:$E$595,$G389)*$C$157 ,0)</f>
        <v/>
      </c>
      <c r="Q389" s="95">
        <f>IF(AND(SUMIFS($D$245:$D$595,$F$245:$F$595,0,$E$245:$E$595,$G389,$C$245:$C$595,"&lt;="&amp;O$5)&lt;1000000,SUMIFS($D$245:$D$595,$F$245:$F$595,0,$E$245:$E$595,$G389,$C$245:$C$595,"&lt;="&amp;Q5)&gt;=1000000),SUMIFS($D$245:$D$595,$F$245:$F$595,0,$E$245:$E$595,$G389)*$C$157 ,0)</f>
        <v/>
      </c>
      <c r="S389" s="95">
        <f>IF(AND(SUMIFS($D$245:$D$595,$F$245:$F$595,0,$E$245:$E$595,$G389,$C$245:$C$595,"&lt;="&amp;Q$5)&lt;1000000,SUMIFS($D$245:$D$595,$F$245:$F$595,0,$E$245:$E$595,$G389,$C$245:$C$595,"&lt;="&amp;S5)&gt;=1000000),SUMIFS($D$245:$D$595,$F$245:$F$595,0,$E$245:$E$595,$G389)*$C$157 ,0)</f>
        <v/>
      </c>
      <c r="U389" s="95">
        <f>IF(AND(SUMIFS($D$245:$D$595,$F$245:$F$595,0,$E$245:$E$595,$G389,$C$245:$C$595,"&lt;="&amp;S$5)&lt;1000000,SUMIFS($D$245:$D$595,$F$245:$F$595,0,$E$245:$E$595,$G389,$C$245:$C$595,"&lt;="&amp;U5)&gt;=1000000),SUMIFS($D$245:$D$595,$F$245:$F$595,0,$E$245:$E$595,$G389)*$C$157 ,0)</f>
        <v/>
      </c>
      <c r="W389" s="95">
        <f>IF(AND(SUMIFS($D$245:$D$595,$F$245:$F$595,0,$E$245:$E$595,$G389,$C$245:$C$595,"&lt;="&amp;U$5)&lt;1000000,SUMIFS($D$245:$D$595,$F$245:$F$595,0,$E$245:$E$595,$G389,$C$245:$C$595,"&lt;="&amp;W5)&gt;=1000000),SUMIFS($D$245:$D$595,$F$245:$F$595,0,$E$245:$E$595,$G389)*$C$157 ,0)</f>
        <v/>
      </c>
      <c r="Y389" s="95">
        <f>IF(AND(SUMIFS($D$245:$D$595,$F$245:$F$595,0,$E$245:$E$595,$G389,$C$245:$C$595,"&lt;="&amp;W$5)&lt;1000000,SUMIFS($D$245:$D$595,$F$245:$F$595,0,$E$245:$E$595,$G389,$C$245:$C$595,"&lt;="&amp;Y5)&gt;=1000000),SUMIFS($D$245:$D$595,$F$245:$F$595,0,$E$245:$E$595,$G389)*$C$157 ,0)</f>
        <v/>
      </c>
      <c r="AA389" s="95">
        <f>IF(AND(SUMIFS($D$245:$D$595,$F$245:$F$595,0,$E$245:$E$595,$G389,$C$245:$C$595,"&lt;="&amp;Y$5)&lt;1000000,SUMIFS($D$245:$D$595,$F$245:$F$595,0,$E$245:$E$595,$G389,$C$245:$C$595,"&lt;="&amp;AA5)&gt;=1000000),SUMIFS($D$245:$D$595,$F$245:$F$595,0,$E$245:$E$595,$G389)*$C$157 ,0)</f>
        <v/>
      </c>
      <c r="AC389" s="95">
        <f>IF(AND(SUMIFS($D$245:$D$595,$F$245:$F$595,0,$E$245:$E$595,$G389,$C$245:$C$595,"&lt;="&amp;AA$5)&lt;1000000,SUMIFS($D$245:$D$595,$F$245:$F$595,0,$E$245:$E$595,$G389,$C$245:$C$595,"&lt;="&amp;AC5)&gt;=1000000),SUMIFS($D$245:$D$595,$F$245:$F$595,0,$E$245:$E$595,$G389)*$C$157 ,0)</f>
        <v/>
      </c>
      <c r="AE389" s="95">
        <f>IF(AND(SUMIFS($D$245:$D$595,$F$245:$F$595,0,$E$245:$E$595,$G389,$C$245:$C$595,"&lt;="&amp;AC$5)&lt;1000000,SUMIFS($D$245:$D$595,$F$245:$F$595,0,$E$245:$E$595,$G389,$C$245:$C$595,"&lt;="&amp;AE5)&gt;=1000000),SUMIFS($D$245:$D$595,$F$245:$F$595,0,$E$245:$E$595,$G389)*$C$157 ,0)</f>
        <v/>
      </c>
      <c r="AF389" s="19" t="n"/>
    </row>
    <row r="390">
      <c r="A390" s="20">
        <f>mid(E390, 3, 1)</f>
        <v/>
      </c>
      <c r="B390" s="14" t="inlineStr"/>
      <c r="C390" s="21">
        <f>SUMIFS('Investor Exit List'!$AC:$AC,'Investor Exit List'!$AB:$AB,B390)</f>
        <v/>
      </c>
      <c r="D390" s="14">
        <f>SUMIFS('Investor Exit List'!$Q:$Q,'Investor Exit List'!$AB:$AB,B390)</f>
        <v/>
      </c>
      <c r="E390" s="31">
        <f>LEFT(B390,6)</f>
        <v/>
      </c>
      <c r="F390" s="14">
        <f>IF(SUMIFS($E$119:$E$151,$D$119:$D$151,E390)&lt;&gt;0,E390,0)</f>
        <v/>
      </c>
      <c r="G390" s="59" t="n"/>
      <c r="I390" s="28">
        <f>IF(AND(SUMIFS($D$245:$D$595,$F$245:$F$595,0,$E$245:$E$595,$G390,$C$245:$C$595,"&lt;="&amp;B$2)&lt;1000000,SUMIFS($D$245:$D$595,$F$245:$F$595,0,$E$245:$E$595,$G390,$C$245:$C$595,"&lt;="&amp;I5)&gt;=1000000),SUMIFS($D$245:$D$595,$F$245:$F$595,0,$E$245:$E$595,$G390)*$C$157 ,0)</f>
        <v/>
      </c>
      <c r="K390" s="95">
        <f>IF(AND(SUMIFS($D$245:$D$595,$F$245:$F$595,0,$E$245:$E$595,$G390,$C$245:$C$595,"&lt;="&amp;I$5)&lt;1000000,SUMIFS($D$245:$D$595,$F$245:$F$595,0,$E$245:$E$595,$G390,$C$245:$C$595,"&lt;="&amp;K5)&gt;=1000000),SUMIFS($D$245:$D$595,$F$245:$F$595,0,$E$245:$E$595,$G390)*$C$157 ,0)</f>
        <v/>
      </c>
      <c r="M390" s="95">
        <f>IF(AND(SUMIFS($D$245:$D$595,$F$245:$F$595,0,$E$245:$E$595,$G390,$C$245:$C$595,"&lt;="&amp;K$5)&lt;1000000,SUMIFS($D$245:$D$595,$F$245:$F$595,0,$E$245:$E$595,$G390,$C$245:$C$595,"&lt;="&amp;M5)&gt;=1000000),SUMIFS($D$245:$D$595,$F$245:$F$595,0,$E$245:$E$595,$G390)*$C$157 ,0)</f>
        <v/>
      </c>
      <c r="O390" s="95">
        <f>IF(AND(SUMIFS($D$245:$D$595,$F$245:$F$595,0,$E$245:$E$595,$G390,$C$245:$C$595,"&lt;="&amp;M$5)&lt;1000000,SUMIFS($D$245:$D$595,$F$245:$F$595,0,$E$245:$E$595,$G390,$C$245:$C$595,"&lt;="&amp;O5)&gt;=1000000),SUMIFS($D$245:$D$595,$F$245:$F$595,0,$E$245:$E$595,$G390)*$C$157 ,0)</f>
        <v/>
      </c>
      <c r="Q390" s="95">
        <f>IF(AND(SUMIFS($D$245:$D$595,$F$245:$F$595,0,$E$245:$E$595,$G390,$C$245:$C$595,"&lt;="&amp;O$5)&lt;1000000,SUMIFS($D$245:$D$595,$F$245:$F$595,0,$E$245:$E$595,$G390,$C$245:$C$595,"&lt;="&amp;Q5)&gt;=1000000),SUMIFS($D$245:$D$595,$F$245:$F$595,0,$E$245:$E$595,$G390)*$C$157 ,0)</f>
        <v/>
      </c>
      <c r="S390" s="95">
        <f>IF(AND(SUMIFS($D$245:$D$595,$F$245:$F$595,0,$E$245:$E$595,$G390,$C$245:$C$595,"&lt;="&amp;Q$5)&lt;1000000,SUMIFS($D$245:$D$595,$F$245:$F$595,0,$E$245:$E$595,$G390,$C$245:$C$595,"&lt;="&amp;S5)&gt;=1000000),SUMIFS($D$245:$D$595,$F$245:$F$595,0,$E$245:$E$595,$G390)*$C$157 ,0)</f>
        <v/>
      </c>
      <c r="U390" s="95">
        <f>IF(AND(SUMIFS($D$245:$D$595,$F$245:$F$595,0,$E$245:$E$595,$G390,$C$245:$C$595,"&lt;="&amp;S$5)&lt;1000000,SUMIFS($D$245:$D$595,$F$245:$F$595,0,$E$245:$E$595,$G390,$C$245:$C$595,"&lt;="&amp;U5)&gt;=1000000),SUMIFS($D$245:$D$595,$F$245:$F$595,0,$E$245:$E$595,$G390)*$C$157 ,0)</f>
        <v/>
      </c>
      <c r="W390" s="95">
        <f>IF(AND(SUMIFS($D$245:$D$595,$F$245:$F$595,0,$E$245:$E$595,$G390,$C$245:$C$595,"&lt;="&amp;U$5)&lt;1000000,SUMIFS($D$245:$D$595,$F$245:$F$595,0,$E$245:$E$595,$G390,$C$245:$C$595,"&lt;="&amp;W5)&gt;=1000000),SUMIFS($D$245:$D$595,$F$245:$F$595,0,$E$245:$E$595,$G390)*$C$157 ,0)</f>
        <v/>
      </c>
      <c r="Y390" s="95">
        <f>IF(AND(SUMIFS($D$245:$D$595,$F$245:$F$595,0,$E$245:$E$595,$G390,$C$245:$C$595,"&lt;="&amp;W$5)&lt;1000000,SUMIFS($D$245:$D$595,$F$245:$F$595,0,$E$245:$E$595,$G390,$C$245:$C$595,"&lt;="&amp;Y5)&gt;=1000000),SUMIFS($D$245:$D$595,$F$245:$F$595,0,$E$245:$E$595,$G390)*$C$157 ,0)</f>
        <v/>
      </c>
      <c r="AA390" s="95">
        <f>IF(AND(SUMIFS($D$245:$D$595,$F$245:$F$595,0,$E$245:$E$595,$G390,$C$245:$C$595,"&lt;="&amp;Y$5)&lt;1000000,SUMIFS($D$245:$D$595,$F$245:$F$595,0,$E$245:$E$595,$G390,$C$245:$C$595,"&lt;="&amp;AA5)&gt;=1000000),SUMIFS($D$245:$D$595,$F$245:$F$595,0,$E$245:$E$595,$G390)*$C$157 ,0)</f>
        <v/>
      </c>
      <c r="AC390" s="95">
        <f>IF(AND(SUMIFS($D$245:$D$595,$F$245:$F$595,0,$E$245:$E$595,$G390,$C$245:$C$595,"&lt;="&amp;AA$5)&lt;1000000,SUMIFS($D$245:$D$595,$F$245:$F$595,0,$E$245:$E$595,$G390,$C$245:$C$595,"&lt;="&amp;AC5)&gt;=1000000),SUMIFS($D$245:$D$595,$F$245:$F$595,0,$E$245:$E$595,$G390)*$C$157 ,0)</f>
        <v/>
      </c>
      <c r="AE390" s="95">
        <f>IF(AND(SUMIFS($D$245:$D$595,$F$245:$F$595,0,$E$245:$E$595,$G390,$C$245:$C$595,"&lt;="&amp;AC$5)&lt;1000000,SUMIFS($D$245:$D$595,$F$245:$F$595,0,$E$245:$E$595,$G390,$C$245:$C$595,"&lt;="&amp;AE5)&gt;=1000000),SUMIFS($D$245:$D$595,$F$245:$F$595,0,$E$245:$E$595,$G390)*$C$157 ,0)</f>
        <v/>
      </c>
      <c r="AF390" s="19" t="n"/>
    </row>
    <row r="391">
      <c r="A391" s="20">
        <f>mid(E391, 3, 1)</f>
        <v/>
      </c>
      <c r="B391" s="14" t="inlineStr"/>
      <c r="C391" s="21">
        <f>SUMIFS('Investor Exit List'!$AC:$AC,'Investor Exit List'!$AB:$AB,B391)</f>
        <v/>
      </c>
      <c r="D391" s="14">
        <f>SUMIFS('Investor Exit List'!$Q:$Q,'Investor Exit List'!$AB:$AB,B391)</f>
        <v/>
      </c>
      <c r="E391" s="31">
        <f>LEFT(B391,6)</f>
        <v/>
      </c>
      <c r="F391" s="14">
        <f>IF(SUMIFS($E$119:$E$151,$D$119:$D$151,E391)&lt;&gt;0,E391,0)</f>
        <v/>
      </c>
      <c r="G391" s="59" t="n"/>
      <c r="I391" s="28">
        <f>IF(AND(SUMIFS($D$245:$D$595,$F$245:$F$595,0,$E$245:$E$595,$G391,$C$245:$C$595,"&lt;="&amp;B$2)&lt;1000000,SUMIFS($D$245:$D$595,$F$245:$F$595,0,$E$245:$E$595,$G391,$C$245:$C$595,"&lt;="&amp;I5)&gt;=1000000),SUMIFS($D$245:$D$595,$F$245:$F$595,0,$E$245:$E$595,$G391)*$C$157 ,0)</f>
        <v/>
      </c>
      <c r="K391" s="95">
        <f>IF(AND(SUMIFS($D$245:$D$595,$F$245:$F$595,0,$E$245:$E$595,$G391,$C$245:$C$595,"&lt;="&amp;I$5)&lt;1000000,SUMIFS($D$245:$D$595,$F$245:$F$595,0,$E$245:$E$595,$G391,$C$245:$C$595,"&lt;="&amp;K5)&gt;=1000000),SUMIFS($D$245:$D$595,$F$245:$F$595,0,$E$245:$E$595,$G391)*$C$157 ,0)</f>
        <v/>
      </c>
      <c r="M391" s="95">
        <f>IF(AND(SUMIFS($D$245:$D$595,$F$245:$F$595,0,$E$245:$E$595,$G391,$C$245:$C$595,"&lt;="&amp;K$5)&lt;1000000,SUMIFS($D$245:$D$595,$F$245:$F$595,0,$E$245:$E$595,$G391,$C$245:$C$595,"&lt;="&amp;M5)&gt;=1000000),SUMIFS($D$245:$D$595,$F$245:$F$595,0,$E$245:$E$595,$G391)*$C$157 ,0)</f>
        <v/>
      </c>
      <c r="O391" s="95">
        <f>IF(AND(SUMIFS($D$245:$D$595,$F$245:$F$595,0,$E$245:$E$595,$G391,$C$245:$C$595,"&lt;="&amp;M$5)&lt;1000000,SUMIFS($D$245:$D$595,$F$245:$F$595,0,$E$245:$E$595,$G391,$C$245:$C$595,"&lt;="&amp;O5)&gt;=1000000),SUMIFS($D$245:$D$595,$F$245:$F$595,0,$E$245:$E$595,$G391)*$C$157 ,0)</f>
        <v/>
      </c>
      <c r="Q391" s="95">
        <f>IF(AND(SUMIFS($D$245:$D$595,$F$245:$F$595,0,$E$245:$E$595,$G391,$C$245:$C$595,"&lt;="&amp;O$5)&lt;1000000,SUMIFS($D$245:$D$595,$F$245:$F$595,0,$E$245:$E$595,$G391,$C$245:$C$595,"&lt;="&amp;Q5)&gt;=1000000),SUMIFS($D$245:$D$595,$F$245:$F$595,0,$E$245:$E$595,$G391)*$C$157 ,0)</f>
        <v/>
      </c>
      <c r="S391" s="95">
        <f>IF(AND(SUMIFS($D$245:$D$595,$F$245:$F$595,0,$E$245:$E$595,$G391,$C$245:$C$595,"&lt;="&amp;Q$5)&lt;1000000,SUMIFS($D$245:$D$595,$F$245:$F$595,0,$E$245:$E$595,$G391,$C$245:$C$595,"&lt;="&amp;S5)&gt;=1000000),SUMIFS($D$245:$D$595,$F$245:$F$595,0,$E$245:$E$595,$G391)*$C$157 ,0)</f>
        <v/>
      </c>
      <c r="U391" s="95">
        <f>IF(AND(SUMIFS($D$245:$D$595,$F$245:$F$595,0,$E$245:$E$595,$G391,$C$245:$C$595,"&lt;="&amp;S$5)&lt;1000000,SUMIFS($D$245:$D$595,$F$245:$F$595,0,$E$245:$E$595,$G391,$C$245:$C$595,"&lt;="&amp;U5)&gt;=1000000),SUMIFS($D$245:$D$595,$F$245:$F$595,0,$E$245:$E$595,$G391)*$C$157 ,0)</f>
        <v/>
      </c>
      <c r="W391" s="95">
        <f>IF(AND(SUMIFS($D$245:$D$595,$F$245:$F$595,0,$E$245:$E$595,$G391,$C$245:$C$595,"&lt;="&amp;U$5)&lt;1000000,SUMIFS($D$245:$D$595,$F$245:$F$595,0,$E$245:$E$595,$G391,$C$245:$C$595,"&lt;="&amp;W5)&gt;=1000000),SUMIFS($D$245:$D$595,$F$245:$F$595,0,$E$245:$E$595,$G391)*$C$157 ,0)</f>
        <v/>
      </c>
      <c r="Y391" s="95">
        <f>IF(AND(SUMIFS($D$245:$D$595,$F$245:$F$595,0,$E$245:$E$595,$G391,$C$245:$C$595,"&lt;="&amp;W$5)&lt;1000000,SUMIFS($D$245:$D$595,$F$245:$F$595,0,$E$245:$E$595,$G391,$C$245:$C$595,"&lt;="&amp;Y5)&gt;=1000000),SUMIFS($D$245:$D$595,$F$245:$F$595,0,$E$245:$E$595,$G391)*$C$157 ,0)</f>
        <v/>
      </c>
      <c r="AA391" s="95">
        <f>IF(AND(SUMIFS($D$245:$D$595,$F$245:$F$595,0,$E$245:$E$595,$G391,$C$245:$C$595,"&lt;="&amp;Y$5)&lt;1000000,SUMIFS($D$245:$D$595,$F$245:$F$595,0,$E$245:$E$595,$G391,$C$245:$C$595,"&lt;="&amp;AA5)&gt;=1000000),SUMIFS($D$245:$D$595,$F$245:$F$595,0,$E$245:$E$595,$G391)*$C$157 ,0)</f>
        <v/>
      </c>
      <c r="AC391" s="95">
        <f>IF(AND(SUMIFS($D$245:$D$595,$F$245:$F$595,0,$E$245:$E$595,$G391,$C$245:$C$595,"&lt;="&amp;AA$5)&lt;1000000,SUMIFS($D$245:$D$595,$F$245:$F$595,0,$E$245:$E$595,$G391,$C$245:$C$595,"&lt;="&amp;AC5)&gt;=1000000),SUMIFS($D$245:$D$595,$F$245:$F$595,0,$E$245:$E$595,$G391)*$C$157 ,0)</f>
        <v/>
      </c>
      <c r="AE391" s="95">
        <f>IF(AND(SUMIFS($D$245:$D$595,$F$245:$F$595,0,$E$245:$E$595,$G391,$C$245:$C$595,"&lt;="&amp;AC$5)&lt;1000000,SUMIFS($D$245:$D$595,$F$245:$F$595,0,$E$245:$E$595,$G391,$C$245:$C$595,"&lt;="&amp;AE5)&gt;=1000000),SUMIFS($D$245:$D$595,$F$245:$F$595,0,$E$245:$E$595,$G391)*$C$157 ,0)</f>
        <v/>
      </c>
      <c r="AF391" s="19" t="n"/>
    </row>
    <row r="392">
      <c r="A392" s="20">
        <f>mid(E392, 3, 1)</f>
        <v/>
      </c>
      <c r="B392" s="14" t="inlineStr"/>
      <c r="C392" s="21">
        <f>SUMIFS('Investor Exit List'!$AC:$AC,'Investor Exit List'!$AB:$AB,B392)</f>
        <v/>
      </c>
      <c r="D392" s="14">
        <f>SUMIFS('Investor Exit List'!$Q:$Q,'Investor Exit List'!$AB:$AB,B392)</f>
        <v/>
      </c>
      <c r="E392" s="31">
        <f>LEFT(B392,6)</f>
        <v/>
      </c>
      <c r="F392" s="14">
        <f>IF(SUMIFS($E$119:$E$151,$D$119:$D$151,E392)&lt;&gt;0,E392,0)</f>
        <v/>
      </c>
      <c r="G392" s="59" t="n"/>
      <c r="I392" s="28">
        <f>IF(AND(SUMIFS($D$245:$D$595,$F$245:$F$595,0,$E$245:$E$595,$G392,$C$245:$C$595,"&lt;="&amp;B$2)&lt;1000000,SUMIFS($D$245:$D$595,$F$245:$F$595,0,$E$245:$E$595,$G392,$C$245:$C$595,"&lt;="&amp;I5)&gt;=1000000),SUMIFS($D$245:$D$595,$F$245:$F$595,0,$E$245:$E$595,$G392)*$C$157 ,0)</f>
        <v/>
      </c>
      <c r="K392" s="95">
        <f>IF(AND(SUMIFS($D$245:$D$595,$F$245:$F$595,0,$E$245:$E$595,$G392,$C$245:$C$595,"&lt;="&amp;I$5)&lt;1000000,SUMIFS($D$245:$D$595,$F$245:$F$595,0,$E$245:$E$595,$G392,$C$245:$C$595,"&lt;="&amp;K5)&gt;=1000000),SUMIFS($D$245:$D$595,$F$245:$F$595,0,$E$245:$E$595,$G392)*$C$157 ,0)</f>
        <v/>
      </c>
      <c r="M392" s="95">
        <f>IF(AND(SUMIFS($D$245:$D$595,$F$245:$F$595,0,$E$245:$E$595,$G392,$C$245:$C$595,"&lt;="&amp;K$5)&lt;1000000,SUMIFS($D$245:$D$595,$F$245:$F$595,0,$E$245:$E$595,$G392,$C$245:$C$595,"&lt;="&amp;M5)&gt;=1000000),SUMIFS($D$245:$D$595,$F$245:$F$595,0,$E$245:$E$595,$G392)*$C$157 ,0)</f>
        <v/>
      </c>
      <c r="O392" s="95">
        <f>IF(AND(SUMIFS($D$245:$D$595,$F$245:$F$595,0,$E$245:$E$595,$G392,$C$245:$C$595,"&lt;="&amp;M$5)&lt;1000000,SUMIFS($D$245:$D$595,$F$245:$F$595,0,$E$245:$E$595,$G392,$C$245:$C$595,"&lt;="&amp;O5)&gt;=1000000),SUMIFS($D$245:$D$595,$F$245:$F$595,0,$E$245:$E$595,$G392)*$C$157 ,0)</f>
        <v/>
      </c>
      <c r="Q392" s="95">
        <f>IF(AND(SUMIFS($D$245:$D$595,$F$245:$F$595,0,$E$245:$E$595,$G392,$C$245:$C$595,"&lt;="&amp;O$5)&lt;1000000,SUMIFS($D$245:$D$595,$F$245:$F$595,0,$E$245:$E$595,$G392,$C$245:$C$595,"&lt;="&amp;Q5)&gt;=1000000),SUMIFS($D$245:$D$595,$F$245:$F$595,0,$E$245:$E$595,$G392)*$C$157 ,0)</f>
        <v/>
      </c>
      <c r="S392" s="95">
        <f>IF(AND(SUMIFS($D$245:$D$595,$F$245:$F$595,0,$E$245:$E$595,$G392,$C$245:$C$595,"&lt;="&amp;Q$5)&lt;1000000,SUMIFS($D$245:$D$595,$F$245:$F$595,0,$E$245:$E$595,$G392,$C$245:$C$595,"&lt;="&amp;S5)&gt;=1000000),SUMIFS($D$245:$D$595,$F$245:$F$595,0,$E$245:$E$595,$G392)*$C$157 ,0)</f>
        <v/>
      </c>
      <c r="U392" s="95">
        <f>IF(AND(SUMIFS($D$245:$D$595,$F$245:$F$595,0,$E$245:$E$595,$G392,$C$245:$C$595,"&lt;="&amp;S$5)&lt;1000000,SUMIFS($D$245:$D$595,$F$245:$F$595,0,$E$245:$E$595,$G392,$C$245:$C$595,"&lt;="&amp;U5)&gt;=1000000),SUMIFS($D$245:$D$595,$F$245:$F$595,0,$E$245:$E$595,$G392)*$C$157 ,0)</f>
        <v/>
      </c>
      <c r="W392" s="95">
        <f>IF(AND(SUMIFS($D$245:$D$595,$F$245:$F$595,0,$E$245:$E$595,$G392,$C$245:$C$595,"&lt;="&amp;U$5)&lt;1000000,SUMIFS($D$245:$D$595,$F$245:$F$595,0,$E$245:$E$595,$G392,$C$245:$C$595,"&lt;="&amp;W5)&gt;=1000000),SUMIFS($D$245:$D$595,$F$245:$F$595,0,$E$245:$E$595,$G392)*$C$157 ,0)</f>
        <v/>
      </c>
      <c r="Y392" s="95">
        <f>IF(AND(SUMIFS($D$245:$D$595,$F$245:$F$595,0,$E$245:$E$595,$G392,$C$245:$C$595,"&lt;="&amp;W$5)&lt;1000000,SUMIFS($D$245:$D$595,$F$245:$F$595,0,$E$245:$E$595,$G392,$C$245:$C$595,"&lt;="&amp;Y5)&gt;=1000000),SUMIFS($D$245:$D$595,$F$245:$F$595,0,$E$245:$E$595,$G392)*$C$157 ,0)</f>
        <v/>
      </c>
      <c r="AA392" s="95">
        <f>IF(AND(SUMIFS($D$245:$D$595,$F$245:$F$595,0,$E$245:$E$595,$G392,$C$245:$C$595,"&lt;="&amp;Y$5)&lt;1000000,SUMIFS($D$245:$D$595,$F$245:$F$595,0,$E$245:$E$595,$G392,$C$245:$C$595,"&lt;="&amp;AA5)&gt;=1000000),SUMIFS($D$245:$D$595,$F$245:$F$595,0,$E$245:$E$595,$G392)*$C$157 ,0)</f>
        <v/>
      </c>
      <c r="AC392" s="95">
        <f>IF(AND(SUMIFS($D$245:$D$595,$F$245:$F$595,0,$E$245:$E$595,$G392,$C$245:$C$595,"&lt;="&amp;AA$5)&lt;1000000,SUMIFS($D$245:$D$595,$F$245:$F$595,0,$E$245:$E$595,$G392,$C$245:$C$595,"&lt;="&amp;AC5)&gt;=1000000),SUMIFS($D$245:$D$595,$F$245:$F$595,0,$E$245:$E$595,$G392)*$C$157 ,0)</f>
        <v/>
      </c>
      <c r="AE392" s="95">
        <f>IF(AND(SUMIFS($D$245:$D$595,$F$245:$F$595,0,$E$245:$E$595,$G392,$C$245:$C$595,"&lt;="&amp;AC$5)&lt;1000000,SUMIFS($D$245:$D$595,$F$245:$F$595,0,$E$245:$E$595,$G392,$C$245:$C$595,"&lt;="&amp;AE5)&gt;=1000000),SUMIFS($D$245:$D$595,$F$245:$F$595,0,$E$245:$E$595,$G392)*$C$157 ,0)</f>
        <v/>
      </c>
      <c r="AF392" s="19" t="n"/>
    </row>
    <row r="393">
      <c r="A393" s="20">
        <f>mid(E393, 3, 1)</f>
        <v/>
      </c>
      <c r="B393" s="14" t="inlineStr"/>
      <c r="C393" s="21">
        <f>SUMIFS('Investor Exit List'!$AC:$AC,'Investor Exit List'!$AB:$AB,B393)</f>
        <v/>
      </c>
      <c r="D393" s="14">
        <f>SUMIFS('Investor Exit List'!$Q:$Q,'Investor Exit List'!$AB:$AB,B393)</f>
        <v/>
      </c>
      <c r="E393" s="31">
        <f>LEFT(B393,6)</f>
        <v/>
      </c>
      <c r="F393" s="14">
        <f>IF(SUMIFS($E$119:$E$151,$D$119:$D$151,E393)&lt;&gt;0,E393,0)</f>
        <v/>
      </c>
      <c r="G393" s="59" t="n"/>
      <c r="I393" s="28">
        <f>IF(AND(SUMIFS($D$245:$D$595,$F$245:$F$595,0,$E$245:$E$595,$G393,$C$245:$C$595,"&lt;="&amp;B$2)&lt;1000000,SUMIFS($D$245:$D$595,$F$245:$F$595,0,$E$245:$E$595,$G393,$C$245:$C$595,"&lt;="&amp;I5)&gt;=1000000),SUMIFS($D$245:$D$595,$F$245:$F$595,0,$E$245:$E$595,$G393)*$C$157 ,0)</f>
        <v/>
      </c>
      <c r="K393" s="95">
        <f>IF(AND(SUMIFS($D$245:$D$595,$F$245:$F$595,0,$E$245:$E$595,$G393,$C$245:$C$595,"&lt;="&amp;I$5)&lt;1000000,SUMIFS($D$245:$D$595,$F$245:$F$595,0,$E$245:$E$595,$G393,$C$245:$C$595,"&lt;="&amp;K5)&gt;=1000000),SUMIFS($D$245:$D$595,$F$245:$F$595,0,$E$245:$E$595,$G393)*$C$157 ,0)</f>
        <v/>
      </c>
      <c r="M393" s="95">
        <f>IF(AND(SUMIFS($D$245:$D$595,$F$245:$F$595,0,$E$245:$E$595,$G393,$C$245:$C$595,"&lt;="&amp;K$5)&lt;1000000,SUMIFS($D$245:$D$595,$F$245:$F$595,0,$E$245:$E$595,$G393,$C$245:$C$595,"&lt;="&amp;M5)&gt;=1000000),SUMIFS($D$245:$D$595,$F$245:$F$595,0,$E$245:$E$595,$G393)*$C$157 ,0)</f>
        <v/>
      </c>
      <c r="O393" s="95">
        <f>IF(AND(SUMIFS($D$245:$D$595,$F$245:$F$595,0,$E$245:$E$595,$G393,$C$245:$C$595,"&lt;="&amp;M$5)&lt;1000000,SUMIFS($D$245:$D$595,$F$245:$F$595,0,$E$245:$E$595,$G393,$C$245:$C$595,"&lt;="&amp;O5)&gt;=1000000),SUMIFS($D$245:$D$595,$F$245:$F$595,0,$E$245:$E$595,$G393)*$C$157 ,0)</f>
        <v/>
      </c>
      <c r="Q393" s="95">
        <f>IF(AND(SUMIFS($D$245:$D$595,$F$245:$F$595,0,$E$245:$E$595,$G393,$C$245:$C$595,"&lt;="&amp;O$5)&lt;1000000,SUMIFS($D$245:$D$595,$F$245:$F$595,0,$E$245:$E$595,$G393,$C$245:$C$595,"&lt;="&amp;Q5)&gt;=1000000),SUMIFS($D$245:$D$595,$F$245:$F$595,0,$E$245:$E$595,$G393)*$C$157 ,0)</f>
        <v/>
      </c>
      <c r="S393" s="95">
        <f>IF(AND(SUMIFS($D$245:$D$595,$F$245:$F$595,0,$E$245:$E$595,$G393,$C$245:$C$595,"&lt;="&amp;Q$5)&lt;1000000,SUMIFS($D$245:$D$595,$F$245:$F$595,0,$E$245:$E$595,$G393,$C$245:$C$595,"&lt;="&amp;S5)&gt;=1000000),SUMIFS($D$245:$D$595,$F$245:$F$595,0,$E$245:$E$595,$G393)*$C$157 ,0)</f>
        <v/>
      </c>
      <c r="U393" s="95">
        <f>IF(AND(SUMIFS($D$245:$D$595,$F$245:$F$595,0,$E$245:$E$595,$G393,$C$245:$C$595,"&lt;="&amp;S$5)&lt;1000000,SUMIFS($D$245:$D$595,$F$245:$F$595,0,$E$245:$E$595,$G393,$C$245:$C$595,"&lt;="&amp;U5)&gt;=1000000),SUMIFS($D$245:$D$595,$F$245:$F$595,0,$E$245:$E$595,$G393)*$C$157 ,0)</f>
        <v/>
      </c>
      <c r="W393" s="95">
        <f>IF(AND(SUMIFS($D$245:$D$595,$F$245:$F$595,0,$E$245:$E$595,$G393,$C$245:$C$595,"&lt;="&amp;U$5)&lt;1000000,SUMIFS($D$245:$D$595,$F$245:$F$595,0,$E$245:$E$595,$G393,$C$245:$C$595,"&lt;="&amp;W5)&gt;=1000000),SUMIFS($D$245:$D$595,$F$245:$F$595,0,$E$245:$E$595,$G393)*$C$157 ,0)</f>
        <v/>
      </c>
      <c r="Y393" s="95">
        <f>IF(AND(SUMIFS($D$245:$D$595,$F$245:$F$595,0,$E$245:$E$595,$G393,$C$245:$C$595,"&lt;="&amp;W$5)&lt;1000000,SUMIFS($D$245:$D$595,$F$245:$F$595,0,$E$245:$E$595,$G393,$C$245:$C$595,"&lt;="&amp;Y5)&gt;=1000000),SUMIFS($D$245:$D$595,$F$245:$F$595,0,$E$245:$E$595,$G393)*$C$157 ,0)</f>
        <v/>
      </c>
      <c r="AA393" s="95">
        <f>IF(AND(SUMIFS($D$245:$D$595,$F$245:$F$595,0,$E$245:$E$595,$G393,$C$245:$C$595,"&lt;="&amp;Y$5)&lt;1000000,SUMIFS($D$245:$D$595,$F$245:$F$595,0,$E$245:$E$595,$G393,$C$245:$C$595,"&lt;="&amp;AA5)&gt;=1000000),SUMIFS($D$245:$D$595,$F$245:$F$595,0,$E$245:$E$595,$G393)*$C$157 ,0)</f>
        <v/>
      </c>
      <c r="AC393" s="95">
        <f>IF(AND(SUMIFS($D$245:$D$595,$F$245:$F$595,0,$E$245:$E$595,$G393,$C$245:$C$595,"&lt;="&amp;AA$5)&lt;1000000,SUMIFS($D$245:$D$595,$F$245:$F$595,0,$E$245:$E$595,$G393,$C$245:$C$595,"&lt;="&amp;AC5)&gt;=1000000),SUMIFS($D$245:$D$595,$F$245:$F$595,0,$E$245:$E$595,$G393)*$C$157 ,0)</f>
        <v/>
      </c>
      <c r="AE393" s="95">
        <f>IF(AND(SUMIFS($D$245:$D$595,$F$245:$F$595,0,$E$245:$E$595,$G393,$C$245:$C$595,"&lt;="&amp;AC$5)&lt;1000000,SUMIFS($D$245:$D$595,$F$245:$F$595,0,$E$245:$E$595,$G393,$C$245:$C$595,"&lt;="&amp;AE5)&gt;=1000000),SUMIFS($D$245:$D$595,$F$245:$F$595,0,$E$245:$E$595,$G393)*$C$157 ,0)</f>
        <v/>
      </c>
      <c r="AF393" s="19" t="n"/>
    </row>
    <row r="394">
      <c r="A394" s="20">
        <f>mid(E394, 3, 1)</f>
        <v/>
      </c>
      <c r="B394" s="14" t="inlineStr"/>
      <c r="C394" s="21">
        <f>SUMIFS('Investor Exit List'!$AC:$AC,'Investor Exit List'!$AB:$AB,B394)</f>
        <v/>
      </c>
      <c r="D394" s="14">
        <f>SUMIFS('Investor Exit List'!$Q:$Q,'Investor Exit List'!$AB:$AB,B394)</f>
        <v/>
      </c>
      <c r="E394" s="31">
        <f>LEFT(B394,6)</f>
        <v/>
      </c>
      <c r="F394" s="14">
        <f>IF(SUMIFS($E$119:$E$151,$D$119:$D$151,E394)&lt;&gt;0,E394,0)</f>
        <v/>
      </c>
      <c r="G394" s="59" t="n"/>
      <c r="I394" s="28">
        <f>IF(AND(SUMIFS($D$245:$D$595,$F$245:$F$595,0,$E$245:$E$595,$G394,$C$245:$C$595,"&lt;="&amp;B$2)&lt;1000000,SUMIFS($D$245:$D$595,$F$245:$F$595,0,$E$245:$E$595,$G394,$C$245:$C$595,"&lt;="&amp;I5)&gt;=1000000),SUMIFS($D$245:$D$595,$F$245:$F$595,0,$E$245:$E$595,$G394)*$C$157 ,0)</f>
        <v/>
      </c>
      <c r="K394" s="95">
        <f>IF(AND(SUMIFS($D$245:$D$595,$F$245:$F$595,0,$E$245:$E$595,$G394,$C$245:$C$595,"&lt;="&amp;I$5)&lt;1000000,SUMIFS($D$245:$D$595,$F$245:$F$595,0,$E$245:$E$595,$G394,$C$245:$C$595,"&lt;="&amp;K5)&gt;=1000000),SUMIFS($D$245:$D$595,$F$245:$F$595,0,$E$245:$E$595,$G394)*$C$157 ,0)</f>
        <v/>
      </c>
      <c r="M394" s="95">
        <f>IF(AND(SUMIFS($D$245:$D$595,$F$245:$F$595,0,$E$245:$E$595,$G394,$C$245:$C$595,"&lt;="&amp;K$5)&lt;1000000,SUMIFS($D$245:$D$595,$F$245:$F$595,0,$E$245:$E$595,$G394,$C$245:$C$595,"&lt;="&amp;M5)&gt;=1000000),SUMIFS($D$245:$D$595,$F$245:$F$595,0,$E$245:$E$595,$G394)*$C$157 ,0)</f>
        <v/>
      </c>
      <c r="O394" s="95">
        <f>IF(AND(SUMIFS($D$245:$D$595,$F$245:$F$595,0,$E$245:$E$595,$G394,$C$245:$C$595,"&lt;="&amp;M$5)&lt;1000000,SUMIFS($D$245:$D$595,$F$245:$F$595,0,$E$245:$E$595,$G394,$C$245:$C$595,"&lt;="&amp;O5)&gt;=1000000),SUMIFS($D$245:$D$595,$F$245:$F$595,0,$E$245:$E$595,$G394)*$C$157 ,0)</f>
        <v/>
      </c>
      <c r="Q394" s="95">
        <f>IF(AND(SUMIFS($D$245:$D$595,$F$245:$F$595,0,$E$245:$E$595,$G394,$C$245:$C$595,"&lt;="&amp;O$5)&lt;1000000,SUMIFS($D$245:$D$595,$F$245:$F$595,0,$E$245:$E$595,$G394,$C$245:$C$595,"&lt;="&amp;Q5)&gt;=1000000),SUMIFS($D$245:$D$595,$F$245:$F$595,0,$E$245:$E$595,$G394)*$C$157 ,0)</f>
        <v/>
      </c>
      <c r="S394" s="95">
        <f>IF(AND(SUMIFS($D$245:$D$595,$F$245:$F$595,0,$E$245:$E$595,$G394,$C$245:$C$595,"&lt;="&amp;Q$5)&lt;1000000,SUMIFS($D$245:$D$595,$F$245:$F$595,0,$E$245:$E$595,$G394,$C$245:$C$595,"&lt;="&amp;S5)&gt;=1000000),SUMIFS($D$245:$D$595,$F$245:$F$595,0,$E$245:$E$595,$G394)*$C$157 ,0)</f>
        <v/>
      </c>
      <c r="U394" s="95">
        <f>IF(AND(SUMIFS($D$245:$D$595,$F$245:$F$595,0,$E$245:$E$595,$G394,$C$245:$C$595,"&lt;="&amp;S$5)&lt;1000000,SUMIFS($D$245:$D$595,$F$245:$F$595,0,$E$245:$E$595,$G394,$C$245:$C$595,"&lt;="&amp;U5)&gt;=1000000),SUMIFS($D$245:$D$595,$F$245:$F$595,0,$E$245:$E$595,$G394)*$C$157 ,0)</f>
        <v/>
      </c>
      <c r="W394" s="95">
        <f>IF(AND(SUMIFS($D$245:$D$595,$F$245:$F$595,0,$E$245:$E$595,$G394,$C$245:$C$595,"&lt;="&amp;U$5)&lt;1000000,SUMIFS($D$245:$D$595,$F$245:$F$595,0,$E$245:$E$595,$G394,$C$245:$C$595,"&lt;="&amp;W5)&gt;=1000000),SUMIFS($D$245:$D$595,$F$245:$F$595,0,$E$245:$E$595,$G394)*$C$157 ,0)</f>
        <v/>
      </c>
      <c r="Y394" s="95">
        <f>IF(AND(SUMIFS($D$245:$D$595,$F$245:$F$595,0,$E$245:$E$595,$G394,$C$245:$C$595,"&lt;="&amp;W$5)&lt;1000000,SUMIFS($D$245:$D$595,$F$245:$F$595,0,$E$245:$E$595,$G394,$C$245:$C$595,"&lt;="&amp;Y5)&gt;=1000000),SUMIFS($D$245:$D$595,$F$245:$F$595,0,$E$245:$E$595,$G394)*$C$157 ,0)</f>
        <v/>
      </c>
      <c r="AA394" s="95">
        <f>IF(AND(SUMIFS($D$245:$D$595,$F$245:$F$595,0,$E$245:$E$595,$G394,$C$245:$C$595,"&lt;="&amp;Y$5)&lt;1000000,SUMIFS($D$245:$D$595,$F$245:$F$595,0,$E$245:$E$595,$G394,$C$245:$C$595,"&lt;="&amp;AA5)&gt;=1000000),SUMIFS($D$245:$D$595,$F$245:$F$595,0,$E$245:$E$595,$G394)*$C$157 ,0)</f>
        <v/>
      </c>
      <c r="AC394" s="95">
        <f>IF(AND(SUMIFS($D$245:$D$595,$F$245:$F$595,0,$E$245:$E$595,$G394,$C$245:$C$595,"&lt;="&amp;AA$5)&lt;1000000,SUMIFS($D$245:$D$595,$F$245:$F$595,0,$E$245:$E$595,$G394,$C$245:$C$595,"&lt;="&amp;AC5)&gt;=1000000),SUMIFS($D$245:$D$595,$F$245:$F$595,0,$E$245:$E$595,$G394)*$C$157 ,0)</f>
        <v/>
      </c>
      <c r="AE394" s="95">
        <f>IF(AND(SUMIFS($D$245:$D$595,$F$245:$F$595,0,$E$245:$E$595,$G394,$C$245:$C$595,"&lt;="&amp;AC$5)&lt;1000000,SUMIFS($D$245:$D$595,$F$245:$F$595,0,$E$245:$E$595,$G394,$C$245:$C$595,"&lt;="&amp;AE5)&gt;=1000000),SUMIFS($D$245:$D$595,$F$245:$F$595,0,$E$245:$E$595,$G394)*$C$157 ,0)</f>
        <v/>
      </c>
      <c r="AF394" s="19" t="n"/>
    </row>
    <row r="395">
      <c r="A395" s="20">
        <f>mid(E395, 3, 1)</f>
        <v/>
      </c>
      <c r="B395" s="14" t="inlineStr"/>
      <c r="C395" s="21">
        <f>SUMIFS('Investor Exit List'!$AC:$AC,'Investor Exit List'!$AB:$AB,B395)</f>
        <v/>
      </c>
      <c r="D395" s="14">
        <f>SUMIFS('Investor Exit List'!$Q:$Q,'Investor Exit List'!$AB:$AB,B395)</f>
        <v/>
      </c>
      <c r="E395" s="31">
        <f>LEFT(B395,6)</f>
        <v/>
      </c>
      <c r="F395" s="14">
        <f>IF(SUMIFS($E$119:$E$151,$D$119:$D$151,E395)&lt;&gt;0,E395,0)</f>
        <v/>
      </c>
      <c r="G395" s="59" t="n"/>
      <c r="I395" s="28">
        <f>IF(AND(SUMIFS($D$245:$D$595,$F$245:$F$595,0,$E$245:$E$595,$G395,$C$245:$C$595,"&lt;="&amp;B$2)&lt;1000000,SUMIFS($D$245:$D$595,$F$245:$F$595,0,$E$245:$E$595,$G395,$C$245:$C$595,"&lt;="&amp;I5)&gt;=1000000),SUMIFS($D$245:$D$595,$F$245:$F$595,0,$E$245:$E$595,$G395)*$C$157 ,0)</f>
        <v/>
      </c>
      <c r="K395" s="95">
        <f>IF(AND(SUMIFS($D$245:$D$595,$F$245:$F$595,0,$E$245:$E$595,$G395,$C$245:$C$595,"&lt;="&amp;I$5)&lt;1000000,SUMIFS($D$245:$D$595,$F$245:$F$595,0,$E$245:$E$595,$G395,$C$245:$C$595,"&lt;="&amp;K5)&gt;=1000000),SUMIFS($D$245:$D$595,$F$245:$F$595,0,$E$245:$E$595,$G395)*$C$157 ,0)</f>
        <v/>
      </c>
      <c r="M395" s="95">
        <f>IF(AND(SUMIFS($D$245:$D$595,$F$245:$F$595,0,$E$245:$E$595,$G395,$C$245:$C$595,"&lt;="&amp;K$5)&lt;1000000,SUMIFS($D$245:$D$595,$F$245:$F$595,0,$E$245:$E$595,$G395,$C$245:$C$595,"&lt;="&amp;M5)&gt;=1000000),SUMIFS($D$245:$D$595,$F$245:$F$595,0,$E$245:$E$595,$G395)*$C$157 ,0)</f>
        <v/>
      </c>
      <c r="O395" s="95">
        <f>IF(AND(SUMIFS($D$245:$D$595,$F$245:$F$595,0,$E$245:$E$595,$G395,$C$245:$C$595,"&lt;="&amp;M$5)&lt;1000000,SUMIFS($D$245:$D$595,$F$245:$F$595,0,$E$245:$E$595,$G395,$C$245:$C$595,"&lt;="&amp;O5)&gt;=1000000),SUMIFS($D$245:$D$595,$F$245:$F$595,0,$E$245:$E$595,$G395)*$C$157 ,0)</f>
        <v/>
      </c>
      <c r="Q395" s="95">
        <f>IF(AND(SUMIFS($D$245:$D$595,$F$245:$F$595,0,$E$245:$E$595,$G395,$C$245:$C$595,"&lt;="&amp;O$5)&lt;1000000,SUMIFS($D$245:$D$595,$F$245:$F$595,0,$E$245:$E$595,$G395,$C$245:$C$595,"&lt;="&amp;Q5)&gt;=1000000),SUMIFS($D$245:$D$595,$F$245:$F$595,0,$E$245:$E$595,$G395)*$C$157 ,0)</f>
        <v/>
      </c>
      <c r="S395" s="95">
        <f>IF(AND(SUMIFS($D$245:$D$595,$F$245:$F$595,0,$E$245:$E$595,$G395,$C$245:$C$595,"&lt;="&amp;Q$5)&lt;1000000,SUMIFS($D$245:$D$595,$F$245:$F$595,0,$E$245:$E$595,$G395,$C$245:$C$595,"&lt;="&amp;S5)&gt;=1000000),SUMIFS($D$245:$D$595,$F$245:$F$595,0,$E$245:$E$595,$G395)*$C$157 ,0)</f>
        <v/>
      </c>
      <c r="U395" s="95">
        <f>IF(AND(SUMIFS($D$245:$D$595,$F$245:$F$595,0,$E$245:$E$595,$G395,$C$245:$C$595,"&lt;="&amp;S$5)&lt;1000000,SUMIFS($D$245:$D$595,$F$245:$F$595,0,$E$245:$E$595,$G395,$C$245:$C$595,"&lt;="&amp;U5)&gt;=1000000),SUMIFS($D$245:$D$595,$F$245:$F$595,0,$E$245:$E$595,$G395)*$C$157 ,0)</f>
        <v/>
      </c>
      <c r="W395" s="95">
        <f>IF(AND(SUMIFS($D$245:$D$595,$F$245:$F$595,0,$E$245:$E$595,$G395,$C$245:$C$595,"&lt;="&amp;U$5)&lt;1000000,SUMIFS($D$245:$D$595,$F$245:$F$595,0,$E$245:$E$595,$G395,$C$245:$C$595,"&lt;="&amp;W5)&gt;=1000000),SUMIFS($D$245:$D$595,$F$245:$F$595,0,$E$245:$E$595,$G395)*$C$157 ,0)</f>
        <v/>
      </c>
      <c r="Y395" s="95">
        <f>IF(AND(SUMIFS($D$245:$D$595,$F$245:$F$595,0,$E$245:$E$595,$G395,$C$245:$C$595,"&lt;="&amp;W$5)&lt;1000000,SUMIFS($D$245:$D$595,$F$245:$F$595,0,$E$245:$E$595,$G395,$C$245:$C$595,"&lt;="&amp;Y5)&gt;=1000000),SUMIFS($D$245:$D$595,$F$245:$F$595,0,$E$245:$E$595,$G395)*$C$157 ,0)</f>
        <v/>
      </c>
      <c r="AA395" s="95">
        <f>IF(AND(SUMIFS($D$245:$D$595,$F$245:$F$595,0,$E$245:$E$595,$G395,$C$245:$C$595,"&lt;="&amp;Y$5)&lt;1000000,SUMIFS($D$245:$D$595,$F$245:$F$595,0,$E$245:$E$595,$G395,$C$245:$C$595,"&lt;="&amp;AA5)&gt;=1000000),SUMIFS($D$245:$D$595,$F$245:$F$595,0,$E$245:$E$595,$G395)*$C$157 ,0)</f>
        <v/>
      </c>
      <c r="AC395" s="95">
        <f>IF(AND(SUMIFS($D$245:$D$595,$F$245:$F$595,0,$E$245:$E$595,$G395,$C$245:$C$595,"&lt;="&amp;AA$5)&lt;1000000,SUMIFS($D$245:$D$595,$F$245:$F$595,0,$E$245:$E$595,$G395,$C$245:$C$595,"&lt;="&amp;AC5)&gt;=1000000),SUMIFS($D$245:$D$595,$F$245:$F$595,0,$E$245:$E$595,$G395)*$C$157 ,0)</f>
        <v/>
      </c>
      <c r="AE395" s="95">
        <f>IF(AND(SUMIFS($D$245:$D$595,$F$245:$F$595,0,$E$245:$E$595,$G395,$C$245:$C$595,"&lt;="&amp;AC$5)&lt;1000000,SUMIFS($D$245:$D$595,$F$245:$F$595,0,$E$245:$E$595,$G395,$C$245:$C$595,"&lt;="&amp;AE5)&gt;=1000000),SUMIFS($D$245:$D$595,$F$245:$F$595,0,$E$245:$E$595,$G395)*$C$157 ,0)</f>
        <v/>
      </c>
      <c r="AF395" s="19" t="n"/>
    </row>
    <row r="396">
      <c r="A396" s="20">
        <f>mid(E396, 3, 1)</f>
        <v/>
      </c>
      <c r="B396" s="14" t="inlineStr"/>
      <c r="C396" s="21">
        <f>SUMIFS('Investor Exit List'!$AC:$AC,'Investor Exit List'!$AB:$AB,B396)</f>
        <v/>
      </c>
      <c r="D396" s="14">
        <f>SUMIFS('Investor Exit List'!$Q:$Q,'Investor Exit List'!$AB:$AB,B396)</f>
        <v/>
      </c>
      <c r="E396" s="31">
        <f>LEFT(B396,6)</f>
        <v/>
      </c>
      <c r="F396" s="14">
        <f>IF(SUMIFS($E$119:$E$151,$D$119:$D$151,E396)&lt;&gt;0,E396,0)</f>
        <v/>
      </c>
      <c r="G396" s="59" t="n"/>
      <c r="I396" s="28">
        <f>IF(AND(SUMIFS($D$245:$D$595,$F$245:$F$595,0,$E$245:$E$595,$G396,$C$245:$C$595,"&lt;="&amp;B$2)&lt;1000000,SUMIFS($D$245:$D$595,$F$245:$F$595,0,$E$245:$E$595,$G396,$C$245:$C$595,"&lt;="&amp;I5)&gt;=1000000),SUMIFS($D$245:$D$595,$F$245:$F$595,0,$E$245:$E$595,$G396)*$C$157 ,0)</f>
        <v/>
      </c>
      <c r="K396" s="95">
        <f>IF(AND(SUMIFS($D$245:$D$595,$F$245:$F$595,0,$E$245:$E$595,$G396,$C$245:$C$595,"&lt;="&amp;I$5)&lt;1000000,SUMIFS($D$245:$D$595,$F$245:$F$595,0,$E$245:$E$595,$G396,$C$245:$C$595,"&lt;="&amp;K5)&gt;=1000000),SUMIFS($D$245:$D$595,$F$245:$F$595,0,$E$245:$E$595,$G396)*$C$157 ,0)</f>
        <v/>
      </c>
      <c r="M396" s="95">
        <f>IF(AND(SUMIFS($D$245:$D$595,$F$245:$F$595,0,$E$245:$E$595,$G396,$C$245:$C$595,"&lt;="&amp;K$5)&lt;1000000,SUMIFS($D$245:$D$595,$F$245:$F$595,0,$E$245:$E$595,$G396,$C$245:$C$595,"&lt;="&amp;M5)&gt;=1000000),SUMIFS($D$245:$D$595,$F$245:$F$595,0,$E$245:$E$595,$G396)*$C$157 ,0)</f>
        <v/>
      </c>
      <c r="O396" s="95">
        <f>IF(AND(SUMIFS($D$245:$D$595,$F$245:$F$595,0,$E$245:$E$595,$G396,$C$245:$C$595,"&lt;="&amp;M$5)&lt;1000000,SUMIFS($D$245:$D$595,$F$245:$F$595,0,$E$245:$E$595,$G396,$C$245:$C$595,"&lt;="&amp;O5)&gt;=1000000),SUMIFS($D$245:$D$595,$F$245:$F$595,0,$E$245:$E$595,$G396)*$C$157 ,0)</f>
        <v/>
      </c>
      <c r="Q396" s="95">
        <f>IF(AND(SUMIFS($D$245:$D$595,$F$245:$F$595,0,$E$245:$E$595,$G396,$C$245:$C$595,"&lt;="&amp;O$5)&lt;1000000,SUMIFS($D$245:$D$595,$F$245:$F$595,0,$E$245:$E$595,$G396,$C$245:$C$595,"&lt;="&amp;Q5)&gt;=1000000),SUMIFS($D$245:$D$595,$F$245:$F$595,0,$E$245:$E$595,$G396)*$C$157 ,0)</f>
        <v/>
      </c>
      <c r="S396" s="95">
        <f>IF(AND(SUMIFS($D$245:$D$595,$F$245:$F$595,0,$E$245:$E$595,$G396,$C$245:$C$595,"&lt;="&amp;Q$5)&lt;1000000,SUMIFS($D$245:$D$595,$F$245:$F$595,0,$E$245:$E$595,$G396,$C$245:$C$595,"&lt;="&amp;S5)&gt;=1000000),SUMIFS($D$245:$D$595,$F$245:$F$595,0,$E$245:$E$595,$G396)*$C$157 ,0)</f>
        <v/>
      </c>
      <c r="U396" s="95">
        <f>IF(AND(SUMIFS($D$245:$D$595,$F$245:$F$595,0,$E$245:$E$595,$G396,$C$245:$C$595,"&lt;="&amp;S$5)&lt;1000000,SUMIFS($D$245:$D$595,$F$245:$F$595,0,$E$245:$E$595,$G396,$C$245:$C$595,"&lt;="&amp;U5)&gt;=1000000),SUMIFS($D$245:$D$595,$F$245:$F$595,0,$E$245:$E$595,$G396)*$C$157 ,0)</f>
        <v/>
      </c>
      <c r="W396" s="95">
        <f>IF(AND(SUMIFS($D$245:$D$595,$F$245:$F$595,0,$E$245:$E$595,$G396,$C$245:$C$595,"&lt;="&amp;U$5)&lt;1000000,SUMIFS($D$245:$D$595,$F$245:$F$595,0,$E$245:$E$595,$G396,$C$245:$C$595,"&lt;="&amp;W5)&gt;=1000000),SUMIFS($D$245:$D$595,$F$245:$F$595,0,$E$245:$E$595,$G396)*$C$157 ,0)</f>
        <v/>
      </c>
      <c r="Y396" s="95">
        <f>IF(AND(SUMIFS($D$245:$D$595,$F$245:$F$595,0,$E$245:$E$595,$G396,$C$245:$C$595,"&lt;="&amp;W$5)&lt;1000000,SUMIFS($D$245:$D$595,$F$245:$F$595,0,$E$245:$E$595,$G396,$C$245:$C$595,"&lt;="&amp;Y5)&gt;=1000000),SUMIFS($D$245:$D$595,$F$245:$F$595,0,$E$245:$E$595,$G396)*$C$157 ,0)</f>
        <v/>
      </c>
      <c r="AA396" s="95">
        <f>IF(AND(SUMIFS($D$245:$D$595,$F$245:$F$595,0,$E$245:$E$595,$G396,$C$245:$C$595,"&lt;="&amp;Y$5)&lt;1000000,SUMIFS($D$245:$D$595,$F$245:$F$595,0,$E$245:$E$595,$G396,$C$245:$C$595,"&lt;="&amp;AA5)&gt;=1000000),SUMIFS($D$245:$D$595,$F$245:$F$595,0,$E$245:$E$595,$G396)*$C$157 ,0)</f>
        <v/>
      </c>
      <c r="AC396" s="95">
        <f>IF(AND(SUMIFS($D$245:$D$595,$F$245:$F$595,0,$E$245:$E$595,$G396,$C$245:$C$595,"&lt;="&amp;AA$5)&lt;1000000,SUMIFS($D$245:$D$595,$F$245:$F$595,0,$E$245:$E$595,$G396,$C$245:$C$595,"&lt;="&amp;AC5)&gt;=1000000),SUMIFS($D$245:$D$595,$F$245:$F$595,0,$E$245:$E$595,$G396)*$C$157 ,0)</f>
        <v/>
      </c>
      <c r="AE396" s="95">
        <f>IF(AND(SUMIFS($D$245:$D$595,$F$245:$F$595,0,$E$245:$E$595,$G396,$C$245:$C$595,"&lt;="&amp;AC$5)&lt;1000000,SUMIFS($D$245:$D$595,$F$245:$F$595,0,$E$245:$E$595,$G396,$C$245:$C$595,"&lt;="&amp;AE5)&gt;=1000000),SUMIFS($D$245:$D$595,$F$245:$F$595,0,$E$245:$E$595,$G396)*$C$157 ,0)</f>
        <v/>
      </c>
      <c r="AF396" s="19" t="n"/>
    </row>
    <row r="397">
      <c r="A397" s="20">
        <f>mid(E397, 3, 1)</f>
        <v/>
      </c>
      <c r="B397" s="14" t="inlineStr"/>
      <c r="C397" s="21">
        <f>SUMIFS('Investor Exit List'!$AC:$AC,'Investor Exit List'!$AB:$AB,B397)</f>
        <v/>
      </c>
      <c r="D397" s="14">
        <f>SUMIFS('Investor Exit List'!$Q:$Q,'Investor Exit List'!$AB:$AB,B397)</f>
        <v/>
      </c>
      <c r="E397" s="31">
        <f>LEFT(B397,6)</f>
        <v/>
      </c>
      <c r="F397" s="14">
        <f>IF(SUMIFS($E$119:$E$151,$D$119:$D$151,E397)&lt;&gt;0,E397,0)</f>
        <v/>
      </c>
      <c r="G397" s="59" t="n"/>
      <c r="I397" s="28">
        <f>IF(AND(SUMIFS($D$245:$D$595,$F$245:$F$595,0,$E$245:$E$595,$G397,$C$245:$C$595,"&lt;="&amp;B$2)&lt;1000000,SUMIFS($D$245:$D$595,$F$245:$F$595,0,$E$245:$E$595,$G397,$C$245:$C$595,"&lt;="&amp;I5)&gt;=1000000),SUMIFS($D$245:$D$595,$F$245:$F$595,0,$E$245:$E$595,$G397)*$C$157 ,0)</f>
        <v/>
      </c>
      <c r="K397" s="95">
        <f>IF(AND(SUMIFS($D$245:$D$595,$F$245:$F$595,0,$E$245:$E$595,$G397,$C$245:$C$595,"&lt;="&amp;I$5)&lt;1000000,SUMIFS($D$245:$D$595,$F$245:$F$595,0,$E$245:$E$595,$G397,$C$245:$C$595,"&lt;="&amp;K5)&gt;=1000000),SUMIFS($D$245:$D$595,$F$245:$F$595,0,$E$245:$E$595,$G397)*$C$157 ,0)</f>
        <v/>
      </c>
      <c r="M397" s="95">
        <f>IF(AND(SUMIFS($D$245:$D$595,$F$245:$F$595,0,$E$245:$E$595,$G397,$C$245:$C$595,"&lt;="&amp;K$5)&lt;1000000,SUMIFS($D$245:$D$595,$F$245:$F$595,0,$E$245:$E$595,$G397,$C$245:$C$595,"&lt;="&amp;M5)&gt;=1000000),SUMIFS($D$245:$D$595,$F$245:$F$595,0,$E$245:$E$595,$G397)*$C$157 ,0)</f>
        <v/>
      </c>
      <c r="O397" s="95">
        <f>IF(AND(SUMIFS($D$245:$D$595,$F$245:$F$595,0,$E$245:$E$595,$G397,$C$245:$C$595,"&lt;="&amp;M$5)&lt;1000000,SUMIFS($D$245:$D$595,$F$245:$F$595,0,$E$245:$E$595,$G397,$C$245:$C$595,"&lt;="&amp;O5)&gt;=1000000),SUMIFS($D$245:$D$595,$F$245:$F$595,0,$E$245:$E$595,$G397)*$C$157 ,0)</f>
        <v/>
      </c>
      <c r="Q397" s="95">
        <f>IF(AND(SUMIFS($D$245:$D$595,$F$245:$F$595,0,$E$245:$E$595,$G397,$C$245:$C$595,"&lt;="&amp;O$5)&lt;1000000,SUMIFS($D$245:$D$595,$F$245:$F$595,0,$E$245:$E$595,$G397,$C$245:$C$595,"&lt;="&amp;Q5)&gt;=1000000),SUMIFS($D$245:$D$595,$F$245:$F$595,0,$E$245:$E$595,$G397)*$C$157 ,0)</f>
        <v/>
      </c>
      <c r="S397" s="95">
        <f>IF(AND(SUMIFS($D$245:$D$595,$F$245:$F$595,0,$E$245:$E$595,$G397,$C$245:$C$595,"&lt;="&amp;Q$5)&lt;1000000,SUMIFS($D$245:$D$595,$F$245:$F$595,0,$E$245:$E$595,$G397,$C$245:$C$595,"&lt;="&amp;S5)&gt;=1000000),SUMIFS($D$245:$D$595,$F$245:$F$595,0,$E$245:$E$595,$G397)*$C$157 ,0)</f>
        <v/>
      </c>
      <c r="U397" s="95">
        <f>IF(AND(SUMIFS($D$245:$D$595,$F$245:$F$595,0,$E$245:$E$595,$G397,$C$245:$C$595,"&lt;="&amp;S$5)&lt;1000000,SUMIFS($D$245:$D$595,$F$245:$F$595,0,$E$245:$E$595,$G397,$C$245:$C$595,"&lt;="&amp;U5)&gt;=1000000),SUMIFS($D$245:$D$595,$F$245:$F$595,0,$E$245:$E$595,$G397)*$C$157 ,0)</f>
        <v/>
      </c>
      <c r="W397" s="95">
        <f>IF(AND(SUMIFS($D$245:$D$595,$F$245:$F$595,0,$E$245:$E$595,$G397,$C$245:$C$595,"&lt;="&amp;U$5)&lt;1000000,SUMIFS($D$245:$D$595,$F$245:$F$595,0,$E$245:$E$595,$G397,$C$245:$C$595,"&lt;="&amp;W5)&gt;=1000000),SUMIFS($D$245:$D$595,$F$245:$F$595,0,$E$245:$E$595,$G397)*$C$157 ,0)</f>
        <v/>
      </c>
      <c r="Y397" s="95">
        <f>IF(AND(SUMIFS($D$245:$D$595,$F$245:$F$595,0,$E$245:$E$595,$G397,$C$245:$C$595,"&lt;="&amp;W$5)&lt;1000000,SUMIFS($D$245:$D$595,$F$245:$F$595,0,$E$245:$E$595,$G397,$C$245:$C$595,"&lt;="&amp;Y5)&gt;=1000000),SUMIFS($D$245:$D$595,$F$245:$F$595,0,$E$245:$E$595,$G397)*$C$157 ,0)</f>
        <v/>
      </c>
      <c r="AA397" s="95">
        <f>IF(AND(SUMIFS($D$245:$D$595,$F$245:$F$595,0,$E$245:$E$595,$G397,$C$245:$C$595,"&lt;="&amp;Y$5)&lt;1000000,SUMIFS($D$245:$D$595,$F$245:$F$595,0,$E$245:$E$595,$G397,$C$245:$C$595,"&lt;="&amp;AA5)&gt;=1000000),SUMIFS($D$245:$D$595,$F$245:$F$595,0,$E$245:$E$595,$G397)*$C$157 ,0)</f>
        <v/>
      </c>
      <c r="AC397" s="95">
        <f>IF(AND(SUMIFS($D$245:$D$595,$F$245:$F$595,0,$E$245:$E$595,$G397,$C$245:$C$595,"&lt;="&amp;AA$5)&lt;1000000,SUMIFS($D$245:$D$595,$F$245:$F$595,0,$E$245:$E$595,$G397,$C$245:$C$595,"&lt;="&amp;AC5)&gt;=1000000),SUMIFS($D$245:$D$595,$F$245:$F$595,0,$E$245:$E$595,$G397)*$C$157 ,0)</f>
        <v/>
      </c>
      <c r="AE397" s="95">
        <f>IF(AND(SUMIFS($D$245:$D$595,$F$245:$F$595,0,$E$245:$E$595,$G397,$C$245:$C$595,"&lt;="&amp;AC$5)&lt;1000000,SUMIFS($D$245:$D$595,$F$245:$F$595,0,$E$245:$E$595,$G397,$C$245:$C$595,"&lt;="&amp;AE5)&gt;=1000000),SUMIFS($D$245:$D$595,$F$245:$F$595,0,$E$245:$E$595,$G397)*$C$157 ,0)</f>
        <v/>
      </c>
      <c r="AF397" s="19" t="n"/>
    </row>
    <row r="398">
      <c r="A398" s="20">
        <f>mid(E398, 3, 1)</f>
        <v/>
      </c>
      <c r="B398" s="14" t="inlineStr"/>
      <c r="C398" s="21">
        <f>SUMIFS('Investor Exit List'!$AC:$AC,'Investor Exit List'!$AB:$AB,B398)</f>
        <v/>
      </c>
      <c r="D398" s="14">
        <f>SUMIFS('Investor Exit List'!$Q:$Q,'Investor Exit List'!$AB:$AB,B398)</f>
        <v/>
      </c>
      <c r="E398" s="31">
        <f>LEFT(B398,6)</f>
        <v/>
      </c>
      <c r="F398" s="14">
        <f>IF(SUMIFS($E$119:$E$151,$D$119:$D$151,E398)&lt;&gt;0,E398,0)</f>
        <v/>
      </c>
      <c r="G398" s="59" t="n"/>
      <c r="I398" s="28">
        <f>IF(AND(SUMIFS($D$245:$D$595,$F$245:$F$595,0,$E$245:$E$595,$G398,$C$245:$C$595,"&lt;="&amp;B$2)&lt;1000000,SUMIFS($D$245:$D$595,$F$245:$F$595,0,$E$245:$E$595,$G398,$C$245:$C$595,"&lt;="&amp;I5)&gt;=1000000),SUMIFS($D$245:$D$595,$F$245:$F$595,0,$E$245:$E$595,$G398)*$C$157 ,0)</f>
        <v/>
      </c>
      <c r="K398" s="95">
        <f>IF(AND(SUMIFS($D$245:$D$595,$F$245:$F$595,0,$E$245:$E$595,$G398,$C$245:$C$595,"&lt;="&amp;I$5)&lt;1000000,SUMIFS($D$245:$D$595,$F$245:$F$595,0,$E$245:$E$595,$G398,$C$245:$C$595,"&lt;="&amp;K5)&gt;=1000000),SUMIFS($D$245:$D$595,$F$245:$F$595,0,$E$245:$E$595,$G398)*$C$157 ,0)</f>
        <v/>
      </c>
      <c r="M398" s="95">
        <f>IF(AND(SUMIFS($D$245:$D$595,$F$245:$F$595,0,$E$245:$E$595,$G398,$C$245:$C$595,"&lt;="&amp;K$5)&lt;1000000,SUMIFS($D$245:$D$595,$F$245:$F$595,0,$E$245:$E$595,$G398,$C$245:$C$595,"&lt;="&amp;M5)&gt;=1000000),SUMIFS($D$245:$D$595,$F$245:$F$595,0,$E$245:$E$595,$G398)*$C$157 ,0)</f>
        <v/>
      </c>
      <c r="O398" s="95">
        <f>IF(AND(SUMIFS($D$245:$D$595,$F$245:$F$595,0,$E$245:$E$595,$G398,$C$245:$C$595,"&lt;="&amp;M$5)&lt;1000000,SUMIFS($D$245:$D$595,$F$245:$F$595,0,$E$245:$E$595,$G398,$C$245:$C$595,"&lt;="&amp;O5)&gt;=1000000),SUMIFS($D$245:$D$595,$F$245:$F$595,0,$E$245:$E$595,$G398)*$C$157 ,0)</f>
        <v/>
      </c>
      <c r="Q398" s="95">
        <f>IF(AND(SUMIFS($D$245:$D$595,$F$245:$F$595,0,$E$245:$E$595,$G398,$C$245:$C$595,"&lt;="&amp;O$5)&lt;1000000,SUMIFS($D$245:$D$595,$F$245:$F$595,0,$E$245:$E$595,$G398,$C$245:$C$595,"&lt;="&amp;Q5)&gt;=1000000),SUMIFS($D$245:$D$595,$F$245:$F$595,0,$E$245:$E$595,$G398)*$C$157 ,0)</f>
        <v/>
      </c>
      <c r="S398" s="95">
        <f>IF(AND(SUMIFS($D$245:$D$595,$F$245:$F$595,0,$E$245:$E$595,$G398,$C$245:$C$595,"&lt;="&amp;Q$5)&lt;1000000,SUMIFS($D$245:$D$595,$F$245:$F$595,0,$E$245:$E$595,$G398,$C$245:$C$595,"&lt;="&amp;S5)&gt;=1000000),SUMIFS($D$245:$D$595,$F$245:$F$595,0,$E$245:$E$595,$G398)*$C$157 ,0)</f>
        <v/>
      </c>
      <c r="U398" s="95">
        <f>IF(AND(SUMIFS($D$245:$D$595,$F$245:$F$595,0,$E$245:$E$595,$G398,$C$245:$C$595,"&lt;="&amp;S$5)&lt;1000000,SUMIFS($D$245:$D$595,$F$245:$F$595,0,$E$245:$E$595,$G398,$C$245:$C$595,"&lt;="&amp;U5)&gt;=1000000),SUMIFS($D$245:$D$595,$F$245:$F$595,0,$E$245:$E$595,$G398)*$C$157 ,0)</f>
        <v/>
      </c>
      <c r="W398" s="95">
        <f>IF(AND(SUMIFS($D$245:$D$595,$F$245:$F$595,0,$E$245:$E$595,$G398,$C$245:$C$595,"&lt;="&amp;U$5)&lt;1000000,SUMIFS($D$245:$D$595,$F$245:$F$595,0,$E$245:$E$595,$G398,$C$245:$C$595,"&lt;="&amp;W5)&gt;=1000000),SUMIFS($D$245:$D$595,$F$245:$F$595,0,$E$245:$E$595,$G398)*$C$157 ,0)</f>
        <v/>
      </c>
      <c r="Y398" s="95">
        <f>IF(AND(SUMIFS($D$245:$D$595,$F$245:$F$595,0,$E$245:$E$595,$G398,$C$245:$C$595,"&lt;="&amp;W$5)&lt;1000000,SUMIFS($D$245:$D$595,$F$245:$F$595,0,$E$245:$E$595,$G398,$C$245:$C$595,"&lt;="&amp;Y5)&gt;=1000000),SUMIFS($D$245:$D$595,$F$245:$F$595,0,$E$245:$E$595,$G398)*$C$157 ,0)</f>
        <v/>
      </c>
      <c r="AA398" s="95">
        <f>IF(AND(SUMIFS($D$245:$D$595,$F$245:$F$595,0,$E$245:$E$595,$G398,$C$245:$C$595,"&lt;="&amp;Y$5)&lt;1000000,SUMIFS($D$245:$D$595,$F$245:$F$595,0,$E$245:$E$595,$G398,$C$245:$C$595,"&lt;="&amp;AA5)&gt;=1000000),SUMIFS($D$245:$D$595,$F$245:$F$595,0,$E$245:$E$595,$G398)*$C$157 ,0)</f>
        <v/>
      </c>
      <c r="AC398" s="95">
        <f>IF(AND(SUMIFS($D$245:$D$595,$F$245:$F$595,0,$E$245:$E$595,$G398,$C$245:$C$595,"&lt;="&amp;AA$5)&lt;1000000,SUMIFS($D$245:$D$595,$F$245:$F$595,0,$E$245:$E$595,$G398,$C$245:$C$595,"&lt;="&amp;AC5)&gt;=1000000),SUMIFS($D$245:$D$595,$F$245:$F$595,0,$E$245:$E$595,$G398)*$C$157 ,0)</f>
        <v/>
      </c>
      <c r="AE398" s="95">
        <f>IF(AND(SUMIFS($D$245:$D$595,$F$245:$F$595,0,$E$245:$E$595,$G398,$C$245:$C$595,"&lt;="&amp;AC$5)&lt;1000000,SUMIFS($D$245:$D$595,$F$245:$F$595,0,$E$245:$E$595,$G398,$C$245:$C$595,"&lt;="&amp;AE5)&gt;=1000000),SUMIFS($D$245:$D$595,$F$245:$F$595,0,$E$245:$E$595,$G398)*$C$157 ,0)</f>
        <v/>
      </c>
      <c r="AF398" s="19" t="n"/>
    </row>
    <row r="399">
      <c r="A399" s="20">
        <f>mid(E399, 3, 1)</f>
        <v/>
      </c>
      <c r="B399" s="14" t="inlineStr"/>
      <c r="C399" s="21">
        <f>SUMIFS('Investor Exit List'!$AC:$AC,'Investor Exit List'!$AB:$AB,B399)</f>
        <v/>
      </c>
      <c r="D399" s="14">
        <f>SUMIFS('Investor Exit List'!$Q:$Q,'Investor Exit List'!$AB:$AB,B399)</f>
        <v/>
      </c>
      <c r="E399" s="31">
        <f>LEFT(B399,6)</f>
        <v/>
      </c>
      <c r="F399" s="14">
        <f>IF(SUMIFS($E$119:$E$151,$D$119:$D$151,E399)&lt;&gt;0,E399,0)</f>
        <v/>
      </c>
      <c r="G399" s="59" t="n"/>
      <c r="I399" s="28">
        <f>IF(AND(SUMIFS($D$245:$D$595,$F$245:$F$595,0,$E$245:$E$595,$G399,$C$245:$C$595,"&lt;="&amp;B$2)&lt;1000000,SUMIFS($D$245:$D$595,$F$245:$F$595,0,$E$245:$E$595,$G399,$C$245:$C$595,"&lt;="&amp;I5)&gt;=1000000),SUMIFS($D$245:$D$595,$F$245:$F$595,0,$E$245:$E$595,$G399)*$C$157 ,0)</f>
        <v/>
      </c>
      <c r="K399" s="95">
        <f>IF(AND(SUMIFS($D$245:$D$595,$F$245:$F$595,0,$E$245:$E$595,$G399,$C$245:$C$595,"&lt;="&amp;I$5)&lt;1000000,SUMIFS($D$245:$D$595,$F$245:$F$595,0,$E$245:$E$595,$G399,$C$245:$C$595,"&lt;="&amp;K5)&gt;=1000000),SUMIFS($D$245:$D$595,$F$245:$F$595,0,$E$245:$E$595,$G399)*$C$157 ,0)</f>
        <v/>
      </c>
      <c r="M399" s="95">
        <f>IF(AND(SUMIFS($D$245:$D$595,$F$245:$F$595,0,$E$245:$E$595,$G399,$C$245:$C$595,"&lt;="&amp;K$5)&lt;1000000,SUMIFS($D$245:$D$595,$F$245:$F$595,0,$E$245:$E$595,$G399,$C$245:$C$595,"&lt;="&amp;M5)&gt;=1000000),SUMIFS($D$245:$D$595,$F$245:$F$595,0,$E$245:$E$595,$G399)*$C$157 ,0)</f>
        <v/>
      </c>
      <c r="O399" s="95">
        <f>IF(AND(SUMIFS($D$245:$D$595,$F$245:$F$595,0,$E$245:$E$595,$G399,$C$245:$C$595,"&lt;="&amp;M$5)&lt;1000000,SUMIFS($D$245:$D$595,$F$245:$F$595,0,$E$245:$E$595,$G399,$C$245:$C$595,"&lt;="&amp;O5)&gt;=1000000),SUMIFS($D$245:$D$595,$F$245:$F$595,0,$E$245:$E$595,$G399)*$C$157 ,0)</f>
        <v/>
      </c>
      <c r="Q399" s="95">
        <f>IF(AND(SUMIFS($D$245:$D$595,$F$245:$F$595,0,$E$245:$E$595,$G399,$C$245:$C$595,"&lt;="&amp;O$5)&lt;1000000,SUMIFS($D$245:$D$595,$F$245:$F$595,0,$E$245:$E$595,$G399,$C$245:$C$595,"&lt;="&amp;Q5)&gt;=1000000),SUMIFS($D$245:$D$595,$F$245:$F$595,0,$E$245:$E$595,$G399)*$C$157 ,0)</f>
        <v/>
      </c>
      <c r="S399" s="95">
        <f>IF(AND(SUMIFS($D$245:$D$595,$F$245:$F$595,0,$E$245:$E$595,$G399,$C$245:$C$595,"&lt;="&amp;Q$5)&lt;1000000,SUMIFS($D$245:$D$595,$F$245:$F$595,0,$E$245:$E$595,$G399,$C$245:$C$595,"&lt;="&amp;S5)&gt;=1000000),SUMIFS($D$245:$D$595,$F$245:$F$595,0,$E$245:$E$595,$G399)*$C$157 ,0)</f>
        <v/>
      </c>
      <c r="U399" s="95">
        <f>IF(AND(SUMIFS($D$245:$D$595,$F$245:$F$595,0,$E$245:$E$595,$G399,$C$245:$C$595,"&lt;="&amp;S$5)&lt;1000000,SUMIFS($D$245:$D$595,$F$245:$F$595,0,$E$245:$E$595,$G399,$C$245:$C$595,"&lt;="&amp;U5)&gt;=1000000),SUMIFS($D$245:$D$595,$F$245:$F$595,0,$E$245:$E$595,$G399)*$C$157 ,0)</f>
        <v/>
      </c>
      <c r="W399" s="95">
        <f>IF(AND(SUMIFS($D$245:$D$595,$F$245:$F$595,0,$E$245:$E$595,$G399,$C$245:$C$595,"&lt;="&amp;U$5)&lt;1000000,SUMIFS($D$245:$D$595,$F$245:$F$595,0,$E$245:$E$595,$G399,$C$245:$C$595,"&lt;="&amp;W5)&gt;=1000000),SUMIFS($D$245:$D$595,$F$245:$F$595,0,$E$245:$E$595,$G399)*$C$157 ,0)</f>
        <v/>
      </c>
      <c r="Y399" s="95">
        <f>IF(AND(SUMIFS($D$245:$D$595,$F$245:$F$595,0,$E$245:$E$595,$G399,$C$245:$C$595,"&lt;="&amp;W$5)&lt;1000000,SUMIFS($D$245:$D$595,$F$245:$F$595,0,$E$245:$E$595,$G399,$C$245:$C$595,"&lt;="&amp;Y5)&gt;=1000000),SUMIFS($D$245:$D$595,$F$245:$F$595,0,$E$245:$E$595,$G399)*$C$157 ,0)</f>
        <v/>
      </c>
      <c r="AA399" s="95">
        <f>IF(AND(SUMIFS($D$245:$D$595,$F$245:$F$595,0,$E$245:$E$595,$G399,$C$245:$C$595,"&lt;="&amp;Y$5)&lt;1000000,SUMIFS($D$245:$D$595,$F$245:$F$595,0,$E$245:$E$595,$G399,$C$245:$C$595,"&lt;="&amp;AA5)&gt;=1000000),SUMIFS($D$245:$D$595,$F$245:$F$595,0,$E$245:$E$595,$G399)*$C$157 ,0)</f>
        <v/>
      </c>
      <c r="AC399" s="95">
        <f>IF(AND(SUMIFS($D$245:$D$595,$F$245:$F$595,0,$E$245:$E$595,$G399,$C$245:$C$595,"&lt;="&amp;AA$5)&lt;1000000,SUMIFS($D$245:$D$595,$F$245:$F$595,0,$E$245:$E$595,$G399,$C$245:$C$595,"&lt;="&amp;AC5)&gt;=1000000),SUMIFS($D$245:$D$595,$F$245:$F$595,0,$E$245:$E$595,$G399)*$C$157 ,0)</f>
        <v/>
      </c>
      <c r="AE399" s="95">
        <f>IF(AND(SUMIFS($D$245:$D$595,$F$245:$F$595,0,$E$245:$E$595,$G399,$C$245:$C$595,"&lt;="&amp;AC$5)&lt;1000000,SUMIFS($D$245:$D$595,$F$245:$F$595,0,$E$245:$E$595,$G399,$C$245:$C$595,"&lt;="&amp;AE5)&gt;=1000000),SUMIFS($D$245:$D$595,$F$245:$F$595,0,$E$245:$E$595,$G399)*$C$157 ,0)</f>
        <v/>
      </c>
      <c r="AF399" s="19" t="n"/>
    </row>
    <row r="400">
      <c r="A400" s="20">
        <f>mid(E400, 3, 1)</f>
        <v/>
      </c>
      <c r="B400" s="14" t="inlineStr"/>
      <c r="C400" s="21">
        <f>SUMIFS('Investor Exit List'!$AC:$AC,'Investor Exit List'!$AB:$AB,B400)</f>
        <v/>
      </c>
      <c r="D400" s="14">
        <f>SUMIFS('Investor Exit List'!$Q:$Q,'Investor Exit List'!$AB:$AB,B400)</f>
        <v/>
      </c>
      <c r="E400" s="31">
        <f>LEFT(B400,6)</f>
        <v/>
      </c>
      <c r="F400" s="14">
        <f>IF(SUMIFS($E$119:$E$151,$D$119:$D$151,E400)&lt;&gt;0,E400,0)</f>
        <v/>
      </c>
      <c r="G400" s="59" t="n"/>
      <c r="I400" s="28">
        <f>IF(AND(SUMIFS($D$245:$D$595,$F$245:$F$595,0,$E$245:$E$595,$G400,$C$245:$C$595,"&lt;="&amp;B$2)&lt;1000000,SUMIFS($D$245:$D$595,$F$245:$F$595,0,$E$245:$E$595,$G400,$C$245:$C$595,"&lt;="&amp;I5)&gt;=1000000),SUMIFS($D$245:$D$595,$F$245:$F$595,0,$E$245:$E$595,$G400)*$C$157 ,0)</f>
        <v/>
      </c>
      <c r="K400" s="95">
        <f>IF(AND(SUMIFS($D$245:$D$595,$F$245:$F$595,0,$E$245:$E$595,$G400,$C$245:$C$595,"&lt;="&amp;I$5)&lt;1000000,SUMIFS($D$245:$D$595,$F$245:$F$595,0,$E$245:$E$595,$G400,$C$245:$C$595,"&lt;="&amp;K5)&gt;=1000000),SUMIFS($D$245:$D$595,$F$245:$F$595,0,$E$245:$E$595,$G400)*$C$157 ,0)</f>
        <v/>
      </c>
      <c r="M400" s="95">
        <f>IF(AND(SUMIFS($D$245:$D$595,$F$245:$F$595,0,$E$245:$E$595,$G400,$C$245:$C$595,"&lt;="&amp;K$5)&lt;1000000,SUMIFS($D$245:$D$595,$F$245:$F$595,0,$E$245:$E$595,$G400,$C$245:$C$595,"&lt;="&amp;M5)&gt;=1000000),SUMIFS($D$245:$D$595,$F$245:$F$595,0,$E$245:$E$595,$G400)*$C$157 ,0)</f>
        <v/>
      </c>
      <c r="O400" s="95">
        <f>IF(AND(SUMIFS($D$245:$D$595,$F$245:$F$595,0,$E$245:$E$595,$G400,$C$245:$C$595,"&lt;="&amp;M$5)&lt;1000000,SUMIFS($D$245:$D$595,$F$245:$F$595,0,$E$245:$E$595,$G400,$C$245:$C$595,"&lt;="&amp;O5)&gt;=1000000),SUMIFS($D$245:$D$595,$F$245:$F$595,0,$E$245:$E$595,$G400)*$C$157 ,0)</f>
        <v/>
      </c>
      <c r="Q400" s="95">
        <f>IF(AND(SUMIFS($D$245:$D$595,$F$245:$F$595,0,$E$245:$E$595,$G400,$C$245:$C$595,"&lt;="&amp;O$5)&lt;1000000,SUMIFS($D$245:$D$595,$F$245:$F$595,0,$E$245:$E$595,$G400,$C$245:$C$595,"&lt;="&amp;Q5)&gt;=1000000),SUMIFS($D$245:$D$595,$F$245:$F$595,0,$E$245:$E$595,$G400)*$C$157 ,0)</f>
        <v/>
      </c>
      <c r="S400" s="95">
        <f>IF(AND(SUMIFS($D$245:$D$595,$F$245:$F$595,0,$E$245:$E$595,$G400,$C$245:$C$595,"&lt;="&amp;Q$5)&lt;1000000,SUMIFS($D$245:$D$595,$F$245:$F$595,0,$E$245:$E$595,$G400,$C$245:$C$595,"&lt;="&amp;S5)&gt;=1000000),SUMIFS($D$245:$D$595,$F$245:$F$595,0,$E$245:$E$595,$G400)*$C$157 ,0)</f>
        <v/>
      </c>
      <c r="U400" s="95">
        <f>IF(AND(SUMIFS($D$245:$D$595,$F$245:$F$595,0,$E$245:$E$595,$G400,$C$245:$C$595,"&lt;="&amp;S$5)&lt;1000000,SUMIFS($D$245:$D$595,$F$245:$F$595,0,$E$245:$E$595,$G400,$C$245:$C$595,"&lt;="&amp;U5)&gt;=1000000),SUMIFS($D$245:$D$595,$F$245:$F$595,0,$E$245:$E$595,$G400)*$C$157 ,0)</f>
        <v/>
      </c>
      <c r="W400" s="95">
        <f>IF(AND(SUMIFS($D$245:$D$595,$F$245:$F$595,0,$E$245:$E$595,$G400,$C$245:$C$595,"&lt;="&amp;U$5)&lt;1000000,SUMIFS($D$245:$D$595,$F$245:$F$595,0,$E$245:$E$595,$G400,$C$245:$C$595,"&lt;="&amp;W5)&gt;=1000000),SUMIFS($D$245:$D$595,$F$245:$F$595,0,$E$245:$E$595,$G400)*$C$157 ,0)</f>
        <v/>
      </c>
      <c r="Y400" s="95">
        <f>IF(AND(SUMIFS($D$245:$D$595,$F$245:$F$595,0,$E$245:$E$595,$G400,$C$245:$C$595,"&lt;="&amp;W$5)&lt;1000000,SUMIFS($D$245:$D$595,$F$245:$F$595,0,$E$245:$E$595,$G400,$C$245:$C$595,"&lt;="&amp;Y5)&gt;=1000000),SUMIFS($D$245:$D$595,$F$245:$F$595,0,$E$245:$E$595,$G400)*$C$157 ,0)</f>
        <v/>
      </c>
      <c r="AA400" s="95">
        <f>IF(AND(SUMIFS($D$245:$D$595,$F$245:$F$595,0,$E$245:$E$595,$G400,$C$245:$C$595,"&lt;="&amp;Y$5)&lt;1000000,SUMIFS($D$245:$D$595,$F$245:$F$595,0,$E$245:$E$595,$G400,$C$245:$C$595,"&lt;="&amp;AA5)&gt;=1000000),SUMIFS($D$245:$D$595,$F$245:$F$595,0,$E$245:$E$595,$G400)*$C$157 ,0)</f>
        <v/>
      </c>
      <c r="AC400" s="95">
        <f>IF(AND(SUMIFS($D$245:$D$595,$F$245:$F$595,0,$E$245:$E$595,$G400,$C$245:$C$595,"&lt;="&amp;AA$5)&lt;1000000,SUMIFS($D$245:$D$595,$F$245:$F$595,0,$E$245:$E$595,$G400,$C$245:$C$595,"&lt;="&amp;AC5)&gt;=1000000),SUMIFS($D$245:$D$595,$F$245:$F$595,0,$E$245:$E$595,$G400)*$C$157 ,0)</f>
        <v/>
      </c>
      <c r="AE400" s="95">
        <f>IF(AND(SUMIFS($D$245:$D$595,$F$245:$F$595,0,$E$245:$E$595,$G400,$C$245:$C$595,"&lt;="&amp;AC$5)&lt;1000000,SUMIFS($D$245:$D$595,$F$245:$F$595,0,$E$245:$E$595,$G400,$C$245:$C$595,"&lt;="&amp;AE5)&gt;=1000000),SUMIFS($D$245:$D$595,$F$245:$F$595,0,$E$245:$E$595,$G400)*$C$157 ,0)</f>
        <v/>
      </c>
      <c r="AF400" s="19" t="n"/>
    </row>
    <row r="401">
      <c r="A401" s="20">
        <f>mid(E401, 3, 1)</f>
        <v/>
      </c>
      <c r="B401" s="14" t="inlineStr"/>
      <c r="C401" s="21">
        <f>SUMIFS('Investor Exit List'!$AC:$AC,'Investor Exit List'!$AB:$AB,B401)</f>
        <v/>
      </c>
      <c r="D401" s="14">
        <f>SUMIFS('Investor Exit List'!$Q:$Q,'Investor Exit List'!$AB:$AB,B401)</f>
        <v/>
      </c>
      <c r="E401" s="31">
        <f>LEFT(B401,6)</f>
        <v/>
      </c>
      <c r="F401" s="14">
        <f>IF(SUMIFS($E$119:$E$151,$D$119:$D$151,E401)&lt;&gt;0,E401,0)</f>
        <v/>
      </c>
      <c r="G401" s="59" t="n"/>
      <c r="I401" s="28">
        <f>IF(AND(SUMIFS($D$245:$D$595,$F$245:$F$595,0,$E$245:$E$595,$G401,$C$245:$C$595,"&lt;="&amp;B$2)&lt;1000000,SUMIFS($D$245:$D$595,$F$245:$F$595,0,$E$245:$E$595,$G401,$C$245:$C$595,"&lt;="&amp;I5)&gt;=1000000),SUMIFS($D$245:$D$595,$F$245:$F$595,0,$E$245:$E$595,$G401)*$C$157 ,0)</f>
        <v/>
      </c>
      <c r="K401" s="95">
        <f>IF(AND(SUMIFS($D$245:$D$595,$F$245:$F$595,0,$E$245:$E$595,$G401,$C$245:$C$595,"&lt;="&amp;I$5)&lt;1000000,SUMIFS($D$245:$D$595,$F$245:$F$595,0,$E$245:$E$595,$G401,$C$245:$C$595,"&lt;="&amp;K5)&gt;=1000000),SUMIFS($D$245:$D$595,$F$245:$F$595,0,$E$245:$E$595,$G401)*$C$157 ,0)</f>
        <v/>
      </c>
      <c r="M401" s="95">
        <f>IF(AND(SUMIFS($D$245:$D$595,$F$245:$F$595,0,$E$245:$E$595,$G401,$C$245:$C$595,"&lt;="&amp;K$5)&lt;1000000,SUMIFS($D$245:$D$595,$F$245:$F$595,0,$E$245:$E$595,$G401,$C$245:$C$595,"&lt;="&amp;M5)&gt;=1000000),SUMIFS($D$245:$D$595,$F$245:$F$595,0,$E$245:$E$595,$G401)*$C$157 ,0)</f>
        <v/>
      </c>
      <c r="O401" s="95">
        <f>IF(AND(SUMIFS($D$245:$D$595,$F$245:$F$595,0,$E$245:$E$595,$G401,$C$245:$C$595,"&lt;="&amp;M$5)&lt;1000000,SUMIFS($D$245:$D$595,$F$245:$F$595,0,$E$245:$E$595,$G401,$C$245:$C$595,"&lt;="&amp;O5)&gt;=1000000),SUMIFS($D$245:$D$595,$F$245:$F$595,0,$E$245:$E$595,$G401)*$C$157 ,0)</f>
        <v/>
      </c>
      <c r="Q401" s="95">
        <f>IF(AND(SUMIFS($D$245:$D$595,$F$245:$F$595,0,$E$245:$E$595,$G401,$C$245:$C$595,"&lt;="&amp;O$5)&lt;1000000,SUMIFS($D$245:$D$595,$F$245:$F$595,0,$E$245:$E$595,$G401,$C$245:$C$595,"&lt;="&amp;Q5)&gt;=1000000),SUMIFS($D$245:$D$595,$F$245:$F$595,0,$E$245:$E$595,$G401)*$C$157 ,0)</f>
        <v/>
      </c>
      <c r="S401" s="95">
        <f>IF(AND(SUMIFS($D$245:$D$595,$F$245:$F$595,0,$E$245:$E$595,$G401,$C$245:$C$595,"&lt;="&amp;Q$5)&lt;1000000,SUMIFS($D$245:$D$595,$F$245:$F$595,0,$E$245:$E$595,$G401,$C$245:$C$595,"&lt;="&amp;S5)&gt;=1000000),SUMIFS($D$245:$D$595,$F$245:$F$595,0,$E$245:$E$595,$G401)*$C$157 ,0)</f>
        <v/>
      </c>
      <c r="U401" s="95">
        <f>IF(AND(SUMIFS($D$245:$D$595,$F$245:$F$595,0,$E$245:$E$595,$G401,$C$245:$C$595,"&lt;="&amp;S$5)&lt;1000000,SUMIFS($D$245:$D$595,$F$245:$F$595,0,$E$245:$E$595,$G401,$C$245:$C$595,"&lt;="&amp;U5)&gt;=1000000),SUMIFS($D$245:$D$595,$F$245:$F$595,0,$E$245:$E$595,$G401)*$C$157 ,0)</f>
        <v/>
      </c>
      <c r="W401" s="95">
        <f>IF(AND(SUMIFS($D$245:$D$595,$F$245:$F$595,0,$E$245:$E$595,$G401,$C$245:$C$595,"&lt;="&amp;U$5)&lt;1000000,SUMIFS($D$245:$D$595,$F$245:$F$595,0,$E$245:$E$595,$G401,$C$245:$C$595,"&lt;="&amp;W5)&gt;=1000000),SUMIFS($D$245:$D$595,$F$245:$F$595,0,$E$245:$E$595,$G401)*$C$157 ,0)</f>
        <v/>
      </c>
      <c r="Y401" s="95">
        <f>IF(AND(SUMIFS($D$245:$D$595,$F$245:$F$595,0,$E$245:$E$595,$G401,$C$245:$C$595,"&lt;="&amp;W$5)&lt;1000000,SUMIFS($D$245:$D$595,$F$245:$F$595,0,$E$245:$E$595,$G401,$C$245:$C$595,"&lt;="&amp;Y5)&gt;=1000000),SUMIFS($D$245:$D$595,$F$245:$F$595,0,$E$245:$E$595,$G401)*$C$157 ,0)</f>
        <v/>
      </c>
      <c r="AA401" s="95">
        <f>IF(AND(SUMIFS($D$245:$D$595,$F$245:$F$595,0,$E$245:$E$595,$G401,$C$245:$C$595,"&lt;="&amp;Y$5)&lt;1000000,SUMIFS($D$245:$D$595,$F$245:$F$595,0,$E$245:$E$595,$G401,$C$245:$C$595,"&lt;="&amp;AA5)&gt;=1000000),SUMIFS($D$245:$D$595,$F$245:$F$595,0,$E$245:$E$595,$G401)*$C$157 ,0)</f>
        <v/>
      </c>
      <c r="AC401" s="95">
        <f>IF(AND(SUMIFS($D$245:$D$595,$F$245:$F$595,0,$E$245:$E$595,$G401,$C$245:$C$595,"&lt;="&amp;AA$5)&lt;1000000,SUMIFS($D$245:$D$595,$F$245:$F$595,0,$E$245:$E$595,$G401,$C$245:$C$595,"&lt;="&amp;AC5)&gt;=1000000),SUMIFS($D$245:$D$595,$F$245:$F$595,0,$E$245:$E$595,$G401)*$C$157 ,0)</f>
        <v/>
      </c>
      <c r="AE401" s="95">
        <f>IF(AND(SUMIFS($D$245:$D$595,$F$245:$F$595,0,$E$245:$E$595,$G401,$C$245:$C$595,"&lt;="&amp;AC$5)&lt;1000000,SUMIFS($D$245:$D$595,$F$245:$F$595,0,$E$245:$E$595,$G401,$C$245:$C$595,"&lt;="&amp;AE5)&gt;=1000000),SUMIFS($D$245:$D$595,$F$245:$F$595,0,$E$245:$E$595,$G401)*$C$157 ,0)</f>
        <v/>
      </c>
      <c r="AF401" s="19" t="n"/>
    </row>
    <row r="402">
      <c r="A402" s="20">
        <f>mid(E402, 3, 1)</f>
        <v/>
      </c>
      <c r="B402" s="14" t="inlineStr"/>
      <c r="C402" s="21">
        <f>SUMIFS('Investor Exit List'!$AC:$AC,'Investor Exit List'!$AB:$AB,B402)</f>
        <v/>
      </c>
      <c r="D402" s="14">
        <f>SUMIFS('Investor Exit List'!$Q:$Q,'Investor Exit List'!$AB:$AB,B402)</f>
        <v/>
      </c>
      <c r="E402" s="31">
        <f>LEFT(B402,6)</f>
        <v/>
      </c>
      <c r="F402" s="14">
        <f>IF(SUMIFS($E$119:$E$151,$D$119:$D$151,E402)&lt;&gt;0,E402,0)</f>
        <v/>
      </c>
      <c r="G402" s="59" t="n"/>
      <c r="I402" s="28">
        <f>IF(AND(SUMIFS($D$245:$D$595,$F$245:$F$595,0,$E$245:$E$595,$G402,$C$245:$C$595,"&lt;="&amp;B$2)&lt;1000000,SUMIFS($D$245:$D$595,$F$245:$F$595,0,$E$245:$E$595,$G402,$C$245:$C$595,"&lt;="&amp;I5)&gt;=1000000),SUMIFS($D$245:$D$595,$F$245:$F$595,0,$E$245:$E$595,$G402)*$C$157 ,0)</f>
        <v/>
      </c>
      <c r="K402" s="95">
        <f>IF(AND(SUMIFS($D$245:$D$595,$F$245:$F$595,0,$E$245:$E$595,$G402,$C$245:$C$595,"&lt;="&amp;I$5)&lt;1000000,SUMIFS($D$245:$D$595,$F$245:$F$595,0,$E$245:$E$595,$G402,$C$245:$C$595,"&lt;="&amp;K5)&gt;=1000000),SUMIFS($D$245:$D$595,$F$245:$F$595,0,$E$245:$E$595,$G402)*$C$157 ,0)</f>
        <v/>
      </c>
      <c r="M402" s="95">
        <f>IF(AND(SUMIFS($D$245:$D$595,$F$245:$F$595,0,$E$245:$E$595,$G402,$C$245:$C$595,"&lt;="&amp;K$5)&lt;1000000,SUMIFS($D$245:$D$595,$F$245:$F$595,0,$E$245:$E$595,$G402,$C$245:$C$595,"&lt;="&amp;M5)&gt;=1000000),SUMIFS($D$245:$D$595,$F$245:$F$595,0,$E$245:$E$595,$G402)*$C$157 ,0)</f>
        <v/>
      </c>
      <c r="O402" s="95">
        <f>IF(AND(SUMIFS($D$245:$D$595,$F$245:$F$595,0,$E$245:$E$595,$G402,$C$245:$C$595,"&lt;="&amp;M$5)&lt;1000000,SUMIFS($D$245:$D$595,$F$245:$F$595,0,$E$245:$E$595,$G402,$C$245:$C$595,"&lt;="&amp;O5)&gt;=1000000),SUMIFS($D$245:$D$595,$F$245:$F$595,0,$E$245:$E$595,$G402)*$C$157 ,0)</f>
        <v/>
      </c>
      <c r="Q402" s="95">
        <f>IF(AND(SUMIFS($D$245:$D$595,$F$245:$F$595,0,$E$245:$E$595,$G402,$C$245:$C$595,"&lt;="&amp;O$5)&lt;1000000,SUMIFS($D$245:$D$595,$F$245:$F$595,0,$E$245:$E$595,$G402,$C$245:$C$595,"&lt;="&amp;Q5)&gt;=1000000),SUMIFS($D$245:$D$595,$F$245:$F$595,0,$E$245:$E$595,$G402)*$C$157 ,0)</f>
        <v/>
      </c>
      <c r="S402" s="95">
        <f>IF(AND(SUMIFS($D$245:$D$595,$F$245:$F$595,0,$E$245:$E$595,$G402,$C$245:$C$595,"&lt;="&amp;Q$5)&lt;1000000,SUMIFS($D$245:$D$595,$F$245:$F$595,0,$E$245:$E$595,$G402,$C$245:$C$595,"&lt;="&amp;S5)&gt;=1000000),SUMIFS($D$245:$D$595,$F$245:$F$595,0,$E$245:$E$595,$G402)*$C$157 ,0)</f>
        <v/>
      </c>
      <c r="U402" s="95">
        <f>IF(AND(SUMIFS($D$245:$D$595,$F$245:$F$595,0,$E$245:$E$595,$G402,$C$245:$C$595,"&lt;="&amp;S$5)&lt;1000000,SUMIFS($D$245:$D$595,$F$245:$F$595,0,$E$245:$E$595,$G402,$C$245:$C$595,"&lt;="&amp;U5)&gt;=1000000),SUMIFS($D$245:$D$595,$F$245:$F$595,0,$E$245:$E$595,$G402)*$C$157 ,0)</f>
        <v/>
      </c>
      <c r="W402" s="95">
        <f>IF(AND(SUMIFS($D$245:$D$595,$F$245:$F$595,0,$E$245:$E$595,$G402,$C$245:$C$595,"&lt;="&amp;U$5)&lt;1000000,SUMIFS($D$245:$D$595,$F$245:$F$595,0,$E$245:$E$595,$G402,$C$245:$C$595,"&lt;="&amp;W5)&gt;=1000000),SUMIFS($D$245:$D$595,$F$245:$F$595,0,$E$245:$E$595,$G402)*$C$157 ,0)</f>
        <v/>
      </c>
      <c r="Y402" s="95">
        <f>IF(AND(SUMIFS($D$245:$D$595,$F$245:$F$595,0,$E$245:$E$595,$G402,$C$245:$C$595,"&lt;="&amp;W$5)&lt;1000000,SUMIFS($D$245:$D$595,$F$245:$F$595,0,$E$245:$E$595,$G402,$C$245:$C$595,"&lt;="&amp;Y5)&gt;=1000000),SUMIFS($D$245:$D$595,$F$245:$F$595,0,$E$245:$E$595,$G402)*$C$157 ,0)</f>
        <v/>
      </c>
      <c r="AA402" s="95">
        <f>IF(AND(SUMIFS($D$245:$D$595,$F$245:$F$595,0,$E$245:$E$595,$G402,$C$245:$C$595,"&lt;="&amp;Y$5)&lt;1000000,SUMIFS($D$245:$D$595,$F$245:$F$595,0,$E$245:$E$595,$G402,$C$245:$C$595,"&lt;="&amp;AA5)&gt;=1000000),SUMIFS($D$245:$D$595,$F$245:$F$595,0,$E$245:$E$595,$G402)*$C$157 ,0)</f>
        <v/>
      </c>
      <c r="AC402" s="95">
        <f>IF(AND(SUMIFS($D$245:$D$595,$F$245:$F$595,0,$E$245:$E$595,$G402,$C$245:$C$595,"&lt;="&amp;AA$5)&lt;1000000,SUMIFS($D$245:$D$595,$F$245:$F$595,0,$E$245:$E$595,$G402,$C$245:$C$595,"&lt;="&amp;AC5)&gt;=1000000),SUMIFS($D$245:$D$595,$F$245:$F$595,0,$E$245:$E$595,$G402)*$C$157 ,0)</f>
        <v/>
      </c>
      <c r="AE402" s="95">
        <f>IF(AND(SUMIFS($D$245:$D$595,$F$245:$F$595,0,$E$245:$E$595,$G402,$C$245:$C$595,"&lt;="&amp;AC$5)&lt;1000000,SUMIFS($D$245:$D$595,$F$245:$F$595,0,$E$245:$E$595,$G402,$C$245:$C$595,"&lt;="&amp;AE5)&gt;=1000000),SUMIFS($D$245:$D$595,$F$245:$F$595,0,$E$245:$E$595,$G402)*$C$157 ,0)</f>
        <v/>
      </c>
      <c r="AF402" s="19" t="n"/>
    </row>
    <row r="403">
      <c r="A403" s="20">
        <f>mid(E403, 3, 1)</f>
        <v/>
      </c>
      <c r="B403" s="14" t="inlineStr"/>
      <c r="C403" s="21">
        <f>SUMIFS('Investor Exit List'!$AC:$AC,'Investor Exit List'!$AB:$AB,B403)</f>
        <v/>
      </c>
      <c r="D403" s="14">
        <f>SUMIFS('Investor Exit List'!$Q:$Q,'Investor Exit List'!$AB:$AB,B403)</f>
        <v/>
      </c>
      <c r="E403" s="31">
        <f>LEFT(B403,6)</f>
        <v/>
      </c>
      <c r="F403" s="14">
        <f>IF(SUMIFS($E$119:$E$151,$D$119:$D$151,E403)&lt;&gt;0,E403,0)</f>
        <v/>
      </c>
      <c r="G403" s="59" t="n"/>
      <c r="I403" s="28">
        <f>IF(AND(SUMIFS($D$245:$D$595,$F$245:$F$595,0,$E$245:$E$595,$G403,$C$245:$C$595,"&lt;="&amp;B$2)&lt;1000000,SUMIFS($D$245:$D$595,$F$245:$F$595,0,$E$245:$E$595,$G403,$C$245:$C$595,"&lt;="&amp;I5)&gt;=1000000),SUMIFS($D$245:$D$595,$F$245:$F$595,0,$E$245:$E$595,$G403)*$C$157 ,0)</f>
        <v/>
      </c>
      <c r="K403" s="95">
        <f>IF(AND(SUMIFS($D$245:$D$595,$F$245:$F$595,0,$E$245:$E$595,$G403,$C$245:$C$595,"&lt;="&amp;I$5)&lt;1000000,SUMIFS($D$245:$D$595,$F$245:$F$595,0,$E$245:$E$595,$G403,$C$245:$C$595,"&lt;="&amp;K5)&gt;=1000000),SUMIFS($D$245:$D$595,$F$245:$F$595,0,$E$245:$E$595,$G403)*$C$157 ,0)</f>
        <v/>
      </c>
      <c r="M403" s="95">
        <f>IF(AND(SUMIFS($D$245:$D$595,$F$245:$F$595,0,$E$245:$E$595,$G403,$C$245:$C$595,"&lt;="&amp;K$5)&lt;1000000,SUMIFS($D$245:$D$595,$F$245:$F$595,0,$E$245:$E$595,$G403,$C$245:$C$595,"&lt;="&amp;M5)&gt;=1000000),SUMIFS($D$245:$D$595,$F$245:$F$595,0,$E$245:$E$595,$G403)*$C$157 ,0)</f>
        <v/>
      </c>
      <c r="O403" s="95">
        <f>IF(AND(SUMIFS($D$245:$D$595,$F$245:$F$595,0,$E$245:$E$595,$G403,$C$245:$C$595,"&lt;="&amp;M$5)&lt;1000000,SUMIFS($D$245:$D$595,$F$245:$F$595,0,$E$245:$E$595,$G403,$C$245:$C$595,"&lt;="&amp;O5)&gt;=1000000),SUMIFS($D$245:$D$595,$F$245:$F$595,0,$E$245:$E$595,$G403)*$C$157 ,0)</f>
        <v/>
      </c>
      <c r="Q403" s="95">
        <f>IF(AND(SUMIFS($D$245:$D$595,$F$245:$F$595,0,$E$245:$E$595,$G403,$C$245:$C$595,"&lt;="&amp;O$5)&lt;1000000,SUMIFS($D$245:$D$595,$F$245:$F$595,0,$E$245:$E$595,$G403,$C$245:$C$595,"&lt;="&amp;Q5)&gt;=1000000),SUMIFS($D$245:$D$595,$F$245:$F$595,0,$E$245:$E$595,$G403)*$C$157 ,0)</f>
        <v/>
      </c>
      <c r="S403" s="95">
        <f>IF(AND(SUMIFS($D$245:$D$595,$F$245:$F$595,0,$E$245:$E$595,$G403,$C$245:$C$595,"&lt;="&amp;Q$5)&lt;1000000,SUMIFS($D$245:$D$595,$F$245:$F$595,0,$E$245:$E$595,$G403,$C$245:$C$595,"&lt;="&amp;S5)&gt;=1000000),SUMIFS($D$245:$D$595,$F$245:$F$595,0,$E$245:$E$595,$G403)*$C$157 ,0)</f>
        <v/>
      </c>
      <c r="U403" s="95">
        <f>IF(AND(SUMIFS($D$245:$D$595,$F$245:$F$595,0,$E$245:$E$595,$G403,$C$245:$C$595,"&lt;="&amp;S$5)&lt;1000000,SUMIFS($D$245:$D$595,$F$245:$F$595,0,$E$245:$E$595,$G403,$C$245:$C$595,"&lt;="&amp;U5)&gt;=1000000),SUMIFS($D$245:$D$595,$F$245:$F$595,0,$E$245:$E$595,$G403)*$C$157 ,0)</f>
        <v/>
      </c>
      <c r="W403" s="95">
        <f>IF(AND(SUMIFS($D$245:$D$595,$F$245:$F$595,0,$E$245:$E$595,$G403,$C$245:$C$595,"&lt;="&amp;U$5)&lt;1000000,SUMIFS($D$245:$D$595,$F$245:$F$595,0,$E$245:$E$595,$G403,$C$245:$C$595,"&lt;="&amp;W5)&gt;=1000000),SUMIFS($D$245:$D$595,$F$245:$F$595,0,$E$245:$E$595,$G403)*$C$157 ,0)</f>
        <v/>
      </c>
      <c r="Y403" s="95">
        <f>IF(AND(SUMIFS($D$245:$D$595,$F$245:$F$595,0,$E$245:$E$595,$G403,$C$245:$C$595,"&lt;="&amp;W$5)&lt;1000000,SUMIFS($D$245:$D$595,$F$245:$F$595,0,$E$245:$E$595,$G403,$C$245:$C$595,"&lt;="&amp;Y5)&gt;=1000000),SUMIFS($D$245:$D$595,$F$245:$F$595,0,$E$245:$E$595,$G403)*$C$157 ,0)</f>
        <v/>
      </c>
      <c r="AA403" s="95">
        <f>IF(AND(SUMIFS($D$245:$D$595,$F$245:$F$595,0,$E$245:$E$595,$G403,$C$245:$C$595,"&lt;="&amp;Y$5)&lt;1000000,SUMIFS($D$245:$D$595,$F$245:$F$595,0,$E$245:$E$595,$G403,$C$245:$C$595,"&lt;="&amp;AA5)&gt;=1000000),SUMIFS($D$245:$D$595,$F$245:$F$595,0,$E$245:$E$595,$G403)*$C$157 ,0)</f>
        <v/>
      </c>
      <c r="AC403" s="95">
        <f>IF(AND(SUMIFS($D$245:$D$595,$F$245:$F$595,0,$E$245:$E$595,$G403,$C$245:$C$595,"&lt;="&amp;AA$5)&lt;1000000,SUMIFS($D$245:$D$595,$F$245:$F$595,0,$E$245:$E$595,$G403,$C$245:$C$595,"&lt;="&amp;AC5)&gt;=1000000),SUMIFS($D$245:$D$595,$F$245:$F$595,0,$E$245:$E$595,$G403)*$C$157 ,0)</f>
        <v/>
      </c>
      <c r="AE403" s="95">
        <f>IF(AND(SUMIFS($D$245:$D$595,$F$245:$F$595,0,$E$245:$E$595,$G403,$C$245:$C$595,"&lt;="&amp;AC$5)&lt;1000000,SUMIFS($D$245:$D$595,$F$245:$F$595,0,$E$245:$E$595,$G403,$C$245:$C$595,"&lt;="&amp;AE5)&gt;=1000000),SUMIFS($D$245:$D$595,$F$245:$F$595,0,$E$245:$E$595,$G403)*$C$157 ,0)</f>
        <v/>
      </c>
      <c r="AF403" s="19" t="n"/>
    </row>
    <row r="404">
      <c r="A404" s="20">
        <f>mid(E404, 3, 1)</f>
        <v/>
      </c>
      <c r="B404" s="14" t="inlineStr"/>
      <c r="C404" s="21">
        <f>SUMIFS('Investor Exit List'!$AC:$AC,'Investor Exit List'!$AB:$AB,B404)</f>
        <v/>
      </c>
      <c r="D404" s="14">
        <f>SUMIFS('Investor Exit List'!$Q:$Q,'Investor Exit List'!$AB:$AB,B404)</f>
        <v/>
      </c>
      <c r="E404" s="31">
        <f>LEFT(B404,6)</f>
        <v/>
      </c>
      <c r="F404" s="14">
        <f>IF(SUMIFS($E$119:$E$151,$D$119:$D$151,E404)&lt;&gt;0,E404,0)</f>
        <v/>
      </c>
      <c r="G404" s="59" t="n"/>
      <c r="I404" s="28">
        <f>IF(AND(SUMIFS($D$245:$D$595,$F$245:$F$595,0,$E$245:$E$595,$G404,$C$245:$C$595,"&lt;="&amp;B$2)&lt;1000000,SUMIFS($D$245:$D$595,$F$245:$F$595,0,$E$245:$E$595,$G404,$C$245:$C$595,"&lt;="&amp;I5)&gt;=1000000),SUMIFS($D$245:$D$595,$F$245:$F$595,0,$E$245:$E$595,$G404)*$C$157 ,0)</f>
        <v/>
      </c>
      <c r="K404" s="95">
        <f>IF(AND(SUMIFS($D$245:$D$595,$F$245:$F$595,0,$E$245:$E$595,$G404,$C$245:$C$595,"&lt;="&amp;I$5)&lt;1000000,SUMIFS($D$245:$D$595,$F$245:$F$595,0,$E$245:$E$595,$G404,$C$245:$C$595,"&lt;="&amp;K5)&gt;=1000000),SUMIFS($D$245:$D$595,$F$245:$F$595,0,$E$245:$E$595,$G404)*$C$157 ,0)</f>
        <v/>
      </c>
      <c r="M404" s="95">
        <f>IF(AND(SUMIFS($D$245:$D$595,$F$245:$F$595,0,$E$245:$E$595,$G404,$C$245:$C$595,"&lt;="&amp;K$5)&lt;1000000,SUMIFS($D$245:$D$595,$F$245:$F$595,0,$E$245:$E$595,$G404,$C$245:$C$595,"&lt;="&amp;M5)&gt;=1000000),SUMIFS($D$245:$D$595,$F$245:$F$595,0,$E$245:$E$595,$G404)*$C$157 ,0)</f>
        <v/>
      </c>
      <c r="O404" s="95">
        <f>IF(AND(SUMIFS($D$245:$D$595,$F$245:$F$595,0,$E$245:$E$595,$G404,$C$245:$C$595,"&lt;="&amp;M$5)&lt;1000000,SUMIFS($D$245:$D$595,$F$245:$F$595,0,$E$245:$E$595,$G404,$C$245:$C$595,"&lt;="&amp;O5)&gt;=1000000),SUMIFS($D$245:$D$595,$F$245:$F$595,0,$E$245:$E$595,$G404)*$C$157 ,0)</f>
        <v/>
      </c>
      <c r="Q404" s="95">
        <f>IF(AND(SUMIFS($D$245:$D$595,$F$245:$F$595,0,$E$245:$E$595,$G404,$C$245:$C$595,"&lt;="&amp;O$5)&lt;1000000,SUMIFS($D$245:$D$595,$F$245:$F$595,0,$E$245:$E$595,$G404,$C$245:$C$595,"&lt;="&amp;Q5)&gt;=1000000),SUMIFS($D$245:$D$595,$F$245:$F$595,0,$E$245:$E$595,$G404)*$C$157 ,0)</f>
        <v/>
      </c>
      <c r="S404" s="95">
        <f>IF(AND(SUMIFS($D$245:$D$595,$F$245:$F$595,0,$E$245:$E$595,$G404,$C$245:$C$595,"&lt;="&amp;Q$5)&lt;1000000,SUMIFS($D$245:$D$595,$F$245:$F$595,0,$E$245:$E$595,$G404,$C$245:$C$595,"&lt;="&amp;S5)&gt;=1000000),SUMIFS($D$245:$D$595,$F$245:$F$595,0,$E$245:$E$595,$G404)*$C$157 ,0)</f>
        <v/>
      </c>
      <c r="U404" s="95">
        <f>IF(AND(SUMIFS($D$245:$D$595,$F$245:$F$595,0,$E$245:$E$595,$G404,$C$245:$C$595,"&lt;="&amp;S$5)&lt;1000000,SUMIFS($D$245:$D$595,$F$245:$F$595,0,$E$245:$E$595,$G404,$C$245:$C$595,"&lt;="&amp;U5)&gt;=1000000),SUMIFS($D$245:$D$595,$F$245:$F$595,0,$E$245:$E$595,$G404)*$C$157 ,0)</f>
        <v/>
      </c>
      <c r="W404" s="95">
        <f>IF(AND(SUMIFS($D$245:$D$595,$F$245:$F$595,0,$E$245:$E$595,$G404,$C$245:$C$595,"&lt;="&amp;U$5)&lt;1000000,SUMIFS($D$245:$D$595,$F$245:$F$595,0,$E$245:$E$595,$G404,$C$245:$C$595,"&lt;="&amp;W5)&gt;=1000000),SUMIFS($D$245:$D$595,$F$245:$F$595,0,$E$245:$E$595,$G404)*$C$157 ,0)</f>
        <v/>
      </c>
      <c r="Y404" s="95">
        <f>IF(AND(SUMIFS($D$245:$D$595,$F$245:$F$595,0,$E$245:$E$595,$G404,$C$245:$C$595,"&lt;="&amp;W$5)&lt;1000000,SUMIFS($D$245:$D$595,$F$245:$F$595,0,$E$245:$E$595,$G404,$C$245:$C$595,"&lt;="&amp;Y5)&gt;=1000000),SUMIFS($D$245:$D$595,$F$245:$F$595,0,$E$245:$E$595,$G404)*$C$157 ,0)</f>
        <v/>
      </c>
      <c r="AA404" s="95">
        <f>IF(AND(SUMIFS($D$245:$D$595,$F$245:$F$595,0,$E$245:$E$595,$G404,$C$245:$C$595,"&lt;="&amp;Y$5)&lt;1000000,SUMIFS($D$245:$D$595,$F$245:$F$595,0,$E$245:$E$595,$G404,$C$245:$C$595,"&lt;="&amp;AA5)&gt;=1000000),SUMIFS($D$245:$D$595,$F$245:$F$595,0,$E$245:$E$595,$G404)*$C$157 ,0)</f>
        <v/>
      </c>
      <c r="AC404" s="95">
        <f>IF(AND(SUMIFS($D$245:$D$595,$F$245:$F$595,0,$E$245:$E$595,$G404,$C$245:$C$595,"&lt;="&amp;AA$5)&lt;1000000,SUMIFS($D$245:$D$595,$F$245:$F$595,0,$E$245:$E$595,$G404,$C$245:$C$595,"&lt;="&amp;AC5)&gt;=1000000),SUMIFS($D$245:$D$595,$F$245:$F$595,0,$E$245:$E$595,$G404)*$C$157 ,0)</f>
        <v/>
      </c>
      <c r="AE404" s="95">
        <f>IF(AND(SUMIFS($D$245:$D$595,$F$245:$F$595,0,$E$245:$E$595,$G404,$C$245:$C$595,"&lt;="&amp;AC$5)&lt;1000000,SUMIFS($D$245:$D$595,$F$245:$F$595,0,$E$245:$E$595,$G404,$C$245:$C$595,"&lt;="&amp;AE5)&gt;=1000000),SUMIFS($D$245:$D$595,$F$245:$F$595,0,$E$245:$E$595,$G404)*$C$157 ,0)</f>
        <v/>
      </c>
      <c r="AF404" s="19" t="n"/>
    </row>
    <row r="405">
      <c r="A405" s="20">
        <f>mid(E405, 3, 1)</f>
        <v/>
      </c>
      <c r="B405" s="14" t="inlineStr"/>
      <c r="C405" s="21">
        <f>SUMIFS('Investor Exit List'!$AC:$AC,'Investor Exit List'!$AB:$AB,B405)</f>
        <v/>
      </c>
      <c r="D405" s="14">
        <f>SUMIFS('Investor Exit List'!$Q:$Q,'Investor Exit List'!$AB:$AB,B405)</f>
        <v/>
      </c>
      <c r="E405" s="31">
        <f>LEFT(B405,6)</f>
        <v/>
      </c>
      <c r="F405" s="14">
        <f>IF(SUMIFS($E$119:$E$151,$D$119:$D$151,E405)&lt;&gt;0,E405,0)</f>
        <v/>
      </c>
      <c r="G405" s="59" t="n"/>
      <c r="I405" s="28">
        <f>IF(AND(SUMIFS($D$245:$D$595,$F$245:$F$595,0,$E$245:$E$595,$G405,$C$245:$C$595,"&lt;="&amp;B$2)&lt;1000000,SUMIFS($D$245:$D$595,$F$245:$F$595,0,$E$245:$E$595,$G405,$C$245:$C$595,"&lt;="&amp;I5)&gt;=1000000),SUMIFS($D$245:$D$595,$F$245:$F$595,0,$E$245:$E$595,$G405)*$C$157 ,0)</f>
        <v/>
      </c>
      <c r="K405" s="95">
        <f>IF(AND(SUMIFS($D$245:$D$595,$F$245:$F$595,0,$E$245:$E$595,$G405,$C$245:$C$595,"&lt;="&amp;I$5)&lt;1000000,SUMIFS($D$245:$D$595,$F$245:$F$595,0,$E$245:$E$595,$G405,$C$245:$C$595,"&lt;="&amp;K5)&gt;=1000000),SUMIFS($D$245:$D$595,$F$245:$F$595,0,$E$245:$E$595,$G405)*$C$157 ,0)</f>
        <v/>
      </c>
      <c r="M405" s="95">
        <f>IF(AND(SUMIFS($D$245:$D$595,$F$245:$F$595,0,$E$245:$E$595,$G405,$C$245:$C$595,"&lt;="&amp;K$5)&lt;1000000,SUMIFS($D$245:$D$595,$F$245:$F$595,0,$E$245:$E$595,$G405,$C$245:$C$595,"&lt;="&amp;M5)&gt;=1000000),SUMIFS($D$245:$D$595,$F$245:$F$595,0,$E$245:$E$595,$G405)*$C$157 ,0)</f>
        <v/>
      </c>
      <c r="O405" s="95">
        <f>IF(AND(SUMIFS($D$245:$D$595,$F$245:$F$595,0,$E$245:$E$595,$G405,$C$245:$C$595,"&lt;="&amp;M$5)&lt;1000000,SUMIFS($D$245:$D$595,$F$245:$F$595,0,$E$245:$E$595,$G405,$C$245:$C$595,"&lt;="&amp;O5)&gt;=1000000),SUMIFS($D$245:$D$595,$F$245:$F$595,0,$E$245:$E$595,$G405)*$C$157 ,0)</f>
        <v/>
      </c>
      <c r="Q405" s="95">
        <f>IF(AND(SUMIFS($D$245:$D$595,$F$245:$F$595,0,$E$245:$E$595,$G405,$C$245:$C$595,"&lt;="&amp;O$5)&lt;1000000,SUMIFS($D$245:$D$595,$F$245:$F$595,0,$E$245:$E$595,$G405,$C$245:$C$595,"&lt;="&amp;Q5)&gt;=1000000),SUMIFS($D$245:$D$595,$F$245:$F$595,0,$E$245:$E$595,$G405)*$C$157 ,0)</f>
        <v/>
      </c>
      <c r="S405" s="95">
        <f>IF(AND(SUMIFS($D$245:$D$595,$F$245:$F$595,0,$E$245:$E$595,$G405,$C$245:$C$595,"&lt;="&amp;Q$5)&lt;1000000,SUMIFS($D$245:$D$595,$F$245:$F$595,0,$E$245:$E$595,$G405,$C$245:$C$595,"&lt;="&amp;S5)&gt;=1000000),SUMIFS($D$245:$D$595,$F$245:$F$595,0,$E$245:$E$595,$G405)*$C$157 ,0)</f>
        <v/>
      </c>
      <c r="U405" s="95">
        <f>IF(AND(SUMIFS($D$245:$D$595,$F$245:$F$595,0,$E$245:$E$595,$G405,$C$245:$C$595,"&lt;="&amp;S$5)&lt;1000000,SUMIFS($D$245:$D$595,$F$245:$F$595,0,$E$245:$E$595,$G405,$C$245:$C$595,"&lt;="&amp;U5)&gt;=1000000),SUMIFS($D$245:$D$595,$F$245:$F$595,0,$E$245:$E$595,$G405)*$C$157 ,0)</f>
        <v/>
      </c>
      <c r="W405" s="95">
        <f>IF(AND(SUMIFS($D$245:$D$595,$F$245:$F$595,0,$E$245:$E$595,$G405,$C$245:$C$595,"&lt;="&amp;U$5)&lt;1000000,SUMIFS($D$245:$D$595,$F$245:$F$595,0,$E$245:$E$595,$G405,$C$245:$C$595,"&lt;="&amp;W5)&gt;=1000000),SUMIFS($D$245:$D$595,$F$245:$F$595,0,$E$245:$E$595,$G405)*$C$157 ,0)</f>
        <v/>
      </c>
      <c r="Y405" s="95">
        <f>IF(AND(SUMIFS($D$245:$D$595,$F$245:$F$595,0,$E$245:$E$595,$G405,$C$245:$C$595,"&lt;="&amp;W$5)&lt;1000000,SUMIFS($D$245:$D$595,$F$245:$F$595,0,$E$245:$E$595,$G405,$C$245:$C$595,"&lt;="&amp;Y5)&gt;=1000000),SUMIFS($D$245:$D$595,$F$245:$F$595,0,$E$245:$E$595,$G405)*$C$157 ,0)</f>
        <v/>
      </c>
      <c r="AA405" s="95">
        <f>IF(AND(SUMIFS($D$245:$D$595,$F$245:$F$595,0,$E$245:$E$595,$G405,$C$245:$C$595,"&lt;="&amp;Y$5)&lt;1000000,SUMIFS($D$245:$D$595,$F$245:$F$595,0,$E$245:$E$595,$G405,$C$245:$C$595,"&lt;="&amp;AA5)&gt;=1000000),SUMIFS($D$245:$D$595,$F$245:$F$595,0,$E$245:$E$595,$G405)*$C$157 ,0)</f>
        <v/>
      </c>
      <c r="AC405" s="95">
        <f>IF(AND(SUMIFS($D$245:$D$595,$F$245:$F$595,0,$E$245:$E$595,$G405,$C$245:$C$595,"&lt;="&amp;AA$5)&lt;1000000,SUMIFS($D$245:$D$595,$F$245:$F$595,0,$E$245:$E$595,$G405,$C$245:$C$595,"&lt;="&amp;AC5)&gt;=1000000),SUMIFS($D$245:$D$595,$F$245:$F$595,0,$E$245:$E$595,$G405)*$C$157 ,0)</f>
        <v/>
      </c>
      <c r="AE405" s="95">
        <f>IF(AND(SUMIFS($D$245:$D$595,$F$245:$F$595,0,$E$245:$E$595,$G405,$C$245:$C$595,"&lt;="&amp;AC$5)&lt;1000000,SUMIFS($D$245:$D$595,$F$245:$F$595,0,$E$245:$E$595,$G405,$C$245:$C$595,"&lt;="&amp;AE5)&gt;=1000000),SUMIFS($D$245:$D$595,$F$245:$F$595,0,$E$245:$E$595,$G405)*$C$157 ,0)</f>
        <v/>
      </c>
      <c r="AF405" s="19" t="n"/>
    </row>
    <row r="406">
      <c r="A406" s="20">
        <f>mid(E406, 3, 1)</f>
        <v/>
      </c>
      <c r="B406" s="14" t="inlineStr"/>
      <c r="C406" s="21">
        <f>SUMIFS('Investor Exit List'!$AC:$AC,'Investor Exit List'!$AB:$AB,B406)</f>
        <v/>
      </c>
      <c r="D406" s="14">
        <f>SUMIFS('Investor Exit List'!$Q:$Q,'Investor Exit List'!$AB:$AB,B406)</f>
        <v/>
      </c>
      <c r="E406" s="31">
        <f>LEFT(B406,6)</f>
        <v/>
      </c>
      <c r="F406" s="14">
        <f>IF(SUMIFS($E$119:$E$151,$D$119:$D$151,E406)&lt;&gt;0,E406,0)</f>
        <v/>
      </c>
      <c r="G406" s="59" t="n"/>
      <c r="I406" s="28">
        <f>IF(AND(SUMIFS($D$245:$D$595,$F$245:$F$595,0,$E$245:$E$595,$G406,$C$245:$C$595,"&lt;="&amp;B$2)&lt;1000000,SUMIFS($D$245:$D$595,$F$245:$F$595,0,$E$245:$E$595,$G406,$C$245:$C$595,"&lt;="&amp;I5)&gt;=1000000),SUMIFS($D$245:$D$595,$F$245:$F$595,0,$E$245:$E$595,$G406)*$C$157 ,0)</f>
        <v/>
      </c>
      <c r="K406" s="95">
        <f>IF(AND(SUMIFS($D$245:$D$595,$F$245:$F$595,0,$E$245:$E$595,$G406,$C$245:$C$595,"&lt;="&amp;I$5)&lt;1000000,SUMIFS($D$245:$D$595,$F$245:$F$595,0,$E$245:$E$595,$G406,$C$245:$C$595,"&lt;="&amp;K5)&gt;=1000000),SUMIFS($D$245:$D$595,$F$245:$F$595,0,$E$245:$E$595,$G406)*$C$157 ,0)</f>
        <v/>
      </c>
      <c r="M406" s="95">
        <f>IF(AND(SUMIFS($D$245:$D$595,$F$245:$F$595,0,$E$245:$E$595,$G406,$C$245:$C$595,"&lt;="&amp;K$5)&lt;1000000,SUMIFS($D$245:$D$595,$F$245:$F$595,0,$E$245:$E$595,$G406,$C$245:$C$595,"&lt;="&amp;M5)&gt;=1000000),SUMIFS($D$245:$D$595,$F$245:$F$595,0,$E$245:$E$595,$G406)*$C$157 ,0)</f>
        <v/>
      </c>
      <c r="O406" s="95">
        <f>IF(AND(SUMIFS($D$245:$D$595,$F$245:$F$595,0,$E$245:$E$595,$G406,$C$245:$C$595,"&lt;="&amp;M$5)&lt;1000000,SUMIFS($D$245:$D$595,$F$245:$F$595,0,$E$245:$E$595,$G406,$C$245:$C$595,"&lt;="&amp;O5)&gt;=1000000),SUMIFS($D$245:$D$595,$F$245:$F$595,0,$E$245:$E$595,$G406)*$C$157 ,0)</f>
        <v/>
      </c>
      <c r="Q406" s="95">
        <f>IF(AND(SUMIFS($D$245:$D$595,$F$245:$F$595,0,$E$245:$E$595,$G406,$C$245:$C$595,"&lt;="&amp;O$5)&lt;1000000,SUMIFS($D$245:$D$595,$F$245:$F$595,0,$E$245:$E$595,$G406,$C$245:$C$595,"&lt;="&amp;Q5)&gt;=1000000),SUMIFS($D$245:$D$595,$F$245:$F$595,0,$E$245:$E$595,$G406)*$C$157 ,0)</f>
        <v/>
      </c>
      <c r="S406" s="95">
        <f>IF(AND(SUMIFS($D$245:$D$595,$F$245:$F$595,0,$E$245:$E$595,$G406,$C$245:$C$595,"&lt;="&amp;Q$5)&lt;1000000,SUMIFS($D$245:$D$595,$F$245:$F$595,0,$E$245:$E$595,$G406,$C$245:$C$595,"&lt;="&amp;S5)&gt;=1000000),SUMIFS($D$245:$D$595,$F$245:$F$595,0,$E$245:$E$595,$G406)*$C$157 ,0)</f>
        <v/>
      </c>
      <c r="U406" s="95">
        <f>IF(AND(SUMIFS($D$245:$D$595,$F$245:$F$595,0,$E$245:$E$595,$G406,$C$245:$C$595,"&lt;="&amp;S$5)&lt;1000000,SUMIFS($D$245:$D$595,$F$245:$F$595,0,$E$245:$E$595,$G406,$C$245:$C$595,"&lt;="&amp;U5)&gt;=1000000),SUMIFS($D$245:$D$595,$F$245:$F$595,0,$E$245:$E$595,$G406)*$C$157 ,0)</f>
        <v/>
      </c>
      <c r="W406" s="95">
        <f>IF(AND(SUMIFS($D$245:$D$595,$F$245:$F$595,0,$E$245:$E$595,$G406,$C$245:$C$595,"&lt;="&amp;U$5)&lt;1000000,SUMIFS($D$245:$D$595,$F$245:$F$595,0,$E$245:$E$595,$G406,$C$245:$C$595,"&lt;="&amp;W5)&gt;=1000000),SUMIFS($D$245:$D$595,$F$245:$F$595,0,$E$245:$E$595,$G406)*$C$157 ,0)</f>
        <v/>
      </c>
      <c r="Y406" s="95">
        <f>IF(AND(SUMIFS($D$245:$D$595,$F$245:$F$595,0,$E$245:$E$595,$G406,$C$245:$C$595,"&lt;="&amp;W$5)&lt;1000000,SUMIFS($D$245:$D$595,$F$245:$F$595,0,$E$245:$E$595,$G406,$C$245:$C$595,"&lt;="&amp;Y5)&gt;=1000000),SUMIFS($D$245:$D$595,$F$245:$F$595,0,$E$245:$E$595,$G406)*$C$157 ,0)</f>
        <v/>
      </c>
      <c r="AA406" s="95">
        <f>IF(AND(SUMIFS($D$245:$D$595,$F$245:$F$595,0,$E$245:$E$595,$G406,$C$245:$C$595,"&lt;="&amp;Y$5)&lt;1000000,SUMIFS($D$245:$D$595,$F$245:$F$595,0,$E$245:$E$595,$G406,$C$245:$C$595,"&lt;="&amp;AA5)&gt;=1000000),SUMIFS($D$245:$D$595,$F$245:$F$595,0,$E$245:$E$595,$G406)*$C$157 ,0)</f>
        <v/>
      </c>
      <c r="AC406" s="95">
        <f>IF(AND(SUMIFS($D$245:$D$595,$F$245:$F$595,0,$E$245:$E$595,$G406,$C$245:$C$595,"&lt;="&amp;AA$5)&lt;1000000,SUMIFS($D$245:$D$595,$F$245:$F$595,0,$E$245:$E$595,$G406,$C$245:$C$595,"&lt;="&amp;AC5)&gt;=1000000),SUMIFS($D$245:$D$595,$F$245:$F$595,0,$E$245:$E$595,$G406)*$C$157 ,0)</f>
        <v/>
      </c>
      <c r="AE406" s="95">
        <f>IF(AND(SUMIFS($D$245:$D$595,$F$245:$F$595,0,$E$245:$E$595,$G406,$C$245:$C$595,"&lt;="&amp;AC$5)&lt;1000000,SUMIFS($D$245:$D$595,$F$245:$F$595,0,$E$245:$E$595,$G406,$C$245:$C$595,"&lt;="&amp;AE5)&gt;=1000000),SUMIFS($D$245:$D$595,$F$245:$F$595,0,$E$245:$E$595,$G406)*$C$157 ,0)</f>
        <v/>
      </c>
      <c r="AF406" s="19" t="n"/>
    </row>
    <row r="407">
      <c r="A407" s="20">
        <f>mid(E407, 3, 1)</f>
        <v/>
      </c>
      <c r="B407" s="14" t="inlineStr"/>
      <c r="C407" s="21">
        <f>SUMIFS('Investor Exit List'!$AC:$AC,'Investor Exit List'!$AB:$AB,B407)</f>
        <v/>
      </c>
      <c r="D407" s="14">
        <f>SUMIFS('Investor Exit List'!$Q:$Q,'Investor Exit List'!$AB:$AB,B407)</f>
        <v/>
      </c>
      <c r="E407" s="31">
        <f>LEFT(B407,6)</f>
        <v/>
      </c>
      <c r="F407" s="14">
        <f>IF(SUMIFS($E$119:$E$151,$D$119:$D$151,E407)&lt;&gt;0,E407,0)</f>
        <v/>
      </c>
      <c r="G407" s="59" t="n"/>
      <c r="I407" s="28">
        <f>IF(AND(SUMIFS($D$245:$D$595,$F$245:$F$595,0,$E$245:$E$595,$G407,$C$245:$C$595,"&lt;="&amp;B$2)&lt;1000000,SUMIFS($D$245:$D$595,$F$245:$F$595,0,$E$245:$E$595,$G407,$C$245:$C$595,"&lt;="&amp;I5)&gt;=1000000),SUMIFS($D$245:$D$595,$F$245:$F$595,0,$E$245:$E$595,$G407)*$C$157 ,0)</f>
        <v/>
      </c>
      <c r="K407" s="95">
        <f>IF(AND(SUMIFS($D$245:$D$595,$F$245:$F$595,0,$E$245:$E$595,$G407,$C$245:$C$595,"&lt;="&amp;I$5)&lt;1000000,SUMIFS($D$245:$D$595,$F$245:$F$595,0,$E$245:$E$595,$G407,$C$245:$C$595,"&lt;="&amp;K5)&gt;=1000000),SUMIFS($D$245:$D$595,$F$245:$F$595,0,$E$245:$E$595,$G407)*$C$157 ,0)</f>
        <v/>
      </c>
      <c r="M407" s="95">
        <f>IF(AND(SUMIFS($D$245:$D$595,$F$245:$F$595,0,$E$245:$E$595,$G407,$C$245:$C$595,"&lt;="&amp;K$5)&lt;1000000,SUMIFS($D$245:$D$595,$F$245:$F$595,0,$E$245:$E$595,$G407,$C$245:$C$595,"&lt;="&amp;M5)&gt;=1000000),SUMIFS($D$245:$D$595,$F$245:$F$595,0,$E$245:$E$595,$G407)*$C$157 ,0)</f>
        <v/>
      </c>
      <c r="O407" s="95">
        <f>IF(AND(SUMIFS($D$245:$D$595,$F$245:$F$595,0,$E$245:$E$595,$G407,$C$245:$C$595,"&lt;="&amp;M$5)&lt;1000000,SUMIFS($D$245:$D$595,$F$245:$F$595,0,$E$245:$E$595,$G407,$C$245:$C$595,"&lt;="&amp;O5)&gt;=1000000),SUMIFS($D$245:$D$595,$F$245:$F$595,0,$E$245:$E$595,$G407)*$C$157 ,0)</f>
        <v/>
      </c>
      <c r="Q407" s="95">
        <f>IF(AND(SUMIFS($D$245:$D$595,$F$245:$F$595,0,$E$245:$E$595,$G407,$C$245:$C$595,"&lt;="&amp;O$5)&lt;1000000,SUMIFS($D$245:$D$595,$F$245:$F$595,0,$E$245:$E$595,$G407,$C$245:$C$595,"&lt;="&amp;Q5)&gt;=1000000),SUMIFS($D$245:$D$595,$F$245:$F$595,0,$E$245:$E$595,$G407)*$C$157 ,0)</f>
        <v/>
      </c>
      <c r="S407" s="95">
        <f>IF(AND(SUMIFS($D$245:$D$595,$F$245:$F$595,0,$E$245:$E$595,$G407,$C$245:$C$595,"&lt;="&amp;Q$5)&lt;1000000,SUMIFS($D$245:$D$595,$F$245:$F$595,0,$E$245:$E$595,$G407,$C$245:$C$595,"&lt;="&amp;S5)&gt;=1000000),SUMIFS($D$245:$D$595,$F$245:$F$595,0,$E$245:$E$595,$G407)*$C$157 ,0)</f>
        <v/>
      </c>
      <c r="U407" s="95">
        <f>IF(AND(SUMIFS($D$245:$D$595,$F$245:$F$595,0,$E$245:$E$595,$G407,$C$245:$C$595,"&lt;="&amp;S$5)&lt;1000000,SUMIFS($D$245:$D$595,$F$245:$F$595,0,$E$245:$E$595,$G407,$C$245:$C$595,"&lt;="&amp;U5)&gt;=1000000),SUMIFS($D$245:$D$595,$F$245:$F$595,0,$E$245:$E$595,$G407)*$C$157 ,0)</f>
        <v/>
      </c>
      <c r="W407" s="95">
        <f>IF(AND(SUMIFS($D$245:$D$595,$F$245:$F$595,0,$E$245:$E$595,$G407,$C$245:$C$595,"&lt;="&amp;U$5)&lt;1000000,SUMIFS($D$245:$D$595,$F$245:$F$595,0,$E$245:$E$595,$G407,$C$245:$C$595,"&lt;="&amp;W5)&gt;=1000000),SUMIFS($D$245:$D$595,$F$245:$F$595,0,$E$245:$E$595,$G407)*$C$157 ,0)</f>
        <v/>
      </c>
      <c r="Y407" s="95">
        <f>IF(AND(SUMIFS($D$245:$D$595,$F$245:$F$595,0,$E$245:$E$595,$G407,$C$245:$C$595,"&lt;="&amp;W$5)&lt;1000000,SUMIFS($D$245:$D$595,$F$245:$F$595,0,$E$245:$E$595,$G407,$C$245:$C$595,"&lt;="&amp;Y5)&gt;=1000000),SUMIFS($D$245:$D$595,$F$245:$F$595,0,$E$245:$E$595,$G407)*$C$157 ,0)</f>
        <v/>
      </c>
      <c r="AA407" s="95">
        <f>IF(AND(SUMIFS($D$245:$D$595,$F$245:$F$595,0,$E$245:$E$595,$G407,$C$245:$C$595,"&lt;="&amp;Y$5)&lt;1000000,SUMIFS($D$245:$D$595,$F$245:$F$595,0,$E$245:$E$595,$G407,$C$245:$C$595,"&lt;="&amp;AA5)&gt;=1000000),SUMIFS($D$245:$D$595,$F$245:$F$595,0,$E$245:$E$595,$G407)*$C$157 ,0)</f>
        <v/>
      </c>
      <c r="AC407" s="95">
        <f>IF(AND(SUMIFS($D$245:$D$595,$F$245:$F$595,0,$E$245:$E$595,$G407,$C$245:$C$595,"&lt;="&amp;AA$5)&lt;1000000,SUMIFS($D$245:$D$595,$F$245:$F$595,0,$E$245:$E$595,$G407,$C$245:$C$595,"&lt;="&amp;AC5)&gt;=1000000),SUMIFS($D$245:$D$595,$F$245:$F$595,0,$E$245:$E$595,$G407)*$C$157 ,0)</f>
        <v/>
      </c>
      <c r="AE407" s="95">
        <f>IF(AND(SUMIFS($D$245:$D$595,$F$245:$F$595,0,$E$245:$E$595,$G407,$C$245:$C$595,"&lt;="&amp;AC$5)&lt;1000000,SUMIFS($D$245:$D$595,$F$245:$F$595,0,$E$245:$E$595,$G407,$C$245:$C$595,"&lt;="&amp;AE5)&gt;=1000000),SUMIFS($D$245:$D$595,$F$245:$F$595,0,$E$245:$E$595,$G407)*$C$157 ,0)</f>
        <v/>
      </c>
      <c r="AF407" s="19" t="n"/>
    </row>
    <row r="408">
      <c r="A408" s="20">
        <f>mid(E408, 3, 1)</f>
        <v/>
      </c>
      <c r="B408" s="14" t="inlineStr"/>
      <c r="C408" s="21">
        <f>SUMIFS('Investor Exit List'!$AC:$AC,'Investor Exit List'!$AB:$AB,B408)</f>
        <v/>
      </c>
      <c r="D408" s="14">
        <f>SUMIFS('Investor Exit List'!$Q:$Q,'Investor Exit List'!$AB:$AB,B408)</f>
        <v/>
      </c>
      <c r="E408" s="31">
        <f>LEFT(B408,6)</f>
        <v/>
      </c>
      <c r="F408" s="14">
        <f>IF(SUMIFS($E$119:$E$151,$D$119:$D$151,E408)&lt;&gt;0,E408,0)</f>
        <v/>
      </c>
      <c r="G408" s="59" t="n"/>
      <c r="I408" s="28">
        <f>IF(AND(SUMIFS($D$245:$D$595,$F$245:$F$595,0,$E$245:$E$595,$G408,$C$245:$C$595,"&lt;="&amp;B$2)&lt;1000000,SUMIFS($D$245:$D$595,$F$245:$F$595,0,$E$245:$E$595,$G408,$C$245:$C$595,"&lt;="&amp;I5)&gt;=1000000),SUMIFS($D$245:$D$595,$F$245:$F$595,0,$E$245:$E$595,$G408)*$C$157 ,0)</f>
        <v/>
      </c>
      <c r="K408" s="95">
        <f>IF(AND(SUMIFS($D$245:$D$595,$F$245:$F$595,0,$E$245:$E$595,$G408,$C$245:$C$595,"&lt;="&amp;I$5)&lt;1000000,SUMIFS($D$245:$D$595,$F$245:$F$595,0,$E$245:$E$595,$G408,$C$245:$C$595,"&lt;="&amp;K5)&gt;=1000000),SUMIFS($D$245:$D$595,$F$245:$F$595,0,$E$245:$E$595,$G408)*$C$157 ,0)</f>
        <v/>
      </c>
      <c r="M408" s="95">
        <f>IF(AND(SUMIFS($D$245:$D$595,$F$245:$F$595,0,$E$245:$E$595,$G408,$C$245:$C$595,"&lt;="&amp;K$5)&lt;1000000,SUMIFS($D$245:$D$595,$F$245:$F$595,0,$E$245:$E$595,$G408,$C$245:$C$595,"&lt;="&amp;M5)&gt;=1000000),SUMIFS($D$245:$D$595,$F$245:$F$595,0,$E$245:$E$595,$G408)*$C$157 ,0)</f>
        <v/>
      </c>
      <c r="O408" s="95">
        <f>IF(AND(SUMIFS($D$245:$D$595,$F$245:$F$595,0,$E$245:$E$595,$G408,$C$245:$C$595,"&lt;="&amp;M$5)&lt;1000000,SUMIFS($D$245:$D$595,$F$245:$F$595,0,$E$245:$E$595,$G408,$C$245:$C$595,"&lt;="&amp;O5)&gt;=1000000),SUMIFS($D$245:$D$595,$F$245:$F$595,0,$E$245:$E$595,$G408)*$C$157 ,0)</f>
        <v/>
      </c>
      <c r="Q408" s="95">
        <f>IF(AND(SUMIFS($D$245:$D$595,$F$245:$F$595,0,$E$245:$E$595,$G408,$C$245:$C$595,"&lt;="&amp;O$5)&lt;1000000,SUMIFS($D$245:$D$595,$F$245:$F$595,0,$E$245:$E$595,$G408,$C$245:$C$595,"&lt;="&amp;Q5)&gt;=1000000),SUMIFS($D$245:$D$595,$F$245:$F$595,0,$E$245:$E$595,$G408)*$C$157 ,0)</f>
        <v/>
      </c>
      <c r="S408" s="95">
        <f>IF(AND(SUMIFS($D$245:$D$595,$F$245:$F$595,0,$E$245:$E$595,$G408,$C$245:$C$595,"&lt;="&amp;Q$5)&lt;1000000,SUMIFS($D$245:$D$595,$F$245:$F$595,0,$E$245:$E$595,$G408,$C$245:$C$595,"&lt;="&amp;S5)&gt;=1000000),SUMIFS($D$245:$D$595,$F$245:$F$595,0,$E$245:$E$595,$G408)*$C$157 ,0)</f>
        <v/>
      </c>
      <c r="U408" s="95">
        <f>IF(AND(SUMIFS($D$245:$D$595,$F$245:$F$595,0,$E$245:$E$595,$G408,$C$245:$C$595,"&lt;="&amp;S$5)&lt;1000000,SUMIFS($D$245:$D$595,$F$245:$F$595,0,$E$245:$E$595,$G408,$C$245:$C$595,"&lt;="&amp;U5)&gt;=1000000),SUMIFS($D$245:$D$595,$F$245:$F$595,0,$E$245:$E$595,$G408)*$C$157 ,0)</f>
        <v/>
      </c>
      <c r="W408" s="95">
        <f>IF(AND(SUMIFS($D$245:$D$595,$F$245:$F$595,0,$E$245:$E$595,$G408,$C$245:$C$595,"&lt;="&amp;U$5)&lt;1000000,SUMIFS($D$245:$D$595,$F$245:$F$595,0,$E$245:$E$595,$G408,$C$245:$C$595,"&lt;="&amp;W5)&gt;=1000000),SUMIFS($D$245:$D$595,$F$245:$F$595,0,$E$245:$E$595,$G408)*$C$157 ,0)</f>
        <v/>
      </c>
      <c r="Y408" s="95">
        <f>IF(AND(SUMIFS($D$245:$D$595,$F$245:$F$595,0,$E$245:$E$595,$G408,$C$245:$C$595,"&lt;="&amp;W$5)&lt;1000000,SUMIFS($D$245:$D$595,$F$245:$F$595,0,$E$245:$E$595,$G408,$C$245:$C$595,"&lt;="&amp;Y5)&gt;=1000000),SUMIFS($D$245:$D$595,$F$245:$F$595,0,$E$245:$E$595,$G408)*$C$157 ,0)</f>
        <v/>
      </c>
      <c r="AA408" s="95">
        <f>IF(AND(SUMIFS($D$245:$D$595,$F$245:$F$595,0,$E$245:$E$595,$G408,$C$245:$C$595,"&lt;="&amp;Y$5)&lt;1000000,SUMIFS($D$245:$D$595,$F$245:$F$595,0,$E$245:$E$595,$G408,$C$245:$C$595,"&lt;="&amp;AA5)&gt;=1000000),SUMIFS($D$245:$D$595,$F$245:$F$595,0,$E$245:$E$595,$G408)*$C$157 ,0)</f>
        <v/>
      </c>
      <c r="AC408" s="95">
        <f>IF(AND(SUMIFS($D$245:$D$595,$F$245:$F$595,0,$E$245:$E$595,$G408,$C$245:$C$595,"&lt;="&amp;AA$5)&lt;1000000,SUMIFS($D$245:$D$595,$F$245:$F$595,0,$E$245:$E$595,$G408,$C$245:$C$595,"&lt;="&amp;AC5)&gt;=1000000),SUMIFS($D$245:$D$595,$F$245:$F$595,0,$E$245:$E$595,$G408)*$C$157 ,0)</f>
        <v/>
      </c>
      <c r="AE408" s="95">
        <f>IF(AND(SUMIFS($D$245:$D$595,$F$245:$F$595,0,$E$245:$E$595,$G408,$C$245:$C$595,"&lt;="&amp;AC$5)&lt;1000000,SUMIFS($D$245:$D$595,$F$245:$F$595,0,$E$245:$E$595,$G408,$C$245:$C$595,"&lt;="&amp;AE5)&gt;=1000000),SUMIFS($D$245:$D$595,$F$245:$F$595,0,$E$245:$E$595,$G408)*$C$157 ,0)</f>
        <v/>
      </c>
      <c r="AF408" s="19" t="n"/>
    </row>
    <row r="409">
      <c r="A409" s="20">
        <f>mid(E409, 3, 1)</f>
        <v/>
      </c>
      <c r="B409" s="14" t="inlineStr"/>
      <c r="C409" s="21">
        <f>SUMIFS('Investor Exit List'!$AC:$AC,'Investor Exit List'!$AB:$AB,B409)</f>
        <v/>
      </c>
      <c r="D409" s="14">
        <f>SUMIFS('Investor Exit List'!$Q:$Q,'Investor Exit List'!$AB:$AB,B409)</f>
        <v/>
      </c>
      <c r="E409" s="31">
        <f>LEFT(B409,6)</f>
        <v/>
      </c>
      <c r="F409" s="14">
        <f>IF(SUMIFS($E$119:$E$151,$D$119:$D$151,E409)&lt;&gt;0,E409,0)</f>
        <v/>
      </c>
      <c r="G409" s="59" t="n"/>
      <c r="I409" s="28">
        <f>IF(AND(SUMIFS($D$245:$D$595,$F$245:$F$595,0,$E$245:$E$595,$G409,$C$245:$C$595,"&lt;="&amp;B$2)&lt;1000000,SUMIFS($D$245:$D$595,$F$245:$F$595,0,$E$245:$E$595,$G409,$C$245:$C$595,"&lt;="&amp;I5)&gt;=1000000),SUMIFS($D$245:$D$595,$F$245:$F$595,0,$E$245:$E$595,$G409)*$C$157 ,0)</f>
        <v/>
      </c>
      <c r="K409" s="95">
        <f>IF(AND(SUMIFS($D$245:$D$595,$F$245:$F$595,0,$E$245:$E$595,$G409,$C$245:$C$595,"&lt;="&amp;I$5)&lt;1000000,SUMIFS($D$245:$D$595,$F$245:$F$595,0,$E$245:$E$595,$G409,$C$245:$C$595,"&lt;="&amp;K5)&gt;=1000000),SUMIFS($D$245:$D$595,$F$245:$F$595,0,$E$245:$E$595,$G409)*$C$157 ,0)</f>
        <v/>
      </c>
      <c r="M409" s="95">
        <f>IF(AND(SUMIFS($D$245:$D$595,$F$245:$F$595,0,$E$245:$E$595,$G409,$C$245:$C$595,"&lt;="&amp;K$5)&lt;1000000,SUMIFS($D$245:$D$595,$F$245:$F$595,0,$E$245:$E$595,$G409,$C$245:$C$595,"&lt;="&amp;M5)&gt;=1000000),SUMIFS($D$245:$D$595,$F$245:$F$595,0,$E$245:$E$595,$G409)*$C$157 ,0)</f>
        <v/>
      </c>
      <c r="O409" s="95">
        <f>IF(AND(SUMIFS($D$245:$D$595,$F$245:$F$595,0,$E$245:$E$595,$G409,$C$245:$C$595,"&lt;="&amp;M$5)&lt;1000000,SUMIFS($D$245:$D$595,$F$245:$F$595,0,$E$245:$E$595,$G409,$C$245:$C$595,"&lt;="&amp;O5)&gt;=1000000),SUMIFS($D$245:$D$595,$F$245:$F$595,0,$E$245:$E$595,$G409)*$C$157 ,0)</f>
        <v/>
      </c>
      <c r="Q409" s="95">
        <f>IF(AND(SUMIFS($D$245:$D$595,$F$245:$F$595,0,$E$245:$E$595,$G409,$C$245:$C$595,"&lt;="&amp;O$5)&lt;1000000,SUMIFS($D$245:$D$595,$F$245:$F$595,0,$E$245:$E$595,$G409,$C$245:$C$595,"&lt;="&amp;Q5)&gt;=1000000),SUMIFS($D$245:$D$595,$F$245:$F$595,0,$E$245:$E$595,$G409)*$C$157 ,0)</f>
        <v/>
      </c>
      <c r="S409" s="95">
        <f>IF(AND(SUMIFS($D$245:$D$595,$F$245:$F$595,0,$E$245:$E$595,$G409,$C$245:$C$595,"&lt;="&amp;Q$5)&lt;1000000,SUMIFS($D$245:$D$595,$F$245:$F$595,0,$E$245:$E$595,$G409,$C$245:$C$595,"&lt;="&amp;S5)&gt;=1000000),SUMIFS($D$245:$D$595,$F$245:$F$595,0,$E$245:$E$595,$G409)*$C$157 ,0)</f>
        <v/>
      </c>
      <c r="U409" s="95">
        <f>IF(AND(SUMIFS($D$245:$D$595,$F$245:$F$595,0,$E$245:$E$595,$G409,$C$245:$C$595,"&lt;="&amp;S$5)&lt;1000000,SUMIFS($D$245:$D$595,$F$245:$F$595,0,$E$245:$E$595,$G409,$C$245:$C$595,"&lt;="&amp;U5)&gt;=1000000),SUMIFS($D$245:$D$595,$F$245:$F$595,0,$E$245:$E$595,$G409)*$C$157 ,0)</f>
        <v/>
      </c>
      <c r="W409" s="95">
        <f>IF(AND(SUMIFS($D$245:$D$595,$F$245:$F$595,0,$E$245:$E$595,$G409,$C$245:$C$595,"&lt;="&amp;U$5)&lt;1000000,SUMIFS($D$245:$D$595,$F$245:$F$595,0,$E$245:$E$595,$G409,$C$245:$C$595,"&lt;="&amp;W5)&gt;=1000000),SUMIFS($D$245:$D$595,$F$245:$F$595,0,$E$245:$E$595,$G409)*$C$157 ,0)</f>
        <v/>
      </c>
      <c r="Y409" s="95">
        <f>IF(AND(SUMIFS($D$245:$D$595,$F$245:$F$595,0,$E$245:$E$595,$G409,$C$245:$C$595,"&lt;="&amp;W$5)&lt;1000000,SUMIFS($D$245:$D$595,$F$245:$F$595,0,$E$245:$E$595,$G409,$C$245:$C$595,"&lt;="&amp;Y5)&gt;=1000000),SUMIFS($D$245:$D$595,$F$245:$F$595,0,$E$245:$E$595,$G409)*$C$157 ,0)</f>
        <v/>
      </c>
      <c r="AA409" s="95">
        <f>IF(AND(SUMIFS($D$245:$D$595,$F$245:$F$595,0,$E$245:$E$595,$G409,$C$245:$C$595,"&lt;="&amp;Y$5)&lt;1000000,SUMIFS($D$245:$D$595,$F$245:$F$595,0,$E$245:$E$595,$G409,$C$245:$C$595,"&lt;="&amp;AA5)&gt;=1000000),SUMIFS($D$245:$D$595,$F$245:$F$595,0,$E$245:$E$595,$G409)*$C$157 ,0)</f>
        <v/>
      </c>
      <c r="AC409" s="95">
        <f>IF(AND(SUMIFS($D$245:$D$595,$F$245:$F$595,0,$E$245:$E$595,$G409,$C$245:$C$595,"&lt;="&amp;AA$5)&lt;1000000,SUMIFS($D$245:$D$595,$F$245:$F$595,0,$E$245:$E$595,$G409,$C$245:$C$595,"&lt;="&amp;AC5)&gt;=1000000),SUMIFS($D$245:$D$595,$F$245:$F$595,0,$E$245:$E$595,$G409)*$C$157 ,0)</f>
        <v/>
      </c>
      <c r="AE409" s="95">
        <f>IF(AND(SUMIFS($D$245:$D$595,$F$245:$F$595,0,$E$245:$E$595,$G409,$C$245:$C$595,"&lt;="&amp;AC$5)&lt;1000000,SUMIFS($D$245:$D$595,$F$245:$F$595,0,$E$245:$E$595,$G409,$C$245:$C$595,"&lt;="&amp;AE5)&gt;=1000000),SUMIFS($D$245:$D$595,$F$245:$F$595,0,$E$245:$E$595,$G409)*$C$157 ,0)</f>
        <v/>
      </c>
      <c r="AF409" s="19" t="n"/>
    </row>
    <row r="410">
      <c r="A410" s="20">
        <f>mid(E410, 3, 1)</f>
        <v/>
      </c>
      <c r="B410" s="14" t="inlineStr"/>
      <c r="C410" s="21">
        <f>SUMIFS('Investor Exit List'!$AC:$AC,'Investor Exit List'!$AB:$AB,B410)</f>
        <v/>
      </c>
      <c r="D410" s="14">
        <f>SUMIFS('Investor Exit List'!$Q:$Q,'Investor Exit List'!$AB:$AB,B410)</f>
        <v/>
      </c>
      <c r="E410" s="31">
        <f>LEFT(B410,6)</f>
        <v/>
      </c>
      <c r="F410" s="14">
        <f>IF(SUMIFS($E$119:$E$151,$D$119:$D$151,E410)&lt;&gt;0,E410,0)</f>
        <v/>
      </c>
      <c r="G410" s="59" t="n"/>
      <c r="I410" s="28">
        <f>IF(AND(SUMIFS($D$245:$D$595,$F$245:$F$595,0,$E$245:$E$595,$G410,$C$245:$C$595,"&lt;="&amp;B$2)&lt;1000000,SUMIFS($D$245:$D$595,$F$245:$F$595,0,$E$245:$E$595,$G410,$C$245:$C$595,"&lt;="&amp;I5)&gt;=1000000),SUMIFS($D$245:$D$595,$F$245:$F$595,0,$E$245:$E$595,$G410)*$C$157 ,0)</f>
        <v/>
      </c>
      <c r="K410" s="95">
        <f>IF(AND(SUMIFS($D$245:$D$595,$F$245:$F$595,0,$E$245:$E$595,$G410,$C$245:$C$595,"&lt;="&amp;I$5)&lt;1000000,SUMIFS($D$245:$D$595,$F$245:$F$595,0,$E$245:$E$595,$G410,$C$245:$C$595,"&lt;="&amp;K5)&gt;=1000000),SUMIFS($D$245:$D$595,$F$245:$F$595,0,$E$245:$E$595,$G410)*$C$157 ,0)</f>
        <v/>
      </c>
      <c r="M410" s="95">
        <f>IF(AND(SUMIFS($D$245:$D$595,$F$245:$F$595,0,$E$245:$E$595,$G410,$C$245:$C$595,"&lt;="&amp;K$5)&lt;1000000,SUMIFS($D$245:$D$595,$F$245:$F$595,0,$E$245:$E$595,$G410,$C$245:$C$595,"&lt;="&amp;M5)&gt;=1000000),SUMIFS($D$245:$D$595,$F$245:$F$595,0,$E$245:$E$595,$G410)*$C$157 ,0)</f>
        <v/>
      </c>
      <c r="O410" s="95">
        <f>IF(AND(SUMIFS($D$245:$D$595,$F$245:$F$595,0,$E$245:$E$595,$G410,$C$245:$C$595,"&lt;="&amp;M$5)&lt;1000000,SUMIFS($D$245:$D$595,$F$245:$F$595,0,$E$245:$E$595,$G410,$C$245:$C$595,"&lt;="&amp;O5)&gt;=1000000),SUMIFS($D$245:$D$595,$F$245:$F$595,0,$E$245:$E$595,$G410)*$C$157 ,0)</f>
        <v/>
      </c>
      <c r="Q410" s="95">
        <f>IF(AND(SUMIFS($D$245:$D$595,$F$245:$F$595,0,$E$245:$E$595,$G410,$C$245:$C$595,"&lt;="&amp;O$5)&lt;1000000,SUMIFS($D$245:$D$595,$F$245:$F$595,0,$E$245:$E$595,$G410,$C$245:$C$595,"&lt;="&amp;Q5)&gt;=1000000),SUMIFS($D$245:$D$595,$F$245:$F$595,0,$E$245:$E$595,$G410)*$C$157 ,0)</f>
        <v/>
      </c>
      <c r="S410" s="95">
        <f>IF(AND(SUMIFS($D$245:$D$595,$F$245:$F$595,0,$E$245:$E$595,$G410,$C$245:$C$595,"&lt;="&amp;Q$5)&lt;1000000,SUMIFS($D$245:$D$595,$F$245:$F$595,0,$E$245:$E$595,$G410,$C$245:$C$595,"&lt;="&amp;S5)&gt;=1000000),SUMIFS($D$245:$D$595,$F$245:$F$595,0,$E$245:$E$595,$G410)*$C$157 ,0)</f>
        <v/>
      </c>
      <c r="U410" s="95">
        <f>IF(AND(SUMIFS($D$245:$D$595,$F$245:$F$595,0,$E$245:$E$595,$G410,$C$245:$C$595,"&lt;="&amp;S$5)&lt;1000000,SUMIFS($D$245:$D$595,$F$245:$F$595,0,$E$245:$E$595,$G410,$C$245:$C$595,"&lt;="&amp;U5)&gt;=1000000),SUMIFS($D$245:$D$595,$F$245:$F$595,0,$E$245:$E$595,$G410)*$C$157 ,0)</f>
        <v/>
      </c>
      <c r="W410" s="95">
        <f>IF(AND(SUMIFS($D$245:$D$595,$F$245:$F$595,0,$E$245:$E$595,$G410,$C$245:$C$595,"&lt;="&amp;U$5)&lt;1000000,SUMIFS($D$245:$D$595,$F$245:$F$595,0,$E$245:$E$595,$G410,$C$245:$C$595,"&lt;="&amp;W5)&gt;=1000000),SUMIFS($D$245:$D$595,$F$245:$F$595,0,$E$245:$E$595,$G410)*$C$157 ,0)</f>
        <v/>
      </c>
      <c r="Y410" s="95">
        <f>IF(AND(SUMIFS($D$245:$D$595,$F$245:$F$595,0,$E$245:$E$595,$G410,$C$245:$C$595,"&lt;="&amp;W$5)&lt;1000000,SUMIFS($D$245:$D$595,$F$245:$F$595,0,$E$245:$E$595,$G410,$C$245:$C$595,"&lt;="&amp;Y5)&gt;=1000000),SUMIFS($D$245:$D$595,$F$245:$F$595,0,$E$245:$E$595,$G410)*$C$157 ,0)</f>
        <v/>
      </c>
      <c r="AA410" s="95">
        <f>IF(AND(SUMIFS($D$245:$D$595,$F$245:$F$595,0,$E$245:$E$595,$G410,$C$245:$C$595,"&lt;="&amp;Y$5)&lt;1000000,SUMIFS($D$245:$D$595,$F$245:$F$595,0,$E$245:$E$595,$G410,$C$245:$C$595,"&lt;="&amp;AA5)&gt;=1000000),SUMIFS($D$245:$D$595,$F$245:$F$595,0,$E$245:$E$595,$G410)*$C$157 ,0)</f>
        <v/>
      </c>
      <c r="AC410" s="95">
        <f>IF(AND(SUMIFS($D$245:$D$595,$F$245:$F$595,0,$E$245:$E$595,$G410,$C$245:$C$595,"&lt;="&amp;AA$5)&lt;1000000,SUMIFS($D$245:$D$595,$F$245:$F$595,0,$E$245:$E$595,$G410,$C$245:$C$595,"&lt;="&amp;AC5)&gt;=1000000),SUMIFS($D$245:$D$595,$F$245:$F$595,0,$E$245:$E$595,$G410)*$C$157 ,0)</f>
        <v/>
      </c>
      <c r="AE410" s="95">
        <f>IF(AND(SUMIFS($D$245:$D$595,$F$245:$F$595,0,$E$245:$E$595,$G410,$C$245:$C$595,"&lt;="&amp;AC$5)&lt;1000000,SUMIFS($D$245:$D$595,$F$245:$F$595,0,$E$245:$E$595,$G410,$C$245:$C$595,"&lt;="&amp;AE5)&gt;=1000000),SUMIFS($D$245:$D$595,$F$245:$F$595,0,$E$245:$E$595,$G410)*$C$157 ,0)</f>
        <v/>
      </c>
      <c r="AF410" s="19" t="n"/>
    </row>
    <row r="411">
      <c r="A411" s="20">
        <f>mid(E411, 3, 1)</f>
        <v/>
      </c>
      <c r="B411" s="14" t="inlineStr"/>
      <c r="C411" s="21">
        <f>SUMIFS('Investor Exit List'!$AC:$AC,'Investor Exit List'!$AB:$AB,B411)</f>
        <v/>
      </c>
      <c r="D411" s="14">
        <f>SUMIFS('Investor Exit List'!$Q:$Q,'Investor Exit List'!$AB:$AB,B411)</f>
        <v/>
      </c>
      <c r="E411" s="31">
        <f>LEFT(B411,6)</f>
        <v/>
      </c>
      <c r="F411" s="14">
        <f>IF(SUMIFS($E$119:$E$151,$D$119:$D$151,E411)&lt;&gt;0,E411,0)</f>
        <v/>
      </c>
      <c r="G411" s="59" t="n"/>
      <c r="I411" s="28">
        <f>IF(AND(SUMIFS($D$245:$D$595,$F$245:$F$595,0,$E$245:$E$595,$G411,$C$245:$C$595,"&lt;="&amp;B$2)&lt;1000000,SUMIFS($D$245:$D$595,$F$245:$F$595,0,$E$245:$E$595,$G411,$C$245:$C$595,"&lt;="&amp;I5)&gt;=1000000),SUMIFS($D$245:$D$595,$F$245:$F$595,0,$E$245:$E$595,$G411)*$C$157 ,0)</f>
        <v/>
      </c>
      <c r="K411" s="95">
        <f>IF(AND(SUMIFS($D$245:$D$595,$F$245:$F$595,0,$E$245:$E$595,$G411,$C$245:$C$595,"&lt;="&amp;I$5)&lt;1000000,SUMIFS($D$245:$D$595,$F$245:$F$595,0,$E$245:$E$595,$G411,$C$245:$C$595,"&lt;="&amp;K5)&gt;=1000000),SUMIFS($D$245:$D$595,$F$245:$F$595,0,$E$245:$E$595,$G411)*$C$157 ,0)</f>
        <v/>
      </c>
      <c r="M411" s="95">
        <f>IF(AND(SUMIFS($D$245:$D$595,$F$245:$F$595,0,$E$245:$E$595,$G411,$C$245:$C$595,"&lt;="&amp;K$5)&lt;1000000,SUMIFS($D$245:$D$595,$F$245:$F$595,0,$E$245:$E$595,$G411,$C$245:$C$595,"&lt;="&amp;M5)&gt;=1000000),SUMIFS($D$245:$D$595,$F$245:$F$595,0,$E$245:$E$595,$G411)*$C$157 ,0)</f>
        <v/>
      </c>
      <c r="O411" s="95">
        <f>IF(AND(SUMIFS($D$245:$D$595,$F$245:$F$595,0,$E$245:$E$595,$G411,$C$245:$C$595,"&lt;="&amp;M$5)&lt;1000000,SUMIFS($D$245:$D$595,$F$245:$F$595,0,$E$245:$E$595,$G411,$C$245:$C$595,"&lt;="&amp;O5)&gt;=1000000),SUMIFS($D$245:$D$595,$F$245:$F$595,0,$E$245:$E$595,$G411)*$C$157 ,0)</f>
        <v/>
      </c>
      <c r="Q411" s="95">
        <f>IF(AND(SUMIFS($D$245:$D$595,$F$245:$F$595,0,$E$245:$E$595,$G411,$C$245:$C$595,"&lt;="&amp;O$5)&lt;1000000,SUMIFS($D$245:$D$595,$F$245:$F$595,0,$E$245:$E$595,$G411,$C$245:$C$595,"&lt;="&amp;Q5)&gt;=1000000),SUMIFS($D$245:$D$595,$F$245:$F$595,0,$E$245:$E$595,$G411)*$C$157 ,0)</f>
        <v/>
      </c>
      <c r="S411" s="95">
        <f>IF(AND(SUMIFS($D$245:$D$595,$F$245:$F$595,0,$E$245:$E$595,$G411,$C$245:$C$595,"&lt;="&amp;Q$5)&lt;1000000,SUMIFS($D$245:$D$595,$F$245:$F$595,0,$E$245:$E$595,$G411,$C$245:$C$595,"&lt;="&amp;S5)&gt;=1000000),SUMIFS($D$245:$D$595,$F$245:$F$595,0,$E$245:$E$595,$G411)*$C$157 ,0)</f>
        <v/>
      </c>
      <c r="U411" s="95">
        <f>IF(AND(SUMIFS($D$245:$D$595,$F$245:$F$595,0,$E$245:$E$595,$G411,$C$245:$C$595,"&lt;="&amp;S$5)&lt;1000000,SUMIFS($D$245:$D$595,$F$245:$F$595,0,$E$245:$E$595,$G411,$C$245:$C$595,"&lt;="&amp;U5)&gt;=1000000),SUMIFS($D$245:$D$595,$F$245:$F$595,0,$E$245:$E$595,$G411)*$C$157 ,0)</f>
        <v/>
      </c>
      <c r="W411" s="95">
        <f>IF(AND(SUMIFS($D$245:$D$595,$F$245:$F$595,0,$E$245:$E$595,$G411,$C$245:$C$595,"&lt;="&amp;U$5)&lt;1000000,SUMIFS($D$245:$D$595,$F$245:$F$595,0,$E$245:$E$595,$G411,$C$245:$C$595,"&lt;="&amp;W5)&gt;=1000000),SUMIFS($D$245:$D$595,$F$245:$F$595,0,$E$245:$E$595,$G411)*$C$157 ,0)</f>
        <v/>
      </c>
      <c r="Y411" s="95">
        <f>IF(AND(SUMIFS($D$245:$D$595,$F$245:$F$595,0,$E$245:$E$595,$G411,$C$245:$C$595,"&lt;="&amp;W$5)&lt;1000000,SUMIFS($D$245:$D$595,$F$245:$F$595,0,$E$245:$E$595,$G411,$C$245:$C$595,"&lt;="&amp;Y5)&gt;=1000000),SUMIFS($D$245:$D$595,$F$245:$F$595,0,$E$245:$E$595,$G411)*$C$157 ,0)</f>
        <v/>
      </c>
      <c r="AA411" s="95">
        <f>IF(AND(SUMIFS($D$245:$D$595,$F$245:$F$595,0,$E$245:$E$595,$G411,$C$245:$C$595,"&lt;="&amp;Y$5)&lt;1000000,SUMIFS($D$245:$D$595,$F$245:$F$595,0,$E$245:$E$595,$G411,$C$245:$C$595,"&lt;="&amp;AA5)&gt;=1000000),SUMIFS($D$245:$D$595,$F$245:$F$595,0,$E$245:$E$595,$G411)*$C$157 ,0)</f>
        <v/>
      </c>
      <c r="AC411" s="95">
        <f>IF(AND(SUMIFS($D$245:$D$595,$F$245:$F$595,0,$E$245:$E$595,$G411,$C$245:$C$595,"&lt;="&amp;AA$5)&lt;1000000,SUMIFS($D$245:$D$595,$F$245:$F$595,0,$E$245:$E$595,$G411,$C$245:$C$595,"&lt;="&amp;AC5)&gt;=1000000),SUMIFS($D$245:$D$595,$F$245:$F$595,0,$E$245:$E$595,$G411)*$C$157 ,0)</f>
        <v/>
      </c>
      <c r="AE411" s="95">
        <f>IF(AND(SUMIFS($D$245:$D$595,$F$245:$F$595,0,$E$245:$E$595,$G411,$C$245:$C$595,"&lt;="&amp;AC$5)&lt;1000000,SUMIFS($D$245:$D$595,$F$245:$F$595,0,$E$245:$E$595,$G411,$C$245:$C$595,"&lt;="&amp;AE5)&gt;=1000000),SUMIFS($D$245:$D$595,$F$245:$F$595,0,$E$245:$E$595,$G411)*$C$157 ,0)</f>
        <v/>
      </c>
      <c r="AF411" s="19" t="n"/>
    </row>
    <row r="412">
      <c r="A412" s="20">
        <f>mid(E412, 3, 1)</f>
        <v/>
      </c>
      <c r="B412" s="14" t="inlineStr"/>
      <c r="C412" s="21">
        <f>SUMIFS('Investor Exit List'!$AC:$AC,'Investor Exit List'!$AB:$AB,B412)</f>
        <v/>
      </c>
      <c r="D412" s="14">
        <f>SUMIFS('Investor Exit List'!$Q:$Q,'Investor Exit List'!$AB:$AB,B412)</f>
        <v/>
      </c>
      <c r="E412" s="31">
        <f>LEFT(B412,6)</f>
        <v/>
      </c>
      <c r="F412" s="14">
        <f>IF(SUMIFS($E$119:$E$151,$D$119:$D$151,E412)&lt;&gt;0,E412,0)</f>
        <v/>
      </c>
      <c r="G412" s="59" t="n"/>
      <c r="I412" s="28">
        <f>IF(AND(SUMIFS($D$245:$D$595,$F$245:$F$595,0,$E$245:$E$595,$G412,$C$245:$C$595,"&lt;="&amp;B$2)&lt;1000000,SUMIFS($D$245:$D$595,$F$245:$F$595,0,$E$245:$E$595,$G412,$C$245:$C$595,"&lt;="&amp;I5)&gt;=1000000),SUMIFS($D$245:$D$595,$F$245:$F$595,0,$E$245:$E$595,$G412)*$C$157 ,0)</f>
        <v/>
      </c>
      <c r="K412" s="95">
        <f>IF(AND(SUMIFS($D$245:$D$595,$F$245:$F$595,0,$E$245:$E$595,$G412,$C$245:$C$595,"&lt;="&amp;I$5)&lt;1000000,SUMIFS($D$245:$D$595,$F$245:$F$595,0,$E$245:$E$595,$G412,$C$245:$C$595,"&lt;="&amp;K5)&gt;=1000000),SUMIFS($D$245:$D$595,$F$245:$F$595,0,$E$245:$E$595,$G412)*$C$157 ,0)</f>
        <v/>
      </c>
      <c r="M412" s="95">
        <f>IF(AND(SUMIFS($D$245:$D$595,$F$245:$F$595,0,$E$245:$E$595,$G412,$C$245:$C$595,"&lt;="&amp;K$5)&lt;1000000,SUMIFS($D$245:$D$595,$F$245:$F$595,0,$E$245:$E$595,$G412,$C$245:$C$595,"&lt;="&amp;M5)&gt;=1000000),SUMIFS($D$245:$D$595,$F$245:$F$595,0,$E$245:$E$595,$G412)*$C$157 ,0)</f>
        <v/>
      </c>
      <c r="O412" s="95">
        <f>IF(AND(SUMIFS($D$245:$D$595,$F$245:$F$595,0,$E$245:$E$595,$G412,$C$245:$C$595,"&lt;="&amp;M$5)&lt;1000000,SUMIFS($D$245:$D$595,$F$245:$F$595,0,$E$245:$E$595,$G412,$C$245:$C$595,"&lt;="&amp;O5)&gt;=1000000),SUMIFS($D$245:$D$595,$F$245:$F$595,0,$E$245:$E$595,$G412)*$C$157 ,0)</f>
        <v/>
      </c>
      <c r="Q412" s="95">
        <f>IF(AND(SUMIFS($D$245:$D$595,$F$245:$F$595,0,$E$245:$E$595,$G412,$C$245:$C$595,"&lt;="&amp;O$5)&lt;1000000,SUMIFS($D$245:$D$595,$F$245:$F$595,0,$E$245:$E$595,$G412,$C$245:$C$595,"&lt;="&amp;Q5)&gt;=1000000),SUMIFS($D$245:$D$595,$F$245:$F$595,0,$E$245:$E$595,$G412)*$C$157 ,0)</f>
        <v/>
      </c>
      <c r="S412" s="95">
        <f>IF(AND(SUMIFS($D$245:$D$595,$F$245:$F$595,0,$E$245:$E$595,$G412,$C$245:$C$595,"&lt;="&amp;Q$5)&lt;1000000,SUMIFS($D$245:$D$595,$F$245:$F$595,0,$E$245:$E$595,$G412,$C$245:$C$595,"&lt;="&amp;S5)&gt;=1000000),SUMIFS($D$245:$D$595,$F$245:$F$595,0,$E$245:$E$595,$G412)*$C$157 ,0)</f>
        <v/>
      </c>
      <c r="U412" s="95">
        <f>IF(AND(SUMIFS($D$245:$D$595,$F$245:$F$595,0,$E$245:$E$595,$G412,$C$245:$C$595,"&lt;="&amp;S$5)&lt;1000000,SUMIFS($D$245:$D$595,$F$245:$F$595,0,$E$245:$E$595,$G412,$C$245:$C$595,"&lt;="&amp;U5)&gt;=1000000),SUMIFS($D$245:$D$595,$F$245:$F$595,0,$E$245:$E$595,$G412)*$C$157 ,0)</f>
        <v/>
      </c>
      <c r="W412" s="95">
        <f>IF(AND(SUMIFS($D$245:$D$595,$F$245:$F$595,0,$E$245:$E$595,$G412,$C$245:$C$595,"&lt;="&amp;U$5)&lt;1000000,SUMIFS($D$245:$D$595,$F$245:$F$595,0,$E$245:$E$595,$G412,$C$245:$C$595,"&lt;="&amp;W5)&gt;=1000000),SUMIFS($D$245:$D$595,$F$245:$F$595,0,$E$245:$E$595,$G412)*$C$157 ,0)</f>
        <v/>
      </c>
      <c r="Y412" s="95">
        <f>IF(AND(SUMIFS($D$245:$D$595,$F$245:$F$595,0,$E$245:$E$595,$G412,$C$245:$C$595,"&lt;="&amp;W$5)&lt;1000000,SUMIFS($D$245:$D$595,$F$245:$F$595,0,$E$245:$E$595,$G412,$C$245:$C$595,"&lt;="&amp;Y5)&gt;=1000000),SUMIFS($D$245:$D$595,$F$245:$F$595,0,$E$245:$E$595,$G412)*$C$157 ,0)</f>
        <v/>
      </c>
      <c r="AA412" s="95">
        <f>IF(AND(SUMIFS($D$245:$D$595,$F$245:$F$595,0,$E$245:$E$595,$G412,$C$245:$C$595,"&lt;="&amp;Y$5)&lt;1000000,SUMIFS($D$245:$D$595,$F$245:$F$595,0,$E$245:$E$595,$G412,$C$245:$C$595,"&lt;="&amp;AA5)&gt;=1000000),SUMIFS($D$245:$D$595,$F$245:$F$595,0,$E$245:$E$595,$G412)*$C$157 ,0)</f>
        <v/>
      </c>
      <c r="AC412" s="95">
        <f>IF(AND(SUMIFS($D$245:$D$595,$F$245:$F$595,0,$E$245:$E$595,$G412,$C$245:$C$595,"&lt;="&amp;AA$5)&lt;1000000,SUMIFS($D$245:$D$595,$F$245:$F$595,0,$E$245:$E$595,$G412,$C$245:$C$595,"&lt;="&amp;AC5)&gt;=1000000),SUMIFS($D$245:$D$595,$F$245:$F$595,0,$E$245:$E$595,$G412)*$C$157 ,0)</f>
        <v/>
      </c>
      <c r="AE412" s="95">
        <f>IF(AND(SUMIFS($D$245:$D$595,$F$245:$F$595,0,$E$245:$E$595,$G412,$C$245:$C$595,"&lt;="&amp;AC$5)&lt;1000000,SUMIFS($D$245:$D$595,$F$245:$F$595,0,$E$245:$E$595,$G412,$C$245:$C$595,"&lt;="&amp;AE5)&gt;=1000000),SUMIFS($D$245:$D$595,$F$245:$F$595,0,$E$245:$E$595,$G412)*$C$157 ,0)</f>
        <v/>
      </c>
      <c r="AF412" s="19" t="n"/>
    </row>
    <row r="413">
      <c r="A413" s="20">
        <f>mid(E413, 3, 1)</f>
        <v/>
      </c>
      <c r="B413" s="14" t="inlineStr"/>
      <c r="C413" s="21">
        <f>SUMIFS('Investor Exit List'!$AC:$AC,'Investor Exit List'!$AB:$AB,B413)</f>
        <v/>
      </c>
      <c r="D413" s="14">
        <f>SUMIFS('Investor Exit List'!$Q:$Q,'Investor Exit List'!$AB:$AB,B413)</f>
        <v/>
      </c>
      <c r="E413" s="31">
        <f>LEFT(B413,6)</f>
        <v/>
      </c>
      <c r="F413" s="14">
        <f>IF(SUMIFS($E$119:$E$151,$D$119:$D$151,E413)&lt;&gt;0,E413,0)</f>
        <v/>
      </c>
      <c r="G413" s="59" t="n"/>
      <c r="I413" s="28">
        <f>IF(AND(SUMIFS($D$245:$D$595,$F$245:$F$595,0,$E$245:$E$595,$G413,$C$245:$C$595,"&lt;="&amp;B$2)&lt;1000000,SUMIFS($D$245:$D$595,$F$245:$F$595,0,$E$245:$E$595,$G413,$C$245:$C$595,"&lt;="&amp;I5)&gt;=1000000),SUMIFS($D$245:$D$595,$F$245:$F$595,0,$E$245:$E$595,$G413)*$C$157 ,0)</f>
        <v/>
      </c>
      <c r="K413" s="95">
        <f>IF(AND(SUMIFS($D$245:$D$595,$F$245:$F$595,0,$E$245:$E$595,$G413,$C$245:$C$595,"&lt;="&amp;I$5)&lt;1000000,SUMIFS($D$245:$D$595,$F$245:$F$595,0,$E$245:$E$595,$G413,$C$245:$C$595,"&lt;="&amp;K5)&gt;=1000000),SUMIFS($D$245:$D$595,$F$245:$F$595,0,$E$245:$E$595,$G413)*$C$157 ,0)</f>
        <v/>
      </c>
      <c r="M413" s="95">
        <f>IF(AND(SUMIFS($D$245:$D$595,$F$245:$F$595,0,$E$245:$E$595,$G413,$C$245:$C$595,"&lt;="&amp;K$5)&lt;1000000,SUMIFS($D$245:$D$595,$F$245:$F$595,0,$E$245:$E$595,$G413,$C$245:$C$595,"&lt;="&amp;M5)&gt;=1000000),SUMIFS($D$245:$D$595,$F$245:$F$595,0,$E$245:$E$595,$G413)*$C$157 ,0)</f>
        <v/>
      </c>
      <c r="O413" s="95">
        <f>IF(AND(SUMIFS($D$245:$D$595,$F$245:$F$595,0,$E$245:$E$595,$G413,$C$245:$C$595,"&lt;="&amp;M$5)&lt;1000000,SUMIFS($D$245:$D$595,$F$245:$F$595,0,$E$245:$E$595,$G413,$C$245:$C$595,"&lt;="&amp;O5)&gt;=1000000),SUMIFS($D$245:$D$595,$F$245:$F$595,0,$E$245:$E$595,$G413)*$C$157 ,0)</f>
        <v/>
      </c>
      <c r="Q413" s="95">
        <f>IF(AND(SUMIFS($D$245:$D$595,$F$245:$F$595,0,$E$245:$E$595,$G413,$C$245:$C$595,"&lt;="&amp;O$5)&lt;1000000,SUMIFS($D$245:$D$595,$F$245:$F$595,0,$E$245:$E$595,$G413,$C$245:$C$595,"&lt;="&amp;Q5)&gt;=1000000),SUMIFS($D$245:$D$595,$F$245:$F$595,0,$E$245:$E$595,$G413)*$C$157 ,0)</f>
        <v/>
      </c>
      <c r="S413" s="95">
        <f>IF(AND(SUMIFS($D$245:$D$595,$F$245:$F$595,0,$E$245:$E$595,$G413,$C$245:$C$595,"&lt;="&amp;Q$5)&lt;1000000,SUMIFS($D$245:$D$595,$F$245:$F$595,0,$E$245:$E$595,$G413,$C$245:$C$595,"&lt;="&amp;S5)&gt;=1000000),SUMIFS($D$245:$D$595,$F$245:$F$595,0,$E$245:$E$595,$G413)*$C$157 ,0)</f>
        <v/>
      </c>
      <c r="U413" s="95">
        <f>IF(AND(SUMIFS($D$245:$D$595,$F$245:$F$595,0,$E$245:$E$595,$G413,$C$245:$C$595,"&lt;="&amp;S$5)&lt;1000000,SUMIFS($D$245:$D$595,$F$245:$F$595,0,$E$245:$E$595,$G413,$C$245:$C$595,"&lt;="&amp;U5)&gt;=1000000),SUMIFS($D$245:$D$595,$F$245:$F$595,0,$E$245:$E$595,$G413)*$C$157 ,0)</f>
        <v/>
      </c>
      <c r="W413" s="95">
        <f>IF(AND(SUMIFS($D$245:$D$595,$F$245:$F$595,0,$E$245:$E$595,$G413,$C$245:$C$595,"&lt;="&amp;U$5)&lt;1000000,SUMIFS($D$245:$D$595,$F$245:$F$595,0,$E$245:$E$595,$G413,$C$245:$C$595,"&lt;="&amp;W5)&gt;=1000000),SUMIFS($D$245:$D$595,$F$245:$F$595,0,$E$245:$E$595,$G413)*$C$157 ,0)</f>
        <v/>
      </c>
      <c r="Y413" s="95">
        <f>IF(AND(SUMIFS($D$245:$D$595,$F$245:$F$595,0,$E$245:$E$595,$G413,$C$245:$C$595,"&lt;="&amp;W$5)&lt;1000000,SUMIFS($D$245:$D$595,$F$245:$F$595,0,$E$245:$E$595,$G413,$C$245:$C$595,"&lt;="&amp;Y5)&gt;=1000000),SUMIFS($D$245:$D$595,$F$245:$F$595,0,$E$245:$E$595,$G413)*$C$157 ,0)</f>
        <v/>
      </c>
      <c r="AA413" s="95">
        <f>IF(AND(SUMIFS($D$245:$D$595,$F$245:$F$595,0,$E$245:$E$595,$G413,$C$245:$C$595,"&lt;="&amp;Y$5)&lt;1000000,SUMIFS($D$245:$D$595,$F$245:$F$595,0,$E$245:$E$595,$G413,$C$245:$C$595,"&lt;="&amp;AA5)&gt;=1000000),SUMIFS($D$245:$D$595,$F$245:$F$595,0,$E$245:$E$595,$G413)*$C$157 ,0)</f>
        <v/>
      </c>
      <c r="AC413" s="95">
        <f>IF(AND(SUMIFS($D$245:$D$595,$F$245:$F$595,0,$E$245:$E$595,$G413,$C$245:$C$595,"&lt;="&amp;AA$5)&lt;1000000,SUMIFS($D$245:$D$595,$F$245:$F$595,0,$E$245:$E$595,$G413,$C$245:$C$595,"&lt;="&amp;AC5)&gt;=1000000),SUMIFS($D$245:$D$595,$F$245:$F$595,0,$E$245:$E$595,$G413)*$C$157 ,0)</f>
        <v/>
      </c>
      <c r="AE413" s="95">
        <f>IF(AND(SUMIFS($D$245:$D$595,$F$245:$F$595,0,$E$245:$E$595,$G413,$C$245:$C$595,"&lt;="&amp;AC$5)&lt;1000000,SUMIFS($D$245:$D$595,$F$245:$F$595,0,$E$245:$E$595,$G413,$C$245:$C$595,"&lt;="&amp;AE5)&gt;=1000000),SUMIFS($D$245:$D$595,$F$245:$F$595,0,$E$245:$E$595,$G413)*$C$157 ,0)</f>
        <v/>
      </c>
      <c r="AF413" s="19" t="n"/>
    </row>
    <row r="414">
      <c r="A414" s="20">
        <f>mid(E414, 3, 1)</f>
        <v/>
      </c>
      <c r="B414" s="14" t="inlineStr"/>
      <c r="C414" s="21">
        <f>SUMIFS('Investor Exit List'!$AC:$AC,'Investor Exit List'!$AB:$AB,B414)</f>
        <v/>
      </c>
      <c r="D414" s="14">
        <f>SUMIFS('Investor Exit List'!$Q:$Q,'Investor Exit List'!$AB:$AB,B414)</f>
        <v/>
      </c>
      <c r="E414" s="31">
        <f>LEFT(B414,6)</f>
        <v/>
      </c>
      <c r="F414" s="14">
        <f>IF(SUMIFS($E$119:$E$151,$D$119:$D$151,E414)&lt;&gt;0,E414,0)</f>
        <v/>
      </c>
      <c r="G414" s="59" t="n"/>
      <c r="I414" s="28">
        <f>IF(AND(SUMIFS($D$245:$D$595,$F$245:$F$595,0,$E$245:$E$595,$G414,$C$245:$C$595,"&lt;="&amp;B$2)&lt;1000000,SUMIFS($D$245:$D$595,$F$245:$F$595,0,$E$245:$E$595,$G414,$C$245:$C$595,"&lt;="&amp;I5)&gt;=1000000),SUMIFS($D$245:$D$595,$F$245:$F$595,0,$E$245:$E$595,$G414)*$C$157 ,0)</f>
        <v/>
      </c>
      <c r="K414" s="95">
        <f>IF(AND(SUMIFS($D$245:$D$595,$F$245:$F$595,0,$E$245:$E$595,$G414,$C$245:$C$595,"&lt;="&amp;I$5)&lt;1000000,SUMIFS($D$245:$D$595,$F$245:$F$595,0,$E$245:$E$595,$G414,$C$245:$C$595,"&lt;="&amp;K5)&gt;=1000000),SUMIFS($D$245:$D$595,$F$245:$F$595,0,$E$245:$E$595,$G414)*$C$157 ,0)</f>
        <v/>
      </c>
      <c r="M414" s="95">
        <f>IF(AND(SUMIFS($D$245:$D$595,$F$245:$F$595,0,$E$245:$E$595,$G414,$C$245:$C$595,"&lt;="&amp;K$5)&lt;1000000,SUMIFS($D$245:$D$595,$F$245:$F$595,0,$E$245:$E$595,$G414,$C$245:$C$595,"&lt;="&amp;M5)&gt;=1000000),SUMIFS($D$245:$D$595,$F$245:$F$595,0,$E$245:$E$595,$G414)*$C$157 ,0)</f>
        <v/>
      </c>
      <c r="O414" s="95">
        <f>IF(AND(SUMIFS($D$245:$D$595,$F$245:$F$595,0,$E$245:$E$595,$G414,$C$245:$C$595,"&lt;="&amp;M$5)&lt;1000000,SUMIFS($D$245:$D$595,$F$245:$F$595,0,$E$245:$E$595,$G414,$C$245:$C$595,"&lt;="&amp;O5)&gt;=1000000),SUMIFS($D$245:$D$595,$F$245:$F$595,0,$E$245:$E$595,$G414)*$C$157 ,0)</f>
        <v/>
      </c>
      <c r="Q414" s="95">
        <f>IF(AND(SUMIFS($D$245:$D$595,$F$245:$F$595,0,$E$245:$E$595,$G414,$C$245:$C$595,"&lt;="&amp;O$5)&lt;1000000,SUMIFS($D$245:$D$595,$F$245:$F$595,0,$E$245:$E$595,$G414,$C$245:$C$595,"&lt;="&amp;Q5)&gt;=1000000),SUMIFS($D$245:$D$595,$F$245:$F$595,0,$E$245:$E$595,$G414)*$C$157 ,0)</f>
        <v/>
      </c>
      <c r="S414" s="95">
        <f>IF(AND(SUMIFS($D$245:$D$595,$F$245:$F$595,0,$E$245:$E$595,$G414,$C$245:$C$595,"&lt;="&amp;Q$5)&lt;1000000,SUMIFS($D$245:$D$595,$F$245:$F$595,0,$E$245:$E$595,$G414,$C$245:$C$595,"&lt;="&amp;S5)&gt;=1000000),SUMIFS($D$245:$D$595,$F$245:$F$595,0,$E$245:$E$595,$G414)*$C$157 ,0)</f>
        <v/>
      </c>
      <c r="U414" s="95">
        <f>IF(AND(SUMIFS($D$245:$D$595,$F$245:$F$595,0,$E$245:$E$595,$G414,$C$245:$C$595,"&lt;="&amp;S$5)&lt;1000000,SUMIFS($D$245:$D$595,$F$245:$F$595,0,$E$245:$E$595,$G414,$C$245:$C$595,"&lt;="&amp;U5)&gt;=1000000),SUMIFS($D$245:$D$595,$F$245:$F$595,0,$E$245:$E$595,$G414)*$C$157 ,0)</f>
        <v/>
      </c>
      <c r="W414" s="95">
        <f>IF(AND(SUMIFS($D$245:$D$595,$F$245:$F$595,0,$E$245:$E$595,$G414,$C$245:$C$595,"&lt;="&amp;U$5)&lt;1000000,SUMIFS($D$245:$D$595,$F$245:$F$595,0,$E$245:$E$595,$G414,$C$245:$C$595,"&lt;="&amp;W5)&gt;=1000000),SUMIFS($D$245:$D$595,$F$245:$F$595,0,$E$245:$E$595,$G414)*$C$157 ,0)</f>
        <v/>
      </c>
      <c r="Y414" s="95">
        <f>IF(AND(SUMIFS($D$245:$D$595,$F$245:$F$595,0,$E$245:$E$595,$G414,$C$245:$C$595,"&lt;="&amp;W$5)&lt;1000000,SUMIFS($D$245:$D$595,$F$245:$F$595,0,$E$245:$E$595,$G414,$C$245:$C$595,"&lt;="&amp;Y5)&gt;=1000000),SUMIFS($D$245:$D$595,$F$245:$F$595,0,$E$245:$E$595,$G414)*$C$157 ,0)</f>
        <v/>
      </c>
      <c r="AA414" s="95">
        <f>IF(AND(SUMIFS($D$245:$D$595,$F$245:$F$595,0,$E$245:$E$595,$G414,$C$245:$C$595,"&lt;="&amp;Y$5)&lt;1000000,SUMIFS($D$245:$D$595,$F$245:$F$595,0,$E$245:$E$595,$G414,$C$245:$C$595,"&lt;="&amp;AA5)&gt;=1000000),SUMIFS($D$245:$D$595,$F$245:$F$595,0,$E$245:$E$595,$G414)*$C$157 ,0)</f>
        <v/>
      </c>
      <c r="AC414" s="95">
        <f>IF(AND(SUMIFS($D$245:$D$595,$F$245:$F$595,0,$E$245:$E$595,$G414,$C$245:$C$595,"&lt;="&amp;AA$5)&lt;1000000,SUMIFS($D$245:$D$595,$F$245:$F$595,0,$E$245:$E$595,$G414,$C$245:$C$595,"&lt;="&amp;AC5)&gt;=1000000),SUMIFS($D$245:$D$595,$F$245:$F$595,0,$E$245:$E$595,$G414)*$C$157 ,0)</f>
        <v/>
      </c>
      <c r="AE414" s="95">
        <f>IF(AND(SUMIFS($D$245:$D$595,$F$245:$F$595,0,$E$245:$E$595,$G414,$C$245:$C$595,"&lt;="&amp;AC$5)&lt;1000000,SUMIFS($D$245:$D$595,$F$245:$F$595,0,$E$245:$E$595,$G414,$C$245:$C$595,"&lt;="&amp;AE5)&gt;=1000000),SUMIFS($D$245:$D$595,$F$245:$F$595,0,$E$245:$E$595,$G414)*$C$157 ,0)</f>
        <v/>
      </c>
      <c r="AF414" s="19" t="n"/>
    </row>
    <row r="415">
      <c r="A415" s="20">
        <f>mid(E415, 3, 1)</f>
        <v/>
      </c>
      <c r="B415" s="14" t="inlineStr"/>
      <c r="C415" s="21">
        <f>SUMIFS('Investor Exit List'!$AC:$AC,'Investor Exit List'!$AB:$AB,B415)</f>
        <v/>
      </c>
      <c r="D415" s="14">
        <f>SUMIFS('Investor Exit List'!$Q:$Q,'Investor Exit List'!$AB:$AB,B415)</f>
        <v/>
      </c>
      <c r="E415" s="31">
        <f>LEFT(B415,6)</f>
        <v/>
      </c>
      <c r="F415" s="14">
        <f>IF(SUMIFS($E$119:$E$151,$D$119:$D$151,E415)&lt;&gt;0,E415,0)</f>
        <v/>
      </c>
      <c r="G415" s="59" t="n"/>
      <c r="I415" s="28">
        <f>IF(AND(SUMIFS($D$245:$D$595,$F$245:$F$595,0,$E$245:$E$595,$G415,$C$245:$C$595,"&lt;="&amp;B$2)&lt;1000000,SUMIFS($D$245:$D$595,$F$245:$F$595,0,$E$245:$E$595,$G415,$C$245:$C$595,"&lt;="&amp;I5)&gt;=1000000),SUMIFS($D$245:$D$595,$F$245:$F$595,0,$E$245:$E$595,$G415)*$C$157 ,0)</f>
        <v/>
      </c>
      <c r="K415" s="95">
        <f>IF(AND(SUMIFS($D$245:$D$595,$F$245:$F$595,0,$E$245:$E$595,$G415,$C$245:$C$595,"&lt;="&amp;I$5)&lt;1000000,SUMIFS($D$245:$D$595,$F$245:$F$595,0,$E$245:$E$595,$G415,$C$245:$C$595,"&lt;="&amp;K5)&gt;=1000000),SUMIFS($D$245:$D$595,$F$245:$F$595,0,$E$245:$E$595,$G415)*$C$157 ,0)</f>
        <v/>
      </c>
      <c r="M415" s="95">
        <f>IF(AND(SUMIFS($D$245:$D$595,$F$245:$F$595,0,$E$245:$E$595,$G415,$C$245:$C$595,"&lt;="&amp;K$5)&lt;1000000,SUMIFS($D$245:$D$595,$F$245:$F$595,0,$E$245:$E$595,$G415,$C$245:$C$595,"&lt;="&amp;M5)&gt;=1000000),SUMIFS($D$245:$D$595,$F$245:$F$595,0,$E$245:$E$595,$G415)*$C$157 ,0)</f>
        <v/>
      </c>
      <c r="O415" s="95">
        <f>IF(AND(SUMIFS($D$245:$D$595,$F$245:$F$595,0,$E$245:$E$595,$G415,$C$245:$C$595,"&lt;="&amp;M$5)&lt;1000000,SUMIFS($D$245:$D$595,$F$245:$F$595,0,$E$245:$E$595,$G415,$C$245:$C$595,"&lt;="&amp;O5)&gt;=1000000),SUMIFS($D$245:$D$595,$F$245:$F$595,0,$E$245:$E$595,$G415)*$C$157 ,0)</f>
        <v/>
      </c>
      <c r="Q415" s="95">
        <f>IF(AND(SUMIFS($D$245:$D$595,$F$245:$F$595,0,$E$245:$E$595,$G415,$C$245:$C$595,"&lt;="&amp;O$5)&lt;1000000,SUMIFS($D$245:$D$595,$F$245:$F$595,0,$E$245:$E$595,$G415,$C$245:$C$595,"&lt;="&amp;Q5)&gt;=1000000),SUMIFS($D$245:$D$595,$F$245:$F$595,0,$E$245:$E$595,$G415)*$C$157 ,0)</f>
        <v/>
      </c>
      <c r="S415" s="95">
        <f>IF(AND(SUMIFS($D$245:$D$595,$F$245:$F$595,0,$E$245:$E$595,$G415,$C$245:$C$595,"&lt;="&amp;Q$5)&lt;1000000,SUMIFS($D$245:$D$595,$F$245:$F$595,0,$E$245:$E$595,$G415,$C$245:$C$595,"&lt;="&amp;S5)&gt;=1000000),SUMIFS($D$245:$D$595,$F$245:$F$595,0,$E$245:$E$595,$G415)*$C$157 ,0)</f>
        <v/>
      </c>
      <c r="U415" s="95">
        <f>IF(AND(SUMIFS($D$245:$D$595,$F$245:$F$595,0,$E$245:$E$595,$G415,$C$245:$C$595,"&lt;="&amp;S$5)&lt;1000000,SUMIFS($D$245:$D$595,$F$245:$F$595,0,$E$245:$E$595,$G415,$C$245:$C$595,"&lt;="&amp;U5)&gt;=1000000),SUMIFS($D$245:$D$595,$F$245:$F$595,0,$E$245:$E$595,$G415)*$C$157 ,0)</f>
        <v/>
      </c>
      <c r="W415" s="95">
        <f>IF(AND(SUMIFS($D$245:$D$595,$F$245:$F$595,0,$E$245:$E$595,$G415,$C$245:$C$595,"&lt;="&amp;U$5)&lt;1000000,SUMIFS($D$245:$D$595,$F$245:$F$595,0,$E$245:$E$595,$G415,$C$245:$C$595,"&lt;="&amp;W5)&gt;=1000000),SUMIFS($D$245:$D$595,$F$245:$F$595,0,$E$245:$E$595,$G415)*$C$157 ,0)</f>
        <v/>
      </c>
      <c r="Y415" s="95">
        <f>IF(AND(SUMIFS($D$245:$D$595,$F$245:$F$595,0,$E$245:$E$595,$G415,$C$245:$C$595,"&lt;="&amp;W$5)&lt;1000000,SUMIFS($D$245:$D$595,$F$245:$F$595,0,$E$245:$E$595,$G415,$C$245:$C$595,"&lt;="&amp;Y5)&gt;=1000000),SUMIFS($D$245:$D$595,$F$245:$F$595,0,$E$245:$E$595,$G415)*$C$157 ,0)</f>
        <v/>
      </c>
      <c r="AA415" s="95">
        <f>IF(AND(SUMIFS($D$245:$D$595,$F$245:$F$595,0,$E$245:$E$595,$G415,$C$245:$C$595,"&lt;="&amp;Y$5)&lt;1000000,SUMIFS($D$245:$D$595,$F$245:$F$595,0,$E$245:$E$595,$G415,$C$245:$C$595,"&lt;="&amp;AA5)&gt;=1000000),SUMIFS($D$245:$D$595,$F$245:$F$595,0,$E$245:$E$595,$G415)*$C$157 ,0)</f>
        <v/>
      </c>
      <c r="AC415" s="95">
        <f>IF(AND(SUMIFS($D$245:$D$595,$F$245:$F$595,0,$E$245:$E$595,$G415,$C$245:$C$595,"&lt;="&amp;AA$5)&lt;1000000,SUMIFS($D$245:$D$595,$F$245:$F$595,0,$E$245:$E$595,$G415,$C$245:$C$595,"&lt;="&amp;AC5)&gt;=1000000),SUMIFS($D$245:$D$595,$F$245:$F$595,0,$E$245:$E$595,$G415)*$C$157 ,0)</f>
        <v/>
      </c>
      <c r="AE415" s="95">
        <f>IF(AND(SUMIFS($D$245:$D$595,$F$245:$F$595,0,$E$245:$E$595,$G415,$C$245:$C$595,"&lt;="&amp;AC$5)&lt;1000000,SUMIFS($D$245:$D$595,$F$245:$F$595,0,$E$245:$E$595,$G415,$C$245:$C$595,"&lt;="&amp;AE5)&gt;=1000000),SUMIFS($D$245:$D$595,$F$245:$F$595,0,$E$245:$E$595,$G415)*$C$157 ,0)</f>
        <v/>
      </c>
      <c r="AF415" s="19" t="n"/>
    </row>
    <row r="416">
      <c r="A416" s="20">
        <f>mid(E416, 3, 1)</f>
        <v/>
      </c>
      <c r="B416" s="14" t="inlineStr"/>
      <c r="C416" s="21">
        <f>SUMIFS('Investor Exit List'!$AC:$AC,'Investor Exit List'!$AB:$AB,B416)</f>
        <v/>
      </c>
      <c r="D416" s="14">
        <f>SUMIFS('Investor Exit List'!$Q:$Q,'Investor Exit List'!$AB:$AB,B416)</f>
        <v/>
      </c>
      <c r="E416" s="31">
        <f>LEFT(B416,6)</f>
        <v/>
      </c>
      <c r="F416" s="14">
        <f>IF(SUMIFS($E$119:$E$151,$D$119:$D$151,E416)&lt;&gt;0,E416,0)</f>
        <v/>
      </c>
      <c r="G416" s="59" t="n"/>
      <c r="I416" s="28">
        <f>IF(AND(SUMIFS($D$245:$D$595,$F$245:$F$595,0,$E$245:$E$595,$G416,$C$245:$C$595,"&lt;="&amp;B$2)&lt;1000000,SUMIFS($D$245:$D$595,$F$245:$F$595,0,$E$245:$E$595,$G416,$C$245:$C$595,"&lt;="&amp;I5)&gt;=1000000),SUMIFS($D$245:$D$595,$F$245:$F$595,0,$E$245:$E$595,$G416)*$C$157 ,0)</f>
        <v/>
      </c>
      <c r="K416" s="95">
        <f>IF(AND(SUMIFS($D$245:$D$595,$F$245:$F$595,0,$E$245:$E$595,$G416,$C$245:$C$595,"&lt;="&amp;I$5)&lt;1000000,SUMIFS($D$245:$D$595,$F$245:$F$595,0,$E$245:$E$595,$G416,$C$245:$C$595,"&lt;="&amp;K5)&gt;=1000000),SUMIFS($D$245:$D$595,$F$245:$F$595,0,$E$245:$E$595,$G416)*$C$157 ,0)</f>
        <v/>
      </c>
      <c r="M416" s="95">
        <f>IF(AND(SUMIFS($D$245:$D$595,$F$245:$F$595,0,$E$245:$E$595,$G416,$C$245:$C$595,"&lt;="&amp;K$5)&lt;1000000,SUMIFS($D$245:$D$595,$F$245:$F$595,0,$E$245:$E$595,$G416,$C$245:$C$595,"&lt;="&amp;M5)&gt;=1000000),SUMIFS($D$245:$D$595,$F$245:$F$595,0,$E$245:$E$595,$G416)*$C$157 ,0)</f>
        <v/>
      </c>
      <c r="O416" s="95">
        <f>IF(AND(SUMIFS($D$245:$D$595,$F$245:$F$595,0,$E$245:$E$595,$G416,$C$245:$C$595,"&lt;="&amp;M$5)&lt;1000000,SUMIFS($D$245:$D$595,$F$245:$F$595,0,$E$245:$E$595,$G416,$C$245:$C$595,"&lt;="&amp;O5)&gt;=1000000),SUMIFS($D$245:$D$595,$F$245:$F$595,0,$E$245:$E$595,$G416)*$C$157 ,0)</f>
        <v/>
      </c>
      <c r="Q416" s="95">
        <f>IF(AND(SUMIFS($D$245:$D$595,$F$245:$F$595,0,$E$245:$E$595,$G416,$C$245:$C$595,"&lt;="&amp;O$5)&lt;1000000,SUMIFS($D$245:$D$595,$F$245:$F$595,0,$E$245:$E$595,$G416,$C$245:$C$595,"&lt;="&amp;Q5)&gt;=1000000),SUMIFS($D$245:$D$595,$F$245:$F$595,0,$E$245:$E$595,$G416)*$C$157 ,0)</f>
        <v/>
      </c>
      <c r="S416" s="95">
        <f>IF(AND(SUMIFS($D$245:$D$595,$F$245:$F$595,0,$E$245:$E$595,$G416,$C$245:$C$595,"&lt;="&amp;Q$5)&lt;1000000,SUMIFS($D$245:$D$595,$F$245:$F$595,0,$E$245:$E$595,$G416,$C$245:$C$595,"&lt;="&amp;S5)&gt;=1000000),SUMIFS($D$245:$D$595,$F$245:$F$595,0,$E$245:$E$595,$G416)*$C$157 ,0)</f>
        <v/>
      </c>
      <c r="U416" s="95">
        <f>IF(AND(SUMIFS($D$245:$D$595,$F$245:$F$595,0,$E$245:$E$595,$G416,$C$245:$C$595,"&lt;="&amp;S$5)&lt;1000000,SUMIFS($D$245:$D$595,$F$245:$F$595,0,$E$245:$E$595,$G416,$C$245:$C$595,"&lt;="&amp;U5)&gt;=1000000),SUMIFS($D$245:$D$595,$F$245:$F$595,0,$E$245:$E$595,$G416)*$C$157 ,0)</f>
        <v/>
      </c>
      <c r="W416" s="95">
        <f>IF(AND(SUMIFS($D$245:$D$595,$F$245:$F$595,0,$E$245:$E$595,$G416,$C$245:$C$595,"&lt;="&amp;U$5)&lt;1000000,SUMIFS($D$245:$D$595,$F$245:$F$595,0,$E$245:$E$595,$G416,$C$245:$C$595,"&lt;="&amp;W5)&gt;=1000000),SUMIFS($D$245:$D$595,$F$245:$F$595,0,$E$245:$E$595,$G416)*$C$157 ,0)</f>
        <v/>
      </c>
      <c r="Y416" s="95">
        <f>IF(AND(SUMIFS($D$245:$D$595,$F$245:$F$595,0,$E$245:$E$595,$G416,$C$245:$C$595,"&lt;="&amp;W$5)&lt;1000000,SUMIFS($D$245:$D$595,$F$245:$F$595,0,$E$245:$E$595,$G416,$C$245:$C$595,"&lt;="&amp;Y5)&gt;=1000000),SUMIFS($D$245:$D$595,$F$245:$F$595,0,$E$245:$E$595,$G416)*$C$157 ,0)</f>
        <v/>
      </c>
      <c r="AA416" s="95">
        <f>IF(AND(SUMIFS($D$245:$D$595,$F$245:$F$595,0,$E$245:$E$595,$G416,$C$245:$C$595,"&lt;="&amp;Y$5)&lt;1000000,SUMIFS($D$245:$D$595,$F$245:$F$595,0,$E$245:$E$595,$G416,$C$245:$C$595,"&lt;="&amp;AA5)&gt;=1000000),SUMIFS($D$245:$D$595,$F$245:$F$595,0,$E$245:$E$595,$G416)*$C$157 ,0)</f>
        <v/>
      </c>
      <c r="AC416" s="95">
        <f>IF(AND(SUMIFS($D$245:$D$595,$F$245:$F$595,0,$E$245:$E$595,$G416,$C$245:$C$595,"&lt;="&amp;AA$5)&lt;1000000,SUMIFS($D$245:$D$595,$F$245:$F$595,0,$E$245:$E$595,$G416,$C$245:$C$595,"&lt;="&amp;AC5)&gt;=1000000),SUMIFS($D$245:$D$595,$F$245:$F$595,0,$E$245:$E$595,$G416)*$C$157 ,0)</f>
        <v/>
      </c>
      <c r="AE416" s="95">
        <f>IF(AND(SUMIFS($D$245:$D$595,$F$245:$F$595,0,$E$245:$E$595,$G416,$C$245:$C$595,"&lt;="&amp;AC$5)&lt;1000000,SUMIFS($D$245:$D$595,$F$245:$F$595,0,$E$245:$E$595,$G416,$C$245:$C$595,"&lt;="&amp;AE5)&gt;=1000000),SUMIFS($D$245:$D$595,$F$245:$F$595,0,$E$245:$E$595,$G416)*$C$157 ,0)</f>
        <v/>
      </c>
      <c r="AF416" s="19" t="n"/>
    </row>
    <row r="417">
      <c r="A417" s="20">
        <f>mid(E417, 3, 1)</f>
        <v/>
      </c>
      <c r="B417" s="14" t="inlineStr"/>
      <c r="C417" s="21">
        <f>SUMIFS('Investor Exit List'!$AC:$AC,'Investor Exit List'!$AB:$AB,B417)</f>
        <v/>
      </c>
      <c r="D417" s="14">
        <f>SUMIFS('Investor Exit List'!$Q:$Q,'Investor Exit List'!$AB:$AB,B417)</f>
        <v/>
      </c>
      <c r="E417" s="31">
        <f>LEFT(B417,6)</f>
        <v/>
      </c>
      <c r="F417" s="14">
        <f>IF(SUMIFS($E$119:$E$151,$D$119:$D$151,E417)&lt;&gt;0,E417,0)</f>
        <v/>
      </c>
      <c r="G417" s="59" t="n"/>
      <c r="I417" s="28">
        <f>IF(AND(SUMIFS($D$245:$D$595,$F$245:$F$595,0,$E$245:$E$595,$G417,$C$245:$C$595,"&lt;="&amp;B$2)&lt;1000000,SUMIFS($D$245:$D$595,$F$245:$F$595,0,$E$245:$E$595,$G417,$C$245:$C$595,"&lt;="&amp;I5)&gt;=1000000),SUMIFS($D$245:$D$595,$F$245:$F$595,0,$E$245:$E$595,$G417)*$C$157 ,0)</f>
        <v/>
      </c>
      <c r="K417" s="95">
        <f>IF(AND(SUMIFS($D$245:$D$595,$F$245:$F$595,0,$E$245:$E$595,$G417,$C$245:$C$595,"&lt;="&amp;I$5)&lt;1000000,SUMIFS($D$245:$D$595,$F$245:$F$595,0,$E$245:$E$595,$G417,$C$245:$C$595,"&lt;="&amp;K5)&gt;=1000000),SUMIFS($D$245:$D$595,$F$245:$F$595,0,$E$245:$E$595,$G417)*$C$157 ,0)</f>
        <v/>
      </c>
      <c r="M417" s="95">
        <f>IF(AND(SUMIFS($D$245:$D$595,$F$245:$F$595,0,$E$245:$E$595,$G417,$C$245:$C$595,"&lt;="&amp;K$5)&lt;1000000,SUMIFS($D$245:$D$595,$F$245:$F$595,0,$E$245:$E$595,$G417,$C$245:$C$595,"&lt;="&amp;M5)&gt;=1000000),SUMIFS($D$245:$D$595,$F$245:$F$595,0,$E$245:$E$595,$G417)*$C$157 ,0)</f>
        <v/>
      </c>
      <c r="O417" s="95">
        <f>IF(AND(SUMIFS($D$245:$D$595,$F$245:$F$595,0,$E$245:$E$595,$G417,$C$245:$C$595,"&lt;="&amp;M$5)&lt;1000000,SUMIFS($D$245:$D$595,$F$245:$F$595,0,$E$245:$E$595,$G417,$C$245:$C$595,"&lt;="&amp;O5)&gt;=1000000),SUMIFS($D$245:$D$595,$F$245:$F$595,0,$E$245:$E$595,$G417)*$C$157 ,0)</f>
        <v/>
      </c>
      <c r="Q417" s="95">
        <f>IF(AND(SUMIFS($D$245:$D$595,$F$245:$F$595,0,$E$245:$E$595,$G417,$C$245:$C$595,"&lt;="&amp;O$5)&lt;1000000,SUMIFS($D$245:$D$595,$F$245:$F$595,0,$E$245:$E$595,$G417,$C$245:$C$595,"&lt;="&amp;Q5)&gt;=1000000),SUMIFS($D$245:$D$595,$F$245:$F$595,0,$E$245:$E$595,$G417)*$C$157 ,0)</f>
        <v/>
      </c>
      <c r="S417" s="95">
        <f>IF(AND(SUMIFS($D$245:$D$595,$F$245:$F$595,0,$E$245:$E$595,$G417,$C$245:$C$595,"&lt;="&amp;Q$5)&lt;1000000,SUMIFS($D$245:$D$595,$F$245:$F$595,0,$E$245:$E$595,$G417,$C$245:$C$595,"&lt;="&amp;S5)&gt;=1000000),SUMIFS($D$245:$D$595,$F$245:$F$595,0,$E$245:$E$595,$G417)*$C$157 ,0)</f>
        <v/>
      </c>
      <c r="U417" s="95">
        <f>IF(AND(SUMIFS($D$245:$D$595,$F$245:$F$595,0,$E$245:$E$595,$G417,$C$245:$C$595,"&lt;="&amp;S$5)&lt;1000000,SUMIFS($D$245:$D$595,$F$245:$F$595,0,$E$245:$E$595,$G417,$C$245:$C$595,"&lt;="&amp;U5)&gt;=1000000),SUMIFS($D$245:$D$595,$F$245:$F$595,0,$E$245:$E$595,$G417)*$C$157 ,0)</f>
        <v/>
      </c>
      <c r="W417" s="95">
        <f>IF(AND(SUMIFS($D$245:$D$595,$F$245:$F$595,0,$E$245:$E$595,$G417,$C$245:$C$595,"&lt;="&amp;U$5)&lt;1000000,SUMIFS($D$245:$D$595,$F$245:$F$595,0,$E$245:$E$595,$G417,$C$245:$C$595,"&lt;="&amp;W5)&gt;=1000000),SUMIFS($D$245:$D$595,$F$245:$F$595,0,$E$245:$E$595,$G417)*$C$157 ,0)</f>
        <v/>
      </c>
      <c r="Y417" s="95">
        <f>IF(AND(SUMIFS($D$245:$D$595,$F$245:$F$595,0,$E$245:$E$595,$G417,$C$245:$C$595,"&lt;="&amp;W$5)&lt;1000000,SUMIFS($D$245:$D$595,$F$245:$F$595,0,$E$245:$E$595,$G417,$C$245:$C$595,"&lt;="&amp;Y5)&gt;=1000000),SUMIFS($D$245:$D$595,$F$245:$F$595,0,$E$245:$E$595,$G417)*$C$157 ,0)</f>
        <v/>
      </c>
      <c r="AA417" s="95">
        <f>IF(AND(SUMIFS($D$245:$D$595,$F$245:$F$595,0,$E$245:$E$595,$G417,$C$245:$C$595,"&lt;="&amp;Y$5)&lt;1000000,SUMIFS($D$245:$D$595,$F$245:$F$595,0,$E$245:$E$595,$G417,$C$245:$C$595,"&lt;="&amp;AA5)&gt;=1000000),SUMIFS($D$245:$D$595,$F$245:$F$595,0,$E$245:$E$595,$G417)*$C$157 ,0)</f>
        <v/>
      </c>
      <c r="AC417" s="95">
        <f>IF(AND(SUMIFS($D$245:$D$595,$F$245:$F$595,0,$E$245:$E$595,$G417,$C$245:$C$595,"&lt;="&amp;AA$5)&lt;1000000,SUMIFS($D$245:$D$595,$F$245:$F$595,0,$E$245:$E$595,$G417,$C$245:$C$595,"&lt;="&amp;AC5)&gt;=1000000),SUMIFS($D$245:$D$595,$F$245:$F$595,0,$E$245:$E$595,$G417)*$C$157 ,0)</f>
        <v/>
      </c>
      <c r="AE417" s="95">
        <f>IF(AND(SUMIFS($D$245:$D$595,$F$245:$F$595,0,$E$245:$E$595,$G417,$C$245:$C$595,"&lt;="&amp;AC$5)&lt;1000000,SUMIFS($D$245:$D$595,$F$245:$F$595,0,$E$245:$E$595,$G417,$C$245:$C$595,"&lt;="&amp;AE5)&gt;=1000000),SUMIFS($D$245:$D$595,$F$245:$F$595,0,$E$245:$E$595,$G417)*$C$157 ,0)</f>
        <v/>
      </c>
      <c r="AF417" s="19" t="n"/>
    </row>
    <row r="418">
      <c r="A418" s="20">
        <f>mid(E418, 3, 1)</f>
        <v/>
      </c>
      <c r="B418" s="14" t="inlineStr"/>
      <c r="C418" s="21">
        <f>SUMIFS('Investor Exit List'!$AC:$AC,'Investor Exit List'!$AB:$AB,B418)</f>
        <v/>
      </c>
      <c r="D418" s="14">
        <f>SUMIFS('Investor Exit List'!$Q:$Q,'Investor Exit List'!$AB:$AB,B418)</f>
        <v/>
      </c>
      <c r="E418" s="31">
        <f>LEFT(B418,6)</f>
        <v/>
      </c>
      <c r="F418" s="14">
        <f>IF(SUMIFS($E$119:$E$151,$D$119:$D$151,E418)&lt;&gt;0,E418,0)</f>
        <v/>
      </c>
      <c r="G418" s="59" t="n"/>
      <c r="I418" s="28">
        <f>IF(AND(SUMIFS($D$245:$D$595,$F$245:$F$595,0,$E$245:$E$595,$G418,$C$245:$C$595,"&lt;="&amp;B$2)&lt;1000000,SUMIFS($D$245:$D$595,$F$245:$F$595,0,$E$245:$E$595,$G418,$C$245:$C$595,"&lt;="&amp;I5)&gt;=1000000),SUMIFS($D$245:$D$595,$F$245:$F$595,0,$E$245:$E$595,$G418)*$C$157 ,0)</f>
        <v/>
      </c>
      <c r="K418" s="95">
        <f>IF(AND(SUMIFS($D$245:$D$595,$F$245:$F$595,0,$E$245:$E$595,$G418,$C$245:$C$595,"&lt;="&amp;I$5)&lt;1000000,SUMIFS($D$245:$D$595,$F$245:$F$595,0,$E$245:$E$595,$G418,$C$245:$C$595,"&lt;="&amp;K5)&gt;=1000000),SUMIFS($D$245:$D$595,$F$245:$F$595,0,$E$245:$E$595,$G418)*$C$157 ,0)</f>
        <v/>
      </c>
      <c r="M418" s="95">
        <f>IF(AND(SUMIFS($D$245:$D$595,$F$245:$F$595,0,$E$245:$E$595,$G418,$C$245:$C$595,"&lt;="&amp;K$5)&lt;1000000,SUMIFS($D$245:$D$595,$F$245:$F$595,0,$E$245:$E$595,$G418,$C$245:$C$595,"&lt;="&amp;M5)&gt;=1000000),SUMIFS($D$245:$D$595,$F$245:$F$595,0,$E$245:$E$595,$G418)*$C$157 ,0)</f>
        <v/>
      </c>
      <c r="O418" s="95">
        <f>IF(AND(SUMIFS($D$245:$D$595,$F$245:$F$595,0,$E$245:$E$595,$G418,$C$245:$C$595,"&lt;="&amp;M$5)&lt;1000000,SUMIFS($D$245:$D$595,$F$245:$F$595,0,$E$245:$E$595,$G418,$C$245:$C$595,"&lt;="&amp;O5)&gt;=1000000),SUMIFS($D$245:$D$595,$F$245:$F$595,0,$E$245:$E$595,$G418)*$C$157 ,0)</f>
        <v/>
      </c>
      <c r="Q418" s="95">
        <f>IF(AND(SUMIFS($D$245:$D$595,$F$245:$F$595,0,$E$245:$E$595,$G418,$C$245:$C$595,"&lt;="&amp;O$5)&lt;1000000,SUMIFS($D$245:$D$595,$F$245:$F$595,0,$E$245:$E$595,$G418,$C$245:$C$595,"&lt;="&amp;Q5)&gt;=1000000),SUMIFS($D$245:$D$595,$F$245:$F$595,0,$E$245:$E$595,$G418)*$C$157 ,0)</f>
        <v/>
      </c>
      <c r="S418" s="95">
        <f>IF(AND(SUMIFS($D$245:$D$595,$F$245:$F$595,0,$E$245:$E$595,$G418,$C$245:$C$595,"&lt;="&amp;Q$5)&lt;1000000,SUMIFS($D$245:$D$595,$F$245:$F$595,0,$E$245:$E$595,$G418,$C$245:$C$595,"&lt;="&amp;S5)&gt;=1000000),SUMIFS($D$245:$D$595,$F$245:$F$595,0,$E$245:$E$595,$G418)*$C$157 ,0)</f>
        <v/>
      </c>
      <c r="U418" s="95">
        <f>IF(AND(SUMIFS($D$245:$D$595,$F$245:$F$595,0,$E$245:$E$595,$G418,$C$245:$C$595,"&lt;="&amp;S$5)&lt;1000000,SUMIFS($D$245:$D$595,$F$245:$F$595,0,$E$245:$E$595,$G418,$C$245:$C$595,"&lt;="&amp;U5)&gt;=1000000),SUMIFS($D$245:$D$595,$F$245:$F$595,0,$E$245:$E$595,$G418)*$C$157 ,0)</f>
        <v/>
      </c>
      <c r="W418" s="95">
        <f>IF(AND(SUMIFS($D$245:$D$595,$F$245:$F$595,0,$E$245:$E$595,$G418,$C$245:$C$595,"&lt;="&amp;U$5)&lt;1000000,SUMIFS($D$245:$D$595,$F$245:$F$595,0,$E$245:$E$595,$G418,$C$245:$C$595,"&lt;="&amp;W5)&gt;=1000000),SUMIFS($D$245:$D$595,$F$245:$F$595,0,$E$245:$E$595,$G418)*$C$157 ,0)</f>
        <v/>
      </c>
      <c r="Y418" s="95">
        <f>IF(AND(SUMIFS($D$245:$D$595,$F$245:$F$595,0,$E$245:$E$595,$G418,$C$245:$C$595,"&lt;="&amp;W$5)&lt;1000000,SUMIFS($D$245:$D$595,$F$245:$F$595,0,$E$245:$E$595,$G418,$C$245:$C$595,"&lt;="&amp;Y5)&gt;=1000000),SUMIFS($D$245:$D$595,$F$245:$F$595,0,$E$245:$E$595,$G418)*$C$157 ,0)</f>
        <v/>
      </c>
      <c r="AA418" s="95">
        <f>IF(AND(SUMIFS($D$245:$D$595,$F$245:$F$595,0,$E$245:$E$595,$G418,$C$245:$C$595,"&lt;="&amp;Y$5)&lt;1000000,SUMIFS($D$245:$D$595,$F$245:$F$595,0,$E$245:$E$595,$G418,$C$245:$C$595,"&lt;="&amp;AA5)&gt;=1000000),SUMIFS($D$245:$D$595,$F$245:$F$595,0,$E$245:$E$595,$G418)*$C$157 ,0)</f>
        <v/>
      </c>
      <c r="AC418" s="95">
        <f>IF(AND(SUMIFS($D$245:$D$595,$F$245:$F$595,0,$E$245:$E$595,$G418,$C$245:$C$595,"&lt;="&amp;AA$5)&lt;1000000,SUMIFS($D$245:$D$595,$F$245:$F$595,0,$E$245:$E$595,$G418,$C$245:$C$595,"&lt;="&amp;AC5)&gt;=1000000),SUMIFS($D$245:$D$595,$F$245:$F$595,0,$E$245:$E$595,$G418)*$C$157 ,0)</f>
        <v/>
      </c>
      <c r="AE418" s="95">
        <f>IF(AND(SUMIFS($D$245:$D$595,$F$245:$F$595,0,$E$245:$E$595,$G418,$C$245:$C$595,"&lt;="&amp;AC$5)&lt;1000000,SUMIFS($D$245:$D$595,$F$245:$F$595,0,$E$245:$E$595,$G418,$C$245:$C$595,"&lt;="&amp;AE5)&gt;=1000000),SUMIFS($D$245:$D$595,$F$245:$F$595,0,$E$245:$E$595,$G418)*$C$157 ,0)</f>
        <v/>
      </c>
      <c r="AF418" s="19" t="n"/>
    </row>
    <row r="419">
      <c r="A419" s="20">
        <f>mid(E419, 3, 1)</f>
        <v/>
      </c>
      <c r="B419" s="14" t="inlineStr"/>
      <c r="C419" s="21">
        <f>SUMIFS('Investor Exit List'!$AC:$AC,'Investor Exit List'!$AB:$AB,B419)</f>
        <v/>
      </c>
      <c r="D419" s="14">
        <f>SUMIFS('Investor Exit List'!$Q:$Q,'Investor Exit List'!$AB:$AB,B419)</f>
        <v/>
      </c>
      <c r="E419" s="31">
        <f>LEFT(B419,6)</f>
        <v/>
      </c>
      <c r="F419" s="14">
        <f>IF(SUMIFS($E$119:$E$151,$D$119:$D$151,E419)&lt;&gt;0,E419,0)</f>
        <v/>
      </c>
      <c r="G419" s="59" t="n"/>
      <c r="I419" s="28">
        <f>IF(AND(SUMIFS($D$245:$D$595,$F$245:$F$595,0,$E$245:$E$595,$G419,$C$245:$C$595,"&lt;="&amp;B$2)&lt;1000000,SUMIFS($D$245:$D$595,$F$245:$F$595,0,$E$245:$E$595,$G419,$C$245:$C$595,"&lt;="&amp;I5)&gt;=1000000),SUMIFS($D$245:$D$595,$F$245:$F$595,0,$E$245:$E$595,$G419)*$C$157 ,0)</f>
        <v/>
      </c>
      <c r="K419" s="95">
        <f>IF(AND(SUMIFS($D$245:$D$595,$F$245:$F$595,0,$E$245:$E$595,$G419,$C$245:$C$595,"&lt;="&amp;I$5)&lt;1000000,SUMIFS($D$245:$D$595,$F$245:$F$595,0,$E$245:$E$595,$G419,$C$245:$C$595,"&lt;="&amp;K5)&gt;=1000000),SUMIFS($D$245:$D$595,$F$245:$F$595,0,$E$245:$E$595,$G419)*$C$157 ,0)</f>
        <v/>
      </c>
      <c r="M419" s="95">
        <f>IF(AND(SUMIFS($D$245:$D$595,$F$245:$F$595,0,$E$245:$E$595,$G419,$C$245:$C$595,"&lt;="&amp;K$5)&lt;1000000,SUMIFS($D$245:$D$595,$F$245:$F$595,0,$E$245:$E$595,$G419,$C$245:$C$595,"&lt;="&amp;M5)&gt;=1000000),SUMIFS($D$245:$D$595,$F$245:$F$595,0,$E$245:$E$595,$G419)*$C$157 ,0)</f>
        <v/>
      </c>
      <c r="O419" s="95">
        <f>IF(AND(SUMIFS($D$245:$D$595,$F$245:$F$595,0,$E$245:$E$595,$G419,$C$245:$C$595,"&lt;="&amp;M$5)&lt;1000000,SUMIFS($D$245:$D$595,$F$245:$F$595,0,$E$245:$E$595,$G419,$C$245:$C$595,"&lt;="&amp;O5)&gt;=1000000),SUMIFS($D$245:$D$595,$F$245:$F$595,0,$E$245:$E$595,$G419)*$C$157 ,0)</f>
        <v/>
      </c>
      <c r="Q419" s="95">
        <f>IF(AND(SUMIFS($D$245:$D$595,$F$245:$F$595,0,$E$245:$E$595,$G419,$C$245:$C$595,"&lt;="&amp;O$5)&lt;1000000,SUMIFS($D$245:$D$595,$F$245:$F$595,0,$E$245:$E$595,$G419,$C$245:$C$595,"&lt;="&amp;Q5)&gt;=1000000),SUMIFS($D$245:$D$595,$F$245:$F$595,0,$E$245:$E$595,$G419)*$C$157 ,0)</f>
        <v/>
      </c>
      <c r="S419" s="95">
        <f>IF(AND(SUMIFS($D$245:$D$595,$F$245:$F$595,0,$E$245:$E$595,$G419,$C$245:$C$595,"&lt;="&amp;Q$5)&lt;1000000,SUMIFS($D$245:$D$595,$F$245:$F$595,0,$E$245:$E$595,$G419,$C$245:$C$595,"&lt;="&amp;S5)&gt;=1000000),SUMIFS($D$245:$D$595,$F$245:$F$595,0,$E$245:$E$595,$G419)*$C$157 ,0)</f>
        <v/>
      </c>
      <c r="U419" s="95">
        <f>IF(AND(SUMIFS($D$245:$D$595,$F$245:$F$595,0,$E$245:$E$595,$G419,$C$245:$C$595,"&lt;="&amp;S$5)&lt;1000000,SUMIFS($D$245:$D$595,$F$245:$F$595,0,$E$245:$E$595,$G419,$C$245:$C$595,"&lt;="&amp;U5)&gt;=1000000),SUMIFS($D$245:$D$595,$F$245:$F$595,0,$E$245:$E$595,$G419)*$C$157 ,0)</f>
        <v/>
      </c>
      <c r="W419" s="95">
        <f>IF(AND(SUMIFS($D$245:$D$595,$F$245:$F$595,0,$E$245:$E$595,$G419,$C$245:$C$595,"&lt;="&amp;U$5)&lt;1000000,SUMIFS($D$245:$D$595,$F$245:$F$595,0,$E$245:$E$595,$G419,$C$245:$C$595,"&lt;="&amp;W5)&gt;=1000000),SUMIFS($D$245:$D$595,$F$245:$F$595,0,$E$245:$E$595,$G419)*$C$157 ,0)</f>
        <v/>
      </c>
      <c r="Y419" s="95">
        <f>IF(AND(SUMIFS($D$245:$D$595,$F$245:$F$595,0,$E$245:$E$595,$G419,$C$245:$C$595,"&lt;="&amp;W$5)&lt;1000000,SUMIFS($D$245:$D$595,$F$245:$F$595,0,$E$245:$E$595,$G419,$C$245:$C$595,"&lt;="&amp;Y5)&gt;=1000000),SUMIFS($D$245:$D$595,$F$245:$F$595,0,$E$245:$E$595,$G419)*$C$157 ,0)</f>
        <v/>
      </c>
      <c r="AA419" s="95">
        <f>IF(AND(SUMIFS($D$245:$D$595,$F$245:$F$595,0,$E$245:$E$595,$G419,$C$245:$C$595,"&lt;="&amp;Y$5)&lt;1000000,SUMIFS($D$245:$D$595,$F$245:$F$595,0,$E$245:$E$595,$G419,$C$245:$C$595,"&lt;="&amp;AA5)&gt;=1000000),SUMIFS($D$245:$D$595,$F$245:$F$595,0,$E$245:$E$595,$G419)*$C$157 ,0)</f>
        <v/>
      </c>
      <c r="AC419" s="95">
        <f>IF(AND(SUMIFS($D$245:$D$595,$F$245:$F$595,0,$E$245:$E$595,$G419,$C$245:$C$595,"&lt;="&amp;AA$5)&lt;1000000,SUMIFS($D$245:$D$595,$F$245:$F$595,0,$E$245:$E$595,$G419,$C$245:$C$595,"&lt;="&amp;AC5)&gt;=1000000),SUMIFS($D$245:$D$595,$F$245:$F$595,0,$E$245:$E$595,$G419)*$C$157 ,0)</f>
        <v/>
      </c>
      <c r="AE419" s="95">
        <f>IF(AND(SUMIFS($D$245:$D$595,$F$245:$F$595,0,$E$245:$E$595,$G419,$C$245:$C$595,"&lt;="&amp;AC$5)&lt;1000000,SUMIFS($D$245:$D$595,$F$245:$F$595,0,$E$245:$E$595,$G419,$C$245:$C$595,"&lt;="&amp;AE5)&gt;=1000000),SUMIFS($D$245:$D$595,$F$245:$F$595,0,$E$245:$E$595,$G419)*$C$157 ,0)</f>
        <v/>
      </c>
      <c r="AF419" s="19" t="n"/>
    </row>
    <row r="420">
      <c r="A420" s="20">
        <f>mid(E420, 3, 1)</f>
        <v/>
      </c>
      <c r="B420" s="14" t="inlineStr"/>
      <c r="C420" s="21">
        <f>SUMIFS('Investor Exit List'!$AC:$AC,'Investor Exit List'!$AB:$AB,B420)</f>
        <v/>
      </c>
      <c r="D420" s="14">
        <f>SUMIFS('Investor Exit List'!$Q:$Q,'Investor Exit List'!$AB:$AB,B420)</f>
        <v/>
      </c>
      <c r="E420" s="31">
        <f>LEFT(B420,6)</f>
        <v/>
      </c>
      <c r="F420" s="14">
        <f>IF(SUMIFS($E$119:$E$151,$D$119:$D$151,E420)&lt;&gt;0,E420,0)</f>
        <v/>
      </c>
      <c r="G420" s="59" t="n"/>
      <c r="I420" s="28">
        <f>IF(AND(SUMIFS($D$245:$D$595,$F$245:$F$595,0,$E$245:$E$595,$G420,$C$245:$C$595,"&lt;="&amp;B$2)&lt;1000000,SUMIFS($D$245:$D$595,$F$245:$F$595,0,$E$245:$E$595,$G420,$C$245:$C$595,"&lt;="&amp;I5)&gt;=1000000),SUMIFS($D$245:$D$595,$F$245:$F$595,0,$E$245:$E$595,$G420)*$C$157 ,0)</f>
        <v/>
      </c>
      <c r="K420" s="95">
        <f>IF(AND(SUMIFS($D$245:$D$595,$F$245:$F$595,0,$E$245:$E$595,$G420,$C$245:$C$595,"&lt;="&amp;I$5)&lt;1000000,SUMIFS($D$245:$D$595,$F$245:$F$595,0,$E$245:$E$595,$G420,$C$245:$C$595,"&lt;="&amp;K5)&gt;=1000000),SUMIFS($D$245:$D$595,$F$245:$F$595,0,$E$245:$E$595,$G420)*$C$157 ,0)</f>
        <v/>
      </c>
      <c r="M420" s="95">
        <f>IF(AND(SUMIFS($D$245:$D$595,$F$245:$F$595,0,$E$245:$E$595,$G420,$C$245:$C$595,"&lt;="&amp;K$5)&lt;1000000,SUMIFS($D$245:$D$595,$F$245:$F$595,0,$E$245:$E$595,$G420,$C$245:$C$595,"&lt;="&amp;M5)&gt;=1000000),SUMIFS($D$245:$D$595,$F$245:$F$595,0,$E$245:$E$595,$G420)*$C$157 ,0)</f>
        <v/>
      </c>
      <c r="O420" s="95">
        <f>IF(AND(SUMIFS($D$245:$D$595,$F$245:$F$595,0,$E$245:$E$595,$G420,$C$245:$C$595,"&lt;="&amp;M$5)&lt;1000000,SUMIFS($D$245:$D$595,$F$245:$F$595,0,$E$245:$E$595,$G420,$C$245:$C$595,"&lt;="&amp;O5)&gt;=1000000),SUMIFS($D$245:$D$595,$F$245:$F$595,0,$E$245:$E$595,$G420)*$C$157 ,0)</f>
        <v/>
      </c>
      <c r="Q420" s="95">
        <f>IF(AND(SUMIFS($D$245:$D$595,$F$245:$F$595,0,$E$245:$E$595,$G420,$C$245:$C$595,"&lt;="&amp;O$5)&lt;1000000,SUMIFS($D$245:$D$595,$F$245:$F$595,0,$E$245:$E$595,$G420,$C$245:$C$595,"&lt;="&amp;Q5)&gt;=1000000),SUMIFS($D$245:$D$595,$F$245:$F$595,0,$E$245:$E$595,$G420)*$C$157 ,0)</f>
        <v/>
      </c>
      <c r="S420" s="95">
        <f>IF(AND(SUMIFS($D$245:$D$595,$F$245:$F$595,0,$E$245:$E$595,$G420,$C$245:$C$595,"&lt;="&amp;Q$5)&lt;1000000,SUMIFS($D$245:$D$595,$F$245:$F$595,0,$E$245:$E$595,$G420,$C$245:$C$595,"&lt;="&amp;S5)&gt;=1000000),SUMIFS($D$245:$D$595,$F$245:$F$595,0,$E$245:$E$595,$G420)*$C$157 ,0)</f>
        <v/>
      </c>
      <c r="U420" s="95">
        <f>IF(AND(SUMIFS($D$245:$D$595,$F$245:$F$595,0,$E$245:$E$595,$G420,$C$245:$C$595,"&lt;="&amp;S$5)&lt;1000000,SUMIFS($D$245:$D$595,$F$245:$F$595,0,$E$245:$E$595,$G420,$C$245:$C$595,"&lt;="&amp;U5)&gt;=1000000),SUMIFS($D$245:$D$595,$F$245:$F$595,0,$E$245:$E$595,$G420)*$C$157 ,0)</f>
        <v/>
      </c>
      <c r="W420" s="95">
        <f>IF(AND(SUMIFS($D$245:$D$595,$F$245:$F$595,0,$E$245:$E$595,$G420,$C$245:$C$595,"&lt;="&amp;U$5)&lt;1000000,SUMIFS($D$245:$D$595,$F$245:$F$595,0,$E$245:$E$595,$G420,$C$245:$C$595,"&lt;="&amp;W5)&gt;=1000000),SUMIFS($D$245:$D$595,$F$245:$F$595,0,$E$245:$E$595,$G420)*$C$157 ,0)</f>
        <v/>
      </c>
      <c r="Y420" s="95">
        <f>IF(AND(SUMIFS($D$245:$D$595,$F$245:$F$595,0,$E$245:$E$595,$G420,$C$245:$C$595,"&lt;="&amp;W$5)&lt;1000000,SUMIFS($D$245:$D$595,$F$245:$F$595,0,$E$245:$E$595,$G420,$C$245:$C$595,"&lt;="&amp;Y5)&gt;=1000000),SUMIFS($D$245:$D$595,$F$245:$F$595,0,$E$245:$E$595,$G420)*$C$157 ,0)</f>
        <v/>
      </c>
      <c r="AA420" s="95">
        <f>IF(AND(SUMIFS($D$245:$D$595,$F$245:$F$595,0,$E$245:$E$595,$G420,$C$245:$C$595,"&lt;="&amp;Y$5)&lt;1000000,SUMIFS($D$245:$D$595,$F$245:$F$595,0,$E$245:$E$595,$G420,$C$245:$C$595,"&lt;="&amp;AA5)&gt;=1000000),SUMIFS($D$245:$D$595,$F$245:$F$595,0,$E$245:$E$595,$G420)*$C$157 ,0)</f>
        <v/>
      </c>
      <c r="AC420" s="95">
        <f>IF(AND(SUMIFS($D$245:$D$595,$F$245:$F$595,0,$E$245:$E$595,$G420,$C$245:$C$595,"&lt;="&amp;AA$5)&lt;1000000,SUMIFS($D$245:$D$595,$F$245:$F$595,0,$E$245:$E$595,$G420,$C$245:$C$595,"&lt;="&amp;AC5)&gt;=1000000),SUMIFS($D$245:$D$595,$F$245:$F$595,0,$E$245:$E$595,$G420)*$C$157 ,0)</f>
        <v/>
      </c>
      <c r="AE420" s="95">
        <f>IF(AND(SUMIFS($D$245:$D$595,$F$245:$F$595,0,$E$245:$E$595,$G420,$C$245:$C$595,"&lt;="&amp;AC$5)&lt;1000000,SUMIFS($D$245:$D$595,$F$245:$F$595,0,$E$245:$E$595,$G420,$C$245:$C$595,"&lt;="&amp;AE5)&gt;=1000000),SUMIFS($D$245:$D$595,$F$245:$F$595,0,$E$245:$E$595,$G420)*$C$157 ,0)</f>
        <v/>
      </c>
      <c r="AF420" s="19" t="n"/>
    </row>
    <row r="421">
      <c r="A421" s="20">
        <f>mid(E421, 3, 1)</f>
        <v/>
      </c>
      <c r="B421" s="14" t="inlineStr"/>
      <c r="C421" s="21">
        <f>SUMIFS('Investor Exit List'!$AC:$AC,'Investor Exit List'!$AB:$AB,B421)</f>
        <v/>
      </c>
      <c r="D421" s="14">
        <f>SUMIFS('Investor Exit List'!$Q:$Q,'Investor Exit List'!$AB:$AB,B421)</f>
        <v/>
      </c>
      <c r="E421" s="31">
        <f>LEFT(B421,6)</f>
        <v/>
      </c>
      <c r="F421" s="14">
        <f>IF(SUMIFS($E$119:$E$151,$D$119:$D$151,E421)&lt;&gt;0,E421,0)</f>
        <v/>
      </c>
      <c r="G421" s="59" t="n"/>
      <c r="I421" s="28">
        <f>IF(AND(SUMIFS($D$245:$D$595,$F$245:$F$595,0,$E$245:$E$595,$G421,$C$245:$C$595,"&lt;="&amp;B$2)&lt;1000000,SUMIFS($D$245:$D$595,$F$245:$F$595,0,$E$245:$E$595,$G421,$C$245:$C$595,"&lt;="&amp;I5)&gt;=1000000),SUMIFS($D$245:$D$595,$F$245:$F$595,0,$E$245:$E$595,$G421)*$C$157 ,0)</f>
        <v/>
      </c>
      <c r="K421" s="95">
        <f>IF(AND(SUMIFS($D$245:$D$595,$F$245:$F$595,0,$E$245:$E$595,$G421,$C$245:$C$595,"&lt;="&amp;I$5)&lt;1000000,SUMIFS($D$245:$D$595,$F$245:$F$595,0,$E$245:$E$595,$G421,$C$245:$C$595,"&lt;="&amp;K5)&gt;=1000000),SUMIFS($D$245:$D$595,$F$245:$F$595,0,$E$245:$E$595,$G421)*$C$157 ,0)</f>
        <v/>
      </c>
      <c r="M421" s="95">
        <f>IF(AND(SUMIFS($D$245:$D$595,$F$245:$F$595,0,$E$245:$E$595,$G421,$C$245:$C$595,"&lt;="&amp;K$5)&lt;1000000,SUMIFS($D$245:$D$595,$F$245:$F$595,0,$E$245:$E$595,$G421,$C$245:$C$595,"&lt;="&amp;M5)&gt;=1000000),SUMIFS($D$245:$D$595,$F$245:$F$595,0,$E$245:$E$595,$G421)*$C$157 ,0)</f>
        <v/>
      </c>
      <c r="O421" s="95">
        <f>IF(AND(SUMIFS($D$245:$D$595,$F$245:$F$595,0,$E$245:$E$595,$G421,$C$245:$C$595,"&lt;="&amp;M$5)&lt;1000000,SUMIFS($D$245:$D$595,$F$245:$F$595,0,$E$245:$E$595,$G421,$C$245:$C$595,"&lt;="&amp;O5)&gt;=1000000),SUMIFS($D$245:$D$595,$F$245:$F$595,0,$E$245:$E$595,$G421)*$C$157 ,0)</f>
        <v/>
      </c>
      <c r="Q421" s="95">
        <f>IF(AND(SUMIFS($D$245:$D$595,$F$245:$F$595,0,$E$245:$E$595,$G421,$C$245:$C$595,"&lt;="&amp;O$5)&lt;1000000,SUMIFS($D$245:$D$595,$F$245:$F$595,0,$E$245:$E$595,$G421,$C$245:$C$595,"&lt;="&amp;Q5)&gt;=1000000),SUMIFS($D$245:$D$595,$F$245:$F$595,0,$E$245:$E$595,$G421)*$C$157 ,0)</f>
        <v/>
      </c>
      <c r="S421" s="95">
        <f>IF(AND(SUMIFS($D$245:$D$595,$F$245:$F$595,0,$E$245:$E$595,$G421,$C$245:$C$595,"&lt;="&amp;Q$5)&lt;1000000,SUMIFS($D$245:$D$595,$F$245:$F$595,0,$E$245:$E$595,$G421,$C$245:$C$595,"&lt;="&amp;S5)&gt;=1000000),SUMIFS($D$245:$D$595,$F$245:$F$595,0,$E$245:$E$595,$G421)*$C$157 ,0)</f>
        <v/>
      </c>
      <c r="U421" s="95">
        <f>IF(AND(SUMIFS($D$245:$D$595,$F$245:$F$595,0,$E$245:$E$595,$G421,$C$245:$C$595,"&lt;="&amp;S$5)&lt;1000000,SUMIFS($D$245:$D$595,$F$245:$F$595,0,$E$245:$E$595,$G421,$C$245:$C$595,"&lt;="&amp;U5)&gt;=1000000),SUMIFS($D$245:$D$595,$F$245:$F$595,0,$E$245:$E$595,$G421)*$C$157 ,0)</f>
        <v/>
      </c>
      <c r="W421" s="95">
        <f>IF(AND(SUMIFS($D$245:$D$595,$F$245:$F$595,0,$E$245:$E$595,$G421,$C$245:$C$595,"&lt;="&amp;U$5)&lt;1000000,SUMIFS($D$245:$D$595,$F$245:$F$595,0,$E$245:$E$595,$G421,$C$245:$C$595,"&lt;="&amp;W5)&gt;=1000000),SUMIFS($D$245:$D$595,$F$245:$F$595,0,$E$245:$E$595,$G421)*$C$157 ,0)</f>
        <v/>
      </c>
      <c r="Y421" s="95">
        <f>IF(AND(SUMIFS($D$245:$D$595,$F$245:$F$595,0,$E$245:$E$595,$G421,$C$245:$C$595,"&lt;="&amp;W$5)&lt;1000000,SUMIFS($D$245:$D$595,$F$245:$F$595,0,$E$245:$E$595,$G421,$C$245:$C$595,"&lt;="&amp;Y5)&gt;=1000000),SUMIFS($D$245:$D$595,$F$245:$F$595,0,$E$245:$E$595,$G421)*$C$157 ,0)</f>
        <v/>
      </c>
      <c r="AA421" s="95">
        <f>IF(AND(SUMIFS($D$245:$D$595,$F$245:$F$595,0,$E$245:$E$595,$G421,$C$245:$C$595,"&lt;="&amp;Y$5)&lt;1000000,SUMIFS($D$245:$D$595,$F$245:$F$595,0,$E$245:$E$595,$G421,$C$245:$C$595,"&lt;="&amp;AA5)&gt;=1000000),SUMIFS($D$245:$D$595,$F$245:$F$595,0,$E$245:$E$595,$G421)*$C$157 ,0)</f>
        <v/>
      </c>
      <c r="AC421" s="95">
        <f>IF(AND(SUMIFS($D$245:$D$595,$F$245:$F$595,0,$E$245:$E$595,$G421,$C$245:$C$595,"&lt;="&amp;AA$5)&lt;1000000,SUMIFS($D$245:$D$595,$F$245:$F$595,0,$E$245:$E$595,$G421,$C$245:$C$595,"&lt;="&amp;AC5)&gt;=1000000),SUMIFS($D$245:$D$595,$F$245:$F$595,0,$E$245:$E$595,$G421)*$C$157 ,0)</f>
        <v/>
      </c>
      <c r="AE421" s="95">
        <f>IF(AND(SUMIFS($D$245:$D$595,$F$245:$F$595,0,$E$245:$E$595,$G421,$C$245:$C$595,"&lt;="&amp;AC$5)&lt;1000000,SUMIFS($D$245:$D$595,$F$245:$F$595,0,$E$245:$E$595,$G421,$C$245:$C$595,"&lt;="&amp;AE5)&gt;=1000000),SUMIFS($D$245:$D$595,$F$245:$F$595,0,$E$245:$E$595,$G421)*$C$157 ,0)</f>
        <v/>
      </c>
      <c r="AF421" s="19" t="n"/>
    </row>
    <row r="422">
      <c r="A422" s="20">
        <f>mid(E422, 3, 1)</f>
        <v/>
      </c>
      <c r="B422" s="14" t="inlineStr"/>
      <c r="C422" s="21">
        <f>SUMIFS('Investor Exit List'!$AC:$AC,'Investor Exit List'!$AB:$AB,B422)</f>
        <v/>
      </c>
      <c r="D422" s="14">
        <f>SUMIFS('Investor Exit List'!$Q:$Q,'Investor Exit List'!$AB:$AB,B422)</f>
        <v/>
      </c>
      <c r="E422" s="31">
        <f>LEFT(B422,6)</f>
        <v/>
      </c>
      <c r="F422" s="14">
        <f>IF(SUMIFS($E$119:$E$151,$D$119:$D$151,E422)&lt;&gt;0,E422,0)</f>
        <v/>
      </c>
      <c r="G422" s="59" t="n"/>
      <c r="I422" s="28">
        <f>IF(AND(SUMIFS($D$245:$D$595,$F$245:$F$595,0,$E$245:$E$595,$G422,$C$245:$C$595,"&lt;="&amp;B$2)&lt;1000000,SUMIFS($D$245:$D$595,$F$245:$F$595,0,$E$245:$E$595,$G422,$C$245:$C$595,"&lt;="&amp;I5)&gt;=1000000),SUMIFS($D$245:$D$595,$F$245:$F$595,0,$E$245:$E$595,$G422)*$C$157 ,0)</f>
        <v/>
      </c>
      <c r="K422" s="95">
        <f>IF(AND(SUMIFS($D$245:$D$595,$F$245:$F$595,0,$E$245:$E$595,$G422,$C$245:$C$595,"&lt;="&amp;I$5)&lt;1000000,SUMIFS($D$245:$D$595,$F$245:$F$595,0,$E$245:$E$595,$G422,$C$245:$C$595,"&lt;="&amp;K5)&gt;=1000000),SUMIFS($D$245:$D$595,$F$245:$F$595,0,$E$245:$E$595,$G422)*$C$157 ,0)</f>
        <v/>
      </c>
      <c r="M422" s="95">
        <f>IF(AND(SUMIFS($D$245:$D$595,$F$245:$F$595,0,$E$245:$E$595,$G422,$C$245:$C$595,"&lt;="&amp;K$5)&lt;1000000,SUMIFS($D$245:$D$595,$F$245:$F$595,0,$E$245:$E$595,$G422,$C$245:$C$595,"&lt;="&amp;M5)&gt;=1000000),SUMIFS($D$245:$D$595,$F$245:$F$595,0,$E$245:$E$595,$G422)*$C$157 ,0)</f>
        <v/>
      </c>
      <c r="O422" s="95">
        <f>IF(AND(SUMIFS($D$245:$D$595,$F$245:$F$595,0,$E$245:$E$595,$G422,$C$245:$C$595,"&lt;="&amp;M$5)&lt;1000000,SUMIFS($D$245:$D$595,$F$245:$F$595,0,$E$245:$E$595,$G422,$C$245:$C$595,"&lt;="&amp;O5)&gt;=1000000),SUMIFS($D$245:$D$595,$F$245:$F$595,0,$E$245:$E$595,$G422)*$C$157 ,0)</f>
        <v/>
      </c>
      <c r="Q422" s="95">
        <f>IF(AND(SUMIFS($D$245:$D$595,$F$245:$F$595,0,$E$245:$E$595,$G422,$C$245:$C$595,"&lt;="&amp;O$5)&lt;1000000,SUMIFS($D$245:$D$595,$F$245:$F$595,0,$E$245:$E$595,$G422,$C$245:$C$595,"&lt;="&amp;Q5)&gt;=1000000),SUMIFS($D$245:$D$595,$F$245:$F$595,0,$E$245:$E$595,$G422)*$C$157 ,0)</f>
        <v/>
      </c>
      <c r="S422" s="95">
        <f>IF(AND(SUMIFS($D$245:$D$595,$F$245:$F$595,0,$E$245:$E$595,$G422,$C$245:$C$595,"&lt;="&amp;Q$5)&lt;1000000,SUMIFS($D$245:$D$595,$F$245:$F$595,0,$E$245:$E$595,$G422,$C$245:$C$595,"&lt;="&amp;S5)&gt;=1000000),SUMIFS($D$245:$D$595,$F$245:$F$595,0,$E$245:$E$595,$G422)*$C$157 ,0)</f>
        <v/>
      </c>
      <c r="U422" s="95">
        <f>IF(AND(SUMIFS($D$245:$D$595,$F$245:$F$595,0,$E$245:$E$595,$G422,$C$245:$C$595,"&lt;="&amp;S$5)&lt;1000000,SUMIFS($D$245:$D$595,$F$245:$F$595,0,$E$245:$E$595,$G422,$C$245:$C$595,"&lt;="&amp;U5)&gt;=1000000),SUMIFS($D$245:$D$595,$F$245:$F$595,0,$E$245:$E$595,$G422)*$C$157 ,0)</f>
        <v/>
      </c>
      <c r="W422" s="95">
        <f>IF(AND(SUMIFS($D$245:$D$595,$F$245:$F$595,0,$E$245:$E$595,$G422,$C$245:$C$595,"&lt;="&amp;U$5)&lt;1000000,SUMIFS($D$245:$D$595,$F$245:$F$595,0,$E$245:$E$595,$G422,$C$245:$C$595,"&lt;="&amp;W5)&gt;=1000000),SUMIFS($D$245:$D$595,$F$245:$F$595,0,$E$245:$E$595,$G422)*$C$157 ,0)</f>
        <v/>
      </c>
      <c r="Y422" s="95">
        <f>IF(AND(SUMIFS($D$245:$D$595,$F$245:$F$595,0,$E$245:$E$595,$G422,$C$245:$C$595,"&lt;="&amp;W$5)&lt;1000000,SUMIFS($D$245:$D$595,$F$245:$F$595,0,$E$245:$E$595,$G422,$C$245:$C$595,"&lt;="&amp;Y5)&gt;=1000000),SUMIFS($D$245:$D$595,$F$245:$F$595,0,$E$245:$E$595,$G422)*$C$157 ,0)</f>
        <v/>
      </c>
      <c r="AA422" s="95">
        <f>IF(AND(SUMIFS($D$245:$D$595,$F$245:$F$595,0,$E$245:$E$595,$G422,$C$245:$C$595,"&lt;="&amp;Y$5)&lt;1000000,SUMIFS($D$245:$D$595,$F$245:$F$595,0,$E$245:$E$595,$G422,$C$245:$C$595,"&lt;="&amp;AA5)&gt;=1000000),SUMIFS($D$245:$D$595,$F$245:$F$595,0,$E$245:$E$595,$G422)*$C$157 ,0)</f>
        <v/>
      </c>
      <c r="AC422" s="95">
        <f>IF(AND(SUMIFS($D$245:$D$595,$F$245:$F$595,0,$E$245:$E$595,$G422,$C$245:$C$595,"&lt;="&amp;AA$5)&lt;1000000,SUMIFS($D$245:$D$595,$F$245:$F$595,0,$E$245:$E$595,$G422,$C$245:$C$595,"&lt;="&amp;AC5)&gt;=1000000),SUMIFS($D$245:$D$595,$F$245:$F$595,0,$E$245:$E$595,$G422)*$C$157 ,0)</f>
        <v/>
      </c>
      <c r="AE422" s="95">
        <f>IF(AND(SUMIFS($D$245:$D$595,$F$245:$F$595,0,$E$245:$E$595,$G422,$C$245:$C$595,"&lt;="&amp;AC$5)&lt;1000000,SUMIFS($D$245:$D$595,$F$245:$F$595,0,$E$245:$E$595,$G422,$C$245:$C$595,"&lt;="&amp;AE5)&gt;=1000000),SUMIFS($D$245:$D$595,$F$245:$F$595,0,$E$245:$E$595,$G422)*$C$157 ,0)</f>
        <v/>
      </c>
      <c r="AF422" s="19" t="n"/>
    </row>
    <row r="423">
      <c r="A423" s="20">
        <f>mid(E423, 3, 1)</f>
        <v/>
      </c>
      <c r="B423" s="14" t="inlineStr"/>
      <c r="C423" s="21">
        <f>SUMIFS('Investor Exit List'!$AC:$AC,'Investor Exit List'!$AB:$AB,B423)</f>
        <v/>
      </c>
      <c r="D423" s="14">
        <f>SUMIFS('Investor Exit List'!$Q:$Q,'Investor Exit List'!$AB:$AB,B423)</f>
        <v/>
      </c>
      <c r="E423" s="31">
        <f>LEFT(B423,6)</f>
        <v/>
      </c>
      <c r="F423" s="14">
        <f>IF(SUMIFS($E$119:$E$151,$D$119:$D$151,E423)&lt;&gt;0,E423,0)</f>
        <v/>
      </c>
      <c r="G423" s="59" t="n"/>
      <c r="I423" s="28">
        <f>IF(AND(SUMIFS($D$245:$D$595,$F$245:$F$595,0,$E$245:$E$595,$G423,$C$245:$C$595,"&lt;="&amp;B$2)&lt;1000000,SUMIFS($D$245:$D$595,$F$245:$F$595,0,$E$245:$E$595,$G423,$C$245:$C$595,"&lt;="&amp;I5)&gt;=1000000),SUMIFS($D$245:$D$595,$F$245:$F$595,0,$E$245:$E$595,$G423)*$C$157 ,0)</f>
        <v/>
      </c>
      <c r="K423" s="95">
        <f>IF(AND(SUMIFS($D$245:$D$595,$F$245:$F$595,0,$E$245:$E$595,$G423,$C$245:$C$595,"&lt;="&amp;I$5)&lt;1000000,SUMIFS($D$245:$D$595,$F$245:$F$595,0,$E$245:$E$595,$G423,$C$245:$C$595,"&lt;="&amp;K5)&gt;=1000000),SUMIFS($D$245:$D$595,$F$245:$F$595,0,$E$245:$E$595,$G423)*$C$157 ,0)</f>
        <v/>
      </c>
      <c r="M423" s="95">
        <f>IF(AND(SUMIFS($D$245:$D$595,$F$245:$F$595,0,$E$245:$E$595,$G423,$C$245:$C$595,"&lt;="&amp;K$5)&lt;1000000,SUMIFS($D$245:$D$595,$F$245:$F$595,0,$E$245:$E$595,$G423,$C$245:$C$595,"&lt;="&amp;M5)&gt;=1000000),SUMIFS($D$245:$D$595,$F$245:$F$595,0,$E$245:$E$595,$G423)*$C$157 ,0)</f>
        <v/>
      </c>
      <c r="O423" s="95">
        <f>IF(AND(SUMIFS($D$245:$D$595,$F$245:$F$595,0,$E$245:$E$595,$G423,$C$245:$C$595,"&lt;="&amp;M$5)&lt;1000000,SUMIFS($D$245:$D$595,$F$245:$F$595,0,$E$245:$E$595,$G423,$C$245:$C$595,"&lt;="&amp;O5)&gt;=1000000),SUMIFS($D$245:$D$595,$F$245:$F$595,0,$E$245:$E$595,$G423)*$C$157 ,0)</f>
        <v/>
      </c>
      <c r="Q423" s="95">
        <f>IF(AND(SUMIFS($D$245:$D$595,$F$245:$F$595,0,$E$245:$E$595,$G423,$C$245:$C$595,"&lt;="&amp;O$5)&lt;1000000,SUMIFS($D$245:$D$595,$F$245:$F$595,0,$E$245:$E$595,$G423,$C$245:$C$595,"&lt;="&amp;Q5)&gt;=1000000),SUMIFS($D$245:$D$595,$F$245:$F$595,0,$E$245:$E$595,$G423)*$C$157 ,0)</f>
        <v/>
      </c>
      <c r="S423" s="95">
        <f>IF(AND(SUMIFS($D$245:$D$595,$F$245:$F$595,0,$E$245:$E$595,$G423,$C$245:$C$595,"&lt;="&amp;Q$5)&lt;1000000,SUMIFS($D$245:$D$595,$F$245:$F$595,0,$E$245:$E$595,$G423,$C$245:$C$595,"&lt;="&amp;S5)&gt;=1000000),SUMIFS($D$245:$D$595,$F$245:$F$595,0,$E$245:$E$595,$G423)*$C$157 ,0)</f>
        <v/>
      </c>
      <c r="U423" s="95">
        <f>IF(AND(SUMIFS($D$245:$D$595,$F$245:$F$595,0,$E$245:$E$595,$G423,$C$245:$C$595,"&lt;="&amp;S$5)&lt;1000000,SUMIFS($D$245:$D$595,$F$245:$F$595,0,$E$245:$E$595,$G423,$C$245:$C$595,"&lt;="&amp;U5)&gt;=1000000),SUMIFS($D$245:$D$595,$F$245:$F$595,0,$E$245:$E$595,$G423)*$C$157 ,0)</f>
        <v/>
      </c>
      <c r="W423" s="95">
        <f>IF(AND(SUMIFS($D$245:$D$595,$F$245:$F$595,0,$E$245:$E$595,$G423,$C$245:$C$595,"&lt;="&amp;U$5)&lt;1000000,SUMIFS($D$245:$D$595,$F$245:$F$595,0,$E$245:$E$595,$G423,$C$245:$C$595,"&lt;="&amp;W5)&gt;=1000000),SUMIFS($D$245:$D$595,$F$245:$F$595,0,$E$245:$E$595,$G423)*$C$157 ,0)</f>
        <v/>
      </c>
      <c r="Y423" s="95">
        <f>IF(AND(SUMIFS($D$245:$D$595,$F$245:$F$595,0,$E$245:$E$595,$G423,$C$245:$C$595,"&lt;="&amp;W$5)&lt;1000000,SUMIFS($D$245:$D$595,$F$245:$F$595,0,$E$245:$E$595,$G423,$C$245:$C$595,"&lt;="&amp;Y5)&gt;=1000000),SUMIFS($D$245:$D$595,$F$245:$F$595,0,$E$245:$E$595,$G423)*$C$157 ,0)</f>
        <v/>
      </c>
      <c r="AA423" s="95">
        <f>IF(AND(SUMIFS($D$245:$D$595,$F$245:$F$595,0,$E$245:$E$595,$G423,$C$245:$C$595,"&lt;="&amp;Y$5)&lt;1000000,SUMIFS($D$245:$D$595,$F$245:$F$595,0,$E$245:$E$595,$G423,$C$245:$C$595,"&lt;="&amp;AA5)&gt;=1000000),SUMIFS($D$245:$D$595,$F$245:$F$595,0,$E$245:$E$595,$G423)*$C$157 ,0)</f>
        <v/>
      </c>
      <c r="AC423" s="95">
        <f>IF(AND(SUMIFS($D$245:$D$595,$F$245:$F$595,0,$E$245:$E$595,$G423,$C$245:$C$595,"&lt;="&amp;AA$5)&lt;1000000,SUMIFS($D$245:$D$595,$F$245:$F$595,0,$E$245:$E$595,$G423,$C$245:$C$595,"&lt;="&amp;AC5)&gt;=1000000),SUMIFS($D$245:$D$595,$F$245:$F$595,0,$E$245:$E$595,$G423)*$C$157 ,0)</f>
        <v/>
      </c>
      <c r="AE423" s="95">
        <f>IF(AND(SUMIFS($D$245:$D$595,$F$245:$F$595,0,$E$245:$E$595,$G423,$C$245:$C$595,"&lt;="&amp;AC$5)&lt;1000000,SUMIFS($D$245:$D$595,$F$245:$F$595,0,$E$245:$E$595,$G423,$C$245:$C$595,"&lt;="&amp;AE5)&gt;=1000000),SUMIFS($D$245:$D$595,$F$245:$F$595,0,$E$245:$E$595,$G423)*$C$157 ,0)</f>
        <v/>
      </c>
      <c r="AF423" s="19" t="n"/>
    </row>
    <row r="424">
      <c r="A424" s="20">
        <f>mid(E424, 3, 1)</f>
        <v/>
      </c>
      <c r="B424" s="14" t="inlineStr"/>
      <c r="C424" s="21">
        <f>SUMIFS('Investor Exit List'!$AC:$AC,'Investor Exit List'!$AB:$AB,B424)</f>
        <v/>
      </c>
      <c r="D424" s="14">
        <f>SUMIFS('Investor Exit List'!$Q:$Q,'Investor Exit List'!$AB:$AB,B424)</f>
        <v/>
      </c>
      <c r="E424" s="31">
        <f>LEFT(B424,6)</f>
        <v/>
      </c>
      <c r="F424" s="14">
        <f>IF(SUMIFS($E$119:$E$151,$D$119:$D$151,E424)&lt;&gt;0,E424,0)</f>
        <v/>
      </c>
      <c r="G424" s="59" t="n"/>
      <c r="I424" s="28">
        <f>IF(AND(SUMIFS($D$245:$D$595,$F$245:$F$595,0,$E$245:$E$595,$G424,$C$245:$C$595,"&lt;="&amp;B$2)&lt;1000000,SUMIFS($D$245:$D$595,$F$245:$F$595,0,$E$245:$E$595,$G424,$C$245:$C$595,"&lt;="&amp;I5)&gt;=1000000),SUMIFS($D$245:$D$595,$F$245:$F$595,0,$E$245:$E$595,$G424)*$C$157 ,0)</f>
        <v/>
      </c>
      <c r="K424" s="95">
        <f>IF(AND(SUMIFS($D$245:$D$595,$F$245:$F$595,0,$E$245:$E$595,$G424,$C$245:$C$595,"&lt;="&amp;I$5)&lt;1000000,SUMIFS($D$245:$D$595,$F$245:$F$595,0,$E$245:$E$595,$G424,$C$245:$C$595,"&lt;="&amp;K5)&gt;=1000000),SUMIFS($D$245:$D$595,$F$245:$F$595,0,$E$245:$E$595,$G424)*$C$157 ,0)</f>
        <v/>
      </c>
      <c r="M424" s="95">
        <f>IF(AND(SUMIFS($D$245:$D$595,$F$245:$F$595,0,$E$245:$E$595,$G424,$C$245:$C$595,"&lt;="&amp;K$5)&lt;1000000,SUMIFS($D$245:$D$595,$F$245:$F$595,0,$E$245:$E$595,$G424,$C$245:$C$595,"&lt;="&amp;M5)&gt;=1000000),SUMIFS($D$245:$D$595,$F$245:$F$595,0,$E$245:$E$595,$G424)*$C$157 ,0)</f>
        <v/>
      </c>
      <c r="O424" s="95">
        <f>IF(AND(SUMIFS($D$245:$D$595,$F$245:$F$595,0,$E$245:$E$595,$G424,$C$245:$C$595,"&lt;="&amp;M$5)&lt;1000000,SUMIFS($D$245:$D$595,$F$245:$F$595,0,$E$245:$E$595,$G424,$C$245:$C$595,"&lt;="&amp;O5)&gt;=1000000),SUMIFS($D$245:$D$595,$F$245:$F$595,0,$E$245:$E$595,$G424)*$C$157 ,0)</f>
        <v/>
      </c>
      <c r="Q424" s="95">
        <f>IF(AND(SUMIFS($D$245:$D$595,$F$245:$F$595,0,$E$245:$E$595,$G424,$C$245:$C$595,"&lt;="&amp;O$5)&lt;1000000,SUMIFS($D$245:$D$595,$F$245:$F$595,0,$E$245:$E$595,$G424,$C$245:$C$595,"&lt;="&amp;Q5)&gt;=1000000),SUMIFS($D$245:$D$595,$F$245:$F$595,0,$E$245:$E$595,$G424)*$C$157 ,0)</f>
        <v/>
      </c>
      <c r="S424" s="95">
        <f>IF(AND(SUMIFS($D$245:$D$595,$F$245:$F$595,0,$E$245:$E$595,$G424,$C$245:$C$595,"&lt;="&amp;Q$5)&lt;1000000,SUMIFS($D$245:$D$595,$F$245:$F$595,0,$E$245:$E$595,$G424,$C$245:$C$595,"&lt;="&amp;S5)&gt;=1000000),SUMIFS($D$245:$D$595,$F$245:$F$595,0,$E$245:$E$595,$G424)*$C$157 ,0)</f>
        <v/>
      </c>
      <c r="U424" s="95">
        <f>IF(AND(SUMIFS($D$245:$D$595,$F$245:$F$595,0,$E$245:$E$595,$G424,$C$245:$C$595,"&lt;="&amp;S$5)&lt;1000000,SUMIFS($D$245:$D$595,$F$245:$F$595,0,$E$245:$E$595,$G424,$C$245:$C$595,"&lt;="&amp;U5)&gt;=1000000),SUMIFS($D$245:$D$595,$F$245:$F$595,0,$E$245:$E$595,$G424)*$C$157 ,0)</f>
        <v/>
      </c>
      <c r="W424" s="95">
        <f>IF(AND(SUMIFS($D$245:$D$595,$F$245:$F$595,0,$E$245:$E$595,$G424,$C$245:$C$595,"&lt;="&amp;U$5)&lt;1000000,SUMIFS($D$245:$D$595,$F$245:$F$595,0,$E$245:$E$595,$G424,$C$245:$C$595,"&lt;="&amp;W5)&gt;=1000000),SUMIFS($D$245:$D$595,$F$245:$F$595,0,$E$245:$E$595,$G424)*$C$157 ,0)</f>
        <v/>
      </c>
      <c r="Y424" s="95">
        <f>IF(AND(SUMIFS($D$245:$D$595,$F$245:$F$595,0,$E$245:$E$595,$G424,$C$245:$C$595,"&lt;="&amp;W$5)&lt;1000000,SUMIFS($D$245:$D$595,$F$245:$F$595,0,$E$245:$E$595,$G424,$C$245:$C$595,"&lt;="&amp;Y5)&gt;=1000000),SUMIFS($D$245:$D$595,$F$245:$F$595,0,$E$245:$E$595,$G424)*$C$157 ,0)</f>
        <v/>
      </c>
      <c r="AA424" s="95">
        <f>IF(AND(SUMIFS($D$245:$D$595,$F$245:$F$595,0,$E$245:$E$595,$G424,$C$245:$C$595,"&lt;="&amp;Y$5)&lt;1000000,SUMIFS($D$245:$D$595,$F$245:$F$595,0,$E$245:$E$595,$G424,$C$245:$C$595,"&lt;="&amp;AA5)&gt;=1000000),SUMIFS($D$245:$D$595,$F$245:$F$595,0,$E$245:$E$595,$G424)*$C$157 ,0)</f>
        <v/>
      </c>
      <c r="AC424" s="95">
        <f>IF(AND(SUMIFS($D$245:$D$595,$F$245:$F$595,0,$E$245:$E$595,$G424,$C$245:$C$595,"&lt;="&amp;AA$5)&lt;1000000,SUMIFS($D$245:$D$595,$F$245:$F$595,0,$E$245:$E$595,$G424,$C$245:$C$595,"&lt;="&amp;AC5)&gt;=1000000),SUMIFS($D$245:$D$595,$F$245:$F$595,0,$E$245:$E$595,$G424)*$C$157 ,0)</f>
        <v/>
      </c>
      <c r="AE424" s="95">
        <f>IF(AND(SUMIFS($D$245:$D$595,$F$245:$F$595,0,$E$245:$E$595,$G424,$C$245:$C$595,"&lt;="&amp;AC$5)&lt;1000000,SUMIFS($D$245:$D$595,$F$245:$F$595,0,$E$245:$E$595,$G424,$C$245:$C$595,"&lt;="&amp;AE5)&gt;=1000000),SUMIFS($D$245:$D$595,$F$245:$F$595,0,$E$245:$E$595,$G424)*$C$157 ,0)</f>
        <v/>
      </c>
      <c r="AF424" s="19" t="n"/>
    </row>
    <row r="425">
      <c r="A425" s="20">
        <f>mid(E425, 3, 1)</f>
        <v/>
      </c>
      <c r="B425" s="14" t="inlineStr"/>
      <c r="C425" s="21">
        <f>SUMIFS('Investor Exit List'!$AC:$AC,'Investor Exit List'!$AB:$AB,B425)</f>
        <v/>
      </c>
      <c r="D425" s="14">
        <f>SUMIFS('Investor Exit List'!$Q:$Q,'Investor Exit List'!$AB:$AB,B425)</f>
        <v/>
      </c>
      <c r="E425" s="31">
        <f>LEFT(B425,6)</f>
        <v/>
      </c>
      <c r="F425" s="14">
        <f>IF(SUMIFS($E$119:$E$151,$D$119:$D$151,E425)&lt;&gt;0,E425,0)</f>
        <v/>
      </c>
      <c r="G425" s="59" t="n"/>
      <c r="I425" s="28">
        <f>IF(AND(SUMIFS($D$245:$D$595,$F$245:$F$595,0,$E$245:$E$595,$G425,$C$245:$C$595,"&lt;="&amp;B$2)&lt;1000000,SUMIFS($D$245:$D$595,$F$245:$F$595,0,$E$245:$E$595,$G425,$C$245:$C$595,"&lt;="&amp;I5)&gt;=1000000),SUMIFS($D$245:$D$595,$F$245:$F$595,0,$E$245:$E$595,$G425)*$C$157 ,0)</f>
        <v/>
      </c>
      <c r="K425" s="95">
        <f>IF(AND(SUMIFS($D$245:$D$595,$F$245:$F$595,0,$E$245:$E$595,$G425,$C$245:$C$595,"&lt;="&amp;I$5)&lt;1000000,SUMIFS($D$245:$D$595,$F$245:$F$595,0,$E$245:$E$595,$G425,$C$245:$C$595,"&lt;="&amp;K5)&gt;=1000000),SUMIFS($D$245:$D$595,$F$245:$F$595,0,$E$245:$E$595,$G425)*$C$157 ,0)</f>
        <v/>
      </c>
      <c r="M425" s="95">
        <f>IF(AND(SUMIFS($D$245:$D$595,$F$245:$F$595,0,$E$245:$E$595,$G425,$C$245:$C$595,"&lt;="&amp;K$5)&lt;1000000,SUMIFS($D$245:$D$595,$F$245:$F$595,0,$E$245:$E$595,$G425,$C$245:$C$595,"&lt;="&amp;M5)&gt;=1000000),SUMIFS($D$245:$D$595,$F$245:$F$595,0,$E$245:$E$595,$G425)*$C$157 ,0)</f>
        <v/>
      </c>
      <c r="O425" s="95">
        <f>IF(AND(SUMIFS($D$245:$D$595,$F$245:$F$595,0,$E$245:$E$595,$G425,$C$245:$C$595,"&lt;="&amp;M$5)&lt;1000000,SUMIFS($D$245:$D$595,$F$245:$F$595,0,$E$245:$E$595,$G425,$C$245:$C$595,"&lt;="&amp;O5)&gt;=1000000),SUMIFS($D$245:$D$595,$F$245:$F$595,0,$E$245:$E$595,$G425)*$C$157 ,0)</f>
        <v/>
      </c>
      <c r="Q425" s="95">
        <f>IF(AND(SUMIFS($D$245:$D$595,$F$245:$F$595,0,$E$245:$E$595,$G425,$C$245:$C$595,"&lt;="&amp;O$5)&lt;1000000,SUMIFS($D$245:$D$595,$F$245:$F$595,0,$E$245:$E$595,$G425,$C$245:$C$595,"&lt;="&amp;Q5)&gt;=1000000),SUMIFS($D$245:$D$595,$F$245:$F$595,0,$E$245:$E$595,$G425)*$C$157 ,0)</f>
        <v/>
      </c>
      <c r="S425" s="95">
        <f>IF(AND(SUMIFS($D$245:$D$595,$F$245:$F$595,0,$E$245:$E$595,$G425,$C$245:$C$595,"&lt;="&amp;Q$5)&lt;1000000,SUMIFS($D$245:$D$595,$F$245:$F$595,0,$E$245:$E$595,$G425,$C$245:$C$595,"&lt;="&amp;S5)&gt;=1000000),SUMIFS($D$245:$D$595,$F$245:$F$595,0,$E$245:$E$595,$G425)*$C$157 ,0)</f>
        <v/>
      </c>
      <c r="U425" s="95">
        <f>IF(AND(SUMIFS($D$245:$D$595,$F$245:$F$595,0,$E$245:$E$595,$G425,$C$245:$C$595,"&lt;="&amp;S$5)&lt;1000000,SUMIFS($D$245:$D$595,$F$245:$F$595,0,$E$245:$E$595,$G425,$C$245:$C$595,"&lt;="&amp;U5)&gt;=1000000),SUMIFS($D$245:$D$595,$F$245:$F$595,0,$E$245:$E$595,$G425)*$C$157 ,0)</f>
        <v/>
      </c>
      <c r="W425" s="95">
        <f>IF(AND(SUMIFS($D$245:$D$595,$F$245:$F$595,0,$E$245:$E$595,$G425,$C$245:$C$595,"&lt;="&amp;U$5)&lt;1000000,SUMIFS($D$245:$D$595,$F$245:$F$595,0,$E$245:$E$595,$G425,$C$245:$C$595,"&lt;="&amp;W5)&gt;=1000000),SUMIFS($D$245:$D$595,$F$245:$F$595,0,$E$245:$E$595,$G425)*$C$157 ,0)</f>
        <v/>
      </c>
      <c r="Y425" s="95">
        <f>IF(AND(SUMIFS($D$245:$D$595,$F$245:$F$595,0,$E$245:$E$595,$G425,$C$245:$C$595,"&lt;="&amp;W$5)&lt;1000000,SUMIFS($D$245:$D$595,$F$245:$F$595,0,$E$245:$E$595,$G425,$C$245:$C$595,"&lt;="&amp;Y5)&gt;=1000000),SUMIFS($D$245:$D$595,$F$245:$F$595,0,$E$245:$E$595,$G425)*$C$157 ,0)</f>
        <v/>
      </c>
      <c r="AA425" s="95">
        <f>IF(AND(SUMIFS($D$245:$D$595,$F$245:$F$595,0,$E$245:$E$595,$G425,$C$245:$C$595,"&lt;="&amp;Y$5)&lt;1000000,SUMIFS($D$245:$D$595,$F$245:$F$595,0,$E$245:$E$595,$G425,$C$245:$C$595,"&lt;="&amp;AA5)&gt;=1000000),SUMIFS($D$245:$D$595,$F$245:$F$595,0,$E$245:$E$595,$G425)*$C$157 ,0)</f>
        <v/>
      </c>
      <c r="AC425" s="95">
        <f>IF(AND(SUMIFS($D$245:$D$595,$F$245:$F$595,0,$E$245:$E$595,$G425,$C$245:$C$595,"&lt;="&amp;AA$5)&lt;1000000,SUMIFS($D$245:$D$595,$F$245:$F$595,0,$E$245:$E$595,$G425,$C$245:$C$595,"&lt;="&amp;AC5)&gt;=1000000),SUMIFS($D$245:$D$595,$F$245:$F$595,0,$E$245:$E$595,$G425)*$C$157 ,0)</f>
        <v/>
      </c>
      <c r="AE425" s="95">
        <f>IF(AND(SUMIFS($D$245:$D$595,$F$245:$F$595,0,$E$245:$E$595,$G425,$C$245:$C$595,"&lt;="&amp;AC$5)&lt;1000000,SUMIFS($D$245:$D$595,$F$245:$F$595,0,$E$245:$E$595,$G425,$C$245:$C$595,"&lt;="&amp;AE5)&gt;=1000000),SUMIFS($D$245:$D$595,$F$245:$F$595,0,$E$245:$E$595,$G425)*$C$157 ,0)</f>
        <v/>
      </c>
      <c r="AF425" s="19" t="n"/>
    </row>
    <row r="426">
      <c r="A426" s="20">
        <f>mid(E426, 3, 1)</f>
        <v/>
      </c>
      <c r="B426" s="14" t="inlineStr"/>
      <c r="C426" s="21">
        <f>SUMIFS('Investor Exit List'!$AC:$AC,'Investor Exit List'!$AB:$AB,B426)</f>
        <v/>
      </c>
      <c r="D426" s="14">
        <f>SUMIFS('Investor Exit List'!$Q:$Q,'Investor Exit List'!$AB:$AB,B426)</f>
        <v/>
      </c>
      <c r="E426" s="31">
        <f>LEFT(B426,6)</f>
        <v/>
      </c>
      <c r="F426" s="14">
        <f>IF(SUMIFS($E$119:$E$151,$D$119:$D$151,E426)&lt;&gt;0,E426,0)</f>
        <v/>
      </c>
      <c r="G426" s="59" t="n"/>
      <c r="I426" s="28">
        <f>IF(AND(SUMIFS($D$245:$D$595,$F$245:$F$595,0,$E$245:$E$595,$G426,$C$245:$C$595,"&lt;="&amp;B$2)&lt;1000000,SUMIFS($D$245:$D$595,$F$245:$F$595,0,$E$245:$E$595,$G426,$C$245:$C$595,"&lt;="&amp;I5)&gt;=1000000),SUMIFS($D$245:$D$595,$F$245:$F$595,0,$E$245:$E$595,$G426)*$C$157 ,0)</f>
        <v/>
      </c>
      <c r="K426" s="95">
        <f>IF(AND(SUMIFS($D$245:$D$595,$F$245:$F$595,0,$E$245:$E$595,$G426,$C$245:$C$595,"&lt;="&amp;I$5)&lt;1000000,SUMIFS($D$245:$D$595,$F$245:$F$595,0,$E$245:$E$595,$G426,$C$245:$C$595,"&lt;="&amp;K5)&gt;=1000000),SUMIFS($D$245:$D$595,$F$245:$F$595,0,$E$245:$E$595,$G426)*$C$157 ,0)</f>
        <v/>
      </c>
      <c r="M426" s="95">
        <f>IF(AND(SUMIFS($D$245:$D$595,$F$245:$F$595,0,$E$245:$E$595,$G426,$C$245:$C$595,"&lt;="&amp;K$5)&lt;1000000,SUMIFS($D$245:$D$595,$F$245:$F$595,0,$E$245:$E$595,$G426,$C$245:$C$595,"&lt;="&amp;M5)&gt;=1000000),SUMIFS($D$245:$D$595,$F$245:$F$595,0,$E$245:$E$595,$G426)*$C$157 ,0)</f>
        <v/>
      </c>
      <c r="O426" s="95">
        <f>IF(AND(SUMIFS($D$245:$D$595,$F$245:$F$595,0,$E$245:$E$595,$G426,$C$245:$C$595,"&lt;="&amp;M$5)&lt;1000000,SUMIFS($D$245:$D$595,$F$245:$F$595,0,$E$245:$E$595,$G426,$C$245:$C$595,"&lt;="&amp;O5)&gt;=1000000),SUMIFS($D$245:$D$595,$F$245:$F$595,0,$E$245:$E$595,$G426)*$C$157 ,0)</f>
        <v/>
      </c>
      <c r="Q426" s="95">
        <f>IF(AND(SUMIFS($D$245:$D$595,$F$245:$F$595,0,$E$245:$E$595,$G426,$C$245:$C$595,"&lt;="&amp;O$5)&lt;1000000,SUMIFS($D$245:$D$595,$F$245:$F$595,0,$E$245:$E$595,$G426,$C$245:$C$595,"&lt;="&amp;Q5)&gt;=1000000),SUMIFS($D$245:$D$595,$F$245:$F$595,0,$E$245:$E$595,$G426)*$C$157 ,0)</f>
        <v/>
      </c>
      <c r="S426" s="95">
        <f>IF(AND(SUMIFS($D$245:$D$595,$F$245:$F$595,0,$E$245:$E$595,$G426,$C$245:$C$595,"&lt;="&amp;Q$5)&lt;1000000,SUMIFS($D$245:$D$595,$F$245:$F$595,0,$E$245:$E$595,$G426,$C$245:$C$595,"&lt;="&amp;S5)&gt;=1000000),SUMIFS($D$245:$D$595,$F$245:$F$595,0,$E$245:$E$595,$G426)*$C$157 ,0)</f>
        <v/>
      </c>
      <c r="U426" s="95">
        <f>IF(AND(SUMIFS($D$245:$D$595,$F$245:$F$595,0,$E$245:$E$595,$G426,$C$245:$C$595,"&lt;="&amp;S$5)&lt;1000000,SUMIFS($D$245:$D$595,$F$245:$F$595,0,$E$245:$E$595,$G426,$C$245:$C$595,"&lt;="&amp;U5)&gt;=1000000),SUMIFS($D$245:$D$595,$F$245:$F$595,0,$E$245:$E$595,$G426)*$C$157 ,0)</f>
        <v/>
      </c>
      <c r="W426" s="95">
        <f>IF(AND(SUMIFS($D$245:$D$595,$F$245:$F$595,0,$E$245:$E$595,$G426,$C$245:$C$595,"&lt;="&amp;U$5)&lt;1000000,SUMIFS($D$245:$D$595,$F$245:$F$595,0,$E$245:$E$595,$G426,$C$245:$C$595,"&lt;="&amp;W5)&gt;=1000000),SUMIFS($D$245:$D$595,$F$245:$F$595,0,$E$245:$E$595,$G426)*$C$157 ,0)</f>
        <v/>
      </c>
      <c r="Y426" s="95">
        <f>IF(AND(SUMIFS($D$245:$D$595,$F$245:$F$595,0,$E$245:$E$595,$G426,$C$245:$C$595,"&lt;="&amp;W$5)&lt;1000000,SUMIFS($D$245:$D$595,$F$245:$F$595,0,$E$245:$E$595,$G426,$C$245:$C$595,"&lt;="&amp;Y5)&gt;=1000000),SUMIFS($D$245:$D$595,$F$245:$F$595,0,$E$245:$E$595,$G426)*$C$157 ,0)</f>
        <v/>
      </c>
      <c r="AA426" s="95">
        <f>IF(AND(SUMIFS($D$245:$D$595,$F$245:$F$595,0,$E$245:$E$595,$G426,$C$245:$C$595,"&lt;="&amp;Y$5)&lt;1000000,SUMIFS($D$245:$D$595,$F$245:$F$595,0,$E$245:$E$595,$G426,$C$245:$C$595,"&lt;="&amp;AA5)&gt;=1000000),SUMIFS($D$245:$D$595,$F$245:$F$595,0,$E$245:$E$595,$G426)*$C$157 ,0)</f>
        <v/>
      </c>
      <c r="AC426" s="95">
        <f>IF(AND(SUMIFS($D$245:$D$595,$F$245:$F$595,0,$E$245:$E$595,$G426,$C$245:$C$595,"&lt;="&amp;AA$5)&lt;1000000,SUMIFS($D$245:$D$595,$F$245:$F$595,0,$E$245:$E$595,$G426,$C$245:$C$595,"&lt;="&amp;AC5)&gt;=1000000),SUMIFS($D$245:$D$595,$F$245:$F$595,0,$E$245:$E$595,$G426)*$C$157 ,0)</f>
        <v/>
      </c>
      <c r="AE426" s="95">
        <f>IF(AND(SUMIFS($D$245:$D$595,$F$245:$F$595,0,$E$245:$E$595,$G426,$C$245:$C$595,"&lt;="&amp;AC$5)&lt;1000000,SUMIFS($D$245:$D$595,$F$245:$F$595,0,$E$245:$E$595,$G426,$C$245:$C$595,"&lt;="&amp;AE5)&gt;=1000000),SUMIFS($D$245:$D$595,$F$245:$F$595,0,$E$245:$E$595,$G426)*$C$157 ,0)</f>
        <v/>
      </c>
      <c r="AF426" s="19" t="n"/>
    </row>
    <row r="427">
      <c r="A427" s="20">
        <f>mid(E427, 3, 1)</f>
        <v/>
      </c>
      <c r="B427" s="14" t="inlineStr"/>
      <c r="C427" s="21">
        <f>SUMIFS('Investor Exit List'!$AC:$AC,'Investor Exit List'!$AB:$AB,B427)</f>
        <v/>
      </c>
      <c r="D427" s="14">
        <f>SUMIFS('Investor Exit List'!$Q:$Q,'Investor Exit List'!$AB:$AB,B427)</f>
        <v/>
      </c>
      <c r="E427" s="31">
        <f>LEFT(B427,6)</f>
        <v/>
      </c>
      <c r="F427" s="14">
        <f>IF(SUMIFS($E$119:$E$151,$D$119:$D$151,E427)&lt;&gt;0,E427,0)</f>
        <v/>
      </c>
      <c r="G427" s="59" t="n"/>
      <c r="I427" s="28">
        <f>IF(AND(SUMIFS($D$245:$D$595,$F$245:$F$595,0,$E$245:$E$595,$G427,$C$245:$C$595,"&lt;="&amp;B$2)&lt;1000000,SUMIFS($D$245:$D$595,$F$245:$F$595,0,$E$245:$E$595,$G427,$C$245:$C$595,"&lt;="&amp;I5)&gt;=1000000),SUMIFS($D$245:$D$595,$F$245:$F$595,0,$E$245:$E$595,$G427)*$C$157 ,0)</f>
        <v/>
      </c>
      <c r="K427" s="95">
        <f>IF(AND(SUMIFS($D$245:$D$595,$F$245:$F$595,0,$E$245:$E$595,$G427,$C$245:$C$595,"&lt;="&amp;I$5)&lt;1000000,SUMIFS($D$245:$D$595,$F$245:$F$595,0,$E$245:$E$595,$G427,$C$245:$C$595,"&lt;="&amp;K5)&gt;=1000000),SUMIFS($D$245:$D$595,$F$245:$F$595,0,$E$245:$E$595,$G427)*$C$157 ,0)</f>
        <v/>
      </c>
      <c r="M427" s="95">
        <f>IF(AND(SUMIFS($D$245:$D$595,$F$245:$F$595,0,$E$245:$E$595,$G427,$C$245:$C$595,"&lt;="&amp;K$5)&lt;1000000,SUMIFS($D$245:$D$595,$F$245:$F$595,0,$E$245:$E$595,$G427,$C$245:$C$595,"&lt;="&amp;M5)&gt;=1000000),SUMIFS($D$245:$D$595,$F$245:$F$595,0,$E$245:$E$595,$G427)*$C$157 ,0)</f>
        <v/>
      </c>
      <c r="O427" s="95">
        <f>IF(AND(SUMIFS($D$245:$D$595,$F$245:$F$595,0,$E$245:$E$595,$G427,$C$245:$C$595,"&lt;="&amp;M$5)&lt;1000000,SUMIFS($D$245:$D$595,$F$245:$F$595,0,$E$245:$E$595,$G427,$C$245:$C$595,"&lt;="&amp;O5)&gt;=1000000),SUMIFS($D$245:$D$595,$F$245:$F$595,0,$E$245:$E$595,$G427)*$C$157 ,0)</f>
        <v/>
      </c>
      <c r="Q427" s="95">
        <f>IF(AND(SUMIFS($D$245:$D$595,$F$245:$F$595,0,$E$245:$E$595,$G427,$C$245:$C$595,"&lt;="&amp;O$5)&lt;1000000,SUMIFS($D$245:$D$595,$F$245:$F$595,0,$E$245:$E$595,$G427,$C$245:$C$595,"&lt;="&amp;Q5)&gt;=1000000),SUMIFS($D$245:$D$595,$F$245:$F$595,0,$E$245:$E$595,$G427)*$C$157 ,0)</f>
        <v/>
      </c>
      <c r="S427" s="95">
        <f>IF(AND(SUMIFS($D$245:$D$595,$F$245:$F$595,0,$E$245:$E$595,$G427,$C$245:$C$595,"&lt;="&amp;Q$5)&lt;1000000,SUMIFS($D$245:$D$595,$F$245:$F$595,0,$E$245:$E$595,$G427,$C$245:$C$595,"&lt;="&amp;S5)&gt;=1000000),SUMIFS($D$245:$D$595,$F$245:$F$595,0,$E$245:$E$595,$G427)*$C$157 ,0)</f>
        <v/>
      </c>
      <c r="U427" s="95">
        <f>IF(AND(SUMIFS($D$245:$D$595,$F$245:$F$595,0,$E$245:$E$595,$G427,$C$245:$C$595,"&lt;="&amp;S$5)&lt;1000000,SUMIFS($D$245:$D$595,$F$245:$F$595,0,$E$245:$E$595,$G427,$C$245:$C$595,"&lt;="&amp;U5)&gt;=1000000),SUMIFS($D$245:$D$595,$F$245:$F$595,0,$E$245:$E$595,$G427)*$C$157 ,0)</f>
        <v/>
      </c>
      <c r="W427" s="95">
        <f>IF(AND(SUMIFS($D$245:$D$595,$F$245:$F$595,0,$E$245:$E$595,$G427,$C$245:$C$595,"&lt;="&amp;U$5)&lt;1000000,SUMIFS($D$245:$D$595,$F$245:$F$595,0,$E$245:$E$595,$G427,$C$245:$C$595,"&lt;="&amp;W5)&gt;=1000000),SUMIFS($D$245:$D$595,$F$245:$F$595,0,$E$245:$E$595,$G427)*$C$157 ,0)</f>
        <v/>
      </c>
      <c r="Y427" s="95">
        <f>IF(AND(SUMIFS($D$245:$D$595,$F$245:$F$595,0,$E$245:$E$595,$G427,$C$245:$C$595,"&lt;="&amp;W$5)&lt;1000000,SUMIFS($D$245:$D$595,$F$245:$F$595,0,$E$245:$E$595,$G427,$C$245:$C$595,"&lt;="&amp;Y5)&gt;=1000000),SUMIFS($D$245:$D$595,$F$245:$F$595,0,$E$245:$E$595,$G427)*$C$157 ,0)</f>
        <v/>
      </c>
      <c r="AA427" s="95">
        <f>IF(AND(SUMIFS($D$245:$D$595,$F$245:$F$595,0,$E$245:$E$595,$G427,$C$245:$C$595,"&lt;="&amp;Y$5)&lt;1000000,SUMIFS($D$245:$D$595,$F$245:$F$595,0,$E$245:$E$595,$G427,$C$245:$C$595,"&lt;="&amp;AA5)&gt;=1000000),SUMIFS($D$245:$D$595,$F$245:$F$595,0,$E$245:$E$595,$G427)*$C$157 ,0)</f>
        <v/>
      </c>
      <c r="AC427" s="95">
        <f>IF(AND(SUMIFS($D$245:$D$595,$F$245:$F$595,0,$E$245:$E$595,$G427,$C$245:$C$595,"&lt;="&amp;AA$5)&lt;1000000,SUMIFS($D$245:$D$595,$F$245:$F$595,0,$E$245:$E$595,$G427,$C$245:$C$595,"&lt;="&amp;AC5)&gt;=1000000),SUMIFS($D$245:$D$595,$F$245:$F$595,0,$E$245:$E$595,$G427)*$C$157 ,0)</f>
        <v/>
      </c>
      <c r="AE427" s="95">
        <f>IF(AND(SUMIFS($D$245:$D$595,$F$245:$F$595,0,$E$245:$E$595,$G427,$C$245:$C$595,"&lt;="&amp;AC$5)&lt;1000000,SUMIFS($D$245:$D$595,$F$245:$F$595,0,$E$245:$E$595,$G427,$C$245:$C$595,"&lt;="&amp;AE5)&gt;=1000000),SUMIFS($D$245:$D$595,$F$245:$F$595,0,$E$245:$E$595,$G427)*$C$157 ,0)</f>
        <v/>
      </c>
      <c r="AF427" s="19" t="n"/>
    </row>
    <row r="428">
      <c r="A428" s="20">
        <f>mid(E428, 3, 1)</f>
        <v/>
      </c>
      <c r="B428" s="14" t="inlineStr"/>
      <c r="C428" s="21">
        <f>SUMIFS('Investor Exit List'!$AC:$AC,'Investor Exit List'!$AB:$AB,B428)</f>
        <v/>
      </c>
      <c r="D428" s="14">
        <f>SUMIFS('Investor Exit List'!$Q:$Q,'Investor Exit List'!$AB:$AB,B428)</f>
        <v/>
      </c>
      <c r="E428" s="31">
        <f>LEFT(B428,6)</f>
        <v/>
      </c>
      <c r="F428" s="14">
        <f>IF(SUMIFS($E$119:$E$151,$D$119:$D$151,E428)&lt;&gt;0,E428,0)</f>
        <v/>
      </c>
      <c r="G428" s="59" t="n"/>
      <c r="I428" s="28">
        <f>IF(AND(SUMIFS($D$245:$D$595,$F$245:$F$595,0,$E$245:$E$595,$G428,$C$245:$C$595,"&lt;="&amp;B$2)&lt;1000000,SUMIFS($D$245:$D$595,$F$245:$F$595,0,$E$245:$E$595,$G428,$C$245:$C$595,"&lt;="&amp;I5)&gt;=1000000),SUMIFS($D$245:$D$595,$F$245:$F$595,0,$E$245:$E$595,$G428)*$C$157 ,0)</f>
        <v/>
      </c>
      <c r="K428" s="95">
        <f>IF(AND(SUMIFS($D$245:$D$595,$F$245:$F$595,0,$E$245:$E$595,$G428,$C$245:$C$595,"&lt;="&amp;I$5)&lt;1000000,SUMIFS($D$245:$D$595,$F$245:$F$595,0,$E$245:$E$595,$G428,$C$245:$C$595,"&lt;="&amp;K5)&gt;=1000000),SUMIFS($D$245:$D$595,$F$245:$F$595,0,$E$245:$E$595,$G428)*$C$157 ,0)</f>
        <v/>
      </c>
      <c r="M428" s="95">
        <f>IF(AND(SUMIFS($D$245:$D$595,$F$245:$F$595,0,$E$245:$E$595,$G428,$C$245:$C$595,"&lt;="&amp;K$5)&lt;1000000,SUMIFS($D$245:$D$595,$F$245:$F$595,0,$E$245:$E$595,$G428,$C$245:$C$595,"&lt;="&amp;M5)&gt;=1000000),SUMIFS($D$245:$D$595,$F$245:$F$595,0,$E$245:$E$595,$G428)*$C$157 ,0)</f>
        <v/>
      </c>
      <c r="O428" s="95">
        <f>IF(AND(SUMIFS($D$245:$D$595,$F$245:$F$595,0,$E$245:$E$595,$G428,$C$245:$C$595,"&lt;="&amp;M$5)&lt;1000000,SUMIFS($D$245:$D$595,$F$245:$F$595,0,$E$245:$E$595,$G428,$C$245:$C$595,"&lt;="&amp;O5)&gt;=1000000),SUMIFS($D$245:$D$595,$F$245:$F$595,0,$E$245:$E$595,$G428)*$C$157 ,0)</f>
        <v/>
      </c>
      <c r="Q428" s="95">
        <f>IF(AND(SUMIFS($D$245:$D$595,$F$245:$F$595,0,$E$245:$E$595,$G428,$C$245:$C$595,"&lt;="&amp;O$5)&lt;1000000,SUMIFS($D$245:$D$595,$F$245:$F$595,0,$E$245:$E$595,$G428,$C$245:$C$595,"&lt;="&amp;Q5)&gt;=1000000),SUMIFS($D$245:$D$595,$F$245:$F$595,0,$E$245:$E$595,$G428)*$C$157 ,0)</f>
        <v/>
      </c>
      <c r="S428" s="95">
        <f>IF(AND(SUMIFS($D$245:$D$595,$F$245:$F$595,0,$E$245:$E$595,$G428,$C$245:$C$595,"&lt;="&amp;Q$5)&lt;1000000,SUMIFS($D$245:$D$595,$F$245:$F$595,0,$E$245:$E$595,$G428,$C$245:$C$595,"&lt;="&amp;S5)&gt;=1000000),SUMIFS($D$245:$D$595,$F$245:$F$595,0,$E$245:$E$595,$G428)*$C$157 ,0)</f>
        <v/>
      </c>
      <c r="U428" s="95">
        <f>IF(AND(SUMIFS($D$245:$D$595,$F$245:$F$595,0,$E$245:$E$595,$G428,$C$245:$C$595,"&lt;="&amp;S$5)&lt;1000000,SUMIFS($D$245:$D$595,$F$245:$F$595,0,$E$245:$E$595,$G428,$C$245:$C$595,"&lt;="&amp;U5)&gt;=1000000),SUMIFS($D$245:$D$595,$F$245:$F$595,0,$E$245:$E$595,$G428)*$C$157 ,0)</f>
        <v/>
      </c>
      <c r="W428" s="95">
        <f>IF(AND(SUMIFS($D$245:$D$595,$F$245:$F$595,0,$E$245:$E$595,$G428,$C$245:$C$595,"&lt;="&amp;U$5)&lt;1000000,SUMIFS($D$245:$D$595,$F$245:$F$595,0,$E$245:$E$595,$G428,$C$245:$C$595,"&lt;="&amp;W5)&gt;=1000000),SUMIFS($D$245:$D$595,$F$245:$F$595,0,$E$245:$E$595,$G428)*$C$157 ,0)</f>
        <v/>
      </c>
      <c r="Y428" s="95">
        <f>IF(AND(SUMIFS($D$245:$D$595,$F$245:$F$595,0,$E$245:$E$595,$G428,$C$245:$C$595,"&lt;="&amp;W$5)&lt;1000000,SUMIFS($D$245:$D$595,$F$245:$F$595,0,$E$245:$E$595,$G428,$C$245:$C$595,"&lt;="&amp;Y5)&gt;=1000000),SUMIFS($D$245:$D$595,$F$245:$F$595,0,$E$245:$E$595,$G428)*$C$157 ,0)</f>
        <v/>
      </c>
      <c r="AA428" s="95">
        <f>IF(AND(SUMIFS($D$245:$D$595,$F$245:$F$595,0,$E$245:$E$595,$G428,$C$245:$C$595,"&lt;="&amp;Y$5)&lt;1000000,SUMIFS($D$245:$D$595,$F$245:$F$595,0,$E$245:$E$595,$G428,$C$245:$C$595,"&lt;="&amp;AA5)&gt;=1000000),SUMIFS($D$245:$D$595,$F$245:$F$595,0,$E$245:$E$595,$G428)*$C$157 ,0)</f>
        <v/>
      </c>
      <c r="AC428" s="95">
        <f>IF(AND(SUMIFS($D$245:$D$595,$F$245:$F$595,0,$E$245:$E$595,$G428,$C$245:$C$595,"&lt;="&amp;AA$5)&lt;1000000,SUMIFS($D$245:$D$595,$F$245:$F$595,0,$E$245:$E$595,$G428,$C$245:$C$595,"&lt;="&amp;AC5)&gt;=1000000),SUMIFS($D$245:$D$595,$F$245:$F$595,0,$E$245:$E$595,$G428)*$C$157 ,0)</f>
        <v/>
      </c>
      <c r="AE428" s="95">
        <f>IF(AND(SUMIFS($D$245:$D$595,$F$245:$F$595,0,$E$245:$E$595,$G428,$C$245:$C$595,"&lt;="&amp;AC$5)&lt;1000000,SUMIFS($D$245:$D$595,$F$245:$F$595,0,$E$245:$E$595,$G428,$C$245:$C$595,"&lt;="&amp;AE5)&gt;=1000000),SUMIFS($D$245:$D$595,$F$245:$F$595,0,$E$245:$E$595,$G428)*$C$157 ,0)</f>
        <v/>
      </c>
      <c r="AF428" s="19" t="n"/>
    </row>
    <row r="429">
      <c r="A429" s="20">
        <f>mid(E429, 3, 1)</f>
        <v/>
      </c>
      <c r="B429" s="14" t="inlineStr"/>
      <c r="C429" s="21">
        <f>SUMIFS('Investor Exit List'!$AC:$AC,'Investor Exit List'!$AB:$AB,B429)</f>
        <v/>
      </c>
      <c r="D429" s="14">
        <f>SUMIFS('Investor Exit List'!$Q:$Q,'Investor Exit List'!$AB:$AB,B429)</f>
        <v/>
      </c>
      <c r="E429" s="31">
        <f>LEFT(B429,6)</f>
        <v/>
      </c>
      <c r="F429" s="14">
        <f>IF(SUMIFS($E$119:$E$151,$D$119:$D$151,E429)&lt;&gt;0,E429,0)</f>
        <v/>
      </c>
      <c r="G429" s="59" t="n"/>
      <c r="I429" s="28">
        <f>IF(AND(SUMIFS($D$245:$D$595,$F$245:$F$595,0,$E$245:$E$595,$G429,$C$245:$C$595,"&lt;="&amp;B$2)&lt;1000000,SUMIFS($D$245:$D$595,$F$245:$F$595,0,$E$245:$E$595,$G429,$C$245:$C$595,"&lt;="&amp;I5)&gt;=1000000),SUMIFS($D$245:$D$595,$F$245:$F$595,0,$E$245:$E$595,$G429)*$C$157 ,0)</f>
        <v/>
      </c>
      <c r="K429" s="95">
        <f>IF(AND(SUMIFS($D$245:$D$595,$F$245:$F$595,0,$E$245:$E$595,$G429,$C$245:$C$595,"&lt;="&amp;I$5)&lt;1000000,SUMIFS($D$245:$D$595,$F$245:$F$595,0,$E$245:$E$595,$G429,$C$245:$C$595,"&lt;="&amp;K5)&gt;=1000000),SUMIFS($D$245:$D$595,$F$245:$F$595,0,$E$245:$E$595,$G429)*$C$157 ,0)</f>
        <v/>
      </c>
      <c r="M429" s="95">
        <f>IF(AND(SUMIFS($D$245:$D$595,$F$245:$F$595,0,$E$245:$E$595,$G429,$C$245:$C$595,"&lt;="&amp;K$5)&lt;1000000,SUMIFS($D$245:$D$595,$F$245:$F$595,0,$E$245:$E$595,$G429,$C$245:$C$595,"&lt;="&amp;M5)&gt;=1000000),SUMIFS($D$245:$D$595,$F$245:$F$595,0,$E$245:$E$595,$G429)*$C$157 ,0)</f>
        <v/>
      </c>
      <c r="O429" s="95">
        <f>IF(AND(SUMIFS($D$245:$D$595,$F$245:$F$595,0,$E$245:$E$595,$G429,$C$245:$C$595,"&lt;="&amp;M$5)&lt;1000000,SUMIFS($D$245:$D$595,$F$245:$F$595,0,$E$245:$E$595,$G429,$C$245:$C$595,"&lt;="&amp;O5)&gt;=1000000),SUMIFS($D$245:$D$595,$F$245:$F$595,0,$E$245:$E$595,$G429)*$C$157 ,0)</f>
        <v/>
      </c>
      <c r="Q429" s="95">
        <f>IF(AND(SUMIFS($D$245:$D$595,$F$245:$F$595,0,$E$245:$E$595,$G429,$C$245:$C$595,"&lt;="&amp;O$5)&lt;1000000,SUMIFS($D$245:$D$595,$F$245:$F$595,0,$E$245:$E$595,$G429,$C$245:$C$595,"&lt;="&amp;Q5)&gt;=1000000),SUMIFS($D$245:$D$595,$F$245:$F$595,0,$E$245:$E$595,$G429)*$C$157 ,0)</f>
        <v/>
      </c>
      <c r="S429" s="95">
        <f>IF(AND(SUMIFS($D$245:$D$595,$F$245:$F$595,0,$E$245:$E$595,$G429,$C$245:$C$595,"&lt;="&amp;Q$5)&lt;1000000,SUMIFS($D$245:$D$595,$F$245:$F$595,0,$E$245:$E$595,$G429,$C$245:$C$595,"&lt;="&amp;S5)&gt;=1000000),SUMIFS($D$245:$D$595,$F$245:$F$595,0,$E$245:$E$595,$G429)*$C$157 ,0)</f>
        <v/>
      </c>
      <c r="U429" s="95">
        <f>IF(AND(SUMIFS($D$245:$D$595,$F$245:$F$595,0,$E$245:$E$595,$G429,$C$245:$C$595,"&lt;="&amp;S$5)&lt;1000000,SUMIFS($D$245:$D$595,$F$245:$F$595,0,$E$245:$E$595,$G429,$C$245:$C$595,"&lt;="&amp;U5)&gt;=1000000),SUMIFS($D$245:$D$595,$F$245:$F$595,0,$E$245:$E$595,$G429)*$C$157 ,0)</f>
        <v/>
      </c>
      <c r="W429" s="95">
        <f>IF(AND(SUMIFS($D$245:$D$595,$F$245:$F$595,0,$E$245:$E$595,$G429,$C$245:$C$595,"&lt;="&amp;U$5)&lt;1000000,SUMIFS($D$245:$D$595,$F$245:$F$595,0,$E$245:$E$595,$G429,$C$245:$C$595,"&lt;="&amp;W5)&gt;=1000000),SUMIFS($D$245:$D$595,$F$245:$F$595,0,$E$245:$E$595,$G429)*$C$157 ,0)</f>
        <v/>
      </c>
      <c r="Y429" s="95">
        <f>IF(AND(SUMIFS($D$245:$D$595,$F$245:$F$595,0,$E$245:$E$595,$G429,$C$245:$C$595,"&lt;="&amp;W$5)&lt;1000000,SUMIFS($D$245:$D$595,$F$245:$F$595,0,$E$245:$E$595,$G429,$C$245:$C$595,"&lt;="&amp;Y5)&gt;=1000000),SUMIFS($D$245:$D$595,$F$245:$F$595,0,$E$245:$E$595,$G429)*$C$157 ,0)</f>
        <v/>
      </c>
      <c r="AA429" s="95">
        <f>IF(AND(SUMIFS($D$245:$D$595,$F$245:$F$595,0,$E$245:$E$595,$G429,$C$245:$C$595,"&lt;="&amp;Y$5)&lt;1000000,SUMIFS($D$245:$D$595,$F$245:$F$595,0,$E$245:$E$595,$G429,$C$245:$C$595,"&lt;="&amp;AA5)&gt;=1000000),SUMIFS($D$245:$D$595,$F$245:$F$595,0,$E$245:$E$595,$G429)*$C$157 ,0)</f>
        <v/>
      </c>
      <c r="AC429" s="95">
        <f>IF(AND(SUMIFS($D$245:$D$595,$F$245:$F$595,0,$E$245:$E$595,$G429,$C$245:$C$595,"&lt;="&amp;AA$5)&lt;1000000,SUMIFS($D$245:$D$595,$F$245:$F$595,0,$E$245:$E$595,$G429,$C$245:$C$595,"&lt;="&amp;AC5)&gt;=1000000),SUMIFS($D$245:$D$595,$F$245:$F$595,0,$E$245:$E$595,$G429)*$C$157 ,0)</f>
        <v/>
      </c>
      <c r="AE429" s="95">
        <f>IF(AND(SUMIFS($D$245:$D$595,$F$245:$F$595,0,$E$245:$E$595,$G429,$C$245:$C$595,"&lt;="&amp;AC$5)&lt;1000000,SUMIFS($D$245:$D$595,$F$245:$F$595,0,$E$245:$E$595,$G429,$C$245:$C$595,"&lt;="&amp;AE5)&gt;=1000000),SUMIFS($D$245:$D$595,$F$245:$F$595,0,$E$245:$E$595,$G429)*$C$157 ,0)</f>
        <v/>
      </c>
      <c r="AF429" s="19" t="n"/>
    </row>
    <row r="430">
      <c r="A430" s="20">
        <f>mid(E430, 3, 1)</f>
        <v/>
      </c>
      <c r="B430" s="14" t="inlineStr"/>
      <c r="C430" s="21">
        <f>SUMIFS('Investor Exit List'!$AC:$AC,'Investor Exit List'!$AB:$AB,B430)</f>
        <v/>
      </c>
      <c r="D430" s="14">
        <f>SUMIFS('Investor Exit List'!$Q:$Q,'Investor Exit List'!$AB:$AB,B430)</f>
        <v/>
      </c>
      <c r="E430" s="31">
        <f>LEFT(B430,6)</f>
        <v/>
      </c>
      <c r="F430" s="14">
        <f>IF(SUMIFS($E$119:$E$151,$D$119:$D$151,E430)&lt;&gt;0,E430,0)</f>
        <v/>
      </c>
      <c r="G430" s="59" t="n"/>
      <c r="I430" s="28">
        <f>IF(AND(SUMIFS($D$245:$D$595,$F$245:$F$595,0,$E$245:$E$595,$G430,$C$245:$C$595,"&lt;="&amp;B$2)&lt;1000000,SUMIFS($D$245:$D$595,$F$245:$F$595,0,$E$245:$E$595,$G430,$C$245:$C$595,"&lt;="&amp;I5)&gt;=1000000),SUMIFS($D$245:$D$595,$F$245:$F$595,0,$E$245:$E$595,$G430)*$C$157 ,0)</f>
        <v/>
      </c>
      <c r="K430" s="95">
        <f>IF(AND(SUMIFS($D$245:$D$595,$F$245:$F$595,0,$E$245:$E$595,$G430,$C$245:$C$595,"&lt;="&amp;I$5)&lt;1000000,SUMIFS($D$245:$D$595,$F$245:$F$595,0,$E$245:$E$595,$G430,$C$245:$C$595,"&lt;="&amp;K5)&gt;=1000000),SUMIFS($D$245:$D$595,$F$245:$F$595,0,$E$245:$E$595,$G430)*$C$157 ,0)</f>
        <v/>
      </c>
      <c r="M430" s="95">
        <f>IF(AND(SUMIFS($D$245:$D$595,$F$245:$F$595,0,$E$245:$E$595,$G430,$C$245:$C$595,"&lt;="&amp;K$5)&lt;1000000,SUMIFS($D$245:$D$595,$F$245:$F$595,0,$E$245:$E$595,$G430,$C$245:$C$595,"&lt;="&amp;M5)&gt;=1000000),SUMIFS($D$245:$D$595,$F$245:$F$595,0,$E$245:$E$595,$G430)*$C$157 ,0)</f>
        <v/>
      </c>
      <c r="O430" s="95">
        <f>IF(AND(SUMIFS($D$245:$D$595,$F$245:$F$595,0,$E$245:$E$595,$G430,$C$245:$C$595,"&lt;="&amp;M$5)&lt;1000000,SUMIFS($D$245:$D$595,$F$245:$F$595,0,$E$245:$E$595,$G430,$C$245:$C$595,"&lt;="&amp;O5)&gt;=1000000),SUMIFS($D$245:$D$595,$F$245:$F$595,0,$E$245:$E$595,$G430)*$C$157 ,0)</f>
        <v/>
      </c>
      <c r="Q430" s="95">
        <f>IF(AND(SUMIFS($D$245:$D$595,$F$245:$F$595,0,$E$245:$E$595,$G430,$C$245:$C$595,"&lt;="&amp;O$5)&lt;1000000,SUMIFS($D$245:$D$595,$F$245:$F$595,0,$E$245:$E$595,$G430,$C$245:$C$595,"&lt;="&amp;Q5)&gt;=1000000),SUMIFS($D$245:$D$595,$F$245:$F$595,0,$E$245:$E$595,$G430)*$C$157 ,0)</f>
        <v/>
      </c>
      <c r="S430" s="95">
        <f>IF(AND(SUMIFS($D$245:$D$595,$F$245:$F$595,0,$E$245:$E$595,$G430,$C$245:$C$595,"&lt;="&amp;Q$5)&lt;1000000,SUMIFS($D$245:$D$595,$F$245:$F$595,0,$E$245:$E$595,$G430,$C$245:$C$595,"&lt;="&amp;S5)&gt;=1000000),SUMIFS($D$245:$D$595,$F$245:$F$595,0,$E$245:$E$595,$G430)*$C$157 ,0)</f>
        <v/>
      </c>
      <c r="U430" s="95">
        <f>IF(AND(SUMIFS($D$245:$D$595,$F$245:$F$595,0,$E$245:$E$595,$G430,$C$245:$C$595,"&lt;="&amp;S$5)&lt;1000000,SUMIFS($D$245:$D$595,$F$245:$F$595,0,$E$245:$E$595,$G430,$C$245:$C$595,"&lt;="&amp;U5)&gt;=1000000),SUMIFS($D$245:$D$595,$F$245:$F$595,0,$E$245:$E$595,$G430)*$C$157 ,0)</f>
        <v/>
      </c>
      <c r="W430" s="95">
        <f>IF(AND(SUMIFS($D$245:$D$595,$F$245:$F$595,0,$E$245:$E$595,$G430,$C$245:$C$595,"&lt;="&amp;U$5)&lt;1000000,SUMIFS($D$245:$D$595,$F$245:$F$595,0,$E$245:$E$595,$G430,$C$245:$C$595,"&lt;="&amp;W5)&gt;=1000000),SUMIFS($D$245:$D$595,$F$245:$F$595,0,$E$245:$E$595,$G430)*$C$157 ,0)</f>
        <v/>
      </c>
      <c r="Y430" s="95">
        <f>IF(AND(SUMIFS($D$245:$D$595,$F$245:$F$595,0,$E$245:$E$595,$G430,$C$245:$C$595,"&lt;="&amp;W$5)&lt;1000000,SUMIFS($D$245:$D$595,$F$245:$F$595,0,$E$245:$E$595,$G430,$C$245:$C$595,"&lt;="&amp;Y5)&gt;=1000000),SUMIFS($D$245:$D$595,$F$245:$F$595,0,$E$245:$E$595,$G430)*$C$157 ,0)</f>
        <v/>
      </c>
      <c r="AA430" s="95">
        <f>IF(AND(SUMIFS($D$245:$D$595,$F$245:$F$595,0,$E$245:$E$595,$G430,$C$245:$C$595,"&lt;="&amp;Y$5)&lt;1000000,SUMIFS($D$245:$D$595,$F$245:$F$595,0,$E$245:$E$595,$G430,$C$245:$C$595,"&lt;="&amp;AA5)&gt;=1000000),SUMIFS($D$245:$D$595,$F$245:$F$595,0,$E$245:$E$595,$G430)*$C$157 ,0)</f>
        <v/>
      </c>
      <c r="AC430" s="95">
        <f>IF(AND(SUMIFS($D$245:$D$595,$F$245:$F$595,0,$E$245:$E$595,$G430,$C$245:$C$595,"&lt;="&amp;AA$5)&lt;1000000,SUMIFS($D$245:$D$595,$F$245:$F$595,0,$E$245:$E$595,$G430,$C$245:$C$595,"&lt;="&amp;AC5)&gt;=1000000),SUMIFS($D$245:$D$595,$F$245:$F$595,0,$E$245:$E$595,$G430)*$C$157 ,0)</f>
        <v/>
      </c>
      <c r="AE430" s="95">
        <f>IF(AND(SUMIFS($D$245:$D$595,$F$245:$F$595,0,$E$245:$E$595,$G430,$C$245:$C$595,"&lt;="&amp;AC$5)&lt;1000000,SUMIFS($D$245:$D$595,$F$245:$F$595,0,$E$245:$E$595,$G430,$C$245:$C$595,"&lt;="&amp;AE5)&gt;=1000000),SUMIFS($D$245:$D$595,$F$245:$F$595,0,$E$245:$E$595,$G430)*$C$157 ,0)</f>
        <v/>
      </c>
      <c r="AF430" s="19" t="n"/>
    </row>
    <row r="431">
      <c r="A431" s="20">
        <f>mid(E431, 3, 1)</f>
        <v/>
      </c>
      <c r="B431" s="14" t="inlineStr"/>
      <c r="C431" s="21">
        <f>SUMIFS('Investor Exit List'!$AC:$AC,'Investor Exit List'!$AB:$AB,B431)</f>
        <v/>
      </c>
      <c r="D431" s="14">
        <f>SUMIFS('Investor Exit List'!$Q:$Q,'Investor Exit List'!$AB:$AB,B431)</f>
        <v/>
      </c>
      <c r="E431" s="31">
        <f>LEFT(B431,6)</f>
        <v/>
      </c>
      <c r="F431" s="14">
        <f>IF(SUMIFS($E$119:$E$151,$D$119:$D$151,E431)&lt;&gt;0,E431,0)</f>
        <v/>
      </c>
      <c r="G431" s="59" t="n"/>
      <c r="I431" s="28">
        <f>IF(AND(SUMIFS($D$245:$D$595,$F$245:$F$595,0,$E$245:$E$595,$G431,$C$245:$C$595,"&lt;="&amp;B$2)&lt;1000000,SUMIFS($D$245:$D$595,$F$245:$F$595,0,$E$245:$E$595,$G431,$C$245:$C$595,"&lt;="&amp;I5)&gt;=1000000),SUMIFS($D$245:$D$595,$F$245:$F$595,0,$E$245:$E$595,$G431)*$C$157 ,0)</f>
        <v/>
      </c>
      <c r="K431" s="95">
        <f>IF(AND(SUMIFS($D$245:$D$595,$F$245:$F$595,0,$E$245:$E$595,$G431,$C$245:$C$595,"&lt;="&amp;I$5)&lt;1000000,SUMIFS($D$245:$D$595,$F$245:$F$595,0,$E$245:$E$595,$G431,$C$245:$C$595,"&lt;="&amp;K5)&gt;=1000000),SUMIFS($D$245:$D$595,$F$245:$F$595,0,$E$245:$E$595,$G431)*$C$157 ,0)</f>
        <v/>
      </c>
      <c r="M431" s="95">
        <f>IF(AND(SUMIFS($D$245:$D$595,$F$245:$F$595,0,$E$245:$E$595,$G431,$C$245:$C$595,"&lt;="&amp;K$5)&lt;1000000,SUMIFS($D$245:$D$595,$F$245:$F$595,0,$E$245:$E$595,$G431,$C$245:$C$595,"&lt;="&amp;M5)&gt;=1000000),SUMIFS($D$245:$D$595,$F$245:$F$595,0,$E$245:$E$595,$G431)*$C$157 ,0)</f>
        <v/>
      </c>
      <c r="O431" s="95">
        <f>IF(AND(SUMIFS($D$245:$D$595,$F$245:$F$595,0,$E$245:$E$595,$G431,$C$245:$C$595,"&lt;="&amp;M$5)&lt;1000000,SUMIFS($D$245:$D$595,$F$245:$F$595,0,$E$245:$E$595,$G431,$C$245:$C$595,"&lt;="&amp;O5)&gt;=1000000),SUMIFS($D$245:$D$595,$F$245:$F$595,0,$E$245:$E$595,$G431)*$C$157 ,0)</f>
        <v/>
      </c>
      <c r="Q431" s="95">
        <f>IF(AND(SUMIFS($D$245:$D$595,$F$245:$F$595,0,$E$245:$E$595,$G431,$C$245:$C$595,"&lt;="&amp;O$5)&lt;1000000,SUMIFS($D$245:$D$595,$F$245:$F$595,0,$E$245:$E$595,$G431,$C$245:$C$595,"&lt;="&amp;Q5)&gt;=1000000),SUMIFS($D$245:$D$595,$F$245:$F$595,0,$E$245:$E$595,$G431)*$C$157 ,0)</f>
        <v/>
      </c>
      <c r="S431" s="95">
        <f>IF(AND(SUMIFS($D$245:$D$595,$F$245:$F$595,0,$E$245:$E$595,$G431,$C$245:$C$595,"&lt;="&amp;Q$5)&lt;1000000,SUMIFS($D$245:$D$595,$F$245:$F$595,0,$E$245:$E$595,$G431,$C$245:$C$595,"&lt;="&amp;S5)&gt;=1000000),SUMIFS($D$245:$D$595,$F$245:$F$595,0,$E$245:$E$595,$G431)*$C$157 ,0)</f>
        <v/>
      </c>
      <c r="U431" s="95">
        <f>IF(AND(SUMIFS($D$245:$D$595,$F$245:$F$595,0,$E$245:$E$595,$G431,$C$245:$C$595,"&lt;="&amp;S$5)&lt;1000000,SUMIFS($D$245:$D$595,$F$245:$F$595,0,$E$245:$E$595,$G431,$C$245:$C$595,"&lt;="&amp;U5)&gt;=1000000),SUMIFS($D$245:$D$595,$F$245:$F$595,0,$E$245:$E$595,$G431)*$C$157 ,0)</f>
        <v/>
      </c>
      <c r="W431" s="95">
        <f>IF(AND(SUMIFS($D$245:$D$595,$F$245:$F$595,0,$E$245:$E$595,$G431,$C$245:$C$595,"&lt;="&amp;U$5)&lt;1000000,SUMIFS($D$245:$D$595,$F$245:$F$595,0,$E$245:$E$595,$G431,$C$245:$C$595,"&lt;="&amp;W5)&gt;=1000000),SUMIFS($D$245:$D$595,$F$245:$F$595,0,$E$245:$E$595,$G431)*$C$157 ,0)</f>
        <v/>
      </c>
      <c r="Y431" s="95">
        <f>IF(AND(SUMIFS($D$245:$D$595,$F$245:$F$595,0,$E$245:$E$595,$G431,$C$245:$C$595,"&lt;="&amp;W$5)&lt;1000000,SUMIFS($D$245:$D$595,$F$245:$F$595,0,$E$245:$E$595,$G431,$C$245:$C$595,"&lt;="&amp;Y5)&gt;=1000000),SUMIFS($D$245:$D$595,$F$245:$F$595,0,$E$245:$E$595,$G431)*$C$157 ,0)</f>
        <v/>
      </c>
      <c r="AA431" s="95">
        <f>IF(AND(SUMIFS($D$245:$D$595,$F$245:$F$595,0,$E$245:$E$595,$G431,$C$245:$C$595,"&lt;="&amp;Y$5)&lt;1000000,SUMIFS($D$245:$D$595,$F$245:$F$595,0,$E$245:$E$595,$G431,$C$245:$C$595,"&lt;="&amp;AA5)&gt;=1000000),SUMIFS($D$245:$D$595,$F$245:$F$595,0,$E$245:$E$595,$G431)*$C$157 ,0)</f>
        <v/>
      </c>
      <c r="AC431" s="95">
        <f>IF(AND(SUMIFS($D$245:$D$595,$F$245:$F$595,0,$E$245:$E$595,$G431,$C$245:$C$595,"&lt;="&amp;AA$5)&lt;1000000,SUMIFS($D$245:$D$595,$F$245:$F$595,0,$E$245:$E$595,$G431,$C$245:$C$595,"&lt;="&amp;AC5)&gt;=1000000),SUMIFS($D$245:$D$595,$F$245:$F$595,0,$E$245:$E$595,$G431)*$C$157 ,0)</f>
        <v/>
      </c>
      <c r="AE431" s="95">
        <f>IF(AND(SUMIFS($D$245:$D$595,$F$245:$F$595,0,$E$245:$E$595,$G431,$C$245:$C$595,"&lt;="&amp;AC$5)&lt;1000000,SUMIFS($D$245:$D$595,$F$245:$F$595,0,$E$245:$E$595,$G431,$C$245:$C$595,"&lt;="&amp;AE5)&gt;=1000000),SUMIFS($D$245:$D$595,$F$245:$F$595,0,$E$245:$E$595,$G431)*$C$157 ,0)</f>
        <v/>
      </c>
      <c r="AF431" s="19" t="n"/>
    </row>
    <row r="432">
      <c r="A432" s="20">
        <f>mid(E432, 3, 1)</f>
        <v/>
      </c>
      <c r="B432" s="14" t="inlineStr"/>
      <c r="C432" s="21">
        <f>SUMIFS('Investor Exit List'!$AC:$AC,'Investor Exit List'!$AB:$AB,B432)</f>
        <v/>
      </c>
      <c r="D432" s="14">
        <f>SUMIFS('Investor Exit List'!$Q:$Q,'Investor Exit List'!$AB:$AB,B432)</f>
        <v/>
      </c>
      <c r="E432" s="31">
        <f>LEFT(B432,6)</f>
        <v/>
      </c>
      <c r="F432" s="14">
        <f>IF(SUMIFS($E$119:$E$151,$D$119:$D$151,E432)&lt;&gt;0,E432,0)</f>
        <v/>
      </c>
      <c r="G432" s="59" t="n"/>
      <c r="I432" s="28">
        <f>IF(AND(SUMIFS($D$245:$D$595,$F$245:$F$595,0,$E$245:$E$595,$G432,$C$245:$C$595,"&lt;="&amp;B$2)&lt;1000000,SUMIFS($D$245:$D$595,$F$245:$F$595,0,$E$245:$E$595,$G432,$C$245:$C$595,"&lt;="&amp;I5)&gt;=1000000),SUMIFS($D$245:$D$595,$F$245:$F$595,0,$E$245:$E$595,$G432)*$C$157 ,0)</f>
        <v/>
      </c>
      <c r="K432" s="95">
        <f>IF(AND(SUMIFS($D$245:$D$595,$F$245:$F$595,0,$E$245:$E$595,$G432,$C$245:$C$595,"&lt;="&amp;I$5)&lt;1000000,SUMIFS($D$245:$D$595,$F$245:$F$595,0,$E$245:$E$595,$G432,$C$245:$C$595,"&lt;="&amp;K5)&gt;=1000000),SUMIFS($D$245:$D$595,$F$245:$F$595,0,$E$245:$E$595,$G432)*$C$157 ,0)</f>
        <v/>
      </c>
      <c r="M432" s="95">
        <f>IF(AND(SUMIFS($D$245:$D$595,$F$245:$F$595,0,$E$245:$E$595,$G432,$C$245:$C$595,"&lt;="&amp;K$5)&lt;1000000,SUMIFS($D$245:$D$595,$F$245:$F$595,0,$E$245:$E$595,$G432,$C$245:$C$595,"&lt;="&amp;M5)&gt;=1000000),SUMIFS($D$245:$D$595,$F$245:$F$595,0,$E$245:$E$595,$G432)*$C$157 ,0)</f>
        <v/>
      </c>
      <c r="O432" s="95">
        <f>IF(AND(SUMIFS($D$245:$D$595,$F$245:$F$595,0,$E$245:$E$595,$G432,$C$245:$C$595,"&lt;="&amp;M$5)&lt;1000000,SUMIFS($D$245:$D$595,$F$245:$F$595,0,$E$245:$E$595,$G432,$C$245:$C$595,"&lt;="&amp;O5)&gt;=1000000),SUMIFS($D$245:$D$595,$F$245:$F$595,0,$E$245:$E$595,$G432)*$C$157 ,0)</f>
        <v/>
      </c>
      <c r="Q432" s="95">
        <f>IF(AND(SUMIFS($D$245:$D$595,$F$245:$F$595,0,$E$245:$E$595,$G432,$C$245:$C$595,"&lt;="&amp;O$5)&lt;1000000,SUMIFS($D$245:$D$595,$F$245:$F$595,0,$E$245:$E$595,$G432,$C$245:$C$595,"&lt;="&amp;Q5)&gt;=1000000),SUMIFS($D$245:$D$595,$F$245:$F$595,0,$E$245:$E$595,$G432)*$C$157 ,0)</f>
        <v/>
      </c>
      <c r="S432" s="95">
        <f>IF(AND(SUMIFS($D$245:$D$595,$F$245:$F$595,0,$E$245:$E$595,$G432,$C$245:$C$595,"&lt;="&amp;Q$5)&lt;1000000,SUMIFS($D$245:$D$595,$F$245:$F$595,0,$E$245:$E$595,$G432,$C$245:$C$595,"&lt;="&amp;S5)&gt;=1000000),SUMIFS($D$245:$D$595,$F$245:$F$595,0,$E$245:$E$595,$G432)*$C$157 ,0)</f>
        <v/>
      </c>
      <c r="U432" s="95">
        <f>IF(AND(SUMIFS($D$245:$D$595,$F$245:$F$595,0,$E$245:$E$595,$G432,$C$245:$C$595,"&lt;="&amp;S$5)&lt;1000000,SUMIFS($D$245:$D$595,$F$245:$F$595,0,$E$245:$E$595,$G432,$C$245:$C$595,"&lt;="&amp;U5)&gt;=1000000),SUMIFS($D$245:$D$595,$F$245:$F$595,0,$E$245:$E$595,$G432)*$C$157 ,0)</f>
        <v/>
      </c>
      <c r="W432" s="95">
        <f>IF(AND(SUMIFS($D$245:$D$595,$F$245:$F$595,0,$E$245:$E$595,$G432,$C$245:$C$595,"&lt;="&amp;U$5)&lt;1000000,SUMIFS($D$245:$D$595,$F$245:$F$595,0,$E$245:$E$595,$G432,$C$245:$C$595,"&lt;="&amp;W5)&gt;=1000000),SUMIFS($D$245:$D$595,$F$245:$F$595,0,$E$245:$E$595,$G432)*$C$157 ,0)</f>
        <v/>
      </c>
      <c r="Y432" s="95">
        <f>IF(AND(SUMIFS($D$245:$D$595,$F$245:$F$595,0,$E$245:$E$595,$G432,$C$245:$C$595,"&lt;="&amp;W$5)&lt;1000000,SUMIFS($D$245:$D$595,$F$245:$F$595,0,$E$245:$E$595,$G432,$C$245:$C$595,"&lt;="&amp;Y5)&gt;=1000000),SUMIFS($D$245:$D$595,$F$245:$F$595,0,$E$245:$E$595,$G432)*$C$157 ,0)</f>
        <v/>
      </c>
      <c r="AA432" s="95">
        <f>IF(AND(SUMIFS($D$245:$D$595,$F$245:$F$595,0,$E$245:$E$595,$G432,$C$245:$C$595,"&lt;="&amp;Y$5)&lt;1000000,SUMIFS($D$245:$D$595,$F$245:$F$595,0,$E$245:$E$595,$G432,$C$245:$C$595,"&lt;="&amp;AA5)&gt;=1000000),SUMIFS($D$245:$D$595,$F$245:$F$595,0,$E$245:$E$595,$G432)*$C$157 ,0)</f>
        <v/>
      </c>
      <c r="AC432" s="95">
        <f>IF(AND(SUMIFS($D$245:$D$595,$F$245:$F$595,0,$E$245:$E$595,$G432,$C$245:$C$595,"&lt;="&amp;AA$5)&lt;1000000,SUMIFS($D$245:$D$595,$F$245:$F$595,0,$E$245:$E$595,$G432,$C$245:$C$595,"&lt;="&amp;AC5)&gt;=1000000),SUMIFS($D$245:$D$595,$F$245:$F$595,0,$E$245:$E$595,$G432)*$C$157 ,0)</f>
        <v/>
      </c>
      <c r="AE432" s="95">
        <f>IF(AND(SUMIFS($D$245:$D$595,$F$245:$F$595,0,$E$245:$E$595,$G432,$C$245:$C$595,"&lt;="&amp;AC$5)&lt;1000000,SUMIFS($D$245:$D$595,$F$245:$F$595,0,$E$245:$E$595,$G432,$C$245:$C$595,"&lt;="&amp;AE5)&gt;=1000000),SUMIFS($D$245:$D$595,$F$245:$F$595,0,$E$245:$E$595,$G432)*$C$157 ,0)</f>
        <v/>
      </c>
      <c r="AF432" s="19" t="n"/>
    </row>
    <row r="433">
      <c r="A433" s="20">
        <f>mid(E433, 3, 1)</f>
        <v/>
      </c>
      <c r="B433" s="14" t="inlineStr"/>
      <c r="C433" s="21">
        <f>SUMIFS('Investor Exit List'!$AC:$AC,'Investor Exit List'!$AB:$AB,B433)</f>
        <v/>
      </c>
      <c r="D433" s="14">
        <f>SUMIFS('Investor Exit List'!$Q:$Q,'Investor Exit List'!$AB:$AB,B433)</f>
        <v/>
      </c>
      <c r="E433" s="31">
        <f>LEFT(B433,6)</f>
        <v/>
      </c>
      <c r="F433" s="14">
        <f>IF(SUMIFS($E$119:$E$151,$D$119:$D$151,E433)&lt;&gt;0,E433,0)</f>
        <v/>
      </c>
      <c r="G433" s="59" t="n"/>
      <c r="I433" s="28">
        <f>IF(AND(SUMIFS($D$245:$D$595,$F$245:$F$595,0,$E$245:$E$595,$G433,$C$245:$C$595,"&lt;="&amp;B$2)&lt;1000000,SUMIFS($D$245:$D$595,$F$245:$F$595,0,$E$245:$E$595,$G433,$C$245:$C$595,"&lt;="&amp;I5)&gt;=1000000),SUMIFS($D$245:$D$595,$F$245:$F$595,0,$E$245:$E$595,$G433)*$C$157 ,0)</f>
        <v/>
      </c>
      <c r="K433" s="95">
        <f>IF(AND(SUMIFS($D$245:$D$595,$F$245:$F$595,0,$E$245:$E$595,$G433,$C$245:$C$595,"&lt;="&amp;I$5)&lt;1000000,SUMIFS($D$245:$D$595,$F$245:$F$595,0,$E$245:$E$595,$G433,$C$245:$C$595,"&lt;="&amp;K5)&gt;=1000000),SUMIFS($D$245:$D$595,$F$245:$F$595,0,$E$245:$E$595,$G433)*$C$157 ,0)</f>
        <v/>
      </c>
      <c r="M433" s="95">
        <f>IF(AND(SUMIFS($D$245:$D$595,$F$245:$F$595,0,$E$245:$E$595,$G433,$C$245:$C$595,"&lt;="&amp;K$5)&lt;1000000,SUMIFS($D$245:$D$595,$F$245:$F$595,0,$E$245:$E$595,$G433,$C$245:$C$595,"&lt;="&amp;M5)&gt;=1000000),SUMIFS($D$245:$D$595,$F$245:$F$595,0,$E$245:$E$595,$G433)*$C$157 ,0)</f>
        <v/>
      </c>
      <c r="O433" s="95">
        <f>IF(AND(SUMIFS($D$245:$D$595,$F$245:$F$595,0,$E$245:$E$595,$G433,$C$245:$C$595,"&lt;="&amp;M$5)&lt;1000000,SUMIFS($D$245:$D$595,$F$245:$F$595,0,$E$245:$E$595,$G433,$C$245:$C$595,"&lt;="&amp;O5)&gt;=1000000),SUMIFS($D$245:$D$595,$F$245:$F$595,0,$E$245:$E$595,$G433)*$C$157 ,0)</f>
        <v/>
      </c>
      <c r="Q433" s="95">
        <f>IF(AND(SUMIFS($D$245:$D$595,$F$245:$F$595,0,$E$245:$E$595,$G433,$C$245:$C$595,"&lt;="&amp;O$5)&lt;1000000,SUMIFS($D$245:$D$595,$F$245:$F$595,0,$E$245:$E$595,$G433,$C$245:$C$595,"&lt;="&amp;Q5)&gt;=1000000),SUMIFS($D$245:$D$595,$F$245:$F$595,0,$E$245:$E$595,$G433)*$C$157 ,0)</f>
        <v/>
      </c>
      <c r="S433" s="95">
        <f>IF(AND(SUMIFS($D$245:$D$595,$F$245:$F$595,0,$E$245:$E$595,$G433,$C$245:$C$595,"&lt;="&amp;Q$5)&lt;1000000,SUMIFS($D$245:$D$595,$F$245:$F$595,0,$E$245:$E$595,$G433,$C$245:$C$595,"&lt;="&amp;S5)&gt;=1000000),SUMIFS($D$245:$D$595,$F$245:$F$595,0,$E$245:$E$595,$G433)*$C$157 ,0)</f>
        <v/>
      </c>
      <c r="U433" s="95">
        <f>IF(AND(SUMIFS($D$245:$D$595,$F$245:$F$595,0,$E$245:$E$595,$G433,$C$245:$C$595,"&lt;="&amp;S$5)&lt;1000000,SUMIFS($D$245:$D$595,$F$245:$F$595,0,$E$245:$E$595,$G433,$C$245:$C$595,"&lt;="&amp;U5)&gt;=1000000),SUMIFS($D$245:$D$595,$F$245:$F$595,0,$E$245:$E$595,$G433)*$C$157 ,0)</f>
        <v/>
      </c>
      <c r="W433" s="95">
        <f>IF(AND(SUMIFS($D$245:$D$595,$F$245:$F$595,0,$E$245:$E$595,$G433,$C$245:$C$595,"&lt;="&amp;U$5)&lt;1000000,SUMIFS($D$245:$D$595,$F$245:$F$595,0,$E$245:$E$595,$G433,$C$245:$C$595,"&lt;="&amp;W5)&gt;=1000000),SUMIFS($D$245:$D$595,$F$245:$F$595,0,$E$245:$E$595,$G433)*$C$157 ,0)</f>
        <v/>
      </c>
      <c r="Y433" s="95">
        <f>IF(AND(SUMIFS($D$245:$D$595,$F$245:$F$595,0,$E$245:$E$595,$G433,$C$245:$C$595,"&lt;="&amp;W$5)&lt;1000000,SUMIFS($D$245:$D$595,$F$245:$F$595,0,$E$245:$E$595,$G433,$C$245:$C$595,"&lt;="&amp;Y5)&gt;=1000000),SUMIFS($D$245:$D$595,$F$245:$F$595,0,$E$245:$E$595,$G433)*$C$157 ,0)</f>
        <v/>
      </c>
      <c r="AA433" s="95">
        <f>IF(AND(SUMIFS($D$245:$D$595,$F$245:$F$595,0,$E$245:$E$595,$G433,$C$245:$C$595,"&lt;="&amp;Y$5)&lt;1000000,SUMIFS($D$245:$D$595,$F$245:$F$595,0,$E$245:$E$595,$G433,$C$245:$C$595,"&lt;="&amp;AA5)&gt;=1000000),SUMIFS($D$245:$D$595,$F$245:$F$595,0,$E$245:$E$595,$G433)*$C$157 ,0)</f>
        <v/>
      </c>
      <c r="AC433" s="95">
        <f>IF(AND(SUMIFS($D$245:$D$595,$F$245:$F$595,0,$E$245:$E$595,$G433,$C$245:$C$595,"&lt;="&amp;AA$5)&lt;1000000,SUMIFS($D$245:$D$595,$F$245:$F$595,0,$E$245:$E$595,$G433,$C$245:$C$595,"&lt;="&amp;AC5)&gt;=1000000),SUMIFS($D$245:$D$595,$F$245:$F$595,0,$E$245:$E$595,$G433)*$C$157 ,0)</f>
        <v/>
      </c>
      <c r="AE433" s="95">
        <f>IF(AND(SUMIFS($D$245:$D$595,$F$245:$F$595,0,$E$245:$E$595,$G433,$C$245:$C$595,"&lt;="&amp;AC$5)&lt;1000000,SUMIFS($D$245:$D$595,$F$245:$F$595,0,$E$245:$E$595,$G433,$C$245:$C$595,"&lt;="&amp;AE5)&gt;=1000000),SUMIFS($D$245:$D$595,$F$245:$F$595,0,$E$245:$E$595,$G433)*$C$157 ,0)</f>
        <v/>
      </c>
      <c r="AF433" s="19" t="n"/>
    </row>
    <row r="434">
      <c r="A434" s="20">
        <f>mid(E434, 3, 1)</f>
        <v/>
      </c>
      <c r="B434" s="14" t="inlineStr"/>
      <c r="C434" s="21">
        <f>SUMIFS('Investor Exit List'!$AC:$AC,'Investor Exit List'!$AB:$AB,B434)</f>
        <v/>
      </c>
      <c r="D434" s="14">
        <f>SUMIFS('Investor Exit List'!$Q:$Q,'Investor Exit List'!$AB:$AB,B434)</f>
        <v/>
      </c>
      <c r="E434" s="31">
        <f>LEFT(B434,6)</f>
        <v/>
      </c>
      <c r="F434" s="14">
        <f>IF(SUMIFS($E$119:$E$151,$D$119:$D$151,E434)&lt;&gt;0,E434,0)</f>
        <v/>
      </c>
      <c r="G434" s="59" t="n"/>
      <c r="I434" s="28">
        <f>IF(AND(SUMIFS($D$245:$D$595,$F$245:$F$595,0,$E$245:$E$595,$G434,$C$245:$C$595,"&lt;="&amp;B$2)&lt;1000000,SUMIFS($D$245:$D$595,$F$245:$F$595,0,$E$245:$E$595,$G434,$C$245:$C$595,"&lt;="&amp;I5)&gt;=1000000),SUMIFS($D$245:$D$595,$F$245:$F$595,0,$E$245:$E$595,$G434)*$C$157 ,0)</f>
        <v/>
      </c>
      <c r="K434" s="95">
        <f>IF(AND(SUMIFS($D$245:$D$595,$F$245:$F$595,0,$E$245:$E$595,$G434,$C$245:$C$595,"&lt;="&amp;I$5)&lt;1000000,SUMIFS($D$245:$D$595,$F$245:$F$595,0,$E$245:$E$595,$G434,$C$245:$C$595,"&lt;="&amp;K5)&gt;=1000000),SUMIFS($D$245:$D$595,$F$245:$F$595,0,$E$245:$E$595,$G434)*$C$157 ,0)</f>
        <v/>
      </c>
      <c r="M434" s="95">
        <f>IF(AND(SUMIFS($D$245:$D$595,$F$245:$F$595,0,$E$245:$E$595,$G434,$C$245:$C$595,"&lt;="&amp;K$5)&lt;1000000,SUMIFS($D$245:$D$595,$F$245:$F$595,0,$E$245:$E$595,$G434,$C$245:$C$595,"&lt;="&amp;M5)&gt;=1000000),SUMIFS($D$245:$D$595,$F$245:$F$595,0,$E$245:$E$595,$G434)*$C$157 ,0)</f>
        <v/>
      </c>
      <c r="O434" s="95">
        <f>IF(AND(SUMIFS($D$245:$D$595,$F$245:$F$595,0,$E$245:$E$595,$G434,$C$245:$C$595,"&lt;="&amp;M$5)&lt;1000000,SUMIFS($D$245:$D$595,$F$245:$F$595,0,$E$245:$E$595,$G434,$C$245:$C$595,"&lt;="&amp;O5)&gt;=1000000),SUMIFS($D$245:$D$595,$F$245:$F$595,0,$E$245:$E$595,$G434)*$C$157 ,0)</f>
        <v/>
      </c>
      <c r="Q434" s="95">
        <f>IF(AND(SUMIFS($D$245:$D$595,$F$245:$F$595,0,$E$245:$E$595,$G434,$C$245:$C$595,"&lt;="&amp;O$5)&lt;1000000,SUMIFS($D$245:$D$595,$F$245:$F$595,0,$E$245:$E$595,$G434,$C$245:$C$595,"&lt;="&amp;Q5)&gt;=1000000),SUMIFS($D$245:$D$595,$F$245:$F$595,0,$E$245:$E$595,$G434)*$C$157 ,0)</f>
        <v/>
      </c>
      <c r="S434" s="95">
        <f>IF(AND(SUMIFS($D$245:$D$595,$F$245:$F$595,0,$E$245:$E$595,$G434,$C$245:$C$595,"&lt;="&amp;Q$5)&lt;1000000,SUMIFS($D$245:$D$595,$F$245:$F$595,0,$E$245:$E$595,$G434,$C$245:$C$595,"&lt;="&amp;S5)&gt;=1000000),SUMIFS($D$245:$D$595,$F$245:$F$595,0,$E$245:$E$595,$G434)*$C$157 ,0)</f>
        <v/>
      </c>
      <c r="U434" s="95">
        <f>IF(AND(SUMIFS($D$245:$D$595,$F$245:$F$595,0,$E$245:$E$595,$G434,$C$245:$C$595,"&lt;="&amp;S$5)&lt;1000000,SUMIFS($D$245:$D$595,$F$245:$F$595,0,$E$245:$E$595,$G434,$C$245:$C$595,"&lt;="&amp;U5)&gt;=1000000),SUMIFS($D$245:$D$595,$F$245:$F$595,0,$E$245:$E$595,$G434)*$C$157 ,0)</f>
        <v/>
      </c>
      <c r="W434" s="95">
        <f>IF(AND(SUMIFS($D$245:$D$595,$F$245:$F$595,0,$E$245:$E$595,$G434,$C$245:$C$595,"&lt;="&amp;U$5)&lt;1000000,SUMIFS($D$245:$D$595,$F$245:$F$595,0,$E$245:$E$595,$G434,$C$245:$C$595,"&lt;="&amp;W5)&gt;=1000000),SUMIFS($D$245:$D$595,$F$245:$F$595,0,$E$245:$E$595,$G434)*$C$157 ,0)</f>
        <v/>
      </c>
      <c r="Y434" s="95">
        <f>IF(AND(SUMIFS($D$245:$D$595,$F$245:$F$595,0,$E$245:$E$595,$G434,$C$245:$C$595,"&lt;="&amp;W$5)&lt;1000000,SUMIFS($D$245:$D$595,$F$245:$F$595,0,$E$245:$E$595,$G434,$C$245:$C$595,"&lt;="&amp;Y5)&gt;=1000000),SUMIFS($D$245:$D$595,$F$245:$F$595,0,$E$245:$E$595,$G434)*$C$157 ,0)</f>
        <v/>
      </c>
      <c r="AA434" s="95">
        <f>IF(AND(SUMIFS($D$245:$D$595,$F$245:$F$595,0,$E$245:$E$595,$G434,$C$245:$C$595,"&lt;="&amp;Y$5)&lt;1000000,SUMIFS($D$245:$D$595,$F$245:$F$595,0,$E$245:$E$595,$G434,$C$245:$C$595,"&lt;="&amp;AA5)&gt;=1000000),SUMIFS($D$245:$D$595,$F$245:$F$595,0,$E$245:$E$595,$G434)*$C$157 ,0)</f>
        <v/>
      </c>
      <c r="AC434" s="95">
        <f>IF(AND(SUMIFS($D$245:$D$595,$F$245:$F$595,0,$E$245:$E$595,$G434,$C$245:$C$595,"&lt;="&amp;AA$5)&lt;1000000,SUMIFS($D$245:$D$595,$F$245:$F$595,0,$E$245:$E$595,$G434,$C$245:$C$595,"&lt;="&amp;AC5)&gt;=1000000),SUMIFS($D$245:$D$595,$F$245:$F$595,0,$E$245:$E$595,$G434)*$C$157 ,0)</f>
        <v/>
      </c>
      <c r="AE434" s="95">
        <f>IF(AND(SUMIFS($D$245:$D$595,$F$245:$F$595,0,$E$245:$E$595,$G434,$C$245:$C$595,"&lt;="&amp;AC$5)&lt;1000000,SUMIFS($D$245:$D$595,$F$245:$F$595,0,$E$245:$E$595,$G434,$C$245:$C$595,"&lt;="&amp;AE5)&gt;=1000000),SUMIFS($D$245:$D$595,$F$245:$F$595,0,$E$245:$E$595,$G434)*$C$157 ,0)</f>
        <v/>
      </c>
      <c r="AF434" s="19" t="n"/>
    </row>
    <row r="435">
      <c r="A435" s="20">
        <f>mid(E435, 3, 1)</f>
        <v/>
      </c>
      <c r="B435" s="14" t="inlineStr"/>
      <c r="C435" s="21">
        <f>SUMIFS('Investor Exit List'!$AC:$AC,'Investor Exit List'!$AB:$AB,B435)</f>
        <v/>
      </c>
      <c r="D435" s="14">
        <f>SUMIFS('Investor Exit List'!$Q:$Q,'Investor Exit List'!$AB:$AB,B435)</f>
        <v/>
      </c>
      <c r="E435" s="31">
        <f>LEFT(B435,6)</f>
        <v/>
      </c>
      <c r="F435" s="14">
        <f>IF(SUMIFS($E$119:$E$151,$D$119:$D$151,E435)&lt;&gt;0,E435,0)</f>
        <v/>
      </c>
      <c r="G435" s="59" t="n"/>
      <c r="I435" s="28">
        <f>IF(AND(SUMIFS($D$245:$D$595,$F$245:$F$595,0,$E$245:$E$595,$G435,$C$245:$C$595,"&lt;="&amp;B$2)&lt;1000000,SUMIFS($D$245:$D$595,$F$245:$F$595,0,$E$245:$E$595,$G435,$C$245:$C$595,"&lt;="&amp;I5)&gt;=1000000),SUMIFS($D$245:$D$595,$F$245:$F$595,0,$E$245:$E$595,$G435)*$C$157 ,0)</f>
        <v/>
      </c>
      <c r="K435" s="95">
        <f>IF(AND(SUMIFS($D$245:$D$595,$F$245:$F$595,0,$E$245:$E$595,$G435,$C$245:$C$595,"&lt;="&amp;I$5)&lt;1000000,SUMIFS($D$245:$D$595,$F$245:$F$595,0,$E$245:$E$595,$G435,$C$245:$C$595,"&lt;="&amp;K5)&gt;=1000000),SUMIFS($D$245:$D$595,$F$245:$F$595,0,$E$245:$E$595,$G435)*$C$157 ,0)</f>
        <v/>
      </c>
      <c r="M435" s="95">
        <f>IF(AND(SUMIFS($D$245:$D$595,$F$245:$F$595,0,$E$245:$E$595,$G435,$C$245:$C$595,"&lt;="&amp;K$5)&lt;1000000,SUMIFS($D$245:$D$595,$F$245:$F$595,0,$E$245:$E$595,$G435,$C$245:$C$595,"&lt;="&amp;M5)&gt;=1000000),SUMIFS($D$245:$D$595,$F$245:$F$595,0,$E$245:$E$595,$G435)*$C$157 ,0)</f>
        <v/>
      </c>
      <c r="O435" s="95">
        <f>IF(AND(SUMIFS($D$245:$D$595,$F$245:$F$595,0,$E$245:$E$595,$G435,$C$245:$C$595,"&lt;="&amp;M$5)&lt;1000000,SUMIFS($D$245:$D$595,$F$245:$F$595,0,$E$245:$E$595,$G435,$C$245:$C$595,"&lt;="&amp;O5)&gt;=1000000),SUMIFS($D$245:$D$595,$F$245:$F$595,0,$E$245:$E$595,$G435)*$C$157 ,0)</f>
        <v/>
      </c>
      <c r="Q435" s="95">
        <f>IF(AND(SUMIFS($D$245:$D$595,$F$245:$F$595,0,$E$245:$E$595,$G435,$C$245:$C$595,"&lt;="&amp;O$5)&lt;1000000,SUMIFS($D$245:$D$595,$F$245:$F$595,0,$E$245:$E$595,$G435,$C$245:$C$595,"&lt;="&amp;Q5)&gt;=1000000),SUMIFS($D$245:$D$595,$F$245:$F$595,0,$E$245:$E$595,$G435)*$C$157 ,0)</f>
        <v/>
      </c>
      <c r="S435" s="95">
        <f>IF(AND(SUMIFS($D$245:$D$595,$F$245:$F$595,0,$E$245:$E$595,$G435,$C$245:$C$595,"&lt;="&amp;Q$5)&lt;1000000,SUMIFS($D$245:$D$595,$F$245:$F$595,0,$E$245:$E$595,$G435,$C$245:$C$595,"&lt;="&amp;S5)&gt;=1000000),SUMIFS($D$245:$D$595,$F$245:$F$595,0,$E$245:$E$595,$G435)*$C$157 ,0)</f>
        <v/>
      </c>
      <c r="U435" s="95">
        <f>IF(AND(SUMIFS($D$245:$D$595,$F$245:$F$595,0,$E$245:$E$595,$G435,$C$245:$C$595,"&lt;="&amp;S$5)&lt;1000000,SUMIFS($D$245:$D$595,$F$245:$F$595,0,$E$245:$E$595,$G435,$C$245:$C$595,"&lt;="&amp;U5)&gt;=1000000),SUMIFS($D$245:$D$595,$F$245:$F$595,0,$E$245:$E$595,$G435)*$C$157 ,0)</f>
        <v/>
      </c>
      <c r="W435" s="95">
        <f>IF(AND(SUMIFS($D$245:$D$595,$F$245:$F$595,0,$E$245:$E$595,$G435,$C$245:$C$595,"&lt;="&amp;U$5)&lt;1000000,SUMIFS($D$245:$D$595,$F$245:$F$595,0,$E$245:$E$595,$G435,$C$245:$C$595,"&lt;="&amp;W5)&gt;=1000000),SUMIFS($D$245:$D$595,$F$245:$F$595,0,$E$245:$E$595,$G435)*$C$157 ,0)</f>
        <v/>
      </c>
      <c r="Y435" s="95">
        <f>IF(AND(SUMIFS($D$245:$D$595,$F$245:$F$595,0,$E$245:$E$595,$G435,$C$245:$C$595,"&lt;="&amp;W$5)&lt;1000000,SUMIFS($D$245:$D$595,$F$245:$F$595,0,$E$245:$E$595,$G435,$C$245:$C$595,"&lt;="&amp;Y5)&gt;=1000000),SUMIFS($D$245:$D$595,$F$245:$F$595,0,$E$245:$E$595,$G435)*$C$157 ,0)</f>
        <v/>
      </c>
      <c r="AA435" s="95">
        <f>IF(AND(SUMIFS($D$245:$D$595,$F$245:$F$595,0,$E$245:$E$595,$G435,$C$245:$C$595,"&lt;="&amp;Y$5)&lt;1000000,SUMIFS($D$245:$D$595,$F$245:$F$595,0,$E$245:$E$595,$G435,$C$245:$C$595,"&lt;="&amp;AA5)&gt;=1000000),SUMIFS($D$245:$D$595,$F$245:$F$595,0,$E$245:$E$595,$G435)*$C$157 ,0)</f>
        <v/>
      </c>
      <c r="AC435" s="95">
        <f>IF(AND(SUMIFS($D$245:$D$595,$F$245:$F$595,0,$E$245:$E$595,$G435,$C$245:$C$595,"&lt;="&amp;AA$5)&lt;1000000,SUMIFS($D$245:$D$595,$F$245:$F$595,0,$E$245:$E$595,$G435,$C$245:$C$595,"&lt;="&amp;AC5)&gt;=1000000),SUMIFS($D$245:$D$595,$F$245:$F$595,0,$E$245:$E$595,$G435)*$C$157 ,0)</f>
        <v/>
      </c>
      <c r="AE435" s="95">
        <f>IF(AND(SUMIFS($D$245:$D$595,$F$245:$F$595,0,$E$245:$E$595,$G435,$C$245:$C$595,"&lt;="&amp;AC$5)&lt;1000000,SUMIFS($D$245:$D$595,$F$245:$F$595,0,$E$245:$E$595,$G435,$C$245:$C$595,"&lt;="&amp;AE5)&gt;=1000000),SUMIFS($D$245:$D$595,$F$245:$F$595,0,$E$245:$E$595,$G435)*$C$157 ,0)</f>
        <v/>
      </c>
      <c r="AF435" s="19" t="n"/>
    </row>
    <row r="436">
      <c r="A436" s="20">
        <f>mid(E436, 3, 1)</f>
        <v/>
      </c>
      <c r="B436" s="14" t="inlineStr"/>
      <c r="C436" s="21">
        <f>SUMIFS('Investor Exit List'!$AC:$AC,'Investor Exit List'!$AB:$AB,B436)</f>
        <v/>
      </c>
      <c r="D436" s="14">
        <f>SUMIFS('Investor Exit List'!$Q:$Q,'Investor Exit List'!$AB:$AB,B436)</f>
        <v/>
      </c>
      <c r="E436" s="31">
        <f>LEFT(B436,6)</f>
        <v/>
      </c>
      <c r="F436" s="14">
        <f>IF(SUMIFS($E$119:$E$151,$D$119:$D$151,E436)&lt;&gt;0,E436,0)</f>
        <v/>
      </c>
      <c r="G436" s="59" t="n"/>
      <c r="I436" s="28">
        <f>IF(AND(SUMIFS($D$245:$D$595,$F$245:$F$595,0,$E$245:$E$595,$G436,$C$245:$C$595,"&lt;="&amp;B$2)&lt;1000000,SUMIFS($D$245:$D$595,$F$245:$F$595,0,$E$245:$E$595,$G436,$C$245:$C$595,"&lt;="&amp;I5)&gt;=1000000),SUMIFS($D$245:$D$595,$F$245:$F$595,0,$E$245:$E$595,$G436)*$C$157 ,0)</f>
        <v/>
      </c>
      <c r="K436" s="95">
        <f>IF(AND(SUMIFS($D$245:$D$595,$F$245:$F$595,0,$E$245:$E$595,$G436,$C$245:$C$595,"&lt;="&amp;I$5)&lt;1000000,SUMIFS($D$245:$D$595,$F$245:$F$595,0,$E$245:$E$595,$G436,$C$245:$C$595,"&lt;="&amp;K5)&gt;=1000000),SUMIFS($D$245:$D$595,$F$245:$F$595,0,$E$245:$E$595,$G436)*$C$157 ,0)</f>
        <v/>
      </c>
      <c r="M436" s="95">
        <f>IF(AND(SUMIFS($D$245:$D$595,$F$245:$F$595,0,$E$245:$E$595,$G436,$C$245:$C$595,"&lt;="&amp;K$5)&lt;1000000,SUMIFS($D$245:$D$595,$F$245:$F$595,0,$E$245:$E$595,$G436,$C$245:$C$595,"&lt;="&amp;M5)&gt;=1000000),SUMIFS($D$245:$D$595,$F$245:$F$595,0,$E$245:$E$595,$G436)*$C$157 ,0)</f>
        <v/>
      </c>
      <c r="O436" s="95">
        <f>IF(AND(SUMIFS($D$245:$D$595,$F$245:$F$595,0,$E$245:$E$595,$G436,$C$245:$C$595,"&lt;="&amp;M$5)&lt;1000000,SUMIFS($D$245:$D$595,$F$245:$F$595,0,$E$245:$E$595,$G436,$C$245:$C$595,"&lt;="&amp;O5)&gt;=1000000),SUMIFS($D$245:$D$595,$F$245:$F$595,0,$E$245:$E$595,$G436)*$C$157 ,0)</f>
        <v/>
      </c>
      <c r="Q436" s="95">
        <f>IF(AND(SUMIFS($D$245:$D$595,$F$245:$F$595,0,$E$245:$E$595,$G436,$C$245:$C$595,"&lt;="&amp;O$5)&lt;1000000,SUMIFS($D$245:$D$595,$F$245:$F$595,0,$E$245:$E$595,$G436,$C$245:$C$595,"&lt;="&amp;Q5)&gt;=1000000),SUMIFS($D$245:$D$595,$F$245:$F$595,0,$E$245:$E$595,$G436)*$C$157 ,0)</f>
        <v/>
      </c>
      <c r="S436" s="95">
        <f>IF(AND(SUMIFS($D$245:$D$595,$F$245:$F$595,0,$E$245:$E$595,$G436,$C$245:$C$595,"&lt;="&amp;Q$5)&lt;1000000,SUMIFS($D$245:$D$595,$F$245:$F$595,0,$E$245:$E$595,$G436,$C$245:$C$595,"&lt;="&amp;S5)&gt;=1000000),SUMIFS($D$245:$D$595,$F$245:$F$595,0,$E$245:$E$595,$G436)*$C$157 ,0)</f>
        <v/>
      </c>
      <c r="U436" s="95">
        <f>IF(AND(SUMIFS($D$245:$D$595,$F$245:$F$595,0,$E$245:$E$595,$G436,$C$245:$C$595,"&lt;="&amp;S$5)&lt;1000000,SUMIFS($D$245:$D$595,$F$245:$F$595,0,$E$245:$E$595,$G436,$C$245:$C$595,"&lt;="&amp;U5)&gt;=1000000),SUMIFS($D$245:$D$595,$F$245:$F$595,0,$E$245:$E$595,$G436)*$C$157 ,0)</f>
        <v/>
      </c>
      <c r="W436" s="95">
        <f>IF(AND(SUMIFS($D$245:$D$595,$F$245:$F$595,0,$E$245:$E$595,$G436,$C$245:$C$595,"&lt;="&amp;U$5)&lt;1000000,SUMIFS($D$245:$D$595,$F$245:$F$595,0,$E$245:$E$595,$G436,$C$245:$C$595,"&lt;="&amp;W5)&gt;=1000000),SUMIFS($D$245:$D$595,$F$245:$F$595,0,$E$245:$E$595,$G436)*$C$157 ,0)</f>
        <v/>
      </c>
      <c r="Y436" s="95">
        <f>IF(AND(SUMIFS($D$245:$D$595,$F$245:$F$595,0,$E$245:$E$595,$G436,$C$245:$C$595,"&lt;="&amp;W$5)&lt;1000000,SUMIFS($D$245:$D$595,$F$245:$F$595,0,$E$245:$E$595,$G436,$C$245:$C$595,"&lt;="&amp;Y5)&gt;=1000000),SUMIFS($D$245:$D$595,$F$245:$F$595,0,$E$245:$E$595,$G436)*$C$157 ,0)</f>
        <v/>
      </c>
      <c r="AA436" s="95">
        <f>IF(AND(SUMIFS($D$245:$D$595,$F$245:$F$595,0,$E$245:$E$595,$G436,$C$245:$C$595,"&lt;="&amp;Y$5)&lt;1000000,SUMIFS($D$245:$D$595,$F$245:$F$595,0,$E$245:$E$595,$G436,$C$245:$C$595,"&lt;="&amp;AA5)&gt;=1000000),SUMIFS($D$245:$D$595,$F$245:$F$595,0,$E$245:$E$595,$G436)*$C$157 ,0)</f>
        <v/>
      </c>
      <c r="AC436" s="95">
        <f>IF(AND(SUMIFS($D$245:$D$595,$F$245:$F$595,0,$E$245:$E$595,$G436,$C$245:$C$595,"&lt;="&amp;AA$5)&lt;1000000,SUMIFS($D$245:$D$595,$F$245:$F$595,0,$E$245:$E$595,$G436,$C$245:$C$595,"&lt;="&amp;AC5)&gt;=1000000),SUMIFS($D$245:$D$595,$F$245:$F$595,0,$E$245:$E$595,$G436)*$C$157 ,0)</f>
        <v/>
      </c>
      <c r="AE436" s="95">
        <f>IF(AND(SUMIFS($D$245:$D$595,$F$245:$F$595,0,$E$245:$E$595,$G436,$C$245:$C$595,"&lt;="&amp;AC$5)&lt;1000000,SUMIFS($D$245:$D$595,$F$245:$F$595,0,$E$245:$E$595,$G436,$C$245:$C$595,"&lt;="&amp;AE5)&gt;=1000000),SUMIFS($D$245:$D$595,$F$245:$F$595,0,$E$245:$E$595,$G436)*$C$157 ,0)</f>
        <v/>
      </c>
      <c r="AF436" s="19" t="n"/>
    </row>
    <row r="437">
      <c r="A437" s="20">
        <f>mid(E437, 3, 1)</f>
        <v/>
      </c>
      <c r="B437" s="14" t="inlineStr"/>
      <c r="C437" s="21">
        <f>SUMIFS('Investor Exit List'!$AC:$AC,'Investor Exit List'!$AB:$AB,B437)</f>
        <v/>
      </c>
      <c r="D437" s="14">
        <f>SUMIFS('Investor Exit List'!$Q:$Q,'Investor Exit List'!$AB:$AB,B437)</f>
        <v/>
      </c>
      <c r="E437" s="31">
        <f>LEFT(B437,6)</f>
        <v/>
      </c>
      <c r="F437" s="14">
        <f>IF(SUMIFS($E$119:$E$151,$D$119:$D$151,E437)&lt;&gt;0,E437,0)</f>
        <v/>
      </c>
      <c r="G437" s="59" t="n"/>
      <c r="I437" s="28">
        <f>IF(AND(SUMIFS($D$245:$D$595,$F$245:$F$595,0,$E$245:$E$595,$G437,$C$245:$C$595,"&lt;="&amp;B$2)&lt;1000000,SUMIFS($D$245:$D$595,$F$245:$F$595,0,$E$245:$E$595,$G437,$C$245:$C$595,"&lt;="&amp;I5)&gt;=1000000),SUMIFS($D$245:$D$595,$F$245:$F$595,0,$E$245:$E$595,$G437)*$C$157 ,0)</f>
        <v/>
      </c>
      <c r="K437" s="95">
        <f>IF(AND(SUMIFS($D$245:$D$595,$F$245:$F$595,0,$E$245:$E$595,$G437,$C$245:$C$595,"&lt;="&amp;I$5)&lt;1000000,SUMIFS($D$245:$D$595,$F$245:$F$595,0,$E$245:$E$595,$G437,$C$245:$C$595,"&lt;="&amp;K5)&gt;=1000000),SUMIFS($D$245:$D$595,$F$245:$F$595,0,$E$245:$E$595,$G437)*$C$157 ,0)</f>
        <v/>
      </c>
      <c r="M437" s="95">
        <f>IF(AND(SUMIFS($D$245:$D$595,$F$245:$F$595,0,$E$245:$E$595,$G437,$C$245:$C$595,"&lt;="&amp;K$5)&lt;1000000,SUMIFS($D$245:$D$595,$F$245:$F$595,0,$E$245:$E$595,$G437,$C$245:$C$595,"&lt;="&amp;M5)&gt;=1000000),SUMIFS($D$245:$D$595,$F$245:$F$595,0,$E$245:$E$595,$G437)*$C$157 ,0)</f>
        <v/>
      </c>
      <c r="O437" s="95">
        <f>IF(AND(SUMIFS($D$245:$D$595,$F$245:$F$595,0,$E$245:$E$595,$G437,$C$245:$C$595,"&lt;="&amp;M$5)&lt;1000000,SUMIFS($D$245:$D$595,$F$245:$F$595,0,$E$245:$E$595,$G437,$C$245:$C$595,"&lt;="&amp;O5)&gt;=1000000),SUMIFS($D$245:$D$595,$F$245:$F$595,0,$E$245:$E$595,$G437)*$C$157 ,0)</f>
        <v/>
      </c>
      <c r="Q437" s="95">
        <f>IF(AND(SUMIFS($D$245:$D$595,$F$245:$F$595,0,$E$245:$E$595,$G437,$C$245:$C$595,"&lt;="&amp;O$5)&lt;1000000,SUMIFS($D$245:$D$595,$F$245:$F$595,0,$E$245:$E$595,$G437,$C$245:$C$595,"&lt;="&amp;Q5)&gt;=1000000),SUMIFS($D$245:$D$595,$F$245:$F$595,0,$E$245:$E$595,$G437)*$C$157 ,0)</f>
        <v/>
      </c>
      <c r="S437" s="95">
        <f>IF(AND(SUMIFS($D$245:$D$595,$F$245:$F$595,0,$E$245:$E$595,$G437,$C$245:$C$595,"&lt;="&amp;Q$5)&lt;1000000,SUMIFS($D$245:$D$595,$F$245:$F$595,0,$E$245:$E$595,$G437,$C$245:$C$595,"&lt;="&amp;S5)&gt;=1000000),SUMIFS($D$245:$D$595,$F$245:$F$595,0,$E$245:$E$595,$G437)*$C$157 ,0)</f>
        <v/>
      </c>
      <c r="U437" s="95">
        <f>IF(AND(SUMIFS($D$245:$D$595,$F$245:$F$595,0,$E$245:$E$595,$G437,$C$245:$C$595,"&lt;="&amp;S$5)&lt;1000000,SUMIFS($D$245:$D$595,$F$245:$F$595,0,$E$245:$E$595,$G437,$C$245:$C$595,"&lt;="&amp;U5)&gt;=1000000),SUMIFS($D$245:$D$595,$F$245:$F$595,0,$E$245:$E$595,$G437)*$C$157 ,0)</f>
        <v/>
      </c>
      <c r="W437" s="95">
        <f>IF(AND(SUMIFS($D$245:$D$595,$F$245:$F$595,0,$E$245:$E$595,$G437,$C$245:$C$595,"&lt;="&amp;U$5)&lt;1000000,SUMIFS($D$245:$D$595,$F$245:$F$595,0,$E$245:$E$595,$G437,$C$245:$C$595,"&lt;="&amp;W5)&gt;=1000000),SUMIFS($D$245:$D$595,$F$245:$F$595,0,$E$245:$E$595,$G437)*$C$157 ,0)</f>
        <v/>
      </c>
      <c r="Y437" s="95">
        <f>IF(AND(SUMIFS($D$245:$D$595,$F$245:$F$595,0,$E$245:$E$595,$G437,$C$245:$C$595,"&lt;="&amp;W$5)&lt;1000000,SUMIFS($D$245:$D$595,$F$245:$F$595,0,$E$245:$E$595,$G437,$C$245:$C$595,"&lt;="&amp;Y5)&gt;=1000000),SUMIFS($D$245:$D$595,$F$245:$F$595,0,$E$245:$E$595,$G437)*$C$157 ,0)</f>
        <v/>
      </c>
      <c r="AA437" s="95">
        <f>IF(AND(SUMIFS($D$245:$D$595,$F$245:$F$595,0,$E$245:$E$595,$G437,$C$245:$C$595,"&lt;="&amp;Y$5)&lt;1000000,SUMIFS($D$245:$D$595,$F$245:$F$595,0,$E$245:$E$595,$G437,$C$245:$C$595,"&lt;="&amp;AA5)&gt;=1000000),SUMIFS($D$245:$D$595,$F$245:$F$595,0,$E$245:$E$595,$G437)*$C$157 ,0)</f>
        <v/>
      </c>
      <c r="AC437" s="95">
        <f>IF(AND(SUMIFS($D$245:$D$595,$F$245:$F$595,0,$E$245:$E$595,$G437,$C$245:$C$595,"&lt;="&amp;AA$5)&lt;1000000,SUMIFS($D$245:$D$595,$F$245:$F$595,0,$E$245:$E$595,$G437,$C$245:$C$595,"&lt;="&amp;AC5)&gt;=1000000),SUMIFS($D$245:$D$595,$F$245:$F$595,0,$E$245:$E$595,$G437)*$C$157 ,0)</f>
        <v/>
      </c>
      <c r="AE437" s="95">
        <f>IF(AND(SUMIFS($D$245:$D$595,$F$245:$F$595,0,$E$245:$E$595,$G437,$C$245:$C$595,"&lt;="&amp;AC$5)&lt;1000000,SUMIFS($D$245:$D$595,$F$245:$F$595,0,$E$245:$E$595,$G437,$C$245:$C$595,"&lt;="&amp;AE5)&gt;=1000000),SUMIFS($D$245:$D$595,$F$245:$F$595,0,$E$245:$E$595,$G437)*$C$157 ,0)</f>
        <v/>
      </c>
      <c r="AF437" s="19" t="n"/>
    </row>
    <row r="438">
      <c r="A438" s="20">
        <f>mid(E438, 3, 1)</f>
        <v/>
      </c>
      <c r="B438" s="14" t="inlineStr"/>
      <c r="C438" s="21">
        <f>SUMIFS('Investor Exit List'!$AC:$AC,'Investor Exit List'!$AB:$AB,B438)</f>
        <v/>
      </c>
      <c r="D438" s="14">
        <f>SUMIFS('Investor Exit List'!$Q:$Q,'Investor Exit List'!$AB:$AB,B438)</f>
        <v/>
      </c>
      <c r="E438" s="31">
        <f>LEFT(B438,6)</f>
        <v/>
      </c>
      <c r="F438" s="14">
        <f>IF(SUMIFS($E$119:$E$151,$D$119:$D$151,E438)&lt;&gt;0,E438,0)</f>
        <v/>
      </c>
      <c r="G438" s="59" t="n"/>
      <c r="I438" s="28">
        <f>IF(AND(SUMIFS($D$245:$D$595,$F$245:$F$595,0,$E$245:$E$595,$G438,$C$245:$C$595,"&lt;="&amp;B$2)&lt;1000000,SUMIFS($D$245:$D$595,$F$245:$F$595,0,$E$245:$E$595,$G438,$C$245:$C$595,"&lt;="&amp;I5)&gt;=1000000),SUMIFS($D$245:$D$595,$F$245:$F$595,0,$E$245:$E$595,$G438)*$C$157 ,0)</f>
        <v/>
      </c>
      <c r="K438" s="95">
        <f>IF(AND(SUMIFS($D$245:$D$595,$F$245:$F$595,0,$E$245:$E$595,$G438,$C$245:$C$595,"&lt;="&amp;I$5)&lt;1000000,SUMIFS($D$245:$D$595,$F$245:$F$595,0,$E$245:$E$595,$G438,$C$245:$C$595,"&lt;="&amp;K5)&gt;=1000000),SUMIFS($D$245:$D$595,$F$245:$F$595,0,$E$245:$E$595,$G438)*$C$157 ,0)</f>
        <v/>
      </c>
      <c r="M438" s="95">
        <f>IF(AND(SUMIFS($D$245:$D$595,$F$245:$F$595,0,$E$245:$E$595,$G438,$C$245:$C$595,"&lt;="&amp;K$5)&lt;1000000,SUMIFS($D$245:$D$595,$F$245:$F$595,0,$E$245:$E$595,$G438,$C$245:$C$595,"&lt;="&amp;M5)&gt;=1000000),SUMIFS($D$245:$D$595,$F$245:$F$595,0,$E$245:$E$595,$G438)*$C$157 ,0)</f>
        <v/>
      </c>
      <c r="O438" s="95">
        <f>IF(AND(SUMIFS($D$245:$D$595,$F$245:$F$595,0,$E$245:$E$595,$G438,$C$245:$C$595,"&lt;="&amp;M$5)&lt;1000000,SUMIFS($D$245:$D$595,$F$245:$F$595,0,$E$245:$E$595,$G438,$C$245:$C$595,"&lt;="&amp;O5)&gt;=1000000),SUMIFS($D$245:$D$595,$F$245:$F$595,0,$E$245:$E$595,$G438)*$C$157 ,0)</f>
        <v/>
      </c>
      <c r="Q438" s="95">
        <f>IF(AND(SUMIFS($D$245:$D$595,$F$245:$F$595,0,$E$245:$E$595,$G438,$C$245:$C$595,"&lt;="&amp;O$5)&lt;1000000,SUMIFS($D$245:$D$595,$F$245:$F$595,0,$E$245:$E$595,$G438,$C$245:$C$595,"&lt;="&amp;Q5)&gt;=1000000),SUMIFS($D$245:$D$595,$F$245:$F$595,0,$E$245:$E$595,$G438)*$C$157 ,0)</f>
        <v/>
      </c>
      <c r="S438" s="95">
        <f>IF(AND(SUMIFS($D$245:$D$595,$F$245:$F$595,0,$E$245:$E$595,$G438,$C$245:$C$595,"&lt;="&amp;Q$5)&lt;1000000,SUMIFS($D$245:$D$595,$F$245:$F$595,0,$E$245:$E$595,$G438,$C$245:$C$595,"&lt;="&amp;S5)&gt;=1000000),SUMIFS($D$245:$D$595,$F$245:$F$595,0,$E$245:$E$595,$G438)*$C$157 ,0)</f>
        <v/>
      </c>
      <c r="U438" s="95">
        <f>IF(AND(SUMIFS($D$245:$D$595,$F$245:$F$595,0,$E$245:$E$595,$G438,$C$245:$C$595,"&lt;="&amp;S$5)&lt;1000000,SUMIFS($D$245:$D$595,$F$245:$F$595,0,$E$245:$E$595,$G438,$C$245:$C$595,"&lt;="&amp;U5)&gt;=1000000),SUMIFS($D$245:$D$595,$F$245:$F$595,0,$E$245:$E$595,$G438)*$C$157 ,0)</f>
        <v/>
      </c>
      <c r="W438" s="95">
        <f>IF(AND(SUMIFS($D$245:$D$595,$F$245:$F$595,0,$E$245:$E$595,$G438,$C$245:$C$595,"&lt;="&amp;U$5)&lt;1000000,SUMIFS($D$245:$D$595,$F$245:$F$595,0,$E$245:$E$595,$G438,$C$245:$C$595,"&lt;="&amp;W5)&gt;=1000000),SUMIFS($D$245:$D$595,$F$245:$F$595,0,$E$245:$E$595,$G438)*$C$157 ,0)</f>
        <v/>
      </c>
      <c r="Y438" s="95">
        <f>IF(AND(SUMIFS($D$245:$D$595,$F$245:$F$595,0,$E$245:$E$595,$G438,$C$245:$C$595,"&lt;="&amp;W$5)&lt;1000000,SUMIFS($D$245:$D$595,$F$245:$F$595,0,$E$245:$E$595,$G438,$C$245:$C$595,"&lt;="&amp;Y5)&gt;=1000000),SUMIFS($D$245:$D$595,$F$245:$F$595,0,$E$245:$E$595,$G438)*$C$157 ,0)</f>
        <v/>
      </c>
      <c r="AA438" s="95">
        <f>IF(AND(SUMIFS($D$245:$D$595,$F$245:$F$595,0,$E$245:$E$595,$G438,$C$245:$C$595,"&lt;="&amp;Y$5)&lt;1000000,SUMIFS($D$245:$D$595,$F$245:$F$595,0,$E$245:$E$595,$G438,$C$245:$C$595,"&lt;="&amp;AA5)&gt;=1000000),SUMIFS($D$245:$D$595,$F$245:$F$595,0,$E$245:$E$595,$G438)*$C$157 ,0)</f>
        <v/>
      </c>
      <c r="AC438" s="95">
        <f>IF(AND(SUMIFS($D$245:$D$595,$F$245:$F$595,0,$E$245:$E$595,$G438,$C$245:$C$595,"&lt;="&amp;AA$5)&lt;1000000,SUMIFS($D$245:$D$595,$F$245:$F$595,0,$E$245:$E$595,$G438,$C$245:$C$595,"&lt;="&amp;AC5)&gt;=1000000),SUMIFS($D$245:$D$595,$F$245:$F$595,0,$E$245:$E$595,$G438)*$C$157 ,0)</f>
        <v/>
      </c>
      <c r="AE438" s="95">
        <f>IF(AND(SUMIFS($D$245:$D$595,$F$245:$F$595,0,$E$245:$E$595,$G438,$C$245:$C$595,"&lt;="&amp;AC$5)&lt;1000000,SUMIFS($D$245:$D$595,$F$245:$F$595,0,$E$245:$E$595,$G438,$C$245:$C$595,"&lt;="&amp;AE5)&gt;=1000000),SUMIFS($D$245:$D$595,$F$245:$F$595,0,$E$245:$E$595,$G438)*$C$157 ,0)</f>
        <v/>
      </c>
      <c r="AF438" s="19" t="n"/>
    </row>
    <row r="439">
      <c r="A439" s="20">
        <f>mid(E439, 3, 1)</f>
        <v/>
      </c>
      <c r="B439" s="14" t="inlineStr"/>
      <c r="C439" s="21">
        <f>SUMIFS('Investor Exit List'!$AC:$AC,'Investor Exit List'!$AB:$AB,B439)</f>
        <v/>
      </c>
      <c r="D439" s="14">
        <f>SUMIFS('Investor Exit List'!$Q:$Q,'Investor Exit List'!$AB:$AB,B439)</f>
        <v/>
      </c>
      <c r="E439" s="31">
        <f>LEFT(B439,6)</f>
        <v/>
      </c>
      <c r="F439" s="14">
        <f>IF(SUMIFS($E$119:$E$151,$D$119:$D$151,E439)&lt;&gt;0,E439,0)</f>
        <v/>
      </c>
      <c r="G439" s="59" t="n"/>
      <c r="I439" s="28">
        <f>IF(AND(SUMIFS($D$245:$D$595,$F$245:$F$595,0,$E$245:$E$595,$G439,$C$245:$C$595,"&lt;="&amp;B$2)&lt;1000000,SUMIFS($D$245:$D$595,$F$245:$F$595,0,$E$245:$E$595,$G439,$C$245:$C$595,"&lt;="&amp;I5)&gt;=1000000),SUMIFS($D$245:$D$595,$F$245:$F$595,0,$E$245:$E$595,$G439)*$C$157 ,0)</f>
        <v/>
      </c>
      <c r="K439" s="95">
        <f>IF(AND(SUMIFS($D$245:$D$595,$F$245:$F$595,0,$E$245:$E$595,$G439,$C$245:$C$595,"&lt;="&amp;I$5)&lt;1000000,SUMIFS($D$245:$D$595,$F$245:$F$595,0,$E$245:$E$595,$G439,$C$245:$C$595,"&lt;="&amp;K5)&gt;=1000000),SUMIFS($D$245:$D$595,$F$245:$F$595,0,$E$245:$E$595,$G439)*$C$157 ,0)</f>
        <v/>
      </c>
      <c r="M439" s="95">
        <f>IF(AND(SUMIFS($D$245:$D$595,$F$245:$F$595,0,$E$245:$E$595,$G439,$C$245:$C$595,"&lt;="&amp;K$5)&lt;1000000,SUMIFS($D$245:$D$595,$F$245:$F$595,0,$E$245:$E$595,$G439,$C$245:$C$595,"&lt;="&amp;M5)&gt;=1000000),SUMIFS($D$245:$D$595,$F$245:$F$595,0,$E$245:$E$595,$G439)*$C$157 ,0)</f>
        <v/>
      </c>
      <c r="O439" s="95">
        <f>IF(AND(SUMIFS($D$245:$D$595,$F$245:$F$595,0,$E$245:$E$595,$G439,$C$245:$C$595,"&lt;="&amp;M$5)&lt;1000000,SUMIFS($D$245:$D$595,$F$245:$F$595,0,$E$245:$E$595,$G439,$C$245:$C$595,"&lt;="&amp;O5)&gt;=1000000),SUMIFS($D$245:$D$595,$F$245:$F$595,0,$E$245:$E$595,$G439)*$C$157 ,0)</f>
        <v/>
      </c>
      <c r="Q439" s="95">
        <f>IF(AND(SUMIFS($D$245:$D$595,$F$245:$F$595,0,$E$245:$E$595,$G439,$C$245:$C$595,"&lt;="&amp;O$5)&lt;1000000,SUMIFS($D$245:$D$595,$F$245:$F$595,0,$E$245:$E$595,$G439,$C$245:$C$595,"&lt;="&amp;Q5)&gt;=1000000),SUMIFS($D$245:$D$595,$F$245:$F$595,0,$E$245:$E$595,$G439)*$C$157 ,0)</f>
        <v/>
      </c>
      <c r="S439" s="95">
        <f>IF(AND(SUMIFS($D$245:$D$595,$F$245:$F$595,0,$E$245:$E$595,$G439,$C$245:$C$595,"&lt;="&amp;Q$5)&lt;1000000,SUMIFS($D$245:$D$595,$F$245:$F$595,0,$E$245:$E$595,$G439,$C$245:$C$595,"&lt;="&amp;S5)&gt;=1000000),SUMIFS($D$245:$D$595,$F$245:$F$595,0,$E$245:$E$595,$G439)*$C$157 ,0)</f>
        <v/>
      </c>
      <c r="U439" s="95">
        <f>IF(AND(SUMIFS($D$245:$D$595,$F$245:$F$595,0,$E$245:$E$595,$G439,$C$245:$C$595,"&lt;="&amp;S$5)&lt;1000000,SUMIFS($D$245:$D$595,$F$245:$F$595,0,$E$245:$E$595,$G439,$C$245:$C$595,"&lt;="&amp;U5)&gt;=1000000),SUMIFS($D$245:$D$595,$F$245:$F$595,0,$E$245:$E$595,$G439)*$C$157 ,0)</f>
        <v/>
      </c>
      <c r="W439" s="95">
        <f>IF(AND(SUMIFS($D$245:$D$595,$F$245:$F$595,0,$E$245:$E$595,$G439,$C$245:$C$595,"&lt;="&amp;U$5)&lt;1000000,SUMIFS($D$245:$D$595,$F$245:$F$595,0,$E$245:$E$595,$G439,$C$245:$C$595,"&lt;="&amp;W5)&gt;=1000000),SUMIFS($D$245:$D$595,$F$245:$F$595,0,$E$245:$E$595,$G439)*$C$157 ,0)</f>
        <v/>
      </c>
      <c r="Y439" s="95">
        <f>IF(AND(SUMIFS($D$245:$D$595,$F$245:$F$595,0,$E$245:$E$595,$G439,$C$245:$C$595,"&lt;="&amp;W$5)&lt;1000000,SUMIFS($D$245:$D$595,$F$245:$F$595,0,$E$245:$E$595,$G439,$C$245:$C$595,"&lt;="&amp;Y5)&gt;=1000000),SUMIFS($D$245:$D$595,$F$245:$F$595,0,$E$245:$E$595,$G439)*$C$157 ,0)</f>
        <v/>
      </c>
      <c r="AA439" s="95">
        <f>IF(AND(SUMIFS($D$245:$D$595,$F$245:$F$595,0,$E$245:$E$595,$G439,$C$245:$C$595,"&lt;="&amp;Y$5)&lt;1000000,SUMIFS($D$245:$D$595,$F$245:$F$595,0,$E$245:$E$595,$G439,$C$245:$C$595,"&lt;="&amp;AA5)&gt;=1000000),SUMIFS($D$245:$D$595,$F$245:$F$595,0,$E$245:$E$595,$G439)*$C$157 ,0)</f>
        <v/>
      </c>
      <c r="AC439" s="95">
        <f>IF(AND(SUMIFS($D$245:$D$595,$F$245:$F$595,0,$E$245:$E$595,$G439,$C$245:$C$595,"&lt;="&amp;AA$5)&lt;1000000,SUMIFS($D$245:$D$595,$F$245:$F$595,0,$E$245:$E$595,$G439,$C$245:$C$595,"&lt;="&amp;AC5)&gt;=1000000),SUMIFS($D$245:$D$595,$F$245:$F$595,0,$E$245:$E$595,$G439)*$C$157 ,0)</f>
        <v/>
      </c>
      <c r="AE439" s="95">
        <f>IF(AND(SUMIFS($D$245:$D$595,$F$245:$F$595,0,$E$245:$E$595,$G439,$C$245:$C$595,"&lt;="&amp;AC$5)&lt;1000000,SUMIFS($D$245:$D$595,$F$245:$F$595,0,$E$245:$E$595,$G439,$C$245:$C$595,"&lt;="&amp;AE5)&gt;=1000000),SUMIFS($D$245:$D$595,$F$245:$F$595,0,$E$245:$E$595,$G439)*$C$157 ,0)</f>
        <v/>
      </c>
      <c r="AF439" s="19" t="n"/>
    </row>
    <row r="440">
      <c r="A440" s="20">
        <f>mid(E440, 3, 1)</f>
        <v/>
      </c>
      <c r="B440" s="14" t="inlineStr"/>
      <c r="C440" s="21">
        <f>SUMIFS('Investor Exit List'!$AC:$AC,'Investor Exit List'!$AB:$AB,B440)</f>
        <v/>
      </c>
      <c r="D440" s="14">
        <f>SUMIFS('Investor Exit List'!$Q:$Q,'Investor Exit List'!$AB:$AB,B440)</f>
        <v/>
      </c>
      <c r="E440" s="31">
        <f>LEFT(B440,6)</f>
        <v/>
      </c>
      <c r="F440" s="14">
        <f>IF(SUMIFS($E$119:$E$151,$D$119:$D$151,E440)&lt;&gt;0,E440,0)</f>
        <v/>
      </c>
      <c r="G440" s="59" t="n"/>
      <c r="I440" s="28">
        <f>IF(AND(SUMIFS($D$245:$D$595,$F$245:$F$595,0,$E$245:$E$595,$G440,$C$245:$C$595,"&lt;="&amp;B$2)&lt;1000000,SUMIFS($D$245:$D$595,$F$245:$F$595,0,$E$245:$E$595,$G440,$C$245:$C$595,"&lt;="&amp;I5)&gt;=1000000),SUMIFS($D$245:$D$595,$F$245:$F$595,0,$E$245:$E$595,$G440)*$C$157 ,0)</f>
        <v/>
      </c>
      <c r="K440" s="95">
        <f>IF(AND(SUMIFS($D$245:$D$595,$F$245:$F$595,0,$E$245:$E$595,$G440,$C$245:$C$595,"&lt;="&amp;I$5)&lt;1000000,SUMIFS($D$245:$D$595,$F$245:$F$595,0,$E$245:$E$595,$G440,$C$245:$C$595,"&lt;="&amp;K5)&gt;=1000000),SUMIFS($D$245:$D$595,$F$245:$F$595,0,$E$245:$E$595,$G440)*$C$157 ,0)</f>
        <v/>
      </c>
      <c r="M440" s="95">
        <f>IF(AND(SUMIFS($D$245:$D$595,$F$245:$F$595,0,$E$245:$E$595,$G440,$C$245:$C$595,"&lt;="&amp;K$5)&lt;1000000,SUMIFS($D$245:$D$595,$F$245:$F$595,0,$E$245:$E$595,$G440,$C$245:$C$595,"&lt;="&amp;M5)&gt;=1000000),SUMIFS($D$245:$D$595,$F$245:$F$595,0,$E$245:$E$595,$G440)*$C$157 ,0)</f>
        <v/>
      </c>
      <c r="O440" s="95">
        <f>IF(AND(SUMIFS($D$245:$D$595,$F$245:$F$595,0,$E$245:$E$595,$G440,$C$245:$C$595,"&lt;="&amp;M$5)&lt;1000000,SUMIFS($D$245:$D$595,$F$245:$F$595,0,$E$245:$E$595,$G440,$C$245:$C$595,"&lt;="&amp;O5)&gt;=1000000),SUMIFS($D$245:$D$595,$F$245:$F$595,0,$E$245:$E$595,$G440)*$C$157 ,0)</f>
        <v/>
      </c>
      <c r="Q440" s="95">
        <f>IF(AND(SUMIFS($D$245:$D$595,$F$245:$F$595,0,$E$245:$E$595,$G440,$C$245:$C$595,"&lt;="&amp;O$5)&lt;1000000,SUMIFS($D$245:$D$595,$F$245:$F$595,0,$E$245:$E$595,$G440,$C$245:$C$595,"&lt;="&amp;Q5)&gt;=1000000),SUMIFS($D$245:$D$595,$F$245:$F$595,0,$E$245:$E$595,$G440)*$C$157 ,0)</f>
        <v/>
      </c>
      <c r="S440" s="95">
        <f>IF(AND(SUMIFS($D$245:$D$595,$F$245:$F$595,0,$E$245:$E$595,$G440,$C$245:$C$595,"&lt;="&amp;Q$5)&lt;1000000,SUMIFS($D$245:$D$595,$F$245:$F$595,0,$E$245:$E$595,$G440,$C$245:$C$595,"&lt;="&amp;S5)&gt;=1000000),SUMIFS($D$245:$D$595,$F$245:$F$595,0,$E$245:$E$595,$G440)*$C$157 ,0)</f>
        <v/>
      </c>
      <c r="U440" s="95">
        <f>IF(AND(SUMIFS($D$245:$D$595,$F$245:$F$595,0,$E$245:$E$595,$G440,$C$245:$C$595,"&lt;="&amp;S$5)&lt;1000000,SUMIFS($D$245:$D$595,$F$245:$F$595,0,$E$245:$E$595,$G440,$C$245:$C$595,"&lt;="&amp;U5)&gt;=1000000),SUMIFS($D$245:$D$595,$F$245:$F$595,0,$E$245:$E$595,$G440)*$C$157 ,0)</f>
        <v/>
      </c>
      <c r="W440" s="95">
        <f>IF(AND(SUMIFS($D$245:$D$595,$F$245:$F$595,0,$E$245:$E$595,$G440,$C$245:$C$595,"&lt;="&amp;U$5)&lt;1000000,SUMIFS($D$245:$D$595,$F$245:$F$595,0,$E$245:$E$595,$G440,$C$245:$C$595,"&lt;="&amp;W5)&gt;=1000000),SUMIFS($D$245:$D$595,$F$245:$F$595,0,$E$245:$E$595,$G440)*$C$157 ,0)</f>
        <v/>
      </c>
      <c r="Y440" s="95">
        <f>IF(AND(SUMIFS($D$245:$D$595,$F$245:$F$595,0,$E$245:$E$595,$G440,$C$245:$C$595,"&lt;="&amp;W$5)&lt;1000000,SUMIFS($D$245:$D$595,$F$245:$F$595,0,$E$245:$E$595,$G440,$C$245:$C$595,"&lt;="&amp;Y5)&gt;=1000000),SUMIFS($D$245:$D$595,$F$245:$F$595,0,$E$245:$E$595,$G440)*$C$157 ,0)</f>
        <v/>
      </c>
      <c r="AA440" s="95">
        <f>IF(AND(SUMIFS($D$245:$D$595,$F$245:$F$595,0,$E$245:$E$595,$G440,$C$245:$C$595,"&lt;="&amp;Y$5)&lt;1000000,SUMIFS($D$245:$D$595,$F$245:$F$595,0,$E$245:$E$595,$G440,$C$245:$C$595,"&lt;="&amp;AA5)&gt;=1000000),SUMIFS($D$245:$D$595,$F$245:$F$595,0,$E$245:$E$595,$G440)*$C$157 ,0)</f>
        <v/>
      </c>
      <c r="AC440" s="95">
        <f>IF(AND(SUMIFS($D$245:$D$595,$F$245:$F$595,0,$E$245:$E$595,$G440,$C$245:$C$595,"&lt;="&amp;AA$5)&lt;1000000,SUMIFS($D$245:$D$595,$F$245:$F$595,0,$E$245:$E$595,$G440,$C$245:$C$595,"&lt;="&amp;AC5)&gt;=1000000),SUMIFS($D$245:$D$595,$F$245:$F$595,0,$E$245:$E$595,$G440)*$C$157 ,0)</f>
        <v/>
      </c>
      <c r="AE440" s="95">
        <f>IF(AND(SUMIFS($D$245:$D$595,$F$245:$F$595,0,$E$245:$E$595,$G440,$C$245:$C$595,"&lt;="&amp;AC$5)&lt;1000000,SUMIFS($D$245:$D$595,$F$245:$F$595,0,$E$245:$E$595,$G440,$C$245:$C$595,"&lt;="&amp;AE5)&gt;=1000000),SUMIFS($D$245:$D$595,$F$245:$F$595,0,$E$245:$E$595,$G440)*$C$157 ,0)</f>
        <v/>
      </c>
      <c r="AF440" s="19" t="n"/>
    </row>
    <row r="441">
      <c r="A441" s="20">
        <f>mid(E441, 3, 1)</f>
        <v/>
      </c>
      <c r="B441" s="14" t="inlineStr"/>
      <c r="C441" s="21">
        <f>SUMIFS('Investor Exit List'!$AC:$AC,'Investor Exit List'!$AB:$AB,B441)</f>
        <v/>
      </c>
      <c r="D441" s="14">
        <f>SUMIFS('Investor Exit List'!$Q:$Q,'Investor Exit List'!$AB:$AB,B441)</f>
        <v/>
      </c>
      <c r="E441" s="31">
        <f>LEFT(B441,6)</f>
        <v/>
      </c>
      <c r="F441" s="14">
        <f>IF(SUMIFS($E$119:$E$151,$D$119:$D$151,E441)&lt;&gt;0,E441,0)</f>
        <v/>
      </c>
      <c r="G441" s="59" t="n"/>
      <c r="I441" s="28">
        <f>IF(AND(SUMIFS($D$245:$D$595,$F$245:$F$595,0,$E$245:$E$595,$G441,$C$245:$C$595,"&lt;="&amp;B$2)&lt;1000000,SUMIFS($D$245:$D$595,$F$245:$F$595,0,$E$245:$E$595,$G441,$C$245:$C$595,"&lt;="&amp;I5)&gt;=1000000),SUMIFS($D$245:$D$595,$F$245:$F$595,0,$E$245:$E$595,$G441)*$C$157 ,0)</f>
        <v/>
      </c>
      <c r="K441" s="95">
        <f>IF(AND(SUMIFS($D$245:$D$595,$F$245:$F$595,0,$E$245:$E$595,$G441,$C$245:$C$595,"&lt;="&amp;I$5)&lt;1000000,SUMIFS($D$245:$D$595,$F$245:$F$595,0,$E$245:$E$595,$G441,$C$245:$C$595,"&lt;="&amp;K5)&gt;=1000000),SUMIFS($D$245:$D$595,$F$245:$F$595,0,$E$245:$E$595,$G441)*$C$157 ,0)</f>
        <v/>
      </c>
      <c r="M441" s="95">
        <f>IF(AND(SUMIFS($D$245:$D$595,$F$245:$F$595,0,$E$245:$E$595,$G441,$C$245:$C$595,"&lt;="&amp;K$5)&lt;1000000,SUMIFS($D$245:$D$595,$F$245:$F$595,0,$E$245:$E$595,$G441,$C$245:$C$595,"&lt;="&amp;M5)&gt;=1000000),SUMIFS($D$245:$D$595,$F$245:$F$595,0,$E$245:$E$595,$G441)*$C$157 ,0)</f>
        <v/>
      </c>
      <c r="O441" s="95">
        <f>IF(AND(SUMIFS($D$245:$D$595,$F$245:$F$595,0,$E$245:$E$595,$G441,$C$245:$C$595,"&lt;="&amp;M$5)&lt;1000000,SUMIFS($D$245:$D$595,$F$245:$F$595,0,$E$245:$E$595,$G441,$C$245:$C$595,"&lt;="&amp;O5)&gt;=1000000),SUMIFS($D$245:$D$595,$F$245:$F$595,0,$E$245:$E$595,$G441)*$C$157 ,0)</f>
        <v/>
      </c>
      <c r="Q441" s="95">
        <f>IF(AND(SUMIFS($D$245:$D$595,$F$245:$F$595,0,$E$245:$E$595,$G441,$C$245:$C$595,"&lt;="&amp;O$5)&lt;1000000,SUMIFS($D$245:$D$595,$F$245:$F$595,0,$E$245:$E$595,$G441,$C$245:$C$595,"&lt;="&amp;Q5)&gt;=1000000),SUMIFS($D$245:$D$595,$F$245:$F$595,0,$E$245:$E$595,$G441)*$C$157 ,0)</f>
        <v/>
      </c>
      <c r="S441" s="95">
        <f>IF(AND(SUMIFS($D$245:$D$595,$F$245:$F$595,0,$E$245:$E$595,$G441,$C$245:$C$595,"&lt;="&amp;Q$5)&lt;1000000,SUMIFS($D$245:$D$595,$F$245:$F$595,0,$E$245:$E$595,$G441,$C$245:$C$595,"&lt;="&amp;S5)&gt;=1000000),SUMIFS($D$245:$D$595,$F$245:$F$595,0,$E$245:$E$595,$G441)*$C$157 ,0)</f>
        <v/>
      </c>
      <c r="U441" s="95">
        <f>IF(AND(SUMIFS($D$245:$D$595,$F$245:$F$595,0,$E$245:$E$595,$G441,$C$245:$C$595,"&lt;="&amp;S$5)&lt;1000000,SUMIFS($D$245:$D$595,$F$245:$F$595,0,$E$245:$E$595,$G441,$C$245:$C$595,"&lt;="&amp;U5)&gt;=1000000),SUMIFS($D$245:$D$595,$F$245:$F$595,0,$E$245:$E$595,$G441)*$C$157 ,0)</f>
        <v/>
      </c>
      <c r="W441" s="95">
        <f>IF(AND(SUMIFS($D$245:$D$595,$F$245:$F$595,0,$E$245:$E$595,$G441,$C$245:$C$595,"&lt;="&amp;U$5)&lt;1000000,SUMIFS($D$245:$D$595,$F$245:$F$595,0,$E$245:$E$595,$G441,$C$245:$C$595,"&lt;="&amp;W5)&gt;=1000000),SUMIFS($D$245:$D$595,$F$245:$F$595,0,$E$245:$E$595,$G441)*$C$157 ,0)</f>
        <v/>
      </c>
      <c r="Y441" s="95">
        <f>IF(AND(SUMIFS($D$245:$D$595,$F$245:$F$595,0,$E$245:$E$595,$G441,$C$245:$C$595,"&lt;="&amp;W$5)&lt;1000000,SUMIFS($D$245:$D$595,$F$245:$F$595,0,$E$245:$E$595,$G441,$C$245:$C$595,"&lt;="&amp;Y5)&gt;=1000000),SUMIFS($D$245:$D$595,$F$245:$F$595,0,$E$245:$E$595,$G441)*$C$157 ,0)</f>
        <v/>
      </c>
      <c r="AA441" s="95">
        <f>IF(AND(SUMIFS($D$245:$D$595,$F$245:$F$595,0,$E$245:$E$595,$G441,$C$245:$C$595,"&lt;="&amp;Y$5)&lt;1000000,SUMIFS($D$245:$D$595,$F$245:$F$595,0,$E$245:$E$595,$G441,$C$245:$C$595,"&lt;="&amp;AA5)&gt;=1000000),SUMIFS($D$245:$D$595,$F$245:$F$595,0,$E$245:$E$595,$G441)*$C$157 ,0)</f>
        <v/>
      </c>
      <c r="AC441" s="95">
        <f>IF(AND(SUMIFS($D$245:$D$595,$F$245:$F$595,0,$E$245:$E$595,$G441,$C$245:$C$595,"&lt;="&amp;AA$5)&lt;1000000,SUMIFS($D$245:$D$595,$F$245:$F$595,0,$E$245:$E$595,$G441,$C$245:$C$595,"&lt;="&amp;AC5)&gt;=1000000),SUMIFS($D$245:$D$595,$F$245:$F$595,0,$E$245:$E$595,$G441)*$C$157 ,0)</f>
        <v/>
      </c>
      <c r="AE441" s="95">
        <f>IF(AND(SUMIFS($D$245:$D$595,$F$245:$F$595,0,$E$245:$E$595,$G441,$C$245:$C$595,"&lt;="&amp;AC$5)&lt;1000000,SUMIFS($D$245:$D$595,$F$245:$F$595,0,$E$245:$E$595,$G441,$C$245:$C$595,"&lt;="&amp;AE5)&gt;=1000000),SUMIFS($D$245:$D$595,$F$245:$F$595,0,$E$245:$E$595,$G441)*$C$157 ,0)</f>
        <v/>
      </c>
      <c r="AF441" s="19" t="n"/>
    </row>
    <row r="442">
      <c r="A442" s="20">
        <f>mid(E442, 3, 1)</f>
        <v/>
      </c>
      <c r="B442" s="14" t="inlineStr"/>
      <c r="C442" s="21">
        <f>SUMIFS('Investor Exit List'!$AC:$AC,'Investor Exit List'!$AB:$AB,B442)</f>
        <v/>
      </c>
      <c r="D442" s="14">
        <f>SUMIFS('Investor Exit List'!$Q:$Q,'Investor Exit List'!$AB:$AB,B442)</f>
        <v/>
      </c>
      <c r="E442" s="31">
        <f>LEFT(B442,6)</f>
        <v/>
      </c>
      <c r="F442" s="14">
        <f>IF(SUMIFS($E$119:$E$151,$D$119:$D$151,E442)&lt;&gt;0,E442,0)</f>
        <v/>
      </c>
      <c r="G442" s="59" t="n"/>
      <c r="I442" s="28">
        <f>IF(AND(SUMIFS($D$245:$D$595,$F$245:$F$595,0,$E$245:$E$595,$G442,$C$245:$C$595,"&lt;="&amp;B$2)&lt;1000000,SUMIFS($D$245:$D$595,$F$245:$F$595,0,$E$245:$E$595,$G442,$C$245:$C$595,"&lt;="&amp;I5)&gt;=1000000),SUMIFS($D$245:$D$595,$F$245:$F$595,0,$E$245:$E$595,$G442)*$C$157 ,0)</f>
        <v/>
      </c>
      <c r="K442" s="95">
        <f>IF(AND(SUMIFS($D$245:$D$595,$F$245:$F$595,0,$E$245:$E$595,$G442,$C$245:$C$595,"&lt;="&amp;I$5)&lt;1000000,SUMIFS($D$245:$D$595,$F$245:$F$595,0,$E$245:$E$595,$G442,$C$245:$C$595,"&lt;="&amp;K5)&gt;=1000000),SUMIFS($D$245:$D$595,$F$245:$F$595,0,$E$245:$E$595,$G442)*$C$157 ,0)</f>
        <v/>
      </c>
      <c r="M442" s="95">
        <f>IF(AND(SUMIFS($D$245:$D$595,$F$245:$F$595,0,$E$245:$E$595,$G442,$C$245:$C$595,"&lt;="&amp;K$5)&lt;1000000,SUMIFS($D$245:$D$595,$F$245:$F$595,0,$E$245:$E$595,$G442,$C$245:$C$595,"&lt;="&amp;M5)&gt;=1000000),SUMIFS($D$245:$D$595,$F$245:$F$595,0,$E$245:$E$595,$G442)*$C$157 ,0)</f>
        <v/>
      </c>
      <c r="O442" s="95">
        <f>IF(AND(SUMIFS($D$245:$D$595,$F$245:$F$595,0,$E$245:$E$595,$G442,$C$245:$C$595,"&lt;="&amp;M$5)&lt;1000000,SUMIFS($D$245:$D$595,$F$245:$F$595,0,$E$245:$E$595,$G442,$C$245:$C$595,"&lt;="&amp;O5)&gt;=1000000),SUMIFS($D$245:$D$595,$F$245:$F$595,0,$E$245:$E$595,$G442)*$C$157 ,0)</f>
        <v/>
      </c>
      <c r="Q442" s="95">
        <f>IF(AND(SUMIFS($D$245:$D$595,$F$245:$F$595,0,$E$245:$E$595,$G442,$C$245:$C$595,"&lt;="&amp;O$5)&lt;1000000,SUMIFS($D$245:$D$595,$F$245:$F$595,0,$E$245:$E$595,$G442,$C$245:$C$595,"&lt;="&amp;Q5)&gt;=1000000),SUMIFS($D$245:$D$595,$F$245:$F$595,0,$E$245:$E$595,$G442)*$C$157 ,0)</f>
        <v/>
      </c>
      <c r="S442" s="95">
        <f>IF(AND(SUMIFS($D$245:$D$595,$F$245:$F$595,0,$E$245:$E$595,$G442,$C$245:$C$595,"&lt;="&amp;Q$5)&lt;1000000,SUMIFS($D$245:$D$595,$F$245:$F$595,0,$E$245:$E$595,$G442,$C$245:$C$595,"&lt;="&amp;S5)&gt;=1000000),SUMIFS($D$245:$D$595,$F$245:$F$595,0,$E$245:$E$595,$G442)*$C$157 ,0)</f>
        <v/>
      </c>
      <c r="U442" s="95">
        <f>IF(AND(SUMIFS($D$245:$D$595,$F$245:$F$595,0,$E$245:$E$595,$G442,$C$245:$C$595,"&lt;="&amp;S$5)&lt;1000000,SUMIFS($D$245:$D$595,$F$245:$F$595,0,$E$245:$E$595,$G442,$C$245:$C$595,"&lt;="&amp;U5)&gt;=1000000),SUMIFS($D$245:$D$595,$F$245:$F$595,0,$E$245:$E$595,$G442)*$C$157 ,0)</f>
        <v/>
      </c>
      <c r="W442" s="95">
        <f>IF(AND(SUMIFS($D$245:$D$595,$F$245:$F$595,0,$E$245:$E$595,$G442,$C$245:$C$595,"&lt;="&amp;U$5)&lt;1000000,SUMIFS($D$245:$D$595,$F$245:$F$595,0,$E$245:$E$595,$G442,$C$245:$C$595,"&lt;="&amp;W5)&gt;=1000000),SUMIFS($D$245:$D$595,$F$245:$F$595,0,$E$245:$E$595,$G442)*$C$157 ,0)</f>
        <v/>
      </c>
      <c r="Y442" s="95">
        <f>IF(AND(SUMIFS($D$245:$D$595,$F$245:$F$595,0,$E$245:$E$595,$G442,$C$245:$C$595,"&lt;="&amp;W$5)&lt;1000000,SUMIFS($D$245:$D$595,$F$245:$F$595,0,$E$245:$E$595,$G442,$C$245:$C$595,"&lt;="&amp;Y5)&gt;=1000000),SUMIFS($D$245:$D$595,$F$245:$F$595,0,$E$245:$E$595,$G442)*$C$157 ,0)</f>
        <v/>
      </c>
      <c r="AA442" s="95">
        <f>IF(AND(SUMIFS($D$245:$D$595,$F$245:$F$595,0,$E$245:$E$595,$G442,$C$245:$C$595,"&lt;="&amp;Y$5)&lt;1000000,SUMIFS($D$245:$D$595,$F$245:$F$595,0,$E$245:$E$595,$G442,$C$245:$C$595,"&lt;="&amp;AA5)&gt;=1000000),SUMIFS($D$245:$D$595,$F$245:$F$595,0,$E$245:$E$595,$G442)*$C$157 ,0)</f>
        <v/>
      </c>
      <c r="AC442" s="95">
        <f>IF(AND(SUMIFS($D$245:$D$595,$F$245:$F$595,0,$E$245:$E$595,$G442,$C$245:$C$595,"&lt;="&amp;AA$5)&lt;1000000,SUMIFS($D$245:$D$595,$F$245:$F$595,0,$E$245:$E$595,$G442,$C$245:$C$595,"&lt;="&amp;AC5)&gt;=1000000),SUMIFS($D$245:$D$595,$F$245:$F$595,0,$E$245:$E$595,$G442)*$C$157 ,0)</f>
        <v/>
      </c>
      <c r="AE442" s="95">
        <f>IF(AND(SUMIFS($D$245:$D$595,$F$245:$F$595,0,$E$245:$E$595,$G442,$C$245:$C$595,"&lt;="&amp;AC$5)&lt;1000000,SUMIFS($D$245:$D$595,$F$245:$F$595,0,$E$245:$E$595,$G442,$C$245:$C$595,"&lt;="&amp;AE5)&gt;=1000000),SUMIFS($D$245:$D$595,$F$245:$F$595,0,$E$245:$E$595,$G442)*$C$157 ,0)</f>
        <v/>
      </c>
      <c r="AF442" s="19" t="n"/>
    </row>
    <row r="443">
      <c r="A443" s="20">
        <f>mid(E443, 3, 1)</f>
        <v/>
      </c>
      <c r="B443" s="14" t="inlineStr"/>
      <c r="C443" s="21">
        <f>SUMIFS('Investor Exit List'!$AC:$AC,'Investor Exit List'!$AB:$AB,B443)</f>
        <v/>
      </c>
      <c r="D443" s="14">
        <f>SUMIFS('Investor Exit List'!$Q:$Q,'Investor Exit List'!$AB:$AB,B443)</f>
        <v/>
      </c>
      <c r="E443" s="31">
        <f>LEFT(B443,6)</f>
        <v/>
      </c>
      <c r="F443" s="14">
        <f>IF(SUMIFS($E$119:$E$151,$D$119:$D$151,E443)&lt;&gt;0,E443,0)</f>
        <v/>
      </c>
      <c r="G443" s="59" t="n"/>
      <c r="I443" s="28">
        <f>IF(AND(SUMIFS($D$245:$D$595,$F$245:$F$595,0,$E$245:$E$595,$G443,$C$245:$C$595,"&lt;="&amp;B$2)&lt;1000000,SUMIFS($D$245:$D$595,$F$245:$F$595,0,$E$245:$E$595,$G443,$C$245:$C$595,"&lt;="&amp;I5)&gt;=1000000),SUMIFS($D$245:$D$595,$F$245:$F$595,0,$E$245:$E$595,$G443)*$C$157 ,0)</f>
        <v/>
      </c>
      <c r="K443" s="95">
        <f>IF(AND(SUMIFS($D$245:$D$595,$F$245:$F$595,0,$E$245:$E$595,$G443,$C$245:$C$595,"&lt;="&amp;I$5)&lt;1000000,SUMIFS($D$245:$D$595,$F$245:$F$595,0,$E$245:$E$595,$G443,$C$245:$C$595,"&lt;="&amp;K5)&gt;=1000000),SUMIFS($D$245:$D$595,$F$245:$F$595,0,$E$245:$E$595,$G443)*$C$157 ,0)</f>
        <v/>
      </c>
      <c r="M443" s="95">
        <f>IF(AND(SUMIFS($D$245:$D$595,$F$245:$F$595,0,$E$245:$E$595,$G443,$C$245:$C$595,"&lt;="&amp;K$5)&lt;1000000,SUMIFS($D$245:$D$595,$F$245:$F$595,0,$E$245:$E$595,$G443,$C$245:$C$595,"&lt;="&amp;M5)&gt;=1000000),SUMIFS($D$245:$D$595,$F$245:$F$595,0,$E$245:$E$595,$G443)*$C$157 ,0)</f>
        <v/>
      </c>
      <c r="O443" s="95">
        <f>IF(AND(SUMIFS($D$245:$D$595,$F$245:$F$595,0,$E$245:$E$595,$G443,$C$245:$C$595,"&lt;="&amp;M$5)&lt;1000000,SUMIFS($D$245:$D$595,$F$245:$F$595,0,$E$245:$E$595,$G443,$C$245:$C$595,"&lt;="&amp;O5)&gt;=1000000),SUMIFS($D$245:$D$595,$F$245:$F$595,0,$E$245:$E$595,$G443)*$C$157 ,0)</f>
        <v/>
      </c>
      <c r="Q443" s="95">
        <f>IF(AND(SUMIFS($D$245:$D$595,$F$245:$F$595,0,$E$245:$E$595,$G443,$C$245:$C$595,"&lt;="&amp;O$5)&lt;1000000,SUMIFS($D$245:$D$595,$F$245:$F$595,0,$E$245:$E$595,$G443,$C$245:$C$595,"&lt;="&amp;Q5)&gt;=1000000),SUMIFS($D$245:$D$595,$F$245:$F$595,0,$E$245:$E$595,$G443)*$C$157 ,0)</f>
        <v/>
      </c>
      <c r="S443" s="95">
        <f>IF(AND(SUMIFS($D$245:$D$595,$F$245:$F$595,0,$E$245:$E$595,$G443,$C$245:$C$595,"&lt;="&amp;Q$5)&lt;1000000,SUMIFS($D$245:$D$595,$F$245:$F$595,0,$E$245:$E$595,$G443,$C$245:$C$595,"&lt;="&amp;S5)&gt;=1000000),SUMIFS($D$245:$D$595,$F$245:$F$595,0,$E$245:$E$595,$G443)*$C$157 ,0)</f>
        <v/>
      </c>
      <c r="U443" s="95">
        <f>IF(AND(SUMIFS($D$245:$D$595,$F$245:$F$595,0,$E$245:$E$595,$G443,$C$245:$C$595,"&lt;="&amp;S$5)&lt;1000000,SUMIFS($D$245:$D$595,$F$245:$F$595,0,$E$245:$E$595,$G443,$C$245:$C$595,"&lt;="&amp;U5)&gt;=1000000),SUMIFS($D$245:$D$595,$F$245:$F$595,0,$E$245:$E$595,$G443)*$C$157 ,0)</f>
        <v/>
      </c>
      <c r="W443" s="95">
        <f>IF(AND(SUMIFS($D$245:$D$595,$F$245:$F$595,0,$E$245:$E$595,$G443,$C$245:$C$595,"&lt;="&amp;U$5)&lt;1000000,SUMIFS($D$245:$D$595,$F$245:$F$595,0,$E$245:$E$595,$G443,$C$245:$C$595,"&lt;="&amp;W5)&gt;=1000000),SUMIFS($D$245:$D$595,$F$245:$F$595,0,$E$245:$E$595,$G443)*$C$157 ,0)</f>
        <v/>
      </c>
      <c r="Y443" s="95">
        <f>IF(AND(SUMIFS($D$245:$D$595,$F$245:$F$595,0,$E$245:$E$595,$G443,$C$245:$C$595,"&lt;="&amp;W$5)&lt;1000000,SUMIFS($D$245:$D$595,$F$245:$F$595,0,$E$245:$E$595,$G443,$C$245:$C$595,"&lt;="&amp;Y5)&gt;=1000000),SUMIFS($D$245:$D$595,$F$245:$F$595,0,$E$245:$E$595,$G443)*$C$157 ,0)</f>
        <v/>
      </c>
      <c r="AA443" s="95">
        <f>IF(AND(SUMIFS($D$245:$D$595,$F$245:$F$595,0,$E$245:$E$595,$G443,$C$245:$C$595,"&lt;="&amp;Y$5)&lt;1000000,SUMIFS($D$245:$D$595,$F$245:$F$595,0,$E$245:$E$595,$G443,$C$245:$C$595,"&lt;="&amp;AA5)&gt;=1000000),SUMIFS($D$245:$D$595,$F$245:$F$595,0,$E$245:$E$595,$G443)*$C$157 ,0)</f>
        <v/>
      </c>
      <c r="AC443" s="95">
        <f>IF(AND(SUMIFS($D$245:$D$595,$F$245:$F$595,0,$E$245:$E$595,$G443,$C$245:$C$595,"&lt;="&amp;AA$5)&lt;1000000,SUMIFS($D$245:$D$595,$F$245:$F$595,0,$E$245:$E$595,$G443,$C$245:$C$595,"&lt;="&amp;AC5)&gt;=1000000),SUMIFS($D$245:$D$595,$F$245:$F$595,0,$E$245:$E$595,$G443)*$C$157 ,0)</f>
        <v/>
      </c>
      <c r="AE443" s="95">
        <f>IF(AND(SUMIFS($D$245:$D$595,$F$245:$F$595,0,$E$245:$E$595,$G443,$C$245:$C$595,"&lt;="&amp;AC$5)&lt;1000000,SUMIFS($D$245:$D$595,$F$245:$F$595,0,$E$245:$E$595,$G443,$C$245:$C$595,"&lt;="&amp;AE5)&gt;=1000000),SUMIFS($D$245:$D$595,$F$245:$F$595,0,$E$245:$E$595,$G443)*$C$157 ,0)</f>
        <v/>
      </c>
      <c r="AF443" s="19" t="n"/>
    </row>
    <row r="444">
      <c r="A444" s="20">
        <f>mid(E444, 3, 1)</f>
        <v/>
      </c>
      <c r="B444" s="14" t="inlineStr"/>
      <c r="C444" s="21">
        <f>SUMIFS('Investor Exit List'!$AC:$AC,'Investor Exit List'!$AB:$AB,B444)</f>
        <v/>
      </c>
      <c r="D444" s="14">
        <f>SUMIFS('Investor Exit List'!$Q:$Q,'Investor Exit List'!$AB:$AB,B444)</f>
        <v/>
      </c>
      <c r="E444" s="31">
        <f>LEFT(B444,6)</f>
        <v/>
      </c>
      <c r="F444" s="14">
        <f>IF(SUMIFS($E$119:$E$151,$D$119:$D$151,E444)&lt;&gt;0,E444,0)</f>
        <v/>
      </c>
      <c r="G444" s="59" t="n"/>
      <c r="I444" s="28">
        <f>IF(AND(SUMIFS($D$245:$D$595,$F$245:$F$595,0,$E$245:$E$595,$G444,$C$245:$C$595,"&lt;="&amp;B$2)&lt;1000000,SUMIFS($D$245:$D$595,$F$245:$F$595,0,$E$245:$E$595,$G444,$C$245:$C$595,"&lt;="&amp;I5)&gt;=1000000),SUMIFS($D$245:$D$595,$F$245:$F$595,0,$E$245:$E$595,$G444)*$C$157 ,0)</f>
        <v/>
      </c>
      <c r="K444" s="95">
        <f>IF(AND(SUMIFS($D$245:$D$595,$F$245:$F$595,0,$E$245:$E$595,$G444,$C$245:$C$595,"&lt;="&amp;I$5)&lt;1000000,SUMIFS($D$245:$D$595,$F$245:$F$595,0,$E$245:$E$595,$G444,$C$245:$C$595,"&lt;="&amp;K5)&gt;=1000000),SUMIFS($D$245:$D$595,$F$245:$F$595,0,$E$245:$E$595,$G444)*$C$157 ,0)</f>
        <v/>
      </c>
      <c r="M444" s="95">
        <f>IF(AND(SUMIFS($D$245:$D$595,$F$245:$F$595,0,$E$245:$E$595,$G444,$C$245:$C$595,"&lt;="&amp;K$5)&lt;1000000,SUMIFS($D$245:$D$595,$F$245:$F$595,0,$E$245:$E$595,$G444,$C$245:$C$595,"&lt;="&amp;M5)&gt;=1000000),SUMIFS($D$245:$D$595,$F$245:$F$595,0,$E$245:$E$595,$G444)*$C$157 ,0)</f>
        <v/>
      </c>
      <c r="O444" s="95">
        <f>IF(AND(SUMIFS($D$245:$D$595,$F$245:$F$595,0,$E$245:$E$595,$G444,$C$245:$C$595,"&lt;="&amp;M$5)&lt;1000000,SUMIFS($D$245:$D$595,$F$245:$F$595,0,$E$245:$E$595,$G444,$C$245:$C$595,"&lt;="&amp;O5)&gt;=1000000),SUMIFS($D$245:$D$595,$F$245:$F$595,0,$E$245:$E$595,$G444)*$C$157 ,0)</f>
        <v/>
      </c>
      <c r="Q444" s="95">
        <f>IF(AND(SUMIFS($D$245:$D$595,$F$245:$F$595,0,$E$245:$E$595,$G444,$C$245:$C$595,"&lt;="&amp;O$5)&lt;1000000,SUMIFS($D$245:$D$595,$F$245:$F$595,0,$E$245:$E$595,$G444,$C$245:$C$595,"&lt;="&amp;Q5)&gt;=1000000),SUMIFS($D$245:$D$595,$F$245:$F$595,0,$E$245:$E$595,$G444)*$C$157 ,0)</f>
        <v/>
      </c>
      <c r="S444" s="95">
        <f>IF(AND(SUMIFS($D$245:$D$595,$F$245:$F$595,0,$E$245:$E$595,$G444,$C$245:$C$595,"&lt;="&amp;Q$5)&lt;1000000,SUMIFS($D$245:$D$595,$F$245:$F$595,0,$E$245:$E$595,$G444,$C$245:$C$595,"&lt;="&amp;S5)&gt;=1000000),SUMIFS($D$245:$D$595,$F$245:$F$595,0,$E$245:$E$595,$G444)*$C$157 ,0)</f>
        <v/>
      </c>
      <c r="U444" s="95">
        <f>IF(AND(SUMIFS($D$245:$D$595,$F$245:$F$595,0,$E$245:$E$595,$G444,$C$245:$C$595,"&lt;="&amp;S$5)&lt;1000000,SUMIFS($D$245:$D$595,$F$245:$F$595,0,$E$245:$E$595,$G444,$C$245:$C$595,"&lt;="&amp;U5)&gt;=1000000),SUMIFS($D$245:$D$595,$F$245:$F$595,0,$E$245:$E$595,$G444)*$C$157 ,0)</f>
        <v/>
      </c>
      <c r="W444" s="95">
        <f>IF(AND(SUMIFS($D$245:$D$595,$F$245:$F$595,0,$E$245:$E$595,$G444,$C$245:$C$595,"&lt;="&amp;U$5)&lt;1000000,SUMIFS($D$245:$D$595,$F$245:$F$595,0,$E$245:$E$595,$G444,$C$245:$C$595,"&lt;="&amp;W5)&gt;=1000000),SUMIFS($D$245:$D$595,$F$245:$F$595,0,$E$245:$E$595,$G444)*$C$157 ,0)</f>
        <v/>
      </c>
      <c r="Y444" s="95">
        <f>IF(AND(SUMIFS($D$245:$D$595,$F$245:$F$595,0,$E$245:$E$595,$G444,$C$245:$C$595,"&lt;="&amp;W$5)&lt;1000000,SUMIFS($D$245:$D$595,$F$245:$F$595,0,$E$245:$E$595,$G444,$C$245:$C$595,"&lt;="&amp;Y5)&gt;=1000000),SUMIFS($D$245:$D$595,$F$245:$F$595,0,$E$245:$E$595,$G444)*$C$157 ,0)</f>
        <v/>
      </c>
      <c r="AA444" s="95">
        <f>IF(AND(SUMIFS($D$245:$D$595,$F$245:$F$595,0,$E$245:$E$595,$G444,$C$245:$C$595,"&lt;="&amp;Y$5)&lt;1000000,SUMIFS($D$245:$D$595,$F$245:$F$595,0,$E$245:$E$595,$G444,$C$245:$C$595,"&lt;="&amp;AA5)&gt;=1000000),SUMIFS($D$245:$D$595,$F$245:$F$595,0,$E$245:$E$595,$G444)*$C$157 ,0)</f>
        <v/>
      </c>
      <c r="AC444" s="95">
        <f>IF(AND(SUMIFS($D$245:$D$595,$F$245:$F$595,0,$E$245:$E$595,$G444,$C$245:$C$595,"&lt;="&amp;AA$5)&lt;1000000,SUMIFS($D$245:$D$595,$F$245:$F$595,0,$E$245:$E$595,$G444,$C$245:$C$595,"&lt;="&amp;AC5)&gt;=1000000),SUMIFS($D$245:$D$595,$F$245:$F$595,0,$E$245:$E$595,$G444)*$C$157 ,0)</f>
        <v/>
      </c>
      <c r="AE444" s="95">
        <f>IF(AND(SUMIFS($D$245:$D$595,$F$245:$F$595,0,$E$245:$E$595,$G444,$C$245:$C$595,"&lt;="&amp;AC$5)&lt;1000000,SUMIFS($D$245:$D$595,$F$245:$F$595,0,$E$245:$E$595,$G444,$C$245:$C$595,"&lt;="&amp;AE5)&gt;=1000000),SUMIFS($D$245:$D$595,$F$245:$F$595,0,$E$245:$E$595,$G444)*$C$157 ,0)</f>
        <v/>
      </c>
      <c r="AF444" s="19" t="n"/>
    </row>
    <row r="445">
      <c r="A445" s="20">
        <f>mid(E445, 3, 1)</f>
        <v/>
      </c>
      <c r="B445" s="14" t="inlineStr"/>
      <c r="C445" s="21">
        <f>SUMIFS('Investor Exit List'!$AC:$AC,'Investor Exit List'!$AB:$AB,B445)</f>
        <v/>
      </c>
      <c r="D445" s="14">
        <f>SUMIFS('Investor Exit List'!$Q:$Q,'Investor Exit List'!$AB:$AB,B445)</f>
        <v/>
      </c>
      <c r="E445" s="31">
        <f>LEFT(B445,6)</f>
        <v/>
      </c>
      <c r="F445" s="14">
        <f>IF(SUMIFS($E$119:$E$151,$D$119:$D$151,E445)&lt;&gt;0,E445,0)</f>
        <v/>
      </c>
      <c r="G445" s="59" t="n"/>
      <c r="I445" s="28">
        <f>IF(AND(SUMIFS($D$245:$D$595,$F$245:$F$595,0,$E$245:$E$595,$G445,$C$245:$C$595,"&lt;="&amp;B$2)&lt;1000000,SUMIFS($D$245:$D$595,$F$245:$F$595,0,$E$245:$E$595,$G445,$C$245:$C$595,"&lt;="&amp;I5)&gt;=1000000),SUMIFS($D$245:$D$595,$F$245:$F$595,0,$E$245:$E$595,$G445)*$C$157 ,0)</f>
        <v/>
      </c>
      <c r="K445" s="95">
        <f>IF(AND(SUMIFS($D$245:$D$595,$F$245:$F$595,0,$E$245:$E$595,$G445,$C$245:$C$595,"&lt;="&amp;I$5)&lt;1000000,SUMIFS($D$245:$D$595,$F$245:$F$595,0,$E$245:$E$595,$G445,$C$245:$C$595,"&lt;="&amp;K5)&gt;=1000000),SUMIFS($D$245:$D$595,$F$245:$F$595,0,$E$245:$E$595,$G445)*$C$157 ,0)</f>
        <v/>
      </c>
      <c r="M445" s="95">
        <f>IF(AND(SUMIFS($D$245:$D$595,$F$245:$F$595,0,$E$245:$E$595,$G445,$C$245:$C$595,"&lt;="&amp;K$5)&lt;1000000,SUMIFS($D$245:$D$595,$F$245:$F$595,0,$E$245:$E$595,$G445,$C$245:$C$595,"&lt;="&amp;M5)&gt;=1000000),SUMIFS($D$245:$D$595,$F$245:$F$595,0,$E$245:$E$595,$G445)*$C$157 ,0)</f>
        <v/>
      </c>
      <c r="O445" s="95">
        <f>IF(AND(SUMIFS($D$245:$D$595,$F$245:$F$595,0,$E$245:$E$595,$G445,$C$245:$C$595,"&lt;="&amp;M$5)&lt;1000000,SUMIFS($D$245:$D$595,$F$245:$F$595,0,$E$245:$E$595,$G445,$C$245:$C$595,"&lt;="&amp;O5)&gt;=1000000),SUMIFS($D$245:$D$595,$F$245:$F$595,0,$E$245:$E$595,$G445)*$C$157 ,0)</f>
        <v/>
      </c>
      <c r="Q445" s="95">
        <f>IF(AND(SUMIFS($D$245:$D$595,$F$245:$F$595,0,$E$245:$E$595,$G445,$C$245:$C$595,"&lt;="&amp;O$5)&lt;1000000,SUMIFS($D$245:$D$595,$F$245:$F$595,0,$E$245:$E$595,$G445,$C$245:$C$595,"&lt;="&amp;Q5)&gt;=1000000),SUMIFS($D$245:$D$595,$F$245:$F$595,0,$E$245:$E$595,$G445)*$C$157 ,0)</f>
        <v/>
      </c>
      <c r="S445" s="95">
        <f>IF(AND(SUMIFS($D$245:$D$595,$F$245:$F$595,0,$E$245:$E$595,$G445,$C$245:$C$595,"&lt;="&amp;Q$5)&lt;1000000,SUMIFS($D$245:$D$595,$F$245:$F$595,0,$E$245:$E$595,$G445,$C$245:$C$595,"&lt;="&amp;S5)&gt;=1000000),SUMIFS($D$245:$D$595,$F$245:$F$595,0,$E$245:$E$595,$G445)*$C$157 ,0)</f>
        <v/>
      </c>
      <c r="U445" s="95">
        <f>IF(AND(SUMIFS($D$245:$D$595,$F$245:$F$595,0,$E$245:$E$595,$G445,$C$245:$C$595,"&lt;="&amp;S$5)&lt;1000000,SUMIFS($D$245:$D$595,$F$245:$F$595,0,$E$245:$E$595,$G445,$C$245:$C$595,"&lt;="&amp;U5)&gt;=1000000),SUMIFS($D$245:$D$595,$F$245:$F$595,0,$E$245:$E$595,$G445)*$C$157 ,0)</f>
        <v/>
      </c>
      <c r="W445" s="95">
        <f>IF(AND(SUMIFS($D$245:$D$595,$F$245:$F$595,0,$E$245:$E$595,$G445,$C$245:$C$595,"&lt;="&amp;U$5)&lt;1000000,SUMIFS($D$245:$D$595,$F$245:$F$595,0,$E$245:$E$595,$G445,$C$245:$C$595,"&lt;="&amp;W5)&gt;=1000000),SUMIFS($D$245:$D$595,$F$245:$F$595,0,$E$245:$E$595,$G445)*$C$157 ,0)</f>
        <v/>
      </c>
      <c r="Y445" s="95">
        <f>IF(AND(SUMIFS($D$245:$D$595,$F$245:$F$595,0,$E$245:$E$595,$G445,$C$245:$C$595,"&lt;="&amp;W$5)&lt;1000000,SUMIFS($D$245:$D$595,$F$245:$F$595,0,$E$245:$E$595,$G445,$C$245:$C$595,"&lt;="&amp;Y5)&gt;=1000000),SUMIFS($D$245:$D$595,$F$245:$F$595,0,$E$245:$E$595,$G445)*$C$157 ,0)</f>
        <v/>
      </c>
      <c r="AA445" s="95">
        <f>IF(AND(SUMIFS($D$245:$D$595,$F$245:$F$595,0,$E$245:$E$595,$G445,$C$245:$C$595,"&lt;="&amp;Y$5)&lt;1000000,SUMIFS($D$245:$D$595,$F$245:$F$595,0,$E$245:$E$595,$G445,$C$245:$C$595,"&lt;="&amp;AA5)&gt;=1000000),SUMIFS($D$245:$D$595,$F$245:$F$595,0,$E$245:$E$595,$G445)*$C$157 ,0)</f>
        <v/>
      </c>
      <c r="AC445" s="95">
        <f>IF(AND(SUMIFS($D$245:$D$595,$F$245:$F$595,0,$E$245:$E$595,$G445,$C$245:$C$595,"&lt;="&amp;AA$5)&lt;1000000,SUMIFS($D$245:$D$595,$F$245:$F$595,0,$E$245:$E$595,$G445,$C$245:$C$595,"&lt;="&amp;AC5)&gt;=1000000),SUMIFS($D$245:$D$595,$F$245:$F$595,0,$E$245:$E$595,$G445)*$C$157 ,0)</f>
        <v/>
      </c>
      <c r="AE445" s="95">
        <f>IF(AND(SUMIFS($D$245:$D$595,$F$245:$F$595,0,$E$245:$E$595,$G445,$C$245:$C$595,"&lt;="&amp;AC$5)&lt;1000000,SUMIFS($D$245:$D$595,$F$245:$F$595,0,$E$245:$E$595,$G445,$C$245:$C$595,"&lt;="&amp;AE5)&gt;=1000000),SUMIFS($D$245:$D$595,$F$245:$F$595,0,$E$245:$E$595,$G445)*$C$157 ,0)</f>
        <v/>
      </c>
      <c r="AF445" s="19" t="n"/>
    </row>
    <row r="446">
      <c r="A446" s="20">
        <f>mid(E446, 3, 1)</f>
        <v/>
      </c>
      <c r="B446" s="14" t="inlineStr"/>
      <c r="C446" s="21">
        <f>SUMIFS('Investor Exit List'!$AC:$AC,'Investor Exit List'!$AB:$AB,B446)</f>
        <v/>
      </c>
      <c r="D446" s="14">
        <f>SUMIFS('Investor Exit List'!$Q:$Q,'Investor Exit List'!$AB:$AB,B446)</f>
        <v/>
      </c>
      <c r="E446" s="31">
        <f>LEFT(B446,6)</f>
        <v/>
      </c>
      <c r="F446" s="14">
        <f>IF(SUMIFS($E$119:$E$151,$D$119:$D$151,E446)&lt;&gt;0,E446,0)</f>
        <v/>
      </c>
      <c r="G446" s="59" t="n"/>
      <c r="I446" s="28">
        <f>IF(AND(SUMIFS($D$245:$D$595,$F$245:$F$595,0,$E$245:$E$595,$G446,$C$245:$C$595,"&lt;="&amp;B$2)&lt;1000000,SUMIFS($D$245:$D$595,$F$245:$F$595,0,$E$245:$E$595,$G446,$C$245:$C$595,"&lt;="&amp;I5)&gt;=1000000),SUMIFS($D$245:$D$595,$F$245:$F$595,0,$E$245:$E$595,$G446)*$C$157 ,0)</f>
        <v/>
      </c>
      <c r="K446" s="95">
        <f>IF(AND(SUMIFS($D$245:$D$595,$F$245:$F$595,0,$E$245:$E$595,$G446,$C$245:$C$595,"&lt;="&amp;I$5)&lt;1000000,SUMIFS($D$245:$D$595,$F$245:$F$595,0,$E$245:$E$595,$G446,$C$245:$C$595,"&lt;="&amp;K5)&gt;=1000000),SUMIFS($D$245:$D$595,$F$245:$F$595,0,$E$245:$E$595,$G446)*$C$157 ,0)</f>
        <v/>
      </c>
      <c r="M446" s="95">
        <f>IF(AND(SUMIFS($D$245:$D$595,$F$245:$F$595,0,$E$245:$E$595,$G446,$C$245:$C$595,"&lt;="&amp;K$5)&lt;1000000,SUMIFS($D$245:$D$595,$F$245:$F$595,0,$E$245:$E$595,$G446,$C$245:$C$595,"&lt;="&amp;M5)&gt;=1000000),SUMIFS($D$245:$D$595,$F$245:$F$595,0,$E$245:$E$595,$G446)*$C$157 ,0)</f>
        <v/>
      </c>
      <c r="O446" s="95">
        <f>IF(AND(SUMIFS($D$245:$D$595,$F$245:$F$595,0,$E$245:$E$595,$G446,$C$245:$C$595,"&lt;="&amp;M$5)&lt;1000000,SUMIFS($D$245:$D$595,$F$245:$F$595,0,$E$245:$E$595,$G446,$C$245:$C$595,"&lt;="&amp;O5)&gt;=1000000),SUMIFS($D$245:$D$595,$F$245:$F$595,0,$E$245:$E$595,$G446)*$C$157 ,0)</f>
        <v/>
      </c>
      <c r="Q446" s="95">
        <f>IF(AND(SUMIFS($D$245:$D$595,$F$245:$F$595,0,$E$245:$E$595,$G446,$C$245:$C$595,"&lt;="&amp;O$5)&lt;1000000,SUMIFS($D$245:$D$595,$F$245:$F$595,0,$E$245:$E$595,$G446,$C$245:$C$595,"&lt;="&amp;Q5)&gt;=1000000),SUMIFS($D$245:$D$595,$F$245:$F$595,0,$E$245:$E$595,$G446)*$C$157 ,0)</f>
        <v/>
      </c>
      <c r="S446" s="95">
        <f>IF(AND(SUMIFS($D$245:$D$595,$F$245:$F$595,0,$E$245:$E$595,$G446,$C$245:$C$595,"&lt;="&amp;Q$5)&lt;1000000,SUMIFS($D$245:$D$595,$F$245:$F$595,0,$E$245:$E$595,$G446,$C$245:$C$595,"&lt;="&amp;S5)&gt;=1000000),SUMIFS($D$245:$D$595,$F$245:$F$595,0,$E$245:$E$595,$G446)*$C$157 ,0)</f>
        <v/>
      </c>
      <c r="U446" s="95">
        <f>IF(AND(SUMIFS($D$245:$D$595,$F$245:$F$595,0,$E$245:$E$595,$G446,$C$245:$C$595,"&lt;="&amp;S$5)&lt;1000000,SUMIFS($D$245:$D$595,$F$245:$F$595,0,$E$245:$E$595,$G446,$C$245:$C$595,"&lt;="&amp;U5)&gt;=1000000),SUMIFS($D$245:$D$595,$F$245:$F$595,0,$E$245:$E$595,$G446)*$C$157 ,0)</f>
        <v/>
      </c>
      <c r="W446" s="95">
        <f>IF(AND(SUMIFS($D$245:$D$595,$F$245:$F$595,0,$E$245:$E$595,$G446,$C$245:$C$595,"&lt;="&amp;U$5)&lt;1000000,SUMIFS($D$245:$D$595,$F$245:$F$595,0,$E$245:$E$595,$G446,$C$245:$C$595,"&lt;="&amp;W5)&gt;=1000000),SUMIFS($D$245:$D$595,$F$245:$F$595,0,$E$245:$E$595,$G446)*$C$157 ,0)</f>
        <v/>
      </c>
      <c r="Y446" s="95">
        <f>IF(AND(SUMIFS($D$245:$D$595,$F$245:$F$595,0,$E$245:$E$595,$G446,$C$245:$C$595,"&lt;="&amp;W$5)&lt;1000000,SUMIFS($D$245:$D$595,$F$245:$F$595,0,$E$245:$E$595,$G446,$C$245:$C$595,"&lt;="&amp;Y5)&gt;=1000000),SUMIFS($D$245:$D$595,$F$245:$F$595,0,$E$245:$E$595,$G446)*$C$157 ,0)</f>
        <v/>
      </c>
      <c r="AA446" s="95">
        <f>IF(AND(SUMIFS($D$245:$D$595,$F$245:$F$595,0,$E$245:$E$595,$G446,$C$245:$C$595,"&lt;="&amp;Y$5)&lt;1000000,SUMIFS($D$245:$D$595,$F$245:$F$595,0,$E$245:$E$595,$G446,$C$245:$C$595,"&lt;="&amp;AA5)&gt;=1000000),SUMIFS($D$245:$D$595,$F$245:$F$595,0,$E$245:$E$595,$G446)*$C$157 ,0)</f>
        <v/>
      </c>
      <c r="AC446" s="95">
        <f>IF(AND(SUMIFS($D$245:$D$595,$F$245:$F$595,0,$E$245:$E$595,$G446,$C$245:$C$595,"&lt;="&amp;AA$5)&lt;1000000,SUMIFS($D$245:$D$595,$F$245:$F$595,0,$E$245:$E$595,$G446,$C$245:$C$595,"&lt;="&amp;AC5)&gt;=1000000),SUMIFS($D$245:$D$595,$F$245:$F$595,0,$E$245:$E$595,$G446)*$C$157 ,0)</f>
        <v/>
      </c>
      <c r="AE446" s="95">
        <f>IF(AND(SUMIFS($D$245:$D$595,$F$245:$F$595,0,$E$245:$E$595,$G446,$C$245:$C$595,"&lt;="&amp;AC$5)&lt;1000000,SUMIFS($D$245:$D$595,$F$245:$F$595,0,$E$245:$E$595,$G446,$C$245:$C$595,"&lt;="&amp;AE5)&gt;=1000000),SUMIFS($D$245:$D$595,$F$245:$F$595,0,$E$245:$E$595,$G446)*$C$157 ,0)</f>
        <v/>
      </c>
      <c r="AF446" s="19" t="n"/>
    </row>
    <row r="447">
      <c r="A447" s="20">
        <f>mid(E447, 3, 1)</f>
        <v/>
      </c>
      <c r="B447" s="14" t="inlineStr"/>
      <c r="C447" s="21">
        <f>SUMIFS('Investor Exit List'!$AC:$AC,'Investor Exit List'!$AB:$AB,B447)</f>
        <v/>
      </c>
      <c r="D447" s="14">
        <f>SUMIFS('Investor Exit List'!$Q:$Q,'Investor Exit List'!$AB:$AB,B447)</f>
        <v/>
      </c>
      <c r="E447" s="31">
        <f>LEFT(B447,6)</f>
        <v/>
      </c>
      <c r="F447" s="14">
        <f>IF(SUMIFS($E$119:$E$151,$D$119:$D$151,E447)&lt;&gt;0,E447,0)</f>
        <v/>
      </c>
      <c r="G447" s="59" t="n"/>
      <c r="I447" s="28">
        <f>IF(AND(SUMIFS($D$245:$D$595,$F$245:$F$595,0,$E$245:$E$595,$G447,$C$245:$C$595,"&lt;="&amp;B$2)&lt;1000000,SUMIFS($D$245:$D$595,$F$245:$F$595,0,$E$245:$E$595,$G447,$C$245:$C$595,"&lt;="&amp;I5)&gt;=1000000),SUMIFS($D$245:$D$595,$F$245:$F$595,0,$E$245:$E$595,$G447)*$C$157 ,0)</f>
        <v/>
      </c>
      <c r="K447" s="95">
        <f>IF(AND(SUMIFS($D$245:$D$595,$F$245:$F$595,0,$E$245:$E$595,$G447,$C$245:$C$595,"&lt;="&amp;I$5)&lt;1000000,SUMIFS($D$245:$D$595,$F$245:$F$595,0,$E$245:$E$595,$G447,$C$245:$C$595,"&lt;="&amp;K5)&gt;=1000000),SUMIFS($D$245:$D$595,$F$245:$F$595,0,$E$245:$E$595,$G447)*$C$157 ,0)</f>
        <v/>
      </c>
      <c r="M447" s="95">
        <f>IF(AND(SUMIFS($D$245:$D$595,$F$245:$F$595,0,$E$245:$E$595,$G447,$C$245:$C$595,"&lt;="&amp;K$5)&lt;1000000,SUMIFS($D$245:$D$595,$F$245:$F$595,0,$E$245:$E$595,$G447,$C$245:$C$595,"&lt;="&amp;M5)&gt;=1000000),SUMIFS($D$245:$D$595,$F$245:$F$595,0,$E$245:$E$595,$G447)*$C$157 ,0)</f>
        <v/>
      </c>
      <c r="O447" s="95">
        <f>IF(AND(SUMIFS($D$245:$D$595,$F$245:$F$595,0,$E$245:$E$595,$G447,$C$245:$C$595,"&lt;="&amp;M$5)&lt;1000000,SUMIFS($D$245:$D$595,$F$245:$F$595,0,$E$245:$E$595,$G447,$C$245:$C$595,"&lt;="&amp;O5)&gt;=1000000),SUMIFS($D$245:$D$595,$F$245:$F$595,0,$E$245:$E$595,$G447)*$C$157 ,0)</f>
        <v/>
      </c>
      <c r="Q447" s="95">
        <f>IF(AND(SUMIFS($D$245:$D$595,$F$245:$F$595,0,$E$245:$E$595,$G447,$C$245:$C$595,"&lt;="&amp;O$5)&lt;1000000,SUMIFS($D$245:$D$595,$F$245:$F$595,0,$E$245:$E$595,$G447,$C$245:$C$595,"&lt;="&amp;Q5)&gt;=1000000),SUMIFS($D$245:$D$595,$F$245:$F$595,0,$E$245:$E$595,$G447)*$C$157 ,0)</f>
        <v/>
      </c>
      <c r="S447" s="95">
        <f>IF(AND(SUMIFS($D$245:$D$595,$F$245:$F$595,0,$E$245:$E$595,$G447,$C$245:$C$595,"&lt;="&amp;Q$5)&lt;1000000,SUMIFS($D$245:$D$595,$F$245:$F$595,0,$E$245:$E$595,$G447,$C$245:$C$595,"&lt;="&amp;S5)&gt;=1000000),SUMIFS($D$245:$D$595,$F$245:$F$595,0,$E$245:$E$595,$G447)*$C$157 ,0)</f>
        <v/>
      </c>
      <c r="U447" s="95">
        <f>IF(AND(SUMIFS($D$245:$D$595,$F$245:$F$595,0,$E$245:$E$595,$G447,$C$245:$C$595,"&lt;="&amp;S$5)&lt;1000000,SUMIFS($D$245:$D$595,$F$245:$F$595,0,$E$245:$E$595,$G447,$C$245:$C$595,"&lt;="&amp;U5)&gt;=1000000),SUMIFS($D$245:$D$595,$F$245:$F$595,0,$E$245:$E$595,$G447)*$C$157 ,0)</f>
        <v/>
      </c>
      <c r="W447" s="95">
        <f>IF(AND(SUMIFS($D$245:$D$595,$F$245:$F$595,0,$E$245:$E$595,$G447,$C$245:$C$595,"&lt;="&amp;U$5)&lt;1000000,SUMIFS($D$245:$D$595,$F$245:$F$595,0,$E$245:$E$595,$G447,$C$245:$C$595,"&lt;="&amp;W5)&gt;=1000000),SUMIFS($D$245:$D$595,$F$245:$F$595,0,$E$245:$E$595,$G447)*$C$157 ,0)</f>
        <v/>
      </c>
      <c r="Y447" s="95">
        <f>IF(AND(SUMIFS($D$245:$D$595,$F$245:$F$595,0,$E$245:$E$595,$G447,$C$245:$C$595,"&lt;="&amp;W$5)&lt;1000000,SUMIFS($D$245:$D$595,$F$245:$F$595,0,$E$245:$E$595,$G447,$C$245:$C$595,"&lt;="&amp;Y5)&gt;=1000000),SUMIFS($D$245:$D$595,$F$245:$F$595,0,$E$245:$E$595,$G447)*$C$157 ,0)</f>
        <v/>
      </c>
      <c r="AA447" s="95">
        <f>IF(AND(SUMIFS($D$245:$D$595,$F$245:$F$595,0,$E$245:$E$595,$G447,$C$245:$C$595,"&lt;="&amp;Y$5)&lt;1000000,SUMIFS($D$245:$D$595,$F$245:$F$595,0,$E$245:$E$595,$G447,$C$245:$C$595,"&lt;="&amp;AA5)&gt;=1000000),SUMIFS($D$245:$D$595,$F$245:$F$595,0,$E$245:$E$595,$G447)*$C$157 ,0)</f>
        <v/>
      </c>
      <c r="AC447" s="95">
        <f>IF(AND(SUMIFS($D$245:$D$595,$F$245:$F$595,0,$E$245:$E$595,$G447,$C$245:$C$595,"&lt;="&amp;AA$5)&lt;1000000,SUMIFS($D$245:$D$595,$F$245:$F$595,0,$E$245:$E$595,$G447,$C$245:$C$595,"&lt;="&amp;AC5)&gt;=1000000),SUMIFS($D$245:$D$595,$F$245:$F$595,0,$E$245:$E$595,$G447)*$C$157 ,0)</f>
        <v/>
      </c>
      <c r="AE447" s="95">
        <f>IF(AND(SUMIFS($D$245:$D$595,$F$245:$F$595,0,$E$245:$E$595,$G447,$C$245:$C$595,"&lt;="&amp;AC$5)&lt;1000000,SUMIFS($D$245:$D$595,$F$245:$F$595,0,$E$245:$E$595,$G447,$C$245:$C$595,"&lt;="&amp;AE5)&gt;=1000000),SUMIFS($D$245:$D$595,$F$245:$F$595,0,$E$245:$E$595,$G447)*$C$157 ,0)</f>
        <v/>
      </c>
      <c r="AF447" s="19" t="n"/>
    </row>
    <row r="448">
      <c r="A448" s="20">
        <f>mid(E448, 3, 1)</f>
        <v/>
      </c>
      <c r="B448" s="14" t="inlineStr"/>
      <c r="C448" s="21">
        <f>SUMIFS('Investor Exit List'!$AC:$AC,'Investor Exit List'!$AB:$AB,B448)</f>
        <v/>
      </c>
      <c r="D448" s="14">
        <f>SUMIFS('Investor Exit List'!$Q:$Q,'Investor Exit List'!$AB:$AB,B448)</f>
        <v/>
      </c>
      <c r="E448" s="31">
        <f>LEFT(B448,6)</f>
        <v/>
      </c>
      <c r="F448" s="14">
        <f>IF(SUMIFS($E$119:$E$151,$D$119:$D$151,E448)&lt;&gt;0,E448,0)</f>
        <v/>
      </c>
      <c r="G448" s="59" t="n"/>
      <c r="I448" s="28">
        <f>IF(AND(SUMIFS($D$245:$D$595,$F$245:$F$595,0,$E$245:$E$595,$G448,$C$245:$C$595,"&lt;="&amp;B$2)&lt;1000000,SUMIFS($D$245:$D$595,$F$245:$F$595,0,$E$245:$E$595,$G448,$C$245:$C$595,"&lt;="&amp;I5)&gt;=1000000),SUMIFS($D$245:$D$595,$F$245:$F$595,0,$E$245:$E$595,$G448)*$C$157 ,0)</f>
        <v/>
      </c>
      <c r="K448" s="95">
        <f>IF(AND(SUMIFS($D$245:$D$595,$F$245:$F$595,0,$E$245:$E$595,$G448,$C$245:$C$595,"&lt;="&amp;I$5)&lt;1000000,SUMIFS($D$245:$D$595,$F$245:$F$595,0,$E$245:$E$595,$G448,$C$245:$C$595,"&lt;="&amp;K5)&gt;=1000000),SUMIFS($D$245:$D$595,$F$245:$F$595,0,$E$245:$E$595,$G448)*$C$157 ,0)</f>
        <v/>
      </c>
      <c r="M448" s="95">
        <f>IF(AND(SUMIFS($D$245:$D$595,$F$245:$F$595,0,$E$245:$E$595,$G448,$C$245:$C$595,"&lt;="&amp;K$5)&lt;1000000,SUMIFS($D$245:$D$595,$F$245:$F$595,0,$E$245:$E$595,$G448,$C$245:$C$595,"&lt;="&amp;M5)&gt;=1000000),SUMIFS($D$245:$D$595,$F$245:$F$595,0,$E$245:$E$595,$G448)*$C$157 ,0)</f>
        <v/>
      </c>
      <c r="O448" s="95">
        <f>IF(AND(SUMIFS($D$245:$D$595,$F$245:$F$595,0,$E$245:$E$595,$G448,$C$245:$C$595,"&lt;="&amp;M$5)&lt;1000000,SUMIFS($D$245:$D$595,$F$245:$F$595,0,$E$245:$E$595,$G448,$C$245:$C$595,"&lt;="&amp;O5)&gt;=1000000),SUMIFS($D$245:$D$595,$F$245:$F$595,0,$E$245:$E$595,$G448)*$C$157 ,0)</f>
        <v/>
      </c>
      <c r="Q448" s="95">
        <f>IF(AND(SUMIFS($D$245:$D$595,$F$245:$F$595,0,$E$245:$E$595,$G448,$C$245:$C$595,"&lt;="&amp;O$5)&lt;1000000,SUMIFS($D$245:$D$595,$F$245:$F$595,0,$E$245:$E$595,$G448,$C$245:$C$595,"&lt;="&amp;Q5)&gt;=1000000),SUMIFS($D$245:$D$595,$F$245:$F$595,0,$E$245:$E$595,$G448)*$C$157 ,0)</f>
        <v/>
      </c>
      <c r="S448" s="95">
        <f>IF(AND(SUMIFS($D$245:$D$595,$F$245:$F$595,0,$E$245:$E$595,$G448,$C$245:$C$595,"&lt;="&amp;Q$5)&lt;1000000,SUMIFS($D$245:$D$595,$F$245:$F$595,0,$E$245:$E$595,$G448,$C$245:$C$595,"&lt;="&amp;S5)&gt;=1000000),SUMIFS($D$245:$D$595,$F$245:$F$595,0,$E$245:$E$595,$G448)*$C$157 ,0)</f>
        <v/>
      </c>
      <c r="U448" s="95">
        <f>IF(AND(SUMIFS($D$245:$D$595,$F$245:$F$595,0,$E$245:$E$595,$G448,$C$245:$C$595,"&lt;="&amp;S$5)&lt;1000000,SUMIFS($D$245:$D$595,$F$245:$F$595,0,$E$245:$E$595,$G448,$C$245:$C$595,"&lt;="&amp;U5)&gt;=1000000),SUMIFS($D$245:$D$595,$F$245:$F$595,0,$E$245:$E$595,$G448)*$C$157 ,0)</f>
        <v/>
      </c>
      <c r="W448" s="95">
        <f>IF(AND(SUMIFS($D$245:$D$595,$F$245:$F$595,0,$E$245:$E$595,$G448,$C$245:$C$595,"&lt;="&amp;U$5)&lt;1000000,SUMIFS($D$245:$D$595,$F$245:$F$595,0,$E$245:$E$595,$G448,$C$245:$C$595,"&lt;="&amp;W5)&gt;=1000000),SUMIFS($D$245:$D$595,$F$245:$F$595,0,$E$245:$E$595,$G448)*$C$157 ,0)</f>
        <v/>
      </c>
      <c r="Y448" s="95">
        <f>IF(AND(SUMIFS($D$245:$D$595,$F$245:$F$595,0,$E$245:$E$595,$G448,$C$245:$C$595,"&lt;="&amp;W$5)&lt;1000000,SUMIFS($D$245:$D$595,$F$245:$F$595,0,$E$245:$E$595,$G448,$C$245:$C$595,"&lt;="&amp;Y5)&gt;=1000000),SUMIFS($D$245:$D$595,$F$245:$F$595,0,$E$245:$E$595,$G448)*$C$157 ,0)</f>
        <v/>
      </c>
      <c r="AA448" s="95">
        <f>IF(AND(SUMIFS($D$245:$D$595,$F$245:$F$595,0,$E$245:$E$595,$G448,$C$245:$C$595,"&lt;="&amp;Y$5)&lt;1000000,SUMIFS($D$245:$D$595,$F$245:$F$595,0,$E$245:$E$595,$G448,$C$245:$C$595,"&lt;="&amp;AA5)&gt;=1000000),SUMIFS($D$245:$D$595,$F$245:$F$595,0,$E$245:$E$595,$G448)*$C$157 ,0)</f>
        <v/>
      </c>
      <c r="AC448" s="95">
        <f>IF(AND(SUMIFS($D$245:$D$595,$F$245:$F$595,0,$E$245:$E$595,$G448,$C$245:$C$595,"&lt;="&amp;AA$5)&lt;1000000,SUMIFS($D$245:$D$595,$F$245:$F$595,0,$E$245:$E$595,$G448,$C$245:$C$595,"&lt;="&amp;AC5)&gt;=1000000),SUMIFS($D$245:$D$595,$F$245:$F$595,0,$E$245:$E$595,$G448)*$C$157 ,0)</f>
        <v/>
      </c>
      <c r="AE448" s="95">
        <f>IF(AND(SUMIFS($D$245:$D$595,$F$245:$F$595,0,$E$245:$E$595,$G448,$C$245:$C$595,"&lt;="&amp;AC$5)&lt;1000000,SUMIFS($D$245:$D$595,$F$245:$F$595,0,$E$245:$E$595,$G448,$C$245:$C$595,"&lt;="&amp;AE5)&gt;=1000000),SUMIFS($D$245:$D$595,$F$245:$F$595,0,$E$245:$E$595,$G448)*$C$157 ,0)</f>
        <v/>
      </c>
      <c r="AF448" s="19" t="n"/>
    </row>
    <row r="449">
      <c r="A449" s="20">
        <f>mid(E449, 3, 1)</f>
        <v/>
      </c>
      <c r="B449" s="14" t="inlineStr"/>
      <c r="C449" s="21">
        <f>SUMIFS('Investor Exit List'!$AC:$AC,'Investor Exit List'!$AB:$AB,B449)</f>
        <v/>
      </c>
      <c r="D449" s="14">
        <f>SUMIFS('Investor Exit List'!$Q:$Q,'Investor Exit List'!$AB:$AB,B449)</f>
        <v/>
      </c>
      <c r="E449" s="31">
        <f>LEFT(B449,6)</f>
        <v/>
      </c>
      <c r="F449" s="14">
        <f>IF(SUMIFS($E$119:$E$151,$D$119:$D$151,E449)&lt;&gt;0,E449,0)</f>
        <v/>
      </c>
      <c r="G449" s="59" t="n"/>
      <c r="I449" s="28">
        <f>IF(AND(SUMIFS($D$245:$D$595,$F$245:$F$595,0,$E$245:$E$595,$G449,$C$245:$C$595,"&lt;="&amp;B$2)&lt;1000000,SUMIFS($D$245:$D$595,$F$245:$F$595,0,$E$245:$E$595,$G449,$C$245:$C$595,"&lt;="&amp;I5)&gt;=1000000),SUMIFS($D$245:$D$595,$F$245:$F$595,0,$E$245:$E$595,$G449)*$C$157 ,0)</f>
        <v/>
      </c>
      <c r="K449" s="95">
        <f>IF(AND(SUMIFS($D$245:$D$595,$F$245:$F$595,0,$E$245:$E$595,$G449,$C$245:$C$595,"&lt;="&amp;I$5)&lt;1000000,SUMIFS($D$245:$D$595,$F$245:$F$595,0,$E$245:$E$595,$G449,$C$245:$C$595,"&lt;="&amp;K5)&gt;=1000000),SUMIFS($D$245:$D$595,$F$245:$F$595,0,$E$245:$E$595,$G449)*$C$157 ,0)</f>
        <v/>
      </c>
      <c r="M449" s="95">
        <f>IF(AND(SUMIFS($D$245:$D$595,$F$245:$F$595,0,$E$245:$E$595,$G449,$C$245:$C$595,"&lt;="&amp;K$5)&lt;1000000,SUMIFS($D$245:$D$595,$F$245:$F$595,0,$E$245:$E$595,$G449,$C$245:$C$595,"&lt;="&amp;M5)&gt;=1000000),SUMIFS($D$245:$D$595,$F$245:$F$595,0,$E$245:$E$595,$G449)*$C$157 ,0)</f>
        <v/>
      </c>
      <c r="O449" s="95">
        <f>IF(AND(SUMIFS($D$245:$D$595,$F$245:$F$595,0,$E$245:$E$595,$G449,$C$245:$C$595,"&lt;="&amp;M$5)&lt;1000000,SUMIFS($D$245:$D$595,$F$245:$F$595,0,$E$245:$E$595,$G449,$C$245:$C$595,"&lt;="&amp;O5)&gt;=1000000),SUMIFS($D$245:$D$595,$F$245:$F$595,0,$E$245:$E$595,$G449)*$C$157 ,0)</f>
        <v/>
      </c>
      <c r="Q449" s="95">
        <f>IF(AND(SUMIFS($D$245:$D$595,$F$245:$F$595,0,$E$245:$E$595,$G449,$C$245:$C$595,"&lt;="&amp;O$5)&lt;1000000,SUMIFS($D$245:$D$595,$F$245:$F$595,0,$E$245:$E$595,$G449,$C$245:$C$595,"&lt;="&amp;Q5)&gt;=1000000),SUMIFS($D$245:$D$595,$F$245:$F$595,0,$E$245:$E$595,$G449)*$C$157 ,0)</f>
        <v/>
      </c>
      <c r="S449" s="95">
        <f>IF(AND(SUMIFS($D$245:$D$595,$F$245:$F$595,0,$E$245:$E$595,$G449,$C$245:$C$595,"&lt;="&amp;Q$5)&lt;1000000,SUMIFS($D$245:$D$595,$F$245:$F$595,0,$E$245:$E$595,$G449,$C$245:$C$595,"&lt;="&amp;S5)&gt;=1000000),SUMIFS($D$245:$D$595,$F$245:$F$595,0,$E$245:$E$595,$G449)*$C$157 ,0)</f>
        <v/>
      </c>
      <c r="U449" s="95">
        <f>IF(AND(SUMIFS($D$245:$D$595,$F$245:$F$595,0,$E$245:$E$595,$G449,$C$245:$C$595,"&lt;="&amp;S$5)&lt;1000000,SUMIFS($D$245:$D$595,$F$245:$F$595,0,$E$245:$E$595,$G449,$C$245:$C$595,"&lt;="&amp;U5)&gt;=1000000),SUMIFS($D$245:$D$595,$F$245:$F$595,0,$E$245:$E$595,$G449)*$C$157 ,0)</f>
        <v/>
      </c>
      <c r="W449" s="95">
        <f>IF(AND(SUMIFS($D$245:$D$595,$F$245:$F$595,0,$E$245:$E$595,$G449,$C$245:$C$595,"&lt;="&amp;U$5)&lt;1000000,SUMIFS($D$245:$D$595,$F$245:$F$595,0,$E$245:$E$595,$G449,$C$245:$C$595,"&lt;="&amp;W5)&gt;=1000000),SUMIFS($D$245:$D$595,$F$245:$F$595,0,$E$245:$E$595,$G449)*$C$157 ,0)</f>
        <v/>
      </c>
      <c r="Y449" s="95">
        <f>IF(AND(SUMIFS($D$245:$D$595,$F$245:$F$595,0,$E$245:$E$595,$G449,$C$245:$C$595,"&lt;="&amp;W$5)&lt;1000000,SUMIFS($D$245:$D$595,$F$245:$F$595,0,$E$245:$E$595,$G449,$C$245:$C$595,"&lt;="&amp;Y5)&gt;=1000000),SUMIFS($D$245:$D$595,$F$245:$F$595,0,$E$245:$E$595,$G449)*$C$157 ,0)</f>
        <v/>
      </c>
      <c r="AA449" s="95">
        <f>IF(AND(SUMIFS($D$245:$D$595,$F$245:$F$595,0,$E$245:$E$595,$G449,$C$245:$C$595,"&lt;="&amp;Y$5)&lt;1000000,SUMIFS($D$245:$D$595,$F$245:$F$595,0,$E$245:$E$595,$G449,$C$245:$C$595,"&lt;="&amp;AA5)&gt;=1000000),SUMIFS($D$245:$D$595,$F$245:$F$595,0,$E$245:$E$595,$G449)*$C$157 ,0)</f>
        <v/>
      </c>
      <c r="AC449" s="95">
        <f>IF(AND(SUMIFS($D$245:$D$595,$F$245:$F$595,0,$E$245:$E$595,$G449,$C$245:$C$595,"&lt;="&amp;AA$5)&lt;1000000,SUMIFS($D$245:$D$595,$F$245:$F$595,0,$E$245:$E$595,$G449,$C$245:$C$595,"&lt;="&amp;AC5)&gt;=1000000),SUMIFS($D$245:$D$595,$F$245:$F$595,0,$E$245:$E$595,$G449)*$C$157 ,0)</f>
        <v/>
      </c>
      <c r="AE449" s="95">
        <f>IF(AND(SUMIFS($D$245:$D$595,$F$245:$F$595,0,$E$245:$E$595,$G449,$C$245:$C$595,"&lt;="&amp;AC$5)&lt;1000000,SUMIFS($D$245:$D$595,$F$245:$F$595,0,$E$245:$E$595,$G449,$C$245:$C$595,"&lt;="&amp;AE5)&gt;=1000000),SUMIFS($D$245:$D$595,$F$245:$F$595,0,$E$245:$E$595,$G449)*$C$157 ,0)</f>
        <v/>
      </c>
      <c r="AF449" s="19" t="n"/>
    </row>
    <row r="450">
      <c r="A450" s="20">
        <f>mid(E450, 3, 1)</f>
        <v/>
      </c>
      <c r="B450" s="14" t="inlineStr"/>
      <c r="C450" s="21">
        <f>SUMIFS('Investor Exit List'!$AC:$AC,'Investor Exit List'!$AB:$AB,B450)</f>
        <v/>
      </c>
      <c r="D450" s="14">
        <f>SUMIFS('Investor Exit List'!$Q:$Q,'Investor Exit List'!$AB:$AB,B450)</f>
        <v/>
      </c>
      <c r="E450" s="31">
        <f>LEFT(B450,6)</f>
        <v/>
      </c>
      <c r="F450" s="14">
        <f>IF(SUMIFS($E$119:$E$151,$D$119:$D$151,E450)&lt;&gt;0,E450,0)</f>
        <v/>
      </c>
      <c r="G450" s="59" t="n"/>
      <c r="I450" s="28">
        <f>IF(AND(SUMIFS($D$245:$D$595,$F$245:$F$595,0,$E$245:$E$595,$G450,$C$245:$C$595,"&lt;="&amp;B$2)&lt;1000000,SUMIFS($D$245:$D$595,$F$245:$F$595,0,$E$245:$E$595,$G450,$C$245:$C$595,"&lt;="&amp;I5)&gt;=1000000),SUMIFS($D$245:$D$595,$F$245:$F$595,0,$E$245:$E$595,$G450)*$C$157 ,0)</f>
        <v/>
      </c>
      <c r="K450" s="95">
        <f>IF(AND(SUMIFS($D$245:$D$595,$F$245:$F$595,0,$E$245:$E$595,$G450,$C$245:$C$595,"&lt;="&amp;I$5)&lt;1000000,SUMIFS($D$245:$D$595,$F$245:$F$595,0,$E$245:$E$595,$G450,$C$245:$C$595,"&lt;="&amp;K5)&gt;=1000000),SUMIFS($D$245:$D$595,$F$245:$F$595,0,$E$245:$E$595,$G450)*$C$157 ,0)</f>
        <v/>
      </c>
      <c r="M450" s="95">
        <f>IF(AND(SUMIFS($D$245:$D$595,$F$245:$F$595,0,$E$245:$E$595,$G450,$C$245:$C$595,"&lt;="&amp;K$5)&lt;1000000,SUMIFS($D$245:$D$595,$F$245:$F$595,0,$E$245:$E$595,$G450,$C$245:$C$595,"&lt;="&amp;M5)&gt;=1000000),SUMIFS($D$245:$D$595,$F$245:$F$595,0,$E$245:$E$595,$G450)*$C$157 ,0)</f>
        <v/>
      </c>
      <c r="O450" s="95">
        <f>IF(AND(SUMIFS($D$245:$D$595,$F$245:$F$595,0,$E$245:$E$595,$G450,$C$245:$C$595,"&lt;="&amp;M$5)&lt;1000000,SUMIFS($D$245:$D$595,$F$245:$F$595,0,$E$245:$E$595,$G450,$C$245:$C$595,"&lt;="&amp;O5)&gt;=1000000),SUMIFS($D$245:$D$595,$F$245:$F$595,0,$E$245:$E$595,$G450)*$C$157 ,0)</f>
        <v/>
      </c>
      <c r="Q450" s="95">
        <f>IF(AND(SUMIFS($D$245:$D$595,$F$245:$F$595,0,$E$245:$E$595,$G450,$C$245:$C$595,"&lt;="&amp;O$5)&lt;1000000,SUMIFS($D$245:$D$595,$F$245:$F$595,0,$E$245:$E$595,$G450,$C$245:$C$595,"&lt;="&amp;Q5)&gt;=1000000),SUMIFS($D$245:$D$595,$F$245:$F$595,0,$E$245:$E$595,$G450)*$C$157 ,0)</f>
        <v/>
      </c>
      <c r="S450" s="95">
        <f>IF(AND(SUMIFS($D$245:$D$595,$F$245:$F$595,0,$E$245:$E$595,$G450,$C$245:$C$595,"&lt;="&amp;Q$5)&lt;1000000,SUMIFS($D$245:$D$595,$F$245:$F$595,0,$E$245:$E$595,$G450,$C$245:$C$595,"&lt;="&amp;S5)&gt;=1000000),SUMIFS($D$245:$D$595,$F$245:$F$595,0,$E$245:$E$595,$G450)*$C$157 ,0)</f>
        <v/>
      </c>
      <c r="U450" s="95">
        <f>IF(AND(SUMIFS($D$245:$D$595,$F$245:$F$595,0,$E$245:$E$595,$G450,$C$245:$C$595,"&lt;="&amp;S$5)&lt;1000000,SUMIFS($D$245:$D$595,$F$245:$F$595,0,$E$245:$E$595,$G450,$C$245:$C$595,"&lt;="&amp;U5)&gt;=1000000),SUMIFS($D$245:$D$595,$F$245:$F$595,0,$E$245:$E$595,$G450)*$C$157 ,0)</f>
        <v/>
      </c>
      <c r="W450" s="95">
        <f>IF(AND(SUMIFS($D$245:$D$595,$F$245:$F$595,0,$E$245:$E$595,$G450,$C$245:$C$595,"&lt;="&amp;U$5)&lt;1000000,SUMIFS($D$245:$D$595,$F$245:$F$595,0,$E$245:$E$595,$G450,$C$245:$C$595,"&lt;="&amp;W5)&gt;=1000000),SUMIFS($D$245:$D$595,$F$245:$F$595,0,$E$245:$E$595,$G450)*$C$157 ,0)</f>
        <v/>
      </c>
      <c r="Y450" s="95">
        <f>IF(AND(SUMIFS($D$245:$D$595,$F$245:$F$595,0,$E$245:$E$595,$G450,$C$245:$C$595,"&lt;="&amp;W$5)&lt;1000000,SUMIFS($D$245:$D$595,$F$245:$F$595,0,$E$245:$E$595,$G450,$C$245:$C$595,"&lt;="&amp;Y5)&gt;=1000000),SUMIFS($D$245:$D$595,$F$245:$F$595,0,$E$245:$E$595,$G450)*$C$157 ,0)</f>
        <v/>
      </c>
      <c r="AA450" s="95">
        <f>IF(AND(SUMIFS($D$245:$D$595,$F$245:$F$595,0,$E$245:$E$595,$G450,$C$245:$C$595,"&lt;="&amp;Y$5)&lt;1000000,SUMIFS($D$245:$D$595,$F$245:$F$595,0,$E$245:$E$595,$G450,$C$245:$C$595,"&lt;="&amp;AA5)&gt;=1000000),SUMIFS($D$245:$D$595,$F$245:$F$595,0,$E$245:$E$595,$G450)*$C$157 ,0)</f>
        <v/>
      </c>
      <c r="AC450" s="95">
        <f>IF(AND(SUMIFS($D$245:$D$595,$F$245:$F$595,0,$E$245:$E$595,$G450,$C$245:$C$595,"&lt;="&amp;AA$5)&lt;1000000,SUMIFS($D$245:$D$595,$F$245:$F$595,0,$E$245:$E$595,$G450,$C$245:$C$595,"&lt;="&amp;AC5)&gt;=1000000),SUMIFS($D$245:$D$595,$F$245:$F$595,0,$E$245:$E$595,$G450)*$C$157 ,0)</f>
        <v/>
      </c>
      <c r="AE450" s="95">
        <f>IF(AND(SUMIFS($D$245:$D$595,$F$245:$F$595,0,$E$245:$E$595,$G450,$C$245:$C$595,"&lt;="&amp;AC$5)&lt;1000000,SUMIFS($D$245:$D$595,$F$245:$F$595,0,$E$245:$E$595,$G450,$C$245:$C$595,"&lt;="&amp;AE5)&gt;=1000000),SUMIFS($D$245:$D$595,$F$245:$F$595,0,$E$245:$E$595,$G450)*$C$157 ,0)</f>
        <v/>
      </c>
      <c r="AF450" s="19" t="n"/>
    </row>
    <row r="451">
      <c r="A451" s="20">
        <f>mid(E451, 3, 1)</f>
        <v/>
      </c>
      <c r="B451" s="14" t="inlineStr"/>
      <c r="C451" s="21">
        <f>SUMIFS('Investor Exit List'!$AC:$AC,'Investor Exit List'!$AB:$AB,B451)</f>
        <v/>
      </c>
      <c r="D451" s="14">
        <f>SUMIFS('Investor Exit List'!$Q:$Q,'Investor Exit List'!$AB:$AB,B451)</f>
        <v/>
      </c>
      <c r="E451" s="31">
        <f>LEFT(B451,6)</f>
        <v/>
      </c>
      <c r="F451" s="14">
        <f>IF(SUMIFS($E$119:$E$151,$D$119:$D$151,E451)&lt;&gt;0,E451,0)</f>
        <v/>
      </c>
      <c r="G451" s="59" t="n"/>
      <c r="I451" s="28">
        <f>IF(AND(SUMIFS($D$245:$D$595,$F$245:$F$595,0,$E$245:$E$595,$G451,$C$245:$C$595,"&lt;="&amp;B$2)&lt;1000000,SUMIFS($D$245:$D$595,$F$245:$F$595,0,$E$245:$E$595,$G451,$C$245:$C$595,"&lt;="&amp;I5)&gt;=1000000),SUMIFS($D$245:$D$595,$F$245:$F$595,0,$E$245:$E$595,$G451)*$C$157 ,0)</f>
        <v/>
      </c>
      <c r="K451" s="95">
        <f>IF(AND(SUMIFS($D$245:$D$595,$F$245:$F$595,0,$E$245:$E$595,$G451,$C$245:$C$595,"&lt;="&amp;I$5)&lt;1000000,SUMIFS($D$245:$D$595,$F$245:$F$595,0,$E$245:$E$595,$G451,$C$245:$C$595,"&lt;="&amp;K5)&gt;=1000000),SUMIFS($D$245:$D$595,$F$245:$F$595,0,$E$245:$E$595,$G451)*$C$157 ,0)</f>
        <v/>
      </c>
      <c r="M451" s="95">
        <f>IF(AND(SUMIFS($D$245:$D$595,$F$245:$F$595,0,$E$245:$E$595,$G451,$C$245:$C$595,"&lt;="&amp;K$5)&lt;1000000,SUMIFS($D$245:$D$595,$F$245:$F$595,0,$E$245:$E$595,$G451,$C$245:$C$595,"&lt;="&amp;M5)&gt;=1000000),SUMIFS($D$245:$D$595,$F$245:$F$595,0,$E$245:$E$595,$G451)*$C$157 ,0)</f>
        <v/>
      </c>
      <c r="O451" s="95">
        <f>IF(AND(SUMIFS($D$245:$D$595,$F$245:$F$595,0,$E$245:$E$595,$G451,$C$245:$C$595,"&lt;="&amp;M$5)&lt;1000000,SUMIFS($D$245:$D$595,$F$245:$F$595,0,$E$245:$E$595,$G451,$C$245:$C$595,"&lt;="&amp;O5)&gt;=1000000),SUMIFS($D$245:$D$595,$F$245:$F$595,0,$E$245:$E$595,$G451)*$C$157 ,0)</f>
        <v/>
      </c>
      <c r="Q451" s="95">
        <f>IF(AND(SUMIFS($D$245:$D$595,$F$245:$F$595,0,$E$245:$E$595,$G451,$C$245:$C$595,"&lt;="&amp;O$5)&lt;1000000,SUMIFS($D$245:$D$595,$F$245:$F$595,0,$E$245:$E$595,$G451,$C$245:$C$595,"&lt;="&amp;Q5)&gt;=1000000),SUMIFS($D$245:$D$595,$F$245:$F$595,0,$E$245:$E$595,$G451)*$C$157 ,0)</f>
        <v/>
      </c>
      <c r="S451" s="95">
        <f>IF(AND(SUMIFS($D$245:$D$595,$F$245:$F$595,0,$E$245:$E$595,$G451,$C$245:$C$595,"&lt;="&amp;Q$5)&lt;1000000,SUMIFS($D$245:$D$595,$F$245:$F$595,0,$E$245:$E$595,$G451,$C$245:$C$595,"&lt;="&amp;S5)&gt;=1000000),SUMIFS($D$245:$D$595,$F$245:$F$595,0,$E$245:$E$595,$G451)*$C$157 ,0)</f>
        <v/>
      </c>
      <c r="U451" s="95">
        <f>IF(AND(SUMIFS($D$245:$D$595,$F$245:$F$595,0,$E$245:$E$595,$G451,$C$245:$C$595,"&lt;="&amp;S$5)&lt;1000000,SUMIFS($D$245:$D$595,$F$245:$F$595,0,$E$245:$E$595,$G451,$C$245:$C$595,"&lt;="&amp;U5)&gt;=1000000),SUMIFS($D$245:$D$595,$F$245:$F$595,0,$E$245:$E$595,$G451)*$C$157 ,0)</f>
        <v/>
      </c>
      <c r="W451" s="95">
        <f>IF(AND(SUMIFS($D$245:$D$595,$F$245:$F$595,0,$E$245:$E$595,$G451,$C$245:$C$595,"&lt;="&amp;U$5)&lt;1000000,SUMIFS($D$245:$D$595,$F$245:$F$595,0,$E$245:$E$595,$G451,$C$245:$C$595,"&lt;="&amp;W5)&gt;=1000000),SUMIFS($D$245:$D$595,$F$245:$F$595,0,$E$245:$E$595,$G451)*$C$157 ,0)</f>
        <v/>
      </c>
      <c r="Y451" s="95">
        <f>IF(AND(SUMIFS($D$245:$D$595,$F$245:$F$595,0,$E$245:$E$595,$G451,$C$245:$C$595,"&lt;="&amp;W$5)&lt;1000000,SUMIFS($D$245:$D$595,$F$245:$F$595,0,$E$245:$E$595,$G451,$C$245:$C$595,"&lt;="&amp;Y5)&gt;=1000000),SUMIFS($D$245:$D$595,$F$245:$F$595,0,$E$245:$E$595,$G451)*$C$157 ,0)</f>
        <v/>
      </c>
      <c r="AA451" s="95">
        <f>IF(AND(SUMIFS($D$245:$D$595,$F$245:$F$595,0,$E$245:$E$595,$G451,$C$245:$C$595,"&lt;="&amp;Y$5)&lt;1000000,SUMIFS($D$245:$D$595,$F$245:$F$595,0,$E$245:$E$595,$G451,$C$245:$C$595,"&lt;="&amp;AA5)&gt;=1000000),SUMIFS($D$245:$D$595,$F$245:$F$595,0,$E$245:$E$595,$G451)*$C$157 ,0)</f>
        <v/>
      </c>
      <c r="AC451" s="95">
        <f>IF(AND(SUMIFS($D$245:$D$595,$F$245:$F$595,0,$E$245:$E$595,$G451,$C$245:$C$595,"&lt;="&amp;AA$5)&lt;1000000,SUMIFS($D$245:$D$595,$F$245:$F$595,0,$E$245:$E$595,$G451,$C$245:$C$595,"&lt;="&amp;AC5)&gt;=1000000),SUMIFS($D$245:$D$595,$F$245:$F$595,0,$E$245:$E$595,$G451)*$C$157 ,0)</f>
        <v/>
      </c>
      <c r="AE451" s="95">
        <f>IF(AND(SUMIFS($D$245:$D$595,$F$245:$F$595,0,$E$245:$E$595,$G451,$C$245:$C$595,"&lt;="&amp;AC$5)&lt;1000000,SUMIFS($D$245:$D$595,$F$245:$F$595,0,$E$245:$E$595,$G451,$C$245:$C$595,"&lt;="&amp;AE5)&gt;=1000000),SUMIFS($D$245:$D$595,$F$245:$F$595,0,$E$245:$E$595,$G451)*$C$157 ,0)</f>
        <v/>
      </c>
      <c r="AF451" s="19" t="n"/>
    </row>
    <row r="452">
      <c r="A452" s="20">
        <f>mid(E452, 3, 1)</f>
        <v/>
      </c>
      <c r="B452" s="14" t="inlineStr"/>
      <c r="C452" s="21">
        <f>SUMIFS('Investor Exit List'!$AC:$AC,'Investor Exit List'!$AB:$AB,B452)</f>
        <v/>
      </c>
      <c r="D452" s="14">
        <f>SUMIFS('Investor Exit List'!$Q:$Q,'Investor Exit List'!$AB:$AB,B452)</f>
        <v/>
      </c>
      <c r="E452" s="31">
        <f>LEFT(B452,6)</f>
        <v/>
      </c>
      <c r="F452" s="14">
        <f>IF(SUMIFS($E$119:$E$151,$D$119:$D$151,E452)&lt;&gt;0,E452,0)</f>
        <v/>
      </c>
      <c r="G452" s="59" t="n"/>
      <c r="I452" s="28">
        <f>IF(AND(SUMIFS($D$245:$D$595,$F$245:$F$595,0,$E$245:$E$595,$G452,$C$245:$C$595,"&lt;="&amp;B$2)&lt;1000000,SUMIFS($D$245:$D$595,$F$245:$F$595,0,$E$245:$E$595,$G452,$C$245:$C$595,"&lt;="&amp;I5)&gt;=1000000),SUMIFS($D$245:$D$595,$F$245:$F$595,0,$E$245:$E$595,$G452)*$C$157 ,0)</f>
        <v/>
      </c>
      <c r="K452" s="95">
        <f>IF(AND(SUMIFS($D$245:$D$595,$F$245:$F$595,0,$E$245:$E$595,$G452,$C$245:$C$595,"&lt;="&amp;I$5)&lt;1000000,SUMIFS($D$245:$D$595,$F$245:$F$595,0,$E$245:$E$595,$G452,$C$245:$C$595,"&lt;="&amp;K5)&gt;=1000000),SUMIFS($D$245:$D$595,$F$245:$F$595,0,$E$245:$E$595,$G452)*$C$157 ,0)</f>
        <v/>
      </c>
      <c r="M452" s="95">
        <f>IF(AND(SUMIFS($D$245:$D$595,$F$245:$F$595,0,$E$245:$E$595,$G452,$C$245:$C$595,"&lt;="&amp;K$5)&lt;1000000,SUMIFS($D$245:$D$595,$F$245:$F$595,0,$E$245:$E$595,$G452,$C$245:$C$595,"&lt;="&amp;M5)&gt;=1000000),SUMIFS($D$245:$D$595,$F$245:$F$595,0,$E$245:$E$595,$G452)*$C$157 ,0)</f>
        <v/>
      </c>
      <c r="O452" s="95">
        <f>IF(AND(SUMIFS($D$245:$D$595,$F$245:$F$595,0,$E$245:$E$595,$G452,$C$245:$C$595,"&lt;="&amp;M$5)&lt;1000000,SUMIFS($D$245:$D$595,$F$245:$F$595,0,$E$245:$E$595,$G452,$C$245:$C$595,"&lt;="&amp;O5)&gt;=1000000),SUMIFS($D$245:$D$595,$F$245:$F$595,0,$E$245:$E$595,$G452)*$C$157 ,0)</f>
        <v/>
      </c>
      <c r="Q452" s="95">
        <f>IF(AND(SUMIFS($D$245:$D$595,$F$245:$F$595,0,$E$245:$E$595,$G452,$C$245:$C$595,"&lt;="&amp;O$5)&lt;1000000,SUMIFS($D$245:$D$595,$F$245:$F$595,0,$E$245:$E$595,$G452,$C$245:$C$595,"&lt;="&amp;Q5)&gt;=1000000),SUMIFS($D$245:$D$595,$F$245:$F$595,0,$E$245:$E$595,$G452)*$C$157 ,0)</f>
        <v/>
      </c>
      <c r="S452" s="95">
        <f>IF(AND(SUMIFS($D$245:$D$595,$F$245:$F$595,0,$E$245:$E$595,$G452,$C$245:$C$595,"&lt;="&amp;Q$5)&lt;1000000,SUMIFS($D$245:$D$595,$F$245:$F$595,0,$E$245:$E$595,$G452,$C$245:$C$595,"&lt;="&amp;S5)&gt;=1000000),SUMIFS($D$245:$D$595,$F$245:$F$595,0,$E$245:$E$595,$G452)*$C$157 ,0)</f>
        <v/>
      </c>
      <c r="U452" s="95">
        <f>IF(AND(SUMIFS($D$245:$D$595,$F$245:$F$595,0,$E$245:$E$595,$G452,$C$245:$C$595,"&lt;="&amp;S$5)&lt;1000000,SUMIFS($D$245:$D$595,$F$245:$F$595,0,$E$245:$E$595,$G452,$C$245:$C$595,"&lt;="&amp;U5)&gt;=1000000),SUMIFS($D$245:$D$595,$F$245:$F$595,0,$E$245:$E$595,$G452)*$C$157 ,0)</f>
        <v/>
      </c>
      <c r="W452" s="95">
        <f>IF(AND(SUMIFS($D$245:$D$595,$F$245:$F$595,0,$E$245:$E$595,$G452,$C$245:$C$595,"&lt;="&amp;U$5)&lt;1000000,SUMIFS($D$245:$D$595,$F$245:$F$595,0,$E$245:$E$595,$G452,$C$245:$C$595,"&lt;="&amp;W5)&gt;=1000000),SUMIFS($D$245:$D$595,$F$245:$F$595,0,$E$245:$E$595,$G452)*$C$157 ,0)</f>
        <v/>
      </c>
      <c r="Y452" s="95">
        <f>IF(AND(SUMIFS($D$245:$D$595,$F$245:$F$595,0,$E$245:$E$595,$G452,$C$245:$C$595,"&lt;="&amp;W$5)&lt;1000000,SUMIFS($D$245:$D$595,$F$245:$F$595,0,$E$245:$E$595,$G452,$C$245:$C$595,"&lt;="&amp;Y5)&gt;=1000000),SUMIFS($D$245:$D$595,$F$245:$F$595,0,$E$245:$E$595,$G452)*$C$157 ,0)</f>
        <v/>
      </c>
      <c r="AA452" s="95">
        <f>IF(AND(SUMIFS($D$245:$D$595,$F$245:$F$595,0,$E$245:$E$595,$G452,$C$245:$C$595,"&lt;="&amp;Y$5)&lt;1000000,SUMIFS($D$245:$D$595,$F$245:$F$595,0,$E$245:$E$595,$G452,$C$245:$C$595,"&lt;="&amp;AA5)&gt;=1000000),SUMIFS($D$245:$D$595,$F$245:$F$595,0,$E$245:$E$595,$G452)*$C$157 ,0)</f>
        <v/>
      </c>
      <c r="AC452" s="95">
        <f>IF(AND(SUMIFS($D$245:$D$595,$F$245:$F$595,0,$E$245:$E$595,$G452,$C$245:$C$595,"&lt;="&amp;AA$5)&lt;1000000,SUMIFS($D$245:$D$595,$F$245:$F$595,0,$E$245:$E$595,$G452,$C$245:$C$595,"&lt;="&amp;AC5)&gt;=1000000),SUMIFS($D$245:$D$595,$F$245:$F$595,0,$E$245:$E$595,$G452)*$C$157 ,0)</f>
        <v/>
      </c>
      <c r="AE452" s="95">
        <f>IF(AND(SUMIFS($D$245:$D$595,$F$245:$F$595,0,$E$245:$E$595,$G452,$C$245:$C$595,"&lt;="&amp;AC$5)&lt;1000000,SUMIFS($D$245:$D$595,$F$245:$F$595,0,$E$245:$E$595,$G452,$C$245:$C$595,"&lt;="&amp;AE5)&gt;=1000000),SUMIFS($D$245:$D$595,$F$245:$F$595,0,$E$245:$E$595,$G452)*$C$157 ,0)</f>
        <v/>
      </c>
      <c r="AF452" s="19" t="n"/>
    </row>
    <row r="453">
      <c r="A453" s="20">
        <f>mid(E453, 3, 1)</f>
        <v/>
      </c>
      <c r="B453" s="14" t="inlineStr"/>
      <c r="C453" s="21">
        <f>SUMIFS('Investor Exit List'!$AC:$AC,'Investor Exit List'!$AB:$AB,B453)</f>
        <v/>
      </c>
      <c r="D453" s="14">
        <f>SUMIFS('Investor Exit List'!$Q:$Q,'Investor Exit List'!$AB:$AB,B453)</f>
        <v/>
      </c>
      <c r="E453" s="31">
        <f>LEFT(B453,6)</f>
        <v/>
      </c>
      <c r="F453" s="14">
        <f>IF(SUMIFS($E$119:$E$151,$D$119:$D$151,E453)&lt;&gt;0,E453,0)</f>
        <v/>
      </c>
      <c r="G453" s="59" t="n"/>
      <c r="I453" s="28">
        <f>IF(AND(SUMIFS($D$245:$D$595,$F$245:$F$595,0,$E$245:$E$595,$G453,$C$245:$C$595,"&lt;="&amp;B$2)&lt;1000000,SUMIFS($D$245:$D$595,$F$245:$F$595,0,$E$245:$E$595,$G453,$C$245:$C$595,"&lt;="&amp;I5)&gt;=1000000),SUMIFS($D$245:$D$595,$F$245:$F$595,0,$E$245:$E$595,$G453)*$C$157 ,0)</f>
        <v/>
      </c>
      <c r="K453" s="95">
        <f>IF(AND(SUMIFS($D$245:$D$595,$F$245:$F$595,0,$E$245:$E$595,$G453,$C$245:$C$595,"&lt;="&amp;I$5)&lt;1000000,SUMIFS($D$245:$D$595,$F$245:$F$595,0,$E$245:$E$595,$G453,$C$245:$C$595,"&lt;="&amp;K5)&gt;=1000000),SUMIFS($D$245:$D$595,$F$245:$F$595,0,$E$245:$E$595,$G453)*$C$157 ,0)</f>
        <v/>
      </c>
      <c r="M453" s="95">
        <f>IF(AND(SUMIFS($D$245:$D$595,$F$245:$F$595,0,$E$245:$E$595,$G453,$C$245:$C$595,"&lt;="&amp;K$5)&lt;1000000,SUMIFS($D$245:$D$595,$F$245:$F$595,0,$E$245:$E$595,$G453,$C$245:$C$595,"&lt;="&amp;M5)&gt;=1000000),SUMIFS($D$245:$D$595,$F$245:$F$595,0,$E$245:$E$595,$G453)*$C$157 ,0)</f>
        <v/>
      </c>
      <c r="O453" s="95">
        <f>IF(AND(SUMIFS($D$245:$D$595,$F$245:$F$595,0,$E$245:$E$595,$G453,$C$245:$C$595,"&lt;="&amp;M$5)&lt;1000000,SUMIFS($D$245:$D$595,$F$245:$F$595,0,$E$245:$E$595,$G453,$C$245:$C$595,"&lt;="&amp;O5)&gt;=1000000),SUMIFS($D$245:$D$595,$F$245:$F$595,0,$E$245:$E$595,$G453)*$C$157 ,0)</f>
        <v/>
      </c>
      <c r="Q453" s="95">
        <f>IF(AND(SUMIFS($D$245:$D$595,$F$245:$F$595,0,$E$245:$E$595,$G453,$C$245:$C$595,"&lt;="&amp;O$5)&lt;1000000,SUMIFS($D$245:$D$595,$F$245:$F$595,0,$E$245:$E$595,$G453,$C$245:$C$595,"&lt;="&amp;Q5)&gt;=1000000),SUMIFS($D$245:$D$595,$F$245:$F$595,0,$E$245:$E$595,$G453)*$C$157 ,0)</f>
        <v/>
      </c>
      <c r="S453" s="95">
        <f>IF(AND(SUMIFS($D$245:$D$595,$F$245:$F$595,0,$E$245:$E$595,$G453,$C$245:$C$595,"&lt;="&amp;Q$5)&lt;1000000,SUMIFS($D$245:$D$595,$F$245:$F$595,0,$E$245:$E$595,$G453,$C$245:$C$595,"&lt;="&amp;S5)&gt;=1000000),SUMIFS($D$245:$D$595,$F$245:$F$595,0,$E$245:$E$595,$G453)*$C$157 ,0)</f>
        <v/>
      </c>
      <c r="U453" s="95">
        <f>IF(AND(SUMIFS($D$245:$D$595,$F$245:$F$595,0,$E$245:$E$595,$G453,$C$245:$C$595,"&lt;="&amp;S$5)&lt;1000000,SUMIFS($D$245:$D$595,$F$245:$F$595,0,$E$245:$E$595,$G453,$C$245:$C$595,"&lt;="&amp;U5)&gt;=1000000),SUMIFS($D$245:$D$595,$F$245:$F$595,0,$E$245:$E$595,$G453)*$C$157 ,0)</f>
        <v/>
      </c>
      <c r="W453" s="95">
        <f>IF(AND(SUMIFS($D$245:$D$595,$F$245:$F$595,0,$E$245:$E$595,$G453,$C$245:$C$595,"&lt;="&amp;U$5)&lt;1000000,SUMIFS($D$245:$D$595,$F$245:$F$595,0,$E$245:$E$595,$G453,$C$245:$C$595,"&lt;="&amp;W5)&gt;=1000000),SUMIFS($D$245:$D$595,$F$245:$F$595,0,$E$245:$E$595,$G453)*$C$157 ,0)</f>
        <v/>
      </c>
      <c r="Y453" s="95">
        <f>IF(AND(SUMIFS($D$245:$D$595,$F$245:$F$595,0,$E$245:$E$595,$G453,$C$245:$C$595,"&lt;="&amp;W$5)&lt;1000000,SUMIFS($D$245:$D$595,$F$245:$F$595,0,$E$245:$E$595,$G453,$C$245:$C$595,"&lt;="&amp;Y5)&gt;=1000000),SUMIFS($D$245:$D$595,$F$245:$F$595,0,$E$245:$E$595,$G453)*$C$157 ,0)</f>
        <v/>
      </c>
      <c r="AA453" s="95">
        <f>IF(AND(SUMIFS($D$245:$D$595,$F$245:$F$595,0,$E$245:$E$595,$G453,$C$245:$C$595,"&lt;="&amp;Y$5)&lt;1000000,SUMIFS($D$245:$D$595,$F$245:$F$595,0,$E$245:$E$595,$G453,$C$245:$C$595,"&lt;="&amp;AA5)&gt;=1000000),SUMIFS($D$245:$D$595,$F$245:$F$595,0,$E$245:$E$595,$G453)*$C$157 ,0)</f>
        <v/>
      </c>
      <c r="AC453" s="95">
        <f>IF(AND(SUMIFS($D$245:$D$595,$F$245:$F$595,0,$E$245:$E$595,$G453,$C$245:$C$595,"&lt;="&amp;AA$5)&lt;1000000,SUMIFS($D$245:$D$595,$F$245:$F$595,0,$E$245:$E$595,$G453,$C$245:$C$595,"&lt;="&amp;AC5)&gt;=1000000),SUMIFS($D$245:$D$595,$F$245:$F$595,0,$E$245:$E$595,$G453)*$C$157 ,0)</f>
        <v/>
      </c>
      <c r="AE453" s="95">
        <f>IF(AND(SUMIFS($D$245:$D$595,$F$245:$F$595,0,$E$245:$E$595,$G453,$C$245:$C$595,"&lt;="&amp;AC$5)&lt;1000000,SUMIFS($D$245:$D$595,$F$245:$F$595,0,$E$245:$E$595,$G453,$C$245:$C$595,"&lt;="&amp;AE5)&gt;=1000000),SUMIFS($D$245:$D$595,$F$245:$F$595,0,$E$245:$E$595,$G453)*$C$157 ,0)</f>
        <v/>
      </c>
      <c r="AF453" s="19" t="n"/>
    </row>
    <row r="454">
      <c r="A454" s="20">
        <f>mid(E454, 3, 1)</f>
        <v/>
      </c>
      <c r="B454" s="14" t="inlineStr"/>
      <c r="C454" s="21">
        <f>SUMIFS('Investor Exit List'!$AC:$AC,'Investor Exit List'!$AB:$AB,B454)</f>
        <v/>
      </c>
      <c r="D454" s="14">
        <f>SUMIFS('Investor Exit List'!$Q:$Q,'Investor Exit List'!$AB:$AB,B454)</f>
        <v/>
      </c>
      <c r="E454" s="31">
        <f>LEFT(B454,6)</f>
        <v/>
      </c>
      <c r="F454" s="14">
        <f>IF(SUMIFS($E$119:$E$151,$D$119:$D$151,E454)&lt;&gt;0,E454,0)</f>
        <v/>
      </c>
      <c r="G454" s="59" t="n"/>
      <c r="I454" s="28">
        <f>IF(AND(SUMIFS($D$245:$D$595,$F$245:$F$595,0,$E$245:$E$595,$G454,$C$245:$C$595,"&lt;="&amp;B$2)&lt;1000000,SUMIFS($D$245:$D$595,$F$245:$F$595,0,$E$245:$E$595,$G454,$C$245:$C$595,"&lt;="&amp;I5)&gt;=1000000),SUMIFS($D$245:$D$595,$F$245:$F$595,0,$E$245:$E$595,$G454)*$C$157 ,0)</f>
        <v/>
      </c>
      <c r="K454" s="95">
        <f>IF(AND(SUMIFS($D$245:$D$595,$F$245:$F$595,0,$E$245:$E$595,$G454,$C$245:$C$595,"&lt;="&amp;I$5)&lt;1000000,SUMIFS($D$245:$D$595,$F$245:$F$595,0,$E$245:$E$595,$G454,$C$245:$C$595,"&lt;="&amp;K5)&gt;=1000000),SUMIFS($D$245:$D$595,$F$245:$F$595,0,$E$245:$E$595,$G454)*$C$157 ,0)</f>
        <v/>
      </c>
      <c r="M454" s="95">
        <f>IF(AND(SUMIFS($D$245:$D$595,$F$245:$F$595,0,$E$245:$E$595,$G454,$C$245:$C$595,"&lt;="&amp;K$5)&lt;1000000,SUMIFS($D$245:$D$595,$F$245:$F$595,0,$E$245:$E$595,$G454,$C$245:$C$595,"&lt;="&amp;M5)&gt;=1000000),SUMIFS($D$245:$D$595,$F$245:$F$595,0,$E$245:$E$595,$G454)*$C$157 ,0)</f>
        <v/>
      </c>
      <c r="O454" s="95">
        <f>IF(AND(SUMIFS($D$245:$D$595,$F$245:$F$595,0,$E$245:$E$595,$G454,$C$245:$C$595,"&lt;="&amp;M$5)&lt;1000000,SUMIFS($D$245:$D$595,$F$245:$F$595,0,$E$245:$E$595,$G454,$C$245:$C$595,"&lt;="&amp;O5)&gt;=1000000),SUMIFS($D$245:$D$595,$F$245:$F$595,0,$E$245:$E$595,$G454)*$C$157 ,0)</f>
        <v/>
      </c>
      <c r="Q454" s="95">
        <f>IF(AND(SUMIFS($D$245:$D$595,$F$245:$F$595,0,$E$245:$E$595,$G454,$C$245:$C$595,"&lt;="&amp;O$5)&lt;1000000,SUMIFS($D$245:$D$595,$F$245:$F$595,0,$E$245:$E$595,$G454,$C$245:$C$595,"&lt;="&amp;Q5)&gt;=1000000),SUMIFS($D$245:$D$595,$F$245:$F$595,0,$E$245:$E$595,$G454)*$C$157 ,0)</f>
        <v/>
      </c>
      <c r="S454" s="95">
        <f>IF(AND(SUMIFS($D$245:$D$595,$F$245:$F$595,0,$E$245:$E$595,$G454,$C$245:$C$595,"&lt;="&amp;Q$5)&lt;1000000,SUMIFS($D$245:$D$595,$F$245:$F$595,0,$E$245:$E$595,$G454,$C$245:$C$595,"&lt;="&amp;S5)&gt;=1000000),SUMIFS($D$245:$D$595,$F$245:$F$595,0,$E$245:$E$595,$G454)*$C$157 ,0)</f>
        <v/>
      </c>
      <c r="U454" s="95">
        <f>IF(AND(SUMIFS($D$245:$D$595,$F$245:$F$595,0,$E$245:$E$595,$G454,$C$245:$C$595,"&lt;="&amp;S$5)&lt;1000000,SUMIFS($D$245:$D$595,$F$245:$F$595,0,$E$245:$E$595,$G454,$C$245:$C$595,"&lt;="&amp;U5)&gt;=1000000),SUMIFS($D$245:$D$595,$F$245:$F$595,0,$E$245:$E$595,$G454)*$C$157 ,0)</f>
        <v/>
      </c>
      <c r="W454" s="95">
        <f>IF(AND(SUMIFS($D$245:$D$595,$F$245:$F$595,0,$E$245:$E$595,$G454,$C$245:$C$595,"&lt;="&amp;U$5)&lt;1000000,SUMIFS($D$245:$D$595,$F$245:$F$595,0,$E$245:$E$595,$G454,$C$245:$C$595,"&lt;="&amp;W5)&gt;=1000000),SUMIFS($D$245:$D$595,$F$245:$F$595,0,$E$245:$E$595,$G454)*$C$157 ,0)</f>
        <v/>
      </c>
      <c r="Y454" s="95">
        <f>IF(AND(SUMIFS($D$245:$D$595,$F$245:$F$595,0,$E$245:$E$595,$G454,$C$245:$C$595,"&lt;="&amp;W$5)&lt;1000000,SUMIFS($D$245:$D$595,$F$245:$F$595,0,$E$245:$E$595,$G454,$C$245:$C$595,"&lt;="&amp;Y5)&gt;=1000000),SUMIFS($D$245:$D$595,$F$245:$F$595,0,$E$245:$E$595,$G454)*$C$157 ,0)</f>
        <v/>
      </c>
      <c r="AA454" s="95">
        <f>IF(AND(SUMIFS($D$245:$D$595,$F$245:$F$595,0,$E$245:$E$595,$G454,$C$245:$C$595,"&lt;="&amp;Y$5)&lt;1000000,SUMIFS($D$245:$D$595,$F$245:$F$595,0,$E$245:$E$595,$G454,$C$245:$C$595,"&lt;="&amp;AA5)&gt;=1000000),SUMIFS($D$245:$D$595,$F$245:$F$595,0,$E$245:$E$595,$G454)*$C$157 ,0)</f>
        <v/>
      </c>
      <c r="AC454" s="95">
        <f>IF(AND(SUMIFS($D$245:$D$595,$F$245:$F$595,0,$E$245:$E$595,$G454,$C$245:$C$595,"&lt;="&amp;AA$5)&lt;1000000,SUMIFS($D$245:$D$595,$F$245:$F$595,0,$E$245:$E$595,$G454,$C$245:$C$595,"&lt;="&amp;AC5)&gt;=1000000),SUMIFS($D$245:$D$595,$F$245:$F$595,0,$E$245:$E$595,$G454)*$C$157 ,0)</f>
        <v/>
      </c>
      <c r="AE454" s="95">
        <f>IF(AND(SUMIFS($D$245:$D$595,$F$245:$F$595,0,$E$245:$E$595,$G454,$C$245:$C$595,"&lt;="&amp;AC$5)&lt;1000000,SUMIFS($D$245:$D$595,$F$245:$F$595,0,$E$245:$E$595,$G454,$C$245:$C$595,"&lt;="&amp;AE5)&gt;=1000000),SUMIFS($D$245:$D$595,$F$245:$F$595,0,$E$245:$E$595,$G454)*$C$157 ,0)</f>
        <v/>
      </c>
      <c r="AF454" s="19" t="n"/>
    </row>
    <row r="455">
      <c r="A455" s="20">
        <f>mid(E455, 3, 1)</f>
        <v/>
      </c>
      <c r="B455" s="14" t="inlineStr"/>
      <c r="C455" s="21">
        <f>SUMIFS('Investor Exit List'!$AC:$AC,'Investor Exit List'!$AB:$AB,B455)</f>
        <v/>
      </c>
      <c r="D455" s="14">
        <f>SUMIFS('Investor Exit List'!$Q:$Q,'Investor Exit List'!$AB:$AB,B455)</f>
        <v/>
      </c>
      <c r="E455" s="31">
        <f>LEFT(B455,6)</f>
        <v/>
      </c>
      <c r="F455" s="14">
        <f>IF(SUMIFS($E$119:$E$151,$D$119:$D$151,E455)&lt;&gt;0,E455,0)</f>
        <v/>
      </c>
      <c r="G455" s="59" t="n"/>
      <c r="I455" s="28">
        <f>IF(AND(SUMIFS($D$245:$D$595,$F$245:$F$595,0,$E$245:$E$595,$G455,$C$245:$C$595,"&lt;="&amp;B$2)&lt;1000000,SUMIFS($D$245:$D$595,$F$245:$F$595,0,$E$245:$E$595,$G455,$C$245:$C$595,"&lt;="&amp;I5)&gt;=1000000),SUMIFS($D$245:$D$595,$F$245:$F$595,0,$E$245:$E$595,$G455)*$C$157 ,0)</f>
        <v/>
      </c>
      <c r="K455" s="95">
        <f>IF(AND(SUMIFS($D$245:$D$595,$F$245:$F$595,0,$E$245:$E$595,$G455,$C$245:$C$595,"&lt;="&amp;I$5)&lt;1000000,SUMIFS($D$245:$D$595,$F$245:$F$595,0,$E$245:$E$595,$G455,$C$245:$C$595,"&lt;="&amp;K5)&gt;=1000000),SUMIFS($D$245:$D$595,$F$245:$F$595,0,$E$245:$E$595,$G455)*$C$157 ,0)</f>
        <v/>
      </c>
      <c r="M455" s="95">
        <f>IF(AND(SUMIFS($D$245:$D$595,$F$245:$F$595,0,$E$245:$E$595,$G455,$C$245:$C$595,"&lt;="&amp;K$5)&lt;1000000,SUMIFS($D$245:$D$595,$F$245:$F$595,0,$E$245:$E$595,$G455,$C$245:$C$595,"&lt;="&amp;M5)&gt;=1000000),SUMIFS($D$245:$D$595,$F$245:$F$595,0,$E$245:$E$595,$G455)*$C$157 ,0)</f>
        <v/>
      </c>
      <c r="O455" s="95">
        <f>IF(AND(SUMIFS($D$245:$D$595,$F$245:$F$595,0,$E$245:$E$595,$G455,$C$245:$C$595,"&lt;="&amp;M$5)&lt;1000000,SUMIFS($D$245:$D$595,$F$245:$F$595,0,$E$245:$E$595,$G455,$C$245:$C$595,"&lt;="&amp;O5)&gt;=1000000),SUMIFS($D$245:$D$595,$F$245:$F$595,0,$E$245:$E$595,$G455)*$C$157 ,0)</f>
        <v/>
      </c>
      <c r="Q455" s="95">
        <f>IF(AND(SUMIFS($D$245:$D$595,$F$245:$F$595,0,$E$245:$E$595,$G455,$C$245:$C$595,"&lt;="&amp;O$5)&lt;1000000,SUMIFS($D$245:$D$595,$F$245:$F$595,0,$E$245:$E$595,$G455,$C$245:$C$595,"&lt;="&amp;Q5)&gt;=1000000),SUMIFS($D$245:$D$595,$F$245:$F$595,0,$E$245:$E$595,$G455)*$C$157 ,0)</f>
        <v/>
      </c>
      <c r="S455" s="95">
        <f>IF(AND(SUMIFS($D$245:$D$595,$F$245:$F$595,0,$E$245:$E$595,$G455,$C$245:$C$595,"&lt;="&amp;Q$5)&lt;1000000,SUMIFS($D$245:$D$595,$F$245:$F$595,0,$E$245:$E$595,$G455,$C$245:$C$595,"&lt;="&amp;S5)&gt;=1000000),SUMIFS($D$245:$D$595,$F$245:$F$595,0,$E$245:$E$595,$G455)*$C$157 ,0)</f>
        <v/>
      </c>
      <c r="U455" s="95">
        <f>IF(AND(SUMIFS($D$245:$D$595,$F$245:$F$595,0,$E$245:$E$595,$G455,$C$245:$C$595,"&lt;="&amp;S$5)&lt;1000000,SUMIFS($D$245:$D$595,$F$245:$F$595,0,$E$245:$E$595,$G455,$C$245:$C$595,"&lt;="&amp;U5)&gt;=1000000),SUMIFS($D$245:$D$595,$F$245:$F$595,0,$E$245:$E$595,$G455)*$C$157 ,0)</f>
        <v/>
      </c>
      <c r="W455" s="95">
        <f>IF(AND(SUMIFS($D$245:$D$595,$F$245:$F$595,0,$E$245:$E$595,$G455,$C$245:$C$595,"&lt;="&amp;U$5)&lt;1000000,SUMIFS($D$245:$D$595,$F$245:$F$595,0,$E$245:$E$595,$G455,$C$245:$C$595,"&lt;="&amp;W5)&gt;=1000000),SUMIFS($D$245:$D$595,$F$245:$F$595,0,$E$245:$E$595,$G455)*$C$157 ,0)</f>
        <v/>
      </c>
      <c r="Y455" s="95">
        <f>IF(AND(SUMIFS($D$245:$D$595,$F$245:$F$595,0,$E$245:$E$595,$G455,$C$245:$C$595,"&lt;="&amp;W$5)&lt;1000000,SUMIFS($D$245:$D$595,$F$245:$F$595,0,$E$245:$E$595,$G455,$C$245:$C$595,"&lt;="&amp;Y5)&gt;=1000000),SUMIFS($D$245:$D$595,$F$245:$F$595,0,$E$245:$E$595,$G455)*$C$157 ,0)</f>
        <v/>
      </c>
      <c r="AA455" s="95">
        <f>IF(AND(SUMIFS($D$245:$D$595,$F$245:$F$595,0,$E$245:$E$595,$G455,$C$245:$C$595,"&lt;="&amp;Y$5)&lt;1000000,SUMIFS($D$245:$D$595,$F$245:$F$595,0,$E$245:$E$595,$G455,$C$245:$C$595,"&lt;="&amp;AA5)&gt;=1000000),SUMIFS($D$245:$D$595,$F$245:$F$595,0,$E$245:$E$595,$G455)*$C$157 ,0)</f>
        <v/>
      </c>
      <c r="AC455" s="95">
        <f>IF(AND(SUMIFS($D$245:$D$595,$F$245:$F$595,0,$E$245:$E$595,$G455,$C$245:$C$595,"&lt;="&amp;AA$5)&lt;1000000,SUMIFS($D$245:$D$595,$F$245:$F$595,0,$E$245:$E$595,$G455,$C$245:$C$595,"&lt;="&amp;AC5)&gt;=1000000),SUMIFS($D$245:$D$595,$F$245:$F$595,0,$E$245:$E$595,$G455)*$C$157 ,0)</f>
        <v/>
      </c>
      <c r="AE455" s="95">
        <f>IF(AND(SUMIFS($D$245:$D$595,$F$245:$F$595,0,$E$245:$E$595,$G455,$C$245:$C$595,"&lt;="&amp;AC$5)&lt;1000000,SUMIFS($D$245:$D$595,$F$245:$F$595,0,$E$245:$E$595,$G455,$C$245:$C$595,"&lt;="&amp;AE5)&gt;=1000000),SUMIFS($D$245:$D$595,$F$245:$F$595,0,$E$245:$E$595,$G455)*$C$157 ,0)</f>
        <v/>
      </c>
      <c r="AF455" s="19" t="n"/>
    </row>
    <row r="456">
      <c r="A456" s="20">
        <f>mid(E456, 3, 1)</f>
        <v/>
      </c>
      <c r="B456" s="14" t="inlineStr"/>
      <c r="C456" s="21">
        <f>SUMIFS('Investor Exit List'!$AC:$AC,'Investor Exit List'!$AB:$AB,B456)</f>
        <v/>
      </c>
      <c r="D456" s="14">
        <f>SUMIFS('Investor Exit List'!$Q:$Q,'Investor Exit List'!$AB:$AB,B456)</f>
        <v/>
      </c>
      <c r="E456" s="31">
        <f>LEFT(B456,6)</f>
        <v/>
      </c>
      <c r="F456" s="14">
        <f>IF(SUMIFS($E$119:$E$151,$D$119:$D$151,E456)&lt;&gt;0,E456,0)</f>
        <v/>
      </c>
      <c r="G456" s="59" t="n"/>
      <c r="I456" s="28">
        <f>IF(AND(SUMIFS($D$245:$D$595,$F$245:$F$595,0,$E$245:$E$595,$G456,$C$245:$C$595,"&lt;="&amp;B$2)&lt;1000000,SUMIFS($D$245:$D$595,$F$245:$F$595,0,$E$245:$E$595,$G456,$C$245:$C$595,"&lt;="&amp;I5)&gt;=1000000),SUMIFS($D$245:$D$595,$F$245:$F$595,0,$E$245:$E$595,$G456)*$C$157 ,0)</f>
        <v/>
      </c>
      <c r="K456" s="95">
        <f>IF(AND(SUMIFS($D$245:$D$595,$F$245:$F$595,0,$E$245:$E$595,$G456,$C$245:$C$595,"&lt;="&amp;I$5)&lt;1000000,SUMIFS($D$245:$D$595,$F$245:$F$595,0,$E$245:$E$595,$G456,$C$245:$C$595,"&lt;="&amp;K5)&gt;=1000000),SUMIFS($D$245:$D$595,$F$245:$F$595,0,$E$245:$E$595,$G456)*$C$157 ,0)</f>
        <v/>
      </c>
      <c r="M456" s="95">
        <f>IF(AND(SUMIFS($D$245:$D$595,$F$245:$F$595,0,$E$245:$E$595,$G456,$C$245:$C$595,"&lt;="&amp;K$5)&lt;1000000,SUMIFS($D$245:$D$595,$F$245:$F$595,0,$E$245:$E$595,$G456,$C$245:$C$595,"&lt;="&amp;M5)&gt;=1000000),SUMIFS($D$245:$D$595,$F$245:$F$595,0,$E$245:$E$595,$G456)*$C$157 ,0)</f>
        <v/>
      </c>
      <c r="O456" s="95">
        <f>IF(AND(SUMIFS($D$245:$D$595,$F$245:$F$595,0,$E$245:$E$595,$G456,$C$245:$C$595,"&lt;="&amp;M$5)&lt;1000000,SUMIFS($D$245:$D$595,$F$245:$F$595,0,$E$245:$E$595,$G456,$C$245:$C$595,"&lt;="&amp;O5)&gt;=1000000),SUMIFS($D$245:$D$595,$F$245:$F$595,0,$E$245:$E$595,$G456)*$C$157 ,0)</f>
        <v/>
      </c>
      <c r="Q456" s="95">
        <f>IF(AND(SUMIFS($D$245:$D$595,$F$245:$F$595,0,$E$245:$E$595,$G456,$C$245:$C$595,"&lt;="&amp;O$5)&lt;1000000,SUMIFS($D$245:$D$595,$F$245:$F$595,0,$E$245:$E$595,$G456,$C$245:$C$595,"&lt;="&amp;Q5)&gt;=1000000),SUMIFS($D$245:$D$595,$F$245:$F$595,0,$E$245:$E$595,$G456)*$C$157 ,0)</f>
        <v/>
      </c>
      <c r="S456" s="95">
        <f>IF(AND(SUMIFS($D$245:$D$595,$F$245:$F$595,0,$E$245:$E$595,$G456,$C$245:$C$595,"&lt;="&amp;Q$5)&lt;1000000,SUMIFS($D$245:$D$595,$F$245:$F$595,0,$E$245:$E$595,$G456,$C$245:$C$595,"&lt;="&amp;S5)&gt;=1000000),SUMIFS($D$245:$D$595,$F$245:$F$595,0,$E$245:$E$595,$G456)*$C$157 ,0)</f>
        <v/>
      </c>
      <c r="U456" s="95">
        <f>IF(AND(SUMIFS($D$245:$D$595,$F$245:$F$595,0,$E$245:$E$595,$G456,$C$245:$C$595,"&lt;="&amp;S$5)&lt;1000000,SUMIFS($D$245:$D$595,$F$245:$F$595,0,$E$245:$E$595,$G456,$C$245:$C$595,"&lt;="&amp;U5)&gt;=1000000),SUMIFS($D$245:$D$595,$F$245:$F$595,0,$E$245:$E$595,$G456)*$C$157 ,0)</f>
        <v/>
      </c>
      <c r="W456" s="95">
        <f>IF(AND(SUMIFS($D$245:$D$595,$F$245:$F$595,0,$E$245:$E$595,$G456,$C$245:$C$595,"&lt;="&amp;U$5)&lt;1000000,SUMIFS($D$245:$D$595,$F$245:$F$595,0,$E$245:$E$595,$G456,$C$245:$C$595,"&lt;="&amp;W5)&gt;=1000000),SUMIFS($D$245:$D$595,$F$245:$F$595,0,$E$245:$E$595,$G456)*$C$157 ,0)</f>
        <v/>
      </c>
      <c r="Y456" s="95">
        <f>IF(AND(SUMIFS($D$245:$D$595,$F$245:$F$595,0,$E$245:$E$595,$G456,$C$245:$C$595,"&lt;="&amp;W$5)&lt;1000000,SUMIFS($D$245:$D$595,$F$245:$F$595,0,$E$245:$E$595,$G456,$C$245:$C$595,"&lt;="&amp;Y5)&gt;=1000000),SUMIFS($D$245:$D$595,$F$245:$F$595,0,$E$245:$E$595,$G456)*$C$157 ,0)</f>
        <v/>
      </c>
      <c r="AA456" s="95">
        <f>IF(AND(SUMIFS($D$245:$D$595,$F$245:$F$595,0,$E$245:$E$595,$G456,$C$245:$C$595,"&lt;="&amp;Y$5)&lt;1000000,SUMIFS($D$245:$D$595,$F$245:$F$595,0,$E$245:$E$595,$G456,$C$245:$C$595,"&lt;="&amp;AA5)&gt;=1000000),SUMIFS($D$245:$D$595,$F$245:$F$595,0,$E$245:$E$595,$G456)*$C$157 ,0)</f>
        <v/>
      </c>
      <c r="AC456" s="95">
        <f>IF(AND(SUMIFS($D$245:$D$595,$F$245:$F$595,0,$E$245:$E$595,$G456,$C$245:$C$595,"&lt;="&amp;AA$5)&lt;1000000,SUMIFS($D$245:$D$595,$F$245:$F$595,0,$E$245:$E$595,$G456,$C$245:$C$595,"&lt;="&amp;AC5)&gt;=1000000),SUMIFS($D$245:$D$595,$F$245:$F$595,0,$E$245:$E$595,$G456)*$C$157 ,0)</f>
        <v/>
      </c>
      <c r="AE456" s="95">
        <f>IF(AND(SUMIFS($D$245:$D$595,$F$245:$F$595,0,$E$245:$E$595,$G456,$C$245:$C$595,"&lt;="&amp;AC$5)&lt;1000000,SUMIFS($D$245:$D$595,$F$245:$F$595,0,$E$245:$E$595,$G456,$C$245:$C$595,"&lt;="&amp;AE5)&gt;=1000000),SUMIFS($D$245:$D$595,$F$245:$F$595,0,$E$245:$E$595,$G456)*$C$157 ,0)</f>
        <v/>
      </c>
      <c r="AF456" s="19" t="n"/>
    </row>
    <row r="457">
      <c r="A457" s="20">
        <f>mid(E457, 3, 1)</f>
        <v/>
      </c>
      <c r="B457" s="14" t="inlineStr"/>
      <c r="C457" s="21">
        <f>SUMIFS('Investor Exit List'!$AC:$AC,'Investor Exit List'!$AB:$AB,B457)</f>
        <v/>
      </c>
      <c r="D457" s="14">
        <f>SUMIFS('Investor Exit List'!$Q:$Q,'Investor Exit List'!$AB:$AB,B457)</f>
        <v/>
      </c>
      <c r="E457" s="31">
        <f>LEFT(B457,6)</f>
        <v/>
      </c>
      <c r="F457" s="14">
        <f>IF(SUMIFS($E$119:$E$151,$D$119:$D$151,E457)&lt;&gt;0,E457,0)</f>
        <v/>
      </c>
      <c r="G457" s="59" t="n"/>
      <c r="I457" s="28">
        <f>IF(AND(SUMIFS($D$245:$D$595,$F$245:$F$595,0,$E$245:$E$595,$G457,$C$245:$C$595,"&lt;="&amp;B$2)&lt;1000000,SUMIFS($D$245:$D$595,$F$245:$F$595,0,$E$245:$E$595,$G457,$C$245:$C$595,"&lt;="&amp;I5)&gt;=1000000),SUMIFS($D$245:$D$595,$F$245:$F$595,0,$E$245:$E$595,$G457)*$C$157 ,0)</f>
        <v/>
      </c>
      <c r="K457" s="95">
        <f>IF(AND(SUMIFS($D$245:$D$595,$F$245:$F$595,0,$E$245:$E$595,$G457,$C$245:$C$595,"&lt;="&amp;I$5)&lt;1000000,SUMIFS($D$245:$D$595,$F$245:$F$595,0,$E$245:$E$595,$G457,$C$245:$C$595,"&lt;="&amp;K5)&gt;=1000000),SUMIFS($D$245:$D$595,$F$245:$F$595,0,$E$245:$E$595,$G457)*$C$157 ,0)</f>
        <v/>
      </c>
      <c r="M457" s="95">
        <f>IF(AND(SUMIFS($D$245:$D$595,$F$245:$F$595,0,$E$245:$E$595,$G457,$C$245:$C$595,"&lt;="&amp;K$5)&lt;1000000,SUMIFS($D$245:$D$595,$F$245:$F$595,0,$E$245:$E$595,$G457,$C$245:$C$595,"&lt;="&amp;M5)&gt;=1000000),SUMIFS($D$245:$D$595,$F$245:$F$595,0,$E$245:$E$595,$G457)*$C$157 ,0)</f>
        <v/>
      </c>
      <c r="O457" s="95">
        <f>IF(AND(SUMIFS($D$245:$D$595,$F$245:$F$595,0,$E$245:$E$595,$G457,$C$245:$C$595,"&lt;="&amp;M$5)&lt;1000000,SUMIFS($D$245:$D$595,$F$245:$F$595,0,$E$245:$E$595,$G457,$C$245:$C$595,"&lt;="&amp;O5)&gt;=1000000),SUMIFS($D$245:$D$595,$F$245:$F$595,0,$E$245:$E$595,$G457)*$C$157 ,0)</f>
        <v/>
      </c>
      <c r="Q457" s="95">
        <f>IF(AND(SUMIFS($D$245:$D$595,$F$245:$F$595,0,$E$245:$E$595,$G457,$C$245:$C$595,"&lt;="&amp;O$5)&lt;1000000,SUMIFS($D$245:$D$595,$F$245:$F$595,0,$E$245:$E$595,$G457,$C$245:$C$595,"&lt;="&amp;Q5)&gt;=1000000),SUMIFS($D$245:$D$595,$F$245:$F$595,0,$E$245:$E$595,$G457)*$C$157 ,0)</f>
        <v/>
      </c>
      <c r="S457" s="95">
        <f>IF(AND(SUMIFS($D$245:$D$595,$F$245:$F$595,0,$E$245:$E$595,$G457,$C$245:$C$595,"&lt;="&amp;Q$5)&lt;1000000,SUMIFS($D$245:$D$595,$F$245:$F$595,0,$E$245:$E$595,$G457,$C$245:$C$595,"&lt;="&amp;S5)&gt;=1000000),SUMIFS($D$245:$D$595,$F$245:$F$595,0,$E$245:$E$595,$G457)*$C$157 ,0)</f>
        <v/>
      </c>
      <c r="U457" s="95">
        <f>IF(AND(SUMIFS($D$245:$D$595,$F$245:$F$595,0,$E$245:$E$595,$G457,$C$245:$C$595,"&lt;="&amp;S$5)&lt;1000000,SUMIFS($D$245:$D$595,$F$245:$F$595,0,$E$245:$E$595,$G457,$C$245:$C$595,"&lt;="&amp;U5)&gt;=1000000),SUMIFS($D$245:$D$595,$F$245:$F$595,0,$E$245:$E$595,$G457)*$C$157 ,0)</f>
        <v/>
      </c>
      <c r="W457" s="95">
        <f>IF(AND(SUMIFS($D$245:$D$595,$F$245:$F$595,0,$E$245:$E$595,$G457,$C$245:$C$595,"&lt;="&amp;U$5)&lt;1000000,SUMIFS($D$245:$D$595,$F$245:$F$595,0,$E$245:$E$595,$G457,$C$245:$C$595,"&lt;="&amp;W5)&gt;=1000000),SUMIFS($D$245:$D$595,$F$245:$F$595,0,$E$245:$E$595,$G457)*$C$157 ,0)</f>
        <v/>
      </c>
      <c r="Y457" s="95">
        <f>IF(AND(SUMIFS($D$245:$D$595,$F$245:$F$595,0,$E$245:$E$595,$G457,$C$245:$C$595,"&lt;="&amp;W$5)&lt;1000000,SUMIFS($D$245:$D$595,$F$245:$F$595,0,$E$245:$E$595,$G457,$C$245:$C$595,"&lt;="&amp;Y5)&gt;=1000000),SUMIFS($D$245:$D$595,$F$245:$F$595,0,$E$245:$E$595,$G457)*$C$157 ,0)</f>
        <v/>
      </c>
      <c r="AA457" s="95">
        <f>IF(AND(SUMIFS($D$245:$D$595,$F$245:$F$595,0,$E$245:$E$595,$G457,$C$245:$C$595,"&lt;="&amp;Y$5)&lt;1000000,SUMIFS($D$245:$D$595,$F$245:$F$595,0,$E$245:$E$595,$G457,$C$245:$C$595,"&lt;="&amp;AA5)&gt;=1000000),SUMIFS($D$245:$D$595,$F$245:$F$595,0,$E$245:$E$595,$G457)*$C$157 ,0)</f>
        <v/>
      </c>
      <c r="AC457" s="95">
        <f>IF(AND(SUMIFS($D$245:$D$595,$F$245:$F$595,0,$E$245:$E$595,$G457,$C$245:$C$595,"&lt;="&amp;AA$5)&lt;1000000,SUMIFS($D$245:$D$595,$F$245:$F$595,0,$E$245:$E$595,$G457,$C$245:$C$595,"&lt;="&amp;AC5)&gt;=1000000),SUMIFS($D$245:$D$595,$F$245:$F$595,0,$E$245:$E$595,$G457)*$C$157 ,0)</f>
        <v/>
      </c>
      <c r="AE457" s="95">
        <f>IF(AND(SUMIFS($D$245:$D$595,$F$245:$F$595,0,$E$245:$E$595,$G457,$C$245:$C$595,"&lt;="&amp;AC$5)&lt;1000000,SUMIFS($D$245:$D$595,$F$245:$F$595,0,$E$245:$E$595,$G457,$C$245:$C$595,"&lt;="&amp;AE5)&gt;=1000000),SUMIFS($D$245:$D$595,$F$245:$F$595,0,$E$245:$E$595,$G457)*$C$157 ,0)</f>
        <v/>
      </c>
      <c r="AF457" s="19" t="n"/>
    </row>
    <row r="458">
      <c r="A458" s="20">
        <f>mid(E458, 3, 1)</f>
        <v/>
      </c>
      <c r="B458" s="14" t="inlineStr"/>
      <c r="C458" s="21">
        <f>SUMIFS('Investor Exit List'!$AC:$AC,'Investor Exit List'!$AB:$AB,B458)</f>
        <v/>
      </c>
      <c r="D458" s="14">
        <f>SUMIFS('Investor Exit List'!$Q:$Q,'Investor Exit List'!$AB:$AB,B458)</f>
        <v/>
      </c>
      <c r="E458" s="31">
        <f>LEFT(B458,6)</f>
        <v/>
      </c>
      <c r="F458" s="14">
        <f>IF(SUMIFS($E$119:$E$151,$D$119:$D$151,E458)&lt;&gt;0,E458,0)</f>
        <v/>
      </c>
      <c r="G458" s="59" t="n"/>
      <c r="I458" s="28">
        <f>IF(AND(SUMIFS($D$245:$D$595,$F$245:$F$595,0,$E$245:$E$595,$G458,$C$245:$C$595,"&lt;="&amp;B$2)&lt;1000000,SUMIFS($D$245:$D$595,$F$245:$F$595,0,$E$245:$E$595,$G458,$C$245:$C$595,"&lt;="&amp;I5)&gt;=1000000),SUMIFS($D$245:$D$595,$F$245:$F$595,0,$E$245:$E$595,$G458)*$C$157 ,0)</f>
        <v/>
      </c>
      <c r="K458" s="95">
        <f>IF(AND(SUMIFS($D$245:$D$595,$F$245:$F$595,0,$E$245:$E$595,$G458,$C$245:$C$595,"&lt;="&amp;I$5)&lt;1000000,SUMIFS($D$245:$D$595,$F$245:$F$595,0,$E$245:$E$595,$G458,$C$245:$C$595,"&lt;="&amp;K5)&gt;=1000000),SUMIFS($D$245:$D$595,$F$245:$F$595,0,$E$245:$E$595,$G458)*$C$157 ,0)</f>
        <v/>
      </c>
      <c r="M458" s="95">
        <f>IF(AND(SUMIFS($D$245:$D$595,$F$245:$F$595,0,$E$245:$E$595,$G458,$C$245:$C$595,"&lt;="&amp;K$5)&lt;1000000,SUMIFS($D$245:$D$595,$F$245:$F$595,0,$E$245:$E$595,$G458,$C$245:$C$595,"&lt;="&amp;M5)&gt;=1000000),SUMIFS($D$245:$D$595,$F$245:$F$595,0,$E$245:$E$595,$G458)*$C$157 ,0)</f>
        <v/>
      </c>
      <c r="O458" s="95">
        <f>IF(AND(SUMIFS($D$245:$D$595,$F$245:$F$595,0,$E$245:$E$595,$G458,$C$245:$C$595,"&lt;="&amp;M$5)&lt;1000000,SUMIFS($D$245:$D$595,$F$245:$F$595,0,$E$245:$E$595,$G458,$C$245:$C$595,"&lt;="&amp;O5)&gt;=1000000),SUMIFS($D$245:$D$595,$F$245:$F$595,0,$E$245:$E$595,$G458)*$C$157 ,0)</f>
        <v/>
      </c>
      <c r="Q458" s="95">
        <f>IF(AND(SUMIFS($D$245:$D$595,$F$245:$F$595,0,$E$245:$E$595,$G458,$C$245:$C$595,"&lt;="&amp;O$5)&lt;1000000,SUMIFS($D$245:$D$595,$F$245:$F$595,0,$E$245:$E$595,$G458,$C$245:$C$595,"&lt;="&amp;Q5)&gt;=1000000),SUMIFS($D$245:$D$595,$F$245:$F$595,0,$E$245:$E$595,$G458)*$C$157 ,0)</f>
        <v/>
      </c>
      <c r="S458" s="95">
        <f>IF(AND(SUMIFS($D$245:$D$595,$F$245:$F$595,0,$E$245:$E$595,$G458,$C$245:$C$595,"&lt;="&amp;Q$5)&lt;1000000,SUMIFS($D$245:$D$595,$F$245:$F$595,0,$E$245:$E$595,$G458,$C$245:$C$595,"&lt;="&amp;S5)&gt;=1000000),SUMIFS($D$245:$D$595,$F$245:$F$595,0,$E$245:$E$595,$G458)*$C$157 ,0)</f>
        <v/>
      </c>
      <c r="U458" s="95">
        <f>IF(AND(SUMIFS($D$245:$D$595,$F$245:$F$595,0,$E$245:$E$595,$G458,$C$245:$C$595,"&lt;="&amp;S$5)&lt;1000000,SUMIFS($D$245:$D$595,$F$245:$F$595,0,$E$245:$E$595,$G458,$C$245:$C$595,"&lt;="&amp;U5)&gt;=1000000),SUMIFS($D$245:$D$595,$F$245:$F$595,0,$E$245:$E$595,$G458)*$C$157 ,0)</f>
        <v/>
      </c>
      <c r="W458" s="95">
        <f>IF(AND(SUMIFS($D$245:$D$595,$F$245:$F$595,0,$E$245:$E$595,$G458,$C$245:$C$595,"&lt;="&amp;U$5)&lt;1000000,SUMIFS($D$245:$D$595,$F$245:$F$595,0,$E$245:$E$595,$G458,$C$245:$C$595,"&lt;="&amp;W5)&gt;=1000000),SUMIFS($D$245:$D$595,$F$245:$F$595,0,$E$245:$E$595,$G458)*$C$157 ,0)</f>
        <v/>
      </c>
      <c r="Y458" s="95">
        <f>IF(AND(SUMIFS($D$245:$D$595,$F$245:$F$595,0,$E$245:$E$595,$G458,$C$245:$C$595,"&lt;="&amp;W$5)&lt;1000000,SUMIFS($D$245:$D$595,$F$245:$F$595,0,$E$245:$E$595,$G458,$C$245:$C$595,"&lt;="&amp;Y5)&gt;=1000000),SUMIFS($D$245:$D$595,$F$245:$F$595,0,$E$245:$E$595,$G458)*$C$157 ,0)</f>
        <v/>
      </c>
      <c r="AA458" s="95">
        <f>IF(AND(SUMIFS($D$245:$D$595,$F$245:$F$595,0,$E$245:$E$595,$G458,$C$245:$C$595,"&lt;="&amp;Y$5)&lt;1000000,SUMIFS($D$245:$D$595,$F$245:$F$595,0,$E$245:$E$595,$G458,$C$245:$C$595,"&lt;="&amp;AA5)&gt;=1000000),SUMIFS($D$245:$D$595,$F$245:$F$595,0,$E$245:$E$595,$G458)*$C$157 ,0)</f>
        <v/>
      </c>
      <c r="AC458" s="95">
        <f>IF(AND(SUMIFS($D$245:$D$595,$F$245:$F$595,0,$E$245:$E$595,$G458,$C$245:$C$595,"&lt;="&amp;AA$5)&lt;1000000,SUMIFS($D$245:$D$595,$F$245:$F$595,0,$E$245:$E$595,$G458,$C$245:$C$595,"&lt;="&amp;AC5)&gt;=1000000),SUMIFS($D$245:$D$595,$F$245:$F$595,0,$E$245:$E$595,$G458)*$C$157 ,0)</f>
        <v/>
      </c>
      <c r="AE458" s="95">
        <f>IF(AND(SUMIFS($D$245:$D$595,$F$245:$F$595,0,$E$245:$E$595,$G458,$C$245:$C$595,"&lt;="&amp;AC$5)&lt;1000000,SUMIFS($D$245:$D$595,$F$245:$F$595,0,$E$245:$E$595,$G458,$C$245:$C$595,"&lt;="&amp;AE5)&gt;=1000000),SUMIFS($D$245:$D$595,$F$245:$F$595,0,$E$245:$E$595,$G458)*$C$157 ,0)</f>
        <v/>
      </c>
      <c r="AF458" s="19" t="n"/>
    </row>
    <row r="459">
      <c r="A459" s="20">
        <f>mid(E459, 3, 1)</f>
        <v/>
      </c>
      <c r="B459" s="14" t="inlineStr"/>
      <c r="C459" s="21">
        <f>SUMIFS('Investor Exit List'!$AC:$AC,'Investor Exit List'!$AB:$AB,B459)</f>
        <v/>
      </c>
      <c r="D459" s="14">
        <f>SUMIFS('Investor Exit List'!$Q:$Q,'Investor Exit List'!$AB:$AB,B459)</f>
        <v/>
      </c>
      <c r="E459" s="31">
        <f>LEFT(B459,6)</f>
        <v/>
      </c>
      <c r="F459" s="14">
        <f>IF(SUMIFS($E$119:$E$151,$D$119:$D$151,E459)&lt;&gt;0,E459,0)</f>
        <v/>
      </c>
      <c r="G459" s="59" t="n"/>
      <c r="I459" s="28">
        <f>IF(AND(SUMIFS($D$245:$D$595,$F$245:$F$595,0,$E$245:$E$595,$G459,$C$245:$C$595,"&lt;="&amp;B$2)&lt;1000000,SUMIFS($D$245:$D$595,$F$245:$F$595,0,$E$245:$E$595,$G459,$C$245:$C$595,"&lt;="&amp;I5)&gt;=1000000),SUMIFS($D$245:$D$595,$F$245:$F$595,0,$E$245:$E$595,$G459)*$C$157 ,0)</f>
        <v/>
      </c>
      <c r="K459" s="95">
        <f>IF(AND(SUMIFS($D$245:$D$595,$F$245:$F$595,0,$E$245:$E$595,$G459,$C$245:$C$595,"&lt;="&amp;I$5)&lt;1000000,SUMIFS($D$245:$D$595,$F$245:$F$595,0,$E$245:$E$595,$G459,$C$245:$C$595,"&lt;="&amp;K5)&gt;=1000000),SUMIFS($D$245:$D$595,$F$245:$F$595,0,$E$245:$E$595,$G459)*$C$157 ,0)</f>
        <v/>
      </c>
      <c r="M459" s="95">
        <f>IF(AND(SUMIFS($D$245:$D$595,$F$245:$F$595,0,$E$245:$E$595,$G459,$C$245:$C$595,"&lt;="&amp;K$5)&lt;1000000,SUMIFS($D$245:$D$595,$F$245:$F$595,0,$E$245:$E$595,$G459,$C$245:$C$595,"&lt;="&amp;M5)&gt;=1000000),SUMIFS($D$245:$D$595,$F$245:$F$595,0,$E$245:$E$595,$G459)*$C$157 ,0)</f>
        <v/>
      </c>
      <c r="O459" s="95">
        <f>IF(AND(SUMIFS($D$245:$D$595,$F$245:$F$595,0,$E$245:$E$595,$G459,$C$245:$C$595,"&lt;="&amp;M$5)&lt;1000000,SUMIFS($D$245:$D$595,$F$245:$F$595,0,$E$245:$E$595,$G459,$C$245:$C$595,"&lt;="&amp;O5)&gt;=1000000),SUMIFS($D$245:$D$595,$F$245:$F$595,0,$E$245:$E$595,$G459)*$C$157 ,0)</f>
        <v/>
      </c>
      <c r="Q459" s="95">
        <f>IF(AND(SUMIFS($D$245:$D$595,$F$245:$F$595,0,$E$245:$E$595,$G459,$C$245:$C$595,"&lt;="&amp;O$5)&lt;1000000,SUMIFS($D$245:$D$595,$F$245:$F$595,0,$E$245:$E$595,$G459,$C$245:$C$595,"&lt;="&amp;Q5)&gt;=1000000),SUMIFS($D$245:$D$595,$F$245:$F$595,0,$E$245:$E$595,$G459)*$C$157 ,0)</f>
        <v/>
      </c>
      <c r="S459" s="95">
        <f>IF(AND(SUMIFS($D$245:$D$595,$F$245:$F$595,0,$E$245:$E$595,$G459,$C$245:$C$595,"&lt;="&amp;Q$5)&lt;1000000,SUMIFS($D$245:$D$595,$F$245:$F$595,0,$E$245:$E$595,$G459,$C$245:$C$595,"&lt;="&amp;S5)&gt;=1000000),SUMIFS($D$245:$D$595,$F$245:$F$595,0,$E$245:$E$595,$G459)*$C$157 ,0)</f>
        <v/>
      </c>
      <c r="U459" s="95">
        <f>IF(AND(SUMIFS($D$245:$D$595,$F$245:$F$595,0,$E$245:$E$595,$G459,$C$245:$C$595,"&lt;="&amp;S$5)&lt;1000000,SUMIFS($D$245:$D$595,$F$245:$F$595,0,$E$245:$E$595,$G459,$C$245:$C$595,"&lt;="&amp;U5)&gt;=1000000),SUMIFS($D$245:$D$595,$F$245:$F$595,0,$E$245:$E$595,$G459)*$C$157 ,0)</f>
        <v/>
      </c>
      <c r="W459" s="95">
        <f>IF(AND(SUMIFS($D$245:$D$595,$F$245:$F$595,0,$E$245:$E$595,$G459,$C$245:$C$595,"&lt;="&amp;U$5)&lt;1000000,SUMIFS($D$245:$D$595,$F$245:$F$595,0,$E$245:$E$595,$G459,$C$245:$C$595,"&lt;="&amp;W5)&gt;=1000000),SUMIFS($D$245:$D$595,$F$245:$F$595,0,$E$245:$E$595,$G459)*$C$157 ,0)</f>
        <v/>
      </c>
      <c r="Y459" s="95">
        <f>IF(AND(SUMIFS($D$245:$D$595,$F$245:$F$595,0,$E$245:$E$595,$G459,$C$245:$C$595,"&lt;="&amp;W$5)&lt;1000000,SUMIFS($D$245:$D$595,$F$245:$F$595,0,$E$245:$E$595,$G459,$C$245:$C$595,"&lt;="&amp;Y5)&gt;=1000000),SUMIFS($D$245:$D$595,$F$245:$F$595,0,$E$245:$E$595,$G459)*$C$157 ,0)</f>
        <v/>
      </c>
      <c r="AA459" s="95">
        <f>IF(AND(SUMIFS($D$245:$D$595,$F$245:$F$595,0,$E$245:$E$595,$G459,$C$245:$C$595,"&lt;="&amp;Y$5)&lt;1000000,SUMIFS($D$245:$D$595,$F$245:$F$595,0,$E$245:$E$595,$G459,$C$245:$C$595,"&lt;="&amp;AA5)&gt;=1000000),SUMIFS($D$245:$D$595,$F$245:$F$595,0,$E$245:$E$595,$G459)*$C$157 ,0)</f>
        <v/>
      </c>
      <c r="AC459" s="95">
        <f>IF(AND(SUMIFS($D$245:$D$595,$F$245:$F$595,0,$E$245:$E$595,$G459,$C$245:$C$595,"&lt;="&amp;AA$5)&lt;1000000,SUMIFS($D$245:$D$595,$F$245:$F$595,0,$E$245:$E$595,$G459,$C$245:$C$595,"&lt;="&amp;AC5)&gt;=1000000),SUMIFS($D$245:$D$595,$F$245:$F$595,0,$E$245:$E$595,$G459)*$C$157 ,0)</f>
        <v/>
      </c>
      <c r="AE459" s="95">
        <f>IF(AND(SUMIFS($D$245:$D$595,$F$245:$F$595,0,$E$245:$E$595,$G459,$C$245:$C$595,"&lt;="&amp;AC$5)&lt;1000000,SUMIFS($D$245:$D$595,$F$245:$F$595,0,$E$245:$E$595,$G459,$C$245:$C$595,"&lt;="&amp;AE5)&gt;=1000000),SUMIFS($D$245:$D$595,$F$245:$F$595,0,$E$245:$E$595,$G459)*$C$157 ,0)</f>
        <v/>
      </c>
      <c r="AF459" s="19" t="n"/>
    </row>
    <row r="460">
      <c r="A460" s="20">
        <f>mid(E460, 3, 1)</f>
        <v/>
      </c>
      <c r="B460" s="14" t="inlineStr"/>
      <c r="C460" s="21">
        <f>SUMIFS('Investor Exit List'!$AC:$AC,'Investor Exit List'!$AB:$AB,B460)</f>
        <v/>
      </c>
      <c r="D460" s="14">
        <f>SUMIFS('Investor Exit List'!$Q:$Q,'Investor Exit List'!$AB:$AB,B460)</f>
        <v/>
      </c>
      <c r="E460" s="31">
        <f>LEFT(B460,6)</f>
        <v/>
      </c>
      <c r="F460" s="14">
        <f>IF(SUMIFS($E$119:$E$151,$D$119:$D$151,E460)&lt;&gt;0,E460,0)</f>
        <v/>
      </c>
      <c r="G460" s="59" t="n"/>
      <c r="I460" s="28">
        <f>IF(AND(SUMIFS($D$245:$D$595,$F$245:$F$595,0,$E$245:$E$595,$G460,$C$245:$C$595,"&lt;="&amp;B$2)&lt;1000000,SUMIFS($D$245:$D$595,$F$245:$F$595,0,$E$245:$E$595,$G460,$C$245:$C$595,"&lt;="&amp;I5)&gt;=1000000),SUMIFS($D$245:$D$595,$F$245:$F$595,0,$E$245:$E$595,$G460)*$C$157 ,0)</f>
        <v/>
      </c>
      <c r="K460" s="95">
        <f>IF(AND(SUMIFS($D$245:$D$595,$F$245:$F$595,0,$E$245:$E$595,$G460,$C$245:$C$595,"&lt;="&amp;I$5)&lt;1000000,SUMIFS($D$245:$D$595,$F$245:$F$595,0,$E$245:$E$595,$G460,$C$245:$C$595,"&lt;="&amp;K5)&gt;=1000000),SUMIFS($D$245:$D$595,$F$245:$F$595,0,$E$245:$E$595,$G460)*$C$157 ,0)</f>
        <v/>
      </c>
      <c r="M460" s="95">
        <f>IF(AND(SUMIFS($D$245:$D$595,$F$245:$F$595,0,$E$245:$E$595,$G460,$C$245:$C$595,"&lt;="&amp;K$5)&lt;1000000,SUMIFS($D$245:$D$595,$F$245:$F$595,0,$E$245:$E$595,$G460,$C$245:$C$595,"&lt;="&amp;M5)&gt;=1000000),SUMIFS($D$245:$D$595,$F$245:$F$595,0,$E$245:$E$595,$G460)*$C$157 ,0)</f>
        <v/>
      </c>
      <c r="O460" s="95">
        <f>IF(AND(SUMIFS($D$245:$D$595,$F$245:$F$595,0,$E$245:$E$595,$G460,$C$245:$C$595,"&lt;="&amp;M$5)&lt;1000000,SUMIFS($D$245:$D$595,$F$245:$F$595,0,$E$245:$E$595,$G460,$C$245:$C$595,"&lt;="&amp;O5)&gt;=1000000),SUMIFS($D$245:$D$595,$F$245:$F$595,0,$E$245:$E$595,$G460)*$C$157 ,0)</f>
        <v/>
      </c>
      <c r="Q460" s="95">
        <f>IF(AND(SUMIFS($D$245:$D$595,$F$245:$F$595,0,$E$245:$E$595,$G460,$C$245:$C$595,"&lt;="&amp;O$5)&lt;1000000,SUMIFS($D$245:$D$595,$F$245:$F$595,0,$E$245:$E$595,$G460,$C$245:$C$595,"&lt;="&amp;Q5)&gt;=1000000),SUMIFS($D$245:$D$595,$F$245:$F$595,0,$E$245:$E$595,$G460)*$C$157 ,0)</f>
        <v/>
      </c>
      <c r="S460" s="95">
        <f>IF(AND(SUMIFS($D$245:$D$595,$F$245:$F$595,0,$E$245:$E$595,$G460,$C$245:$C$595,"&lt;="&amp;Q$5)&lt;1000000,SUMIFS($D$245:$D$595,$F$245:$F$595,0,$E$245:$E$595,$G460,$C$245:$C$595,"&lt;="&amp;S5)&gt;=1000000),SUMIFS($D$245:$D$595,$F$245:$F$595,0,$E$245:$E$595,$G460)*$C$157 ,0)</f>
        <v/>
      </c>
      <c r="U460" s="95">
        <f>IF(AND(SUMIFS($D$245:$D$595,$F$245:$F$595,0,$E$245:$E$595,$G460,$C$245:$C$595,"&lt;="&amp;S$5)&lt;1000000,SUMIFS($D$245:$D$595,$F$245:$F$595,0,$E$245:$E$595,$G460,$C$245:$C$595,"&lt;="&amp;U5)&gt;=1000000),SUMIFS($D$245:$D$595,$F$245:$F$595,0,$E$245:$E$595,$G460)*$C$157 ,0)</f>
        <v/>
      </c>
      <c r="W460" s="95">
        <f>IF(AND(SUMIFS($D$245:$D$595,$F$245:$F$595,0,$E$245:$E$595,$G460,$C$245:$C$595,"&lt;="&amp;U$5)&lt;1000000,SUMIFS($D$245:$D$595,$F$245:$F$595,0,$E$245:$E$595,$G460,$C$245:$C$595,"&lt;="&amp;W5)&gt;=1000000),SUMIFS($D$245:$D$595,$F$245:$F$595,0,$E$245:$E$595,$G460)*$C$157 ,0)</f>
        <v/>
      </c>
      <c r="Y460" s="95">
        <f>IF(AND(SUMIFS($D$245:$D$595,$F$245:$F$595,0,$E$245:$E$595,$G460,$C$245:$C$595,"&lt;="&amp;W$5)&lt;1000000,SUMIFS($D$245:$D$595,$F$245:$F$595,0,$E$245:$E$595,$G460,$C$245:$C$595,"&lt;="&amp;Y5)&gt;=1000000),SUMIFS($D$245:$D$595,$F$245:$F$595,0,$E$245:$E$595,$G460)*$C$157 ,0)</f>
        <v/>
      </c>
      <c r="AA460" s="95">
        <f>IF(AND(SUMIFS($D$245:$D$595,$F$245:$F$595,0,$E$245:$E$595,$G460,$C$245:$C$595,"&lt;="&amp;Y$5)&lt;1000000,SUMIFS($D$245:$D$595,$F$245:$F$595,0,$E$245:$E$595,$G460,$C$245:$C$595,"&lt;="&amp;AA5)&gt;=1000000),SUMIFS($D$245:$D$595,$F$245:$F$595,0,$E$245:$E$595,$G460)*$C$157 ,0)</f>
        <v/>
      </c>
      <c r="AC460" s="95">
        <f>IF(AND(SUMIFS($D$245:$D$595,$F$245:$F$595,0,$E$245:$E$595,$G460,$C$245:$C$595,"&lt;="&amp;AA$5)&lt;1000000,SUMIFS($D$245:$D$595,$F$245:$F$595,0,$E$245:$E$595,$G460,$C$245:$C$595,"&lt;="&amp;AC5)&gt;=1000000),SUMIFS($D$245:$D$595,$F$245:$F$595,0,$E$245:$E$595,$G460)*$C$157 ,0)</f>
        <v/>
      </c>
      <c r="AE460" s="95">
        <f>IF(AND(SUMIFS($D$245:$D$595,$F$245:$F$595,0,$E$245:$E$595,$G460,$C$245:$C$595,"&lt;="&amp;AC$5)&lt;1000000,SUMIFS($D$245:$D$595,$F$245:$F$595,0,$E$245:$E$595,$G460,$C$245:$C$595,"&lt;="&amp;AE5)&gt;=1000000),SUMIFS($D$245:$D$595,$F$245:$F$595,0,$E$245:$E$595,$G460)*$C$157 ,0)</f>
        <v/>
      </c>
      <c r="AF460" s="19" t="n"/>
    </row>
    <row r="461">
      <c r="A461" s="20">
        <f>mid(E461, 3, 1)</f>
        <v/>
      </c>
      <c r="B461" s="14" t="inlineStr"/>
      <c r="C461" s="21">
        <f>SUMIFS('Investor Exit List'!$AC:$AC,'Investor Exit List'!$AB:$AB,B461)</f>
        <v/>
      </c>
      <c r="D461" s="14">
        <f>SUMIFS('Investor Exit List'!$Q:$Q,'Investor Exit List'!$AB:$AB,B461)</f>
        <v/>
      </c>
      <c r="E461" s="31">
        <f>LEFT(B461,6)</f>
        <v/>
      </c>
      <c r="F461" s="14">
        <f>IF(SUMIFS($E$119:$E$151,$D$119:$D$151,E461)&lt;&gt;0,E461,0)</f>
        <v/>
      </c>
      <c r="G461" s="59" t="n"/>
      <c r="I461" s="28">
        <f>IF(AND(SUMIFS($D$245:$D$595,$F$245:$F$595,0,$E$245:$E$595,$G461,$C$245:$C$595,"&lt;="&amp;B$2)&lt;1000000,SUMIFS($D$245:$D$595,$F$245:$F$595,0,$E$245:$E$595,$G461,$C$245:$C$595,"&lt;="&amp;I5)&gt;=1000000),SUMIFS($D$245:$D$595,$F$245:$F$595,0,$E$245:$E$595,$G461)*$C$157 ,0)</f>
        <v/>
      </c>
      <c r="K461" s="95">
        <f>IF(AND(SUMIFS($D$245:$D$595,$F$245:$F$595,0,$E$245:$E$595,$G461,$C$245:$C$595,"&lt;="&amp;I$5)&lt;1000000,SUMIFS($D$245:$D$595,$F$245:$F$595,0,$E$245:$E$595,$G461,$C$245:$C$595,"&lt;="&amp;K5)&gt;=1000000),SUMIFS($D$245:$D$595,$F$245:$F$595,0,$E$245:$E$595,$G461)*$C$157 ,0)</f>
        <v/>
      </c>
      <c r="M461" s="95">
        <f>IF(AND(SUMIFS($D$245:$D$595,$F$245:$F$595,0,$E$245:$E$595,$G461,$C$245:$C$595,"&lt;="&amp;K$5)&lt;1000000,SUMIFS($D$245:$D$595,$F$245:$F$595,0,$E$245:$E$595,$G461,$C$245:$C$595,"&lt;="&amp;M5)&gt;=1000000),SUMIFS($D$245:$D$595,$F$245:$F$595,0,$E$245:$E$595,$G461)*$C$157 ,0)</f>
        <v/>
      </c>
      <c r="O461" s="95">
        <f>IF(AND(SUMIFS($D$245:$D$595,$F$245:$F$595,0,$E$245:$E$595,$G461,$C$245:$C$595,"&lt;="&amp;M$5)&lt;1000000,SUMIFS($D$245:$D$595,$F$245:$F$595,0,$E$245:$E$595,$G461,$C$245:$C$595,"&lt;="&amp;O5)&gt;=1000000),SUMIFS($D$245:$D$595,$F$245:$F$595,0,$E$245:$E$595,$G461)*$C$157 ,0)</f>
        <v/>
      </c>
      <c r="Q461" s="95">
        <f>IF(AND(SUMIFS($D$245:$D$595,$F$245:$F$595,0,$E$245:$E$595,$G461,$C$245:$C$595,"&lt;="&amp;O$5)&lt;1000000,SUMIFS($D$245:$D$595,$F$245:$F$595,0,$E$245:$E$595,$G461,$C$245:$C$595,"&lt;="&amp;Q5)&gt;=1000000),SUMIFS($D$245:$D$595,$F$245:$F$595,0,$E$245:$E$595,$G461)*$C$157 ,0)</f>
        <v/>
      </c>
      <c r="S461" s="95">
        <f>IF(AND(SUMIFS($D$245:$D$595,$F$245:$F$595,0,$E$245:$E$595,$G461,$C$245:$C$595,"&lt;="&amp;Q$5)&lt;1000000,SUMIFS($D$245:$D$595,$F$245:$F$595,0,$E$245:$E$595,$G461,$C$245:$C$595,"&lt;="&amp;S5)&gt;=1000000),SUMIFS($D$245:$D$595,$F$245:$F$595,0,$E$245:$E$595,$G461)*$C$157 ,0)</f>
        <v/>
      </c>
      <c r="U461" s="95">
        <f>IF(AND(SUMIFS($D$245:$D$595,$F$245:$F$595,0,$E$245:$E$595,$G461,$C$245:$C$595,"&lt;="&amp;S$5)&lt;1000000,SUMIFS($D$245:$D$595,$F$245:$F$595,0,$E$245:$E$595,$G461,$C$245:$C$595,"&lt;="&amp;U5)&gt;=1000000),SUMIFS($D$245:$D$595,$F$245:$F$595,0,$E$245:$E$595,$G461)*$C$157 ,0)</f>
        <v/>
      </c>
      <c r="W461" s="95">
        <f>IF(AND(SUMIFS($D$245:$D$595,$F$245:$F$595,0,$E$245:$E$595,$G461,$C$245:$C$595,"&lt;="&amp;U$5)&lt;1000000,SUMIFS($D$245:$D$595,$F$245:$F$595,0,$E$245:$E$595,$G461,$C$245:$C$595,"&lt;="&amp;W5)&gt;=1000000),SUMIFS($D$245:$D$595,$F$245:$F$595,0,$E$245:$E$595,$G461)*$C$157 ,0)</f>
        <v/>
      </c>
      <c r="Y461" s="95">
        <f>IF(AND(SUMIFS($D$245:$D$595,$F$245:$F$595,0,$E$245:$E$595,$G461,$C$245:$C$595,"&lt;="&amp;W$5)&lt;1000000,SUMIFS($D$245:$D$595,$F$245:$F$595,0,$E$245:$E$595,$G461,$C$245:$C$595,"&lt;="&amp;Y5)&gt;=1000000),SUMIFS($D$245:$D$595,$F$245:$F$595,0,$E$245:$E$595,$G461)*$C$157 ,0)</f>
        <v/>
      </c>
      <c r="AA461" s="95">
        <f>IF(AND(SUMIFS($D$245:$D$595,$F$245:$F$595,0,$E$245:$E$595,$G461,$C$245:$C$595,"&lt;="&amp;Y$5)&lt;1000000,SUMIFS($D$245:$D$595,$F$245:$F$595,0,$E$245:$E$595,$G461,$C$245:$C$595,"&lt;="&amp;AA5)&gt;=1000000),SUMIFS($D$245:$D$595,$F$245:$F$595,0,$E$245:$E$595,$G461)*$C$157 ,0)</f>
        <v/>
      </c>
      <c r="AC461" s="95">
        <f>IF(AND(SUMIFS($D$245:$D$595,$F$245:$F$595,0,$E$245:$E$595,$G461,$C$245:$C$595,"&lt;="&amp;AA$5)&lt;1000000,SUMIFS($D$245:$D$595,$F$245:$F$595,0,$E$245:$E$595,$G461,$C$245:$C$595,"&lt;="&amp;AC5)&gt;=1000000),SUMIFS($D$245:$D$595,$F$245:$F$595,0,$E$245:$E$595,$G461)*$C$157 ,0)</f>
        <v/>
      </c>
      <c r="AE461" s="95">
        <f>IF(AND(SUMIFS($D$245:$D$595,$F$245:$F$595,0,$E$245:$E$595,$G461,$C$245:$C$595,"&lt;="&amp;AC$5)&lt;1000000,SUMIFS($D$245:$D$595,$F$245:$F$595,0,$E$245:$E$595,$G461,$C$245:$C$595,"&lt;="&amp;AE5)&gt;=1000000),SUMIFS($D$245:$D$595,$F$245:$F$595,0,$E$245:$E$595,$G461)*$C$157 ,0)</f>
        <v/>
      </c>
      <c r="AF461" s="19" t="n"/>
    </row>
    <row r="462">
      <c r="A462" s="20">
        <f>mid(E462, 3, 1)</f>
        <v/>
      </c>
      <c r="B462" s="14" t="inlineStr"/>
      <c r="C462" s="21">
        <f>SUMIFS('Investor Exit List'!$AC:$AC,'Investor Exit List'!$AB:$AB,B462)</f>
        <v/>
      </c>
      <c r="D462" s="14">
        <f>SUMIFS('Investor Exit List'!$Q:$Q,'Investor Exit List'!$AB:$AB,B462)</f>
        <v/>
      </c>
      <c r="E462" s="31">
        <f>LEFT(B462,6)</f>
        <v/>
      </c>
      <c r="F462" s="14">
        <f>IF(SUMIFS($E$119:$E$151,$D$119:$D$151,E462)&lt;&gt;0,E462,0)</f>
        <v/>
      </c>
      <c r="G462" s="59" t="n"/>
      <c r="I462" s="28">
        <f>IF(AND(SUMIFS($D$245:$D$595,$F$245:$F$595,0,$E$245:$E$595,$G462,$C$245:$C$595,"&lt;="&amp;B$2)&lt;1000000,SUMIFS($D$245:$D$595,$F$245:$F$595,0,$E$245:$E$595,$G462,$C$245:$C$595,"&lt;="&amp;I5)&gt;=1000000),SUMIFS($D$245:$D$595,$F$245:$F$595,0,$E$245:$E$595,$G462)*$C$157 ,0)</f>
        <v/>
      </c>
      <c r="K462" s="95">
        <f>IF(AND(SUMIFS($D$245:$D$595,$F$245:$F$595,0,$E$245:$E$595,$G462,$C$245:$C$595,"&lt;="&amp;I$5)&lt;1000000,SUMIFS($D$245:$D$595,$F$245:$F$595,0,$E$245:$E$595,$G462,$C$245:$C$595,"&lt;="&amp;K5)&gt;=1000000),SUMIFS($D$245:$D$595,$F$245:$F$595,0,$E$245:$E$595,$G462)*$C$157 ,0)</f>
        <v/>
      </c>
      <c r="M462" s="95">
        <f>IF(AND(SUMIFS($D$245:$D$595,$F$245:$F$595,0,$E$245:$E$595,$G462,$C$245:$C$595,"&lt;="&amp;K$5)&lt;1000000,SUMIFS($D$245:$D$595,$F$245:$F$595,0,$E$245:$E$595,$G462,$C$245:$C$595,"&lt;="&amp;M5)&gt;=1000000),SUMIFS($D$245:$D$595,$F$245:$F$595,0,$E$245:$E$595,$G462)*$C$157 ,0)</f>
        <v/>
      </c>
      <c r="O462" s="95">
        <f>IF(AND(SUMIFS($D$245:$D$595,$F$245:$F$595,0,$E$245:$E$595,$G462,$C$245:$C$595,"&lt;="&amp;M$5)&lt;1000000,SUMIFS($D$245:$D$595,$F$245:$F$595,0,$E$245:$E$595,$G462,$C$245:$C$595,"&lt;="&amp;O5)&gt;=1000000),SUMIFS($D$245:$D$595,$F$245:$F$595,0,$E$245:$E$595,$G462)*$C$157 ,0)</f>
        <v/>
      </c>
      <c r="Q462" s="95">
        <f>IF(AND(SUMIFS($D$245:$D$595,$F$245:$F$595,0,$E$245:$E$595,$G462,$C$245:$C$595,"&lt;="&amp;O$5)&lt;1000000,SUMIFS($D$245:$D$595,$F$245:$F$595,0,$E$245:$E$595,$G462,$C$245:$C$595,"&lt;="&amp;Q5)&gt;=1000000),SUMIFS($D$245:$D$595,$F$245:$F$595,0,$E$245:$E$595,$G462)*$C$157 ,0)</f>
        <v/>
      </c>
      <c r="S462" s="95">
        <f>IF(AND(SUMIFS($D$245:$D$595,$F$245:$F$595,0,$E$245:$E$595,$G462,$C$245:$C$595,"&lt;="&amp;Q$5)&lt;1000000,SUMIFS($D$245:$D$595,$F$245:$F$595,0,$E$245:$E$595,$G462,$C$245:$C$595,"&lt;="&amp;S5)&gt;=1000000),SUMIFS($D$245:$D$595,$F$245:$F$595,0,$E$245:$E$595,$G462)*$C$157 ,0)</f>
        <v/>
      </c>
      <c r="U462" s="95">
        <f>IF(AND(SUMIFS($D$245:$D$595,$F$245:$F$595,0,$E$245:$E$595,$G462,$C$245:$C$595,"&lt;="&amp;S$5)&lt;1000000,SUMIFS($D$245:$D$595,$F$245:$F$595,0,$E$245:$E$595,$G462,$C$245:$C$595,"&lt;="&amp;U5)&gt;=1000000),SUMIFS($D$245:$D$595,$F$245:$F$595,0,$E$245:$E$595,$G462)*$C$157 ,0)</f>
        <v/>
      </c>
      <c r="W462" s="95">
        <f>IF(AND(SUMIFS($D$245:$D$595,$F$245:$F$595,0,$E$245:$E$595,$G462,$C$245:$C$595,"&lt;="&amp;U$5)&lt;1000000,SUMIFS($D$245:$D$595,$F$245:$F$595,0,$E$245:$E$595,$G462,$C$245:$C$595,"&lt;="&amp;W5)&gt;=1000000),SUMIFS($D$245:$D$595,$F$245:$F$595,0,$E$245:$E$595,$G462)*$C$157 ,0)</f>
        <v/>
      </c>
      <c r="Y462" s="95">
        <f>IF(AND(SUMIFS($D$245:$D$595,$F$245:$F$595,0,$E$245:$E$595,$G462,$C$245:$C$595,"&lt;="&amp;W$5)&lt;1000000,SUMIFS($D$245:$D$595,$F$245:$F$595,0,$E$245:$E$595,$G462,$C$245:$C$595,"&lt;="&amp;Y5)&gt;=1000000),SUMIFS($D$245:$D$595,$F$245:$F$595,0,$E$245:$E$595,$G462)*$C$157 ,0)</f>
        <v/>
      </c>
      <c r="AA462" s="95">
        <f>IF(AND(SUMIFS($D$245:$D$595,$F$245:$F$595,0,$E$245:$E$595,$G462,$C$245:$C$595,"&lt;="&amp;Y$5)&lt;1000000,SUMIFS($D$245:$D$595,$F$245:$F$595,0,$E$245:$E$595,$G462,$C$245:$C$595,"&lt;="&amp;AA5)&gt;=1000000),SUMIFS($D$245:$D$595,$F$245:$F$595,0,$E$245:$E$595,$G462)*$C$157 ,0)</f>
        <v/>
      </c>
      <c r="AC462" s="95">
        <f>IF(AND(SUMIFS($D$245:$D$595,$F$245:$F$595,0,$E$245:$E$595,$G462,$C$245:$C$595,"&lt;="&amp;AA$5)&lt;1000000,SUMIFS($D$245:$D$595,$F$245:$F$595,0,$E$245:$E$595,$G462,$C$245:$C$595,"&lt;="&amp;AC5)&gt;=1000000),SUMIFS($D$245:$D$595,$F$245:$F$595,0,$E$245:$E$595,$G462)*$C$157 ,0)</f>
        <v/>
      </c>
      <c r="AE462" s="95">
        <f>IF(AND(SUMIFS($D$245:$D$595,$F$245:$F$595,0,$E$245:$E$595,$G462,$C$245:$C$595,"&lt;="&amp;AC$5)&lt;1000000,SUMIFS($D$245:$D$595,$F$245:$F$595,0,$E$245:$E$595,$G462,$C$245:$C$595,"&lt;="&amp;AE5)&gt;=1000000),SUMIFS($D$245:$D$595,$F$245:$F$595,0,$E$245:$E$595,$G462)*$C$157 ,0)</f>
        <v/>
      </c>
      <c r="AF462" s="19" t="n"/>
    </row>
    <row r="463">
      <c r="A463" s="20">
        <f>mid(E463, 3, 1)</f>
        <v/>
      </c>
      <c r="B463" s="14" t="inlineStr"/>
      <c r="C463" s="21">
        <f>SUMIFS('Investor Exit List'!$AC:$AC,'Investor Exit List'!$AB:$AB,B463)</f>
        <v/>
      </c>
      <c r="D463" s="14">
        <f>SUMIFS('Investor Exit List'!$Q:$Q,'Investor Exit List'!$AB:$AB,B463)</f>
        <v/>
      </c>
      <c r="E463" s="31">
        <f>LEFT(B463,6)</f>
        <v/>
      </c>
      <c r="F463" s="14">
        <f>IF(SUMIFS($E$119:$E$151,$D$119:$D$151,E463)&lt;&gt;0,E463,0)</f>
        <v/>
      </c>
      <c r="G463" s="59" t="n"/>
      <c r="I463" s="28">
        <f>IF(AND(SUMIFS($D$245:$D$595,$F$245:$F$595,0,$E$245:$E$595,$G463,$C$245:$C$595,"&lt;="&amp;B$2)&lt;1000000,SUMIFS($D$245:$D$595,$F$245:$F$595,0,$E$245:$E$595,$G463,$C$245:$C$595,"&lt;="&amp;I5)&gt;=1000000),SUMIFS($D$245:$D$595,$F$245:$F$595,0,$E$245:$E$595,$G463)*$C$157 ,0)</f>
        <v/>
      </c>
      <c r="K463" s="95">
        <f>IF(AND(SUMIFS($D$245:$D$595,$F$245:$F$595,0,$E$245:$E$595,$G463,$C$245:$C$595,"&lt;="&amp;I$5)&lt;1000000,SUMIFS($D$245:$D$595,$F$245:$F$595,0,$E$245:$E$595,$G463,$C$245:$C$595,"&lt;="&amp;K5)&gt;=1000000),SUMIFS($D$245:$D$595,$F$245:$F$595,0,$E$245:$E$595,$G463)*$C$157 ,0)</f>
        <v/>
      </c>
      <c r="M463" s="95">
        <f>IF(AND(SUMIFS($D$245:$D$595,$F$245:$F$595,0,$E$245:$E$595,$G463,$C$245:$C$595,"&lt;="&amp;K$5)&lt;1000000,SUMIFS($D$245:$D$595,$F$245:$F$595,0,$E$245:$E$595,$G463,$C$245:$C$595,"&lt;="&amp;M5)&gt;=1000000),SUMIFS($D$245:$D$595,$F$245:$F$595,0,$E$245:$E$595,$G463)*$C$157 ,0)</f>
        <v/>
      </c>
      <c r="O463" s="95">
        <f>IF(AND(SUMIFS($D$245:$D$595,$F$245:$F$595,0,$E$245:$E$595,$G463,$C$245:$C$595,"&lt;="&amp;M$5)&lt;1000000,SUMIFS($D$245:$D$595,$F$245:$F$595,0,$E$245:$E$595,$G463,$C$245:$C$595,"&lt;="&amp;O5)&gt;=1000000),SUMIFS($D$245:$D$595,$F$245:$F$595,0,$E$245:$E$595,$G463)*$C$157 ,0)</f>
        <v/>
      </c>
      <c r="Q463" s="95">
        <f>IF(AND(SUMIFS($D$245:$D$595,$F$245:$F$595,0,$E$245:$E$595,$G463,$C$245:$C$595,"&lt;="&amp;O$5)&lt;1000000,SUMIFS($D$245:$D$595,$F$245:$F$595,0,$E$245:$E$595,$G463,$C$245:$C$595,"&lt;="&amp;Q5)&gt;=1000000),SUMIFS($D$245:$D$595,$F$245:$F$595,0,$E$245:$E$595,$G463)*$C$157 ,0)</f>
        <v/>
      </c>
      <c r="S463" s="95">
        <f>IF(AND(SUMIFS($D$245:$D$595,$F$245:$F$595,0,$E$245:$E$595,$G463,$C$245:$C$595,"&lt;="&amp;Q$5)&lt;1000000,SUMIFS($D$245:$D$595,$F$245:$F$595,0,$E$245:$E$595,$G463,$C$245:$C$595,"&lt;="&amp;S5)&gt;=1000000),SUMIFS($D$245:$D$595,$F$245:$F$595,0,$E$245:$E$595,$G463)*$C$157 ,0)</f>
        <v/>
      </c>
      <c r="U463" s="95">
        <f>IF(AND(SUMIFS($D$245:$D$595,$F$245:$F$595,0,$E$245:$E$595,$G463,$C$245:$C$595,"&lt;="&amp;S$5)&lt;1000000,SUMIFS($D$245:$D$595,$F$245:$F$595,0,$E$245:$E$595,$G463,$C$245:$C$595,"&lt;="&amp;U5)&gt;=1000000),SUMIFS($D$245:$D$595,$F$245:$F$595,0,$E$245:$E$595,$G463)*$C$157 ,0)</f>
        <v/>
      </c>
      <c r="W463" s="95">
        <f>IF(AND(SUMIFS($D$245:$D$595,$F$245:$F$595,0,$E$245:$E$595,$G463,$C$245:$C$595,"&lt;="&amp;U$5)&lt;1000000,SUMIFS($D$245:$D$595,$F$245:$F$595,0,$E$245:$E$595,$G463,$C$245:$C$595,"&lt;="&amp;W5)&gt;=1000000),SUMIFS($D$245:$D$595,$F$245:$F$595,0,$E$245:$E$595,$G463)*$C$157 ,0)</f>
        <v/>
      </c>
      <c r="Y463" s="95">
        <f>IF(AND(SUMIFS($D$245:$D$595,$F$245:$F$595,0,$E$245:$E$595,$G463,$C$245:$C$595,"&lt;="&amp;W$5)&lt;1000000,SUMIFS($D$245:$D$595,$F$245:$F$595,0,$E$245:$E$595,$G463,$C$245:$C$595,"&lt;="&amp;Y5)&gt;=1000000),SUMIFS($D$245:$D$595,$F$245:$F$595,0,$E$245:$E$595,$G463)*$C$157 ,0)</f>
        <v/>
      </c>
      <c r="AA463" s="95">
        <f>IF(AND(SUMIFS($D$245:$D$595,$F$245:$F$595,0,$E$245:$E$595,$G463,$C$245:$C$595,"&lt;="&amp;Y$5)&lt;1000000,SUMIFS($D$245:$D$595,$F$245:$F$595,0,$E$245:$E$595,$G463,$C$245:$C$595,"&lt;="&amp;AA5)&gt;=1000000),SUMIFS($D$245:$D$595,$F$245:$F$595,0,$E$245:$E$595,$G463)*$C$157 ,0)</f>
        <v/>
      </c>
      <c r="AC463" s="95">
        <f>IF(AND(SUMIFS($D$245:$D$595,$F$245:$F$595,0,$E$245:$E$595,$G463,$C$245:$C$595,"&lt;="&amp;AA$5)&lt;1000000,SUMIFS($D$245:$D$595,$F$245:$F$595,0,$E$245:$E$595,$G463,$C$245:$C$595,"&lt;="&amp;AC5)&gt;=1000000),SUMIFS($D$245:$D$595,$F$245:$F$595,0,$E$245:$E$595,$G463)*$C$157 ,0)</f>
        <v/>
      </c>
      <c r="AE463" s="95">
        <f>IF(AND(SUMIFS($D$245:$D$595,$F$245:$F$595,0,$E$245:$E$595,$G463,$C$245:$C$595,"&lt;="&amp;AC$5)&lt;1000000,SUMIFS($D$245:$D$595,$F$245:$F$595,0,$E$245:$E$595,$G463,$C$245:$C$595,"&lt;="&amp;AE5)&gt;=1000000),SUMIFS($D$245:$D$595,$F$245:$F$595,0,$E$245:$E$595,$G463)*$C$157 ,0)</f>
        <v/>
      </c>
      <c r="AF463" s="19" t="n"/>
    </row>
    <row r="464">
      <c r="A464" s="20">
        <f>mid(E464, 3, 1)</f>
        <v/>
      </c>
      <c r="B464" s="14" t="inlineStr"/>
      <c r="C464" s="21">
        <f>SUMIFS('Investor Exit List'!$AC:$AC,'Investor Exit List'!$AB:$AB,B464)</f>
        <v/>
      </c>
      <c r="D464" s="14">
        <f>SUMIFS('Investor Exit List'!$Q:$Q,'Investor Exit List'!$AB:$AB,B464)</f>
        <v/>
      </c>
      <c r="E464" s="31">
        <f>LEFT(B464,6)</f>
        <v/>
      </c>
      <c r="F464" s="14">
        <f>IF(SUMIFS($E$119:$E$151,$D$119:$D$151,E464)&lt;&gt;0,E464,0)</f>
        <v/>
      </c>
      <c r="G464" s="59" t="n"/>
      <c r="I464" s="28">
        <f>IF(AND(SUMIFS($D$245:$D$595,$F$245:$F$595,0,$E$245:$E$595,$G464,$C$245:$C$595,"&lt;="&amp;B$2)&lt;1000000,SUMIFS($D$245:$D$595,$F$245:$F$595,0,$E$245:$E$595,$G464,$C$245:$C$595,"&lt;="&amp;I5)&gt;=1000000),SUMIFS($D$245:$D$595,$F$245:$F$595,0,$E$245:$E$595,$G464)*$C$157 ,0)</f>
        <v/>
      </c>
      <c r="K464" s="95">
        <f>IF(AND(SUMIFS($D$245:$D$595,$F$245:$F$595,0,$E$245:$E$595,$G464,$C$245:$C$595,"&lt;="&amp;I$5)&lt;1000000,SUMIFS($D$245:$D$595,$F$245:$F$595,0,$E$245:$E$595,$G464,$C$245:$C$595,"&lt;="&amp;K5)&gt;=1000000),SUMIFS($D$245:$D$595,$F$245:$F$595,0,$E$245:$E$595,$G464)*$C$157 ,0)</f>
        <v/>
      </c>
      <c r="M464" s="95">
        <f>IF(AND(SUMIFS($D$245:$D$595,$F$245:$F$595,0,$E$245:$E$595,$G464,$C$245:$C$595,"&lt;="&amp;K$5)&lt;1000000,SUMIFS($D$245:$D$595,$F$245:$F$595,0,$E$245:$E$595,$G464,$C$245:$C$595,"&lt;="&amp;M5)&gt;=1000000),SUMIFS($D$245:$D$595,$F$245:$F$595,0,$E$245:$E$595,$G464)*$C$157 ,0)</f>
        <v/>
      </c>
      <c r="O464" s="95">
        <f>IF(AND(SUMIFS($D$245:$D$595,$F$245:$F$595,0,$E$245:$E$595,$G464,$C$245:$C$595,"&lt;="&amp;M$5)&lt;1000000,SUMIFS($D$245:$D$595,$F$245:$F$595,0,$E$245:$E$595,$G464,$C$245:$C$595,"&lt;="&amp;O5)&gt;=1000000),SUMIFS($D$245:$D$595,$F$245:$F$595,0,$E$245:$E$595,$G464)*$C$157 ,0)</f>
        <v/>
      </c>
      <c r="Q464" s="95">
        <f>IF(AND(SUMIFS($D$245:$D$595,$F$245:$F$595,0,$E$245:$E$595,$G464,$C$245:$C$595,"&lt;="&amp;O$5)&lt;1000000,SUMIFS($D$245:$D$595,$F$245:$F$595,0,$E$245:$E$595,$G464,$C$245:$C$595,"&lt;="&amp;Q5)&gt;=1000000),SUMIFS($D$245:$D$595,$F$245:$F$595,0,$E$245:$E$595,$G464)*$C$157 ,0)</f>
        <v/>
      </c>
      <c r="S464" s="95">
        <f>IF(AND(SUMIFS($D$245:$D$595,$F$245:$F$595,0,$E$245:$E$595,$G464,$C$245:$C$595,"&lt;="&amp;Q$5)&lt;1000000,SUMIFS($D$245:$D$595,$F$245:$F$595,0,$E$245:$E$595,$G464,$C$245:$C$595,"&lt;="&amp;S5)&gt;=1000000),SUMIFS($D$245:$D$595,$F$245:$F$595,0,$E$245:$E$595,$G464)*$C$157 ,0)</f>
        <v/>
      </c>
      <c r="U464" s="95">
        <f>IF(AND(SUMIFS($D$245:$D$595,$F$245:$F$595,0,$E$245:$E$595,$G464,$C$245:$C$595,"&lt;="&amp;S$5)&lt;1000000,SUMIFS($D$245:$D$595,$F$245:$F$595,0,$E$245:$E$595,$G464,$C$245:$C$595,"&lt;="&amp;U5)&gt;=1000000),SUMIFS($D$245:$D$595,$F$245:$F$595,0,$E$245:$E$595,$G464)*$C$157 ,0)</f>
        <v/>
      </c>
      <c r="W464" s="95">
        <f>IF(AND(SUMIFS($D$245:$D$595,$F$245:$F$595,0,$E$245:$E$595,$G464,$C$245:$C$595,"&lt;="&amp;U$5)&lt;1000000,SUMIFS($D$245:$D$595,$F$245:$F$595,0,$E$245:$E$595,$G464,$C$245:$C$595,"&lt;="&amp;W5)&gt;=1000000),SUMIFS($D$245:$D$595,$F$245:$F$595,0,$E$245:$E$595,$G464)*$C$157 ,0)</f>
        <v/>
      </c>
      <c r="Y464" s="95">
        <f>IF(AND(SUMIFS($D$245:$D$595,$F$245:$F$595,0,$E$245:$E$595,$G464,$C$245:$C$595,"&lt;="&amp;W$5)&lt;1000000,SUMIFS($D$245:$D$595,$F$245:$F$595,0,$E$245:$E$595,$G464,$C$245:$C$595,"&lt;="&amp;Y5)&gt;=1000000),SUMIFS($D$245:$D$595,$F$245:$F$595,0,$E$245:$E$595,$G464)*$C$157 ,0)</f>
        <v/>
      </c>
      <c r="AA464" s="95">
        <f>IF(AND(SUMIFS($D$245:$D$595,$F$245:$F$595,0,$E$245:$E$595,$G464,$C$245:$C$595,"&lt;="&amp;Y$5)&lt;1000000,SUMIFS($D$245:$D$595,$F$245:$F$595,0,$E$245:$E$595,$G464,$C$245:$C$595,"&lt;="&amp;AA5)&gt;=1000000),SUMIFS($D$245:$D$595,$F$245:$F$595,0,$E$245:$E$595,$G464)*$C$157 ,0)</f>
        <v/>
      </c>
      <c r="AC464" s="95">
        <f>IF(AND(SUMIFS($D$245:$D$595,$F$245:$F$595,0,$E$245:$E$595,$G464,$C$245:$C$595,"&lt;="&amp;AA$5)&lt;1000000,SUMIFS($D$245:$D$595,$F$245:$F$595,0,$E$245:$E$595,$G464,$C$245:$C$595,"&lt;="&amp;AC5)&gt;=1000000),SUMIFS($D$245:$D$595,$F$245:$F$595,0,$E$245:$E$595,$G464)*$C$157 ,0)</f>
        <v/>
      </c>
      <c r="AE464" s="95">
        <f>IF(AND(SUMIFS($D$245:$D$595,$F$245:$F$595,0,$E$245:$E$595,$G464,$C$245:$C$595,"&lt;="&amp;AC$5)&lt;1000000,SUMIFS($D$245:$D$595,$F$245:$F$595,0,$E$245:$E$595,$G464,$C$245:$C$595,"&lt;="&amp;AE5)&gt;=1000000),SUMIFS($D$245:$D$595,$F$245:$F$595,0,$E$245:$E$595,$G464)*$C$157 ,0)</f>
        <v/>
      </c>
      <c r="AF464" s="19" t="n"/>
    </row>
    <row r="465">
      <c r="A465" s="20">
        <f>mid(E465, 3, 1)</f>
        <v/>
      </c>
      <c r="B465" s="14" t="inlineStr"/>
      <c r="C465" s="21">
        <f>SUMIFS('Investor Exit List'!$AC:$AC,'Investor Exit List'!$AB:$AB,B465)</f>
        <v/>
      </c>
      <c r="D465" s="14">
        <f>SUMIFS('Investor Exit List'!$Q:$Q,'Investor Exit List'!$AB:$AB,B465)</f>
        <v/>
      </c>
      <c r="E465" s="31">
        <f>LEFT(B465,6)</f>
        <v/>
      </c>
      <c r="F465" s="14">
        <f>IF(SUMIFS($E$119:$E$151,$D$119:$D$151,E465)&lt;&gt;0,E465,0)</f>
        <v/>
      </c>
      <c r="G465" s="59" t="n"/>
      <c r="I465" s="28">
        <f>IF(AND(SUMIFS($D$245:$D$595,$F$245:$F$595,0,$E$245:$E$595,$G465,$C$245:$C$595,"&lt;="&amp;B$2)&lt;1000000,SUMIFS($D$245:$D$595,$F$245:$F$595,0,$E$245:$E$595,$G465,$C$245:$C$595,"&lt;="&amp;I5)&gt;=1000000),SUMIFS($D$245:$D$595,$F$245:$F$595,0,$E$245:$E$595,$G465)*$C$157 ,0)</f>
        <v/>
      </c>
      <c r="K465" s="95">
        <f>IF(AND(SUMIFS($D$245:$D$595,$F$245:$F$595,0,$E$245:$E$595,$G465,$C$245:$C$595,"&lt;="&amp;I$5)&lt;1000000,SUMIFS($D$245:$D$595,$F$245:$F$595,0,$E$245:$E$595,$G465,$C$245:$C$595,"&lt;="&amp;K5)&gt;=1000000),SUMIFS($D$245:$D$595,$F$245:$F$595,0,$E$245:$E$595,$G465)*$C$157 ,0)</f>
        <v/>
      </c>
      <c r="M465" s="95">
        <f>IF(AND(SUMIFS($D$245:$D$595,$F$245:$F$595,0,$E$245:$E$595,$G465,$C$245:$C$595,"&lt;="&amp;K$5)&lt;1000000,SUMIFS($D$245:$D$595,$F$245:$F$595,0,$E$245:$E$595,$G465,$C$245:$C$595,"&lt;="&amp;M5)&gt;=1000000),SUMIFS($D$245:$D$595,$F$245:$F$595,0,$E$245:$E$595,$G465)*$C$157 ,0)</f>
        <v/>
      </c>
      <c r="O465" s="95">
        <f>IF(AND(SUMIFS($D$245:$D$595,$F$245:$F$595,0,$E$245:$E$595,$G465,$C$245:$C$595,"&lt;="&amp;M$5)&lt;1000000,SUMIFS($D$245:$D$595,$F$245:$F$595,0,$E$245:$E$595,$G465,$C$245:$C$595,"&lt;="&amp;O5)&gt;=1000000),SUMIFS($D$245:$D$595,$F$245:$F$595,0,$E$245:$E$595,$G465)*$C$157 ,0)</f>
        <v/>
      </c>
      <c r="Q465" s="95">
        <f>IF(AND(SUMIFS($D$245:$D$595,$F$245:$F$595,0,$E$245:$E$595,$G465,$C$245:$C$595,"&lt;="&amp;O$5)&lt;1000000,SUMIFS($D$245:$D$595,$F$245:$F$595,0,$E$245:$E$595,$G465,$C$245:$C$595,"&lt;="&amp;Q5)&gt;=1000000),SUMIFS($D$245:$D$595,$F$245:$F$595,0,$E$245:$E$595,$G465)*$C$157 ,0)</f>
        <v/>
      </c>
      <c r="S465" s="95">
        <f>IF(AND(SUMIFS($D$245:$D$595,$F$245:$F$595,0,$E$245:$E$595,$G465,$C$245:$C$595,"&lt;="&amp;Q$5)&lt;1000000,SUMIFS($D$245:$D$595,$F$245:$F$595,0,$E$245:$E$595,$G465,$C$245:$C$595,"&lt;="&amp;S5)&gt;=1000000),SUMIFS($D$245:$D$595,$F$245:$F$595,0,$E$245:$E$595,$G465)*$C$157 ,0)</f>
        <v/>
      </c>
      <c r="U465" s="95">
        <f>IF(AND(SUMIFS($D$245:$D$595,$F$245:$F$595,0,$E$245:$E$595,$G465,$C$245:$C$595,"&lt;="&amp;S$5)&lt;1000000,SUMIFS($D$245:$D$595,$F$245:$F$595,0,$E$245:$E$595,$G465,$C$245:$C$595,"&lt;="&amp;U5)&gt;=1000000),SUMIFS($D$245:$D$595,$F$245:$F$595,0,$E$245:$E$595,$G465)*$C$157 ,0)</f>
        <v/>
      </c>
      <c r="W465" s="95">
        <f>IF(AND(SUMIFS($D$245:$D$595,$F$245:$F$595,0,$E$245:$E$595,$G465,$C$245:$C$595,"&lt;="&amp;U$5)&lt;1000000,SUMIFS($D$245:$D$595,$F$245:$F$595,0,$E$245:$E$595,$G465,$C$245:$C$595,"&lt;="&amp;W5)&gt;=1000000),SUMIFS($D$245:$D$595,$F$245:$F$595,0,$E$245:$E$595,$G465)*$C$157 ,0)</f>
        <v/>
      </c>
      <c r="Y465" s="95">
        <f>IF(AND(SUMIFS($D$245:$D$595,$F$245:$F$595,0,$E$245:$E$595,$G465,$C$245:$C$595,"&lt;="&amp;W$5)&lt;1000000,SUMIFS($D$245:$D$595,$F$245:$F$595,0,$E$245:$E$595,$G465,$C$245:$C$595,"&lt;="&amp;Y5)&gt;=1000000),SUMIFS($D$245:$D$595,$F$245:$F$595,0,$E$245:$E$595,$G465)*$C$157 ,0)</f>
        <v/>
      </c>
      <c r="AA465" s="95">
        <f>IF(AND(SUMIFS($D$245:$D$595,$F$245:$F$595,0,$E$245:$E$595,$G465,$C$245:$C$595,"&lt;="&amp;Y$5)&lt;1000000,SUMIFS($D$245:$D$595,$F$245:$F$595,0,$E$245:$E$595,$G465,$C$245:$C$595,"&lt;="&amp;AA5)&gt;=1000000),SUMIFS($D$245:$D$595,$F$245:$F$595,0,$E$245:$E$595,$G465)*$C$157 ,0)</f>
        <v/>
      </c>
      <c r="AC465" s="95">
        <f>IF(AND(SUMIFS($D$245:$D$595,$F$245:$F$595,0,$E$245:$E$595,$G465,$C$245:$C$595,"&lt;="&amp;AA$5)&lt;1000000,SUMIFS($D$245:$D$595,$F$245:$F$595,0,$E$245:$E$595,$G465,$C$245:$C$595,"&lt;="&amp;AC5)&gt;=1000000),SUMIFS($D$245:$D$595,$F$245:$F$595,0,$E$245:$E$595,$G465)*$C$157 ,0)</f>
        <v/>
      </c>
      <c r="AE465" s="95">
        <f>IF(AND(SUMIFS($D$245:$D$595,$F$245:$F$595,0,$E$245:$E$595,$G465,$C$245:$C$595,"&lt;="&amp;AC$5)&lt;1000000,SUMIFS($D$245:$D$595,$F$245:$F$595,0,$E$245:$E$595,$G465,$C$245:$C$595,"&lt;="&amp;AE5)&gt;=1000000),SUMIFS($D$245:$D$595,$F$245:$F$595,0,$E$245:$E$595,$G465)*$C$157 ,0)</f>
        <v/>
      </c>
      <c r="AF465" s="19" t="n"/>
    </row>
    <row r="466">
      <c r="A466" s="20">
        <f>mid(E466, 3, 1)</f>
        <v/>
      </c>
      <c r="B466" s="14" t="inlineStr"/>
      <c r="C466" s="21">
        <f>SUMIFS('Investor Exit List'!$AC:$AC,'Investor Exit List'!$AB:$AB,B466)</f>
        <v/>
      </c>
      <c r="D466" s="14">
        <f>SUMIFS('Investor Exit List'!$Q:$Q,'Investor Exit List'!$AB:$AB,B466)</f>
        <v/>
      </c>
      <c r="E466" s="31">
        <f>LEFT(B466,6)</f>
        <v/>
      </c>
      <c r="F466" s="14">
        <f>IF(SUMIFS($E$119:$E$151,$D$119:$D$151,E466)&lt;&gt;0,E466,0)</f>
        <v/>
      </c>
      <c r="G466" s="59" t="n"/>
      <c r="I466" s="28">
        <f>IF(AND(SUMIFS($D$245:$D$595,$F$245:$F$595,0,$E$245:$E$595,$G466,$C$245:$C$595,"&lt;="&amp;B$2)&lt;1000000,SUMIFS($D$245:$D$595,$F$245:$F$595,0,$E$245:$E$595,$G466,$C$245:$C$595,"&lt;="&amp;I5)&gt;=1000000),SUMIFS($D$245:$D$595,$F$245:$F$595,0,$E$245:$E$595,$G466)*$C$157 ,0)</f>
        <v/>
      </c>
      <c r="K466" s="95">
        <f>IF(AND(SUMIFS($D$245:$D$595,$F$245:$F$595,0,$E$245:$E$595,$G466,$C$245:$C$595,"&lt;="&amp;I$5)&lt;1000000,SUMIFS($D$245:$D$595,$F$245:$F$595,0,$E$245:$E$595,$G466,$C$245:$C$595,"&lt;="&amp;K5)&gt;=1000000),SUMIFS($D$245:$D$595,$F$245:$F$595,0,$E$245:$E$595,$G466)*$C$157 ,0)</f>
        <v/>
      </c>
      <c r="M466" s="95">
        <f>IF(AND(SUMIFS($D$245:$D$595,$F$245:$F$595,0,$E$245:$E$595,$G466,$C$245:$C$595,"&lt;="&amp;K$5)&lt;1000000,SUMIFS($D$245:$D$595,$F$245:$F$595,0,$E$245:$E$595,$G466,$C$245:$C$595,"&lt;="&amp;M5)&gt;=1000000),SUMIFS($D$245:$D$595,$F$245:$F$595,0,$E$245:$E$595,$G466)*$C$157 ,0)</f>
        <v/>
      </c>
      <c r="O466" s="95">
        <f>IF(AND(SUMIFS($D$245:$D$595,$F$245:$F$595,0,$E$245:$E$595,$G466,$C$245:$C$595,"&lt;="&amp;M$5)&lt;1000000,SUMIFS($D$245:$D$595,$F$245:$F$595,0,$E$245:$E$595,$G466,$C$245:$C$595,"&lt;="&amp;O5)&gt;=1000000),SUMIFS($D$245:$D$595,$F$245:$F$595,0,$E$245:$E$595,$G466)*$C$157 ,0)</f>
        <v/>
      </c>
      <c r="Q466" s="95">
        <f>IF(AND(SUMIFS($D$245:$D$595,$F$245:$F$595,0,$E$245:$E$595,$G466,$C$245:$C$595,"&lt;="&amp;O$5)&lt;1000000,SUMIFS($D$245:$D$595,$F$245:$F$595,0,$E$245:$E$595,$G466,$C$245:$C$595,"&lt;="&amp;Q5)&gt;=1000000),SUMIFS($D$245:$D$595,$F$245:$F$595,0,$E$245:$E$595,$G466)*$C$157 ,0)</f>
        <v/>
      </c>
      <c r="S466" s="95">
        <f>IF(AND(SUMIFS($D$245:$D$595,$F$245:$F$595,0,$E$245:$E$595,$G466,$C$245:$C$595,"&lt;="&amp;Q$5)&lt;1000000,SUMIFS($D$245:$D$595,$F$245:$F$595,0,$E$245:$E$595,$G466,$C$245:$C$595,"&lt;="&amp;S5)&gt;=1000000),SUMIFS($D$245:$D$595,$F$245:$F$595,0,$E$245:$E$595,$G466)*$C$157 ,0)</f>
        <v/>
      </c>
      <c r="U466" s="95">
        <f>IF(AND(SUMIFS($D$245:$D$595,$F$245:$F$595,0,$E$245:$E$595,$G466,$C$245:$C$595,"&lt;="&amp;S$5)&lt;1000000,SUMIFS($D$245:$D$595,$F$245:$F$595,0,$E$245:$E$595,$G466,$C$245:$C$595,"&lt;="&amp;U5)&gt;=1000000),SUMIFS($D$245:$D$595,$F$245:$F$595,0,$E$245:$E$595,$G466)*$C$157 ,0)</f>
        <v/>
      </c>
      <c r="W466" s="95">
        <f>IF(AND(SUMIFS($D$245:$D$595,$F$245:$F$595,0,$E$245:$E$595,$G466,$C$245:$C$595,"&lt;="&amp;U$5)&lt;1000000,SUMIFS($D$245:$D$595,$F$245:$F$595,0,$E$245:$E$595,$G466,$C$245:$C$595,"&lt;="&amp;W5)&gt;=1000000),SUMIFS($D$245:$D$595,$F$245:$F$595,0,$E$245:$E$595,$G466)*$C$157 ,0)</f>
        <v/>
      </c>
      <c r="Y466" s="95">
        <f>IF(AND(SUMIFS($D$245:$D$595,$F$245:$F$595,0,$E$245:$E$595,$G466,$C$245:$C$595,"&lt;="&amp;W$5)&lt;1000000,SUMIFS($D$245:$D$595,$F$245:$F$595,0,$E$245:$E$595,$G466,$C$245:$C$595,"&lt;="&amp;Y5)&gt;=1000000),SUMIFS($D$245:$D$595,$F$245:$F$595,0,$E$245:$E$595,$G466)*$C$157 ,0)</f>
        <v/>
      </c>
      <c r="AA466" s="95">
        <f>IF(AND(SUMIFS($D$245:$D$595,$F$245:$F$595,0,$E$245:$E$595,$G466,$C$245:$C$595,"&lt;="&amp;Y$5)&lt;1000000,SUMIFS($D$245:$D$595,$F$245:$F$595,0,$E$245:$E$595,$G466,$C$245:$C$595,"&lt;="&amp;AA5)&gt;=1000000),SUMIFS($D$245:$D$595,$F$245:$F$595,0,$E$245:$E$595,$G466)*$C$157 ,0)</f>
        <v/>
      </c>
      <c r="AC466" s="95">
        <f>IF(AND(SUMIFS($D$245:$D$595,$F$245:$F$595,0,$E$245:$E$595,$G466,$C$245:$C$595,"&lt;="&amp;AA$5)&lt;1000000,SUMIFS($D$245:$D$595,$F$245:$F$595,0,$E$245:$E$595,$G466,$C$245:$C$595,"&lt;="&amp;AC5)&gt;=1000000),SUMIFS($D$245:$D$595,$F$245:$F$595,0,$E$245:$E$595,$G466)*$C$157 ,0)</f>
        <v/>
      </c>
      <c r="AE466" s="95">
        <f>IF(AND(SUMIFS($D$245:$D$595,$F$245:$F$595,0,$E$245:$E$595,$G466,$C$245:$C$595,"&lt;="&amp;AC$5)&lt;1000000,SUMIFS($D$245:$D$595,$F$245:$F$595,0,$E$245:$E$595,$G466,$C$245:$C$595,"&lt;="&amp;AE5)&gt;=1000000),SUMIFS($D$245:$D$595,$F$245:$F$595,0,$E$245:$E$595,$G466)*$C$157 ,0)</f>
        <v/>
      </c>
      <c r="AF466" s="19" t="n"/>
    </row>
    <row r="467">
      <c r="A467" s="20">
        <f>mid(E467, 3, 1)</f>
        <v/>
      </c>
      <c r="B467" s="14" t="inlineStr"/>
      <c r="C467" s="21">
        <f>SUMIFS('Investor Exit List'!$AC:$AC,'Investor Exit List'!$AB:$AB,B467)</f>
        <v/>
      </c>
      <c r="D467" s="14">
        <f>SUMIFS('Investor Exit List'!$Q:$Q,'Investor Exit List'!$AB:$AB,B467)</f>
        <v/>
      </c>
      <c r="E467" s="31">
        <f>LEFT(B467,6)</f>
        <v/>
      </c>
      <c r="F467" s="14">
        <f>IF(SUMIFS($E$119:$E$151,$D$119:$D$151,E467)&lt;&gt;0,E467,0)</f>
        <v/>
      </c>
      <c r="G467" s="59" t="n"/>
      <c r="I467" s="28">
        <f>IF(AND(SUMIFS($D$245:$D$595,$F$245:$F$595,0,$E$245:$E$595,$G467,$C$245:$C$595,"&lt;="&amp;B$2)&lt;1000000,SUMIFS($D$245:$D$595,$F$245:$F$595,0,$E$245:$E$595,$G467,$C$245:$C$595,"&lt;="&amp;I5)&gt;=1000000),SUMIFS($D$245:$D$595,$F$245:$F$595,0,$E$245:$E$595,$G467)*$C$157 ,0)</f>
        <v/>
      </c>
      <c r="K467" s="95">
        <f>IF(AND(SUMIFS($D$245:$D$595,$F$245:$F$595,0,$E$245:$E$595,$G467,$C$245:$C$595,"&lt;="&amp;I$5)&lt;1000000,SUMIFS($D$245:$D$595,$F$245:$F$595,0,$E$245:$E$595,$G467,$C$245:$C$595,"&lt;="&amp;K5)&gt;=1000000),SUMIFS($D$245:$D$595,$F$245:$F$595,0,$E$245:$E$595,$G467)*$C$157 ,0)</f>
        <v/>
      </c>
      <c r="M467" s="95">
        <f>IF(AND(SUMIFS($D$245:$D$595,$F$245:$F$595,0,$E$245:$E$595,$G467,$C$245:$C$595,"&lt;="&amp;K$5)&lt;1000000,SUMIFS($D$245:$D$595,$F$245:$F$595,0,$E$245:$E$595,$G467,$C$245:$C$595,"&lt;="&amp;M5)&gt;=1000000),SUMIFS($D$245:$D$595,$F$245:$F$595,0,$E$245:$E$595,$G467)*$C$157 ,0)</f>
        <v/>
      </c>
      <c r="O467" s="95">
        <f>IF(AND(SUMIFS($D$245:$D$595,$F$245:$F$595,0,$E$245:$E$595,$G467,$C$245:$C$595,"&lt;="&amp;M$5)&lt;1000000,SUMIFS($D$245:$D$595,$F$245:$F$595,0,$E$245:$E$595,$G467,$C$245:$C$595,"&lt;="&amp;O5)&gt;=1000000),SUMIFS($D$245:$D$595,$F$245:$F$595,0,$E$245:$E$595,$G467)*$C$157 ,0)</f>
        <v/>
      </c>
      <c r="Q467" s="95">
        <f>IF(AND(SUMIFS($D$245:$D$595,$F$245:$F$595,0,$E$245:$E$595,$G467,$C$245:$C$595,"&lt;="&amp;O$5)&lt;1000000,SUMIFS($D$245:$D$595,$F$245:$F$595,0,$E$245:$E$595,$G467,$C$245:$C$595,"&lt;="&amp;Q5)&gt;=1000000),SUMIFS($D$245:$D$595,$F$245:$F$595,0,$E$245:$E$595,$G467)*$C$157 ,0)</f>
        <v/>
      </c>
      <c r="S467" s="95">
        <f>IF(AND(SUMIFS($D$245:$D$595,$F$245:$F$595,0,$E$245:$E$595,$G467,$C$245:$C$595,"&lt;="&amp;Q$5)&lt;1000000,SUMIFS($D$245:$D$595,$F$245:$F$595,0,$E$245:$E$595,$G467,$C$245:$C$595,"&lt;="&amp;S5)&gt;=1000000),SUMIFS($D$245:$D$595,$F$245:$F$595,0,$E$245:$E$595,$G467)*$C$157 ,0)</f>
        <v/>
      </c>
      <c r="U467" s="95">
        <f>IF(AND(SUMIFS($D$245:$D$595,$F$245:$F$595,0,$E$245:$E$595,$G467,$C$245:$C$595,"&lt;="&amp;S$5)&lt;1000000,SUMIFS($D$245:$D$595,$F$245:$F$595,0,$E$245:$E$595,$G467,$C$245:$C$595,"&lt;="&amp;U5)&gt;=1000000),SUMIFS($D$245:$D$595,$F$245:$F$595,0,$E$245:$E$595,$G467)*$C$157 ,0)</f>
        <v/>
      </c>
      <c r="W467" s="95">
        <f>IF(AND(SUMIFS($D$245:$D$595,$F$245:$F$595,0,$E$245:$E$595,$G467,$C$245:$C$595,"&lt;="&amp;U$5)&lt;1000000,SUMIFS($D$245:$D$595,$F$245:$F$595,0,$E$245:$E$595,$G467,$C$245:$C$595,"&lt;="&amp;W5)&gt;=1000000),SUMIFS($D$245:$D$595,$F$245:$F$595,0,$E$245:$E$595,$G467)*$C$157 ,0)</f>
        <v/>
      </c>
      <c r="Y467" s="95">
        <f>IF(AND(SUMIFS($D$245:$D$595,$F$245:$F$595,0,$E$245:$E$595,$G467,$C$245:$C$595,"&lt;="&amp;W$5)&lt;1000000,SUMIFS($D$245:$D$595,$F$245:$F$595,0,$E$245:$E$595,$G467,$C$245:$C$595,"&lt;="&amp;Y5)&gt;=1000000),SUMIFS($D$245:$D$595,$F$245:$F$595,0,$E$245:$E$595,$G467)*$C$157 ,0)</f>
        <v/>
      </c>
      <c r="AA467" s="95">
        <f>IF(AND(SUMIFS($D$245:$D$595,$F$245:$F$595,0,$E$245:$E$595,$G467,$C$245:$C$595,"&lt;="&amp;Y$5)&lt;1000000,SUMIFS($D$245:$D$595,$F$245:$F$595,0,$E$245:$E$595,$G467,$C$245:$C$595,"&lt;="&amp;AA5)&gt;=1000000),SUMIFS($D$245:$D$595,$F$245:$F$595,0,$E$245:$E$595,$G467)*$C$157 ,0)</f>
        <v/>
      </c>
      <c r="AC467" s="95">
        <f>IF(AND(SUMIFS($D$245:$D$595,$F$245:$F$595,0,$E$245:$E$595,$G467,$C$245:$C$595,"&lt;="&amp;AA$5)&lt;1000000,SUMIFS($D$245:$D$595,$F$245:$F$595,0,$E$245:$E$595,$G467,$C$245:$C$595,"&lt;="&amp;AC5)&gt;=1000000),SUMIFS($D$245:$D$595,$F$245:$F$595,0,$E$245:$E$595,$G467)*$C$157 ,0)</f>
        <v/>
      </c>
      <c r="AE467" s="95">
        <f>IF(AND(SUMIFS($D$245:$D$595,$F$245:$F$595,0,$E$245:$E$595,$G467,$C$245:$C$595,"&lt;="&amp;AC$5)&lt;1000000,SUMIFS($D$245:$D$595,$F$245:$F$595,0,$E$245:$E$595,$G467,$C$245:$C$595,"&lt;="&amp;AE5)&gt;=1000000),SUMIFS($D$245:$D$595,$F$245:$F$595,0,$E$245:$E$595,$G467)*$C$157 ,0)</f>
        <v/>
      </c>
      <c r="AF467" s="19" t="n"/>
    </row>
    <row r="468">
      <c r="A468" s="20">
        <f>mid(E468, 3, 1)</f>
        <v/>
      </c>
      <c r="B468" s="14" t="inlineStr"/>
      <c r="C468" s="21">
        <f>SUMIFS('Investor Exit List'!$AC:$AC,'Investor Exit List'!$AB:$AB,B468)</f>
        <v/>
      </c>
      <c r="D468" s="14">
        <f>SUMIFS('Investor Exit List'!$Q:$Q,'Investor Exit List'!$AB:$AB,B468)</f>
        <v/>
      </c>
      <c r="E468" s="31">
        <f>LEFT(B468,6)</f>
        <v/>
      </c>
      <c r="F468" s="14">
        <f>IF(SUMIFS($E$119:$E$151,$D$119:$D$151,E468)&lt;&gt;0,E468,0)</f>
        <v/>
      </c>
      <c r="G468" s="59" t="n"/>
      <c r="I468" s="28">
        <f>IF(AND(SUMIFS($D$245:$D$595,$F$245:$F$595,0,$E$245:$E$595,$G468,$C$245:$C$595,"&lt;="&amp;B$2)&lt;1000000,SUMIFS($D$245:$D$595,$F$245:$F$595,0,$E$245:$E$595,$G468,$C$245:$C$595,"&lt;="&amp;I5)&gt;=1000000),SUMIFS($D$245:$D$595,$F$245:$F$595,0,$E$245:$E$595,$G468)*$C$157 ,0)</f>
        <v/>
      </c>
      <c r="K468" s="95">
        <f>IF(AND(SUMIFS($D$245:$D$595,$F$245:$F$595,0,$E$245:$E$595,$G468,$C$245:$C$595,"&lt;="&amp;I$5)&lt;1000000,SUMIFS($D$245:$D$595,$F$245:$F$595,0,$E$245:$E$595,$G468,$C$245:$C$595,"&lt;="&amp;K5)&gt;=1000000),SUMIFS($D$245:$D$595,$F$245:$F$595,0,$E$245:$E$595,$G468)*$C$157 ,0)</f>
        <v/>
      </c>
      <c r="M468" s="95">
        <f>IF(AND(SUMIFS($D$245:$D$595,$F$245:$F$595,0,$E$245:$E$595,$G468,$C$245:$C$595,"&lt;="&amp;K$5)&lt;1000000,SUMIFS($D$245:$D$595,$F$245:$F$595,0,$E$245:$E$595,$G468,$C$245:$C$595,"&lt;="&amp;M5)&gt;=1000000),SUMIFS($D$245:$D$595,$F$245:$F$595,0,$E$245:$E$595,$G468)*$C$157 ,0)</f>
        <v/>
      </c>
      <c r="O468" s="95">
        <f>IF(AND(SUMIFS($D$245:$D$595,$F$245:$F$595,0,$E$245:$E$595,$G468,$C$245:$C$595,"&lt;="&amp;M$5)&lt;1000000,SUMIFS($D$245:$D$595,$F$245:$F$595,0,$E$245:$E$595,$G468,$C$245:$C$595,"&lt;="&amp;O5)&gt;=1000000),SUMIFS($D$245:$D$595,$F$245:$F$595,0,$E$245:$E$595,$G468)*$C$157 ,0)</f>
        <v/>
      </c>
      <c r="Q468" s="95">
        <f>IF(AND(SUMIFS($D$245:$D$595,$F$245:$F$595,0,$E$245:$E$595,$G468,$C$245:$C$595,"&lt;="&amp;O$5)&lt;1000000,SUMIFS($D$245:$D$595,$F$245:$F$595,0,$E$245:$E$595,$G468,$C$245:$C$595,"&lt;="&amp;Q5)&gt;=1000000),SUMIFS($D$245:$D$595,$F$245:$F$595,0,$E$245:$E$595,$G468)*$C$157 ,0)</f>
        <v/>
      </c>
      <c r="S468" s="95">
        <f>IF(AND(SUMIFS($D$245:$D$595,$F$245:$F$595,0,$E$245:$E$595,$G468,$C$245:$C$595,"&lt;="&amp;Q$5)&lt;1000000,SUMIFS($D$245:$D$595,$F$245:$F$595,0,$E$245:$E$595,$G468,$C$245:$C$595,"&lt;="&amp;S5)&gt;=1000000),SUMIFS($D$245:$D$595,$F$245:$F$595,0,$E$245:$E$595,$G468)*$C$157 ,0)</f>
        <v/>
      </c>
      <c r="U468" s="95">
        <f>IF(AND(SUMIFS($D$245:$D$595,$F$245:$F$595,0,$E$245:$E$595,$G468,$C$245:$C$595,"&lt;="&amp;S$5)&lt;1000000,SUMIFS($D$245:$D$595,$F$245:$F$595,0,$E$245:$E$595,$G468,$C$245:$C$595,"&lt;="&amp;U5)&gt;=1000000),SUMIFS($D$245:$D$595,$F$245:$F$595,0,$E$245:$E$595,$G468)*$C$157 ,0)</f>
        <v/>
      </c>
      <c r="W468" s="95">
        <f>IF(AND(SUMIFS($D$245:$D$595,$F$245:$F$595,0,$E$245:$E$595,$G468,$C$245:$C$595,"&lt;="&amp;U$5)&lt;1000000,SUMIFS($D$245:$D$595,$F$245:$F$595,0,$E$245:$E$595,$G468,$C$245:$C$595,"&lt;="&amp;W5)&gt;=1000000),SUMIFS($D$245:$D$595,$F$245:$F$595,0,$E$245:$E$595,$G468)*$C$157 ,0)</f>
        <v/>
      </c>
      <c r="Y468" s="95">
        <f>IF(AND(SUMIFS($D$245:$D$595,$F$245:$F$595,0,$E$245:$E$595,$G468,$C$245:$C$595,"&lt;="&amp;W$5)&lt;1000000,SUMIFS($D$245:$D$595,$F$245:$F$595,0,$E$245:$E$595,$G468,$C$245:$C$595,"&lt;="&amp;Y5)&gt;=1000000),SUMIFS($D$245:$D$595,$F$245:$F$595,0,$E$245:$E$595,$G468)*$C$157 ,0)</f>
        <v/>
      </c>
      <c r="AA468" s="95">
        <f>IF(AND(SUMIFS($D$245:$D$595,$F$245:$F$595,0,$E$245:$E$595,$G468,$C$245:$C$595,"&lt;="&amp;Y$5)&lt;1000000,SUMIFS($D$245:$D$595,$F$245:$F$595,0,$E$245:$E$595,$G468,$C$245:$C$595,"&lt;="&amp;AA5)&gt;=1000000),SUMIFS($D$245:$D$595,$F$245:$F$595,0,$E$245:$E$595,$G468)*$C$157 ,0)</f>
        <v/>
      </c>
      <c r="AC468" s="95">
        <f>IF(AND(SUMIFS($D$245:$D$595,$F$245:$F$595,0,$E$245:$E$595,$G468,$C$245:$C$595,"&lt;="&amp;AA$5)&lt;1000000,SUMIFS($D$245:$D$595,$F$245:$F$595,0,$E$245:$E$595,$G468,$C$245:$C$595,"&lt;="&amp;AC5)&gt;=1000000),SUMIFS($D$245:$D$595,$F$245:$F$595,0,$E$245:$E$595,$G468)*$C$157 ,0)</f>
        <v/>
      </c>
      <c r="AE468" s="95">
        <f>IF(AND(SUMIFS($D$245:$D$595,$F$245:$F$595,0,$E$245:$E$595,$G468,$C$245:$C$595,"&lt;="&amp;AC$5)&lt;1000000,SUMIFS($D$245:$D$595,$F$245:$F$595,0,$E$245:$E$595,$G468,$C$245:$C$595,"&lt;="&amp;AE5)&gt;=1000000),SUMIFS($D$245:$D$595,$F$245:$F$595,0,$E$245:$E$595,$G468)*$C$157 ,0)</f>
        <v/>
      </c>
      <c r="AF468" s="19" t="n"/>
    </row>
    <row r="469">
      <c r="A469" s="20">
        <f>mid(E469, 3, 1)</f>
        <v/>
      </c>
      <c r="B469" s="14" t="inlineStr"/>
      <c r="C469" s="21">
        <f>SUMIFS('Investor Exit List'!$AC:$AC,'Investor Exit List'!$AB:$AB,B469)</f>
        <v/>
      </c>
      <c r="D469" s="14">
        <f>SUMIFS('Investor Exit List'!$Q:$Q,'Investor Exit List'!$AB:$AB,B469)</f>
        <v/>
      </c>
      <c r="E469" s="31">
        <f>LEFT(B469,6)</f>
        <v/>
      </c>
      <c r="F469" s="14">
        <f>IF(SUMIFS($E$119:$E$151,$D$119:$D$151,E469)&lt;&gt;0,E469,0)</f>
        <v/>
      </c>
      <c r="G469" s="59" t="n"/>
      <c r="I469" s="28">
        <f>IF(AND(SUMIFS($D$245:$D$595,$F$245:$F$595,0,$E$245:$E$595,$G469,$C$245:$C$595,"&lt;="&amp;B$2)&lt;1000000,SUMIFS($D$245:$D$595,$F$245:$F$595,0,$E$245:$E$595,$G469,$C$245:$C$595,"&lt;="&amp;I5)&gt;=1000000),SUMIFS($D$245:$D$595,$F$245:$F$595,0,$E$245:$E$595,$G469)*$C$157 ,0)</f>
        <v/>
      </c>
      <c r="K469" s="95">
        <f>IF(AND(SUMIFS($D$245:$D$595,$F$245:$F$595,0,$E$245:$E$595,$G469,$C$245:$C$595,"&lt;="&amp;I$5)&lt;1000000,SUMIFS($D$245:$D$595,$F$245:$F$595,0,$E$245:$E$595,$G469,$C$245:$C$595,"&lt;="&amp;K5)&gt;=1000000),SUMIFS($D$245:$D$595,$F$245:$F$595,0,$E$245:$E$595,$G469)*$C$157 ,0)</f>
        <v/>
      </c>
      <c r="M469" s="95">
        <f>IF(AND(SUMIFS($D$245:$D$595,$F$245:$F$595,0,$E$245:$E$595,$G469,$C$245:$C$595,"&lt;="&amp;K$5)&lt;1000000,SUMIFS($D$245:$D$595,$F$245:$F$595,0,$E$245:$E$595,$G469,$C$245:$C$595,"&lt;="&amp;M5)&gt;=1000000),SUMIFS($D$245:$D$595,$F$245:$F$595,0,$E$245:$E$595,$G469)*$C$157 ,0)</f>
        <v/>
      </c>
      <c r="O469" s="95">
        <f>IF(AND(SUMIFS($D$245:$D$595,$F$245:$F$595,0,$E$245:$E$595,$G469,$C$245:$C$595,"&lt;="&amp;M$5)&lt;1000000,SUMIFS($D$245:$D$595,$F$245:$F$595,0,$E$245:$E$595,$G469,$C$245:$C$595,"&lt;="&amp;O5)&gt;=1000000),SUMIFS($D$245:$D$595,$F$245:$F$595,0,$E$245:$E$595,$G469)*$C$157 ,0)</f>
        <v/>
      </c>
      <c r="Q469" s="95">
        <f>IF(AND(SUMIFS($D$245:$D$595,$F$245:$F$595,0,$E$245:$E$595,$G469,$C$245:$C$595,"&lt;="&amp;O$5)&lt;1000000,SUMIFS($D$245:$D$595,$F$245:$F$595,0,$E$245:$E$595,$G469,$C$245:$C$595,"&lt;="&amp;Q5)&gt;=1000000),SUMIFS($D$245:$D$595,$F$245:$F$595,0,$E$245:$E$595,$G469)*$C$157 ,0)</f>
        <v/>
      </c>
      <c r="S469" s="95">
        <f>IF(AND(SUMIFS($D$245:$D$595,$F$245:$F$595,0,$E$245:$E$595,$G469,$C$245:$C$595,"&lt;="&amp;Q$5)&lt;1000000,SUMIFS($D$245:$D$595,$F$245:$F$595,0,$E$245:$E$595,$G469,$C$245:$C$595,"&lt;="&amp;S5)&gt;=1000000),SUMIFS($D$245:$D$595,$F$245:$F$595,0,$E$245:$E$595,$G469)*$C$157 ,0)</f>
        <v/>
      </c>
      <c r="U469" s="95">
        <f>IF(AND(SUMIFS($D$245:$D$595,$F$245:$F$595,0,$E$245:$E$595,$G469,$C$245:$C$595,"&lt;="&amp;S$5)&lt;1000000,SUMIFS($D$245:$D$595,$F$245:$F$595,0,$E$245:$E$595,$G469,$C$245:$C$595,"&lt;="&amp;U5)&gt;=1000000),SUMIFS($D$245:$D$595,$F$245:$F$595,0,$E$245:$E$595,$G469)*$C$157 ,0)</f>
        <v/>
      </c>
      <c r="W469" s="95">
        <f>IF(AND(SUMIFS($D$245:$D$595,$F$245:$F$595,0,$E$245:$E$595,$G469,$C$245:$C$595,"&lt;="&amp;U$5)&lt;1000000,SUMIFS($D$245:$D$595,$F$245:$F$595,0,$E$245:$E$595,$G469,$C$245:$C$595,"&lt;="&amp;W5)&gt;=1000000),SUMIFS($D$245:$D$595,$F$245:$F$595,0,$E$245:$E$595,$G469)*$C$157 ,0)</f>
        <v/>
      </c>
      <c r="Y469" s="95">
        <f>IF(AND(SUMIFS($D$245:$D$595,$F$245:$F$595,0,$E$245:$E$595,$G469,$C$245:$C$595,"&lt;="&amp;W$5)&lt;1000000,SUMIFS($D$245:$D$595,$F$245:$F$595,0,$E$245:$E$595,$G469,$C$245:$C$595,"&lt;="&amp;Y5)&gt;=1000000),SUMIFS($D$245:$D$595,$F$245:$F$595,0,$E$245:$E$595,$G469)*$C$157 ,0)</f>
        <v/>
      </c>
      <c r="AA469" s="95">
        <f>IF(AND(SUMIFS($D$245:$D$595,$F$245:$F$595,0,$E$245:$E$595,$G469,$C$245:$C$595,"&lt;="&amp;Y$5)&lt;1000000,SUMIFS($D$245:$D$595,$F$245:$F$595,0,$E$245:$E$595,$G469,$C$245:$C$595,"&lt;="&amp;AA5)&gt;=1000000),SUMIFS($D$245:$D$595,$F$245:$F$595,0,$E$245:$E$595,$G469)*$C$157 ,0)</f>
        <v/>
      </c>
      <c r="AC469" s="95">
        <f>IF(AND(SUMIFS($D$245:$D$595,$F$245:$F$595,0,$E$245:$E$595,$G469,$C$245:$C$595,"&lt;="&amp;AA$5)&lt;1000000,SUMIFS($D$245:$D$595,$F$245:$F$595,0,$E$245:$E$595,$G469,$C$245:$C$595,"&lt;="&amp;AC5)&gt;=1000000),SUMIFS($D$245:$D$595,$F$245:$F$595,0,$E$245:$E$595,$G469)*$C$157 ,0)</f>
        <v/>
      </c>
      <c r="AE469" s="95">
        <f>IF(AND(SUMIFS($D$245:$D$595,$F$245:$F$595,0,$E$245:$E$595,$G469,$C$245:$C$595,"&lt;="&amp;AC$5)&lt;1000000,SUMIFS($D$245:$D$595,$F$245:$F$595,0,$E$245:$E$595,$G469,$C$245:$C$595,"&lt;="&amp;AE5)&gt;=1000000),SUMIFS($D$245:$D$595,$F$245:$F$595,0,$E$245:$E$595,$G469)*$C$157 ,0)</f>
        <v/>
      </c>
      <c r="AF469" s="19" t="n"/>
    </row>
    <row r="470">
      <c r="A470" s="20">
        <f>mid(E470, 3, 1)</f>
        <v/>
      </c>
      <c r="B470" s="14" t="inlineStr"/>
      <c r="C470" s="21">
        <f>SUMIFS('Investor Exit List'!$AC:$AC,'Investor Exit List'!$AB:$AB,B470)</f>
        <v/>
      </c>
      <c r="D470" s="14">
        <f>SUMIFS('Investor Exit List'!$Q:$Q,'Investor Exit List'!$AB:$AB,B470)</f>
        <v/>
      </c>
      <c r="E470" s="31">
        <f>LEFT(B470,6)</f>
        <v/>
      </c>
      <c r="F470" s="14">
        <f>IF(SUMIFS($E$119:$E$151,$D$119:$D$151,E470)&lt;&gt;0,E470,0)</f>
        <v/>
      </c>
      <c r="G470" s="59" t="n"/>
      <c r="I470" s="28">
        <f>IF(AND(SUMIFS($D$245:$D$595,$F$245:$F$595,0,$E$245:$E$595,$G470,$C$245:$C$595,"&lt;="&amp;B$2)&lt;1000000,SUMIFS($D$245:$D$595,$F$245:$F$595,0,$E$245:$E$595,$G470,$C$245:$C$595,"&lt;="&amp;I5)&gt;=1000000),SUMIFS($D$245:$D$595,$F$245:$F$595,0,$E$245:$E$595,$G470)*$C$157 ,0)</f>
        <v/>
      </c>
      <c r="K470" s="95">
        <f>IF(AND(SUMIFS($D$245:$D$595,$F$245:$F$595,0,$E$245:$E$595,$G470,$C$245:$C$595,"&lt;="&amp;I$5)&lt;1000000,SUMIFS($D$245:$D$595,$F$245:$F$595,0,$E$245:$E$595,$G470,$C$245:$C$595,"&lt;="&amp;K5)&gt;=1000000),SUMIFS($D$245:$D$595,$F$245:$F$595,0,$E$245:$E$595,$G470)*$C$157 ,0)</f>
        <v/>
      </c>
      <c r="M470" s="95">
        <f>IF(AND(SUMIFS($D$245:$D$595,$F$245:$F$595,0,$E$245:$E$595,$G470,$C$245:$C$595,"&lt;="&amp;K$5)&lt;1000000,SUMIFS($D$245:$D$595,$F$245:$F$595,0,$E$245:$E$595,$G470,$C$245:$C$595,"&lt;="&amp;M5)&gt;=1000000),SUMIFS($D$245:$D$595,$F$245:$F$595,0,$E$245:$E$595,$G470)*$C$157 ,0)</f>
        <v/>
      </c>
      <c r="O470" s="95">
        <f>IF(AND(SUMIFS($D$245:$D$595,$F$245:$F$595,0,$E$245:$E$595,$G470,$C$245:$C$595,"&lt;="&amp;M$5)&lt;1000000,SUMIFS($D$245:$D$595,$F$245:$F$595,0,$E$245:$E$595,$G470,$C$245:$C$595,"&lt;="&amp;O5)&gt;=1000000),SUMIFS($D$245:$D$595,$F$245:$F$595,0,$E$245:$E$595,$G470)*$C$157 ,0)</f>
        <v/>
      </c>
      <c r="Q470" s="95">
        <f>IF(AND(SUMIFS($D$245:$D$595,$F$245:$F$595,0,$E$245:$E$595,$G470,$C$245:$C$595,"&lt;="&amp;O$5)&lt;1000000,SUMIFS($D$245:$D$595,$F$245:$F$595,0,$E$245:$E$595,$G470,$C$245:$C$595,"&lt;="&amp;Q5)&gt;=1000000),SUMIFS($D$245:$D$595,$F$245:$F$595,0,$E$245:$E$595,$G470)*$C$157 ,0)</f>
        <v/>
      </c>
      <c r="S470" s="95">
        <f>IF(AND(SUMIFS($D$245:$D$595,$F$245:$F$595,0,$E$245:$E$595,$G470,$C$245:$C$595,"&lt;="&amp;Q$5)&lt;1000000,SUMIFS($D$245:$D$595,$F$245:$F$595,0,$E$245:$E$595,$G470,$C$245:$C$595,"&lt;="&amp;S5)&gt;=1000000),SUMIFS($D$245:$D$595,$F$245:$F$595,0,$E$245:$E$595,$G470)*$C$157 ,0)</f>
        <v/>
      </c>
      <c r="U470" s="95">
        <f>IF(AND(SUMIFS($D$245:$D$595,$F$245:$F$595,0,$E$245:$E$595,$G470,$C$245:$C$595,"&lt;="&amp;S$5)&lt;1000000,SUMIFS($D$245:$D$595,$F$245:$F$595,0,$E$245:$E$595,$G470,$C$245:$C$595,"&lt;="&amp;U5)&gt;=1000000),SUMIFS($D$245:$D$595,$F$245:$F$595,0,$E$245:$E$595,$G470)*$C$157 ,0)</f>
        <v/>
      </c>
      <c r="W470" s="95">
        <f>IF(AND(SUMIFS($D$245:$D$595,$F$245:$F$595,0,$E$245:$E$595,$G470,$C$245:$C$595,"&lt;="&amp;U$5)&lt;1000000,SUMIFS($D$245:$D$595,$F$245:$F$595,0,$E$245:$E$595,$G470,$C$245:$C$595,"&lt;="&amp;W5)&gt;=1000000),SUMIFS($D$245:$D$595,$F$245:$F$595,0,$E$245:$E$595,$G470)*$C$157 ,0)</f>
        <v/>
      </c>
      <c r="Y470" s="95">
        <f>IF(AND(SUMIFS($D$245:$D$595,$F$245:$F$595,0,$E$245:$E$595,$G470,$C$245:$C$595,"&lt;="&amp;W$5)&lt;1000000,SUMIFS($D$245:$D$595,$F$245:$F$595,0,$E$245:$E$595,$G470,$C$245:$C$595,"&lt;="&amp;Y5)&gt;=1000000),SUMIFS($D$245:$D$595,$F$245:$F$595,0,$E$245:$E$595,$G470)*$C$157 ,0)</f>
        <v/>
      </c>
      <c r="AA470" s="95">
        <f>IF(AND(SUMIFS($D$245:$D$595,$F$245:$F$595,0,$E$245:$E$595,$G470,$C$245:$C$595,"&lt;="&amp;Y$5)&lt;1000000,SUMIFS($D$245:$D$595,$F$245:$F$595,0,$E$245:$E$595,$G470,$C$245:$C$595,"&lt;="&amp;AA5)&gt;=1000000),SUMIFS($D$245:$D$595,$F$245:$F$595,0,$E$245:$E$595,$G470)*$C$157 ,0)</f>
        <v/>
      </c>
      <c r="AC470" s="95">
        <f>IF(AND(SUMIFS($D$245:$D$595,$F$245:$F$595,0,$E$245:$E$595,$G470,$C$245:$C$595,"&lt;="&amp;AA$5)&lt;1000000,SUMIFS($D$245:$D$595,$F$245:$F$595,0,$E$245:$E$595,$G470,$C$245:$C$595,"&lt;="&amp;AC5)&gt;=1000000),SUMIFS($D$245:$D$595,$F$245:$F$595,0,$E$245:$E$595,$G470)*$C$157 ,0)</f>
        <v/>
      </c>
      <c r="AE470" s="95">
        <f>IF(AND(SUMIFS($D$245:$D$595,$F$245:$F$595,0,$E$245:$E$595,$G470,$C$245:$C$595,"&lt;="&amp;AC$5)&lt;1000000,SUMIFS($D$245:$D$595,$F$245:$F$595,0,$E$245:$E$595,$G470,$C$245:$C$595,"&lt;="&amp;AE5)&gt;=1000000),SUMIFS($D$245:$D$595,$F$245:$F$595,0,$E$245:$E$595,$G470)*$C$157 ,0)</f>
        <v/>
      </c>
      <c r="AF470" s="19" t="n"/>
    </row>
    <row r="471">
      <c r="A471" s="20">
        <f>mid(E471, 3, 1)</f>
        <v/>
      </c>
      <c r="B471" s="14" t="inlineStr"/>
      <c r="C471" s="21">
        <f>SUMIFS('Investor Exit List'!$AC:$AC,'Investor Exit List'!$AB:$AB,B471)</f>
        <v/>
      </c>
      <c r="D471" s="14">
        <f>SUMIFS('Investor Exit List'!$Q:$Q,'Investor Exit List'!$AB:$AB,B471)</f>
        <v/>
      </c>
      <c r="E471" s="31">
        <f>LEFT(B471,6)</f>
        <v/>
      </c>
      <c r="F471" s="14">
        <f>IF(SUMIFS($E$119:$E$151,$D$119:$D$151,E471)&lt;&gt;0,E471,0)</f>
        <v/>
      </c>
      <c r="G471" s="59" t="n"/>
      <c r="I471" s="28">
        <f>IF(AND(SUMIFS($D$245:$D$595,$F$245:$F$595,0,$E$245:$E$595,$G471,$C$245:$C$595,"&lt;="&amp;B$2)&lt;1000000,SUMIFS($D$245:$D$595,$F$245:$F$595,0,$E$245:$E$595,$G471,$C$245:$C$595,"&lt;="&amp;I5)&gt;=1000000),SUMIFS($D$245:$D$595,$F$245:$F$595,0,$E$245:$E$595,$G471)*$C$157 ,0)</f>
        <v/>
      </c>
      <c r="K471" s="95">
        <f>IF(AND(SUMIFS($D$245:$D$595,$F$245:$F$595,0,$E$245:$E$595,$G471,$C$245:$C$595,"&lt;="&amp;I$5)&lt;1000000,SUMIFS($D$245:$D$595,$F$245:$F$595,0,$E$245:$E$595,$G471,$C$245:$C$595,"&lt;="&amp;K5)&gt;=1000000),SUMIFS($D$245:$D$595,$F$245:$F$595,0,$E$245:$E$595,$G471)*$C$157 ,0)</f>
        <v/>
      </c>
      <c r="M471" s="95">
        <f>IF(AND(SUMIFS($D$245:$D$595,$F$245:$F$595,0,$E$245:$E$595,$G471,$C$245:$C$595,"&lt;="&amp;K$5)&lt;1000000,SUMIFS($D$245:$D$595,$F$245:$F$595,0,$E$245:$E$595,$G471,$C$245:$C$595,"&lt;="&amp;M5)&gt;=1000000),SUMIFS($D$245:$D$595,$F$245:$F$595,0,$E$245:$E$595,$G471)*$C$157 ,0)</f>
        <v/>
      </c>
      <c r="O471" s="95">
        <f>IF(AND(SUMIFS($D$245:$D$595,$F$245:$F$595,0,$E$245:$E$595,$G471,$C$245:$C$595,"&lt;="&amp;M$5)&lt;1000000,SUMIFS($D$245:$D$595,$F$245:$F$595,0,$E$245:$E$595,$G471,$C$245:$C$595,"&lt;="&amp;O5)&gt;=1000000),SUMIFS($D$245:$D$595,$F$245:$F$595,0,$E$245:$E$595,$G471)*$C$157 ,0)</f>
        <v/>
      </c>
      <c r="Q471" s="95">
        <f>IF(AND(SUMIFS($D$245:$D$595,$F$245:$F$595,0,$E$245:$E$595,$G471,$C$245:$C$595,"&lt;="&amp;O$5)&lt;1000000,SUMIFS($D$245:$D$595,$F$245:$F$595,0,$E$245:$E$595,$G471,$C$245:$C$595,"&lt;="&amp;Q5)&gt;=1000000),SUMIFS($D$245:$D$595,$F$245:$F$595,0,$E$245:$E$595,$G471)*$C$157 ,0)</f>
        <v/>
      </c>
      <c r="S471" s="95">
        <f>IF(AND(SUMIFS($D$245:$D$595,$F$245:$F$595,0,$E$245:$E$595,$G471,$C$245:$C$595,"&lt;="&amp;Q$5)&lt;1000000,SUMIFS($D$245:$D$595,$F$245:$F$595,0,$E$245:$E$595,$G471,$C$245:$C$595,"&lt;="&amp;S5)&gt;=1000000),SUMIFS($D$245:$D$595,$F$245:$F$595,0,$E$245:$E$595,$G471)*$C$157 ,0)</f>
        <v/>
      </c>
      <c r="U471" s="95">
        <f>IF(AND(SUMIFS($D$245:$D$595,$F$245:$F$595,0,$E$245:$E$595,$G471,$C$245:$C$595,"&lt;="&amp;S$5)&lt;1000000,SUMIFS($D$245:$D$595,$F$245:$F$595,0,$E$245:$E$595,$G471,$C$245:$C$595,"&lt;="&amp;U5)&gt;=1000000),SUMIFS($D$245:$D$595,$F$245:$F$595,0,$E$245:$E$595,$G471)*$C$157 ,0)</f>
        <v/>
      </c>
      <c r="W471" s="95">
        <f>IF(AND(SUMIFS($D$245:$D$595,$F$245:$F$595,0,$E$245:$E$595,$G471,$C$245:$C$595,"&lt;="&amp;U$5)&lt;1000000,SUMIFS($D$245:$D$595,$F$245:$F$595,0,$E$245:$E$595,$G471,$C$245:$C$595,"&lt;="&amp;W5)&gt;=1000000),SUMIFS($D$245:$D$595,$F$245:$F$595,0,$E$245:$E$595,$G471)*$C$157 ,0)</f>
        <v/>
      </c>
      <c r="Y471" s="95">
        <f>IF(AND(SUMIFS($D$245:$D$595,$F$245:$F$595,0,$E$245:$E$595,$G471,$C$245:$C$595,"&lt;="&amp;W$5)&lt;1000000,SUMIFS($D$245:$D$595,$F$245:$F$595,0,$E$245:$E$595,$G471,$C$245:$C$595,"&lt;="&amp;Y5)&gt;=1000000),SUMIFS($D$245:$D$595,$F$245:$F$595,0,$E$245:$E$595,$G471)*$C$157 ,0)</f>
        <v/>
      </c>
      <c r="AA471" s="95">
        <f>IF(AND(SUMIFS($D$245:$D$595,$F$245:$F$595,0,$E$245:$E$595,$G471,$C$245:$C$595,"&lt;="&amp;Y$5)&lt;1000000,SUMIFS($D$245:$D$595,$F$245:$F$595,0,$E$245:$E$595,$G471,$C$245:$C$595,"&lt;="&amp;AA5)&gt;=1000000),SUMIFS($D$245:$D$595,$F$245:$F$595,0,$E$245:$E$595,$G471)*$C$157 ,0)</f>
        <v/>
      </c>
      <c r="AC471" s="95">
        <f>IF(AND(SUMIFS($D$245:$D$595,$F$245:$F$595,0,$E$245:$E$595,$G471,$C$245:$C$595,"&lt;="&amp;AA$5)&lt;1000000,SUMIFS($D$245:$D$595,$F$245:$F$595,0,$E$245:$E$595,$G471,$C$245:$C$595,"&lt;="&amp;AC5)&gt;=1000000),SUMIFS($D$245:$D$595,$F$245:$F$595,0,$E$245:$E$595,$G471)*$C$157 ,0)</f>
        <v/>
      </c>
      <c r="AE471" s="95">
        <f>IF(AND(SUMIFS($D$245:$D$595,$F$245:$F$595,0,$E$245:$E$595,$G471,$C$245:$C$595,"&lt;="&amp;AC$5)&lt;1000000,SUMIFS($D$245:$D$595,$F$245:$F$595,0,$E$245:$E$595,$G471,$C$245:$C$595,"&lt;="&amp;AE5)&gt;=1000000),SUMIFS($D$245:$D$595,$F$245:$F$595,0,$E$245:$E$595,$G471)*$C$157 ,0)</f>
        <v/>
      </c>
      <c r="AF471" s="19" t="n"/>
    </row>
    <row r="472">
      <c r="A472" s="20">
        <f>mid(E472, 3, 1)</f>
        <v/>
      </c>
      <c r="B472" s="14" t="inlineStr"/>
      <c r="C472" s="21">
        <f>SUMIFS('Investor Exit List'!$AC:$AC,'Investor Exit List'!$AB:$AB,B472)</f>
        <v/>
      </c>
      <c r="D472" s="14">
        <f>SUMIFS('Investor Exit List'!$Q:$Q,'Investor Exit List'!$AB:$AB,B472)</f>
        <v/>
      </c>
      <c r="E472" s="31">
        <f>LEFT(B472,6)</f>
        <v/>
      </c>
      <c r="F472" s="14">
        <f>IF(SUMIFS($E$119:$E$151,$D$119:$D$151,E472)&lt;&gt;0,E472,0)</f>
        <v/>
      </c>
      <c r="G472" s="59" t="n"/>
      <c r="I472" s="28">
        <f>IF(AND(SUMIFS($D$245:$D$595,$F$245:$F$595,0,$E$245:$E$595,$G472,$C$245:$C$595,"&lt;="&amp;B$2)&lt;1000000,SUMIFS($D$245:$D$595,$F$245:$F$595,0,$E$245:$E$595,$G472,$C$245:$C$595,"&lt;="&amp;I5)&gt;=1000000),SUMIFS($D$245:$D$595,$F$245:$F$595,0,$E$245:$E$595,$G472)*$C$157 ,0)</f>
        <v/>
      </c>
      <c r="K472" s="95">
        <f>IF(AND(SUMIFS($D$245:$D$595,$F$245:$F$595,0,$E$245:$E$595,$G472,$C$245:$C$595,"&lt;="&amp;I$5)&lt;1000000,SUMIFS($D$245:$D$595,$F$245:$F$595,0,$E$245:$E$595,$G472,$C$245:$C$595,"&lt;="&amp;K5)&gt;=1000000),SUMIFS($D$245:$D$595,$F$245:$F$595,0,$E$245:$E$595,$G472)*$C$157 ,0)</f>
        <v/>
      </c>
      <c r="M472" s="95">
        <f>IF(AND(SUMIFS($D$245:$D$595,$F$245:$F$595,0,$E$245:$E$595,$G472,$C$245:$C$595,"&lt;="&amp;K$5)&lt;1000000,SUMIFS($D$245:$D$595,$F$245:$F$595,0,$E$245:$E$595,$G472,$C$245:$C$595,"&lt;="&amp;M5)&gt;=1000000),SUMIFS($D$245:$D$595,$F$245:$F$595,0,$E$245:$E$595,$G472)*$C$157 ,0)</f>
        <v/>
      </c>
      <c r="O472" s="95">
        <f>IF(AND(SUMIFS($D$245:$D$595,$F$245:$F$595,0,$E$245:$E$595,$G472,$C$245:$C$595,"&lt;="&amp;M$5)&lt;1000000,SUMIFS($D$245:$D$595,$F$245:$F$595,0,$E$245:$E$595,$G472,$C$245:$C$595,"&lt;="&amp;O5)&gt;=1000000),SUMIFS($D$245:$D$595,$F$245:$F$595,0,$E$245:$E$595,$G472)*$C$157 ,0)</f>
        <v/>
      </c>
      <c r="Q472" s="95">
        <f>IF(AND(SUMIFS($D$245:$D$595,$F$245:$F$595,0,$E$245:$E$595,$G472,$C$245:$C$595,"&lt;="&amp;O$5)&lt;1000000,SUMIFS($D$245:$D$595,$F$245:$F$595,0,$E$245:$E$595,$G472,$C$245:$C$595,"&lt;="&amp;Q5)&gt;=1000000),SUMIFS($D$245:$D$595,$F$245:$F$595,0,$E$245:$E$595,$G472)*$C$157 ,0)</f>
        <v/>
      </c>
      <c r="S472" s="95">
        <f>IF(AND(SUMIFS($D$245:$D$595,$F$245:$F$595,0,$E$245:$E$595,$G472,$C$245:$C$595,"&lt;="&amp;Q$5)&lt;1000000,SUMIFS($D$245:$D$595,$F$245:$F$595,0,$E$245:$E$595,$G472,$C$245:$C$595,"&lt;="&amp;S5)&gt;=1000000),SUMIFS($D$245:$D$595,$F$245:$F$595,0,$E$245:$E$595,$G472)*$C$157 ,0)</f>
        <v/>
      </c>
      <c r="U472" s="95">
        <f>IF(AND(SUMIFS($D$245:$D$595,$F$245:$F$595,0,$E$245:$E$595,$G472,$C$245:$C$595,"&lt;="&amp;S$5)&lt;1000000,SUMIFS($D$245:$D$595,$F$245:$F$595,0,$E$245:$E$595,$G472,$C$245:$C$595,"&lt;="&amp;U5)&gt;=1000000),SUMIFS($D$245:$D$595,$F$245:$F$595,0,$E$245:$E$595,$G472)*$C$157 ,0)</f>
        <v/>
      </c>
      <c r="W472" s="95">
        <f>IF(AND(SUMIFS($D$245:$D$595,$F$245:$F$595,0,$E$245:$E$595,$G472,$C$245:$C$595,"&lt;="&amp;U$5)&lt;1000000,SUMIFS($D$245:$D$595,$F$245:$F$595,0,$E$245:$E$595,$G472,$C$245:$C$595,"&lt;="&amp;W5)&gt;=1000000),SUMIFS($D$245:$D$595,$F$245:$F$595,0,$E$245:$E$595,$G472)*$C$157 ,0)</f>
        <v/>
      </c>
      <c r="Y472" s="95">
        <f>IF(AND(SUMIFS($D$245:$D$595,$F$245:$F$595,0,$E$245:$E$595,$G472,$C$245:$C$595,"&lt;="&amp;W$5)&lt;1000000,SUMIFS($D$245:$D$595,$F$245:$F$595,0,$E$245:$E$595,$G472,$C$245:$C$595,"&lt;="&amp;Y5)&gt;=1000000),SUMIFS($D$245:$D$595,$F$245:$F$595,0,$E$245:$E$595,$G472)*$C$157 ,0)</f>
        <v/>
      </c>
      <c r="AA472" s="95">
        <f>IF(AND(SUMIFS($D$245:$D$595,$F$245:$F$595,0,$E$245:$E$595,$G472,$C$245:$C$595,"&lt;="&amp;Y$5)&lt;1000000,SUMIFS($D$245:$D$595,$F$245:$F$595,0,$E$245:$E$595,$G472,$C$245:$C$595,"&lt;="&amp;AA5)&gt;=1000000),SUMIFS($D$245:$D$595,$F$245:$F$595,0,$E$245:$E$595,$G472)*$C$157 ,0)</f>
        <v/>
      </c>
      <c r="AC472" s="95">
        <f>IF(AND(SUMIFS($D$245:$D$595,$F$245:$F$595,0,$E$245:$E$595,$G472,$C$245:$C$595,"&lt;="&amp;AA$5)&lt;1000000,SUMIFS($D$245:$D$595,$F$245:$F$595,0,$E$245:$E$595,$G472,$C$245:$C$595,"&lt;="&amp;AC5)&gt;=1000000),SUMIFS($D$245:$D$595,$F$245:$F$595,0,$E$245:$E$595,$G472)*$C$157 ,0)</f>
        <v/>
      </c>
      <c r="AE472" s="95">
        <f>IF(AND(SUMIFS($D$245:$D$595,$F$245:$F$595,0,$E$245:$E$595,$G472,$C$245:$C$595,"&lt;="&amp;AC$5)&lt;1000000,SUMIFS($D$245:$D$595,$F$245:$F$595,0,$E$245:$E$595,$G472,$C$245:$C$595,"&lt;="&amp;AE5)&gt;=1000000),SUMIFS($D$245:$D$595,$F$245:$F$595,0,$E$245:$E$595,$G472)*$C$157 ,0)</f>
        <v/>
      </c>
      <c r="AF472" s="19" t="n"/>
    </row>
    <row r="473">
      <c r="A473" s="20">
        <f>mid(E473, 3, 1)</f>
        <v/>
      </c>
      <c r="B473" s="14" t="inlineStr"/>
      <c r="C473" s="21">
        <f>SUMIFS('Investor Exit List'!$AC:$AC,'Investor Exit List'!$AB:$AB,B473)</f>
        <v/>
      </c>
      <c r="D473" s="14">
        <f>SUMIFS('Investor Exit List'!$Q:$Q,'Investor Exit List'!$AB:$AB,B473)</f>
        <v/>
      </c>
      <c r="E473" s="31">
        <f>LEFT(B473,6)</f>
        <v/>
      </c>
      <c r="F473" s="14">
        <f>IF(SUMIFS($E$119:$E$151,$D$119:$D$151,E473)&lt;&gt;0,E473,0)</f>
        <v/>
      </c>
      <c r="G473" s="59" t="n"/>
      <c r="I473" s="28">
        <f>IF(AND(SUMIFS($D$245:$D$595,$F$245:$F$595,0,$E$245:$E$595,$G473,$C$245:$C$595,"&lt;="&amp;B$2)&lt;1000000,SUMIFS($D$245:$D$595,$F$245:$F$595,0,$E$245:$E$595,$G473,$C$245:$C$595,"&lt;="&amp;I5)&gt;=1000000),SUMIFS($D$245:$D$595,$F$245:$F$595,0,$E$245:$E$595,$G473)*$C$157 ,0)</f>
        <v/>
      </c>
      <c r="K473" s="95">
        <f>IF(AND(SUMIFS($D$245:$D$595,$F$245:$F$595,0,$E$245:$E$595,$G473,$C$245:$C$595,"&lt;="&amp;I$5)&lt;1000000,SUMIFS($D$245:$D$595,$F$245:$F$595,0,$E$245:$E$595,$G473,$C$245:$C$595,"&lt;="&amp;K5)&gt;=1000000),SUMIFS($D$245:$D$595,$F$245:$F$595,0,$E$245:$E$595,$G473)*$C$157 ,0)</f>
        <v/>
      </c>
      <c r="M473" s="95">
        <f>IF(AND(SUMIFS($D$245:$D$595,$F$245:$F$595,0,$E$245:$E$595,$G473,$C$245:$C$595,"&lt;="&amp;K$5)&lt;1000000,SUMIFS($D$245:$D$595,$F$245:$F$595,0,$E$245:$E$595,$G473,$C$245:$C$595,"&lt;="&amp;M5)&gt;=1000000),SUMIFS($D$245:$D$595,$F$245:$F$595,0,$E$245:$E$595,$G473)*$C$157 ,0)</f>
        <v/>
      </c>
      <c r="O473" s="95">
        <f>IF(AND(SUMIFS($D$245:$D$595,$F$245:$F$595,0,$E$245:$E$595,$G473,$C$245:$C$595,"&lt;="&amp;M$5)&lt;1000000,SUMIFS($D$245:$D$595,$F$245:$F$595,0,$E$245:$E$595,$G473,$C$245:$C$595,"&lt;="&amp;O5)&gt;=1000000),SUMIFS($D$245:$D$595,$F$245:$F$595,0,$E$245:$E$595,$G473)*$C$157 ,0)</f>
        <v/>
      </c>
      <c r="Q473" s="95">
        <f>IF(AND(SUMIFS($D$245:$D$595,$F$245:$F$595,0,$E$245:$E$595,$G473,$C$245:$C$595,"&lt;="&amp;O$5)&lt;1000000,SUMIFS($D$245:$D$595,$F$245:$F$595,0,$E$245:$E$595,$G473,$C$245:$C$595,"&lt;="&amp;Q5)&gt;=1000000),SUMIFS($D$245:$D$595,$F$245:$F$595,0,$E$245:$E$595,$G473)*$C$157 ,0)</f>
        <v/>
      </c>
      <c r="S473" s="95">
        <f>IF(AND(SUMIFS($D$245:$D$595,$F$245:$F$595,0,$E$245:$E$595,$G473,$C$245:$C$595,"&lt;="&amp;Q$5)&lt;1000000,SUMIFS($D$245:$D$595,$F$245:$F$595,0,$E$245:$E$595,$G473,$C$245:$C$595,"&lt;="&amp;S5)&gt;=1000000),SUMIFS($D$245:$D$595,$F$245:$F$595,0,$E$245:$E$595,$G473)*$C$157 ,0)</f>
        <v/>
      </c>
      <c r="U473" s="95">
        <f>IF(AND(SUMIFS($D$245:$D$595,$F$245:$F$595,0,$E$245:$E$595,$G473,$C$245:$C$595,"&lt;="&amp;S$5)&lt;1000000,SUMIFS($D$245:$D$595,$F$245:$F$595,0,$E$245:$E$595,$G473,$C$245:$C$595,"&lt;="&amp;U5)&gt;=1000000),SUMIFS($D$245:$D$595,$F$245:$F$595,0,$E$245:$E$595,$G473)*$C$157 ,0)</f>
        <v/>
      </c>
      <c r="W473" s="95">
        <f>IF(AND(SUMIFS($D$245:$D$595,$F$245:$F$595,0,$E$245:$E$595,$G473,$C$245:$C$595,"&lt;="&amp;U$5)&lt;1000000,SUMIFS($D$245:$D$595,$F$245:$F$595,0,$E$245:$E$595,$G473,$C$245:$C$595,"&lt;="&amp;W5)&gt;=1000000),SUMIFS($D$245:$D$595,$F$245:$F$595,0,$E$245:$E$595,$G473)*$C$157 ,0)</f>
        <v/>
      </c>
      <c r="Y473" s="95">
        <f>IF(AND(SUMIFS($D$245:$D$595,$F$245:$F$595,0,$E$245:$E$595,$G473,$C$245:$C$595,"&lt;="&amp;W$5)&lt;1000000,SUMIFS($D$245:$D$595,$F$245:$F$595,0,$E$245:$E$595,$G473,$C$245:$C$595,"&lt;="&amp;Y5)&gt;=1000000),SUMIFS($D$245:$D$595,$F$245:$F$595,0,$E$245:$E$595,$G473)*$C$157 ,0)</f>
        <v/>
      </c>
      <c r="AA473" s="95">
        <f>IF(AND(SUMIFS($D$245:$D$595,$F$245:$F$595,0,$E$245:$E$595,$G473,$C$245:$C$595,"&lt;="&amp;Y$5)&lt;1000000,SUMIFS($D$245:$D$595,$F$245:$F$595,0,$E$245:$E$595,$G473,$C$245:$C$595,"&lt;="&amp;AA5)&gt;=1000000),SUMIFS($D$245:$D$595,$F$245:$F$595,0,$E$245:$E$595,$G473)*$C$157 ,0)</f>
        <v/>
      </c>
      <c r="AC473" s="95">
        <f>IF(AND(SUMIFS($D$245:$D$595,$F$245:$F$595,0,$E$245:$E$595,$G473,$C$245:$C$595,"&lt;="&amp;AA$5)&lt;1000000,SUMIFS($D$245:$D$595,$F$245:$F$595,0,$E$245:$E$595,$G473,$C$245:$C$595,"&lt;="&amp;AC5)&gt;=1000000),SUMIFS($D$245:$D$595,$F$245:$F$595,0,$E$245:$E$595,$G473)*$C$157 ,0)</f>
        <v/>
      </c>
      <c r="AE473" s="95">
        <f>IF(AND(SUMIFS($D$245:$D$595,$F$245:$F$595,0,$E$245:$E$595,$G473,$C$245:$C$595,"&lt;="&amp;AC$5)&lt;1000000,SUMIFS($D$245:$D$595,$F$245:$F$595,0,$E$245:$E$595,$G473,$C$245:$C$595,"&lt;="&amp;AE5)&gt;=1000000),SUMIFS($D$245:$D$595,$F$245:$F$595,0,$E$245:$E$595,$G473)*$C$157 ,0)</f>
        <v/>
      </c>
      <c r="AF473" s="19" t="n"/>
    </row>
    <row r="474">
      <c r="A474" s="20">
        <f>mid(E474, 3, 1)</f>
        <v/>
      </c>
      <c r="B474" s="14" t="inlineStr"/>
      <c r="C474" s="21">
        <f>SUMIFS('Investor Exit List'!$AC:$AC,'Investor Exit List'!$AB:$AB,B474)</f>
        <v/>
      </c>
      <c r="D474" s="14">
        <f>SUMIFS('Investor Exit List'!$Q:$Q,'Investor Exit List'!$AB:$AB,B474)</f>
        <v/>
      </c>
      <c r="E474" s="31">
        <f>LEFT(B474,6)</f>
        <v/>
      </c>
      <c r="F474" s="14">
        <f>IF(SUMIFS($E$119:$E$151,$D$119:$D$151,E474)&lt;&gt;0,E474,0)</f>
        <v/>
      </c>
      <c r="G474" s="59" t="n"/>
      <c r="I474" s="28">
        <f>IF(AND(SUMIFS($D$245:$D$595,$F$245:$F$595,0,$E$245:$E$595,$G474,$C$245:$C$595,"&lt;="&amp;B$2)&lt;1000000,SUMIFS($D$245:$D$595,$F$245:$F$595,0,$E$245:$E$595,$G474,$C$245:$C$595,"&lt;="&amp;I5)&gt;=1000000),SUMIFS($D$245:$D$595,$F$245:$F$595,0,$E$245:$E$595,$G474)*$C$157 ,0)</f>
        <v/>
      </c>
      <c r="K474" s="95">
        <f>IF(AND(SUMIFS($D$245:$D$595,$F$245:$F$595,0,$E$245:$E$595,$G474,$C$245:$C$595,"&lt;="&amp;I$5)&lt;1000000,SUMIFS($D$245:$D$595,$F$245:$F$595,0,$E$245:$E$595,$G474,$C$245:$C$595,"&lt;="&amp;K5)&gt;=1000000),SUMIFS($D$245:$D$595,$F$245:$F$595,0,$E$245:$E$595,$G474)*$C$157 ,0)</f>
        <v/>
      </c>
      <c r="M474" s="95">
        <f>IF(AND(SUMIFS($D$245:$D$595,$F$245:$F$595,0,$E$245:$E$595,$G474,$C$245:$C$595,"&lt;="&amp;K$5)&lt;1000000,SUMIFS($D$245:$D$595,$F$245:$F$595,0,$E$245:$E$595,$G474,$C$245:$C$595,"&lt;="&amp;M5)&gt;=1000000),SUMIFS($D$245:$D$595,$F$245:$F$595,0,$E$245:$E$595,$G474)*$C$157 ,0)</f>
        <v/>
      </c>
      <c r="O474" s="95">
        <f>IF(AND(SUMIFS($D$245:$D$595,$F$245:$F$595,0,$E$245:$E$595,$G474,$C$245:$C$595,"&lt;="&amp;M$5)&lt;1000000,SUMIFS($D$245:$D$595,$F$245:$F$595,0,$E$245:$E$595,$G474,$C$245:$C$595,"&lt;="&amp;O5)&gt;=1000000),SUMIFS($D$245:$D$595,$F$245:$F$595,0,$E$245:$E$595,$G474)*$C$157 ,0)</f>
        <v/>
      </c>
      <c r="Q474" s="95">
        <f>IF(AND(SUMIFS($D$245:$D$595,$F$245:$F$595,0,$E$245:$E$595,$G474,$C$245:$C$595,"&lt;="&amp;O$5)&lt;1000000,SUMIFS($D$245:$D$595,$F$245:$F$595,0,$E$245:$E$595,$G474,$C$245:$C$595,"&lt;="&amp;Q5)&gt;=1000000),SUMIFS($D$245:$D$595,$F$245:$F$595,0,$E$245:$E$595,$G474)*$C$157 ,0)</f>
        <v/>
      </c>
      <c r="S474" s="95">
        <f>IF(AND(SUMIFS($D$245:$D$595,$F$245:$F$595,0,$E$245:$E$595,$G474,$C$245:$C$595,"&lt;="&amp;Q$5)&lt;1000000,SUMIFS($D$245:$D$595,$F$245:$F$595,0,$E$245:$E$595,$G474,$C$245:$C$595,"&lt;="&amp;S5)&gt;=1000000),SUMIFS($D$245:$D$595,$F$245:$F$595,0,$E$245:$E$595,$G474)*$C$157 ,0)</f>
        <v/>
      </c>
      <c r="U474" s="95">
        <f>IF(AND(SUMIFS($D$245:$D$595,$F$245:$F$595,0,$E$245:$E$595,$G474,$C$245:$C$595,"&lt;="&amp;S$5)&lt;1000000,SUMIFS($D$245:$D$595,$F$245:$F$595,0,$E$245:$E$595,$G474,$C$245:$C$595,"&lt;="&amp;U5)&gt;=1000000),SUMIFS($D$245:$D$595,$F$245:$F$595,0,$E$245:$E$595,$G474)*$C$157 ,0)</f>
        <v/>
      </c>
      <c r="W474" s="95">
        <f>IF(AND(SUMIFS($D$245:$D$595,$F$245:$F$595,0,$E$245:$E$595,$G474,$C$245:$C$595,"&lt;="&amp;U$5)&lt;1000000,SUMIFS($D$245:$D$595,$F$245:$F$595,0,$E$245:$E$595,$G474,$C$245:$C$595,"&lt;="&amp;W5)&gt;=1000000),SUMIFS($D$245:$D$595,$F$245:$F$595,0,$E$245:$E$595,$G474)*$C$157 ,0)</f>
        <v/>
      </c>
      <c r="Y474" s="95">
        <f>IF(AND(SUMIFS($D$245:$D$595,$F$245:$F$595,0,$E$245:$E$595,$G474,$C$245:$C$595,"&lt;="&amp;W$5)&lt;1000000,SUMIFS($D$245:$D$595,$F$245:$F$595,0,$E$245:$E$595,$G474,$C$245:$C$595,"&lt;="&amp;Y5)&gt;=1000000),SUMIFS($D$245:$D$595,$F$245:$F$595,0,$E$245:$E$595,$G474)*$C$157 ,0)</f>
        <v/>
      </c>
      <c r="AA474" s="95">
        <f>IF(AND(SUMIFS($D$245:$D$595,$F$245:$F$595,0,$E$245:$E$595,$G474,$C$245:$C$595,"&lt;="&amp;Y$5)&lt;1000000,SUMIFS($D$245:$D$595,$F$245:$F$595,0,$E$245:$E$595,$G474,$C$245:$C$595,"&lt;="&amp;AA5)&gt;=1000000),SUMIFS($D$245:$D$595,$F$245:$F$595,0,$E$245:$E$595,$G474)*$C$157 ,0)</f>
        <v/>
      </c>
      <c r="AC474" s="95">
        <f>IF(AND(SUMIFS($D$245:$D$595,$F$245:$F$595,0,$E$245:$E$595,$G474,$C$245:$C$595,"&lt;="&amp;AA$5)&lt;1000000,SUMIFS($D$245:$D$595,$F$245:$F$595,0,$E$245:$E$595,$G474,$C$245:$C$595,"&lt;="&amp;AC5)&gt;=1000000),SUMIFS($D$245:$D$595,$F$245:$F$595,0,$E$245:$E$595,$G474)*$C$157 ,0)</f>
        <v/>
      </c>
      <c r="AE474" s="95">
        <f>IF(AND(SUMIFS($D$245:$D$595,$F$245:$F$595,0,$E$245:$E$595,$G474,$C$245:$C$595,"&lt;="&amp;AC$5)&lt;1000000,SUMIFS($D$245:$D$595,$F$245:$F$595,0,$E$245:$E$595,$G474,$C$245:$C$595,"&lt;="&amp;AE5)&gt;=1000000),SUMIFS($D$245:$D$595,$F$245:$F$595,0,$E$245:$E$595,$G474)*$C$157 ,0)</f>
        <v/>
      </c>
      <c r="AF474" s="19" t="n"/>
    </row>
    <row r="475">
      <c r="A475" s="20">
        <f>mid(E475, 3, 1)</f>
        <v/>
      </c>
      <c r="B475" s="14" t="inlineStr"/>
      <c r="C475" s="21">
        <f>SUMIFS('Investor Exit List'!$AC:$AC,'Investor Exit List'!$AB:$AB,B475)</f>
        <v/>
      </c>
      <c r="D475" s="14">
        <f>SUMIFS('Investor Exit List'!$Q:$Q,'Investor Exit List'!$AB:$AB,B475)</f>
        <v/>
      </c>
      <c r="E475" s="31">
        <f>LEFT(B475,6)</f>
        <v/>
      </c>
      <c r="F475" s="14">
        <f>IF(SUMIFS($E$119:$E$151,$D$119:$D$151,E475)&lt;&gt;0,E475,0)</f>
        <v/>
      </c>
      <c r="G475" s="59" t="n"/>
      <c r="I475" s="28">
        <f>IF(AND(SUMIFS($D$245:$D$595,$F$245:$F$595,0,$E$245:$E$595,$G475,$C$245:$C$595,"&lt;="&amp;B$2)&lt;1000000,SUMIFS($D$245:$D$595,$F$245:$F$595,0,$E$245:$E$595,$G475,$C$245:$C$595,"&lt;="&amp;I5)&gt;=1000000),SUMIFS($D$245:$D$595,$F$245:$F$595,0,$E$245:$E$595,$G475)*$C$157 ,0)</f>
        <v/>
      </c>
      <c r="K475" s="95">
        <f>IF(AND(SUMIFS($D$245:$D$595,$F$245:$F$595,0,$E$245:$E$595,$G475,$C$245:$C$595,"&lt;="&amp;I$5)&lt;1000000,SUMIFS($D$245:$D$595,$F$245:$F$595,0,$E$245:$E$595,$G475,$C$245:$C$595,"&lt;="&amp;K5)&gt;=1000000),SUMIFS($D$245:$D$595,$F$245:$F$595,0,$E$245:$E$595,$G475)*$C$157 ,0)</f>
        <v/>
      </c>
      <c r="M475" s="95">
        <f>IF(AND(SUMIFS($D$245:$D$595,$F$245:$F$595,0,$E$245:$E$595,$G475,$C$245:$C$595,"&lt;="&amp;K$5)&lt;1000000,SUMIFS($D$245:$D$595,$F$245:$F$595,0,$E$245:$E$595,$G475,$C$245:$C$595,"&lt;="&amp;M5)&gt;=1000000),SUMIFS($D$245:$D$595,$F$245:$F$595,0,$E$245:$E$595,$G475)*$C$157 ,0)</f>
        <v/>
      </c>
      <c r="O475" s="95">
        <f>IF(AND(SUMIFS($D$245:$D$595,$F$245:$F$595,0,$E$245:$E$595,$G475,$C$245:$C$595,"&lt;="&amp;M$5)&lt;1000000,SUMIFS($D$245:$D$595,$F$245:$F$595,0,$E$245:$E$595,$G475,$C$245:$C$595,"&lt;="&amp;O5)&gt;=1000000),SUMIFS($D$245:$D$595,$F$245:$F$595,0,$E$245:$E$595,$G475)*$C$157 ,0)</f>
        <v/>
      </c>
      <c r="Q475" s="95">
        <f>IF(AND(SUMIFS($D$245:$D$595,$F$245:$F$595,0,$E$245:$E$595,$G475,$C$245:$C$595,"&lt;="&amp;O$5)&lt;1000000,SUMIFS($D$245:$D$595,$F$245:$F$595,0,$E$245:$E$595,$G475,$C$245:$C$595,"&lt;="&amp;Q5)&gt;=1000000),SUMIFS($D$245:$D$595,$F$245:$F$595,0,$E$245:$E$595,$G475)*$C$157 ,0)</f>
        <v/>
      </c>
      <c r="S475" s="95">
        <f>IF(AND(SUMIFS($D$245:$D$595,$F$245:$F$595,0,$E$245:$E$595,$G475,$C$245:$C$595,"&lt;="&amp;Q$5)&lt;1000000,SUMIFS($D$245:$D$595,$F$245:$F$595,0,$E$245:$E$595,$G475,$C$245:$C$595,"&lt;="&amp;S5)&gt;=1000000),SUMIFS($D$245:$D$595,$F$245:$F$595,0,$E$245:$E$595,$G475)*$C$157 ,0)</f>
        <v/>
      </c>
      <c r="U475" s="95">
        <f>IF(AND(SUMIFS($D$245:$D$595,$F$245:$F$595,0,$E$245:$E$595,$G475,$C$245:$C$595,"&lt;="&amp;S$5)&lt;1000000,SUMIFS($D$245:$D$595,$F$245:$F$595,0,$E$245:$E$595,$G475,$C$245:$C$595,"&lt;="&amp;U5)&gt;=1000000),SUMIFS($D$245:$D$595,$F$245:$F$595,0,$E$245:$E$595,$G475)*$C$157 ,0)</f>
        <v/>
      </c>
      <c r="W475" s="95">
        <f>IF(AND(SUMIFS($D$245:$D$595,$F$245:$F$595,0,$E$245:$E$595,$G475,$C$245:$C$595,"&lt;="&amp;U$5)&lt;1000000,SUMIFS($D$245:$D$595,$F$245:$F$595,0,$E$245:$E$595,$G475,$C$245:$C$595,"&lt;="&amp;W5)&gt;=1000000),SUMIFS($D$245:$D$595,$F$245:$F$595,0,$E$245:$E$595,$G475)*$C$157 ,0)</f>
        <v/>
      </c>
      <c r="Y475" s="95">
        <f>IF(AND(SUMIFS($D$245:$D$595,$F$245:$F$595,0,$E$245:$E$595,$G475,$C$245:$C$595,"&lt;="&amp;W$5)&lt;1000000,SUMIFS($D$245:$D$595,$F$245:$F$595,0,$E$245:$E$595,$G475,$C$245:$C$595,"&lt;="&amp;Y5)&gt;=1000000),SUMIFS($D$245:$D$595,$F$245:$F$595,0,$E$245:$E$595,$G475)*$C$157 ,0)</f>
        <v/>
      </c>
      <c r="AA475" s="95">
        <f>IF(AND(SUMIFS($D$245:$D$595,$F$245:$F$595,0,$E$245:$E$595,$G475,$C$245:$C$595,"&lt;="&amp;Y$5)&lt;1000000,SUMIFS($D$245:$D$595,$F$245:$F$595,0,$E$245:$E$595,$G475,$C$245:$C$595,"&lt;="&amp;AA5)&gt;=1000000),SUMIFS($D$245:$D$595,$F$245:$F$595,0,$E$245:$E$595,$G475)*$C$157 ,0)</f>
        <v/>
      </c>
      <c r="AC475" s="95">
        <f>IF(AND(SUMIFS($D$245:$D$595,$F$245:$F$595,0,$E$245:$E$595,$G475,$C$245:$C$595,"&lt;="&amp;AA$5)&lt;1000000,SUMIFS($D$245:$D$595,$F$245:$F$595,0,$E$245:$E$595,$G475,$C$245:$C$595,"&lt;="&amp;AC5)&gt;=1000000),SUMIFS($D$245:$D$595,$F$245:$F$595,0,$E$245:$E$595,$G475)*$C$157 ,0)</f>
        <v/>
      </c>
      <c r="AE475" s="95">
        <f>IF(AND(SUMIFS($D$245:$D$595,$F$245:$F$595,0,$E$245:$E$595,$G475,$C$245:$C$595,"&lt;="&amp;AC$5)&lt;1000000,SUMIFS($D$245:$D$595,$F$245:$F$595,0,$E$245:$E$595,$G475,$C$245:$C$595,"&lt;="&amp;AE5)&gt;=1000000),SUMIFS($D$245:$D$595,$F$245:$F$595,0,$E$245:$E$595,$G475)*$C$157 ,0)</f>
        <v/>
      </c>
      <c r="AF475" s="19" t="n"/>
    </row>
    <row r="476">
      <c r="A476" s="20">
        <f>mid(E476, 3, 1)</f>
        <v/>
      </c>
      <c r="B476" s="14" t="inlineStr"/>
      <c r="C476" s="21">
        <f>SUMIFS('Investor Exit List'!$AC:$AC,'Investor Exit List'!$AB:$AB,B476)</f>
        <v/>
      </c>
      <c r="D476" s="14">
        <f>SUMIFS('Investor Exit List'!$Q:$Q,'Investor Exit List'!$AB:$AB,B476)</f>
        <v/>
      </c>
      <c r="E476" s="31">
        <f>LEFT(B476,6)</f>
        <v/>
      </c>
      <c r="F476" s="14">
        <f>IF(SUMIFS($E$119:$E$151,$D$119:$D$151,E476)&lt;&gt;0,E476,0)</f>
        <v/>
      </c>
      <c r="G476" s="59" t="n"/>
      <c r="I476" s="28">
        <f>IF(AND(SUMIFS($D$245:$D$595,$F$245:$F$595,0,$E$245:$E$595,$G476,$C$245:$C$595,"&lt;="&amp;B$2)&lt;1000000,SUMIFS($D$245:$D$595,$F$245:$F$595,0,$E$245:$E$595,$G476,$C$245:$C$595,"&lt;="&amp;I5)&gt;=1000000),SUMIFS($D$245:$D$595,$F$245:$F$595,0,$E$245:$E$595,$G476)*$C$157 ,0)</f>
        <v/>
      </c>
      <c r="K476" s="95">
        <f>IF(AND(SUMIFS($D$245:$D$595,$F$245:$F$595,0,$E$245:$E$595,$G476,$C$245:$C$595,"&lt;="&amp;I$5)&lt;1000000,SUMIFS($D$245:$D$595,$F$245:$F$595,0,$E$245:$E$595,$G476,$C$245:$C$595,"&lt;="&amp;K5)&gt;=1000000),SUMIFS($D$245:$D$595,$F$245:$F$595,0,$E$245:$E$595,$G476)*$C$157 ,0)</f>
        <v/>
      </c>
      <c r="M476" s="95">
        <f>IF(AND(SUMIFS($D$245:$D$595,$F$245:$F$595,0,$E$245:$E$595,$G476,$C$245:$C$595,"&lt;="&amp;K$5)&lt;1000000,SUMIFS($D$245:$D$595,$F$245:$F$595,0,$E$245:$E$595,$G476,$C$245:$C$595,"&lt;="&amp;M5)&gt;=1000000),SUMIFS($D$245:$D$595,$F$245:$F$595,0,$E$245:$E$595,$G476)*$C$157 ,0)</f>
        <v/>
      </c>
      <c r="O476" s="95">
        <f>IF(AND(SUMIFS($D$245:$D$595,$F$245:$F$595,0,$E$245:$E$595,$G476,$C$245:$C$595,"&lt;="&amp;M$5)&lt;1000000,SUMIFS($D$245:$D$595,$F$245:$F$595,0,$E$245:$E$595,$G476,$C$245:$C$595,"&lt;="&amp;O5)&gt;=1000000),SUMIFS($D$245:$D$595,$F$245:$F$595,0,$E$245:$E$595,$G476)*$C$157 ,0)</f>
        <v/>
      </c>
      <c r="Q476" s="95">
        <f>IF(AND(SUMIFS($D$245:$D$595,$F$245:$F$595,0,$E$245:$E$595,$G476,$C$245:$C$595,"&lt;="&amp;O$5)&lt;1000000,SUMIFS($D$245:$D$595,$F$245:$F$595,0,$E$245:$E$595,$G476,$C$245:$C$595,"&lt;="&amp;Q5)&gt;=1000000),SUMIFS($D$245:$D$595,$F$245:$F$595,0,$E$245:$E$595,$G476)*$C$157 ,0)</f>
        <v/>
      </c>
      <c r="S476" s="95">
        <f>IF(AND(SUMIFS($D$245:$D$595,$F$245:$F$595,0,$E$245:$E$595,$G476,$C$245:$C$595,"&lt;="&amp;Q$5)&lt;1000000,SUMIFS($D$245:$D$595,$F$245:$F$595,0,$E$245:$E$595,$G476,$C$245:$C$595,"&lt;="&amp;S5)&gt;=1000000),SUMIFS($D$245:$D$595,$F$245:$F$595,0,$E$245:$E$595,$G476)*$C$157 ,0)</f>
        <v/>
      </c>
      <c r="U476" s="95">
        <f>IF(AND(SUMIFS($D$245:$D$595,$F$245:$F$595,0,$E$245:$E$595,$G476,$C$245:$C$595,"&lt;="&amp;S$5)&lt;1000000,SUMIFS($D$245:$D$595,$F$245:$F$595,0,$E$245:$E$595,$G476,$C$245:$C$595,"&lt;="&amp;U5)&gt;=1000000),SUMIFS($D$245:$D$595,$F$245:$F$595,0,$E$245:$E$595,$G476)*$C$157 ,0)</f>
        <v/>
      </c>
      <c r="W476" s="95">
        <f>IF(AND(SUMIFS($D$245:$D$595,$F$245:$F$595,0,$E$245:$E$595,$G476,$C$245:$C$595,"&lt;="&amp;U$5)&lt;1000000,SUMIFS($D$245:$D$595,$F$245:$F$595,0,$E$245:$E$595,$G476,$C$245:$C$595,"&lt;="&amp;W5)&gt;=1000000),SUMIFS($D$245:$D$595,$F$245:$F$595,0,$E$245:$E$595,$G476)*$C$157 ,0)</f>
        <v/>
      </c>
      <c r="Y476" s="95">
        <f>IF(AND(SUMIFS($D$245:$D$595,$F$245:$F$595,0,$E$245:$E$595,$G476,$C$245:$C$595,"&lt;="&amp;W$5)&lt;1000000,SUMIFS($D$245:$D$595,$F$245:$F$595,0,$E$245:$E$595,$G476,$C$245:$C$595,"&lt;="&amp;Y5)&gt;=1000000),SUMIFS($D$245:$D$595,$F$245:$F$595,0,$E$245:$E$595,$G476)*$C$157 ,0)</f>
        <v/>
      </c>
      <c r="AA476" s="95">
        <f>IF(AND(SUMIFS($D$245:$D$595,$F$245:$F$595,0,$E$245:$E$595,$G476,$C$245:$C$595,"&lt;="&amp;Y$5)&lt;1000000,SUMIFS($D$245:$D$595,$F$245:$F$595,0,$E$245:$E$595,$G476,$C$245:$C$595,"&lt;="&amp;AA5)&gt;=1000000),SUMIFS($D$245:$D$595,$F$245:$F$595,0,$E$245:$E$595,$G476)*$C$157 ,0)</f>
        <v/>
      </c>
      <c r="AC476" s="95">
        <f>IF(AND(SUMIFS($D$245:$D$595,$F$245:$F$595,0,$E$245:$E$595,$G476,$C$245:$C$595,"&lt;="&amp;AA$5)&lt;1000000,SUMIFS($D$245:$D$595,$F$245:$F$595,0,$E$245:$E$595,$G476,$C$245:$C$595,"&lt;="&amp;AC5)&gt;=1000000),SUMIFS($D$245:$D$595,$F$245:$F$595,0,$E$245:$E$595,$G476)*$C$157 ,0)</f>
        <v/>
      </c>
      <c r="AE476" s="95">
        <f>IF(AND(SUMIFS($D$245:$D$595,$F$245:$F$595,0,$E$245:$E$595,$G476,$C$245:$C$595,"&lt;="&amp;AC$5)&lt;1000000,SUMIFS($D$245:$D$595,$F$245:$F$595,0,$E$245:$E$595,$G476,$C$245:$C$595,"&lt;="&amp;AE5)&gt;=1000000),SUMIFS($D$245:$D$595,$F$245:$F$595,0,$E$245:$E$595,$G476)*$C$157 ,0)</f>
        <v/>
      </c>
      <c r="AF476" s="19" t="n"/>
    </row>
    <row r="477">
      <c r="A477" s="20">
        <f>mid(E477, 3, 1)</f>
        <v/>
      </c>
      <c r="B477" s="14" t="inlineStr"/>
      <c r="C477" s="21">
        <f>SUMIFS('Investor Exit List'!$AC:$AC,'Investor Exit List'!$AB:$AB,B477)</f>
        <v/>
      </c>
      <c r="D477" s="14">
        <f>SUMIFS('Investor Exit List'!$Q:$Q,'Investor Exit List'!$AB:$AB,B477)</f>
        <v/>
      </c>
      <c r="E477" s="31">
        <f>LEFT(B477,6)</f>
        <v/>
      </c>
      <c r="F477" s="14">
        <f>IF(SUMIFS($E$119:$E$151,$D$119:$D$151,E477)&lt;&gt;0,E477,0)</f>
        <v/>
      </c>
      <c r="G477" s="59" t="n"/>
      <c r="I477" s="28">
        <f>IF(AND(SUMIFS($D$245:$D$595,$F$245:$F$595,0,$E$245:$E$595,$G477,$C$245:$C$595,"&lt;="&amp;B$2)&lt;1000000,SUMIFS($D$245:$D$595,$F$245:$F$595,0,$E$245:$E$595,$G477,$C$245:$C$595,"&lt;="&amp;I5)&gt;=1000000),SUMIFS($D$245:$D$595,$F$245:$F$595,0,$E$245:$E$595,$G477)*$C$157 ,0)</f>
        <v/>
      </c>
      <c r="K477" s="95">
        <f>IF(AND(SUMIFS($D$245:$D$595,$F$245:$F$595,0,$E$245:$E$595,$G477,$C$245:$C$595,"&lt;="&amp;I$5)&lt;1000000,SUMIFS($D$245:$D$595,$F$245:$F$595,0,$E$245:$E$595,$G477,$C$245:$C$595,"&lt;="&amp;K5)&gt;=1000000),SUMIFS($D$245:$D$595,$F$245:$F$595,0,$E$245:$E$595,$G477)*$C$157 ,0)</f>
        <v/>
      </c>
      <c r="M477" s="95">
        <f>IF(AND(SUMIFS($D$245:$D$595,$F$245:$F$595,0,$E$245:$E$595,$G477,$C$245:$C$595,"&lt;="&amp;K$5)&lt;1000000,SUMIFS($D$245:$D$595,$F$245:$F$595,0,$E$245:$E$595,$G477,$C$245:$C$595,"&lt;="&amp;M5)&gt;=1000000),SUMIFS($D$245:$D$595,$F$245:$F$595,0,$E$245:$E$595,$G477)*$C$157 ,0)</f>
        <v/>
      </c>
      <c r="O477" s="95">
        <f>IF(AND(SUMIFS($D$245:$D$595,$F$245:$F$595,0,$E$245:$E$595,$G477,$C$245:$C$595,"&lt;="&amp;M$5)&lt;1000000,SUMIFS($D$245:$D$595,$F$245:$F$595,0,$E$245:$E$595,$G477,$C$245:$C$595,"&lt;="&amp;O5)&gt;=1000000),SUMIFS($D$245:$D$595,$F$245:$F$595,0,$E$245:$E$595,$G477)*$C$157 ,0)</f>
        <v/>
      </c>
      <c r="Q477" s="95">
        <f>IF(AND(SUMIFS($D$245:$D$595,$F$245:$F$595,0,$E$245:$E$595,$G477,$C$245:$C$595,"&lt;="&amp;O$5)&lt;1000000,SUMIFS($D$245:$D$595,$F$245:$F$595,0,$E$245:$E$595,$G477,$C$245:$C$595,"&lt;="&amp;Q5)&gt;=1000000),SUMIFS($D$245:$D$595,$F$245:$F$595,0,$E$245:$E$595,$G477)*$C$157 ,0)</f>
        <v/>
      </c>
      <c r="S477" s="95">
        <f>IF(AND(SUMIFS($D$245:$D$595,$F$245:$F$595,0,$E$245:$E$595,$G477,$C$245:$C$595,"&lt;="&amp;Q$5)&lt;1000000,SUMIFS($D$245:$D$595,$F$245:$F$595,0,$E$245:$E$595,$G477,$C$245:$C$595,"&lt;="&amp;S5)&gt;=1000000),SUMIFS($D$245:$D$595,$F$245:$F$595,0,$E$245:$E$595,$G477)*$C$157 ,0)</f>
        <v/>
      </c>
      <c r="U477" s="95">
        <f>IF(AND(SUMIFS($D$245:$D$595,$F$245:$F$595,0,$E$245:$E$595,$G477,$C$245:$C$595,"&lt;="&amp;S$5)&lt;1000000,SUMIFS($D$245:$D$595,$F$245:$F$595,0,$E$245:$E$595,$G477,$C$245:$C$595,"&lt;="&amp;U5)&gt;=1000000),SUMIFS($D$245:$D$595,$F$245:$F$595,0,$E$245:$E$595,$G477)*$C$157 ,0)</f>
        <v/>
      </c>
      <c r="W477" s="95">
        <f>IF(AND(SUMIFS($D$245:$D$595,$F$245:$F$595,0,$E$245:$E$595,$G477,$C$245:$C$595,"&lt;="&amp;U$5)&lt;1000000,SUMIFS($D$245:$D$595,$F$245:$F$595,0,$E$245:$E$595,$G477,$C$245:$C$595,"&lt;="&amp;W5)&gt;=1000000),SUMIFS($D$245:$D$595,$F$245:$F$595,0,$E$245:$E$595,$G477)*$C$157 ,0)</f>
        <v/>
      </c>
      <c r="Y477" s="95">
        <f>IF(AND(SUMIFS($D$245:$D$595,$F$245:$F$595,0,$E$245:$E$595,$G477,$C$245:$C$595,"&lt;="&amp;W$5)&lt;1000000,SUMIFS($D$245:$D$595,$F$245:$F$595,0,$E$245:$E$595,$G477,$C$245:$C$595,"&lt;="&amp;Y5)&gt;=1000000),SUMIFS($D$245:$D$595,$F$245:$F$595,0,$E$245:$E$595,$G477)*$C$157 ,0)</f>
        <v/>
      </c>
      <c r="AA477" s="95">
        <f>IF(AND(SUMIFS($D$245:$D$595,$F$245:$F$595,0,$E$245:$E$595,$G477,$C$245:$C$595,"&lt;="&amp;Y$5)&lt;1000000,SUMIFS($D$245:$D$595,$F$245:$F$595,0,$E$245:$E$595,$G477,$C$245:$C$595,"&lt;="&amp;AA5)&gt;=1000000),SUMIFS($D$245:$D$595,$F$245:$F$595,0,$E$245:$E$595,$G477)*$C$157 ,0)</f>
        <v/>
      </c>
      <c r="AC477" s="95">
        <f>IF(AND(SUMIFS($D$245:$D$595,$F$245:$F$595,0,$E$245:$E$595,$G477,$C$245:$C$595,"&lt;="&amp;AA$5)&lt;1000000,SUMIFS($D$245:$D$595,$F$245:$F$595,0,$E$245:$E$595,$G477,$C$245:$C$595,"&lt;="&amp;AC5)&gt;=1000000),SUMIFS($D$245:$D$595,$F$245:$F$595,0,$E$245:$E$595,$G477)*$C$157 ,0)</f>
        <v/>
      </c>
      <c r="AE477" s="95">
        <f>IF(AND(SUMIFS($D$245:$D$595,$F$245:$F$595,0,$E$245:$E$595,$G477,$C$245:$C$595,"&lt;="&amp;AC$5)&lt;1000000,SUMIFS($D$245:$D$595,$F$245:$F$595,0,$E$245:$E$595,$G477,$C$245:$C$595,"&lt;="&amp;AE5)&gt;=1000000),SUMIFS($D$245:$D$595,$F$245:$F$595,0,$E$245:$E$595,$G477)*$C$157 ,0)</f>
        <v/>
      </c>
      <c r="AF477" s="19" t="n"/>
    </row>
    <row r="478">
      <c r="A478" s="20">
        <f>mid(E478, 3, 1)</f>
        <v/>
      </c>
      <c r="B478" s="14" t="inlineStr"/>
      <c r="C478" s="21">
        <f>SUMIFS('Investor Exit List'!$AC:$AC,'Investor Exit List'!$AB:$AB,B478)</f>
        <v/>
      </c>
      <c r="D478" s="14">
        <f>SUMIFS('Investor Exit List'!$Q:$Q,'Investor Exit List'!$AB:$AB,B478)</f>
        <v/>
      </c>
      <c r="E478" s="31">
        <f>LEFT(B478,6)</f>
        <v/>
      </c>
      <c r="F478" s="14">
        <f>IF(SUMIFS($E$119:$E$151,$D$119:$D$151,E478)&lt;&gt;0,E478,0)</f>
        <v/>
      </c>
      <c r="G478" s="59" t="n"/>
      <c r="I478" s="28">
        <f>IF(AND(SUMIFS($D$245:$D$595,$F$245:$F$595,0,$E$245:$E$595,$G478,$C$245:$C$595,"&lt;="&amp;B$2)&lt;1000000,SUMIFS($D$245:$D$595,$F$245:$F$595,0,$E$245:$E$595,$G478,$C$245:$C$595,"&lt;="&amp;I5)&gt;=1000000),SUMIFS($D$245:$D$595,$F$245:$F$595,0,$E$245:$E$595,$G478)*$C$157 ,0)</f>
        <v/>
      </c>
      <c r="K478" s="95">
        <f>IF(AND(SUMIFS($D$245:$D$595,$F$245:$F$595,0,$E$245:$E$595,$G478,$C$245:$C$595,"&lt;="&amp;I$5)&lt;1000000,SUMIFS($D$245:$D$595,$F$245:$F$595,0,$E$245:$E$595,$G478,$C$245:$C$595,"&lt;="&amp;K5)&gt;=1000000),SUMIFS($D$245:$D$595,$F$245:$F$595,0,$E$245:$E$595,$G478)*$C$157 ,0)</f>
        <v/>
      </c>
      <c r="M478" s="95">
        <f>IF(AND(SUMIFS($D$245:$D$595,$F$245:$F$595,0,$E$245:$E$595,$G478,$C$245:$C$595,"&lt;="&amp;K$5)&lt;1000000,SUMIFS($D$245:$D$595,$F$245:$F$595,0,$E$245:$E$595,$G478,$C$245:$C$595,"&lt;="&amp;M5)&gt;=1000000),SUMIFS($D$245:$D$595,$F$245:$F$595,0,$E$245:$E$595,$G478)*$C$157 ,0)</f>
        <v/>
      </c>
      <c r="O478" s="95">
        <f>IF(AND(SUMIFS($D$245:$D$595,$F$245:$F$595,0,$E$245:$E$595,$G478,$C$245:$C$595,"&lt;="&amp;M$5)&lt;1000000,SUMIFS($D$245:$D$595,$F$245:$F$595,0,$E$245:$E$595,$G478,$C$245:$C$595,"&lt;="&amp;O5)&gt;=1000000),SUMIFS($D$245:$D$595,$F$245:$F$595,0,$E$245:$E$595,$G478)*$C$157 ,0)</f>
        <v/>
      </c>
      <c r="Q478" s="95">
        <f>IF(AND(SUMIFS($D$245:$D$595,$F$245:$F$595,0,$E$245:$E$595,$G478,$C$245:$C$595,"&lt;="&amp;O$5)&lt;1000000,SUMIFS($D$245:$D$595,$F$245:$F$595,0,$E$245:$E$595,$G478,$C$245:$C$595,"&lt;="&amp;Q5)&gt;=1000000),SUMIFS($D$245:$D$595,$F$245:$F$595,0,$E$245:$E$595,$G478)*$C$157 ,0)</f>
        <v/>
      </c>
      <c r="S478" s="95">
        <f>IF(AND(SUMIFS($D$245:$D$595,$F$245:$F$595,0,$E$245:$E$595,$G478,$C$245:$C$595,"&lt;="&amp;Q$5)&lt;1000000,SUMIFS($D$245:$D$595,$F$245:$F$595,0,$E$245:$E$595,$G478,$C$245:$C$595,"&lt;="&amp;S5)&gt;=1000000),SUMIFS($D$245:$D$595,$F$245:$F$595,0,$E$245:$E$595,$G478)*$C$157 ,0)</f>
        <v/>
      </c>
      <c r="U478" s="95">
        <f>IF(AND(SUMIFS($D$245:$D$595,$F$245:$F$595,0,$E$245:$E$595,$G478,$C$245:$C$595,"&lt;="&amp;S$5)&lt;1000000,SUMIFS($D$245:$D$595,$F$245:$F$595,0,$E$245:$E$595,$G478,$C$245:$C$595,"&lt;="&amp;U5)&gt;=1000000),SUMIFS($D$245:$D$595,$F$245:$F$595,0,$E$245:$E$595,$G478)*$C$157 ,0)</f>
        <v/>
      </c>
      <c r="W478" s="95">
        <f>IF(AND(SUMIFS($D$245:$D$595,$F$245:$F$595,0,$E$245:$E$595,$G478,$C$245:$C$595,"&lt;="&amp;U$5)&lt;1000000,SUMIFS($D$245:$D$595,$F$245:$F$595,0,$E$245:$E$595,$G478,$C$245:$C$595,"&lt;="&amp;W5)&gt;=1000000),SUMIFS($D$245:$D$595,$F$245:$F$595,0,$E$245:$E$595,$G478)*$C$157 ,0)</f>
        <v/>
      </c>
      <c r="Y478" s="95">
        <f>IF(AND(SUMIFS($D$245:$D$595,$F$245:$F$595,0,$E$245:$E$595,$G478,$C$245:$C$595,"&lt;="&amp;W$5)&lt;1000000,SUMIFS($D$245:$D$595,$F$245:$F$595,0,$E$245:$E$595,$G478,$C$245:$C$595,"&lt;="&amp;Y5)&gt;=1000000),SUMIFS($D$245:$D$595,$F$245:$F$595,0,$E$245:$E$595,$G478)*$C$157 ,0)</f>
        <v/>
      </c>
      <c r="AA478" s="95">
        <f>IF(AND(SUMIFS($D$245:$D$595,$F$245:$F$595,0,$E$245:$E$595,$G478,$C$245:$C$595,"&lt;="&amp;Y$5)&lt;1000000,SUMIFS($D$245:$D$595,$F$245:$F$595,0,$E$245:$E$595,$G478,$C$245:$C$595,"&lt;="&amp;AA5)&gt;=1000000),SUMIFS($D$245:$D$595,$F$245:$F$595,0,$E$245:$E$595,$G478)*$C$157 ,0)</f>
        <v/>
      </c>
      <c r="AC478" s="95">
        <f>IF(AND(SUMIFS($D$245:$D$595,$F$245:$F$595,0,$E$245:$E$595,$G478,$C$245:$C$595,"&lt;="&amp;AA$5)&lt;1000000,SUMIFS($D$245:$D$595,$F$245:$F$595,0,$E$245:$E$595,$G478,$C$245:$C$595,"&lt;="&amp;AC5)&gt;=1000000),SUMIFS($D$245:$D$595,$F$245:$F$595,0,$E$245:$E$595,$G478)*$C$157 ,0)</f>
        <v/>
      </c>
      <c r="AE478" s="95">
        <f>IF(AND(SUMIFS($D$245:$D$595,$F$245:$F$595,0,$E$245:$E$595,$G478,$C$245:$C$595,"&lt;="&amp;AC$5)&lt;1000000,SUMIFS($D$245:$D$595,$F$245:$F$595,0,$E$245:$E$595,$G478,$C$245:$C$595,"&lt;="&amp;AE5)&gt;=1000000),SUMIFS($D$245:$D$595,$F$245:$F$595,0,$E$245:$E$595,$G478)*$C$157 ,0)</f>
        <v/>
      </c>
      <c r="AF478" s="19" t="n"/>
    </row>
    <row r="479">
      <c r="A479" s="20">
        <f>mid(E479, 3, 1)</f>
        <v/>
      </c>
      <c r="B479" s="14" t="inlineStr"/>
      <c r="C479" s="21">
        <f>SUMIFS('Investor Exit List'!$AC:$AC,'Investor Exit List'!$AB:$AB,B479)</f>
        <v/>
      </c>
      <c r="D479" s="14">
        <f>SUMIFS('Investor Exit List'!$Q:$Q,'Investor Exit List'!$AB:$AB,B479)</f>
        <v/>
      </c>
      <c r="E479" s="31">
        <f>LEFT(B479,6)</f>
        <v/>
      </c>
      <c r="F479" s="14">
        <f>IF(SUMIFS($E$119:$E$151,$D$119:$D$151,E479)&lt;&gt;0,E479,0)</f>
        <v/>
      </c>
      <c r="G479" s="59" t="n"/>
      <c r="I479" s="28">
        <f>IF(AND(SUMIFS($D$245:$D$595,$F$245:$F$595,0,$E$245:$E$595,$G479,$C$245:$C$595,"&lt;="&amp;B$2)&lt;1000000,SUMIFS($D$245:$D$595,$F$245:$F$595,0,$E$245:$E$595,$G479,$C$245:$C$595,"&lt;="&amp;I5)&gt;=1000000),SUMIFS($D$245:$D$595,$F$245:$F$595,0,$E$245:$E$595,$G479)*$C$157 ,0)</f>
        <v/>
      </c>
      <c r="K479" s="95">
        <f>IF(AND(SUMIFS($D$245:$D$595,$F$245:$F$595,0,$E$245:$E$595,$G479,$C$245:$C$595,"&lt;="&amp;I$5)&lt;1000000,SUMIFS($D$245:$D$595,$F$245:$F$595,0,$E$245:$E$595,$G479,$C$245:$C$595,"&lt;="&amp;K5)&gt;=1000000),SUMIFS($D$245:$D$595,$F$245:$F$595,0,$E$245:$E$595,$G479)*$C$157 ,0)</f>
        <v/>
      </c>
      <c r="M479" s="95">
        <f>IF(AND(SUMIFS($D$245:$D$595,$F$245:$F$595,0,$E$245:$E$595,$G479,$C$245:$C$595,"&lt;="&amp;K$5)&lt;1000000,SUMIFS($D$245:$D$595,$F$245:$F$595,0,$E$245:$E$595,$G479,$C$245:$C$595,"&lt;="&amp;M5)&gt;=1000000),SUMIFS($D$245:$D$595,$F$245:$F$595,0,$E$245:$E$595,$G479)*$C$157 ,0)</f>
        <v/>
      </c>
      <c r="O479" s="95">
        <f>IF(AND(SUMIFS($D$245:$D$595,$F$245:$F$595,0,$E$245:$E$595,$G479,$C$245:$C$595,"&lt;="&amp;M$5)&lt;1000000,SUMIFS($D$245:$D$595,$F$245:$F$595,0,$E$245:$E$595,$G479,$C$245:$C$595,"&lt;="&amp;O5)&gt;=1000000),SUMIFS($D$245:$D$595,$F$245:$F$595,0,$E$245:$E$595,$G479)*$C$157 ,0)</f>
        <v/>
      </c>
      <c r="Q479" s="95">
        <f>IF(AND(SUMIFS($D$245:$D$595,$F$245:$F$595,0,$E$245:$E$595,$G479,$C$245:$C$595,"&lt;="&amp;O$5)&lt;1000000,SUMIFS($D$245:$D$595,$F$245:$F$595,0,$E$245:$E$595,$G479,$C$245:$C$595,"&lt;="&amp;Q5)&gt;=1000000),SUMIFS($D$245:$D$595,$F$245:$F$595,0,$E$245:$E$595,$G479)*$C$157 ,0)</f>
        <v/>
      </c>
      <c r="S479" s="95">
        <f>IF(AND(SUMIFS($D$245:$D$595,$F$245:$F$595,0,$E$245:$E$595,$G479,$C$245:$C$595,"&lt;="&amp;Q$5)&lt;1000000,SUMIFS($D$245:$D$595,$F$245:$F$595,0,$E$245:$E$595,$G479,$C$245:$C$595,"&lt;="&amp;S5)&gt;=1000000),SUMIFS($D$245:$D$595,$F$245:$F$595,0,$E$245:$E$595,$G479)*$C$157 ,0)</f>
        <v/>
      </c>
      <c r="U479" s="95">
        <f>IF(AND(SUMIFS($D$245:$D$595,$F$245:$F$595,0,$E$245:$E$595,$G479,$C$245:$C$595,"&lt;="&amp;S$5)&lt;1000000,SUMIFS($D$245:$D$595,$F$245:$F$595,0,$E$245:$E$595,$G479,$C$245:$C$595,"&lt;="&amp;U5)&gt;=1000000),SUMIFS($D$245:$D$595,$F$245:$F$595,0,$E$245:$E$595,$G479)*$C$157 ,0)</f>
        <v/>
      </c>
      <c r="W479" s="95">
        <f>IF(AND(SUMIFS($D$245:$D$595,$F$245:$F$595,0,$E$245:$E$595,$G479,$C$245:$C$595,"&lt;="&amp;U$5)&lt;1000000,SUMIFS($D$245:$D$595,$F$245:$F$595,0,$E$245:$E$595,$G479,$C$245:$C$595,"&lt;="&amp;W5)&gt;=1000000),SUMIFS($D$245:$D$595,$F$245:$F$595,0,$E$245:$E$595,$G479)*$C$157 ,0)</f>
        <v/>
      </c>
      <c r="Y479" s="95">
        <f>IF(AND(SUMIFS($D$245:$D$595,$F$245:$F$595,0,$E$245:$E$595,$G479,$C$245:$C$595,"&lt;="&amp;W$5)&lt;1000000,SUMIFS($D$245:$D$595,$F$245:$F$595,0,$E$245:$E$595,$G479,$C$245:$C$595,"&lt;="&amp;Y5)&gt;=1000000),SUMIFS($D$245:$D$595,$F$245:$F$595,0,$E$245:$E$595,$G479)*$C$157 ,0)</f>
        <v/>
      </c>
      <c r="AA479" s="95">
        <f>IF(AND(SUMIFS($D$245:$D$595,$F$245:$F$595,0,$E$245:$E$595,$G479,$C$245:$C$595,"&lt;="&amp;Y$5)&lt;1000000,SUMIFS($D$245:$D$595,$F$245:$F$595,0,$E$245:$E$595,$G479,$C$245:$C$595,"&lt;="&amp;AA5)&gt;=1000000),SUMIFS($D$245:$D$595,$F$245:$F$595,0,$E$245:$E$595,$G479)*$C$157 ,0)</f>
        <v/>
      </c>
      <c r="AC479" s="95">
        <f>IF(AND(SUMIFS($D$245:$D$595,$F$245:$F$595,0,$E$245:$E$595,$G479,$C$245:$C$595,"&lt;="&amp;AA$5)&lt;1000000,SUMIFS($D$245:$D$595,$F$245:$F$595,0,$E$245:$E$595,$G479,$C$245:$C$595,"&lt;="&amp;AC5)&gt;=1000000),SUMIFS($D$245:$D$595,$F$245:$F$595,0,$E$245:$E$595,$G479)*$C$157 ,0)</f>
        <v/>
      </c>
      <c r="AE479" s="95">
        <f>IF(AND(SUMIFS($D$245:$D$595,$F$245:$F$595,0,$E$245:$E$595,$G479,$C$245:$C$595,"&lt;="&amp;AC$5)&lt;1000000,SUMIFS($D$245:$D$595,$F$245:$F$595,0,$E$245:$E$595,$G479,$C$245:$C$595,"&lt;="&amp;AE5)&gt;=1000000),SUMIFS($D$245:$D$595,$F$245:$F$595,0,$E$245:$E$595,$G479)*$C$157 ,0)</f>
        <v/>
      </c>
      <c r="AF479" s="19" t="n"/>
    </row>
    <row r="480">
      <c r="A480" s="20">
        <f>mid(E480, 3, 1)</f>
        <v/>
      </c>
      <c r="B480" s="14" t="inlineStr"/>
      <c r="C480" s="21">
        <f>SUMIFS('Investor Exit List'!$AC:$AC,'Investor Exit List'!$AB:$AB,B480)</f>
        <v/>
      </c>
      <c r="D480" s="14">
        <f>SUMIFS('Investor Exit List'!$Q:$Q,'Investor Exit List'!$AB:$AB,B480)</f>
        <v/>
      </c>
      <c r="E480" s="31">
        <f>LEFT(B480,6)</f>
        <v/>
      </c>
      <c r="F480" s="14">
        <f>IF(SUMIFS($E$119:$E$151,$D$119:$D$151,E480)&lt;&gt;0,E480,0)</f>
        <v/>
      </c>
      <c r="G480" s="59" t="n"/>
      <c r="I480" s="28">
        <f>IF(AND(SUMIFS($D$245:$D$595,$F$245:$F$595,0,$E$245:$E$595,$G480,$C$245:$C$595,"&lt;="&amp;B$2)&lt;1000000,SUMIFS($D$245:$D$595,$F$245:$F$595,0,$E$245:$E$595,$G480,$C$245:$C$595,"&lt;="&amp;I5)&gt;=1000000),SUMIFS($D$245:$D$595,$F$245:$F$595,0,$E$245:$E$595,$G480)*$C$157 ,0)</f>
        <v/>
      </c>
      <c r="K480" s="95">
        <f>IF(AND(SUMIFS($D$245:$D$595,$F$245:$F$595,0,$E$245:$E$595,$G480,$C$245:$C$595,"&lt;="&amp;I$5)&lt;1000000,SUMIFS($D$245:$D$595,$F$245:$F$595,0,$E$245:$E$595,$G480,$C$245:$C$595,"&lt;="&amp;K5)&gt;=1000000),SUMIFS($D$245:$D$595,$F$245:$F$595,0,$E$245:$E$595,$G480)*$C$157 ,0)</f>
        <v/>
      </c>
      <c r="M480" s="95">
        <f>IF(AND(SUMIFS($D$245:$D$595,$F$245:$F$595,0,$E$245:$E$595,$G480,$C$245:$C$595,"&lt;="&amp;K$5)&lt;1000000,SUMIFS($D$245:$D$595,$F$245:$F$595,0,$E$245:$E$595,$G480,$C$245:$C$595,"&lt;="&amp;M5)&gt;=1000000),SUMIFS($D$245:$D$595,$F$245:$F$595,0,$E$245:$E$595,$G480)*$C$157 ,0)</f>
        <v/>
      </c>
      <c r="O480" s="95">
        <f>IF(AND(SUMIFS($D$245:$D$595,$F$245:$F$595,0,$E$245:$E$595,$G480,$C$245:$C$595,"&lt;="&amp;M$5)&lt;1000000,SUMIFS($D$245:$D$595,$F$245:$F$595,0,$E$245:$E$595,$G480,$C$245:$C$595,"&lt;="&amp;O5)&gt;=1000000),SUMIFS($D$245:$D$595,$F$245:$F$595,0,$E$245:$E$595,$G480)*$C$157 ,0)</f>
        <v/>
      </c>
      <c r="Q480" s="95">
        <f>IF(AND(SUMIFS($D$245:$D$595,$F$245:$F$595,0,$E$245:$E$595,$G480,$C$245:$C$595,"&lt;="&amp;O$5)&lt;1000000,SUMIFS($D$245:$D$595,$F$245:$F$595,0,$E$245:$E$595,$G480,$C$245:$C$595,"&lt;="&amp;Q5)&gt;=1000000),SUMIFS($D$245:$D$595,$F$245:$F$595,0,$E$245:$E$595,$G480)*$C$157 ,0)</f>
        <v/>
      </c>
      <c r="S480" s="95">
        <f>IF(AND(SUMIFS($D$245:$D$595,$F$245:$F$595,0,$E$245:$E$595,$G480,$C$245:$C$595,"&lt;="&amp;Q$5)&lt;1000000,SUMIFS($D$245:$D$595,$F$245:$F$595,0,$E$245:$E$595,$G480,$C$245:$C$595,"&lt;="&amp;S5)&gt;=1000000),SUMIFS($D$245:$D$595,$F$245:$F$595,0,$E$245:$E$595,$G480)*$C$157 ,0)</f>
        <v/>
      </c>
      <c r="U480" s="95">
        <f>IF(AND(SUMIFS($D$245:$D$595,$F$245:$F$595,0,$E$245:$E$595,$G480,$C$245:$C$595,"&lt;="&amp;S$5)&lt;1000000,SUMIFS($D$245:$D$595,$F$245:$F$595,0,$E$245:$E$595,$G480,$C$245:$C$595,"&lt;="&amp;U5)&gt;=1000000),SUMIFS($D$245:$D$595,$F$245:$F$595,0,$E$245:$E$595,$G480)*$C$157 ,0)</f>
        <v/>
      </c>
      <c r="W480" s="95">
        <f>IF(AND(SUMIFS($D$245:$D$595,$F$245:$F$595,0,$E$245:$E$595,$G480,$C$245:$C$595,"&lt;="&amp;U$5)&lt;1000000,SUMIFS($D$245:$D$595,$F$245:$F$595,0,$E$245:$E$595,$G480,$C$245:$C$595,"&lt;="&amp;W5)&gt;=1000000),SUMIFS($D$245:$D$595,$F$245:$F$595,0,$E$245:$E$595,$G480)*$C$157 ,0)</f>
        <v/>
      </c>
      <c r="Y480" s="95">
        <f>IF(AND(SUMIFS($D$245:$D$595,$F$245:$F$595,0,$E$245:$E$595,$G480,$C$245:$C$595,"&lt;="&amp;W$5)&lt;1000000,SUMIFS($D$245:$D$595,$F$245:$F$595,0,$E$245:$E$595,$G480,$C$245:$C$595,"&lt;="&amp;Y5)&gt;=1000000),SUMIFS($D$245:$D$595,$F$245:$F$595,0,$E$245:$E$595,$G480)*$C$157 ,0)</f>
        <v/>
      </c>
      <c r="AA480" s="95">
        <f>IF(AND(SUMIFS($D$245:$D$595,$F$245:$F$595,0,$E$245:$E$595,$G480,$C$245:$C$595,"&lt;="&amp;Y$5)&lt;1000000,SUMIFS($D$245:$D$595,$F$245:$F$595,0,$E$245:$E$595,$G480,$C$245:$C$595,"&lt;="&amp;AA5)&gt;=1000000),SUMIFS($D$245:$D$595,$F$245:$F$595,0,$E$245:$E$595,$G480)*$C$157 ,0)</f>
        <v/>
      </c>
      <c r="AC480" s="95">
        <f>IF(AND(SUMIFS($D$245:$D$595,$F$245:$F$595,0,$E$245:$E$595,$G480,$C$245:$C$595,"&lt;="&amp;AA$5)&lt;1000000,SUMIFS($D$245:$D$595,$F$245:$F$595,0,$E$245:$E$595,$G480,$C$245:$C$595,"&lt;="&amp;AC5)&gt;=1000000),SUMIFS($D$245:$D$595,$F$245:$F$595,0,$E$245:$E$595,$G480)*$C$157 ,0)</f>
        <v/>
      </c>
      <c r="AE480" s="95">
        <f>IF(AND(SUMIFS($D$245:$D$595,$F$245:$F$595,0,$E$245:$E$595,$G480,$C$245:$C$595,"&lt;="&amp;AC$5)&lt;1000000,SUMIFS($D$245:$D$595,$F$245:$F$595,0,$E$245:$E$595,$G480,$C$245:$C$595,"&lt;="&amp;AE5)&gt;=1000000),SUMIFS($D$245:$D$595,$F$245:$F$595,0,$E$245:$E$595,$G480)*$C$157 ,0)</f>
        <v/>
      </c>
      <c r="AF480" s="19" t="n"/>
    </row>
    <row r="481">
      <c r="A481" s="20">
        <f>mid(E481, 3, 1)</f>
        <v/>
      </c>
      <c r="B481" s="14" t="inlineStr"/>
      <c r="C481" s="21">
        <f>SUMIFS('Investor Exit List'!$AC:$AC,'Investor Exit List'!$AB:$AB,B481)</f>
        <v/>
      </c>
      <c r="D481" s="14">
        <f>SUMIFS('Investor Exit List'!$Q:$Q,'Investor Exit List'!$AB:$AB,B481)</f>
        <v/>
      </c>
      <c r="E481" s="31">
        <f>LEFT(B481,6)</f>
        <v/>
      </c>
      <c r="F481" s="14">
        <f>IF(SUMIFS($E$119:$E$151,$D$119:$D$151,E481)&lt;&gt;0,E481,0)</f>
        <v/>
      </c>
      <c r="G481" s="59" t="n"/>
      <c r="I481" s="28">
        <f>IF(AND(SUMIFS($D$245:$D$595,$F$245:$F$595,0,$E$245:$E$595,$G481,$C$245:$C$595,"&lt;="&amp;B$2)&lt;1000000,SUMIFS($D$245:$D$595,$F$245:$F$595,0,$E$245:$E$595,$G481,$C$245:$C$595,"&lt;="&amp;I5)&gt;=1000000),SUMIFS($D$245:$D$595,$F$245:$F$595,0,$E$245:$E$595,$G481)*$C$157 ,0)</f>
        <v/>
      </c>
      <c r="K481" s="95">
        <f>IF(AND(SUMIFS($D$245:$D$595,$F$245:$F$595,0,$E$245:$E$595,$G481,$C$245:$C$595,"&lt;="&amp;I$5)&lt;1000000,SUMIFS($D$245:$D$595,$F$245:$F$595,0,$E$245:$E$595,$G481,$C$245:$C$595,"&lt;="&amp;K5)&gt;=1000000),SUMIFS($D$245:$D$595,$F$245:$F$595,0,$E$245:$E$595,$G481)*$C$157 ,0)</f>
        <v/>
      </c>
      <c r="M481" s="95">
        <f>IF(AND(SUMIFS($D$245:$D$595,$F$245:$F$595,0,$E$245:$E$595,$G481,$C$245:$C$595,"&lt;="&amp;K$5)&lt;1000000,SUMIFS($D$245:$D$595,$F$245:$F$595,0,$E$245:$E$595,$G481,$C$245:$C$595,"&lt;="&amp;M5)&gt;=1000000),SUMIFS($D$245:$D$595,$F$245:$F$595,0,$E$245:$E$595,$G481)*$C$157 ,0)</f>
        <v/>
      </c>
      <c r="O481" s="95">
        <f>IF(AND(SUMIFS($D$245:$D$595,$F$245:$F$595,0,$E$245:$E$595,$G481,$C$245:$C$595,"&lt;="&amp;M$5)&lt;1000000,SUMIFS($D$245:$D$595,$F$245:$F$595,0,$E$245:$E$595,$G481,$C$245:$C$595,"&lt;="&amp;O5)&gt;=1000000),SUMIFS($D$245:$D$595,$F$245:$F$595,0,$E$245:$E$595,$G481)*$C$157 ,0)</f>
        <v/>
      </c>
      <c r="Q481" s="95">
        <f>IF(AND(SUMIFS($D$245:$D$595,$F$245:$F$595,0,$E$245:$E$595,$G481,$C$245:$C$595,"&lt;="&amp;O$5)&lt;1000000,SUMIFS($D$245:$D$595,$F$245:$F$595,0,$E$245:$E$595,$G481,$C$245:$C$595,"&lt;="&amp;Q5)&gt;=1000000),SUMIFS($D$245:$D$595,$F$245:$F$595,0,$E$245:$E$595,$G481)*$C$157 ,0)</f>
        <v/>
      </c>
      <c r="S481" s="95">
        <f>IF(AND(SUMIFS($D$245:$D$595,$F$245:$F$595,0,$E$245:$E$595,$G481,$C$245:$C$595,"&lt;="&amp;Q$5)&lt;1000000,SUMIFS($D$245:$D$595,$F$245:$F$595,0,$E$245:$E$595,$G481,$C$245:$C$595,"&lt;="&amp;S5)&gt;=1000000),SUMIFS($D$245:$D$595,$F$245:$F$595,0,$E$245:$E$595,$G481)*$C$157 ,0)</f>
        <v/>
      </c>
      <c r="U481" s="95">
        <f>IF(AND(SUMIFS($D$245:$D$595,$F$245:$F$595,0,$E$245:$E$595,$G481,$C$245:$C$595,"&lt;="&amp;S$5)&lt;1000000,SUMIFS($D$245:$D$595,$F$245:$F$595,0,$E$245:$E$595,$G481,$C$245:$C$595,"&lt;="&amp;U5)&gt;=1000000),SUMIFS($D$245:$D$595,$F$245:$F$595,0,$E$245:$E$595,$G481)*$C$157 ,0)</f>
        <v/>
      </c>
      <c r="W481" s="95">
        <f>IF(AND(SUMIFS($D$245:$D$595,$F$245:$F$595,0,$E$245:$E$595,$G481,$C$245:$C$595,"&lt;="&amp;U$5)&lt;1000000,SUMIFS($D$245:$D$595,$F$245:$F$595,0,$E$245:$E$595,$G481,$C$245:$C$595,"&lt;="&amp;W5)&gt;=1000000),SUMIFS($D$245:$D$595,$F$245:$F$595,0,$E$245:$E$595,$G481)*$C$157 ,0)</f>
        <v/>
      </c>
      <c r="Y481" s="95">
        <f>IF(AND(SUMIFS($D$245:$D$595,$F$245:$F$595,0,$E$245:$E$595,$G481,$C$245:$C$595,"&lt;="&amp;W$5)&lt;1000000,SUMIFS($D$245:$D$595,$F$245:$F$595,0,$E$245:$E$595,$G481,$C$245:$C$595,"&lt;="&amp;Y5)&gt;=1000000),SUMIFS($D$245:$D$595,$F$245:$F$595,0,$E$245:$E$595,$G481)*$C$157 ,0)</f>
        <v/>
      </c>
      <c r="AA481" s="95">
        <f>IF(AND(SUMIFS($D$245:$D$595,$F$245:$F$595,0,$E$245:$E$595,$G481,$C$245:$C$595,"&lt;="&amp;Y$5)&lt;1000000,SUMIFS($D$245:$D$595,$F$245:$F$595,0,$E$245:$E$595,$G481,$C$245:$C$595,"&lt;="&amp;AA5)&gt;=1000000),SUMIFS($D$245:$D$595,$F$245:$F$595,0,$E$245:$E$595,$G481)*$C$157 ,0)</f>
        <v/>
      </c>
      <c r="AC481" s="95">
        <f>IF(AND(SUMIFS($D$245:$D$595,$F$245:$F$595,0,$E$245:$E$595,$G481,$C$245:$C$595,"&lt;="&amp;AA$5)&lt;1000000,SUMIFS($D$245:$D$595,$F$245:$F$595,0,$E$245:$E$595,$G481,$C$245:$C$595,"&lt;="&amp;AC5)&gt;=1000000),SUMIFS($D$245:$D$595,$F$245:$F$595,0,$E$245:$E$595,$G481)*$C$157 ,0)</f>
        <v/>
      </c>
      <c r="AE481" s="95">
        <f>IF(AND(SUMIFS($D$245:$D$595,$F$245:$F$595,0,$E$245:$E$595,$G481,$C$245:$C$595,"&lt;="&amp;AC$5)&lt;1000000,SUMIFS($D$245:$D$595,$F$245:$F$595,0,$E$245:$E$595,$G481,$C$245:$C$595,"&lt;="&amp;AE5)&gt;=1000000),SUMIFS($D$245:$D$595,$F$245:$F$595,0,$E$245:$E$595,$G481)*$C$157 ,0)</f>
        <v/>
      </c>
      <c r="AF481" s="19" t="n"/>
    </row>
    <row r="482">
      <c r="A482" s="20">
        <f>mid(E482, 3, 1)</f>
        <v/>
      </c>
      <c r="B482" s="14" t="inlineStr"/>
      <c r="C482" s="21">
        <f>SUMIFS('Investor Exit List'!$AC:$AC,'Investor Exit List'!$AB:$AB,B482)</f>
        <v/>
      </c>
      <c r="D482" s="14">
        <f>SUMIFS('Investor Exit List'!$Q:$Q,'Investor Exit List'!$AB:$AB,B482)</f>
        <v/>
      </c>
      <c r="E482" s="31">
        <f>LEFT(B482,6)</f>
        <v/>
      </c>
      <c r="F482" s="14">
        <f>IF(SUMIFS($E$119:$E$151,$D$119:$D$151,E482)&lt;&gt;0,E482,0)</f>
        <v/>
      </c>
      <c r="G482" s="59" t="n"/>
      <c r="I482" s="28">
        <f>IF(AND(SUMIFS($D$245:$D$595,$F$245:$F$595,0,$E$245:$E$595,$G482,$C$245:$C$595,"&lt;="&amp;B$2)&lt;1000000,SUMIFS($D$245:$D$595,$F$245:$F$595,0,$E$245:$E$595,$G482,$C$245:$C$595,"&lt;="&amp;I5)&gt;=1000000),SUMIFS($D$245:$D$595,$F$245:$F$595,0,$E$245:$E$595,$G482)*$C$157 ,0)</f>
        <v/>
      </c>
      <c r="K482" s="95">
        <f>IF(AND(SUMIFS($D$245:$D$595,$F$245:$F$595,0,$E$245:$E$595,$G482,$C$245:$C$595,"&lt;="&amp;I$5)&lt;1000000,SUMIFS($D$245:$D$595,$F$245:$F$595,0,$E$245:$E$595,$G482,$C$245:$C$595,"&lt;="&amp;K5)&gt;=1000000),SUMIFS($D$245:$D$595,$F$245:$F$595,0,$E$245:$E$595,$G482)*$C$157 ,0)</f>
        <v/>
      </c>
      <c r="M482" s="95">
        <f>IF(AND(SUMIFS($D$245:$D$595,$F$245:$F$595,0,$E$245:$E$595,$G482,$C$245:$C$595,"&lt;="&amp;K$5)&lt;1000000,SUMIFS($D$245:$D$595,$F$245:$F$595,0,$E$245:$E$595,$G482,$C$245:$C$595,"&lt;="&amp;M5)&gt;=1000000),SUMIFS($D$245:$D$595,$F$245:$F$595,0,$E$245:$E$595,$G482)*$C$157 ,0)</f>
        <v/>
      </c>
      <c r="O482" s="95">
        <f>IF(AND(SUMIFS($D$245:$D$595,$F$245:$F$595,0,$E$245:$E$595,$G482,$C$245:$C$595,"&lt;="&amp;M$5)&lt;1000000,SUMIFS($D$245:$D$595,$F$245:$F$595,0,$E$245:$E$595,$G482,$C$245:$C$595,"&lt;="&amp;O5)&gt;=1000000),SUMIFS($D$245:$D$595,$F$245:$F$595,0,$E$245:$E$595,$G482)*$C$157 ,0)</f>
        <v/>
      </c>
      <c r="Q482" s="95">
        <f>IF(AND(SUMIFS($D$245:$D$595,$F$245:$F$595,0,$E$245:$E$595,$G482,$C$245:$C$595,"&lt;="&amp;O$5)&lt;1000000,SUMIFS($D$245:$D$595,$F$245:$F$595,0,$E$245:$E$595,$G482,$C$245:$C$595,"&lt;="&amp;Q5)&gt;=1000000),SUMIFS($D$245:$D$595,$F$245:$F$595,0,$E$245:$E$595,$G482)*$C$157 ,0)</f>
        <v/>
      </c>
      <c r="S482" s="95">
        <f>IF(AND(SUMIFS($D$245:$D$595,$F$245:$F$595,0,$E$245:$E$595,$G482,$C$245:$C$595,"&lt;="&amp;Q$5)&lt;1000000,SUMIFS($D$245:$D$595,$F$245:$F$595,0,$E$245:$E$595,$G482,$C$245:$C$595,"&lt;="&amp;S5)&gt;=1000000),SUMIFS($D$245:$D$595,$F$245:$F$595,0,$E$245:$E$595,$G482)*$C$157 ,0)</f>
        <v/>
      </c>
      <c r="U482" s="95">
        <f>IF(AND(SUMIFS($D$245:$D$595,$F$245:$F$595,0,$E$245:$E$595,$G482,$C$245:$C$595,"&lt;="&amp;S$5)&lt;1000000,SUMIFS($D$245:$D$595,$F$245:$F$595,0,$E$245:$E$595,$G482,$C$245:$C$595,"&lt;="&amp;U5)&gt;=1000000),SUMIFS($D$245:$D$595,$F$245:$F$595,0,$E$245:$E$595,$G482)*$C$157 ,0)</f>
        <v/>
      </c>
      <c r="W482" s="95">
        <f>IF(AND(SUMIFS($D$245:$D$595,$F$245:$F$595,0,$E$245:$E$595,$G482,$C$245:$C$595,"&lt;="&amp;U$5)&lt;1000000,SUMIFS($D$245:$D$595,$F$245:$F$595,0,$E$245:$E$595,$G482,$C$245:$C$595,"&lt;="&amp;W5)&gt;=1000000),SUMIFS($D$245:$D$595,$F$245:$F$595,0,$E$245:$E$595,$G482)*$C$157 ,0)</f>
        <v/>
      </c>
      <c r="Y482" s="95">
        <f>IF(AND(SUMIFS($D$245:$D$595,$F$245:$F$595,0,$E$245:$E$595,$G482,$C$245:$C$595,"&lt;="&amp;W$5)&lt;1000000,SUMIFS($D$245:$D$595,$F$245:$F$595,0,$E$245:$E$595,$G482,$C$245:$C$595,"&lt;="&amp;Y5)&gt;=1000000),SUMIFS($D$245:$D$595,$F$245:$F$595,0,$E$245:$E$595,$G482)*$C$157 ,0)</f>
        <v/>
      </c>
      <c r="AA482" s="95">
        <f>IF(AND(SUMIFS($D$245:$D$595,$F$245:$F$595,0,$E$245:$E$595,$G482,$C$245:$C$595,"&lt;="&amp;Y$5)&lt;1000000,SUMIFS($D$245:$D$595,$F$245:$F$595,0,$E$245:$E$595,$G482,$C$245:$C$595,"&lt;="&amp;AA5)&gt;=1000000),SUMIFS($D$245:$D$595,$F$245:$F$595,0,$E$245:$E$595,$G482)*$C$157 ,0)</f>
        <v/>
      </c>
      <c r="AC482" s="95">
        <f>IF(AND(SUMIFS($D$245:$D$595,$F$245:$F$595,0,$E$245:$E$595,$G482,$C$245:$C$595,"&lt;="&amp;AA$5)&lt;1000000,SUMIFS($D$245:$D$595,$F$245:$F$595,0,$E$245:$E$595,$G482,$C$245:$C$595,"&lt;="&amp;AC5)&gt;=1000000),SUMIFS($D$245:$D$595,$F$245:$F$595,0,$E$245:$E$595,$G482)*$C$157 ,0)</f>
        <v/>
      </c>
      <c r="AE482" s="95">
        <f>IF(AND(SUMIFS($D$245:$D$595,$F$245:$F$595,0,$E$245:$E$595,$G482,$C$245:$C$595,"&lt;="&amp;AC$5)&lt;1000000,SUMIFS($D$245:$D$595,$F$245:$F$595,0,$E$245:$E$595,$G482,$C$245:$C$595,"&lt;="&amp;AE5)&gt;=1000000),SUMIFS($D$245:$D$595,$F$245:$F$595,0,$E$245:$E$595,$G482)*$C$157 ,0)</f>
        <v/>
      </c>
      <c r="AF482" s="19" t="n"/>
    </row>
    <row r="483">
      <c r="A483" s="20">
        <f>mid(E483, 3, 1)</f>
        <v/>
      </c>
      <c r="B483" s="14" t="inlineStr"/>
      <c r="C483" s="21">
        <f>SUMIFS('Investor Exit List'!$AC:$AC,'Investor Exit List'!$AB:$AB,B483)</f>
        <v/>
      </c>
      <c r="D483" s="14">
        <f>SUMIFS('Investor Exit List'!$Q:$Q,'Investor Exit List'!$AB:$AB,B483)</f>
        <v/>
      </c>
      <c r="E483" s="31">
        <f>LEFT(B483,6)</f>
        <v/>
      </c>
      <c r="F483" s="14">
        <f>IF(SUMIFS($E$119:$E$151,$D$119:$D$151,E483)&lt;&gt;0,E483,0)</f>
        <v/>
      </c>
      <c r="G483" s="59" t="n"/>
      <c r="I483" s="28">
        <f>IF(AND(SUMIFS($D$245:$D$595,$F$245:$F$595,0,$E$245:$E$595,$G483,$C$245:$C$595,"&lt;="&amp;B$2)&lt;1000000,SUMIFS($D$245:$D$595,$F$245:$F$595,0,$E$245:$E$595,$G483,$C$245:$C$595,"&lt;="&amp;I5)&gt;=1000000),SUMIFS($D$245:$D$595,$F$245:$F$595,0,$E$245:$E$595,$G483)*$C$157 ,0)</f>
        <v/>
      </c>
      <c r="K483" s="95">
        <f>IF(AND(SUMIFS($D$245:$D$595,$F$245:$F$595,0,$E$245:$E$595,$G483,$C$245:$C$595,"&lt;="&amp;I$5)&lt;1000000,SUMIFS($D$245:$D$595,$F$245:$F$595,0,$E$245:$E$595,$G483,$C$245:$C$595,"&lt;="&amp;K5)&gt;=1000000),SUMIFS($D$245:$D$595,$F$245:$F$595,0,$E$245:$E$595,$G483)*$C$157 ,0)</f>
        <v/>
      </c>
      <c r="M483" s="95">
        <f>IF(AND(SUMIFS($D$245:$D$595,$F$245:$F$595,0,$E$245:$E$595,$G483,$C$245:$C$595,"&lt;="&amp;K$5)&lt;1000000,SUMIFS($D$245:$D$595,$F$245:$F$595,0,$E$245:$E$595,$G483,$C$245:$C$595,"&lt;="&amp;M5)&gt;=1000000),SUMIFS($D$245:$D$595,$F$245:$F$595,0,$E$245:$E$595,$G483)*$C$157 ,0)</f>
        <v/>
      </c>
      <c r="O483" s="95">
        <f>IF(AND(SUMIFS($D$245:$D$595,$F$245:$F$595,0,$E$245:$E$595,$G483,$C$245:$C$595,"&lt;="&amp;M$5)&lt;1000000,SUMIFS($D$245:$D$595,$F$245:$F$595,0,$E$245:$E$595,$G483,$C$245:$C$595,"&lt;="&amp;O5)&gt;=1000000),SUMIFS($D$245:$D$595,$F$245:$F$595,0,$E$245:$E$595,$G483)*$C$157 ,0)</f>
        <v/>
      </c>
      <c r="Q483" s="95">
        <f>IF(AND(SUMIFS($D$245:$D$595,$F$245:$F$595,0,$E$245:$E$595,$G483,$C$245:$C$595,"&lt;="&amp;O$5)&lt;1000000,SUMIFS($D$245:$D$595,$F$245:$F$595,0,$E$245:$E$595,$G483,$C$245:$C$595,"&lt;="&amp;Q5)&gt;=1000000),SUMIFS($D$245:$D$595,$F$245:$F$595,0,$E$245:$E$595,$G483)*$C$157 ,0)</f>
        <v/>
      </c>
      <c r="S483" s="95">
        <f>IF(AND(SUMIFS($D$245:$D$595,$F$245:$F$595,0,$E$245:$E$595,$G483,$C$245:$C$595,"&lt;="&amp;Q$5)&lt;1000000,SUMIFS($D$245:$D$595,$F$245:$F$595,0,$E$245:$E$595,$G483,$C$245:$C$595,"&lt;="&amp;S5)&gt;=1000000),SUMIFS($D$245:$D$595,$F$245:$F$595,0,$E$245:$E$595,$G483)*$C$157 ,0)</f>
        <v/>
      </c>
      <c r="U483" s="95">
        <f>IF(AND(SUMIFS($D$245:$D$595,$F$245:$F$595,0,$E$245:$E$595,$G483,$C$245:$C$595,"&lt;="&amp;S$5)&lt;1000000,SUMIFS($D$245:$D$595,$F$245:$F$595,0,$E$245:$E$595,$G483,$C$245:$C$595,"&lt;="&amp;U5)&gt;=1000000),SUMIFS($D$245:$D$595,$F$245:$F$595,0,$E$245:$E$595,$G483)*$C$157 ,0)</f>
        <v/>
      </c>
      <c r="W483" s="95">
        <f>IF(AND(SUMIFS($D$245:$D$595,$F$245:$F$595,0,$E$245:$E$595,$G483,$C$245:$C$595,"&lt;="&amp;U$5)&lt;1000000,SUMIFS($D$245:$D$595,$F$245:$F$595,0,$E$245:$E$595,$G483,$C$245:$C$595,"&lt;="&amp;W5)&gt;=1000000),SUMIFS($D$245:$D$595,$F$245:$F$595,0,$E$245:$E$595,$G483)*$C$157 ,0)</f>
        <v/>
      </c>
      <c r="Y483" s="95">
        <f>IF(AND(SUMIFS($D$245:$D$595,$F$245:$F$595,0,$E$245:$E$595,$G483,$C$245:$C$595,"&lt;="&amp;W$5)&lt;1000000,SUMIFS($D$245:$D$595,$F$245:$F$595,0,$E$245:$E$595,$G483,$C$245:$C$595,"&lt;="&amp;Y5)&gt;=1000000),SUMIFS($D$245:$D$595,$F$245:$F$595,0,$E$245:$E$595,$G483)*$C$157 ,0)</f>
        <v/>
      </c>
      <c r="AA483" s="95">
        <f>IF(AND(SUMIFS($D$245:$D$595,$F$245:$F$595,0,$E$245:$E$595,$G483,$C$245:$C$595,"&lt;="&amp;Y$5)&lt;1000000,SUMIFS($D$245:$D$595,$F$245:$F$595,0,$E$245:$E$595,$G483,$C$245:$C$595,"&lt;="&amp;AA5)&gt;=1000000),SUMIFS($D$245:$D$595,$F$245:$F$595,0,$E$245:$E$595,$G483)*$C$157 ,0)</f>
        <v/>
      </c>
      <c r="AC483" s="95">
        <f>IF(AND(SUMIFS($D$245:$D$595,$F$245:$F$595,0,$E$245:$E$595,$G483,$C$245:$C$595,"&lt;="&amp;AA$5)&lt;1000000,SUMIFS($D$245:$D$595,$F$245:$F$595,0,$E$245:$E$595,$G483,$C$245:$C$595,"&lt;="&amp;AC5)&gt;=1000000),SUMIFS($D$245:$D$595,$F$245:$F$595,0,$E$245:$E$595,$G483)*$C$157 ,0)</f>
        <v/>
      </c>
      <c r="AE483" s="95">
        <f>IF(AND(SUMIFS($D$245:$D$595,$F$245:$F$595,0,$E$245:$E$595,$G483,$C$245:$C$595,"&lt;="&amp;AC$5)&lt;1000000,SUMIFS($D$245:$D$595,$F$245:$F$595,0,$E$245:$E$595,$G483,$C$245:$C$595,"&lt;="&amp;AE5)&gt;=1000000),SUMIFS($D$245:$D$595,$F$245:$F$595,0,$E$245:$E$595,$G483)*$C$157 ,0)</f>
        <v/>
      </c>
      <c r="AF483" s="19" t="n"/>
    </row>
    <row r="484">
      <c r="A484" s="20">
        <f>mid(E484, 3, 1)</f>
        <v/>
      </c>
      <c r="B484" s="14" t="inlineStr"/>
      <c r="C484" s="21">
        <f>SUMIFS('Investor Exit List'!$AC:$AC,'Investor Exit List'!$AB:$AB,B484)</f>
        <v/>
      </c>
      <c r="D484" s="14">
        <f>SUMIFS('Investor Exit List'!$Q:$Q,'Investor Exit List'!$AB:$AB,B484)</f>
        <v/>
      </c>
      <c r="E484" s="31">
        <f>LEFT(B484,6)</f>
        <v/>
      </c>
      <c r="F484" s="14">
        <f>IF(SUMIFS($E$119:$E$151,$D$119:$D$151,E484)&lt;&gt;0,E484,0)</f>
        <v/>
      </c>
      <c r="G484" s="59" t="n"/>
      <c r="I484" s="28">
        <f>IF(AND(SUMIFS($D$245:$D$595,$F$245:$F$595,0,$E$245:$E$595,$G484,$C$245:$C$595,"&lt;="&amp;B$2)&lt;1000000,SUMIFS($D$245:$D$595,$F$245:$F$595,0,$E$245:$E$595,$G484,$C$245:$C$595,"&lt;="&amp;I5)&gt;=1000000),SUMIFS($D$245:$D$595,$F$245:$F$595,0,$E$245:$E$595,$G484)*$C$157 ,0)</f>
        <v/>
      </c>
      <c r="K484" s="95">
        <f>IF(AND(SUMIFS($D$245:$D$595,$F$245:$F$595,0,$E$245:$E$595,$G484,$C$245:$C$595,"&lt;="&amp;I$5)&lt;1000000,SUMIFS($D$245:$D$595,$F$245:$F$595,0,$E$245:$E$595,$G484,$C$245:$C$595,"&lt;="&amp;K5)&gt;=1000000),SUMIFS($D$245:$D$595,$F$245:$F$595,0,$E$245:$E$595,$G484)*$C$157 ,0)</f>
        <v/>
      </c>
      <c r="M484" s="95">
        <f>IF(AND(SUMIFS($D$245:$D$595,$F$245:$F$595,0,$E$245:$E$595,$G484,$C$245:$C$595,"&lt;="&amp;K$5)&lt;1000000,SUMIFS($D$245:$D$595,$F$245:$F$595,0,$E$245:$E$595,$G484,$C$245:$C$595,"&lt;="&amp;M5)&gt;=1000000),SUMIFS($D$245:$D$595,$F$245:$F$595,0,$E$245:$E$595,$G484)*$C$157 ,0)</f>
        <v/>
      </c>
      <c r="O484" s="95">
        <f>IF(AND(SUMIFS($D$245:$D$595,$F$245:$F$595,0,$E$245:$E$595,$G484,$C$245:$C$595,"&lt;="&amp;M$5)&lt;1000000,SUMIFS($D$245:$D$595,$F$245:$F$595,0,$E$245:$E$595,$G484,$C$245:$C$595,"&lt;="&amp;O5)&gt;=1000000),SUMIFS($D$245:$D$595,$F$245:$F$595,0,$E$245:$E$595,$G484)*$C$157 ,0)</f>
        <v/>
      </c>
      <c r="Q484" s="95">
        <f>IF(AND(SUMIFS($D$245:$D$595,$F$245:$F$595,0,$E$245:$E$595,$G484,$C$245:$C$595,"&lt;="&amp;O$5)&lt;1000000,SUMIFS($D$245:$D$595,$F$245:$F$595,0,$E$245:$E$595,$G484,$C$245:$C$595,"&lt;="&amp;Q5)&gt;=1000000),SUMIFS($D$245:$D$595,$F$245:$F$595,0,$E$245:$E$595,$G484)*$C$157 ,0)</f>
        <v/>
      </c>
      <c r="S484" s="95">
        <f>IF(AND(SUMIFS($D$245:$D$595,$F$245:$F$595,0,$E$245:$E$595,$G484,$C$245:$C$595,"&lt;="&amp;Q$5)&lt;1000000,SUMIFS($D$245:$D$595,$F$245:$F$595,0,$E$245:$E$595,$G484,$C$245:$C$595,"&lt;="&amp;S5)&gt;=1000000),SUMIFS($D$245:$D$595,$F$245:$F$595,0,$E$245:$E$595,$G484)*$C$157 ,0)</f>
        <v/>
      </c>
      <c r="U484" s="95">
        <f>IF(AND(SUMIFS($D$245:$D$595,$F$245:$F$595,0,$E$245:$E$595,$G484,$C$245:$C$595,"&lt;="&amp;S$5)&lt;1000000,SUMIFS($D$245:$D$595,$F$245:$F$595,0,$E$245:$E$595,$G484,$C$245:$C$595,"&lt;="&amp;U5)&gt;=1000000),SUMIFS($D$245:$D$595,$F$245:$F$595,0,$E$245:$E$595,$G484)*$C$157 ,0)</f>
        <v/>
      </c>
      <c r="W484" s="95">
        <f>IF(AND(SUMIFS($D$245:$D$595,$F$245:$F$595,0,$E$245:$E$595,$G484,$C$245:$C$595,"&lt;="&amp;U$5)&lt;1000000,SUMIFS($D$245:$D$595,$F$245:$F$595,0,$E$245:$E$595,$G484,$C$245:$C$595,"&lt;="&amp;W5)&gt;=1000000),SUMIFS($D$245:$D$595,$F$245:$F$595,0,$E$245:$E$595,$G484)*$C$157 ,0)</f>
        <v/>
      </c>
      <c r="Y484" s="95">
        <f>IF(AND(SUMIFS($D$245:$D$595,$F$245:$F$595,0,$E$245:$E$595,$G484,$C$245:$C$595,"&lt;="&amp;W$5)&lt;1000000,SUMIFS($D$245:$D$595,$F$245:$F$595,0,$E$245:$E$595,$G484,$C$245:$C$595,"&lt;="&amp;Y5)&gt;=1000000),SUMIFS($D$245:$D$595,$F$245:$F$595,0,$E$245:$E$595,$G484)*$C$157 ,0)</f>
        <v/>
      </c>
      <c r="AA484" s="95">
        <f>IF(AND(SUMIFS($D$245:$D$595,$F$245:$F$595,0,$E$245:$E$595,$G484,$C$245:$C$595,"&lt;="&amp;Y$5)&lt;1000000,SUMIFS($D$245:$D$595,$F$245:$F$595,0,$E$245:$E$595,$G484,$C$245:$C$595,"&lt;="&amp;AA5)&gt;=1000000),SUMIFS($D$245:$D$595,$F$245:$F$595,0,$E$245:$E$595,$G484)*$C$157 ,0)</f>
        <v/>
      </c>
      <c r="AC484" s="95">
        <f>IF(AND(SUMIFS($D$245:$D$595,$F$245:$F$595,0,$E$245:$E$595,$G484,$C$245:$C$595,"&lt;="&amp;AA$5)&lt;1000000,SUMIFS($D$245:$D$595,$F$245:$F$595,0,$E$245:$E$595,$G484,$C$245:$C$595,"&lt;="&amp;AC5)&gt;=1000000),SUMIFS($D$245:$D$595,$F$245:$F$595,0,$E$245:$E$595,$G484)*$C$157 ,0)</f>
        <v/>
      </c>
      <c r="AE484" s="95">
        <f>IF(AND(SUMIFS($D$245:$D$595,$F$245:$F$595,0,$E$245:$E$595,$G484,$C$245:$C$595,"&lt;="&amp;AC$5)&lt;1000000,SUMIFS($D$245:$D$595,$F$245:$F$595,0,$E$245:$E$595,$G484,$C$245:$C$595,"&lt;="&amp;AE5)&gt;=1000000),SUMIFS($D$245:$D$595,$F$245:$F$595,0,$E$245:$E$595,$G484)*$C$157 ,0)</f>
        <v/>
      </c>
      <c r="AF484" s="19" t="n"/>
    </row>
    <row r="485">
      <c r="A485" s="20">
        <f>mid(E485, 3, 1)</f>
        <v/>
      </c>
      <c r="B485" s="14" t="inlineStr"/>
      <c r="C485" s="21">
        <f>SUMIFS('Investor Exit List'!$AC:$AC,'Investor Exit List'!$AB:$AB,B485)</f>
        <v/>
      </c>
      <c r="D485" s="14">
        <f>SUMIFS('Investor Exit List'!$Q:$Q,'Investor Exit List'!$AB:$AB,B485)</f>
        <v/>
      </c>
      <c r="E485" s="31">
        <f>LEFT(B485,6)</f>
        <v/>
      </c>
      <c r="F485" s="14">
        <f>IF(SUMIFS($E$119:$E$151,$D$119:$D$151,E485)&lt;&gt;0,E485,0)</f>
        <v/>
      </c>
      <c r="G485" s="59" t="n"/>
      <c r="I485" s="28">
        <f>IF(AND(SUMIFS($D$245:$D$595,$F$245:$F$595,0,$E$245:$E$595,$G485,$C$245:$C$595,"&lt;="&amp;B$2)&lt;1000000,SUMIFS($D$245:$D$595,$F$245:$F$595,0,$E$245:$E$595,$G485,$C$245:$C$595,"&lt;="&amp;I5)&gt;=1000000),SUMIFS($D$245:$D$595,$F$245:$F$595,0,$E$245:$E$595,$G485)*$C$157 ,0)</f>
        <v/>
      </c>
      <c r="K485" s="95">
        <f>IF(AND(SUMIFS($D$245:$D$595,$F$245:$F$595,0,$E$245:$E$595,$G485,$C$245:$C$595,"&lt;="&amp;I$5)&lt;1000000,SUMIFS($D$245:$D$595,$F$245:$F$595,0,$E$245:$E$595,$G485,$C$245:$C$595,"&lt;="&amp;K5)&gt;=1000000),SUMIFS($D$245:$D$595,$F$245:$F$595,0,$E$245:$E$595,$G485)*$C$157 ,0)</f>
        <v/>
      </c>
      <c r="M485" s="95">
        <f>IF(AND(SUMIFS($D$245:$D$595,$F$245:$F$595,0,$E$245:$E$595,$G485,$C$245:$C$595,"&lt;="&amp;K$5)&lt;1000000,SUMIFS($D$245:$D$595,$F$245:$F$595,0,$E$245:$E$595,$G485,$C$245:$C$595,"&lt;="&amp;M5)&gt;=1000000),SUMIFS($D$245:$D$595,$F$245:$F$595,0,$E$245:$E$595,$G485)*$C$157 ,0)</f>
        <v/>
      </c>
      <c r="O485" s="95">
        <f>IF(AND(SUMIFS($D$245:$D$595,$F$245:$F$595,0,$E$245:$E$595,$G485,$C$245:$C$595,"&lt;="&amp;M$5)&lt;1000000,SUMIFS($D$245:$D$595,$F$245:$F$595,0,$E$245:$E$595,$G485,$C$245:$C$595,"&lt;="&amp;O5)&gt;=1000000),SUMIFS($D$245:$D$595,$F$245:$F$595,0,$E$245:$E$595,$G485)*$C$157 ,0)</f>
        <v/>
      </c>
      <c r="Q485" s="95">
        <f>IF(AND(SUMIFS($D$245:$D$595,$F$245:$F$595,0,$E$245:$E$595,$G485,$C$245:$C$595,"&lt;="&amp;O$5)&lt;1000000,SUMIFS($D$245:$D$595,$F$245:$F$595,0,$E$245:$E$595,$G485,$C$245:$C$595,"&lt;="&amp;Q5)&gt;=1000000),SUMIFS($D$245:$D$595,$F$245:$F$595,0,$E$245:$E$595,$G485)*$C$157 ,0)</f>
        <v/>
      </c>
      <c r="S485" s="95">
        <f>IF(AND(SUMIFS($D$245:$D$595,$F$245:$F$595,0,$E$245:$E$595,$G485,$C$245:$C$595,"&lt;="&amp;Q$5)&lt;1000000,SUMIFS($D$245:$D$595,$F$245:$F$595,0,$E$245:$E$595,$G485,$C$245:$C$595,"&lt;="&amp;S5)&gt;=1000000),SUMIFS($D$245:$D$595,$F$245:$F$595,0,$E$245:$E$595,$G485)*$C$157 ,0)</f>
        <v/>
      </c>
      <c r="U485" s="95">
        <f>IF(AND(SUMIFS($D$245:$D$595,$F$245:$F$595,0,$E$245:$E$595,$G485,$C$245:$C$595,"&lt;="&amp;S$5)&lt;1000000,SUMIFS($D$245:$D$595,$F$245:$F$595,0,$E$245:$E$595,$G485,$C$245:$C$595,"&lt;="&amp;U5)&gt;=1000000),SUMIFS($D$245:$D$595,$F$245:$F$595,0,$E$245:$E$595,$G485)*$C$157 ,0)</f>
        <v/>
      </c>
      <c r="W485" s="95">
        <f>IF(AND(SUMIFS($D$245:$D$595,$F$245:$F$595,0,$E$245:$E$595,$G485,$C$245:$C$595,"&lt;="&amp;U$5)&lt;1000000,SUMIFS($D$245:$D$595,$F$245:$F$595,0,$E$245:$E$595,$G485,$C$245:$C$595,"&lt;="&amp;W5)&gt;=1000000),SUMIFS($D$245:$D$595,$F$245:$F$595,0,$E$245:$E$595,$G485)*$C$157 ,0)</f>
        <v/>
      </c>
      <c r="Y485" s="95">
        <f>IF(AND(SUMIFS($D$245:$D$595,$F$245:$F$595,0,$E$245:$E$595,$G485,$C$245:$C$595,"&lt;="&amp;W$5)&lt;1000000,SUMIFS($D$245:$D$595,$F$245:$F$595,0,$E$245:$E$595,$G485,$C$245:$C$595,"&lt;="&amp;Y5)&gt;=1000000),SUMIFS($D$245:$D$595,$F$245:$F$595,0,$E$245:$E$595,$G485)*$C$157 ,0)</f>
        <v/>
      </c>
      <c r="AA485" s="95">
        <f>IF(AND(SUMIFS($D$245:$D$595,$F$245:$F$595,0,$E$245:$E$595,$G485,$C$245:$C$595,"&lt;="&amp;Y$5)&lt;1000000,SUMIFS($D$245:$D$595,$F$245:$F$595,0,$E$245:$E$595,$G485,$C$245:$C$595,"&lt;="&amp;AA5)&gt;=1000000),SUMIFS($D$245:$D$595,$F$245:$F$595,0,$E$245:$E$595,$G485)*$C$157 ,0)</f>
        <v/>
      </c>
      <c r="AC485" s="95">
        <f>IF(AND(SUMIFS($D$245:$D$595,$F$245:$F$595,0,$E$245:$E$595,$G485,$C$245:$C$595,"&lt;="&amp;AA$5)&lt;1000000,SUMIFS($D$245:$D$595,$F$245:$F$595,0,$E$245:$E$595,$G485,$C$245:$C$595,"&lt;="&amp;AC5)&gt;=1000000),SUMIFS($D$245:$D$595,$F$245:$F$595,0,$E$245:$E$595,$G485)*$C$157 ,0)</f>
        <v/>
      </c>
      <c r="AE485" s="95">
        <f>IF(AND(SUMIFS($D$245:$D$595,$F$245:$F$595,0,$E$245:$E$595,$G485,$C$245:$C$595,"&lt;="&amp;AC$5)&lt;1000000,SUMIFS($D$245:$D$595,$F$245:$F$595,0,$E$245:$E$595,$G485,$C$245:$C$595,"&lt;="&amp;AE5)&gt;=1000000),SUMIFS($D$245:$D$595,$F$245:$F$595,0,$E$245:$E$595,$G485)*$C$157 ,0)</f>
        <v/>
      </c>
      <c r="AF485" s="19" t="n"/>
    </row>
    <row r="486">
      <c r="A486" s="20">
        <f>mid(E486, 3, 1)</f>
        <v/>
      </c>
      <c r="B486" s="14" t="inlineStr"/>
      <c r="C486" s="21">
        <f>SUMIFS('Investor Exit List'!$AC:$AC,'Investor Exit List'!$AB:$AB,B486)</f>
        <v/>
      </c>
      <c r="D486" s="14">
        <f>SUMIFS('Investor Exit List'!$Q:$Q,'Investor Exit List'!$AB:$AB,B486)</f>
        <v/>
      </c>
      <c r="E486" s="31">
        <f>LEFT(B486,6)</f>
        <v/>
      </c>
      <c r="F486" s="14">
        <f>IF(SUMIFS($E$119:$E$151,$D$119:$D$151,E486)&lt;&gt;0,E486,0)</f>
        <v/>
      </c>
      <c r="G486" s="59" t="n"/>
      <c r="I486" s="28">
        <f>IF(AND(SUMIFS($D$245:$D$595,$F$245:$F$595,0,$E$245:$E$595,$G486,$C$245:$C$595,"&lt;="&amp;B$2)&lt;1000000,SUMIFS($D$245:$D$595,$F$245:$F$595,0,$E$245:$E$595,$G486,$C$245:$C$595,"&lt;="&amp;I5)&gt;=1000000),SUMIFS($D$245:$D$595,$F$245:$F$595,0,$E$245:$E$595,$G486)*$C$157 ,0)</f>
        <v/>
      </c>
      <c r="K486" s="95">
        <f>IF(AND(SUMIFS($D$245:$D$595,$F$245:$F$595,0,$E$245:$E$595,$G486,$C$245:$C$595,"&lt;="&amp;I$5)&lt;1000000,SUMIFS($D$245:$D$595,$F$245:$F$595,0,$E$245:$E$595,$G486,$C$245:$C$595,"&lt;="&amp;K5)&gt;=1000000),SUMIFS($D$245:$D$595,$F$245:$F$595,0,$E$245:$E$595,$G486)*$C$157 ,0)</f>
        <v/>
      </c>
      <c r="M486" s="95">
        <f>IF(AND(SUMIFS($D$245:$D$595,$F$245:$F$595,0,$E$245:$E$595,$G486,$C$245:$C$595,"&lt;="&amp;K$5)&lt;1000000,SUMIFS($D$245:$D$595,$F$245:$F$595,0,$E$245:$E$595,$G486,$C$245:$C$595,"&lt;="&amp;M5)&gt;=1000000),SUMIFS($D$245:$D$595,$F$245:$F$595,0,$E$245:$E$595,$G486)*$C$157 ,0)</f>
        <v/>
      </c>
      <c r="O486" s="95">
        <f>IF(AND(SUMIFS($D$245:$D$595,$F$245:$F$595,0,$E$245:$E$595,$G486,$C$245:$C$595,"&lt;="&amp;M$5)&lt;1000000,SUMIFS($D$245:$D$595,$F$245:$F$595,0,$E$245:$E$595,$G486,$C$245:$C$595,"&lt;="&amp;O5)&gt;=1000000),SUMIFS($D$245:$D$595,$F$245:$F$595,0,$E$245:$E$595,$G486)*$C$157 ,0)</f>
        <v/>
      </c>
      <c r="Q486" s="95">
        <f>IF(AND(SUMIFS($D$245:$D$595,$F$245:$F$595,0,$E$245:$E$595,$G486,$C$245:$C$595,"&lt;="&amp;O$5)&lt;1000000,SUMIFS($D$245:$D$595,$F$245:$F$595,0,$E$245:$E$595,$G486,$C$245:$C$595,"&lt;="&amp;Q5)&gt;=1000000),SUMIFS($D$245:$D$595,$F$245:$F$595,0,$E$245:$E$595,$G486)*$C$157 ,0)</f>
        <v/>
      </c>
      <c r="S486" s="95">
        <f>IF(AND(SUMIFS($D$245:$D$595,$F$245:$F$595,0,$E$245:$E$595,$G486,$C$245:$C$595,"&lt;="&amp;Q$5)&lt;1000000,SUMIFS($D$245:$D$595,$F$245:$F$595,0,$E$245:$E$595,$G486,$C$245:$C$595,"&lt;="&amp;S5)&gt;=1000000),SUMIFS($D$245:$D$595,$F$245:$F$595,0,$E$245:$E$595,$G486)*$C$157 ,0)</f>
        <v/>
      </c>
      <c r="U486" s="95">
        <f>IF(AND(SUMIFS($D$245:$D$595,$F$245:$F$595,0,$E$245:$E$595,$G486,$C$245:$C$595,"&lt;="&amp;S$5)&lt;1000000,SUMIFS($D$245:$D$595,$F$245:$F$595,0,$E$245:$E$595,$G486,$C$245:$C$595,"&lt;="&amp;U5)&gt;=1000000),SUMIFS($D$245:$D$595,$F$245:$F$595,0,$E$245:$E$595,$G486)*$C$157 ,0)</f>
        <v/>
      </c>
      <c r="W486" s="95">
        <f>IF(AND(SUMIFS($D$245:$D$595,$F$245:$F$595,0,$E$245:$E$595,$G486,$C$245:$C$595,"&lt;="&amp;U$5)&lt;1000000,SUMIFS($D$245:$D$595,$F$245:$F$595,0,$E$245:$E$595,$G486,$C$245:$C$595,"&lt;="&amp;W5)&gt;=1000000),SUMIFS($D$245:$D$595,$F$245:$F$595,0,$E$245:$E$595,$G486)*$C$157 ,0)</f>
        <v/>
      </c>
      <c r="Y486" s="95">
        <f>IF(AND(SUMIFS($D$245:$D$595,$F$245:$F$595,0,$E$245:$E$595,$G486,$C$245:$C$595,"&lt;="&amp;W$5)&lt;1000000,SUMIFS($D$245:$D$595,$F$245:$F$595,0,$E$245:$E$595,$G486,$C$245:$C$595,"&lt;="&amp;Y5)&gt;=1000000),SUMIFS($D$245:$D$595,$F$245:$F$595,0,$E$245:$E$595,$G486)*$C$157 ,0)</f>
        <v/>
      </c>
      <c r="AA486" s="95">
        <f>IF(AND(SUMIFS($D$245:$D$595,$F$245:$F$595,0,$E$245:$E$595,$G486,$C$245:$C$595,"&lt;="&amp;Y$5)&lt;1000000,SUMIFS($D$245:$D$595,$F$245:$F$595,0,$E$245:$E$595,$G486,$C$245:$C$595,"&lt;="&amp;AA5)&gt;=1000000),SUMIFS($D$245:$D$595,$F$245:$F$595,0,$E$245:$E$595,$G486)*$C$157 ,0)</f>
        <v/>
      </c>
      <c r="AC486" s="95">
        <f>IF(AND(SUMIFS($D$245:$D$595,$F$245:$F$595,0,$E$245:$E$595,$G486,$C$245:$C$595,"&lt;="&amp;AA$5)&lt;1000000,SUMIFS($D$245:$D$595,$F$245:$F$595,0,$E$245:$E$595,$G486,$C$245:$C$595,"&lt;="&amp;AC5)&gt;=1000000),SUMIFS($D$245:$D$595,$F$245:$F$595,0,$E$245:$E$595,$G486)*$C$157 ,0)</f>
        <v/>
      </c>
      <c r="AE486" s="95">
        <f>IF(AND(SUMIFS($D$245:$D$595,$F$245:$F$595,0,$E$245:$E$595,$G486,$C$245:$C$595,"&lt;="&amp;AC$5)&lt;1000000,SUMIFS($D$245:$D$595,$F$245:$F$595,0,$E$245:$E$595,$G486,$C$245:$C$595,"&lt;="&amp;AE5)&gt;=1000000),SUMIFS($D$245:$D$595,$F$245:$F$595,0,$E$245:$E$595,$G486)*$C$157 ,0)</f>
        <v/>
      </c>
      <c r="AF486" s="19" t="n"/>
    </row>
    <row r="487">
      <c r="A487" s="20">
        <f>mid(E487, 3, 1)</f>
        <v/>
      </c>
      <c r="B487" s="14" t="inlineStr"/>
      <c r="C487" s="21">
        <f>SUMIFS('Investor Exit List'!$AC:$AC,'Investor Exit List'!$AB:$AB,B487)</f>
        <v/>
      </c>
      <c r="D487" s="14">
        <f>SUMIFS('Investor Exit List'!$Q:$Q,'Investor Exit List'!$AB:$AB,B487)</f>
        <v/>
      </c>
      <c r="E487" s="31">
        <f>LEFT(B487,6)</f>
        <v/>
      </c>
      <c r="F487" s="14">
        <f>IF(SUMIFS($E$119:$E$151,$D$119:$D$151,E487)&lt;&gt;0,E487,0)</f>
        <v/>
      </c>
      <c r="G487" s="59" t="n"/>
      <c r="I487" s="28">
        <f>IF(AND(SUMIFS($D$245:$D$595,$F$245:$F$595,0,$E$245:$E$595,$G487,$C$245:$C$595,"&lt;="&amp;B$2)&lt;1000000,SUMIFS($D$245:$D$595,$F$245:$F$595,0,$E$245:$E$595,$G487,$C$245:$C$595,"&lt;="&amp;I5)&gt;=1000000),SUMIFS($D$245:$D$595,$F$245:$F$595,0,$E$245:$E$595,$G487)*$C$157 ,0)</f>
        <v/>
      </c>
      <c r="K487" s="95">
        <f>IF(AND(SUMIFS($D$245:$D$595,$F$245:$F$595,0,$E$245:$E$595,$G487,$C$245:$C$595,"&lt;="&amp;I$5)&lt;1000000,SUMIFS($D$245:$D$595,$F$245:$F$595,0,$E$245:$E$595,$G487,$C$245:$C$595,"&lt;="&amp;K5)&gt;=1000000),SUMIFS($D$245:$D$595,$F$245:$F$595,0,$E$245:$E$595,$G487)*$C$157 ,0)</f>
        <v/>
      </c>
      <c r="M487" s="95">
        <f>IF(AND(SUMIFS($D$245:$D$595,$F$245:$F$595,0,$E$245:$E$595,$G487,$C$245:$C$595,"&lt;="&amp;K$5)&lt;1000000,SUMIFS($D$245:$D$595,$F$245:$F$595,0,$E$245:$E$595,$G487,$C$245:$C$595,"&lt;="&amp;M5)&gt;=1000000),SUMIFS($D$245:$D$595,$F$245:$F$595,0,$E$245:$E$595,$G487)*$C$157 ,0)</f>
        <v/>
      </c>
      <c r="O487" s="95">
        <f>IF(AND(SUMIFS($D$245:$D$595,$F$245:$F$595,0,$E$245:$E$595,$G487,$C$245:$C$595,"&lt;="&amp;M$5)&lt;1000000,SUMIFS($D$245:$D$595,$F$245:$F$595,0,$E$245:$E$595,$G487,$C$245:$C$595,"&lt;="&amp;O5)&gt;=1000000),SUMIFS($D$245:$D$595,$F$245:$F$595,0,$E$245:$E$595,$G487)*$C$157 ,0)</f>
        <v/>
      </c>
      <c r="Q487" s="95">
        <f>IF(AND(SUMIFS($D$245:$D$595,$F$245:$F$595,0,$E$245:$E$595,$G487,$C$245:$C$595,"&lt;="&amp;O$5)&lt;1000000,SUMIFS($D$245:$D$595,$F$245:$F$595,0,$E$245:$E$595,$G487,$C$245:$C$595,"&lt;="&amp;Q5)&gt;=1000000),SUMIFS($D$245:$D$595,$F$245:$F$595,0,$E$245:$E$595,$G487)*$C$157 ,0)</f>
        <v/>
      </c>
      <c r="S487" s="95">
        <f>IF(AND(SUMIFS($D$245:$D$595,$F$245:$F$595,0,$E$245:$E$595,$G487,$C$245:$C$595,"&lt;="&amp;Q$5)&lt;1000000,SUMIFS($D$245:$D$595,$F$245:$F$595,0,$E$245:$E$595,$G487,$C$245:$C$595,"&lt;="&amp;S5)&gt;=1000000),SUMIFS($D$245:$D$595,$F$245:$F$595,0,$E$245:$E$595,$G487)*$C$157 ,0)</f>
        <v/>
      </c>
      <c r="U487" s="95">
        <f>IF(AND(SUMIFS($D$245:$D$595,$F$245:$F$595,0,$E$245:$E$595,$G487,$C$245:$C$595,"&lt;="&amp;S$5)&lt;1000000,SUMIFS($D$245:$D$595,$F$245:$F$595,0,$E$245:$E$595,$G487,$C$245:$C$595,"&lt;="&amp;U5)&gt;=1000000),SUMIFS($D$245:$D$595,$F$245:$F$595,0,$E$245:$E$595,$G487)*$C$157 ,0)</f>
        <v/>
      </c>
      <c r="W487" s="95">
        <f>IF(AND(SUMIFS($D$245:$D$595,$F$245:$F$595,0,$E$245:$E$595,$G487,$C$245:$C$595,"&lt;="&amp;U$5)&lt;1000000,SUMIFS($D$245:$D$595,$F$245:$F$595,0,$E$245:$E$595,$G487,$C$245:$C$595,"&lt;="&amp;W5)&gt;=1000000),SUMIFS($D$245:$D$595,$F$245:$F$595,0,$E$245:$E$595,$G487)*$C$157 ,0)</f>
        <v/>
      </c>
      <c r="Y487" s="95">
        <f>IF(AND(SUMIFS($D$245:$D$595,$F$245:$F$595,0,$E$245:$E$595,$G487,$C$245:$C$595,"&lt;="&amp;W$5)&lt;1000000,SUMIFS($D$245:$D$595,$F$245:$F$595,0,$E$245:$E$595,$G487,$C$245:$C$595,"&lt;="&amp;Y5)&gt;=1000000),SUMIFS($D$245:$D$595,$F$245:$F$595,0,$E$245:$E$595,$G487)*$C$157 ,0)</f>
        <v/>
      </c>
      <c r="AA487" s="95">
        <f>IF(AND(SUMIFS($D$245:$D$595,$F$245:$F$595,0,$E$245:$E$595,$G487,$C$245:$C$595,"&lt;="&amp;Y$5)&lt;1000000,SUMIFS($D$245:$D$595,$F$245:$F$595,0,$E$245:$E$595,$G487,$C$245:$C$595,"&lt;="&amp;AA5)&gt;=1000000),SUMIFS($D$245:$D$595,$F$245:$F$595,0,$E$245:$E$595,$G487)*$C$157 ,0)</f>
        <v/>
      </c>
      <c r="AC487" s="95">
        <f>IF(AND(SUMIFS($D$245:$D$595,$F$245:$F$595,0,$E$245:$E$595,$G487,$C$245:$C$595,"&lt;="&amp;AA$5)&lt;1000000,SUMIFS($D$245:$D$595,$F$245:$F$595,0,$E$245:$E$595,$G487,$C$245:$C$595,"&lt;="&amp;AC5)&gt;=1000000),SUMIFS($D$245:$D$595,$F$245:$F$595,0,$E$245:$E$595,$G487)*$C$157 ,0)</f>
        <v/>
      </c>
      <c r="AE487" s="95">
        <f>IF(AND(SUMIFS($D$245:$D$595,$F$245:$F$595,0,$E$245:$E$595,$G487,$C$245:$C$595,"&lt;="&amp;AC$5)&lt;1000000,SUMIFS($D$245:$D$595,$F$245:$F$595,0,$E$245:$E$595,$G487,$C$245:$C$595,"&lt;="&amp;AE5)&gt;=1000000),SUMIFS($D$245:$D$595,$F$245:$F$595,0,$E$245:$E$595,$G487)*$C$157 ,0)</f>
        <v/>
      </c>
      <c r="AF487" s="19" t="n"/>
    </row>
    <row r="488">
      <c r="A488" s="20">
        <f>mid(E488, 3, 1)</f>
        <v/>
      </c>
      <c r="B488" s="14" t="inlineStr"/>
      <c r="C488" s="21">
        <f>SUMIFS('Investor Exit List'!$AC:$AC,'Investor Exit List'!$AB:$AB,B488)</f>
        <v/>
      </c>
      <c r="D488" s="14">
        <f>SUMIFS('Investor Exit List'!$Q:$Q,'Investor Exit List'!$AB:$AB,B488)</f>
        <v/>
      </c>
      <c r="E488" s="31">
        <f>LEFT(B488,6)</f>
        <v/>
      </c>
      <c r="F488" s="14">
        <f>IF(SUMIFS($E$119:$E$151,$D$119:$D$151,E488)&lt;&gt;0,E488,0)</f>
        <v/>
      </c>
      <c r="G488" s="59" t="n"/>
      <c r="I488" s="28">
        <f>IF(AND(SUMIFS($D$245:$D$595,$F$245:$F$595,0,$E$245:$E$595,$G488,$C$245:$C$595,"&lt;="&amp;B$2)&lt;1000000,SUMIFS($D$245:$D$595,$F$245:$F$595,0,$E$245:$E$595,$G488,$C$245:$C$595,"&lt;="&amp;I5)&gt;=1000000),SUMIFS($D$245:$D$595,$F$245:$F$595,0,$E$245:$E$595,$G488)*$C$157 ,0)</f>
        <v/>
      </c>
      <c r="K488" s="95">
        <f>IF(AND(SUMIFS($D$245:$D$595,$F$245:$F$595,0,$E$245:$E$595,$G488,$C$245:$C$595,"&lt;="&amp;I$5)&lt;1000000,SUMIFS($D$245:$D$595,$F$245:$F$595,0,$E$245:$E$595,$G488,$C$245:$C$595,"&lt;="&amp;K5)&gt;=1000000),SUMIFS($D$245:$D$595,$F$245:$F$595,0,$E$245:$E$595,$G488)*$C$157 ,0)</f>
        <v/>
      </c>
      <c r="M488" s="95">
        <f>IF(AND(SUMIFS($D$245:$D$595,$F$245:$F$595,0,$E$245:$E$595,$G488,$C$245:$C$595,"&lt;="&amp;K$5)&lt;1000000,SUMIFS($D$245:$D$595,$F$245:$F$595,0,$E$245:$E$595,$G488,$C$245:$C$595,"&lt;="&amp;M5)&gt;=1000000),SUMIFS($D$245:$D$595,$F$245:$F$595,0,$E$245:$E$595,$G488)*$C$157 ,0)</f>
        <v/>
      </c>
      <c r="O488" s="95">
        <f>IF(AND(SUMIFS($D$245:$D$595,$F$245:$F$595,0,$E$245:$E$595,$G488,$C$245:$C$595,"&lt;="&amp;M$5)&lt;1000000,SUMIFS($D$245:$D$595,$F$245:$F$595,0,$E$245:$E$595,$G488,$C$245:$C$595,"&lt;="&amp;O5)&gt;=1000000),SUMIFS($D$245:$D$595,$F$245:$F$595,0,$E$245:$E$595,$G488)*$C$157 ,0)</f>
        <v/>
      </c>
      <c r="Q488" s="95">
        <f>IF(AND(SUMIFS($D$245:$D$595,$F$245:$F$595,0,$E$245:$E$595,$G488,$C$245:$C$595,"&lt;="&amp;O$5)&lt;1000000,SUMIFS($D$245:$D$595,$F$245:$F$595,0,$E$245:$E$595,$G488,$C$245:$C$595,"&lt;="&amp;Q5)&gt;=1000000),SUMIFS($D$245:$D$595,$F$245:$F$595,0,$E$245:$E$595,$G488)*$C$157 ,0)</f>
        <v/>
      </c>
      <c r="S488" s="95">
        <f>IF(AND(SUMIFS($D$245:$D$595,$F$245:$F$595,0,$E$245:$E$595,$G488,$C$245:$C$595,"&lt;="&amp;Q$5)&lt;1000000,SUMIFS($D$245:$D$595,$F$245:$F$595,0,$E$245:$E$595,$G488,$C$245:$C$595,"&lt;="&amp;S5)&gt;=1000000),SUMIFS($D$245:$D$595,$F$245:$F$595,0,$E$245:$E$595,$G488)*$C$157 ,0)</f>
        <v/>
      </c>
      <c r="U488" s="95">
        <f>IF(AND(SUMIFS($D$245:$D$595,$F$245:$F$595,0,$E$245:$E$595,$G488,$C$245:$C$595,"&lt;="&amp;S$5)&lt;1000000,SUMIFS($D$245:$D$595,$F$245:$F$595,0,$E$245:$E$595,$G488,$C$245:$C$595,"&lt;="&amp;U5)&gt;=1000000),SUMIFS($D$245:$D$595,$F$245:$F$595,0,$E$245:$E$595,$G488)*$C$157 ,0)</f>
        <v/>
      </c>
      <c r="W488" s="95">
        <f>IF(AND(SUMIFS($D$245:$D$595,$F$245:$F$595,0,$E$245:$E$595,$G488,$C$245:$C$595,"&lt;="&amp;U$5)&lt;1000000,SUMIFS($D$245:$D$595,$F$245:$F$595,0,$E$245:$E$595,$G488,$C$245:$C$595,"&lt;="&amp;W5)&gt;=1000000),SUMIFS($D$245:$D$595,$F$245:$F$595,0,$E$245:$E$595,$G488)*$C$157 ,0)</f>
        <v/>
      </c>
      <c r="Y488" s="95">
        <f>IF(AND(SUMIFS($D$245:$D$595,$F$245:$F$595,0,$E$245:$E$595,$G488,$C$245:$C$595,"&lt;="&amp;W$5)&lt;1000000,SUMIFS($D$245:$D$595,$F$245:$F$595,0,$E$245:$E$595,$G488,$C$245:$C$595,"&lt;="&amp;Y5)&gt;=1000000),SUMIFS($D$245:$D$595,$F$245:$F$595,0,$E$245:$E$595,$G488)*$C$157 ,0)</f>
        <v/>
      </c>
      <c r="AA488" s="95">
        <f>IF(AND(SUMIFS($D$245:$D$595,$F$245:$F$595,0,$E$245:$E$595,$G488,$C$245:$C$595,"&lt;="&amp;Y$5)&lt;1000000,SUMIFS($D$245:$D$595,$F$245:$F$595,0,$E$245:$E$595,$G488,$C$245:$C$595,"&lt;="&amp;AA5)&gt;=1000000),SUMIFS($D$245:$D$595,$F$245:$F$595,0,$E$245:$E$595,$G488)*$C$157 ,0)</f>
        <v/>
      </c>
      <c r="AC488" s="95">
        <f>IF(AND(SUMIFS($D$245:$D$595,$F$245:$F$595,0,$E$245:$E$595,$G488,$C$245:$C$595,"&lt;="&amp;AA$5)&lt;1000000,SUMIFS($D$245:$D$595,$F$245:$F$595,0,$E$245:$E$595,$G488,$C$245:$C$595,"&lt;="&amp;AC5)&gt;=1000000),SUMIFS($D$245:$D$595,$F$245:$F$595,0,$E$245:$E$595,$G488)*$C$157 ,0)</f>
        <v/>
      </c>
      <c r="AE488" s="95">
        <f>IF(AND(SUMIFS($D$245:$D$595,$F$245:$F$595,0,$E$245:$E$595,$G488,$C$245:$C$595,"&lt;="&amp;AC$5)&lt;1000000,SUMIFS($D$245:$D$595,$F$245:$F$595,0,$E$245:$E$595,$G488,$C$245:$C$595,"&lt;="&amp;AE5)&gt;=1000000),SUMIFS($D$245:$D$595,$F$245:$F$595,0,$E$245:$E$595,$G488)*$C$157 ,0)</f>
        <v/>
      </c>
      <c r="AF488" s="19" t="n"/>
    </row>
    <row r="489">
      <c r="A489" s="20">
        <f>mid(E489, 3, 1)</f>
        <v/>
      </c>
      <c r="B489" s="14" t="inlineStr"/>
      <c r="C489" s="21">
        <f>SUMIFS('Investor Exit List'!$AC:$AC,'Investor Exit List'!$AB:$AB,B489)</f>
        <v/>
      </c>
      <c r="D489" s="14">
        <f>SUMIFS('Investor Exit List'!$Q:$Q,'Investor Exit List'!$AB:$AB,B489)</f>
        <v/>
      </c>
      <c r="E489" s="31">
        <f>LEFT(B489,6)</f>
        <v/>
      </c>
      <c r="F489" s="14">
        <f>IF(SUMIFS($E$119:$E$151,$D$119:$D$151,E489)&lt;&gt;0,E489,0)</f>
        <v/>
      </c>
      <c r="G489" s="59" t="n"/>
      <c r="I489" s="28">
        <f>IF(AND(SUMIFS($D$245:$D$595,$F$245:$F$595,0,$E$245:$E$595,$G489,$C$245:$C$595,"&lt;="&amp;B$2)&lt;1000000,SUMIFS($D$245:$D$595,$F$245:$F$595,0,$E$245:$E$595,$G489,$C$245:$C$595,"&lt;="&amp;I5)&gt;=1000000),SUMIFS($D$245:$D$595,$F$245:$F$595,0,$E$245:$E$595,$G489)*$C$157 ,0)</f>
        <v/>
      </c>
      <c r="K489" s="95">
        <f>IF(AND(SUMIFS($D$245:$D$595,$F$245:$F$595,0,$E$245:$E$595,$G489,$C$245:$C$595,"&lt;="&amp;I$5)&lt;1000000,SUMIFS($D$245:$D$595,$F$245:$F$595,0,$E$245:$E$595,$G489,$C$245:$C$595,"&lt;="&amp;K5)&gt;=1000000),SUMIFS($D$245:$D$595,$F$245:$F$595,0,$E$245:$E$595,$G489)*$C$157 ,0)</f>
        <v/>
      </c>
      <c r="M489" s="95">
        <f>IF(AND(SUMIFS($D$245:$D$595,$F$245:$F$595,0,$E$245:$E$595,$G489,$C$245:$C$595,"&lt;="&amp;K$5)&lt;1000000,SUMIFS($D$245:$D$595,$F$245:$F$595,0,$E$245:$E$595,$G489,$C$245:$C$595,"&lt;="&amp;M5)&gt;=1000000),SUMIFS($D$245:$D$595,$F$245:$F$595,0,$E$245:$E$595,$G489)*$C$157 ,0)</f>
        <v/>
      </c>
      <c r="O489" s="95">
        <f>IF(AND(SUMIFS($D$245:$D$595,$F$245:$F$595,0,$E$245:$E$595,$G489,$C$245:$C$595,"&lt;="&amp;M$5)&lt;1000000,SUMIFS($D$245:$D$595,$F$245:$F$595,0,$E$245:$E$595,$G489,$C$245:$C$595,"&lt;="&amp;O5)&gt;=1000000),SUMIFS($D$245:$D$595,$F$245:$F$595,0,$E$245:$E$595,$G489)*$C$157 ,0)</f>
        <v/>
      </c>
      <c r="Q489" s="95">
        <f>IF(AND(SUMIFS($D$245:$D$595,$F$245:$F$595,0,$E$245:$E$595,$G489,$C$245:$C$595,"&lt;="&amp;O$5)&lt;1000000,SUMIFS($D$245:$D$595,$F$245:$F$595,0,$E$245:$E$595,$G489,$C$245:$C$595,"&lt;="&amp;Q5)&gt;=1000000),SUMIFS($D$245:$D$595,$F$245:$F$595,0,$E$245:$E$595,$G489)*$C$157 ,0)</f>
        <v/>
      </c>
      <c r="S489" s="95">
        <f>IF(AND(SUMIFS($D$245:$D$595,$F$245:$F$595,0,$E$245:$E$595,$G489,$C$245:$C$595,"&lt;="&amp;Q$5)&lt;1000000,SUMIFS($D$245:$D$595,$F$245:$F$595,0,$E$245:$E$595,$G489,$C$245:$C$595,"&lt;="&amp;S5)&gt;=1000000),SUMIFS($D$245:$D$595,$F$245:$F$595,0,$E$245:$E$595,$G489)*$C$157 ,0)</f>
        <v/>
      </c>
      <c r="U489" s="95">
        <f>IF(AND(SUMIFS($D$245:$D$595,$F$245:$F$595,0,$E$245:$E$595,$G489,$C$245:$C$595,"&lt;="&amp;S$5)&lt;1000000,SUMIFS($D$245:$D$595,$F$245:$F$595,0,$E$245:$E$595,$G489,$C$245:$C$595,"&lt;="&amp;U5)&gt;=1000000),SUMIFS($D$245:$D$595,$F$245:$F$595,0,$E$245:$E$595,$G489)*$C$157 ,0)</f>
        <v/>
      </c>
      <c r="W489" s="95">
        <f>IF(AND(SUMIFS($D$245:$D$595,$F$245:$F$595,0,$E$245:$E$595,$G489,$C$245:$C$595,"&lt;="&amp;U$5)&lt;1000000,SUMIFS($D$245:$D$595,$F$245:$F$595,0,$E$245:$E$595,$G489,$C$245:$C$595,"&lt;="&amp;W5)&gt;=1000000),SUMIFS($D$245:$D$595,$F$245:$F$595,0,$E$245:$E$595,$G489)*$C$157 ,0)</f>
        <v/>
      </c>
      <c r="Y489" s="95">
        <f>IF(AND(SUMIFS($D$245:$D$595,$F$245:$F$595,0,$E$245:$E$595,$G489,$C$245:$C$595,"&lt;="&amp;W$5)&lt;1000000,SUMIFS($D$245:$D$595,$F$245:$F$595,0,$E$245:$E$595,$G489,$C$245:$C$595,"&lt;="&amp;Y5)&gt;=1000000),SUMIFS($D$245:$D$595,$F$245:$F$595,0,$E$245:$E$595,$G489)*$C$157 ,0)</f>
        <v/>
      </c>
      <c r="AA489" s="95">
        <f>IF(AND(SUMIFS($D$245:$D$595,$F$245:$F$595,0,$E$245:$E$595,$G489,$C$245:$C$595,"&lt;="&amp;Y$5)&lt;1000000,SUMIFS($D$245:$D$595,$F$245:$F$595,0,$E$245:$E$595,$G489,$C$245:$C$595,"&lt;="&amp;AA5)&gt;=1000000),SUMIFS($D$245:$D$595,$F$245:$F$595,0,$E$245:$E$595,$G489)*$C$157 ,0)</f>
        <v/>
      </c>
      <c r="AC489" s="95">
        <f>IF(AND(SUMIFS($D$245:$D$595,$F$245:$F$595,0,$E$245:$E$595,$G489,$C$245:$C$595,"&lt;="&amp;AA$5)&lt;1000000,SUMIFS($D$245:$D$595,$F$245:$F$595,0,$E$245:$E$595,$G489,$C$245:$C$595,"&lt;="&amp;AC5)&gt;=1000000),SUMIFS($D$245:$D$595,$F$245:$F$595,0,$E$245:$E$595,$G489)*$C$157 ,0)</f>
        <v/>
      </c>
      <c r="AE489" s="95">
        <f>IF(AND(SUMIFS($D$245:$D$595,$F$245:$F$595,0,$E$245:$E$595,$G489,$C$245:$C$595,"&lt;="&amp;AC$5)&lt;1000000,SUMIFS($D$245:$D$595,$F$245:$F$595,0,$E$245:$E$595,$G489,$C$245:$C$595,"&lt;="&amp;AE5)&gt;=1000000),SUMIFS($D$245:$D$595,$F$245:$F$595,0,$E$245:$E$595,$G489)*$C$157 ,0)</f>
        <v/>
      </c>
      <c r="AF489" s="19" t="n"/>
    </row>
    <row r="490">
      <c r="A490" s="20">
        <f>mid(E490, 3, 1)</f>
        <v/>
      </c>
      <c r="B490" s="14" t="inlineStr"/>
      <c r="C490" s="21">
        <f>SUMIFS('Investor Exit List'!$AC:$AC,'Investor Exit List'!$AB:$AB,B490)</f>
        <v/>
      </c>
      <c r="D490" s="14">
        <f>SUMIFS('Investor Exit List'!$Q:$Q,'Investor Exit List'!$AB:$AB,B490)</f>
        <v/>
      </c>
      <c r="E490" s="31">
        <f>LEFT(B490,6)</f>
        <v/>
      </c>
      <c r="F490" s="14">
        <f>IF(SUMIFS($E$119:$E$151,$D$119:$D$151,E490)&lt;&gt;0,E490,0)</f>
        <v/>
      </c>
      <c r="G490" s="59" t="n"/>
      <c r="I490" s="28">
        <f>IF(AND(SUMIFS($D$245:$D$595,$F$245:$F$595,0,$E$245:$E$595,$G490,$C$245:$C$595,"&lt;="&amp;B$2)&lt;1000000,SUMIFS($D$245:$D$595,$F$245:$F$595,0,$E$245:$E$595,$G490,$C$245:$C$595,"&lt;="&amp;I5)&gt;=1000000),SUMIFS($D$245:$D$595,$F$245:$F$595,0,$E$245:$E$595,$G490)*$C$157 ,0)</f>
        <v/>
      </c>
      <c r="K490" s="95">
        <f>IF(AND(SUMIFS($D$245:$D$595,$F$245:$F$595,0,$E$245:$E$595,$G490,$C$245:$C$595,"&lt;="&amp;I$5)&lt;1000000,SUMIFS($D$245:$D$595,$F$245:$F$595,0,$E$245:$E$595,$G490,$C$245:$C$595,"&lt;="&amp;K5)&gt;=1000000),SUMIFS($D$245:$D$595,$F$245:$F$595,0,$E$245:$E$595,$G490)*$C$157 ,0)</f>
        <v/>
      </c>
      <c r="M490" s="95">
        <f>IF(AND(SUMIFS($D$245:$D$595,$F$245:$F$595,0,$E$245:$E$595,$G490,$C$245:$C$595,"&lt;="&amp;K$5)&lt;1000000,SUMIFS($D$245:$D$595,$F$245:$F$595,0,$E$245:$E$595,$G490,$C$245:$C$595,"&lt;="&amp;M5)&gt;=1000000),SUMIFS($D$245:$D$595,$F$245:$F$595,0,$E$245:$E$595,$G490)*$C$157 ,0)</f>
        <v/>
      </c>
      <c r="O490" s="95">
        <f>IF(AND(SUMIFS($D$245:$D$595,$F$245:$F$595,0,$E$245:$E$595,$G490,$C$245:$C$595,"&lt;="&amp;M$5)&lt;1000000,SUMIFS($D$245:$D$595,$F$245:$F$595,0,$E$245:$E$595,$G490,$C$245:$C$595,"&lt;="&amp;O5)&gt;=1000000),SUMIFS($D$245:$D$595,$F$245:$F$595,0,$E$245:$E$595,$G490)*$C$157 ,0)</f>
        <v/>
      </c>
      <c r="Q490" s="95">
        <f>IF(AND(SUMIFS($D$245:$D$595,$F$245:$F$595,0,$E$245:$E$595,$G490,$C$245:$C$595,"&lt;="&amp;O$5)&lt;1000000,SUMIFS($D$245:$D$595,$F$245:$F$595,0,$E$245:$E$595,$G490,$C$245:$C$595,"&lt;="&amp;Q5)&gt;=1000000),SUMIFS($D$245:$D$595,$F$245:$F$595,0,$E$245:$E$595,$G490)*$C$157 ,0)</f>
        <v/>
      </c>
      <c r="S490" s="95">
        <f>IF(AND(SUMIFS($D$245:$D$595,$F$245:$F$595,0,$E$245:$E$595,$G490,$C$245:$C$595,"&lt;="&amp;Q$5)&lt;1000000,SUMIFS($D$245:$D$595,$F$245:$F$595,0,$E$245:$E$595,$G490,$C$245:$C$595,"&lt;="&amp;S5)&gt;=1000000),SUMIFS($D$245:$D$595,$F$245:$F$595,0,$E$245:$E$595,$G490)*$C$157 ,0)</f>
        <v/>
      </c>
      <c r="U490" s="95">
        <f>IF(AND(SUMIFS($D$245:$D$595,$F$245:$F$595,0,$E$245:$E$595,$G490,$C$245:$C$595,"&lt;="&amp;S$5)&lt;1000000,SUMIFS($D$245:$D$595,$F$245:$F$595,0,$E$245:$E$595,$G490,$C$245:$C$595,"&lt;="&amp;U5)&gt;=1000000),SUMIFS($D$245:$D$595,$F$245:$F$595,0,$E$245:$E$595,$G490)*$C$157 ,0)</f>
        <v/>
      </c>
      <c r="W490" s="95">
        <f>IF(AND(SUMIFS($D$245:$D$595,$F$245:$F$595,0,$E$245:$E$595,$G490,$C$245:$C$595,"&lt;="&amp;U$5)&lt;1000000,SUMIFS($D$245:$D$595,$F$245:$F$595,0,$E$245:$E$595,$G490,$C$245:$C$595,"&lt;="&amp;W5)&gt;=1000000),SUMIFS($D$245:$D$595,$F$245:$F$595,0,$E$245:$E$595,$G490)*$C$157 ,0)</f>
        <v/>
      </c>
      <c r="Y490" s="95">
        <f>IF(AND(SUMIFS($D$245:$D$595,$F$245:$F$595,0,$E$245:$E$595,$G490,$C$245:$C$595,"&lt;="&amp;W$5)&lt;1000000,SUMIFS($D$245:$D$595,$F$245:$F$595,0,$E$245:$E$595,$G490,$C$245:$C$595,"&lt;="&amp;Y5)&gt;=1000000),SUMIFS($D$245:$D$595,$F$245:$F$595,0,$E$245:$E$595,$G490)*$C$157 ,0)</f>
        <v/>
      </c>
      <c r="AA490" s="95">
        <f>IF(AND(SUMIFS($D$245:$D$595,$F$245:$F$595,0,$E$245:$E$595,$G490,$C$245:$C$595,"&lt;="&amp;Y$5)&lt;1000000,SUMIFS($D$245:$D$595,$F$245:$F$595,0,$E$245:$E$595,$G490,$C$245:$C$595,"&lt;="&amp;AA5)&gt;=1000000),SUMIFS($D$245:$D$595,$F$245:$F$595,0,$E$245:$E$595,$G490)*$C$157 ,0)</f>
        <v/>
      </c>
      <c r="AC490" s="95">
        <f>IF(AND(SUMIFS($D$245:$D$595,$F$245:$F$595,0,$E$245:$E$595,$G490,$C$245:$C$595,"&lt;="&amp;AA$5)&lt;1000000,SUMIFS($D$245:$D$595,$F$245:$F$595,0,$E$245:$E$595,$G490,$C$245:$C$595,"&lt;="&amp;AC5)&gt;=1000000),SUMIFS($D$245:$D$595,$F$245:$F$595,0,$E$245:$E$595,$G490)*$C$157 ,0)</f>
        <v/>
      </c>
      <c r="AE490" s="95">
        <f>IF(AND(SUMIFS($D$245:$D$595,$F$245:$F$595,0,$E$245:$E$595,$G490,$C$245:$C$595,"&lt;="&amp;AC$5)&lt;1000000,SUMIFS($D$245:$D$595,$F$245:$F$595,0,$E$245:$E$595,$G490,$C$245:$C$595,"&lt;="&amp;AE5)&gt;=1000000),SUMIFS($D$245:$D$595,$F$245:$F$595,0,$E$245:$E$595,$G490)*$C$157 ,0)</f>
        <v/>
      </c>
      <c r="AF490" s="19" t="n"/>
    </row>
    <row r="491">
      <c r="A491" s="20">
        <f>mid(E491, 3, 1)</f>
        <v/>
      </c>
      <c r="B491" s="14" t="inlineStr"/>
      <c r="C491" s="21">
        <f>SUMIFS('Investor Exit List'!$AC:$AC,'Investor Exit List'!$AB:$AB,B491)</f>
        <v/>
      </c>
      <c r="D491" s="14">
        <f>SUMIFS('Investor Exit List'!$Q:$Q,'Investor Exit List'!$AB:$AB,B491)</f>
        <v/>
      </c>
      <c r="E491" s="31">
        <f>LEFT(B491,6)</f>
        <v/>
      </c>
      <c r="F491" s="14">
        <f>IF(SUMIFS($E$119:$E$151,$D$119:$D$151,E491)&lt;&gt;0,E491,0)</f>
        <v/>
      </c>
      <c r="G491" s="59" t="n"/>
      <c r="I491" s="28">
        <f>IF(AND(SUMIFS($D$245:$D$595,$F$245:$F$595,0,$E$245:$E$595,$G491,$C$245:$C$595,"&lt;="&amp;B$2)&lt;1000000,SUMIFS($D$245:$D$595,$F$245:$F$595,0,$E$245:$E$595,$G491,$C$245:$C$595,"&lt;="&amp;I5)&gt;=1000000),SUMIFS($D$245:$D$595,$F$245:$F$595,0,$E$245:$E$595,$G491)*$C$157 ,0)</f>
        <v/>
      </c>
      <c r="K491" s="95">
        <f>IF(AND(SUMIFS($D$245:$D$595,$F$245:$F$595,0,$E$245:$E$595,$G491,$C$245:$C$595,"&lt;="&amp;I$5)&lt;1000000,SUMIFS($D$245:$D$595,$F$245:$F$595,0,$E$245:$E$595,$G491,$C$245:$C$595,"&lt;="&amp;K5)&gt;=1000000),SUMIFS($D$245:$D$595,$F$245:$F$595,0,$E$245:$E$595,$G491)*$C$157 ,0)</f>
        <v/>
      </c>
      <c r="M491" s="95">
        <f>IF(AND(SUMIFS($D$245:$D$595,$F$245:$F$595,0,$E$245:$E$595,$G491,$C$245:$C$595,"&lt;="&amp;K$5)&lt;1000000,SUMIFS($D$245:$D$595,$F$245:$F$595,0,$E$245:$E$595,$G491,$C$245:$C$595,"&lt;="&amp;M5)&gt;=1000000),SUMIFS($D$245:$D$595,$F$245:$F$595,0,$E$245:$E$595,$G491)*$C$157 ,0)</f>
        <v/>
      </c>
      <c r="O491" s="95">
        <f>IF(AND(SUMIFS($D$245:$D$595,$F$245:$F$595,0,$E$245:$E$595,$G491,$C$245:$C$595,"&lt;="&amp;M$5)&lt;1000000,SUMIFS($D$245:$D$595,$F$245:$F$595,0,$E$245:$E$595,$G491,$C$245:$C$595,"&lt;="&amp;O5)&gt;=1000000),SUMIFS($D$245:$D$595,$F$245:$F$595,0,$E$245:$E$595,$G491)*$C$157 ,0)</f>
        <v/>
      </c>
      <c r="Q491" s="95">
        <f>IF(AND(SUMIFS($D$245:$D$595,$F$245:$F$595,0,$E$245:$E$595,$G491,$C$245:$C$595,"&lt;="&amp;O$5)&lt;1000000,SUMIFS($D$245:$D$595,$F$245:$F$595,0,$E$245:$E$595,$G491,$C$245:$C$595,"&lt;="&amp;Q5)&gt;=1000000),SUMIFS($D$245:$D$595,$F$245:$F$595,0,$E$245:$E$595,$G491)*$C$157 ,0)</f>
        <v/>
      </c>
      <c r="S491" s="95">
        <f>IF(AND(SUMIFS($D$245:$D$595,$F$245:$F$595,0,$E$245:$E$595,$G491,$C$245:$C$595,"&lt;="&amp;Q$5)&lt;1000000,SUMIFS($D$245:$D$595,$F$245:$F$595,0,$E$245:$E$595,$G491,$C$245:$C$595,"&lt;="&amp;S5)&gt;=1000000),SUMIFS($D$245:$D$595,$F$245:$F$595,0,$E$245:$E$595,$G491)*$C$157 ,0)</f>
        <v/>
      </c>
      <c r="U491" s="95">
        <f>IF(AND(SUMIFS($D$245:$D$595,$F$245:$F$595,0,$E$245:$E$595,$G491,$C$245:$C$595,"&lt;="&amp;S$5)&lt;1000000,SUMIFS($D$245:$D$595,$F$245:$F$595,0,$E$245:$E$595,$G491,$C$245:$C$595,"&lt;="&amp;U5)&gt;=1000000),SUMIFS($D$245:$D$595,$F$245:$F$595,0,$E$245:$E$595,$G491)*$C$157 ,0)</f>
        <v/>
      </c>
      <c r="W491" s="95">
        <f>IF(AND(SUMIFS($D$245:$D$595,$F$245:$F$595,0,$E$245:$E$595,$G491,$C$245:$C$595,"&lt;="&amp;U$5)&lt;1000000,SUMIFS($D$245:$D$595,$F$245:$F$595,0,$E$245:$E$595,$G491,$C$245:$C$595,"&lt;="&amp;W5)&gt;=1000000),SUMIFS($D$245:$D$595,$F$245:$F$595,0,$E$245:$E$595,$G491)*$C$157 ,0)</f>
        <v/>
      </c>
      <c r="Y491" s="95">
        <f>IF(AND(SUMIFS($D$245:$D$595,$F$245:$F$595,0,$E$245:$E$595,$G491,$C$245:$C$595,"&lt;="&amp;W$5)&lt;1000000,SUMIFS($D$245:$D$595,$F$245:$F$595,0,$E$245:$E$595,$G491,$C$245:$C$595,"&lt;="&amp;Y5)&gt;=1000000),SUMIFS($D$245:$D$595,$F$245:$F$595,0,$E$245:$E$595,$G491)*$C$157 ,0)</f>
        <v/>
      </c>
      <c r="AA491" s="95">
        <f>IF(AND(SUMIFS($D$245:$D$595,$F$245:$F$595,0,$E$245:$E$595,$G491,$C$245:$C$595,"&lt;="&amp;Y$5)&lt;1000000,SUMIFS($D$245:$D$595,$F$245:$F$595,0,$E$245:$E$595,$G491,$C$245:$C$595,"&lt;="&amp;AA5)&gt;=1000000),SUMIFS($D$245:$D$595,$F$245:$F$595,0,$E$245:$E$595,$G491)*$C$157 ,0)</f>
        <v/>
      </c>
      <c r="AC491" s="95">
        <f>IF(AND(SUMIFS($D$245:$D$595,$F$245:$F$595,0,$E$245:$E$595,$G491,$C$245:$C$595,"&lt;="&amp;AA$5)&lt;1000000,SUMIFS($D$245:$D$595,$F$245:$F$595,0,$E$245:$E$595,$G491,$C$245:$C$595,"&lt;="&amp;AC5)&gt;=1000000),SUMIFS($D$245:$D$595,$F$245:$F$595,0,$E$245:$E$595,$G491)*$C$157 ,0)</f>
        <v/>
      </c>
      <c r="AE491" s="95">
        <f>IF(AND(SUMIFS($D$245:$D$595,$F$245:$F$595,0,$E$245:$E$595,$G491,$C$245:$C$595,"&lt;="&amp;AC$5)&lt;1000000,SUMIFS($D$245:$D$595,$F$245:$F$595,0,$E$245:$E$595,$G491,$C$245:$C$595,"&lt;="&amp;AE5)&gt;=1000000),SUMIFS($D$245:$D$595,$F$245:$F$595,0,$E$245:$E$595,$G491)*$C$157 ,0)</f>
        <v/>
      </c>
      <c r="AF491" s="19" t="n"/>
    </row>
    <row r="492">
      <c r="A492" s="20">
        <f>mid(E492, 3, 1)</f>
        <v/>
      </c>
      <c r="B492" s="14" t="inlineStr"/>
      <c r="C492" s="21">
        <f>SUMIFS('Investor Exit List'!$AC:$AC,'Investor Exit List'!$AB:$AB,B492)</f>
        <v/>
      </c>
      <c r="D492" s="14">
        <f>SUMIFS('Investor Exit List'!$Q:$Q,'Investor Exit List'!$AB:$AB,B492)</f>
        <v/>
      </c>
      <c r="E492" s="31">
        <f>LEFT(B492,6)</f>
        <v/>
      </c>
      <c r="F492" s="14">
        <f>IF(SUMIFS($E$119:$E$151,$D$119:$D$151,E492)&lt;&gt;0,E492,0)</f>
        <v/>
      </c>
      <c r="G492" s="59" t="n"/>
      <c r="I492" s="28">
        <f>IF(AND(SUMIFS($D$245:$D$595,$F$245:$F$595,0,$E$245:$E$595,$G492,$C$245:$C$595,"&lt;="&amp;B$2)&lt;1000000,SUMIFS($D$245:$D$595,$F$245:$F$595,0,$E$245:$E$595,$G492,$C$245:$C$595,"&lt;="&amp;I5)&gt;=1000000),SUMIFS($D$245:$D$595,$F$245:$F$595,0,$E$245:$E$595,$G492)*$C$157 ,0)</f>
        <v/>
      </c>
      <c r="K492" s="95">
        <f>IF(AND(SUMIFS($D$245:$D$595,$F$245:$F$595,0,$E$245:$E$595,$G492,$C$245:$C$595,"&lt;="&amp;I$5)&lt;1000000,SUMIFS($D$245:$D$595,$F$245:$F$595,0,$E$245:$E$595,$G492,$C$245:$C$595,"&lt;="&amp;K5)&gt;=1000000),SUMIFS($D$245:$D$595,$F$245:$F$595,0,$E$245:$E$595,$G492)*$C$157 ,0)</f>
        <v/>
      </c>
      <c r="M492" s="95">
        <f>IF(AND(SUMIFS($D$245:$D$595,$F$245:$F$595,0,$E$245:$E$595,$G492,$C$245:$C$595,"&lt;="&amp;K$5)&lt;1000000,SUMIFS($D$245:$D$595,$F$245:$F$595,0,$E$245:$E$595,$G492,$C$245:$C$595,"&lt;="&amp;M5)&gt;=1000000),SUMIFS($D$245:$D$595,$F$245:$F$595,0,$E$245:$E$595,$G492)*$C$157 ,0)</f>
        <v/>
      </c>
      <c r="O492" s="95">
        <f>IF(AND(SUMIFS($D$245:$D$595,$F$245:$F$595,0,$E$245:$E$595,$G492,$C$245:$C$595,"&lt;="&amp;M$5)&lt;1000000,SUMIFS($D$245:$D$595,$F$245:$F$595,0,$E$245:$E$595,$G492,$C$245:$C$595,"&lt;="&amp;O5)&gt;=1000000),SUMIFS($D$245:$D$595,$F$245:$F$595,0,$E$245:$E$595,$G492)*$C$157 ,0)</f>
        <v/>
      </c>
      <c r="Q492" s="95">
        <f>IF(AND(SUMIFS($D$245:$D$595,$F$245:$F$595,0,$E$245:$E$595,$G492,$C$245:$C$595,"&lt;="&amp;O$5)&lt;1000000,SUMIFS($D$245:$D$595,$F$245:$F$595,0,$E$245:$E$595,$G492,$C$245:$C$595,"&lt;="&amp;Q5)&gt;=1000000),SUMIFS($D$245:$D$595,$F$245:$F$595,0,$E$245:$E$595,$G492)*$C$157 ,0)</f>
        <v/>
      </c>
      <c r="S492" s="95">
        <f>IF(AND(SUMIFS($D$245:$D$595,$F$245:$F$595,0,$E$245:$E$595,$G492,$C$245:$C$595,"&lt;="&amp;Q$5)&lt;1000000,SUMIFS($D$245:$D$595,$F$245:$F$595,0,$E$245:$E$595,$G492,$C$245:$C$595,"&lt;="&amp;S5)&gt;=1000000),SUMIFS($D$245:$D$595,$F$245:$F$595,0,$E$245:$E$595,$G492)*$C$157 ,0)</f>
        <v/>
      </c>
      <c r="U492" s="95">
        <f>IF(AND(SUMIFS($D$245:$D$595,$F$245:$F$595,0,$E$245:$E$595,$G492,$C$245:$C$595,"&lt;="&amp;S$5)&lt;1000000,SUMIFS($D$245:$D$595,$F$245:$F$595,0,$E$245:$E$595,$G492,$C$245:$C$595,"&lt;="&amp;U5)&gt;=1000000),SUMIFS($D$245:$D$595,$F$245:$F$595,0,$E$245:$E$595,$G492)*$C$157 ,0)</f>
        <v/>
      </c>
      <c r="W492" s="95">
        <f>IF(AND(SUMIFS($D$245:$D$595,$F$245:$F$595,0,$E$245:$E$595,$G492,$C$245:$C$595,"&lt;="&amp;U$5)&lt;1000000,SUMIFS($D$245:$D$595,$F$245:$F$595,0,$E$245:$E$595,$G492,$C$245:$C$595,"&lt;="&amp;W5)&gt;=1000000),SUMIFS($D$245:$D$595,$F$245:$F$595,0,$E$245:$E$595,$G492)*$C$157 ,0)</f>
        <v/>
      </c>
      <c r="Y492" s="95">
        <f>IF(AND(SUMIFS($D$245:$D$595,$F$245:$F$595,0,$E$245:$E$595,$G492,$C$245:$C$595,"&lt;="&amp;W$5)&lt;1000000,SUMIFS($D$245:$D$595,$F$245:$F$595,0,$E$245:$E$595,$G492,$C$245:$C$595,"&lt;="&amp;Y5)&gt;=1000000),SUMIFS($D$245:$D$595,$F$245:$F$595,0,$E$245:$E$595,$G492)*$C$157 ,0)</f>
        <v/>
      </c>
      <c r="AA492" s="95">
        <f>IF(AND(SUMIFS($D$245:$D$595,$F$245:$F$595,0,$E$245:$E$595,$G492,$C$245:$C$595,"&lt;="&amp;Y$5)&lt;1000000,SUMIFS($D$245:$D$595,$F$245:$F$595,0,$E$245:$E$595,$G492,$C$245:$C$595,"&lt;="&amp;AA5)&gt;=1000000),SUMIFS($D$245:$D$595,$F$245:$F$595,0,$E$245:$E$595,$G492)*$C$157 ,0)</f>
        <v/>
      </c>
      <c r="AC492" s="95">
        <f>IF(AND(SUMIFS($D$245:$D$595,$F$245:$F$595,0,$E$245:$E$595,$G492,$C$245:$C$595,"&lt;="&amp;AA$5)&lt;1000000,SUMIFS($D$245:$D$595,$F$245:$F$595,0,$E$245:$E$595,$G492,$C$245:$C$595,"&lt;="&amp;AC5)&gt;=1000000),SUMIFS($D$245:$D$595,$F$245:$F$595,0,$E$245:$E$595,$G492)*$C$157 ,0)</f>
        <v/>
      </c>
      <c r="AE492" s="95">
        <f>IF(AND(SUMIFS($D$245:$D$595,$F$245:$F$595,0,$E$245:$E$595,$G492,$C$245:$C$595,"&lt;="&amp;AC$5)&lt;1000000,SUMIFS($D$245:$D$595,$F$245:$F$595,0,$E$245:$E$595,$G492,$C$245:$C$595,"&lt;="&amp;AE5)&gt;=1000000),SUMIFS($D$245:$D$595,$F$245:$F$595,0,$E$245:$E$595,$G492)*$C$157 ,0)</f>
        <v/>
      </c>
      <c r="AF492" s="19" t="n"/>
    </row>
    <row r="493">
      <c r="A493" s="20">
        <f>mid(E493, 3, 1)</f>
        <v/>
      </c>
      <c r="B493" s="14" t="inlineStr"/>
      <c r="C493" s="21">
        <f>SUMIFS('Investor Exit List'!$AC:$AC,'Investor Exit List'!$AB:$AB,B493)</f>
        <v/>
      </c>
      <c r="D493" s="14">
        <f>SUMIFS('Investor Exit List'!$Q:$Q,'Investor Exit List'!$AB:$AB,B493)</f>
        <v/>
      </c>
      <c r="E493" s="31">
        <f>LEFT(B493,6)</f>
        <v/>
      </c>
      <c r="F493" s="14">
        <f>IF(SUMIFS($E$119:$E$151,$D$119:$D$151,E493)&lt;&gt;0,E493,0)</f>
        <v/>
      </c>
      <c r="G493" s="59" t="n"/>
      <c r="I493" s="28">
        <f>IF(AND(SUMIFS($D$245:$D$595,$F$245:$F$595,0,$E$245:$E$595,$G493,$C$245:$C$595,"&lt;="&amp;B$2)&lt;1000000,SUMIFS($D$245:$D$595,$F$245:$F$595,0,$E$245:$E$595,$G493,$C$245:$C$595,"&lt;="&amp;I5)&gt;=1000000),SUMIFS($D$245:$D$595,$F$245:$F$595,0,$E$245:$E$595,$G493)*$C$157 ,0)</f>
        <v/>
      </c>
      <c r="K493" s="95">
        <f>IF(AND(SUMIFS($D$245:$D$595,$F$245:$F$595,0,$E$245:$E$595,$G493,$C$245:$C$595,"&lt;="&amp;I$5)&lt;1000000,SUMIFS($D$245:$D$595,$F$245:$F$595,0,$E$245:$E$595,$G493,$C$245:$C$595,"&lt;="&amp;K5)&gt;=1000000),SUMIFS($D$245:$D$595,$F$245:$F$595,0,$E$245:$E$595,$G493)*$C$157 ,0)</f>
        <v/>
      </c>
      <c r="M493" s="95">
        <f>IF(AND(SUMIFS($D$245:$D$595,$F$245:$F$595,0,$E$245:$E$595,$G493,$C$245:$C$595,"&lt;="&amp;K$5)&lt;1000000,SUMIFS($D$245:$D$595,$F$245:$F$595,0,$E$245:$E$595,$G493,$C$245:$C$595,"&lt;="&amp;M5)&gt;=1000000),SUMIFS($D$245:$D$595,$F$245:$F$595,0,$E$245:$E$595,$G493)*$C$157 ,0)</f>
        <v/>
      </c>
      <c r="O493" s="95">
        <f>IF(AND(SUMIFS($D$245:$D$595,$F$245:$F$595,0,$E$245:$E$595,$G493,$C$245:$C$595,"&lt;="&amp;M$5)&lt;1000000,SUMIFS($D$245:$D$595,$F$245:$F$595,0,$E$245:$E$595,$G493,$C$245:$C$595,"&lt;="&amp;O5)&gt;=1000000),SUMIFS($D$245:$D$595,$F$245:$F$595,0,$E$245:$E$595,$G493)*$C$157 ,0)</f>
        <v/>
      </c>
      <c r="Q493" s="95">
        <f>IF(AND(SUMIFS($D$245:$D$595,$F$245:$F$595,0,$E$245:$E$595,$G493,$C$245:$C$595,"&lt;="&amp;O$5)&lt;1000000,SUMIFS($D$245:$D$595,$F$245:$F$595,0,$E$245:$E$595,$G493,$C$245:$C$595,"&lt;="&amp;Q5)&gt;=1000000),SUMIFS($D$245:$D$595,$F$245:$F$595,0,$E$245:$E$595,$G493)*$C$157 ,0)</f>
        <v/>
      </c>
      <c r="S493" s="95">
        <f>IF(AND(SUMIFS($D$245:$D$595,$F$245:$F$595,0,$E$245:$E$595,$G493,$C$245:$C$595,"&lt;="&amp;Q$5)&lt;1000000,SUMIFS($D$245:$D$595,$F$245:$F$595,0,$E$245:$E$595,$G493,$C$245:$C$595,"&lt;="&amp;S5)&gt;=1000000),SUMIFS($D$245:$D$595,$F$245:$F$595,0,$E$245:$E$595,$G493)*$C$157 ,0)</f>
        <v/>
      </c>
      <c r="U493" s="95">
        <f>IF(AND(SUMIFS($D$245:$D$595,$F$245:$F$595,0,$E$245:$E$595,$G493,$C$245:$C$595,"&lt;="&amp;S$5)&lt;1000000,SUMIFS($D$245:$D$595,$F$245:$F$595,0,$E$245:$E$595,$G493,$C$245:$C$595,"&lt;="&amp;U5)&gt;=1000000),SUMIFS($D$245:$D$595,$F$245:$F$595,0,$E$245:$E$595,$G493)*$C$157 ,0)</f>
        <v/>
      </c>
      <c r="W493" s="95">
        <f>IF(AND(SUMIFS($D$245:$D$595,$F$245:$F$595,0,$E$245:$E$595,$G493,$C$245:$C$595,"&lt;="&amp;U$5)&lt;1000000,SUMIFS($D$245:$D$595,$F$245:$F$595,0,$E$245:$E$595,$G493,$C$245:$C$595,"&lt;="&amp;W5)&gt;=1000000),SUMIFS($D$245:$D$595,$F$245:$F$595,0,$E$245:$E$595,$G493)*$C$157 ,0)</f>
        <v/>
      </c>
      <c r="Y493" s="95">
        <f>IF(AND(SUMIFS($D$245:$D$595,$F$245:$F$595,0,$E$245:$E$595,$G493,$C$245:$C$595,"&lt;="&amp;W$5)&lt;1000000,SUMIFS($D$245:$D$595,$F$245:$F$595,0,$E$245:$E$595,$G493,$C$245:$C$595,"&lt;="&amp;Y5)&gt;=1000000),SUMIFS($D$245:$D$595,$F$245:$F$595,0,$E$245:$E$595,$G493)*$C$157 ,0)</f>
        <v/>
      </c>
      <c r="AA493" s="95">
        <f>IF(AND(SUMIFS($D$245:$D$595,$F$245:$F$595,0,$E$245:$E$595,$G493,$C$245:$C$595,"&lt;="&amp;Y$5)&lt;1000000,SUMIFS($D$245:$D$595,$F$245:$F$595,0,$E$245:$E$595,$G493,$C$245:$C$595,"&lt;="&amp;AA5)&gt;=1000000),SUMIFS($D$245:$D$595,$F$245:$F$595,0,$E$245:$E$595,$G493)*$C$157 ,0)</f>
        <v/>
      </c>
      <c r="AC493" s="95">
        <f>IF(AND(SUMIFS($D$245:$D$595,$F$245:$F$595,0,$E$245:$E$595,$G493,$C$245:$C$595,"&lt;="&amp;AA$5)&lt;1000000,SUMIFS($D$245:$D$595,$F$245:$F$595,0,$E$245:$E$595,$G493,$C$245:$C$595,"&lt;="&amp;AC5)&gt;=1000000),SUMIFS($D$245:$D$595,$F$245:$F$595,0,$E$245:$E$595,$G493)*$C$157 ,0)</f>
        <v/>
      </c>
      <c r="AE493" s="95">
        <f>IF(AND(SUMIFS($D$245:$D$595,$F$245:$F$595,0,$E$245:$E$595,$G493,$C$245:$C$595,"&lt;="&amp;AC$5)&lt;1000000,SUMIFS($D$245:$D$595,$F$245:$F$595,0,$E$245:$E$595,$G493,$C$245:$C$595,"&lt;="&amp;AE5)&gt;=1000000),SUMIFS($D$245:$D$595,$F$245:$F$595,0,$E$245:$E$595,$G493)*$C$157 ,0)</f>
        <v/>
      </c>
      <c r="AF493" s="19" t="n"/>
    </row>
    <row r="494">
      <c r="A494" s="20">
        <f>mid(E494, 3, 1)</f>
        <v/>
      </c>
      <c r="B494" s="14" t="inlineStr"/>
      <c r="C494" s="21">
        <f>SUMIFS('Investor Exit List'!$AC:$AC,'Investor Exit List'!$AB:$AB,B494)</f>
        <v/>
      </c>
      <c r="D494" s="14">
        <f>SUMIFS('Investor Exit List'!$Q:$Q,'Investor Exit List'!$AB:$AB,B494)</f>
        <v/>
      </c>
      <c r="E494" s="31">
        <f>LEFT(B494,6)</f>
        <v/>
      </c>
      <c r="F494" s="14">
        <f>IF(SUMIFS($E$119:$E$151,$D$119:$D$151,E494)&lt;&gt;0,E494,0)</f>
        <v/>
      </c>
      <c r="G494" s="59" t="n"/>
      <c r="I494" s="28">
        <f>IF(AND(SUMIFS($D$245:$D$595,$F$245:$F$595,0,$E$245:$E$595,$G494,$C$245:$C$595,"&lt;="&amp;B$2)&lt;1000000,SUMIFS($D$245:$D$595,$F$245:$F$595,0,$E$245:$E$595,$G494,$C$245:$C$595,"&lt;="&amp;I5)&gt;=1000000),SUMIFS($D$245:$D$595,$F$245:$F$595,0,$E$245:$E$595,$G494)*$C$157 ,0)</f>
        <v/>
      </c>
      <c r="K494" s="95">
        <f>IF(AND(SUMIFS($D$245:$D$595,$F$245:$F$595,0,$E$245:$E$595,$G494,$C$245:$C$595,"&lt;="&amp;I$5)&lt;1000000,SUMIFS($D$245:$D$595,$F$245:$F$595,0,$E$245:$E$595,$G494,$C$245:$C$595,"&lt;="&amp;K5)&gt;=1000000),SUMIFS($D$245:$D$595,$F$245:$F$595,0,$E$245:$E$595,$G494)*$C$157 ,0)</f>
        <v/>
      </c>
      <c r="M494" s="95">
        <f>IF(AND(SUMIFS($D$245:$D$595,$F$245:$F$595,0,$E$245:$E$595,$G494,$C$245:$C$595,"&lt;="&amp;K$5)&lt;1000000,SUMIFS($D$245:$D$595,$F$245:$F$595,0,$E$245:$E$595,$G494,$C$245:$C$595,"&lt;="&amp;M5)&gt;=1000000),SUMIFS($D$245:$D$595,$F$245:$F$595,0,$E$245:$E$595,$G494)*$C$157 ,0)</f>
        <v/>
      </c>
      <c r="O494" s="95">
        <f>IF(AND(SUMIFS($D$245:$D$595,$F$245:$F$595,0,$E$245:$E$595,$G494,$C$245:$C$595,"&lt;="&amp;M$5)&lt;1000000,SUMIFS($D$245:$D$595,$F$245:$F$595,0,$E$245:$E$595,$G494,$C$245:$C$595,"&lt;="&amp;O5)&gt;=1000000),SUMIFS($D$245:$D$595,$F$245:$F$595,0,$E$245:$E$595,$G494)*$C$157 ,0)</f>
        <v/>
      </c>
      <c r="Q494" s="95">
        <f>IF(AND(SUMIFS($D$245:$D$595,$F$245:$F$595,0,$E$245:$E$595,$G494,$C$245:$C$595,"&lt;="&amp;O$5)&lt;1000000,SUMIFS($D$245:$D$595,$F$245:$F$595,0,$E$245:$E$595,$G494,$C$245:$C$595,"&lt;="&amp;Q5)&gt;=1000000),SUMIFS($D$245:$D$595,$F$245:$F$595,0,$E$245:$E$595,$G494)*$C$157 ,0)</f>
        <v/>
      </c>
      <c r="S494" s="95">
        <f>IF(AND(SUMIFS($D$245:$D$595,$F$245:$F$595,0,$E$245:$E$595,$G494,$C$245:$C$595,"&lt;="&amp;Q$5)&lt;1000000,SUMIFS($D$245:$D$595,$F$245:$F$595,0,$E$245:$E$595,$G494,$C$245:$C$595,"&lt;="&amp;S5)&gt;=1000000),SUMIFS($D$245:$D$595,$F$245:$F$595,0,$E$245:$E$595,$G494)*$C$157 ,0)</f>
        <v/>
      </c>
      <c r="U494" s="95">
        <f>IF(AND(SUMIFS($D$245:$D$595,$F$245:$F$595,0,$E$245:$E$595,$G494,$C$245:$C$595,"&lt;="&amp;S$5)&lt;1000000,SUMIFS($D$245:$D$595,$F$245:$F$595,0,$E$245:$E$595,$G494,$C$245:$C$595,"&lt;="&amp;U5)&gt;=1000000),SUMIFS($D$245:$D$595,$F$245:$F$595,0,$E$245:$E$595,$G494)*$C$157 ,0)</f>
        <v/>
      </c>
      <c r="W494" s="95">
        <f>IF(AND(SUMIFS($D$245:$D$595,$F$245:$F$595,0,$E$245:$E$595,$G494,$C$245:$C$595,"&lt;="&amp;U$5)&lt;1000000,SUMIFS($D$245:$D$595,$F$245:$F$595,0,$E$245:$E$595,$G494,$C$245:$C$595,"&lt;="&amp;W5)&gt;=1000000),SUMIFS($D$245:$D$595,$F$245:$F$595,0,$E$245:$E$595,$G494)*$C$157 ,0)</f>
        <v/>
      </c>
      <c r="Y494" s="95">
        <f>IF(AND(SUMIFS($D$245:$D$595,$F$245:$F$595,0,$E$245:$E$595,$G494,$C$245:$C$595,"&lt;="&amp;W$5)&lt;1000000,SUMIFS($D$245:$D$595,$F$245:$F$595,0,$E$245:$E$595,$G494,$C$245:$C$595,"&lt;="&amp;Y5)&gt;=1000000),SUMIFS($D$245:$D$595,$F$245:$F$595,0,$E$245:$E$595,$G494)*$C$157 ,0)</f>
        <v/>
      </c>
      <c r="AA494" s="95">
        <f>IF(AND(SUMIFS($D$245:$D$595,$F$245:$F$595,0,$E$245:$E$595,$G494,$C$245:$C$595,"&lt;="&amp;Y$5)&lt;1000000,SUMIFS($D$245:$D$595,$F$245:$F$595,0,$E$245:$E$595,$G494,$C$245:$C$595,"&lt;="&amp;AA5)&gt;=1000000),SUMIFS($D$245:$D$595,$F$245:$F$595,0,$E$245:$E$595,$G494)*$C$157 ,0)</f>
        <v/>
      </c>
      <c r="AC494" s="95">
        <f>IF(AND(SUMIFS($D$245:$D$595,$F$245:$F$595,0,$E$245:$E$595,$G494,$C$245:$C$595,"&lt;="&amp;AA$5)&lt;1000000,SUMIFS($D$245:$D$595,$F$245:$F$595,0,$E$245:$E$595,$G494,$C$245:$C$595,"&lt;="&amp;AC5)&gt;=1000000),SUMIFS($D$245:$D$595,$F$245:$F$595,0,$E$245:$E$595,$G494)*$C$157 ,0)</f>
        <v/>
      </c>
      <c r="AE494" s="95">
        <f>IF(AND(SUMIFS($D$245:$D$595,$F$245:$F$595,0,$E$245:$E$595,$G494,$C$245:$C$595,"&lt;="&amp;AC$5)&lt;1000000,SUMIFS($D$245:$D$595,$F$245:$F$595,0,$E$245:$E$595,$G494,$C$245:$C$595,"&lt;="&amp;AE5)&gt;=1000000),SUMIFS($D$245:$D$595,$F$245:$F$595,0,$E$245:$E$595,$G494)*$C$157 ,0)</f>
        <v/>
      </c>
      <c r="AF494" s="19" t="n"/>
    </row>
    <row r="495">
      <c r="A495" s="20">
        <f>mid(E495, 3, 1)</f>
        <v/>
      </c>
      <c r="B495" s="14" t="inlineStr"/>
      <c r="C495" s="21">
        <f>SUMIFS('Investor Exit List'!$AC:$AC,'Investor Exit List'!$AB:$AB,B495)</f>
        <v/>
      </c>
      <c r="D495" s="14">
        <f>SUMIFS('Investor Exit List'!$Q:$Q,'Investor Exit List'!$AB:$AB,B495)</f>
        <v/>
      </c>
      <c r="E495" s="31">
        <f>LEFT(B495,6)</f>
        <v/>
      </c>
      <c r="F495" s="14">
        <f>IF(SUMIFS($E$119:$E$151,$D$119:$D$151,E495)&lt;&gt;0,E495,0)</f>
        <v/>
      </c>
      <c r="G495" s="59" t="n"/>
      <c r="I495" s="28">
        <f>IF(AND(SUMIFS($D$245:$D$595,$F$245:$F$595,0,$E$245:$E$595,$G495,$C$245:$C$595,"&lt;="&amp;B$2)&lt;1000000,SUMIFS($D$245:$D$595,$F$245:$F$595,0,$E$245:$E$595,$G495,$C$245:$C$595,"&lt;="&amp;I5)&gt;=1000000),SUMIFS($D$245:$D$595,$F$245:$F$595,0,$E$245:$E$595,$G495)*$C$157 ,0)</f>
        <v/>
      </c>
      <c r="K495" s="95">
        <f>IF(AND(SUMIFS($D$245:$D$595,$F$245:$F$595,0,$E$245:$E$595,$G495,$C$245:$C$595,"&lt;="&amp;I$5)&lt;1000000,SUMIFS($D$245:$D$595,$F$245:$F$595,0,$E$245:$E$595,$G495,$C$245:$C$595,"&lt;="&amp;K5)&gt;=1000000),SUMIFS($D$245:$D$595,$F$245:$F$595,0,$E$245:$E$595,$G495)*$C$157 ,0)</f>
        <v/>
      </c>
      <c r="M495" s="95">
        <f>IF(AND(SUMIFS($D$245:$D$595,$F$245:$F$595,0,$E$245:$E$595,$G495,$C$245:$C$595,"&lt;="&amp;K$5)&lt;1000000,SUMIFS($D$245:$D$595,$F$245:$F$595,0,$E$245:$E$595,$G495,$C$245:$C$595,"&lt;="&amp;M5)&gt;=1000000),SUMIFS($D$245:$D$595,$F$245:$F$595,0,$E$245:$E$595,$G495)*$C$157 ,0)</f>
        <v/>
      </c>
      <c r="O495" s="95">
        <f>IF(AND(SUMIFS($D$245:$D$595,$F$245:$F$595,0,$E$245:$E$595,$G495,$C$245:$C$595,"&lt;="&amp;M$5)&lt;1000000,SUMIFS($D$245:$D$595,$F$245:$F$595,0,$E$245:$E$595,$G495,$C$245:$C$595,"&lt;="&amp;O5)&gt;=1000000),SUMIFS($D$245:$D$595,$F$245:$F$595,0,$E$245:$E$595,$G495)*$C$157 ,0)</f>
        <v/>
      </c>
      <c r="Q495" s="95">
        <f>IF(AND(SUMIFS($D$245:$D$595,$F$245:$F$595,0,$E$245:$E$595,$G495,$C$245:$C$595,"&lt;="&amp;O$5)&lt;1000000,SUMIFS($D$245:$D$595,$F$245:$F$595,0,$E$245:$E$595,$G495,$C$245:$C$595,"&lt;="&amp;Q5)&gt;=1000000),SUMIFS($D$245:$D$595,$F$245:$F$595,0,$E$245:$E$595,$G495)*$C$157 ,0)</f>
        <v/>
      </c>
      <c r="S495" s="95">
        <f>IF(AND(SUMIFS($D$245:$D$595,$F$245:$F$595,0,$E$245:$E$595,$G495,$C$245:$C$595,"&lt;="&amp;Q$5)&lt;1000000,SUMIFS($D$245:$D$595,$F$245:$F$595,0,$E$245:$E$595,$G495,$C$245:$C$595,"&lt;="&amp;S5)&gt;=1000000),SUMIFS($D$245:$D$595,$F$245:$F$595,0,$E$245:$E$595,$G495)*$C$157 ,0)</f>
        <v/>
      </c>
      <c r="U495" s="95">
        <f>IF(AND(SUMIFS($D$245:$D$595,$F$245:$F$595,0,$E$245:$E$595,$G495,$C$245:$C$595,"&lt;="&amp;S$5)&lt;1000000,SUMIFS($D$245:$D$595,$F$245:$F$595,0,$E$245:$E$595,$G495,$C$245:$C$595,"&lt;="&amp;U5)&gt;=1000000),SUMIFS($D$245:$D$595,$F$245:$F$595,0,$E$245:$E$595,$G495)*$C$157 ,0)</f>
        <v/>
      </c>
      <c r="W495" s="95">
        <f>IF(AND(SUMIFS($D$245:$D$595,$F$245:$F$595,0,$E$245:$E$595,$G495,$C$245:$C$595,"&lt;="&amp;U$5)&lt;1000000,SUMIFS($D$245:$D$595,$F$245:$F$595,0,$E$245:$E$595,$G495,$C$245:$C$595,"&lt;="&amp;W5)&gt;=1000000),SUMIFS($D$245:$D$595,$F$245:$F$595,0,$E$245:$E$595,$G495)*$C$157 ,0)</f>
        <v/>
      </c>
      <c r="Y495" s="95">
        <f>IF(AND(SUMIFS($D$245:$D$595,$F$245:$F$595,0,$E$245:$E$595,$G495,$C$245:$C$595,"&lt;="&amp;W$5)&lt;1000000,SUMIFS($D$245:$D$595,$F$245:$F$595,0,$E$245:$E$595,$G495,$C$245:$C$595,"&lt;="&amp;Y5)&gt;=1000000),SUMIFS($D$245:$D$595,$F$245:$F$595,0,$E$245:$E$595,$G495)*$C$157 ,0)</f>
        <v/>
      </c>
      <c r="AA495" s="95">
        <f>IF(AND(SUMIFS($D$245:$D$595,$F$245:$F$595,0,$E$245:$E$595,$G495,$C$245:$C$595,"&lt;="&amp;Y$5)&lt;1000000,SUMIFS($D$245:$D$595,$F$245:$F$595,0,$E$245:$E$595,$G495,$C$245:$C$595,"&lt;="&amp;AA5)&gt;=1000000),SUMIFS($D$245:$D$595,$F$245:$F$595,0,$E$245:$E$595,$G495)*$C$157 ,0)</f>
        <v/>
      </c>
      <c r="AC495" s="95">
        <f>IF(AND(SUMIFS($D$245:$D$595,$F$245:$F$595,0,$E$245:$E$595,$G495,$C$245:$C$595,"&lt;="&amp;AA$5)&lt;1000000,SUMIFS($D$245:$D$595,$F$245:$F$595,0,$E$245:$E$595,$G495,$C$245:$C$595,"&lt;="&amp;AC5)&gt;=1000000),SUMIFS($D$245:$D$595,$F$245:$F$595,0,$E$245:$E$595,$G495)*$C$157 ,0)</f>
        <v/>
      </c>
      <c r="AE495" s="95">
        <f>IF(AND(SUMIFS($D$245:$D$595,$F$245:$F$595,0,$E$245:$E$595,$G495,$C$245:$C$595,"&lt;="&amp;AC$5)&lt;1000000,SUMIFS($D$245:$D$595,$F$245:$F$595,0,$E$245:$E$595,$G495,$C$245:$C$595,"&lt;="&amp;AE5)&gt;=1000000),SUMIFS($D$245:$D$595,$F$245:$F$595,0,$E$245:$E$595,$G495)*$C$157 ,0)</f>
        <v/>
      </c>
      <c r="AF495" s="19" t="n"/>
    </row>
    <row r="496">
      <c r="A496" s="20">
        <f>mid(E496, 3, 1)</f>
        <v/>
      </c>
      <c r="B496" s="14" t="inlineStr"/>
      <c r="C496" s="21">
        <f>SUMIFS('Investor Exit List'!$AC:$AC,'Investor Exit List'!$AB:$AB,B496)</f>
        <v/>
      </c>
      <c r="D496" s="14">
        <f>SUMIFS('Investor Exit List'!$Q:$Q,'Investor Exit List'!$AB:$AB,B496)</f>
        <v/>
      </c>
      <c r="E496" s="31">
        <f>LEFT(B496,6)</f>
        <v/>
      </c>
      <c r="F496" s="14">
        <f>IF(SUMIFS($E$119:$E$151,$D$119:$D$151,E496)&lt;&gt;0,E496,0)</f>
        <v/>
      </c>
      <c r="G496" s="59" t="n"/>
      <c r="I496" s="28">
        <f>IF(AND(SUMIFS($D$245:$D$595,$F$245:$F$595,0,$E$245:$E$595,$G496,$C$245:$C$595,"&lt;="&amp;B$2)&lt;1000000,SUMIFS($D$245:$D$595,$F$245:$F$595,0,$E$245:$E$595,$G496,$C$245:$C$595,"&lt;="&amp;I5)&gt;=1000000),SUMIFS($D$245:$D$595,$F$245:$F$595,0,$E$245:$E$595,$G496)*$C$157 ,0)</f>
        <v/>
      </c>
      <c r="K496" s="95">
        <f>IF(AND(SUMIFS($D$245:$D$595,$F$245:$F$595,0,$E$245:$E$595,$G496,$C$245:$C$595,"&lt;="&amp;I$5)&lt;1000000,SUMIFS($D$245:$D$595,$F$245:$F$595,0,$E$245:$E$595,$G496,$C$245:$C$595,"&lt;="&amp;K5)&gt;=1000000),SUMIFS($D$245:$D$595,$F$245:$F$595,0,$E$245:$E$595,$G496)*$C$157 ,0)</f>
        <v/>
      </c>
      <c r="M496" s="95">
        <f>IF(AND(SUMIFS($D$245:$D$595,$F$245:$F$595,0,$E$245:$E$595,$G496,$C$245:$C$595,"&lt;="&amp;K$5)&lt;1000000,SUMIFS($D$245:$D$595,$F$245:$F$595,0,$E$245:$E$595,$G496,$C$245:$C$595,"&lt;="&amp;M5)&gt;=1000000),SUMIFS($D$245:$D$595,$F$245:$F$595,0,$E$245:$E$595,$G496)*$C$157 ,0)</f>
        <v/>
      </c>
      <c r="O496" s="95">
        <f>IF(AND(SUMIFS($D$245:$D$595,$F$245:$F$595,0,$E$245:$E$595,$G496,$C$245:$C$595,"&lt;="&amp;M$5)&lt;1000000,SUMIFS($D$245:$D$595,$F$245:$F$595,0,$E$245:$E$595,$G496,$C$245:$C$595,"&lt;="&amp;O5)&gt;=1000000),SUMIFS($D$245:$D$595,$F$245:$F$595,0,$E$245:$E$595,$G496)*$C$157 ,0)</f>
        <v/>
      </c>
      <c r="Q496" s="95">
        <f>IF(AND(SUMIFS($D$245:$D$595,$F$245:$F$595,0,$E$245:$E$595,$G496,$C$245:$C$595,"&lt;="&amp;O$5)&lt;1000000,SUMIFS($D$245:$D$595,$F$245:$F$595,0,$E$245:$E$595,$G496,$C$245:$C$595,"&lt;="&amp;Q5)&gt;=1000000),SUMIFS($D$245:$D$595,$F$245:$F$595,0,$E$245:$E$595,$G496)*$C$157 ,0)</f>
        <v/>
      </c>
      <c r="S496" s="95">
        <f>IF(AND(SUMIFS($D$245:$D$595,$F$245:$F$595,0,$E$245:$E$595,$G496,$C$245:$C$595,"&lt;="&amp;Q$5)&lt;1000000,SUMIFS($D$245:$D$595,$F$245:$F$595,0,$E$245:$E$595,$G496,$C$245:$C$595,"&lt;="&amp;S5)&gt;=1000000),SUMIFS($D$245:$D$595,$F$245:$F$595,0,$E$245:$E$595,$G496)*$C$157 ,0)</f>
        <v/>
      </c>
      <c r="U496" s="95">
        <f>IF(AND(SUMIFS($D$245:$D$595,$F$245:$F$595,0,$E$245:$E$595,$G496,$C$245:$C$595,"&lt;="&amp;S$5)&lt;1000000,SUMIFS($D$245:$D$595,$F$245:$F$595,0,$E$245:$E$595,$G496,$C$245:$C$595,"&lt;="&amp;U5)&gt;=1000000),SUMIFS($D$245:$D$595,$F$245:$F$595,0,$E$245:$E$595,$G496)*$C$157 ,0)</f>
        <v/>
      </c>
      <c r="W496" s="95">
        <f>IF(AND(SUMIFS($D$245:$D$595,$F$245:$F$595,0,$E$245:$E$595,$G496,$C$245:$C$595,"&lt;="&amp;U$5)&lt;1000000,SUMIFS($D$245:$D$595,$F$245:$F$595,0,$E$245:$E$595,$G496,$C$245:$C$595,"&lt;="&amp;W5)&gt;=1000000),SUMIFS($D$245:$D$595,$F$245:$F$595,0,$E$245:$E$595,$G496)*$C$157 ,0)</f>
        <v/>
      </c>
      <c r="Y496" s="95">
        <f>IF(AND(SUMIFS($D$245:$D$595,$F$245:$F$595,0,$E$245:$E$595,$G496,$C$245:$C$595,"&lt;="&amp;W$5)&lt;1000000,SUMIFS($D$245:$D$595,$F$245:$F$595,0,$E$245:$E$595,$G496,$C$245:$C$595,"&lt;="&amp;Y5)&gt;=1000000),SUMIFS($D$245:$D$595,$F$245:$F$595,0,$E$245:$E$595,$G496)*$C$157 ,0)</f>
        <v/>
      </c>
      <c r="AA496" s="95">
        <f>IF(AND(SUMIFS($D$245:$D$595,$F$245:$F$595,0,$E$245:$E$595,$G496,$C$245:$C$595,"&lt;="&amp;Y$5)&lt;1000000,SUMIFS($D$245:$D$595,$F$245:$F$595,0,$E$245:$E$595,$G496,$C$245:$C$595,"&lt;="&amp;AA5)&gt;=1000000),SUMIFS($D$245:$D$595,$F$245:$F$595,0,$E$245:$E$595,$G496)*$C$157 ,0)</f>
        <v/>
      </c>
      <c r="AC496" s="95">
        <f>IF(AND(SUMIFS($D$245:$D$595,$F$245:$F$595,0,$E$245:$E$595,$G496,$C$245:$C$595,"&lt;="&amp;AA$5)&lt;1000000,SUMIFS($D$245:$D$595,$F$245:$F$595,0,$E$245:$E$595,$G496,$C$245:$C$595,"&lt;="&amp;AC5)&gt;=1000000),SUMIFS($D$245:$D$595,$F$245:$F$595,0,$E$245:$E$595,$G496)*$C$157 ,0)</f>
        <v/>
      </c>
      <c r="AE496" s="95">
        <f>IF(AND(SUMIFS($D$245:$D$595,$F$245:$F$595,0,$E$245:$E$595,$G496,$C$245:$C$595,"&lt;="&amp;AC$5)&lt;1000000,SUMIFS($D$245:$D$595,$F$245:$F$595,0,$E$245:$E$595,$G496,$C$245:$C$595,"&lt;="&amp;AE5)&gt;=1000000),SUMIFS($D$245:$D$595,$F$245:$F$595,0,$E$245:$E$595,$G496)*$C$157 ,0)</f>
        <v/>
      </c>
      <c r="AF496" s="19" t="n"/>
    </row>
    <row r="497">
      <c r="A497" s="20">
        <f>mid(E497, 3, 1)</f>
        <v/>
      </c>
      <c r="B497" s="14" t="inlineStr"/>
      <c r="C497" s="21">
        <f>SUMIFS('Investor Exit List'!$AC:$AC,'Investor Exit List'!$AB:$AB,B497)</f>
        <v/>
      </c>
      <c r="D497" s="14">
        <f>SUMIFS('Investor Exit List'!$Q:$Q,'Investor Exit List'!$AB:$AB,B497)</f>
        <v/>
      </c>
      <c r="E497" s="31">
        <f>LEFT(B497,6)</f>
        <v/>
      </c>
      <c r="F497" s="14">
        <f>IF(SUMIFS($E$119:$E$151,$D$119:$D$151,E497)&lt;&gt;0,E497,0)</f>
        <v/>
      </c>
      <c r="G497" s="59" t="n"/>
      <c r="I497" s="28">
        <f>IF(AND(SUMIFS($D$245:$D$595,$F$245:$F$595,0,$E$245:$E$595,$G497,$C$245:$C$595,"&lt;="&amp;B$2)&lt;1000000,SUMIFS($D$245:$D$595,$F$245:$F$595,0,$E$245:$E$595,$G497,$C$245:$C$595,"&lt;="&amp;I5)&gt;=1000000),SUMIFS($D$245:$D$595,$F$245:$F$595,0,$E$245:$E$595,$G497)*$C$157 ,0)</f>
        <v/>
      </c>
      <c r="K497" s="95">
        <f>IF(AND(SUMIFS($D$245:$D$595,$F$245:$F$595,0,$E$245:$E$595,$G497,$C$245:$C$595,"&lt;="&amp;I$5)&lt;1000000,SUMIFS($D$245:$D$595,$F$245:$F$595,0,$E$245:$E$595,$G497,$C$245:$C$595,"&lt;="&amp;K5)&gt;=1000000),SUMIFS($D$245:$D$595,$F$245:$F$595,0,$E$245:$E$595,$G497)*$C$157 ,0)</f>
        <v/>
      </c>
      <c r="M497" s="95">
        <f>IF(AND(SUMIFS($D$245:$D$595,$F$245:$F$595,0,$E$245:$E$595,$G497,$C$245:$C$595,"&lt;="&amp;K$5)&lt;1000000,SUMIFS($D$245:$D$595,$F$245:$F$595,0,$E$245:$E$595,$G497,$C$245:$C$595,"&lt;="&amp;M5)&gt;=1000000),SUMIFS($D$245:$D$595,$F$245:$F$595,0,$E$245:$E$595,$G497)*$C$157 ,0)</f>
        <v/>
      </c>
      <c r="O497" s="95">
        <f>IF(AND(SUMIFS($D$245:$D$595,$F$245:$F$595,0,$E$245:$E$595,$G497,$C$245:$C$595,"&lt;="&amp;M$5)&lt;1000000,SUMIFS($D$245:$D$595,$F$245:$F$595,0,$E$245:$E$595,$G497,$C$245:$C$595,"&lt;="&amp;O5)&gt;=1000000),SUMIFS($D$245:$D$595,$F$245:$F$595,0,$E$245:$E$595,$G497)*$C$157 ,0)</f>
        <v/>
      </c>
      <c r="Q497" s="95">
        <f>IF(AND(SUMIFS($D$245:$D$595,$F$245:$F$595,0,$E$245:$E$595,$G497,$C$245:$C$595,"&lt;="&amp;O$5)&lt;1000000,SUMIFS($D$245:$D$595,$F$245:$F$595,0,$E$245:$E$595,$G497,$C$245:$C$595,"&lt;="&amp;Q5)&gt;=1000000),SUMIFS($D$245:$D$595,$F$245:$F$595,0,$E$245:$E$595,$G497)*$C$157 ,0)</f>
        <v/>
      </c>
      <c r="S497" s="95">
        <f>IF(AND(SUMIFS($D$245:$D$595,$F$245:$F$595,0,$E$245:$E$595,$G497,$C$245:$C$595,"&lt;="&amp;Q$5)&lt;1000000,SUMIFS($D$245:$D$595,$F$245:$F$595,0,$E$245:$E$595,$G497,$C$245:$C$595,"&lt;="&amp;S5)&gt;=1000000),SUMIFS($D$245:$D$595,$F$245:$F$595,0,$E$245:$E$595,$G497)*$C$157 ,0)</f>
        <v/>
      </c>
      <c r="U497" s="95">
        <f>IF(AND(SUMIFS($D$245:$D$595,$F$245:$F$595,0,$E$245:$E$595,$G497,$C$245:$C$595,"&lt;="&amp;S$5)&lt;1000000,SUMIFS($D$245:$D$595,$F$245:$F$595,0,$E$245:$E$595,$G497,$C$245:$C$595,"&lt;="&amp;U5)&gt;=1000000),SUMIFS($D$245:$D$595,$F$245:$F$595,0,$E$245:$E$595,$G497)*$C$157 ,0)</f>
        <v/>
      </c>
      <c r="W497" s="95">
        <f>IF(AND(SUMIFS($D$245:$D$595,$F$245:$F$595,0,$E$245:$E$595,$G497,$C$245:$C$595,"&lt;="&amp;U$5)&lt;1000000,SUMIFS($D$245:$D$595,$F$245:$F$595,0,$E$245:$E$595,$G497,$C$245:$C$595,"&lt;="&amp;W5)&gt;=1000000),SUMIFS($D$245:$D$595,$F$245:$F$595,0,$E$245:$E$595,$G497)*$C$157 ,0)</f>
        <v/>
      </c>
      <c r="Y497" s="95">
        <f>IF(AND(SUMIFS($D$245:$D$595,$F$245:$F$595,0,$E$245:$E$595,$G497,$C$245:$C$595,"&lt;="&amp;W$5)&lt;1000000,SUMIFS($D$245:$D$595,$F$245:$F$595,0,$E$245:$E$595,$G497,$C$245:$C$595,"&lt;="&amp;Y5)&gt;=1000000),SUMIFS($D$245:$D$595,$F$245:$F$595,0,$E$245:$E$595,$G497)*$C$157 ,0)</f>
        <v/>
      </c>
      <c r="AA497" s="95">
        <f>IF(AND(SUMIFS($D$245:$D$595,$F$245:$F$595,0,$E$245:$E$595,$G497,$C$245:$C$595,"&lt;="&amp;Y$5)&lt;1000000,SUMIFS($D$245:$D$595,$F$245:$F$595,0,$E$245:$E$595,$G497,$C$245:$C$595,"&lt;="&amp;AA5)&gt;=1000000),SUMIFS($D$245:$D$595,$F$245:$F$595,0,$E$245:$E$595,$G497)*$C$157 ,0)</f>
        <v/>
      </c>
      <c r="AC497" s="95">
        <f>IF(AND(SUMIFS($D$245:$D$595,$F$245:$F$595,0,$E$245:$E$595,$G497,$C$245:$C$595,"&lt;="&amp;AA$5)&lt;1000000,SUMIFS($D$245:$D$595,$F$245:$F$595,0,$E$245:$E$595,$G497,$C$245:$C$595,"&lt;="&amp;AC5)&gt;=1000000),SUMIFS($D$245:$D$595,$F$245:$F$595,0,$E$245:$E$595,$G497)*$C$157 ,0)</f>
        <v/>
      </c>
      <c r="AE497" s="95">
        <f>IF(AND(SUMIFS($D$245:$D$595,$F$245:$F$595,0,$E$245:$E$595,$G497,$C$245:$C$595,"&lt;="&amp;AC$5)&lt;1000000,SUMIFS($D$245:$D$595,$F$245:$F$595,0,$E$245:$E$595,$G497,$C$245:$C$595,"&lt;="&amp;AE5)&gt;=1000000),SUMIFS($D$245:$D$595,$F$245:$F$595,0,$E$245:$E$595,$G497)*$C$157 ,0)</f>
        <v/>
      </c>
      <c r="AF497" s="19" t="n"/>
    </row>
    <row r="498">
      <c r="A498" s="20">
        <f>mid(E498, 3, 1)</f>
        <v/>
      </c>
      <c r="B498" s="14" t="inlineStr"/>
      <c r="C498" s="21">
        <f>SUMIFS('Investor Exit List'!$AC:$AC,'Investor Exit List'!$AB:$AB,B498)</f>
        <v/>
      </c>
      <c r="D498" s="14">
        <f>SUMIFS('Investor Exit List'!$Q:$Q,'Investor Exit List'!$AB:$AB,B498)</f>
        <v/>
      </c>
      <c r="E498" s="31">
        <f>LEFT(B498,6)</f>
        <v/>
      </c>
      <c r="F498" s="14">
        <f>IF(SUMIFS($E$119:$E$151,$D$119:$D$151,E498)&lt;&gt;0,E498,0)</f>
        <v/>
      </c>
      <c r="G498" s="59" t="n"/>
      <c r="I498" s="28">
        <f>IF(AND(SUMIFS($D$245:$D$595,$F$245:$F$595,0,$E$245:$E$595,$G498,$C$245:$C$595,"&lt;="&amp;B$2)&lt;1000000,SUMIFS($D$245:$D$595,$F$245:$F$595,0,$E$245:$E$595,$G498,$C$245:$C$595,"&lt;="&amp;I5)&gt;=1000000),SUMIFS($D$245:$D$595,$F$245:$F$595,0,$E$245:$E$595,$G498)*$C$157 ,0)</f>
        <v/>
      </c>
      <c r="K498" s="95">
        <f>IF(AND(SUMIFS($D$245:$D$595,$F$245:$F$595,0,$E$245:$E$595,$G498,$C$245:$C$595,"&lt;="&amp;I$5)&lt;1000000,SUMIFS($D$245:$D$595,$F$245:$F$595,0,$E$245:$E$595,$G498,$C$245:$C$595,"&lt;="&amp;K5)&gt;=1000000),SUMIFS($D$245:$D$595,$F$245:$F$595,0,$E$245:$E$595,$G498)*$C$157 ,0)</f>
        <v/>
      </c>
      <c r="M498" s="95">
        <f>IF(AND(SUMIFS($D$245:$D$595,$F$245:$F$595,0,$E$245:$E$595,$G498,$C$245:$C$595,"&lt;="&amp;K$5)&lt;1000000,SUMIFS($D$245:$D$595,$F$245:$F$595,0,$E$245:$E$595,$G498,$C$245:$C$595,"&lt;="&amp;M5)&gt;=1000000),SUMIFS($D$245:$D$595,$F$245:$F$595,0,$E$245:$E$595,$G498)*$C$157 ,0)</f>
        <v/>
      </c>
      <c r="O498" s="95">
        <f>IF(AND(SUMIFS($D$245:$D$595,$F$245:$F$595,0,$E$245:$E$595,$G498,$C$245:$C$595,"&lt;="&amp;M$5)&lt;1000000,SUMIFS($D$245:$D$595,$F$245:$F$595,0,$E$245:$E$595,$G498,$C$245:$C$595,"&lt;="&amp;O5)&gt;=1000000),SUMIFS($D$245:$D$595,$F$245:$F$595,0,$E$245:$E$595,$G498)*$C$157 ,0)</f>
        <v/>
      </c>
      <c r="Q498" s="95">
        <f>IF(AND(SUMIFS($D$245:$D$595,$F$245:$F$595,0,$E$245:$E$595,$G498,$C$245:$C$595,"&lt;="&amp;O$5)&lt;1000000,SUMIFS($D$245:$D$595,$F$245:$F$595,0,$E$245:$E$595,$G498,$C$245:$C$595,"&lt;="&amp;Q5)&gt;=1000000),SUMIFS($D$245:$D$595,$F$245:$F$595,0,$E$245:$E$595,$G498)*$C$157 ,0)</f>
        <v/>
      </c>
      <c r="S498" s="95">
        <f>IF(AND(SUMIFS($D$245:$D$595,$F$245:$F$595,0,$E$245:$E$595,$G498,$C$245:$C$595,"&lt;="&amp;Q$5)&lt;1000000,SUMIFS($D$245:$D$595,$F$245:$F$595,0,$E$245:$E$595,$G498,$C$245:$C$595,"&lt;="&amp;S5)&gt;=1000000),SUMIFS($D$245:$D$595,$F$245:$F$595,0,$E$245:$E$595,$G498)*$C$157 ,0)</f>
        <v/>
      </c>
      <c r="U498" s="95">
        <f>IF(AND(SUMIFS($D$245:$D$595,$F$245:$F$595,0,$E$245:$E$595,$G498,$C$245:$C$595,"&lt;="&amp;S$5)&lt;1000000,SUMIFS($D$245:$D$595,$F$245:$F$595,0,$E$245:$E$595,$G498,$C$245:$C$595,"&lt;="&amp;U5)&gt;=1000000),SUMIFS($D$245:$D$595,$F$245:$F$595,0,$E$245:$E$595,$G498)*$C$157 ,0)</f>
        <v/>
      </c>
      <c r="W498" s="95">
        <f>IF(AND(SUMIFS($D$245:$D$595,$F$245:$F$595,0,$E$245:$E$595,$G498,$C$245:$C$595,"&lt;="&amp;U$5)&lt;1000000,SUMIFS($D$245:$D$595,$F$245:$F$595,0,$E$245:$E$595,$G498,$C$245:$C$595,"&lt;="&amp;W5)&gt;=1000000),SUMIFS($D$245:$D$595,$F$245:$F$595,0,$E$245:$E$595,$G498)*$C$157 ,0)</f>
        <v/>
      </c>
      <c r="Y498" s="95">
        <f>IF(AND(SUMIFS($D$245:$D$595,$F$245:$F$595,0,$E$245:$E$595,$G498,$C$245:$C$595,"&lt;="&amp;W$5)&lt;1000000,SUMIFS($D$245:$D$595,$F$245:$F$595,0,$E$245:$E$595,$G498,$C$245:$C$595,"&lt;="&amp;Y5)&gt;=1000000),SUMIFS($D$245:$D$595,$F$245:$F$595,0,$E$245:$E$595,$G498)*$C$157 ,0)</f>
        <v/>
      </c>
      <c r="AA498" s="95">
        <f>IF(AND(SUMIFS($D$245:$D$595,$F$245:$F$595,0,$E$245:$E$595,$G498,$C$245:$C$595,"&lt;="&amp;Y$5)&lt;1000000,SUMIFS($D$245:$D$595,$F$245:$F$595,0,$E$245:$E$595,$G498,$C$245:$C$595,"&lt;="&amp;AA5)&gt;=1000000),SUMIFS($D$245:$D$595,$F$245:$F$595,0,$E$245:$E$595,$G498)*$C$157 ,0)</f>
        <v/>
      </c>
      <c r="AC498" s="95">
        <f>IF(AND(SUMIFS($D$245:$D$595,$F$245:$F$595,0,$E$245:$E$595,$G498,$C$245:$C$595,"&lt;="&amp;AA$5)&lt;1000000,SUMIFS($D$245:$D$595,$F$245:$F$595,0,$E$245:$E$595,$G498,$C$245:$C$595,"&lt;="&amp;AC5)&gt;=1000000),SUMIFS($D$245:$D$595,$F$245:$F$595,0,$E$245:$E$595,$G498)*$C$157 ,0)</f>
        <v/>
      </c>
      <c r="AE498" s="95">
        <f>IF(AND(SUMIFS($D$245:$D$595,$F$245:$F$595,0,$E$245:$E$595,$G498,$C$245:$C$595,"&lt;="&amp;AC$5)&lt;1000000,SUMIFS($D$245:$D$595,$F$245:$F$595,0,$E$245:$E$595,$G498,$C$245:$C$595,"&lt;="&amp;AE5)&gt;=1000000),SUMIFS($D$245:$D$595,$F$245:$F$595,0,$E$245:$E$595,$G498)*$C$157 ,0)</f>
        <v/>
      </c>
      <c r="AF498" s="19" t="n"/>
    </row>
    <row r="499">
      <c r="A499" s="20">
        <f>mid(E499, 3, 1)</f>
        <v/>
      </c>
      <c r="B499" s="14" t="inlineStr"/>
      <c r="C499" s="21">
        <f>SUMIFS('Investor Exit List'!$AC:$AC,'Investor Exit List'!$AB:$AB,B499)</f>
        <v/>
      </c>
      <c r="D499" s="14">
        <f>SUMIFS('Investor Exit List'!$Q:$Q,'Investor Exit List'!$AB:$AB,B499)</f>
        <v/>
      </c>
      <c r="E499" s="31">
        <f>LEFT(B499,6)</f>
        <v/>
      </c>
      <c r="F499" s="14">
        <f>IF(SUMIFS($E$119:$E$151,$D$119:$D$151,E499)&lt;&gt;0,E499,0)</f>
        <v/>
      </c>
      <c r="G499" s="59" t="n"/>
      <c r="I499" s="28">
        <f>IF(AND(SUMIFS($D$245:$D$595,$F$245:$F$595,0,$E$245:$E$595,$G499,$C$245:$C$595,"&lt;="&amp;B$2)&lt;1000000,SUMIFS($D$245:$D$595,$F$245:$F$595,0,$E$245:$E$595,$G499,$C$245:$C$595,"&lt;="&amp;I5)&gt;=1000000),SUMIFS($D$245:$D$595,$F$245:$F$595,0,$E$245:$E$595,$G499)*$C$157 ,0)</f>
        <v/>
      </c>
      <c r="K499" s="95">
        <f>IF(AND(SUMIFS($D$245:$D$595,$F$245:$F$595,0,$E$245:$E$595,$G499,$C$245:$C$595,"&lt;="&amp;I$5)&lt;1000000,SUMIFS($D$245:$D$595,$F$245:$F$595,0,$E$245:$E$595,$G499,$C$245:$C$595,"&lt;="&amp;K5)&gt;=1000000),SUMIFS($D$245:$D$595,$F$245:$F$595,0,$E$245:$E$595,$G499)*$C$157 ,0)</f>
        <v/>
      </c>
      <c r="M499" s="95">
        <f>IF(AND(SUMIFS($D$245:$D$595,$F$245:$F$595,0,$E$245:$E$595,$G499,$C$245:$C$595,"&lt;="&amp;K$5)&lt;1000000,SUMIFS($D$245:$D$595,$F$245:$F$595,0,$E$245:$E$595,$G499,$C$245:$C$595,"&lt;="&amp;M5)&gt;=1000000),SUMIFS($D$245:$D$595,$F$245:$F$595,0,$E$245:$E$595,$G499)*$C$157 ,0)</f>
        <v/>
      </c>
      <c r="O499" s="95">
        <f>IF(AND(SUMIFS($D$245:$D$595,$F$245:$F$595,0,$E$245:$E$595,$G499,$C$245:$C$595,"&lt;="&amp;M$5)&lt;1000000,SUMIFS($D$245:$D$595,$F$245:$F$595,0,$E$245:$E$595,$G499,$C$245:$C$595,"&lt;="&amp;O5)&gt;=1000000),SUMIFS($D$245:$D$595,$F$245:$F$595,0,$E$245:$E$595,$G499)*$C$157 ,0)</f>
        <v/>
      </c>
      <c r="Q499" s="95">
        <f>IF(AND(SUMIFS($D$245:$D$595,$F$245:$F$595,0,$E$245:$E$595,$G499,$C$245:$C$595,"&lt;="&amp;O$5)&lt;1000000,SUMIFS($D$245:$D$595,$F$245:$F$595,0,$E$245:$E$595,$G499,$C$245:$C$595,"&lt;="&amp;Q5)&gt;=1000000),SUMIFS($D$245:$D$595,$F$245:$F$595,0,$E$245:$E$595,$G499)*$C$157 ,0)</f>
        <v/>
      </c>
      <c r="S499" s="95">
        <f>IF(AND(SUMIFS($D$245:$D$595,$F$245:$F$595,0,$E$245:$E$595,$G499,$C$245:$C$595,"&lt;="&amp;Q$5)&lt;1000000,SUMIFS($D$245:$D$595,$F$245:$F$595,0,$E$245:$E$595,$G499,$C$245:$C$595,"&lt;="&amp;S5)&gt;=1000000),SUMIFS($D$245:$D$595,$F$245:$F$595,0,$E$245:$E$595,$G499)*$C$157 ,0)</f>
        <v/>
      </c>
      <c r="U499" s="95">
        <f>IF(AND(SUMIFS($D$245:$D$595,$F$245:$F$595,0,$E$245:$E$595,$G499,$C$245:$C$595,"&lt;="&amp;S$5)&lt;1000000,SUMIFS($D$245:$D$595,$F$245:$F$595,0,$E$245:$E$595,$G499,$C$245:$C$595,"&lt;="&amp;U5)&gt;=1000000),SUMIFS($D$245:$D$595,$F$245:$F$595,0,$E$245:$E$595,$G499)*$C$157 ,0)</f>
        <v/>
      </c>
      <c r="W499" s="95">
        <f>IF(AND(SUMIFS($D$245:$D$595,$F$245:$F$595,0,$E$245:$E$595,$G499,$C$245:$C$595,"&lt;="&amp;U$5)&lt;1000000,SUMIFS($D$245:$D$595,$F$245:$F$595,0,$E$245:$E$595,$G499,$C$245:$C$595,"&lt;="&amp;W5)&gt;=1000000),SUMIFS($D$245:$D$595,$F$245:$F$595,0,$E$245:$E$595,$G499)*$C$157 ,0)</f>
        <v/>
      </c>
      <c r="Y499" s="95">
        <f>IF(AND(SUMIFS($D$245:$D$595,$F$245:$F$595,0,$E$245:$E$595,$G499,$C$245:$C$595,"&lt;="&amp;W$5)&lt;1000000,SUMIFS($D$245:$D$595,$F$245:$F$595,0,$E$245:$E$595,$G499,$C$245:$C$595,"&lt;="&amp;Y5)&gt;=1000000),SUMIFS($D$245:$D$595,$F$245:$F$595,0,$E$245:$E$595,$G499)*$C$157 ,0)</f>
        <v/>
      </c>
      <c r="AA499" s="95">
        <f>IF(AND(SUMIFS($D$245:$D$595,$F$245:$F$595,0,$E$245:$E$595,$G499,$C$245:$C$595,"&lt;="&amp;Y$5)&lt;1000000,SUMIFS($D$245:$D$595,$F$245:$F$595,0,$E$245:$E$595,$G499,$C$245:$C$595,"&lt;="&amp;AA5)&gt;=1000000),SUMIFS($D$245:$D$595,$F$245:$F$595,0,$E$245:$E$595,$G499)*$C$157 ,0)</f>
        <v/>
      </c>
      <c r="AC499" s="95">
        <f>IF(AND(SUMIFS($D$245:$D$595,$F$245:$F$595,0,$E$245:$E$595,$G499,$C$245:$C$595,"&lt;="&amp;AA$5)&lt;1000000,SUMIFS($D$245:$D$595,$F$245:$F$595,0,$E$245:$E$595,$G499,$C$245:$C$595,"&lt;="&amp;AC5)&gt;=1000000),SUMIFS($D$245:$D$595,$F$245:$F$595,0,$E$245:$E$595,$G499)*$C$157 ,0)</f>
        <v/>
      </c>
      <c r="AE499" s="95">
        <f>IF(AND(SUMIFS($D$245:$D$595,$F$245:$F$595,0,$E$245:$E$595,$G499,$C$245:$C$595,"&lt;="&amp;AC$5)&lt;1000000,SUMIFS($D$245:$D$595,$F$245:$F$595,0,$E$245:$E$595,$G499,$C$245:$C$595,"&lt;="&amp;AE5)&gt;=1000000),SUMIFS($D$245:$D$595,$F$245:$F$595,0,$E$245:$E$595,$G499)*$C$157 ,0)</f>
        <v/>
      </c>
      <c r="AF499" s="19" t="n"/>
    </row>
    <row r="500">
      <c r="A500" s="20">
        <f>mid(E500, 3, 1)</f>
        <v/>
      </c>
      <c r="B500" s="14" t="inlineStr"/>
      <c r="C500" s="21">
        <f>SUMIFS('Investor Exit List'!$AC:$AC,'Investor Exit List'!$AB:$AB,B500)</f>
        <v/>
      </c>
      <c r="D500" s="14">
        <f>SUMIFS('Investor Exit List'!$Q:$Q,'Investor Exit List'!$AB:$AB,B500)</f>
        <v/>
      </c>
      <c r="E500" s="31">
        <f>LEFT(B500,6)</f>
        <v/>
      </c>
      <c r="F500" s="14">
        <f>IF(SUMIFS($E$119:$E$151,$D$119:$D$151,E500)&lt;&gt;0,E500,0)</f>
        <v/>
      </c>
      <c r="G500" s="59" t="n"/>
      <c r="I500" s="28">
        <f>IF(AND(SUMIFS($D$245:$D$595,$F$245:$F$595,0,$E$245:$E$595,$G500,$C$245:$C$595,"&lt;="&amp;B$2)&lt;1000000,SUMIFS($D$245:$D$595,$F$245:$F$595,0,$E$245:$E$595,$G500,$C$245:$C$595,"&lt;="&amp;I5)&gt;=1000000),SUMIFS($D$245:$D$595,$F$245:$F$595,0,$E$245:$E$595,$G500)*$C$157 ,0)</f>
        <v/>
      </c>
      <c r="K500" s="95">
        <f>IF(AND(SUMIFS($D$245:$D$595,$F$245:$F$595,0,$E$245:$E$595,$G500,$C$245:$C$595,"&lt;="&amp;I$5)&lt;1000000,SUMIFS($D$245:$D$595,$F$245:$F$595,0,$E$245:$E$595,$G500,$C$245:$C$595,"&lt;="&amp;K5)&gt;=1000000),SUMIFS($D$245:$D$595,$F$245:$F$595,0,$E$245:$E$595,$G500)*$C$157 ,0)</f>
        <v/>
      </c>
      <c r="M500" s="95">
        <f>IF(AND(SUMIFS($D$245:$D$595,$F$245:$F$595,0,$E$245:$E$595,$G500,$C$245:$C$595,"&lt;="&amp;K$5)&lt;1000000,SUMIFS($D$245:$D$595,$F$245:$F$595,0,$E$245:$E$595,$G500,$C$245:$C$595,"&lt;="&amp;M5)&gt;=1000000),SUMIFS($D$245:$D$595,$F$245:$F$595,0,$E$245:$E$595,$G500)*$C$157 ,0)</f>
        <v/>
      </c>
      <c r="O500" s="95">
        <f>IF(AND(SUMIFS($D$245:$D$595,$F$245:$F$595,0,$E$245:$E$595,$G500,$C$245:$C$595,"&lt;="&amp;M$5)&lt;1000000,SUMIFS($D$245:$D$595,$F$245:$F$595,0,$E$245:$E$595,$G500,$C$245:$C$595,"&lt;="&amp;O5)&gt;=1000000),SUMIFS($D$245:$D$595,$F$245:$F$595,0,$E$245:$E$595,$G500)*$C$157 ,0)</f>
        <v/>
      </c>
      <c r="Q500" s="95">
        <f>IF(AND(SUMIFS($D$245:$D$595,$F$245:$F$595,0,$E$245:$E$595,$G500,$C$245:$C$595,"&lt;="&amp;O$5)&lt;1000000,SUMIFS($D$245:$D$595,$F$245:$F$595,0,$E$245:$E$595,$G500,$C$245:$C$595,"&lt;="&amp;Q5)&gt;=1000000),SUMIFS($D$245:$D$595,$F$245:$F$595,0,$E$245:$E$595,$G500)*$C$157 ,0)</f>
        <v/>
      </c>
      <c r="S500" s="95">
        <f>IF(AND(SUMIFS($D$245:$D$595,$F$245:$F$595,0,$E$245:$E$595,$G500,$C$245:$C$595,"&lt;="&amp;Q$5)&lt;1000000,SUMIFS($D$245:$D$595,$F$245:$F$595,0,$E$245:$E$595,$G500,$C$245:$C$595,"&lt;="&amp;S5)&gt;=1000000),SUMIFS($D$245:$D$595,$F$245:$F$595,0,$E$245:$E$595,$G500)*$C$157 ,0)</f>
        <v/>
      </c>
      <c r="U500" s="95">
        <f>IF(AND(SUMIFS($D$245:$D$595,$F$245:$F$595,0,$E$245:$E$595,$G500,$C$245:$C$595,"&lt;="&amp;S$5)&lt;1000000,SUMIFS($D$245:$D$595,$F$245:$F$595,0,$E$245:$E$595,$G500,$C$245:$C$595,"&lt;="&amp;U5)&gt;=1000000),SUMIFS($D$245:$D$595,$F$245:$F$595,0,$E$245:$E$595,$G500)*$C$157 ,0)</f>
        <v/>
      </c>
      <c r="W500" s="95">
        <f>IF(AND(SUMIFS($D$245:$D$595,$F$245:$F$595,0,$E$245:$E$595,$G500,$C$245:$C$595,"&lt;="&amp;U$5)&lt;1000000,SUMIFS($D$245:$D$595,$F$245:$F$595,0,$E$245:$E$595,$G500,$C$245:$C$595,"&lt;="&amp;W5)&gt;=1000000),SUMIFS($D$245:$D$595,$F$245:$F$595,0,$E$245:$E$595,$G500)*$C$157 ,0)</f>
        <v/>
      </c>
      <c r="Y500" s="95">
        <f>IF(AND(SUMIFS($D$245:$D$595,$F$245:$F$595,0,$E$245:$E$595,$G500,$C$245:$C$595,"&lt;="&amp;W$5)&lt;1000000,SUMIFS($D$245:$D$595,$F$245:$F$595,0,$E$245:$E$595,$G500,$C$245:$C$595,"&lt;="&amp;Y5)&gt;=1000000),SUMIFS($D$245:$D$595,$F$245:$F$595,0,$E$245:$E$595,$G500)*$C$157 ,0)</f>
        <v/>
      </c>
      <c r="AA500" s="95">
        <f>IF(AND(SUMIFS($D$245:$D$595,$F$245:$F$595,0,$E$245:$E$595,$G500,$C$245:$C$595,"&lt;="&amp;Y$5)&lt;1000000,SUMIFS($D$245:$D$595,$F$245:$F$595,0,$E$245:$E$595,$G500,$C$245:$C$595,"&lt;="&amp;AA5)&gt;=1000000),SUMIFS($D$245:$D$595,$F$245:$F$595,0,$E$245:$E$595,$G500)*$C$157 ,0)</f>
        <v/>
      </c>
      <c r="AC500" s="95">
        <f>IF(AND(SUMIFS($D$245:$D$595,$F$245:$F$595,0,$E$245:$E$595,$G500,$C$245:$C$595,"&lt;="&amp;AA$5)&lt;1000000,SUMIFS($D$245:$D$595,$F$245:$F$595,0,$E$245:$E$595,$G500,$C$245:$C$595,"&lt;="&amp;AC5)&gt;=1000000),SUMIFS($D$245:$D$595,$F$245:$F$595,0,$E$245:$E$595,$G500)*$C$157 ,0)</f>
        <v/>
      </c>
      <c r="AE500" s="95">
        <f>IF(AND(SUMIFS($D$245:$D$595,$F$245:$F$595,0,$E$245:$E$595,$G500,$C$245:$C$595,"&lt;="&amp;AC$5)&lt;1000000,SUMIFS($D$245:$D$595,$F$245:$F$595,0,$E$245:$E$595,$G500,$C$245:$C$595,"&lt;="&amp;AE5)&gt;=1000000),SUMIFS($D$245:$D$595,$F$245:$F$595,0,$E$245:$E$595,$G500)*$C$157 ,0)</f>
        <v/>
      </c>
      <c r="AF500" s="19" t="n"/>
    </row>
    <row r="501">
      <c r="A501" s="20">
        <f>mid(E501, 3, 1)</f>
        <v/>
      </c>
      <c r="B501" s="14" t="inlineStr"/>
      <c r="C501" s="21">
        <f>SUMIFS('Investor Exit List'!$AC:$AC,'Investor Exit List'!$AB:$AB,B501)</f>
        <v/>
      </c>
      <c r="D501" s="14">
        <f>SUMIFS('Investor Exit List'!$Q:$Q,'Investor Exit List'!$AB:$AB,B501)</f>
        <v/>
      </c>
      <c r="E501" s="31">
        <f>LEFT(B501,6)</f>
        <v/>
      </c>
      <c r="F501" s="14">
        <f>IF(SUMIFS($E$119:$E$151,$D$119:$D$151,E501)&lt;&gt;0,E501,0)</f>
        <v/>
      </c>
      <c r="G501" s="59" t="n"/>
      <c r="I501" s="28">
        <f>IF(AND(SUMIFS($D$245:$D$595,$F$245:$F$595,0,$E$245:$E$595,$G501,$C$245:$C$595,"&lt;="&amp;B$2)&lt;1000000,SUMIFS($D$245:$D$595,$F$245:$F$595,0,$E$245:$E$595,$G501,$C$245:$C$595,"&lt;="&amp;I5)&gt;=1000000),SUMIFS($D$245:$D$595,$F$245:$F$595,0,$E$245:$E$595,$G501)*$C$157 ,0)</f>
        <v/>
      </c>
      <c r="K501" s="95">
        <f>IF(AND(SUMIFS($D$245:$D$595,$F$245:$F$595,0,$E$245:$E$595,$G501,$C$245:$C$595,"&lt;="&amp;I$5)&lt;1000000,SUMIFS($D$245:$D$595,$F$245:$F$595,0,$E$245:$E$595,$G501,$C$245:$C$595,"&lt;="&amp;K5)&gt;=1000000),SUMIFS($D$245:$D$595,$F$245:$F$595,0,$E$245:$E$595,$G501)*$C$157 ,0)</f>
        <v/>
      </c>
      <c r="M501" s="95">
        <f>IF(AND(SUMIFS($D$245:$D$595,$F$245:$F$595,0,$E$245:$E$595,$G501,$C$245:$C$595,"&lt;="&amp;K$5)&lt;1000000,SUMIFS($D$245:$D$595,$F$245:$F$595,0,$E$245:$E$595,$G501,$C$245:$C$595,"&lt;="&amp;M5)&gt;=1000000),SUMIFS($D$245:$D$595,$F$245:$F$595,0,$E$245:$E$595,$G501)*$C$157 ,0)</f>
        <v/>
      </c>
      <c r="O501" s="95">
        <f>IF(AND(SUMIFS($D$245:$D$595,$F$245:$F$595,0,$E$245:$E$595,$G501,$C$245:$C$595,"&lt;="&amp;M$5)&lt;1000000,SUMIFS($D$245:$D$595,$F$245:$F$595,0,$E$245:$E$595,$G501,$C$245:$C$595,"&lt;="&amp;O5)&gt;=1000000),SUMIFS($D$245:$D$595,$F$245:$F$595,0,$E$245:$E$595,$G501)*$C$157 ,0)</f>
        <v/>
      </c>
      <c r="Q501" s="95">
        <f>IF(AND(SUMIFS($D$245:$D$595,$F$245:$F$595,0,$E$245:$E$595,$G501,$C$245:$C$595,"&lt;="&amp;O$5)&lt;1000000,SUMIFS($D$245:$D$595,$F$245:$F$595,0,$E$245:$E$595,$G501,$C$245:$C$595,"&lt;="&amp;Q5)&gt;=1000000),SUMIFS($D$245:$D$595,$F$245:$F$595,0,$E$245:$E$595,$G501)*$C$157 ,0)</f>
        <v/>
      </c>
      <c r="S501" s="95">
        <f>IF(AND(SUMIFS($D$245:$D$595,$F$245:$F$595,0,$E$245:$E$595,$G501,$C$245:$C$595,"&lt;="&amp;Q$5)&lt;1000000,SUMIFS($D$245:$D$595,$F$245:$F$595,0,$E$245:$E$595,$G501,$C$245:$C$595,"&lt;="&amp;S5)&gt;=1000000),SUMIFS($D$245:$D$595,$F$245:$F$595,0,$E$245:$E$595,$G501)*$C$157 ,0)</f>
        <v/>
      </c>
      <c r="U501" s="95">
        <f>IF(AND(SUMIFS($D$245:$D$595,$F$245:$F$595,0,$E$245:$E$595,$G501,$C$245:$C$595,"&lt;="&amp;S$5)&lt;1000000,SUMIFS($D$245:$D$595,$F$245:$F$595,0,$E$245:$E$595,$G501,$C$245:$C$595,"&lt;="&amp;U5)&gt;=1000000),SUMIFS($D$245:$D$595,$F$245:$F$595,0,$E$245:$E$595,$G501)*$C$157 ,0)</f>
        <v/>
      </c>
      <c r="W501" s="95">
        <f>IF(AND(SUMIFS($D$245:$D$595,$F$245:$F$595,0,$E$245:$E$595,$G501,$C$245:$C$595,"&lt;="&amp;U$5)&lt;1000000,SUMIFS($D$245:$D$595,$F$245:$F$595,0,$E$245:$E$595,$G501,$C$245:$C$595,"&lt;="&amp;W5)&gt;=1000000),SUMIFS($D$245:$D$595,$F$245:$F$595,0,$E$245:$E$595,$G501)*$C$157 ,0)</f>
        <v/>
      </c>
      <c r="Y501" s="95">
        <f>IF(AND(SUMIFS($D$245:$D$595,$F$245:$F$595,0,$E$245:$E$595,$G501,$C$245:$C$595,"&lt;="&amp;W$5)&lt;1000000,SUMIFS($D$245:$D$595,$F$245:$F$595,0,$E$245:$E$595,$G501,$C$245:$C$595,"&lt;="&amp;Y5)&gt;=1000000),SUMIFS($D$245:$D$595,$F$245:$F$595,0,$E$245:$E$595,$G501)*$C$157 ,0)</f>
        <v/>
      </c>
      <c r="AA501" s="95">
        <f>IF(AND(SUMIFS($D$245:$D$595,$F$245:$F$595,0,$E$245:$E$595,$G501,$C$245:$C$595,"&lt;="&amp;Y$5)&lt;1000000,SUMIFS($D$245:$D$595,$F$245:$F$595,0,$E$245:$E$595,$G501,$C$245:$C$595,"&lt;="&amp;AA5)&gt;=1000000),SUMIFS($D$245:$D$595,$F$245:$F$595,0,$E$245:$E$595,$G501)*$C$157 ,0)</f>
        <v/>
      </c>
      <c r="AC501" s="95">
        <f>IF(AND(SUMIFS($D$245:$D$595,$F$245:$F$595,0,$E$245:$E$595,$G501,$C$245:$C$595,"&lt;="&amp;AA$5)&lt;1000000,SUMIFS($D$245:$D$595,$F$245:$F$595,0,$E$245:$E$595,$G501,$C$245:$C$595,"&lt;="&amp;AC5)&gt;=1000000),SUMIFS($D$245:$D$595,$F$245:$F$595,0,$E$245:$E$595,$G501)*$C$157 ,0)</f>
        <v/>
      </c>
      <c r="AE501" s="95">
        <f>IF(AND(SUMIFS($D$245:$D$595,$F$245:$F$595,0,$E$245:$E$595,$G501,$C$245:$C$595,"&lt;="&amp;AC$5)&lt;1000000,SUMIFS($D$245:$D$595,$F$245:$F$595,0,$E$245:$E$595,$G501,$C$245:$C$595,"&lt;="&amp;AE5)&gt;=1000000),SUMIFS($D$245:$D$595,$F$245:$F$595,0,$E$245:$E$595,$G501)*$C$157 ,0)</f>
        <v/>
      </c>
      <c r="AF501" s="19" t="n"/>
    </row>
    <row r="502">
      <c r="A502" s="20">
        <f>mid(E502, 3, 1)</f>
        <v/>
      </c>
      <c r="B502" s="14" t="inlineStr"/>
      <c r="C502" s="21">
        <f>SUMIFS('Investor Exit List'!$AC:$AC,'Investor Exit List'!$AB:$AB,B502)</f>
        <v/>
      </c>
      <c r="D502" s="14">
        <f>SUMIFS('Investor Exit List'!$Q:$Q,'Investor Exit List'!$AB:$AB,B502)</f>
        <v/>
      </c>
      <c r="E502" s="31">
        <f>LEFT(B502,6)</f>
        <v/>
      </c>
      <c r="F502" s="14">
        <f>IF(SUMIFS($E$119:$E$151,$D$119:$D$151,E502)&lt;&gt;0,E502,0)</f>
        <v/>
      </c>
      <c r="G502" s="59" t="n"/>
      <c r="I502" s="28">
        <f>IF(AND(SUMIFS($D$245:$D$595,$F$245:$F$595,0,$E$245:$E$595,$G502,$C$245:$C$595,"&lt;="&amp;B$2)&lt;1000000,SUMIFS($D$245:$D$595,$F$245:$F$595,0,$E$245:$E$595,$G502,$C$245:$C$595,"&lt;="&amp;I5)&gt;=1000000),SUMIFS($D$245:$D$595,$F$245:$F$595,0,$E$245:$E$595,$G502)*$C$157 ,0)</f>
        <v/>
      </c>
      <c r="K502" s="95">
        <f>IF(AND(SUMIFS($D$245:$D$595,$F$245:$F$595,0,$E$245:$E$595,$G502,$C$245:$C$595,"&lt;="&amp;I$5)&lt;1000000,SUMIFS($D$245:$D$595,$F$245:$F$595,0,$E$245:$E$595,$G502,$C$245:$C$595,"&lt;="&amp;K5)&gt;=1000000),SUMIFS($D$245:$D$595,$F$245:$F$595,0,$E$245:$E$595,$G502)*$C$157 ,0)</f>
        <v/>
      </c>
      <c r="M502" s="95">
        <f>IF(AND(SUMIFS($D$245:$D$595,$F$245:$F$595,0,$E$245:$E$595,$G502,$C$245:$C$595,"&lt;="&amp;K$5)&lt;1000000,SUMIFS($D$245:$D$595,$F$245:$F$595,0,$E$245:$E$595,$G502,$C$245:$C$595,"&lt;="&amp;M5)&gt;=1000000),SUMIFS($D$245:$D$595,$F$245:$F$595,0,$E$245:$E$595,$G502)*$C$157 ,0)</f>
        <v/>
      </c>
      <c r="O502" s="95">
        <f>IF(AND(SUMIFS($D$245:$D$595,$F$245:$F$595,0,$E$245:$E$595,$G502,$C$245:$C$595,"&lt;="&amp;M$5)&lt;1000000,SUMIFS($D$245:$D$595,$F$245:$F$595,0,$E$245:$E$595,$G502,$C$245:$C$595,"&lt;="&amp;O5)&gt;=1000000),SUMIFS($D$245:$D$595,$F$245:$F$595,0,$E$245:$E$595,$G502)*$C$157 ,0)</f>
        <v/>
      </c>
      <c r="Q502" s="95">
        <f>IF(AND(SUMIFS($D$245:$D$595,$F$245:$F$595,0,$E$245:$E$595,$G502,$C$245:$C$595,"&lt;="&amp;O$5)&lt;1000000,SUMIFS($D$245:$D$595,$F$245:$F$595,0,$E$245:$E$595,$G502,$C$245:$C$595,"&lt;="&amp;Q5)&gt;=1000000),SUMIFS($D$245:$D$595,$F$245:$F$595,0,$E$245:$E$595,$G502)*$C$157 ,0)</f>
        <v/>
      </c>
      <c r="S502" s="95">
        <f>IF(AND(SUMIFS($D$245:$D$595,$F$245:$F$595,0,$E$245:$E$595,$G502,$C$245:$C$595,"&lt;="&amp;Q$5)&lt;1000000,SUMIFS($D$245:$D$595,$F$245:$F$595,0,$E$245:$E$595,$G502,$C$245:$C$595,"&lt;="&amp;S5)&gt;=1000000),SUMIFS($D$245:$D$595,$F$245:$F$595,0,$E$245:$E$595,$G502)*$C$157 ,0)</f>
        <v/>
      </c>
      <c r="U502" s="95">
        <f>IF(AND(SUMIFS($D$245:$D$595,$F$245:$F$595,0,$E$245:$E$595,$G502,$C$245:$C$595,"&lt;="&amp;S$5)&lt;1000000,SUMIFS($D$245:$D$595,$F$245:$F$595,0,$E$245:$E$595,$G502,$C$245:$C$595,"&lt;="&amp;U5)&gt;=1000000),SUMIFS($D$245:$D$595,$F$245:$F$595,0,$E$245:$E$595,$G502)*$C$157 ,0)</f>
        <v/>
      </c>
      <c r="W502" s="95">
        <f>IF(AND(SUMIFS($D$245:$D$595,$F$245:$F$595,0,$E$245:$E$595,$G502,$C$245:$C$595,"&lt;="&amp;U$5)&lt;1000000,SUMIFS($D$245:$D$595,$F$245:$F$595,0,$E$245:$E$595,$G502,$C$245:$C$595,"&lt;="&amp;W5)&gt;=1000000),SUMIFS($D$245:$D$595,$F$245:$F$595,0,$E$245:$E$595,$G502)*$C$157 ,0)</f>
        <v/>
      </c>
      <c r="Y502" s="95">
        <f>IF(AND(SUMIFS($D$245:$D$595,$F$245:$F$595,0,$E$245:$E$595,$G502,$C$245:$C$595,"&lt;="&amp;W$5)&lt;1000000,SUMIFS($D$245:$D$595,$F$245:$F$595,0,$E$245:$E$595,$G502,$C$245:$C$595,"&lt;="&amp;Y5)&gt;=1000000),SUMIFS($D$245:$D$595,$F$245:$F$595,0,$E$245:$E$595,$G502)*$C$157 ,0)</f>
        <v/>
      </c>
      <c r="AA502" s="95">
        <f>IF(AND(SUMIFS($D$245:$D$595,$F$245:$F$595,0,$E$245:$E$595,$G502,$C$245:$C$595,"&lt;="&amp;Y$5)&lt;1000000,SUMIFS($D$245:$D$595,$F$245:$F$595,0,$E$245:$E$595,$G502,$C$245:$C$595,"&lt;="&amp;AA5)&gt;=1000000),SUMIFS($D$245:$D$595,$F$245:$F$595,0,$E$245:$E$595,$G502)*$C$157 ,0)</f>
        <v/>
      </c>
      <c r="AC502" s="95">
        <f>IF(AND(SUMIFS($D$245:$D$595,$F$245:$F$595,0,$E$245:$E$595,$G502,$C$245:$C$595,"&lt;="&amp;AA$5)&lt;1000000,SUMIFS($D$245:$D$595,$F$245:$F$595,0,$E$245:$E$595,$G502,$C$245:$C$595,"&lt;="&amp;AC5)&gt;=1000000),SUMIFS($D$245:$D$595,$F$245:$F$595,0,$E$245:$E$595,$G502)*$C$157 ,0)</f>
        <v/>
      </c>
      <c r="AE502" s="95">
        <f>IF(AND(SUMIFS($D$245:$D$595,$F$245:$F$595,0,$E$245:$E$595,$G502,$C$245:$C$595,"&lt;="&amp;AC$5)&lt;1000000,SUMIFS($D$245:$D$595,$F$245:$F$595,0,$E$245:$E$595,$G502,$C$245:$C$595,"&lt;="&amp;AE5)&gt;=1000000),SUMIFS($D$245:$D$595,$F$245:$F$595,0,$E$245:$E$595,$G502)*$C$157 ,0)</f>
        <v/>
      </c>
      <c r="AF502" s="19" t="n"/>
    </row>
    <row r="503">
      <c r="A503" s="20">
        <f>mid(E503, 3, 1)</f>
        <v/>
      </c>
      <c r="B503" s="14" t="inlineStr"/>
      <c r="C503" s="21">
        <f>SUMIFS('Investor Exit List'!$AC:$AC,'Investor Exit List'!$AB:$AB,B503)</f>
        <v/>
      </c>
      <c r="D503" s="14">
        <f>SUMIFS('Investor Exit List'!$Q:$Q,'Investor Exit List'!$AB:$AB,B503)</f>
        <v/>
      </c>
      <c r="E503" s="31">
        <f>LEFT(B503,6)</f>
        <v/>
      </c>
      <c r="F503" s="14">
        <f>IF(SUMIFS($E$119:$E$151,$D$119:$D$151,E503)&lt;&gt;0,E503,0)</f>
        <v/>
      </c>
      <c r="G503" s="59" t="n"/>
      <c r="I503" s="28">
        <f>IF(AND(SUMIFS($D$245:$D$595,$F$245:$F$595,0,$E$245:$E$595,$G503,$C$245:$C$595,"&lt;="&amp;B$2)&lt;1000000,SUMIFS($D$245:$D$595,$F$245:$F$595,0,$E$245:$E$595,$G503,$C$245:$C$595,"&lt;="&amp;I5)&gt;=1000000),SUMIFS($D$245:$D$595,$F$245:$F$595,0,$E$245:$E$595,$G503)*$C$157 ,0)</f>
        <v/>
      </c>
      <c r="K503" s="95">
        <f>IF(AND(SUMIFS($D$245:$D$595,$F$245:$F$595,0,$E$245:$E$595,$G503,$C$245:$C$595,"&lt;="&amp;I$5)&lt;1000000,SUMIFS($D$245:$D$595,$F$245:$F$595,0,$E$245:$E$595,$G503,$C$245:$C$595,"&lt;="&amp;K5)&gt;=1000000),SUMIFS($D$245:$D$595,$F$245:$F$595,0,$E$245:$E$595,$G503)*$C$157 ,0)</f>
        <v/>
      </c>
      <c r="M503" s="95">
        <f>IF(AND(SUMIFS($D$245:$D$595,$F$245:$F$595,0,$E$245:$E$595,$G503,$C$245:$C$595,"&lt;="&amp;K$5)&lt;1000000,SUMIFS($D$245:$D$595,$F$245:$F$595,0,$E$245:$E$595,$G503,$C$245:$C$595,"&lt;="&amp;M5)&gt;=1000000),SUMIFS($D$245:$D$595,$F$245:$F$595,0,$E$245:$E$595,$G503)*$C$157 ,0)</f>
        <v/>
      </c>
      <c r="O503" s="95">
        <f>IF(AND(SUMIFS($D$245:$D$595,$F$245:$F$595,0,$E$245:$E$595,$G503,$C$245:$C$595,"&lt;="&amp;M$5)&lt;1000000,SUMIFS($D$245:$D$595,$F$245:$F$595,0,$E$245:$E$595,$G503,$C$245:$C$595,"&lt;="&amp;O5)&gt;=1000000),SUMIFS($D$245:$D$595,$F$245:$F$595,0,$E$245:$E$595,$G503)*$C$157 ,0)</f>
        <v/>
      </c>
      <c r="Q503" s="95">
        <f>IF(AND(SUMIFS($D$245:$D$595,$F$245:$F$595,0,$E$245:$E$595,$G503,$C$245:$C$595,"&lt;="&amp;O$5)&lt;1000000,SUMIFS($D$245:$D$595,$F$245:$F$595,0,$E$245:$E$595,$G503,$C$245:$C$595,"&lt;="&amp;Q5)&gt;=1000000),SUMIFS($D$245:$D$595,$F$245:$F$595,0,$E$245:$E$595,$G503)*$C$157 ,0)</f>
        <v/>
      </c>
      <c r="S503" s="95">
        <f>IF(AND(SUMIFS($D$245:$D$595,$F$245:$F$595,0,$E$245:$E$595,$G503,$C$245:$C$595,"&lt;="&amp;Q$5)&lt;1000000,SUMIFS($D$245:$D$595,$F$245:$F$595,0,$E$245:$E$595,$G503,$C$245:$C$595,"&lt;="&amp;S5)&gt;=1000000),SUMIFS($D$245:$D$595,$F$245:$F$595,0,$E$245:$E$595,$G503)*$C$157 ,0)</f>
        <v/>
      </c>
      <c r="U503" s="95">
        <f>IF(AND(SUMIFS($D$245:$D$595,$F$245:$F$595,0,$E$245:$E$595,$G503,$C$245:$C$595,"&lt;="&amp;S$5)&lt;1000000,SUMIFS($D$245:$D$595,$F$245:$F$595,0,$E$245:$E$595,$G503,$C$245:$C$595,"&lt;="&amp;U5)&gt;=1000000),SUMIFS($D$245:$D$595,$F$245:$F$595,0,$E$245:$E$595,$G503)*$C$157 ,0)</f>
        <v/>
      </c>
      <c r="W503" s="95">
        <f>IF(AND(SUMIFS($D$245:$D$595,$F$245:$F$595,0,$E$245:$E$595,$G503,$C$245:$C$595,"&lt;="&amp;U$5)&lt;1000000,SUMIFS($D$245:$D$595,$F$245:$F$595,0,$E$245:$E$595,$G503,$C$245:$C$595,"&lt;="&amp;W5)&gt;=1000000),SUMIFS($D$245:$D$595,$F$245:$F$595,0,$E$245:$E$595,$G503)*$C$157 ,0)</f>
        <v/>
      </c>
      <c r="Y503" s="95">
        <f>IF(AND(SUMIFS($D$245:$D$595,$F$245:$F$595,0,$E$245:$E$595,$G503,$C$245:$C$595,"&lt;="&amp;W$5)&lt;1000000,SUMIFS($D$245:$D$595,$F$245:$F$595,0,$E$245:$E$595,$G503,$C$245:$C$595,"&lt;="&amp;Y5)&gt;=1000000),SUMIFS($D$245:$D$595,$F$245:$F$595,0,$E$245:$E$595,$G503)*$C$157 ,0)</f>
        <v/>
      </c>
      <c r="AA503" s="95">
        <f>IF(AND(SUMIFS($D$245:$D$595,$F$245:$F$595,0,$E$245:$E$595,$G503,$C$245:$C$595,"&lt;="&amp;Y$5)&lt;1000000,SUMIFS($D$245:$D$595,$F$245:$F$595,0,$E$245:$E$595,$G503,$C$245:$C$595,"&lt;="&amp;AA5)&gt;=1000000),SUMIFS($D$245:$D$595,$F$245:$F$595,0,$E$245:$E$595,$G503)*$C$157 ,0)</f>
        <v/>
      </c>
      <c r="AC503" s="95">
        <f>IF(AND(SUMIFS($D$245:$D$595,$F$245:$F$595,0,$E$245:$E$595,$G503,$C$245:$C$595,"&lt;="&amp;AA$5)&lt;1000000,SUMIFS($D$245:$D$595,$F$245:$F$595,0,$E$245:$E$595,$G503,$C$245:$C$595,"&lt;="&amp;AC5)&gt;=1000000),SUMIFS($D$245:$D$595,$F$245:$F$595,0,$E$245:$E$595,$G503)*$C$157 ,0)</f>
        <v/>
      </c>
      <c r="AE503" s="95">
        <f>IF(AND(SUMIFS($D$245:$D$595,$F$245:$F$595,0,$E$245:$E$595,$G503,$C$245:$C$595,"&lt;="&amp;AC$5)&lt;1000000,SUMIFS($D$245:$D$595,$F$245:$F$595,0,$E$245:$E$595,$G503,$C$245:$C$595,"&lt;="&amp;AE5)&gt;=1000000),SUMIFS($D$245:$D$595,$F$245:$F$595,0,$E$245:$E$595,$G503)*$C$157 ,0)</f>
        <v/>
      </c>
      <c r="AF503" s="19" t="n"/>
    </row>
    <row r="504">
      <c r="A504" s="20">
        <f>mid(E504, 3, 1)</f>
        <v/>
      </c>
      <c r="B504" s="14" t="inlineStr"/>
      <c r="C504" s="21">
        <f>SUMIFS('Investor Exit List'!$AC:$AC,'Investor Exit List'!$AB:$AB,B504)</f>
        <v/>
      </c>
      <c r="D504" s="14">
        <f>SUMIFS('Investor Exit List'!$Q:$Q,'Investor Exit List'!$AB:$AB,B504)</f>
        <v/>
      </c>
      <c r="E504" s="31">
        <f>LEFT(B504,6)</f>
        <v/>
      </c>
      <c r="F504" s="14">
        <f>IF(SUMIFS($E$119:$E$151,$D$119:$D$151,E504)&lt;&gt;0,E504,0)</f>
        <v/>
      </c>
      <c r="G504" s="59" t="n"/>
      <c r="I504" s="28">
        <f>IF(AND(SUMIFS($D$245:$D$595,$F$245:$F$595,0,$E$245:$E$595,$G504,$C$245:$C$595,"&lt;="&amp;B$2)&lt;1000000,SUMIFS($D$245:$D$595,$F$245:$F$595,0,$E$245:$E$595,$G504,$C$245:$C$595,"&lt;="&amp;I5)&gt;=1000000),SUMIFS($D$245:$D$595,$F$245:$F$595,0,$E$245:$E$595,$G504)*$C$157 ,0)</f>
        <v/>
      </c>
      <c r="K504" s="95">
        <f>IF(AND(SUMIFS($D$245:$D$595,$F$245:$F$595,0,$E$245:$E$595,$G504,$C$245:$C$595,"&lt;="&amp;I$5)&lt;1000000,SUMIFS($D$245:$D$595,$F$245:$F$595,0,$E$245:$E$595,$G504,$C$245:$C$595,"&lt;="&amp;K5)&gt;=1000000),SUMIFS($D$245:$D$595,$F$245:$F$595,0,$E$245:$E$595,$G504)*$C$157 ,0)</f>
        <v/>
      </c>
      <c r="M504" s="95">
        <f>IF(AND(SUMIFS($D$245:$D$595,$F$245:$F$595,0,$E$245:$E$595,$G504,$C$245:$C$595,"&lt;="&amp;K$5)&lt;1000000,SUMIFS($D$245:$D$595,$F$245:$F$595,0,$E$245:$E$595,$G504,$C$245:$C$595,"&lt;="&amp;M5)&gt;=1000000),SUMIFS($D$245:$D$595,$F$245:$F$595,0,$E$245:$E$595,$G504)*$C$157 ,0)</f>
        <v/>
      </c>
      <c r="O504" s="95">
        <f>IF(AND(SUMIFS($D$245:$D$595,$F$245:$F$595,0,$E$245:$E$595,$G504,$C$245:$C$595,"&lt;="&amp;M$5)&lt;1000000,SUMIFS($D$245:$D$595,$F$245:$F$595,0,$E$245:$E$595,$G504,$C$245:$C$595,"&lt;="&amp;O5)&gt;=1000000),SUMIFS($D$245:$D$595,$F$245:$F$595,0,$E$245:$E$595,$G504)*$C$157 ,0)</f>
        <v/>
      </c>
      <c r="Q504" s="95">
        <f>IF(AND(SUMIFS($D$245:$D$595,$F$245:$F$595,0,$E$245:$E$595,$G504,$C$245:$C$595,"&lt;="&amp;O$5)&lt;1000000,SUMIFS($D$245:$D$595,$F$245:$F$595,0,$E$245:$E$595,$G504,$C$245:$C$595,"&lt;="&amp;Q5)&gt;=1000000),SUMIFS($D$245:$D$595,$F$245:$F$595,0,$E$245:$E$595,$G504)*$C$157 ,0)</f>
        <v/>
      </c>
      <c r="S504" s="95">
        <f>IF(AND(SUMIFS($D$245:$D$595,$F$245:$F$595,0,$E$245:$E$595,$G504,$C$245:$C$595,"&lt;="&amp;Q$5)&lt;1000000,SUMIFS($D$245:$D$595,$F$245:$F$595,0,$E$245:$E$595,$G504,$C$245:$C$595,"&lt;="&amp;S5)&gt;=1000000),SUMIFS($D$245:$D$595,$F$245:$F$595,0,$E$245:$E$595,$G504)*$C$157 ,0)</f>
        <v/>
      </c>
      <c r="U504" s="95">
        <f>IF(AND(SUMIFS($D$245:$D$595,$F$245:$F$595,0,$E$245:$E$595,$G504,$C$245:$C$595,"&lt;="&amp;S$5)&lt;1000000,SUMIFS($D$245:$D$595,$F$245:$F$595,0,$E$245:$E$595,$G504,$C$245:$C$595,"&lt;="&amp;U5)&gt;=1000000),SUMIFS($D$245:$D$595,$F$245:$F$595,0,$E$245:$E$595,$G504)*$C$157 ,0)</f>
        <v/>
      </c>
      <c r="W504" s="95">
        <f>IF(AND(SUMIFS($D$245:$D$595,$F$245:$F$595,0,$E$245:$E$595,$G504,$C$245:$C$595,"&lt;="&amp;U$5)&lt;1000000,SUMIFS($D$245:$D$595,$F$245:$F$595,0,$E$245:$E$595,$G504,$C$245:$C$595,"&lt;="&amp;W5)&gt;=1000000),SUMIFS($D$245:$D$595,$F$245:$F$595,0,$E$245:$E$595,$G504)*$C$157 ,0)</f>
        <v/>
      </c>
      <c r="Y504" s="95">
        <f>IF(AND(SUMIFS($D$245:$D$595,$F$245:$F$595,0,$E$245:$E$595,$G504,$C$245:$C$595,"&lt;="&amp;W$5)&lt;1000000,SUMIFS($D$245:$D$595,$F$245:$F$595,0,$E$245:$E$595,$G504,$C$245:$C$595,"&lt;="&amp;Y5)&gt;=1000000),SUMIFS($D$245:$D$595,$F$245:$F$595,0,$E$245:$E$595,$G504)*$C$157 ,0)</f>
        <v/>
      </c>
      <c r="AA504" s="95">
        <f>IF(AND(SUMIFS($D$245:$D$595,$F$245:$F$595,0,$E$245:$E$595,$G504,$C$245:$C$595,"&lt;="&amp;Y$5)&lt;1000000,SUMIFS($D$245:$D$595,$F$245:$F$595,0,$E$245:$E$595,$G504,$C$245:$C$595,"&lt;="&amp;AA5)&gt;=1000000),SUMIFS($D$245:$D$595,$F$245:$F$595,0,$E$245:$E$595,$G504)*$C$157 ,0)</f>
        <v/>
      </c>
      <c r="AC504" s="95">
        <f>IF(AND(SUMIFS($D$245:$D$595,$F$245:$F$595,0,$E$245:$E$595,$G504,$C$245:$C$595,"&lt;="&amp;AA$5)&lt;1000000,SUMIFS($D$245:$D$595,$F$245:$F$595,0,$E$245:$E$595,$G504,$C$245:$C$595,"&lt;="&amp;AC5)&gt;=1000000),SUMIFS($D$245:$D$595,$F$245:$F$595,0,$E$245:$E$595,$G504)*$C$157 ,0)</f>
        <v/>
      </c>
      <c r="AE504" s="95">
        <f>IF(AND(SUMIFS($D$245:$D$595,$F$245:$F$595,0,$E$245:$E$595,$G504,$C$245:$C$595,"&lt;="&amp;AC$5)&lt;1000000,SUMIFS($D$245:$D$595,$F$245:$F$595,0,$E$245:$E$595,$G504,$C$245:$C$595,"&lt;="&amp;AE5)&gt;=1000000),SUMIFS($D$245:$D$595,$F$245:$F$595,0,$E$245:$E$595,$G504)*$C$157 ,0)</f>
        <v/>
      </c>
      <c r="AF504" s="19" t="n"/>
    </row>
    <row r="505">
      <c r="A505" s="20">
        <f>mid(E505, 3, 1)</f>
        <v/>
      </c>
      <c r="B505" s="14" t="inlineStr"/>
      <c r="C505" s="21">
        <f>SUMIFS('Investor Exit List'!$AC:$AC,'Investor Exit List'!$AB:$AB,B505)</f>
        <v/>
      </c>
      <c r="D505" s="14">
        <f>SUMIFS('Investor Exit List'!$Q:$Q,'Investor Exit List'!$AB:$AB,B505)</f>
        <v/>
      </c>
      <c r="E505" s="31">
        <f>LEFT(B505,6)</f>
        <v/>
      </c>
      <c r="F505" s="14">
        <f>IF(SUMIFS($E$119:$E$151,$D$119:$D$151,E505)&lt;&gt;0,E505,0)</f>
        <v/>
      </c>
      <c r="G505" s="59" t="n"/>
      <c r="I505" s="28">
        <f>IF(AND(SUMIFS($D$245:$D$595,$F$245:$F$595,0,$E$245:$E$595,$G505,$C$245:$C$595,"&lt;="&amp;B$2)&lt;1000000,SUMIFS($D$245:$D$595,$F$245:$F$595,0,$E$245:$E$595,$G505,$C$245:$C$595,"&lt;="&amp;I5)&gt;=1000000),SUMIFS($D$245:$D$595,$F$245:$F$595,0,$E$245:$E$595,$G505)*$C$157 ,0)</f>
        <v/>
      </c>
      <c r="K505" s="95">
        <f>IF(AND(SUMIFS($D$245:$D$595,$F$245:$F$595,0,$E$245:$E$595,$G505,$C$245:$C$595,"&lt;="&amp;I$5)&lt;1000000,SUMIFS($D$245:$D$595,$F$245:$F$595,0,$E$245:$E$595,$G505,$C$245:$C$595,"&lt;="&amp;K5)&gt;=1000000),SUMIFS($D$245:$D$595,$F$245:$F$595,0,$E$245:$E$595,$G505)*$C$157 ,0)</f>
        <v/>
      </c>
      <c r="M505" s="95">
        <f>IF(AND(SUMIFS($D$245:$D$595,$F$245:$F$595,0,$E$245:$E$595,$G505,$C$245:$C$595,"&lt;="&amp;K$5)&lt;1000000,SUMIFS($D$245:$D$595,$F$245:$F$595,0,$E$245:$E$595,$G505,$C$245:$C$595,"&lt;="&amp;M5)&gt;=1000000),SUMIFS($D$245:$D$595,$F$245:$F$595,0,$E$245:$E$595,$G505)*$C$157 ,0)</f>
        <v/>
      </c>
      <c r="O505" s="95">
        <f>IF(AND(SUMIFS($D$245:$D$595,$F$245:$F$595,0,$E$245:$E$595,$G505,$C$245:$C$595,"&lt;="&amp;M$5)&lt;1000000,SUMIFS($D$245:$D$595,$F$245:$F$595,0,$E$245:$E$595,$G505,$C$245:$C$595,"&lt;="&amp;O5)&gt;=1000000),SUMIFS($D$245:$D$595,$F$245:$F$595,0,$E$245:$E$595,$G505)*$C$157 ,0)</f>
        <v/>
      </c>
      <c r="Q505" s="95">
        <f>IF(AND(SUMIFS($D$245:$D$595,$F$245:$F$595,0,$E$245:$E$595,$G505,$C$245:$C$595,"&lt;="&amp;O$5)&lt;1000000,SUMIFS($D$245:$D$595,$F$245:$F$595,0,$E$245:$E$595,$G505,$C$245:$C$595,"&lt;="&amp;Q5)&gt;=1000000),SUMIFS($D$245:$D$595,$F$245:$F$595,0,$E$245:$E$595,$G505)*$C$157 ,0)</f>
        <v/>
      </c>
      <c r="S505" s="95">
        <f>IF(AND(SUMIFS($D$245:$D$595,$F$245:$F$595,0,$E$245:$E$595,$G505,$C$245:$C$595,"&lt;="&amp;Q$5)&lt;1000000,SUMIFS($D$245:$D$595,$F$245:$F$595,0,$E$245:$E$595,$G505,$C$245:$C$595,"&lt;="&amp;S5)&gt;=1000000),SUMIFS($D$245:$D$595,$F$245:$F$595,0,$E$245:$E$595,$G505)*$C$157 ,0)</f>
        <v/>
      </c>
      <c r="U505" s="95">
        <f>IF(AND(SUMIFS($D$245:$D$595,$F$245:$F$595,0,$E$245:$E$595,$G505,$C$245:$C$595,"&lt;="&amp;S$5)&lt;1000000,SUMIFS($D$245:$D$595,$F$245:$F$595,0,$E$245:$E$595,$G505,$C$245:$C$595,"&lt;="&amp;U5)&gt;=1000000),SUMIFS($D$245:$D$595,$F$245:$F$595,0,$E$245:$E$595,$G505)*$C$157 ,0)</f>
        <v/>
      </c>
      <c r="W505" s="95">
        <f>IF(AND(SUMIFS($D$245:$D$595,$F$245:$F$595,0,$E$245:$E$595,$G505,$C$245:$C$595,"&lt;="&amp;U$5)&lt;1000000,SUMIFS($D$245:$D$595,$F$245:$F$595,0,$E$245:$E$595,$G505,$C$245:$C$595,"&lt;="&amp;W5)&gt;=1000000),SUMIFS($D$245:$D$595,$F$245:$F$595,0,$E$245:$E$595,$G505)*$C$157 ,0)</f>
        <v/>
      </c>
      <c r="Y505" s="95">
        <f>IF(AND(SUMIFS($D$245:$D$595,$F$245:$F$595,0,$E$245:$E$595,$G505,$C$245:$C$595,"&lt;="&amp;W$5)&lt;1000000,SUMIFS($D$245:$D$595,$F$245:$F$595,0,$E$245:$E$595,$G505,$C$245:$C$595,"&lt;="&amp;Y5)&gt;=1000000),SUMIFS($D$245:$D$595,$F$245:$F$595,0,$E$245:$E$595,$G505)*$C$157 ,0)</f>
        <v/>
      </c>
      <c r="AA505" s="95">
        <f>IF(AND(SUMIFS($D$245:$D$595,$F$245:$F$595,0,$E$245:$E$595,$G505,$C$245:$C$595,"&lt;="&amp;Y$5)&lt;1000000,SUMIFS($D$245:$D$595,$F$245:$F$595,0,$E$245:$E$595,$G505,$C$245:$C$595,"&lt;="&amp;AA5)&gt;=1000000),SUMIFS($D$245:$D$595,$F$245:$F$595,0,$E$245:$E$595,$G505)*$C$157 ,0)</f>
        <v/>
      </c>
      <c r="AC505" s="95">
        <f>IF(AND(SUMIFS($D$245:$D$595,$F$245:$F$595,0,$E$245:$E$595,$G505,$C$245:$C$595,"&lt;="&amp;AA$5)&lt;1000000,SUMIFS($D$245:$D$595,$F$245:$F$595,0,$E$245:$E$595,$G505,$C$245:$C$595,"&lt;="&amp;AC5)&gt;=1000000),SUMIFS($D$245:$D$595,$F$245:$F$595,0,$E$245:$E$595,$G505)*$C$157 ,0)</f>
        <v/>
      </c>
      <c r="AE505" s="95">
        <f>IF(AND(SUMIFS($D$245:$D$595,$F$245:$F$595,0,$E$245:$E$595,$G505,$C$245:$C$595,"&lt;="&amp;AC$5)&lt;1000000,SUMIFS($D$245:$D$595,$F$245:$F$595,0,$E$245:$E$595,$G505,$C$245:$C$595,"&lt;="&amp;AE5)&gt;=1000000),SUMIFS($D$245:$D$595,$F$245:$F$595,0,$E$245:$E$595,$G505)*$C$157 ,0)</f>
        <v/>
      </c>
      <c r="AF505" s="19" t="n"/>
    </row>
    <row r="506">
      <c r="A506" s="20">
        <f>mid(E506, 3, 1)</f>
        <v/>
      </c>
      <c r="B506" s="14" t="inlineStr"/>
      <c r="C506" s="21">
        <f>SUMIFS('Investor Exit List'!$AC:$AC,'Investor Exit List'!$AB:$AB,B506)</f>
        <v/>
      </c>
      <c r="D506" s="14">
        <f>SUMIFS('Investor Exit List'!$Q:$Q,'Investor Exit List'!$AB:$AB,B506)</f>
        <v/>
      </c>
      <c r="E506" s="31">
        <f>LEFT(B506,6)</f>
        <v/>
      </c>
      <c r="F506" s="14">
        <f>IF(SUMIFS($E$119:$E$151,$D$119:$D$151,E506)&lt;&gt;0,E506,0)</f>
        <v/>
      </c>
      <c r="G506" s="59" t="n"/>
      <c r="I506" s="28">
        <f>IF(AND(SUMIFS($D$245:$D$595,$F$245:$F$595,0,$E$245:$E$595,$G506,$C$245:$C$595,"&lt;="&amp;B$2)&lt;1000000,SUMIFS($D$245:$D$595,$F$245:$F$595,0,$E$245:$E$595,$G506,$C$245:$C$595,"&lt;="&amp;I5)&gt;=1000000),SUMIFS($D$245:$D$595,$F$245:$F$595,0,$E$245:$E$595,$G506)*$C$157 ,0)</f>
        <v/>
      </c>
      <c r="K506" s="95">
        <f>IF(AND(SUMIFS($D$245:$D$595,$F$245:$F$595,0,$E$245:$E$595,$G506,$C$245:$C$595,"&lt;="&amp;I$5)&lt;1000000,SUMIFS($D$245:$D$595,$F$245:$F$595,0,$E$245:$E$595,$G506,$C$245:$C$595,"&lt;="&amp;K5)&gt;=1000000),SUMIFS($D$245:$D$595,$F$245:$F$595,0,$E$245:$E$595,$G506)*$C$157 ,0)</f>
        <v/>
      </c>
      <c r="M506" s="95">
        <f>IF(AND(SUMIFS($D$245:$D$595,$F$245:$F$595,0,$E$245:$E$595,$G506,$C$245:$C$595,"&lt;="&amp;K$5)&lt;1000000,SUMIFS($D$245:$D$595,$F$245:$F$595,0,$E$245:$E$595,$G506,$C$245:$C$595,"&lt;="&amp;M5)&gt;=1000000),SUMIFS($D$245:$D$595,$F$245:$F$595,0,$E$245:$E$595,$G506)*$C$157 ,0)</f>
        <v/>
      </c>
      <c r="O506" s="95">
        <f>IF(AND(SUMIFS($D$245:$D$595,$F$245:$F$595,0,$E$245:$E$595,$G506,$C$245:$C$595,"&lt;="&amp;M$5)&lt;1000000,SUMIFS($D$245:$D$595,$F$245:$F$595,0,$E$245:$E$595,$G506,$C$245:$C$595,"&lt;="&amp;O5)&gt;=1000000),SUMIFS($D$245:$D$595,$F$245:$F$595,0,$E$245:$E$595,$G506)*$C$157 ,0)</f>
        <v/>
      </c>
      <c r="Q506" s="95">
        <f>IF(AND(SUMIFS($D$245:$D$595,$F$245:$F$595,0,$E$245:$E$595,$G506,$C$245:$C$595,"&lt;="&amp;O$5)&lt;1000000,SUMIFS($D$245:$D$595,$F$245:$F$595,0,$E$245:$E$595,$G506,$C$245:$C$595,"&lt;="&amp;Q5)&gt;=1000000),SUMIFS($D$245:$D$595,$F$245:$F$595,0,$E$245:$E$595,$G506)*$C$157 ,0)</f>
        <v/>
      </c>
      <c r="S506" s="95">
        <f>IF(AND(SUMIFS($D$245:$D$595,$F$245:$F$595,0,$E$245:$E$595,$G506,$C$245:$C$595,"&lt;="&amp;Q$5)&lt;1000000,SUMIFS($D$245:$D$595,$F$245:$F$595,0,$E$245:$E$595,$G506,$C$245:$C$595,"&lt;="&amp;S5)&gt;=1000000),SUMIFS($D$245:$D$595,$F$245:$F$595,0,$E$245:$E$595,$G506)*$C$157 ,0)</f>
        <v/>
      </c>
      <c r="U506" s="95">
        <f>IF(AND(SUMIFS($D$245:$D$595,$F$245:$F$595,0,$E$245:$E$595,$G506,$C$245:$C$595,"&lt;="&amp;S$5)&lt;1000000,SUMIFS($D$245:$D$595,$F$245:$F$595,0,$E$245:$E$595,$G506,$C$245:$C$595,"&lt;="&amp;U5)&gt;=1000000),SUMIFS($D$245:$D$595,$F$245:$F$595,0,$E$245:$E$595,$G506)*$C$157 ,0)</f>
        <v/>
      </c>
      <c r="W506" s="95">
        <f>IF(AND(SUMIFS($D$245:$D$595,$F$245:$F$595,0,$E$245:$E$595,$G506,$C$245:$C$595,"&lt;="&amp;U$5)&lt;1000000,SUMIFS($D$245:$D$595,$F$245:$F$595,0,$E$245:$E$595,$G506,$C$245:$C$595,"&lt;="&amp;W5)&gt;=1000000),SUMIFS($D$245:$D$595,$F$245:$F$595,0,$E$245:$E$595,$G506)*$C$157 ,0)</f>
        <v/>
      </c>
      <c r="Y506" s="95">
        <f>IF(AND(SUMIFS($D$245:$D$595,$F$245:$F$595,0,$E$245:$E$595,$G506,$C$245:$C$595,"&lt;="&amp;W$5)&lt;1000000,SUMIFS($D$245:$D$595,$F$245:$F$595,0,$E$245:$E$595,$G506,$C$245:$C$595,"&lt;="&amp;Y5)&gt;=1000000),SUMIFS($D$245:$D$595,$F$245:$F$595,0,$E$245:$E$595,$G506)*$C$157 ,0)</f>
        <v/>
      </c>
      <c r="AA506" s="95">
        <f>IF(AND(SUMIFS($D$245:$D$595,$F$245:$F$595,0,$E$245:$E$595,$G506,$C$245:$C$595,"&lt;="&amp;Y$5)&lt;1000000,SUMIFS($D$245:$D$595,$F$245:$F$595,0,$E$245:$E$595,$G506,$C$245:$C$595,"&lt;="&amp;AA5)&gt;=1000000),SUMIFS($D$245:$D$595,$F$245:$F$595,0,$E$245:$E$595,$G506)*$C$157 ,0)</f>
        <v/>
      </c>
      <c r="AC506" s="95">
        <f>IF(AND(SUMIFS($D$245:$D$595,$F$245:$F$595,0,$E$245:$E$595,$G506,$C$245:$C$595,"&lt;="&amp;AA$5)&lt;1000000,SUMIFS($D$245:$D$595,$F$245:$F$595,0,$E$245:$E$595,$G506,$C$245:$C$595,"&lt;="&amp;AC5)&gt;=1000000),SUMIFS($D$245:$D$595,$F$245:$F$595,0,$E$245:$E$595,$G506)*$C$157 ,0)</f>
        <v/>
      </c>
      <c r="AE506" s="95">
        <f>IF(AND(SUMIFS($D$245:$D$595,$F$245:$F$595,0,$E$245:$E$595,$G506,$C$245:$C$595,"&lt;="&amp;AC$5)&lt;1000000,SUMIFS($D$245:$D$595,$F$245:$F$595,0,$E$245:$E$595,$G506,$C$245:$C$595,"&lt;="&amp;AE5)&gt;=1000000),SUMIFS($D$245:$D$595,$F$245:$F$595,0,$E$245:$E$595,$G506)*$C$157 ,0)</f>
        <v/>
      </c>
      <c r="AF506" s="19" t="n"/>
    </row>
    <row r="507">
      <c r="A507" s="20">
        <f>mid(E507, 3, 1)</f>
        <v/>
      </c>
      <c r="B507" s="14" t="inlineStr"/>
      <c r="C507" s="21">
        <f>SUMIFS('Investor Exit List'!$AC:$AC,'Investor Exit List'!$AB:$AB,B507)</f>
        <v/>
      </c>
      <c r="D507" s="14">
        <f>SUMIFS('Investor Exit List'!$Q:$Q,'Investor Exit List'!$AB:$AB,B507)</f>
        <v/>
      </c>
      <c r="E507" s="31">
        <f>LEFT(B507,6)</f>
        <v/>
      </c>
      <c r="F507" s="14">
        <f>IF(SUMIFS($E$119:$E$151,$D$119:$D$151,E507)&lt;&gt;0,E507,0)</f>
        <v/>
      </c>
      <c r="G507" s="59" t="n"/>
      <c r="I507" s="28">
        <f>IF(AND(SUMIFS($D$245:$D$595,$F$245:$F$595,0,$E$245:$E$595,$G507,$C$245:$C$595,"&lt;="&amp;B$2)&lt;1000000,SUMIFS($D$245:$D$595,$F$245:$F$595,0,$E$245:$E$595,$G507,$C$245:$C$595,"&lt;="&amp;I5)&gt;=1000000),SUMIFS($D$245:$D$595,$F$245:$F$595,0,$E$245:$E$595,$G507)*$C$157 ,0)</f>
        <v/>
      </c>
      <c r="K507" s="95">
        <f>IF(AND(SUMIFS($D$245:$D$595,$F$245:$F$595,0,$E$245:$E$595,$G507,$C$245:$C$595,"&lt;="&amp;I$5)&lt;1000000,SUMIFS($D$245:$D$595,$F$245:$F$595,0,$E$245:$E$595,$G507,$C$245:$C$595,"&lt;="&amp;K5)&gt;=1000000),SUMIFS($D$245:$D$595,$F$245:$F$595,0,$E$245:$E$595,$G507)*$C$157 ,0)</f>
        <v/>
      </c>
      <c r="M507" s="95">
        <f>IF(AND(SUMIFS($D$245:$D$595,$F$245:$F$595,0,$E$245:$E$595,$G507,$C$245:$C$595,"&lt;="&amp;K$5)&lt;1000000,SUMIFS($D$245:$D$595,$F$245:$F$595,0,$E$245:$E$595,$G507,$C$245:$C$595,"&lt;="&amp;M5)&gt;=1000000),SUMIFS($D$245:$D$595,$F$245:$F$595,0,$E$245:$E$595,$G507)*$C$157 ,0)</f>
        <v/>
      </c>
      <c r="O507" s="95">
        <f>IF(AND(SUMIFS($D$245:$D$595,$F$245:$F$595,0,$E$245:$E$595,$G507,$C$245:$C$595,"&lt;="&amp;M$5)&lt;1000000,SUMIFS($D$245:$D$595,$F$245:$F$595,0,$E$245:$E$595,$G507,$C$245:$C$595,"&lt;="&amp;O5)&gt;=1000000),SUMIFS($D$245:$D$595,$F$245:$F$595,0,$E$245:$E$595,$G507)*$C$157 ,0)</f>
        <v/>
      </c>
      <c r="Q507" s="95">
        <f>IF(AND(SUMIFS($D$245:$D$595,$F$245:$F$595,0,$E$245:$E$595,$G507,$C$245:$C$595,"&lt;="&amp;O$5)&lt;1000000,SUMIFS($D$245:$D$595,$F$245:$F$595,0,$E$245:$E$595,$G507,$C$245:$C$595,"&lt;="&amp;Q5)&gt;=1000000),SUMIFS($D$245:$D$595,$F$245:$F$595,0,$E$245:$E$595,$G507)*$C$157 ,0)</f>
        <v/>
      </c>
      <c r="S507" s="95">
        <f>IF(AND(SUMIFS($D$245:$D$595,$F$245:$F$595,0,$E$245:$E$595,$G507,$C$245:$C$595,"&lt;="&amp;Q$5)&lt;1000000,SUMIFS($D$245:$D$595,$F$245:$F$595,0,$E$245:$E$595,$G507,$C$245:$C$595,"&lt;="&amp;S5)&gt;=1000000),SUMIFS($D$245:$D$595,$F$245:$F$595,0,$E$245:$E$595,$G507)*$C$157 ,0)</f>
        <v/>
      </c>
      <c r="U507" s="95">
        <f>IF(AND(SUMIFS($D$245:$D$595,$F$245:$F$595,0,$E$245:$E$595,$G507,$C$245:$C$595,"&lt;="&amp;S$5)&lt;1000000,SUMIFS($D$245:$D$595,$F$245:$F$595,0,$E$245:$E$595,$G507,$C$245:$C$595,"&lt;="&amp;U5)&gt;=1000000),SUMIFS($D$245:$D$595,$F$245:$F$595,0,$E$245:$E$595,$G507)*$C$157 ,0)</f>
        <v/>
      </c>
      <c r="W507" s="95">
        <f>IF(AND(SUMIFS($D$245:$D$595,$F$245:$F$595,0,$E$245:$E$595,$G507,$C$245:$C$595,"&lt;="&amp;U$5)&lt;1000000,SUMIFS($D$245:$D$595,$F$245:$F$595,0,$E$245:$E$595,$G507,$C$245:$C$595,"&lt;="&amp;W5)&gt;=1000000),SUMIFS($D$245:$D$595,$F$245:$F$595,0,$E$245:$E$595,$G507)*$C$157 ,0)</f>
        <v/>
      </c>
      <c r="Y507" s="95">
        <f>IF(AND(SUMIFS($D$245:$D$595,$F$245:$F$595,0,$E$245:$E$595,$G507,$C$245:$C$595,"&lt;="&amp;W$5)&lt;1000000,SUMIFS($D$245:$D$595,$F$245:$F$595,0,$E$245:$E$595,$G507,$C$245:$C$595,"&lt;="&amp;Y5)&gt;=1000000),SUMIFS($D$245:$D$595,$F$245:$F$595,0,$E$245:$E$595,$G507)*$C$157 ,0)</f>
        <v/>
      </c>
      <c r="AA507" s="95">
        <f>IF(AND(SUMIFS($D$245:$D$595,$F$245:$F$595,0,$E$245:$E$595,$G507,$C$245:$C$595,"&lt;="&amp;Y$5)&lt;1000000,SUMIFS($D$245:$D$595,$F$245:$F$595,0,$E$245:$E$595,$G507,$C$245:$C$595,"&lt;="&amp;AA5)&gt;=1000000),SUMIFS($D$245:$D$595,$F$245:$F$595,0,$E$245:$E$595,$G507)*$C$157 ,0)</f>
        <v/>
      </c>
      <c r="AC507" s="95">
        <f>IF(AND(SUMIFS($D$245:$D$595,$F$245:$F$595,0,$E$245:$E$595,$G507,$C$245:$C$595,"&lt;="&amp;AA$5)&lt;1000000,SUMIFS($D$245:$D$595,$F$245:$F$595,0,$E$245:$E$595,$G507,$C$245:$C$595,"&lt;="&amp;AC5)&gt;=1000000),SUMIFS($D$245:$D$595,$F$245:$F$595,0,$E$245:$E$595,$G507)*$C$157 ,0)</f>
        <v/>
      </c>
      <c r="AE507" s="95">
        <f>IF(AND(SUMIFS($D$245:$D$595,$F$245:$F$595,0,$E$245:$E$595,$G507,$C$245:$C$595,"&lt;="&amp;AC$5)&lt;1000000,SUMIFS($D$245:$D$595,$F$245:$F$595,0,$E$245:$E$595,$G507,$C$245:$C$595,"&lt;="&amp;AE5)&gt;=1000000),SUMIFS($D$245:$D$595,$F$245:$F$595,0,$E$245:$E$595,$G507)*$C$157 ,0)</f>
        <v/>
      </c>
      <c r="AF507" s="19" t="n"/>
    </row>
    <row r="508">
      <c r="A508" s="20">
        <f>mid(E508, 3, 1)</f>
        <v/>
      </c>
      <c r="B508" s="14" t="inlineStr"/>
      <c r="C508" s="21">
        <f>SUMIFS('Investor Exit List'!$AC:$AC,'Investor Exit List'!$AB:$AB,B508)</f>
        <v/>
      </c>
      <c r="D508" s="14">
        <f>SUMIFS('Investor Exit List'!$Q:$Q,'Investor Exit List'!$AB:$AB,B508)</f>
        <v/>
      </c>
      <c r="E508" s="31">
        <f>LEFT(B508,6)</f>
        <v/>
      </c>
      <c r="F508" s="14">
        <f>IF(SUMIFS($E$119:$E$151,$D$119:$D$151,E508)&lt;&gt;0,E508,0)</f>
        <v/>
      </c>
      <c r="G508" s="59" t="n"/>
      <c r="I508" s="28">
        <f>IF(AND(SUMIFS($D$245:$D$595,$F$245:$F$595,0,$E$245:$E$595,$G508,$C$245:$C$595,"&lt;="&amp;B$2)&lt;1000000,SUMIFS($D$245:$D$595,$F$245:$F$595,0,$E$245:$E$595,$G508,$C$245:$C$595,"&lt;="&amp;I5)&gt;=1000000),SUMIFS($D$245:$D$595,$F$245:$F$595,0,$E$245:$E$595,$G508)*$C$157 ,0)</f>
        <v/>
      </c>
      <c r="K508" s="95">
        <f>IF(AND(SUMIFS($D$245:$D$595,$F$245:$F$595,0,$E$245:$E$595,$G508,$C$245:$C$595,"&lt;="&amp;I$5)&lt;1000000,SUMIFS($D$245:$D$595,$F$245:$F$595,0,$E$245:$E$595,$G508,$C$245:$C$595,"&lt;="&amp;K5)&gt;=1000000),SUMIFS($D$245:$D$595,$F$245:$F$595,0,$E$245:$E$595,$G508)*$C$157 ,0)</f>
        <v/>
      </c>
      <c r="M508" s="95">
        <f>IF(AND(SUMIFS($D$245:$D$595,$F$245:$F$595,0,$E$245:$E$595,$G508,$C$245:$C$595,"&lt;="&amp;K$5)&lt;1000000,SUMIFS($D$245:$D$595,$F$245:$F$595,0,$E$245:$E$595,$G508,$C$245:$C$595,"&lt;="&amp;M5)&gt;=1000000),SUMIFS($D$245:$D$595,$F$245:$F$595,0,$E$245:$E$595,$G508)*$C$157 ,0)</f>
        <v/>
      </c>
      <c r="O508" s="95">
        <f>IF(AND(SUMIFS($D$245:$D$595,$F$245:$F$595,0,$E$245:$E$595,$G508,$C$245:$C$595,"&lt;="&amp;M$5)&lt;1000000,SUMIFS($D$245:$D$595,$F$245:$F$595,0,$E$245:$E$595,$G508,$C$245:$C$595,"&lt;="&amp;O5)&gt;=1000000),SUMIFS($D$245:$D$595,$F$245:$F$595,0,$E$245:$E$595,$G508)*$C$157 ,0)</f>
        <v/>
      </c>
      <c r="Q508" s="95">
        <f>IF(AND(SUMIFS($D$245:$D$595,$F$245:$F$595,0,$E$245:$E$595,$G508,$C$245:$C$595,"&lt;="&amp;O$5)&lt;1000000,SUMIFS($D$245:$D$595,$F$245:$F$595,0,$E$245:$E$595,$G508,$C$245:$C$595,"&lt;="&amp;Q5)&gt;=1000000),SUMIFS($D$245:$D$595,$F$245:$F$595,0,$E$245:$E$595,$G508)*$C$157 ,0)</f>
        <v/>
      </c>
      <c r="S508" s="95">
        <f>IF(AND(SUMIFS($D$245:$D$595,$F$245:$F$595,0,$E$245:$E$595,$G508,$C$245:$C$595,"&lt;="&amp;Q$5)&lt;1000000,SUMIFS($D$245:$D$595,$F$245:$F$595,0,$E$245:$E$595,$G508,$C$245:$C$595,"&lt;="&amp;S5)&gt;=1000000),SUMIFS($D$245:$D$595,$F$245:$F$595,0,$E$245:$E$595,$G508)*$C$157 ,0)</f>
        <v/>
      </c>
      <c r="U508" s="95">
        <f>IF(AND(SUMIFS($D$245:$D$595,$F$245:$F$595,0,$E$245:$E$595,$G508,$C$245:$C$595,"&lt;="&amp;S$5)&lt;1000000,SUMIFS($D$245:$D$595,$F$245:$F$595,0,$E$245:$E$595,$G508,$C$245:$C$595,"&lt;="&amp;U5)&gt;=1000000),SUMIFS($D$245:$D$595,$F$245:$F$595,0,$E$245:$E$595,$G508)*$C$157 ,0)</f>
        <v/>
      </c>
      <c r="W508" s="95">
        <f>IF(AND(SUMIFS($D$245:$D$595,$F$245:$F$595,0,$E$245:$E$595,$G508,$C$245:$C$595,"&lt;="&amp;U$5)&lt;1000000,SUMIFS($D$245:$D$595,$F$245:$F$595,0,$E$245:$E$595,$G508,$C$245:$C$595,"&lt;="&amp;W5)&gt;=1000000),SUMIFS($D$245:$D$595,$F$245:$F$595,0,$E$245:$E$595,$G508)*$C$157 ,0)</f>
        <v/>
      </c>
      <c r="Y508" s="95">
        <f>IF(AND(SUMIFS($D$245:$D$595,$F$245:$F$595,0,$E$245:$E$595,$G508,$C$245:$C$595,"&lt;="&amp;W$5)&lt;1000000,SUMIFS($D$245:$D$595,$F$245:$F$595,0,$E$245:$E$595,$G508,$C$245:$C$595,"&lt;="&amp;Y5)&gt;=1000000),SUMIFS($D$245:$D$595,$F$245:$F$595,0,$E$245:$E$595,$G508)*$C$157 ,0)</f>
        <v/>
      </c>
      <c r="AA508" s="95">
        <f>IF(AND(SUMIFS($D$245:$D$595,$F$245:$F$595,0,$E$245:$E$595,$G508,$C$245:$C$595,"&lt;="&amp;Y$5)&lt;1000000,SUMIFS($D$245:$D$595,$F$245:$F$595,0,$E$245:$E$595,$G508,$C$245:$C$595,"&lt;="&amp;AA5)&gt;=1000000),SUMIFS($D$245:$D$595,$F$245:$F$595,0,$E$245:$E$595,$G508)*$C$157 ,0)</f>
        <v/>
      </c>
      <c r="AC508" s="95">
        <f>IF(AND(SUMIFS($D$245:$D$595,$F$245:$F$595,0,$E$245:$E$595,$G508,$C$245:$C$595,"&lt;="&amp;AA$5)&lt;1000000,SUMIFS($D$245:$D$595,$F$245:$F$595,0,$E$245:$E$595,$G508,$C$245:$C$595,"&lt;="&amp;AC5)&gt;=1000000),SUMIFS($D$245:$D$595,$F$245:$F$595,0,$E$245:$E$595,$G508)*$C$157 ,0)</f>
        <v/>
      </c>
      <c r="AE508" s="95">
        <f>IF(AND(SUMIFS($D$245:$D$595,$F$245:$F$595,0,$E$245:$E$595,$G508,$C$245:$C$595,"&lt;="&amp;AC$5)&lt;1000000,SUMIFS($D$245:$D$595,$F$245:$F$595,0,$E$245:$E$595,$G508,$C$245:$C$595,"&lt;="&amp;AE5)&gt;=1000000),SUMIFS($D$245:$D$595,$F$245:$F$595,0,$E$245:$E$595,$G508)*$C$157 ,0)</f>
        <v/>
      </c>
      <c r="AF508" s="19" t="n"/>
    </row>
    <row r="509">
      <c r="A509" s="20">
        <f>mid(E509, 3, 1)</f>
        <v/>
      </c>
      <c r="B509" s="14" t="inlineStr"/>
      <c r="C509" s="21">
        <f>SUMIFS('Investor Exit List'!$AC:$AC,'Investor Exit List'!$AB:$AB,B509)</f>
        <v/>
      </c>
      <c r="D509" s="14">
        <f>SUMIFS('Investor Exit List'!$Q:$Q,'Investor Exit List'!$AB:$AB,B509)</f>
        <v/>
      </c>
      <c r="E509" s="31">
        <f>LEFT(B509,6)</f>
        <v/>
      </c>
      <c r="F509" s="14">
        <f>IF(SUMIFS($E$119:$E$151,$D$119:$D$151,E509)&lt;&gt;0,E509,0)</f>
        <v/>
      </c>
      <c r="G509" s="59" t="n"/>
      <c r="I509" s="28">
        <f>IF(AND(SUMIFS($D$245:$D$595,$F$245:$F$595,0,$E$245:$E$595,$G509,$C$245:$C$595,"&lt;="&amp;B$2)&lt;1000000,SUMIFS($D$245:$D$595,$F$245:$F$595,0,$E$245:$E$595,$G509,$C$245:$C$595,"&lt;="&amp;I5)&gt;=1000000),SUMIFS($D$245:$D$595,$F$245:$F$595,0,$E$245:$E$595,$G509)*$C$157 ,0)</f>
        <v/>
      </c>
      <c r="K509" s="95">
        <f>IF(AND(SUMIFS($D$245:$D$595,$F$245:$F$595,0,$E$245:$E$595,$G509,$C$245:$C$595,"&lt;="&amp;I$5)&lt;1000000,SUMIFS($D$245:$D$595,$F$245:$F$595,0,$E$245:$E$595,$G509,$C$245:$C$595,"&lt;="&amp;K5)&gt;=1000000),SUMIFS($D$245:$D$595,$F$245:$F$595,0,$E$245:$E$595,$G509)*$C$157 ,0)</f>
        <v/>
      </c>
      <c r="M509" s="95">
        <f>IF(AND(SUMIFS($D$245:$D$595,$F$245:$F$595,0,$E$245:$E$595,$G509,$C$245:$C$595,"&lt;="&amp;K$5)&lt;1000000,SUMIFS($D$245:$D$595,$F$245:$F$595,0,$E$245:$E$595,$G509,$C$245:$C$595,"&lt;="&amp;M5)&gt;=1000000),SUMIFS($D$245:$D$595,$F$245:$F$595,0,$E$245:$E$595,$G509)*$C$157 ,0)</f>
        <v/>
      </c>
      <c r="O509" s="95">
        <f>IF(AND(SUMIFS($D$245:$D$595,$F$245:$F$595,0,$E$245:$E$595,$G509,$C$245:$C$595,"&lt;="&amp;M$5)&lt;1000000,SUMIFS($D$245:$D$595,$F$245:$F$595,0,$E$245:$E$595,$G509,$C$245:$C$595,"&lt;="&amp;O5)&gt;=1000000),SUMIFS($D$245:$D$595,$F$245:$F$595,0,$E$245:$E$595,$G509)*$C$157 ,0)</f>
        <v/>
      </c>
      <c r="Q509" s="95">
        <f>IF(AND(SUMIFS($D$245:$D$595,$F$245:$F$595,0,$E$245:$E$595,$G509,$C$245:$C$595,"&lt;="&amp;O$5)&lt;1000000,SUMIFS($D$245:$D$595,$F$245:$F$595,0,$E$245:$E$595,$G509,$C$245:$C$595,"&lt;="&amp;Q5)&gt;=1000000),SUMIFS($D$245:$D$595,$F$245:$F$595,0,$E$245:$E$595,$G509)*$C$157 ,0)</f>
        <v/>
      </c>
      <c r="S509" s="95">
        <f>IF(AND(SUMIFS($D$245:$D$595,$F$245:$F$595,0,$E$245:$E$595,$G509,$C$245:$C$595,"&lt;="&amp;Q$5)&lt;1000000,SUMIFS($D$245:$D$595,$F$245:$F$595,0,$E$245:$E$595,$G509,$C$245:$C$595,"&lt;="&amp;S5)&gt;=1000000),SUMIFS($D$245:$D$595,$F$245:$F$595,0,$E$245:$E$595,$G509)*$C$157 ,0)</f>
        <v/>
      </c>
      <c r="U509" s="95">
        <f>IF(AND(SUMIFS($D$245:$D$595,$F$245:$F$595,0,$E$245:$E$595,$G509,$C$245:$C$595,"&lt;="&amp;S$5)&lt;1000000,SUMIFS($D$245:$D$595,$F$245:$F$595,0,$E$245:$E$595,$G509,$C$245:$C$595,"&lt;="&amp;U5)&gt;=1000000),SUMIFS($D$245:$D$595,$F$245:$F$595,0,$E$245:$E$595,$G509)*$C$157 ,0)</f>
        <v/>
      </c>
      <c r="W509" s="95">
        <f>IF(AND(SUMIFS($D$245:$D$595,$F$245:$F$595,0,$E$245:$E$595,$G509,$C$245:$C$595,"&lt;="&amp;U$5)&lt;1000000,SUMIFS($D$245:$D$595,$F$245:$F$595,0,$E$245:$E$595,$G509,$C$245:$C$595,"&lt;="&amp;W5)&gt;=1000000),SUMIFS($D$245:$D$595,$F$245:$F$595,0,$E$245:$E$595,$G509)*$C$157 ,0)</f>
        <v/>
      </c>
      <c r="Y509" s="95">
        <f>IF(AND(SUMIFS($D$245:$D$595,$F$245:$F$595,0,$E$245:$E$595,$G509,$C$245:$C$595,"&lt;="&amp;W$5)&lt;1000000,SUMIFS($D$245:$D$595,$F$245:$F$595,0,$E$245:$E$595,$G509,$C$245:$C$595,"&lt;="&amp;Y5)&gt;=1000000),SUMIFS($D$245:$D$595,$F$245:$F$595,0,$E$245:$E$595,$G509)*$C$157 ,0)</f>
        <v/>
      </c>
      <c r="AA509" s="95">
        <f>IF(AND(SUMIFS($D$245:$D$595,$F$245:$F$595,0,$E$245:$E$595,$G509,$C$245:$C$595,"&lt;="&amp;Y$5)&lt;1000000,SUMIFS($D$245:$D$595,$F$245:$F$595,0,$E$245:$E$595,$G509,$C$245:$C$595,"&lt;="&amp;AA5)&gt;=1000000),SUMIFS($D$245:$D$595,$F$245:$F$595,0,$E$245:$E$595,$G509)*$C$157 ,0)</f>
        <v/>
      </c>
      <c r="AC509" s="95">
        <f>IF(AND(SUMIFS($D$245:$D$595,$F$245:$F$595,0,$E$245:$E$595,$G509,$C$245:$C$595,"&lt;="&amp;AA$5)&lt;1000000,SUMIFS($D$245:$D$595,$F$245:$F$595,0,$E$245:$E$595,$G509,$C$245:$C$595,"&lt;="&amp;AC5)&gt;=1000000),SUMIFS($D$245:$D$595,$F$245:$F$595,0,$E$245:$E$595,$G509)*$C$157 ,0)</f>
        <v/>
      </c>
      <c r="AE509" s="95">
        <f>IF(AND(SUMIFS($D$245:$D$595,$F$245:$F$595,0,$E$245:$E$595,$G509,$C$245:$C$595,"&lt;="&amp;AC$5)&lt;1000000,SUMIFS($D$245:$D$595,$F$245:$F$595,0,$E$245:$E$595,$G509,$C$245:$C$595,"&lt;="&amp;AE5)&gt;=1000000),SUMIFS($D$245:$D$595,$F$245:$F$595,0,$E$245:$E$595,$G509)*$C$157 ,0)</f>
        <v/>
      </c>
      <c r="AF509" s="19" t="n"/>
    </row>
    <row r="510">
      <c r="A510" s="20">
        <f>mid(E510, 3, 1)</f>
        <v/>
      </c>
      <c r="B510" s="14" t="inlineStr"/>
      <c r="C510" s="21">
        <f>SUMIFS('Investor Exit List'!$AC:$AC,'Investor Exit List'!$AB:$AB,B510)</f>
        <v/>
      </c>
      <c r="D510" s="14">
        <f>SUMIFS('Investor Exit List'!$Q:$Q,'Investor Exit List'!$AB:$AB,B510)</f>
        <v/>
      </c>
      <c r="E510" s="31">
        <f>LEFT(B510,6)</f>
        <v/>
      </c>
      <c r="F510" s="14">
        <f>IF(SUMIFS($E$119:$E$151,$D$119:$D$151,E510)&lt;&gt;0,E510,0)</f>
        <v/>
      </c>
      <c r="G510" s="59" t="n"/>
      <c r="I510" s="28">
        <f>IF(AND(SUMIFS($D$245:$D$595,$F$245:$F$595,0,$E$245:$E$595,$G510,$C$245:$C$595,"&lt;="&amp;B$2)&lt;1000000,SUMIFS($D$245:$D$595,$F$245:$F$595,0,$E$245:$E$595,$G510,$C$245:$C$595,"&lt;="&amp;I5)&gt;=1000000),SUMIFS($D$245:$D$595,$F$245:$F$595,0,$E$245:$E$595,$G510)*$C$157 ,0)</f>
        <v/>
      </c>
      <c r="K510" s="95">
        <f>IF(AND(SUMIFS($D$245:$D$595,$F$245:$F$595,0,$E$245:$E$595,$G510,$C$245:$C$595,"&lt;="&amp;I$5)&lt;1000000,SUMIFS($D$245:$D$595,$F$245:$F$595,0,$E$245:$E$595,$G510,$C$245:$C$595,"&lt;="&amp;K5)&gt;=1000000),SUMIFS($D$245:$D$595,$F$245:$F$595,0,$E$245:$E$595,$G510)*$C$157 ,0)</f>
        <v/>
      </c>
      <c r="M510" s="95">
        <f>IF(AND(SUMIFS($D$245:$D$595,$F$245:$F$595,0,$E$245:$E$595,$G510,$C$245:$C$595,"&lt;="&amp;K$5)&lt;1000000,SUMIFS($D$245:$D$595,$F$245:$F$595,0,$E$245:$E$595,$G510,$C$245:$C$595,"&lt;="&amp;M5)&gt;=1000000),SUMIFS($D$245:$D$595,$F$245:$F$595,0,$E$245:$E$595,$G510)*$C$157 ,0)</f>
        <v/>
      </c>
      <c r="O510" s="95">
        <f>IF(AND(SUMIFS($D$245:$D$595,$F$245:$F$595,0,$E$245:$E$595,$G510,$C$245:$C$595,"&lt;="&amp;M$5)&lt;1000000,SUMIFS($D$245:$D$595,$F$245:$F$595,0,$E$245:$E$595,$G510,$C$245:$C$595,"&lt;="&amp;O5)&gt;=1000000),SUMIFS($D$245:$D$595,$F$245:$F$595,0,$E$245:$E$595,$G510)*$C$157 ,0)</f>
        <v/>
      </c>
      <c r="Q510" s="95">
        <f>IF(AND(SUMIFS($D$245:$D$595,$F$245:$F$595,0,$E$245:$E$595,$G510,$C$245:$C$595,"&lt;="&amp;O$5)&lt;1000000,SUMIFS($D$245:$D$595,$F$245:$F$595,0,$E$245:$E$595,$G510,$C$245:$C$595,"&lt;="&amp;Q5)&gt;=1000000),SUMIFS($D$245:$D$595,$F$245:$F$595,0,$E$245:$E$595,$G510)*$C$157 ,0)</f>
        <v/>
      </c>
      <c r="S510" s="95">
        <f>IF(AND(SUMIFS($D$245:$D$595,$F$245:$F$595,0,$E$245:$E$595,$G510,$C$245:$C$595,"&lt;="&amp;Q$5)&lt;1000000,SUMIFS($D$245:$D$595,$F$245:$F$595,0,$E$245:$E$595,$G510,$C$245:$C$595,"&lt;="&amp;S5)&gt;=1000000),SUMIFS($D$245:$D$595,$F$245:$F$595,0,$E$245:$E$595,$G510)*$C$157 ,0)</f>
        <v/>
      </c>
      <c r="U510" s="95">
        <f>IF(AND(SUMIFS($D$245:$D$595,$F$245:$F$595,0,$E$245:$E$595,$G510,$C$245:$C$595,"&lt;="&amp;S$5)&lt;1000000,SUMIFS($D$245:$D$595,$F$245:$F$595,0,$E$245:$E$595,$G510,$C$245:$C$595,"&lt;="&amp;U5)&gt;=1000000),SUMIFS($D$245:$D$595,$F$245:$F$595,0,$E$245:$E$595,$G510)*$C$157 ,0)</f>
        <v/>
      </c>
      <c r="W510" s="95">
        <f>IF(AND(SUMIFS($D$245:$D$595,$F$245:$F$595,0,$E$245:$E$595,$G510,$C$245:$C$595,"&lt;="&amp;U$5)&lt;1000000,SUMIFS($D$245:$D$595,$F$245:$F$595,0,$E$245:$E$595,$G510,$C$245:$C$595,"&lt;="&amp;W5)&gt;=1000000),SUMIFS($D$245:$D$595,$F$245:$F$595,0,$E$245:$E$595,$G510)*$C$157 ,0)</f>
        <v/>
      </c>
      <c r="Y510" s="95">
        <f>IF(AND(SUMIFS($D$245:$D$595,$F$245:$F$595,0,$E$245:$E$595,$G510,$C$245:$C$595,"&lt;="&amp;W$5)&lt;1000000,SUMIFS($D$245:$D$595,$F$245:$F$595,0,$E$245:$E$595,$G510,$C$245:$C$595,"&lt;="&amp;Y5)&gt;=1000000),SUMIFS($D$245:$D$595,$F$245:$F$595,0,$E$245:$E$595,$G510)*$C$157 ,0)</f>
        <v/>
      </c>
      <c r="AA510" s="95">
        <f>IF(AND(SUMIFS($D$245:$D$595,$F$245:$F$595,0,$E$245:$E$595,$G510,$C$245:$C$595,"&lt;="&amp;Y$5)&lt;1000000,SUMIFS($D$245:$D$595,$F$245:$F$595,0,$E$245:$E$595,$G510,$C$245:$C$595,"&lt;="&amp;AA5)&gt;=1000000),SUMIFS($D$245:$D$595,$F$245:$F$595,0,$E$245:$E$595,$G510)*$C$157 ,0)</f>
        <v/>
      </c>
      <c r="AC510" s="95">
        <f>IF(AND(SUMIFS($D$245:$D$595,$F$245:$F$595,0,$E$245:$E$595,$G510,$C$245:$C$595,"&lt;="&amp;AA$5)&lt;1000000,SUMIFS($D$245:$D$595,$F$245:$F$595,0,$E$245:$E$595,$G510,$C$245:$C$595,"&lt;="&amp;AC5)&gt;=1000000),SUMIFS($D$245:$D$595,$F$245:$F$595,0,$E$245:$E$595,$G510)*$C$157 ,0)</f>
        <v/>
      </c>
      <c r="AE510" s="95">
        <f>IF(AND(SUMIFS($D$245:$D$595,$F$245:$F$595,0,$E$245:$E$595,$G510,$C$245:$C$595,"&lt;="&amp;AC$5)&lt;1000000,SUMIFS($D$245:$D$595,$F$245:$F$595,0,$E$245:$E$595,$G510,$C$245:$C$595,"&lt;="&amp;AE5)&gt;=1000000),SUMIFS($D$245:$D$595,$F$245:$F$595,0,$E$245:$E$595,$G510)*$C$157 ,0)</f>
        <v/>
      </c>
      <c r="AF510" s="19" t="n"/>
    </row>
    <row r="511">
      <c r="A511" s="20">
        <f>mid(E511, 3, 1)</f>
        <v/>
      </c>
      <c r="B511" s="14" t="inlineStr"/>
      <c r="C511" s="21">
        <f>SUMIFS('Investor Exit List'!$AC:$AC,'Investor Exit List'!$AB:$AB,B511)</f>
        <v/>
      </c>
      <c r="D511" s="14">
        <f>SUMIFS('Investor Exit List'!$Q:$Q,'Investor Exit List'!$AB:$AB,B511)</f>
        <v/>
      </c>
      <c r="E511" s="31">
        <f>LEFT(B511,6)</f>
        <v/>
      </c>
      <c r="F511" s="14">
        <f>IF(SUMIFS($E$119:$E$151,$D$119:$D$151,E511)&lt;&gt;0,E511,0)</f>
        <v/>
      </c>
      <c r="G511" s="59" t="n"/>
      <c r="I511" s="28">
        <f>IF(AND(SUMIFS($D$245:$D$595,$F$245:$F$595,0,$E$245:$E$595,$G511,$C$245:$C$595,"&lt;="&amp;B$2)&lt;1000000,SUMIFS($D$245:$D$595,$F$245:$F$595,0,$E$245:$E$595,$G511,$C$245:$C$595,"&lt;="&amp;I5)&gt;=1000000),SUMIFS($D$245:$D$595,$F$245:$F$595,0,$E$245:$E$595,$G511)*$C$157 ,0)</f>
        <v/>
      </c>
      <c r="K511" s="95">
        <f>IF(AND(SUMIFS($D$245:$D$595,$F$245:$F$595,0,$E$245:$E$595,$G511,$C$245:$C$595,"&lt;="&amp;I$5)&lt;1000000,SUMIFS($D$245:$D$595,$F$245:$F$595,0,$E$245:$E$595,$G511,$C$245:$C$595,"&lt;="&amp;K5)&gt;=1000000),SUMIFS($D$245:$D$595,$F$245:$F$595,0,$E$245:$E$595,$G511)*$C$157 ,0)</f>
        <v/>
      </c>
      <c r="M511" s="95">
        <f>IF(AND(SUMIFS($D$245:$D$595,$F$245:$F$595,0,$E$245:$E$595,$G511,$C$245:$C$595,"&lt;="&amp;K$5)&lt;1000000,SUMIFS($D$245:$D$595,$F$245:$F$595,0,$E$245:$E$595,$G511,$C$245:$C$595,"&lt;="&amp;M5)&gt;=1000000),SUMIFS($D$245:$D$595,$F$245:$F$595,0,$E$245:$E$595,$G511)*$C$157 ,0)</f>
        <v/>
      </c>
      <c r="O511" s="95">
        <f>IF(AND(SUMIFS($D$245:$D$595,$F$245:$F$595,0,$E$245:$E$595,$G511,$C$245:$C$595,"&lt;="&amp;M$5)&lt;1000000,SUMIFS($D$245:$D$595,$F$245:$F$595,0,$E$245:$E$595,$G511,$C$245:$C$595,"&lt;="&amp;O5)&gt;=1000000),SUMIFS($D$245:$D$595,$F$245:$F$595,0,$E$245:$E$595,$G511)*$C$157 ,0)</f>
        <v/>
      </c>
      <c r="Q511" s="95">
        <f>IF(AND(SUMIFS($D$245:$D$595,$F$245:$F$595,0,$E$245:$E$595,$G511,$C$245:$C$595,"&lt;="&amp;O$5)&lt;1000000,SUMIFS($D$245:$D$595,$F$245:$F$595,0,$E$245:$E$595,$G511,$C$245:$C$595,"&lt;="&amp;Q5)&gt;=1000000),SUMIFS($D$245:$D$595,$F$245:$F$595,0,$E$245:$E$595,$G511)*$C$157 ,0)</f>
        <v/>
      </c>
      <c r="S511" s="95">
        <f>IF(AND(SUMIFS($D$245:$D$595,$F$245:$F$595,0,$E$245:$E$595,$G511,$C$245:$C$595,"&lt;="&amp;Q$5)&lt;1000000,SUMIFS($D$245:$D$595,$F$245:$F$595,0,$E$245:$E$595,$G511,$C$245:$C$595,"&lt;="&amp;S5)&gt;=1000000),SUMIFS($D$245:$D$595,$F$245:$F$595,0,$E$245:$E$595,$G511)*$C$157 ,0)</f>
        <v/>
      </c>
      <c r="U511" s="95">
        <f>IF(AND(SUMIFS($D$245:$D$595,$F$245:$F$595,0,$E$245:$E$595,$G511,$C$245:$C$595,"&lt;="&amp;S$5)&lt;1000000,SUMIFS($D$245:$D$595,$F$245:$F$595,0,$E$245:$E$595,$G511,$C$245:$C$595,"&lt;="&amp;U5)&gt;=1000000),SUMIFS($D$245:$D$595,$F$245:$F$595,0,$E$245:$E$595,$G511)*$C$157 ,0)</f>
        <v/>
      </c>
      <c r="W511" s="95">
        <f>IF(AND(SUMIFS($D$245:$D$595,$F$245:$F$595,0,$E$245:$E$595,$G511,$C$245:$C$595,"&lt;="&amp;U$5)&lt;1000000,SUMIFS($D$245:$D$595,$F$245:$F$595,0,$E$245:$E$595,$G511,$C$245:$C$595,"&lt;="&amp;W5)&gt;=1000000),SUMIFS($D$245:$D$595,$F$245:$F$595,0,$E$245:$E$595,$G511)*$C$157 ,0)</f>
        <v/>
      </c>
      <c r="Y511" s="95">
        <f>IF(AND(SUMIFS($D$245:$D$595,$F$245:$F$595,0,$E$245:$E$595,$G511,$C$245:$C$595,"&lt;="&amp;W$5)&lt;1000000,SUMIFS($D$245:$D$595,$F$245:$F$595,0,$E$245:$E$595,$G511,$C$245:$C$595,"&lt;="&amp;Y5)&gt;=1000000),SUMIFS($D$245:$D$595,$F$245:$F$595,0,$E$245:$E$595,$G511)*$C$157 ,0)</f>
        <v/>
      </c>
      <c r="AA511" s="95">
        <f>IF(AND(SUMIFS($D$245:$D$595,$F$245:$F$595,0,$E$245:$E$595,$G511,$C$245:$C$595,"&lt;="&amp;Y$5)&lt;1000000,SUMIFS($D$245:$D$595,$F$245:$F$595,0,$E$245:$E$595,$G511,$C$245:$C$595,"&lt;="&amp;AA5)&gt;=1000000),SUMIFS($D$245:$D$595,$F$245:$F$595,0,$E$245:$E$595,$G511)*$C$157 ,0)</f>
        <v/>
      </c>
      <c r="AC511" s="95">
        <f>IF(AND(SUMIFS($D$245:$D$595,$F$245:$F$595,0,$E$245:$E$595,$G511,$C$245:$C$595,"&lt;="&amp;AA$5)&lt;1000000,SUMIFS($D$245:$D$595,$F$245:$F$595,0,$E$245:$E$595,$G511,$C$245:$C$595,"&lt;="&amp;AC5)&gt;=1000000),SUMIFS($D$245:$D$595,$F$245:$F$595,0,$E$245:$E$595,$G511)*$C$157 ,0)</f>
        <v/>
      </c>
      <c r="AE511" s="95">
        <f>IF(AND(SUMIFS($D$245:$D$595,$F$245:$F$595,0,$E$245:$E$595,$G511,$C$245:$C$595,"&lt;="&amp;AC$5)&lt;1000000,SUMIFS($D$245:$D$595,$F$245:$F$595,0,$E$245:$E$595,$G511,$C$245:$C$595,"&lt;="&amp;AE5)&gt;=1000000),SUMIFS($D$245:$D$595,$F$245:$F$595,0,$E$245:$E$595,$G511)*$C$157 ,0)</f>
        <v/>
      </c>
      <c r="AF511" s="19" t="n"/>
    </row>
    <row r="512">
      <c r="A512" s="20">
        <f>mid(E512, 3, 1)</f>
        <v/>
      </c>
      <c r="B512" s="14" t="inlineStr"/>
      <c r="C512" s="21">
        <f>SUMIFS('Investor Exit List'!$AC:$AC,'Investor Exit List'!$AB:$AB,B512)</f>
        <v/>
      </c>
      <c r="D512" s="14">
        <f>SUMIFS('Investor Exit List'!$Q:$Q,'Investor Exit List'!$AB:$AB,B512)</f>
        <v/>
      </c>
      <c r="E512" s="31">
        <f>LEFT(B512,6)</f>
        <v/>
      </c>
      <c r="F512" s="14">
        <f>IF(SUMIFS($E$119:$E$151,$D$119:$D$151,E512)&lt;&gt;0,E512,0)</f>
        <v/>
      </c>
      <c r="G512" s="59" t="n"/>
      <c r="I512" s="28">
        <f>IF(AND(SUMIFS($D$245:$D$595,$F$245:$F$595,0,$E$245:$E$595,$G512,$C$245:$C$595,"&lt;="&amp;B$2)&lt;1000000,SUMIFS($D$245:$D$595,$F$245:$F$595,0,$E$245:$E$595,$G512,$C$245:$C$595,"&lt;="&amp;I5)&gt;=1000000),SUMIFS($D$245:$D$595,$F$245:$F$595,0,$E$245:$E$595,$G512)*$C$157 ,0)</f>
        <v/>
      </c>
      <c r="K512" s="95">
        <f>IF(AND(SUMIFS($D$245:$D$595,$F$245:$F$595,0,$E$245:$E$595,$G512,$C$245:$C$595,"&lt;="&amp;I$5)&lt;1000000,SUMIFS($D$245:$D$595,$F$245:$F$595,0,$E$245:$E$595,$G512,$C$245:$C$595,"&lt;="&amp;K5)&gt;=1000000),SUMIFS($D$245:$D$595,$F$245:$F$595,0,$E$245:$E$595,$G512)*$C$157 ,0)</f>
        <v/>
      </c>
      <c r="M512" s="95">
        <f>IF(AND(SUMIFS($D$245:$D$595,$F$245:$F$595,0,$E$245:$E$595,$G512,$C$245:$C$595,"&lt;="&amp;K$5)&lt;1000000,SUMIFS($D$245:$D$595,$F$245:$F$595,0,$E$245:$E$595,$G512,$C$245:$C$595,"&lt;="&amp;M5)&gt;=1000000),SUMIFS($D$245:$D$595,$F$245:$F$595,0,$E$245:$E$595,$G512)*$C$157 ,0)</f>
        <v/>
      </c>
      <c r="O512" s="95">
        <f>IF(AND(SUMIFS($D$245:$D$595,$F$245:$F$595,0,$E$245:$E$595,$G512,$C$245:$C$595,"&lt;="&amp;M$5)&lt;1000000,SUMIFS($D$245:$D$595,$F$245:$F$595,0,$E$245:$E$595,$G512,$C$245:$C$595,"&lt;="&amp;O5)&gt;=1000000),SUMIFS($D$245:$D$595,$F$245:$F$595,0,$E$245:$E$595,$G512)*$C$157 ,0)</f>
        <v/>
      </c>
      <c r="Q512" s="95">
        <f>IF(AND(SUMIFS($D$245:$D$595,$F$245:$F$595,0,$E$245:$E$595,$G512,$C$245:$C$595,"&lt;="&amp;O$5)&lt;1000000,SUMIFS($D$245:$D$595,$F$245:$F$595,0,$E$245:$E$595,$G512,$C$245:$C$595,"&lt;="&amp;Q5)&gt;=1000000),SUMIFS($D$245:$D$595,$F$245:$F$595,0,$E$245:$E$595,$G512)*$C$157 ,0)</f>
        <v/>
      </c>
      <c r="S512" s="95">
        <f>IF(AND(SUMIFS($D$245:$D$595,$F$245:$F$595,0,$E$245:$E$595,$G512,$C$245:$C$595,"&lt;="&amp;Q$5)&lt;1000000,SUMIFS($D$245:$D$595,$F$245:$F$595,0,$E$245:$E$595,$G512,$C$245:$C$595,"&lt;="&amp;S5)&gt;=1000000),SUMIFS($D$245:$D$595,$F$245:$F$595,0,$E$245:$E$595,$G512)*$C$157 ,0)</f>
        <v/>
      </c>
      <c r="U512" s="95">
        <f>IF(AND(SUMIFS($D$245:$D$595,$F$245:$F$595,0,$E$245:$E$595,$G512,$C$245:$C$595,"&lt;="&amp;S$5)&lt;1000000,SUMIFS($D$245:$D$595,$F$245:$F$595,0,$E$245:$E$595,$G512,$C$245:$C$595,"&lt;="&amp;U5)&gt;=1000000),SUMIFS($D$245:$D$595,$F$245:$F$595,0,$E$245:$E$595,$G512)*$C$157 ,0)</f>
        <v/>
      </c>
      <c r="W512" s="95">
        <f>IF(AND(SUMIFS($D$245:$D$595,$F$245:$F$595,0,$E$245:$E$595,$G512,$C$245:$C$595,"&lt;="&amp;U$5)&lt;1000000,SUMIFS($D$245:$D$595,$F$245:$F$595,0,$E$245:$E$595,$G512,$C$245:$C$595,"&lt;="&amp;W5)&gt;=1000000),SUMIFS($D$245:$D$595,$F$245:$F$595,0,$E$245:$E$595,$G512)*$C$157 ,0)</f>
        <v/>
      </c>
      <c r="Y512" s="95">
        <f>IF(AND(SUMIFS($D$245:$D$595,$F$245:$F$595,0,$E$245:$E$595,$G512,$C$245:$C$595,"&lt;="&amp;W$5)&lt;1000000,SUMIFS($D$245:$D$595,$F$245:$F$595,0,$E$245:$E$595,$G512,$C$245:$C$595,"&lt;="&amp;Y5)&gt;=1000000),SUMIFS($D$245:$D$595,$F$245:$F$595,0,$E$245:$E$595,$G512)*$C$157 ,0)</f>
        <v/>
      </c>
      <c r="AA512" s="95">
        <f>IF(AND(SUMIFS($D$245:$D$595,$F$245:$F$595,0,$E$245:$E$595,$G512,$C$245:$C$595,"&lt;="&amp;Y$5)&lt;1000000,SUMIFS($D$245:$D$595,$F$245:$F$595,0,$E$245:$E$595,$G512,$C$245:$C$595,"&lt;="&amp;AA5)&gt;=1000000),SUMIFS($D$245:$D$595,$F$245:$F$595,0,$E$245:$E$595,$G512)*$C$157 ,0)</f>
        <v/>
      </c>
      <c r="AC512" s="95">
        <f>IF(AND(SUMIFS($D$245:$D$595,$F$245:$F$595,0,$E$245:$E$595,$G512,$C$245:$C$595,"&lt;="&amp;AA$5)&lt;1000000,SUMIFS($D$245:$D$595,$F$245:$F$595,0,$E$245:$E$595,$G512,$C$245:$C$595,"&lt;="&amp;AC5)&gt;=1000000),SUMIFS($D$245:$D$595,$F$245:$F$595,0,$E$245:$E$595,$G512)*$C$157 ,0)</f>
        <v/>
      </c>
      <c r="AE512" s="95">
        <f>IF(AND(SUMIFS($D$245:$D$595,$F$245:$F$595,0,$E$245:$E$595,$G512,$C$245:$C$595,"&lt;="&amp;AC$5)&lt;1000000,SUMIFS($D$245:$D$595,$F$245:$F$595,0,$E$245:$E$595,$G512,$C$245:$C$595,"&lt;="&amp;AE5)&gt;=1000000),SUMIFS($D$245:$D$595,$F$245:$F$595,0,$E$245:$E$595,$G512)*$C$157 ,0)</f>
        <v/>
      </c>
      <c r="AF512" s="19" t="n"/>
    </row>
    <row r="513">
      <c r="A513" s="20">
        <f>mid(E513, 3, 1)</f>
        <v/>
      </c>
      <c r="B513" s="14" t="inlineStr"/>
      <c r="C513" s="21">
        <f>SUMIFS('Investor Exit List'!$AC:$AC,'Investor Exit List'!$AB:$AB,B513)</f>
        <v/>
      </c>
      <c r="D513" s="14">
        <f>SUMIFS('Investor Exit List'!$Q:$Q,'Investor Exit List'!$AB:$AB,B513)</f>
        <v/>
      </c>
      <c r="E513" s="31">
        <f>LEFT(B513,6)</f>
        <v/>
      </c>
      <c r="F513" s="14">
        <f>IF(SUMIFS($E$119:$E$151,$D$119:$D$151,E513)&lt;&gt;0,E513,0)</f>
        <v/>
      </c>
      <c r="G513" s="59" t="n"/>
      <c r="I513" s="28">
        <f>IF(AND(SUMIFS($D$245:$D$595,$F$245:$F$595,0,$E$245:$E$595,$G513,$C$245:$C$595,"&lt;="&amp;B$2)&lt;1000000,SUMIFS($D$245:$D$595,$F$245:$F$595,0,$E$245:$E$595,$G513,$C$245:$C$595,"&lt;="&amp;I5)&gt;=1000000),SUMIFS($D$245:$D$595,$F$245:$F$595,0,$E$245:$E$595,$G513)*$C$157 ,0)</f>
        <v/>
      </c>
      <c r="K513" s="95">
        <f>IF(AND(SUMIFS($D$245:$D$595,$F$245:$F$595,0,$E$245:$E$595,$G513,$C$245:$C$595,"&lt;="&amp;I$5)&lt;1000000,SUMIFS($D$245:$D$595,$F$245:$F$595,0,$E$245:$E$595,$G513,$C$245:$C$595,"&lt;="&amp;K5)&gt;=1000000),SUMIFS($D$245:$D$595,$F$245:$F$595,0,$E$245:$E$595,$G513)*$C$157 ,0)</f>
        <v/>
      </c>
      <c r="M513" s="95">
        <f>IF(AND(SUMIFS($D$245:$D$595,$F$245:$F$595,0,$E$245:$E$595,$G513,$C$245:$C$595,"&lt;="&amp;K$5)&lt;1000000,SUMIFS($D$245:$D$595,$F$245:$F$595,0,$E$245:$E$595,$G513,$C$245:$C$595,"&lt;="&amp;M5)&gt;=1000000),SUMIFS($D$245:$D$595,$F$245:$F$595,0,$E$245:$E$595,$G513)*$C$157 ,0)</f>
        <v/>
      </c>
      <c r="O513" s="95">
        <f>IF(AND(SUMIFS($D$245:$D$595,$F$245:$F$595,0,$E$245:$E$595,$G513,$C$245:$C$595,"&lt;="&amp;M$5)&lt;1000000,SUMIFS($D$245:$D$595,$F$245:$F$595,0,$E$245:$E$595,$G513,$C$245:$C$595,"&lt;="&amp;O5)&gt;=1000000),SUMIFS($D$245:$D$595,$F$245:$F$595,0,$E$245:$E$595,$G513)*$C$157 ,0)</f>
        <v/>
      </c>
      <c r="Q513" s="95">
        <f>IF(AND(SUMIFS($D$245:$D$595,$F$245:$F$595,0,$E$245:$E$595,$G513,$C$245:$C$595,"&lt;="&amp;O$5)&lt;1000000,SUMIFS($D$245:$D$595,$F$245:$F$595,0,$E$245:$E$595,$G513,$C$245:$C$595,"&lt;="&amp;Q5)&gt;=1000000),SUMIFS($D$245:$D$595,$F$245:$F$595,0,$E$245:$E$595,$G513)*$C$157 ,0)</f>
        <v/>
      </c>
      <c r="S513" s="95">
        <f>IF(AND(SUMIFS($D$245:$D$595,$F$245:$F$595,0,$E$245:$E$595,$G513,$C$245:$C$595,"&lt;="&amp;Q$5)&lt;1000000,SUMIFS($D$245:$D$595,$F$245:$F$595,0,$E$245:$E$595,$G513,$C$245:$C$595,"&lt;="&amp;S5)&gt;=1000000),SUMIFS($D$245:$D$595,$F$245:$F$595,0,$E$245:$E$595,$G513)*$C$157 ,0)</f>
        <v/>
      </c>
      <c r="U513" s="95">
        <f>IF(AND(SUMIFS($D$245:$D$595,$F$245:$F$595,0,$E$245:$E$595,$G513,$C$245:$C$595,"&lt;="&amp;S$5)&lt;1000000,SUMIFS($D$245:$D$595,$F$245:$F$595,0,$E$245:$E$595,$G513,$C$245:$C$595,"&lt;="&amp;U5)&gt;=1000000),SUMIFS($D$245:$D$595,$F$245:$F$595,0,$E$245:$E$595,$G513)*$C$157 ,0)</f>
        <v/>
      </c>
      <c r="W513" s="95">
        <f>IF(AND(SUMIFS($D$245:$D$595,$F$245:$F$595,0,$E$245:$E$595,$G513,$C$245:$C$595,"&lt;="&amp;U$5)&lt;1000000,SUMIFS($D$245:$D$595,$F$245:$F$595,0,$E$245:$E$595,$G513,$C$245:$C$595,"&lt;="&amp;W5)&gt;=1000000),SUMIFS($D$245:$D$595,$F$245:$F$595,0,$E$245:$E$595,$G513)*$C$157 ,0)</f>
        <v/>
      </c>
      <c r="Y513" s="95">
        <f>IF(AND(SUMIFS($D$245:$D$595,$F$245:$F$595,0,$E$245:$E$595,$G513,$C$245:$C$595,"&lt;="&amp;W$5)&lt;1000000,SUMIFS($D$245:$D$595,$F$245:$F$595,0,$E$245:$E$595,$G513,$C$245:$C$595,"&lt;="&amp;Y5)&gt;=1000000),SUMIFS($D$245:$D$595,$F$245:$F$595,0,$E$245:$E$595,$G513)*$C$157 ,0)</f>
        <v/>
      </c>
      <c r="AA513" s="95">
        <f>IF(AND(SUMIFS($D$245:$D$595,$F$245:$F$595,0,$E$245:$E$595,$G513,$C$245:$C$595,"&lt;="&amp;Y$5)&lt;1000000,SUMIFS($D$245:$D$595,$F$245:$F$595,0,$E$245:$E$595,$G513,$C$245:$C$595,"&lt;="&amp;AA5)&gt;=1000000),SUMIFS($D$245:$D$595,$F$245:$F$595,0,$E$245:$E$595,$G513)*$C$157 ,0)</f>
        <v/>
      </c>
      <c r="AC513" s="95">
        <f>IF(AND(SUMIFS($D$245:$D$595,$F$245:$F$595,0,$E$245:$E$595,$G513,$C$245:$C$595,"&lt;="&amp;AA$5)&lt;1000000,SUMIFS($D$245:$D$595,$F$245:$F$595,0,$E$245:$E$595,$G513,$C$245:$C$595,"&lt;="&amp;AC5)&gt;=1000000),SUMIFS($D$245:$D$595,$F$245:$F$595,0,$E$245:$E$595,$G513)*$C$157 ,0)</f>
        <v/>
      </c>
      <c r="AE513" s="95">
        <f>IF(AND(SUMIFS($D$245:$D$595,$F$245:$F$595,0,$E$245:$E$595,$G513,$C$245:$C$595,"&lt;="&amp;AC$5)&lt;1000000,SUMIFS($D$245:$D$595,$F$245:$F$595,0,$E$245:$E$595,$G513,$C$245:$C$595,"&lt;="&amp;AE5)&gt;=1000000),SUMIFS($D$245:$D$595,$F$245:$F$595,0,$E$245:$E$595,$G513)*$C$157 ,0)</f>
        <v/>
      </c>
      <c r="AF513" s="19" t="n"/>
    </row>
    <row r="514">
      <c r="A514" s="20">
        <f>mid(E514, 3, 1)</f>
        <v/>
      </c>
      <c r="B514" s="14" t="inlineStr"/>
      <c r="C514" s="21">
        <f>SUMIFS('Investor Exit List'!$AC:$AC,'Investor Exit List'!$AB:$AB,B514)</f>
        <v/>
      </c>
      <c r="D514" s="14">
        <f>SUMIFS('Investor Exit List'!$Q:$Q,'Investor Exit List'!$AB:$AB,B514)</f>
        <v/>
      </c>
      <c r="E514" s="31">
        <f>LEFT(B514,6)</f>
        <v/>
      </c>
      <c r="F514" s="14">
        <f>IF(SUMIFS($E$119:$E$151,$D$119:$D$151,E514)&lt;&gt;0,E514,0)</f>
        <v/>
      </c>
      <c r="G514" s="59" t="n"/>
      <c r="I514" s="28">
        <f>IF(AND(SUMIFS($D$245:$D$595,$F$245:$F$595,0,$E$245:$E$595,$G514,$C$245:$C$595,"&lt;="&amp;B$2)&lt;1000000,SUMIFS($D$245:$D$595,$F$245:$F$595,0,$E$245:$E$595,$G514,$C$245:$C$595,"&lt;="&amp;I5)&gt;=1000000),SUMIFS($D$245:$D$595,$F$245:$F$595,0,$E$245:$E$595,$G514)*$C$157 ,0)</f>
        <v/>
      </c>
      <c r="K514" s="95">
        <f>IF(AND(SUMIFS($D$245:$D$595,$F$245:$F$595,0,$E$245:$E$595,$G514,$C$245:$C$595,"&lt;="&amp;I$5)&lt;1000000,SUMIFS($D$245:$D$595,$F$245:$F$595,0,$E$245:$E$595,$G514,$C$245:$C$595,"&lt;="&amp;K5)&gt;=1000000),SUMIFS($D$245:$D$595,$F$245:$F$595,0,$E$245:$E$595,$G514)*$C$157 ,0)</f>
        <v/>
      </c>
      <c r="M514" s="95">
        <f>IF(AND(SUMIFS($D$245:$D$595,$F$245:$F$595,0,$E$245:$E$595,$G514,$C$245:$C$595,"&lt;="&amp;K$5)&lt;1000000,SUMIFS($D$245:$D$595,$F$245:$F$595,0,$E$245:$E$595,$G514,$C$245:$C$595,"&lt;="&amp;M5)&gt;=1000000),SUMIFS($D$245:$D$595,$F$245:$F$595,0,$E$245:$E$595,$G514)*$C$157 ,0)</f>
        <v/>
      </c>
      <c r="O514" s="95">
        <f>IF(AND(SUMIFS($D$245:$D$595,$F$245:$F$595,0,$E$245:$E$595,$G514,$C$245:$C$595,"&lt;="&amp;M$5)&lt;1000000,SUMIFS($D$245:$D$595,$F$245:$F$595,0,$E$245:$E$595,$G514,$C$245:$C$595,"&lt;="&amp;O5)&gt;=1000000),SUMIFS($D$245:$D$595,$F$245:$F$595,0,$E$245:$E$595,$G514)*$C$157 ,0)</f>
        <v/>
      </c>
      <c r="Q514" s="95">
        <f>IF(AND(SUMIFS($D$245:$D$595,$F$245:$F$595,0,$E$245:$E$595,$G514,$C$245:$C$595,"&lt;="&amp;O$5)&lt;1000000,SUMIFS($D$245:$D$595,$F$245:$F$595,0,$E$245:$E$595,$G514,$C$245:$C$595,"&lt;="&amp;Q5)&gt;=1000000),SUMIFS($D$245:$D$595,$F$245:$F$595,0,$E$245:$E$595,$G514)*$C$157 ,0)</f>
        <v/>
      </c>
      <c r="S514" s="95">
        <f>IF(AND(SUMIFS($D$245:$D$595,$F$245:$F$595,0,$E$245:$E$595,$G514,$C$245:$C$595,"&lt;="&amp;Q$5)&lt;1000000,SUMIFS($D$245:$D$595,$F$245:$F$595,0,$E$245:$E$595,$G514,$C$245:$C$595,"&lt;="&amp;S5)&gt;=1000000),SUMIFS($D$245:$D$595,$F$245:$F$595,0,$E$245:$E$595,$G514)*$C$157 ,0)</f>
        <v/>
      </c>
      <c r="U514" s="95">
        <f>IF(AND(SUMIFS($D$245:$D$595,$F$245:$F$595,0,$E$245:$E$595,$G514,$C$245:$C$595,"&lt;="&amp;S$5)&lt;1000000,SUMIFS($D$245:$D$595,$F$245:$F$595,0,$E$245:$E$595,$G514,$C$245:$C$595,"&lt;="&amp;U5)&gt;=1000000),SUMIFS($D$245:$D$595,$F$245:$F$595,0,$E$245:$E$595,$G514)*$C$157 ,0)</f>
        <v/>
      </c>
      <c r="W514" s="95">
        <f>IF(AND(SUMIFS($D$245:$D$595,$F$245:$F$595,0,$E$245:$E$595,$G514,$C$245:$C$595,"&lt;="&amp;U$5)&lt;1000000,SUMIFS($D$245:$D$595,$F$245:$F$595,0,$E$245:$E$595,$G514,$C$245:$C$595,"&lt;="&amp;W5)&gt;=1000000),SUMIFS($D$245:$D$595,$F$245:$F$595,0,$E$245:$E$595,$G514)*$C$157 ,0)</f>
        <v/>
      </c>
      <c r="Y514" s="95">
        <f>IF(AND(SUMIFS($D$245:$D$595,$F$245:$F$595,0,$E$245:$E$595,$G514,$C$245:$C$595,"&lt;="&amp;W$5)&lt;1000000,SUMIFS($D$245:$D$595,$F$245:$F$595,0,$E$245:$E$595,$G514,$C$245:$C$595,"&lt;="&amp;Y5)&gt;=1000000),SUMIFS($D$245:$D$595,$F$245:$F$595,0,$E$245:$E$595,$G514)*$C$157 ,0)</f>
        <v/>
      </c>
      <c r="AA514" s="95">
        <f>IF(AND(SUMIFS($D$245:$D$595,$F$245:$F$595,0,$E$245:$E$595,$G514,$C$245:$C$595,"&lt;="&amp;Y$5)&lt;1000000,SUMIFS($D$245:$D$595,$F$245:$F$595,0,$E$245:$E$595,$G514,$C$245:$C$595,"&lt;="&amp;AA5)&gt;=1000000),SUMIFS($D$245:$D$595,$F$245:$F$595,0,$E$245:$E$595,$G514)*$C$157 ,0)</f>
        <v/>
      </c>
      <c r="AC514" s="95">
        <f>IF(AND(SUMIFS($D$245:$D$595,$F$245:$F$595,0,$E$245:$E$595,$G514,$C$245:$C$595,"&lt;="&amp;AA$5)&lt;1000000,SUMIFS($D$245:$D$595,$F$245:$F$595,0,$E$245:$E$595,$G514,$C$245:$C$595,"&lt;="&amp;AC5)&gt;=1000000),SUMIFS($D$245:$D$595,$F$245:$F$595,0,$E$245:$E$595,$G514)*$C$157 ,0)</f>
        <v/>
      </c>
      <c r="AE514" s="95">
        <f>IF(AND(SUMIFS($D$245:$D$595,$F$245:$F$595,0,$E$245:$E$595,$G514,$C$245:$C$595,"&lt;="&amp;AC$5)&lt;1000000,SUMIFS($D$245:$D$595,$F$245:$F$595,0,$E$245:$E$595,$G514,$C$245:$C$595,"&lt;="&amp;AE5)&gt;=1000000),SUMIFS($D$245:$D$595,$F$245:$F$595,0,$E$245:$E$595,$G514)*$C$157 ,0)</f>
        <v/>
      </c>
      <c r="AF514" s="19" t="n"/>
    </row>
    <row r="515">
      <c r="A515" s="20">
        <f>mid(E515, 3, 1)</f>
        <v/>
      </c>
      <c r="B515" s="14" t="inlineStr"/>
      <c r="C515" s="21">
        <f>SUMIFS('Investor Exit List'!$AC:$AC,'Investor Exit List'!$AB:$AB,B515)</f>
        <v/>
      </c>
      <c r="D515" s="14">
        <f>SUMIFS('Investor Exit List'!$Q:$Q,'Investor Exit List'!$AB:$AB,B515)</f>
        <v/>
      </c>
      <c r="E515" s="31">
        <f>LEFT(B515,6)</f>
        <v/>
      </c>
      <c r="F515" s="14">
        <f>IF(SUMIFS($E$119:$E$151,$D$119:$D$151,E515)&lt;&gt;0,E515,0)</f>
        <v/>
      </c>
      <c r="G515" s="59" t="n"/>
      <c r="I515" s="28">
        <f>IF(AND(SUMIFS($D$245:$D$595,$F$245:$F$595,0,$E$245:$E$595,$G515,$C$245:$C$595,"&lt;="&amp;B$2)&lt;1000000,SUMIFS($D$245:$D$595,$F$245:$F$595,0,$E$245:$E$595,$G515,$C$245:$C$595,"&lt;="&amp;I5)&gt;=1000000),SUMIFS($D$245:$D$595,$F$245:$F$595,0,$E$245:$E$595,$G515)*$C$157 ,0)</f>
        <v/>
      </c>
      <c r="K515" s="95">
        <f>IF(AND(SUMIFS($D$245:$D$595,$F$245:$F$595,0,$E$245:$E$595,$G515,$C$245:$C$595,"&lt;="&amp;I$5)&lt;1000000,SUMIFS($D$245:$D$595,$F$245:$F$595,0,$E$245:$E$595,$G515,$C$245:$C$595,"&lt;="&amp;K5)&gt;=1000000),SUMIFS($D$245:$D$595,$F$245:$F$595,0,$E$245:$E$595,$G515)*$C$157 ,0)</f>
        <v/>
      </c>
      <c r="M515" s="95">
        <f>IF(AND(SUMIFS($D$245:$D$595,$F$245:$F$595,0,$E$245:$E$595,$G515,$C$245:$C$595,"&lt;="&amp;K$5)&lt;1000000,SUMIFS($D$245:$D$595,$F$245:$F$595,0,$E$245:$E$595,$G515,$C$245:$C$595,"&lt;="&amp;M5)&gt;=1000000),SUMIFS($D$245:$D$595,$F$245:$F$595,0,$E$245:$E$595,$G515)*$C$157 ,0)</f>
        <v/>
      </c>
      <c r="O515" s="95">
        <f>IF(AND(SUMIFS($D$245:$D$595,$F$245:$F$595,0,$E$245:$E$595,$G515,$C$245:$C$595,"&lt;="&amp;M$5)&lt;1000000,SUMIFS($D$245:$D$595,$F$245:$F$595,0,$E$245:$E$595,$G515,$C$245:$C$595,"&lt;="&amp;O5)&gt;=1000000),SUMIFS($D$245:$D$595,$F$245:$F$595,0,$E$245:$E$595,$G515)*$C$157 ,0)</f>
        <v/>
      </c>
      <c r="Q515" s="95">
        <f>IF(AND(SUMIFS($D$245:$D$595,$F$245:$F$595,0,$E$245:$E$595,$G515,$C$245:$C$595,"&lt;="&amp;O$5)&lt;1000000,SUMIFS($D$245:$D$595,$F$245:$F$595,0,$E$245:$E$595,$G515,$C$245:$C$595,"&lt;="&amp;Q5)&gt;=1000000),SUMIFS($D$245:$D$595,$F$245:$F$595,0,$E$245:$E$595,$G515)*$C$157 ,0)</f>
        <v/>
      </c>
      <c r="S515" s="95">
        <f>IF(AND(SUMIFS($D$245:$D$595,$F$245:$F$595,0,$E$245:$E$595,$G515,$C$245:$C$595,"&lt;="&amp;Q$5)&lt;1000000,SUMIFS($D$245:$D$595,$F$245:$F$595,0,$E$245:$E$595,$G515,$C$245:$C$595,"&lt;="&amp;S5)&gt;=1000000),SUMIFS($D$245:$D$595,$F$245:$F$595,0,$E$245:$E$595,$G515)*$C$157 ,0)</f>
        <v/>
      </c>
      <c r="U515" s="95">
        <f>IF(AND(SUMIFS($D$245:$D$595,$F$245:$F$595,0,$E$245:$E$595,$G515,$C$245:$C$595,"&lt;="&amp;S$5)&lt;1000000,SUMIFS($D$245:$D$595,$F$245:$F$595,0,$E$245:$E$595,$G515,$C$245:$C$595,"&lt;="&amp;U5)&gt;=1000000),SUMIFS($D$245:$D$595,$F$245:$F$595,0,$E$245:$E$595,$G515)*$C$157 ,0)</f>
        <v/>
      </c>
      <c r="W515" s="95">
        <f>IF(AND(SUMIFS($D$245:$D$595,$F$245:$F$595,0,$E$245:$E$595,$G515,$C$245:$C$595,"&lt;="&amp;U$5)&lt;1000000,SUMIFS($D$245:$D$595,$F$245:$F$595,0,$E$245:$E$595,$G515,$C$245:$C$595,"&lt;="&amp;W5)&gt;=1000000),SUMIFS($D$245:$D$595,$F$245:$F$595,0,$E$245:$E$595,$G515)*$C$157 ,0)</f>
        <v/>
      </c>
      <c r="Y515" s="95">
        <f>IF(AND(SUMIFS($D$245:$D$595,$F$245:$F$595,0,$E$245:$E$595,$G515,$C$245:$C$595,"&lt;="&amp;W$5)&lt;1000000,SUMIFS($D$245:$D$595,$F$245:$F$595,0,$E$245:$E$595,$G515,$C$245:$C$595,"&lt;="&amp;Y5)&gt;=1000000),SUMIFS($D$245:$D$595,$F$245:$F$595,0,$E$245:$E$595,$G515)*$C$157 ,0)</f>
        <v/>
      </c>
      <c r="AA515" s="95">
        <f>IF(AND(SUMIFS($D$245:$D$595,$F$245:$F$595,0,$E$245:$E$595,$G515,$C$245:$C$595,"&lt;="&amp;Y$5)&lt;1000000,SUMIFS($D$245:$D$595,$F$245:$F$595,0,$E$245:$E$595,$G515,$C$245:$C$595,"&lt;="&amp;AA5)&gt;=1000000),SUMIFS($D$245:$D$595,$F$245:$F$595,0,$E$245:$E$595,$G515)*$C$157 ,0)</f>
        <v/>
      </c>
      <c r="AC515" s="95">
        <f>IF(AND(SUMIFS($D$245:$D$595,$F$245:$F$595,0,$E$245:$E$595,$G515,$C$245:$C$595,"&lt;="&amp;AA$5)&lt;1000000,SUMIFS($D$245:$D$595,$F$245:$F$595,0,$E$245:$E$595,$G515,$C$245:$C$595,"&lt;="&amp;AC5)&gt;=1000000),SUMIFS($D$245:$D$595,$F$245:$F$595,0,$E$245:$E$595,$G515)*$C$157 ,0)</f>
        <v/>
      </c>
      <c r="AE515" s="95">
        <f>IF(AND(SUMIFS($D$245:$D$595,$F$245:$F$595,0,$E$245:$E$595,$G515,$C$245:$C$595,"&lt;="&amp;AC$5)&lt;1000000,SUMIFS($D$245:$D$595,$F$245:$F$595,0,$E$245:$E$595,$G515,$C$245:$C$595,"&lt;="&amp;AE5)&gt;=1000000),SUMIFS($D$245:$D$595,$F$245:$F$595,0,$E$245:$E$595,$G515)*$C$157 ,0)</f>
        <v/>
      </c>
      <c r="AF515" s="19" t="n"/>
    </row>
    <row r="516">
      <c r="A516" s="20">
        <f>mid(E516, 3, 1)</f>
        <v/>
      </c>
      <c r="B516" s="14" t="inlineStr"/>
      <c r="C516" s="21">
        <f>SUMIFS('Investor Exit List'!$AC:$AC,'Investor Exit List'!$AB:$AB,B516)</f>
        <v/>
      </c>
      <c r="D516" s="14">
        <f>SUMIFS('Investor Exit List'!$Q:$Q,'Investor Exit List'!$AB:$AB,B516)</f>
        <v/>
      </c>
      <c r="E516" s="31">
        <f>LEFT(B516,6)</f>
        <v/>
      </c>
      <c r="F516" s="14">
        <f>IF(SUMIFS($E$119:$E$151,$D$119:$D$151,E516)&lt;&gt;0,E516,0)</f>
        <v/>
      </c>
      <c r="G516" s="59" t="n"/>
      <c r="I516" s="28">
        <f>IF(AND(SUMIFS($D$245:$D$595,$F$245:$F$595,0,$E$245:$E$595,$G516,$C$245:$C$595,"&lt;="&amp;B$2)&lt;1000000,SUMIFS($D$245:$D$595,$F$245:$F$595,0,$E$245:$E$595,$G516,$C$245:$C$595,"&lt;="&amp;I5)&gt;=1000000),SUMIFS($D$245:$D$595,$F$245:$F$595,0,$E$245:$E$595,$G516)*$C$157 ,0)</f>
        <v/>
      </c>
      <c r="K516" s="95">
        <f>IF(AND(SUMIFS($D$245:$D$595,$F$245:$F$595,0,$E$245:$E$595,$G516,$C$245:$C$595,"&lt;="&amp;I$5)&lt;1000000,SUMIFS($D$245:$D$595,$F$245:$F$595,0,$E$245:$E$595,$G516,$C$245:$C$595,"&lt;="&amp;K5)&gt;=1000000),SUMIFS($D$245:$D$595,$F$245:$F$595,0,$E$245:$E$595,$G516)*$C$157 ,0)</f>
        <v/>
      </c>
      <c r="M516" s="95">
        <f>IF(AND(SUMIFS($D$245:$D$595,$F$245:$F$595,0,$E$245:$E$595,$G516,$C$245:$C$595,"&lt;="&amp;K$5)&lt;1000000,SUMIFS($D$245:$D$595,$F$245:$F$595,0,$E$245:$E$595,$G516,$C$245:$C$595,"&lt;="&amp;M5)&gt;=1000000),SUMIFS($D$245:$D$595,$F$245:$F$595,0,$E$245:$E$595,$G516)*$C$157 ,0)</f>
        <v/>
      </c>
      <c r="O516" s="95">
        <f>IF(AND(SUMIFS($D$245:$D$595,$F$245:$F$595,0,$E$245:$E$595,$G516,$C$245:$C$595,"&lt;="&amp;M$5)&lt;1000000,SUMIFS($D$245:$D$595,$F$245:$F$595,0,$E$245:$E$595,$G516,$C$245:$C$595,"&lt;="&amp;O5)&gt;=1000000),SUMIFS($D$245:$D$595,$F$245:$F$595,0,$E$245:$E$595,$G516)*$C$157 ,0)</f>
        <v/>
      </c>
      <c r="Q516" s="95">
        <f>IF(AND(SUMIFS($D$245:$D$595,$F$245:$F$595,0,$E$245:$E$595,$G516,$C$245:$C$595,"&lt;="&amp;O$5)&lt;1000000,SUMIFS($D$245:$D$595,$F$245:$F$595,0,$E$245:$E$595,$G516,$C$245:$C$595,"&lt;="&amp;Q5)&gt;=1000000),SUMIFS($D$245:$D$595,$F$245:$F$595,0,$E$245:$E$595,$G516)*$C$157 ,0)</f>
        <v/>
      </c>
      <c r="S516" s="95">
        <f>IF(AND(SUMIFS($D$245:$D$595,$F$245:$F$595,0,$E$245:$E$595,$G516,$C$245:$C$595,"&lt;="&amp;Q$5)&lt;1000000,SUMIFS($D$245:$D$595,$F$245:$F$595,0,$E$245:$E$595,$G516,$C$245:$C$595,"&lt;="&amp;S5)&gt;=1000000),SUMIFS($D$245:$D$595,$F$245:$F$595,0,$E$245:$E$595,$G516)*$C$157 ,0)</f>
        <v/>
      </c>
      <c r="U516" s="95">
        <f>IF(AND(SUMIFS($D$245:$D$595,$F$245:$F$595,0,$E$245:$E$595,$G516,$C$245:$C$595,"&lt;="&amp;S$5)&lt;1000000,SUMIFS($D$245:$D$595,$F$245:$F$595,0,$E$245:$E$595,$G516,$C$245:$C$595,"&lt;="&amp;U5)&gt;=1000000),SUMIFS($D$245:$D$595,$F$245:$F$595,0,$E$245:$E$595,$G516)*$C$157 ,0)</f>
        <v/>
      </c>
      <c r="W516" s="95">
        <f>IF(AND(SUMIFS($D$245:$D$595,$F$245:$F$595,0,$E$245:$E$595,$G516,$C$245:$C$595,"&lt;="&amp;U$5)&lt;1000000,SUMIFS($D$245:$D$595,$F$245:$F$595,0,$E$245:$E$595,$G516,$C$245:$C$595,"&lt;="&amp;W5)&gt;=1000000),SUMIFS($D$245:$D$595,$F$245:$F$595,0,$E$245:$E$595,$G516)*$C$157 ,0)</f>
        <v/>
      </c>
      <c r="Y516" s="95">
        <f>IF(AND(SUMIFS($D$245:$D$595,$F$245:$F$595,0,$E$245:$E$595,$G516,$C$245:$C$595,"&lt;="&amp;W$5)&lt;1000000,SUMIFS($D$245:$D$595,$F$245:$F$595,0,$E$245:$E$595,$G516,$C$245:$C$595,"&lt;="&amp;Y5)&gt;=1000000),SUMIFS($D$245:$D$595,$F$245:$F$595,0,$E$245:$E$595,$G516)*$C$157 ,0)</f>
        <v/>
      </c>
      <c r="AA516" s="95">
        <f>IF(AND(SUMIFS($D$245:$D$595,$F$245:$F$595,0,$E$245:$E$595,$G516,$C$245:$C$595,"&lt;="&amp;Y$5)&lt;1000000,SUMIFS($D$245:$D$595,$F$245:$F$595,0,$E$245:$E$595,$G516,$C$245:$C$595,"&lt;="&amp;AA5)&gt;=1000000),SUMIFS($D$245:$D$595,$F$245:$F$595,0,$E$245:$E$595,$G516)*$C$157 ,0)</f>
        <v/>
      </c>
      <c r="AC516" s="95">
        <f>IF(AND(SUMIFS($D$245:$D$595,$F$245:$F$595,0,$E$245:$E$595,$G516,$C$245:$C$595,"&lt;="&amp;AA$5)&lt;1000000,SUMIFS($D$245:$D$595,$F$245:$F$595,0,$E$245:$E$595,$G516,$C$245:$C$595,"&lt;="&amp;AC5)&gt;=1000000),SUMIFS($D$245:$D$595,$F$245:$F$595,0,$E$245:$E$595,$G516)*$C$157 ,0)</f>
        <v/>
      </c>
      <c r="AE516" s="95">
        <f>IF(AND(SUMIFS($D$245:$D$595,$F$245:$F$595,0,$E$245:$E$595,$G516,$C$245:$C$595,"&lt;="&amp;AC$5)&lt;1000000,SUMIFS($D$245:$D$595,$F$245:$F$595,0,$E$245:$E$595,$G516,$C$245:$C$595,"&lt;="&amp;AE5)&gt;=1000000),SUMIFS($D$245:$D$595,$F$245:$F$595,0,$E$245:$E$595,$G516)*$C$157 ,0)</f>
        <v/>
      </c>
      <c r="AF516" s="19" t="n"/>
    </row>
    <row r="517">
      <c r="A517" s="20">
        <f>mid(E517, 3, 1)</f>
        <v/>
      </c>
      <c r="B517" s="14" t="inlineStr"/>
      <c r="C517" s="21">
        <f>SUMIFS('Investor Exit List'!$AC:$AC,'Investor Exit List'!$AB:$AB,B517)</f>
        <v/>
      </c>
      <c r="D517" s="14">
        <f>SUMIFS('Investor Exit List'!$Q:$Q,'Investor Exit List'!$AB:$AB,B517)</f>
        <v/>
      </c>
      <c r="E517" s="31">
        <f>LEFT(B517,6)</f>
        <v/>
      </c>
      <c r="F517" s="14">
        <f>IF(SUMIFS($E$119:$E$151,$D$119:$D$151,E517)&lt;&gt;0,E517,0)</f>
        <v/>
      </c>
      <c r="G517" s="59" t="n"/>
      <c r="I517" s="28">
        <f>IF(AND(SUMIFS($D$245:$D$595,$F$245:$F$595,0,$E$245:$E$595,$G517,$C$245:$C$595,"&lt;="&amp;B$2)&lt;1000000,SUMIFS($D$245:$D$595,$F$245:$F$595,0,$E$245:$E$595,$G517,$C$245:$C$595,"&lt;="&amp;I5)&gt;=1000000),SUMIFS($D$245:$D$595,$F$245:$F$595,0,$E$245:$E$595,$G517)*$C$157 ,0)</f>
        <v/>
      </c>
      <c r="K517" s="95">
        <f>IF(AND(SUMIFS($D$245:$D$595,$F$245:$F$595,0,$E$245:$E$595,$G517,$C$245:$C$595,"&lt;="&amp;I$5)&lt;1000000,SUMIFS($D$245:$D$595,$F$245:$F$595,0,$E$245:$E$595,$G517,$C$245:$C$595,"&lt;="&amp;K5)&gt;=1000000),SUMIFS($D$245:$D$595,$F$245:$F$595,0,$E$245:$E$595,$G517)*$C$157 ,0)</f>
        <v/>
      </c>
      <c r="M517" s="95">
        <f>IF(AND(SUMIFS($D$245:$D$595,$F$245:$F$595,0,$E$245:$E$595,$G517,$C$245:$C$595,"&lt;="&amp;K$5)&lt;1000000,SUMIFS($D$245:$D$595,$F$245:$F$595,0,$E$245:$E$595,$G517,$C$245:$C$595,"&lt;="&amp;M5)&gt;=1000000),SUMIFS($D$245:$D$595,$F$245:$F$595,0,$E$245:$E$595,$G517)*$C$157 ,0)</f>
        <v/>
      </c>
      <c r="O517" s="95">
        <f>IF(AND(SUMIFS($D$245:$D$595,$F$245:$F$595,0,$E$245:$E$595,$G517,$C$245:$C$595,"&lt;="&amp;M$5)&lt;1000000,SUMIFS($D$245:$D$595,$F$245:$F$595,0,$E$245:$E$595,$G517,$C$245:$C$595,"&lt;="&amp;O5)&gt;=1000000),SUMIFS($D$245:$D$595,$F$245:$F$595,0,$E$245:$E$595,$G517)*$C$157 ,0)</f>
        <v/>
      </c>
      <c r="Q517" s="95">
        <f>IF(AND(SUMIFS($D$245:$D$595,$F$245:$F$595,0,$E$245:$E$595,$G517,$C$245:$C$595,"&lt;="&amp;O$5)&lt;1000000,SUMIFS($D$245:$D$595,$F$245:$F$595,0,$E$245:$E$595,$G517,$C$245:$C$595,"&lt;="&amp;Q5)&gt;=1000000),SUMIFS($D$245:$D$595,$F$245:$F$595,0,$E$245:$E$595,$G517)*$C$157 ,0)</f>
        <v/>
      </c>
      <c r="S517" s="95">
        <f>IF(AND(SUMIFS($D$245:$D$595,$F$245:$F$595,0,$E$245:$E$595,$G517,$C$245:$C$595,"&lt;="&amp;Q$5)&lt;1000000,SUMIFS($D$245:$D$595,$F$245:$F$595,0,$E$245:$E$595,$G517,$C$245:$C$595,"&lt;="&amp;S5)&gt;=1000000),SUMIFS($D$245:$D$595,$F$245:$F$595,0,$E$245:$E$595,$G517)*$C$157 ,0)</f>
        <v/>
      </c>
      <c r="U517" s="95">
        <f>IF(AND(SUMIFS($D$245:$D$595,$F$245:$F$595,0,$E$245:$E$595,$G517,$C$245:$C$595,"&lt;="&amp;S$5)&lt;1000000,SUMIFS($D$245:$D$595,$F$245:$F$595,0,$E$245:$E$595,$G517,$C$245:$C$595,"&lt;="&amp;U5)&gt;=1000000),SUMIFS($D$245:$D$595,$F$245:$F$595,0,$E$245:$E$595,$G517)*$C$157 ,0)</f>
        <v/>
      </c>
      <c r="W517" s="95">
        <f>IF(AND(SUMIFS($D$245:$D$595,$F$245:$F$595,0,$E$245:$E$595,$G517,$C$245:$C$595,"&lt;="&amp;U$5)&lt;1000000,SUMIFS($D$245:$D$595,$F$245:$F$595,0,$E$245:$E$595,$G517,$C$245:$C$595,"&lt;="&amp;W5)&gt;=1000000),SUMIFS($D$245:$D$595,$F$245:$F$595,0,$E$245:$E$595,$G517)*$C$157 ,0)</f>
        <v/>
      </c>
      <c r="Y517" s="95">
        <f>IF(AND(SUMIFS($D$245:$D$595,$F$245:$F$595,0,$E$245:$E$595,$G517,$C$245:$C$595,"&lt;="&amp;W$5)&lt;1000000,SUMIFS($D$245:$D$595,$F$245:$F$595,0,$E$245:$E$595,$G517,$C$245:$C$595,"&lt;="&amp;Y5)&gt;=1000000),SUMIFS($D$245:$D$595,$F$245:$F$595,0,$E$245:$E$595,$G517)*$C$157 ,0)</f>
        <v/>
      </c>
      <c r="AA517" s="95">
        <f>IF(AND(SUMIFS($D$245:$D$595,$F$245:$F$595,0,$E$245:$E$595,$G517,$C$245:$C$595,"&lt;="&amp;Y$5)&lt;1000000,SUMIFS($D$245:$D$595,$F$245:$F$595,0,$E$245:$E$595,$G517,$C$245:$C$595,"&lt;="&amp;AA5)&gt;=1000000),SUMIFS($D$245:$D$595,$F$245:$F$595,0,$E$245:$E$595,$G517)*$C$157 ,0)</f>
        <v/>
      </c>
      <c r="AC517" s="95">
        <f>IF(AND(SUMIFS($D$245:$D$595,$F$245:$F$595,0,$E$245:$E$595,$G517,$C$245:$C$595,"&lt;="&amp;AA$5)&lt;1000000,SUMIFS($D$245:$D$595,$F$245:$F$595,0,$E$245:$E$595,$G517,$C$245:$C$595,"&lt;="&amp;AC5)&gt;=1000000),SUMIFS($D$245:$D$595,$F$245:$F$595,0,$E$245:$E$595,$G517)*$C$157 ,0)</f>
        <v/>
      </c>
      <c r="AE517" s="95">
        <f>IF(AND(SUMIFS($D$245:$D$595,$F$245:$F$595,0,$E$245:$E$595,$G517,$C$245:$C$595,"&lt;="&amp;AC$5)&lt;1000000,SUMIFS($D$245:$D$595,$F$245:$F$595,0,$E$245:$E$595,$G517,$C$245:$C$595,"&lt;="&amp;AE5)&gt;=1000000),SUMIFS($D$245:$D$595,$F$245:$F$595,0,$E$245:$E$595,$G517)*$C$157 ,0)</f>
        <v/>
      </c>
      <c r="AF517" s="19" t="n"/>
    </row>
    <row r="518">
      <c r="A518" s="20">
        <f>mid(E518, 3, 1)</f>
        <v/>
      </c>
      <c r="B518" s="14" t="inlineStr"/>
      <c r="C518" s="21">
        <f>SUMIFS('Investor Exit List'!$AC:$AC,'Investor Exit List'!$AB:$AB,B518)</f>
        <v/>
      </c>
      <c r="D518" s="14">
        <f>SUMIFS('Investor Exit List'!$Q:$Q,'Investor Exit List'!$AB:$AB,B518)</f>
        <v/>
      </c>
      <c r="E518" s="31">
        <f>LEFT(B518,6)</f>
        <v/>
      </c>
      <c r="F518" s="14">
        <f>IF(SUMIFS($E$119:$E$151,$D$119:$D$151,E518)&lt;&gt;0,E518,0)</f>
        <v/>
      </c>
      <c r="G518" s="59" t="n"/>
      <c r="I518" s="28">
        <f>IF(AND(SUMIFS($D$245:$D$595,$F$245:$F$595,0,$E$245:$E$595,$G518,$C$245:$C$595,"&lt;="&amp;B$2)&lt;1000000,SUMIFS($D$245:$D$595,$F$245:$F$595,0,$E$245:$E$595,$G518,$C$245:$C$595,"&lt;="&amp;I5)&gt;=1000000),SUMIFS($D$245:$D$595,$F$245:$F$595,0,$E$245:$E$595,$G518)*$C$157 ,0)</f>
        <v/>
      </c>
      <c r="K518" s="95">
        <f>IF(AND(SUMIFS($D$245:$D$595,$F$245:$F$595,0,$E$245:$E$595,$G518,$C$245:$C$595,"&lt;="&amp;I$5)&lt;1000000,SUMIFS($D$245:$D$595,$F$245:$F$595,0,$E$245:$E$595,$G518,$C$245:$C$595,"&lt;="&amp;K5)&gt;=1000000),SUMIFS($D$245:$D$595,$F$245:$F$595,0,$E$245:$E$595,$G518)*$C$157 ,0)</f>
        <v/>
      </c>
      <c r="M518" s="95">
        <f>IF(AND(SUMIFS($D$245:$D$595,$F$245:$F$595,0,$E$245:$E$595,$G518,$C$245:$C$595,"&lt;="&amp;K$5)&lt;1000000,SUMIFS($D$245:$D$595,$F$245:$F$595,0,$E$245:$E$595,$G518,$C$245:$C$595,"&lt;="&amp;M5)&gt;=1000000),SUMIFS($D$245:$D$595,$F$245:$F$595,0,$E$245:$E$595,$G518)*$C$157 ,0)</f>
        <v/>
      </c>
      <c r="O518" s="95">
        <f>IF(AND(SUMIFS($D$245:$D$595,$F$245:$F$595,0,$E$245:$E$595,$G518,$C$245:$C$595,"&lt;="&amp;M$5)&lt;1000000,SUMIFS($D$245:$D$595,$F$245:$F$595,0,$E$245:$E$595,$G518,$C$245:$C$595,"&lt;="&amp;O5)&gt;=1000000),SUMIFS($D$245:$D$595,$F$245:$F$595,0,$E$245:$E$595,$G518)*$C$157 ,0)</f>
        <v/>
      </c>
      <c r="Q518" s="95">
        <f>IF(AND(SUMIFS($D$245:$D$595,$F$245:$F$595,0,$E$245:$E$595,$G518,$C$245:$C$595,"&lt;="&amp;O$5)&lt;1000000,SUMIFS($D$245:$D$595,$F$245:$F$595,0,$E$245:$E$595,$G518,$C$245:$C$595,"&lt;="&amp;Q5)&gt;=1000000),SUMIFS($D$245:$D$595,$F$245:$F$595,0,$E$245:$E$595,$G518)*$C$157 ,0)</f>
        <v/>
      </c>
      <c r="S518" s="95">
        <f>IF(AND(SUMIFS($D$245:$D$595,$F$245:$F$595,0,$E$245:$E$595,$G518,$C$245:$C$595,"&lt;="&amp;Q$5)&lt;1000000,SUMIFS($D$245:$D$595,$F$245:$F$595,0,$E$245:$E$595,$G518,$C$245:$C$595,"&lt;="&amp;S5)&gt;=1000000),SUMIFS($D$245:$D$595,$F$245:$F$595,0,$E$245:$E$595,$G518)*$C$157 ,0)</f>
        <v/>
      </c>
      <c r="U518" s="95">
        <f>IF(AND(SUMIFS($D$245:$D$595,$F$245:$F$595,0,$E$245:$E$595,$G518,$C$245:$C$595,"&lt;="&amp;S$5)&lt;1000000,SUMIFS($D$245:$D$595,$F$245:$F$595,0,$E$245:$E$595,$G518,$C$245:$C$595,"&lt;="&amp;U5)&gt;=1000000),SUMIFS($D$245:$D$595,$F$245:$F$595,0,$E$245:$E$595,$G518)*$C$157 ,0)</f>
        <v/>
      </c>
      <c r="W518" s="95">
        <f>IF(AND(SUMIFS($D$245:$D$595,$F$245:$F$595,0,$E$245:$E$595,$G518,$C$245:$C$595,"&lt;="&amp;U$5)&lt;1000000,SUMIFS($D$245:$D$595,$F$245:$F$595,0,$E$245:$E$595,$G518,$C$245:$C$595,"&lt;="&amp;W5)&gt;=1000000),SUMIFS($D$245:$D$595,$F$245:$F$595,0,$E$245:$E$595,$G518)*$C$157 ,0)</f>
        <v/>
      </c>
      <c r="Y518" s="95">
        <f>IF(AND(SUMIFS($D$245:$D$595,$F$245:$F$595,0,$E$245:$E$595,$G518,$C$245:$C$595,"&lt;="&amp;W$5)&lt;1000000,SUMIFS($D$245:$D$595,$F$245:$F$595,0,$E$245:$E$595,$G518,$C$245:$C$595,"&lt;="&amp;Y5)&gt;=1000000),SUMIFS($D$245:$D$595,$F$245:$F$595,0,$E$245:$E$595,$G518)*$C$157 ,0)</f>
        <v/>
      </c>
      <c r="AA518" s="95">
        <f>IF(AND(SUMIFS($D$245:$D$595,$F$245:$F$595,0,$E$245:$E$595,$G518,$C$245:$C$595,"&lt;="&amp;Y$5)&lt;1000000,SUMIFS($D$245:$D$595,$F$245:$F$595,0,$E$245:$E$595,$G518,$C$245:$C$595,"&lt;="&amp;AA5)&gt;=1000000),SUMIFS($D$245:$D$595,$F$245:$F$595,0,$E$245:$E$595,$G518)*$C$157 ,0)</f>
        <v/>
      </c>
      <c r="AC518" s="95">
        <f>IF(AND(SUMIFS($D$245:$D$595,$F$245:$F$595,0,$E$245:$E$595,$G518,$C$245:$C$595,"&lt;="&amp;AA$5)&lt;1000000,SUMIFS($D$245:$D$595,$F$245:$F$595,0,$E$245:$E$595,$G518,$C$245:$C$595,"&lt;="&amp;AC5)&gt;=1000000),SUMIFS($D$245:$D$595,$F$245:$F$595,0,$E$245:$E$595,$G518)*$C$157 ,0)</f>
        <v/>
      </c>
      <c r="AE518" s="95">
        <f>IF(AND(SUMIFS($D$245:$D$595,$F$245:$F$595,0,$E$245:$E$595,$G518,$C$245:$C$595,"&lt;="&amp;AC$5)&lt;1000000,SUMIFS($D$245:$D$595,$F$245:$F$595,0,$E$245:$E$595,$G518,$C$245:$C$595,"&lt;="&amp;AE5)&gt;=1000000),SUMIFS($D$245:$D$595,$F$245:$F$595,0,$E$245:$E$595,$G518)*$C$157 ,0)</f>
        <v/>
      </c>
      <c r="AF518" s="19" t="n"/>
    </row>
    <row r="519">
      <c r="A519" s="20">
        <f>mid(E519, 3, 1)</f>
        <v/>
      </c>
      <c r="B519" s="14" t="inlineStr"/>
      <c r="C519" s="21">
        <f>SUMIFS('Investor Exit List'!$AC:$AC,'Investor Exit List'!$AB:$AB,B519)</f>
        <v/>
      </c>
      <c r="D519" s="14">
        <f>SUMIFS('Investor Exit List'!$Q:$Q,'Investor Exit List'!$AB:$AB,B519)</f>
        <v/>
      </c>
      <c r="E519" s="31">
        <f>LEFT(B519,6)</f>
        <v/>
      </c>
      <c r="F519" s="14">
        <f>IF(SUMIFS($E$119:$E$151,$D$119:$D$151,E519)&lt;&gt;0,E519,0)</f>
        <v/>
      </c>
      <c r="G519" s="59" t="n"/>
      <c r="I519" s="28">
        <f>IF(AND(SUMIFS($D$245:$D$595,$F$245:$F$595,0,$E$245:$E$595,$G519,$C$245:$C$595,"&lt;="&amp;B$2)&lt;1000000,SUMIFS($D$245:$D$595,$F$245:$F$595,0,$E$245:$E$595,$G519,$C$245:$C$595,"&lt;="&amp;I5)&gt;=1000000),SUMIFS($D$245:$D$595,$F$245:$F$595,0,$E$245:$E$595,$G519)*$C$157 ,0)</f>
        <v/>
      </c>
      <c r="K519" s="95">
        <f>IF(AND(SUMIFS($D$245:$D$595,$F$245:$F$595,0,$E$245:$E$595,$G519,$C$245:$C$595,"&lt;="&amp;I$5)&lt;1000000,SUMIFS($D$245:$D$595,$F$245:$F$595,0,$E$245:$E$595,$G519,$C$245:$C$595,"&lt;="&amp;K5)&gt;=1000000),SUMIFS($D$245:$D$595,$F$245:$F$595,0,$E$245:$E$595,$G519)*$C$157 ,0)</f>
        <v/>
      </c>
      <c r="M519" s="95">
        <f>IF(AND(SUMIFS($D$245:$D$595,$F$245:$F$595,0,$E$245:$E$595,$G519,$C$245:$C$595,"&lt;="&amp;K$5)&lt;1000000,SUMIFS($D$245:$D$595,$F$245:$F$595,0,$E$245:$E$595,$G519,$C$245:$C$595,"&lt;="&amp;M5)&gt;=1000000),SUMIFS($D$245:$D$595,$F$245:$F$595,0,$E$245:$E$595,$G519)*$C$157 ,0)</f>
        <v/>
      </c>
      <c r="O519" s="95">
        <f>IF(AND(SUMIFS($D$245:$D$595,$F$245:$F$595,0,$E$245:$E$595,$G519,$C$245:$C$595,"&lt;="&amp;M$5)&lt;1000000,SUMIFS($D$245:$D$595,$F$245:$F$595,0,$E$245:$E$595,$G519,$C$245:$C$595,"&lt;="&amp;O5)&gt;=1000000),SUMIFS($D$245:$D$595,$F$245:$F$595,0,$E$245:$E$595,$G519)*$C$157 ,0)</f>
        <v/>
      </c>
      <c r="Q519" s="95">
        <f>IF(AND(SUMIFS($D$245:$D$595,$F$245:$F$595,0,$E$245:$E$595,$G519,$C$245:$C$595,"&lt;="&amp;O$5)&lt;1000000,SUMIFS($D$245:$D$595,$F$245:$F$595,0,$E$245:$E$595,$G519,$C$245:$C$595,"&lt;="&amp;Q5)&gt;=1000000),SUMIFS($D$245:$D$595,$F$245:$F$595,0,$E$245:$E$595,$G519)*$C$157 ,0)</f>
        <v/>
      </c>
      <c r="S519" s="95">
        <f>IF(AND(SUMIFS($D$245:$D$595,$F$245:$F$595,0,$E$245:$E$595,$G519,$C$245:$C$595,"&lt;="&amp;Q$5)&lt;1000000,SUMIFS($D$245:$D$595,$F$245:$F$595,0,$E$245:$E$595,$G519,$C$245:$C$595,"&lt;="&amp;S5)&gt;=1000000),SUMIFS($D$245:$D$595,$F$245:$F$595,0,$E$245:$E$595,$G519)*$C$157 ,0)</f>
        <v/>
      </c>
      <c r="U519" s="95">
        <f>IF(AND(SUMIFS($D$245:$D$595,$F$245:$F$595,0,$E$245:$E$595,$G519,$C$245:$C$595,"&lt;="&amp;S$5)&lt;1000000,SUMIFS($D$245:$D$595,$F$245:$F$595,0,$E$245:$E$595,$G519,$C$245:$C$595,"&lt;="&amp;U5)&gt;=1000000),SUMIFS($D$245:$D$595,$F$245:$F$595,0,$E$245:$E$595,$G519)*$C$157 ,0)</f>
        <v/>
      </c>
      <c r="W519" s="95">
        <f>IF(AND(SUMIFS($D$245:$D$595,$F$245:$F$595,0,$E$245:$E$595,$G519,$C$245:$C$595,"&lt;="&amp;U$5)&lt;1000000,SUMIFS($D$245:$D$595,$F$245:$F$595,0,$E$245:$E$595,$G519,$C$245:$C$595,"&lt;="&amp;W5)&gt;=1000000),SUMIFS($D$245:$D$595,$F$245:$F$595,0,$E$245:$E$595,$G519)*$C$157 ,0)</f>
        <v/>
      </c>
      <c r="Y519" s="95">
        <f>IF(AND(SUMIFS($D$245:$D$595,$F$245:$F$595,0,$E$245:$E$595,$G519,$C$245:$C$595,"&lt;="&amp;W$5)&lt;1000000,SUMIFS($D$245:$D$595,$F$245:$F$595,0,$E$245:$E$595,$G519,$C$245:$C$595,"&lt;="&amp;Y5)&gt;=1000000),SUMIFS($D$245:$D$595,$F$245:$F$595,0,$E$245:$E$595,$G519)*$C$157 ,0)</f>
        <v/>
      </c>
      <c r="AA519" s="95">
        <f>IF(AND(SUMIFS($D$245:$D$595,$F$245:$F$595,0,$E$245:$E$595,$G519,$C$245:$C$595,"&lt;="&amp;Y$5)&lt;1000000,SUMIFS($D$245:$D$595,$F$245:$F$595,0,$E$245:$E$595,$G519,$C$245:$C$595,"&lt;="&amp;AA5)&gt;=1000000),SUMIFS($D$245:$D$595,$F$245:$F$595,0,$E$245:$E$595,$G519)*$C$157 ,0)</f>
        <v/>
      </c>
      <c r="AC519" s="95">
        <f>IF(AND(SUMIFS($D$245:$D$595,$F$245:$F$595,0,$E$245:$E$595,$G519,$C$245:$C$595,"&lt;="&amp;AA$5)&lt;1000000,SUMIFS($D$245:$D$595,$F$245:$F$595,0,$E$245:$E$595,$G519,$C$245:$C$595,"&lt;="&amp;AC5)&gt;=1000000),SUMIFS($D$245:$D$595,$F$245:$F$595,0,$E$245:$E$595,$G519)*$C$157 ,0)</f>
        <v/>
      </c>
      <c r="AE519" s="95">
        <f>IF(AND(SUMIFS($D$245:$D$595,$F$245:$F$595,0,$E$245:$E$595,$G519,$C$245:$C$595,"&lt;="&amp;AC$5)&lt;1000000,SUMIFS($D$245:$D$595,$F$245:$F$595,0,$E$245:$E$595,$G519,$C$245:$C$595,"&lt;="&amp;AE5)&gt;=1000000),SUMIFS($D$245:$D$595,$F$245:$F$595,0,$E$245:$E$595,$G519)*$C$157 ,0)</f>
        <v/>
      </c>
      <c r="AF519" s="19" t="n"/>
    </row>
    <row r="520">
      <c r="A520" s="20">
        <f>mid(E520, 3, 1)</f>
        <v/>
      </c>
      <c r="B520" s="14" t="inlineStr"/>
      <c r="C520" s="21">
        <f>SUMIFS('Investor Exit List'!$AC:$AC,'Investor Exit List'!$AB:$AB,B520)</f>
        <v/>
      </c>
      <c r="D520" s="14">
        <f>SUMIFS('Investor Exit List'!$Q:$Q,'Investor Exit List'!$AB:$AB,B520)</f>
        <v/>
      </c>
      <c r="E520" s="31">
        <f>LEFT(B520,6)</f>
        <v/>
      </c>
      <c r="F520" s="14">
        <f>IF(SUMIFS($E$119:$E$151,$D$119:$D$151,E520)&lt;&gt;0,E520,0)</f>
        <v/>
      </c>
      <c r="G520" s="59" t="n"/>
      <c r="I520" s="28">
        <f>IF(AND(SUMIFS($D$245:$D$595,$F$245:$F$595,0,$E$245:$E$595,$G520,$C$245:$C$595,"&lt;="&amp;B$2)&lt;1000000,SUMIFS($D$245:$D$595,$F$245:$F$595,0,$E$245:$E$595,$G520,$C$245:$C$595,"&lt;="&amp;I5)&gt;=1000000),SUMIFS($D$245:$D$595,$F$245:$F$595,0,$E$245:$E$595,$G520)*$C$157 ,0)</f>
        <v/>
      </c>
      <c r="K520" s="95">
        <f>IF(AND(SUMIFS($D$245:$D$595,$F$245:$F$595,0,$E$245:$E$595,$G520,$C$245:$C$595,"&lt;="&amp;I$5)&lt;1000000,SUMIFS($D$245:$D$595,$F$245:$F$595,0,$E$245:$E$595,$G520,$C$245:$C$595,"&lt;="&amp;K5)&gt;=1000000),SUMIFS($D$245:$D$595,$F$245:$F$595,0,$E$245:$E$595,$G520)*$C$157 ,0)</f>
        <v/>
      </c>
      <c r="M520" s="95">
        <f>IF(AND(SUMIFS($D$245:$D$595,$F$245:$F$595,0,$E$245:$E$595,$G520,$C$245:$C$595,"&lt;="&amp;K$5)&lt;1000000,SUMIFS($D$245:$D$595,$F$245:$F$595,0,$E$245:$E$595,$G520,$C$245:$C$595,"&lt;="&amp;M5)&gt;=1000000),SUMIFS($D$245:$D$595,$F$245:$F$595,0,$E$245:$E$595,$G520)*$C$157 ,0)</f>
        <v/>
      </c>
      <c r="O520" s="95">
        <f>IF(AND(SUMIFS($D$245:$D$595,$F$245:$F$595,0,$E$245:$E$595,$G520,$C$245:$C$595,"&lt;="&amp;M$5)&lt;1000000,SUMIFS($D$245:$D$595,$F$245:$F$595,0,$E$245:$E$595,$G520,$C$245:$C$595,"&lt;="&amp;O5)&gt;=1000000),SUMIFS($D$245:$D$595,$F$245:$F$595,0,$E$245:$E$595,$G520)*$C$157 ,0)</f>
        <v/>
      </c>
      <c r="Q520" s="95">
        <f>IF(AND(SUMIFS($D$245:$D$595,$F$245:$F$595,0,$E$245:$E$595,$G520,$C$245:$C$595,"&lt;="&amp;O$5)&lt;1000000,SUMIFS($D$245:$D$595,$F$245:$F$595,0,$E$245:$E$595,$G520,$C$245:$C$595,"&lt;="&amp;Q5)&gt;=1000000),SUMIFS($D$245:$D$595,$F$245:$F$595,0,$E$245:$E$595,$G520)*$C$157 ,0)</f>
        <v/>
      </c>
      <c r="S520" s="95">
        <f>IF(AND(SUMIFS($D$245:$D$595,$F$245:$F$595,0,$E$245:$E$595,$G520,$C$245:$C$595,"&lt;="&amp;Q$5)&lt;1000000,SUMIFS($D$245:$D$595,$F$245:$F$595,0,$E$245:$E$595,$G520,$C$245:$C$595,"&lt;="&amp;S5)&gt;=1000000),SUMIFS($D$245:$D$595,$F$245:$F$595,0,$E$245:$E$595,$G520)*$C$157 ,0)</f>
        <v/>
      </c>
      <c r="U520" s="95">
        <f>IF(AND(SUMIFS($D$245:$D$595,$F$245:$F$595,0,$E$245:$E$595,$G520,$C$245:$C$595,"&lt;="&amp;S$5)&lt;1000000,SUMIFS($D$245:$D$595,$F$245:$F$595,0,$E$245:$E$595,$G520,$C$245:$C$595,"&lt;="&amp;U5)&gt;=1000000),SUMIFS($D$245:$D$595,$F$245:$F$595,0,$E$245:$E$595,$G520)*$C$157 ,0)</f>
        <v/>
      </c>
      <c r="W520" s="95">
        <f>IF(AND(SUMIFS($D$245:$D$595,$F$245:$F$595,0,$E$245:$E$595,$G520,$C$245:$C$595,"&lt;="&amp;U$5)&lt;1000000,SUMIFS($D$245:$D$595,$F$245:$F$595,0,$E$245:$E$595,$G520,$C$245:$C$595,"&lt;="&amp;W5)&gt;=1000000),SUMIFS($D$245:$D$595,$F$245:$F$595,0,$E$245:$E$595,$G520)*$C$157 ,0)</f>
        <v/>
      </c>
      <c r="Y520" s="95">
        <f>IF(AND(SUMIFS($D$245:$D$595,$F$245:$F$595,0,$E$245:$E$595,$G520,$C$245:$C$595,"&lt;="&amp;W$5)&lt;1000000,SUMIFS($D$245:$D$595,$F$245:$F$595,0,$E$245:$E$595,$G520,$C$245:$C$595,"&lt;="&amp;Y5)&gt;=1000000),SUMIFS($D$245:$D$595,$F$245:$F$595,0,$E$245:$E$595,$G520)*$C$157 ,0)</f>
        <v/>
      </c>
      <c r="AA520" s="95">
        <f>IF(AND(SUMIFS($D$245:$D$595,$F$245:$F$595,0,$E$245:$E$595,$G520,$C$245:$C$595,"&lt;="&amp;Y$5)&lt;1000000,SUMIFS($D$245:$D$595,$F$245:$F$595,0,$E$245:$E$595,$G520,$C$245:$C$595,"&lt;="&amp;AA5)&gt;=1000000),SUMIFS($D$245:$D$595,$F$245:$F$595,0,$E$245:$E$595,$G520)*$C$157 ,0)</f>
        <v/>
      </c>
      <c r="AC520" s="95">
        <f>IF(AND(SUMIFS($D$245:$D$595,$F$245:$F$595,0,$E$245:$E$595,$G520,$C$245:$C$595,"&lt;="&amp;AA$5)&lt;1000000,SUMIFS($D$245:$D$595,$F$245:$F$595,0,$E$245:$E$595,$G520,$C$245:$C$595,"&lt;="&amp;AC5)&gt;=1000000),SUMIFS($D$245:$D$595,$F$245:$F$595,0,$E$245:$E$595,$G520)*$C$157 ,0)</f>
        <v/>
      </c>
      <c r="AE520" s="95">
        <f>IF(AND(SUMIFS($D$245:$D$595,$F$245:$F$595,0,$E$245:$E$595,$G520,$C$245:$C$595,"&lt;="&amp;AC$5)&lt;1000000,SUMIFS($D$245:$D$595,$F$245:$F$595,0,$E$245:$E$595,$G520,$C$245:$C$595,"&lt;="&amp;AE5)&gt;=1000000),SUMIFS($D$245:$D$595,$F$245:$F$595,0,$E$245:$E$595,$G520)*$C$157 ,0)</f>
        <v/>
      </c>
      <c r="AF520" s="19" t="n"/>
    </row>
    <row r="521">
      <c r="A521" s="20">
        <f>mid(E521, 3, 1)</f>
        <v/>
      </c>
      <c r="B521" s="14" t="inlineStr"/>
      <c r="C521" s="21">
        <f>SUMIFS('Investor Exit List'!$AC:$AC,'Investor Exit List'!$AB:$AB,B521)</f>
        <v/>
      </c>
      <c r="D521" s="14">
        <f>SUMIFS('Investor Exit List'!$Q:$Q,'Investor Exit List'!$AB:$AB,B521)</f>
        <v/>
      </c>
      <c r="E521" s="31">
        <f>LEFT(B521,6)</f>
        <v/>
      </c>
      <c r="F521" s="14">
        <f>IF(SUMIFS($E$119:$E$151,$D$119:$D$151,E521)&lt;&gt;0,E521,0)</f>
        <v/>
      </c>
      <c r="G521" s="59" t="n"/>
      <c r="I521" s="28">
        <f>IF(AND(SUMIFS($D$245:$D$595,$F$245:$F$595,0,$E$245:$E$595,$G521,$C$245:$C$595,"&lt;="&amp;B$2)&lt;1000000,SUMIFS($D$245:$D$595,$F$245:$F$595,0,$E$245:$E$595,$G521,$C$245:$C$595,"&lt;="&amp;I5)&gt;=1000000),SUMIFS($D$245:$D$595,$F$245:$F$595,0,$E$245:$E$595,$G521)*$C$157 ,0)</f>
        <v/>
      </c>
      <c r="K521" s="95">
        <f>IF(AND(SUMIFS($D$245:$D$595,$F$245:$F$595,0,$E$245:$E$595,$G521,$C$245:$C$595,"&lt;="&amp;I$5)&lt;1000000,SUMIFS($D$245:$D$595,$F$245:$F$595,0,$E$245:$E$595,$G521,$C$245:$C$595,"&lt;="&amp;K5)&gt;=1000000),SUMIFS($D$245:$D$595,$F$245:$F$595,0,$E$245:$E$595,$G521)*$C$157 ,0)</f>
        <v/>
      </c>
      <c r="M521" s="95">
        <f>IF(AND(SUMIFS($D$245:$D$595,$F$245:$F$595,0,$E$245:$E$595,$G521,$C$245:$C$595,"&lt;="&amp;K$5)&lt;1000000,SUMIFS($D$245:$D$595,$F$245:$F$595,0,$E$245:$E$595,$G521,$C$245:$C$595,"&lt;="&amp;M5)&gt;=1000000),SUMIFS($D$245:$D$595,$F$245:$F$595,0,$E$245:$E$595,$G521)*$C$157 ,0)</f>
        <v/>
      </c>
      <c r="O521" s="95">
        <f>IF(AND(SUMIFS($D$245:$D$595,$F$245:$F$595,0,$E$245:$E$595,$G521,$C$245:$C$595,"&lt;="&amp;M$5)&lt;1000000,SUMIFS($D$245:$D$595,$F$245:$F$595,0,$E$245:$E$595,$G521,$C$245:$C$595,"&lt;="&amp;O5)&gt;=1000000),SUMIFS($D$245:$D$595,$F$245:$F$595,0,$E$245:$E$595,$G521)*$C$157 ,0)</f>
        <v/>
      </c>
      <c r="Q521" s="95">
        <f>IF(AND(SUMIFS($D$245:$D$595,$F$245:$F$595,0,$E$245:$E$595,$G521,$C$245:$C$595,"&lt;="&amp;O$5)&lt;1000000,SUMIFS($D$245:$D$595,$F$245:$F$595,0,$E$245:$E$595,$G521,$C$245:$C$595,"&lt;="&amp;Q5)&gt;=1000000),SUMIFS($D$245:$D$595,$F$245:$F$595,0,$E$245:$E$595,$G521)*$C$157 ,0)</f>
        <v/>
      </c>
      <c r="S521" s="95">
        <f>IF(AND(SUMIFS($D$245:$D$595,$F$245:$F$595,0,$E$245:$E$595,$G521,$C$245:$C$595,"&lt;="&amp;Q$5)&lt;1000000,SUMIFS($D$245:$D$595,$F$245:$F$595,0,$E$245:$E$595,$G521,$C$245:$C$595,"&lt;="&amp;S5)&gt;=1000000),SUMIFS($D$245:$D$595,$F$245:$F$595,0,$E$245:$E$595,$G521)*$C$157 ,0)</f>
        <v/>
      </c>
      <c r="U521" s="95">
        <f>IF(AND(SUMIFS($D$245:$D$595,$F$245:$F$595,0,$E$245:$E$595,$G521,$C$245:$C$595,"&lt;="&amp;S$5)&lt;1000000,SUMIFS($D$245:$D$595,$F$245:$F$595,0,$E$245:$E$595,$G521,$C$245:$C$595,"&lt;="&amp;U5)&gt;=1000000),SUMIFS($D$245:$D$595,$F$245:$F$595,0,$E$245:$E$595,$G521)*$C$157 ,0)</f>
        <v/>
      </c>
      <c r="W521" s="95">
        <f>IF(AND(SUMIFS($D$245:$D$595,$F$245:$F$595,0,$E$245:$E$595,$G521,$C$245:$C$595,"&lt;="&amp;U$5)&lt;1000000,SUMIFS($D$245:$D$595,$F$245:$F$595,0,$E$245:$E$595,$G521,$C$245:$C$595,"&lt;="&amp;W5)&gt;=1000000),SUMIFS($D$245:$D$595,$F$245:$F$595,0,$E$245:$E$595,$G521)*$C$157 ,0)</f>
        <v/>
      </c>
      <c r="Y521" s="95">
        <f>IF(AND(SUMIFS($D$245:$D$595,$F$245:$F$595,0,$E$245:$E$595,$G521,$C$245:$C$595,"&lt;="&amp;W$5)&lt;1000000,SUMIFS($D$245:$D$595,$F$245:$F$595,0,$E$245:$E$595,$G521,$C$245:$C$595,"&lt;="&amp;Y5)&gt;=1000000),SUMIFS($D$245:$D$595,$F$245:$F$595,0,$E$245:$E$595,$G521)*$C$157 ,0)</f>
        <v/>
      </c>
      <c r="AA521" s="95">
        <f>IF(AND(SUMIFS($D$245:$D$595,$F$245:$F$595,0,$E$245:$E$595,$G521,$C$245:$C$595,"&lt;="&amp;Y$5)&lt;1000000,SUMIFS($D$245:$D$595,$F$245:$F$595,0,$E$245:$E$595,$G521,$C$245:$C$595,"&lt;="&amp;AA5)&gt;=1000000),SUMIFS($D$245:$D$595,$F$245:$F$595,0,$E$245:$E$595,$G521)*$C$157 ,0)</f>
        <v/>
      </c>
      <c r="AC521" s="95">
        <f>IF(AND(SUMIFS($D$245:$D$595,$F$245:$F$595,0,$E$245:$E$595,$G521,$C$245:$C$595,"&lt;="&amp;AA$5)&lt;1000000,SUMIFS($D$245:$D$595,$F$245:$F$595,0,$E$245:$E$595,$G521,$C$245:$C$595,"&lt;="&amp;AC5)&gt;=1000000),SUMIFS($D$245:$D$595,$F$245:$F$595,0,$E$245:$E$595,$G521)*$C$157 ,0)</f>
        <v/>
      </c>
      <c r="AE521" s="95">
        <f>IF(AND(SUMIFS($D$245:$D$595,$F$245:$F$595,0,$E$245:$E$595,$G521,$C$245:$C$595,"&lt;="&amp;AC$5)&lt;1000000,SUMIFS($D$245:$D$595,$F$245:$F$595,0,$E$245:$E$595,$G521,$C$245:$C$595,"&lt;="&amp;AE5)&gt;=1000000),SUMIFS($D$245:$D$595,$F$245:$F$595,0,$E$245:$E$595,$G521)*$C$157 ,0)</f>
        <v/>
      </c>
      <c r="AF521" s="19" t="n"/>
    </row>
    <row r="522">
      <c r="A522" s="20">
        <f>mid(E522, 3, 1)</f>
        <v/>
      </c>
      <c r="B522" s="14" t="inlineStr"/>
      <c r="C522" s="21">
        <f>SUMIFS('Investor Exit List'!$AC:$AC,'Investor Exit List'!$AB:$AB,B522)</f>
        <v/>
      </c>
      <c r="D522" s="14">
        <f>SUMIFS('Investor Exit List'!$Q:$Q,'Investor Exit List'!$AB:$AB,B522)</f>
        <v/>
      </c>
      <c r="E522" s="31">
        <f>LEFT(B522,6)</f>
        <v/>
      </c>
      <c r="F522" s="14">
        <f>IF(SUMIFS($E$119:$E$151,$D$119:$D$151,E522)&lt;&gt;0,E522,0)</f>
        <v/>
      </c>
      <c r="G522" s="59" t="n"/>
      <c r="I522" s="28">
        <f>IF(AND(SUMIFS($D$245:$D$595,$F$245:$F$595,0,$E$245:$E$595,$G522,$C$245:$C$595,"&lt;="&amp;B$2)&lt;1000000,SUMIFS($D$245:$D$595,$F$245:$F$595,0,$E$245:$E$595,$G522,$C$245:$C$595,"&lt;="&amp;I5)&gt;=1000000),SUMIFS($D$245:$D$595,$F$245:$F$595,0,$E$245:$E$595,$G522)*$C$157 ,0)</f>
        <v/>
      </c>
      <c r="K522" s="95">
        <f>IF(AND(SUMIFS($D$245:$D$595,$F$245:$F$595,0,$E$245:$E$595,$G522,$C$245:$C$595,"&lt;="&amp;I$5)&lt;1000000,SUMIFS($D$245:$D$595,$F$245:$F$595,0,$E$245:$E$595,$G522,$C$245:$C$595,"&lt;="&amp;K5)&gt;=1000000),SUMIFS($D$245:$D$595,$F$245:$F$595,0,$E$245:$E$595,$G522)*$C$157 ,0)</f>
        <v/>
      </c>
      <c r="M522" s="95">
        <f>IF(AND(SUMIFS($D$245:$D$595,$F$245:$F$595,0,$E$245:$E$595,$G522,$C$245:$C$595,"&lt;="&amp;K$5)&lt;1000000,SUMIFS($D$245:$D$595,$F$245:$F$595,0,$E$245:$E$595,$G522,$C$245:$C$595,"&lt;="&amp;M5)&gt;=1000000),SUMIFS($D$245:$D$595,$F$245:$F$595,0,$E$245:$E$595,$G522)*$C$157 ,0)</f>
        <v/>
      </c>
      <c r="O522" s="95">
        <f>IF(AND(SUMIFS($D$245:$D$595,$F$245:$F$595,0,$E$245:$E$595,$G522,$C$245:$C$595,"&lt;="&amp;M$5)&lt;1000000,SUMIFS($D$245:$D$595,$F$245:$F$595,0,$E$245:$E$595,$G522,$C$245:$C$595,"&lt;="&amp;O5)&gt;=1000000),SUMIFS($D$245:$D$595,$F$245:$F$595,0,$E$245:$E$595,$G522)*$C$157 ,0)</f>
        <v/>
      </c>
      <c r="Q522" s="95">
        <f>IF(AND(SUMIFS($D$245:$D$595,$F$245:$F$595,0,$E$245:$E$595,$G522,$C$245:$C$595,"&lt;="&amp;O$5)&lt;1000000,SUMIFS($D$245:$D$595,$F$245:$F$595,0,$E$245:$E$595,$G522,$C$245:$C$595,"&lt;="&amp;Q5)&gt;=1000000),SUMIFS($D$245:$D$595,$F$245:$F$595,0,$E$245:$E$595,$G522)*$C$157 ,0)</f>
        <v/>
      </c>
      <c r="S522" s="95">
        <f>IF(AND(SUMIFS($D$245:$D$595,$F$245:$F$595,0,$E$245:$E$595,$G522,$C$245:$C$595,"&lt;="&amp;Q$5)&lt;1000000,SUMIFS($D$245:$D$595,$F$245:$F$595,0,$E$245:$E$595,$G522,$C$245:$C$595,"&lt;="&amp;S5)&gt;=1000000),SUMIFS($D$245:$D$595,$F$245:$F$595,0,$E$245:$E$595,$G522)*$C$157 ,0)</f>
        <v/>
      </c>
      <c r="U522" s="95">
        <f>IF(AND(SUMIFS($D$245:$D$595,$F$245:$F$595,0,$E$245:$E$595,$G522,$C$245:$C$595,"&lt;="&amp;S$5)&lt;1000000,SUMIFS($D$245:$D$595,$F$245:$F$595,0,$E$245:$E$595,$G522,$C$245:$C$595,"&lt;="&amp;U5)&gt;=1000000),SUMIFS($D$245:$D$595,$F$245:$F$595,0,$E$245:$E$595,$G522)*$C$157 ,0)</f>
        <v/>
      </c>
      <c r="W522" s="95">
        <f>IF(AND(SUMIFS($D$245:$D$595,$F$245:$F$595,0,$E$245:$E$595,$G522,$C$245:$C$595,"&lt;="&amp;U$5)&lt;1000000,SUMIFS($D$245:$D$595,$F$245:$F$595,0,$E$245:$E$595,$G522,$C$245:$C$595,"&lt;="&amp;W5)&gt;=1000000),SUMIFS($D$245:$D$595,$F$245:$F$595,0,$E$245:$E$595,$G522)*$C$157 ,0)</f>
        <v/>
      </c>
      <c r="Y522" s="95">
        <f>IF(AND(SUMIFS($D$245:$D$595,$F$245:$F$595,0,$E$245:$E$595,$G522,$C$245:$C$595,"&lt;="&amp;W$5)&lt;1000000,SUMIFS($D$245:$D$595,$F$245:$F$595,0,$E$245:$E$595,$G522,$C$245:$C$595,"&lt;="&amp;Y5)&gt;=1000000),SUMIFS($D$245:$D$595,$F$245:$F$595,0,$E$245:$E$595,$G522)*$C$157 ,0)</f>
        <v/>
      </c>
      <c r="AA522" s="95">
        <f>IF(AND(SUMIFS($D$245:$D$595,$F$245:$F$595,0,$E$245:$E$595,$G522,$C$245:$C$595,"&lt;="&amp;Y$5)&lt;1000000,SUMIFS($D$245:$D$595,$F$245:$F$595,0,$E$245:$E$595,$G522,$C$245:$C$595,"&lt;="&amp;AA5)&gt;=1000000),SUMIFS($D$245:$D$595,$F$245:$F$595,0,$E$245:$E$595,$G522)*$C$157 ,0)</f>
        <v/>
      </c>
      <c r="AC522" s="95">
        <f>IF(AND(SUMIFS($D$245:$D$595,$F$245:$F$595,0,$E$245:$E$595,$G522,$C$245:$C$595,"&lt;="&amp;AA$5)&lt;1000000,SUMIFS($D$245:$D$595,$F$245:$F$595,0,$E$245:$E$595,$G522,$C$245:$C$595,"&lt;="&amp;AC5)&gt;=1000000),SUMIFS($D$245:$D$595,$F$245:$F$595,0,$E$245:$E$595,$G522)*$C$157 ,0)</f>
        <v/>
      </c>
      <c r="AE522" s="95">
        <f>IF(AND(SUMIFS($D$245:$D$595,$F$245:$F$595,0,$E$245:$E$595,$G522,$C$245:$C$595,"&lt;="&amp;AC$5)&lt;1000000,SUMIFS($D$245:$D$595,$F$245:$F$595,0,$E$245:$E$595,$G522,$C$245:$C$595,"&lt;="&amp;AE5)&gt;=1000000),SUMIFS($D$245:$D$595,$F$245:$F$595,0,$E$245:$E$595,$G522)*$C$157 ,0)</f>
        <v/>
      </c>
      <c r="AF522" s="19" t="n"/>
    </row>
    <row r="523">
      <c r="A523" s="20">
        <f>mid(E523, 3, 1)</f>
        <v/>
      </c>
      <c r="B523" s="14" t="inlineStr"/>
      <c r="C523" s="21">
        <f>SUMIFS('Investor Exit List'!$AC:$AC,'Investor Exit List'!$AB:$AB,B523)</f>
        <v/>
      </c>
      <c r="D523" s="14">
        <f>SUMIFS('Investor Exit List'!$Q:$Q,'Investor Exit List'!$AB:$AB,B523)</f>
        <v/>
      </c>
      <c r="E523" s="31">
        <f>LEFT(B523,6)</f>
        <v/>
      </c>
      <c r="F523" s="14">
        <f>IF(SUMIFS($E$119:$E$151,$D$119:$D$151,E523)&lt;&gt;0,E523,0)</f>
        <v/>
      </c>
      <c r="G523" s="59" t="n"/>
      <c r="I523" s="28">
        <f>IF(AND(SUMIFS($D$245:$D$595,$F$245:$F$595,0,$E$245:$E$595,$G523,$C$245:$C$595,"&lt;="&amp;B$2)&lt;1000000,SUMIFS($D$245:$D$595,$F$245:$F$595,0,$E$245:$E$595,$G523,$C$245:$C$595,"&lt;="&amp;I5)&gt;=1000000),SUMIFS($D$245:$D$595,$F$245:$F$595,0,$E$245:$E$595,$G523)*$C$157 ,0)</f>
        <v/>
      </c>
      <c r="K523" s="95">
        <f>IF(AND(SUMIFS($D$245:$D$595,$F$245:$F$595,0,$E$245:$E$595,$G523,$C$245:$C$595,"&lt;="&amp;I$5)&lt;1000000,SUMIFS($D$245:$D$595,$F$245:$F$595,0,$E$245:$E$595,$G523,$C$245:$C$595,"&lt;="&amp;K5)&gt;=1000000),SUMIFS($D$245:$D$595,$F$245:$F$595,0,$E$245:$E$595,$G523)*$C$157 ,0)</f>
        <v/>
      </c>
      <c r="M523" s="95">
        <f>IF(AND(SUMIFS($D$245:$D$595,$F$245:$F$595,0,$E$245:$E$595,$G523,$C$245:$C$595,"&lt;="&amp;K$5)&lt;1000000,SUMIFS($D$245:$D$595,$F$245:$F$595,0,$E$245:$E$595,$G523,$C$245:$C$595,"&lt;="&amp;M5)&gt;=1000000),SUMIFS($D$245:$D$595,$F$245:$F$595,0,$E$245:$E$595,$G523)*$C$157 ,0)</f>
        <v/>
      </c>
      <c r="O523" s="95">
        <f>IF(AND(SUMIFS($D$245:$D$595,$F$245:$F$595,0,$E$245:$E$595,$G523,$C$245:$C$595,"&lt;="&amp;M$5)&lt;1000000,SUMIFS($D$245:$D$595,$F$245:$F$595,0,$E$245:$E$595,$G523,$C$245:$C$595,"&lt;="&amp;O5)&gt;=1000000),SUMIFS($D$245:$D$595,$F$245:$F$595,0,$E$245:$E$595,$G523)*$C$157 ,0)</f>
        <v/>
      </c>
      <c r="Q523" s="95">
        <f>IF(AND(SUMIFS($D$245:$D$595,$F$245:$F$595,0,$E$245:$E$595,$G523,$C$245:$C$595,"&lt;="&amp;O$5)&lt;1000000,SUMIFS($D$245:$D$595,$F$245:$F$595,0,$E$245:$E$595,$G523,$C$245:$C$595,"&lt;="&amp;Q5)&gt;=1000000),SUMIFS($D$245:$D$595,$F$245:$F$595,0,$E$245:$E$595,$G523)*$C$157 ,0)</f>
        <v/>
      </c>
      <c r="S523" s="95">
        <f>IF(AND(SUMIFS($D$245:$D$595,$F$245:$F$595,0,$E$245:$E$595,$G523,$C$245:$C$595,"&lt;="&amp;Q$5)&lt;1000000,SUMIFS($D$245:$D$595,$F$245:$F$595,0,$E$245:$E$595,$G523,$C$245:$C$595,"&lt;="&amp;S5)&gt;=1000000),SUMIFS($D$245:$D$595,$F$245:$F$595,0,$E$245:$E$595,$G523)*$C$157 ,0)</f>
        <v/>
      </c>
      <c r="U523" s="95">
        <f>IF(AND(SUMIFS($D$245:$D$595,$F$245:$F$595,0,$E$245:$E$595,$G523,$C$245:$C$595,"&lt;="&amp;S$5)&lt;1000000,SUMIFS($D$245:$D$595,$F$245:$F$595,0,$E$245:$E$595,$G523,$C$245:$C$595,"&lt;="&amp;U5)&gt;=1000000),SUMIFS($D$245:$D$595,$F$245:$F$595,0,$E$245:$E$595,$G523)*$C$157 ,0)</f>
        <v/>
      </c>
      <c r="W523" s="95">
        <f>IF(AND(SUMIFS($D$245:$D$595,$F$245:$F$595,0,$E$245:$E$595,$G523,$C$245:$C$595,"&lt;="&amp;U$5)&lt;1000000,SUMIFS($D$245:$D$595,$F$245:$F$595,0,$E$245:$E$595,$G523,$C$245:$C$595,"&lt;="&amp;W5)&gt;=1000000),SUMIFS($D$245:$D$595,$F$245:$F$595,0,$E$245:$E$595,$G523)*$C$157 ,0)</f>
        <v/>
      </c>
      <c r="Y523" s="95">
        <f>IF(AND(SUMIFS($D$245:$D$595,$F$245:$F$595,0,$E$245:$E$595,$G523,$C$245:$C$595,"&lt;="&amp;W$5)&lt;1000000,SUMIFS($D$245:$D$595,$F$245:$F$595,0,$E$245:$E$595,$G523,$C$245:$C$595,"&lt;="&amp;Y5)&gt;=1000000),SUMIFS($D$245:$D$595,$F$245:$F$595,0,$E$245:$E$595,$G523)*$C$157 ,0)</f>
        <v/>
      </c>
      <c r="AA523" s="95">
        <f>IF(AND(SUMIFS($D$245:$D$595,$F$245:$F$595,0,$E$245:$E$595,$G523,$C$245:$C$595,"&lt;="&amp;Y$5)&lt;1000000,SUMIFS($D$245:$D$595,$F$245:$F$595,0,$E$245:$E$595,$G523,$C$245:$C$595,"&lt;="&amp;AA5)&gt;=1000000),SUMIFS($D$245:$D$595,$F$245:$F$595,0,$E$245:$E$595,$G523)*$C$157 ,0)</f>
        <v/>
      </c>
      <c r="AC523" s="95">
        <f>IF(AND(SUMIFS($D$245:$D$595,$F$245:$F$595,0,$E$245:$E$595,$G523,$C$245:$C$595,"&lt;="&amp;AA$5)&lt;1000000,SUMIFS($D$245:$D$595,$F$245:$F$595,0,$E$245:$E$595,$G523,$C$245:$C$595,"&lt;="&amp;AC5)&gt;=1000000),SUMIFS($D$245:$D$595,$F$245:$F$595,0,$E$245:$E$595,$G523)*$C$157 ,0)</f>
        <v/>
      </c>
      <c r="AE523" s="95">
        <f>IF(AND(SUMIFS($D$245:$D$595,$F$245:$F$595,0,$E$245:$E$595,$G523,$C$245:$C$595,"&lt;="&amp;AC$5)&lt;1000000,SUMIFS($D$245:$D$595,$F$245:$F$595,0,$E$245:$E$595,$G523,$C$245:$C$595,"&lt;="&amp;AE5)&gt;=1000000),SUMIFS($D$245:$D$595,$F$245:$F$595,0,$E$245:$E$595,$G523)*$C$157 ,0)</f>
        <v/>
      </c>
      <c r="AF523" s="19" t="n"/>
    </row>
    <row r="524">
      <c r="A524" s="20">
        <f>mid(E524, 3, 1)</f>
        <v/>
      </c>
      <c r="B524" s="14" t="inlineStr"/>
      <c r="C524" s="21">
        <f>SUMIFS('Investor Exit List'!$AC:$AC,'Investor Exit List'!$AB:$AB,B524)</f>
        <v/>
      </c>
      <c r="D524" s="14">
        <f>SUMIFS('Investor Exit List'!$Q:$Q,'Investor Exit List'!$AB:$AB,B524)</f>
        <v/>
      </c>
      <c r="E524" s="31">
        <f>LEFT(B524,6)</f>
        <v/>
      </c>
      <c r="F524" s="14">
        <f>IF(SUMIFS($E$119:$E$151,$D$119:$D$151,E524)&lt;&gt;0,E524,0)</f>
        <v/>
      </c>
      <c r="G524" s="59" t="n"/>
      <c r="I524" s="28">
        <f>IF(AND(SUMIFS($D$245:$D$595,$F$245:$F$595,0,$E$245:$E$595,$G524,$C$245:$C$595,"&lt;="&amp;B$2)&lt;1000000,SUMIFS($D$245:$D$595,$F$245:$F$595,0,$E$245:$E$595,$G524,$C$245:$C$595,"&lt;="&amp;I5)&gt;=1000000),SUMIFS($D$245:$D$595,$F$245:$F$595,0,$E$245:$E$595,$G524)*$C$157 ,0)</f>
        <v/>
      </c>
      <c r="K524" s="95">
        <f>IF(AND(SUMIFS($D$245:$D$595,$F$245:$F$595,0,$E$245:$E$595,$G524,$C$245:$C$595,"&lt;="&amp;I$5)&lt;1000000,SUMIFS($D$245:$D$595,$F$245:$F$595,0,$E$245:$E$595,$G524,$C$245:$C$595,"&lt;="&amp;K5)&gt;=1000000),SUMIFS($D$245:$D$595,$F$245:$F$595,0,$E$245:$E$595,$G524)*$C$157 ,0)</f>
        <v/>
      </c>
      <c r="M524" s="95">
        <f>IF(AND(SUMIFS($D$245:$D$595,$F$245:$F$595,0,$E$245:$E$595,$G524,$C$245:$C$595,"&lt;="&amp;K$5)&lt;1000000,SUMIFS($D$245:$D$595,$F$245:$F$595,0,$E$245:$E$595,$G524,$C$245:$C$595,"&lt;="&amp;M5)&gt;=1000000),SUMIFS($D$245:$D$595,$F$245:$F$595,0,$E$245:$E$595,$G524)*$C$157 ,0)</f>
        <v/>
      </c>
      <c r="O524" s="95">
        <f>IF(AND(SUMIFS($D$245:$D$595,$F$245:$F$595,0,$E$245:$E$595,$G524,$C$245:$C$595,"&lt;="&amp;M$5)&lt;1000000,SUMIFS($D$245:$D$595,$F$245:$F$595,0,$E$245:$E$595,$G524,$C$245:$C$595,"&lt;="&amp;O5)&gt;=1000000),SUMIFS($D$245:$D$595,$F$245:$F$595,0,$E$245:$E$595,$G524)*$C$157 ,0)</f>
        <v/>
      </c>
      <c r="Q524" s="95">
        <f>IF(AND(SUMIFS($D$245:$D$595,$F$245:$F$595,0,$E$245:$E$595,$G524,$C$245:$C$595,"&lt;="&amp;O$5)&lt;1000000,SUMIFS($D$245:$D$595,$F$245:$F$595,0,$E$245:$E$595,$G524,$C$245:$C$595,"&lt;="&amp;Q5)&gt;=1000000),SUMIFS($D$245:$D$595,$F$245:$F$595,0,$E$245:$E$595,$G524)*$C$157 ,0)</f>
        <v/>
      </c>
      <c r="S524" s="95">
        <f>IF(AND(SUMIFS($D$245:$D$595,$F$245:$F$595,0,$E$245:$E$595,$G524,$C$245:$C$595,"&lt;="&amp;Q$5)&lt;1000000,SUMIFS($D$245:$D$595,$F$245:$F$595,0,$E$245:$E$595,$G524,$C$245:$C$595,"&lt;="&amp;S5)&gt;=1000000),SUMIFS($D$245:$D$595,$F$245:$F$595,0,$E$245:$E$595,$G524)*$C$157 ,0)</f>
        <v/>
      </c>
      <c r="U524" s="95">
        <f>IF(AND(SUMIFS($D$245:$D$595,$F$245:$F$595,0,$E$245:$E$595,$G524,$C$245:$C$595,"&lt;="&amp;S$5)&lt;1000000,SUMIFS($D$245:$D$595,$F$245:$F$595,0,$E$245:$E$595,$G524,$C$245:$C$595,"&lt;="&amp;U5)&gt;=1000000),SUMIFS($D$245:$D$595,$F$245:$F$595,0,$E$245:$E$595,$G524)*$C$157 ,0)</f>
        <v/>
      </c>
      <c r="W524" s="95">
        <f>IF(AND(SUMIFS($D$245:$D$595,$F$245:$F$595,0,$E$245:$E$595,$G524,$C$245:$C$595,"&lt;="&amp;U$5)&lt;1000000,SUMIFS($D$245:$D$595,$F$245:$F$595,0,$E$245:$E$595,$G524,$C$245:$C$595,"&lt;="&amp;W5)&gt;=1000000),SUMIFS($D$245:$D$595,$F$245:$F$595,0,$E$245:$E$595,$G524)*$C$157 ,0)</f>
        <v/>
      </c>
      <c r="Y524" s="95">
        <f>IF(AND(SUMIFS($D$245:$D$595,$F$245:$F$595,0,$E$245:$E$595,$G524,$C$245:$C$595,"&lt;="&amp;W$5)&lt;1000000,SUMIFS($D$245:$D$595,$F$245:$F$595,0,$E$245:$E$595,$G524,$C$245:$C$595,"&lt;="&amp;Y5)&gt;=1000000),SUMIFS($D$245:$D$595,$F$245:$F$595,0,$E$245:$E$595,$G524)*$C$157 ,0)</f>
        <v/>
      </c>
      <c r="AA524" s="95">
        <f>IF(AND(SUMIFS($D$245:$D$595,$F$245:$F$595,0,$E$245:$E$595,$G524,$C$245:$C$595,"&lt;="&amp;Y$5)&lt;1000000,SUMIFS($D$245:$D$595,$F$245:$F$595,0,$E$245:$E$595,$G524,$C$245:$C$595,"&lt;="&amp;AA5)&gt;=1000000),SUMIFS($D$245:$D$595,$F$245:$F$595,0,$E$245:$E$595,$G524)*$C$157 ,0)</f>
        <v/>
      </c>
      <c r="AC524" s="95">
        <f>IF(AND(SUMIFS($D$245:$D$595,$F$245:$F$595,0,$E$245:$E$595,$G524,$C$245:$C$595,"&lt;="&amp;AA$5)&lt;1000000,SUMIFS($D$245:$D$595,$F$245:$F$595,0,$E$245:$E$595,$G524,$C$245:$C$595,"&lt;="&amp;AC5)&gt;=1000000),SUMIFS($D$245:$D$595,$F$245:$F$595,0,$E$245:$E$595,$G524)*$C$157 ,0)</f>
        <v/>
      </c>
      <c r="AE524" s="95">
        <f>IF(AND(SUMIFS($D$245:$D$595,$F$245:$F$595,0,$E$245:$E$595,$G524,$C$245:$C$595,"&lt;="&amp;AC$5)&lt;1000000,SUMIFS($D$245:$D$595,$F$245:$F$595,0,$E$245:$E$595,$G524,$C$245:$C$595,"&lt;="&amp;AE5)&gt;=1000000),SUMIFS($D$245:$D$595,$F$245:$F$595,0,$E$245:$E$595,$G524)*$C$157 ,0)</f>
        <v/>
      </c>
      <c r="AF524" s="19" t="n"/>
    </row>
    <row r="525">
      <c r="A525" s="20">
        <f>mid(E525, 3, 1)</f>
        <v/>
      </c>
      <c r="B525" s="14" t="inlineStr"/>
      <c r="C525" s="21">
        <f>SUMIFS('Investor Exit List'!$AC:$AC,'Investor Exit List'!$AB:$AB,B525)</f>
        <v/>
      </c>
      <c r="D525" s="14">
        <f>SUMIFS('Investor Exit List'!$Q:$Q,'Investor Exit List'!$AB:$AB,B525)</f>
        <v/>
      </c>
      <c r="E525" s="31">
        <f>LEFT(B525,6)</f>
        <v/>
      </c>
      <c r="F525" s="14">
        <f>IF(SUMIFS($E$119:$E$151,$D$119:$D$151,E525)&lt;&gt;0,E525,0)</f>
        <v/>
      </c>
      <c r="G525" s="59" t="n"/>
      <c r="I525" s="28">
        <f>IF(AND(SUMIFS($D$245:$D$595,$F$245:$F$595,0,$E$245:$E$595,$G525,$C$245:$C$595,"&lt;="&amp;B$2)&lt;1000000,SUMIFS($D$245:$D$595,$F$245:$F$595,0,$E$245:$E$595,$G525,$C$245:$C$595,"&lt;="&amp;I5)&gt;=1000000),SUMIFS($D$245:$D$595,$F$245:$F$595,0,$E$245:$E$595,$G525)*$C$157 ,0)</f>
        <v/>
      </c>
      <c r="K525" s="95">
        <f>IF(AND(SUMIFS($D$245:$D$595,$F$245:$F$595,0,$E$245:$E$595,$G525,$C$245:$C$595,"&lt;="&amp;I$5)&lt;1000000,SUMIFS($D$245:$D$595,$F$245:$F$595,0,$E$245:$E$595,$G525,$C$245:$C$595,"&lt;="&amp;K5)&gt;=1000000),SUMIFS($D$245:$D$595,$F$245:$F$595,0,$E$245:$E$595,$G525)*$C$157 ,0)</f>
        <v/>
      </c>
      <c r="M525" s="95">
        <f>IF(AND(SUMIFS($D$245:$D$595,$F$245:$F$595,0,$E$245:$E$595,$G525,$C$245:$C$595,"&lt;="&amp;K$5)&lt;1000000,SUMIFS($D$245:$D$595,$F$245:$F$595,0,$E$245:$E$595,$G525,$C$245:$C$595,"&lt;="&amp;M5)&gt;=1000000),SUMIFS($D$245:$D$595,$F$245:$F$595,0,$E$245:$E$595,$G525)*$C$157 ,0)</f>
        <v/>
      </c>
      <c r="O525" s="95">
        <f>IF(AND(SUMIFS($D$245:$D$595,$F$245:$F$595,0,$E$245:$E$595,$G525,$C$245:$C$595,"&lt;="&amp;M$5)&lt;1000000,SUMIFS($D$245:$D$595,$F$245:$F$595,0,$E$245:$E$595,$G525,$C$245:$C$595,"&lt;="&amp;O5)&gt;=1000000),SUMIFS($D$245:$D$595,$F$245:$F$595,0,$E$245:$E$595,$G525)*$C$157 ,0)</f>
        <v/>
      </c>
      <c r="Q525" s="95">
        <f>IF(AND(SUMIFS($D$245:$D$595,$F$245:$F$595,0,$E$245:$E$595,$G525,$C$245:$C$595,"&lt;="&amp;O$5)&lt;1000000,SUMIFS($D$245:$D$595,$F$245:$F$595,0,$E$245:$E$595,$G525,$C$245:$C$595,"&lt;="&amp;Q5)&gt;=1000000),SUMIFS($D$245:$D$595,$F$245:$F$595,0,$E$245:$E$595,$G525)*$C$157 ,0)</f>
        <v/>
      </c>
      <c r="S525" s="95">
        <f>IF(AND(SUMIFS($D$245:$D$595,$F$245:$F$595,0,$E$245:$E$595,$G525,$C$245:$C$595,"&lt;="&amp;Q$5)&lt;1000000,SUMIFS($D$245:$D$595,$F$245:$F$595,0,$E$245:$E$595,$G525,$C$245:$C$595,"&lt;="&amp;S5)&gt;=1000000),SUMIFS($D$245:$D$595,$F$245:$F$595,0,$E$245:$E$595,$G525)*$C$157 ,0)</f>
        <v/>
      </c>
      <c r="U525" s="95">
        <f>IF(AND(SUMIFS($D$245:$D$595,$F$245:$F$595,0,$E$245:$E$595,$G525,$C$245:$C$595,"&lt;="&amp;S$5)&lt;1000000,SUMIFS($D$245:$D$595,$F$245:$F$595,0,$E$245:$E$595,$G525,$C$245:$C$595,"&lt;="&amp;U5)&gt;=1000000),SUMIFS($D$245:$D$595,$F$245:$F$595,0,$E$245:$E$595,$G525)*$C$157 ,0)</f>
        <v/>
      </c>
      <c r="W525" s="95">
        <f>IF(AND(SUMIFS($D$245:$D$595,$F$245:$F$595,0,$E$245:$E$595,$G525,$C$245:$C$595,"&lt;="&amp;U$5)&lt;1000000,SUMIFS($D$245:$D$595,$F$245:$F$595,0,$E$245:$E$595,$G525,$C$245:$C$595,"&lt;="&amp;W5)&gt;=1000000),SUMIFS($D$245:$D$595,$F$245:$F$595,0,$E$245:$E$595,$G525)*$C$157 ,0)</f>
        <v/>
      </c>
      <c r="Y525" s="95">
        <f>IF(AND(SUMIFS($D$245:$D$595,$F$245:$F$595,0,$E$245:$E$595,$G525,$C$245:$C$595,"&lt;="&amp;W$5)&lt;1000000,SUMIFS($D$245:$D$595,$F$245:$F$595,0,$E$245:$E$595,$G525,$C$245:$C$595,"&lt;="&amp;Y5)&gt;=1000000),SUMIFS($D$245:$D$595,$F$245:$F$595,0,$E$245:$E$595,$G525)*$C$157 ,0)</f>
        <v/>
      </c>
      <c r="AA525" s="95">
        <f>IF(AND(SUMIFS($D$245:$D$595,$F$245:$F$595,0,$E$245:$E$595,$G525,$C$245:$C$595,"&lt;="&amp;Y$5)&lt;1000000,SUMIFS($D$245:$D$595,$F$245:$F$595,0,$E$245:$E$595,$G525,$C$245:$C$595,"&lt;="&amp;AA5)&gt;=1000000),SUMIFS($D$245:$D$595,$F$245:$F$595,0,$E$245:$E$595,$G525)*$C$157 ,0)</f>
        <v/>
      </c>
      <c r="AC525" s="95">
        <f>IF(AND(SUMIFS($D$245:$D$595,$F$245:$F$595,0,$E$245:$E$595,$G525,$C$245:$C$595,"&lt;="&amp;AA$5)&lt;1000000,SUMIFS($D$245:$D$595,$F$245:$F$595,0,$E$245:$E$595,$G525,$C$245:$C$595,"&lt;="&amp;AC5)&gt;=1000000),SUMIFS($D$245:$D$595,$F$245:$F$595,0,$E$245:$E$595,$G525)*$C$157 ,0)</f>
        <v/>
      </c>
      <c r="AE525" s="95">
        <f>IF(AND(SUMIFS($D$245:$D$595,$F$245:$F$595,0,$E$245:$E$595,$G525,$C$245:$C$595,"&lt;="&amp;AC$5)&lt;1000000,SUMIFS($D$245:$D$595,$F$245:$F$595,0,$E$245:$E$595,$G525,$C$245:$C$595,"&lt;="&amp;AE5)&gt;=1000000),SUMIFS($D$245:$D$595,$F$245:$F$595,0,$E$245:$E$595,$G525)*$C$157 ,0)</f>
        <v/>
      </c>
      <c r="AF525" s="19" t="n"/>
    </row>
    <row r="526">
      <c r="A526" s="20">
        <f>mid(E526, 3, 1)</f>
        <v/>
      </c>
      <c r="B526" s="14" t="inlineStr"/>
      <c r="C526" s="21">
        <f>SUMIFS('Investor Exit List'!$AC:$AC,'Investor Exit List'!$AB:$AB,B526)</f>
        <v/>
      </c>
      <c r="D526" s="14">
        <f>SUMIFS('Investor Exit List'!$Q:$Q,'Investor Exit List'!$AB:$AB,B526)</f>
        <v/>
      </c>
      <c r="E526" s="31">
        <f>LEFT(B526,6)</f>
        <v/>
      </c>
      <c r="F526" s="14">
        <f>IF(SUMIFS($E$119:$E$151,$D$119:$D$151,E526)&lt;&gt;0,E526,0)</f>
        <v/>
      </c>
      <c r="G526" s="59" t="n"/>
      <c r="I526" s="28">
        <f>IF(AND(SUMIFS($D$245:$D$595,$F$245:$F$595,0,$E$245:$E$595,$G526,$C$245:$C$595,"&lt;="&amp;B$2)&lt;1000000,SUMIFS($D$245:$D$595,$F$245:$F$595,0,$E$245:$E$595,$G526,$C$245:$C$595,"&lt;="&amp;I5)&gt;=1000000),SUMIFS($D$245:$D$595,$F$245:$F$595,0,$E$245:$E$595,$G526)*$C$157 ,0)</f>
        <v/>
      </c>
      <c r="K526" s="95">
        <f>IF(AND(SUMIFS($D$245:$D$595,$F$245:$F$595,0,$E$245:$E$595,$G526,$C$245:$C$595,"&lt;="&amp;I$5)&lt;1000000,SUMIFS($D$245:$D$595,$F$245:$F$595,0,$E$245:$E$595,$G526,$C$245:$C$595,"&lt;="&amp;K5)&gt;=1000000),SUMIFS($D$245:$D$595,$F$245:$F$595,0,$E$245:$E$595,$G526)*$C$157 ,0)</f>
        <v/>
      </c>
      <c r="M526" s="95">
        <f>IF(AND(SUMIFS($D$245:$D$595,$F$245:$F$595,0,$E$245:$E$595,$G526,$C$245:$C$595,"&lt;="&amp;K$5)&lt;1000000,SUMIFS($D$245:$D$595,$F$245:$F$595,0,$E$245:$E$595,$G526,$C$245:$C$595,"&lt;="&amp;M5)&gt;=1000000),SUMIFS($D$245:$D$595,$F$245:$F$595,0,$E$245:$E$595,$G526)*$C$157 ,0)</f>
        <v/>
      </c>
      <c r="O526" s="95">
        <f>IF(AND(SUMIFS($D$245:$D$595,$F$245:$F$595,0,$E$245:$E$595,$G526,$C$245:$C$595,"&lt;="&amp;M$5)&lt;1000000,SUMIFS($D$245:$D$595,$F$245:$F$595,0,$E$245:$E$595,$G526,$C$245:$C$595,"&lt;="&amp;O5)&gt;=1000000),SUMIFS($D$245:$D$595,$F$245:$F$595,0,$E$245:$E$595,$G526)*$C$157 ,0)</f>
        <v/>
      </c>
      <c r="Q526" s="95">
        <f>IF(AND(SUMIFS($D$245:$D$595,$F$245:$F$595,0,$E$245:$E$595,$G526,$C$245:$C$595,"&lt;="&amp;O$5)&lt;1000000,SUMIFS($D$245:$D$595,$F$245:$F$595,0,$E$245:$E$595,$G526,$C$245:$C$595,"&lt;="&amp;Q5)&gt;=1000000),SUMIFS($D$245:$D$595,$F$245:$F$595,0,$E$245:$E$595,$G526)*$C$157 ,0)</f>
        <v/>
      </c>
      <c r="S526" s="95">
        <f>IF(AND(SUMIFS($D$245:$D$595,$F$245:$F$595,0,$E$245:$E$595,$G526,$C$245:$C$595,"&lt;="&amp;Q$5)&lt;1000000,SUMIFS($D$245:$D$595,$F$245:$F$595,0,$E$245:$E$595,$G526,$C$245:$C$595,"&lt;="&amp;S5)&gt;=1000000),SUMIFS($D$245:$D$595,$F$245:$F$595,0,$E$245:$E$595,$G526)*$C$157 ,0)</f>
        <v/>
      </c>
      <c r="U526" s="95">
        <f>IF(AND(SUMIFS($D$245:$D$595,$F$245:$F$595,0,$E$245:$E$595,$G526,$C$245:$C$595,"&lt;="&amp;S$5)&lt;1000000,SUMIFS($D$245:$D$595,$F$245:$F$595,0,$E$245:$E$595,$G526,$C$245:$C$595,"&lt;="&amp;U5)&gt;=1000000),SUMIFS($D$245:$D$595,$F$245:$F$595,0,$E$245:$E$595,$G526)*$C$157 ,0)</f>
        <v/>
      </c>
      <c r="W526" s="95">
        <f>IF(AND(SUMIFS($D$245:$D$595,$F$245:$F$595,0,$E$245:$E$595,$G526,$C$245:$C$595,"&lt;="&amp;U$5)&lt;1000000,SUMIFS($D$245:$D$595,$F$245:$F$595,0,$E$245:$E$595,$G526,$C$245:$C$595,"&lt;="&amp;W5)&gt;=1000000),SUMIFS($D$245:$D$595,$F$245:$F$595,0,$E$245:$E$595,$G526)*$C$157 ,0)</f>
        <v/>
      </c>
      <c r="Y526" s="95">
        <f>IF(AND(SUMIFS($D$245:$D$595,$F$245:$F$595,0,$E$245:$E$595,$G526,$C$245:$C$595,"&lt;="&amp;W$5)&lt;1000000,SUMIFS($D$245:$D$595,$F$245:$F$595,0,$E$245:$E$595,$G526,$C$245:$C$595,"&lt;="&amp;Y5)&gt;=1000000),SUMIFS($D$245:$D$595,$F$245:$F$595,0,$E$245:$E$595,$G526)*$C$157 ,0)</f>
        <v/>
      </c>
      <c r="AA526" s="95">
        <f>IF(AND(SUMIFS($D$245:$D$595,$F$245:$F$595,0,$E$245:$E$595,$G526,$C$245:$C$595,"&lt;="&amp;Y$5)&lt;1000000,SUMIFS($D$245:$D$595,$F$245:$F$595,0,$E$245:$E$595,$G526,$C$245:$C$595,"&lt;="&amp;AA5)&gt;=1000000),SUMIFS($D$245:$D$595,$F$245:$F$595,0,$E$245:$E$595,$G526)*$C$157 ,0)</f>
        <v/>
      </c>
      <c r="AC526" s="95">
        <f>IF(AND(SUMIFS($D$245:$D$595,$F$245:$F$595,0,$E$245:$E$595,$G526,$C$245:$C$595,"&lt;="&amp;AA$5)&lt;1000000,SUMIFS($D$245:$D$595,$F$245:$F$595,0,$E$245:$E$595,$G526,$C$245:$C$595,"&lt;="&amp;AC5)&gt;=1000000),SUMIFS($D$245:$D$595,$F$245:$F$595,0,$E$245:$E$595,$G526)*$C$157 ,0)</f>
        <v/>
      </c>
      <c r="AE526" s="95">
        <f>IF(AND(SUMIFS($D$245:$D$595,$F$245:$F$595,0,$E$245:$E$595,$G526,$C$245:$C$595,"&lt;="&amp;AC$5)&lt;1000000,SUMIFS($D$245:$D$595,$F$245:$F$595,0,$E$245:$E$595,$G526,$C$245:$C$595,"&lt;="&amp;AE5)&gt;=1000000),SUMIFS($D$245:$D$595,$F$245:$F$595,0,$E$245:$E$595,$G526)*$C$157 ,0)</f>
        <v/>
      </c>
      <c r="AF526" s="19" t="n"/>
    </row>
    <row r="527">
      <c r="A527" s="20">
        <f>mid(E527, 3, 1)</f>
        <v/>
      </c>
      <c r="B527" s="14" t="inlineStr"/>
      <c r="C527" s="21">
        <f>SUMIFS('Investor Exit List'!$AC:$AC,'Investor Exit List'!$AB:$AB,B527)</f>
        <v/>
      </c>
      <c r="D527" s="14">
        <f>SUMIFS('Investor Exit List'!$Q:$Q,'Investor Exit List'!$AB:$AB,B527)</f>
        <v/>
      </c>
      <c r="E527" s="31">
        <f>LEFT(B527,6)</f>
        <v/>
      </c>
      <c r="F527" s="14">
        <f>IF(SUMIFS($E$119:$E$151,$D$119:$D$151,E527)&lt;&gt;0,E527,0)</f>
        <v/>
      </c>
      <c r="G527" s="59" t="n"/>
      <c r="I527" s="28">
        <f>IF(AND(SUMIFS($D$245:$D$595,$F$245:$F$595,0,$E$245:$E$595,$G527,$C$245:$C$595,"&lt;="&amp;B$2)&lt;1000000,SUMIFS($D$245:$D$595,$F$245:$F$595,0,$E$245:$E$595,$G527,$C$245:$C$595,"&lt;="&amp;I5)&gt;=1000000),SUMIFS($D$245:$D$595,$F$245:$F$595,0,$E$245:$E$595,$G527)*$C$157 ,0)</f>
        <v/>
      </c>
      <c r="K527" s="95">
        <f>IF(AND(SUMIFS($D$245:$D$595,$F$245:$F$595,0,$E$245:$E$595,$G527,$C$245:$C$595,"&lt;="&amp;I$5)&lt;1000000,SUMIFS($D$245:$D$595,$F$245:$F$595,0,$E$245:$E$595,$G527,$C$245:$C$595,"&lt;="&amp;K5)&gt;=1000000),SUMIFS($D$245:$D$595,$F$245:$F$595,0,$E$245:$E$595,$G527)*$C$157 ,0)</f>
        <v/>
      </c>
      <c r="M527" s="95">
        <f>IF(AND(SUMIFS($D$245:$D$595,$F$245:$F$595,0,$E$245:$E$595,$G527,$C$245:$C$595,"&lt;="&amp;K$5)&lt;1000000,SUMIFS($D$245:$D$595,$F$245:$F$595,0,$E$245:$E$595,$G527,$C$245:$C$595,"&lt;="&amp;M5)&gt;=1000000),SUMIFS($D$245:$D$595,$F$245:$F$595,0,$E$245:$E$595,$G527)*$C$157 ,0)</f>
        <v/>
      </c>
      <c r="O527" s="95">
        <f>IF(AND(SUMIFS($D$245:$D$595,$F$245:$F$595,0,$E$245:$E$595,$G527,$C$245:$C$595,"&lt;="&amp;M$5)&lt;1000000,SUMIFS($D$245:$D$595,$F$245:$F$595,0,$E$245:$E$595,$G527,$C$245:$C$595,"&lt;="&amp;O5)&gt;=1000000),SUMIFS($D$245:$D$595,$F$245:$F$595,0,$E$245:$E$595,$G527)*$C$157 ,0)</f>
        <v/>
      </c>
      <c r="Q527" s="95">
        <f>IF(AND(SUMIFS($D$245:$D$595,$F$245:$F$595,0,$E$245:$E$595,$G527,$C$245:$C$595,"&lt;="&amp;O$5)&lt;1000000,SUMIFS($D$245:$D$595,$F$245:$F$595,0,$E$245:$E$595,$G527,$C$245:$C$595,"&lt;="&amp;Q5)&gt;=1000000),SUMIFS($D$245:$D$595,$F$245:$F$595,0,$E$245:$E$595,$G527)*$C$157 ,0)</f>
        <v/>
      </c>
      <c r="S527" s="95">
        <f>IF(AND(SUMIFS($D$245:$D$595,$F$245:$F$595,0,$E$245:$E$595,$G527,$C$245:$C$595,"&lt;="&amp;Q$5)&lt;1000000,SUMIFS($D$245:$D$595,$F$245:$F$595,0,$E$245:$E$595,$G527,$C$245:$C$595,"&lt;="&amp;S5)&gt;=1000000),SUMIFS($D$245:$D$595,$F$245:$F$595,0,$E$245:$E$595,$G527)*$C$157 ,0)</f>
        <v/>
      </c>
      <c r="U527" s="95">
        <f>IF(AND(SUMIFS($D$245:$D$595,$F$245:$F$595,0,$E$245:$E$595,$G527,$C$245:$C$595,"&lt;="&amp;S$5)&lt;1000000,SUMIFS($D$245:$D$595,$F$245:$F$595,0,$E$245:$E$595,$G527,$C$245:$C$595,"&lt;="&amp;U5)&gt;=1000000),SUMIFS($D$245:$D$595,$F$245:$F$595,0,$E$245:$E$595,$G527)*$C$157 ,0)</f>
        <v/>
      </c>
      <c r="W527" s="95">
        <f>IF(AND(SUMIFS($D$245:$D$595,$F$245:$F$595,0,$E$245:$E$595,$G527,$C$245:$C$595,"&lt;="&amp;U$5)&lt;1000000,SUMIFS($D$245:$D$595,$F$245:$F$595,0,$E$245:$E$595,$G527,$C$245:$C$595,"&lt;="&amp;W5)&gt;=1000000),SUMIFS($D$245:$D$595,$F$245:$F$595,0,$E$245:$E$595,$G527)*$C$157 ,0)</f>
        <v/>
      </c>
      <c r="Y527" s="95">
        <f>IF(AND(SUMIFS($D$245:$D$595,$F$245:$F$595,0,$E$245:$E$595,$G527,$C$245:$C$595,"&lt;="&amp;W$5)&lt;1000000,SUMIFS($D$245:$D$595,$F$245:$F$595,0,$E$245:$E$595,$G527,$C$245:$C$595,"&lt;="&amp;Y5)&gt;=1000000),SUMIFS($D$245:$D$595,$F$245:$F$595,0,$E$245:$E$595,$G527)*$C$157 ,0)</f>
        <v/>
      </c>
      <c r="AA527" s="95">
        <f>IF(AND(SUMIFS($D$245:$D$595,$F$245:$F$595,0,$E$245:$E$595,$G527,$C$245:$C$595,"&lt;="&amp;Y$5)&lt;1000000,SUMIFS($D$245:$D$595,$F$245:$F$595,0,$E$245:$E$595,$G527,$C$245:$C$595,"&lt;="&amp;AA5)&gt;=1000000),SUMIFS($D$245:$D$595,$F$245:$F$595,0,$E$245:$E$595,$G527)*$C$157 ,0)</f>
        <v/>
      </c>
      <c r="AC527" s="95">
        <f>IF(AND(SUMIFS($D$245:$D$595,$F$245:$F$595,0,$E$245:$E$595,$G527,$C$245:$C$595,"&lt;="&amp;AA$5)&lt;1000000,SUMIFS($D$245:$D$595,$F$245:$F$595,0,$E$245:$E$595,$G527,$C$245:$C$595,"&lt;="&amp;AC5)&gt;=1000000),SUMIFS($D$245:$D$595,$F$245:$F$595,0,$E$245:$E$595,$G527)*$C$157 ,0)</f>
        <v/>
      </c>
      <c r="AE527" s="95">
        <f>IF(AND(SUMIFS($D$245:$D$595,$F$245:$F$595,0,$E$245:$E$595,$G527,$C$245:$C$595,"&lt;="&amp;AC$5)&lt;1000000,SUMIFS($D$245:$D$595,$F$245:$F$595,0,$E$245:$E$595,$G527,$C$245:$C$595,"&lt;="&amp;AE5)&gt;=1000000),SUMIFS($D$245:$D$595,$F$245:$F$595,0,$E$245:$E$595,$G527)*$C$157 ,0)</f>
        <v/>
      </c>
      <c r="AF527" s="19" t="n"/>
    </row>
    <row r="528">
      <c r="A528" s="20">
        <f>mid(E528, 3, 1)</f>
        <v/>
      </c>
      <c r="B528" s="14" t="inlineStr"/>
      <c r="C528" s="21">
        <f>SUMIFS('Investor Exit List'!$AC:$AC,'Investor Exit List'!$AB:$AB,B528)</f>
        <v/>
      </c>
      <c r="D528" s="14">
        <f>SUMIFS('Investor Exit List'!$Q:$Q,'Investor Exit List'!$AB:$AB,B528)</f>
        <v/>
      </c>
      <c r="E528" s="31">
        <f>LEFT(B528,6)</f>
        <v/>
      </c>
      <c r="F528" s="14">
        <f>IF(SUMIFS($E$119:$E$151,$D$119:$D$151,E528)&lt;&gt;0,E528,0)</f>
        <v/>
      </c>
      <c r="G528" s="59" t="n"/>
      <c r="I528" s="28">
        <f>IF(AND(SUMIFS($D$245:$D$595,$F$245:$F$595,0,$E$245:$E$595,$G528,$C$245:$C$595,"&lt;="&amp;B$2)&lt;1000000,SUMIFS($D$245:$D$595,$F$245:$F$595,0,$E$245:$E$595,$G528,$C$245:$C$595,"&lt;="&amp;I5)&gt;=1000000),SUMIFS($D$245:$D$595,$F$245:$F$595,0,$E$245:$E$595,$G528)*$C$157 ,0)</f>
        <v/>
      </c>
      <c r="K528" s="95">
        <f>IF(AND(SUMIFS($D$245:$D$595,$F$245:$F$595,0,$E$245:$E$595,$G528,$C$245:$C$595,"&lt;="&amp;I$5)&lt;1000000,SUMIFS($D$245:$D$595,$F$245:$F$595,0,$E$245:$E$595,$G528,$C$245:$C$595,"&lt;="&amp;K5)&gt;=1000000),SUMIFS($D$245:$D$595,$F$245:$F$595,0,$E$245:$E$595,$G528)*$C$157 ,0)</f>
        <v/>
      </c>
      <c r="M528" s="95">
        <f>IF(AND(SUMIFS($D$245:$D$595,$F$245:$F$595,0,$E$245:$E$595,$G528,$C$245:$C$595,"&lt;="&amp;K$5)&lt;1000000,SUMIFS($D$245:$D$595,$F$245:$F$595,0,$E$245:$E$595,$G528,$C$245:$C$595,"&lt;="&amp;M5)&gt;=1000000),SUMIFS($D$245:$D$595,$F$245:$F$595,0,$E$245:$E$595,$G528)*$C$157 ,0)</f>
        <v/>
      </c>
      <c r="O528" s="95">
        <f>IF(AND(SUMIFS($D$245:$D$595,$F$245:$F$595,0,$E$245:$E$595,$G528,$C$245:$C$595,"&lt;="&amp;M$5)&lt;1000000,SUMIFS($D$245:$D$595,$F$245:$F$595,0,$E$245:$E$595,$G528,$C$245:$C$595,"&lt;="&amp;O5)&gt;=1000000),SUMIFS($D$245:$D$595,$F$245:$F$595,0,$E$245:$E$595,$G528)*$C$157 ,0)</f>
        <v/>
      </c>
      <c r="Q528" s="95">
        <f>IF(AND(SUMIFS($D$245:$D$595,$F$245:$F$595,0,$E$245:$E$595,$G528,$C$245:$C$595,"&lt;="&amp;O$5)&lt;1000000,SUMIFS($D$245:$D$595,$F$245:$F$595,0,$E$245:$E$595,$G528,$C$245:$C$595,"&lt;="&amp;Q5)&gt;=1000000),SUMIFS($D$245:$D$595,$F$245:$F$595,0,$E$245:$E$595,$G528)*$C$157 ,0)</f>
        <v/>
      </c>
      <c r="S528" s="95">
        <f>IF(AND(SUMIFS($D$245:$D$595,$F$245:$F$595,0,$E$245:$E$595,$G528,$C$245:$C$595,"&lt;="&amp;Q$5)&lt;1000000,SUMIFS($D$245:$D$595,$F$245:$F$595,0,$E$245:$E$595,$G528,$C$245:$C$595,"&lt;="&amp;S5)&gt;=1000000),SUMIFS($D$245:$D$595,$F$245:$F$595,0,$E$245:$E$595,$G528)*$C$157 ,0)</f>
        <v/>
      </c>
      <c r="U528" s="95">
        <f>IF(AND(SUMIFS($D$245:$D$595,$F$245:$F$595,0,$E$245:$E$595,$G528,$C$245:$C$595,"&lt;="&amp;S$5)&lt;1000000,SUMIFS($D$245:$D$595,$F$245:$F$595,0,$E$245:$E$595,$G528,$C$245:$C$595,"&lt;="&amp;U5)&gt;=1000000),SUMIFS($D$245:$D$595,$F$245:$F$595,0,$E$245:$E$595,$G528)*$C$157 ,0)</f>
        <v/>
      </c>
      <c r="W528" s="95">
        <f>IF(AND(SUMIFS($D$245:$D$595,$F$245:$F$595,0,$E$245:$E$595,$G528,$C$245:$C$595,"&lt;="&amp;U$5)&lt;1000000,SUMIFS($D$245:$D$595,$F$245:$F$595,0,$E$245:$E$595,$G528,$C$245:$C$595,"&lt;="&amp;W5)&gt;=1000000),SUMIFS($D$245:$D$595,$F$245:$F$595,0,$E$245:$E$595,$G528)*$C$157 ,0)</f>
        <v/>
      </c>
      <c r="Y528" s="95">
        <f>IF(AND(SUMIFS($D$245:$D$595,$F$245:$F$595,0,$E$245:$E$595,$G528,$C$245:$C$595,"&lt;="&amp;W$5)&lt;1000000,SUMIFS($D$245:$D$595,$F$245:$F$595,0,$E$245:$E$595,$G528,$C$245:$C$595,"&lt;="&amp;Y5)&gt;=1000000),SUMIFS($D$245:$D$595,$F$245:$F$595,0,$E$245:$E$595,$G528)*$C$157 ,0)</f>
        <v/>
      </c>
      <c r="AA528" s="95">
        <f>IF(AND(SUMIFS($D$245:$D$595,$F$245:$F$595,0,$E$245:$E$595,$G528,$C$245:$C$595,"&lt;="&amp;Y$5)&lt;1000000,SUMIFS($D$245:$D$595,$F$245:$F$595,0,$E$245:$E$595,$G528,$C$245:$C$595,"&lt;="&amp;AA5)&gt;=1000000),SUMIFS($D$245:$D$595,$F$245:$F$595,0,$E$245:$E$595,$G528)*$C$157 ,0)</f>
        <v/>
      </c>
      <c r="AC528" s="95">
        <f>IF(AND(SUMIFS($D$245:$D$595,$F$245:$F$595,0,$E$245:$E$595,$G528,$C$245:$C$595,"&lt;="&amp;AA$5)&lt;1000000,SUMIFS($D$245:$D$595,$F$245:$F$595,0,$E$245:$E$595,$G528,$C$245:$C$595,"&lt;="&amp;AC5)&gt;=1000000),SUMIFS($D$245:$D$595,$F$245:$F$595,0,$E$245:$E$595,$G528)*$C$157 ,0)</f>
        <v/>
      </c>
      <c r="AE528" s="95">
        <f>IF(AND(SUMIFS($D$245:$D$595,$F$245:$F$595,0,$E$245:$E$595,$G528,$C$245:$C$595,"&lt;="&amp;AC$5)&lt;1000000,SUMIFS($D$245:$D$595,$F$245:$F$595,0,$E$245:$E$595,$G528,$C$245:$C$595,"&lt;="&amp;AE5)&gt;=1000000),SUMIFS($D$245:$D$595,$F$245:$F$595,0,$E$245:$E$595,$G528)*$C$157 ,0)</f>
        <v/>
      </c>
      <c r="AF528" s="19" t="n"/>
    </row>
    <row r="529">
      <c r="A529" s="20">
        <f>mid(E529, 3, 1)</f>
        <v/>
      </c>
      <c r="B529" s="14" t="inlineStr"/>
      <c r="C529" s="21">
        <f>SUMIFS('Investor Exit List'!$AC:$AC,'Investor Exit List'!$AB:$AB,B529)</f>
        <v/>
      </c>
      <c r="D529" s="14">
        <f>SUMIFS('Investor Exit List'!$Q:$Q,'Investor Exit List'!$AB:$AB,B529)</f>
        <v/>
      </c>
      <c r="E529" s="31">
        <f>LEFT(B529,6)</f>
        <v/>
      </c>
      <c r="F529" s="14">
        <f>IF(SUMIFS($E$119:$E$151,$D$119:$D$151,E529)&lt;&gt;0,E529,0)</f>
        <v/>
      </c>
      <c r="G529" s="59" t="n"/>
      <c r="I529" s="28">
        <f>IF(AND(SUMIFS($D$245:$D$595,$F$245:$F$595,0,$E$245:$E$595,$G529,$C$245:$C$595,"&lt;="&amp;B$2)&lt;1000000,SUMIFS($D$245:$D$595,$F$245:$F$595,0,$E$245:$E$595,$G529,$C$245:$C$595,"&lt;="&amp;I5)&gt;=1000000),SUMIFS($D$245:$D$595,$F$245:$F$595,0,$E$245:$E$595,$G529)*$C$157 ,0)</f>
        <v/>
      </c>
      <c r="K529" s="95">
        <f>IF(AND(SUMIFS($D$245:$D$595,$F$245:$F$595,0,$E$245:$E$595,$G529,$C$245:$C$595,"&lt;="&amp;I$5)&lt;1000000,SUMIFS($D$245:$D$595,$F$245:$F$595,0,$E$245:$E$595,$G529,$C$245:$C$595,"&lt;="&amp;K5)&gt;=1000000),SUMIFS($D$245:$D$595,$F$245:$F$595,0,$E$245:$E$595,$G529)*$C$157 ,0)</f>
        <v/>
      </c>
      <c r="M529" s="95">
        <f>IF(AND(SUMIFS($D$245:$D$595,$F$245:$F$595,0,$E$245:$E$595,$G529,$C$245:$C$595,"&lt;="&amp;K$5)&lt;1000000,SUMIFS($D$245:$D$595,$F$245:$F$595,0,$E$245:$E$595,$G529,$C$245:$C$595,"&lt;="&amp;M5)&gt;=1000000),SUMIFS($D$245:$D$595,$F$245:$F$595,0,$E$245:$E$595,$G529)*$C$157 ,0)</f>
        <v/>
      </c>
      <c r="O529" s="95">
        <f>IF(AND(SUMIFS($D$245:$D$595,$F$245:$F$595,0,$E$245:$E$595,$G529,$C$245:$C$595,"&lt;="&amp;M$5)&lt;1000000,SUMIFS($D$245:$D$595,$F$245:$F$595,0,$E$245:$E$595,$G529,$C$245:$C$595,"&lt;="&amp;O5)&gt;=1000000),SUMIFS($D$245:$D$595,$F$245:$F$595,0,$E$245:$E$595,$G529)*$C$157 ,0)</f>
        <v/>
      </c>
      <c r="Q529" s="95">
        <f>IF(AND(SUMIFS($D$245:$D$595,$F$245:$F$595,0,$E$245:$E$595,$G529,$C$245:$C$595,"&lt;="&amp;O$5)&lt;1000000,SUMIFS($D$245:$D$595,$F$245:$F$595,0,$E$245:$E$595,$G529,$C$245:$C$595,"&lt;="&amp;Q5)&gt;=1000000),SUMIFS($D$245:$D$595,$F$245:$F$595,0,$E$245:$E$595,$G529)*$C$157 ,0)</f>
        <v/>
      </c>
      <c r="S529" s="95">
        <f>IF(AND(SUMIFS($D$245:$D$595,$F$245:$F$595,0,$E$245:$E$595,$G529,$C$245:$C$595,"&lt;="&amp;Q$5)&lt;1000000,SUMIFS($D$245:$D$595,$F$245:$F$595,0,$E$245:$E$595,$G529,$C$245:$C$595,"&lt;="&amp;S5)&gt;=1000000),SUMIFS($D$245:$D$595,$F$245:$F$595,0,$E$245:$E$595,$G529)*$C$157 ,0)</f>
        <v/>
      </c>
      <c r="U529" s="95">
        <f>IF(AND(SUMIFS($D$245:$D$595,$F$245:$F$595,0,$E$245:$E$595,$G529,$C$245:$C$595,"&lt;="&amp;S$5)&lt;1000000,SUMIFS($D$245:$D$595,$F$245:$F$595,0,$E$245:$E$595,$G529,$C$245:$C$595,"&lt;="&amp;U5)&gt;=1000000),SUMIFS($D$245:$D$595,$F$245:$F$595,0,$E$245:$E$595,$G529)*$C$157 ,0)</f>
        <v/>
      </c>
      <c r="W529" s="95">
        <f>IF(AND(SUMIFS($D$245:$D$595,$F$245:$F$595,0,$E$245:$E$595,$G529,$C$245:$C$595,"&lt;="&amp;U$5)&lt;1000000,SUMIFS($D$245:$D$595,$F$245:$F$595,0,$E$245:$E$595,$G529,$C$245:$C$595,"&lt;="&amp;W5)&gt;=1000000),SUMIFS($D$245:$D$595,$F$245:$F$595,0,$E$245:$E$595,$G529)*$C$157 ,0)</f>
        <v/>
      </c>
      <c r="Y529" s="95">
        <f>IF(AND(SUMIFS($D$245:$D$595,$F$245:$F$595,0,$E$245:$E$595,$G529,$C$245:$C$595,"&lt;="&amp;W$5)&lt;1000000,SUMIFS($D$245:$D$595,$F$245:$F$595,0,$E$245:$E$595,$G529,$C$245:$C$595,"&lt;="&amp;Y5)&gt;=1000000),SUMIFS($D$245:$D$595,$F$245:$F$595,0,$E$245:$E$595,$G529)*$C$157 ,0)</f>
        <v/>
      </c>
      <c r="AA529" s="95">
        <f>IF(AND(SUMIFS($D$245:$D$595,$F$245:$F$595,0,$E$245:$E$595,$G529,$C$245:$C$595,"&lt;="&amp;Y$5)&lt;1000000,SUMIFS($D$245:$D$595,$F$245:$F$595,0,$E$245:$E$595,$G529,$C$245:$C$595,"&lt;="&amp;AA5)&gt;=1000000),SUMIFS($D$245:$D$595,$F$245:$F$595,0,$E$245:$E$595,$G529)*$C$157 ,0)</f>
        <v/>
      </c>
      <c r="AC529" s="95">
        <f>IF(AND(SUMIFS($D$245:$D$595,$F$245:$F$595,0,$E$245:$E$595,$G529,$C$245:$C$595,"&lt;="&amp;AA$5)&lt;1000000,SUMIFS($D$245:$D$595,$F$245:$F$595,0,$E$245:$E$595,$G529,$C$245:$C$595,"&lt;="&amp;AC5)&gt;=1000000),SUMIFS($D$245:$D$595,$F$245:$F$595,0,$E$245:$E$595,$G529)*$C$157 ,0)</f>
        <v/>
      </c>
      <c r="AE529" s="95">
        <f>IF(AND(SUMIFS($D$245:$D$595,$F$245:$F$595,0,$E$245:$E$595,$G529,$C$245:$C$595,"&lt;="&amp;AC$5)&lt;1000000,SUMIFS($D$245:$D$595,$F$245:$F$595,0,$E$245:$E$595,$G529,$C$245:$C$595,"&lt;="&amp;AE5)&gt;=1000000),SUMIFS($D$245:$D$595,$F$245:$F$595,0,$E$245:$E$595,$G529)*$C$157 ,0)</f>
        <v/>
      </c>
      <c r="AF529" s="19" t="n"/>
    </row>
    <row r="530">
      <c r="A530" s="20">
        <f>mid(E530, 3, 1)</f>
        <v/>
      </c>
      <c r="B530" s="14" t="inlineStr"/>
      <c r="C530" s="21">
        <f>SUMIFS('Investor Exit List'!$AC:$AC,'Investor Exit List'!$AB:$AB,B530)</f>
        <v/>
      </c>
      <c r="D530" s="14">
        <f>SUMIFS('Investor Exit List'!$Q:$Q,'Investor Exit List'!$AB:$AB,B530)</f>
        <v/>
      </c>
      <c r="E530" s="31">
        <f>LEFT(B530,6)</f>
        <v/>
      </c>
      <c r="F530" s="14">
        <f>IF(SUMIFS($E$119:$E$151,$D$119:$D$151,E530)&lt;&gt;0,E530,0)</f>
        <v/>
      </c>
      <c r="G530" s="59" t="n"/>
      <c r="I530" s="28">
        <f>IF(AND(SUMIFS($D$245:$D$595,$F$245:$F$595,0,$E$245:$E$595,$G530,$C$245:$C$595,"&lt;="&amp;B$2)&lt;1000000,SUMIFS($D$245:$D$595,$F$245:$F$595,0,$E$245:$E$595,$G530,$C$245:$C$595,"&lt;="&amp;I5)&gt;=1000000),SUMIFS($D$245:$D$595,$F$245:$F$595,0,$E$245:$E$595,$G530)*$C$157 ,0)</f>
        <v/>
      </c>
      <c r="K530" s="95">
        <f>IF(AND(SUMIFS($D$245:$D$595,$F$245:$F$595,0,$E$245:$E$595,$G530,$C$245:$C$595,"&lt;="&amp;I$5)&lt;1000000,SUMIFS($D$245:$D$595,$F$245:$F$595,0,$E$245:$E$595,$G530,$C$245:$C$595,"&lt;="&amp;K5)&gt;=1000000),SUMIFS($D$245:$D$595,$F$245:$F$595,0,$E$245:$E$595,$G530)*$C$157 ,0)</f>
        <v/>
      </c>
      <c r="M530" s="95">
        <f>IF(AND(SUMIFS($D$245:$D$595,$F$245:$F$595,0,$E$245:$E$595,$G530,$C$245:$C$595,"&lt;="&amp;K$5)&lt;1000000,SUMIFS($D$245:$D$595,$F$245:$F$595,0,$E$245:$E$595,$G530,$C$245:$C$595,"&lt;="&amp;M5)&gt;=1000000),SUMIFS($D$245:$D$595,$F$245:$F$595,0,$E$245:$E$595,$G530)*$C$157 ,0)</f>
        <v/>
      </c>
      <c r="O530" s="95">
        <f>IF(AND(SUMIFS($D$245:$D$595,$F$245:$F$595,0,$E$245:$E$595,$G530,$C$245:$C$595,"&lt;="&amp;M$5)&lt;1000000,SUMIFS($D$245:$D$595,$F$245:$F$595,0,$E$245:$E$595,$G530,$C$245:$C$595,"&lt;="&amp;O5)&gt;=1000000),SUMIFS($D$245:$D$595,$F$245:$F$595,0,$E$245:$E$595,$G530)*$C$157 ,0)</f>
        <v/>
      </c>
      <c r="Q530" s="95">
        <f>IF(AND(SUMIFS($D$245:$D$595,$F$245:$F$595,0,$E$245:$E$595,$G530,$C$245:$C$595,"&lt;="&amp;O$5)&lt;1000000,SUMIFS($D$245:$D$595,$F$245:$F$595,0,$E$245:$E$595,$G530,$C$245:$C$595,"&lt;="&amp;Q5)&gt;=1000000),SUMIFS($D$245:$D$595,$F$245:$F$595,0,$E$245:$E$595,$G530)*$C$157 ,0)</f>
        <v/>
      </c>
      <c r="S530" s="95">
        <f>IF(AND(SUMIFS($D$245:$D$595,$F$245:$F$595,0,$E$245:$E$595,$G530,$C$245:$C$595,"&lt;="&amp;Q$5)&lt;1000000,SUMIFS($D$245:$D$595,$F$245:$F$595,0,$E$245:$E$595,$G530,$C$245:$C$595,"&lt;="&amp;S5)&gt;=1000000),SUMIFS($D$245:$D$595,$F$245:$F$595,0,$E$245:$E$595,$G530)*$C$157 ,0)</f>
        <v/>
      </c>
      <c r="U530" s="95">
        <f>IF(AND(SUMIFS($D$245:$D$595,$F$245:$F$595,0,$E$245:$E$595,$G530,$C$245:$C$595,"&lt;="&amp;S$5)&lt;1000000,SUMIFS($D$245:$D$595,$F$245:$F$595,0,$E$245:$E$595,$G530,$C$245:$C$595,"&lt;="&amp;U5)&gt;=1000000),SUMIFS($D$245:$D$595,$F$245:$F$595,0,$E$245:$E$595,$G530)*$C$157 ,0)</f>
        <v/>
      </c>
      <c r="W530" s="95">
        <f>IF(AND(SUMIFS($D$245:$D$595,$F$245:$F$595,0,$E$245:$E$595,$G530,$C$245:$C$595,"&lt;="&amp;U$5)&lt;1000000,SUMIFS($D$245:$D$595,$F$245:$F$595,0,$E$245:$E$595,$G530,$C$245:$C$595,"&lt;="&amp;W5)&gt;=1000000),SUMIFS($D$245:$D$595,$F$245:$F$595,0,$E$245:$E$595,$G530)*$C$157 ,0)</f>
        <v/>
      </c>
      <c r="Y530" s="95">
        <f>IF(AND(SUMIFS($D$245:$D$595,$F$245:$F$595,0,$E$245:$E$595,$G530,$C$245:$C$595,"&lt;="&amp;W$5)&lt;1000000,SUMIFS($D$245:$D$595,$F$245:$F$595,0,$E$245:$E$595,$G530,$C$245:$C$595,"&lt;="&amp;Y5)&gt;=1000000),SUMIFS($D$245:$D$595,$F$245:$F$595,0,$E$245:$E$595,$G530)*$C$157 ,0)</f>
        <v/>
      </c>
      <c r="AA530" s="95">
        <f>IF(AND(SUMIFS($D$245:$D$595,$F$245:$F$595,0,$E$245:$E$595,$G530,$C$245:$C$595,"&lt;="&amp;Y$5)&lt;1000000,SUMIFS($D$245:$D$595,$F$245:$F$595,0,$E$245:$E$595,$G530,$C$245:$C$595,"&lt;="&amp;AA5)&gt;=1000000),SUMIFS($D$245:$D$595,$F$245:$F$595,0,$E$245:$E$595,$G530)*$C$157 ,0)</f>
        <v/>
      </c>
      <c r="AC530" s="95">
        <f>IF(AND(SUMIFS($D$245:$D$595,$F$245:$F$595,0,$E$245:$E$595,$G530,$C$245:$C$595,"&lt;="&amp;AA$5)&lt;1000000,SUMIFS($D$245:$D$595,$F$245:$F$595,0,$E$245:$E$595,$G530,$C$245:$C$595,"&lt;="&amp;AC5)&gt;=1000000),SUMIFS($D$245:$D$595,$F$245:$F$595,0,$E$245:$E$595,$G530)*$C$157 ,0)</f>
        <v/>
      </c>
      <c r="AE530" s="95">
        <f>IF(AND(SUMIFS($D$245:$D$595,$F$245:$F$595,0,$E$245:$E$595,$G530,$C$245:$C$595,"&lt;="&amp;AC$5)&lt;1000000,SUMIFS($D$245:$D$595,$F$245:$F$595,0,$E$245:$E$595,$G530,$C$245:$C$595,"&lt;="&amp;AE5)&gt;=1000000),SUMIFS($D$245:$D$595,$F$245:$F$595,0,$E$245:$E$595,$G530)*$C$157 ,0)</f>
        <v/>
      </c>
      <c r="AF530" s="19" t="n"/>
    </row>
    <row r="531">
      <c r="A531" s="20">
        <f>mid(E531, 3, 1)</f>
        <v/>
      </c>
      <c r="B531" s="14" t="inlineStr"/>
      <c r="C531" s="21">
        <f>SUMIFS('Investor Exit List'!$AC:$AC,'Investor Exit List'!$AB:$AB,B531)</f>
        <v/>
      </c>
      <c r="D531" s="14">
        <f>SUMIFS('Investor Exit List'!$Q:$Q,'Investor Exit List'!$AB:$AB,B531)</f>
        <v/>
      </c>
      <c r="E531" s="31">
        <f>LEFT(B531,6)</f>
        <v/>
      </c>
      <c r="F531" s="14">
        <f>IF(SUMIFS($E$119:$E$151,$D$119:$D$151,E531)&lt;&gt;0,E531,0)</f>
        <v/>
      </c>
      <c r="G531" s="59" t="n"/>
      <c r="I531" s="28">
        <f>IF(AND(SUMIFS($D$245:$D$595,$F$245:$F$595,0,$E$245:$E$595,$G531,$C$245:$C$595,"&lt;="&amp;B$2)&lt;1000000,SUMIFS($D$245:$D$595,$F$245:$F$595,0,$E$245:$E$595,$G531,$C$245:$C$595,"&lt;="&amp;I5)&gt;=1000000),SUMIFS($D$245:$D$595,$F$245:$F$595,0,$E$245:$E$595,$G531)*$C$157 ,0)</f>
        <v/>
      </c>
      <c r="K531" s="95">
        <f>IF(AND(SUMIFS($D$245:$D$595,$F$245:$F$595,0,$E$245:$E$595,$G531,$C$245:$C$595,"&lt;="&amp;I$5)&lt;1000000,SUMIFS($D$245:$D$595,$F$245:$F$595,0,$E$245:$E$595,$G531,$C$245:$C$595,"&lt;="&amp;K5)&gt;=1000000),SUMIFS($D$245:$D$595,$F$245:$F$595,0,$E$245:$E$595,$G531)*$C$157 ,0)</f>
        <v/>
      </c>
      <c r="M531" s="95">
        <f>IF(AND(SUMIFS($D$245:$D$595,$F$245:$F$595,0,$E$245:$E$595,$G531,$C$245:$C$595,"&lt;="&amp;K$5)&lt;1000000,SUMIFS($D$245:$D$595,$F$245:$F$595,0,$E$245:$E$595,$G531,$C$245:$C$595,"&lt;="&amp;M5)&gt;=1000000),SUMIFS($D$245:$D$595,$F$245:$F$595,0,$E$245:$E$595,$G531)*$C$157 ,0)</f>
        <v/>
      </c>
      <c r="O531" s="95">
        <f>IF(AND(SUMIFS($D$245:$D$595,$F$245:$F$595,0,$E$245:$E$595,$G531,$C$245:$C$595,"&lt;="&amp;M$5)&lt;1000000,SUMIFS($D$245:$D$595,$F$245:$F$595,0,$E$245:$E$595,$G531,$C$245:$C$595,"&lt;="&amp;O5)&gt;=1000000),SUMIFS($D$245:$D$595,$F$245:$F$595,0,$E$245:$E$595,$G531)*$C$157 ,0)</f>
        <v/>
      </c>
      <c r="Q531" s="95">
        <f>IF(AND(SUMIFS($D$245:$D$595,$F$245:$F$595,0,$E$245:$E$595,$G531,$C$245:$C$595,"&lt;="&amp;O$5)&lt;1000000,SUMIFS($D$245:$D$595,$F$245:$F$595,0,$E$245:$E$595,$G531,$C$245:$C$595,"&lt;="&amp;Q5)&gt;=1000000),SUMIFS($D$245:$D$595,$F$245:$F$595,0,$E$245:$E$595,$G531)*$C$157 ,0)</f>
        <v/>
      </c>
      <c r="S531" s="95">
        <f>IF(AND(SUMIFS($D$245:$D$595,$F$245:$F$595,0,$E$245:$E$595,$G531,$C$245:$C$595,"&lt;="&amp;Q$5)&lt;1000000,SUMIFS($D$245:$D$595,$F$245:$F$595,0,$E$245:$E$595,$G531,$C$245:$C$595,"&lt;="&amp;S5)&gt;=1000000),SUMIFS($D$245:$D$595,$F$245:$F$595,0,$E$245:$E$595,$G531)*$C$157 ,0)</f>
        <v/>
      </c>
      <c r="U531" s="95">
        <f>IF(AND(SUMIFS($D$245:$D$595,$F$245:$F$595,0,$E$245:$E$595,$G531,$C$245:$C$595,"&lt;="&amp;S$5)&lt;1000000,SUMIFS($D$245:$D$595,$F$245:$F$595,0,$E$245:$E$595,$G531,$C$245:$C$595,"&lt;="&amp;U5)&gt;=1000000),SUMIFS($D$245:$D$595,$F$245:$F$595,0,$E$245:$E$595,$G531)*$C$157 ,0)</f>
        <v/>
      </c>
      <c r="W531" s="95">
        <f>IF(AND(SUMIFS($D$245:$D$595,$F$245:$F$595,0,$E$245:$E$595,$G531,$C$245:$C$595,"&lt;="&amp;U$5)&lt;1000000,SUMIFS($D$245:$D$595,$F$245:$F$595,0,$E$245:$E$595,$G531,$C$245:$C$595,"&lt;="&amp;W5)&gt;=1000000),SUMIFS($D$245:$D$595,$F$245:$F$595,0,$E$245:$E$595,$G531)*$C$157 ,0)</f>
        <v/>
      </c>
      <c r="Y531" s="95">
        <f>IF(AND(SUMIFS($D$245:$D$595,$F$245:$F$595,0,$E$245:$E$595,$G531,$C$245:$C$595,"&lt;="&amp;W$5)&lt;1000000,SUMIFS($D$245:$D$595,$F$245:$F$595,0,$E$245:$E$595,$G531,$C$245:$C$595,"&lt;="&amp;Y5)&gt;=1000000),SUMIFS($D$245:$D$595,$F$245:$F$595,0,$E$245:$E$595,$G531)*$C$157 ,0)</f>
        <v/>
      </c>
      <c r="AA531" s="95">
        <f>IF(AND(SUMIFS($D$245:$D$595,$F$245:$F$595,0,$E$245:$E$595,$G531,$C$245:$C$595,"&lt;="&amp;Y$5)&lt;1000000,SUMIFS($D$245:$D$595,$F$245:$F$595,0,$E$245:$E$595,$G531,$C$245:$C$595,"&lt;="&amp;AA5)&gt;=1000000),SUMIFS($D$245:$D$595,$F$245:$F$595,0,$E$245:$E$595,$G531)*$C$157 ,0)</f>
        <v/>
      </c>
      <c r="AC531" s="95">
        <f>IF(AND(SUMIFS($D$245:$D$595,$F$245:$F$595,0,$E$245:$E$595,$G531,$C$245:$C$595,"&lt;="&amp;AA$5)&lt;1000000,SUMIFS($D$245:$D$595,$F$245:$F$595,0,$E$245:$E$595,$G531,$C$245:$C$595,"&lt;="&amp;AC5)&gt;=1000000),SUMIFS($D$245:$D$595,$F$245:$F$595,0,$E$245:$E$595,$G531)*$C$157 ,0)</f>
        <v/>
      </c>
      <c r="AE531" s="95">
        <f>IF(AND(SUMIFS($D$245:$D$595,$F$245:$F$595,0,$E$245:$E$595,$G531,$C$245:$C$595,"&lt;="&amp;AC$5)&lt;1000000,SUMIFS($D$245:$D$595,$F$245:$F$595,0,$E$245:$E$595,$G531,$C$245:$C$595,"&lt;="&amp;AE5)&gt;=1000000),SUMIFS($D$245:$D$595,$F$245:$F$595,0,$E$245:$E$595,$G531)*$C$157 ,0)</f>
        <v/>
      </c>
      <c r="AF531" s="19" t="n"/>
    </row>
    <row r="532">
      <c r="A532" s="20">
        <f>mid(E532, 3, 1)</f>
        <v/>
      </c>
      <c r="B532" s="14" t="inlineStr"/>
      <c r="C532" s="21">
        <f>SUMIFS('Investor Exit List'!$AC:$AC,'Investor Exit List'!$AB:$AB,B532)</f>
        <v/>
      </c>
      <c r="D532" s="14">
        <f>SUMIFS('Investor Exit List'!$Q:$Q,'Investor Exit List'!$AB:$AB,B532)</f>
        <v/>
      </c>
      <c r="E532" s="31">
        <f>LEFT(B532,6)</f>
        <v/>
      </c>
      <c r="F532" s="14">
        <f>IF(SUMIFS($E$119:$E$151,$D$119:$D$151,E532)&lt;&gt;0,E532,0)</f>
        <v/>
      </c>
      <c r="G532" s="59" t="n"/>
      <c r="I532" s="28">
        <f>IF(AND(SUMIFS($D$245:$D$595,$F$245:$F$595,0,$E$245:$E$595,$G532,$C$245:$C$595,"&lt;="&amp;B$2)&lt;1000000,SUMIFS($D$245:$D$595,$F$245:$F$595,0,$E$245:$E$595,$G532,$C$245:$C$595,"&lt;="&amp;I5)&gt;=1000000),SUMIFS($D$245:$D$595,$F$245:$F$595,0,$E$245:$E$595,$G532)*$C$157 ,0)</f>
        <v/>
      </c>
      <c r="K532" s="95">
        <f>IF(AND(SUMIFS($D$245:$D$595,$F$245:$F$595,0,$E$245:$E$595,$G532,$C$245:$C$595,"&lt;="&amp;I$5)&lt;1000000,SUMIFS($D$245:$D$595,$F$245:$F$595,0,$E$245:$E$595,$G532,$C$245:$C$595,"&lt;="&amp;K5)&gt;=1000000),SUMIFS($D$245:$D$595,$F$245:$F$595,0,$E$245:$E$595,$G532)*$C$157 ,0)</f>
        <v/>
      </c>
      <c r="M532" s="95">
        <f>IF(AND(SUMIFS($D$245:$D$595,$F$245:$F$595,0,$E$245:$E$595,$G532,$C$245:$C$595,"&lt;="&amp;K$5)&lt;1000000,SUMIFS($D$245:$D$595,$F$245:$F$595,0,$E$245:$E$595,$G532,$C$245:$C$595,"&lt;="&amp;M5)&gt;=1000000),SUMIFS($D$245:$D$595,$F$245:$F$595,0,$E$245:$E$595,$G532)*$C$157 ,0)</f>
        <v/>
      </c>
      <c r="O532" s="95">
        <f>IF(AND(SUMIFS($D$245:$D$595,$F$245:$F$595,0,$E$245:$E$595,$G532,$C$245:$C$595,"&lt;="&amp;M$5)&lt;1000000,SUMIFS($D$245:$D$595,$F$245:$F$595,0,$E$245:$E$595,$G532,$C$245:$C$595,"&lt;="&amp;O5)&gt;=1000000),SUMIFS($D$245:$D$595,$F$245:$F$595,0,$E$245:$E$595,$G532)*$C$157 ,0)</f>
        <v/>
      </c>
      <c r="Q532" s="95">
        <f>IF(AND(SUMIFS($D$245:$D$595,$F$245:$F$595,0,$E$245:$E$595,$G532,$C$245:$C$595,"&lt;="&amp;O$5)&lt;1000000,SUMIFS($D$245:$D$595,$F$245:$F$595,0,$E$245:$E$595,$G532,$C$245:$C$595,"&lt;="&amp;Q5)&gt;=1000000),SUMIFS($D$245:$D$595,$F$245:$F$595,0,$E$245:$E$595,$G532)*$C$157 ,0)</f>
        <v/>
      </c>
      <c r="S532" s="95">
        <f>IF(AND(SUMIFS($D$245:$D$595,$F$245:$F$595,0,$E$245:$E$595,$G532,$C$245:$C$595,"&lt;="&amp;Q$5)&lt;1000000,SUMIFS($D$245:$D$595,$F$245:$F$595,0,$E$245:$E$595,$G532,$C$245:$C$595,"&lt;="&amp;S5)&gt;=1000000),SUMIFS($D$245:$D$595,$F$245:$F$595,0,$E$245:$E$595,$G532)*$C$157 ,0)</f>
        <v/>
      </c>
      <c r="U532" s="95">
        <f>IF(AND(SUMIFS($D$245:$D$595,$F$245:$F$595,0,$E$245:$E$595,$G532,$C$245:$C$595,"&lt;="&amp;S$5)&lt;1000000,SUMIFS($D$245:$D$595,$F$245:$F$595,0,$E$245:$E$595,$G532,$C$245:$C$595,"&lt;="&amp;U5)&gt;=1000000),SUMIFS($D$245:$D$595,$F$245:$F$595,0,$E$245:$E$595,$G532)*$C$157 ,0)</f>
        <v/>
      </c>
      <c r="W532" s="95">
        <f>IF(AND(SUMIFS($D$245:$D$595,$F$245:$F$595,0,$E$245:$E$595,$G532,$C$245:$C$595,"&lt;="&amp;U$5)&lt;1000000,SUMIFS($D$245:$D$595,$F$245:$F$595,0,$E$245:$E$595,$G532,$C$245:$C$595,"&lt;="&amp;W5)&gt;=1000000),SUMIFS($D$245:$D$595,$F$245:$F$595,0,$E$245:$E$595,$G532)*$C$157 ,0)</f>
        <v/>
      </c>
      <c r="Y532" s="95">
        <f>IF(AND(SUMIFS($D$245:$D$595,$F$245:$F$595,0,$E$245:$E$595,$G532,$C$245:$C$595,"&lt;="&amp;W$5)&lt;1000000,SUMIFS($D$245:$D$595,$F$245:$F$595,0,$E$245:$E$595,$G532,$C$245:$C$595,"&lt;="&amp;Y5)&gt;=1000000),SUMIFS($D$245:$D$595,$F$245:$F$595,0,$E$245:$E$595,$G532)*$C$157 ,0)</f>
        <v/>
      </c>
      <c r="AA532" s="95">
        <f>IF(AND(SUMIFS($D$245:$D$595,$F$245:$F$595,0,$E$245:$E$595,$G532,$C$245:$C$595,"&lt;="&amp;Y$5)&lt;1000000,SUMIFS($D$245:$D$595,$F$245:$F$595,0,$E$245:$E$595,$G532,$C$245:$C$595,"&lt;="&amp;AA5)&gt;=1000000),SUMIFS($D$245:$D$595,$F$245:$F$595,0,$E$245:$E$595,$G532)*$C$157 ,0)</f>
        <v/>
      </c>
      <c r="AC532" s="95">
        <f>IF(AND(SUMIFS($D$245:$D$595,$F$245:$F$595,0,$E$245:$E$595,$G532,$C$245:$C$595,"&lt;="&amp;AA$5)&lt;1000000,SUMIFS($D$245:$D$595,$F$245:$F$595,0,$E$245:$E$595,$G532,$C$245:$C$595,"&lt;="&amp;AC5)&gt;=1000000),SUMIFS($D$245:$D$595,$F$245:$F$595,0,$E$245:$E$595,$G532)*$C$157 ,0)</f>
        <v/>
      </c>
      <c r="AE532" s="95">
        <f>IF(AND(SUMIFS($D$245:$D$595,$F$245:$F$595,0,$E$245:$E$595,$G532,$C$245:$C$595,"&lt;="&amp;AC$5)&lt;1000000,SUMIFS($D$245:$D$595,$F$245:$F$595,0,$E$245:$E$595,$G532,$C$245:$C$595,"&lt;="&amp;AE5)&gt;=1000000),SUMIFS($D$245:$D$595,$F$245:$F$595,0,$E$245:$E$595,$G532)*$C$157 ,0)</f>
        <v/>
      </c>
      <c r="AF532" s="19" t="n"/>
    </row>
    <row r="533">
      <c r="A533" s="20">
        <f>mid(E533, 3, 1)</f>
        <v/>
      </c>
      <c r="B533" s="14" t="inlineStr"/>
      <c r="C533" s="21">
        <f>SUMIFS('Investor Exit List'!$AC:$AC,'Investor Exit List'!$AB:$AB,B533)</f>
        <v/>
      </c>
      <c r="D533" s="14">
        <f>SUMIFS('Investor Exit List'!$Q:$Q,'Investor Exit List'!$AB:$AB,B533)</f>
        <v/>
      </c>
      <c r="E533" s="31">
        <f>LEFT(B533,6)</f>
        <v/>
      </c>
      <c r="F533" s="14">
        <f>IF(SUMIFS($E$119:$E$151,$D$119:$D$151,E533)&lt;&gt;0,E533,0)</f>
        <v/>
      </c>
      <c r="G533" s="59" t="n"/>
      <c r="I533" s="28">
        <f>IF(AND(SUMIFS($D$245:$D$595,$F$245:$F$595,0,$E$245:$E$595,$G533,$C$245:$C$595,"&lt;="&amp;B$2)&lt;1000000,SUMIFS($D$245:$D$595,$F$245:$F$595,0,$E$245:$E$595,$G533,$C$245:$C$595,"&lt;="&amp;I5)&gt;=1000000),SUMIFS($D$245:$D$595,$F$245:$F$595,0,$E$245:$E$595,$G533)*$C$157 ,0)</f>
        <v/>
      </c>
      <c r="K533" s="95">
        <f>IF(AND(SUMIFS($D$245:$D$595,$F$245:$F$595,0,$E$245:$E$595,$G533,$C$245:$C$595,"&lt;="&amp;I$5)&lt;1000000,SUMIFS($D$245:$D$595,$F$245:$F$595,0,$E$245:$E$595,$G533,$C$245:$C$595,"&lt;="&amp;K5)&gt;=1000000),SUMIFS($D$245:$D$595,$F$245:$F$595,0,$E$245:$E$595,$G533)*$C$157 ,0)</f>
        <v/>
      </c>
      <c r="M533" s="95">
        <f>IF(AND(SUMIFS($D$245:$D$595,$F$245:$F$595,0,$E$245:$E$595,$G533,$C$245:$C$595,"&lt;="&amp;K$5)&lt;1000000,SUMIFS($D$245:$D$595,$F$245:$F$595,0,$E$245:$E$595,$G533,$C$245:$C$595,"&lt;="&amp;M5)&gt;=1000000),SUMIFS($D$245:$D$595,$F$245:$F$595,0,$E$245:$E$595,$G533)*$C$157 ,0)</f>
        <v/>
      </c>
      <c r="O533" s="95">
        <f>IF(AND(SUMIFS($D$245:$D$595,$F$245:$F$595,0,$E$245:$E$595,$G533,$C$245:$C$595,"&lt;="&amp;M$5)&lt;1000000,SUMIFS($D$245:$D$595,$F$245:$F$595,0,$E$245:$E$595,$G533,$C$245:$C$595,"&lt;="&amp;O5)&gt;=1000000),SUMIFS($D$245:$D$595,$F$245:$F$595,0,$E$245:$E$595,$G533)*$C$157 ,0)</f>
        <v/>
      </c>
      <c r="Q533" s="95">
        <f>IF(AND(SUMIFS($D$245:$D$595,$F$245:$F$595,0,$E$245:$E$595,$G533,$C$245:$C$595,"&lt;="&amp;O$5)&lt;1000000,SUMIFS($D$245:$D$595,$F$245:$F$595,0,$E$245:$E$595,$G533,$C$245:$C$595,"&lt;="&amp;Q5)&gt;=1000000),SUMIFS($D$245:$D$595,$F$245:$F$595,0,$E$245:$E$595,$G533)*$C$157 ,0)</f>
        <v/>
      </c>
      <c r="S533" s="95">
        <f>IF(AND(SUMIFS($D$245:$D$595,$F$245:$F$595,0,$E$245:$E$595,$G533,$C$245:$C$595,"&lt;="&amp;Q$5)&lt;1000000,SUMIFS($D$245:$D$595,$F$245:$F$595,0,$E$245:$E$595,$G533,$C$245:$C$595,"&lt;="&amp;S5)&gt;=1000000),SUMIFS($D$245:$D$595,$F$245:$F$595,0,$E$245:$E$595,$G533)*$C$157 ,0)</f>
        <v/>
      </c>
      <c r="U533" s="95">
        <f>IF(AND(SUMIFS($D$245:$D$595,$F$245:$F$595,0,$E$245:$E$595,$G533,$C$245:$C$595,"&lt;="&amp;S$5)&lt;1000000,SUMIFS($D$245:$D$595,$F$245:$F$595,0,$E$245:$E$595,$G533,$C$245:$C$595,"&lt;="&amp;U5)&gt;=1000000),SUMIFS($D$245:$D$595,$F$245:$F$595,0,$E$245:$E$595,$G533)*$C$157 ,0)</f>
        <v/>
      </c>
      <c r="W533" s="95">
        <f>IF(AND(SUMIFS($D$245:$D$595,$F$245:$F$595,0,$E$245:$E$595,$G533,$C$245:$C$595,"&lt;="&amp;U$5)&lt;1000000,SUMIFS($D$245:$D$595,$F$245:$F$595,0,$E$245:$E$595,$G533,$C$245:$C$595,"&lt;="&amp;W5)&gt;=1000000),SUMIFS($D$245:$D$595,$F$245:$F$595,0,$E$245:$E$595,$G533)*$C$157 ,0)</f>
        <v/>
      </c>
      <c r="Y533" s="95">
        <f>IF(AND(SUMIFS($D$245:$D$595,$F$245:$F$595,0,$E$245:$E$595,$G533,$C$245:$C$595,"&lt;="&amp;W$5)&lt;1000000,SUMIFS($D$245:$D$595,$F$245:$F$595,0,$E$245:$E$595,$G533,$C$245:$C$595,"&lt;="&amp;Y5)&gt;=1000000),SUMIFS($D$245:$D$595,$F$245:$F$595,0,$E$245:$E$595,$G533)*$C$157 ,0)</f>
        <v/>
      </c>
      <c r="AA533" s="95">
        <f>IF(AND(SUMIFS($D$245:$D$595,$F$245:$F$595,0,$E$245:$E$595,$G533,$C$245:$C$595,"&lt;="&amp;Y$5)&lt;1000000,SUMIFS($D$245:$D$595,$F$245:$F$595,0,$E$245:$E$595,$G533,$C$245:$C$595,"&lt;="&amp;AA5)&gt;=1000000),SUMIFS($D$245:$D$595,$F$245:$F$595,0,$E$245:$E$595,$G533)*$C$157 ,0)</f>
        <v/>
      </c>
      <c r="AC533" s="95">
        <f>IF(AND(SUMIFS($D$245:$D$595,$F$245:$F$595,0,$E$245:$E$595,$G533,$C$245:$C$595,"&lt;="&amp;AA$5)&lt;1000000,SUMIFS($D$245:$D$595,$F$245:$F$595,0,$E$245:$E$595,$G533,$C$245:$C$595,"&lt;="&amp;AC5)&gt;=1000000),SUMIFS($D$245:$D$595,$F$245:$F$595,0,$E$245:$E$595,$G533)*$C$157 ,0)</f>
        <v/>
      </c>
      <c r="AE533" s="95">
        <f>IF(AND(SUMIFS($D$245:$D$595,$F$245:$F$595,0,$E$245:$E$595,$G533,$C$245:$C$595,"&lt;="&amp;AC$5)&lt;1000000,SUMIFS($D$245:$D$595,$F$245:$F$595,0,$E$245:$E$595,$G533,$C$245:$C$595,"&lt;="&amp;AE5)&gt;=1000000),SUMIFS($D$245:$D$595,$F$245:$F$595,0,$E$245:$E$595,$G533)*$C$157 ,0)</f>
        <v/>
      </c>
      <c r="AF533" s="19" t="n"/>
    </row>
    <row r="534">
      <c r="A534" s="20">
        <f>mid(E534, 3, 1)</f>
        <v/>
      </c>
      <c r="B534" s="14" t="inlineStr"/>
      <c r="C534" s="21">
        <f>SUMIFS('Investor Exit List'!$AC:$AC,'Investor Exit List'!$AB:$AB,B534)</f>
        <v/>
      </c>
      <c r="D534" s="14">
        <f>SUMIFS('Investor Exit List'!$Q:$Q,'Investor Exit List'!$AB:$AB,B534)</f>
        <v/>
      </c>
      <c r="E534" s="31">
        <f>LEFT(B534,6)</f>
        <v/>
      </c>
      <c r="F534" s="14">
        <f>IF(SUMIFS($E$119:$E$151,$D$119:$D$151,E534)&lt;&gt;0,E534,0)</f>
        <v/>
      </c>
      <c r="G534" s="59" t="n"/>
      <c r="I534" s="28">
        <f>IF(AND(SUMIFS($D$245:$D$595,$F$245:$F$595,0,$E$245:$E$595,$G534,$C$245:$C$595,"&lt;="&amp;B$2)&lt;1000000,SUMIFS($D$245:$D$595,$F$245:$F$595,0,$E$245:$E$595,$G534,$C$245:$C$595,"&lt;="&amp;I5)&gt;=1000000),SUMIFS($D$245:$D$595,$F$245:$F$595,0,$E$245:$E$595,$G534)*$C$157 ,0)</f>
        <v/>
      </c>
      <c r="K534" s="95">
        <f>IF(AND(SUMIFS($D$245:$D$595,$F$245:$F$595,0,$E$245:$E$595,$G534,$C$245:$C$595,"&lt;="&amp;I$5)&lt;1000000,SUMIFS($D$245:$D$595,$F$245:$F$595,0,$E$245:$E$595,$G534,$C$245:$C$595,"&lt;="&amp;K5)&gt;=1000000),SUMIFS($D$245:$D$595,$F$245:$F$595,0,$E$245:$E$595,$G534)*$C$157 ,0)</f>
        <v/>
      </c>
      <c r="M534" s="95">
        <f>IF(AND(SUMIFS($D$245:$D$595,$F$245:$F$595,0,$E$245:$E$595,$G534,$C$245:$C$595,"&lt;="&amp;K$5)&lt;1000000,SUMIFS($D$245:$D$595,$F$245:$F$595,0,$E$245:$E$595,$G534,$C$245:$C$595,"&lt;="&amp;M5)&gt;=1000000),SUMIFS($D$245:$D$595,$F$245:$F$595,0,$E$245:$E$595,$G534)*$C$157 ,0)</f>
        <v/>
      </c>
      <c r="O534" s="95">
        <f>IF(AND(SUMIFS($D$245:$D$595,$F$245:$F$595,0,$E$245:$E$595,$G534,$C$245:$C$595,"&lt;="&amp;M$5)&lt;1000000,SUMIFS($D$245:$D$595,$F$245:$F$595,0,$E$245:$E$595,$G534,$C$245:$C$595,"&lt;="&amp;O5)&gt;=1000000),SUMIFS($D$245:$D$595,$F$245:$F$595,0,$E$245:$E$595,$G534)*$C$157 ,0)</f>
        <v/>
      </c>
      <c r="Q534" s="95">
        <f>IF(AND(SUMIFS($D$245:$D$595,$F$245:$F$595,0,$E$245:$E$595,$G534,$C$245:$C$595,"&lt;="&amp;O$5)&lt;1000000,SUMIFS($D$245:$D$595,$F$245:$F$595,0,$E$245:$E$595,$G534,$C$245:$C$595,"&lt;="&amp;Q5)&gt;=1000000),SUMIFS($D$245:$D$595,$F$245:$F$595,0,$E$245:$E$595,$G534)*$C$157 ,0)</f>
        <v/>
      </c>
      <c r="S534" s="95">
        <f>IF(AND(SUMIFS($D$245:$D$595,$F$245:$F$595,0,$E$245:$E$595,$G534,$C$245:$C$595,"&lt;="&amp;Q$5)&lt;1000000,SUMIFS($D$245:$D$595,$F$245:$F$595,0,$E$245:$E$595,$G534,$C$245:$C$595,"&lt;="&amp;S5)&gt;=1000000),SUMIFS($D$245:$D$595,$F$245:$F$595,0,$E$245:$E$595,$G534)*$C$157 ,0)</f>
        <v/>
      </c>
      <c r="U534" s="95">
        <f>IF(AND(SUMIFS($D$245:$D$595,$F$245:$F$595,0,$E$245:$E$595,$G534,$C$245:$C$595,"&lt;="&amp;S$5)&lt;1000000,SUMIFS($D$245:$D$595,$F$245:$F$595,0,$E$245:$E$595,$G534,$C$245:$C$595,"&lt;="&amp;U5)&gt;=1000000),SUMIFS($D$245:$D$595,$F$245:$F$595,0,$E$245:$E$595,$G534)*$C$157 ,0)</f>
        <v/>
      </c>
      <c r="W534" s="95">
        <f>IF(AND(SUMIFS($D$245:$D$595,$F$245:$F$595,0,$E$245:$E$595,$G534,$C$245:$C$595,"&lt;="&amp;U$5)&lt;1000000,SUMIFS($D$245:$D$595,$F$245:$F$595,0,$E$245:$E$595,$G534,$C$245:$C$595,"&lt;="&amp;W5)&gt;=1000000),SUMIFS($D$245:$D$595,$F$245:$F$595,0,$E$245:$E$595,$G534)*$C$157 ,0)</f>
        <v/>
      </c>
      <c r="Y534" s="95">
        <f>IF(AND(SUMIFS($D$245:$D$595,$F$245:$F$595,0,$E$245:$E$595,$G534,$C$245:$C$595,"&lt;="&amp;W$5)&lt;1000000,SUMIFS($D$245:$D$595,$F$245:$F$595,0,$E$245:$E$595,$G534,$C$245:$C$595,"&lt;="&amp;Y5)&gt;=1000000),SUMIFS($D$245:$D$595,$F$245:$F$595,0,$E$245:$E$595,$G534)*$C$157 ,0)</f>
        <v/>
      </c>
      <c r="AA534" s="95">
        <f>IF(AND(SUMIFS($D$245:$D$595,$F$245:$F$595,0,$E$245:$E$595,$G534,$C$245:$C$595,"&lt;="&amp;Y$5)&lt;1000000,SUMIFS($D$245:$D$595,$F$245:$F$595,0,$E$245:$E$595,$G534,$C$245:$C$595,"&lt;="&amp;AA5)&gt;=1000000),SUMIFS($D$245:$D$595,$F$245:$F$595,0,$E$245:$E$595,$G534)*$C$157 ,0)</f>
        <v/>
      </c>
      <c r="AC534" s="95">
        <f>IF(AND(SUMIFS($D$245:$D$595,$F$245:$F$595,0,$E$245:$E$595,$G534,$C$245:$C$595,"&lt;="&amp;AA$5)&lt;1000000,SUMIFS($D$245:$D$595,$F$245:$F$595,0,$E$245:$E$595,$G534,$C$245:$C$595,"&lt;="&amp;AC5)&gt;=1000000),SUMIFS($D$245:$D$595,$F$245:$F$595,0,$E$245:$E$595,$G534)*$C$157 ,0)</f>
        <v/>
      </c>
      <c r="AE534" s="95">
        <f>IF(AND(SUMIFS($D$245:$D$595,$F$245:$F$595,0,$E$245:$E$595,$G534,$C$245:$C$595,"&lt;="&amp;AC$5)&lt;1000000,SUMIFS($D$245:$D$595,$F$245:$F$595,0,$E$245:$E$595,$G534,$C$245:$C$595,"&lt;="&amp;AE5)&gt;=1000000),SUMIFS($D$245:$D$595,$F$245:$F$595,0,$E$245:$E$595,$G534)*$C$157 ,0)</f>
        <v/>
      </c>
      <c r="AF534" s="19" t="n"/>
    </row>
    <row r="535">
      <c r="A535" s="20">
        <f>mid(E535, 3, 1)</f>
        <v/>
      </c>
      <c r="B535" s="14" t="inlineStr"/>
      <c r="C535" s="21">
        <f>SUMIFS('Investor Exit List'!$AC:$AC,'Investor Exit List'!$AB:$AB,B535)</f>
        <v/>
      </c>
      <c r="D535" s="14">
        <f>SUMIFS('Investor Exit List'!$Q:$Q,'Investor Exit List'!$AB:$AB,B535)</f>
        <v/>
      </c>
      <c r="E535" s="31">
        <f>LEFT(B535,6)</f>
        <v/>
      </c>
      <c r="F535" s="14">
        <f>IF(SUMIFS($E$119:$E$151,$D$119:$D$151,E535)&lt;&gt;0,E535,0)</f>
        <v/>
      </c>
      <c r="G535" s="59" t="n"/>
      <c r="I535" s="28">
        <f>IF(AND(SUMIFS($D$245:$D$595,$F$245:$F$595,0,$E$245:$E$595,$G535,$C$245:$C$595,"&lt;="&amp;B$2)&lt;1000000,SUMIFS($D$245:$D$595,$F$245:$F$595,0,$E$245:$E$595,$G535,$C$245:$C$595,"&lt;="&amp;I5)&gt;=1000000),SUMIFS($D$245:$D$595,$F$245:$F$595,0,$E$245:$E$595,$G535)*$C$157 ,0)</f>
        <v/>
      </c>
      <c r="K535" s="95">
        <f>IF(AND(SUMIFS($D$245:$D$595,$F$245:$F$595,0,$E$245:$E$595,$G535,$C$245:$C$595,"&lt;="&amp;I$5)&lt;1000000,SUMIFS($D$245:$D$595,$F$245:$F$595,0,$E$245:$E$595,$G535,$C$245:$C$595,"&lt;="&amp;K5)&gt;=1000000),SUMIFS($D$245:$D$595,$F$245:$F$595,0,$E$245:$E$595,$G535)*$C$157 ,0)</f>
        <v/>
      </c>
      <c r="M535" s="95">
        <f>IF(AND(SUMIFS($D$245:$D$595,$F$245:$F$595,0,$E$245:$E$595,$G535,$C$245:$C$595,"&lt;="&amp;K$5)&lt;1000000,SUMIFS($D$245:$D$595,$F$245:$F$595,0,$E$245:$E$595,$G535,$C$245:$C$595,"&lt;="&amp;M5)&gt;=1000000),SUMIFS($D$245:$D$595,$F$245:$F$595,0,$E$245:$E$595,$G535)*$C$157 ,0)</f>
        <v/>
      </c>
      <c r="O535" s="95">
        <f>IF(AND(SUMIFS($D$245:$D$595,$F$245:$F$595,0,$E$245:$E$595,$G535,$C$245:$C$595,"&lt;="&amp;M$5)&lt;1000000,SUMIFS($D$245:$D$595,$F$245:$F$595,0,$E$245:$E$595,$G535,$C$245:$C$595,"&lt;="&amp;O5)&gt;=1000000),SUMIFS($D$245:$D$595,$F$245:$F$595,0,$E$245:$E$595,$G535)*$C$157 ,0)</f>
        <v/>
      </c>
      <c r="Q535" s="95">
        <f>IF(AND(SUMIFS($D$245:$D$595,$F$245:$F$595,0,$E$245:$E$595,$G535,$C$245:$C$595,"&lt;="&amp;O$5)&lt;1000000,SUMIFS($D$245:$D$595,$F$245:$F$595,0,$E$245:$E$595,$G535,$C$245:$C$595,"&lt;="&amp;Q5)&gt;=1000000),SUMIFS($D$245:$D$595,$F$245:$F$595,0,$E$245:$E$595,$G535)*$C$157 ,0)</f>
        <v/>
      </c>
      <c r="S535" s="95">
        <f>IF(AND(SUMIFS($D$245:$D$595,$F$245:$F$595,0,$E$245:$E$595,$G535,$C$245:$C$595,"&lt;="&amp;Q$5)&lt;1000000,SUMIFS($D$245:$D$595,$F$245:$F$595,0,$E$245:$E$595,$G535,$C$245:$C$595,"&lt;="&amp;S5)&gt;=1000000),SUMIFS($D$245:$D$595,$F$245:$F$595,0,$E$245:$E$595,$G535)*$C$157 ,0)</f>
        <v/>
      </c>
      <c r="U535" s="95">
        <f>IF(AND(SUMIFS($D$245:$D$595,$F$245:$F$595,0,$E$245:$E$595,$G535,$C$245:$C$595,"&lt;="&amp;S$5)&lt;1000000,SUMIFS($D$245:$D$595,$F$245:$F$595,0,$E$245:$E$595,$G535,$C$245:$C$595,"&lt;="&amp;U5)&gt;=1000000),SUMIFS($D$245:$D$595,$F$245:$F$595,0,$E$245:$E$595,$G535)*$C$157 ,0)</f>
        <v/>
      </c>
      <c r="W535" s="95">
        <f>IF(AND(SUMIFS($D$245:$D$595,$F$245:$F$595,0,$E$245:$E$595,$G535,$C$245:$C$595,"&lt;="&amp;U$5)&lt;1000000,SUMIFS($D$245:$D$595,$F$245:$F$595,0,$E$245:$E$595,$G535,$C$245:$C$595,"&lt;="&amp;W5)&gt;=1000000),SUMIFS($D$245:$D$595,$F$245:$F$595,0,$E$245:$E$595,$G535)*$C$157 ,0)</f>
        <v/>
      </c>
      <c r="Y535" s="95">
        <f>IF(AND(SUMIFS($D$245:$D$595,$F$245:$F$595,0,$E$245:$E$595,$G535,$C$245:$C$595,"&lt;="&amp;W$5)&lt;1000000,SUMIFS($D$245:$D$595,$F$245:$F$595,0,$E$245:$E$595,$G535,$C$245:$C$595,"&lt;="&amp;Y5)&gt;=1000000),SUMIFS($D$245:$D$595,$F$245:$F$595,0,$E$245:$E$595,$G535)*$C$157 ,0)</f>
        <v/>
      </c>
      <c r="AA535" s="95">
        <f>IF(AND(SUMIFS($D$245:$D$595,$F$245:$F$595,0,$E$245:$E$595,$G535,$C$245:$C$595,"&lt;="&amp;Y$5)&lt;1000000,SUMIFS($D$245:$D$595,$F$245:$F$595,0,$E$245:$E$595,$G535,$C$245:$C$595,"&lt;="&amp;AA5)&gt;=1000000),SUMIFS($D$245:$D$595,$F$245:$F$595,0,$E$245:$E$595,$G535)*$C$157 ,0)</f>
        <v/>
      </c>
      <c r="AC535" s="95">
        <f>IF(AND(SUMIFS($D$245:$D$595,$F$245:$F$595,0,$E$245:$E$595,$G535,$C$245:$C$595,"&lt;="&amp;AA$5)&lt;1000000,SUMIFS($D$245:$D$595,$F$245:$F$595,0,$E$245:$E$595,$G535,$C$245:$C$595,"&lt;="&amp;AC5)&gt;=1000000),SUMIFS($D$245:$D$595,$F$245:$F$595,0,$E$245:$E$595,$G535)*$C$157 ,0)</f>
        <v/>
      </c>
      <c r="AE535" s="95">
        <f>IF(AND(SUMIFS($D$245:$D$595,$F$245:$F$595,0,$E$245:$E$595,$G535,$C$245:$C$595,"&lt;="&amp;AC$5)&lt;1000000,SUMIFS($D$245:$D$595,$F$245:$F$595,0,$E$245:$E$595,$G535,$C$245:$C$595,"&lt;="&amp;AE5)&gt;=1000000),SUMIFS($D$245:$D$595,$F$245:$F$595,0,$E$245:$E$595,$G535)*$C$157 ,0)</f>
        <v/>
      </c>
      <c r="AF535" s="19" t="n"/>
    </row>
    <row r="536">
      <c r="A536" s="20">
        <f>mid(E536, 3, 1)</f>
        <v/>
      </c>
      <c r="B536" s="14" t="inlineStr"/>
      <c r="C536" s="21">
        <f>SUMIFS('Investor Exit List'!$AC:$AC,'Investor Exit List'!$AB:$AB,B536)</f>
        <v/>
      </c>
      <c r="D536" s="14">
        <f>SUMIFS('Investor Exit List'!$Q:$Q,'Investor Exit List'!$AB:$AB,B536)</f>
        <v/>
      </c>
      <c r="E536" s="31">
        <f>LEFT(B536,6)</f>
        <v/>
      </c>
      <c r="F536" s="14">
        <f>IF(SUMIFS($E$119:$E$151,$D$119:$D$151,E536)&lt;&gt;0,E536,0)</f>
        <v/>
      </c>
      <c r="G536" s="59" t="n"/>
      <c r="I536" s="28">
        <f>IF(AND(SUMIFS($D$245:$D$595,$F$245:$F$595,0,$E$245:$E$595,$G536,$C$245:$C$595,"&lt;="&amp;B$2)&lt;1000000,SUMIFS($D$245:$D$595,$F$245:$F$595,0,$E$245:$E$595,$G536,$C$245:$C$595,"&lt;="&amp;I5)&gt;=1000000),SUMIFS($D$245:$D$595,$F$245:$F$595,0,$E$245:$E$595,$G536)*$C$157 ,0)</f>
        <v/>
      </c>
      <c r="K536" s="95">
        <f>IF(AND(SUMIFS($D$245:$D$595,$F$245:$F$595,0,$E$245:$E$595,$G536,$C$245:$C$595,"&lt;="&amp;I$5)&lt;1000000,SUMIFS($D$245:$D$595,$F$245:$F$595,0,$E$245:$E$595,$G536,$C$245:$C$595,"&lt;="&amp;K5)&gt;=1000000),SUMIFS($D$245:$D$595,$F$245:$F$595,0,$E$245:$E$595,$G536)*$C$157 ,0)</f>
        <v/>
      </c>
      <c r="M536" s="95">
        <f>IF(AND(SUMIFS($D$245:$D$595,$F$245:$F$595,0,$E$245:$E$595,$G536,$C$245:$C$595,"&lt;="&amp;K$5)&lt;1000000,SUMIFS($D$245:$D$595,$F$245:$F$595,0,$E$245:$E$595,$G536,$C$245:$C$595,"&lt;="&amp;M5)&gt;=1000000),SUMIFS($D$245:$D$595,$F$245:$F$595,0,$E$245:$E$595,$G536)*$C$157 ,0)</f>
        <v/>
      </c>
      <c r="O536" s="95">
        <f>IF(AND(SUMIFS($D$245:$D$595,$F$245:$F$595,0,$E$245:$E$595,$G536,$C$245:$C$595,"&lt;="&amp;M$5)&lt;1000000,SUMIFS($D$245:$D$595,$F$245:$F$595,0,$E$245:$E$595,$G536,$C$245:$C$595,"&lt;="&amp;O5)&gt;=1000000),SUMIFS($D$245:$D$595,$F$245:$F$595,0,$E$245:$E$595,$G536)*$C$157 ,0)</f>
        <v/>
      </c>
      <c r="Q536" s="95">
        <f>IF(AND(SUMIFS($D$245:$D$595,$F$245:$F$595,0,$E$245:$E$595,$G536,$C$245:$C$595,"&lt;="&amp;O$5)&lt;1000000,SUMIFS($D$245:$D$595,$F$245:$F$595,0,$E$245:$E$595,$G536,$C$245:$C$595,"&lt;="&amp;Q5)&gt;=1000000),SUMIFS($D$245:$D$595,$F$245:$F$595,0,$E$245:$E$595,$G536)*$C$157 ,0)</f>
        <v/>
      </c>
      <c r="S536" s="95">
        <f>IF(AND(SUMIFS($D$245:$D$595,$F$245:$F$595,0,$E$245:$E$595,$G536,$C$245:$C$595,"&lt;="&amp;Q$5)&lt;1000000,SUMIFS($D$245:$D$595,$F$245:$F$595,0,$E$245:$E$595,$G536,$C$245:$C$595,"&lt;="&amp;S5)&gt;=1000000),SUMIFS($D$245:$D$595,$F$245:$F$595,0,$E$245:$E$595,$G536)*$C$157 ,0)</f>
        <v/>
      </c>
      <c r="U536" s="95">
        <f>IF(AND(SUMIFS($D$245:$D$595,$F$245:$F$595,0,$E$245:$E$595,$G536,$C$245:$C$595,"&lt;="&amp;S$5)&lt;1000000,SUMIFS($D$245:$D$595,$F$245:$F$595,0,$E$245:$E$595,$G536,$C$245:$C$595,"&lt;="&amp;U5)&gt;=1000000),SUMIFS($D$245:$D$595,$F$245:$F$595,0,$E$245:$E$595,$G536)*$C$157 ,0)</f>
        <v/>
      </c>
      <c r="W536" s="95">
        <f>IF(AND(SUMIFS($D$245:$D$595,$F$245:$F$595,0,$E$245:$E$595,$G536,$C$245:$C$595,"&lt;="&amp;U$5)&lt;1000000,SUMIFS($D$245:$D$595,$F$245:$F$595,0,$E$245:$E$595,$G536,$C$245:$C$595,"&lt;="&amp;W5)&gt;=1000000),SUMIFS($D$245:$D$595,$F$245:$F$595,0,$E$245:$E$595,$G536)*$C$157 ,0)</f>
        <v/>
      </c>
      <c r="Y536" s="95">
        <f>IF(AND(SUMIFS($D$245:$D$595,$F$245:$F$595,0,$E$245:$E$595,$G536,$C$245:$C$595,"&lt;="&amp;W$5)&lt;1000000,SUMIFS($D$245:$D$595,$F$245:$F$595,0,$E$245:$E$595,$G536,$C$245:$C$595,"&lt;="&amp;Y5)&gt;=1000000),SUMIFS($D$245:$D$595,$F$245:$F$595,0,$E$245:$E$595,$G536)*$C$157 ,0)</f>
        <v/>
      </c>
      <c r="AA536" s="95">
        <f>IF(AND(SUMIFS($D$245:$D$595,$F$245:$F$595,0,$E$245:$E$595,$G536,$C$245:$C$595,"&lt;="&amp;Y$5)&lt;1000000,SUMIFS($D$245:$D$595,$F$245:$F$595,0,$E$245:$E$595,$G536,$C$245:$C$595,"&lt;="&amp;AA5)&gt;=1000000),SUMIFS($D$245:$D$595,$F$245:$F$595,0,$E$245:$E$595,$G536)*$C$157 ,0)</f>
        <v/>
      </c>
      <c r="AC536" s="95">
        <f>IF(AND(SUMIFS($D$245:$D$595,$F$245:$F$595,0,$E$245:$E$595,$G536,$C$245:$C$595,"&lt;="&amp;AA$5)&lt;1000000,SUMIFS($D$245:$D$595,$F$245:$F$595,0,$E$245:$E$595,$G536,$C$245:$C$595,"&lt;="&amp;AC5)&gt;=1000000),SUMIFS($D$245:$D$595,$F$245:$F$595,0,$E$245:$E$595,$G536)*$C$157 ,0)</f>
        <v/>
      </c>
      <c r="AE536" s="95">
        <f>IF(AND(SUMIFS($D$245:$D$595,$F$245:$F$595,0,$E$245:$E$595,$G536,$C$245:$C$595,"&lt;="&amp;AC$5)&lt;1000000,SUMIFS($D$245:$D$595,$F$245:$F$595,0,$E$245:$E$595,$G536,$C$245:$C$595,"&lt;="&amp;AE5)&gt;=1000000),SUMIFS($D$245:$D$595,$F$245:$F$595,0,$E$245:$E$595,$G536)*$C$157 ,0)</f>
        <v/>
      </c>
      <c r="AF536" s="19" t="n"/>
    </row>
    <row r="537">
      <c r="A537" s="20">
        <f>mid(E537, 3, 1)</f>
        <v/>
      </c>
      <c r="B537" s="14" t="inlineStr"/>
      <c r="C537" s="21">
        <f>SUMIFS('Investor Exit List'!$AC:$AC,'Investor Exit List'!$AB:$AB,B537)</f>
        <v/>
      </c>
      <c r="D537" s="14">
        <f>SUMIFS('Investor Exit List'!$Q:$Q,'Investor Exit List'!$AB:$AB,B537)</f>
        <v/>
      </c>
      <c r="E537" s="31">
        <f>LEFT(B537,6)</f>
        <v/>
      </c>
      <c r="F537" s="14">
        <f>IF(SUMIFS($E$119:$E$151,$D$119:$D$151,E537)&lt;&gt;0,E537,0)</f>
        <v/>
      </c>
      <c r="G537" s="59" t="n"/>
      <c r="I537" s="28">
        <f>IF(AND(SUMIFS($D$245:$D$595,$F$245:$F$595,0,$E$245:$E$595,$G537,$C$245:$C$595,"&lt;="&amp;B$2)&lt;1000000,SUMIFS($D$245:$D$595,$F$245:$F$595,0,$E$245:$E$595,$G537,$C$245:$C$595,"&lt;="&amp;I5)&gt;=1000000),SUMIFS($D$245:$D$595,$F$245:$F$595,0,$E$245:$E$595,$G537)*$C$157 ,0)</f>
        <v/>
      </c>
      <c r="K537" s="95">
        <f>IF(AND(SUMIFS($D$245:$D$595,$F$245:$F$595,0,$E$245:$E$595,$G537,$C$245:$C$595,"&lt;="&amp;I$5)&lt;1000000,SUMIFS($D$245:$D$595,$F$245:$F$595,0,$E$245:$E$595,$G537,$C$245:$C$595,"&lt;="&amp;K5)&gt;=1000000),SUMIFS($D$245:$D$595,$F$245:$F$595,0,$E$245:$E$595,$G537)*$C$157 ,0)</f>
        <v/>
      </c>
      <c r="M537" s="95">
        <f>IF(AND(SUMIFS($D$245:$D$595,$F$245:$F$595,0,$E$245:$E$595,$G537,$C$245:$C$595,"&lt;="&amp;K$5)&lt;1000000,SUMIFS($D$245:$D$595,$F$245:$F$595,0,$E$245:$E$595,$G537,$C$245:$C$595,"&lt;="&amp;M5)&gt;=1000000),SUMIFS($D$245:$D$595,$F$245:$F$595,0,$E$245:$E$595,$G537)*$C$157 ,0)</f>
        <v/>
      </c>
      <c r="O537" s="95">
        <f>IF(AND(SUMIFS($D$245:$D$595,$F$245:$F$595,0,$E$245:$E$595,$G537,$C$245:$C$595,"&lt;="&amp;M$5)&lt;1000000,SUMIFS($D$245:$D$595,$F$245:$F$595,0,$E$245:$E$595,$G537,$C$245:$C$595,"&lt;="&amp;O5)&gt;=1000000),SUMIFS($D$245:$D$595,$F$245:$F$595,0,$E$245:$E$595,$G537)*$C$157 ,0)</f>
        <v/>
      </c>
      <c r="Q537" s="95">
        <f>IF(AND(SUMIFS($D$245:$D$595,$F$245:$F$595,0,$E$245:$E$595,$G537,$C$245:$C$595,"&lt;="&amp;O$5)&lt;1000000,SUMIFS($D$245:$D$595,$F$245:$F$595,0,$E$245:$E$595,$G537,$C$245:$C$595,"&lt;="&amp;Q5)&gt;=1000000),SUMIFS($D$245:$D$595,$F$245:$F$595,0,$E$245:$E$595,$G537)*$C$157 ,0)</f>
        <v/>
      </c>
      <c r="S537" s="95">
        <f>IF(AND(SUMIFS($D$245:$D$595,$F$245:$F$595,0,$E$245:$E$595,$G537,$C$245:$C$595,"&lt;="&amp;Q$5)&lt;1000000,SUMIFS($D$245:$D$595,$F$245:$F$595,0,$E$245:$E$595,$G537,$C$245:$C$595,"&lt;="&amp;S5)&gt;=1000000),SUMIFS($D$245:$D$595,$F$245:$F$595,0,$E$245:$E$595,$G537)*$C$157 ,0)</f>
        <v/>
      </c>
      <c r="U537" s="95">
        <f>IF(AND(SUMIFS($D$245:$D$595,$F$245:$F$595,0,$E$245:$E$595,$G537,$C$245:$C$595,"&lt;="&amp;S$5)&lt;1000000,SUMIFS($D$245:$D$595,$F$245:$F$595,0,$E$245:$E$595,$G537,$C$245:$C$595,"&lt;="&amp;U5)&gt;=1000000),SUMIFS($D$245:$D$595,$F$245:$F$595,0,$E$245:$E$595,$G537)*$C$157 ,0)</f>
        <v/>
      </c>
      <c r="W537" s="95">
        <f>IF(AND(SUMIFS($D$245:$D$595,$F$245:$F$595,0,$E$245:$E$595,$G537,$C$245:$C$595,"&lt;="&amp;U$5)&lt;1000000,SUMIFS($D$245:$D$595,$F$245:$F$595,0,$E$245:$E$595,$G537,$C$245:$C$595,"&lt;="&amp;W5)&gt;=1000000),SUMIFS($D$245:$D$595,$F$245:$F$595,0,$E$245:$E$595,$G537)*$C$157 ,0)</f>
        <v/>
      </c>
      <c r="Y537" s="95">
        <f>IF(AND(SUMIFS($D$245:$D$595,$F$245:$F$595,0,$E$245:$E$595,$G537,$C$245:$C$595,"&lt;="&amp;W$5)&lt;1000000,SUMIFS($D$245:$D$595,$F$245:$F$595,0,$E$245:$E$595,$G537,$C$245:$C$595,"&lt;="&amp;Y5)&gt;=1000000),SUMIFS($D$245:$D$595,$F$245:$F$595,0,$E$245:$E$595,$G537)*$C$157 ,0)</f>
        <v/>
      </c>
      <c r="AA537" s="95">
        <f>IF(AND(SUMIFS($D$245:$D$595,$F$245:$F$595,0,$E$245:$E$595,$G537,$C$245:$C$595,"&lt;="&amp;Y$5)&lt;1000000,SUMIFS($D$245:$D$595,$F$245:$F$595,0,$E$245:$E$595,$G537,$C$245:$C$595,"&lt;="&amp;AA5)&gt;=1000000),SUMIFS($D$245:$D$595,$F$245:$F$595,0,$E$245:$E$595,$G537)*$C$157 ,0)</f>
        <v/>
      </c>
      <c r="AC537" s="95">
        <f>IF(AND(SUMIFS($D$245:$D$595,$F$245:$F$595,0,$E$245:$E$595,$G537,$C$245:$C$595,"&lt;="&amp;AA$5)&lt;1000000,SUMIFS($D$245:$D$595,$F$245:$F$595,0,$E$245:$E$595,$G537,$C$245:$C$595,"&lt;="&amp;AC5)&gt;=1000000),SUMIFS($D$245:$D$595,$F$245:$F$595,0,$E$245:$E$595,$G537)*$C$157 ,0)</f>
        <v/>
      </c>
      <c r="AE537" s="95">
        <f>IF(AND(SUMIFS($D$245:$D$595,$F$245:$F$595,0,$E$245:$E$595,$G537,$C$245:$C$595,"&lt;="&amp;AC$5)&lt;1000000,SUMIFS($D$245:$D$595,$F$245:$F$595,0,$E$245:$E$595,$G537,$C$245:$C$595,"&lt;="&amp;AE5)&gt;=1000000),SUMIFS($D$245:$D$595,$F$245:$F$595,0,$E$245:$E$595,$G537)*$C$157 ,0)</f>
        <v/>
      </c>
      <c r="AF537" s="19" t="n"/>
    </row>
    <row r="538">
      <c r="A538" s="20">
        <f>mid(E538, 3, 1)</f>
        <v/>
      </c>
      <c r="B538" s="14" t="inlineStr"/>
      <c r="C538" s="21">
        <f>SUMIFS('Investor Exit List'!$AC:$AC,'Investor Exit List'!$AB:$AB,B538)</f>
        <v/>
      </c>
      <c r="D538" s="14">
        <f>SUMIFS('Investor Exit List'!$Q:$Q,'Investor Exit List'!$AB:$AB,B538)</f>
        <v/>
      </c>
      <c r="E538" s="31">
        <f>LEFT(B538,6)</f>
        <v/>
      </c>
      <c r="F538" s="14">
        <f>IF(SUMIFS($E$119:$E$151,$D$119:$D$151,E538)&lt;&gt;0,E538,0)</f>
        <v/>
      </c>
      <c r="G538" s="59" t="n"/>
      <c r="I538" s="28">
        <f>IF(AND(SUMIFS($D$245:$D$595,$F$245:$F$595,0,$E$245:$E$595,$G538,$C$245:$C$595,"&lt;="&amp;B$2)&lt;1000000,SUMIFS($D$245:$D$595,$F$245:$F$595,0,$E$245:$E$595,$G538,$C$245:$C$595,"&lt;="&amp;I5)&gt;=1000000),SUMIFS($D$245:$D$595,$F$245:$F$595,0,$E$245:$E$595,$G538)*$C$157 ,0)</f>
        <v/>
      </c>
      <c r="K538" s="95">
        <f>IF(AND(SUMIFS($D$245:$D$595,$F$245:$F$595,0,$E$245:$E$595,$G538,$C$245:$C$595,"&lt;="&amp;I$5)&lt;1000000,SUMIFS($D$245:$D$595,$F$245:$F$595,0,$E$245:$E$595,$G538,$C$245:$C$595,"&lt;="&amp;K5)&gt;=1000000),SUMIFS($D$245:$D$595,$F$245:$F$595,0,$E$245:$E$595,$G538)*$C$157 ,0)</f>
        <v/>
      </c>
      <c r="M538" s="95">
        <f>IF(AND(SUMIFS($D$245:$D$595,$F$245:$F$595,0,$E$245:$E$595,$G538,$C$245:$C$595,"&lt;="&amp;K$5)&lt;1000000,SUMIFS($D$245:$D$595,$F$245:$F$595,0,$E$245:$E$595,$G538,$C$245:$C$595,"&lt;="&amp;M5)&gt;=1000000),SUMIFS($D$245:$D$595,$F$245:$F$595,0,$E$245:$E$595,$G538)*$C$157 ,0)</f>
        <v/>
      </c>
      <c r="O538" s="95">
        <f>IF(AND(SUMIFS($D$245:$D$595,$F$245:$F$595,0,$E$245:$E$595,$G538,$C$245:$C$595,"&lt;="&amp;M$5)&lt;1000000,SUMIFS($D$245:$D$595,$F$245:$F$595,0,$E$245:$E$595,$G538,$C$245:$C$595,"&lt;="&amp;O5)&gt;=1000000),SUMIFS($D$245:$D$595,$F$245:$F$595,0,$E$245:$E$595,$G538)*$C$157 ,0)</f>
        <v/>
      </c>
      <c r="Q538" s="95">
        <f>IF(AND(SUMIFS($D$245:$D$595,$F$245:$F$595,0,$E$245:$E$595,$G538,$C$245:$C$595,"&lt;="&amp;O$5)&lt;1000000,SUMIFS($D$245:$D$595,$F$245:$F$595,0,$E$245:$E$595,$G538,$C$245:$C$595,"&lt;="&amp;Q5)&gt;=1000000),SUMIFS($D$245:$D$595,$F$245:$F$595,0,$E$245:$E$595,$G538)*$C$157 ,0)</f>
        <v/>
      </c>
      <c r="S538" s="95">
        <f>IF(AND(SUMIFS($D$245:$D$595,$F$245:$F$595,0,$E$245:$E$595,$G538,$C$245:$C$595,"&lt;="&amp;Q$5)&lt;1000000,SUMIFS($D$245:$D$595,$F$245:$F$595,0,$E$245:$E$595,$G538,$C$245:$C$595,"&lt;="&amp;S5)&gt;=1000000),SUMIFS($D$245:$D$595,$F$245:$F$595,0,$E$245:$E$595,$G538)*$C$157 ,0)</f>
        <v/>
      </c>
      <c r="U538" s="95">
        <f>IF(AND(SUMIFS($D$245:$D$595,$F$245:$F$595,0,$E$245:$E$595,$G538,$C$245:$C$595,"&lt;="&amp;S$5)&lt;1000000,SUMIFS($D$245:$D$595,$F$245:$F$595,0,$E$245:$E$595,$G538,$C$245:$C$595,"&lt;="&amp;U5)&gt;=1000000),SUMIFS($D$245:$D$595,$F$245:$F$595,0,$E$245:$E$595,$G538)*$C$157 ,0)</f>
        <v/>
      </c>
      <c r="W538" s="95">
        <f>IF(AND(SUMIFS($D$245:$D$595,$F$245:$F$595,0,$E$245:$E$595,$G538,$C$245:$C$595,"&lt;="&amp;U$5)&lt;1000000,SUMIFS($D$245:$D$595,$F$245:$F$595,0,$E$245:$E$595,$G538,$C$245:$C$595,"&lt;="&amp;W5)&gt;=1000000),SUMIFS($D$245:$D$595,$F$245:$F$595,0,$E$245:$E$595,$G538)*$C$157 ,0)</f>
        <v/>
      </c>
      <c r="Y538" s="95">
        <f>IF(AND(SUMIFS($D$245:$D$595,$F$245:$F$595,0,$E$245:$E$595,$G538,$C$245:$C$595,"&lt;="&amp;W$5)&lt;1000000,SUMIFS($D$245:$D$595,$F$245:$F$595,0,$E$245:$E$595,$G538,$C$245:$C$595,"&lt;="&amp;Y5)&gt;=1000000),SUMIFS($D$245:$D$595,$F$245:$F$595,0,$E$245:$E$595,$G538)*$C$157 ,0)</f>
        <v/>
      </c>
      <c r="AA538" s="95">
        <f>IF(AND(SUMIFS($D$245:$D$595,$F$245:$F$595,0,$E$245:$E$595,$G538,$C$245:$C$595,"&lt;="&amp;Y$5)&lt;1000000,SUMIFS($D$245:$D$595,$F$245:$F$595,0,$E$245:$E$595,$G538,$C$245:$C$595,"&lt;="&amp;AA5)&gt;=1000000),SUMIFS($D$245:$D$595,$F$245:$F$595,0,$E$245:$E$595,$G538)*$C$157 ,0)</f>
        <v/>
      </c>
      <c r="AC538" s="95">
        <f>IF(AND(SUMIFS($D$245:$D$595,$F$245:$F$595,0,$E$245:$E$595,$G538,$C$245:$C$595,"&lt;="&amp;AA$5)&lt;1000000,SUMIFS($D$245:$D$595,$F$245:$F$595,0,$E$245:$E$595,$G538,$C$245:$C$595,"&lt;="&amp;AC5)&gt;=1000000),SUMIFS($D$245:$D$595,$F$245:$F$595,0,$E$245:$E$595,$G538)*$C$157 ,0)</f>
        <v/>
      </c>
      <c r="AE538" s="95">
        <f>IF(AND(SUMIFS($D$245:$D$595,$F$245:$F$595,0,$E$245:$E$595,$G538,$C$245:$C$595,"&lt;="&amp;AC$5)&lt;1000000,SUMIFS($D$245:$D$595,$F$245:$F$595,0,$E$245:$E$595,$G538,$C$245:$C$595,"&lt;="&amp;AE5)&gt;=1000000),SUMIFS($D$245:$D$595,$F$245:$F$595,0,$E$245:$E$595,$G538)*$C$157 ,0)</f>
        <v/>
      </c>
      <c r="AF538" s="19" t="n"/>
    </row>
    <row r="539">
      <c r="A539" s="20">
        <f>mid(E539, 3, 1)</f>
        <v/>
      </c>
      <c r="B539" s="14" t="inlineStr"/>
      <c r="C539" s="21">
        <f>SUMIFS('Investor Exit List'!$AC:$AC,'Investor Exit List'!$AB:$AB,B539)</f>
        <v/>
      </c>
      <c r="D539" s="14">
        <f>SUMIFS('Investor Exit List'!$Q:$Q,'Investor Exit List'!$AB:$AB,B539)</f>
        <v/>
      </c>
      <c r="E539" s="31">
        <f>LEFT(B539,6)</f>
        <v/>
      </c>
      <c r="F539" s="14">
        <f>IF(SUMIFS($E$119:$E$151,$D$119:$D$151,E539)&lt;&gt;0,E539,0)</f>
        <v/>
      </c>
      <c r="G539" s="59" t="n"/>
      <c r="I539" s="28">
        <f>IF(AND(SUMIFS($D$245:$D$595,$F$245:$F$595,0,$E$245:$E$595,$G539,$C$245:$C$595,"&lt;="&amp;B$2)&lt;1000000,SUMIFS($D$245:$D$595,$F$245:$F$595,0,$E$245:$E$595,$G539,$C$245:$C$595,"&lt;="&amp;I5)&gt;=1000000),SUMIFS($D$245:$D$595,$F$245:$F$595,0,$E$245:$E$595,$G539)*$C$157 ,0)</f>
        <v/>
      </c>
      <c r="K539" s="95">
        <f>IF(AND(SUMIFS($D$245:$D$595,$F$245:$F$595,0,$E$245:$E$595,$G539,$C$245:$C$595,"&lt;="&amp;I$5)&lt;1000000,SUMIFS($D$245:$D$595,$F$245:$F$595,0,$E$245:$E$595,$G539,$C$245:$C$595,"&lt;="&amp;K5)&gt;=1000000),SUMIFS($D$245:$D$595,$F$245:$F$595,0,$E$245:$E$595,$G539)*$C$157 ,0)</f>
        <v/>
      </c>
      <c r="M539" s="95">
        <f>IF(AND(SUMIFS($D$245:$D$595,$F$245:$F$595,0,$E$245:$E$595,$G539,$C$245:$C$595,"&lt;="&amp;K$5)&lt;1000000,SUMIFS($D$245:$D$595,$F$245:$F$595,0,$E$245:$E$595,$G539,$C$245:$C$595,"&lt;="&amp;M5)&gt;=1000000),SUMIFS($D$245:$D$595,$F$245:$F$595,0,$E$245:$E$595,$G539)*$C$157 ,0)</f>
        <v/>
      </c>
      <c r="O539" s="95">
        <f>IF(AND(SUMIFS($D$245:$D$595,$F$245:$F$595,0,$E$245:$E$595,$G539,$C$245:$C$595,"&lt;="&amp;M$5)&lt;1000000,SUMIFS($D$245:$D$595,$F$245:$F$595,0,$E$245:$E$595,$G539,$C$245:$C$595,"&lt;="&amp;O5)&gt;=1000000),SUMIFS($D$245:$D$595,$F$245:$F$595,0,$E$245:$E$595,$G539)*$C$157 ,0)</f>
        <v/>
      </c>
      <c r="Q539" s="95">
        <f>IF(AND(SUMIFS($D$245:$D$595,$F$245:$F$595,0,$E$245:$E$595,$G539,$C$245:$C$595,"&lt;="&amp;O$5)&lt;1000000,SUMIFS($D$245:$D$595,$F$245:$F$595,0,$E$245:$E$595,$G539,$C$245:$C$595,"&lt;="&amp;Q5)&gt;=1000000),SUMIFS($D$245:$D$595,$F$245:$F$595,0,$E$245:$E$595,$G539)*$C$157 ,0)</f>
        <v/>
      </c>
      <c r="S539" s="95">
        <f>IF(AND(SUMIFS($D$245:$D$595,$F$245:$F$595,0,$E$245:$E$595,$G539,$C$245:$C$595,"&lt;="&amp;Q$5)&lt;1000000,SUMIFS($D$245:$D$595,$F$245:$F$595,0,$E$245:$E$595,$G539,$C$245:$C$595,"&lt;="&amp;S5)&gt;=1000000),SUMIFS($D$245:$D$595,$F$245:$F$595,0,$E$245:$E$595,$G539)*$C$157 ,0)</f>
        <v/>
      </c>
      <c r="U539" s="95">
        <f>IF(AND(SUMIFS($D$245:$D$595,$F$245:$F$595,0,$E$245:$E$595,$G539,$C$245:$C$595,"&lt;="&amp;S$5)&lt;1000000,SUMIFS($D$245:$D$595,$F$245:$F$595,0,$E$245:$E$595,$G539,$C$245:$C$595,"&lt;="&amp;U5)&gt;=1000000),SUMIFS($D$245:$D$595,$F$245:$F$595,0,$E$245:$E$595,$G539)*$C$157 ,0)</f>
        <v/>
      </c>
      <c r="W539" s="95">
        <f>IF(AND(SUMIFS($D$245:$D$595,$F$245:$F$595,0,$E$245:$E$595,$G539,$C$245:$C$595,"&lt;="&amp;U$5)&lt;1000000,SUMIFS($D$245:$D$595,$F$245:$F$595,0,$E$245:$E$595,$G539,$C$245:$C$595,"&lt;="&amp;W5)&gt;=1000000),SUMIFS($D$245:$D$595,$F$245:$F$595,0,$E$245:$E$595,$G539)*$C$157 ,0)</f>
        <v/>
      </c>
      <c r="Y539" s="95">
        <f>IF(AND(SUMIFS($D$245:$D$595,$F$245:$F$595,0,$E$245:$E$595,$G539,$C$245:$C$595,"&lt;="&amp;W$5)&lt;1000000,SUMIFS($D$245:$D$595,$F$245:$F$595,0,$E$245:$E$595,$G539,$C$245:$C$595,"&lt;="&amp;Y5)&gt;=1000000),SUMIFS($D$245:$D$595,$F$245:$F$595,0,$E$245:$E$595,$G539)*$C$157 ,0)</f>
        <v/>
      </c>
      <c r="AA539" s="95">
        <f>IF(AND(SUMIFS($D$245:$D$595,$F$245:$F$595,0,$E$245:$E$595,$G539,$C$245:$C$595,"&lt;="&amp;Y$5)&lt;1000000,SUMIFS($D$245:$D$595,$F$245:$F$595,0,$E$245:$E$595,$G539,$C$245:$C$595,"&lt;="&amp;AA5)&gt;=1000000),SUMIFS($D$245:$D$595,$F$245:$F$595,0,$E$245:$E$595,$G539)*$C$157 ,0)</f>
        <v/>
      </c>
      <c r="AC539" s="95">
        <f>IF(AND(SUMIFS($D$245:$D$595,$F$245:$F$595,0,$E$245:$E$595,$G539,$C$245:$C$595,"&lt;="&amp;AA$5)&lt;1000000,SUMIFS($D$245:$D$595,$F$245:$F$595,0,$E$245:$E$595,$G539,$C$245:$C$595,"&lt;="&amp;AC5)&gt;=1000000),SUMIFS($D$245:$D$595,$F$245:$F$595,0,$E$245:$E$595,$G539)*$C$157 ,0)</f>
        <v/>
      </c>
      <c r="AE539" s="95">
        <f>IF(AND(SUMIFS($D$245:$D$595,$F$245:$F$595,0,$E$245:$E$595,$G539,$C$245:$C$595,"&lt;="&amp;AC$5)&lt;1000000,SUMIFS($D$245:$D$595,$F$245:$F$595,0,$E$245:$E$595,$G539,$C$245:$C$595,"&lt;="&amp;AE5)&gt;=1000000),SUMIFS($D$245:$D$595,$F$245:$F$595,0,$E$245:$E$595,$G539)*$C$157 ,0)</f>
        <v/>
      </c>
      <c r="AF539" s="19" t="n"/>
    </row>
    <row r="540">
      <c r="A540" s="20">
        <f>mid(E540, 3, 1)</f>
        <v/>
      </c>
      <c r="B540" s="14" t="inlineStr"/>
      <c r="C540" s="21">
        <f>SUMIFS('Investor Exit List'!$AC:$AC,'Investor Exit List'!$AB:$AB,B540)</f>
        <v/>
      </c>
      <c r="D540" s="14">
        <f>SUMIFS('Investor Exit List'!$Q:$Q,'Investor Exit List'!$AB:$AB,B540)</f>
        <v/>
      </c>
      <c r="E540" s="31">
        <f>LEFT(B540,6)</f>
        <v/>
      </c>
      <c r="F540" s="14">
        <f>IF(SUMIFS($E$119:$E$151,$D$119:$D$151,E540)&lt;&gt;0,E540,0)</f>
        <v/>
      </c>
      <c r="G540" s="59" t="n"/>
      <c r="I540" s="28">
        <f>IF(AND(SUMIFS($D$245:$D$595,$F$245:$F$595,0,$E$245:$E$595,$G540,$C$245:$C$595,"&lt;="&amp;B$2)&lt;1000000,SUMIFS($D$245:$D$595,$F$245:$F$595,0,$E$245:$E$595,$G540,$C$245:$C$595,"&lt;="&amp;I5)&gt;=1000000),SUMIFS($D$245:$D$595,$F$245:$F$595,0,$E$245:$E$595,$G540)*$C$157 ,0)</f>
        <v/>
      </c>
      <c r="K540" s="95">
        <f>IF(AND(SUMIFS($D$245:$D$595,$F$245:$F$595,0,$E$245:$E$595,$G540,$C$245:$C$595,"&lt;="&amp;I$5)&lt;1000000,SUMIFS($D$245:$D$595,$F$245:$F$595,0,$E$245:$E$595,$G540,$C$245:$C$595,"&lt;="&amp;K5)&gt;=1000000),SUMIFS($D$245:$D$595,$F$245:$F$595,0,$E$245:$E$595,$G540)*$C$157 ,0)</f>
        <v/>
      </c>
      <c r="M540" s="95">
        <f>IF(AND(SUMIFS($D$245:$D$595,$F$245:$F$595,0,$E$245:$E$595,$G540,$C$245:$C$595,"&lt;="&amp;K$5)&lt;1000000,SUMIFS($D$245:$D$595,$F$245:$F$595,0,$E$245:$E$595,$G540,$C$245:$C$595,"&lt;="&amp;M5)&gt;=1000000),SUMIFS($D$245:$D$595,$F$245:$F$595,0,$E$245:$E$595,$G540)*$C$157 ,0)</f>
        <v/>
      </c>
      <c r="O540" s="95">
        <f>IF(AND(SUMIFS($D$245:$D$595,$F$245:$F$595,0,$E$245:$E$595,$G540,$C$245:$C$595,"&lt;="&amp;M$5)&lt;1000000,SUMIFS($D$245:$D$595,$F$245:$F$595,0,$E$245:$E$595,$G540,$C$245:$C$595,"&lt;="&amp;O5)&gt;=1000000),SUMIFS($D$245:$D$595,$F$245:$F$595,0,$E$245:$E$595,$G540)*$C$157 ,0)</f>
        <v/>
      </c>
      <c r="Q540" s="95">
        <f>IF(AND(SUMIFS($D$245:$D$595,$F$245:$F$595,0,$E$245:$E$595,$G540,$C$245:$C$595,"&lt;="&amp;O$5)&lt;1000000,SUMIFS($D$245:$D$595,$F$245:$F$595,0,$E$245:$E$595,$G540,$C$245:$C$595,"&lt;="&amp;Q5)&gt;=1000000),SUMIFS($D$245:$D$595,$F$245:$F$595,0,$E$245:$E$595,$G540)*$C$157 ,0)</f>
        <v/>
      </c>
      <c r="S540" s="95">
        <f>IF(AND(SUMIFS($D$245:$D$595,$F$245:$F$595,0,$E$245:$E$595,$G540,$C$245:$C$595,"&lt;="&amp;Q$5)&lt;1000000,SUMIFS($D$245:$D$595,$F$245:$F$595,0,$E$245:$E$595,$G540,$C$245:$C$595,"&lt;="&amp;S5)&gt;=1000000),SUMIFS($D$245:$D$595,$F$245:$F$595,0,$E$245:$E$595,$G540)*$C$157 ,0)</f>
        <v/>
      </c>
      <c r="U540" s="95">
        <f>IF(AND(SUMIFS($D$245:$D$595,$F$245:$F$595,0,$E$245:$E$595,$G540,$C$245:$C$595,"&lt;="&amp;S$5)&lt;1000000,SUMIFS($D$245:$D$595,$F$245:$F$595,0,$E$245:$E$595,$G540,$C$245:$C$595,"&lt;="&amp;U5)&gt;=1000000),SUMIFS($D$245:$D$595,$F$245:$F$595,0,$E$245:$E$595,$G540)*$C$157 ,0)</f>
        <v/>
      </c>
      <c r="W540" s="95">
        <f>IF(AND(SUMIFS($D$245:$D$595,$F$245:$F$595,0,$E$245:$E$595,$G540,$C$245:$C$595,"&lt;="&amp;U$5)&lt;1000000,SUMIFS($D$245:$D$595,$F$245:$F$595,0,$E$245:$E$595,$G540,$C$245:$C$595,"&lt;="&amp;W5)&gt;=1000000),SUMIFS($D$245:$D$595,$F$245:$F$595,0,$E$245:$E$595,$G540)*$C$157 ,0)</f>
        <v/>
      </c>
      <c r="Y540" s="95">
        <f>IF(AND(SUMIFS($D$245:$D$595,$F$245:$F$595,0,$E$245:$E$595,$G540,$C$245:$C$595,"&lt;="&amp;W$5)&lt;1000000,SUMIFS($D$245:$D$595,$F$245:$F$595,0,$E$245:$E$595,$G540,$C$245:$C$595,"&lt;="&amp;Y5)&gt;=1000000),SUMIFS($D$245:$D$595,$F$245:$F$595,0,$E$245:$E$595,$G540)*$C$157 ,0)</f>
        <v/>
      </c>
      <c r="AA540" s="95">
        <f>IF(AND(SUMIFS($D$245:$D$595,$F$245:$F$595,0,$E$245:$E$595,$G540,$C$245:$C$595,"&lt;="&amp;Y$5)&lt;1000000,SUMIFS($D$245:$D$595,$F$245:$F$595,0,$E$245:$E$595,$G540,$C$245:$C$595,"&lt;="&amp;AA5)&gt;=1000000),SUMIFS($D$245:$D$595,$F$245:$F$595,0,$E$245:$E$595,$G540)*$C$157 ,0)</f>
        <v/>
      </c>
      <c r="AC540" s="95">
        <f>IF(AND(SUMIFS($D$245:$D$595,$F$245:$F$595,0,$E$245:$E$595,$G540,$C$245:$C$595,"&lt;="&amp;AA$5)&lt;1000000,SUMIFS($D$245:$D$595,$F$245:$F$595,0,$E$245:$E$595,$G540,$C$245:$C$595,"&lt;="&amp;AC5)&gt;=1000000),SUMIFS($D$245:$D$595,$F$245:$F$595,0,$E$245:$E$595,$G540)*$C$157 ,0)</f>
        <v/>
      </c>
      <c r="AE540" s="95">
        <f>IF(AND(SUMIFS($D$245:$D$595,$F$245:$F$595,0,$E$245:$E$595,$G540,$C$245:$C$595,"&lt;="&amp;AC$5)&lt;1000000,SUMIFS($D$245:$D$595,$F$245:$F$595,0,$E$245:$E$595,$G540,$C$245:$C$595,"&lt;="&amp;AE5)&gt;=1000000),SUMIFS($D$245:$D$595,$F$245:$F$595,0,$E$245:$E$595,$G540)*$C$157 ,0)</f>
        <v/>
      </c>
      <c r="AF540" s="19" t="n"/>
    </row>
    <row r="541">
      <c r="A541" s="20">
        <f>mid(E541, 3, 1)</f>
        <v/>
      </c>
      <c r="B541" s="14" t="inlineStr"/>
      <c r="C541" s="21">
        <f>SUMIFS('Investor Exit List'!$AC:$AC,'Investor Exit List'!$AB:$AB,B541)</f>
        <v/>
      </c>
      <c r="D541" s="14">
        <f>SUMIFS('Investor Exit List'!$Q:$Q,'Investor Exit List'!$AB:$AB,B541)</f>
        <v/>
      </c>
      <c r="E541" s="31">
        <f>LEFT(B541,6)</f>
        <v/>
      </c>
      <c r="F541" s="14">
        <f>IF(SUMIFS($E$119:$E$151,$D$119:$D$151,E541)&lt;&gt;0,E541,0)</f>
        <v/>
      </c>
      <c r="G541" s="59" t="n"/>
      <c r="I541" s="28">
        <f>IF(AND(SUMIFS($D$245:$D$595,$F$245:$F$595,0,$E$245:$E$595,$G541,$C$245:$C$595,"&lt;="&amp;B$2)&lt;1000000,SUMIFS($D$245:$D$595,$F$245:$F$595,0,$E$245:$E$595,$G541,$C$245:$C$595,"&lt;="&amp;I5)&gt;=1000000),SUMIFS($D$245:$D$595,$F$245:$F$595,0,$E$245:$E$595,$G541)*$C$157 ,0)</f>
        <v/>
      </c>
      <c r="K541" s="95">
        <f>IF(AND(SUMIFS($D$245:$D$595,$F$245:$F$595,0,$E$245:$E$595,$G541,$C$245:$C$595,"&lt;="&amp;I$5)&lt;1000000,SUMIFS($D$245:$D$595,$F$245:$F$595,0,$E$245:$E$595,$G541,$C$245:$C$595,"&lt;="&amp;K5)&gt;=1000000),SUMIFS($D$245:$D$595,$F$245:$F$595,0,$E$245:$E$595,$G541)*$C$157 ,0)</f>
        <v/>
      </c>
      <c r="M541" s="95">
        <f>IF(AND(SUMIFS($D$245:$D$595,$F$245:$F$595,0,$E$245:$E$595,$G541,$C$245:$C$595,"&lt;="&amp;K$5)&lt;1000000,SUMIFS($D$245:$D$595,$F$245:$F$595,0,$E$245:$E$595,$G541,$C$245:$C$595,"&lt;="&amp;M5)&gt;=1000000),SUMIFS($D$245:$D$595,$F$245:$F$595,0,$E$245:$E$595,$G541)*$C$157 ,0)</f>
        <v/>
      </c>
      <c r="O541" s="95">
        <f>IF(AND(SUMIFS($D$245:$D$595,$F$245:$F$595,0,$E$245:$E$595,$G541,$C$245:$C$595,"&lt;="&amp;M$5)&lt;1000000,SUMIFS($D$245:$D$595,$F$245:$F$595,0,$E$245:$E$595,$G541,$C$245:$C$595,"&lt;="&amp;O5)&gt;=1000000),SUMIFS($D$245:$D$595,$F$245:$F$595,0,$E$245:$E$595,$G541)*$C$157 ,0)</f>
        <v/>
      </c>
      <c r="Q541" s="95">
        <f>IF(AND(SUMIFS($D$245:$D$595,$F$245:$F$595,0,$E$245:$E$595,$G541,$C$245:$C$595,"&lt;="&amp;O$5)&lt;1000000,SUMIFS($D$245:$D$595,$F$245:$F$595,0,$E$245:$E$595,$G541,$C$245:$C$595,"&lt;="&amp;Q5)&gt;=1000000),SUMIFS($D$245:$D$595,$F$245:$F$595,0,$E$245:$E$595,$G541)*$C$157 ,0)</f>
        <v/>
      </c>
      <c r="S541" s="95">
        <f>IF(AND(SUMIFS($D$245:$D$595,$F$245:$F$595,0,$E$245:$E$595,$G541,$C$245:$C$595,"&lt;="&amp;Q$5)&lt;1000000,SUMIFS($D$245:$D$595,$F$245:$F$595,0,$E$245:$E$595,$G541,$C$245:$C$595,"&lt;="&amp;S5)&gt;=1000000),SUMIFS($D$245:$D$595,$F$245:$F$595,0,$E$245:$E$595,$G541)*$C$157 ,0)</f>
        <v/>
      </c>
      <c r="U541" s="95">
        <f>IF(AND(SUMIFS($D$245:$D$595,$F$245:$F$595,0,$E$245:$E$595,$G541,$C$245:$C$595,"&lt;="&amp;S$5)&lt;1000000,SUMIFS($D$245:$D$595,$F$245:$F$595,0,$E$245:$E$595,$G541,$C$245:$C$595,"&lt;="&amp;U5)&gt;=1000000),SUMIFS($D$245:$D$595,$F$245:$F$595,0,$E$245:$E$595,$G541)*$C$157 ,0)</f>
        <v/>
      </c>
      <c r="W541" s="95">
        <f>IF(AND(SUMIFS($D$245:$D$595,$F$245:$F$595,0,$E$245:$E$595,$G541,$C$245:$C$595,"&lt;="&amp;U$5)&lt;1000000,SUMIFS($D$245:$D$595,$F$245:$F$595,0,$E$245:$E$595,$G541,$C$245:$C$595,"&lt;="&amp;W5)&gt;=1000000),SUMIFS($D$245:$D$595,$F$245:$F$595,0,$E$245:$E$595,$G541)*$C$157 ,0)</f>
        <v/>
      </c>
      <c r="Y541" s="95">
        <f>IF(AND(SUMIFS($D$245:$D$595,$F$245:$F$595,0,$E$245:$E$595,$G541,$C$245:$C$595,"&lt;="&amp;W$5)&lt;1000000,SUMIFS($D$245:$D$595,$F$245:$F$595,0,$E$245:$E$595,$G541,$C$245:$C$595,"&lt;="&amp;Y5)&gt;=1000000),SUMIFS($D$245:$D$595,$F$245:$F$595,0,$E$245:$E$595,$G541)*$C$157 ,0)</f>
        <v/>
      </c>
      <c r="AA541" s="95">
        <f>IF(AND(SUMIFS($D$245:$D$595,$F$245:$F$595,0,$E$245:$E$595,$G541,$C$245:$C$595,"&lt;="&amp;Y$5)&lt;1000000,SUMIFS($D$245:$D$595,$F$245:$F$595,0,$E$245:$E$595,$G541,$C$245:$C$595,"&lt;="&amp;AA5)&gt;=1000000),SUMIFS($D$245:$D$595,$F$245:$F$595,0,$E$245:$E$595,$G541)*$C$157 ,0)</f>
        <v/>
      </c>
      <c r="AC541" s="95">
        <f>IF(AND(SUMIFS($D$245:$D$595,$F$245:$F$595,0,$E$245:$E$595,$G541,$C$245:$C$595,"&lt;="&amp;AA$5)&lt;1000000,SUMIFS($D$245:$D$595,$F$245:$F$595,0,$E$245:$E$595,$G541,$C$245:$C$595,"&lt;="&amp;AC5)&gt;=1000000),SUMIFS($D$245:$D$595,$F$245:$F$595,0,$E$245:$E$595,$G541)*$C$157 ,0)</f>
        <v/>
      </c>
      <c r="AE541" s="95">
        <f>IF(AND(SUMIFS($D$245:$D$595,$F$245:$F$595,0,$E$245:$E$595,$G541,$C$245:$C$595,"&lt;="&amp;AC$5)&lt;1000000,SUMIFS($D$245:$D$595,$F$245:$F$595,0,$E$245:$E$595,$G541,$C$245:$C$595,"&lt;="&amp;AE5)&gt;=1000000),SUMIFS($D$245:$D$595,$F$245:$F$595,0,$E$245:$E$595,$G541)*$C$157 ,0)</f>
        <v/>
      </c>
      <c r="AF541" s="19" t="n"/>
    </row>
    <row r="542">
      <c r="A542" s="20">
        <f>mid(E542, 3, 1)</f>
        <v/>
      </c>
      <c r="B542" s="14" t="inlineStr"/>
      <c r="C542" s="21">
        <f>SUMIFS('Investor Exit List'!$AC:$AC,'Investor Exit List'!$AB:$AB,B542)</f>
        <v/>
      </c>
      <c r="D542" s="14">
        <f>SUMIFS('Investor Exit List'!$Q:$Q,'Investor Exit List'!$AB:$AB,B542)</f>
        <v/>
      </c>
      <c r="E542" s="31">
        <f>LEFT(B542,6)</f>
        <v/>
      </c>
      <c r="F542" s="14">
        <f>IF(SUMIFS($E$119:$E$151,$D$119:$D$151,E542)&lt;&gt;0,E542,0)</f>
        <v/>
      </c>
      <c r="G542" s="59" t="n"/>
      <c r="I542" s="28">
        <f>IF(AND(SUMIFS($D$245:$D$595,$F$245:$F$595,0,$E$245:$E$595,$G542,$C$245:$C$595,"&lt;="&amp;B$2)&lt;1000000,SUMIFS($D$245:$D$595,$F$245:$F$595,0,$E$245:$E$595,$G542,$C$245:$C$595,"&lt;="&amp;I5)&gt;=1000000),SUMIFS($D$245:$D$595,$F$245:$F$595,0,$E$245:$E$595,$G542)*$C$157 ,0)</f>
        <v/>
      </c>
      <c r="K542" s="95">
        <f>IF(AND(SUMIFS($D$245:$D$595,$F$245:$F$595,0,$E$245:$E$595,$G542,$C$245:$C$595,"&lt;="&amp;I$5)&lt;1000000,SUMIFS($D$245:$D$595,$F$245:$F$595,0,$E$245:$E$595,$G542,$C$245:$C$595,"&lt;="&amp;K5)&gt;=1000000),SUMIFS($D$245:$D$595,$F$245:$F$595,0,$E$245:$E$595,$G542)*$C$157 ,0)</f>
        <v/>
      </c>
      <c r="M542" s="95">
        <f>IF(AND(SUMIFS($D$245:$D$595,$F$245:$F$595,0,$E$245:$E$595,$G542,$C$245:$C$595,"&lt;="&amp;K$5)&lt;1000000,SUMIFS($D$245:$D$595,$F$245:$F$595,0,$E$245:$E$595,$G542,$C$245:$C$595,"&lt;="&amp;M5)&gt;=1000000),SUMIFS($D$245:$D$595,$F$245:$F$595,0,$E$245:$E$595,$G542)*$C$157 ,0)</f>
        <v/>
      </c>
      <c r="O542" s="95">
        <f>IF(AND(SUMIFS($D$245:$D$595,$F$245:$F$595,0,$E$245:$E$595,$G542,$C$245:$C$595,"&lt;="&amp;M$5)&lt;1000000,SUMIFS($D$245:$D$595,$F$245:$F$595,0,$E$245:$E$595,$G542,$C$245:$C$595,"&lt;="&amp;O5)&gt;=1000000),SUMIFS($D$245:$D$595,$F$245:$F$595,0,$E$245:$E$595,$G542)*$C$157 ,0)</f>
        <v/>
      </c>
      <c r="Q542" s="95">
        <f>IF(AND(SUMIFS($D$245:$D$595,$F$245:$F$595,0,$E$245:$E$595,$G542,$C$245:$C$595,"&lt;="&amp;O$5)&lt;1000000,SUMIFS($D$245:$D$595,$F$245:$F$595,0,$E$245:$E$595,$G542,$C$245:$C$595,"&lt;="&amp;Q5)&gt;=1000000),SUMIFS($D$245:$D$595,$F$245:$F$595,0,$E$245:$E$595,$G542)*$C$157 ,0)</f>
        <v/>
      </c>
      <c r="S542" s="95">
        <f>IF(AND(SUMIFS($D$245:$D$595,$F$245:$F$595,0,$E$245:$E$595,$G542,$C$245:$C$595,"&lt;="&amp;Q$5)&lt;1000000,SUMIFS($D$245:$D$595,$F$245:$F$595,0,$E$245:$E$595,$G542,$C$245:$C$595,"&lt;="&amp;S5)&gt;=1000000),SUMIFS($D$245:$D$595,$F$245:$F$595,0,$E$245:$E$595,$G542)*$C$157 ,0)</f>
        <v/>
      </c>
      <c r="U542" s="95">
        <f>IF(AND(SUMIFS($D$245:$D$595,$F$245:$F$595,0,$E$245:$E$595,$G542,$C$245:$C$595,"&lt;="&amp;S$5)&lt;1000000,SUMIFS($D$245:$D$595,$F$245:$F$595,0,$E$245:$E$595,$G542,$C$245:$C$595,"&lt;="&amp;U5)&gt;=1000000),SUMIFS($D$245:$D$595,$F$245:$F$595,0,$E$245:$E$595,$G542)*$C$157 ,0)</f>
        <v/>
      </c>
      <c r="W542" s="95">
        <f>IF(AND(SUMIFS($D$245:$D$595,$F$245:$F$595,0,$E$245:$E$595,$G542,$C$245:$C$595,"&lt;="&amp;U$5)&lt;1000000,SUMIFS($D$245:$D$595,$F$245:$F$595,0,$E$245:$E$595,$G542,$C$245:$C$595,"&lt;="&amp;W5)&gt;=1000000),SUMIFS($D$245:$D$595,$F$245:$F$595,0,$E$245:$E$595,$G542)*$C$157 ,0)</f>
        <v/>
      </c>
      <c r="Y542" s="95">
        <f>IF(AND(SUMIFS($D$245:$D$595,$F$245:$F$595,0,$E$245:$E$595,$G542,$C$245:$C$595,"&lt;="&amp;W$5)&lt;1000000,SUMIFS($D$245:$D$595,$F$245:$F$595,0,$E$245:$E$595,$G542,$C$245:$C$595,"&lt;="&amp;Y5)&gt;=1000000),SUMIFS($D$245:$D$595,$F$245:$F$595,0,$E$245:$E$595,$G542)*$C$157 ,0)</f>
        <v/>
      </c>
      <c r="AA542" s="95">
        <f>IF(AND(SUMIFS($D$245:$D$595,$F$245:$F$595,0,$E$245:$E$595,$G542,$C$245:$C$595,"&lt;="&amp;Y$5)&lt;1000000,SUMIFS($D$245:$D$595,$F$245:$F$595,0,$E$245:$E$595,$G542,$C$245:$C$595,"&lt;="&amp;AA5)&gt;=1000000),SUMIFS($D$245:$D$595,$F$245:$F$595,0,$E$245:$E$595,$G542)*$C$157 ,0)</f>
        <v/>
      </c>
      <c r="AC542" s="95">
        <f>IF(AND(SUMIFS($D$245:$D$595,$F$245:$F$595,0,$E$245:$E$595,$G542,$C$245:$C$595,"&lt;="&amp;AA$5)&lt;1000000,SUMIFS($D$245:$D$595,$F$245:$F$595,0,$E$245:$E$595,$G542,$C$245:$C$595,"&lt;="&amp;AC5)&gt;=1000000),SUMIFS($D$245:$D$595,$F$245:$F$595,0,$E$245:$E$595,$G542)*$C$157 ,0)</f>
        <v/>
      </c>
      <c r="AE542" s="95">
        <f>IF(AND(SUMIFS($D$245:$D$595,$F$245:$F$595,0,$E$245:$E$595,$G542,$C$245:$C$595,"&lt;="&amp;AC$5)&lt;1000000,SUMIFS($D$245:$D$595,$F$245:$F$595,0,$E$245:$E$595,$G542,$C$245:$C$595,"&lt;="&amp;AE5)&gt;=1000000),SUMIFS($D$245:$D$595,$F$245:$F$595,0,$E$245:$E$595,$G542)*$C$157 ,0)</f>
        <v/>
      </c>
      <c r="AF542" s="19" t="n"/>
    </row>
    <row r="543">
      <c r="A543" s="20">
        <f>mid(E543, 3, 1)</f>
        <v/>
      </c>
      <c r="B543" s="14" t="inlineStr"/>
      <c r="C543" s="21">
        <f>SUMIFS('Investor Exit List'!$AC:$AC,'Investor Exit List'!$AB:$AB,B543)</f>
        <v/>
      </c>
      <c r="D543" s="14">
        <f>SUMIFS('Investor Exit List'!$Q:$Q,'Investor Exit List'!$AB:$AB,B543)</f>
        <v/>
      </c>
      <c r="E543" s="31">
        <f>LEFT(B543,6)</f>
        <v/>
      </c>
      <c r="F543" s="14">
        <f>IF(SUMIFS($E$119:$E$151,$D$119:$D$151,E543)&lt;&gt;0,E543,0)</f>
        <v/>
      </c>
      <c r="G543" s="59" t="n"/>
      <c r="I543" s="28">
        <f>IF(AND(SUMIFS($D$245:$D$595,$F$245:$F$595,0,$E$245:$E$595,$G543,$C$245:$C$595,"&lt;="&amp;B$2)&lt;1000000,SUMIFS($D$245:$D$595,$F$245:$F$595,0,$E$245:$E$595,$G543,$C$245:$C$595,"&lt;="&amp;I5)&gt;=1000000),SUMIFS($D$245:$D$595,$F$245:$F$595,0,$E$245:$E$595,$G543)*$C$157 ,0)</f>
        <v/>
      </c>
      <c r="K543" s="95">
        <f>IF(AND(SUMIFS($D$245:$D$595,$F$245:$F$595,0,$E$245:$E$595,$G543,$C$245:$C$595,"&lt;="&amp;I$5)&lt;1000000,SUMIFS($D$245:$D$595,$F$245:$F$595,0,$E$245:$E$595,$G543,$C$245:$C$595,"&lt;="&amp;K5)&gt;=1000000),SUMIFS($D$245:$D$595,$F$245:$F$595,0,$E$245:$E$595,$G543)*$C$157 ,0)</f>
        <v/>
      </c>
      <c r="M543" s="95">
        <f>IF(AND(SUMIFS($D$245:$D$595,$F$245:$F$595,0,$E$245:$E$595,$G543,$C$245:$C$595,"&lt;="&amp;K$5)&lt;1000000,SUMIFS($D$245:$D$595,$F$245:$F$595,0,$E$245:$E$595,$G543,$C$245:$C$595,"&lt;="&amp;M5)&gt;=1000000),SUMIFS($D$245:$D$595,$F$245:$F$595,0,$E$245:$E$595,$G543)*$C$157 ,0)</f>
        <v/>
      </c>
      <c r="O543" s="95">
        <f>IF(AND(SUMIFS($D$245:$D$595,$F$245:$F$595,0,$E$245:$E$595,$G543,$C$245:$C$595,"&lt;="&amp;M$5)&lt;1000000,SUMIFS($D$245:$D$595,$F$245:$F$595,0,$E$245:$E$595,$G543,$C$245:$C$595,"&lt;="&amp;O5)&gt;=1000000),SUMIFS($D$245:$D$595,$F$245:$F$595,0,$E$245:$E$595,$G543)*$C$157 ,0)</f>
        <v/>
      </c>
      <c r="Q543" s="95">
        <f>IF(AND(SUMIFS($D$245:$D$595,$F$245:$F$595,0,$E$245:$E$595,$G543,$C$245:$C$595,"&lt;="&amp;O$5)&lt;1000000,SUMIFS($D$245:$D$595,$F$245:$F$595,0,$E$245:$E$595,$G543,$C$245:$C$595,"&lt;="&amp;Q5)&gt;=1000000),SUMIFS($D$245:$D$595,$F$245:$F$595,0,$E$245:$E$595,$G543)*$C$157 ,0)</f>
        <v/>
      </c>
      <c r="S543" s="95">
        <f>IF(AND(SUMIFS($D$245:$D$595,$F$245:$F$595,0,$E$245:$E$595,$G543,$C$245:$C$595,"&lt;="&amp;Q$5)&lt;1000000,SUMIFS($D$245:$D$595,$F$245:$F$595,0,$E$245:$E$595,$G543,$C$245:$C$595,"&lt;="&amp;S5)&gt;=1000000),SUMIFS($D$245:$D$595,$F$245:$F$595,0,$E$245:$E$595,$G543)*$C$157 ,0)</f>
        <v/>
      </c>
      <c r="U543" s="95">
        <f>IF(AND(SUMIFS($D$245:$D$595,$F$245:$F$595,0,$E$245:$E$595,$G543,$C$245:$C$595,"&lt;="&amp;S$5)&lt;1000000,SUMIFS($D$245:$D$595,$F$245:$F$595,0,$E$245:$E$595,$G543,$C$245:$C$595,"&lt;="&amp;U5)&gt;=1000000),SUMIFS($D$245:$D$595,$F$245:$F$595,0,$E$245:$E$595,$G543)*$C$157 ,0)</f>
        <v/>
      </c>
      <c r="W543" s="95">
        <f>IF(AND(SUMIFS($D$245:$D$595,$F$245:$F$595,0,$E$245:$E$595,$G543,$C$245:$C$595,"&lt;="&amp;U$5)&lt;1000000,SUMIFS($D$245:$D$595,$F$245:$F$595,0,$E$245:$E$595,$G543,$C$245:$C$595,"&lt;="&amp;W5)&gt;=1000000),SUMIFS($D$245:$D$595,$F$245:$F$595,0,$E$245:$E$595,$G543)*$C$157 ,0)</f>
        <v/>
      </c>
      <c r="Y543" s="95">
        <f>IF(AND(SUMIFS($D$245:$D$595,$F$245:$F$595,0,$E$245:$E$595,$G543,$C$245:$C$595,"&lt;="&amp;W$5)&lt;1000000,SUMIFS($D$245:$D$595,$F$245:$F$595,0,$E$245:$E$595,$G543,$C$245:$C$595,"&lt;="&amp;Y5)&gt;=1000000),SUMIFS($D$245:$D$595,$F$245:$F$595,0,$E$245:$E$595,$G543)*$C$157 ,0)</f>
        <v/>
      </c>
      <c r="AA543" s="95">
        <f>IF(AND(SUMIFS($D$245:$D$595,$F$245:$F$595,0,$E$245:$E$595,$G543,$C$245:$C$595,"&lt;="&amp;Y$5)&lt;1000000,SUMIFS($D$245:$D$595,$F$245:$F$595,0,$E$245:$E$595,$G543,$C$245:$C$595,"&lt;="&amp;AA5)&gt;=1000000),SUMIFS($D$245:$D$595,$F$245:$F$595,0,$E$245:$E$595,$G543)*$C$157 ,0)</f>
        <v/>
      </c>
      <c r="AC543" s="95">
        <f>IF(AND(SUMIFS($D$245:$D$595,$F$245:$F$595,0,$E$245:$E$595,$G543,$C$245:$C$595,"&lt;="&amp;AA$5)&lt;1000000,SUMIFS($D$245:$D$595,$F$245:$F$595,0,$E$245:$E$595,$G543,$C$245:$C$595,"&lt;="&amp;AC5)&gt;=1000000),SUMIFS($D$245:$D$595,$F$245:$F$595,0,$E$245:$E$595,$G543)*$C$157 ,0)</f>
        <v/>
      </c>
      <c r="AE543" s="95">
        <f>IF(AND(SUMIFS($D$245:$D$595,$F$245:$F$595,0,$E$245:$E$595,$G543,$C$245:$C$595,"&lt;="&amp;AC$5)&lt;1000000,SUMIFS($D$245:$D$595,$F$245:$F$595,0,$E$245:$E$595,$G543,$C$245:$C$595,"&lt;="&amp;AE5)&gt;=1000000),SUMIFS($D$245:$D$595,$F$245:$F$595,0,$E$245:$E$595,$G543)*$C$157 ,0)</f>
        <v/>
      </c>
      <c r="AF543" s="19" t="n"/>
    </row>
    <row r="544">
      <c r="A544" s="20">
        <f>mid(E544, 3, 1)</f>
        <v/>
      </c>
      <c r="B544" s="14" t="inlineStr"/>
      <c r="C544" s="21">
        <f>SUMIFS('Investor Exit List'!$AC:$AC,'Investor Exit List'!$AB:$AB,B544)</f>
        <v/>
      </c>
      <c r="D544" s="14">
        <f>SUMIFS('Investor Exit List'!$Q:$Q,'Investor Exit List'!$AB:$AB,B544)</f>
        <v/>
      </c>
      <c r="E544" s="31">
        <f>LEFT(B544,6)</f>
        <v/>
      </c>
      <c r="F544" s="14">
        <f>IF(SUMIFS($E$119:$E$151,$D$119:$D$151,E544)&lt;&gt;0,E544,0)</f>
        <v/>
      </c>
      <c r="G544" s="59" t="n"/>
      <c r="I544" s="28">
        <f>IF(AND(SUMIFS($D$245:$D$595,$F$245:$F$595,0,$E$245:$E$595,$G544,$C$245:$C$595,"&lt;="&amp;B$2)&lt;1000000,SUMIFS($D$245:$D$595,$F$245:$F$595,0,$E$245:$E$595,$G544,$C$245:$C$595,"&lt;="&amp;I5)&gt;=1000000),SUMIFS($D$245:$D$595,$F$245:$F$595,0,$E$245:$E$595,$G544)*$C$157 ,0)</f>
        <v/>
      </c>
      <c r="K544" s="95">
        <f>IF(AND(SUMIFS($D$245:$D$595,$F$245:$F$595,0,$E$245:$E$595,$G544,$C$245:$C$595,"&lt;="&amp;I$5)&lt;1000000,SUMIFS($D$245:$D$595,$F$245:$F$595,0,$E$245:$E$595,$G544,$C$245:$C$595,"&lt;="&amp;K5)&gt;=1000000),SUMIFS($D$245:$D$595,$F$245:$F$595,0,$E$245:$E$595,$G544)*$C$157 ,0)</f>
        <v/>
      </c>
      <c r="M544" s="95">
        <f>IF(AND(SUMIFS($D$245:$D$595,$F$245:$F$595,0,$E$245:$E$595,$G544,$C$245:$C$595,"&lt;="&amp;K$5)&lt;1000000,SUMIFS($D$245:$D$595,$F$245:$F$595,0,$E$245:$E$595,$G544,$C$245:$C$595,"&lt;="&amp;M5)&gt;=1000000),SUMIFS($D$245:$D$595,$F$245:$F$595,0,$E$245:$E$595,$G544)*$C$157 ,0)</f>
        <v/>
      </c>
      <c r="O544" s="95">
        <f>IF(AND(SUMIFS($D$245:$D$595,$F$245:$F$595,0,$E$245:$E$595,$G544,$C$245:$C$595,"&lt;="&amp;M$5)&lt;1000000,SUMIFS($D$245:$D$595,$F$245:$F$595,0,$E$245:$E$595,$G544,$C$245:$C$595,"&lt;="&amp;O5)&gt;=1000000),SUMIFS($D$245:$D$595,$F$245:$F$595,0,$E$245:$E$595,$G544)*$C$157 ,0)</f>
        <v/>
      </c>
      <c r="Q544" s="95">
        <f>IF(AND(SUMIFS($D$245:$D$595,$F$245:$F$595,0,$E$245:$E$595,$G544,$C$245:$C$595,"&lt;="&amp;O$5)&lt;1000000,SUMIFS($D$245:$D$595,$F$245:$F$595,0,$E$245:$E$595,$G544,$C$245:$C$595,"&lt;="&amp;Q5)&gt;=1000000),SUMIFS($D$245:$D$595,$F$245:$F$595,0,$E$245:$E$595,$G544)*$C$157 ,0)</f>
        <v/>
      </c>
      <c r="S544" s="95">
        <f>IF(AND(SUMIFS($D$245:$D$595,$F$245:$F$595,0,$E$245:$E$595,$G544,$C$245:$C$595,"&lt;="&amp;Q$5)&lt;1000000,SUMIFS($D$245:$D$595,$F$245:$F$595,0,$E$245:$E$595,$G544,$C$245:$C$595,"&lt;="&amp;S5)&gt;=1000000),SUMIFS($D$245:$D$595,$F$245:$F$595,0,$E$245:$E$595,$G544)*$C$157 ,0)</f>
        <v/>
      </c>
      <c r="U544" s="95">
        <f>IF(AND(SUMIFS($D$245:$D$595,$F$245:$F$595,0,$E$245:$E$595,$G544,$C$245:$C$595,"&lt;="&amp;S$5)&lt;1000000,SUMIFS($D$245:$D$595,$F$245:$F$595,0,$E$245:$E$595,$G544,$C$245:$C$595,"&lt;="&amp;U5)&gt;=1000000),SUMIFS($D$245:$D$595,$F$245:$F$595,0,$E$245:$E$595,$G544)*$C$157 ,0)</f>
        <v/>
      </c>
      <c r="W544" s="95">
        <f>IF(AND(SUMIFS($D$245:$D$595,$F$245:$F$595,0,$E$245:$E$595,$G544,$C$245:$C$595,"&lt;="&amp;U$5)&lt;1000000,SUMIFS($D$245:$D$595,$F$245:$F$595,0,$E$245:$E$595,$G544,$C$245:$C$595,"&lt;="&amp;W5)&gt;=1000000),SUMIFS($D$245:$D$595,$F$245:$F$595,0,$E$245:$E$595,$G544)*$C$157 ,0)</f>
        <v/>
      </c>
      <c r="Y544" s="95">
        <f>IF(AND(SUMIFS($D$245:$D$595,$F$245:$F$595,0,$E$245:$E$595,$G544,$C$245:$C$595,"&lt;="&amp;W$5)&lt;1000000,SUMIFS($D$245:$D$595,$F$245:$F$595,0,$E$245:$E$595,$G544,$C$245:$C$595,"&lt;="&amp;Y5)&gt;=1000000),SUMIFS($D$245:$D$595,$F$245:$F$595,0,$E$245:$E$595,$G544)*$C$157 ,0)</f>
        <v/>
      </c>
      <c r="AA544" s="95">
        <f>IF(AND(SUMIFS($D$245:$D$595,$F$245:$F$595,0,$E$245:$E$595,$G544,$C$245:$C$595,"&lt;="&amp;Y$5)&lt;1000000,SUMIFS($D$245:$D$595,$F$245:$F$595,0,$E$245:$E$595,$G544,$C$245:$C$595,"&lt;="&amp;AA5)&gt;=1000000),SUMIFS($D$245:$D$595,$F$245:$F$595,0,$E$245:$E$595,$G544)*$C$157 ,0)</f>
        <v/>
      </c>
      <c r="AC544" s="95">
        <f>IF(AND(SUMIFS($D$245:$D$595,$F$245:$F$595,0,$E$245:$E$595,$G544,$C$245:$C$595,"&lt;="&amp;AA$5)&lt;1000000,SUMIFS($D$245:$D$595,$F$245:$F$595,0,$E$245:$E$595,$G544,$C$245:$C$595,"&lt;="&amp;AC5)&gt;=1000000),SUMIFS($D$245:$D$595,$F$245:$F$595,0,$E$245:$E$595,$G544)*$C$157 ,0)</f>
        <v/>
      </c>
      <c r="AE544" s="95">
        <f>IF(AND(SUMIFS($D$245:$D$595,$F$245:$F$595,0,$E$245:$E$595,$G544,$C$245:$C$595,"&lt;="&amp;AC$5)&lt;1000000,SUMIFS($D$245:$D$595,$F$245:$F$595,0,$E$245:$E$595,$G544,$C$245:$C$595,"&lt;="&amp;AE5)&gt;=1000000),SUMIFS($D$245:$D$595,$F$245:$F$595,0,$E$245:$E$595,$G544)*$C$157 ,0)</f>
        <v/>
      </c>
      <c r="AF544" s="19" t="n"/>
    </row>
    <row r="545">
      <c r="A545" s="20">
        <f>mid(E545, 3, 1)</f>
        <v/>
      </c>
      <c r="B545" s="14" t="inlineStr"/>
      <c r="C545" s="21">
        <f>SUMIFS('Investor Exit List'!$AC:$AC,'Investor Exit List'!$AB:$AB,B545)</f>
        <v/>
      </c>
      <c r="D545" s="14">
        <f>SUMIFS('Investor Exit List'!$Q:$Q,'Investor Exit List'!$AB:$AB,B545)</f>
        <v/>
      </c>
      <c r="E545" s="31">
        <f>LEFT(B545,6)</f>
        <v/>
      </c>
      <c r="F545" s="14">
        <f>IF(SUMIFS($E$119:$E$151,$D$119:$D$151,E545)&lt;&gt;0,E545,0)</f>
        <v/>
      </c>
      <c r="G545" s="59" t="n"/>
      <c r="I545" s="28">
        <f>IF(AND(SUMIFS($D$245:$D$595,$F$245:$F$595,0,$E$245:$E$595,$G545,$C$245:$C$595,"&lt;="&amp;B$2)&lt;1000000,SUMIFS($D$245:$D$595,$F$245:$F$595,0,$E$245:$E$595,$G545,$C$245:$C$595,"&lt;="&amp;I5)&gt;=1000000),SUMIFS($D$245:$D$595,$F$245:$F$595,0,$E$245:$E$595,$G545)*$C$157 ,0)</f>
        <v/>
      </c>
      <c r="K545" s="95">
        <f>IF(AND(SUMIFS($D$245:$D$595,$F$245:$F$595,0,$E$245:$E$595,$G545,$C$245:$C$595,"&lt;="&amp;I$5)&lt;1000000,SUMIFS($D$245:$D$595,$F$245:$F$595,0,$E$245:$E$595,$G545,$C$245:$C$595,"&lt;="&amp;K5)&gt;=1000000),SUMIFS($D$245:$D$595,$F$245:$F$595,0,$E$245:$E$595,$G545)*$C$157 ,0)</f>
        <v/>
      </c>
      <c r="M545" s="95">
        <f>IF(AND(SUMIFS($D$245:$D$595,$F$245:$F$595,0,$E$245:$E$595,$G545,$C$245:$C$595,"&lt;="&amp;K$5)&lt;1000000,SUMIFS($D$245:$D$595,$F$245:$F$595,0,$E$245:$E$595,$G545,$C$245:$C$595,"&lt;="&amp;M5)&gt;=1000000),SUMIFS($D$245:$D$595,$F$245:$F$595,0,$E$245:$E$595,$G545)*$C$157 ,0)</f>
        <v/>
      </c>
      <c r="O545" s="95">
        <f>IF(AND(SUMIFS($D$245:$D$595,$F$245:$F$595,0,$E$245:$E$595,$G545,$C$245:$C$595,"&lt;="&amp;M$5)&lt;1000000,SUMIFS($D$245:$D$595,$F$245:$F$595,0,$E$245:$E$595,$G545,$C$245:$C$595,"&lt;="&amp;O5)&gt;=1000000),SUMIFS($D$245:$D$595,$F$245:$F$595,0,$E$245:$E$595,$G545)*$C$157 ,0)</f>
        <v/>
      </c>
      <c r="Q545" s="95">
        <f>IF(AND(SUMIFS($D$245:$D$595,$F$245:$F$595,0,$E$245:$E$595,$G545,$C$245:$C$595,"&lt;="&amp;O$5)&lt;1000000,SUMIFS($D$245:$D$595,$F$245:$F$595,0,$E$245:$E$595,$G545,$C$245:$C$595,"&lt;="&amp;Q5)&gt;=1000000),SUMIFS($D$245:$D$595,$F$245:$F$595,0,$E$245:$E$595,$G545)*$C$157 ,0)</f>
        <v/>
      </c>
      <c r="S545" s="95">
        <f>IF(AND(SUMIFS($D$245:$D$595,$F$245:$F$595,0,$E$245:$E$595,$G545,$C$245:$C$595,"&lt;="&amp;Q$5)&lt;1000000,SUMIFS($D$245:$D$595,$F$245:$F$595,0,$E$245:$E$595,$G545,$C$245:$C$595,"&lt;="&amp;S5)&gt;=1000000),SUMIFS($D$245:$D$595,$F$245:$F$595,0,$E$245:$E$595,$G545)*$C$157 ,0)</f>
        <v/>
      </c>
      <c r="U545" s="95">
        <f>IF(AND(SUMIFS($D$245:$D$595,$F$245:$F$595,0,$E$245:$E$595,$G545,$C$245:$C$595,"&lt;="&amp;S$5)&lt;1000000,SUMIFS($D$245:$D$595,$F$245:$F$595,0,$E$245:$E$595,$G545,$C$245:$C$595,"&lt;="&amp;U5)&gt;=1000000),SUMIFS($D$245:$D$595,$F$245:$F$595,0,$E$245:$E$595,$G545)*$C$157 ,0)</f>
        <v/>
      </c>
      <c r="W545" s="95">
        <f>IF(AND(SUMIFS($D$245:$D$595,$F$245:$F$595,0,$E$245:$E$595,$G545,$C$245:$C$595,"&lt;="&amp;U$5)&lt;1000000,SUMIFS($D$245:$D$595,$F$245:$F$595,0,$E$245:$E$595,$G545,$C$245:$C$595,"&lt;="&amp;W5)&gt;=1000000),SUMIFS($D$245:$D$595,$F$245:$F$595,0,$E$245:$E$595,$G545)*$C$157 ,0)</f>
        <v/>
      </c>
      <c r="Y545" s="95">
        <f>IF(AND(SUMIFS($D$245:$D$595,$F$245:$F$595,0,$E$245:$E$595,$G545,$C$245:$C$595,"&lt;="&amp;W$5)&lt;1000000,SUMIFS($D$245:$D$595,$F$245:$F$595,0,$E$245:$E$595,$G545,$C$245:$C$595,"&lt;="&amp;Y5)&gt;=1000000),SUMIFS($D$245:$D$595,$F$245:$F$595,0,$E$245:$E$595,$G545)*$C$157 ,0)</f>
        <v/>
      </c>
      <c r="AA545" s="95">
        <f>IF(AND(SUMIFS($D$245:$D$595,$F$245:$F$595,0,$E$245:$E$595,$G545,$C$245:$C$595,"&lt;="&amp;Y$5)&lt;1000000,SUMIFS($D$245:$D$595,$F$245:$F$595,0,$E$245:$E$595,$G545,$C$245:$C$595,"&lt;="&amp;AA5)&gt;=1000000),SUMIFS($D$245:$D$595,$F$245:$F$595,0,$E$245:$E$595,$G545)*$C$157 ,0)</f>
        <v/>
      </c>
      <c r="AC545" s="95">
        <f>IF(AND(SUMIFS($D$245:$D$595,$F$245:$F$595,0,$E$245:$E$595,$G545,$C$245:$C$595,"&lt;="&amp;AA$5)&lt;1000000,SUMIFS($D$245:$D$595,$F$245:$F$595,0,$E$245:$E$595,$G545,$C$245:$C$595,"&lt;="&amp;AC5)&gt;=1000000),SUMIFS($D$245:$D$595,$F$245:$F$595,0,$E$245:$E$595,$G545)*$C$157 ,0)</f>
        <v/>
      </c>
      <c r="AE545" s="95">
        <f>IF(AND(SUMIFS($D$245:$D$595,$F$245:$F$595,0,$E$245:$E$595,$G545,$C$245:$C$595,"&lt;="&amp;AC$5)&lt;1000000,SUMIFS($D$245:$D$595,$F$245:$F$595,0,$E$245:$E$595,$G545,$C$245:$C$595,"&lt;="&amp;AE5)&gt;=1000000),SUMIFS($D$245:$D$595,$F$245:$F$595,0,$E$245:$E$595,$G545)*$C$157 ,0)</f>
        <v/>
      </c>
      <c r="AF545" s="19" t="n"/>
    </row>
    <row r="546">
      <c r="A546" s="20">
        <f>mid(E546, 3, 1)</f>
        <v/>
      </c>
      <c r="B546" s="14" t="inlineStr"/>
      <c r="C546" s="21">
        <f>SUMIFS('Investor Exit List'!$AC:$AC,'Investor Exit List'!$AB:$AB,B546)</f>
        <v/>
      </c>
      <c r="D546" s="14">
        <f>SUMIFS('Investor Exit List'!$Q:$Q,'Investor Exit List'!$AB:$AB,B546)</f>
        <v/>
      </c>
      <c r="E546" s="31">
        <f>LEFT(B546,6)</f>
        <v/>
      </c>
      <c r="F546" s="14">
        <f>IF(SUMIFS($E$119:$E$151,$D$119:$D$151,E546)&lt;&gt;0,E546,0)</f>
        <v/>
      </c>
      <c r="G546" s="59" t="n"/>
      <c r="I546" s="28">
        <f>IF(AND(SUMIFS($D$245:$D$595,$F$245:$F$595,0,$E$245:$E$595,$G546,$C$245:$C$595,"&lt;="&amp;B$2)&lt;1000000,SUMIFS($D$245:$D$595,$F$245:$F$595,0,$E$245:$E$595,$G546,$C$245:$C$595,"&lt;="&amp;I5)&gt;=1000000),SUMIFS($D$245:$D$595,$F$245:$F$595,0,$E$245:$E$595,$G546)*$C$157 ,0)</f>
        <v/>
      </c>
      <c r="K546" s="95">
        <f>IF(AND(SUMIFS($D$245:$D$595,$F$245:$F$595,0,$E$245:$E$595,$G546,$C$245:$C$595,"&lt;="&amp;I$5)&lt;1000000,SUMIFS($D$245:$D$595,$F$245:$F$595,0,$E$245:$E$595,$G546,$C$245:$C$595,"&lt;="&amp;K5)&gt;=1000000),SUMIFS($D$245:$D$595,$F$245:$F$595,0,$E$245:$E$595,$G546)*$C$157 ,0)</f>
        <v/>
      </c>
      <c r="M546" s="95">
        <f>IF(AND(SUMIFS($D$245:$D$595,$F$245:$F$595,0,$E$245:$E$595,$G546,$C$245:$C$595,"&lt;="&amp;K$5)&lt;1000000,SUMIFS($D$245:$D$595,$F$245:$F$595,0,$E$245:$E$595,$G546,$C$245:$C$595,"&lt;="&amp;M5)&gt;=1000000),SUMIFS($D$245:$D$595,$F$245:$F$595,0,$E$245:$E$595,$G546)*$C$157 ,0)</f>
        <v/>
      </c>
      <c r="O546" s="95">
        <f>IF(AND(SUMIFS($D$245:$D$595,$F$245:$F$595,0,$E$245:$E$595,$G546,$C$245:$C$595,"&lt;="&amp;M$5)&lt;1000000,SUMIFS($D$245:$D$595,$F$245:$F$595,0,$E$245:$E$595,$G546,$C$245:$C$595,"&lt;="&amp;O5)&gt;=1000000),SUMIFS($D$245:$D$595,$F$245:$F$595,0,$E$245:$E$595,$G546)*$C$157 ,0)</f>
        <v/>
      </c>
      <c r="Q546" s="95">
        <f>IF(AND(SUMIFS($D$245:$D$595,$F$245:$F$595,0,$E$245:$E$595,$G546,$C$245:$C$595,"&lt;="&amp;O$5)&lt;1000000,SUMIFS($D$245:$D$595,$F$245:$F$595,0,$E$245:$E$595,$G546,$C$245:$C$595,"&lt;="&amp;Q5)&gt;=1000000),SUMIFS($D$245:$D$595,$F$245:$F$595,0,$E$245:$E$595,$G546)*$C$157 ,0)</f>
        <v/>
      </c>
      <c r="S546" s="95">
        <f>IF(AND(SUMIFS($D$245:$D$595,$F$245:$F$595,0,$E$245:$E$595,$G546,$C$245:$C$595,"&lt;="&amp;Q$5)&lt;1000000,SUMIFS($D$245:$D$595,$F$245:$F$595,0,$E$245:$E$595,$G546,$C$245:$C$595,"&lt;="&amp;S5)&gt;=1000000),SUMIFS($D$245:$D$595,$F$245:$F$595,0,$E$245:$E$595,$G546)*$C$157 ,0)</f>
        <v/>
      </c>
      <c r="U546" s="95">
        <f>IF(AND(SUMIFS($D$245:$D$595,$F$245:$F$595,0,$E$245:$E$595,$G546,$C$245:$C$595,"&lt;="&amp;S$5)&lt;1000000,SUMIFS($D$245:$D$595,$F$245:$F$595,0,$E$245:$E$595,$G546,$C$245:$C$595,"&lt;="&amp;U5)&gt;=1000000),SUMIFS($D$245:$D$595,$F$245:$F$595,0,$E$245:$E$595,$G546)*$C$157 ,0)</f>
        <v/>
      </c>
      <c r="W546" s="95">
        <f>IF(AND(SUMIFS($D$245:$D$595,$F$245:$F$595,0,$E$245:$E$595,$G546,$C$245:$C$595,"&lt;="&amp;U$5)&lt;1000000,SUMIFS($D$245:$D$595,$F$245:$F$595,0,$E$245:$E$595,$G546,$C$245:$C$595,"&lt;="&amp;W5)&gt;=1000000),SUMIFS($D$245:$D$595,$F$245:$F$595,0,$E$245:$E$595,$G546)*$C$157 ,0)</f>
        <v/>
      </c>
      <c r="Y546" s="95">
        <f>IF(AND(SUMIFS($D$245:$D$595,$F$245:$F$595,0,$E$245:$E$595,$G546,$C$245:$C$595,"&lt;="&amp;W$5)&lt;1000000,SUMIFS($D$245:$D$595,$F$245:$F$595,0,$E$245:$E$595,$G546,$C$245:$C$595,"&lt;="&amp;Y5)&gt;=1000000),SUMIFS($D$245:$D$595,$F$245:$F$595,0,$E$245:$E$595,$G546)*$C$157 ,0)</f>
        <v/>
      </c>
      <c r="AA546" s="95">
        <f>IF(AND(SUMIFS($D$245:$D$595,$F$245:$F$595,0,$E$245:$E$595,$G546,$C$245:$C$595,"&lt;="&amp;Y$5)&lt;1000000,SUMIFS($D$245:$D$595,$F$245:$F$595,0,$E$245:$E$595,$G546,$C$245:$C$595,"&lt;="&amp;AA5)&gt;=1000000),SUMIFS($D$245:$D$595,$F$245:$F$595,0,$E$245:$E$595,$G546)*$C$157 ,0)</f>
        <v/>
      </c>
      <c r="AC546" s="95">
        <f>IF(AND(SUMIFS($D$245:$D$595,$F$245:$F$595,0,$E$245:$E$595,$G546,$C$245:$C$595,"&lt;="&amp;AA$5)&lt;1000000,SUMIFS($D$245:$D$595,$F$245:$F$595,0,$E$245:$E$595,$G546,$C$245:$C$595,"&lt;="&amp;AC5)&gt;=1000000),SUMIFS($D$245:$D$595,$F$245:$F$595,0,$E$245:$E$595,$G546)*$C$157 ,0)</f>
        <v/>
      </c>
      <c r="AE546" s="95">
        <f>IF(AND(SUMIFS($D$245:$D$595,$F$245:$F$595,0,$E$245:$E$595,$G546,$C$245:$C$595,"&lt;="&amp;AC$5)&lt;1000000,SUMIFS($D$245:$D$595,$F$245:$F$595,0,$E$245:$E$595,$G546,$C$245:$C$595,"&lt;="&amp;AE5)&gt;=1000000),SUMIFS($D$245:$D$595,$F$245:$F$595,0,$E$245:$E$595,$G546)*$C$157 ,0)</f>
        <v/>
      </c>
      <c r="AF546" s="19" t="n"/>
    </row>
    <row r="547">
      <c r="A547" s="20">
        <f>mid(E547, 3, 1)</f>
        <v/>
      </c>
      <c r="B547" s="14" t="inlineStr"/>
      <c r="C547" s="21">
        <f>SUMIFS('Investor Exit List'!$AC:$AC,'Investor Exit List'!$AB:$AB,B547)</f>
        <v/>
      </c>
      <c r="D547" s="14">
        <f>SUMIFS('Investor Exit List'!$Q:$Q,'Investor Exit List'!$AB:$AB,B547)</f>
        <v/>
      </c>
      <c r="E547" s="31">
        <f>LEFT(B547,6)</f>
        <v/>
      </c>
      <c r="F547" s="14">
        <f>IF(SUMIFS($E$119:$E$151,$D$119:$D$151,E547)&lt;&gt;0,E547,0)</f>
        <v/>
      </c>
      <c r="G547" s="59" t="n"/>
      <c r="I547" s="28">
        <f>IF(AND(SUMIFS($D$245:$D$595,$F$245:$F$595,0,$E$245:$E$595,$G547,$C$245:$C$595,"&lt;="&amp;B$2)&lt;1000000,SUMIFS($D$245:$D$595,$F$245:$F$595,0,$E$245:$E$595,$G547,$C$245:$C$595,"&lt;="&amp;I5)&gt;=1000000),SUMIFS($D$245:$D$595,$F$245:$F$595,0,$E$245:$E$595,$G547)*$C$157 ,0)</f>
        <v/>
      </c>
      <c r="K547" s="95">
        <f>IF(AND(SUMIFS($D$245:$D$595,$F$245:$F$595,0,$E$245:$E$595,$G547,$C$245:$C$595,"&lt;="&amp;I$5)&lt;1000000,SUMIFS($D$245:$D$595,$F$245:$F$595,0,$E$245:$E$595,$G547,$C$245:$C$595,"&lt;="&amp;K5)&gt;=1000000),SUMIFS($D$245:$D$595,$F$245:$F$595,0,$E$245:$E$595,$G547)*$C$157 ,0)</f>
        <v/>
      </c>
      <c r="M547" s="95">
        <f>IF(AND(SUMIFS($D$245:$D$595,$F$245:$F$595,0,$E$245:$E$595,$G547,$C$245:$C$595,"&lt;="&amp;K$5)&lt;1000000,SUMIFS($D$245:$D$595,$F$245:$F$595,0,$E$245:$E$595,$G547,$C$245:$C$595,"&lt;="&amp;M5)&gt;=1000000),SUMIFS($D$245:$D$595,$F$245:$F$595,0,$E$245:$E$595,$G547)*$C$157 ,0)</f>
        <v/>
      </c>
      <c r="O547" s="95">
        <f>IF(AND(SUMIFS($D$245:$D$595,$F$245:$F$595,0,$E$245:$E$595,$G547,$C$245:$C$595,"&lt;="&amp;M$5)&lt;1000000,SUMIFS($D$245:$D$595,$F$245:$F$595,0,$E$245:$E$595,$G547,$C$245:$C$595,"&lt;="&amp;O5)&gt;=1000000),SUMIFS($D$245:$D$595,$F$245:$F$595,0,$E$245:$E$595,$G547)*$C$157 ,0)</f>
        <v/>
      </c>
      <c r="Q547" s="95">
        <f>IF(AND(SUMIFS($D$245:$D$595,$F$245:$F$595,0,$E$245:$E$595,$G547,$C$245:$C$595,"&lt;="&amp;O$5)&lt;1000000,SUMIFS($D$245:$D$595,$F$245:$F$595,0,$E$245:$E$595,$G547,$C$245:$C$595,"&lt;="&amp;Q5)&gt;=1000000),SUMIFS($D$245:$D$595,$F$245:$F$595,0,$E$245:$E$595,$G547)*$C$157 ,0)</f>
        <v/>
      </c>
      <c r="S547" s="95">
        <f>IF(AND(SUMIFS($D$245:$D$595,$F$245:$F$595,0,$E$245:$E$595,$G547,$C$245:$C$595,"&lt;="&amp;Q$5)&lt;1000000,SUMIFS($D$245:$D$595,$F$245:$F$595,0,$E$245:$E$595,$G547,$C$245:$C$595,"&lt;="&amp;S5)&gt;=1000000),SUMIFS($D$245:$D$595,$F$245:$F$595,0,$E$245:$E$595,$G547)*$C$157 ,0)</f>
        <v/>
      </c>
      <c r="U547" s="95">
        <f>IF(AND(SUMIFS($D$245:$D$595,$F$245:$F$595,0,$E$245:$E$595,$G547,$C$245:$C$595,"&lt;="&amp;S$5)&lt;1000000,SUMIFS($D$245:$D$595,$F$245:$F$595,0,$E$245:$E$595,$G547,$C$245:$C$595,"&lt;="&amp;U5)&gt;=1000000),SUMIFS($D$245:$D$595,$F$245:$F$595,0,$E$245:$E$595,$G547)*$C$157 ,0)</f>
        <v/>
      </c>
      <c r="W547" s="95">
        <f>IF(AND(SUMIFS($D$245:$D$595,$F$245:$F$595,0,$E$245:$E$595,$G547,$C$245:$C$595,"&lt;="&amp;U$5)&lt;1000000,SUMIFS($D$245:$D$595,$F$245:$F$595,0,$E$245:$E$595,$G547,$C$245:$C$595,"&lt;="&amp;W5)&gt;=1000000),SUMIFS($D$245:$D$595,$F$245:$F$595,0,$E$245:$E$595,$G547)*$C$157 ,0)</f>
        <v/>
      </c>
      <c r="Y547" s="95">
        <f>IF(AND(SUMIFS($D$245:$D$595,$F$245:$F$595,0,$E$245:$E$595,$G547,$C$245:$C$595,"&lt;="&amp;W$5)&lt;1000000,SUMIFS($D$245:$D$595,$F$245:$F$595,0,$E$245:$E$595,$G547,$C$245:$C$595,"&lt;="&amp;Y5)&gt;=1000000),SUMIFS($D$245:$D$595,$F$245:$F$595,0,$E$245:$E$595,$G547)*$C$157 ,0)</f>
        <v/>
      </c>
      <c r="AA547" s="95">
        <f>IF(AND(SUMIFS($D$245:$D$595,$F$245:$F$595,0,$E$245:$E$595,$G547,$C$245:$C$595,"&lt;="&amp;Y$5)&lt;1000000,SUMIFS($D$245:$D$595,$F$245:$F$595,0,$E$245:$E$595,$G547,$C$245:$C$595,"&lt;="&amp;AA5)&gt;=1000000),SUMIFS($D$245:$D$595,$F$245:$F$595,0,$E$245:$E$595,$G547)*$C$157 ,0)</f>
        <v/>
      </c>
      <c r="AC547" s="95">
        <f>IF(AND(SUMIFS($D$245:$D$595,$F$245:$F$595,0,$E$245:$E$595,$G547,$C$245:$C$595,"&lt;="&amp;AA$5)&lt;1000000,SUMIFS($D$245:$D$595,$F$245:$F$595,0,$E$245:$E$595,$G547,$C$245:$C$595,"&lt;="&amp;AC5)&gt;=1000000),SUMIFS($D$245:$D$595,$F$245:$F$595,0,$E$245:$E$595,$G547)*$C$157 ,0)</f>
        <v/>
      </c>
      <c r="AE547" s="95">
        <f>IF(AND(SUMIFS($D$245:$D$595,$F$245:$F$595,0,$E$245:$E$595,$G547,$C$245:$C$595,"&lt;="&amp;AC$5)&lt;1000000,SUMIFS($D$245:$D$595,$F$245:$F$595,0,$E$245:$E$595,$G547,$C$245:$C$595,"&lt;="&amp;AE5)&gt;=1000000),SUMIFS($D$245:$D$595,$F$245:$F$595,0,$E$245:$E$595,$G547)*$C$157 ,0)</f>
        <v/>
      </c>
      <c r="AF547" s="19" t="n"/>
    </row>
    <row r="548">
      <c r="A548" s="20">
        <f>mid(E548, 3, 1)</f>
        <v/>
      </c>
      <c r="B548" s="14" t="inlineStr"/>
      <c r="C548" s="21">
        <f>SUMIFS('Investor Exit List'!$AC:$AC,'Investor Exit List'!$AB:$AB,B548)</f>
        <v/>
      </c>
      <c r="D548" s="14">
        <f>SUMIFS('Investor Exit List'!$Q:$Q,'Investor Exit List'!$AB:$AB,B548)</f>
        <v/>
      </c>
      <c r="E548" s="31">
        <f>LEFT(B548,6)</f>
        <v/>
      </c>
      <c r="F548" s="14">
        <f>IF(SUMIFS($E$119:$E$151,$D$119:$D$151,E548)&lt;&gt;0,E548,0)</f>
        <v/>
      </c>
      <c r="G548" s="59" t="n"/>
      <c r="I548" s="28">
        <f>IF(AND(SUMIFS($D$245:$D$595,$F$245:$F$595,0,$E$245:$E$595,$G548,$C$245:$C$595,"&lt;="&amp;B$2)&lt;1000000,SUMIFS($D$245:$D$595,$F$245:$F$595,0,$E$245:$E$595,$G548,$C$245:$C$595,"&lt;="&amp;I5)&gt;=1000000),SUMIFS($D$245:$D$595,$F$245:$F$595,0,$E$245:$E$595,$G548)*$C$157 ,0)</f>
        <v/>
      </c>
      <c r="K548" s="95">
        <f>IF(AND(SUMIFS($D$245:$D$595,$F$245:$F$595,0,$E$245:$E$595,$G548,$C$245:$C$595,"&lt;="&amp;I$5)&lt;1000000,SUMIFS($D$245:$D$595,$F$245:$F$595,0,$E$245:$E$595,$G548,$C$245:$C$595,"&lt;="&amp;K5)&gt;=1000000),SUMIFS($D$245:$D$595,$F$245:$F$595,0,$E$245:$E$595,$G548)*$C$157 ,0)</f>
        <v/>
      </c>
      <c r="M548" s="95">
        <f>IF(AND(SUMIFS($D$245:$D$595,$F$245:$F$595,0,$E$245:$E$595,$G548,$C$245:$C$595,"&lt;="&amp;K$5)&lt;1000000,SUMIFS($D$245:$D$595,$F$245:$F$595,0,$E$245:$E$595,$G548,$C$245:$C$595,"&lt;="&amp;M5)&gt;=1000000),SUMIFS($D$245:$D$595,$F$245:$F$595,0,$E$245:$E$595,$G548)*$C$157 ,0)</f>
        <v/>
      </c>
      <c r="O548" s="95">
        <f>IF(AND(SUMIFS($D$245:$D$595,$F$245:$F$595,0,$E$245:$E$595,$G548,$C$245:$C$595,"&lt;="&amp;M$5)&lt;1000000,SUMIFS($D$245:$D$595,$F$245:$F$595,0,$E$245:$E$595,$G548,$C$245:$C$595,"&lt;="&amp;O5)&gt;=1000000),SUMIFS($D$245:$D$595,$F$245:$F$595,0,$E$245:$E$595,$G548)*$C$157 ,0)</f>
        <v/>
      </c>
      <c r="Q548" s="95">
        <f>IF(AND(SUMIFS($D$245:$D$595,$F$245:$F$595,0,$E$245:$E$595,$G548,$C$245:$C$595,"&lt;="&amp;O$5)&lt;1000000,SUMIFS($D$245:$D$595,$F$245:$F$595,0,$E$245:$E$595,$G548,$C$245:$C$595,"&lt;="&amp;Q5)&gt;=1000000),SUMIFS($D$245:$D$595,$F$245:$F$595,0,$E$245:$E$595,$G548)*$C$157 ,0)</f>
        <v/>
      </c>
      <c r="S548" s="95">
        <f>IF(AND(SUMIFS($D$245:$D$595,$F$245:$F$595,0,$E$245:$E$595,$G548,$C$245:$C$595,"&lt;="&amp;Q$5)&lt;1000000,SUMIFS($D$245:$D$595,$F$245:$F$595,0,$E$245:$E$595,$G548,$C$245:$C$595,"&lt;="&amp;S5)&gt;=1000000),SUMIFS($D$245:$D$595,$F$245:$F$595,0,$E$245:$E$595,$G548)*$C$157 ,0)</f>
        <v/>
      </c>
      <c r="U548" s="95">
        <f>IF(AND(SUMIFS($D$245:$D$595,$F$245:$F$595,0,$E$245:$E$595,$G548,$C$245:$C$595,"&lt;="&amp;S$5)&lt;1000000,SUMIFS($D$245:$D$595,$F$245:$F$595,0,$E$245:$E$595,$G548,$C$245:$C$595,"&lt;="&amp;U5)&gt;=1000000),SUMIFS($D$245:$D$595,$F$245:$F$595,0,$E$245:$E$595,$G548)*$C$157 ,0)</f>
        <v/>
      </c>
      <c r="W548" s="95">
        <f>IF(AND(SUMIFS($D$245:$D$595,$F$245:$F$595,0,$E$245:$E$595,$G548,$C$245:$C$595,"&lt;="&amp;U$5)&lt;1000000,SUMIFS($D$245:$D$595,$F$245:$F$595,0,$E$245:$E$595,$G548,$C$245:$C$595,"&lt;="&amp;W5)&gt;=1000000),SUMIFS($D$245:$D$595,$F$245:$F$595,0,$E$245:$E$595,$G548)*$C$157 ,0)</f>
        <v/>
      </c>
      <c r="Y548" s="95">
        <f>IF(AND(SUMIFS($D$245:$D$595,$F$245:$F$595,0,$E$245:$E$595,$G548,$C$245:$C$595,"&lt;="&amp;W$5)&lt;1000000,SUMIFS($D$245:$D$595,$F$245:$F$595,0,$E$245:$E$595,$G548,$C$245:$C$595,"&lt;="&amp;Y5)&gt;=1000000),SUMIFS($D$245:$D$595,$F$245:$F$595,0,$E$245:$E$595,$G548)*$C$157 ,0)</f>
        <v/>
      </c>
      <c r="AA548" s="95">
        <f>IF(AND(SUMIFS($D$245:$D$595,$F$245:$F$595,0,$E$245:$E$595,$G548,$C$245:$C$595,"&lt;="&amp;Y$5)&lt;1000000,SUMIFS($D$245:$D$595,$F$245:$F$595,0,$E$245:$E$595,$G548,$C$245:$C$595,"&lt;="&amp;AA5)&gt;=1000000),SUMIFS($D$245:$D$595,$F$245:$F$595,0,$E$245:$E$595,$G548)*$C$157 ,0)</f>
        <v/>
      </c>
      <c r="AC548" s="95">
        <f>IF(AND(SUMIFS($D$245:$D$595,$F$245:$F$595,0,$E$245:$E$595,$G548,$C$245:$C$595,"&lt;="&amp;AA$5)&lt;1000000,SUMIFS($D$245:$D$595,$F$245:$F$595,0,$E$245:$E$595,$G548,$C$245:$C$595,"&lt;="&amp;AC5)&gt;=1000000),SUMIFS($D$245:$D$595,$F$245:$F$595,0,$E$245:$E$595,$G548)*$C$157 ,0)</f>
        <v/>
      </c>
      <c r="AE548" s="95">
        <f>IF(AND(SUMIFS($D$245:$D$595,$F$245:$F$595,0,$E$245:$E$595,$G548,$C$245:$C$595,"&lt;="&amp;AC$5)&lt;1000000,SUMIFS($D$245:$D$595,$F$245:$F$595,0,$E$245:$E$595,$G548,$C$245:$C$595,"&lt;="&amp;AE5)&gt;=1000000),SUMIFS($D$245:$D$595,$F$245:$F$595,0,$E$245:$E$595,$G548)*$C$157 ,0)</f>
        <v/>
      </c>
      <c r="AF548" s="19" t="n"/>
    </row>
    <row r="549">
      <c r="A549" s="20">
        <f>mid(E549, 3, 1)</f>
        <v/>
      </c>
      <c r="B549" s="14" t="inlineStr"/>
      <c r="C549" s="21">
        <f>SUMIFS('Investor Exit List'!$AC:$AC,'Investor Exit List'!$AB:$AB,B549)</f>
        <v/>
      </c>
      <c r="D549" s="14">
        <f>SUMIFS('Investor Exit List'!$Q:$Q,'Investor Exit List'!$AB:$AB,B549)</f>
        <v/>
      </c>
      <c r="E549" s="31">
        <f>LEFT(B549,6)</f>
        <v/>
      </c>
      <c r="F549" s="14">
        <f>IF(SUMIFS($E$119:$E$151,$D$119:$D$151,E549)&lt;&gt;0,E549,0)</f>
        <v/>
      </c>
      <c r="G549" s="59" t="n"/>
      <c r="I549" s="28">
        <f>IF(AND(SUMIFS($D$245:$D$595,$F$245:$F$595,0,$E$245:$E$595,$G549,$C$245:$C$595,"&lt;="&amp;B$2)&lt;1000000,SUMIFS($D$245:$D$595,$F$245:$F$595,0,$E$245:$E$595,$G549,$C$245:$C$595,"&lt;="&amp;I5)&gt;=1000000),SUMIFS($D$245:$D$595,$F$245:$F$595,0,$E$245:$E$595,$G549)*$C$157 ,0)</f>
        <v/>
      </c>
      <c r="K549" s="95">
        <f>IF(AND(SUMIFS($D$245:$D$595,$F$245:$F$595,0,$E$245:$E$595,$G549,$C$245:$C$595,"&lt;="&amp;I$5)&lt;1000000,SUMIFS($D$245:$D$595,$F$245:$F$595,0,$E$245:$E$595,$G549,$C$245:$C$595,"&lt;="&amp;K5)&gt;=1000000),SUMIFS($D$245:$D$595,$F$245:$F$595,0,$E$245:$E$595,$G549)*$C$157 ,0)</f>
        <v/>
      </c>
      <c r="M549" s="95">
        <f>IF(AND(SUMIFS($D$245:$D$595,$F$245:$F$595,0,$E$245:$E$595,$G549,$C$245:$C$595,"&lt;="&amp;K$5)&lt;1000000,SUMIFS($D$245:$D$595,$F$245:$F$595,0,$E$245:$E$595,$G549,$C$245:$C$595,"&lt;="&amp;M5)&gt;=1000000),SUMIFS($D$245:$D$595,$F$245:$F$595,0,$E$245:$E$595,$G549)*$C$157 ,0)</f>
        <v/>
      </c>
      <c r="O549" s="95">
        <f>IF(AND(SUMIFS($D$245:$D$595,$F$245:$F$595,0,$E$245:$E$595,$G549,$C$245:$C$595,"&lt;="&amp;M$5)&lt;1000000,SUMIFS($D$245:$D$595,$F$245:$F$595,0,$E$245:$E$595,$G549,$C$245:$C$595,"&lt;="&amp;O5)&gt;=1000000),SUMIFS($D$245:$D$595,$F$245:$F$595,0,$E$245:$E$595,$G549)*$C$157 ,0)</f>
        <v/>
      </c>
      <c r="Q549" s="95">
        <f>IF(AND(SUMIFS($D$245:$D$595,$F$245:$F$595,0,$E$245:$E$595,$G549,$C$245:$C$595,"&lt;="&amp;O$5)&lt;1000000,SUMIFS($D$245:$D$595,$F$245:$F$595,0,$E$245:$E$595,$G549,$C$245:$C$595,"&lt;="&amp;Q5)&gt;=1000000),SUMIFS($D$245:$D$595,$F$245:$F$595,0,$E$245:$E$595,$G549)*$C$157 ,0)</f>
        <v/>
      </c>
      <c r="S549" s="95">
        <f>IF(AND(SUMIFS($D$245:$D$595,$F$245:$F$595,0,$E$245:$E$595,$G549,$C$245:$C$595,"&lt;="&amp;Q$5)&lt;1000000,SUMIFS($D$245:$D$595,$F$245:$F$595,0,$E$245:$E$595,$G549,$C$245:$C$595,"&lt;="&amp;S5)&gt;=1000000),SUMIFS($D$245:$D$595,$F$245:$F$595,0,$E$245:$E$595,$G549)*$C$157 ,0)</f>
        <v/>
      </c>
      <c r="U549" s="95">
        <f>IF(AND(SUMIFS($D$245:$D$595,$F$245:$F$595,0,$E$245:$E$595,$G549,$C$245:$C$595,"&lt;="&amp;S$5)&lt;1000000,SUMIFS($D$245:$D$595,$F$245:$F$595,0,$E$245:$E$595,$G549,$C$245:$C$595,"&lt;="&amp;U5)&gt;=1000000),SUMIFS($D$245:$D$595,$F$245:$F$595,0,$E$245:$E$595,$G549)*$C$157 ,0)</f>
        <v/>
      </c>
      <c r="W549" s="95">
        <f>IF(AND(SUMIFS($D$245:$D$595,$F$245:$F$595,0,$E$245:$E$595,$G549,$C$245:$C$595,"&lt;="&amp;U$5)&lt;1000000,SUMIFS($D$245:$D$595,$F$245:$F$595,0,$E$245:$E$595,$G549,$C$245:$C$595,"&lt;="&amp;W5)&gt;=1000000),SUMIFS($D$245:$D$595,$F$245:$F$595,0,$E$245:$E$595,$G549)*$C$157 ,0)</f>
        <v/>
      </c>
      <c r="Y549" s="95">
        <f>IF(AND(SUMIFS($D$245:$D$595,$F$245:$F$595,0,$E$245:$E$595,$G549,$C$245:$C$595,"&lt;="&amp;W$5)&lt;1000000,SUMIFS($D$245:$D$595,$F$245:$F$595,0,$E$245:$E$595,$G549,$C$245:$C$595,"&lt;="&amp;Y5)&gt;=1000000),SUMIFS($D$245:$D$595,$F$245:$F$595,0,$E$245:$E$595,$G549)*$C$157 ,0)</f>
        <v/>
      </c>
      <c r="AA549" s="95">
        <f>IF(AND(SUMIFS($D$245:$D$595,$F$245:$F$595,0,$E$245:$E$595,$G549,$C$245:$C$595,"&lt;="&amp;Y$5)&lt;1000000,SUMIFS($D$245:$D$595,$F$245:$F$595,0,$E$245:$E$595,$G549,$C$245:$C$595,"&lt;="&amp;AA5)&gt;=1000000),SUMIFS($D$245:$D$595,$F$245:$F$595,0,$E$245:$E$595,$G549)*$C$157 ,0)</f>
        <v/>
      </c>
      <c r="AC549" s="95">
        <f>IF(AND(SUMIFS($D$245:$D$595,$F$245:$F$595,0,$E$245:$E$595,$G549,$C$245:$C$595,"&lt;="&amp;AA$5)&lt;1000000,SUMIFS($D$245:$D$595,$F$245:$F$595,0,$E$245:$E$595,$G549,$C$245:$C$595,"&lt;="&amp;AC5)&gt;=1000000),SUMIFS($D$245:$D$595,$F$245:$F$595,0,$E$245:$E$595,$G549)*$C$157 ,0)</f>
        <v/>
      </c>
      <c r="AE549" s="95">
        <f>IF(AND(SUMIFS($D$245:$D$595,$F$245:$F$595,0,$E$245:$E$595,$G549,$C$245:$C$595,"&lt;="&amp;AC$5)&lt;1000000,SUMIFS($D$245:$D$595,$F$245:$F$595,0,$E$245:$E$595,$G549,$C$245:$C$595,"&lt;="&amp;AE5)&gt;=1000000),SUMIFS($D$245:$D$595,$F$245:$F$595,0,$E$245:$E$595,$G549)*$C$157 ,0)</f>
        <v/>
      </c>
      <c r="AF549" s="19" t="n"/>
    </row>
    <row r="550">
      <c r="A550" s="20">
        <f>mid(E550, 3, 1)</f>
        <v/>
      </c>
      <c r="B550" s="14" t="inlineStr"/>
      <c r="C550" s="21">
        <f>SUMIFS('Investor Exit List'!$AC:$AC,'Investor Exit List'!$AB:$AB,B550)</f>
        <v/>
      </c>
      <c r="D550" s="14">
        <f>SUMIFS('Investor Exit List'!$Q:$Q,'Investor Exit List'!$AB:$AB,B550)</f>
        <v/>
      </c>
      <c r="E550" s="31">
        <f>LEFT(B550,6)</f>
        <v/>
      </c>
      <c r="F550" s="14">
        <f>IF(SUMIFS($E$119:$E$151,$D$119:$D$151,E550)&lt;&gt;0,E550,0)</f>
        <v/>
      </c>
      <c r="G550" s="59" t="n"/>
      <c r="I550" s="28">
        <f>IF(AND(SUMIFS($D$245:$D$595,$F$245:$F$595,0,$E$245:$E$595,$G550,$C$245:$C$595,"&lt;="&amp;B$2)&lt;1000000,SUMIFS($D$245:$D$595,$F$245:$F$595,0,$E$245:$E$595,$G550,$C$245:$C$595,"&lt;="&amp;I5)&gt;=1000000),SUMIFS($D$245:$D$595,$F$245:$F$595,0,$E$245:$E$595,$G550)*$C$157 ,0)</f>
        <v/>
      </c>
      <c r="K550" s="95">
        <f>IF(AND(SUMIFS($D$245:$D$595,$F$245:$F$595,0,$E$245:$E$595,$G550,$C$245:$C$595,"&lt;="&amp;I$5)&lt;1000000,SUMIFS($D$245:$D$595,$F$245:$F$595,0,$E$245:$E$595,$G550,$C$245:$C$595,"&lt;="&amp;K5)&gt;=1000000),SUMIFS($D$245:$D$595,$F$245:$F$595,0,$E$245:$E$595,$G550)*$C$157 ,0)</f>
        <v/>
      </c>
      <c r="M550" s="95">
        <f>IF(AND(SUMIFS($D$245:$D$595,$F$245:$F$595,0,$E$245:$E$595,$G550,$C$245:$C$595,"&lt;="&amp;K$5)&lt;1000000,SUMIFS($D$245:$D$595,$F$245:$F$595,0,$E$245:$E$595,$G550,$C$245:$C$595,"&lt;="&amp;M5)&gt;=1000000),SUMIFS($D$245:$D$595,$F$245:$F$595,0,$E$245:$E$595,$G550)*$C$157 ,0)</f>
        <v/>
      </c>
      <c r="O550" s="95">
        <f>IF(AND(SUMIFS($D$245:$D$595,$F$245:$F$595,0,$E$245:$E$595,$G550,$C$245:$C$595,"&lt;="&amp;M$5)&lt;1000000,SUMIFS($D$245:$D$595,$F$245:$F$595,0,$E$245:$E$595,$G550,$C$245:$C$595,"&lt;="&amp;O5)&gt;=1000000),SUMIFS($D$245:$D$595,$F$245:$F$595,0,$E$245:$E$595,$G550)*$C$157 ,0)</f>
        <v/>
      </c>
      <c r="Q550" s="95">
        <f>IF(AND(SUMIFS($D$245:$D$595,$F$245:$F$595,0,$E$245:$E$595,$G550,$C$245:$C$595,"&lt;="&amp;O$5)&lt;1000000,SUMIFS($D$245:$D$595,$F$245:$F$595,0,$E$245:$E$595,$G550,$C$245:$C$595,"&lt;="&amp;Q5)&gt;=1000000),SUMIFS($D$245:$D$595,$F$245:$F$595,0,$E$245:$E$595,$G550)*$C$157 ,0)</f>
        <v/>
      </c>
      <c r="S550" s="95">
        <f>IF(AND(SUMIFS($D$245:$D$595,$F$245:$F$595,0,$E$245:$E$595,$G550,$C$245:$C$595,"&lt;="&amp;Q$5)&lt;1000000,SUMIFS($D$245:$D$595,$F$245:$F$595,0,$E$245:$E$595,$G550,$C$245:$C$595,"&lt;="&amp;S5)&gt;=1000000),SUMIFS($D$245:$D$595,$F$245:$F$595,0,$E$245:$E$595,$G550)*$C$157 ,0)</f>
        <v/>
      </c>
      <c r="U550" s="95">
        <f>IF(AND(SUMIFS($D$245:$D$595,$F$245:$F$595,0,$E$245:$E$595,$G550,$C$245:$C$595,"&lt;="&amp;S$5)&lt;1000000,SUMIFS($D$245:$D$595,$F$245:$F$595,0,$E$245:$E$595,$G550,$C$245:$C$595,"&lt;="&amp;U5)&gt;=1000000),SUMIFS($D$245:$D$595,$F$245:$F$595,0,$E$245:$E$595,$G550)*$C$157 ,0)</f>
        <v/>
      </c>
      <c r="W550" s="95">
        <f>IF(AND(SUMIFS($D$245:$D$595,$F$245:$F$595,0,$E$245:$E$595,$G550,$C$245:$C$595,"&lt;="&amp;U$5)&lt;1000000,SUMIFS($D$245:$D$595,$F$245:$F$595,0,$E$245:$E$595,$G550,$C$245:$C$595,"&lt;="&amp;W5)&gt;=1000000),SUMIFS($D$245:$D$595,$F$245:$F$595,0,$E$245:$E$595,$G550)*$C$157 ,0)</f>
        <v/>
      </c>
      <c r="Y550" s="95">
        <f>IF(AND(SUMIFS($D$245:$D$595,$F$245:$F$595,0,$E$245:$E$595,$G550,$C$245:$C$595,"&lt;="&amp;W$5)&lt;1000000,SUMIFS($D$245:$D$595,$F$245:$F$595,0,$E$245:$E$595,$G550,$C$245:$C$595,"&lt;="&amp;Y5)&gt;=1000000),SUMIFS($D$245:$D$595,$F$245:$F$595,0,$E$245:$E$595,$G550)*$C$157 ,0)</f>
        <v/>
      </c>
      <c r="AA550" s="95">
        <f>IF(AND(SUMIFS($D$245:$D$595,$F$245:$F$595,0,$E$245:$E$595,$G550,$C$245:$C$595,"&lt;="&amp;Y$5)&lt;1000000,SUMIFS($D$245:$D$595,$F$245:$F$595,0,$E$245:$E$595,$G550,$C$245:$C$595,"&lt;="&amp;AA5)&gt;=1000000),SUMIFS($D$245:$D$595,$F$245:$F$595,0,$E$245:$E$595,$G550)*$C$157 ,0)</f>
        <v/>
      </c>
      <c r="AC550" s="95">
        <f>IF(AND(SUMIFS($D$245:$D$595,$F$245:$F$595,0,$E$245:$E$595,$G550,$C$245:$C$595,"&lt;="&amp;AA$5)&lt;1000000,SUMIFS($D$245:$D$595,$F$245:$F$595,0,$E$245:$E$595,$G550,$C$245:$C$595,"&lt;="&amp;AC5)&gt;=1000000),SUMIFS($D$245:$D$595,$F$245:$F$595,0,$E$245:$E$595,$G550)*$C$157 ,0)</f>
        <v/>
      </c>
      <c r="AE550" s="95">
        <f>IF(AND(SUMIFS($D$245:$D$595,$F$245:$F$595,0,$E$245:$E$595,$G550,$C$245:$C$595,"&lt;="&amp;AC$5)&lt;1000000,SUMIFS($D$245:$D$595,$F$245:$F$595,0,$E$245:$E$595,$G550,$C$245:$C$595,"&lt;="&amp;AE5)&gt;=1000000),SUMIFS($D$245:$D$595,$F$245:$F$595,0,$E$245:$E$595,$G550)*$C$157 ,0)</f>
        <v/>
      </c>
      <c r="AF550" s="19" t="n"/>
    </row>
    <row r="551">
      <c r="A551" s="20">
        <f>mid(E551, 3, 1)</f>
        <v/>
      </c>
      <c r="B551" s="14" t="inlineStr"/>
      <c r="C551" s="21">
        <f>SUMIFS('Investor Exit List'!$AC:$AC,'Investor Exit List'!$AB:$AB,B551)</f>
        <v/>
      </c>
      <c r="D551" s="14">
        <f>SUMIFS('Investor Exit List'!$Q:$Q,'Investor Exit List'!$AB:$AB,B551)</f>
        <v/>
      </c>
      <c r="E551" s="31">
        <f>LEFT(B551,6)</f>
        <v/>
      </c>
      <c r="F551" s="14">
        <f>IF(SUMIFS($E$119:$E$151,$D$119:$D$151,E551)&lt;&gt;0,E551,0)</f>
        <v/>
      </c>
      <c r="G551" s="59" t="n"/>
      <c r="I551" s="28">
        <f>IF(AND(SUMIFS($D$245:$D$595,$F$245:$F$595,0,$E$245:$E$595,$G551,$C$245:$C$595,"&lt;="&amp;B$2)&lt;1000000,SUMIFS($D$245:$D$595,$F$245:$F$595,0,$E$245:$E$595,$G551,$C$245:$C$595,"&lt;="&amp;I5)&gt;=1000000),SUMIFS($D$245:$D$595,$F$245:$F$595,0,$E$245:$E$595,$G551)*$C$157 ,0)</f>
        <v/>
      </c>
      <c r="K551" s="95">
        <f>IF(AND(SUMIFS($D$245:$D$595,$F$245:$F$595,0,$E$245:$E$595,$G551,$C$245:$C$595,"&lt;="&amp;I$5)&lt;1000000,SUMIFS($D$245:$D$595,$F$245:$F$595,0,$E$245:$E$595,$G551,$C$245:$C$595,"&lt;="&amp;K5)&gt;=1000000),SUMIFS($D$245:$D$595,$F$245:$F$595,0,$E$245:$E$595,$G551)*$C$157 ,0)</f>
        <v/>
      </c>
      <c r="M551" s="95">
        <f>IF(AND(SUMIFS($D$245:$D$595,$F$245:$F$595,0,$E$245:$E$595,$G551,$C$245:$C$595,"&lt;="&amp;K$5)&lt;1000000,SUMIFS($D$245:$D$595,$F$245:$F$595,0,$E$245:$E$595,$G551,$C$245:$C$595,"&lt;="&amp;M5)&gt;=1000000),SUMIFS($D$245:$D$595,$F$245:$F$595,0,$E$245:$E$595,$G551)*$C$157 ,0)</f>
        <v/>
      </c>
      <c r="O551" s="95">
        <f>IF(AND(SUMIFS($D$245:$D$595,$F$245:$F$595,0,$E$245:$E$595,$G551,$C$245:$C$595,"&lt;="&amp;M$5)&lt;1000000,SUMIFS($D$245:$D$595,$F$245:$F$595,0,$E$245:$E$595,$G551,$C$245:$C$595,"&lt;="&amp;O5)&gt;=1000000),SUMIFS($D$245:$D$595,$F$245:$F$595,0,$E$245:$E$595,$G551)*$C$157 ,0)</f>
        <v/>
      </c>
      <c r="Q551" s="95">
        <f>IF(AND(SUMIFS($D$245:$D$595,$F$245:$F$595,0,$E$245:$E$595,$G551,$C$245:$C$595,"&lt;="&amp;O$5)&lt;1000000,SUMIFS($D$245:$D$595,$F$245:$F$595,0,$E$245:$E$595,$G551,$C$245:$C$595,"&lt;="&amp;Q5)&gt;=1000000),SUMIFS($D$245:$D$595,$F$245:$F$595,0,$E$245:$E$595,$G551)*$C$157 ,0)</f>
        <v/>
      </c>
      <c r="S551" s="95">
        <f>IF(AND(SUMIFS($D$245:$D$595,$F$245:$F$595,0,$E$245:$E$595,$G551,$C$245:$C$595,"&lt;="&amp;Q$5)&lt;1000000,SUMIFS($D$245:$D$595,$F$245:$F$595,0,$E$245:$E$595,$G551,$C$245:$C$595,"&lt;="&amp;S5)&gt;=1000000),SUMIFS($D$245:$D$595,$F$245:$F$595,0,$E$245:$E$595,$G551)*$C$157 ,0)</f>
        <v/>
      </c>
      <c r="U551" s="95">
        <f>IF(AND(SUMIFS($D$245:$D$595,$F$245:$F$595,0,$E$245:$E$595,$G551,$C$245:$C$595,"&lt;="&amp;S$5)&lt;1000000,SUMIFS($D$245:$D$595,$F$245:$F$595,0,$E$245:$E$595,$G551,$C$245:$C$595,"&lt;="&amp;U5)&gt;=1000000),SUMIFS($D$245:$D$595,$F$245:$F$595,0,$E$245:$E$595,$G551)*$C$157 ,0)</f>
        <v/>
      </c>
      <c r="W551" s="95">
        <f>IF(AND(SUMIFS($D$245:$D$595,$F$245:$F$595,0,$E$245:$E$595,$G551,$C$245:$C$595,"&lt;="&amp;U$5)&lt;1000000,SUMIFS($D$245:$D$595,$F$245:$F$595,0,$E$245:$E$595,$G551,$C$245:$C$595,"&lt;="&amp;W5)&gt;=1000000),SUMIFS($D$245:$D$595,$F$245:$F$595,0,$E$245:$E$595,$G551)*$C$157 ,0)</f>
        <v/>
      </c>
      <c r="Y551" s="95">
        <f>IF(AND(SUMIFS($D$245:$D$595,$F$245:$F$595,0,$E$245:$E$595,$G551,$C$245:$C$595,"&lt;="&amp;W$5)&lt;1000000,SUMIFS($D$245:$D$595,$F$245:$F$595,0,$E$245:$E$595,$G551,$C$245:$C$595,"&lt;="&amp;Y5)&gt;=1000000),SUMIFS($D$245:$D$595,$F$245:$F$595,0,$E$245:$E$595,$G551)*$C$157 ,0)</f>
        <v/>
      </c>
      <c r="AA551" s="95">
        <f>IF(AND(SUMIFS($D$245:$D$595,$F$245:$F$595,0,$E$245:$E$595,$G551,$C$245:$C$595,"&lt;="&amp;Y$5)&lt;1000000,SUMIFS($D$245:$D$595,$F$245:$F$595,0,$E$245:$E$595,$G551,$C$245:$C$595,"&lt;="&amp;AA5)&gt;=1000000),SUMIFS($D$245:$D$595,$F$245:$F$595,0,$E$245:$E$595,$G551)*$C$157 ,0)</f>
        <v/>
      </c>
      <c r="AC551" s="95">
        <f>IF(AND(SUMIFS($D$245:$D$595,$F$245:$F$595,0,$E$245:$E$595,$G551,$C$245:$C$595,"&lt;="&amp;AA$5)&lt;1000000,SUMIFS($D$245:$D$595,$F$245:$F$595,0,$E$245:$E$595,$G551,$C$245:$C$595,"&lt;="&amp;AC5)&gt;=1000000),SUMIFS($D$245:$D$595,$F$245:$F$595,0,$E$245:$E$595,$G551)*$C$157 ,0)</f>
        <v/>
      </c>
      <c r="AE551" s="95">
        <f>IF(AND(SUMIFS($D$245:$D$595,$F$245:$F$595,0,$E$245:$E$595,$G551,$C$245:$C$595,"&lt;="&amp;AC$5)&lt;1000000,SUMIFS($D$245:$D$595,$F$245:$F$595,0,$E$245:$E$595,$G551,$C$245:$C$595,"&lt;="&amp;AE5)&gt;=1000000),SUMIFS($D$245:$D$595,$F$245:$F$595,0,$E$245:$E$595,$G551)*$C$157 ,0)</f>
        <v/>
      </c>
      <c r="AF551" s="19" t="n"/>
    </row>
    <row r="552">
      <c r="A552" s="20">
        <f>mid(E552, 3, 1)</f>
        <v/>
      </c>
      <c r="B552" s="14" t="inlineStr"/>
      <c r="C552" s="21">
        <f>SUMIFS('Investor Exit List'!$AC:$AC,'Investor Exit List'!$AB:$AB,B552)</f>
        <v/>
      </c>
      <c r="D552" s="14">
        <f>SUMIFS('Investor Exit List'!$Q:$Q,'Investor Exit List'!$AB:$AB,B552)</f>
        <v/>
      </c>
      <c r="E552" s="31">
        <f>LEFT(B552,6)</f>
        <v/>
      </c>
      <c r="F552" s="14">
        <f>IF(SUMIFS($E$119:$E$151,$D$119:$D$151,E552)&lt;&gt;0,E552,0)</f>
        <v/>
      </c>
      <c r="G552" s="59" t="n"/>
      <c r="I552" s="28">
        <f>IF(AND(SUMIFS($D$245:$D$595,$F$245:$F$595,0,$E$245:$E$595,$G552,$C$245:$C$595,"&lt;="&amp;B$2)&lt;1000000,SUMIFS($D$245:$D$595,$F$245:$F$595,0,$E$245:$E$595,$G552,$C$245:$C$595,"&lt;="&amp;I5)&gt;=1000000),SUMIFS($D$245:$D$595,$F$245:$F$595,0,$E$245:$E$595,$G552)*$C$157 ,0)</f>
        <v/>
      </c>
      <c r="K552" s="95">
        <f>IF(AND(SUMIFS($D$245:$D$595,$F$245:$F$595,0,$E$245:$E$595,$G552,$C$245:$C$595,"&lt;="&amp;I$5)&lt;1000000,SUMIFS($D$245:$D$595,$F$245:$F$595,0,$E$245:$E$595,$G552,$C$245:$C$595,"&lt;="&amp;K5)&gt;=1000000),SUMIFS($D$245:$D$595,$F$245:$F$595,0,$E$245:$E$595,$G552)*$C$157 ,0)</f>
        <v/>
      </c>
      <c r="M552" s="95">
        <f>IF(AND(SUMIFS($D$245:$D$595,$F$245:$F$595,0,$E$245:$E$595,$G552,$C$245:$C$595,"&lt;="&amp;K$5)&lt;1000000,SUMIFS($D$245:$D$595,$F$245:$F$595,0,$E$245:$E$595,$G552,$C$245:$C$595,"&lt;="&amp;M5)&gt;=1000000),SUMIFS($D$245:$D$595,$F$245:$F$595,0,$E$245:$E$595,$G552)*$C$157 ,0)</f>
        <v/>
      </c>
      <c r="O552" s="95">
        <f>IF(AND(SUMIFS($D$245:$D$595,$F$245:$F$595,0,$E$245:$E$595,$G552,$C$245:$C$595,"&lt;="&amp;M$5)&lt;1000000,SUMIFS($D$245:$D$595,$F$245:$F$595,0,$E$245:$E$595,$G552,$C$245:$C$595,"&lt;="&amp;O5)&gt;=1000000),SUMIFS($D$245:$D$595,$F$245:$F$595,0,$E$245:$E$595,$G552)*$C$157 ,0)</f>
        <v/>
      </c>
      <c r="Q552" s="95">
        <f>IF(AND(SUMIFS($D$245:$D$595,$F$245:$F$595,0,$E$245:$E$595,$G552,$C$245:$C$595,"&lt;="&amp;O$5)&lt;1000000,SUMIFS($D$245:$D$595,$F$245:$F$595,0,$E$245:$E$595,$G552,$C$245:$C$595,"&lt;="&amp;Q5)&gt;=1000000),SUMIFS($D$245:$D$595,$F$245:$F$595,0,$E$245:$E$595,$G552)*$C$157 ,0)</f>
        <v/>
      </c>
      <c r="S552" s="95">
        <f>IF(AND(SUMIFS($D$245:$D$595,$F$245:$F$595,0,$E$245:$E$595,$G552,$C$245:$C$595,"&lt;="&amp;Q$5)&lt;1000000,SUMIFS($D$245:$D$595,$F$245:$F$595,0,$E$245:$E$595,$G552,$C$245:$C$595,"&lt;="&amp;S5)&gt;=1000000),SUMIFS($D$245:$D$595,$F$245:$F$595,0,$E$245:$E$595,$G552)*$C$157 ,0)</f>
        <v/>
      </c>
      <c r="U552" s="95">
        <f>IF(AND(SUMIFS($D$245:$D$595,$F$245:$F$595,0,$E$245:$E$595,$G552,$C$245:$C$595,"&lt;="&amp;S$5)&lt;1000000,SUMIFS($D$245:$D$595,$F$245:$F$595,0,$E$245:$E$595,$G552,$C$245:$C$595,"&lt;="&amp;U5)&gt;=1000000),SUMIFS($D$245:$D$595,$F$245:$F$595,0,$E$245:$E$595,$G552)*$C$157 ,0)</f>
        <v/>
      </c>
      <c r="W552" s="95">
        <f>IF(AND(SUMIFS($D$245:$D$595,$F$245:$F$595,0,$E$245:$E$595,$G552,$C$245:$C$595,"&lt;="&amp;U$5)&lt;1000000,SUMIFS($D$245:$D$595,$F$245:$F$595,0,$E$245:$E$595,$G552,$C$245:$C$595,"&lt;="&amp;W5)&gt;=1000000),SUMIFS($D$245:$D$595,$F$245:$F$595,0,$E$245:$E$595,$G552)*$C$157 ,0)</f>
        <v/>
      </c>
      <c r="Y552" s="95">
        <f>IF(AND(SUMIFS($D$245:$D$595,$F$245:$F$595,0,$E$245:$E$595,$G552,$C$245:$C$595,"&lt;="&amp;W$5)&lt;1000000,SUMIFS($D$245:$D$595,$F$245:$F$595,0,$E$245:$E$595,$G552,$C$245:$C$595,"&lt;="&amp;Y5)&gt;=1000000),SUMIFS($D$245:$D$595,$F$245:$F$595,0,$E$245:$E$595,$G552)*$C$157 ,0)</f>
        <v/>
      </c>
      <c r="AA552" s="95">
        <f>IF(AND(SUMIFS($D$245:$D$595,$F$245:$F$595,0,$E$245:$E$595,$G552,$C$245:$C$595,"&lt;="&amp;Y$5)&lt;1000000,SUMIFS($D$245:$D$595,$F$245:$F$595,0,$E$245:$E$595,$G552,$C$245:$C$595,"&lt;="&amp;AA5)&gt;=1000000),SUMIFS($D$245:$D$595,$F$245:$F$595,0,$E$245:$E$595,$G552)*$C$157 ,0)</f>
        <v/>
      </c>
      <c r="AC552" s="95">
        <f>IF(AND(SUMIFS($D$245:$D$595,$F$245:$F$595,0,$E$245:$E$595,$G552,$C$245:$C$595,"&lt;="&amp;AA$5)&lt;1000000,SUMIFS($D$245:$D$595,$F$245:$F$595,0,$E$245:$E$595,$G552,$C$245:$C$595,"&lt;="&amp;AC5)&gt;=1000000),SUMIFS($D$245:$D$595,$F$245:$F$595,0,$E$245:$E$595,$G552)*$C$157 ,0)</f>
        <v/>
      </c>
      <c r="AE552" s="95">
        <f>IF(AND(SUMIFS($D$245:$D$595,$F$245:$F$595,0,$E$245:$E$595,$G552,$C$245:$C$595,"&lt;="&amp;AC$5)&lt;1000000,SUMIFS($D$245:$D$595,$F$245:$F$595,0,$E$245:$E$595,$G552,$C$245:$C$595,"&lt;="&amp;AE5)&gt;=1000000),SUMIFS($D$245:$D$595,$F$245:$F$595,0,$E$245:$E$595,$G552)*$C$157 ,0)</f>
        <v/>
      </c>
      <c r="AF552" s="19" t="n"/>
    </row>
    <row r="553">
      <c r="A553" s="20">
        <f>mid(E553, 3, 1)</f>
        <v/>
      </c>
      <c r="B553" s="14" t="inlineStr"/>
      <c r="C553" s="21">
        <f>SUMIFS('Investor Exit List'!$AC:$AC,'Investor Exit List'!$AB:$AB,B553)</f>
        <v/>
      </c>
      <c r="D553" s="14">
        <f>SUMIFS('Investor Exit List'!$Q:$Q,'Investor Exit List'!$AB:$AB,B553)</f>
        <v/>
      </c>
      <c r="E553" s="31">
        <f>LEFT(B553,6)</f>
        <v/>
      </c>
      <c r="F553" s="14">
        <f>IF(SUMIFS($E$119:$E$151,$D$119:$D$151,E553)&lt;&gt;0,E553,0)</f>
        <v/>
      </c>
      <c r="G553" s="59" t="n"/>
      <c r="I553" s="28">
        <f>IF(AND(SUMIFS($D$245:$D$595,$F$245:$F$595,0,$E$245:$E$595,$G553,$C$245:$C$595,"&lt;="&amp;B$2)&lt;1000000,SUMIFS($D$245:$D$595,$F$245:$F$595,0,$E$245:$E$595,$G553,$C$245:$C$595,"&lt;="&amp;I5)&gt;=1000000),SUMIFS($D$245:$D$595,$F$245:$F$595,0,$E$245:$E$595,$G553)*$C$157 ,0)</f>
        <v/>
      </c>
      <c r="K553" s="95">
        <f>IF(AND(SUMIFS($D$245:$D$595,$F$245:$F$595,0,$E$245:$E$595,$G553,$C$245:$C$595,"&lt;="&amp;I$5)&lt;1000000,SUMIFS($D$245:$D$595,$F$245:$F$595,0,$E$245:$E$595,$G553,$C$245:$C$595,"&lt;="&amp;K5)&gt;=1000000),SUMIFS($D$245:$D$595,$F$245:$F$595,0,$E$245:$E$595,$G553)*$C$157 ,0)</f>
        <v/>
      </c>
      <c r="M553" s="95">
        <f>IF(AND(SUMIFS($D$245:$D$595,$F$245:$F$595,0,$E$245:$E$595,$G553,$C$245:$C$595,"&lt;="&amp;K$5)&lt;1000000,SUMIFS($D$245:$D$595,$F$245:$F$595,0,$E$245:$E$595,$G553,$C$245:$C$595,"&lt;="&amp;M5)&gt;=1000000),SUMIFS($D$245:$D$595,$F$245:$F$595,0,$E$245:$E$595,$G553)*$C$157 ,0)</f>
        <v/>
      </c>
      <c r="O553" s="95">
        <f>IF(AND(SUMIFS($D$245:$D$595,$F$245:$F$595,0,$E$245:$E$595,$G553,$C$245:$C$595,"&lt;="&amp;M$5)&lt;1000000,SUMIFS($D$245:$D$595,$F$245:$F$595,0,$E$245:$E$595,$G553,$C$245:$C$595,"&lt;="&amp;O5)&gt;=1000000),SUMIFS($D$245:$D$595,$F$245:$F$595,0,$E$245:$E$595,$G553)*$C$157 ,0)</f>
        <v/>
      </c>
      <c r="Q553" s="95">
        <f>IF(AND(SUMIFS($D$245:$D$595,$F$245:$F$595,0,$E$245:$E$595,$G553,$C$245:$C$595,"&lt;="&amp;O$5)&lt;1000000,SUMIFS($D$245:$D$595,$F$245:$F$595,0,$E$245:$E$595,$G553,$C$245:$C$595,"&lt;="&amp;Q5)&gt;=1000000),SUMIFS($D$245:$D$595,$F$245:$F$595,0,$E$245:$E$595,$G553)*$C$157 ,0)</f>
        <v/>
      </c>
      <c r="S553" s="95">
        <f>IF(AND(SUMIFS($D$245:$D$595,$F$245:$F$595,0,$E$245:$E$595,$G553,$C$245:$C$595,"&lt;="&amp;Q$5)&lt;1000000,SUMIFS($D$245:$D$595,$F$245:$F$595,0,$E$245:$E$595,$G553,$C$245:$C$595,"&lt;="&amp;S5)&gt;=1000000),SUMIFS($D$245:$D$595,$F$245:$F$595,0,$E$245:$E$595,$G553)*$C$157 ,0)</f>
        <v/>
      </c>
      <c r="U553" s="95">
        <f>IF(AND(SUMIFS($D$245:$D$595,$F$245:$F$595,0,$E$245:$E$595,$G553,$C$245:$C$595,"&lt;="&amp;S$5)&lt;1000000,SUMIFS($D$245:$D$595,$F$245:$F$595,0,$E$245:$E$595,$G553,$C$245:$C$595,"&lt;="&amp;U5)&gt;=1000000),SUMIFS($D$245:$D$595,$F$245:$F$595,0,$E$245:$E$595,$G553)*$C$157 ,0)</f>
        <v/>
      </c>
      <c r="W553" s="95">
        <f>IF(AND(SUMIFS($D$245:$D$595,$F$245:$F$595,0,$E$245:$E$595,$G553,$C$245:$C$595,"&lt;="&amp;U$5)&lt;1000000,SUMIFS($D$245:$D$595,$F$245:$F$595,0,$E$245:$E$595,$G553,$C$245:$C$595,"&lt;="&amp;W5)&gt;=1000000),SUMIFS($D$245:$D$595,$F$245:$F$595,0,$E$245:$E$595,$G553)*$C$157 ,0)</f>
        <v/>
      </c>
      <c r="Y553" s="95">
        <f>IF(AND(SUMIFS($D$245:$D$595,$F$245:$F$595,0,$E$245:$E$595,$G553,$C$245:$C$595,"&lt;="&amp;W$5)&lt;1000000,SUMIFS($D$245:$D$595,$F$245:$F$595,0,$E$245:$E$595,$G553,$C$245:$C$595,"&lt;="&amp;Y5)&gt;=1000000),SUMIFS($D$245:$D$595,$F$245:$F$595,0,$E$245:$E$595,$G553)*$C$157 ,0)</f>
        <v/>
      </c>
      <c r="AA553" s="95">
        <f>IF(AND(SUMIFS($D$245:$D$595,$F$245:$F$595,0,$E$245:$E$595,$G553,$C$245:$C$595,"&lt;="&amp;Y$5)&lt;1000000,SUMIFS($D$245:$D$595,$F$245:$F$595,0,$E$245:$E$595,$G553,$C$245:$C$595,"&lt;="&amp;AA5)&gt;=1000000),SUMIFS($D$245:$D$595,$F$245:$F$595,0,$E$245:$E$595,$G553)*$C$157 ,0)</f>
        <v/>
      </c>
      <c r="AC553" s="95">
        <f>IF(AND(SUMIFS($D$245:$D$595,$F$245:$F$595,0,$E$245:$E$595,$G553,$C$245:$C$595,"&lt;="&amp;AA$5)&lt;1000000,SUMIFS($D$245:$D$595,$F$245:$F$595,0,$E$245:$E$595,$G553,$C$245:$C$595,"&lt;="&amp;AC5)&gt;=1000000),SUMIFS($D$245:$D$595,$F$245:$F$595,0,$E$245:$E$595,$G553)*$C$157 ,0)</f>
        <v/>
      </c>
      <c r="AE553" s="95">
        <f>IF(AND(SUMIFS($D$245:$D$595,$F$245:$F$595,0,$E$245:$E$595,$G553,$C$245:$C$595,"&lt;="&amp;AC$5)&lt;1000000,SUMIFS($D$245:$D$595,$F$245:$F$595,0,$E$245:$E$595,$G553,$C$245:$C$595,"&lt;="&amp;AE5)&gt;=1000000),SUMIFS($D$245:$D$595,$F$245:$F$595,0,$E$245:$E$595,$G553)*$C$157 ,0)</f>
        <v/>
      </c>
      <c r="AF553" s="19" t="n"/>
    </row>
    <row r="554">
      <c r="A554" s="20">
        <f>mid(E554, 3, 1)</f>
        <v/>
      </c>
      <c r="B554" s="14" t="inlineStr"/>
      <c r="C554" s="21">
        <f>SUMIFS('Investor Exit List'!$AC:$AC,'Investor Exit List'!$AB:$AB,B554)</f>
        <v/>
      </c>
      <c r="D554" s="14">
        <f>SUMIFS('Investor Exit List'!$Q:$Q,'Investor Exit List'!$AB:$AB,B554)</f>
        <v/>
      </c>
      <c r="E554" s="31">
        <f>LEFT(B554,6)</f>
        <v/>
      </c>
      <c r="F554" s="14">
        <f>IF(SUMIFS($E$119:$E$151,$D$119:$D$151,E554)&lt;&gt;0,E554,0)</f>
        <v/>
      </c>
      <c r="G554" s="59" t="n"/>
      <c r="I554" s="28">
        <f>IF(AND(SUMIFS($D$245:$D$595,$F$245:$F$595,0,$E$245:$E$595,$G554,$C$245:$C$595,"&lt;="&amp;B$2)&lt;1000000,SUMIFS($D$245:$D$595,$F$245:$F$595,0,$E$245:$E$595,$G554,$C$245:$C$595,"&lt;="&amp;I5)&gt;=1000000),SUMIFS($D$245:$D$595,$F$245:$F$595,0,$E$245:$E$595,$G554)*$C$157 ,0)</f>
        <v/>
      </c>
      <c r="K554" s="95">
        <f>IF(AND(SUMIFS($D$245:$D$595,$F$245:$F$595,0,$E$245:$E$595,$G554,$C$245:$C$595,"&lt;="&amp;I$5)&lt;1000000,SUMIFS($D$245:$D$595,$F$245:$F$595,0,$E$245:$E$595,$G554,$C$245:$C$595,"&lt;="&amp;K5)&gt;=1000000),SUMIFS($D$245:$D$595,$F$245:$F$595,0,$E$245:$E$595,$G554)*$C$157 ,0)</f>
        <v/>
      </c>
      <c r="M554" s="95">
        <f>IF(AND(SUMIFS($D$245:$D$595,$F$245:$F$595,0,$E$245:$E$595,$G554,$C$245:$C$595,"&lt;="&amp;K$5)&lt;1000000,SUMIFS($D$245:$D$595,$F$245:$F$595,0,$E$245:$E$595,$G554,$C$245:$C$595,"&lt;="&amp;M5)&gt;=1000000),SUMIFS($D$245:$D$595,$F$245:$F$595,0,$E$245:$E$595,$G554)*$C$157 ,0)</f>
        <v/>
      </c>
      <c r="O554" s="95">
        <f>IF(AND(SUMIFS($D$245:$D$595,$F$245:$F$595,0,$E$245:$E$595,$G554,$C$245:$C$595,"&lt;="&amp;M$5)&lt;1000000,SUMIFS($D$245:$D$595,$F$245:$F$595,0,$E$245:$E$595,$G554,$C$245:$C$595,"&lt;="&amp;O5)&gt;=1000000),SUMIFS($D$245:$D$595,$F$245:$F$595,0,$E$245:$E$595,$G554)*$C$157 ,0)</f>
        <v/>
      </c>
      <c r="Q554" s="95">
        <f>IF(AND(SUMIFS($D$245:$D$595,$F$245:$F$595,0,$E$245:$E$595,$G554,$C$245:$C$595,"&lt;="&amp;O$5)&lt;1000000,SUMIFS($D$245:$D$595,$F$245:$F$595,0,$E$245:$E$595,$G554,$C$245:$C$595,"&lt;="&amp;Q5)&gt;=1000000),SUMIFS($D$245:$D$595,$F$245:$F$595,0,$E$245:$E$595,$G554)*$C$157 ,0)</f>
        <v/>
      </c>
      <c r="S554" s="95">
        <f>IF(AND(SUMIFS($D$245:$D$595,$F$245:$F$595,0,$E$245:$E$595,$G554,$C$245:$C$595,"&lt;="&amp;Q$5)&lt;1000000,SUMIFS($D$245:$D$595,$F$245:$F$595,0,$E$245:$E$595,$G554,$C$245:$C$595,"&lt;="&amp;S5)&gt;=1000000),SUMIFS($D$245:$D$595,$F$245:$F$595,0,$E$245:$E$595,$G554)*$C$157 ,0)</f>
        <v/>
      </c>
      <c r="U554" s="95">
        <f>IF(AND(SUMIFS($D$245:$D$595,$F$245:$F$595,0,$E$245:$E$595,$G554,$C$245:$C$595,"&lt;="&amp;S$5)&lt;1000000,SUMIFS($D$245:$D$595,$F$245:$F$595,0,$E$245:$E$595,$G554,$C$245:$C$595,"&lt;="&amp;U5)&gt;=1000000),SUMIFS($D$245:$D$595,$F$245:$F$595,0,$E$245:$E$595,$G554)*$C$157 ,0)</f>
        <v/>
      </c>
      <c r="W554" s="95">
        <f>IF(AND(SUMIFS($D$245:$D$595,$F$245:$F$595,0,$E$245:$E$595,$G554,$C$245:$C$595,"&lt;="&amp;U$5)&lt;1000000,SUMIFS($D$245:$D$595,$F$245:$F$595,0,$E$245:$E$595,$G554,$C$245:$C$595,"&lt;="&amp;W5)&gt;=1000000),SUMIFS($D$245:$D$595,$F$245:$F$595,0,$E$245:$E$595,$G554)*$C$157 ,0)</f>
        <v/>
      </c>
      <c r="Y554" s="95">
        <f>IF(AND(SUMIFS($D$245:$D$595,$F$245:$F$595,0,$E$245:$E$595,$G554,$C$245:$C$595,"&lt;="&amp;W$5)&lt;1000000,SUMIFS($D$245:$D$595,$F$245:$F$595,0,$E$245:$E$595,$G554,$C$245:$C$595,"&lt;="&amp;Y5)&gt;=1000000),SUMIFS($D$245:$D$595,$F$245:$F$595,0,$E$245:$E$595,$G554)*$C$157 ,0)</f>
        <v/>
      </c>
      <c r="AA554" s="95">
        <f>IF(AND(SUMIFS($D$245:$D$595,$F$245:$F$595,0,$E$245:$E$595,$G554,$C$245:$C$595,"&lt;="&amp;Y$5)&lt;1000000,SUMIFS($D$245:$D$595,$F$245:$F$595,0,$E$245:$E$595,$G554,$C$245:$C$595,"&lt;="&amp;AA5)&gt;=1000000),SUMIFS($D$245:$D$595,$F$245:$F$595,0,$E$245:$E$595,$G554)*$C$157 ,0)</f>
        <v/>
      </c>
      <c r="AC554" s="95">
        <f>IF(AND(SUMIFS($D$245:$D$595,$F$245:$F$595,0,$E$245:$E$595,$G554,$C$245:$C$595,"&lt;="&amp;AA$5)&lt;1000000,SUMIFS($D$245:$D$595,$F$245:$F$595,0,$E$245:$E$595,$G554,$C$245:$C$595,"&lt;="&amp;AC5)&gt;=1000000),SUMIFS($D$245:$D$595,$F$245:$F$595,0,$E$245:$E$595,$G554)*$C$157 ,0)</f>
        <v/>
      </c>
      <c r="AE554" s="95">
        <f>IF(AND(SUMIFS($D$245:$D$595,$F$245:$F$595,0,$E$245:$E$595,$G554,$C$245:$C$595,"&lt;="&amp;AC$5)&lt;1000000,SUMIFS($D$245:$D$595,$F$245:$F$595,0,$E$245:$E$595,$G554,$C$245:$C$595,"&lt;="&amp;AE5)&gt;=1000000),SUMIFS($D$245:$D$595,$F$245:$F$595,0,$E$245:$E$595,$G554)*$C$157 ,0)</f>
        <v/>
      </c>
      <c r="AF554" s="19" t="n"/>
    </row>
    <row r="555">
      <c r="A555" s="20">
        <f>mid(E555, 3, 1)</f>
        <v/>
      </c>
      <c r="B555" s="14" t="inlineStr"/>
      <c r="C555" s="21">
        <f>SUMIFS('Investor Exit List'!$AC:$AC,'Investor Exit List'!$AB:$AB,B555)</f>
        <v/>
      </c>
      <c r="D555" s="14">
        <f>SUMIFS('Investor Exit List'!$Q:$Q,'Investor Exit List'!$AB:$AB,B555)</f>
        <v/>
      </c>
      <c r="E555" s="31">
        <f>LEFT(B555,6)</f>
        <v/>
      </c>
      <c r="F555" s="14">
        <f>IF(SUMIFS($E$119:$E$151,$D$119:$D$151,E555)&lt;&gt;0,E555,0)</f>
        <v/>
      </c>
      <c r="G555" s="59" t="n"/>
      <c r="I555" s="28">
        <f>IF(AND(SUMIFS($D$245:$D$595,$F$245:$F$595,0,$E$245:$E$595,$G555,$C$245:$C$595,"&lt;="&amp;B$2)&lt;1000000,SUMIFS($D$245:$D$595,$F$245:$F$595,0,$E$245:$E$595,$G555,$C$245:$C$595,"&lt;="&amp;I5)&gt;=1000000),SUMIFS($D$245:$D$595,$F$245:$F$595,0,$E$245:$E$595,$G555)*$C$157 ,0)</f>
        <v/>
      </c>
      <c r="K555" s="95">
        <f>IF(AND(SUMIFS($D$245:$D$595,$F$245:$F$595,0,$E$245:$E$595,$G555,$C$245:$C$595,"&lt;="&amp;I$5)&lt;1000000,SUMIFS($D$245:$D$595,$F$245:$F$595,0,$E$245:$E$595,$G555,$C$245:$C$595,"&lt;="&amp;K5)&gt;=1000000),SUMIFS($D$245:$D$595,$F$245:$F$595,0,$E$245:$E$595,$G555)*$C$157 ,0)</f>
        <v/>
      </c>
      <c r="M555" s="95">
        <f>IF(AND(SUMIFS($D$245:$D$595,$F$245:$F$595,0,$E$245:$E$595,$G555,$C$245:$C$595,"&lt;="&amp;K$5)&lt;1000000,SUMIFS($D$245:$D$595,$F$245:$F$595,0,$E$245:$E$595,$G555,$C$245:$C$595,"&lt;="&amp;M5)&gt;=1000000),SUMIFS($D$245:$D$595,$F$245:$F$595,0,$E$245:$E$595,$G555)*$C$157 ,0)</f>
        <v/>
      </c>
      <c r="O555" s="95">
        <f>IF(AND(SUMIFS($D$245:$D$595,$F$245:$F$595,0,$E$245:$E$595,$G555,$C$245:$C$595,"&lt;="&amp;M$5)&lt;1000000,SUMIFS($D$245:$D$595,$F$245:$F$595,0,$E$245:$E$595,$G555,$C$245:$C$595,"&lt;="&amp;O5)&gt;=1000000),SUMIFS($D$245:$D$595,$F$245:$F$595,0,$E$245:$E$595,$G555)*$C$157 ,0)</f>
        <v/>
      </c>
      <c r="Q555" s="95">
        <f>IF(AND(SUMIFS($D$245:$D$595,$F$245:$F$595,0,$E$245:$E$595,$G555,$C$245:$C$595,"&lt;="&amp;O$5)&lt;1000000,SUMIFS($D$245:$D$595,$F$245:$F$595,0,$E$245:$E$595,$G555,$C$245:$C$595,"&lt;="&amp;Q5)&gt;=1000000),SUMIFS($D$245:$D$595,$F$245:$F$595,0,$E$245:$E$595,$G555)*$C$157 ,0)</f>
        <v/>
      </c>
      <c r="S555" s="95">
        <f>IF(AND(SUMIFS($D$245:$D$595,$F$245:$F$595,0,$E$245:$E$595,$G555,$C$245:$C$595,"&lt;="&amp;Q$5)&lt;1000000,SUMIFS($D$245:$D$595,$F$245:$F$595,0,$E$245:$E$595,$G555,$C$245:$C$595,"&lt;="&amp;S5)&gt;=1000000),SUMIFS($D$245:$D$595,$F$245:$F$595,0,$E$245:$E$595,$G555)*$C$157 ,0)</f>
        <v/>
      </c>
      <c r="U555" s="95">
        <f>IF(AND(SUMIFS($D$245:$D$595,$F$245:$F$595,0,$E$245:$E$595,$G555,$C$245:$C$595,"&lt;="&amp;S$5)&lt;1000000,SUMIFS($D$245:$D$595,$F$245:$F$595,0,$E$245:$E$595,$G555,$C$245:$C$595,"&lt;="&amp;U5)&gt;=1000000),SUMIFS($D$245:$D$595,$F$245:$F$595,0,$E$245:$E$595,$G555)*$C$157 ,0)</f>
        <v/>
      </c>
      <c r="W555" s="95">
        <f>IF(AND(SUMIFS($D$245:$D$595,$F$245:$F$595,0,$E$245:$E$595,$G555,$C$245:$C$595,"&lt;="&amp;U$5)&lt;1000000,SUMIFS($D$245:$D$595,$F$245:$F$595,0,$E$245:$E$595,$G555,$C$245:$C$595,"&lt;="&amp;W5)&gt;=1000000),SUMIFS($D$245:$D$595,$F$245:$F$595,0,$E$245:$E$595,$G555)*$C$157 ,0)</f>
        <v/>
      </c>
      <c r="Y555" s="95">
        <f>IF(AND(SUMIFS($D$245:$D$595,$F$245:$F$595,0,$E$245:$E$595,$G555,$C$245:$C$595,"&lt;="&amp;W$5)&lt;1000000,SUMIFS($D$245:$D$595,$F$245:$F$595,0,$E$245:$E$595,$G555,$C$245:$C$595,"&lt;="&amp;Y5)&gt;=1000000),SUMIFS($D$245:$D$595,$F$245:$F$595,0,$E$245:$E$595,$G555)*$C$157 ,0)</f>
        <v/>
      </c>
      <c r="AA555" s="95">
        <f>IF(AND(SUMIFS($D$245:$D$595,$F$245:$F$595,0,$E$245:$E$595,$G555,$C$245:$C$595,"&lt;="&amp;Y$5)&lt;1000000,SUMIFS($D$245:$D$595,$F$245:$F$595,0,$E$245:$E$595,$G555,$C$245:$C$595,"&lt;="&amp;AA5)&gt;=1000000),SUMIFS($D$245:$D$595,$F$245:$F$595,0,$E$245:$E$595,$G555)*$C$157 ,0)</f>
        <v/>
      </c>
      <c r="AC555" s="95">
        <f>IF(AND(SUMIFS($D$245:$D$595,$F$245:$F$595,0,$E$245:$E$595,$G555,$C$245:$C$595,"&lt;="&amp;AA$5)&lt;1000000,SUMIFS($D$245:$D$595,$F$245:$F$595,0,$E$245:$E$595,$G555,$C$245:$C$595,"&lt;="&amp;AC5)&gt;=1000000),SUMIFS($D$245:$D$595,$F$245:$F$595,0,$E$245:$E$595,$G555)*$C$157 ,0)</f>
        <v/>
      </c>
      <c r="AE555" s="95">
        <f>IF(AND(SUMIFS($D$245:$D$595,$F$245:$F$595,0,$E$245:$E$595,$G555,$C$245:$C$595,"&lt;="&amp;AC$5)&lt;1000000,SUMIFS($D$245:$D$595,$F$245:$F$595,0,$E$245:$E$595,$G555,$C$245:$C$595,"&lt;="&amp;AE5)&gt;=1000000),SUMIFS($D$245:$D$595,$F$245:$F$595,0,$E$245:$E$595,$G555)*$C$157 ,0)</f>
        <v/>
      </c>
      <c r="AF555" s="19" t="n"/>
    </row>
    <row r="556">
      <c r="A556" s="20">
        <f>mid(E556, 3, 1)</f>
        <v/>
      </c>
      <c r="B556" s="14" t="inlineStr"/>
      <c r="C556" s="21">
        <f>SUMIFS('Investor Exit List'!$AC:$AC,'Investor Exit List'!$AB:$AB,B556)</f>
        <v/>
      </c>
      <c r="D556" s="14">
        <f>SUMIFS('Investor Exit List'!$Q:$Q,'Investor Exit List'!$AB:$AB,B556)</f>
        <v/>
      </c>
      <c r="E556" s="31">
        <f>LEFT(B556,6)</f>
        <v/>
      </c>
      <c r="F556" s="14">
        <f>IF(SUMIFS($E$119:$E$151,$D$119:$D$151,E556)&lt;&gt;0,E556,0)</f>
        <v/>
      </c>
      <c r="G556" s="59" t="n"/>
      <c r="I556" s="28">
        <f>IF(AND(SUMIFS($D$245:$D$595,$F$245:$F$595,0,$E$245:$E$595,$G556,$C$245:$C$595,"&lt;="&amp;B$2)&lt;1000000,SUMIFS($D$245:$D$595,$F$245:$F$595,0,$E$245:$E$595,$G556,$C$245:$C$595,"&lt;="&amp;I5)&gt;=1000000),SUMIFS($D$245:$D$595,$F$245:$F$595,0,$E$245:$E$595,$G556)*$C$157 ,0)</f>
        <v/>
      </c>
      <c r="K556" s="95">
        <f>IF(AND(SUMIFS($D$245:$D$595,$F$245:$F$595,0,$E$245:$E$595,$G556,$C$245:$C$595,"&lt;="&amp;I$5)&lt;1000000,SUMIFS($D$245:$D$595,$F$245:$F$595,0,$E$245:$E$595,$G556,$C$245:$C$595,"&lt;="&amp;K5)&gt;=1000000),SUMIFS($D$245:$D$595,$F$245:$F$595,0,$E$245:$E$595,$G556)*$C$157 ,0)</f>
        <v/>
      </c>
      <c r="M556" s="95">
        <f>IF(AND(SUMIFS($D$245:$D$595,$F$245:$F$595,0,$E$245:$E$595,$G556,$C$245:$C$595,"&lt;="&amp;K$5)&lt;1000000,SUMIFS($D$245:$D$595,$F$245:$F$595,0,$E$245:$E$595,$G556,$C$245:$C$595,"&lt;="&amp;M5)&gt;=1000000),SUMIFS($D$245:$D$595,$F$245:$F$595,0,$E$245:$E$595,$G556)*$C$157 ,0)</f>
        <v/>
      </c>
      <c r="O556" s="95">
        <f>IF(AND(SUMIFS($D$245:$D$595,$F$245:$F$595,0,$E$245:$E$595,$G556,$C$245:$C$595,"&lt;="&amp;M$5)&lt;1000000,SUMIFS($D$245:$D$595,$F$245:$F$595,0,$E$245:$E$595,$G556,$C$245:$C$595,"&lt;="&amp;O5)&gt;=1000000),SUMIFS($D$245:$D$595,$F$245:$F$595,0,$E$245:$E$595,$G556)*$C$157 ,0)</f>
        <v/>
      </c>
      <c r="Q556" s="95">
        <f>IF(AND(SUMIFS($D$245:$D$595,$F$245:$F$595,0,$E$245:$E$595,$G556,$C$245:$C$595,"&lt;="&amp;O$5)&lt;1000000,SUMIFS($D$245:$D$595,$F$245:$F$595,0,$E$245:$E$595,$G556,$C$245:$C$595,"&lt;="&amp;Q5)&gt;=1000000),SUMIFS($D$245:$D$595,$F$245:$F$595,0,$E$245:$E$595,$G556)*$C$157 ,0)</f>
        <v/>
      </c>
      <c r="S556" s="95">
        <f>IF(AND(SUMIFS($D$245:$D$595,$F$245:$F$595,0,$E$245:$E$595,$G556,$C$245:$C$595,"&lt;="&amp;Q$5)&lt;1000000,SUMIFS($D$245:$D$595,$F$245:$F$595,0,$E$245:$E$595,$G556,$C$245:$C$595,"&lt;="&amp;S5)&gt;=1000000),SUMIFS($D$245:$D$595,$F$245:$F$595,0,$E$245:$E$595,$G556)*$C$157 ,0)</f>
        <v/>
      </c>
      <c r="U556" s="95">
        <f>IF(AND(SUMIFS($D$245:$D$595,$F$245:$F$595,0,$E$245:$E$595,$G556,$C$245:$C$595,"&lt;="&amp;S$5)&lt;1000000,SUMIFS($D$245:$D$595,$F$245:$F$595,0,$E$245:$E$595,$G556,$C$245:$C$595,"&lt;="&amp;U5)&gt;=1000000),SUMIFS($D$245:$D$595,$F$245:$F$595,0,$E$245:$E$595,$G556)*$C$157 ,0)</f>
        <v/>
      </c>
      <c r="W556" s="95">
        <f>IF(AND(SUMIFS($D$245:$D$595,$F$245:$F$595,0,$E$245:$E$595,$G556,$C$245:$C$595,"&lt;="&amp;U$5)&lt;1000000,SUMIFS($D$245:$D$595,$F$245:$F$595,0,$E$245:$E$595,$G556,$C$245:$C$595,"&lt;="&amp;W5)&gt;=1000000),SUMIFS($D$245:$D$595,$F$245:$F$595,0,$E$245:$E$595,$G556)*$C$157 ,0)</f>
        <v/>
      </c>
      <c r="Y556" s="95">
        <f>IF(AND(SUMIFS($D$245:$D$595,$F$245:$F$595,0,$E$245:$E$595,$G556,$C$245:$C$595,"&lt;="&amp;W$5)&lt;1000000,SUMIFS($D$245:$D$595,$F$245:$F$595,0,$E$245:$E$595,$G556,$C$245:$C$595,"&lt;="&amp;Y5)&gt;=1000000),SUMIFS($D$245:$D$595,$F$245:$F$595,0,$E$245:$E$595,$G556)*$C$157 ,0)</f>
        <v/>
      </c>
      <c r="AA556" s="95">
        <f>IF(AND(SUMIFS($D$245:$D$595,$F$245:$F$595,0,$E$245:$E$595,$G556,$C$245:$C$595,"&lt;="&amp;Y$5)&lt;1000000,SUMIFS($D$245:$D$595,$F$245:$F$595,0,$E$245:$E$595,$G556,$C$245:$C$595,"&lt;="&amp;AA5)&gt;=1000000),SUMIFS($D$245:$D$595,$F$245:$F$595,0,$E$245:$E$595,$G556)*$C$157 ,0)</f>
        <v/>
      </c>
      <c r="AC556" s="95">
        <f>IF(AND(SUMIFS($D$245:$D$595,$F$245:$F$595,0,$E$245:$E$595,$G556,$C$245:$C$595,"&lt;="&amp;AA$5)&lt;1000000,SUMIFS($D$245:$D$595,$F$245:$F$595,0,$E$245:$E$595,$G556,$C$245:$C$595,"&lt;="&amp;AC5)&gt;=1000000),SUMIFS($D$245:$D$595,$F$245:$F$595,0,$E$245:$E$595,$G556)*$C$157 ,0)</f>
        <v/>
      </c>
      <c r="AE556" s="95">
        <f>IF(AND(SUMIFS($D$245:$D$595,$F$245:$F$595,0,$E$245:$E$595,$G556,$C$245:$C$595,"&lt;="&amp;AC$5)&lt;1000000,SUMIFS($D$245:$D$595,$F$245:$F$595,0,$E$245:$E$595,$G556,$C$245:$C$595,"&lt;="&amp;AE5)&gt;=1000000),SUMIFS($D$245:$D$595,$F$245:$F$595,0,$E$245:$E$595,$G556)*$C$157 ,0)</f>
        <v/>
      </c>
      <c r="AF556" s="19" t="n"/>
    </row>
    <row r="557">
      <c r="A557" s="20">
        <f>mid(E557, 3, 1)</f>
        <v/>
      </c>
      <c r="B557" s="14" t="inlineStr"/>
      <c r="C557" s="21">
        <f>SUMIFS('Investor Exit List'!$AC:$AC,'Investor Exit List'!$AB:$AB,B557)</f>
        <v/>
      </c>
      <c r="D557" s="14">
        <f>SUMIFS('Investor Exit List'!$Q:$Q,'Investor Exit List'!$AB:$AB,B557)</f>
        <v/>
      </c>
      <c r="E557" s="31">
        <f>LEFT(B557,6)</f>
        <v/>
      </c>
      <c r="F557" s="14">
        <f>IF(SUMIFS($E$119:$E$151,$D$119:$D$151,E557)&lt;&gt;0,E557,0)</f>
        <v/>
      </c>
      <c r="G557" s="59" t="n"/>
      <c r="I557" s="28">
        <f>IF(AND(SUMIFS($D$245:$D$595,$F$245:$F$595,0,$E$245:$E$595,$G557,$C$245:$C$595,"&lt;="&amp;B$2)&lt;1000000,SUMIFS($D$245:$D$595,$F$245:$F$595,0,$E$245:$E$595,$G557,$C$245:$C$595,"&lt;="&amp;I5)&gt;=1000000),SUMIFS($D$245:$D$595,$F$245:$F$595,0,$E$245:$E$595,$G557)*$C$157 ,0)</f>
        <v/>
      </c>
      <c r="K557" s="95">
        <f>IF(AND(SUMIFS($D$245:$D$595,$F$245:$F$595,0,$E$245:$E$595,$G557,$C$245:$C$595,"&lt;="&amp;I$5)&lt;1000000,SUMIFS($D$245:$D$595,$F$245:$F$595,0,$E$245:$E$595,$G557,$C$245:$C$595,"&lt;="&amp;K5)&gt;=1000000),SUMIFS($D$245:$D$595,$F$245:$F$595,0,$E$245:$E$595,$G557)*$C$157 ,0)</f>
        <v/>
      </c>
      <c r="M557" s="95">
        <f>IF(AND(SUMIFS($D$245:$D$595,$F$245:$F$595,0,$E$245:$E$595,$G557,$C$245:$C$595,"&lt;="&amp;K$5)&lt;1000000,SUMIFS($D$245:$D$595,$F$245:$F$595,0,$E$245:$E$595,$G557,$C$245:$C$595,"&lt;="&amp;M5)&gt;=1000000),SUMIFS($D$245:$D$595,$F$245:$F$595,0,$E$245:$E$595,$G557)*$C$157 ,0)</f>
        <v/>
      </c>
      <c r="O557" s="95">
        <f>IF(AND(SUMIFS($D$245:$D$595,$F$245:$F$595,0,$E$245:$E$595,$G557,$C$245:$C$595,"&lt;="&amp;M$5)&lt;1000000,SUMIFS($D$245:$D$595,$F$245:$F$595,0,$E$245:$E$595,$G557,$C$245:$C$595,"&lt;="&amp;O5)&gt;=1000000),SUMIFS($D$245:$D$595,$F$245:$F$595,0,$E$245:$E$595,$G557)*$C$157 ,0)</f>
        <v/>
      </c>
      <c r="Q557" s="95">
        <f>IF(AND(SUMIFS($D$245:$D$595,$F$245:$F$595,0,$E$245:$E$595,$G557,$C$245:$C$595,"&lt;="&amp;O$5)&lt;1000000,SUMIFS($D$245:$D$595,$F$245:$F$595,0,$E$245:$E$595,$G557,$C$245:$C$595,"&lt;="&amp;Q5)&gt;=1000000),SUMIFS($D$245:$D$595,$F$245:$F$595,0,$E$245:$E$595,$G557)*$C$157 ,0)</f>
        <v/>
      </c>
      <c r="S557" s="95">
        <f>IF(AND(SUMIFS($D$245:$D$595,$F$245:$F$595,0,$E$245:$E$595,$G557,$C$245:$C$595,"&lt;="&amp;Q$5)&lt;1000000,SUMIFS($D$245:$D$595,$F$245:$F$595,0,$E$245:$E$595,$G557,$C$245:$C$595,"&lt;="&amp;S5)&gt;=1000000),SUMIFS($D$245:$D$595,$F$245:$F$595,0,$E$245:$E$595,$G557)*$C$157 ,0)</f>
        <v/>
      </c>
      <c r="U557" s="95">
        <f>IF(AND(SUMIFS($D$245:$D$595,$F$245:$F$595,0,$E$245:$E$595,$G557,$C$245:$C$595,"&lt;="&amp;S$5)&lt;1000000,SUMIFS($D$245:$D$595,$F$245:$F$595,0,$E$245:$E$595,$G557,$C$245:$C$595,"&lt;="&amp;U5)&gt;=1000000),SUMIFS($D$245:$D$595,$F$245:$F$595,0,$E$245:$E$595,$G557)*$C$157 ,0)</f>
        <v/>
      </c>
      <c r="W557" s="95">
        <f>IF(AND(SUMIFS($D$245:$D$595,$F$245:$F$595,0,$E$245:$E$595,$G557,$C$245:$C$595,"&lt;="&amp;U$5)&lt;1000000,SUMIFS($D$245:$D$595,$F$245:$F$595,0,$E$245:$E$595,$G557,$C$245:$C$595,"&lt;="&amp;W5)&gt;=1000000),SUMIFS($D$245:$D$595,$F$245:$F$595,0,$E$245:$E$595,$G557)*$C$157 ,0)</f>
        <v/>
      </c>
      <c r="Y557" s="95">
        <f>IF(AND(SUMIFS($D$245:$D$595,$F$245:$F$595,0,$E$245:$E$595,$G557,$C$245:$C$595,"&lt;="&amp;W$5)&lt;1000000,SUMIFS($D$245:$D$595,$F$245:$F$595,0,$E$245:$E$595,$G557,$C$245:$C$595,"&lt;="&amp;Y5)&gt;=1000000),SUMIFS($D$245:$D$595,$F$245:$F$595,0,$E$245:$E$595,$G557)*$C$157 ,0)</f>
        <v/>
      </c>
      <c r="AA557" s="95">
        <f>IF(AND(SUMIFS($D$245:$D$595,$F$245:$F$595,0,$E$245:$E$595,$G557,$C$245:$C$595,"&lt;="&amp;Y$5)&lt;1000000,SUMIFS($D$245:$D$595,$F$245:$F$595,0,$E$245:$E$595,$G557,$C$245:$C$595,"&lt;="&amp;AA5)&gt;=1000000),SUMIFS($D$245:$D$595,$F$245:$F$595,0,$E$245:$E$595,$G557)*$C$157 ,0)</f>
        <v/>
      </c>
      <c r="AC557" s="95">
        <f>IF(AND(SUMIFS($D$245:$D$595,$F$245:$F$595,0,$E$245:$E$595,$G557,$C$245:$C$595,"&lt;="&amp;AA$5)&lt;1000000,SUMIFS($D$245:$D$595,$F$245:$F$595,0,$E$245:$E$595,$G557,$C$245:$C$595,"&lt;="&amp;AC5)&gt;=1000000),SUMIFS($D$245:$D$595,$F$245:$F$595,0,$E$245:$E$595,$G557)*$C$157 ,0)</f>
        <v/>
      </c>
      <c r="AE557" s="95">
        <f>IF(AND(SUMIFS($D$245:$D$595,$F$245:$F$595,0,$E$245:$E$595,$G557,$C$245:$C$595,"&lt;="&amp;AC$5)&lt;1000000,SUMIFS($D$245:$D$595,$F$245:$F$595,0,$E$245:$E$595,$G557,$C$245:$C$595,"&lt;="&amp;AE5)&gt;=1000000),SUMIFS($D$245:$D$595,$F$245:$F$595,0,$E$245:$E$595,$G557)*$C$157 ,0)</f>
        <v/>
      </c>
      <c r="AF557" s="19" t="n"/>
    </row>
    <row r="558">
      <c r="A558" s="20">
        <f>mid(E558, 3, 1)</f>
        <v/>
      </c>
      <c r="B558" s="14" t="inlineStr"/>
      <c r="C558" s="21">
        <f>SUMIFS('Investor Exit List'!$AC:$AC,'Investor Exit List'!$AB:$AB,B558)</f>
        <v/>
      </c>
      <c r="D558" s="14">
        <f>SUMIFS('Investor Exit List'!$Q:$Q,'Investor Exit List'!$AB:$AB,B558)</f>
        <v/>
      </c>
      <c r="E558" s="31">
        <f>LEFT(B558,6)</f>
        <v/>
      </c>
      <c r="F558" s="14">
        <f>IF(SUMIFS($E$119:$E$151,$D$119:$D$151,E558)&lt;&gt;0,E558,0)</f>
        <v/>
      </c>
      <c r="G558" s="59" t="n"/>
      <c r="I558" s="28">
        <f>IF(AND(SUMIFS($D$245:$D$595,$F$245:$F$595,0,$E$245:$E$595,$G558,$C$245:$C$595,"&lt;="&amp;B$2)&lt;1000000,SUMIFS($D$245:$D$595,$F$245:$F$595,0,$E$245:$E$595,$G558,$C$245:$C$595,"&lt;="&amp;I5)&gt;=1000000),SUMIFS($D$245:$D$595,$F$245:$F$595,0,$E$245:$E$595,$G558)*$C$157 ,0)</f>
        <v/>
      </c>
      <c r="K558" s="95">
        <f>IF(AND(SUMIFS($D$245:$D$595,$F$245:$F$595,0,$E$245:$E$595,$G558,$C$245:$C$595,"&lt;="&amp;I$5)&lt;1000000,SUMIFS($D$245:$D$595,$F$245:$F$595,0,$E$245:$E$595,$G558,$C$245:$C$595,"&lt;="&amp;K5)&gt;=1000000),SUMIFS($D$245:$D$595,$F$245:$F$595,0,$E$245:$E$595,$G558)*$C$157 ,0)</f>
        <v/>
      </c>
      <c r="M558" s="95">
        <f>IF(AND(SUMIFS($D$245:$D$595,$F$245:$F$595,0,$E$245:$E$595,$G558,$C$245:$C$595,"&lt;="&amp;K$5)&lt;1000000,SUMIFS($D$245:$D$595,$F$245:$F$595,0,$E$245:$E$595,$G558,$C$245:$C$595,"&lt;="&amp;M5)&gt;=1000000),SUMIFS($D$245:$D$595,$F$245:$F$595,0,$E$245:$E$595,$G558)*$C$157 ,0)</f>
        <v/>
      </c>
      <c r="O558" s="95">
        <f>IF(AND(SUMIFS($D$245:$D$595,$F$245:$F$595,0,$E$245:$E$595,$G558,$C$245:$C$595,"&lt;="&amp;M$5)&lt;1000000,SUMIFS($D$245:$D$595,$F$245:$F$595,0,$E$245:$E$595,$G558,$C$245:$C$595,"&lt;="&amp;O5)&gt;=1000000),SUMIFS($D$245:$D$595,$F$245:$F$595,0,$E$245:$E$595,$G558)*$C$157 ,0)</f>
        <v/>
      </c>
      <c r="Q558" s="95">
        <f>IF(AND(SUMIFS($D$245:$D$595,$F$245:$F$595,0,$E$245:$E$595,$G558,$C$245:$C$595,"&lt;="&amp;O$5)&lt;1000000,SUMIFS($D$245:$D$595,$F$245:$F$595,0,$E$245:$E$595,$G558,$C$245:$C$595,"&lt;="&amp;Q5)&gt;=1000000),SUMIFS($D$245:$D$595,$F$245:$F$595,0,$E$245:$E$595,$G558)*$C$157 ,0)</f>
        <v/>
      </c>
      <c r="S558" s="95">
        <f>IF(AND(SUMIFS($D$245:$D$595,$F$245:$F$595,0,$E$245:$E$595,$G558,$C$245:$C$595,"&lt;="&amp;Q$5)&lt;1000000,SUMIFS($D$245:$D$595,$F$245:$F$595,0,$E$245:$E$595,$G558,$C$245:$C$595,"&lt;="&amp;S5)&gt;=1000000),SUMIFS($D$245:$D$595,$F$245:$F$595,0,$E$245:$E$595,$G558)*$C$157 ,0)</f>
        <v/>
      </c>
      <c r="U558" s="95">
        <f>IF(AND(SUMIFS($D$245:$D$595,$F$245:$F$595,0,$E$245:$E$595,$G558,$C$245:$C$595,"&lt;="&amp;S$5)&lt;1000000,SUMIFS($D$245:$D$595,$F$245:$F$595,0,$E$245:$E$595,$G558,$C$245:$C$595,"&lt;="&amp;U5)&gt;=1000000),SUMIFS($D$245:$D$595,$F$245:$F$595,0,$E$245:$E$595,$G558)*$C$157 ,0)</f>
        <v/>
      </c>
      <c r="W558" s="95">
        <f>IF(AND(SUMIFS($D$245:$D$595,$F$245:$F$595,0,$E$245:$E$595,$G558,$C$245:$C$595,"&lt;="&amp;U$5)&lt;1000000,SUMIFS($D$245:$D$595,$F$245:$F$595,0,$E$245:$E$595,$G558,$C$245:$C$595,"&lt;="&amp;W5)&gt;=1000000),SUMIFS($D$245:$D$595,$F$245:$F$595,0,$E$245:$E$595,$G558)*$C$157 ,0)</f>
        <v/>
      </c>
      <c r="Y558" s="95">
        <f>IF(AND(SUMIFS($D$245:$D$595,$F$245:$F$595,0,$E$245:$E$595,$G558,$C$245:$C$595,"&lt;="&amp;W$5)&lt;1000000,SUMIFS($D$245:$D$595,$F$245:$F$595,0,$E$245:$E$595,$G558,$C$245:$C$595,"&lt;="&amp;Y5)&gt;=1000000),SUMIFS($D$245:$D$595,$F$245:$F$595,0,$E$245:$E$595,$G558)*$C$157 ,0)</f>
        <v/>
      </c>
      <c r="AA558" s="95">
        <f>IF(AND(SUMIFS($D$245:$D$595,$F$245:$F$595,0,$E$245:$E$595,$G558,$C$245:$C$595,"&lt;="&amp;Y$5)&lt;1000000,SUMIFS($D$245:$D$595,$F$245:$F$595,0,$E$245:$E$595,$G558,$C$245:$C$595,"&lt;="&amp;AA5)&gt;=1000000),SUMIFS($D$245:$D$595,$F$245:$F$595,0,$E$245:$E$595,$G558)*$C$157 ,0)</f>
        <v/>
      </c>
      <c r="AC558" s="95">
        <f>IF(AND(SUMIFS($D$245:$D$595,$F$245:$F$595,0,$E$245:$E$595,$G558,$C$245:$C$595,"&lt;="&amp;AA$5)&lt;1000000,SUMIFS($D$245:$D$595,$F$245:$F$595,0,$E$245:$E$595,$G558,$C$245:$C$595,"&lt;="&amp;AC5)&gt;=1000000),SUMIFS($D$245:$D$595,$F$245:$F$595,0,$E$245:$E$595,$G558)*$C$157 ,0)</f>
        <v/>
      </c>
      <c r="AE558" s="95">
        <f>IF(AND(SUMIFS($D$245:$D$595,$F$245:$F$595,0,$E$245:$E$595,$G558,$C$245:$C$595,"&lt;="&amp;AC$5)&lt;1000000,SUMIFS($D$245:$D$595,$F$245:$F$595,0,$E$245:$E$595,$G558,$C$245:$C$595,"&lt;="&amp;AE5)&gt;=1000000),SUMIFS($D$245:$D$595,$F$245:$F$595,0,$E$245:$E$595,$G558)*$C$157 ,0)</f>
        <v/>
      </c>
      <c r="AF558" s="19" t="n"/>
    </row>
    <row r="559">
      <c r="A559" s="20">
        <f>mid(E559, 3, 1)</f>
        <v/>
      </c>
      <c r="B559" s="14" t="inlineStr"/>
      <c r="C559" s="21">
        <f>SUMIFS('Investor Exit List'!$AC:$AC,'Investor Exit List'!$AB:$AB,B559)</f>
        <v/>
      </c>
      <c r="D559" s="14">
        <f>SUMIFS('Investor Exit List'!$Q:$Q,'Investor Exit List'!$AB:$AB,B559)</f>
        <v/>
      </c>
      <c r="E559" s="31">
        <f>LEFT(B559,6)</f>
        <v/>
      </c>
      <c r="F559" s="14">
        <f>IF(SUMIFS($E$119:$E$151,$D$119:$D$151,E559)&lt;&gt;0,E559,0)</f>
        <v/>
      </c>
      <c r="G559" s="59" t="n"/>
      <c r="I559" s="28">
        <f>IF(AND(SUMIFS($D$245:$D$595,$F$245:$F$595,0,$E$245:$E$595,$G559,$C$245:$C$595,"&lt;="&amp;B$2)&lt;1000000,SUMIFS($D$245:$D$595,$F$245:$F$595,0,$E$245:$E$595,$G559,$C$245:$C$595,"&lt;="&amp;I5)&gt;=1000000),SUMIFS($D$245:$D$595,$F$245:$F$595,0,$E$245:$E$595,$G559)*$C$157 ,0)</f>
        <v/>
      </c>
      <c r="K559" s="95">
        <f>IF(AND(SUMIFS($D$245:$D$595,$F$245:$F$595,0,$E$245:$E$595,$G559,$C$245:$C$595,"&lt;="&amp;I$5)&lt;1000000,SUMIFS($D$245:$D$595,$F$245:$F$595,0,$E$245:$E$595,$G559,$C$245:$C$595,"&lt;="&amp;K5)&gt;=1000000),SUMIFS($D$245:$D$595,$F$245:$F$595,0,$E$245:$E$595,$G559)*$C$157 ,0)</f>
        <v/>
      </c>
      <c r="M559" s="95">
        <f>IF(AND(SUMIFS($D$245:$D$595,$F$245:$F$595,0,$E$245:$E$595,$G559,$C$245:$C$595,"&lt;="&amp;K$5)&lt;1000000,SUMIFS($D$245:$D$595,$F$245:$F$595,0,$E$245:$E$595,$G559,$C$245:$C$595,"&lt;="&amp;M5)&gt;=1000000),SUMIFS($D$245:$D$595,$F$245:$F$595,0,$E$245:$E$595,$G559)*$C$157 ,0)</f>
        <v/>
      </c>
      <c r="O559" s="95">
        <f>IF(AND(SUMIFS($D$245:$D$595,$F$245:$F$595,0,$E$245:$E$595,$G559,$C$245:$C$595,"&lt;="&amp;M$5)&lt;1000000,SUMIFS($D$245:$D$595,$F$245:$F$595,0,$E$245:$E$595,$G559,$C$245:$C$595,"&lt;="&amp;O5)&gt;=1000000),SUMIFS($D$245:$D$595,$F$245:$F$595,0,$E$245:$E$595,$G559)*$C$157 ,0)</f>
        <v/>
      </c>
      <c r="Q559" s="95">
        <f>IF(AND(SUMIFS($D$245:$D$595,$F$245:$F$595,0,$E$245:$E$595,$G559,$C$245:$C$595,"&lt;="&amp;O$5)&lt;1000000,SUMIFS($D$245:$D$595,$F$245:$F$595,0,$E$245:$E$595,$G559,$C$245:$C$595,"&lt;="&amp;Q5)&gt;=1000000),SUMIFS($D$245:$D$595,$F$245:$F$595,0,$E$245:$E$595,$G559)*$C$157 ,0)</f>
        <v/>
      </c>
      <c r="S559" s="95">
        <f>IF(AND(SUMIFS($D$245:$D$595,$F$245:$F$595,0,$E$245:$E$595,$G559,$C$245:$C$595,"&lt;="&amp;Q$5)&lt;1000000,SUMIFS($D$245:$D$595,$F$245:$F$595,0,$E$245:$E$595,$G559,$C$245:$C$595,"&lt;="&amp;S5)&gt;=1000000),SUMIFS($D$245:$D$595,$F$245:$F$595,0,$E$245:$E$595,$G559)*$C$157 ,0)</f>
        <v/>
      </c>
      <c r="U559" s="95">
        <f>IF(AND(SUMIFS($D$245:$D$595,$F$245:$F$595,0,$E$245:$E$595,$G559,$C$245:$C$595,"&lt;="&amp;S$5)&lt;1000000,SUMIFS($D$245:$D$595,$F$245:$F$595,0,$E$245:$E$595,$G559,$C$245:$C$595,"&lt;="&amp;U5)&gt;=1000000),SUMIFS($D$245:$D$595,$F$245:$F$595,0,$E$245:$E$595,$G559)*$C$157 ,0)</f>
        <v/>
      </c>
      <c r="W559" s="95">
        <f>IF(AND(SUMIFS($D$245:$D$595,$F$245:$F$595,0,$E$245:$E$595,$G559,$C$245:$C$595,"&lt;="&amp;U$5)&lt;1000000,SUMIFS($D$245:$D$595,$F$245:$F$595,0,$E$245:$E$595,$G559,$C$245:$C$595,"&lt;="&amp;W5)&gt;=1000000),SUMIFS($D$245:$D$595,$F$245:$F$595,0,$E$245:$E$595,$G559)*$C$157 ,0)</f>
        <v/>
      </c>
      <c r="Y559" s="95">
        <f>IF(AND(SUMIFS($D$245:$D$595,$F$245:$F$595,0,$E$245:$E$595,$G559,$C$245:$C$595,"&lt;="&amp;W$5)&lt;1000000,SUMIFS($D$245:$D$595,$F$245:$F$595,0,$E$245:$E$595,$G559,$C$245:$C$595,"&lt;="&amp;Y5)&gt;=1000000),SUMIFS($D$245:$D$595,$F$245:$F$595,0,$E$245:$E$595,$G559)*$C$157 ,0)</f>
        <v/>
      </c>
      <c r="AA559" s="95">
        <f>IF(AND(SUMIFS($D$245:$D$595,$F$245:$F$595,0,$E$245:$E$595,$G559,$C$245:$C$595,"&lt;="&amp;Y$5)&lt;1000000,SUMIFS($D$245:$D$595,$F$245:$F$595,0,$E$245:$E$595,$G559,$C$245:$C$595,"&lt;="&amp;AA5)&gt;=1000000),SUMIFS($D$245:$D$595,$F$245:$F$595,0,$E$245:$E$595,$G559)*$C$157 ,0)</f>
        <v/>
      </c>
      <c r="AC559" s="95">
        <f>IF(AND(SUMIFS($D$245:$D$595,$F$245:$F$595,0,$E$245:$E$595,$G559,$C$245:$C$595,"&lt;="&amp;AA$5)&lt;1000000,SUMIFS($D$245:$D$595,$F$245:$F$595,0,$E$245:$E$595,$G559,$C$245:$C$595,"&lt;="&amp;AC5)&gt;=1000000),SUMIFS($D$245:$D$595,$F$245:$F$595,0,$E$245:$E$595,$G559)*$C$157 ,0)</f>
        <v/>
      </c>
      <c r="AE559" s="95">
        <f>IF(AND(SUMIFS($D$245:$D$595,$F$245:$F$595,0,$E$245:$E$595,$G559,$C$245:$C$595,"&lt;="&amp;AC$5)&lt;1000000,SUMIFS($D$245:$D$595,$F$245:$F$595,0,$E$245:$E$595,$G559,$C$245:$C$595,"&lt;="&amp;AE5)&gt;=1000000),SUMIFS($D$245:$D$595,$F$245:$F$595,0,$E$245:$E$595,$G559)*$C$157 ,0)</f>
        <v/>
      </c>
      <c r="AF559" s="19" t="n"/>
    </row>
    <row r="560">
      <c r="A560" s="20">
        <f>mid(E560, 3, 1)</f>
        <v/>
      </c>
      <c r="B560" s="14" t="inlineStr"/>
      <c r="C560" s="21">
        <f>SUMIFS('Investor Exit List'!$AC:$AC,'Investor Exit List'!$AB:$AB,B560)</f>
        <v/>
      </c>
      <c r="D560" s="14">
        <f>SUMIFS('Investor Exit List'!$Q:$Q,'Investor Exit List'!$AB:$AB,B560)</f>
        <v/>
      </c>
      <c r="E560" s="31">
        <f>LEFT(B560,6)</f>
        <v/>
      </c>
      <c r="F560" s="14">
        <f>IF(SUMIFS($E$119:$E$151,$D$119:$D$151,E560)&lt;&gt;0,E560,0)</f>
        <v/>
      </c>
      <c r="G560" s="59" t="n"/>
      <c r="I560" s="28">
        <f>IF(AND(SUMIFS($D$245:$D$595,$F$245:$F$595,0,$E$245:$E$595,$G560,$C$245:$C$595,"&lt;="&amp;B$2)&lt;1000000,SUMIFS($D$245:$D$595,$F$245:$F$595,0,$E$245:$E$595,$G560,$C$245:$C$595,"&lt;="&amp;I5)&gt;=1000000),SUMIFS($D$245:$D$595,$F$245:$F$595,0,$E$245:$E$595,$G560)*$C$157 ,0)</f>
        <v/>
      </c>
      <c r="K560" s="95">
        <f>IF(AND(SUMIFS($D$245:$D$595,$F$245:$F$595,0,$E$245:$E$595,$G560,$C$245:$C$595,"&lt;="&amp;I$5)&lt;1000000,SUMIFS($D$245:$D$595,$F$245:$F$595,0,$E$245:$E$595,$G560,$C$245:$C$595,"&lt;="&amp;K5)&gt;=1000000),SUMIFS($D$245:$D$595,$F$245:$F$595,0,$E$245:$E$595,$G560)*$C$157 ,0)</f>
        <v/>
      </c>
      <c r="M560" s="95">
        <f>IF(AND(SUMIFS($D$245:$D$595,$F$245:$F$595,0,$E$245:$E$595,$G560,$C$245:$C$595,"&lt;="&amp;K$5)&lt;1000000,SUMIFS($D$245:$D$595,$F$245:$F$595,0,$E$245:$E$595,$G560,$C$245:$C$595,"&lt;="&amp;M5)&gt;=1000000),SUMIFS($D$245:$D$595,$F$245:$F$595,0,$E$245:$E$595,$G560)*$C$157 ,0)</f>
        <v/>
      </c>
      <c r="O560" s="95">
        <f>IF(AND(SUMIFS($D$245:$D$595,$F$245:$F$595,0,$E$245:$E$595,$G560,$C$245:$C$595,"&lt;="&amp;M$5)&lt;1000000,SUMIFS($D$245:$D$595,$F$245:$F$595,0,$E$245:$E$595,$G560,$C$245:$C$595,"&lt;="&amp;O5)&gt;=1000000),SUMIFS($D$245:$D$595,$F$245:$F$595,0,$E$245:$E$595,$G560)*$C$157 ,0)</f>
        <v/>
      </c>
      <c r="Q560" s="95">
        <f>IF(AND(SUMIFS($D$245:$D$595,$F$245:$F$595,0,$E$245:$E$595,$G560,$C$245:$C$595,"&lt;="&amp;O$5)&lt;1000000,SUMIFS($D$245:$D$595,$F$245:$F$595,0,$E$245:$E$595,$G560,$C$245:$C$595,"&lt;="&amp;Q5)&gt;=1000000),SUMIFS($D$245:$D$595,$F$245:$F$595,0,$E$245:$E$595,$G560)*$C$157 ,0)</f>
        <v/>
      </c>
      <c r="S560" s="95">
        <f>IF(AND(SUMIFS($D$245:$D$595,$F$245:$F$595,0,$E$245:$E$595,$G560,$C$245:$C$595,"&lt;="&amp;Q$5)&lt;1000000,SUMIFS($D$245:$D$595,$F$245:$F$595,0,$E$245:$E$595,$G560,$C$245:$C$595,"&lt;="&amp;S5)&gt;=1000000),SUMIFS($D$245:$D$595,$F$245:$F$595,0,$E$245:$E$595,$G560)*$C$157 ,0)</f>
        <v/>
      </c>
      <c r="U560" s="95">
        <f>IF(AND(SUMIFS($D$245:$D$595,$F$245:$F$595,0,$E$245:$E$595,$G560,$C$245:$C$595,"&lt;="&amp;S$5)&lt;1000000,SUMIFS($D$245:$D$595,$F$245:$F$595,0,$E$245:$E$595,$G560,$C$245:$C$595,"&lt;="&amp;U5)&gt;=1000000),SUMIFS($D$245:$D$595,$F$245:$F$595,0,$E$245:$E$595,$G560)*$C$157 ,0)</f>
        <v/>
      </c>
      <c r="W560" s="95">
        <f>IF(AND(SUMIFS($D$245:$D$595,$F$245:$F$595,0,$E$245:$E$595,$G560,$C$245:$C$595,"&lt;="&amp;U$5)&lt;1000000,SUMIFS($D$245:$D$595,$F$245:$F$595,0,$E$245:$E$595,$G560,$C$245:$C$595,"&lt;="&amp;W5)&gt;=1000000),SUMIFS($D$245:$D$595,$F$245:$F$595,0,$E$245:$E$595,$G560)*$C$157 ,0)</f>
        <v/>
      </c>
      <c r="Y560" s="95">
        <f>IF(AND(SUMIFS($D$245:$D$595,$F$245:$F$595,0,$E$245:$E$595,$G560,$C$245:$C$595,"&lt;="&amp;W$5)&lt;1000000,SUMIFS($D$245:$D$595,$F$245:$F$595,0,$E$245:$E$595,$G560,$C$245:$C$595,"&lt;="&amp;Y5)&gt;=1000000),SUMIFS($D$245:$D$595,$F$245:$F$595,0,$E$245:$E$595,$G560)*$C$157 ,0)</f>
        <v/>
      </c>
      <c r="AA560" s="95">
        <f>IF(AND(SUMIFS($D$245:$D$595,$F$245:$F$595,0,$E$245:$E$595,$G560,$C$245:$C$595,"&lt;="&amp;Y$5)&lt;1000000,SUMIFS($D$245:$D$595,$F$245:$F$595,0,$E$245:$E$595,$G560,$C$245:$C$595,"&lt;="&amp;AA5)&gt;=1000000),SUMIFS($D$245:$D$595,$F$245:$F$595,0,$E$245:$E$595,$G560)*$C$157 ,0)</f>
        <v/>
      </c>
      <c r="AC560" s="95">
        <f>IF(AND(SUMIFS($D$245:$D$595,$F$245:$F$595,0,$E$245:$E$595,$G560,$C$245:$C$595,"&lt;="&amp;AA$5)&lt;1000000,SUMIFS($D$245:$D$595,$F$245:$F$595,0,$E$245:$E$595,$G560,$C$245:$C$595,"&lt;="&amp;AC5)&gt;=1000000),SUMIFS($D$245:$D$595,$F$245:$F$595,0,$E$245:$E$595,$G560)*$C$157 ,0)</f>
        <v/>
      </c>
      <c r="AE560" s="95">
        <f>IF(AND(SUMIFS($D$245:$D$595,$F$245:$F$595,0,$E$245:$E$595,$G560,$C$245:$C$595,"&lt;="&amp;AC$5)&lt;1000000,SUMIFS($D$245:$D$595,$F$245:$F$595,0,$E$245:$E$595,$G560,$C$245:$C$595,"&lt;="&amp;AE5)&gt;=1000000),SUMIFS($D$245:$D$595,$F$245:$F$595,0,$E$245:$E$595,$G560)*$C$157 ,0)</f>
        <v/>
      </c>
      <c r="AF560" s="19" t="n"/>
    </row>
    <row r="561">
      <c r="A561" s="20">
        <f>mid(E561, 3, 1)</f>
        <v/>
      </c>
      <c r="B561" s="14" t="inlineStr"/>
      <c r="C561" s="21">
        <f>SUMIFS('Investor Exit List'!$AC:$AC,'Investor Exit List'!$AB:$AB,B561)</f>
        <v/>
      </c>
      <c r="D561" s="14">
        <f>SUMIFS('Investor Exit List'!$Q:$Q,'Investor Exit List'!$AB:$AB,B561)</f>
        <v/>
      </c>
      <c r="E561" s="31">
        <f>LEFT(B561,6)</f>
        <v/>
      </c>
      <c r="F561" s="14">
        <f>IF(SUMIFS($E$119:$E$151,$D$119:$D$151,E561)&lt;&gt;0,E561,0)</f>
        <v/>
      </c>
      <c r="G561" s="59" t="n"/>
      <c r="I561" s="28">
        <f>IF(AND(SUMIFS($D$245:$D$595,$F$245:$F$595,0,$E$245:$E$595,$G561,$C$245:$C$595,"&lt;="&amp;B$2)&lt;1000000,SUMIFS($D$245:$D$595,$F$245:$F$595,0,$E$245:$E$595,$G561,$C$245:$C$595,"&lt;="&amp;I5)&gt;=1000000),SUMIFS($D$245:$D$595,$F$245:$F$595,0,$E$245:$E$595,$G561)*$C$157 ,0)</f>
        <v/>
      </c>
      <c r="K561" s="95">
        <f>IF(AND(SUMIFS($D$245:$D$595,$F$245:$F$595,0,$E$245:$E$595,$G561,$C$245:$C$595,"&lt;="&amp;I$5)&lt;1000000,SUMIFS($D$245:$D$595,$F$245:$F$595,0,$E$245:$E$595,$G561,$C$245:$C$595,"&lt;="&amp;K5)&gt;=1000000),SUMIFS($D$245:$D$595,$F$245:$F$595,0,$E$245:$E$595,$G561)*$C$157 ,0)</f>
        <v/>
      </c>
      <c r="M561" s="95">
        <f>IF(AND(SUMIFS($D$245:$D$595,$F$245:$F$595,0,$E$245:$E$595,$G561,$C$245:$C$595,"&lt;="&amp;K$5)&lt;1000000,SUMIFS($D$245:$D$595,$F$245:$F$595,0,$E$245:$E$595,$G561,$C$245:$C$595,"&lt;="&amp;M5)&gt;=1000000),SUMIFS($D$245:$D$595,$F$245:$F$595,0,$E$245:$E$595,$G561)*$C$157 ,0)</f>
        <v/>
      </c>
      <c r="O561" s="95">
        <f>IF(AND(SUMIFS($D$245:$D$595,$F$245:$F$595,0,$E$245:$E$595,$G561,$C$245:$C$595,"&lt;="&amp;M$5)&lt;1000000,SUMIFS($D$245:$D$595,$F$245:$F$595,0,$E$245:$E$595,$G561,$C$245:$C$595,"&lt;="&amp;O5)&gt;=1000000),SUMIFS($D$245:$D$595,$F$245:$F$595,0,$E$245:$E$595,$G561)*$C$157 ,0)</f>
        <v/>
      </c>
      <c r="Q561" s="95">
        <f>IF(AND(SUMIFS($D$245:$D$595,$F$245:$F$595,0,$E$245:$E$595,$G561,$C$245:$C$595,"&lt;="&amp;O$5)&lt;1000000,SUMIFS($D$245:$D$595,$F$245:$F$595,0,$E$245:$E$595,$G561,$C$245:$C$595,"&lt;="&amp;Q5)&gt;=1000000),SUMIFS($D$245:$D$595,$F$245:$F$595,0,$E$245:$E$595,$G561)*$C$157 ,0)</f>
        <v/>
      </c>
      <c r="S561" s="95">
        <f>IF(AND(SUMIFS($D$245:$D$595,$F$245:$F$595,0,$E$245:$E$595,$G561,$C$245:$C$595,"&lt;="&amp;Q$5)&lt;1000000,SUMIFS($D$245:$D$595,$F$245:$F$595,0,$E$245:$E$595,$G561,$C$245:$C$595,"&lt;="&amp;S5)&gt;=1000000),SUMIFS($D$245:$D$595,$F$245:$F$595,0,$E$245:$E$595,$G561)*$C$157 ,0)</f>
        <v/>
      </c>
      <c r="U561" s="95">
        <f>IF(AND(SUMIFS($D$245:$D$595,$F$245:$F$595,0,$E$245:$E$595,$G561,$C$245:$C$595,"&lt;="&amp;S$5)&lt;1000000,SUMIFS($D$245:$D$595,$F$245:$F$595,0,$E$245:$E$595,$G561,$C$245:$C$595,"&lt;="&amp;U5)&gt;=1000000),SUMIFS($D$245:$D$595,$F$245:$F$595,0,$E$245:$E$595,$G561)*$C$157 ,0)</f>
        <v/>
      </c>
      <c r="W561" s="95">
        <f>IF(AND(SUMIFS($D$245:$D$595,$F$245:$F$595,0,$E$245:$E$595,$G561,$C$245:$C$595,"&lt;="&amp;U$5)&lt;1000000,SUMIFS($D$245:$D$595,$F$245:$F$595,0,$E$245:$E$595,$G561,$C$245:$C$595,"&lt;="&amp;W5)&gt;=1000000),SUMIFS($D$245:$D$595,$F$245:$F$595,0,$E$245:$E$595,$G561)*$C$157 ,0)</f>
        <v/>
      </c>
      <c r="Y561" s="95">
        <f>IF(AND(SUMIFS($D$245:$D$595,$F$245:$F$595,0,$E$245:$E$595,$G561,$C$245:$C$595,"&lt;="&amp;W$5)&lt;1000000,SUMIFS($D$245:$D$595,$F$245:$F$595,0,$E$245:$E$595,$G561,$C$245:$C$595,"&lt;="&amp;Y5)&gt;=1000000),SUMIFS($D$245:$D$595,$F$245:$F$595,0,$E$245:$E$595,$G561)*$C$157 ,0)</f>
        <v/>
      </c>
      <c r="AA561" s="95">
        <f>IF(AND(SUMIFS($D$245:$D$595,$F$245:$F$595,0,$E$245:$E$595,$G561,$C$245:$C$595,"&lt;="&amp;Y$5)&lt;1000000,SUMIFS($D$245:$D$595,$F$245:$F$595,0,$E$245:$E$595,$G561,$C$245:$C$595,"&lt;="&amp;AA5)&gt;=1000000),SUMIFS($D$245:$D$595,$F$245:$F$595,0,$E$245:$E$595,$G561)*$C$157 ,0)</f>
        <v/>
      </c>
      <c r="AC561" s="95">
        <f>IF(AND(SUMIFS($D$245:$D$595,$F$245:$F$595,0,$E$245:$E$595,$G561,$C$245:$C$595,"&lt;="&amp;AA$5)&lt;1000000,SUMIFS($D$245:$D$595,$F$245:$F$595,0,$E$245:$E$595,$G561,$C$245:$C$595,"&lt;="&amp;AC5)&gt;=1000000),SUMIFS($D$245:$D$595,$F$245:$F$595,0,$E$245:$E$595,$G561)*$C$157 ,0)</f>
        <v/>
      </c>
      <c r="AE561" s="95">
        <f>IF(AND(SUMIFS($D$245:$D$595,$F$245:$F$595,0,$E$245:$E$595,$G561,$C$245:$C$595,"&lt;="&amp;AC$5)&lt;1000000,SUMIFS($D$245:$D$595,$F$245:$F$595,0,$E$245:$E$595,$G561,$C$245:$C$595,"&lt;="&amp;AE5)&gt;=1000000),SUMIFS($D$245:$D$595,$F$245:$F$595,0,$E$245:$E$595,$G561)*$C$157 ,0)</f>
        <v/>
      </c>
      <c r="AF561" s="19" t="n"/>
    </row>
    <row r="562">
      <c r="A562" s="20">
        <f>mid(E562, 3, 1)</f>
        <v/>
      </c>
      <c r="B562" s="14" t="inlineStr"/>
      <c r="C562" s="21">
        <f>SUMIFS('Investor Exit List'!$AC:$AC,'Investor Exit List'!$AB:$AB,B562)</f>
        <v/>
      </c>
      <c r="D562" s="14">
        <f>SUMIFS('Investor Exit List'!$Q:$Q,'Investor Exit List'!$AB:$AB,B562)</f>
        <v/>
      </c>
      <c r="E562" s="31">
        <f>LEFT(B562,6)</f>
        <v/>
      </c>
      <c r="F562" s="14">
        <f>IF(SUMIFS($E$119:$E$151,$D$119:$D$151,E562)&lt;&gt;0,E562,0)</f>
        <v/>
      </c>
      <c r="G562" s="59" t="n"/>
      <c r="I562" s="28">
        <f>IF(AND(SUMIFS($D$245:$D$595,$F$245:$F$595,0,$E$245:$E$595,$G562,$C$245:$C$595,"&lt;="&amp;B$2)&lt;1000000,SUMIFS($D$245:$D$595,$F$245:$F$595,0,$E$245:$E$595,$G562,$C$245:$C$595,"&lt;="&amp;I5)&gt;=1000000),SUMIFS($D$245:$D$595,$F$245:$F$595,0,$E$245:$E$595,$G562)*$C$157 ,0)</f>
        <v/>
      </c>
      <c r="K562" s="95">
        <f>IF(AND(SUMIFS($D$245:$D$595,$F$245:$F$595,0,$E$245:$E$595,$G562,$C$245:$C$595,"&lt;="&amp;I$5)&lt;1000000,SUMIFS($D$245:$D$595,$F$245:$F$595,0,$E$245:$E$595,$G562,$C$245:$C$595,"&lt;="&amp;K5)&gt;=1000000),SUMIFS($D$245:$D$595,$F$245:$F$595,0,$E$245:$E$595,$G562)*$C$157 ,0)</f>
        <v/>
      </c>
      <c r="M562" s="95">
        <f>IF(AND(SUMIFS($D$245:$D$595,$F$245:$F$595,0,$E$245:$E$595,$G562,$C$245:$C$595,"&lt;="&amp;K$5)&lt;1000000,SUMIFS($D$245:$D$595,$F$245:$F$595,0,$E$245:$E$595,$G562,$C$245:$C$595,"&lt;="&amp;M5)&gt;=1000000),SUMIFS($D$245:$D$595,$F$245:$F$595,0,$E$245:$E$595,$G562)*$C$157 ,0)</f>
        <v/>
      </c>
      <c r="O562" s="95">
        <f>IF(AND(SUMIFS($D$245:$D$595,$F$245:$F$595,0,$E$245:$E$595,$G562,$C$245:$C$595,"&lt;="&amp;M$5)&lt;1000000,SUMIFS($D$245:$D$595,$F$245:$F$595,0,$E$245:$E$595,$G562,$C$245:$C$595,"&lt;="&amp;O5)&gt;=1000000),SUMIFS($D$245:$D$595,$F$245:$F$595,0,$E$245:$E$595,$G562)*$C$157 ,0)</f>
        <v/>
      </c>
      <c r="Q562" s="95">
        <f>IF(AND(SUMIFS($D$245:$D$595,$F$245:$F$595,0,$E$245:$E$595,$G562,$C$245:$C$595,"&lt;="&amp;O$5)&lt;1000000,SUMIFS($D$245:$D$595,$F$245:$F$595,0,$E$245:$E$595,$G562,$C$245:$C$595,"&lt;="&amp;Q5)&gt;=1000000),SUMIFS($D$245:$D$595,$F$245:$F$595,0,$E$245:$E$595,$G562)*$C$157 ,0)</f>
        <v/>
      </c>
      <c r="S562" s="95">
        <f>IF(AND(SUMIFS($D$245:$D$595,$F$245:$F$595,0,$E$245:$E$595,$G562,$C$245:$C$595,"&lt;="&amp;Q$5)&lt;1000000,SUMIFS($D$245:$D$595,$F$245:$F$595,0,$E$245:$E$595,$G562,$C$245:$C$595,"&lt;="&amp;S5)&gt;=1000000),SUMIFS($D$245:$D$595,$F$245:$F$595,0,$E$245:$E$595,$G562)*$C$157 ,0)</f>
        <v/>
      </c>
      <c r="U562" s="95">
        <f>IF(AND(SUMIFS($D$245:$D$595,$F$245:$F$595,0,$E$245:$E$595,$G562,$C$245:$C$595,"&lt;="&amp;S$5)&lt;1000000,SUMIFS($D$245:$D$595,$F$245:$F$595,0,$E$245:$E$595,$G562,$C$245:$C$595,"&lt;="&amp;U5)&gt;=1000000),SUMIFS($D$245:$D$595,$F$245:$F$595,0,$E$245:$E$595,$G562)*$C$157 ,0)</f>
        <v/>
      </c>
      <c r="W562" s="95">
        <f>IF(AND(SUMIFS($D$245:$D$595,$F$245:$F$595,0,$E$245:$E$595,$G562,$C$245:$C$595,"&lt;="&amp;U$5)&lt;1000000,SUMIFS($D$245:$D$595,$F$245:$F$595,0,$E$245:$E$595,$G562,$C$245:$C$595,"&lt;="&amp;W5)&gt;=1000000),SUMIFS($D$245:$D$595,$F$245:$F$595,0,$E$245:$E$595,$G562)*$C$157 ,0)</f>
        <v/>
      </c>
      <c r="Y562" s="95">
        <f>IF(AND(SUMIFS($D$245:$D$595,$F$245:$F$595,0,$E$245:$E$595,$G562,$C$245:$C$595,"&lt;="&amp;W$5)&lt;1000000,SUMIFS($D$245:$D$595,$F$245:$F$595,0,$E$245:$E$595,$G562,$C$245:$C$595,"&lt;="&amp;Y5)&gt;=1000000),SUMIFS($D$245:$D$595,$F$245:$F$595,0,$E$245:$E$595,$G562)*$C$157 ,0)</f>
        <v/>
      </c>
      <c r="AA562" s="95">
        <f>IF(AND(SUMIFS($D$245:$D$595,$F$245:$F$595,0,$E$245:$E$595,$G562,$C$245:$C$595,"&lt;="&amp;Y$5)&lt;1000000,SUMIFS($D$245:$D$595,$F$245:$F$595,0,$E$245:$E$595,$G562,$C$245:$C$595,"&lt;="&amp;AA5)&gt;=1000000),SUMIFS($D$245:$D$595,$F$245:$F$595,0,$E$245:$E$595,$G562)*$C$157 ,0)</f>
        <v/>
      </c>
      <c r="AC562" s="95">
        <f>IF(AND(SUMIFS($D$245:$D$595,$F$245:$F$595,0,$E$245:$E$595,$G562,$C$245:$C$595,"&lt;="&amp;AA$5)&lt;1000000,SUMIFS($D$245:$D$595,$F$245:$F$595,0,$E$245:$E$595,$G562,$C$245:$C$595,"&lt;="&amp;AC5)&gt;=1000000),SUMIFS($D$245:$D$595,$F$245:$F$595,0,$E$245:$E$595,$G562)*$C$157 ,0)</f>
        <v/>
      </c>
      <c r="AE562" s="95">
        <f>IF(AND(SUMIFS($D$245:$D$595,$F$245:$F$595,0,$E$245:$E$595,$G562,$C$245:$C$595,"&lt;="&amp;AC$5)&lt;1000000,SUMIFS($D$245:$D$595,$F$245:$F$595,0,$E$245:$E$595,$G562,$C$245:$C$595,"&lt;="&amp;AE5)&gt;=1000000),SUMIFS($D$245:$D$595,$F$245:$F$595,0,$E$245:$E$595,$G562)*$C$157 ,0)</f>
        <v/>
      </c>
      <c r="AF562" s="19" t="n"/>
    </row>
    <row r="563">
      <c r="A563" s="20">
        <f>mid(E563, 3, 1)</f>
        <v/>
      </c>
      <c r="B563" s="14" t="inlineStr"/>
      <c r="C563" s="21">
        <f>SUMIFS('Investor Exit List'!$AC:$AC,'Investor Exit List'!$AB:$AB,B563)</f>
        <v/>
      </c>
      <c r="D563" s="14">
        <f>SUMIFS('Investor Exit List'!$Q:$Q,'Investor Exit List'!$AB:$AB,B563)</f>
        <v/>
      </c>
      <c r="E563" s="31">
        <f>LEFT(B563,6)</f>
        <v/>
      </c>
      <c r="F563" s="14">
        <f>IF(SUMIFS($E$119:$E$151,$D$119:$D$151,E563)&lt;&gt;0,E563,0)</f>
        <v/>
      </c>
      <c r="G563" s="59" t="n"/>
      <c r="I563" s="28">
        <f>IF(AND(SUMIFS($D$245:$D$595,$F$245:$F$595,0,$E$245:$E$595,$G563,$C$245:$C$595,"&lt;="&amp;B$2)&lt;1000000,SUMIFS($D$245:$D$595,$F$245:$F$595,0,$E$245:$E$595,$G563,$C$245:$C$595,"&lt;="&amp;I5)&gt;=1000000),SUMIFS($D$245:$D$595,$F$245:$F$595,0,$E$245:$E$595,$G563)*$C$157 ,0)</f>
        <v/>
      </c>
      <c r="K563" s="95">
        <f>IF(AND(SUMIFS($D$245:$D$595,$F$245:$F$595,0,$E$245:$E$595,$G563,$C$245:$C$595,"&lt;="&amp;I$5)&lt;1000000,SUMIFS($D$245:$D$595,$F$245:$F$595,0,$E$245:$E$595,$G563,$C$245:$C$595,"&lt;="&amp;K5)&gt;=1000000),SUMIFS($D$245:$D$595,$F$245:$F$595,0,$E$245:$E$595,$G563)*$C$157 ,0)</f>
        <v/>
      </c>
      <c r="M563" s="95">
        <f>IF(AND(SUMIFS($D$245:$D$595,$F$245:$F$595,0,$E$245:$E$595,$G563,$C$245:$C$595,"&lt;="&amp;K$5)&lt;1000000,SUMIFS($D$245:$D$595,$F$245:$F$595,0,$E$245:$E$595,$G563,$C$245:$C$595,"&lt;="&amp;M5)&gt;=1000000),SUMIFS($D$245:$D$595,$F$245:$F$595,0,$E$245:$E$595,$G563)*$C$157 ,0)</f>
        <v/>
      </c>
      <c r="O563" s="95">
        <f>IF(AND(SUMIFS($D$245:$D$595,$F$245:$F$595,0,$E$245:$E$595,$G563,$C$245:$C$595,"&lt;="&amp;M$5)&lt;1000000,SUMIFS($D$245:$D$595,$F$245:$F$595,0,$E$245:$E$595,$G563,$C$245:$C$595,"&lt;="&amp;O5)&gt;=1000000),SUMIFS($D$245:$D$595,$F$245:$F$595,0,$E$245:$E$595,$G563)*$C$157 ,0)</f>
        <v/>
      </c>
      <c r="Q563" s="95">
        <f>IF(AND(SUMIFS($D$245:$D$595,$F$245:$F$595,0,$E$245:$E$595,$G563,$C$245:$C$595,"&lt;="&amp;O$5)&lt;1000000,SUMIFS($D$245:$D$595,$F$245:$F$595,0,$E$245:$E$595,$G563,$C$245:$C$595,"&lt;="&amp;Q5)&gt;=1000000),SUMIFS($D$245:$D$595,$F$245:$F$595,0,$E$245:$E$595,$G563)*$C$157 ,0)</f>
        <v/>
      </c>
      <c r="S563" s="95">
        <f>IF(AND(SUMIFS($D$245:$D$595,$F$245:$F$595,0,$E$245:$E$595,$G563,$C$245:$C$595,"&lt;="&amp;Q$5)&lt;1000000,SUMIFS($D$245:$D$595,$F$245:$F$595,0,$E$245:$E$595,$G563,$C$245:$C$595,"&lt;="&amp;S5)&gt;=1000000),SUMIFS($D$245:$D$595,$F$245:$F$595,0,$E$245:$E$595,$G563)*$C$157 ,0)</f>
        <v/>
      </c>
      <c r="U563" s="95">
        <f>IF(AND(SUMIFS($D$245:$D$595,$F$245:$F$595,0,$E$245:$E$595,$G563,$C$245:$C$595,"&lt;="&amp;S$5)&lt;1000000,SUMIFS($D$245:$D$595,$F$245:$F$595,0,$E$245:$E$595,$G563,$C$245:$C$595,"&lt;="&amp;U5)&gt;=1000000),SUMIFS($D$245:$D$595,$F$245:$F$595,0,$E$245:$E$595,$G563)*$C$157 ,0)</f>
        <v/>
      </c>
      <c r="W563" s="95">
        <f>IF(AND(SUMIFS($D$245:$D$595,$F$245:$F$595,0,$E$245:$E$595,$G563,$C$245:$C$595,"&lt;="&amp;U$5)&lt;1000000,SUMIFS($D$245:$D$595,$F$245:$F$595,0,$E$245:$E$595,$G563,$C$245:$C$595,"&lt;="&amp;W5)&gt;=1000000),SUMIFS($D$245:$D$595,$F$245:$F$595,0,$E$245:$E$595,$G563)*$C$157 ,0)</f>
        <v/>
      </c>
      <c r="Y563" s="95">
        <f>IF(AND(SUMIFS($D$245:$D$595,$F$245:$F$595,0,$E$245:$E$595,$G563,$C$245:$C$595,"&lt;="&amp;W$5)&lt;1000000,SUMIFS($D$245:$D$595,$F$245:$F$595,0,$E$245:$E$595,$G563,$C$245:$C$595,"&lt;="&amp;Y5)&gt;=1000000),SUMIFS($D$245:$D$595,$F$245:$F$595,0,$E$245:$E$595,$G563)*$C$157 ,0)</f>
        <v/>
      </c>
      <c r="AA563" s="95">
        <f>IF(AND(SUMIFS($D$245:$D$595,$F$245:$F$595,0,$E$245:$E$595,$G563,$C$245:$C$595,"&lt;="&amp;Y$5)&lt;1000000,SUMIFS($D$245:$D$595,$F$245:$F$595,0,$E$245:$E$595,$G563,$C$245:$C$595,"&lt;="&amp;AA5)&gt;=1000000),SUMIFS($D$245:$D$595,$F$245:$F$595,0,$E$245:$E$595,$G563)*$C$157 ,0)</f>
        <v/>
      </c>
      <c r="AC563" s="95">
        <f>IF(AND(SUMIFS($D$245:$D$595,$F$245:$F$595,0,$E$245:$E$595,$G563,$C$245:$C$595,"&lt;="&amp;AA$5)&lt;1000000,SUMIFS($D$245:$D$595,$F$245:$F$595,0,$E$245:$E$595,$G563,$C$245:$C$595,"&lt;="&amp;AC5)&gt;=1000000),SUMIFS($D$245:$D$595,$F$245:$F$595,0,$E$245:$E$595,$G563)*$C$157 ,0)</f>
        <v/>
      </c>
      <c r="AE563" s="95">
        <f>IF(AND(SUMIFS($D$245:$D$595,$F$245:$F$595,0,$E$245:$E$595,$G563,$C$245:$C$595,"&lt;="&amp;AC$5)&lt;1000000,SUMIFS($D$245:$D$595,$F$245:$F$595,0,$E$245:$E$595,$G563,$C$245:$C$595,"&lt;="&amp;AE5)&gt;=1000000),SUMIFS($D$245:$D$595,$F$245:$F$595,0,$E$245:$E$595,$G563)*$C$157 ,0)</f>
        <v/>
      </c>
      <c r="AF563" s="19" t="n"/>
    </row>
    <row r="564">
      <c r="A564" s="20">
        <f>mid(E564, 3, 1)</f>
        <v/>
      </c>
      <c r="B564" s="14" t="inlineStr"/>
      <c r="C564" s="21">
        <f>SUMIFS('Investor Exit List'!$AC:$AC,'Investor Exit List'!$AB:$AB,B564)</f>
        <v/>
      </c>
      <c r="D564" s="14">
        <f>SUMIFS('Investor Exit List'!$Q:$Q,'Investor Exit List'!$AB:$AB,B564)</f>
        <v/>
      </c>
      <c r="E564" s="31">
        <f>LEFT(B564,6)</f>
        <v/>
      </c>
      <c r="F564" s="14">
        <f>IF(SUMIFS($E$119:$E$151,$D$119:$D$151,E564)&lt;&gt;0,E564,0)</f>
        <v/>
      </c>
      <c r="G564" s="59" t="n"/>
      <c r="I564" s="28">
        <f>IF(AND(SUMIFS($D$245:$D$595,$F$245:$F$595,0,$E$245:$E$595,$G564,$C$245:$C$595,"&lt;="&amp;B$2)&lt;1000000,SUMIFS($D$245:$D$595,$F$245:$F$595,0,$E$245:$E$595,$G564,$C$245:$C$595,"&lt;="&amp;I5)&gt;=1000000),SUMIFS($D$245:$D$595,$F$245:$F$595,0,$E$245:$E$595,$G564)*$C$157 ,0)</f>
        <v/>
      </c>
      <c r="K564" s="95">
        <f>IF(AND(SUMIFS($D$245:$D$595,$F$245:$F$595,0,$E$245:$E$595,$G564,$C$245:$C$595,"&lt;="&amp;I$5)&lt;1000000,SUMIFS($D$245:$D$595,$F$245:$F$595,0,$E$245:$E$595,$G564,$C$245:$C$595,"&lt;="&amp;K5)&gt;=1000000),SUMIFS($D$245:$D$595,$F$245:$F$595,0,$E$245:$E$595,$G564)*$C$157 ,0)</f>
        <v/>
      </c>
      <c r="M564" s="95">
        <f>IF(AND(SUMIFS($D$245:$D$595,$F$245:$F$595,0,$E$245:$E$595,$G564,$C$245:$C$595,"&lt;="&amp;K$5)&lt;1000000,SUMIFS($D$245:$D$595,$F$245:$F$595,0,$E$245:$E$595,$G564,$C$245:$C$595,"&lt;="&amp;M5)&gt;=1000000),SUMIFS($D$245:$D$595,$F$245:$F$595,0,$E$245:$E$595,$G564)*$C$157 ,0)</f>
        <v/>
      </c>
      <c r="O564" s="95">
        <f>IF(AND(SUMIFS($D$245:$D$595,$F$245:$F$595,0,$E$245:$E$595,$G564,$C$245:$C$595,"&lt;="&amp;M$5)&lt;1000000,SUMIFS($D$245:$D$595,$F$245:$F$595,0,$E$245:$E$595,$G564,$C$245:$C$595,"&lt;="&amp;O5)&gt;=1000000),SUMIFS($D$245:$D$595,$F$245:$F$595,0,$E$245:$E$595,$G564)*$C$157 ,0)</f>
        <v/>
      </c>
      <c r="Q564" s="95">
        <f>IF(AND(SUMIFS($D$245:$D$595,$F$245:$F$595,0,$E$245:$E$595,$G564,$C$245:$C$595,"&lt;="&amp;O$5)&lt;1000000,SUMIFS($D$245:$D$595,$F$245:$F$595,0,$E$245:$E$595,$G564,$C$245:$C$595,"&lt;="&amp;Q5)&gt;=1000000),SUMIFS($D$245:$D$595,$F$245:$F$595,0,$E$245:$E$595,$G564)*$C$157 ,0)</f>
        <v/>
      </c>
      <c r="S564" s="95">
        <f>IF(AND(SUMIFS($D$245:$D$595,$F$245:$F$595,0,$E$245:$E$595,$G564,$C$245:$C$595,"&lt;="&amp;Q$5)&lt;1000000,SUMIFS($D$245:$D$595,$F$245:$F$595,0,$E$245:$E$595,$G564,$C$245:$C$595,"&lt;="&amp;S5)&gt;=1000000),SUMIFS($D$245:$D$595,$F$245:$F$595,0,$E$245:$E$595,$G564)*$C$157 ,0)</f>
        <v/>
      </c>
      <c r="U564" s="95">
        <f>IF(AND(SUMIFS($D$245:$D$595,$F$245:$F$595,0,$E$245:$E$595,$G564,$C$245:$C$595,"&lt;="&amp;S$5)&lt;1000000,SUMIFS($D$245:$D$595,$F$245:$F$595,0,$E$245:$E$595,$G564,$C$245:$C$595,"&lt;="&amp;U5)&gt;=1000000),SUMIFS($D$245:$D$595,$F$245:$F$595,0,$E$245:$E$595,$G564)*$C$157 ,0)</f>
        <v/>
      </c>
      <c r="W564" s="95">
        <f>IF(AND(SUMIFS($D$245:$D$595,$F$245:$F$595,0,$E$245:$E$595,$G564,$C$245:$C$595,"&lt;="&amp;U$5)&lt;1000000,SUMIFS($D$245:$D$595,$F$245:$F$595,0,$E$245:$E$595,$G564,$C$245:$C$595,"&lt;="&amp;W5)&gt;=1000000),SUMIFS($D$245:$D$595,$F$245:$F$595,0,$E$245:$E$595,$G564)*$C$157 ,0)</f>
        <v/>
      </c>
      <c r="Y564" s="95">
        <f>IF(AND(SUMIFS($D$245:$D$595,$F$245:$F$595,0,$E$245:$E$595,$G564,$C$245:$C$595,"&lt;="&amp;W$5)&lt;1000000,SUMIFS($D$245:$D$595,$F$245:$F$595,0,$E$245:$E$595,$G564,$C$245:$C$595,"&lt;="&amp;Y5)&gt;=1000000),SUMIFS($D$245:$D$595,$F$245:$F$595,0,$E$245:$E$595,$G564)*$C$157 ,0)</f>
        <v/>
      </c>
      <c r="AA564" s="95">
        <f>IF(AND(SUMIFS($D$245:$D$595,$F$245:$F$595,0,$E$245:$E$595,$G564,$C$245:$C$595,"&lt;="&amp;Y$5)&lt;1000000,SUMIFS($D$245:$D$595,$F$245:$F$595,0,$E$245:$E$595,$G564,$C$245:$C$595,"&lt;="&amp;AA5)&gt;=1000000),SUMIFS($D$245:$D$595,$F$245:$F$595,0,$E$245:$E$595,$G564)*$C$157 ,0)</f>
        <v/>
      </c>
      <c r="AC564" s="95">
        <f>IF(AND(SUMIFS($D$245:$D$595,$F$245:$F$595,0,$E$245:$E$595,$G564,$C$245:$C$595,"&lt;="&amp;AA$5)&lt;1000000,SUMIFS($D$245:$D$595,$F$245:$F$595,0,$E$245:$E$595,$G564,$C$245:$C$595,"&lt;="&amp;AC5)&gt;=1000000),SUMIFS($D$245:$D$595,$F$245:$F$595,0,$E$245:$E$595,$G564)*$C$157 ,0)</f>
        <v/>
      </c>
      <c r="AE564" s="95">
        <f>IF(AND(SUMIFS($D$245:$D$595,$F$245:$F$595,0,$E$245:$E$595,$G564,$C$245:$C$595,"&lt;="&amp;AC$5)&lt;1000000,SUMIFS($D$245:$D$595,$F$245:$F$595,0,$E$245:$E$595,$G564,$C$245:$C$595,"&lt;="&amp;AE5)&gt;=1000000),SUMIFS($D$245:$D$595,$F$245:$F$595,0,$E$245:$E$595,$G564)*$C$157 ,0)</f>
        <v/>
      </c>
      <c r="AF564" s="19" t="n"/>
    </row>
    <row r="565">
      <c r="A565" s="20">
        <f>mid(E565, 3, 1)</f>
        <v/>
      </c>
      <c r="B565" s="14" t="inlineStr"/>
      <c r="C565" s="21">
        <f>SUMIFS('Investor Exit List'!$AC:$AC,'Investor Exit List'!$AB:$AB,B565)</f>
        <v/>
      </c>
      <c r="D565" s="14">
        <f>SUMIFS('Investor Exit List'!$Q:$Q,'Investor Exit List'!$AB:$AB,B565)</f>
        <v/>
      </c>
      <c r="E565" s="31">
        <f>LEFT(B565,6)</f>
        <v/>
      </c>
      <c r="F565" s="14">
        <f>IF(SUMIFS($E$119:$E$151,$D$119:$D$151,E565)&lt;&gt;0,E565,0)</f>
        <v/>
      </c>
      <c r="G565" s="59" t="n"/>
      <c r="I565" s="28">
        <f>IF(AND(SUMIFS($D$245:$D$595,$F$245:$F$595,0,$E$245:$E$595,$G565,$C$245:$C$595,"&lt;="&amp;B$2)&lt;1000000,SUMIFS($D$245:$D$595,$F$245:$F$595,0,$E$245:$E$595,$G565,$C$245:$C$595,"&lt;="&amp;I5)&gt;=1000000),SUMIFS($D$245:$D$595,$F$245:$F$595,0,$E$245:$E$595,$G565)*$C$157 ,0)</f>
        <v/>
      </c>
      <c r="K565" s="95">
        <f>IF(AND(SUMIFS($D$245:$D$595,$F$245:$F$595,0,$E$245:$E$595,$G565,$C$245:$C$595,"&lt;="&amp;I$5)&lt;1000000,SUMIFS($D$245:$D$595,$F$245:$F$595,0,$E$245:$E$595,$G565,$C$245:$C$595,"&lt;="&amp;K5)&gt;=1000000),SUMIFS($D$245:$D$595,$F$245:$F$595,0,$E$245:$E$595,$G565)*$C$157 ,0)</f>
        <v/>
      </c>
      <c r="M565" s="95">
        <f>IF(AND(SUMIFS($D$245:$D$595,$F$245:$F$595,0,$E$245:$E$595,$G565,$C$245:$C$595,"&lt;="&amp;K$5)&lt;1000000,SUMIFS($D$245:$D$595,$F$245:$F$595,0,$E$245:$E$595,$G565,$C$245:$C$595,"&lt;="&amp;M5)&gt;=1000000),SUMIFS($D$245:$D$595,$F$245:$F$595,0,$E$245:$E$595,$G565)*$C$157 ,0)</f>
        <v/>
      </c>
      <c r="O565" s="95">
        <f>IF(AND(SUMIFS($D$245:$D$595,$F$245:$F$595,0,$E$245:$E$595,$G565,$C$245:$C$595,"&lt;="&amp;M$5)&lt;1000000,SUMIFS($D$245:$D$595,$F$245:$F$595,0,$E$245:$E$595,$G565,$C$245:$C$595,"&lt;="&amp;O5)&gt;=1000000),SUMIFS($D$245:$D$595,$F$245:$F$595,0,$E$245:$E$595,$G565)*$C$157 ,0)</f>
        <v/>
      </c>
      <c r="Q565" s="95">
        <f>IF(AND(SUMIFS($D$245:$D$595,$F$245:$F$595,0,$E$245:$E$595,$G565,$C$245:$C$595,"&lt;="&amp;O$5)&lt;1000000,SUMIFS($D$245:$D$595,$F$245:$F$595,0,$E$245:$E$595,$G565,$C$245:$C$595,"&lt;="&amp;Q5)&gt;=1000000),SUMIFS($D$245:$D$595,$F$245:$F$595,0,$E$245:$E$595,$G565)*$C$157 ,0)</f>
        <v/>
      </c>
      <c r="S565" s="95">
        <f>IF(AND(SUMIFS($D$245:$D$595,$F$245:$F$595,0,$E$245:$E$595,$G565,$C$245:$C$595,"&lt;="&amp;Q$5)&lt;1000000,SUMIFS($D$245:$D$595,$F$245:$F$595,0,$E$245:$E$595,$G565,$C$245:$C$595,"&lt;="&amp;S5)&gt;=1000000),SUMIFS($D$245:$D$595,$F$245:$F$595,0,$E$245:$E$595,$G565)*$C$157 ,0)</f>
        <v/>
      </c>
      <c r="U565" s="95">
        <f>IF(AND(SUMIFS($D$245:$D$595,$F$245:$F$595,0,$E$245:$E$595,$G565,$C$245:$C$595,"&lt;="&amp;S$5)&lt;1000000,SUMIFS($D$245:$D$595,$F$245:$F$595,0,$E$245:$E$595,$G565,$C$245:$C$595,"&lt;="&amp;U5)&gt;=1000000),SUMIFS($D$245:$D$595,$F$245:$F$595,0,$E$245:$E$595,$G565)*$C$157 ,0)</f>
        <v/>
      </c>
      <c r="W565" s="95">
        <f>IF(AND(SUMIFS($D$245:$D$595,$F$245:$F$595,0,$E$245:$E$595,$G565,$C$245:$C$595,"&lt;="&amp;U$5)&lt;1000000,SUMIFS($D$245:$D$595,$F$245:$F$595,0,$E$245:$E$595,$G565,$C$245:$C$595,"&lt;="&amp;W5)&gt;=1000000),SUMIFS($D$245:$D$595,$F$245:$F$595,0,$E$245:$E$595,$G565)*$C$157 ,0)</f>
        <v/>
      </c>
      <c r="Y565" s="95">
        <f>IF(AND(SUMIFS($D$245:$D$595,$F$245:$F$595,0,$E$245:$E$595,$G565,$C$245:$C$595,"&lt;="&amp;W$5)&lt;1000000,SUMIFS($D$245:$D$595,$F$245:$F$595,0,$E$245:$E$595,$G565,$C$245:$C$595,"&lt;="&amp;Y5)&gt;=1000000),SUMIFS($D$245:$D$595,$F$245:$F$595,0,$E$245:$E$595,$G565)*$C$157 ,0)</f>
        <v/>
      </c>
      <c r="AA565" s="95">
        <f>IF(AND(SUMIFS($D$245:$D$595,$F$245:$F$595,0,$E$245:$E$595,$G565,$C$245:$C$595,"&lt;="&amp;Y$5)&lt;1000000,SUMIFS($D$245:$D$595,$F$245:$F$595,0,$E$245:$E$595,$G565,$C$245:$C$595,"&lt;="&amp;AA5)&gt;=1000000),SUMIFS($D$245:$D$595,$F$245:$F$595,0,$E$245:$E$595,$G565)*$C$157 ,0)</f>
        <v/>
      </c>
      <c r="AC565" s="95">
        <f>IF(AND(SUMIFS($D$245:$D$595,$F$245:$F$595,0,$E$245:$E$595,$G565,$C$245:$C$595,"&lt;="&amp;AA$5)&lt;1000000,SUMIFS($D$245:$D$595,$F$245:$F$595,0,$E$245:$E$595,$G565,$C$245:$C$595,"&lt;="&amp;AC5)&gt;=1000000),SUMIFS($D$245:$D$595,$F$245:$F$595,0,$E$245:$E$595,$G565)*$C$157 ,0)</f>
        <v/>
      </c>
      <c r="AE565" s="95">
        <f>IF(AND(SUMIFS($D$245:$D$595,$F$245:$F$595,0,$E$245:$E$595,$G565,$C$245:$C$595,"&lt;="&amp;AC$5)&lt;1000000,SUMIFS($D$245:$D$595,$F$245:$F$595,0,$E$245:$E$595,$G565,$C$245:$C$595,"&lt;="&amp;AE5)&gt;=1000000),SUMIFS($D$245:$D$595,$F$245:$F$595,0,$E$245:$E$595,$G565)*$C$157 ,0)</f>
        <v/>
      </c>
      <c r="AF565" s="19" t="n"/>
    </row>
    <row r="566">
      <c r="A566" s="20">
        <f>mid(E566, 3, 1)</f>
        <v/>
      </c>
      <c r="B566" s="14" t="inlineStr"/>
      <c r="C566" s="21">
        <f>SUMIFS('Investor Exit List'!$AC:$AC,'Investor Exit List'!$AB:$AB,B566)</f>
        <v/>
      </c>
      <c r="D566" s="14">
        <f>SUMIFS('Investor Exit List'!$Q:$Q,'Investor Exit List'!$AB:$AB,B566)</f>
        <v/>
      </c>
      <c r="E566" s="31">
        <f>LEFT(B566,6)</f>
        <v/>
      </c>
      <c r="F566" s="14">
        <f>IF(SUMIFS($E$119:$E$151,$D$119:$D$151,E566)&lt;&gt;0,E566,0)</f>
        <v/>
      </c>
      <c r="G566" s="59" t="n"/>
      <c r="I566" s="28">
        <f>IF(AND(SUMIFS($D$245:$D$595,$F$245:$F$595,0,$E$245:$E$595,$G566,$C$245:$C$595,"&lt;="&amp;B$2)&lt;1000000,SUMIFS($D$245:$D$595,$F$245:$F$595,0,$E$245:$E$595,$G566,$C$245:$C$595,"&lt;="&amp;I5)&gt;=1000000),SUMIFS($D$245:$D$595,$F$245:$F$595,0,$E$245:$E$595,$G566)*$C$157 ,0)</f>
        <v/>
      </c>
      <c r="K566" s="95">
        <f>IF(AND(SUMIFS($D$245:$D$595,$F$245:$F$595,0,$E$245:$E$595,$G566,$C$245:$C$595,"&lt;="&amp;I$5)&lt;1000000,SUMIFS($D$245:$D$595,$F$245:$F$595,0,$E$245:$E$595,$G566,$C$245:$C$595,"&lt;="&amp;K5)&gt;=1000000),SUMIFS($D$245:$D$595,$F$245:$F$595,0,$E$245:$E$595,$G566)*$C$157 ,0)</f>
        <v/>
      </c>
      <c r="M566" s="95">
        <f>IF(AND(SUMIFS($D$245:$D$595,$F$245:$F$595,0,$E$245:$E$595,$G566,$C$245:$C$595,"&lt;="&amp;K$5)&lt;1000000,SUMIFS($D$245:$D$595,$F$245:$F$595,0,$E$245:$E$595,$G566,$C$245:$C$595,"&lt;="&amp;M5)&gt;=1000000),SUMIFS($D$245:$D$595,$F$245:$F$595,0,$E$245:$E$595,$G566)*$C$157 ,0)</f>
        <v/>
      </c>
      <c r="O566" s="95">
        <f>IF(AND(SUMIFS($D$245:$D$595,$F$245:$F$595,0,$E$245:$E$595,$G566,$C$245:$C$595,"&lt;="&amp;M$5)&lt;1000000,SUMIFS($D$245:$D$595,$F$245:$F$595,0,$E$245:$E$595,$G566,$C$245:$C$595,"&lt;="&amp;O5)&gt;=1000000),SUMIFS($D$245:$D$595,$F$245:$F$595,0,$E$245:$E$595,$G566)*$C$157 ,0)</f>
        <v/>
      </c>
      <c r="Q566" s="95">
        <f>IF(AND(SUMIFS($D$245:$D$595,$F$245:$F$595,0,$E$245:$E$595,$G566,$C$245:$C$595,"&lt;="&amp;O$5)&lt;1000000,SUMIFS($D$245:$D$595,$F$245:$F$595,0,$E$245:$E$595,$G566,$C$245:$C$595,"&lt;="&amp;Q5)&gt;=1000000),SUMIFS($D$245:$D$595,$F$245:$F$595,0,$E$245:$E$595,$G566)*$C$157 ,0)</f>
        <v/>
      </c>
      <c r="S566" s="95">
        <f>IF(AND(SUMIFS($D$245:$D$595,$F$245:$F$595,0,$E$245:$E$595,$G566,$C$245:$C$595,"&lt;="&amp;Q$5)&lt;1000000,SUMIFS($D$245:$D$595,$F$245:$F$595,0,$E$245:$E$595,$G566,$C$245:$C$595,"&lt;="&amp;S5)&gt;=1000000),SUMIFS($D$245:$D$595,$F$245:$F$595,0,$E$245:$E$595,$G566)*$C$157 ,0)</f>
        <v/>
      </c>
      <c r="U566" s="95">
        <f>IF(AND(SUMIFS($D$245:$D$595,$F$245:$F$595,0,$E$245:$E$595,$G566,$C$245:$C$595,"&lt;="&amp;S$5)&lt;1000000,SUMIFS($D$245:$D$595,$F$245:$F$595,0,$E$245:$E$595,$G566,$C$245:$C$595,"&lt;="&amp;U5)&gt;=1000000),SUMIFS($D$245:$D$595,$F$245:$F$595,0,$E$245:$E$595,$G566)*$C$157 ,0)</f>
        <v/>
      </c>
      <c r="W566" s="95">
        <f>IF(AND(SUMIFS($D$245:$D$595,$F$245:$F$595,0,$E$245:$E$595,$G566,$C$245:$C$595,"&lt;="&amp;U$5)&lt;1000000,SUMIFS($D$245:$D$595,$F$245:$F$595,0,$E$245:$E$595,$G566,$C$245:$C$595,"&lt;="&amp;W5)&gt;=1000000),SUMIFS($D$245:$D$595,$F$245:$F$595,0,$E$245:$E$595,$G566)*$C$157 ,0)</f>
        <v/>
      </c>
      <c r="Y566" s="95">
        <f>IF(AND(SUMIFS($D$245:$D$595,$F$245:$F$595,0,$E$245:$E$595,$G566,$C$245:$C$595,"&lt;="&amp;W$5)&lt;1000000,SUMIFS($D$245:$D$595,$F$245:$F$595,0,$E$245:$E$595,$G566,$C$245:$C$595,"&lt;="&amp;Y5)&gt;=1000000),SUMIFS($D$245:$D$595,$F$245:$F$595,0,$E$245:$E$595,$G566)*$C$157 ,0)</f>
        <v/>
      </c>
      <c r="AA566" s="95">
        <f>IF(AND(SUMIFS($D$245:$D$595,$F$245:$F$595,0,$E$245:$E$595,$G566,$C$245:$C$595,"&lt;="&amp;Y$5)&lt;1000000,SUMIFS($D$245:$D$595,$F$245:$F$595,0,$E$245:$E$595,$G566,$C$245:$C$595,"&lt;="&amp;AA5)&gt;=1000000),SUMIFS($D$245:$D$595,$F$245:$F$595,0,$E$245:$E$595,$G566)*$C$157 ,0)</f>
        <v/>
      </c>
      <c r="AC566" s="95">
        <f>IF(AND(SUMIFS($D$245:$D$595,$F$245:$F$595,0,$E$245:$E$595,$G566,$C$245:$C$595,"&lt;="&amp;AA$5)&lt;1000000,SUMIFS($D$245:$D$595,$F$245:$F$595,0,$E$245:$E$595,$G566,$C$245:$C$595,"&lt;="&amp;AC5)&gt;=1000000),SUMIFS($D$245:$D$595,$F$245:$F$595,0,$E$245:$E$595,$G566)*$C$157 ,0)</f>
        <v/>
      </c>
      <c r="AE566" s="95">
        <f>IF(AND(SUMIFS($D$245:$D$595,$F$245:$F$595,0,$E$245:$E$595,$G566,$C$245:$C$595,"&lt;="&amp;AC$5)&lt;1000000,SUMIFS($D$245:$D$595,$F$245:$F$595,0,$E$245:$E$595,$G566,$C$245:$C$595,"&lt;="&amp;AE5)&gt;=1000000),SUMIFS($D$245:$D$595,$F$245:$F$595,0,$E$245:$E$595,$G566)*$C$157 ,0)</f>
        <v/>
      </c>
      <c r="AF566" s="19" t="n"/>
    </row>
    <row r="567">
      <c r="A567" s="20">
        <f>mid(E567, 3, 1)</f>
        <v/>
      </c>
      <c r="B567" s="14" t="inlineStr"/>
      <c r="C567" s="21">
        <f>SUMIFS('Investor Exit List'!$AC:$AC,'Investor Exit List'!$AB:$AB,B567)</f>
        <v/>
      </c>
      <c r="D567" s="14">
        <f>SUMIFS('Investor Exit List'!$Q:$Q,'Investor Exit List'!$AB:$AB,B567)</f>
        <v/>
      </c>
      <c r="E567" s="31">
        <f>LEFT(B567,6)</f>
        <v/>
      </c>
      <c r="F567" s="14">
        <f>IF(SUMIFS($E$119:$E$151,$D$119:$D$151,E567)&lt;&gt;0,E567,0)</f>
        <v/>
      </c>
      <c r="G567" s="59" t="n"/>
      <c r="I567" s="28">
        <f>IF(AND(SUMIFS($D$245:$D$595,$F$245:$F$595,0,$E$245:$E$595,$G567,$C$245:$C$595,"&lt;="&amp;B$2)&lt;1000000,SUMIFS($D$245:$D$595,$F$245:$F$595,0,$E$245:$E$595,$G567,$C$245:$C$595,"&lt;="&amp;I5)&gt;=1000000),SUMIFS($D$245:$D$595,$F$245:$F$595,0,$E$245:$E$595,$G567)*$C$157 ,0)</f>
        <v/>
      </c>
      <c r="K567" s="95">
        <f>IF(AND(SUMIFS($D$245:$D$595,$F$245:$F$595,0,$E$245:$E$595,$G567,$C$245:$C$595,"&lt;="&amp;I$5)&lt;1000000,SUMIFS($D$245:$D$595,$F$245:$F$595,0,$E$245:$E$595,$G567,$C$245:$C$595,"&lt;="&amp;K5)&gt;=1000000),SUMIFS($D$245:$D$595,$F$245:$F$595,0,$E$245:$E$595,$G567)*$C$157 ,0)</f>
        <v/>
      </c>
      <c r="M567" s="95">
        <f>IF(AND(SUMIFS($D$245:$D$595,$F$245:$F$595,0,$E$245:$E$595,$G567,$C$245:$C$595,"&lt;="&amp;K$5)&lt;1000000,SUMIFS($D$245:$D$595,$F$245:$F$595,0,$E$245:$E$595,$G567,$C$245:$C$595,"&lt;="&amp;M5)&gt;=1000000),SUMIFS($D$245:$D$595,$F$245:$F$595,0,$E$245:$E$595,$G567)*$C$157 ,0)</f>
        <v/>
      </c>
      <c r="O567" s="95">
        <f>IF(AND(SUMIFS($D$245:$D$595,$F$245:$F$595,0,$E$245:$E$595,$G567,$C$245:$C$595,"&lt;="&amp;M$5)&lt;1000000,SUMIFS($D$245:$D$595,$F$245:$F$595,0,$E$245:$E$595,$G567,$C$245:$C$595,"&lt;="&amp;O5)&gt;=1000000),SUMIFS($D$245:$D$595,$F$245:$F$595,0,$E$245:$E$595,$G567)*$C$157 ,0)</f>
        <v/>
      </c>
      <c r="Q567" s="95">
        <f>IF(AND(SUMIFS($D$245:$D$595,$F$245:$F$595,0,$E$245:$E$595,$G567,$C$245:$C$595,"&lt;="&amp;O$5)&lt;1000000,SUMIFS($D$245:$D$595,$F$245:$F$595,0,$E$245:$E$595,$G567,$C$245:$C$595,"&lt;="&amp;Q5)&gt;=1000000),SUMIFS($D$245:$D$595,$F$245:$F$595,0,$E$245:$E$595,$G567)*$C$157 ,0)</f>
        <v/>
      </c>
      <c r="S567" s="95">
        <f>IF(AND(SUMIFS($D$245:$D$595,$F$245:$F$595,0,$E$245:$E$595,$G567,$C$245:$C$595,"&lt;="&amp;Q$5)&lt;1000000,SUMIFS($D$245:$D$595,$F$245:$F$595,0,$E$245:$E$595,$G567,$C$245:$C$595,"&lt;="&amp;S5)&gt;=1000000),SUMIFS($D$245:$D$595,$F$245:$F$595,0,$E$245:$E$595,$G567)*$C$157 ,0)</f>
        <v/>
      </c>
      <c r="U567" s="95">
        <f>IF(AND(SUMIFS($D$245:$D$595,$F$245:$F$595,0,$E$245:$E$595,$G567,$C$245:$C$595,"&lt;="&amp;S$5)&lt;1000000,SUMIFS($D$245:$D$595,$F$245:$F$595,0,$E$245:$E$595,$G567,$C$245:$C$595,"&lt;="&amp;U5)&gt;=1000000),SUMIFS($D$245:$D$595,$F$245:$F$595,0,$E$245:$E$595,$G567)*$C$157 ,0)</f>
        <v/>
      </c>
      <c r="W567" s="95">
        <f>IF(AND(SUMIFS($D$245:$D$595,$F$245:$F$595,0,$E$245:$E$595,$G567,$C$245:$C$595,"&lt;="&amp;U$5)&lt;1000000,SUMIFS($D$245:$D$595,$F$245:$F$595,0,$E$245:$E$595,$G567,$C$245:$C$595,"&lt;="&amp;W5)&gt;=1000000),SUMIFS($D$245:$D$595,$F$245:$F$595,0,$E$245:$E$595,$G567)*$C$157 ,0)</f>
        <v/>
      </c>
      <c r="Y567" s="95">
        <f>IF(AND(SUMIFS($D$245:$D$595,$F$245:$F$595,0,$E$245:$E$595,$G567,$C$245:$C$595,"&lt;="&amp;W$5)&lt;1000000,SUMIFS($D$245:$D$595,$F$245:$F$595,0,$E$245:$E$595,$G567,$C$245:$C$595,"&lt;="&amp;Y5)&gt;=1000000),SUMIFS($D$245:$D$595,$F$245:$F$595,0,$E$245:$E$595,$G567)*$C$157 ,0)</f>
        <v/>
      </c>
      <c r="AA567" s="95">
        <f>IF(AND(SUMIFS($D$245:$D$595,$F$245:$F$595,0,$E$245:$E$595,$G567,$C$245:$C$595,"&lt;="&amp;Y$5)&lt;1000000,SUMIFS($D$245:$D$595,$F$245:$F$595,0,$E$245:$E$595,$G567,$C$245:$C$595,"&lt;="&amp;AA5)&gt;=1000000),SUMIFS($D$245:$D$595,$F$245:$F$595,0,$E$245:$E$595,$G567)*$C$157 ,0)</f>
        <v/>
      </c>
      <c r="AC567" s="95">
        <f>IF(AND(SUMIFS($D$245:$D$595,$F$245:$F$595,0,$E$245:$E$595,$G567,$C$245:$C$595,"&lt;="&amp;AA$5)&lt;1000000,SUMIFS($D$245:$D$595,$F$245:$F$595,0,$E$245:$E$595,$G567,$C$245:$C$595,"&lt;="&amp;AC5)&gt;=1000000),SUMIFS($D$245:$D$595,$F$245:$F$595,0,$E$245:$E$595,$G567)*$C$157 ,0)</f>
        <v/>
      </c>
      <c r="AE567" s="95">
        <f>IF(AND(SUMIFS($D$245:$D$595,$F$245:$F$595,0,$E$245:$E$595,$G567,$C$245:$C$595,"&lt;="&amp;AC$5)&lt;1000000,SUMIFS($D$245:$D$595,$F$245:$F$595,0,$E$245:$E$595,$G567,$C$245:$C$595,"&lt;="&amp;AE5)&gt;=1000000),SUMIFS($D$245:$D$595,$F$245:$F$595,0,$E$245:$E$595,$G567)*$C$157 ,0)</f>
        <v/>
      </c>
      <c r="AF567" s="19" t="n"/>
    </row>
    <row r="568">
      <c r="A568" s="20">
        <f>mid(E568, 3, 1)</f>
        <v/>
      </c>
      <c r="B568" s="14" t="inlineStr"/>
      <c r="C568" s="21">
        <f>SUMIFS('Investor Exit List'!$AC:$AC,'Investor Exit List'!$AB:$AB,B568)</f>
        <v/>
      </c>
      <c r="D568" s="14">
        <f>SUMIFS('Investor Exit List'!$Q:$Q,'Investor Exit List'!$AB:$AB,B568)</f>
        <v/>
      </c>
      <c r="E568" s="31">
        <f>LEFT(B568,6)</f>
        <v/>
      </c>
      <c r="F568" s="14">
        <f>IF(SUMIFS($E$119:$E$151,$D$119:$D$151,E568)&lt;&gt;0,E568,0)</f>
        <v/>
      </c>
      <c r="G568" s="59" t="n"/>
      <c r="I568" s="28">
        <f>IF(AND(SUMIFS($D$245:$D$595,$F$245:$F$595,0,$E$245:$E$595,$G568,$C$245:$C$595,"&lt;="&amp;B$2)&lt;1000000,SUMIFS($D$245:$D$595,$F$245:$F$595,0,$E$245:$E$595,$G568,$C$245:$C$595,"&lt;="&amp;I5)&gt;=1000000),SUMIFS($D$245:$D$595,$F$245:$F$595,0,$E$245:$E$595,$G568)*$C$157 ,0)</f>
        <v/>
      </c>
      <c r="K568" s="95">
        <f>IF(AND(SUMIFS($D$245:$D$595,$F$245:$F$595,0,$E$245:$E$595,$G568,$C$245:$C$595,"&lt;="&amp;I$5)&lt;1000000,SUMIFS($D$245:$D$595,$F$245:$F$595,0,$E$245:$E$595,$G568,$C$245:$C$595,"&lt;="&amp;K5)&gt;=1000000),SUMIFS($D$245:$D$595,$F$245:$F$595,0,$E$245:$E$595,$G568)*$C$157 ,0)</f>
        <v/>
      </c>
      <c r="M568" s="95">
        <f>IF(AND(SUMIFS($D$245:$D$595,$F$245:$F$595,0,$E$245:$E$595,$G568,$C$245:$C$595,"&lt;="&amp;K$5)&lt;1000000,SUMIFS($D$245:$D$595,$F$245:$F$595,0,$E$245:$E$595,$G568,$C$245:$C$595,"&lt;="&amp;M5)&gt;=1000000),SUMIFS($D$245:$D$595,$F$245:$F$595,0,$E$245:$E$595,$G568)*$C$157 ,0)</f>
        <v/>
      </c>
      <c r="O568" s="95">
        <f>IF(AND(SUMIFS($D$245:$D$595,$F$245:$F$595,0,$E$245:$E$595,$G568,$C$245:$C$595,"&lt;="&amp;M$5)&lt;1000000,SUMIFS($D$245:$D$595,$F$245:$F$595,0,$E$245:$E$595,$G568,$C$245:$C$595,"&lt;="&amp;O5)&gt;=1000000),SUMIFS($D$245:$D$595,$F$245:$F$595,0,$E$245:$E$595,$G568)*$C$157 ,0)</f>
        <v/>
      </c>
      <c r="Q568" s="95">
        <f>IF(AND(SUMIFS($D$245:$D$595,$F$245:$F$595,0,$E$245:$E$595,$G568,$C$245:$C$595,"&lt;="&amp;O$5)&lt;1000000,SUMIFS($D$245:$D$595,$F$245:$F$595,0,$E$245:$E$595,$G568,$C$245:$C$595,"&lt;="&amp;Q5)&gt;=1000000),SUMIFS($D$245:$D$595,$F$245:$F$595,0,$E$245:$E$595,$G568)*$C$157 ,0)</f>
        <v/>
      </c>
      <c r="S568" s="95">
        <f>IF(AND(SUMIFS($D$245:$D$595,$F$245:$F$595,0,$E$245:$E$595,$G568,$C$245:$C$595,"&lt;="&amp;Q$5)&lt;1000000,SUMIFS($D$245:$D$595,$F$245:$F$595,0,$E$245:$E$595,$G568,$C$245:$C$595,"&lt;="&amp;S5)&gt;=1000000),SUMIFS($D$245:$D$595,$F$245:$F$595,0,$E$245:$E$595,$G568)*$C$157 ,0)</f>
        <v/>
      </c>
      <c r="U568" s="95">
        <f>IF(AND(SUMIFS($D$245:$D$595,$F$245:$F$595,0,$E$245:$E$595,$G568,$C$245:$C$595,"&lt;="&amp;S$5)&lt;1000000,SUMIFS($D$245:$D$595,$F$245:$F$595,0,$E$245:$E$595,$G568,$C$245:$C$595,"&lt;="&amp;U5)&gt;=1000000),SUMIFS($D$245:$D$595,$F$245:$F$595,0,$E$245:$E$595,$G568)*$C$157 ,0)</f>
        <v/>
      </c>
      <c r="W568" s="95">
        <f>IF(AND(SUMIFS($D$245:$D$595,$F$245:$F$595,0,$E$245:$E$595,$G568,$C$245:$C$595,"&lt;="&amp;U$5)&lt;1000000,SUMIFS($D$245:$D$595,$F$245:$F$595,0,$E$245:$E$595,$G568,$C$245:$C$595,"&lt;="&amp;W5)&gt;=1000000),SUMIFS($D$245:$D$595,$F$245:$F$595,0,$E$245:$E$595,$G568)*$C$157 ,0)</f>
        <v/>
      </c>
      <c r="Y568" s="95">
        <f>IF(AND(SUMIFS($D$245:$D$595,$F$245:$F$595,0,$E$245:$E$595,$G568,$C$245:$C$595,"&lt;="&amp;W$5)&lt;1000000,SUMIFS($D$245:$D$595,$F$245:$F$595,0,$E$245:$E$595,$G568,$C$245:$C$595,"&lt;="&amp;Y5)&gt;=1000000),SUMIFS($D$245:$D$595,$F$245:$F$595,0,$E$245:$E$595,$G568)*$C$157 ,0)</f>
        <v/>
      </c>
      <c r="AA568" s="95">
        <f>IF(AND(SUMIFS($D$245:$D$595,$F$245:$F$595,0,$E$245:$E$595,$G568,$C$245:$C$595,"&lt;="&amp;Y$5)&lt;1000000,SUMIFS($D$245:$D$595,$F$245:$F$595,0,$E$245:$E$595,$G568,$C$245:$C$595,"&lt;="&amp;AA5)&gt;=1000000),SUMIFS($D$245:$D$595,$F$245:$F$595,0,$E$245:$E$595,$G568)*$C$157 ,0)</f>
        <v/>
      </c>
      <c r="AC568" s="95">
        <f>IF(AND(SUMIFS($D$245:$D$595,$F$245:$F$595,0,$E$245:$E$595,$G568,$C$245:$C$595,"&lt;="&amp;AA$5)&lt;1000000,SUMIFS($D$245:$D$595,$F$245:$F$595,0,$E$245:$E$595,$G568,$C$245:$C$595,"&lt;="&amp;AC5)&gt;=1000000),SUMIFS($D$245:$D$595,$F$245:$F$595,0,$E$245:$E$595,$G568)*$C$157 ,0)</f>
        <v/>
      </c>
      <c r="AE568" s="95">
        <f>IF(AND(SUMIFS($D$245:$D$595,$F$245:$F$595,0,$E$245:$E$595,$G568,$C$245:$C$595,"&lt;="&amp;AC$5)&lt;1000000,SUMIFS($D$245:$D$595,$F$245:$F$595,0,$E$245:$E$595,$G568,$C$245:$C$595,"&lt;="&amp;AE5)&gt;=1000000),SUMIFS($D$245:$D$595,$F$245:$F$595,0,$E$245:$E$595,$G568)*$C$157 ,0)</f>
        <v/>
      </c>
      <c r="AF568" s="19" t="n"/>
    </row>
    <row r="569">
      <c r="A569" s="20">
        <f>mid(E569, 3, 1)</f>
        <v/>
      </c>
      <c r="B569" s="14" t="inlineStr"/>
      <c r="C569" s="21">
        <f>SUMIFS('Investor Exit List'!$AC:$AC,'Investor Exit List'!$AB:$AB,B569)</f>
        <v/>
      </c>
      <c r="D569" s="14">
        <f>SUMIFS('Investor Exit List'!$Q:$Q,'Investor Exit List'!$AB:$AB,B569)</f>
        <v/>
      </c>
      <c r="E569" s="31">
        <f>LEFT(B569,6)</f>
        <v/>
      </c>
      <c r="F569" s="14">
        <f>IF(SUMIFS($E$119:$E$151,$D$119:$D$151,E569)&lt;&gt;0,E569,0)</f>
        <v/>
      </c>
      <c r="G569" s="59" t="n"/>
      <c r="I569" s="28">
        <f>IF(AND(SUMIFS($D$245:$D$595,$F$245:$F$595,0,$E$245:$E$595,$G569,$C$245:$C$595,"&lt;="&amp;B$2)&lt;1000000,SUMIFS($D$245:$D$595,$F$245:$F$595,0,$E$245:$E$595,$G569,$C$245:$C$595,"&lt;="&amp;I5)&gt;=1000000),SUMIFS($D$245:$D$595,$F$245:$F$595,0,$E$245:$E$595,$G569)*$C$157 ,0)</f>
        <v/>
      </c>
      <c r="K569" s="95">
        <f>IF(AND(SUMIFS($D$245:$D$595,$F$245:$F$595,0,$E$245:$E$595,$G569,$C$245:$C$595,"&lt;="&amp;I$5)&lt;1000000,SUMIFS($D$245:$D$595,$F$245:$F$595,0,$E$245:$E$595,$G569,$C$245:$C$595,"&lt;="&amp;K5)&gt;=1000000),SUMIFS($D$245:$D$595,$F$245:$F$595,0,$E$245:$E$595,$G569)*$C$157 ,0)</f>
        <v/>
      </c>
      <c r="M569" s="95">
        <f>IF(AND(SUMIFS($D$245:$D$595,$F$245:$F$595,0,$E$245:$E$595,$G569,$C$245:$C$595,"&lt;="&amp;K$5)&lt;1000000,SUMIFS($D$245:$D$595,$F$245:$F$595,0,$E$245:$E$595,$G569,$C$245:$C$595,"&lt;="&amp;M5)&gt;=1000000),SUMIFS($D$245:$D$595,$F$245:$F$595,0,$E$245:$E$595,$G569)*$C$157 ,0)</f>
        <v/>
      </c>
      <c r="O569" s="95">
        <f>IF(AND(SUMIFS($D$245:$D$595,$F$245:$F$595,0,$E$245:$E$595,$G569,$C$245:$C$595,"&lt;="&amp;M$5)&lt;1000000,SUMIFS($D$245:$D$595,$F$245:$F$595,0,$E$245:$E$595,$G569,$C$245:$C$595,"&lt;="&amp;O5)&gt;=1000000),SUMIFS($D$245:$D$595,$F$245:$F$595,0,$E$245:$E$595,$G569)*$C$157 ,0)</f>
        <v/>
      </c>
      <c r="Q569" s="95">
        <f>IF(AND(SUMIFS($D$245:$D$595,$F$245:$F$595,0,$E$245:$E$595,$G569,$C$245:$C$595,"&lt;="&amp;O$5)&lt;1000000,SUMIFS($D$245:$D$595,$F$245:$F$595,0,$E$245:$E$595,$G569,$C$245:$C$595,"&lt;="&amp;Q5)&gt;=1000000),SUMIFS($D$245:$D$595,$F$245:$F$595,0,$E$245:$E$595,$G569)*$C$157 ,0)</f>
        <v/>
      </c>
      <c r="S569" s="95">
        <f>IF(AND(SUMIFS($D$245:$D$595,$F$245:$F$595,0,$E$245:$E$595,$G569,$C$245:$C$595,"&lt;="&amp;Q$5)&lt;1000000,SUMIFS($D$245:$D$595,$F$245:$F$595,0,$E$245:$E$595,$G569,$C$245:$C$595,"&lt;="&amp;S5)&gt;=1000000),SUMIFS($D$245:$D$595,$F$245:$F$595,0,$E$245:$E$595,$G569)*$C$157 ,0)</f>
        <v/>
      </c>
      <c r="U569" s="95">
        <f>IF(AND(SUMIFS($D$245:$D$595,$F$245:$F$595,0,$E$245:$E$595,$G569,$C$245:$C$595,"&lt;="&amp;S$5)&lt;1000000,SUMIFS($D$245:$D$595,$F$245:$F$595,0,$E$245:$E$595,$G569,$C$245:$C$595,"&lt;="&amp;U5)&gt;=1000000),SUMIFS($D$245:$D$595,$F$245:$F$595,0,$E$245:$E$595,$G569)*$C$157 ,0)</f>
        <v/>
      </c>
      <c r="W569" s="95">
        <f>IF(AND(SUMIFS($D$245:$D$595,$F$245:$F$595,0,$E$245:$E$595,$G569,$C$245:$C$595,"&lt;="&amp;U$5)&lt;1000000,SUMIFS($D$245:$D$595,$F$245:$F$595,0,$E$245:$E$595,$G569,$C$245:$C$595,"&lt;="&amp;W5)&gt;=1000000),SUMIFS($D$245:$D$595,$F$245:$F$595,0,$E$245:$E$595,$G569)*$C$157 ,0)</f>
        <v/>
      </c>
      <c r="Y569" s="95">
        <f>IF(AND(SUMIFS($D$245:$D$595,$F$245:$F$595,0,$E$245:$E$595,$G569,$C$245:$C$595,"&lt;="&amp;W$5)&lt;1000000,SUMIFS($D$245:$D$595,$F$245:$F$595,0,$E$245:$E$595,$G569,$C$245:$C$595,"&lt;="&amp;Y5)&gt;=1000000),SUMIFS($D$245:$D$595,$F$245:$F$595,0,$E$245:$E$595,$G569)*$C$157 ,0)</f>
        <v/>
      </c>
      <c r="AA569" s="95">
        <f>IF(AND(SUMIFS($D$245:$D$595,$F$245:$F$595,0,$E$245:$E$595,$G569,$C$245:$C$595,"&lt;="&amp;Y$5)&lt;1000000,SUMIFS($D$245:$D$595,$F$245:$F$595,0,$E$245:$E$595,$G569,$C$245:$C$595,"&lt;="&amp;AA5)&gt;=1000000),SUMIFS($D$245:$D$595,$F$245:$F$595,0,$E$245:$E$595,$G569)*$C$157 ,0)</f>
        <v/>
      </c>
      <c r="AC569" s="95">
        <f>IF(AND(SUMIFS($D$245:$D$595,$F$245:$F$595,0,$E$245:$E$595,$G569,$C$245:$C$595,"&lt;="&amp;AA$5)&lt;1000000,SUMIFS($D$245:$D$595,$F$245:$F$595,0,$E$245:$E$595,$G569,$C$245:$C$595,"&lt;="&amp;AC5)&gt;=1000000),SUMIFS($D$245:$D$595,$F$245:$F$595,0,$E$245:$E$595,$G569)*$C$157 ,0)</f>
        <v/>
      </c>
      <c r="AE569" s="95">
        <f>IF(AND(SUMIFS($D$245:$D$595,$F$245:$F$595,0,$E$245:$E$595,$G569,$C$245:$C$595,"&lt;="&amp;AC$5)&lt;1000000,SUMIFS($D$245:$D$595,$F$245:$F$595,0,$E$245:$E$595,$G569,$C$245:$C$595,"&lt;="&amp;AE5)&gt;=1000000),SUMIFS($D$245:$D$595,$F$245:$F$595,0,$E$245:$E$595,$G569)*$C$157 ,0)</f>
        <v/>
      </c>
      <c r="AF569" s="19" t="n"/>
    </row>
    <row r="570">
      <c r="A570" s="20">
        <f>mid(E570, 3, 1)</f>
        <v/>
      </c>
      <c r="B570" s="14" t="inlineStr"/>
      <c r="C570" s="21">
        <f>SUMIFS('Investor Exit List'!$AC:$AC,'Investor Exit List'!$AB:$AB,B570)</f>
        <v/>
      </c>
      <c r="D570" s="14">
        <f>SUMIFS('Investor Exit List'!$Q:$Q,'Investor Exit List'!$AB:$AB,B570)</f>
        <v/>
      </c>
      <c r="E570" s="31">
        <f>LEFT(B570,6)</f>
        <v/>
      </c>
      <c r="F570" s="14">
        <f>IF(SUMIFS($E$119:$E$151,$D$119:$D$151,E570)&lt;&gt;0,E570,0)</f>
        <v/>
      </c>
      <c r="G570" s="59" t="n"/>
      <c r="I570" s="28">
        <f>IF(AND(SUMIFS($D$245:$D$595,$F$245:$F$595,0,$E$245:$E$595,$G570,$C$245:$C$595,"&lt;="&amp;B$2)&lt;1000000,SUMIFS($D$245:$D$595,$F$245:$F$595,0,$E$245:$E$595,$G570,$C$245:$C$595,"&lt;="&amp;I5)&gt;=1000000),SUMIFS($D$245:$D$595,$F$245:$F$595,0,$E$245:$E$595,$G570)*$C$157 ,0)</f>
        <v/>
      </c>
      <c r="K570" s="95">
        <f>IF(AND(SUMIFS($D$245:$D$595,$F$245:$F$595,0,$E$245:$E$595,$G570,$C$245:$C$595,"&lt;="&amp;I$5)&lt;1000000,SUMIFS($D$245:$D$595,$F$245:$F$595,0,$E$245:$E$595,$G570,$C$245:$C$595,"&lt;="&amp;K5)&gt;=1000000),SUMIFS($D$245:$D$595,$F$245:$F$595,0,$E$245:$E$595,$G570)*$C$157 ,0)</f>
        <v/>
      </c>
      <c r="M570" s="95">
        <f>IF(AND(SUMIFS($D$245:$D$595,$F$245:$F$595,0,$E$245:$E$595,$G570,$C$245:$C$595,"&lt;="&amp;K$5)&lt;1000000,SUMIFS($D$245:$D$595,$F$245:$F$595,0,$E$245:$E$595,$G570,$C$245:$C$595,"&lt;="&amp;M5)&gt;=1000000),SUMIFS($D$245:$D$595,$F$245:$F$595,0,$E$245:$E$595,$G570)*$C$157 ,0)</f>
        <v/>
      </c>
      <c r="O570" s="95">
        <f>IF(AND(SUMIFS($D$245:$D$595,$F$245:$F$595,0,$E$245:$E$595,$G570,$C$245:$C$595,"&lt;="&amp;M$5)&lt;1000000,SUMIFS($D$245:$D$595,$F$245:$F$595,0,$E$245:$E$595,$G570,$C$245:$C$595,"&lt;="&amp;O5)&gt;=1000000),SUMIFS($D$245:$D$595,$F$245:$F$595,0,$E$245:$E$595,$G570)*$C$157 ,0)</f>
        <v/>
      </c>
      <c r="Q570" s="95">
        <f>IF(AND(SUMIFS($D$245:$D$595,$F$245:$F$595,0,$E$245:$E$595,$G570,$C$245:$C$595,"&lt;="&amp;O$5)&lt;1000000,SUMIFS($D$245:$D$595,$F$245:$F$595,0,$E$245:$E$595,$G570,$C$245:$C$595,"&lt;="&amp;Q5)&gt;=1000000),SUMIFS($D$245:$D$595,$F$245:$F$595,0,$E$245:$E$595,$G570)*$C$157 ,0)</f>
        <v/>
      </c>
      <c r="S570" s="95">
        <f>IF(AND(SUMIFS($D$245:$D$595,$F$245:$F$595,0,$E$245:$E$595,$G570,$C$245:$C$595,"&lt;="&amp;Q$5)&lt;1000000,SUMIFS($D$245:$D$595,$F$245:$F$595,0,$E$245:$E$595,$G570,$C$245:$C$595,"&lt;="&amp;S5)&gt;=1000000),SUMIFS($D$245:$D$595,$F$245:$F$595,0,$E$245:$E$595,$G570)*$C$157 ,0)</f>
        <v/>
      </c>
      <c r="U570" s="95">
        <f>IF(AND(SUMIFS($D$245:$D$595,$F$245:$F$595,0,$E$245:$E$595,$G570,$C$245:$C$595,"&lt;="&amp;S$5)&lt;1000000,SUMIFS($D$245:$D$595,$F$245:$F$595,0,$E$245:$E$595,$G570,$C$245:$C$595,"&lt;="&amp;U5)&gt;=1000000),SUMIFS($D$245:$D$595,$F$245:$F$595,0,$E$245:$E$595,$G570)*$C$157 ,0)</f>
        <v/>
      </c>
      <c r="W570" s="95">
        <f>IF(AND(SUMIFS($D$245:$D$595,$F$245:$F$595,0,$E$245:$E$595,$G570,$C$245:$C$595,"&lt;="&amp;U$5)&lt;1000000,SUMIFS($D$245:$D$595,$F$245:$F$595,0,$E$245:$E$595,$G570,$C$245:$C$595,"&lt;="&amp;W5)&gt;=1000000),SUMIFS($D$245:$D$595,$F$245:$F$595,0,$E$245:$E$595,$G570)*$C$157 ,0)</f>
        <v/>
      </c>
      <c r="Y570" s="95">
        <f>IF(AND(SUMIFS($D$245:$D$595,$F$245:$F$595,0,$E$245:$E$595,$G570,$C$245:$C$595,"&lt;="&amp;W$5)&lt;1000000,SUMIFS($D$245:$D$595,$F$245:$F$595,0,$E$245:$E$595,$G570,$C$245:$C$595,"&lt;="&amp;Y5)&gt;=1000000),SUMIFS($D$245:$D$595,$F$245:$F$595,0,$E$245:$E$595,$G570)*$C$157 ,0)</f>
        <v/>
      </c>
      <c r="AA570" s="95">
        <f>IF(AND(SUMIFS($D$245:$D$595,$F$245:$F$595,0,$E$245:$E$595,$G570,$C$245:$C$595,"&lt;="&amp;Y$5)&lt;1000000,SUMIFS($D$245:$D$595,$F$245:$F$595,0,$E$245:$E$595,$G570,$C$245:$C$595,"&lt;="&amp;AA5)&gt;=1000000),SUMIFS($D$245:$D$595,$F$245:$F$595,0,$E$245:$E$595,$G570)*$C$157 ,0)</f>
        <v/>
      </c>
      <c r="AC570" s="95">
        <f>IF(AND(SUMIFS($D$245:$D$595,$F$245:$F$595,0,$E$245:$E$595,$G570,$C$245:$C$595,"&lt;="&amp;AA$5)&lt;1000000,SUMIFS($D$245:$D$595,$F$245:$F$595,0,$E$245:$E$595,$G570,$C$245:$C$595,"&lt;="&amp;AC5)&gt;=1000000),SUMIFS($D$245:$D$595,$F$245:$F$595,0,$E$245:$E$595,$G570)*$C$157 ,0)</f>
        <v/>
      </c>
      <c r="AE570" s="95">
        <f>IF(AND(SUMIFS($D$245:$D$595,$F$245:$F$595,0,$E$245:$E$595,$G570,$C$245:$C$595,"&lt;="&amp;AC$5)&lt;1000000,SUMIFS($D$245:$D$595,$F$245:$F$595,0,$E$245:$E$595,$G570,$C$245:$C$595,"&lt;="&amp;AE5)&gt;=1000000),SUMIFS($D$245:$D$595,$F$245:$F$595,0,$E$245:$E$595,$G570)*$C$157 ,0)</f>
        <v/>
      </c>
      <c r="AF570" s="19" t="n"/>
    </row>
    <row r="571">
      <c r="A571" s="20">
        <f>mid(E571, 3, 1)</f>
        <v/>
      </c>
      <c r="B571" s="14" t="inlineStr"/>
      <c r="C571" s="21">
        <f>SUMIFS('Investor Exit List'!$AC:$AC,'Investor Exit List'!$AB:$AB,B571)</f>
        <v/>
      </c>
      <c r="D571" s="14">
        <f>SUMIFS('Investor Exit List'!$Q:$Q,'Investor Exit List'!$AB:$AB,B571)</f>
        <v/>
      </c>
      <c r="E571" s="31">
        <f>LEFT(B571,6)</f>
        <v/>
      </c>
      <c r="F571" s="14">
        <f>IF(SUMIFS($E$119:$E$151,$D$119:$D$151,E571)&lt;&gt;0,E571,0)</f>
        <v/>
      </c>
      <c r="G571" s="59" t="n"/>
      <c r="I571" s="28">
        <f>IF(AND(SUMIFS($D$245:$D$595,$F$245:$F$595,0,$E$245:$E$595,$G571,$C$245:$C$595,"&lt;="&amp;B$2)&lt;1000000,SUMIFS($D$245:$D$595,$F$245:$F$595,0,$E$245:$E$595,$G571,$C$245:$C$595,"&lt;="&amp;I5)&gt;=1000000),SUMIFS($D$245:$D$595,$F$245:$F$595,0,$E$245:$E$595,$G571)*$C$157 ,0)</f>
        <v/>
      </c>
      <c r="K571" s="95">
        <f>IF(AND(SUMIFS($D$245:$D$595,$F$245:$F$595,0,$E$245:$E$595,$G571,$C$245:$C$595,"&lt;="&amp;I$5)&lt;1000000,SUMIFS($D$245:$D$595,$F$245:$F$595,0,$E$245:$E$595,$G571,$C$245:$C$595,"&lt;="&amp;K5)&gt;=1000000),SUMIFS($D$245:$D$595,$F$245:$F$595,0,$E$245:$E$595,$G571)*$C$157 ,0)</f>
        <v/>
      </c>
      <c r="M571" s="95">
        <f>IF(AND(SUMIFS($D$245:$D$595,$F$245:$F$595,0,$E$245:$E$595,$G571,$C$245:$C$595,"&lt;="&amp;K$5)&lt;1000000,SUMIFS($D$245:$D$595,$F$245:$F$595,0,$E$245:$E$595,$G571,$C$245:$C$595,"&lt;="&amp;M5)&gt;=1000000),SUMIFS($D$245:$D$595,$F$245:$F$595,0,$E$245:$E$595,$G571)*$C$157 ,0)</f>
        <v/>
      </c>
      <c r="O571" s="95">
        <f>IF(AND(SUMIFS($D$245:$D$595,$F$245:$F$595,0,$E$245:$E$595,$G571,$C$245:$C$595,"&lt;="&amp;M$5)&lt;1000000,SUMIFS($D$245:$D$595,$F$245:$F$595,0,$E$245:$E$595,$G571,$C$245:$C$595,"&lt;="&amp;O5)&gt;=1000000),SUMIFS($D$245:$D$595,$F$245:$F$595,0,$E$245:$E$595,$G571)*$C$157 ,0)</f>
        <v/>
      </c>
      <c r="Q571" s="95">
        <f>IF(AND(SUMIFS($D$245:$D$595,$F$245:$F$595,0,$E$245:$E$595,$G571,$C$245:$C$595,"&lt;="&amp;O$5)&lt;1000000,SUMIFS($D$245:$D$595,$F$245:$F$595,0,$E$245:$E$595,$G571,$C$245:$C$595,"&lt;="&amp;Q5)&gt;=1000000),SUMIFS($D$245:$D$595,$F$245:$F$595,0,$E$245:$E$595,$G571)*$C$157 ,0)</f>
        <v/>
      </c>
      <c r="S571" s="95">
        <f>IF(AND(SUMIFS($D$245:$D$595,$F$245:$F$595,0,$E$245:$E$595,$G571,$C$245:$C$595,"&lt;="&amp;Q$5)&lt;1000000,SUMIFS($D$245:$D$595,$F$245:$F$595,0,$E$245:$E$595,$G571,$C$245:$C$595,"&lt;="&amp;S5)&gt;=1000000),SUMIFS($D$245:$D$595,$F$245:$F$595,0,$E$245:$E$595,$G571)*$C$157 ,0)</f>
        <v/>
      </c>
      <c r="U571" s="95">
        <f>IF(AND(SUMIFS($D$245:$D$595,$F$245:$F$595,0,$E$245:$E$595,$G571,$C$245:$C$595,"&lt;="&amp;S$5)&lt;1000000,SUMIFS($D$245:$D$595,$F$245:$F$595,0,$E$245:$E$595,$G571,$C$245:$C$595,"&lt;="&amp;U5)&gt;=1000000),SUMIFS($D$245:$D$595,$F$245:$F$595,0,$E$245:$E$595,$G571)*$C$157 ,0)</f>
        <v/>
      </c>
      <c r="W571" s="95">
        <f>IF(AND(SUMIFS($D$245:$D$595,$F$245:$F$595,0,$E$245:$E$595,$G571,$C$245:$C$595,"&lt;="&amp;U$5)&lt;1000000,SUMIFS($D$245:$D$595,$F$245:$F$595,0,$E$245:$E$595,$G571,$C$245:$C$595,"&lt;="&amp;W5)&gt;=1000000),SUMIFS($D$245:$D$595,$F$245:$F$595,0,$E$245:$E$595,$G571)*$C$157 ,0)</f>
        <v/>
      </c>
      <c r="Y571" s="95">
        <f>IF(AND(SUMIFS($D$245:$D$595,$F$245:$F$595,0,$E$245:$E$595,$G571,$C$245:$C$595,"&lt;="&amp;W$5)&lt;1000000,SUMIFS($D$245:$D$595,$F$245:$F$595,0,$E$245:$E$595,$G571,$C$245:$C$595,"&lt;="&amp;Y5)&gt;=1000000),SUMIFS($D$245:$D$595,$F$245:$F$595,0,$E$245:$E$595,$G571)*$C$157 ,0)</f>
        <v/>
      </c>
      <c r="AA571" s="95">
        <f>IF(AND(SUMIFS($D$245:$D$595,$F$245:$F$595,0,$E$245:$E$595,$G571,$C$245:$C$595,"&lt;="&amp;Y$5)&lt;1000000,SUMIFS($D$245:$D$595,$F$245:$F$595,0,$E$245:$E$595,$G571,$C$245:$C$595,"&lt;="&amp;AA5)&gt;=1000000),SUMIFS($D$245:$D$595,$F$245:$F$595,0,$E$245:$E$595,$G571)*$C$157 ,0)</f>
        <v/>
      </c>
      <c r="AC571" s="95">
        <f>IF(AND(SUMIFS($D$245:$D$595,$F$245:$F$595,0,$E$245:$E$595,$G571,$C$245:$C$595,"&lt;="&amp;AA$5)&lt;1000000,SUMIFS($D$245:$D$595,$F$245:$F$595,0,$E$245:$E$595,$G571,$C$245:$C$595,"&lt;="&amp;AC5)&gt;=1000000),SUMIFS($D$245:$D$595,$F$245:$F$595,0,$E$245:$E$595,$G571)*$C$157 ,0)</f>
        <v/>
      </c>
      <c r="AE571" s="95">
        <f>IF(AND(SUMIFS($D$245:$D$595,$F$245:$F$595,0,$E$245:$E$595,$G571,$C$245:$C$595,"&lt;="&amp;AC$5)&lt;1000000,SUMIFS($D$245:$D$595,$F$245:$F$595,0,$E$245:$E$595,$G571,$C$245:$C$595,"&lt;="&amp;AE5)&gt;=1000000),SUMIFS($D$245:$D$595,$F$245:$F$595,0,$E$245:$E$595,$G571)*$C$157 ,0)</f>
        <v/>
      </c>
      <c r="AF571" s="19" t="n"/>
    </row>
    <row r="572">
      <c r="A572" s="20">
        <f>mid(E572, 3, 1)</f>
        <v/>
      </c>
      <c r="B572" s="14" t="inlineStr"/>
      <c r="C572" s="21">
        <f>SUMIFS('Investor Exit List'!$AC:$AC,'Investor Exit List'!$AB:$AB,B572)</f>
        <v/>
      </c>
      <c r="D572" s="14">
        <f>SUMIFS('Investor Exit List'!$Q:$Q,'Investor Exit List'!$AB:$AB,B572)</f>
        <v/>
      </c>
      <c r="E572" s="31">
        <f>LEFT(B572,6)</f>
        <v/>
      </c>
      <c r="F572" s="14">
        <f>IF(SUMIFS($E$119:$E$151,$D$119:$D$151,E572)&lt;&gt;0,E572,0)</f>
        <v/>
      </c>
      <c r="G572" s="59" t="n"/>
      <c r="I572" s="28">
        <f>IF(AND(SUMIFS($D$245:$D$595,$F$245:$F$595,0,$E$245:$E$595,$G572,$C$245:$C$595,"&lt;="&amp;B$2)&lt;1000000,SUMIFS($D$245:$D$595,$F$245:$F$595,0,$E$245:$E$595,$G572,$C$245:$C$595,"&lt;="&amp;I5)&gt;=1000000),SUMIFS($D$245:$D$595,$F$245:$F$595,0,$E$245:$E$595,$G572)*$C$157 ,0)</f>
        <v/>
      </c>
      <c r="K572" s="95">
        <f>IF(AND(SUMIFS($D$245:$D$595,$F$245:$F$595,0,$E$245:$E$595,$G572,$C$245:$C$595,"&lt;="&amp;I$5)&lt;1000000,SUMIFS($D$245:$D$595,$F$245:$F$595,0,$E$245:$E$595,$G572,$C$245:$C$595,"&lt;="&amp;K5)&gt;=1000000),SUMIFS($D$245:$D$595,$F$245:$F$595,0,$E$245:$E$595,$G572)*$C$157 ,0)</f>
        <v/>
      </c>
      <c r="M572" s="95">
        <f>IF(AND(SUMIFS($D$245:$D$595,$F$245:$F$595,0,$E$245:$E$595,$G572,$C$245:$C$595,"&lt;="&amp;K$5)&lt;1000000,SUMIFS($D$245:$D$595,$F$245:$F$595,0,$E$245:$E$595,$G572,$C$245:$C$595,"&lt;="&amp;M5)&gt;=1000000),SUMIFS($D$245:$D$595,$F$245:$F$595,0,$E$245:$E$595,$G572)*$C$157 ,0)</f>
        <v/>
      </c>
      <c r="O572" s="95">
        <f>IF(AND(SUMIFS($D$245:$D$595,$F$245:$F$595,0,$E$245:$E$595,$G572,$C$245:$C$595,"&lt;="&amp;M$5)&lt;1000000,SUMIFS($D$245:$D$595,$F$245:$F$595,0,$E$245:$E$595,$G572,$C$245:$C$595,"&lt;="&amp;O5)&gt;=1000000),SUMIFS($D$245:$D$595,$F$245:$F$595,0,$E$245:$E$595,$G572)*$C$157 ,0)</f>
        <v/>
      </c>
      <c r="Q572" s="95">
        <f>IF(AND(SUMIFS($D$245:$D$595,$F$245:$F$595,0,$E$245:$E$595,$G572,$C$245:$C$595,"&lt;="&amp;O$5)&lt;1000000,SUMIFS($D$245:$D$595,$F$245:$F$595,0,$E$245:$E$595,$G572,$C$245:$C$595,"&lt;="&amp;Q5)&gt;=1000000),SUMIFS($D$245:$D$595,$F$245:$F$595,0,$E$245:$E$595,$G572)*$C$157 ,0)</f>
        <v/>
      </c>
      <c r="S572" s="95">
        <f>IF(AND(SUMIFS($D$245:$D$595,$F$245:$F$595,0,$E$245:$E$595,$G572,$C$245:$C$595,"&lt;="&amp;Q$5)&lt;1000000,SUMIFS($D$245:$D$595,$F$245:$F$595,0,$E$245:$E$595,$G572,$C$245:$C$595,"&lt;="&amp;S5)&gt;=1000000),SUMIFS($D$245:$D$595,$F$245:$F$595,0,$E$245:$E$595,$G572)*$C$157 ,0)</f>
        <v/>
      </c>
      <c r="U572" s="95">
        <f>IF(AND(SUMIFS($D$245:$D$595,$F$245:$F$595,0,$E$245:$E$595,$G572,$C$245:$C$595,"&lt;="&amp;S$5)&lt;1000000,SUMIFS($D$245:$D$595,$F$245:$F$595,0,$E$245:$E$595,$G572,$C$245:$C$595,"&lt;="&amp;U5)&gt;=1000000),SUMIFS($D$245:$D$595,$F$245:$F$595,0,$E$245:$E$595,$G572)*$C$157 ,0)</f>
        <v/>
      </c>
      <c r="W572" s="95">
        <f>IF(AND(SUMIFS($D$245:$D$595,$F$245:$F$595,0,$E$245:$E$595,$G572,$C$245:$C$595,"&lt;="&amp;U$5)&lt;1000000,SUMIFS($D$245:$D$595,$F$245:$F$595,0,$E$245:$E$595,$G572,$C$245:$C$595,"&lt;="&amp;W5)&gt;=1000000),SUMIFS($D$245:$D$595,$F$245:$F$595,0,$E$245:$E$595,$G572)*$C$157 ,0)</f>
        <v/>
      </c>
      <c r="Y572" s="95">
        <f>IF(AND(SUMIFS($D$245:$D$595,$F$245:$F$595,0,$E$245:$E$595,$G572,$C$245:$C$595,"&lt;="&amp;W$5)&lt;1000000,SUMIFS($D$245:$D$595,$F$245:$F$595,0,$E$245:$E$595,$G572,$C$245:$C$595,"&lt;="&amp;Y5)&gt;=1000000),SUMIFS($D$245:$D$595,$F$245:$F$595,0,$E$245:$E$595,$G572)*$C$157 ,0)</f>
        <v/>
      </c>
      <c r="AA572" s="95">
        <f>IF(AND(SUMIFS($D$245:$D$595,$F$245:$F$595,0,$E$245:$E$595,$G572,$C$245:$C$595,"&lt;="&amp;Y$5)&lt;1000000,SUMIFS($D$245:$D$595,$F$245:$F$595,0,$E$245:$E$595,$G572,$C$245:$C$595,"&lt;="&amp;AA5)&gt;=1000000),SUMIFS($D$245:$D$595,$F$245:$F$595,0,$E$245:$E$595,$G572)*$C$157 ,0)</f>
        <v/>
      </c>
      <c r="AC572" s="95">
        <f>IF(AND(SUMIFS($D$245:$D$595,$F$245:$F$595,0,$E$245:$E$595,$G572,$C$245:$C$595,"&lt;="&amp;AA$5)&lt;1000000,SUMIFS($D$245:$D$595,$F$245:$F$595,0,$E$245:$E$595,$G572,$C$245:$C$595,"&lt;="&amp;AC5)&gt;=1000000),SUMIFS($D$245:$D$595,$F$245:$F$595,0,$E$245:$E$595,$G572)*$C$157 ,0)</f>
        <v/>
      </c>
      <c r="AE572" s="95">
        <f>IF(AND(SUMIFS($D$245:$D$595,$F$245:$F$595,0,$E$245:$E$595,$G572,$C$245:$C$595,"&lt;="&amp;AC$5)&lt;1000000,SUMIFS($D$245:$D$595,$F$245:$F$595,0,$E$245:$E$595,$G572,$C$245:$C$595,"&lt;="&amp;AE5)&gt;=1000000),SUMIFS($D$245:$D$595,$F$245:$F$595,0,$E$245:$E$595,$G572)*$C$157 ,0)</f>
        <v/>
      </c>
      <c r="AF572" s="19" t="n"/>
    </row>
    <row r="573">
      <c r="A573" s="20">
        <f>mid(E573, 3, 1)</f>
        <v/>
      </c>
      <c r="B573" s="14" t="inlineStr"/>
      <c r="C573" s="21">
        <f>SUMIFS('Investor Exit List'!$AC:$AC,'Investor Exit List'!$AB:$AB,B573)</f>
        <v/>
      </c>
      <c r="D573" s="14">
        <f>SUMIFS('Investor Exit List'!$Q:$Q,'Investor Exit List'!$AB:$AB,B573)</f>
        <v/>
      </c>
      <c r="E573" s="31">
        <f>LEFT(B573,6)</f>
        <v/>
      </c>
      <c r="F573" s="14">
        <f>IF(SUMIFS($E$119:$E$151,$D$119:$D$151,E573)&lt;&gt;0,E573,0)</f>
        <v/>
      </c>
      <c r="G573" s="59" t="n"/>
      <c r="I573" s="28">
        <f>IF(AND(SUMIFS($D$245:$D$595,$F$245:$F$595,0,$E$245:$E$595,$G573,$C$245:$C$595,"&lt;="&amp;B$2)&lt;1000000,SUMIFS($D$245:$D$595,$F$245:$F$595,0,$E$245:$E$595,$G573,$C$245:$C$595,"&lt;="&amp;I5)&gt;=1000000),SUMIFS($D$245:$D$595,$F$245:$F$595,0,$E$245:$E$595,$G573)*$C$157 ,0)</f>
        <v/>
      </c>
      <c r="K573" s="95">
        <f>IF(AND(SUMIFS($D$245:$D$595,$F$245:$F$595,0,$E$245:$E$595,$G573,$C$245:$C$595,"&lt;="&amp;I$5)&lt;1000000,SUMIFS($D$245:$D$595,$F$245:$F$595,0,$E$245:$E$595,$G573,$C$245:$C$595,"&lt;="&amp;K5)&gt;=1000000),SUMIFS($D$245:$D$595,$F$245:$F$595,0,$E$245:$E$595,$G573)*$C$157 ,0)</f>
        <v/>
      </c>
      <c r="M573" s="95">
        <f>IF(AND(SUMIFS($D$245:$D$595,$F$245:$F$595,0,$E$245:$E$595,$G573,$C$245:$C$595,"&lt;="&amp;K$5)&lt;1000000,SUMIFS($D$245:$D$595,$F$245:$F$595,0,$E$245:$E$595,$G573,$C$245:$C$595,"&lt;="&amp;M5)&gt;=1000000),SUMIFS($D$245:$D$595,$F$245:$F$595,0,$E$245:$E$595,$G573)*$C$157 ,0)</f>
        <v/>
      </c>
      <c r="O573" s="95">
        <f>IF(AND(SUMIFS($D$245:$D$595,$F$245:$F$595,0,$E$245:$E$595,$G573,$C$245:$C$595,"&lt;="&amp;M$5)&lt;1000000,SUMIFS($D$245:$D$595,$F$245:$F$595,0,$E$245:$E$595,$G573,$C$245:$C$595,"&lt;="&amp;O5)&gt;=1000000),SUMIFS($D$245:$D$595,$F$245:$F$595,0,$E$245:$E$595,$G573)*$C$157 ,0)</f>
        <v/>
      </c>
      <c r="Q573" s="95">
        <f>IF(AND(SUMIFS($D$245:$D$595,$F$245:$F$595,0,$E$245:$E$595,$G573,$C$245:$C$595,"&lt;="&amp;O$5)&lt;1000000,SUMIFS($D$245:$D$595,$F$245:$F$595,0,$E$245:$E$595,$G573,$C$245:$C$595,"&lt;="&amp;Q5)&gt;=1000000),SUMIFS($D$245:$D$595,$F$245:$F$595,0,$E$245:$E$595,$G573)*$C$157 ,0)</f>
        <v/>
      </c>
      <c r="S573" s="95">
        <f>IF(AND(SUMIFS($D$245:$D$595,$F$245:$F$595,0,$E$245:$E$595,$G573,$C$245:$C$595,"&lt;="&amp;Q$5)&lt;1000000,SUMIFS($D$245:$D$595,$F$245:$F$595,0,$E$245:$E$595,$G573,$C$245:$C$595,"&lt;="&amp;S5)&gt;=1000000),SUMIFS($D$245:$D$595,$F$245:$F$595,0,$E$245:$E$595,$G573)*$C$157 ,0)</f>
        <v/>
      </c>
      <c r="U573" s="95">
        <f>IF(AND(SUMIFS($D$245:$D$595,$F$245:$F$595,0,$E$245:$E$595,$G573,$C$245:$C$595,"&lt;="&amp;S$5)&lt;1000000,SUMIFS($D$245:$D$595,$F$245:$F$595,0,$E$245:$E$595,$G573,$C$245:$C$595,"&lt;="&amp;U5)&gt;=1000000),SUMIFS($D$245:$D$595,$F$245:$F$595,0,$E$245:$E$595,$G573)*$C$157 ,0)</f>
        <v/>
      </c>
      <c r="W573" s="95">
        <f>IF(AND(SUMIFS($D$245:$D$595,$F$245:$F$595,0,$E$245:$E$595,$G573,$C$245:$C$595,"&lt;="&amp;U$5)&lt;1000000,SUMIFS($D$245:$D$595,$F$245:$F$595,0,$E$245:$E$595,$G573,$C$245:$C$595,"&lt;="&amp;W5)&gt;=1000000),SUMIFS($D$245:$D$595,$F$245:$F$595,0,$E$245:$E$595,$G573)*$C$157 ,0)</f>
        <v/>
      </c>
      <c r="Y573" s="95">
        <f>IF(AND(SUMIFS($D$245:$D$595,$F$245:$F$595,0,$E$245:$E$595,$G573,$C$245:$C$595,"&lt;="&amp;W$5)&lt;1000000,SUMIFS($D$245:$D$595,$F$245:$F$595,0,$E$245:$E$595,$G573,$C$245:$C$595,"&lt;="&amp;Y5)&gt;=1000000),SUMIFS($D$245:$D$595,$F$245:$F$595,0,$E$245:$E$595,$G573)*$C$157 ,0)</f>
        <v/>
      </c>
      <c r="AA573" s="95">
        <f>IF(AND(SUMIFS($D$245:$D$595,$F$245:$F$595,0,$E$245:$E$595,$G573,$C$245:$C$595,"&lt;="&amp;Y$5)&lt;1000000,SUMIFS($D$245:$D$595,$F$245:$F$595,0,$E$245:$E$595,$G573,$C$245:$C$595,"&lt;="&amp;AA5)&gt;=1000000),SUMIFS($D$245:$D$595,$F$245:$F$595,0,$E$245:$E$595,$G573)*$C$157 ,0)</f>
        <v/>
      </c>
      <c r="AC573" s="95">
        <f>IF(AND(SUMIFS($D$245:$D$595,$F$245:$F$595,0,$E$245:$E$595,$G573,$C$245:$C$595,"&lt;="&amp;AA$5)&lt;1000000,SUMIFS($D$245:$D$595,$F$245:$F$595,0,$E$245:$E$595,$G573,$C$245:$C$595,"&lt;="&amp;AC5)&gt;=1000000),SUMIFS($D$245:$D$595,$F$245:$F$595,0,$E$245:$E$595,$G573)*$C$157 ,0)</f>
        <v/>
      </c>
      <c r="AE573" s="95">
        <f>IF(AND(SUMIFS($D$245:$D$595,$F$245:$F$595,0,$E$245:$E$595,$G573,$C$245:$C$595,"&lt;="&amp;AC$5)&lt;1000000,SUMIFS($D$245:$D$595,$F$245:$F$595,0,$E$245:$E$595,$G573,$C$245:$C$595,"&lt;="&amp;AE5)&gt;=1000000),SUMIFS($D$245:$D$595,$F$245:$F$595,0,$E$245:$E$595,$G573)*$C$157 ,0)</f>
        <v/>
      </c>
      <c r="AF573" s="19" t="n"/>
    </row>
    <row r="574">
      <c r="A574" s="20">
        <f>mid(E574, 3, 1)</f>
        <v/>
      </c>
      <c r="B574" s="14" t="inlineStr"/>
      <c r="C574" s="21">
        <f>SUMIFS('Investor Exit List'!$AC:$AC,'Investor Exit List'!$AB:$AB,B574)</f>
        <v/>
      </c>
      <c r="D574" s="14">
        <f>SUMIFS('Investor Exit List'!$Q:$Q,'Investor Exit List'!$AB:$AB,B574)</f>
        <v/>
      </c>
      <c r="E574" s="31">
        <f>LEFT(B574,6)</f>
        <v/>
      </c>
      <c r="F574" s="14">
        <f>IF(SUMIFS($E$119:$E$151,$D$119:$D$151,E574)&lt;&gt;0,E574,0)</f>
        <v/>
      </c>
      <c r="G574" s="59" t="n"/>
      <c r="I574" s="28">
        <f>IF(AND(SUMIFS($D$245:$D$595,$F$245:$F$595,0,$E$245:$E$595,$G574,$C$245:$C$595,"&lt;="&amp;B$2)&lt;1000000,SUMIFS($D$245:$D$595,$F$245:$F$595,0,$E$245:$E$595,$G574,$C$245:$C$595,"&lt;="&amp;I5)&gt;=1000000),SUMIFS($D$245:$D$595,$F$245:$F$595,0,$E$245:$E$595,$G574)*$C$157 ,0)</f>
        <v/>
      </c>
      <c r="K574" s="95">
        <f>IF(AND(SUMIFS($D$245:$D$595,$F$245:$F$595,0,$E$245:$E$595,$G574,$C$245:$C$595,"&lt;="&amp;I$5)&lt;1000000,SUMIFS($D$245:$D$595,$F$245:$F$595,0,$E$245:$E$595,$G574,$C$245:$C$595,"&lt;="&amp;K5)&gt;=1000000),SUMIFS($D$245:$D$595,$F$245:$F$595,0,$E$245:$E$595,$G574)*$C$157 ,0)</f>
        <v/>
      </c>
      <c r="M574" s="95">
        <f>IF(AND(SUMIFS($D$245:$D$595,$F$245:$F$595,0,$E$245:$E$595,$G574,$C$245:$C$595,"&lt;="&amp;K$5)&lt;1000000,SUMIFS($D$245:$D$595,$F$245:$F$595,0,$E$245:$E$595,$G574,$C$245:$C$595,"&lt;="&amp;M5)&gt;=1000000),SUMIFS($D$245:$D$595,$F$245:$F$595,0,$E$245:$E$595,$G574)*$C$157 ,0)</f>
        <v/>
      </c>
      <c r="O574" s="95">
        <f>IF(AND(SUMIFS($D$245:$D$595,$F$245:$F$595,0,$E$245:$E$595,$G574,$C$245:$C$595,"&lt;="&amp;M$5)&lt;1000000,SUMIFS($D$245:$D$595,$F$245:$F$595,0,$E$245:$E$595,$G574,$C$245:$C$595,"&lt;="&amp;O5)&gt;=1000000),SUMIFS($D$245:$D$595,$F$245:$F$595,0,$E$245:$E$595,$G574)*$C$157 ,0)</f>
        <v/>
      </c>
      <c r="Q574" s="95">
        <f>IF(AND(SUMIFS($D$245:$D$595,$F$245:$F$595,0,$E$245:$E$595,$G574,$C$245:$C$595,"&lt;="&amp;O$5)&lt;1000000,SUMIFS($D$245:$D$595,$F$245:$F$595,0,$E$245:$E$595,$G574,$C$245:$C$595,"&lt;="&amp;Q5)&gt;=1000000),SUMIFS($D$245:$D$595,$F$245:$F$595,0,$E$245:$E$595,$G574)*$C$157 ,0)</f>
        <v/>
      </c>
      <c r="S574" s="95">
        <f>IF(AND(SUMIFS($D$245:$D$595,$F$245:$F$595,0,$E$245:$E$595,$G574,$C$245:$C$595,"&lt;="&amp;Q$5)&lt;1000000,SUMIFS($D$245:$D$595,$F$245:$F$595,0,$E$245:$E$595,$G574,$C$245:$C$595,"&lt;="&amp;S5)&gt;=1000000),SUMIFS($D$245:$D$595,$F$245:$F$595,0,$E$245:$E$595,$G574)*$C$157 ,0)</f>
        <v/>
      </c>
      <c r="U574" s="95">
        <f>IF(AND(SUMIFS($D$245:$D$595,$F$245:$F$595,0,$E$245:$E$595,$G574,$C$245:$C$595,"&lt;="&amp;S$5)&lt;1000000,SUMIFS($D$245:$D$595,$F$245:$F$595,0,$E$245:$E$595,$G574,$C$245:$C$595,"&lt;="&amp;U5)&gt;=1000000),SUMIFS($D$245:$D$595,$F$245:$F$595,0,$E$245:$E$595,$G574)*$C$157 ,0)</f>
        <v/>
      </c>
      <c r="W574" s="95">
        <f>IF(AND(SUMIFS($D$245:$D$595,$F$245:$F$595,0,$E$245:$E$595,$G574,$C$245:$C$595,"&lt;="&amp;U$5)&lt;1000000,SUMIFS($D$245:$D$595,$F$245:$F$595,0,$E$245:$E$595,$G574,$C$245:$C$595,"&lt;="&amp;W5)&gt;=1000000),SUMIFS($D$245:$D$595,$F$245:$F$595,0,$E$245:$E$595,$G574)*$C$157 ,0)</f>
        <v/>
      </c>
      <c r="Y574" s="95">
        <f>IF(AND(SUMIFS($D$245:$D$595,$F$245:$F$595,0,$E$245:$E$595,$G574,$C$245:$C$595,"&lt;="&amp;W$5)&lt;1000000,SUMIFS($D$245:$D$595,$F$245:$F$595,0,$E$245:$E$595,$G574,$C$245:$C$595,"&lt;="&amp;Y5)&gt;=1000000),SUMIFS($D$245:$D$595,$F$245:$F$595,0,$E$245:$E$595,$G574)*$C$157 ,0)</f>
        <v/>
      </c>
      <c r="AA574" s="95">
        <f>IF(AND(SUMIFS($D$245:$D$595,$F$245:$F$595,0,$E$245:$E$595,$G574,$C$245:$C$595,"&lt;="&amp;Y$5)&lt;1000000,SUMIFS($D$245:$D$595,$F$245:$F$595,0,$E$245:$E$595,$G574,$C$245:$C$595,"&lt;="&amp;AA5)&gt;=1000000),SUMIFS($D$245:$D$595,$F$245:$F$595,0,$E$245:$E$595,$G574)*$C$157 ,0)</f>
        <v/>
      </c>
      <c r="AC574" s="95">
        <f>IF(AND(SUMIFS($D$245:$D$595,$F$245:$F$595,0,$E$245:$E$595,$G574,$C$245:$C$595,"&lt;="&amp;AA$5)&lt;1000000,SUMIFS($D$245:$D$595,$F$245:$F$595,0,$E$245:$E$595,$G574,$C$245:$C$595,"&lt;="&amp;AC5)&gt;=1000000),SUMIFS($D$245:$D$595,$F$245:$F$595,0,$E$245:$E$595,$G574)*$C$157 ,0)</f>
        <v/>
      </c>
      <c r="AE574" s="95">
        <f>IF(AND(SUMIFS($D$245:$D$595,$F$245:$F$595,0,$E$245:$E$595,$G574,$C$245:$C$595,"&lt;="&amp;AC$5)&lt;1000000,SUMIFS($D$245:$D$595,$F$245:$F$595,0,$E$245:$E$595,$G574,$C$245:$C$595,"&lt;="&amp;AE5)&gt;=1000000),SUMIFS($D$245:$D$595,$F$245:$F$595,0,$E$245:$E$595,$G574)*$C$157 ,0)</f>
        <v/>
      </c>
      <c r="AF574" s="19" t="n"/>
    </row>
    <row r="575">
      <c r="A575" s="20">
        <f>mid(E575, 3, 1)</f>
        <v/>
      </c>
      <c r="B575" s="14" t="inlineStr"/>
      <c r="C575" s="21">
        <f>SUMIFS('Investor Exit List'!$AC:$AC,'Investor Exit List'!$AB:$AB,B575)</f>
        <v/>
      </c>
      <c r="D575" s="14">
        <f>SUMIFS('Investor Exit List'!$Q:$Q,'Investor Exit List'!$AB:$AB,B575)</f>
        <v/>
      </c>
      <c r="E575" s="31">
        <f>LEFT(B575,6)</f>
        <v/>
      </c>
      <c r="F575" s="14">
        <f>IF(SUMIFS($E$119:$E$151,$D$119:$D$151,E575)&lt;&gt;0,E575,0)</f>
        <v/>
      </c>
      <c r="G575" s="59" t="n"/>
      <c r="I575" s="28">
        <f>IF(AND(SUMIFS($D$245:$D$595,$F$245:$F$595,0,$E$245:$E$595,$G575,$C$245:$C$595,"&lt;="&amp;B$2)&lt;1000000,SUMIFS($D$245:$D$595,$F$245:$F$595,0,$E$245:$E$595,$G575,$C$245:$C$595,"&lt;="&amp;I5)&gt;=1000000),SUMIFS($D$245:$D$595,$F$245:$F$595,0,$E$245:$E$595,$G575)*$C$157 ,0)</f>
        <v/>
      </c>
      <c r="K575" s="95">
        <f>IF(AND(SUMIFS($D$245:$D$595,$F$245:$F$595,0,$E$245:$E$595,$G575,$C$245:$C$595,"&lt;="&amp;I$5)&lt;1000000,SUMIFS($D$245:$D$595,$F$245:$F$595,0,$E$245:$E$595,$G575,$C$245:$C$595,"&lt;="&amp;K5)&gt;=1000000),SUMIFS($D$245:$D$595,$F$245:$F$595,0,$E$245:$E$595,$G575)*$C$157 ,0)</f>
        <v/>
      </c>
      <c r="M575" s="95">
        <f>IF(AND(SUMIFS($D$245:$D$595,$F$245:$F$595,0,$E$245:$E$595,$G575,$C$245:$C$595,"&lt;="&amp;K$5)&lt;1000000,SUMIFS($D$245:$D$595,$F$245:$F$595,0,$E$245:$E$595,$G575,$C$245:$C$595,"&lt;="&amp;M5)&gt;=1000000),SUMIFS($D$245:$D$595,$F$245:$F$595,0,$E$245:$E$595,$G575)*$C$157 ,0)</f>
        <v/>
      </c>
      <c r="O575" s="95">
        <f>IF(AND(SUMIFS($D$245:$D$595,$F$245:$F$595,0,$E$245:$E$595,$G575,$C$245:$C$595,"&lt;="&amp;M$5)&lt;1000000,SUMIFS($D$245:$D$595,$F$245:$F$595,0,$E$245:$E$595,$G575,$C$245:$C$595,"&lt;="&amp;O5)&gt;=1000000),SUMIFS($D$245:$D$595,$F$245:$F$595,0,$E$245:$E$595,$G575)*$C$157 ,0)</f>
        <v/>
      </c>
      <c r="Q575" s="95">
        <f>IF(AND(SUMIFS($D$245:$D$595,$F$245:$F$595,0,$E$245:$E$595,$G575,$C$245:$C$595,"&lt;="&amp;O$5)&lt;1000000,SUMIFS($D$245:$D$595,$F$245:$F$595,0,$E$245:$E$595,$G575,$C$245:$C$595,"&lt;="&amp;Q5)&gt;=1000000),SUMIFS($D$245:$D$595,$F$245:$F$595,0,$E$245:$E$595,$G575)*$C$157 ,0)</f>
        <v/>
      </c>
      <c r="S575" s="95">
        <f>IF(AND(SUMIFS($D$245:$D$595,$F$245:$F$595,0,$E$245:$E$595,$G575,$C$245:$C$595,"&lt;="&amp;Q$5)&lt;1000000,SUMIFS($D$245:$D$595,$F$245:$F$595,0,$E$245:$E$595,$G575,$C$245:$C$595,"&lt;="&amp;S5)&gt;=1000000),SUMIFS($D$245:$D$595,$F$245:$F$595,0,$E$245:$E$595,$G575)*$C$157 ,0)</f>
        <v/>
      </c>
      <c r="U575" s="95">
        <f>IF(AND(SUMIFS($D$245:$D$595,$F$245:$F$595,0,$E$245:$E$595,$G575,$C$245:$C$595,"&lt;="&amp;S$5)&lt;1000000,SUMIFS($D$245:$D$595,$F$245:$F$595,0,$E$245:$E$595,$G575,$C$245:$C$595,"&lt;="&amp;U5)&gt;=1000000),SUMIFS($D$245:$D$595,$F$245:$F$595,0,$E$245:$E$595,$G575)*$C$157 ,0)</f>
        <v/>
      </c>
      <c r="W575" s="95">
        <f>IF(AND(SUMIFS($D$245:$D$595,$F$245:$F$595,0,$E$245:$E$595,$G575,$C$245:$C$595,"&lt;="&amp;U$5)&lt;1000000,SUMIFS($D$245:$D$595,$F$245:$F$595,0,$E$245:$E$595,$G575,$C$245:$C$595,"&lt;="&amp;W5)&gt;=1000000),SUMIFS($D$245:$D$595,$F$245:$F$595,0,$E$245:$E$595,$G575)*$C$157 ,0)</f>
        <v/>
      </c>
      <c r="Y575" s="95">
        <f>IF(AND(SUMIFS($D$245:$D$595,$F$245:$F$595,0,$E$245:$E$595,$G575,$C$245:$C$595,"&lt;="&amp;W$5)&lt;1000000,SUMIFS($D$245:$D$595,$F$245:$F$595,0,$E$245:$E$595,$G575,$C$245:$C$595,"&lt;="&amp;Y5)&gt;=1000000),SUMIFS($D$245:$D$595,$F$245:$F$595,0,$E$245:$E$595,$G575)*$C$157 ,0)</f>
        <v/>
      </c>
      <c r="AA575" s="95">
        <f>IF(AND(SUMIFS($D$245:$D$595,$F$245:$F$595,0,$E$245:$E$595,$G575,$C$245:$C$595,"&lt;="&amp;Y$5)&lt;1000000,SUMIFS($D$245:$D$595,$F$245:$F$595,0,$E$245:$E$595,$G575,$C$245:$C$595,"&lt;="&amp;AA5)&gt;=1000000),SUMIFS($D$245:$D$595,$F$245:$F$595,0,$E$245:$E$595,$G575)*$C$157 ,0)</f>
        <v/>
      </c>
      <c r="AC575" s="95">
        <f>IF(AND(SUMIFS($D$245:$D$595,$F$245:$F$595,0,$E$245:$E$595,$G575,$C$245:$C$595,"&lt;="&amp;AA$5)&lt;1000000,SUMIFS($D$245:$D$595,$F$245:$F$595,0,$E$245:$E$595,$G575,$C$245:$C$595,"&lt;="&amp;AC5)&gt;=1000000),SUMIFS($D$245:$D$595,$F$245:$F$595,0,$E$245:$E$595,$G575)*$C$157 ,0)</f>
        <v/>
      </c>
      <c r="AE575" s="95">
        <f>IF(AND(SUMIFS($D$245:$D$595,$F$245:$F$595,0,$E$245:$E$595,$G575,$C$245:$C$595,"&lt;="&amp;AC$5)&lt;1000000,SUMIFS($D$245:$D$595,$F$245:$F$595,0,$E$245:$E$595,$G575,$C$245:$C$595,"&lt;="&amp;AE5)&gt;=1000000),SUMIFS($D$245:$D$595,$F$245:$F$595,0,$E$245:$E$595,$G575)*$C$157 ,0)</f>
        <v/>
      </c>
      <c r="AF575" s="19" t="n"/>
    </row>
    <row r="576">
      <c r="A576" s="20">
        <f>mid(E576, 3, 1)</f>
        <v/>
      </c>
      <c r="B576" s="14" t="inlineStr"/>
      <c r="C576" s="21">
        <f>SUMIFS('Investor Exit List'!$AC:$AC,'Investor Exit List'!$AB:$AB,B576)</f>
        <v/>
      </c>
      <c r="D576" s="14">
        <f>SUMIFS('Investor Exit List'!$Q:$Q,'Investor Exit List'!$AB:$AB,B576)</f>
        <v/>
      </c>
      <c r="E576" s="31">
        <f>LEFT(B576,6)</f>
        <v/>
      </c>
      <c r="F576" s="14">
        <f>IF(SUMIFS($E$119:$E$151,$D$119:$D$151,E576)&lt;&gt;0,E576,0)</f>
        <v/>
      </c>
      <c r="G576" s="59" t="n"/>
      <c r="I576" s="28">
        <f>IF(AND(SUMIFS($D$245:$D$595,$F$245:$F$595,0,$E$245:$E$595,$G576,$C$245:$C$595,"&lt;="&amp;B$2)&lt;1000000,SUMIFS($D$245:$D$595,$F$245:$F$595,0,$E$245:$E$595,$G576,$C$245:$C$595,"&lt;="&amp;I5)&gt;=1000000),SUMIFS($D$245:$D$595,$F$245:$F$595,0,$E$245:$E$595,$G576)*$C$157 ,0)</f>
        <v/>
      </c>
      <c r="K576" s="95">
        <f>IF(AND(SUMIFS($D$245:$D$595,$F$245:$F$595,0,$E$245:$E$595,$G576,$C$245:$C$595,"&lt;="&amp;I$5)&lt;1000000,SUMIFS($D$245:$D$595,$F$245:$F$595,0,$E$245:$E$595,$G576,$C$245:$C$595,"&lt;="&amp;K5)&gt;=1000000),SUMIFS($D$245:$D$595,$F$245:$F$595,0,$E$245:$E$595,$G576)*$C$157 ,0)</f>
        <v/>
      </c>
      <c r="M576" s="95">
        <f>IF(AND(SUMIFS($D$245:$D$595,$F$245:$F$595,0,$E$245:$E$595,$G576,$C$245:$C$595,"&lt;="&amp;K$5)&lt;1000000,SUMIFS($D$245:$D$595,$F$245:$F$595,0,$E$245:$E$595,$G576,$C$245:$C$595,"&lt;="&amp;M5)&gt;=1000000),SUMIFS($D$245:$D$595,$F$245:$F$595,0,$E$245:$E$595,$G576)*$C$157 ,0)</f>
        <v/>
      </c>
      <c r="O576" s="95">
        <f>IF(AND(SUMIFS($D$245:$D$595,$F$245:$F$595,0,$E$245:$E$595,$G576,$C$245:$C$595,"&lt;="&amp;M$5)&lt;1000000,SUMIFS($D$245:$D$595,$F$245:$F$595,0,$E$245:$E$595,$G576,$C$245:$C$595,"&lt;="&amp;O5)&gt;=1000000),SUMIFS($D$245:$D$595,$F$245:$F$595,0,$E$245:$E$595,$G576)*$C$157 ,0)</f>
        <v/>
      </c>
      <c r="Q576" s="95">
        <f>IF(AND(SUMIFS($D$245:$D$595,$F$245:$F$595,0,$E$245:$E$595,$G576,$C$245:$C$595,"&lt;="&amp;O$5)&lt;1000000,SUMIFS($D$245:$D$595,$F$245:$F$595,0,$E$245:$E$595,$G576,$C$245:$C$595,"&lt;="&amp;Q5)&gt;=1000000),SUMIFS($D$245:$D$595,$F$245:$F$595,0,$E$245:$E$595,$G576)*$C$157 ,0)</f>
        <v/>
      </c>
      <c r="S576" s="95">
        <f>IF(AND(SUMIFS($D$245:$D$595,$F$245:$F$595,0,$E$245:$E$595,$G576,$C$245:$C$595,"&lt;="&amp;Q$5)&lt;1000000,SUMIFS($D$245:$D$595,$F$245:$F$595,0,$E$245:$E$595,$G576,$C$245:$C$595,"&lt;="&amp;S5)&gt;=1000000),SUMIFS($D$245:$D$595,$F$245:$F$595,0,$E$245:$E$595,$G576)*$C$157 ,0)</f>
        <v/>
      </c>
      <c r="U576" s="95">
        <f>IF(AND(SUMIFS($D$245:$D$595,$F$245:$F$595,0,$E$245:$E$595,$G576,$C$245:$C$595,"&lt;="&amp;S$5)&lt;1000000,SUMIFS($D$245:$D$595,$F$245:$F$595,0,$E$245:$E$595,$G576,$C$245:$C$595,"&lt;="&amp;U5)&gt;=1000000),SUMIFS($D$245:$D$595,$F$245:$F$595,0,$E$245:$E$595,$G576)*$C$157 ,0)</f>
        <v/>
      </c>
      <c r="W576" s="95">
        <f>IF(AND(SUMIFS($D$245:$D$595,$F$245:$F$595,0,$E$245:$E$595,$G576,$C$245:$C$595,"&lt;="&amp;U$5)&lt;1000000,SUMIFS($D$245:$D$595,$F$245:$F$595,0,$E$245:$E$595,$G576,$C$245:$C$595,"&lt;="&amp;W5)&gt;=1000000),SUMIFS($D$245:$D$595,$F$245:$F$595,0,$E$245:$E$595,$G576)*$C$157 ,0)</f>
        <v/>
      </c>
      <c r="Y576" s="95">
        <f>IF(AND(SUMIFS($D$245:$D$595,$F$245:$F$595,0,$E$245:$E$595,$G576,$C$245:$C$595,"&lt;="&amp;W$5)&lt;1000000,SUMIFS($D$245:$D$595,$F$245:$F$595,0,$E$245:$E$595,$G576,$C$245:$C$595,"&lt;="&amp;Y5)&gt;=1000000),SUMIFS($D$245:$D$595,$F$245:$F$595,0,$E$245:$E$595,$G576)*$C$157 ,0)</f>
        <v/>
      </c>
      <c r="AA576" s="95">
        <f>IF(AND(SUMIFS($D$245:$D$595,$F$245:$F$595,0,$E$245:$E$595,$G576,$C$245:$C$595,"&lt;="&amp;Y$5)&lt;1000000,SUMIFS($D$245:$D$595,$F$245:$F$595,0,$E$245:$E$595,$G576,$C$245:$C$595,"&lt;="&amp;AA5)&gt;=1000000),SUMIFS($D$245:$D$595,$F$245:$F$595,0,$E$245:$E$595,$G576)*$C$157 ,0)</f>
        <v/>
      </c>
      <c r="AC576" s="95">
        <f>IF(AND(SUMIFS($D$245:$D$595,$F$245:$F$595,0,$E$245:$E$595,$G576,$C$245:$C$595,"&lt;="&amp;AA$5)&lt;1000000,SUMIFS($D$245:$D$595,$F$245:$F$595,0,$E$245:$E$595,$G576,$C$245:$C$595,"&lt;="&amp;AC5)&gt;=1000000),SUMIFS($D$245:$D$595,$F$245:$F$595,0,$E$245:$E$595,$G576)*$C$157 ,0)</f>
        <v/>
      </c>
      <c r="AE576" s="95">
        <f>IF(AND(SUMIFS($D$245:$D$595,$F$245:$F$595,0,$E$245:$E$595,$G576,$C$245:$C$595,"&lt;="&amp;AC$5)&lt;1000000,SUMIFS($D$245:$D$595,$F$245:$F$595,0,$E$245:$E$595,$G576,$C$245:$C$595,"&lt;="&amp;AE5)&gt;=1000000),SUMIFS($D$245:$D$595,$F$245:$F$595,0,$E$245:$E$595,$G576)*$C$157 ,0)</f>
        <v/>
      </c>
      <c r="AF576" s="19" t="n"/>
    </row>
    <row r="577">
      <c r="A577" s="20">
        <f>mid(E577, 3, 1)</f>
        <v/>
      </c>
      <c r="B577" s="14" t="inlineStr"/>
      <c r="C577" s="21">
        <f>SUMIFS('Investor Exit List'!$AC:$AC,'Investor Exit List'!$AB:$AB,B577)</f>
        <v/>
      </c>
      <c r="D577" s="14">
        <f>SUMIFS('Investor Exit List'!$Q:$Q,'Investor Exit List'!$AB:$AB,B577)</f>
        <v/>
      </c>
      <c r="E577" s="31">
        <f>LEFT(B577,6)</f>
        <v/>
      </c>
      <c r="F577" s="14">
        <f>IF(SUMIFS($E$119:$E$151,$D$119:$D$151,E577)&lt;&gt;0,E577,0)</f>
        <v/>
      </c>
      <c r="G577" s="59" t="n"/>
      <c r="I577" s="28">
        <f>IF(AND(SUMIFS($D$245:$D$595,$F$245:$F$595,0,$E$245:$E$595,$G577,$C$245:$C$595,"&lt;="&amp;B$2)&lt;1000000,SUMIFS($D$245:$D$595,$F$245:$F$595,0,$E$245:$E$595,$G577,$C$245:$C$595,"&lt;="&amp;I5)&gt;=1000000),SUMIFS($D$245:$D$595,$F$245:$F$595,0,$E$245:$E$595,$G577)*$C$157 ,0)</f>
        <v/>
      </c>
      <c r="K577" s="95">
        <f>IF(AND(SUMIFS($D$245:$D$595,$F$245:$F$595,0,$E$245:$E$595,$G577,$C$245:$C$595,"&lt;="&amp;I$5)&lt;1000000,SUMIFS($D$245:$D$595,$F$245:$F$595,0,$E$245:$E$595,$G577,$C$245:$C$595,"&lt;="&amp;K5)&gt;=1000000),SUMIFS($D$245:$D$595,$F$245:$F$595,0,$E$245:$E$595,$G577)*$C$157 ,0)</f>
        <v/>
      </c>
      <c r="M577" s="95">
        <f>IF(AND(SUMIFS($D$245:$D$595,$F$245:$F$595,0,$E$245:$E$595,$G577,$C$245:$C$595,"&lt;="&amp;K$5)&lt;1000000,SUMIFS($D$245:$D$595,$F$245:$F$595,0,$E$245:$E$595,$G577,$C$245:$C$595,"&lt;="&amp;M5)&gt;=1000000),SUMIFS($D$245:$D$595,$F$245:$F$595,0,$E$245:$E$595,$G577)*$C$157 ,0)</f>
        <v/>
      </c>
      <c r="O577" s="95">
        <f>IF(AND(SUMIFS($D$245:$D$595,$F$245:$F$595,0,$E$245:$E$595,$G577,$C$245:$C$595,"&lt;="&amp;M$5)&lt;1000000,SUMIFS($D$245:$D$595,$F$245:$F$595,0,$E$245:$E$595,$G577,$C$245:$C$595,"&lt;="&amp;O5)&gt;=1000000),SUMIFS($D$245:$D$595,$F$245:$F$595,0,$E$245:$E$595,$G577)*$C$157 ,0)</f>
        <v/>
      </c>
      <c r="Q577" s="95">
        <f>IF(AND(SUMIFS($D$245:$D$595,$F$245:$F$595,0,$E$245:$E$595,$G577,$C$245:$C$595,"&lt;="&amp;O$5)&lt;1000000,SUMIFS($D$245:$D$595,$F$245:$F$595,0,$E$245:$E$595,$G577,$C$245:$C$595,"&lt;="&amp;Q5)&gt;=1000000),SUMIFS($D$245:$D$595,$F$245:$F$595,0,$E$245:$E$595,$G577)*$C$157 ,0)</f>
        <v/>
      </c>
      <c r="S577" s="95">
        <f>IF(AND(SUMIFS($D$245:$D$595,$F$245:$F$595,0,$E$245:$E$595,$G577,$C$245:$C$595,"&lt;="&amp;Q$5)&lt;1000000,SUMIFS($D$245:$D$595,$F$245:$F$595,0,$E$245:$E$595,$G577,$C$245:$C$595,"&lt;="&amp;S5)&gt;=1000000),SUMIFS($D$245:$D$595,$F$245:$F$595,0,$E$245:$E$595,$G577)*$C$157 ,0)</f>
        <v/>
      </c>
      <c r="U577" s="95">
        <f>IF(AND(SUMIFS($D$245:$D$595,$F$245:$F$595,0,$E$245:$E$595,$G577,$C$245:$C$595,"&lt;="&amp;S$5)&lt;1000000,SUMIFS($D$245:$D$595,$F$245:$F$595,0,$E$245:$E$595,$G577,$C$245:$C$595,"&lt;="&amp;U5)&gt;=1000000),SUMIFS($D$245:$D$595,$F$245:$F$595,0,$E$245:$E$595,$G577)*$C$157 ,0)</f>
        <v/>
      </c>
      <c r="W577" s="95">
        <f>IF(AND(SUMIFS($D$245:$D$595,$F$245:$F$595,0,$E$245:$E$595,$G577,$C$245:$C$595,"&lt;="&amp;U$5)&lt;1000000,SUMIFS($D$245:$D$595,$F$245:$F$595,0,$E$245:$E$595,$G577,$C$245:$C$595,"&lt;="&amp;W5)&gt;=1000000),SUMIFS($D$245:$D$595,$F$245:$F$595,0,$E$245:$E$595,$G577)*$C$157 ,0)</f>
        <v/>
      </c>
      <c r="Y577" s="95">
        <f>IF(AND(SUMIFS($D$245:$D$595,$F$245:$F$595,0,$E$245:$E$595,$G577,$C$245:$C$595,"&lt;="&amp;W$5)&lt;1000000,SUMIFS($D$245:$D$595,$F$245:$F$595,0,$E$245:$E$595,$G577,$C$245:$C$595,"&lt;="&amp;Y5)&gt;=1000000),SUMIFS($D$245:$D$595,$F$245:$F$595,0,$E$245:$E$595,$G577)*$C$157 ,0)</f>
        <v/>
      </c>
      <c r="AA577" s="95">
        <f>IF(AND(SUMIFS($D$245:$D$595,$F$245:$F$595,0,$E$245:$E$595,$G577,$C$245:$C$595,"&lt;="&amp;Y$5)&lt;1000000,SUMIFS($D$245:$D$595,$F$245:$F$595,0,$E$245:$E$595,$G577,$C$245:$C$595,"&lt;="&amp;AA5)&gt;=1000000),SUMIFS($D$245:$D$595,$F$245:$F$595,0,$E$245:$E$595,$G577)*$C$157 ,0)</f>
        <v/>
      </c>
      <c r="AC577" s="95">
        <f>IF(AND(SUMIFS($D$245:$D$595,$F$245:$F$595,0,$E$245:$E$595,$G577,$C$245:$C$595,"&lt;="&amp;AA$5)&lt;1000000,SUMIFS($D$245:$D$595,$F$245:$F$595,0,$E$245:$E$595,$G577,$C$245:$C$595,"&lt;="&amp;AC5)&gt;=1000000),SUMIFS($D$245:$D$595,$F$245:$F$595,0,$E$245:$E$595,$G577)*$C$157 ,0)</f>
        <v/>
      </c>
      <c r="AE577" s="95">
        <f>IF(AND(SUMIFS($D$245:$D$595,$F$245:$F$595,0,$E$245:$E$595,$G577,$C$245:$C$595,"&lt;="&amp;AC$5)&lt;1000000,SUMIFS($D$245:$D$595,$F$245:$F$595,0,$E$245:$E$595,$G577,$C$245:$C$595,"&lt;="&amp;AE5)&gt;=1000000),SUMIFS($D$245:$D$595,$F$245:$F$595,0,$E$245:$E$595,$G577)*$C$157 ,0)</f>
        <v/>
      </c>
      <c r="AF577" s="19" t="n"/>
    </row>
    <row r="578">
      <c r="A578" s="20">
        <f>mid(E578, 3, 1)</f>
        <v/>
      </c>
      <c r="B578" s="14" t="inlineStr"/>
      <c r="C578" s="21">
        <f>SUMIFS('Investor Exit List'!$AC:$AC,'Investor Exit List'!$AB:$AB,B578)</f>
        <v/>
      </c>
      <c r="D578" s="14">
        <f>SUMIFS('Investor Exit List'!$Q:$Q,'Investor Exit List'!$AB:$AB,B578)</f>
        <v/>
      </c>
      <c r="E578" s="31">
        <f>LEFT(B578,6)</f>
        <v/>
      </c>
      <c r="F578" s="14">
        <f>IF(SUMIFS($E$119:$E$151,$D$119:$D$151,E578)&lt;&gt;0,E578,0)</f>
        <v/>
      </c>
      <c r="G578" s="59" t="n"/>
      <c r="I578" s="28">
        <f>IF(AND(SUMIFS($D$245:$D$595,$F$245:$F$595,0,$E$245:$E$595,$G578,$C$245:$C$595,"&lt;="&amp;B$2)&lt;1000000,SUMIFS($D$245:$D$595,$F$245:$F$595,0,$E$245:$E$595,$G578,$C$245:$C$595,"&lt;="&amp;I5)&gt;=1000000),SUMIFS($D$245:$D$595,$F$245:$F$595,0,$E$245:$E$595,$G578)*$C$157 ,0)</f>
        <v/>
      </c>
      <c r="K578" s="95">
        <f>IF(AND(SUMIFS($D$245:$D$595,$F$245:$F$595,0,$E$245:$E$595,$G578,$C$245:$C$595,"&lt;="&amp;I$5)&lt;1000000,SUMIFS($D$245:$D$595,$F$245:$F$595,0,$E$245:$E$595,$G578,$C$245:$C$595,"&lt;="&amp;K5)&gt;=1000000),SUMIFS($D$245:$D$595,$F$245:$F$595,0,$E$245:$E$595,$G578)*$C$157 ,0)</f>
        <v/>
      </c>
      <c r="M578" s="95">
        <f>IF(AND(SUMIFS($D$245:$D$595,$F$245:$F$595,0,$E$245:$E$595,$G578,$C$245:$C$595,"&lt;="&amp;K$5)&lt;1000000,SUMIFS($D$245:$D$595,$F$245:$F$595,0,$E$245:$E$595,$G578,$C$245:$C$595,"&lt;="&amp;M5)&gt;=1000000),SUMIFS($D$245:$D$595,$F$245:$F$595,0,$E$245:$E$595,$G578)*$C$157 ,0)</f>
        <v/>
      </c>
      <c r="O578" s="95">
        <f>IF(AND(SUMIFS($D$245:$D$595,$F$245:$F$595,0,$E$245:$E$595,$G578,$C$245:$C$595,"&lt;="&amp;M$5)&lt;1000000,SUMIFS($D$245:$D$595,$F$245:$F$595,0,$E$245:$E$595,$G578,$C$245:$C$595,"&lt;="&amp;O5)&gt;=1000000),SUMIFS($D$245:$D$595,$F$245:$F$595,0,$E$245:$E$595,$G578)*$C$157 ,0)</f>
        <v/>
      </c>
      <c r="Q578" s="95">
        <f>IF(AND(SUMIFS($D$245:$D$595,$F$245:$F$595,0,$E$245:$E$595,$G578,$C$245:$C$595,"&lt;="&amp;O$5)&lt;1000000,SUMIFS($D$245:$D$595,$F$245:$F$595,0,$E$245:$E$595,$G578,$C$245:$C$595,"&lt;="&amp;Q5)&gt;=1000000),SUMIFS($D$245:$D$595,$F$245:$F$595,0,$E$245:$E$595,$G578)*$C$157 ,0)</f>
        <v/>
      </c>
      <c r="S578" s="95">
        <f>IF(AND(SUMIFS($D$245:$D$595,$F$245:$F$595,0,$E$245:$E$595,$G578,$C$245:$C$595,"&lt;="&amp;Q$5)&lt;1000000,SUMIFS($D$245:$D$595,$F$245:$F$595,0,$E$245:$E$595,$G578,$C$245:$C$595,"&lt;="&amp;S5)&gt;=1000000),SUMIFS($D$245:$D$595,$F$245:$F$595,0,$E$245:$E$595,$G578)*$C$157 ,0)</f>
        <v/>
      </c>
      <c r="U578" s="95">
        <f>IF(AND(SUMIFS($D$245:$D$595,$F$245:$F$595,0,$E$245:$E$595,$G578,$C$245:$C$595,"&lt;="&amp;S$5)&lt;1000000,SUMIFS($D$245:$D$595,$F$245:$F$595,0,$E$245:$E$595,$G578,$C$245:$C$595,"&lt;="&amp;U5)&gt;=1000000),SUMIFS($D$245:$D$595,$F$245:$F$595,0,$E$245:$E$595,$G578)*$C$157 ,0)</f>
        <v/>
      </c>
      <c r="W578" s="95">
        <f>IF(AND(SUMIFS($D$245:$D$595,$F$245:$F$595,0,$E$245:$E$595,$G578,$C$245:$C$595,"&lt;="&amp;U$5)&lt;1000000,SUMIFS($D$245:$D$595,$F$245:$F$595,0,$E$245:$E$595,$G578,$C$245:$C$595,"&lt;="&amp;W5)&gt;=1000000),SUMIFS($D$245:$D$595,$F$245:$F$595,0,$E$245:$E$595,$G578)*$C$157 ,0)</f>
        <v/>
      </c>
      <c r="Y578" s="95">
        <f>IF(AND(SUMIFS($D$245:$D$595,$F$245:$F$595,0,$E$245:$E$595,$G578,$C$245:$C$595,"&lt;="&amp;W$5)&lt;1000000,SUMIFS($D$245:$D$595,$F$245:$F$595,0,$E$245:$E$595,$G578,$C$245:$C$595,"&lt;="&amp;Y5)&gt;=1000000),SUMIFS($D$245:$D$595,$F$245:$F$595,0,$E$245:$E$595,$G578)*$C$157 ,0)</f>
        <v/>
      </c>
      <c r="AA578" s="95">
        <f>IF(AND(SUMIFS($D$245:$D$595,$F$245:$F$595,0,$E$245:$E$595,$G578,$C$245:$C$595,"&lt;="&amp;Y$5)&lt;1000000,SUMIFS($D$245:$D$595,$F$245:$F$595,0,$E$245:$E$595,$G578,$C$245:$C$595,"&lt;="&amp;AA5)&gt;=1000000),SUMIFS($D$245:$D$595,$F$245:$F$595,0,$E$245:$E$595,$G578)*$C$157 ,0)</f>
        <v/>
      </c>
      <c r="AC578" s="95">
        <f>IF(AND(SUMIFS($D$245:$D$595,$F$245:$F$595,0,$E$245:$E$595,$G578,$C$245:$C$595,"&lt;="&amp;AA$5)&lt;1000000,SUMIFS($D$245:$D$595,$F$245:$F$595,0,$E$245:$E$595,$G578,$C$245:$C$595,"&lt;="&amp;AC5)&gt;=1000000),SUMIFS($D$245:$D$595,$F$245:$F$595,0,$E$245:$E$595,$G578)*$C$157 ,0)</f>
        <v/>
      </c>
      <c r="AE578" s="95">
        <f>IF(AND(SUMIFS($D$245:$D$595,$F$245:$F$595,0,$E$245:$E$595,$G578,$C$245:$C$595,"&lt;="&amp;AC$5)&lt;1000000,SUMIFS($D$245:$D$595,$F$245:$F$595,0,$E$245:$E$595,$G578,$C$245:$C$595,"&lt;="&amp;AE5)&gt;=1000000),SUMIFS($D$245:$D$595,$F$245:$F$595,0,$E$245:$E$595,$G578)*$C$157 ,0)</f>
        <v/>
      </c>
      <c r="AF578" s="19" t="n"/>
    </row>
    <row r="579">
      <c r="A579" s="20">
        <f>mid(E579, 3, 1)</f>
        <v/>
      </c>
      <c r="B579" s="14" t="inlineStr"/>
      <c r="C579" s="21">
        <f>SUMIFS('Investor Exit List'!$AC:$AC,'Investor Exit List'!$AB:$AB,B579)</f>
        <v/>
      </c>
      <c r="D579" s="14">
        <f>SUMIFS('Investor Exit List'!$Q:$Q,'Investor Exit List'!$AB:$AB,B579)</f>
        <v/>
      </c>
      <c r="E579" s="31">
        <f>LEFT(B579,6)</f>
        <v/>
      </c>
      <c r="F579" s="14">
        <f>IF(SUMIFS($E$119:$E$151,$D$119:$D$151,E579)&lt;&gt;0,E579,0)</f>
        <v/>
      </c>
      <c r="G579" s="59" t="n"/>
      <c r="I579" s="28">
        <f>IF(AND(SUMIFS($D$245:$D$595,$F$245:$F$595,0,$E$245:$E$595,$G579,$C$245:$C$595,"&lt;="&amp;B$2)&lt;1000000,SUMIFS($D$245:$D$595,$F$245:$F$595,0,$E$245:$E$595,$G579,$C$245:$C$595,"&lt;="&amp;I5)&gt;=1000000),SUMIFS($D$245:$D$595,$F$245:$F$595,0,$E$245:$E$595,$G579)*$C$157 ,0)</f>
        <v/>
      </c>
      <c r="K579" s="95">
        <f>IF(AND(SUMIFS($D$245:$D$595,$F$245:$F$595,0,$E$245:$E$595,$G579,$C$245:$C$595,"&lt;="&amp;I$5)&lt;1000000,SUMIFS($D$245:$D$595,$F$245:$F$595,0,$E$245:$E$595,$G579,$C$245:$C$595,"&lt;="&amp;K5)&gt;=1000000),SUMIFS($D$245:$D$595,$F$245:$F$595,0,$E$245:$E$595,$G579)*$C$157 ,0)</f>
        <v/>
      </c>
      <c r="M579" s="95">
        <f>IF(AND(SUMIFS($D$245:$D$595,$F$245:$F$595,0,$E$245:$E$595,$G579,$C$245:$C$595,"&lt;="&amp;K$5)&lt;1000000,SUMIFS($D$245:$D$595,$F$245:$F$595,0,$E$245:$E$595,$G579,$C$245:$C$595,"&lt;="&amp;M5)&gt;=1000000),SUMIFS($D$245:$D$595,$F$245:$F$595,0,$E$245:$E$595,$G579)*$C$157 ,0)</f>
        <v/>
      </c>
      <c r="O579" s="95">
        <f>IF(AND(SUMIFS($D$245:$D$595,$F$245:$F$595,0,$E$245:$E$595,$G579,$C$245:$C$595,"&lt;="&amp;M$5)&lt;1000000,SUMIFS($D$245:$D$595,$F$245:$F$595,0,$E$245:$E$595,$G579,$C$245:$C$595,"&lt;="&amp;O5)&gt;=1000000),SUMIFS($D$245:$D$595,$F$245:$F$595,0,$E$245:$E$595,$G579)*$C$157 ,0)</f>
        <v/>
      </c>
      <c r="Q579" s="95">
        <f>IF(AND(SUMIFS($D$245:$D$595,$F$245:$F$595,0,$E$245:$E$595,$G579,$C$245:$C$595,"&lt;="&amp;O$5)&lt;1000000,SUMIFS($D$245:$D$595,$F$245:$F$595,0,$E$245:$E$595,$G579,$C$245:$C$595,"&lt;="&amp;Q5)&gt;=1000000),SUMIFS($D$245:$D$595,$F$245:$F$595,0,$E$245:$E$595,$G579)*$C$157 ,0)</f>
        <v/>
      </c>
      <c r="S579" s="95">
        <f>IF(AND(SUMIFS($D$245:$D$595,$F$245:$F$595,0,$E$245:$E$595,$G579,$C$245:$C$595,"&lt;="&amp;Q$5)&lt;1000000,SUMIFS($D$245:$D$595,$F$245:$F$595,0,$E$245:$E$595,$G579,$C$245:$C$595,"&lt;="&amp;S5)&gt;=1000000),SUMIFS($D$245:$D$595,$F$245:$F$595,0,$E$245:$E$595,$G579)*$C$157 ,0)</f>
        <v/>
      </c>
      <c r="U579" s="95">
        <f>IF(AND(SUMIFS($D$245:$D$595,$F$245:$F$595,0,$E$245:$E$595,$G579,$C$245:$C$595,"&lt;="&amp;S$5)&lt;1000000,SUMIFS($D$245:$D$595,$F$245:$F$595,0,$E$245:$E$595,$G579,$C$245:$C$595,"&lt;="&amp;U5)&gt;=1000000),SUMIFS($D$245:$D$595,$F$245:$F$595,0,$E$245:$E$595,$G579)*$C$157 ,0)</f>
        <v/>
      </c>
      <c r="W579" s="95">
        <f>IF(AND(SUMIFS($D$245:$D$595,$F$245:$F$595,0,$E$245:$E$595,$G579,$C$245:$C$595,"&lt;="&amp;U$5)&lt;1000000,SUMIFS($D$245:$D$595,$F$245:$F$595,0,$E$245:$E$595,$G579,$C$245:$C$595,"&lt;="&amp;W5)&gt;=1000000),SUMIFS($D$245:$D$595,$F$245:$F$595,0,$E$245:$E$595,$G579)*$C$157 ,0)</f>
        <v/>
      </c>
      <c r="Y579" s="95">
        <f>IF(AND(SUMIFS($D$245:$D$595,$F$245:$F$595,0,$E$245:$E$595,$G579,$C$245:$C$595,"&lt;="&amp;W$5)&lt;1000000,SUMIFS($D$245:$D$595,$F$245:$F$595,0,$E$245:$E$595,$G579,$C$245:$C$595,"&lt;="&amp;Y5)&gt;=1000000),SUMIFS($D$245:$D$595,$F$245:$F$595,0,$E$245:$E$595,$G579)*$C$157 ,0)</f>
        <v/>
      </c>
      <c r="AA579" s="95">
        <f>IF(AND(SUMIFS($D$245:$D$595,$F$245:$F$595,0,$E$245:$E$595,$G579,$C$245:$C$595,"&lt;="&amp;Y$5)&lt;1000000,SUMIFS($D$245:$D$595,$F$245:$F$595,0,$E$245:$E$595,$G579,$C$245:$C$595,"&lt;="&amp;AA5)&gt;=1000000),SUMIFS($D$245:$D$595,$F$245:$F$595,0,$E$245:$E$595,$G579)*$C$157 ,0)</f>
        <v/>
      </c>
      <c r="AC579" s="95">
        <f>IF(AND(SUMIFS($D$245:$D$595,$F$245:$F$595,0,$E$245:$E$595,$G579,$C$245:$C$595,"&lt;="&amp;AA$5)&lt;1000000,SUMIFS($D$245:$D$595,$F$245:$F$595,0,$E$245:$E$595,$G579,$C$245:$C$595,"&lt;="&amp;AC5)&gt;=1000000),SUMIFS($D$245:$D$595,$F$245:$F$595,0,$E$245:$E$595,$G579)*$C$157 ,0)</f>
        <v/>
      </c>
      <c r="AE579" s="95">
        <f>IF(AND(SUMIFS($D$245:$D$595,$F$245:$F$595,0,$E$245:$E$595,$G579,$C$245:$C$595,"&lt;="&amp;AC$5)&lt;1000000,SUMIFS($D$245:$D$595,$F$245:$F$595,0,$E$245:$E$595,$G579,$C$245:$C$595,"&lt;="&amp;AE5)&gt;=1000000),SUMIFS($D$245:$D$595,$F$245:$F$595,0,$E$245:$E$595,$G579)*$C$157 ,0)</f>
        <v/>
      </c>
      <c r="AF579" s="19" t="n"/>
    </row>
    <row r="580">
      <c r="A580" s="20">
        <f>mid(E580, 3, 1)</f>
        <v/>
      </c>
      <c r="B580" s="14" t="inlineStr"/>
      <c r="C580" s="21">
        <f>SUMIFS('Investor Exit List'!$AC:$AC,'Investor Exit List'!$AB:$AB,B580)</f>
        <v/>
      </c>
      <c r="D580" s="14">
        <f>SUMIFS('Investor Exit List'!$Q:$Q,'Investor Exit List'!$AB:$AB,B580)</f>
        <v/>
      </c>
      <c r="E580" s="31">
        <f>LEFT(B580,6)</f>
        <v/>
      </c>
      <c r="F580" s="14">
        <f>IF(SUMIFS($E$119:$E$151,$D$119:$D$151,E580)&lt;&gt;0,E580,0)</f>
        <v/>
      </c>
      <c r="G580" s="59" t="n"/>
      <c r="I580" s="28">
        <f>IF(AND(SUMIFS($D$245:$D$595,$F$245:$F$595,0,$E$245:$E$595,$G580,$C$245:$C$595,"&lt;="&amp;B$2)&lt;1000000,SUMIFS($D$245:$D$595,$F$245:$F$595,0,$E$245:$E$595,$G580,$C$245:$C$595,"&lt;="&amp;I5)&gt;=1000000),SUMIFS($D$245:$D$595,$F$245:$F$595,0,$E$245:$E$595,$G580)*$C$157 ,0)</f>
        <v/>
      </c>
      <c r="K580" s="95">
        <f>IF(AND(SUMIFS($D$245:$D$595,$F$245:$F$595,0,$E$245:$E$595,$G580,$C$245:$C$595,"&lt;="&amp;I$5)&lt;1000000,SUMIFS($D$245:$D$595,$F$245:$F$595,0,$E$245:$E$595,$G580,$C$245:$C$595,"&lt;="&amp;K5)&gt;=1000000),SUMIFS($D$245:$D$595,$F$245:$F$595,0,$E$245:$E$595,$G580)*$C$157 ,0)</f>
        <v/>
      </c>
      <c r="M580" s="95">
        <f>IF(AND(SUMIFS($D$245:$D$595,$F$245:$F$595,0,$E$245:$E$595,$G580,$C$245:$C$595,"&lt;="&amp;K$5)&lt;1000000,SUMIFS($D$245:$D$595,$F$245:$F$595,0,$E$245:$E$595,$G580,$C$245:$C$595,"&lt;="&amp;M5)&gt;=1000000),SUMIFS($D$245:$D$595,$F$245:$F$595,0,$E$245:$E$595,$G580)*$C$157 ,0)</f>
        <v/>
      </c>
      <c r="O580" s="95">
        <f>IF(AND(SUMIFS($D$245:$D$595,$F$245:$F$595,0,$E$245:$E$595,$G580,$C$245:$C$595,"&lt;="&amp;M$5)&lt;1000000,SUMIFS($D$245:$D$595,$F$245:$F$595,0,$E$245:$E$595,$G580,$C$245:$C$595,"&lt;="&amp;O5)&gt;=1000000),SUMIFS($D$245:$D$595,$F$245:$F$595,0,$E$245:$E$595,$G580)*$C$157 ,0)</f>
        <v/>
      </c>
      <c r="Q580" s="95">
        <f>IF(AND(SUMIFS($D$245:$D$595,$F$245:$F$595,0,$E$245:$E$595,$G580,$C$245:$C$595,"&lt;="&amp;O$5)&lt;1000000,SUMIFS($D$245:$D$595,$F$245:$F$595,0,$E$245:$E$595,$G580,$C$245:$C$595,"&lt;="&amp;Q5)&gt;=1000000),SUMIFS($D$245:$D$595,$F$245:$F$595,0,$E$245:$E$595,$G580)*$C$157 ,0)</f>
        <v/>
      </c>
      <c r="S580" s="95">
        <f>IF(AND(SUMIFS($D$245:$D$595,$F$245:$F$595,0,$E$245:$E$595,$G580,$C$245:$C$595,"&lt;="&amp;Q$5)&lt;1000000,SUMIFS($D$245:$D$595,$F$245:$F$595,0,$E$245:$E$595,$G580,$C$245:$C$595,"&lt;="&amp;S5)&gt;=1000000),SUMIFS($D$245:$D$595,$F$245:$F$595,0,$E$245:$E$595,$G580)*$C$157 ,0)</f>
        <v/>
      </c>
      <c r="U580" s="95">
        <f>IF(AND(SUMIFS($D$245:$D$595,$F$245:$F$595,0,$E$245:$E$595,$G580,$C$245:$C$595,"&lt;="&amp;S$5)&lt;1000000,SUMIFS($D$245:$D$595,$F$245:$F$595,0,$E$245:$E$595,$G580,$C$245:$C$595,"&lt;="&amp;U5)&gt;=1000000),SUMIFS($D$245:$D$595,$F$245:$F$595,0,$E$245:$E$595,$G580)*$C$157 ,0)</f>
        <v/>
      </c>
      <c r="W580" s="95">
        <f>IF(AND(SUMIFS($D$245:$D$595,$F$245:$F$595,0,$E$245:$E$595,$G580,$C$245:$C$595,"&lt;="&amp;U$5)&lt;1000000,SUMIFS($D$245:$D$595,$F$245:$F$595,0,$E$245:$E$595,$G580,$C$245:$C$595,"&lt;="&amp;W5)&gt;=1000000),SUMIFS($D$245:$D$595,$F$245:$F$595,0,$E$245:$E$595,$G580)*$C$157 ,0)</f>
        <v/>
      </c>
      <c r="Y580" s="95">
        <f>IF(AND(SUMIFS($D$245:$D$595,$F$245:$F$595,0,$E$245:$E$595,$G580,$C$245:$C$595,"&lt;="&amp;W$5)&lt;1000000,SUMIFS($D$245:$D$595,$F$245:$F$595,0,$E$245:$E$595,$G580,$C$245:$C$595,"&lt;="&amp;Y5)&gt;=1000000),SUMIFS($D$245:$D$595,$F$245:$F$595,0,$E$245:$E$595,$G580)*$C$157 ,0)</f>
        <v/>
      </c>
      <c r="AA580" s="95">
        <f>IF(AND(SUMIFS($D$245:$D$595,$F$245:$F$595,0,$E$245:$E$595,$G580,$C$245:$C$595,"&lt;="&amp;Y$5)&lt;1000000,SUMIFS($D$245:$D$595,$F$245:$F$595,0,$E$245:$E$595,$G580,$C$245:$C$595,"&lt;="&amp;AA5)&gt;=1000000),SUMIFS($D$245:$D$595,$F$245:$F$595,0,$E$245:$E$595,$G580)*$C$157 ,0)</f>
        <v/>
      </c>
      <c r="AC580" s="95">
        <f>IF(AND(SUMIFS($D$245:$D$595,$F$245:$F$595,0,$E$245:$E$595,$G580,$C$245:$C$595,"&lt;="&amp;AA$5)&lt;1000000,SUMIFS($D$245:$D$595,$F$245:$F$595,0,$E$245:$E$595,$G580,$C$245:$C$595,"&lt;="&amp;AC5)&gt;=1000000),SUMIFS($D$245:$D$595,$F$245:$F$595,0,$E$245:$E$595,$G580)*$C$157 ,0)</f>
        <v/>
      </c>
      <c r="AE580" s="95">
        <f>IF(AND(SUMIFS($D$245:$D$595,$F$245:$F$595,0,$E$245:$E$595,$G580,$C$245:$C$595,"&lt;="&amp;AC$5)&lt;1000000,SUMIFS($D$245:$D$595,$F$245:$F$595,0,$E$245:$E$595,$G580,$C$245:$C$595,"&lt;="&amp;AE5)&gt;=1000000),SUMIFS($D$245:$D$595,$F$245:$F$595,0,$E$245:$E$595,$G580)*$C$157 ,0)</f>
        <v/>
      </c>
      <c r="AF580" s="19" t="n"/>
    </row>
    <row r="581">
      <c r="A581" s="20">
        <f>mid(E581, 3, 1)</f>
        <v/>
      </c>
      <c r="B581" s="14" t="inlineStr"/>
      <c r="C581" s="21">
        <f>SUMIFS('Investor Exit List'!$AC:$AC,'Investor Exit List'!$AB:$AB,B581)</f>
        <v/>
      </c>
      <c r="D581" s="14">
        <f>SUMIFS('Investor Exit List'!$Q:$Q,'Investor Exit List'!$AB:$AB,B581)</f>
        <v/>
      </c>
      <c r="E581" s="31">
        <f>LEFT(B581,6)</f>
        <v/>
      </c>
      <c r="F581" s="14">
        <f>IF(SUMIFS($E$119:$E$151,$D$119:$D$151,E581)&lt;&gt;0,E581,0)</f>
        <v/>
      </c>
      <c r="G581" s="59" t="n"/>
      <c r="I581" s="28">
        <f>IF(AND(SUMIFS($D$245:$D$595,$F$245:$F$595,0,$E$245:$E$595,$G581,$C$245:$C$595,"&lt;="&amp;B$2)&lt;1000000,SUMIFS($D$245:$D$595,$F$245:$F$595,0,$E$245:$E$595,$G581,$C$245:$C$595,"&lt;="&amp;I5)&gt;=1000000),SUMIFS($D$245:$D$595,$F$245:$F$595,0,$E$245:$E$595,$G581)*$C$157 ,0)</f>
        <v/>
      </c>
      <c r="K581" s="95">
        <f>IF(AND(SUMIFS($D$245:$D$595,$F$245:$F$595,0,$E$245:$E$595,$G581,$C$245:$C$595,"&lt;="&amp;I$5)&lt;1000000,SUMIFS($D$245:$D$595,$F$245:$F$595,0,$E$245:$E$595,$G581,$C$245:$C$595,"&lt;="&amp;K5)&gt;=1000000),SUMIFS($D$245:$D$595,$F$245:$F$595,0,$E$245:$E$595,$G581)*$C$157 ,0)</f>
        <v/>
      </c>
      <c r="M581" s="95">
        <f>IF(AND(SUMIFS($D$245:$D$595,$F$245:$F$595,0,$E$245:$E$595,$G581,$C$245:$C$595,"&lt;="&amp;K$5)&lt;1000000,SUMIFS($D$245:$D$595,$F$245:$F$595,0,$E$245:$E$595,$G581,$C$245:$C$595,"&lt;="&amp;M5)&gt;=1000000),SUMIFS($D$245:$D$595,$F$245:$F$595,0,$E$245:$E$595,$G581)*$C$157 ,0)</f>
        <v/>
      </c>
      <c r="O581" s="95">
        <f>IF(AND(SUMIFS($D$245:$D$595,$F$245:$F$595,0,$E$245:$E$595,$G581,$C$245:$C$595,"&lt;="&amp;M$5)&lt;1000000,SUMIFS($D$245:$D$595,$F$245:$F$595,0,$E$245:$E$595,$G581,$C$245:$C$595,"&lt;="&amp;O5)&gt;=1000000),SUMIFS($D$245:$D$595,$F$245:$F$595,0,$E$245:$E$595,$G581)*$C$157 ,0)</f>
        <v/>
      </c>
      <c r="Q581" s="95">
        <f>IF(AND(SUMIFS($D$245:$D$595,$F$245:$F$595,0,$E$245:$E$595,$G581,$C$245:$C$595,"&lt;="&amp;O$5)&lt;1000000,SUMIFS($D$245:$D$595,$F$245:$F$595,0,$E$245:$E$595,$G581,$C$245:$C$595,"&lt;="&amp;Q5)&gt;=1000000),SUMIFS($D$245:$D$595,$F$245:$F$595,0,$E$245:$E$595,$G581)*$C$157 ,0)</f>
        <v/>
      </c>
      <c r="S581" s="95">
        <f>IF(AND(SUMIFS($D$245:$D$595,$F$245:$F$595,0,$E$245:$E$595,$G581,$C$245:$C$595,"&lt;="&amp;Q$5)&lt;1000000,SUMIFS($D$245:$D$595,$F$245:$F$595,0,$E$245:$E$595,$G581,$C$245:$C$595,"&lt;="&amp;S5)&gt;=1000000),SUMIFS($D$245:$D$595,$F$245:$F$595,0,$E$245:$E$595,$G581)*$C$157 ,0)</f>
        <v/>
      </c>
      <c r="U581" s="95">
        <f>IF(AND(SUMIFS($D$245:$D$595,$F$245:$F$595,0,$E$245:$E$595,$G581,$C$245:$C$595,"&lt;="&amp;S$5)&lt;1000000,SUMIFS($D$245:$D$595,$F$245:$F$595,0,$E$245:$E$595,$G581,$C$245:$C$595,"&lt;="&amp;U5)&gt;=1000000),SUMIFS($D$245:$D$595,$F$245:$F$595,0,$E$245:$E$595,$G581)*$C$157 ,0)</f>
        <v/>
      </c>
      <c r="W581" s="95">
        <f>IF(AND(SUMIFS($D$245:$D$595,$F$245:$F$595,0,$E$245:$E$595,$G581,$C$245:$C$595,"&lt;="&amp;U$5)&lt;1000000,SUMIFS($D$245:$D$595,$F$245:$F$595,0,$E$245:$E$595,$G581,$C$245:$C$595,"&lt;="&amp;W5)&gt;=1000000),SUMIFS($D$245:$D$595,$F$245:$F$595,0,$E$245:$E$595,$G581)*$C$157 ,0)</f>
        <v/>
      </c>
      <c r="Y581" s="95">
        <f>IF(AND(SUMIFS($D$245:$D$595,$F$245:$F$595,0,$E$245:$E$595,$G581,$C$245:$C$595,"&lt;="&amp;W$5)&lt;1000000,SUMIFS($D$245:$D$595,$F$245:$F$595,0,$E$245:$E$595,$G581,$C$245:$C$595,"&lt;="&amp;Y5)&gt;=1000000),SUMIFS($D$245:$D$595,$F$245:$F$595,0,$E$245:$E$595,$G581)*$C$157 ,0)</f>
        <v/>
      </c>
      <c r="AA581" s="95">
        <f>IF(AND(SUMIFS($D$245:$D$595,$F$245:$F$595,0,$E$245:$E$595,$G581,$C$245:$C$595,"&lt;="&amp;Y$5)&lt;1000000,SUMIFS($D$245:$D$595,$F$245:$F$595,0,$E$245:$E$595,$G581,$C$245:$C$595,"&lt;="&amp;AA5)&gt;=1000000),SUMIFS($D$245:$D$595,$F$245:$F$595,0,$E$245:$E$595,$G581)*$C$157 ,0)</f>
        <v/>
      </c>
      <c r="AC581" s="95">
        <f>IF(AND(SUMIFS($D$245:$D$595,$F$245:$F$595,0,$E$245:$E$595,$G581,$C$245:$C$595,"&lt;="&amp;AA$5)&lt;1000000,SUMIFS($D$245:$D$595,$F$245:$F$595,0,$E$245:$E$595,$G581,$C$245:$C$595,"&lt;="&amp;AC5)&gt;=1000000),SUMIFS($D$245:$D$595,$F$245:$F$595,0,$E$245:$E$595,$G581)*$C$157 ,0)</f>
        <v/>
      </c>
      <c r="AE581" s="95">
        <f>IF(AND(SUMIFS($D$245:$D$595,$F$245:$F$595,0,$E$245:$E$595,$G581,$C$245:$C$595,"&lt;="&amp;AC$5)&lt;1000000,SUMIFS($D$245:$D$595,$F$245:$F$595,0,$E$245:$E$595,$G581,$C$245:$C$595,"&lt;="&amp;AE5)&gt;=1000000),SUMIFS($D$245:$D$595,$F$245:$F$595,0,$E$245:$E$595,$G581)*$C$157 ,0)</f>
        <v/>
      </c>
      <c r="AF581" s="19" t="n"/>
    </row>
    <row r="582">
      <c r="A582" s="20">
        <f>mid(E582, 3, 1)</f>
        <v/>
      </c>
      <c r="B582" s="14" t="inlineStr"/>
      <c r="C582" s="21">
        <f>SUMIFS('Investor Exit List'!$AC:$AC,'Investor Exit List'!$AB:$AB,B582)</f>
        <v/>
      </c>
      <c r="D582" s="14">
        <f>SUMIFS('Investor Exit List'!$Q:$Q,'Investor Exit List'!$AB:$AB,B582)</f>
        <v/>
      </c>
      <c r="E582" s="31">
        <f>LEFT(B582,6)</f>
        <v/>
      </c>
      <c r="F582" s="14">
        <f>IF(SUMIFS($E$119:$E$151,$D$119:$D$151,E582)&lt;&gt;0,E582,0)</f>
        <v/>
      </c>
      <c r="G582" s="59" t="n"/>
      <c r="I582" s="28">
        <f>IF(AND(SUMIFS($D$245:$D$595,$F$245:$F$595,0,$E$245:$E$595,$G582,$C$245:$C$595,"&lt;="&amp;B$2)&lt;1000000,SUMIFS($D$245:$D$595,$F$245:$F$595,0,$E$245:$E$595,$G582,$C$245:$C$595,"&lt;="&amp;I5)&gt;=1000000),SUMIFS($D$245:$D$595,$F$245:$F$595,0,$E$245:$E$595,$G582)*$C$157 ,0)</f>
        <v/>
      </c>
      <c r="K582" s="95">
        <f>IF(AND(SUMIFS($D$245:$D$595,$F$245:$F$595,0,$E$245:$E$595,$G582,$C$245:$C$595,"&lt;="&amp;I$5)&lt;1000000,SUMIFS($D$245:$D$595,$F$245:$F$595,0,$E$245:$E$595,$G582,$C$245:$C$595,"&lt;="&amp;K5)&gt;=1000000),SUMIFS($D$245:$D$595,$F$245:$F$595,0,$E$245:$E$595,$G582)*$C$157 ,0)</f>
        <v/>
      </c>
      <c r="M582" s="95">
        <f>IF(AND(SUMIFS($D$245:$D$595,$F$245:$F$595,0,$E$245:$E$595,$G582,$C$245:$C$595,"&lt;="&amp;K$5)&lt;1000000,SUMIFS($D$245:$D$595,$F$245:$F$595,0,$E$245:$E$595,$G582,$C$245:$C$595,"&lt;="&amp;M5)&gt;=1000000),SUMIFS($D$245:$D$595,$F$245:$F$595,0,$E$245:$E$595,$G582)*$C$157 ,0)</f>
        <v/>
      </c>
      <c r="O582" s="95">
        <f>IF(AND(SUMIFS($D$245:$D$595,$F$245:$F$595,0,$E$245:$E$595,$G582,$C$245:$C$595,"&lt;="&amp;M$5)&lt;1000000,SUMIFS($D$245:$D$595,$F$245:$F$595,0,$E$245:$E$595,$G582,$C$245:$C$595,"&lt;="&amp;O5)&gt;=1000000),SUMIFS($D$245:$D$595,$F$245:$F$595,0,$E$245:$E$595,$G582)*$C$157 ,0)</f>
        <v/>
      </c>
      <c r="Q582" s="95">
        <f>IF(AND(SUMIFS($D$245:$D$595,$F$245:$F$595,0,$E$245:$E$595,$G582,$C$245:$C$595,"&lt;="&amp;O$5)&lt;1000000,SUMIFS($D$245:$D$595,$F$245:$F$595,0,$E$245:$E$595,$G582,$C$245:$C$595,"&lt;="&amp;Q5)&gt;=1000000),SUMIFS($D$245:$D$595,$F$245:$F$595,0,$E$245:$E$595,$G582)*$C$157 ,0)</f>
        <v/>
      </c>
      <c r="S582" s="95">
        <f>IF(AND(SUMIFS($D$245:$D$595,$F$245:$F$595,0,$E$245:$E$595,$G582,$C$245:$C$595,"&lt;="&amp;Q$5)&lt;1000000,SUMIFS($D$245:$D$595,$F$245:$F$595,0,$E$245:$E$595,$G582,$C$245:$C$595,"&lt;="&amp;S5)&gt;=1000000),SUMIFS($D$245:$D$595,$F$245:$F$595,0,$E$245:$E$595,$G582)*$C$157 ,0)</f>
        <v/>
      </c>
      <c r="U582" s="95">
        <f>IF(AND(SUMIFS($D$245:$D$595,$F$245:$F$595,0,$E$245:$E$595,$G582,$C$245:$C$595,"&lt;="&amp;S$5)&lt;1000000,SUMIFS($D$245:$D$595,$F$245:$F$595,0,$E$245:$E$595,$G582,$C$245:$C$595,"&lt;="&amp;U5)&gt;=1000000),SUMIFS($D$245:$D$595,$F$245:$F$595,0,$E$245:$E$595,$G582)*$C$157 ,0)</f>
        <v/>
      </c>
      <c r="W582" s="95">
        <f>IF(AND(SUMIFS($D$245:$D$595,$F$245:$F$595,0,$E$245:$E$595,$G582,$C$245:$C$595,"&lt;="&amp;U$5)&lt;1000000,SUMIFS($D$245:$D$595,$F$245:$F$595,0,$E$245:$E$595,$G582,$C$245:$C$595,"&lt;="&amp;W5)&gt;=1000000),SUMIFS($D$245:$D$595,$F$245:$F$595,0,$E$245:$E$595,$G582)*$C$157 ,0)</f>
        <v/>
      </c>
      <c r="Y582" s="95">
        <f>IF(AND(SUMIFS($D$245:$D$595,$F$245:$F$595,0,$E$245:$E$595,$G582,$C$245:$C$595,"&lt;="&amp;W$5)&lt;1000000,SUMIFS($D$245:$D$595,$F$245:$F$595,0,$E$245:$E$595,$G582,$C$245:$C$595,"&lt;="&amp;Y5)&gt;=1000000),SUMIFS($D$245:$D$595,$F$245:$F$595,0,$E$245:$E$595,$G582)*$C$157 ,0)</f>
        <v/>
      </c>
      <c r="AA582" s="95">
        <f>IF(AND(SUMIFS($D$245:$D$595,$F$245:$F$595,0,$E$245:$E$595,$G582,$C$245:$C$595,"&lt;="&amp;Y$5)&lt;1000000,SUMIFS($D$245:$D$595,$F$245:$F$595,0,$E$245:$E$595,$G582,$C$245:$C$595,"&lt;="&amp;AA5)&gt;=1000000),SUMIFS($D$245:$D$595,$F$245:$F$595,0,$E$245:$E$595,$G582)*$C$157 ,0)</f>
        <v/>
      </c>
      <c r="AC582" s="95">
        <f>IF(AND(SUMIFS($D$245:$D$595,$F$245:$F$595,0,$E$245:$E$595,$G582,$C$245:$C$595,"&lt;="&amp;AA$5)&lt;1000000,SUMIFS($D$245:$D$595,$F$245:$F$595,0,$E$245:$E$595,$G582,$C$245:$C$595,"&lt;="&amp;AC5)&gt;=1000000),SUMIFS($D$245:$D$595,$F$245:$F$595,0,$E$245:$E$595,$G582)*$C$157 ,0)</f>
        <v/>
      </c>
      <c r="AE582" s="95">
        <f>IF(AND(SUMIFS($D$245:$D$595,$F$245:$F$595,0,$E$245:$E$595,$G582,$C$245:$C$595,"&lt;="&amp;AC$5)&lt;1000000,SUMIFS($D$245:$D$595,$F$245:$F$595,0,$E$245:$E$595,$G582,$C$245:$C$595,"&lt;="&amp;AE5)&gt;=1000000),SUMIFS($D$245:$D$595,$F$245:$F$595,0,$E$245:$E$595,$G582)*$C$157 ,0)</f>
        <v/>
      </c>
      <c r="AF582" s="19" t="n"/>
    </row>
    <row r="583">
      <c r="A583" s="20">
        <f>mid(E583, 3, 1)</f>
        <v/>
      </c>
      <c r="B583" s="14" t="inlineStr"/>
      <c r="C583" s="21">
        <f>SUMIFS('Investor Exit List'!$AC:$AC,'Investor Exit List'!$AB:$AB,B583)</f>
        <v/>
      </c>
      <c r="D583" s="14">
        <f>SUMIFS('Investor Exit List'!$Q:$Q,'Investor Exit List'!$AB:$AB,B583)</f>
        <v/>
      </c>
      <c r="E583" s="31">
        <f>LEFT(B583,6)</f>
        <v/>
      </c>
      <c r="F583" s="14">
        <f>IF(SUMIFS($E$119:$E$151,$D$119:$D$151,E583)&lt;&gt;0,E583,0)</f>
        <v/>
      </c>
      <c r="G583" s="59" t="n"/>
      <c r="I583" s="28">
        <f>IF(AND(SUMIFS($D$245:$D$595,$F$245:$F$595,0,$E$245:$E$595,$G583,$C$245:$C$595,"&lt;="&amp;B$2)&lt;1000000,SUMIFS($D$245:$D$595,$F$245:$F$595,0,$E$245:$E$595,$G583,$C$245:$C$595,"&lt;="&amp;I5)&gt;=1000000),SUMIFS($D$245:$D$595,$F$245:$F$595,0,$E$245:$E$595,$G583)*$C$157 ,0)</f>
        <v/>
      </c>
      <c r="K583" s="95">
        <f>IF(AND(SUMIFS($D$245:$D$595,$F$245:$F$595,0,$E$245:$E$595,$G583,$C$245:$C$595,"&lt;="&amp;I$5)&lt;1000000,SUMIFS($D$245:$D$595,$F$245:$F$595,0,$E$245:$E$595,$G583,$C$245:$C$595,"&lt;="&amp;K5)&gt;=1000000),SUMIFS($D$245:$D$595,$F$245:$F$595,0,$E$245:$E$595,$G583)*$C$157 ,0)</f>
        <v/>
      </c>
      <c r="M583" s="95">
        <f>IF(AND(SUMIFS($D$245:$D$595,$F$245:$F$595,0,$E$245:$E$595,$G583,$C$245:$C$595,"&lt;="&amp;K$5)&lt;1000000,SUMIFS($D$245:$D$595,$F$245:$F$595,0,$E$245:$E$595,$G583,$C$245:$C$595,"&lt;="&amp;M5)&gt;=1000000),SUMIFS($D$245:$D$595,$F$245:$F$595,0,$E$245:$E$595,$G583)*$C$157 ,0)</f>
        <v/>
      </c>
      <c r="O583" s="95">
        <f>IF(AND(SUMIFS($D$245:$D$595,$F$245:$F$595,0,$E$245:$E$595,$G583,$C$245:$C$595,"&lt;="&amp;M$5)&lt;1000000,SUMIFS($D$245:$D$595,$F$245:$F$595,0,$E$245:$E$595,$G583,$C$245:$C$595,"&lt;="&amp;O5)&gt;=1000000),SUMIFS($D$245:$D$595,$F$245:$F$595,0,$E$245:$E$595,$G583)*$C$157 ,0)</f>
        <v/>
      </c>
      <c r="Q583" s="95">
        <f>IF(AND(SUMIFS($D$245:$D$595,$F$245:$F$595,0,$E$245:$E$595,$G583,$C$245:$C$595,"&lt;="&amp;O$5)&lt;1000000,SUMIFS($D$245:$D$595,$F$245:$F$595,0,$E$245:$E$595,$G583,$C$245:$C$595,"&lt;="&amp;Q5)&gt;=1000000),SUMIFS($D$245:$D$595,$F$245:$F$595,0,$E$245:$E$595,$G583)*$C$157 ,0)</f>
        <v/>
      </c>
      <c r="S583" s="95">
        <f>IF(AND(SUMIFS($D$245:$D$595,$F$245:$F$595,0,$E$245:$E$595,$G583,$C$245:$C$595,"&lt;="&amp;Q$5)&lt;1000000,SUMIFS($D$245:$D$595,$F$245:$F$595,0,$E$245:$E$595,$G583,$C$245:$C$595,"&lt;="&amp;S5)&gt;=1000000),SUMIFS($D$245:$D$595,$F$245:$F$595,0,$E$245:$E$595,$G583)*$C$157 ,0)</f>
        <v/>
      </c>
      <c r="U583" s="95">
        <f>IF(AND(SUMIFS($D$245:$D$595,$F$245:$F$595,0,$E$245:$E$595,$G583,$C$245:$C$595,"&lt;="&amp;S$5)&lt;1000000,SUMIFS($D$245:$D$595,$F$245:$F$595,0,$E$245:$E$595,$G583,$C$245:$C$595,"&lt;="&amp;U5)&gt;=1000000),SUMIFS($D$245:$D$595,$F$245:$F$595,0,$E$245:$E$595,$G583)*$C$157 ,0)</f>
        <v/>
      </c>
      <c r="W583" s="95">
        <f>IF(AND(SUMIFS($D$245:$D$595,$F$245:$F$595,0,$E$245:$E$595,$G583,$C$245:$C$595,"&lt;="&amp;U$5)&lt;1000000,SUMIFS($D$245:$D$595,$F$245:$F$595,0,$E$245:$E$595,$G583,$C$245:$C$595,"&lt;="&amp;W5)&gt;=1000000),SUMIFS($D$245:$D$595,$F$245:$F$595,0,$E$245:$E$595,$G583)*$C$157 ,0)</f>
        <v/>
      </c>
      <c r="Y583" s="95">
        <f>IF(AND(SUMIFS($D$245:$D$595,$F$245:$F$595,0,$E$245:$E$595,$G583,$C$245:$C$595,"&lt;="&amp;W$5)&lt;1000000,SUMIFS($D$245:$D$595,$F$245:$F$595,0,$E$245:$E$595,$G583,$C$245:$C$595,"&lt;="&amp;Y5)&gt;=1000000),SUMIFS($D$245:$D$595,$F$245:$F$595,0,$E$245:$E$595,$G583)*$C$157 ,0)</f>
        <v/>
      </c>
      <c r="AA583" s="95">
        <f>IF(AND(SUMIFS($D$245:$D$595,$F$245:$F$595,0,$E$245:$E$595,$G583,$C$245:$C$595,"&lt;="&amp;Y$5)&lt;1000000,SUMIFS($D$245:$D$595,$F$245:$F$595,0,$E$245:$E$595,$G583,$C$245:$C$595,"&lt;="&amp;AA5)&gt;=1000000),SUMIFS($D$245:$D$595,$F$245:$F$595,0,$E$245:$E$595,$G583)*$C$157 ,0)</f>
        <v/>
      </c>
      <c r="AC583" s="95">
        <f>IF(AND(SUMIFS($D$245:$D$595,$F$245:$F$595,0,$E$245:$E$595,$G583,$C$245:$C$595,"&lt;="&amp;AA$5)&lt;1000000,SUMIFS($D$245:$D$595,$F$245:$F$595,0,$E$245:$E$595,$G583,$C$245:$C$595,"&lt;="&amp;AC5)&gt;=1000000),SUMIFS($D$245:$D$595,$F$245:$F$595,0,$E$245:$E$595,$G583)*$C$157 ,0)</f>
        <v/>
      </c>
      <c r="AE583" s="95">
        <f>IF(AND(SUMIFS($D$245:$D$595,$F$245:$F$595,0,$E$245:$E$595,$G583,$C$245:$C$595,"&lt;="&amp;AC$5)&lt;1000000,SUMIFS($D$245:$D$595,$F$245:$F$595,0,$E$245:$E$595,$G583,$C$245:$C$595,"&lt;="&amp;AE5)&gt;=1000000),SUMIFS($D$245:$D$595,$F$245:$F$595,0,$E$245:$E$595,$G583)*$C$157 ,0)</f>
        <v/>
      </c>
      <c r="AF583" s="19" t="n"/>
    </row>
    <row r="584">
      <c r="A584" s="20">
        <f>mid(E584, 3, 1)</f>
        <v/>
      </c>
      <c r="B584" s="14" t="inlineStr"/>
      <c r="C584" s="21">
        <f>SUMIFS('Investor Exit List'!$AC:$AC,'Investor Exit List'!$AB:$AB,B584)</f>
        <v/>
      </c>
      <c r="D584" s="14">
        <f>SUMIFS('Investor Exit List'!$Q:$Q,'Investor Exit List'!$AB:$AB,B584)</f>
        <v/>
      </c>
      <c r="E584" s="31">
        <f>LEFT(B584,6)</f>
        <v/>
      </c>
      <c r="F584" s="14">
        <f>IF(SUMIFS($E$119:$E$151,$D$119:$D$151,E584)&lt;&gt;0,E584,0)</f>
        <v/>
      </c>
      <c r="G584" s="59" t="n"/>
      <c r="I584" s="28">
        <f>IF(AND(SUMIFS($D$245:$D$595,$F$245:$F$595,0,$E$245:$E$595,$G584,$C$245:$C$595,"&lt;="&amp;B$2)&lt;1000000,SUMIFS($D$245:$D$595,$F$245:$F$595,0,$E$245:$E$595,$G584,$C$245:$C$595,"&lt;="&amp;I5)&gt;=1000000),SUMIFS($D$245:$D$595,$F$245:$F$595,0,$E$245:$E$595,$G584)*$C$157 ,0)</f>
        <v/>
      </c>
      <c r="K584" s="95">
        <f>IF(AND(SUMIFS($D$245:$D$595,$F$245:$F$595,0,$E$245:$E$595,$G584,$C$245:$C$595,"&lt;="&amp;I$5)&lt;1000000,SUMIFS($D$245:$D$595,$F$245:$F$595,0,$E$245:$E$595,$G584,$C$245:$C$595,"&lt;="&amp;K5)&gt;=1000000),SUMIFS($D$245:$D$595,$F$245:$F$595,0,$E$245:$E$595,$G584)*$C$157 ,0)</f>
        <v/>
      </c>
      <c r="M584" s="95">
        <f>IF(AND(SUMIFS($D$245:$D$595,$F$245:$F$595,0,$E$245:$E$595,$G584,$C$245:$C$595,"&lt;="&amp;K$5)&lt;1000000,SUMIFS($D$245:$D$595,$F$245:$F$595,0,$E$245:$E$595,$G584,$C$245:$C$595,"&lt;="&amp;M5)&gt;=1000000),SUMIFS($D$245:$D$595,$F$245:$F$595,0,$E$245:$E$595,$G584)*$C$157 ,0)</f>
        <v/>
      </c>
      <c r="O584" s="95">
        <f>IF(AND(SUMIFS($D$245:$D$595,$F$245:$F$595,0,$E$245:$E$595,$G584,$C$245:$C$595,"&lt;="&amp;M$5)&lt;1000000,SUMIFS($D$245:$D$595,$F$245:$F$595,0,$E$245:$E$595,$G584,$C$245:$C$595,"&lt;="&amp;O5)&gt;=1000000),SUMIFS($D$245:$D$595,$F$245:$F$595,0,$E$245:$E$595,$G584)*$C$157 ,0)</f>
        <v/>
      </c>
      <c r="Q584" s="95">
        <f>IF(AND(SUMIFS($D$245:$D$595,$F$245:$F$595,0,$E$245:$E$595,$G584,$C$245:$C$595,"&lt;="&amp;O$5)&lt;1000000,SUMIFS($D$245:$D$595,$F$245:$F$595,0,$E$245:$E$595,$G584,$C$245:$C$595,"&lt;="&amp;Q5)&gt;=1000000),SUMIFS($D$245:$D$595,$F$245:$F$595,0,$E$245:$E$595,$G584)*$C$157 ,0)</f>
        <v/>
      </c>
      <c r="S584" s="95">
        <f>IF(AND(SUMIFS($D$245:$D$595,$F$245:$F$595,0,$E$245:$E$595,$G584,$C$245:$C$595,"&lt;="&amp;Q$5)&lt;1000000,SUMIFS($D$245:$D$595,$F$245:$F$595,0,$E$245:$E$595,$G584,$C$245:$C$595,"&lt;="&amp;S5)&gt;=1000000),SUMIFS($D$245:$D$595,$F$245:$F$595,0,$E$245:$E$595,$G584)*$C$157 ,0)</f>
        <v/>
      </c>
      <c r="U584" s="95">
        <f>IF(AND(SUMIFS($D$245:$D$595,$F$245:$F$595,0,$E$245:$E$595,$G584,$C$245:$C$595,"&lt;="&amp;S$5)&lt;1000000,SUMIFS($D$245:$D$595,$F$245:$F$595,0,$E$245:$E$595,$G584,$C$245:$C$595,"&lt;="&amp;U5)&gt;=1000000),SUMIFS($D$245:$D$595,$F$245:$F$595,0,$E$245:$E$595,$G584)*$C$157 ,0)</f>
        <v/>
      </c>
      <c r="W584" s="95">
        <f>IF(AND(SUMIFS($D$245:$D$595,$F$245:$F$595,0,$E$245:$E$595,$G584,$C$245:$C$595,"&lt;="&amp;U$5)&lt;1000000,SUMIFS($D$245:$D$595,$F$245:$F$595,0,$E$245:$E$595,$G584,$C$245:$C$595,"&lt;="&amp;W5)&gt;=1000000),SUMIFS($D$245:$D$595,$F$245:$F$595,0,$E$245:$E$595,$G584)*$C$157 ,0)</f>
        <v/>
      </c>
      <c r="Y584" s="95">
        <f>IF(AND(SUMIFS($D$245:$D$595,$F$245:$F$595,0,$E$245:$E$595,$G584,$C$245:$C$595,"&lt;="&amp;W$5)&lt;1000000,SUMIFS($D$245:$D$595,$F$245:$F$595,0,$E$245:$E$595,$G584,$C$245:$C$595,"&lt;="&amp;Y5)&gt;=1000000),SUMIFS($D$245:$D$595,$F$245:$F$595,0,$E$245:$E$595,$G584)*$C$157 ,0)</f>
        <v/>
      </c>
      <c r="AA584" s="95">
        <f>IF(AND(SUMIFS($D$245:$D$595,$F$245:$F$595,0,$E$245:$E$595,$G584,$C$245:$C$595,"&lt;="&amp;Y$5)&lt;1000000,SUMIFS($D$245:$D$595,$F$245:$F$595,0,$E$245:$E$595,$G584,$C$245:$C$595,"&lt;="&amp;AA5)&gt;=1000000),SUMIFS($D$245:$D$595,$F$245:$F$595,0,$E$245:$E$595,$G584)*$C$157 ,0)</f>
        <v/>
      </c>
      <c r="AC584" s="95">
        <f>IF(AND(SUMIFS($D$245:$D$595,$F$245:$F$595,0,$E$245:$E$595,$G584,$C$245:$C$595,"&lt;="&amp;AA$5)&lt;1000000,SUMIFS($D$245:$D$595,$F$245:$F$595,0,$E$245:$E$595,$G584,$C$245:$C$595,"&lt;="&amp;AC5)&gt;=1000000),SUMIFS($D$245:$D$595,$F$245:$F$595,0,$E$245:$E$595,$G584)*$C$157 ,0)</f>
        <v/>
      </c>
      <c r="AE584" s="95">
        <f>IF(AND(SUMIFS($D$245:$D$595,$F$245:$F$595,0,$E$245:$E$595,$G584,$C$245:$C$595,"&lt;="&amp;AC$5)&lt;1000000,SUMIFS($D$245:$D$595,$F$245:$F$595,0,$E$245:$E$595,$G584,$C$245:$C$595,"&lt;="&amp;AE5)&gt;=1000000),SUMIFS($D$245:$D$595,$F$245:$F$595,0,$E$245:$E$595,$G584)*$C$157 ,0)</f>
        <v/>
      </c>
      <c r="AF584" s="19" t="n"/>
    </row>
    <row r="585">
      <c r="A585" s="20">
        <f>mid(E585, 3, 1)</f>
        <v/>
      </c>
      <c r="B585" s="14" t="inlineStr"/>
      <c r="C585" s="21">
        <f>SUMIFS('Investor Exit List'!$AC:$AC,'Investor Exit List'!$AB:$AB,B585)</f>
        <v/>
      </c>
      <c r="D585" s="14">
        <f>SUMIFS('Investor Exit List'!$Q:$Q,'Investor Exit List'!$AB:$AB,B585)</f>
        <v/>
      </c>
      <c r="E585" s="31">
        <f>LEFT(B585,6)</f>
        <v/>
      </c>
      <c r="F585" s="14">
        <f>IF(SUMIFS($E$119:$E$151,$D$119:$D$151,E585)&lt;&gt;0,E585,0)</f>
        <v/>
      </c>
      <c r="G585" s="59" t="n"/>
      <c r="I585" s="28">
        <f>IF(AND(SUMIFS($D$245:$D$595,$F$245:$F$595,0,$E$245:$E$595,$G585,$C$245:$C$595,"&lt;="&amp;B$2)&lt;1000000,SUMIFS($D$245:$D$595,$F$245:$F$595,0,$E$245:$E$595,$G585,$C$245:$C$595,"&lt;="&amp;I5)&gt;=1000000),SUMIFS($D$245:$D$595,$F$245:$F$595,0,$E$245:$E$595,$G585)*$C$157 ,0)</f>
        <v/>
      </c>
      <c r="K585" s="95">
        <f>IF(AND(SUMIFS($D$245:$D$595,$F$245:$F$595,0,$E$245:$E$595,$G585,$C$245:$C$595,"&lt;="&amp;I$5)&lt;1000000,SUMIFS($D$245:$D$595,$F$245:$F$595,0,$E$245:$E$595,$G585,$C$245:$C$595,"&lt;="&amp;K5)&gt;=1000000),SUMIFS($D$245:$D$595,$F$245:$F$595,0,$E$245:$E$595,$G585)*$C$157 ,0)</f>
        <v/>
      </c>
      <c r="M585" s="95">
        <f>IF(AND(SUMIFS($D$245:$D$595,$F$245:$F$595,0,$E$245:$E$595,$G585,$C$245:$C$595,"&lt;="&amp;K$5)&lt;1000000,SUMIFS($D$245:$D$595,$F$245:$F$595,0,$E$245:$E$595,$G585,$C$245:$C$595,"&lt;="&amp;M5)&gt;=1000000),SUMIFS($D$245:$D$595,$F$245:$F$595,0,$E$245:$E$595,$G585)*$C$157 ,0)</f>
        <v/>
      </c>
      <c r="O585" s="95">
        <f>IF(AND(SUMIFS($D$245:$D$595,$F$245:$F$595,0,$E$245:$E$595,$G585,$C$245:$C$595,"&lt;="&amp;M$5)&lt;1000000,SUMIFS($D$245:$D$595,$F$245:$F$595,0,$E$245:$E$595,$G585,$C$245:$C$595,"&lt;="&amp;O5)&gt;=1000000),SUMIFS($D$245:$D$595,$F$245:$F$595,0,$E$245:$E$595,$G585)*$C$157 ,0)</f>
        <v/>
      </c>
      <c r="Q585" s="95">
        <f>IF(AND(SUMIFS($D$245:$D$595,$F$245:$F$595,0,$E$245:$E$595,$G585,$C$245:$C$595,"&lt;="&amp;O$5)&lt;1000000,SUMIFS($D$245:$D$595,$F$245:$F$595,0,$E$245:$E$595,$G585,$C$245:$C$595,"&lt;="&amp;Q5)&gt;=1000000),SUMIFS($D$245:$D$595,$F$245:$F$595,0,$E$245:$E$595,$G585)*$C$157 ,0)</f>
        <v/>
      </c>
      <c r="S585" s="95">
        <f>IF(AND(SUMIFS($D$245:$D$595,$F$245:$F$595,0,$E$245:$E$595,$G585,$C$245:$C$595,"&lt;="&amp;Q$5)&lt;1000000,SUMIFS($D$245:$D$595,$F$245:$F$595,0,$E$245:$E$595,$G585,$C$245:$C$595,"&lt;="&amp;S5)&gt;=1000000),SUMIFS($D$245:$D$595,$F$245:$F$595,0,$E$245:$E$595,$G585)*$C$157 ,0)</f>
        <v/>
      </c>
      <c r="U585" s="95">
        <f>IF(AND(SUMIFS($D$245:$D$595,$F$245:$F$595,0,$E$245:$E$595,$G585,$C$245:$C$595,"&lt;="&amp;S$5)&lt;1000000,SUMIFS($D$245:$D$595,$F$245:$F$595,0,$E$245:$E$595,$G585,$C$245:$C$595,"&lt;="&amp;U5)&gt;=1000000),SUMIFS($D$245:$D$595,$F$245:$F$595,0,$E$245:$E$595,$G585)*$C$157 ,0)</f>
        <v/>
      </c>
      <c r="W585" s="95">
        <f>IF(AND(SUMIFS($D$245:$D$595,$F$245:$F$595,0,$E$245:$E$595,$G585,$C$245:$C$595,"&lt;="&amp;U$5)&lt;1000000,SUMIFS($D$245:$D$595,$F$245:$F$595,0,$E$245:$E$595,$G585,$C$245:$C$595,"&lt;="&amp;W5)&gt;=1000000),SUMIFS($D$245:$D$595,$F$245:$F$595,0,$E$245:$E$595,$G585)*$C$157 ,0)</f>
        <v/>
      </c>
      <c r="Y585" s="95">
        <f>IF(AND(SUMIFS($D$245:$D$595,$F$245:$F$595,0,$E$245:$E$595,$G585,$C$245:$C$595,"&lt;="&amp;W$5)&lt;1000000,SUMIFS($D$245:$D$595,$F$245:$F$595,0,$E$245:$E$595,$G585,$C$245:$C$595,"&lt;="&amp;Y5)&gt;=1000000),SUMIFS($D$245:$D$595,$F$245:$F$595,0,$E$245:$E$595,$G585)*$C$157 ,0)</f>
        <v/>
      </c>
      <c r="AA585" s="95">
        <f>IF(AND(SUMIFS($D$245:$D$595,$F$245:$F$595,0,$E$245:$E$595,$G585,$C$245:$C$595,"&lt;="&amp;Y$5)&lt;1000000,SUMIFS($D$245:$D$595,$F$245:$F$595,0,$E$245:$E$595,$G585,$C$245:$C$595,"&lt;="&amp;AA5)&gt;=1000000),SUMIFS($D$245:$D$595,$F$245:$F$595,0,$E$245:$E$595,$G585)*$C$157 ,0)</f>
        <v/>
      </c>
      <c r="AC585" s="95">
        <f>IF(AND(SUMIFS($D$245:$D$595,$F$245:$F$595,0,$E$245:$E$595,$G585,$C$245:$C$595,"&lt;="&amp;AA$5)&lt;1000000,SUMIFS($D$245:$D$595,$F$245:$F$595,0,$E$245:$E$595,$G585,$C$245:$C$595,"&lt;="&amp;AC5)&gt;=1000000),SUMIFS($D$245:$D$595,$F$245:$F$595,0,$E$245:$E$595,$G585)*$C$157 ,0)</f>
        <v/>
      </c>
      <c r="AE585" s="95">
        <f>IF(AND(SUMIFS($D$245:$D$595,$F$245:$F$595,0,$E$245:$E$595,$G585,$C$245:$C$595,"&lt;="&amp;AC$5)&lt;1000000,SUMIFS($D$245:$D$595,$F$245:$F$595,0,$E$245:$E$595,$G585,$C$245:$C$595,"&lt;="&amp;AE5)&gt;=1000000),SUMIFS($D$245:$D$595,$F$245:$F$595,0,$E$245:$E$595,$G585)*$C$157 ,0)</f>
        <v/>
      </c>
      <c r="AF585" s="19" t="n"/>
    </row>
    <row r="586">
      <c r="A586" s="20">
        <f>mid(E586, 3, 1)</f>
        <v/>
      </c>
      <c r="B586" s="14" t="inlineStr"/>
      <c r="C586" s="21">
        <f>SUMIFS('Investor Exit List'!$AC:$AC,'Investor Exit List'!$AB:$AB,B586)</f>
        <v/>
      </c>
      <c r="D586" s="14">
        <f>SUMIFS('Investor Exit List'!$Q:$Q,'Investor Exit List'!$AB:$AB,B586)</f>
        <v/>
      </c>
      <c r="E586" s="31">
        <f>LEFT(B586,6)</f>
        <v/>
      </c>
      <c r="F586" s="14">
        <f>IF(SUMIFS($E$119:$E$151,$D$119:$D$151,E586)&lt;&gt;0,E586,0)</f>
        <v/>
      </c>
      <c r="G586" s="59" t="n"/>
      <c r="I586" s="28">
        <f>IF(AND(SUMIFS($D$245:$D$595,$F$245:$F$595,0,$E$245:$E$595,$G586,$C$245:$C$595,"&lt;="&amp;B$2)&lt;1000000,SUMIFS($D$245:$D$595,$F$245:$F$595,0,$E$245:$E$595,$G586,$C$245:$C$595,"&lt;="&amp;I5)&gt;=1000000),SUMIFS($D$245:$D$595,$F$245:$F$595,0,$E$245:$E$595,$G586)*$C$157 ,0)</f>
        <v/>
      </c>
      <c r="K586" s="95">
        <f>IF(AND(SUMIFS($D$245:$D$595,$F$245:$F$595,0,$E$245:$E$595,$G586,$C$245:$C$595,"&lt;="&amp;I$5)&lt;1000000,SUMIFS($D$245:$D$595,$F$245:$F$595,0,$E$245:$E$595,$G586,$C$245:$C$595,"&lt;="&amp;K5)&gt;=1000000),SUMIFS($D$245:$D$595,$F$245:$F$595,0,$E$245:$E$595,$G586)*$C$157 ,0)</f>
        <v/>
      </c>
      <c r="M586" s="95">
        <f>IF(AND(SUMIFS($D$245:$D$595,$F$245:$F$595,0,$E$245:$E$595,$G586,$C$245:$C$595,"&lt;="&amp;K$5)&lt;1000000,SUMIFS($D$245:$D$595,$F$245:$F$595,0,$E$245:$E$595,$G586,$C$245:$C$595,"&lt;="&amp;M5)&gt;=1000000),SUMIFS($D$245:$D$595,$F$245:$F$595,0,$E$245:$E$595,$G586)*$C$157 ,0)</f>
        <v/>
      </c>
      <c r="O586" s="95">
        <f>IF(AND(SUMIFS($D$245:$D$595,$F$245:$F$595,0,$E$245:$E$595,$G586,$C$245:$C$595,"&lt;="&amp;M$5)&lt;1000000,SUMIFS($D$245:$D$595,$F$245:$F$595,0,$E$245:$E$595,$G586,$C$245:$C$595,"&lt;="&amp;O5)&gt;=1000000),SUMIFS($D$245:$D$595,$F$245:$F$595,0,$E$245:$E$595,$G586)*$C$157 ,0)</f>
        <v/>
      </c>
      <c r="Q586" s="95">
        <f>IF(AND(SUMIFS($D$245:$D$595,$F$245:$F$595,0,$E$245:$E$595,$G586,$C$245:$C$595,"&lt;="&amp;O$5)&lt;1000000,SUMIFS($D$245:$D$595,$F$245:$F$595,0,$E$245:$E$595,$G586,$C$245:$C$595,"&lt;="&amp;Q5)&gt;=1000000),SUMIFS($D$245:$D$595,$F$245:$F$595,0,$E$245:$E$595,$G586)*$C$157 ,0)</f>
        <v/>
      </c>
      <c r="S586" s="95">
        <f>IF(AND(SUMIFS($D$245:$D$595,$F$245:$F$595,0,$E$245:$E$595,$G586,$C$245:$C$595,"&lt;="&amp;Q$5)&lt;1000000,SUMIFS($D$245:$D$595,$F$245:$F$595,0,$E$245:$E$595,$G586,$C$245:$C$595,"&lt;="&amp;S5)&gt;=1000000),SUMIFS($D$245:$D$595,$F$245:$F$595,0,$E$245:$E$595,$G586)*$C$157 ,0)</f>
        <v/>
      </c>
      <c r="U586" s="95">
        <f>IF(AND(SUMIFS($D$245:$D$595,$F$245:$F$595,0,$E$245:$E$595,$G586,$C$245:$C$595,"&lt;="&amp;S$5)&lt;1000000,SUMIFS($D$245:$D$595,$F$245:$F$595,0,$E$245:$E$595,$G586,$C$245:$C$595,"&lt;="&amp;U5)&gt;=1000000),SUMIFS($D$245:$D$595,$F$245:$F$595,0,$E$245:$E$595,$G586)*$C$157 ,0)</f>
        <v/>
      </c>
      <c r="W586" s="95">
        <f>IF(AND(SUMIFS($D$245:$D$595,$F$245:$F$595,0,$E$245:$E$595,$G586,$C$245:$C$595,"&lt;="&amp;U$5)&lt;1000000,SUMIFS($D$245:$D$595,$F$245:$F$595,0,$E$245:$E$595,$G586,$C$245:$C$595,"&lt;="&amp;W5)&gt;=1000000),SUMIFS($D$245:$D$595,$F$245:$F$595,0,$E$245:$E$595,$G586)*$C$157 ,0)</f>
        <v/>
      </c>
      <c r="Y586" s="95">
        <f>IF(AND(SUMIFS($D$245:$D$595,$F$245:$F$595,0,$E$245:$E$595,$G586,$C$245:$C$595,"&lt;="&amp;W$5)&lt;1000000,SUMIFS($D$245:$D$595,$F$245:$F$595,0,$E$245:$E$595,$G586,$C$245:$C$595,"&lt;="&amp;Y5)&gt;=1000000),SUMIFS($D$245:$D$595,$F$245:$F$595,0,$E$245:$E$595,$G586)*$C$157 ,0)</f>
        <v/>
      </c>
      <c r="AA586" s="95">
        <f>IF(AND(SUMIFS($D$245:$D$595,$F$245:$F$595,0,$E$245:$E$595,$G586,$C$245:$C$595,"&lt;="&amp;Y$5)&lt;1000000,SUMIFS($D$245:$D$595,$F$245:$F$595,0,$E$245:$E$595,$G586,$C$245:$C$595,"&lt;="&amp;AA5)&gt;=1000000),SUMIFS($D$245:$D$595,$F$245:$F$595,0,$E$245:$E$595,$G586)*$C$157 ,0)</f>
        <v/>
      </c>
      <c r="AC586" s="95">
        <f>IF(AND(SUMIFS($D$245:$D$595,$F$245:$F$595,0,$E$245:$E$595,$G586,$C$245:$C$595,"&lt;="&amp;AA$5)&lt;1000000,SUMIFS($D$245:$D$595,$F$245:$F$595,0,$E$245:$E$595,$G586,$C$245:$C$595,"&lt;="&amp;AC5)&gt;=1000000),SUMIFS($D$245:$D$595,$F$245:$F$595,0,$E$245:$E$595,$G586)*$C$157 ,0)</f>
        <v/>
      </c>
      <c r="AE586" s="95">
        <f>IF(AND(SUMIFS($D$245:$D$595,$F$245:$F$595,0,$E$245:$E$595,$G586,$C$245:$C$595,"&lt;="&amp;AC$5)&lt;1000000,SUMIFS($D$245:$D$595,$F$245:$F$595,0,$E$245:$E$595,$G586,$C$245:$C$595,"&lt;="&amp;AE5)&gt;=1000000),SUMIFS($D$245:$D$595,$F$245:$F$595,0,$E$245:$E$595,$G586)*$C$157 ,0)</f>
        <v/>
      </c>
      <c r="AF586" s="19" t="n"/>
    </row>
    <row r="587">
      <c r="A587" s="20">
        <f>mid(E587, 3, 1)</f>
        <v/>
      </c>
      <c r="B587" s="14" t="inlineStr"/>
      <c r="C587" s="21">
        <f>SUMIFS('Investor Exit List'!$AC:$AC,'Investor Exit List'!$AB:$AB,B587)</f>
        <v/>
      </c>
      <c r="D587" s="14">
        <f>SUMIFS('Investor Exit List'!$Q:$Q,'Investor Exit List'!$AB:$AB,B587)</f>
        <v/>
      </c>
      <c r="E587" s="31">
        <f>LEFT(B587,6)</f>
        <v/>
      </c>
      <c r="F587" s="14">
        <f>IF(SUMIFS($E$119:$E$151,$D$119:$D$151,E587)&lt;&gt;0,E587,0)</f>
        <v/>
      </c>
      <c r="G587" s="59" t="n"/>
      <c r="I587" s="28">
        <f>IF(AND(SUMIFS($D$245:$D$595,$F$245:$F$595,0,$E$245:$E$595,$G587,$C$245:$C$595,"&lt;="&amp;B$2)&lt;1000000,SUMIFS($D$245:$D$595,$F$245:$F$595,0,$E$245:$E$595,$G587,$C$245:$C$595,"&lt;="&amp;I5)&gt;=1000000),SUMIFS($D$245:$D$595,$F$245:$F$595,0,$E$245:$E$595,$G587)*$C$157 ,0)</f>
        <v/>
      </c>
      <c r="K587" s="95">
        <f>IF(AND(SUMIFS($D$245:$D$595,$F$245:$F$595,0,$E$245:$E$595,$G587,$C$245:$C$595,"&lt;="&amp;I$5)&lt;1000000,SUMIFS($D$245:$D$595,$F$245:$F$595,0,$E$245:$E$595,$G587,$C$245:$C$595,"&lt;="&amp;K5)&gt;=1000000),SUMIFS($D$245:$D$595,$F$245:$F$595,0,$E$245:$E$595,$G587)*$C$157 ,0)</f>
        <v/>
      </c>
      <c r="M587" s="95">
        <f>IF(AND(SUMIFS($D$245:$D$595,$F$245:$F$595,0,$E$245:$E$595,$G587,$C$245:$C$595,"&lt;="&amp;K$5)&lt;1000000,SUMIFS($D$245:$D$595,$F$245:$F$595,0,$E$245:$E$595,$G587,$C$245:$C$595,"&lt;="&amp;M5)&gt;=1000000),SUMIFS($D$245:$D$595,$F$245:$F$595,0,$E$245:$E$595,$G587)*$C$157 ,0)</f>
        <v/>
      </c>
      <c r="O587" s="95">
        <f>IF(AND(SUMIFS($D$245:$D$595,$F$245:$F$595,0,$E$245:$E$595,$G587,$C$245:$C$595,"&lt;="&amp;M$5)&lt;1000000,SUMIFS($D$245:$D$595,$F$245:$F$595,0,$E$245:$E$595,$G587,$C$245:$C$595,"&lt;="&amp;O5)&gt;=1000000),SUMIFS($D$245:$D$595,$F$245:$F$595,0,$E$245:$E$595,$G587)*$C$157 ,0)</f>
        <v/>
      </c>
      <c r="Q587" s="95">
        <f>IF(AND(SUMIFS($D$245:$D$595,$F$245:$F$595,0,$E$245:$E$595,$G587,$C$245:$C$595,"&lt;="&amp;O$5)&lt;1000000,SUMIFS($D$245:$D$595,$F$245:$F$595,0,$E$245:$E$595,$G587,$C$245:$C$595,"&lt;="&amp;Q5)&gt;=1000000),SUMIFS($D$245:$D$595,$F$245:$F$595,0,$E$245:$E$595,$G587)*$C$157 ,0)</f>
        <v/>
      </c>
      <c r="S587" s="95">
        <f>IF(AND(SUMIFS($D$245:$D$595,$F$245:$F$595,0,$E$245:$E$595,$G587,$C$245:$C$595,"&lt;="&amp;Q$5)&lt;1000000,SUMIFS($D$245:$D$595,$F$245:$F$595,0,$E$245:$E$595,$G587,$C$245:$C$595,"&lt;="&amp;S5)&gt;=1000000),SUMIFS($D$245:$D$595,$F$245:$F$595,0,$E$245:$E$595,$G587)*$C$157 ,0)</f>
        <v/>
      </c>
      <c r="U587" s="95">
        <f>IF(AND(SUMIFS($D$245:$D$595,$F$245:$F$595,0,$E$245:$E$595,$G587,$C$245:$C$595,"&lt;="&amp;S$5)&lt;1000000,SUMIFS($D$245:$D$595,$F$245:$F$595,0,$E$245:$E$595,$G587,$C$245:$C$595,"&lt;="&amp;U5)&gt;=1000000),SUMIFS($D$245:$D$595,$F$245:$F$595,0,$E$245:$E$595,$G587)*$C$157 ,0)</f>
        <v/>
      </c>
      <c r="W587" s="95">
        <f>IF(AND(SUMIFS($D$245:$D$595,$F$245:$F$595,0,$E$245:$E$595,$G587,$C$245:$C$595,"&lt;="&amp;U$5)&lt;1000000,SUMIFS($D$245:$D$595,$F$245:$F$595,0,$E$245:$E$595,$G587,$C$245:$C$595,"&lt;="&amp;W5)&gt;=1000000),SUMIFS($D$245:$D$595,$F$245:$F$595,0,$E$245:$E$595,$G587)*$C$157 ,0)</f>
        <v/>
      </c>
      <c r="Y587" s="95">
        <f>IF(AND(SUMIFS($D$245:$D$595,$F$245:$F$595,0,$E$245:$E$595,$G587,$C$245:$C$595,"&lt;="&amp;W$5)&lt;1000000,SUMIFS($D$245:$D$595,$F$245:$F$595,0,$E$245:$E$595,$G587,$C$245:$C$595,"&lt;="&amp;Y5)&gt;=1000000),SUMIFS($D$245:$D$595,$F$245:$F$595,0,$E$245:$E$595,$G587)*$C$157 ,0)</f>
        <v/>
      </c>
      <c r="AA587" s="95">
        <f>IF(AND(SUMIFS($D$245:$D$595,$F$245:$F$595,0,$E$245:$E$595,$G587,$C$245:$C$595,"&lt;="&amp;Y$5)&lt;1000000,SUMIFS($D$245:$D$595,$F$245:$F$595,0,$E$245:$E$595,$G587,$C$245:$C$595,"&lt;="&amp;AA5)&gt;=1000000),SUMIFS($D$245:$D$595,$F$245:$F$595,0,$E$245:$E$595,$G587)*$C$157 ,0)</f>
        <v/>
      </c>
      <c r="AC587" s="95">
        <f>IF(AND(SUMIFS($D$245:$D$595,$F$245:$F$595,0,$E$245:$E$595,$G587,$C$245:$C$595,"&lt;="&amp;AA$5)&lt;1000000,SUMIFS($D$245:$D$595,$F$245:$F$595,0,$E$245:$E$595,$G587,$C$245:$C$595,"&lt;="&amp;AC5)&gt;=1000000),SUMIFS($D$245:$D$595,$F$245:$F$595,0,$E$245:$E$595,$G587)*$C$157 ,0)</f>
        <v/>
      </c>
      <c r="AE587" s="95">
        <f>IF(AND(SUMIFS($D$245:$D$595,$F$245:$F$595,0,$E$245:$E$595,$G587,$C$245:$C$595,"&lt;="&amp;AC$5)&lt;1000000,SUMIFS($D$245:$D$595,$F$245:$F$595,0,$E$245:$E$595,$G587,$C$245:$C$595,"&lt;="&amp;AE5)&gt;=1000000),SUMIFS($D$245:$D$595,$F$245:$F$595,0,$E$245:$E$595,$G587)*$C$157 ,0)</f>
        <v/>
      </c>
      <c r="AF587" s="19" t="n"/>
    </row>
    <row r="588">
      <c r="A588" s="20">
        <f>mid(E588, 3, 1)</f>
        <v/>
      </c>
      <c r="B588" s="14" t="inlineStr"/>
      <c r="C588" s="21">
        <f>SUMIFS('Investor Exit List'!$AC:$AC,'Investor Exit List'!$AB:$AB,B588)</f>
        <v/>
      </c>
      <c r="D588" s="14">
        <f>SUMIFS('Investor Exit List'!$Q:$Q,'Investor Exit List'!$AB:$AB,B588)</f>
        <v/>
      </c>
      <c r="E588" s="31">
        <f>LEFT(B588,6)</f>
        <v/>
      </c>
      <c r="F588" s="14">
        <f>IF(SUMIFS($E$119:$E$151,$D$119:$D$151,E588)&lt;&gt;0,E588,0)</f>
        <v/>
      </c>
      <c r="G588" s="59" t="n"/>
      <c r="I588" s="28">
        <f>IF(AND(SUMIFS($D$245:$D$595,$F$245:$F$595,0,$E$245:$E$595,$G588,$C$245:$C$595,"&lt;="&amp;B$2)&lt;1000000,SUMIFS($D$245:$D$595,$F$245:$F$595,0,$E$245:$E$595,$G588,$C$245:$C$595,"&lt;="&amp;I5)&gt;=1000000),SUMIFS($D$245:$D$595,$F$245:$F$595,0,$E$245:$E$595,$G588)*$C$157 ,0)</f>
        <v/>
      </c>
      <c r="K588" s="95">
        <f>IF(AND(SUMIFS($D$245:$D$595,$F$245:$F$595,0,$E$245:$E$595,$G588,$C$245:$C$595,"&lt;="&amp;I$5)&lt;1000000,SUMIFS($D$245:$D$595,$F$245:$F$595,0,$E$245:$E$595,$G588,$C$245:$C$595,"&lt;="&amp;K5)&gt;=1000000),SUMIFS($D$245:$D$595,$F$245:$F$595,0,$E$245:$E$595,$G588)*$C$157 ,0)</f>
        <v/>
      </c>
      <c r="M588" s="95">
        <f>IF(AND(SUMIFS($D$245:$D$595,$F$245:$F$595,0,$E$245:$E$595,$G588,$C$245:$C$595,"&lt;="&amp;K$5)&lt;1000000,SUMIFS($D$245:$D$595,$F$245:$F$595,0,$E$245:$E$595,$G588,$C$245:$C$595,"&lt;="&amp;M5)&gt;=1000000),SUMIFS($D$245:$D$595,$F$245:$F$595,0,$E$245:$E$595,$G588)*$C$157 ,0)</f>
        <v/>
      </c>
      <c r="O588" s="95">
        <f>IF(AND(SUMIFS($D$245:$D$595,$F$245:$F$595,0,$E$245:$E$595,$G588,$C$245:$C$595,"&lt;="&amp;M$5)&lt;1000000,SUMIFS($D$245:$D$595,$F$245:$F$595,0,$E$245:$E$595,$G588,$C$245:$C$595,"&lt;="&amp;O5)&gt;=1000000),SUMIFS($D$245:$D$595,$F$245:$F$595,0,$E$245:$E$595,$G588)*$C$157 ,0)</f>
        <v/>
      </c>
      <c r="Q588" s="95">
        <f>IF(AND(SUMIFS($D$245:$D$595,$F$245:$F$595,0,$E$245:$E$595,$G588,$C$245:$C$595,"&lt;="&amp;O$5)&lt;1000000,SUMIFS($D$245:$D$595,$F$245:$F$595,0,$E$245:$E$595,$G588,$C$245:$C$595,"&lt;="&amp;Q5)&gt;=1000000),SUMIFS($D$245:$D$595,$F$245:$F$595,0,$E$245:$E$595,$G588)*$C$157 ,0)</f>
        <v/>
      </c>
      <c r="S588" s="95">
        <f>IF(AND(SUMIFS($D$245:$D$595,$F$245:$F$595,0,$E$245:$E$595,$G588,$C$245:$C$595,"&lt;="&amp;Q$5)&lt;1000000,SUMIFS($D$245:$D$595,$F$245:$F$595,0,$E$245:$E$595,$G588,$C$245:$C$595,"&lt;="&amp;S5)&gt;=1000000),SUMIFS($D$245:$D$595,$F$245:$F$595,0,$E$245:$E$595,$G588)*$C$157 ,0)</f>
        <v/>
      </c>
      <c r="U588" s="95">
        <f>IF(AND(SUMIFS($D$245:$D$595,$F$245:$F$595,0,$E$245:$E$595,$G588,$C$245:$C$595,"&lt;="&amp;S$5)&lt;1000000,SUMIFS($D$245:$D$595,$F$245:$F$595,0,$E$245:$E$595,$G588,$C$245:$C$595,"&lt;="&amp;U5)&gt;=1000000),SUMIFS($D$245:$D$595,$F$245:$F$595,0,$E$245:$E$595,$G588)*$C$157 ,0)</f>
        <v/>
      </c>
      <c r="W588" s="95">
        <f>IF(AND(SUMIFS($D$245:$D$595,$F$245:$F$595,0,$E$245:$E$595,$G588,$C$245:$C$595,"&lt;="&amp;U$5)&lt;1000000,SUMIFS($D$245:$D$595,$F$245:$F$595,0,$E$245:$E$595,$G588,$C$245:$C$595,"&lt;="&amp;W5)&gt;=1000000),SUMIFS($D$245:$D$595,$F$245:$F$595,0,$E$245:$E$595,$G588)*$C$157 ,0)</f>
        <v/>
      </c>
      <c r="Y588" s="95">
        <f>IF(AND(SUMIFS($D$245:$D$595,$F$245:$F$595,0,$E$245:$E$595,$G588,$C$245:$C$595,"&lt;="&amp;W$5)&lt;1000000,SUMIFS($D$245:$D$595,$F$245:$F$595,0,$E$245:$E$595,$G588,$C$245:$C$595,"&lt;="&amp;Y5)&gt;=1000000),SUMIFS($D$245:$D$595,$F$245:$F$595,0,$E$245:$E$595,$G588)*$C$157 ,0)</f>
        <v/>
      </c>
      <c r="AA588" s="95">
        <f>IF(AND(SUMIFS($D$245:$D$595,$F$245:$F$595,0,$E$245:$E$595,$G588,$C$245:$C$595,"&lt;="&amp;Y$5)&lt;1000000,SUMIFS($D$245:$D$595,$F$245:$F$595,0,$E$245:$E$595,$G588,$C$245:$C$595,"&lt;="&amp;AA5)&gt;=1000000),SUMIFS($D$245:$D$595,$F$245:$F$595,0,$E$245:$E$595,$G588)*$C$157 ,0)</f>
        <v/>
      </c>
      <c r="AC588" s="95">
        <f>IF(AND(SUMIFS($D$245:$D$595,$F$245:$F$595,0,$E$245:$E$595,$G588,$C$245:$C$595,"&lt;="&amp;AA$5)&lt;1000000,SUMIFS($D$245:$D$595,$F$245:$F$595,0,$E$245:$E$595,$G588,$C$245:$C$595,"&lt;="&amp;AC5)&gt;=1000000),SUMIFS($D$245:$D$595,$F$245:$F$595,0,$E$245:$E$595,$G588)*$C$157 ,0)</f>
        <v/>
      </c>
      <c r="AE588" s="95">
        <f>IF(AND(SUMIFS($D$245:$D$595,$F$245:$F$595,0,$E$245:$E$595,$G588,$C$245:$C$595,"&lt;="&amp;AC$5)&lt;1000000,SUMIFS($D$245:$D$595,$F$245:$F$595,0,$E$245:$E$595,$G588,$C$245:$C$595,"&lt;="&amp;AE5)&gt;=1000000),SUMIFS($D$245:$D$595,$F$245:$F$595,0,$E$245:$E$595,$G588)*$C$157 ,0)</f>
        <v/>
      </c>
      <c r="AF588" s="19" t="n"/>
    </row>
    <row r="589">
      <c r="A589" s="20">
        <f>mid(E589, 3, 1)</f>
        <v/>
      </c>
      <c r="B589" s="14" t="inlineStr"/>
      <c r="C589" s="21">
        <f>SUMIFS('Investor Exit List'!$AC:$AC,'Investor Exit List'!$AB:$AB,B589)</f>
        <v/>
      </c>
      <c r="D589" s="14">
        <f>SUMIFS('Investor Exit List'!$Q:$Q,'Investor Exit List'!$AB:$AB,B589)</f>
        <v/>
      </c>
      <c r="E589" s="31">
        <f>LEFT(B589,6)</f>
        <v/>
      </c>
      <c r="F589" s="14">
        <f>IF(SUMIFS($E$119:$E$151,$D$119:$D$151,E589)&lt;&gt;0,E589,0)</f>
        <v/>
      </c>
      <c r="G589" s="59" t="n"/>
      <c r="I589" s="28">
        <f>IF(AND(SUMIFS($D$245:$D$595,$F$245:$F$595,0,$E$245:$E$595,$G589,$C$245:$C$595,"&lt;="&amp;B$2)&lt;1000000,SUMIFS($D$245:$D$595,$F$245:$F$595,0,$E$245:$E$595,$G589,$C$245:$C$595,"&lt;="&amp;I5)&gt;=1000000),SUMIFS($D$245:$D$595,$F$245:$F$595,0,$E$245:$E$595,$G589)*$C$157 ,0)</f>
        <v/>
      </c>
      <c r="K589" s="95">
        <f>IF(AND(SUMIFS($D$245:$D$595,$F$245:$F$595,0,$E$245:$E$595,$G589,$C$245:$C$595,"&lt;="&amp;I$5)&lt;1000000,SUMIFS($D$245:$D$595,$F$245:$F$595,0,$E$245:$E$595,$G589,$C$245:$C$595,"&lt;="&amp;K5)&gt;=1000000),SUMIFS($D$245:$D$595,$F$245:$F$595,0,$E$245:$E$595,$G589)*$C$157 ,0)</f>
        <v/>
      </c>
      <c r="M589" s="95">
        <f>IF(AND(SUMIFS($D$245:$D$595,$F$245:$F$595,0,$E$245:$E$595,$G589,$C$245:$C$595,"&lt;="&amp;K$5)&lt;1000000,SUMIFS($D$245:$D$595,$F$245:$F$595,0,$E$245:$E$595,$G589,$C$245:$C$595,"&lt;="&amp;M5)&gt;=1000000),SUMIFS($D$245:$D$595,$F$245:$F$595,0,$E$245:$E$595,$G589)*$C$157 ,0)</f>
        <v/>
      </c>
      <c r="O589" s="95">
        <f>IF(AND(SUMIFS($D$245:$D$595,$F$245:$F$595,0,$E$245:$E$595,$G589,$C$245:$C$595,"&lt;="&amp;M$5)&lt;1000000,SUMIFS($D$245:$D$595,$F$245:$F$595,0,$E$245:$E$595,$G589,$C$245:$C$595,"&lt;="&amp;O5)&gt;=1000000),SUMIFS($D$245:$D$595,$F$245:$F$595,0,$E$245:$E$595,$G589)*$C$157 ,0)</f>
        <v/>
      </c>
      <c r="Q589" s="95">
        <f>IF(AND(SUMIFS($D$245:$D$595,$F$245:$F$595,0,$E$245:$E$595,$G589,$C$245:$C$595,"&lt;="&amp;O$5)&lt;1000000,SUMIFS($D$245:$D$595,$F$245:$F$595,0,$E$245:$E$595,$G589,$C$245:$C$595,"&lt;="&amp;Q5)&gt;=1000000),SUMIFS($D$245:$D$595,$F$245:$F$595,0,$E$245:$E$595,$G589)*$C$157 ,0)</f>
        <v/>
      </c>
      <c r="S589" s="95">
        <f>IF(AND(SUMIFS($D$245:$D$595,$F$245:$F$595,0,$E$245:$E$595,$G589,$C$245:$C$595,"&lt;="&amp;Q$5)&lt;1000000,SUMIFS($D$245:$D$595,$F$245:$F$595,0,$E$245:$E$595,$G589,$C$245:$C$595,"&lt;="&amp;S5)&gt;=1000000),SUMIFS($D$245:$D$595,$F$245:$F$595,0,$E$245:$E$595,$G589)*$C$157 ,0)</f>
        <v/>
      </c>
      <c r="U589" s="95">
        <f>IF(AND(SUMIFS($D$245:$D$595,$F$245:$F$595,0,$E$245:$E$595,$G589,$C$245:$C$595,"&lt;="&amp;S$5)&lt;1000000,SUMIFS($D$245:$D$595,$F$245:$F$595,0,$E$245:$E$595,$G589,$C$245:$C$595,"&lt;="&amp;U5)&gt;=1000000),SUMIFS($D$245:$D$595,$F$245:$F$595,0,$E$245:$E$595,$G589)*$C$157 ,0)</f>
        <v/>
      </c>
      <c r="W589" s="95">
        <f>IF(AND(SUMIFS($D$245:$D$595,$F$245:$F$595,0,$E$245:$E$595,$G589,$C$245:$C$595,"&lt;="&amp;U$5)&lt;1000000,SUMIFS($D$245:$D$595,$F$245:$F$595,0,$E$245:$E$595,$G589,$C$245:$C$595,"&lt;="&amp;W5)&gt;=1000000),SUMIFS($D$245:$D$595,$F$245:$F$595,0,$E$245:$E$595,$G589)*$C$157 ,0)</f>
        <v/>
      </c>
      <c r="Y589" s="95">
        <f>IF(AND(SUMIFS($D$245:$D$595,$F$245:$F$595,0,$E$245:$E$595,$G589,$C$245:$C$595,"&lt;="&amp;W$5)&lt;1000000,SUMIFS($D$245:$D$595,$F$245:$F$595,0,$E$245:$E$595,$G589,$C$245:$C$595,"&lt;="&amp;Y5)&gt;=1000000),SUMIFS($D$245:$D$595,$F$245:$F$595,0,$E$245:$E$595,$G589)*$C$157 ,0)</f>
        <v/>
      </c>
      <c r="AA589" s="95">
        <f>IF(AND(SUMIFS($D$245:$D$595,$F$245:$F$595,0,$E$245:$E$595,$G589,$C$245:$C$595,"&lt;="&amp;Y$5)&lt;1000000,SUMIFS($D$245:$D$595,$F$245:$F$595,0,$E$245:$E$595,$G589,$C$245:$C$595,"&lt;="&amp;AA5)&gt;=1000000),SUMIFS($D$245:$D$595,$F$245:$F$595,0,$E$245:$E$595,$G589)*$C$157 ,0)</f>
        <v/>
      </c>
      <c r="AC589" s="95">
        <f>IF(AND(SUMIFS($D$245:$D$595,$F$245:$F$595,0,$E$245:$E$595,$G589,$C$245:$C$595,"&lt;="&amp;AA$5)&lt;1000000,SUMIFS($D$245:$D$595,$F$245:$F$595,0,$E$245:$E$595,$G589,$C$245:$C$595,"&lt;="&amp;AC5)&gt;=1000000),SUMIFS($D$245:$D$595,$F$245:$F$595,0,$E$245:$E$595,$G589)*$C$157 ,0)</f>
        <v/>
      </c>
      <c r="AE589" s="95">
        <f>IF(AND(SUMIFS($D$245:$D$595,$F$245:$F$595,0,$E$245:$E$595,$G589,$C$245:$C$595,"&lt;="&amp;AC$5)&lt;1000000,SUMIFS($D$245:$D$595,$F$245:$F$595,0,$E$245:$E$595,$G589,$C$245:$C$595,"&lt;="&amp;AE5)&gt;=1000000),SUMIFS($D$245:$D$595,$F$245:$F$595,0,$E$245:$E$595,$G589)*$C$157 ,0)</f>
        <v/>
      </c>
      <c r="AF589" s="19" t="n"/>
    </row>
    <row r="590">
      <c r="A590" s="20">
        <f>mid(E590, 3, 1)</f>
        <v/>
      </c>
      <c r="B590" s="14" t="inlineStr"/>
      <c r="C590" s="21">
        <f>SUMIFS('Investor Exit List'!$AC:$AC,'Investor Exit List'!$AB:$AB,B590)</f>
        <v/>
      </c>
      <c r="D590" s="14">
        <f>SUMIFS('Investor Exit List'!$Q:$Q,'Investor Exit List'!$AB:$AB,B590)</f>
        <v/>
      </c>
      <c r="E590" s="31">
        <f>LEFT(B590,6)</f>
        <v/>
      </c>
      <c r="F590" s="14">
        <f>IF(SUMIFS($E$119:$E$151,$D$119:$D$151,E590)&lt;&gt;0,E590,0)</f>
        <v/>
      </c>
      <c r="G590" s="59" t="n"/>
      <c r="I590" s="28">
        <f>IF(AND(SUMIFS($D$245:$D$595,$F$245:$F$595,0,$E$245:$E$595,$G590,$C$245:$C$595,"&lt;="&amp;B$2)&lt;1000000,SUMIFS($D$245:$D$595,$F$245:$F$595,0,$E$245:$E$595,$G590,$C$245:$C$595,"&lt;="&amp;I5)&gt;=1000000),SUMIFS($D$245:$D$595,$F$245:$F$595,0,$E$245:$E$595,$G590)*$C$157 ,0)</f>
        <v/>
      </c>
      <c r="K590" s="95">
        <f>IF(AND(SUMIFS($D$245:$D$595,$F$245:$F$595,0,$E$245:$E$595,$G590,$C$245:$C$595,"&lt;="&amp;I$5)&lt;1000000,SUMIFS($D$245:$D$595,$F$245:$F$595,0,$E$245:$E$595,$G590,$C$245:$C$595,"&lt;="&amp;K5)&gt;=1000000),SUMIFS($D$245:$D$595,$F$245:$F$595,0,$E$245:$E$595,$G590)*$C$157 ,0)</f>
        <v/>
      </c>
      <c r="M590" s="95">
        <f>IF(AND(SUMIFS($D$245:$D$595,$F$245:$F$595,0,$E$245:$E$595,$G590,$C$245:$C$595,"&lt;="&amp;K$5)&lt;1000000,SUMIFS($D$245:$D$595,$F$245:$F$595,0,$E$245:$E$595,$G590,$C$245:$C$595,"&lt;="&amp;M5)&gt;=1000000),SUMIFS($D$245:$D$595,$F$245:$F$595,0,$E$245:$E$595,$G590)*$C$157 ,0)</f>
        <v/>
      </c>
      <c r="O590" s="95">
        <f>IF(AND(SUMIFS($D$245:$D$595,$F$245:$F$595,0,$E$245:$E$595,$G590,$C$245:$C$595,"&lt;="&amp;M$5)&lt;1000000,SUMIFS($D$245:$D$595,$F$245:$F$595,0,$E$245:$E$595,$G590,$C$245:$C$595,"&lt;="&amp;O5)&gt;=1000000),SUMIFS($D$245:$D$595,$F$245:$F$595,0,$E$245:$E$595,$G590)*$C$157 ,0)</f>
        <v/>
      </c>
      <c r="Q590" s="95">
        <f>IF(AND(SUMIFS($D$245:$D$595,$F$245:$F$595,0,$E$245:$E$595,$G590,$C$245:$C$595,"&lt;="&amp;O$5)&lt;1000000,SUMIFS($D$245:$D$595,$F$245:$F$595,0,$E$245:$E$595,$G590,$C$245:$C$595,"&lt;="&amp;Q5)&gt;=1000000),SUMIFS($D$245:$D$595,$F$245:$F$595,0,$E$245:$E$595,$G590)*$C$157 ,0)</f>
        <v/>
      </c>
      <c r="S590" s="95">
        <f>IF(AND(SUMIFS($D$245:$D$595,$F$245:$F$595,0,$E$245:$E$595,$G590,$C$245:$C$595,"&lt;="&amp;Q$5)&lt;1000000,SUMIFS($D$245:$D$595,$F$245:$F$595,0,$E$245:$E$595,$G590,$C$245:$C$595,"&lt;="&amp;S5)&gt;=1000000),SUMIFS($D$245:$D$595,$F$245:$F$595,0,$E$245:$E$595,$G590)*$C$157 ,0)</f>
        <v/>
      </c>
      <c r="U590" s="95">
        <f>IF(AND(SUMIFS($D$245:$D$595,$F$245:$F$595,0,$E$245:$E$595,$G590,$C$245:$C$595,"&lt;="&amp;S$5)&lt;1000000,SUMIFS($D$245:$D$595,$F$245:$F$595,0,$E$245:$E$595,$G590,$C$245:$C$595,"&lt;="&amp;U5)&gt;=1000000),SUMIFS($D$245:$D$595,$F$245:$F$595,0,$E$245:$E$595,$G590)*$C$157 ,0)</f>
        <v/>
      </c>
      <c r="W590" s="95">
        <f>IF(AND(SUMIFS($D$245:$D$595,$F$245:$F$595,0,$E$245:$E$595,$G590,$C$245:$C$595,"&lt;="&amp;U$5)&lt;1000000,SUMIFS($D$245:$D$595,$F$245:$F$595,0,$E$245:$E$595,$G590,$C$245:$C$595,"&lt;="&amp;W5)&gt;=1000000),SUMIFS($D$245:$D$595,$F$245:$F$595,0,$E$245:$E$595,$G590)*$C$157 ,0)</f>
        <v/>
      </c>
      <c r="Y590" s="95">
        <f>IF(AND(SUMIFS($D$245:$D$595,$F$245:$F$595,0,$E$245:$E$595,$G590,$C$245:$C$595,"&lt;="&amp;W$5)&lt;1000000,SUMIFS($D$245:$D$595,$F$245:$F$595,0,$E$245:$E$595,$G590,$C$245:$C$595,"&lt;="&amp;Y5)&gt;=1000000),SUMIFS($D$245:$D$595,$F$245:$F$595,0,$E$245:$E$595,$G590)*$C$157 ,0)</f>
        <v/>
      </c>
      <c r="AA590" s="95">
        <f>IF(AND(SUMIFS($D$245:$D$595,$F$245:$F$595,0,$E$245:$E$595,$G590,$C$245:$C$595,"&lt;="&amp;Y$5)&lt;1000000,SUMIFS($D$245:$D$595,$F$245:$F$595,0,$E$245:$E$595,$G590,$C$245:$C$595,"&lt;="&amp;AA5)&gt;=1000000),SUMIFS($D$245:$D$595,$F$245:$F$595,0,$E$245:$E$595,$G590)*$C$157 ,0)</f>
        <v/>
      </c>
      <c r="AC590" s="95">
        <f>IF(AND(SUMIFS($D$245:$D$595,$F$245:$F$595,0,$E$245:$E$595,$G590,$C$245:$C$595,"&lt;="&amp;AA$5)&lt;1000000,SUMIFS($D$245:$D$595,$F$245:$F$595,0,$E$245:$E$595,$G590,$C$245:$C$595,"&lt;="&amp;AC5)&gt;=1000000),SUMIFS($D$245:$D$595,$F$245:$F$595,0,$E$245:$E$595,$G590)*$C$157 ,0)</f>
        <v/>
      </c>
      <c r="AE590" s="95">
        <f>IF(AND(SUMIFS($D$245:$D$595,$F$245:$F$595,0,$E$245:$E$595,$G590,$C$245:$C$595,"&lt;="&amp;AC$5)&lt;1000000,SUMIFS($D$245:$D$595,$F$245:$F$595,0,$E$245:$E$595,$G590,$C$245:$C$595,"&lt;="&amp;AE5)&gt;=1000000),SUMIFS($D$245:$D$595,$F$245:$F$595,0,$E$245:$E$595,$G590)*$C$157 ,0)</f>
        <v/>
      </c>
      <c r="AF590" s="19" t="n"/>
    </row>
    <row r="591">
      <c r="A591" s="20">
        <f>mid(E591, 3, 1)</f>
        <v/>
      </c>
      <c r="B591" s="14" t="inlineStr"/>
      <c r="C591" s="21">
        <f>SUMIFS('Investor Exit List'!$AC:$AC,'Investor Exit List'!$AB:$AB,B591)</f>
        <v/>
      </c>
      <c r="D591" s="14">
        <f>SUMIFS('Investor Exit List'!$Q:$Q,'Investor Exit List'!$AB:$AB,B591)</f>
        <v/>
      </c>
      <c r="E591" s="31">
        <f>LEFT(B591,6)</f>
        <v/>
      </c>
      <c r="F591" s="14">
        <f>IF(SUMIFS($E$119:$E$151,$D$119:$D$151,E591)&lt;&gt;0,E591,0)</f>
        <v/>
      </c>
      <c r="G591" s="59" t="n"/>
      <c r="I591" s="28">
        <f>IF(AND(SUMIFS($D$245:$D$595,$F$245:$F$595,0,$E$245:$E$595,$G591,$C$245:$C$595,"&lt;="&amp;B$2)&lt;1000000,SUMIFS($D$245:$D$595,$F$245:$F$595,0,$E$245:$E$595,$G591,$C$245:$C$595,"&lt;="&amp;I5)&gt;=1000000),SUMIFS($D$245:$D$595,$F$245:$F$595,0,$E$245:$E$595,$G591)*$C$157 ,0)</f>
        <v/>
      </c>
      <c r="K591" s="95">
        <f>IF(AND(SUMIFS($D$245:$D$595,$F$245:$F$595,0,$E$245:$E$595,$G591,$C$245:$C$595,"&lt;="&amp;I$5)&lt;1000000,SUMIFS($D$245:$D$595,$F$245:$F$595,0,$E$245:$E$595,$G591,$C$245:$C$595,"&lt;="&amp;K5)&gt;=1000000),SUMIFS($D$245:$D$595,$F$245:$F$595,0,$E$245:$E$595,$G591)*$C$157 ,0)</f>
        <v/>
      </c>
      <c r="M591" s="95">
        <f>IF(AND(SUMIFS($D$245:$D$595,$F$245:$F$595,0,$E$245:$E$595,$G591,$C$245:$C$595,"&lt;="&amp;K$5)&lt;1000000,SUMIFS($D$245:$D$595,$F$245:$F$595,0,$E$245:$E$595,$G591,$C$245:$C$595,"&lt;="&amp;M5)&gt;=1000000),SUMIFS($D$245:$D$595,$F$245:$F$595,0,$E$245:$E$595,$G591)*$C$157 ,0)</f>
        <v/>
      </c>
      <c r="O591" s="95">
        <f>IF(AND(SUMIFS($D$245:$D$595,$F$245:$F$595,0,$E$245:$E$595,$G591,$C$245:$C$595,"&lt;="&amp;M$5)&lt;1000000,SUMIFS($D$245:$D$595,$F$245:$F$595,0,$E$245:$E$595,$G591,$C$245:$C$595,"&lt;="&amp;O5)&gt;=1000000),SUMIFS($D$245:$D$595,$F$245:$F$595,0,$E$245:$E$595,$G591)*$C$157 ,0)</f>
        <v/>
      </c>
      <c r="Q591" s="95">
        <f>IF(AND(SUMIFS($D$245:$D$595,$F$245:$F$595,0,$E$245:$E$595,$G591,$C$245:$C$595,"&lt;="&amp;O$5)&lt;1000000,SUMIFS($D$245:$D$595,$F$245:$F$595,0,$E$245:$E$595,$G591,$C$245:$C$595,"&lt;="&amp;Q5)&gt;=1000000),SUMIFS($D$245:$D$595,$F$245:$F$595,0,$E$245:$E$595,$G591)*$C$157 ,0)</f>
        <v/>
      </c>
      <c r="S591" s="95">
        <f>IF(AND(SUMIFS($D$245:$D$595,$F$245:$F$595,0,$E$245:$E$595,$G591,$C$245:$C$595,"&lt;="&amp;Q$5)&lt;1000000,SUMIFS($D$245:$D$595,$F$245:$F$595,0,$E$245:$E$595,$G591,$C$245:$C$595,"&lt;="&amp;S5)&gt;=1000000),SUMIFS($D$245:$D$595,$F$245:$F$595,0,$E$245:$E$595,$G591)*$C$157 ,0)</f>
        <v/>
      </c>
      <c r="U591" s="95">
        <f>IF(AND(SUMIFS($D$245:$D$595,$F$245:$F$595,0,$E$245:$E$595,$G591,$C$245:$C$595,"&lt;="&amp;S$5)&lt;1000000,SUMIFS($D$245:$D$595,$F$245:$F$595,0,$E$245:$E$595,$G591,$C$245:$C$595,"&lt;="&amp;U5)&gt;=1000000),SUMIFS($D$245:$D$595,$F$245:$F$595,0,$E$245:$E$595,$G591)*$C$157 ,0)</f>
        <v/>
      </c>
      <c r="W591" s="95">
        <f>IF(AND(SUMIFS($D$245:$D$595,$F$245:$F$595,0,$E$245:$E$595,$G591,$C$245:$C$595,"&lt;="&amp;U$5)&lt;1000000,SUMIFS($D$245:$D$595,$F$245:$F$595,0,$E$245:$E$595,$G591,$C$245:$C$595,"&lt;="&amp;W5)&gt;=1000000),SUMIFS($D$245:$D$595,$F$245:$F$595,0,$E$245:$E$595,$G591)*$C$157 ,0)</f>
        <v/>
      </c>
      <c r="Y591" s="95">
        <f>IF(AND(SUMIFS($D$245:$D$595,$F$245:$F$595,0,$E$245:$E$595,$G591,$C$245:$C$595,"&lt;="&amp;W$5)&lt;1000000,SUMIFS($D$245:$D$595,$F$245:$F$595,0,$E$245:$E$595,$G591,$C$245:$C$595,"&lt;="&amp;Y5)&gt;=1000000),SUMIFS($D$245:$D$595,$F$245:$F$595,0,$E$245:$E$595,$G591)*$C$157 ,0)</f>
        <v/>
      </c>
      <c r="AA591" s="95">
        <f>IF(AND(SUMIFS($D$245:$D$595,$F$245:$F$595,0,$E$245:$E$595,$G591,$C$245:$C$595,"&lt;="&amp;Y$5)&lt;1000000,SUMIFS($D$245:$D$595,$F$245:$F$595,0,$E$245:$E$595,$G591,$C$245:$C$595,"&lt;="&amp;AA5)&gt;=1000000),SUMIFS($D$245:$D$595,$F$245:$F$595,0,$E$245:$E$595,$G591)*$C$157 ,0)</f>
        <v/>
      </c>
      <c r="AC591" s="95">
        <f>IF(AND(SUMIFS($D$245:$D$595,$F$245:$F$595,0,$E$245:$E$595,$G591,$C$245:$C$595,"&lt;="&amp;AA$5)&lt;1000000,SUMIFS($D$245:$D$595,$F$245:$F$595,0,$E$245:$E$595,$G591,$C$245:$C$595,"&lt;="&amp;AC5)&gt;=1000000),SUMIFS($D$245:$D$595,$F$245:$F$595,0,$E$245:$E$595,$G591)*$C$157 ,0)</f>
        <v/>
      </c>
      <c r="AE591" s="95">
        <f>IF(AND(SUMIFS($D$245:$D$595,$F$245:$F$595,0,$E$245:$E$595,$G591,$C$245:$C$595,"&lt;="&amp;AC$5)&lt;1000000,SUMIFS($D$245:$D$595,$F$245:$F$595,0,$E$245:$E$595,$G591,$C$245:$C$595,"&lt;="&amp;AE5)&gt;=1000000),SUMIFS($D$245:$D$595,$F$245:$F$595,0,$E$245:$E$595,$G591)*$C$157 ,0)</f>
        <v/>
      </c>
      <c r="AF591" s="19" t="n"/>
    </row>
    <row r="592">
      <c r="A592" s="20">
        <f>mid(E592, 3, 1)</f>
        <v/>
      </c>
      <c r="B592" s="14" t="inlineStr"/>
      <c r="C592" s="21">
        <f>SUMIFS('Investor Exit List'!$AC:$AC,'Investor Exit List'!$AB:$AB,B592)</f>
        <v/>
      </c>
      <c r="D592" s="14">
        <f>SUMIFS('Investor Exit List'!$Q:$Q,'Investor Exit List'!$AB:$AB,B592)</f>
        <v/>
      </c>
      <c r="E592" s="31">
        <f>LEFT(B592,6)</f>
        <v/>
      </c>
      <c r="F592" s="14">
        <f>IF(SUMIFS($E$119:$E$151,$D$119:$D$151,E592)&lt;&gt;0,E592,0)</f>
        <v/>
      </c>
      <c r="G592" s="59" t="n"/>
      <c r="I592" s="28">
        <f>IF(AND(SUMIFS($D$245:$D$595,$F$245:$F$595,0,$E$245:$E$595,$G592,$C$245:$C$595,"&lt;="&amp;B$2)&lt;1000000,SUMIFS($D$245:$D$595,$F$245:$F$595,0,$E$245:$E$595,$G592,$C$245:$C$595,"&lt;="&amp;I5)&gt;=1000000),SUMIFS($D$245:$D$595,$F$245:$F$595,0,$E$245:$E$595,$G592)*$C$157 ,0)</f>
        <v/>
      </c>
      <c r="K592" s="95">
        <f>IF(AND(SUMIFS($D$245:$D$595,$F$245:$F$595,0,$E$245:$E$595,$G592,$C$245:$C$595,"&lt;="&amp;I$5)&lt;1000000,SUMIFS($D$245:$D$595,$F$245:$F$595,0,$E$245:$E$595,$G592,$C$245:$C$595,"&lt;="&amp;K5)&gt;=1000000),SUMIFS($D$245:$D$595,$F$245:$F$595,0,$E$245:$E$595,$G592)*$C$157 ,0)</f>
        <v/>
      </c>
      <c r="M592" s="95">
        <f>IF(AND(SUMIFS($D$245:$D$595,$F$245:$F$595,0,$E$245:$E$595,$G592,$C$245:$C$595,"&lt;="&amp;K$5)&lt;1000000,SUMIFS($D$245:$D$595,$F$245:$F$595,0,$E$245:$E$595,$G592,$C$245:$C$595,"&lt;="&amp;M5)&gt;=1000000),SUMIFS($D$245:$D$595,$F$245:$F$595,0,$E$245:$E$595,$G592)*$C$157 ,0)</f>
        <v/>
      </c>
      <c r="O592" s="95">
        <f>IF(AND(SUMIFS($D$245:$D$595,$F$245:$F$595,0,$E$245:$E$595,$G592,$C$245:$C$595,"&lt;="&amp;M$5)&lt;1000000,SUMIFS($D$245:$D$595,$F$245:$F$595,0,$E$245:$E$595,$G592,$C$245:$C$595,"&lt;="&amp;O5)&gt;=1000000),SUMIFS($D$245:$D$595,$F$245:$F$595,0,$E$245:$E$595,$G592)*$C$157 ,0)</f>
        <v/>
      </c>
      <c r="Q592" s="95">
        <f>IF(AND(SUMIFS($D$245:$D$595,$F$245:$F$595,0,$E$245:$E$595,$G592,$C$245:$C$595,"&lt;="&amp;O$5)&lt;1000000,SUMIFS($D$245:$D$595,$F$245:$F$595,0,$E$245:$E$595,$G592,$C$245:$C$595,"&lt;="&amp;Q5)&gt;=1000000),SUMIFS($D$245:$D$595,$F$245:$F$595,0,$E$245:$E$595,$G592)*$C$157 ,0)</f>
        <v/>
      </c>
      <c r="S592" s="95">
        <f>IF(AND(SUMIFS($D$245:$D$595,$F$245:$F$595,0,$E$245:$E$595,$G592,$C$245:$C$595,"&lt;="&amp;Q$5)&lt;1000000,SUMIFS($D$245:$D$595,$F$245:$F$595,0,$E$245:$E$595,$G592,$C$245:$C$595,"&lt;="&amp;S5)&gt;=1000000),SUMIFS($D$245:$D$595,$F$245:$F$595,0,$E$245:$E$595,$G592)*$C$157 ,0)</f>
        <v/>
      </c>
      <c r="U592" s="95">
        <f>IF(AND(SUMIFS($D$245:$D$595,$F$245:$F$595,0,$E$245:$E$595,$G592,$C$245:$C$595,"&lt;="&amp;S$5)&lt;1000000,SUMIFS($D$245:$D$595,$F$245:$F$595,0,$E$245:$E$595,$G592,$C$245:$C$595,"&lt;="&amp;U5)&gt;=1000000),SUMIFS($D$245:$D$595,$F$245:$F$595,0,$E$245:$E$595,$G592)*$C$157 ,0)</f>
        <v/>
      </c>
      <c r="W592" s="95">
        <f>IF(AND(SUMIFS($D$245:$D$595,$F$245:$F$595,0,$E$245:$E$595,$G592,$C$245:$C$595,"&lt;="&amp;U$5)&lt;1000000,SUMIFS($D$245:$D$595,$F$245:$F$595,0,$E$245:$E$595,$G592,$C$245:$C$595,"&lt;="&amp;W5)&gt;=1000000),SUMIFS($D$245:$D$595,$F$245:$F$595,0,$E$245:$E$595,$G592)*$C$157 ,0)</f>
        <v/>
      </c>
      <c r="Y592" s="95">
        <f>IF(AND(SUMIFS($D$245:$D$595,$F$245:$F$595,0,$E$245:$E$595,$G592,$C$245:$C$595,"&lt;="&amp;W$5)&lt;1000000,SUMIFS($D$245:$D$595,$F$245:$F$595,0,$E$245:$E$595,$G592,$C$245:$C$595,"&lt;="&amp;Y5)&gt;=1000000),SUMIFS($D$245:$D$595,$F$245:$F$595,0,$E$245:$E$595,$G592)*$C$157 ,0)</f>
        <v/>
      </c>
      <c r="AA592" s="95">
        <f>IF(AND(SUMIFS($D$245:$D$595,$F$245:$F$595,0,$E$245:$E$595,$G592,$C$245:$C$595,"&lt;="&amp;Y$5)&lt;1000000,SUMIFS($D$245:$D$595,$F$245:$F$595,0,$E$245:$E$595,$G592,$C$245:$C$595,"&lt;="&amp;AA5)&gt;=1000000),SUMIFS($D$245:$D$595,$F$245:$F$595,0,$E$245:$E$595,$G592)*$C$157 ,0)</f>
        <v/>
      </c>
      <c r="AC592" s="95">
        <f>IF(AND(SUMIFS($D$245:$D$595,$F$245:$F$595,0,$E$245:$E$595,$G592,$C$245:$C$595,"&lt;="&amp;AA$5)&lt;1000000,SUMIFS($D$245:$D$595,$F$245:$F$595,0,$E$245:$E$595,$G592,$C$245:$C$595,"&lt;="&amp;AC5)&gt;=1000000),SUMIFS($D$245:$D$595,$F$245:$F$595,0,$E$245:$E$595,$G592)*$C$157 ,0)</f>
        <v/>
      </c>
      <c r="AE592" s="95">
        <f>IF(AND(SUMIFS($D$245:$D$595,$F$245:$F$595,0,$E$245:$E$595,$G592,$C$245:$C$595,"&lt;="&amp;AC$5)&lt;1000000,SUMIFS($D$245:$D$595,$F$245:$F$595,0,$E$245:$E$595,$G592,$C$245:$C$595,"&lt;="&amp;AE5)&gt;=1000000),SUMIFS($D$245:$D$595,$F$245:$F$595,0,$E$245:$E$595,$G592)*$C$157 ,0)</f>
        <v/>
      </c>
      <c r="AF592" s="19" t="n"/>
    </row>
    <row r="593">
      <c r="A593" s="20">
        <f>mid(E593, 3, 1)</f>
        <v/>
      </c>
      <c r="B593" s="14" t="inlineStr"/>
      <c r="C593" s="21">
        <f>SUMIFS('Investor Exit List'!$AC:$AC,'Investor Exit List'!$AB:$AB,B593)</f>
        <v/>
      </c>
      <c r="D593" s="14">
        <f>SUMIFS('Investor Exit List'!$Q:$Q,'Investor Exit List'!$AB:$AB,B593)</f>
        <v/>
      </c>
      <c r="E593" s="31">
        <f>LEFT(B593,6)</f>
        <v/>
      </c>
      <c r="F593" s="14">
        <f>IF(SUMIFS($E$119:$E$151,$D$119:$D$151,E593)&lt;&gt;0,E593,0)</f>
        <v/>
      </c>
      <c r="G593" s="59" t="n"/>
      <c r="I593" s="28">
        <f>IF(AND(SUMIFS($D$245:$D$595,$F$245:$F$595,0,$E$245:$E$595,$G593,$C$245:$C$595,"&lt;="&amp;B$2)&lt;1000000,SUMIFS($D$245:$D$595,$F$245:$F$595,0,$E$245:$E$595,$G593,$C$245:$C$595,"&lt;="&amp;I5)&gt;=1000000),SUMIFS($D$245:$D$595,$F$245:$F$595,0,$E$245:$E$595,$G593)*$C$157 ,0)</f>
        <v/>
      </c>
      <c r="K593" s="95">
        <f>IF(AND(SUMIFS($D$245:$D$595,$F$245:$F$595,0,$E$245:$E$595,$G593,$C$245:$C$595,"&lt;="&amp;I$5)&lt;1000000,SUMIFS($D$245:$D$595,$F$245:$F$595,0,$E$245:$E$595,$G593,$C$245:$C$595,"&lt;="&amp;K5)&gt;=1000000),SUMIFS($D$245:$D$595,$F$245:$F$595,0,$E$245:$E$595,$G593)*$C$157 ,0)</f>
        <v/>
      </c>
      <c r="M593" s="95">
        <f>IF(AND(SUMIFS($D$245:$D$595,$F$245:$F$595,0,$E$245:$E$595,$G593,$C$245:$C$595,"&lt;="&amp;K$5)&lt;1000000,SUMIFS($D$245:$D$595,$F$245:$F$595,0,$E$245:$E$595,$G593,$C$245:$C$595,"&lt;="&amp;M5)&gt;=1000000),SUMIFS($D$245:$D$595,$F$245:$F$595,0,$E$245:$E$595,$G593)*$C$157 ,0)</f>
        <v/>
      </c>
      <c r="O593" s="95">
        <f>IF(AND(SUMIFS($D$245:$D$595,$F$245:$F$595,0,$E$245:$E$595,$G593,$C$245:$C$595,"&lt;="&amp;M$5)&lt;1000000,SUMIFS($D$245:$D$595,$F$245:$F$595,0,$E$245:$E$595,$G593,$C$245:$C$595,"&lt;="&amp;O5)&gt;=1000000),SUMIFS($D$245:$D$595,$F$245:$F$595,0,$E$245:$E$595,$G593)*$C$157 ,0)</f>
        <v/>
      </c>
      <c r="Q593" s="95">
        <f>IF(AND(SUMIFS($D$245:$D$595,$F$245:$F$595,0,$E$245:$E$595,$G593,$C$245:$C$595,"&lt;="&amp;O$5)&lt;1000000,SUMIFS($D$245:$D$595,$F$245:$F$595,0,$E$245:$E$595,$G593,$C$245:$C$595,"&lt;="&amp;Q5)&gt;=1000000),SUMIFS($D$245:$D$595,$F$245:$F$595,0,$E$245:$E$595,$G593)*$C$157 ,0)</f>
        <v/>
      </c>
      <c r="S593" s="95">
        <f>IF(AND(SUMIFS($D$245:$D$595,$F$245:$F$595,0,$E$245:$E$595,$G593,$C$245:$C$595,"&lt;="&amp;Q$5)&lt;1000000,SUMIFS($D$245:$D$595,$F$245:$F$595,0,$E$245:$E$595,$G593,$C$245:$C$595,"&lt;="&amp;S5)&gt;=1000000),SUMIFS($D$245:$D$595,$F$245:$F$595,0,$E$245:$E$595,$G593)*$C$157 ,0)</f>
        <v/>
      </c>
      <c r="U593" s="95">
        <f>IF(AND(SUMIFS($D$245:$D$595,$F$245:$F$595,0,$E$245:$E$595,$G593,$C$245:$C$595,"&lt;="&amp;S$5)&lt;1000000,SUMIFS($D$245:$D$595,$F$245:$F$595,0,$E$245:$E$595,$G593,$C$245:$C$595,"&lt;="&amp;U5)&gt;=1000000),SUMIFS($D$245:$D$595,$F$245:$F$595,0,$E$245:$E$595,$G593)*$C$157 ,0)</f>
        <v/>
      </c>
      <c r="W593" s="95">
        <f>IF(AND(SUMIFS($D$245:$D$595,$F$245:$F$595,0,$E$245:$E$595,$G593,$C$245:$C$595,"&lt;="&amp;U$5)&lt;1000000,SUMIFS($D$245:$D$595,$F$245:$F$595,0,$E$245:$E$595,$G593,$C$245:$C$595,"&lt;="&amp;W5)&gt;=1000000),SUMIFS($D$245:$D$595,$F$245:$F$595,0,$E$245:$E$595,$G593)*$C$157 ,0)</f>
        <v/>
      </c>
      <c r="Y593" s="95">
        <f>IF(AND(SUMIFS($D$245:$D$595,$F$245:$F$595,0,$E$245:$E$595,$G593,$C$245:$C$595,"&lt;="&amp;W$5)&lt;1000000,SUMIFS($D$245:$D$595,$F$245:$F$595,0,$E$245:$E$595,$G593,$C$245:$C$595,"&lt;="&amp;Y5)&gt;=1000000),SUMIFS($D$245:$D$595,$F$245:$F$595,0,$E$245:$E$595,$G593)*$C$157 ,0)</f>
        <v/>
      </c>
      <c r="AA593" s="95">
        <f>IF(AND(SUMIFS($D$245:$D$595,$F$245:$F$595,0,$E$245:$E$595,$G593,$C$245:$C$595,"&lt;="&amp;Y$5)&lt;1000000,SUMIFS($D$245:$D$595,$F$245:$F$595,0,$E$245:$E$595,$G593,$C$245:$C$595,"&lt;="&amp;AA5)&gt;=1000000),SUMIFS($D$245:$D$595,$F$245:$F$595,0,$E$245:$E$595,$G593)*$C$157 ,0)</f>
        <v/>
      </c>
      <c r="AC593" s="95">
        <f>IF(AND(SUMIFS($D$245:$D$595,$F$245:$F$595,0,$E$245:$E$595,$G593,$C$245:$C$595,"&lt;="&amp;AA$5)&lt;1000000,SUMIFS($D$245:$D$595,$F$245:$F$595,0,$E$245:$E$595,$G593,$C$245:$C$595,"&lt;="&amp;AC5)&gt;=1000000),SUMIFS($D$245:$D$595,$F$245:$F$595,0,$E$245:$E$595,$G593)*$C$157 ,0)</f>
        <v/>
      </c>
      <c r="AE593" s="95">
        <f>IF(AND(SUMIFS($D$245:$D$595,$F$245:$F$595,0,$E$245:$E$595,$G593,$C$245:$C$595,"&lt;="&amp;AC$5)&lt;1000000,SUMIFS($D$245:$D$595,$F$245:$F$595,0,$E$245:$E$595,$G593,$C$245:$C$595,"&lt;="&amp;AE5)&gt;=1000000),SUMIFS($D$245:$D$595,$F$245:$F$595,0,$E$245:$E$595,$G593)*$C$157 ,0)</f>
        <v/>
      </c>
      <c r="AF593" s="19" t="n"/>
    </row>
    <row r="594">
      <c r="A594" s="20">
        <f>mid(E594, 3, 1)</f>
        <v/>
      </c>
      <c r="B594" s="14" t="inlineStr"/>
      <c r="C594" s="21">
        <f>SUMIFS('Investor Exit List'!$AC:$AC,'Investor Exit List'!$AB:$AB,B594)</f>
        <v/>
      </c>
      <c r="D594" s="14">
        <f>SUMIFS('Investor Exit List'!$Q:$Q,'Investor Exit List'!$AB:$AB,B594)</f>
        <v/>
      </c>
      <c r="E594" s="31">
        <f>LEFT(B594,6)</f>
        <v/>
      </c>
      <c r="F594" s="14">
        <f>IF(SUMIFS($E$119:$E$151,$D$119:$D$151,E594)&lt;&gt;0,E594,0)</f>
        <v/>
      </c>
      <c r="G594" s="59" t="n"/>
      <c r="I594" s="28">
        <f>IF(AND(SUMIFS($D$245:$D$595,$F$245:$F$595,0,$E$245:$E$595,$G594,$C$245:$C$595,"&lt;="&amp;B$2)&lt;1000000,SUMIFS($D$245:$D$595,$F$245:$F$595,0,$E$245:$E$595,$G594,$C$245:$C$595,"&lt;="&amp;I5)&gt;=1000000),SUMIFS($D$245:$D$595,$F$245:$F$595,0,$E$245:$E$595,$G594)*$C$157 ,0)</f>
        <v/>
      </c>
      <c r="K594" s="95">
        <f>IF(AND(SUMIFS($D$245:$D$595,$F$245:$F$595,0,$E$245:$E$595,$G594,$C$245:$C$595,"&lt;="&amp;I$5)&lt;1000000,SUMIFS($D$245:$D$595,$F$245:$F$595,0,$E$245:$E$595,$G594,$C$245:$C$595,"&lt;="&amp;K5)&gt;=1000000),SUMIFS($D$245:$D$595,$F$245:$F$595,0,$E$245:$E$595,$G594)*$C$157 ,0)</f>
        <v/>
      </c>
      <c r="M594" s="95">
        <f>IF(AND(SUMIFS($D$245:$D$595,$F$245:$F$595,0,$E$245:$E$595,$G594,$C$245:$C$595,"&lt;="&amp;K$5)&lt;1000000,SUMIFS($D$245:$D$595,$F$245:$F$595,0,$E$245:$E$595,$G594,$C$245:$C$595,"&lt;="&amp;M5)&gt;=1000000),SUMIFS($D$245:$D$595,$F$245:$F$595,0,$E$245:$E$595,$G594)*$C$157 ,0)</f>
        <v/>
      </c>
      <c r="O594" s="95">
        <f>IF(AND(SUMIFS($D$245:$D$595,$F$245:$F$595,0,$E$245:$E$595,$G594,$C$245:$C$595,"&lt;="&amp;M$5)&lt;1000000,SUMIFS($D$245:$D$595,$F$245:$F$595,0,$E$245:$E$595,$G594,$C$245:$C$595,"&lt;="&amp;O5)&gt;=1000000),SUMIFS($D$245:$D$595,$F$245:$F$595,0,$E$245:$E$595,$G594)*$C$157 ,0)</f>
        <v/>
      </c>
      <c r="Q594" s="95">
        <f>IF(AND(SUMIFS($D$245:$D$595,$F$245:$F$595,0,$E$245:$E$595,$G594,$C$245:$C$595,"&lt;="&amp;O$5)&lt;1000000,SUMIFS($D$245:$D$595,$F$245:$F$595,0,$E$245:$E$595,$G594,$C$245:$C$595,"&lt;="&amp;Q5)&gt;=1000000),SUMIFS($D$245:$D$595,$F$245:$F$595,0,$E$245:$E$595,$G594)*$C$157 ,0)</f>
        <v/>
      </c>
      <c r="S594" s="95">
        <f>IF(AND(SUMIFS($D$245:$D$595,$F$245:$F$595,0,$E$245:$E$595,$G594,$C$245:$C$595,"&lt;="&amp;Q$5)&lt;1000000,SUMIFS($D$245:$D$595,$F$245:$F$595,0,$E$245:$E$595,$G594,$C$245:$C$595,"&lt;="&amp;S5)&gt;=1000000),SUMIFS($D$245:$D$595,$F$245:$F$595,0,$E$245:$E$595,$G594)*$C$157 ,0)</f>
        <v/>
      </c>
      <c r="U594" s="95">
        <f>IF(AND(SUMIFS($D$245:$D$595,$F$245:$F$595,0,$E$245:$E$595,$G594,$C$245:$C$595,"&lt;="&amp;S$5)&lt;1000000,SUMIFS($D$245:$D$595,$F$245:$F$595,0,$E$245:$E$595,$G594,$C$245:$C$595,"&lt;="&amp;U5)&gt;=1000000),SUMIFS($D$245:$D$595,$F$245:$F$595,0,$E$245:$E$595,$G594)*$C$157 ,0)</f>
        <v/>
      </c>
      <c r="W594" s="95">
        <f>IF(AND(SUMIFS($D$245:$D$595,$F$245:$F$595,0,$E$245:$E$595,$G594,$C$245:$C$595,"&lt;="&amp;U$5)&lt;1000000,SUMIFS($D$245:$D$595,$F$245:$F$595,0,$E$245:$E$595,$G594,$C$245:$C$595,"&lt;="&amp;W5)&gt;=1000000),SUMIFS($D$245:$D$595,$F$245:$F$595,0,$E$245:$E$595,$G594)*$C$157 ,0)</f>
        <v/>
      </c>
      <c r="Y594" s="95">
        <f>IF(AND(SUMIFS($D$245:$D$595,$F$245:$F$595,0,$E$245:$E$595,$G594,$C$245:$C$595,"&lt;="&amp;W$5)&lt;1000000,SUMIFS($D$245:$D$595,$F$245:$F$595,0,$E$245:$E$595,$G594,$C$245:$C$595,"&lt;="&amp;Y5)&gt;=1000000),SUMIFS($D$245:$D$595,$F$245:$F$595,0,$E$245:$E$595,$G594)*$C$157 ,0)</f>
        <v/>
      </c>
      <c r="AA594" s="95">
        <f>IF(AND(SUMIFS($D$245:$D$595,$F$245:$F$595,0,$E$245:$E$595,$G594,$C$245:$C$595,"&lt;="&amp;Y$5)&lt;1000000,SUMIFS($D$245:$D$595,$F$245:$F$595,0,$E$245:$E$595,$G594,$C$245:$C$595,"&lt;="&amp;AA5)&gt;=1000000),SUMIFS($D$245:$D$595,$F$245:$F$595,0,$E$245:$E$595,$G594)*$C$157 ,0)</f>
        <v/>
      </c>
      <c r="AC594" s="95">
        <f>IF(AND(SUMIFS($D$245:$D$595,$F$245:$F$595,0,$E$245:$E$595,$G594,$C$245:$C$595,"&lt;="&amp;AA$5)&lt;1000000,SUMIFS($D$245:$D$595,$F$245:$F$595,0,$E$245:$E$595,$G594,$C$245:$C$595,"&lt;="&amp;AC5)&gt;=1000000),SUMIFS($D$245:$D$595,$F$245:$F$595,0,$E$245:$E$595,$G594)*$C$157 ,0)</f>
        <v/>
      </c>
      <c r="AE594" s="95">
        <f>IF(AND(SUMIFS($D$245:$D$595,$F$245:$F$595,0,$E$245:$E$595,$G594,$C$245:$C$595,"&lt;="&amp;AC$5)&lt;1000000,SUMIFS($D$245:$D$595,$F$245:$F$595,0,$E$245:$E$595,$G594,$C$245:$C$595,"&lt;="&amp;AE5)&gt;=1000000),SUMIFS($D$245:$D$595,$F$245:$F$595,0,$E$245:$E$595,$G594)*$C$157 ,0)</f>
        <v/>
      </c>
      <c r="AF594" s="19" t="n"/>
    </row>
    <row r="595">
      <c r="A595" s="20">
        <f>mid(E595, 3, 1)</f>
        <v/>
      </c>
      <c r="B595" s="14" t="inlineStr"/>
      <c r="C595" s="21">
        <f>SUMIFS('Investor Exit List'!$AC:$AC,'Investor Exit List'!$AB:$AB,B595)</f>
        <v/>
      </c>
      <c r="D595" s="14">
        <f>SUMIFS('Investor Exit List'!$Q:$Q,'Investor Exit List'!$AB:$AB,B595)</f>
        <v/>
      </c>
      <c r="E595" s="31">
        <f>LEFT(B595,6)</f>
        <v/>
      </c>
      <c r="F595" s="14">
        <f>IF(SUMIFS($E$119:$E$151,$D$119:$D$151,E595)&lt;&gt;0,E595,0)</f>
        <v/>
      </c>
      <c r="G595" s="59" t="n"/>
      <c r="I595" s="28">
        <f>IF(AND(SUMIFS($D$245:$D$595,$F$245:$F$595,0,$E$245:$E$595,$G595,$C$245:$C$595,"&lt;="&amp;B$2)&lt;1000000,SUMIFS($D$245:$D$595,$F$245:$F$595,0,$E$245:$E$595,$G595,$C$245:$C$595,"&lt;="&amp;I5)&gt;=1000000),SUMIFS($D$245:$D$595,$F$245:$F$595,0,$E$245:$E$595,$G595)*$C$157 ,0)</f>
        <v/>
      </c>
      <c r="K595" s="95">
        <f>IF(AND(SUMIFS($D$245:$D$595,$F$245:$F$595,0,$E$245:$E$595,$G595,$C$245:$C$595,"&lt;="&amp;I$5)&lt;1000000,SUMIFS($D$245:$D$595,$F$245:$F$595,0,$E$245:$E$595,$G595,$C$245:$C$595,"&lt;="&amp;K5)&gt;=1000000),SUMIFS($D$245:$D$595,$F$245:$F$595,0,$E$245:$E$595,$G595)*$C$157 ,0)</f>
        <v/>
      </c>
      <c r="M595" s="95">
        <f>IF(AND(SUMIFS($D$245:$D$595,$F$245:$F$595,0,$E$245:$E$595,$G595,$C$245:$C$595,"&lt;="&amp;K$5)&lt;1000000,SUMIFS($D$245:$D$595,$F$245:$F$595,0,$E$245:$E$595,$G595,$C$245:$C$595,"&lt;="&amp;M5)&gt;=1000000),SUMIFS($D$245:$D$595,$F$245:$F$595,0,$E$245:$E$595,$G595)*$C$157 ,0)</f>
        <v/>
      </c>
      <c r="O595" s="95">
        <f>IF(AND(SUMIFS($D$245:$D$595,$F$245:$F$595,0,$E$245:$E$595,$G595,$C$245:$C$595,"&lt;="&amp;M$5)&lt;1000000,SUMIFS($D$245:$D$595,$F$245:$F$595,0,$E$245:$E$595,$G595,$C$245:$C$595,"&lt;="&amp;O5)&gt;=1000000),SUMIFS($D$245:$D$595,$F$245:$F$595,0,$E$245:$E$595,$G595)*$C$157 ,0)</f>
        <v/>
      </c>
      <c r="Q595" s="95">
        <f>IF(AND(SUMIFS($D$245:$D$595,$F$245:$F$595,0,$E$245:$E$595,$G595,$C$245:$C$595,"&lt;="&amp;O$5)&lt;1000000,SUMIFS($D$245:$D$595,$F$245:$F$595,0,$E$245:$E$595,$G595,$C$245:$C$595,"&lt;="&amp;Q5)&gt;=1000000),SUMIFS($D$245:$D$595,$F$245:$F$595,0,$E$245:$E$595,$G595)*$C$157 ,0)</f>
        <v/>
      </c>
      <c r="S595" s="95">
        <f>IF(AND(SUMIFS($D$245:$D$595,$F$245:$F$595,0,$E$245:$E$595,$G595,$C$245:$C$595,"&lt;="&amp;Q$5)&lt;1000000,SUMIFS($D$245:$D$595,$F$245:$F$595,0,$E$245:$E$595,$G595,$C$245:$C$595,"&lt;="&amp;S5)&gt;=1000000),SUMIFS($D$245:$D$595,$F$245:$F$595,0,$E$245:$E$595,$G595)*$C$157 ,0)</f>
        <v/>
      </c>
      <c r="U595" s="95">
        <f>IF(AND(SUMIFS($D$245:$D$595,$F$245:$F$595,0,$E$245:$E$595,$G595,$C$245:$C$595,"&lt;="&amp;S$5)&lt;1000000,SUMIFS($D$245:$D$595,$F$245:$F$595,0,$E$245:$E$595,$G595,$C$245:$C$595,"&lt;="&amp;U5)&gt;=1000000),SUMIFS($D$245:$D$595,$F$245:$F$595,0,$E$245:$E$595,$G595)*$C$157 ,0)</f>
        <v/>
      </c>
      <c r="W595" s="95">
        <f>IF(AND(SUMIFS($D$245:$D$595,$F$245:$F$595,0,$E$245:$E$595,$G595,$C$245:$C$595,"&lt;="&amp;U$5)&lt;1000000,SUMIFS($D$245:$D$595,$F$245:$F$595,0,$E$245:$E$595,$G595,$C$245:$C$595,"&lt;="&amp;W5)&gt;=1000000),SUMIFS($D$245:$D$595,$F$245:$F$595,0,$E$245:$E$595,$G595)*$C$157 ,0)</f>
        <v/>
      </c>
      <c r="Y595" s="95">
        <f>IF(AND(SUMIFS($D$245:$D$595,$F$245:$F$595,0,$E$245:$E$595,$G595,$C$245:$C$595,"&lt;="&amp;W$5)&lt;1000000,SUMIFS($D$245:$D$595,$F$245:$F$595,0,$E$245:$E$595,$G595,$C$245:$C$595,"&lt;="&amp;Y5)&gt;=1000000),SUMIFS($D$245:$D$595,$F$245:$F$595,0,$E$245:$E$595,$G595)*$C$157 ,0)</f>
        <v/>
      </c>
      <c r="AA595" s="95">
        <f>IF(AND(SUMIFS($D$245:$D$595,$F$245:$F$595,0,$E$245:$E$595,$G595,$C$245:$C$595,"&lt;="&amp;Y$5)&lt;1000000,SUMIFS($D$245:$D$595,$F$245:$F$595,0,$E$245:$E$595,$G595,$C$245:$C$595,"&lt;="&amp;AA5)&gt;=1000000),SUMIFS($D$245:$D$595,$F$245:$F$595,0,$E$245:$E$595,$G595)*$C$157 ,0)</f>
        <v/>
      </c>
      <c r="AC595" s="95">
        <f>IF(AND(SUMIFS($D$245:$D$595,$F$245:$F$595,0,$E$245:$E$595,$G595,$C$245:$C$595,"&lt;="&amp;AA$5)&lt;1000000,SUMIFS($D$245:$D$595,$F$245:$F$595,0,$E$245:$E$595,$G595,$C$245:$C$595,"&lt;="&amp;AC5)&gt;=1000000),SUMIFS($D$245:$D$595,$F$245:$F$595,0,$E$245:$E$595,$G595)*$C$157 ,0)</f>
        <v/>
      </c>
      <c r="AE595" s="95">
        <f>IF(AND(SUMIFS($D$245:$D$595,$F$245:$F$595,0,$E$245:$E$595,$G595,$C$245:$C$595,"&lt;="&amp;AC$5)&lt;1000000,SUMIFS($D$245:$D$595,$F$245:$F$595,0,$E$245:$E$595,$G595,$C$245:$C$595,"&lt;="&amp;AE5)&gt;=1000000),SUMIFS($D$245:$D$595,$F$245:$F$595,0,$E$245:$E$595,$G595)*$C$157 ,0)</f>
        <v/>
      </c>
      <c r="AF595" s="19" t="n"/>
    </row>
    <row r="596">
      <c r="A596" s="18" t="n"/>
      <c r="AF596" s="19" t="n"/>
    </row>
    <row r="597">
      <c r="A597" s="18" t="n"/>
      <c r="AF597" s="19" t="n"/>
    </row>
    <row r="598">
      <c r="A598" s="96" t="n"/>
      <c r="B598" s="97" t="n"/>
      <c r="C598" s="97" t="n"/>
      <c r="D598" s="97" t="n"/>
      <c r="E598" s="97" t="n"/>
      <c r="F598" s="97" t="n"/>
      <c r="G598" s="97" t="n"/>
      <c r="H598" s="97" t="n"/>
      <c r="I598" s="97" t="n"/>
      <c r="J598" s="97" t="n"/>
      <c r="K598" s="97" t="n"/>
      <c r="L598" s="97" t="n"/>
      <c r="M598" s="97" t="n"/>
      <c r="N598" s="97" t="n"/>
      <c r="O598" s="97" t="n"/>
      <c r="P598" s="97" t="n"/>
      <c r="Q598" s="97" t="n"/>
      <c r="R598" s="97" t="n"/>
      <c r="S598" s="97" t="n"/>
      <c r="T598" s="97" t="n"/>
      <c r="U598" s="97" t="n"/>
      <c r="V598" s="97" t="n"/>
      <c r="W598" s="97" t="n"/>
      <c r="X598" s="97" t="n"/>
      <c r="Y598" s="97" t="n"/>
      <c r="Z598" s="97" t="n"/>
      <c r="AA598" s="97" t="n"/>
      <c r="AB598" s="97" t="n"/>
      <c r="AC598" s="97" t="n"/>
      <c r="AD598" s="97" t="n"/>
      <c r="AE598" s="97" t="n"/>
      <c r="AF598" s="98" t="n"/>
    </row>
  </sheetData>
  <autoFilter ref="A244:E595"/>
  <mergeCells count="3">
    <mergeCell ref="A1:B1"/>
    <mergeCell ref="A3:AF3"/>
    <mergeCell ref="A63:B63"/>
  </mergeCells>
  <conditionalFormatting sqref="D66">
    <cfRule type="cellIs" priority="1" operator="lessThan" dxfId="0">
      <formula>0</formula>
    </cfRule>
    <cfRule type="cellIs" priority="2" operator="greaterThan" dxfId="1">
      <formula>0</formula>
    </cfRule>
    <cfRule type="cellIs" priority="3" operator="equal" dxfId="2">
      <formula>0</formula>
    </cfRule>
  </conditionalFormatting>
  <conditionalFormatting sqref="D68">
    <cfRule type="cellIs" priority="4" operator="lessThan" dxfId="0">
      <formula>0</formula>
    </cfRule>
    <cfRule type="cellIs" priority="5" operator="greaterThan" dxfId="1">
      <formula>0</formula>
    </cfRule>
    <cfRule type="cellIs" priority="6" operator="equal" dxfId="2">
      <formula>0</formula>
    </cfRule>
  </conditionalFormatting>
  <conditionalFormatting sqref="D70">
    <cfRule type="cellIs" priority="7" operator="lessThan" dxfId="0">
      <formula>0</formula>
    </cfRule>
    <cfRule type="cellIs" priority="8" operator="greaterThan" dxfId="1">
      <formula>0</formula>
    </cfRule>
    <cfRule type="cellIs" priority="9" operator="equal" dxfId="2">
      <formula>0</formula>
    </cfRule>
  </conditionalFormatting>
  <conditionalFormatting sqref="D72">
    <cfRule type="cellIs" priority="10" operator="lessThan" dxfId="0">
      <formula>0</formula>
    </cfRule>
    <cfRule type="cellIs" priority="11" operator="greaterThan" dxfId="1">
      <formula>0</formula>
    </cfRule>
    <cfRule type="cellIs" priority="12" operator="equal" dxfId="2">
      <formula>0</formula>
    </cfRule>
  </conditionalFormatting>
  <conditionalFormatting sqref="D74">
    <cfRule type="cellIs" priority="13" operator="lessThan" dxfId="0">
      <formula>0</formula>
    </cfRule>
    <cfRule type="cellIs" priority="14" operator="greaterThan" dxfId="1">
      <formula>0</formula>
    </cfRule>
    <cfRule type="cellIs" priority="15" operator="equal" dxfId="2">
      <formula>0</formula>
    </cfRule>
  </conditionalFormatting>
  <conditionalFormatting sqref="AF101">
    <cfRule type="cellIs" priority="16" operator="lessThan" dxfId="0">
      <formula>0</formula>
    </cfRule>
    <cfRule type="cellIs" priority="17" operator="greaterThan" dxfId="1">
      <formula>0</formula>
    </cfRule>
    <cfRule type="cellIs" priority="18" operator="equal" dxfId="2">
      <formula>0</formula>
    </cfRule>
  </conditionalFormatting>
  <conditionalFormatting sqref="H101">
    <cfRule type="cellIs" priority="19" operator="lessThan" dxfId="0">
      <formula>0</formula>
    </cfRule>
    <cfRule type="cellIs" priority="20" operator="greaterThan" dxfId="1">
      <formula>0</formula>
    </cfRule>
    <cfRule type="cellIs" priority="21" operator="equal" dxfId="2">
      <formula>0</formula>
    </cfRule>
    <cfRule type="cellIs" priority="148" operator="lessThan" dxfId="0">
      <formula>0</formula>
    </cfRule>
    <cfRule type="cellIs" priority="149" operator="greaterThan" dxfId="1">
      <formula>0</formula>
    </cfRule>
    <cfRule type="cellIs" priority="150" operator="equal" dxfId="2">
      <formula>0</formula>
    </cfRule>
    <cfRule type="cellIs" priority="262" operator="lessThan" dxfId="0">
      <formula>0</formula>
    </cfRule>
    <cfRule type="cellIs" priority="263" operator="greaterThan" dxfId="1">
      <formula>0</formula>
    </cfRule>
    <cfRule type="cellIs" priority="264" operator="equal" dxfId="2">
      <formula>0</formula>
    </cfRule>
    <cfRule type="cellIs" priority="391" operator="lessThan" dxfId="0">
      <formula>0</formula>
    </cfRule>
    <cfRule type="cellIs" priority="392" operator="greaterThan" dxfId="1">
      <formula>0</formula>
    </cfRule>
    <cfRule type="cellIs" priority="393" operator="equal" dxfId="2">
      <formula>0</formula>
    </cfRule>
    <cfRule type="cellIs" priority="505" operator="lessThan" dxfId="0">
      <formula>0</formula>
    </cfRule>
    <cfRule type="cellIs" priority="506" operator="greaterThan" dxfId="1">
      <formula>0</formula>
    </cfRule>
    <cfRule type="cellIs" priority="507" operator="equal" dxfId="2">
      <formula>0</formula>
    </cfRule>
    <cfRule type="cellIs" priority="634" operator="lessThan" dxfId="0">
      <formula>0</formula>
    </cfRule>
    <cfRule type="cellIs" priority="635" operator="greaterThan" dxfId="1">
      <formula>0</formula>
    </cfRule>
    <cfRule type="cellIs" priority="636" operator="equal" dxfId="2">
      <formula>0</formula>
    </cfRule>
    <cfRule type="cellIs" priority="748" operator="lessThan" dxfId="0">
      <formula>0</formula>
    </cfRule>
    <cfRule type="cellIs" priority="749" operator="greaterThan" dxfId="1">
      <formula>0</formula>
    </cfRule>
    <cfRule type="cellIs" priority="750" operator="equal" dxfId="2">
      <formula>0</formula>
    </cfRule>
    <cfRule type="cellIs" priority="877" operator="lessThan" dxfId="0">
      <formula>0</formula>
    </cfRule>
    <cfRule type="cellIs" priority="878" operator="greaterThan" dxfId="1">
      <formula>0</formula>
    </cfRule>
    <cfRule type="cellIs" priority="879" operator="equal" dxfId="2">
      <formula>0</formula>
    </cfRule>
    <cfRule type="cellIs" priority="991" operator="lessThan" dxfId="0">
      <formula>0</formula>
    </cfRule>
    <cfRule type="cellIs" priority="992" operator="greaterThan" dxfId="1">
      <formula>0</formula>
    </cfRule>
    <cfRule type="cellIs" priority="993" operator="equal" dxfId="2">
      <formula>0</formula>
    </cfRule>
    <cfRule type="cellIs" priority="1120" operator="lessThan" dxfId="0">
      <formula>0</formula>
    </cfRule>
    <cfRule type="cellIs" priority="1121" operator="greaterThan" dxfId="1">
      <formula>0</formula>
    </cfRule>
    <cfRule type="cellIs" priority="1122" operator="equal" dxfId="2">
      <formula>0</formula>
    </cfRule>
    <cfRule type="cellIs" priority="1234" operator="lessThan" dxfId="0">
      <formula>0</formula>
    </cfRule>
    <cfRule type="cellIs" priority="1235" operator="greaterThan" dxfId="1">
      <formula>0</formula>
    </cfRule>
    <cfRule type="cellIs" priority="1236" operator="equal" dxfId="2">
      <formula>0</formula>
    </cfRule>
    <cfRule type="cellIs" priority="1363" operator="lessThan" dxfId="0">
      <formula>0</formula>
    </cfRule>
    <cfRule type="cellIs" priority="1364" operator="greaterThan" dxfId="1">
      <formula>0</formula>
    </cfRule>
    <cfRule type="cellIs" priority="1365" operator="equal" dxfId="2">
      <formula>0</formula>
    </cfRule>
    <cfRule type="cellIs" priority="1477" operator="lessThan" dxfId="0">
      <formula>0</formula>
    </cfRule>
    <cfRule type="cellIs" priority="1478" operator="greaterThan" dxfId="1">
      <formula>0</formula>
    </cfRule>
    <cfRule type="cellIs" priority="1479" operator="equal" dxfId="2">
      <formula>0</formula>
    </cfRule>
    <cfRule type="cellIs" priority="1606" operator="lessThan" dxfId="0">
      <formula>0</formula>
    </cfRule>
    <cfRule type="cellIs" priority="1607" operator="greaterThan" dxfId="1">
      <formula>0</formula>
    </cfRule>
    <cfRule type="cellIs" priority="1608" operator="equal" dxfId="2">
      <formula>0</formula>
    </cfRule>
    <cfRule type="cellIs" priority="1720" operator="lessThan" dxfId="0">
      <formula>0</formula>
    </cfRule>
    <cfRule type="cellIs" priority="1721" operator="greaterThan" dxfId="1">
      <formula>0</formula>
    </cfRule>
    <cfRule type="cellIs" priority="1722" operator="equal" dxfId="2">
      <formula>0</formula>
    </cfRule>
    <cfRule type="cellIs" priority="1849" operator="lessThan" dxfId="0">
      <formula>0</formula>
    </cfRule>
    <cfRule type="cellIs" priority="1850" operator="greaterThan" dxfId="1">
      <formula>0</formula>
    </cfRule>
    <cfRule type="cellIs" priority="1851" operator="equal" dxfId="2">
      <formula>0</formula>
    </cfRule>
    <cfRule type="cellIs" priority="1963" operator="lessThan" dxfId="0">
      <formula>0</formula>
    </cfRule>
    <cfRule type="cellIs" priority="1964" operator="greaterThan" dxfId="1">
      <formula>0</formula>
    </cfRule>
    <cfRule type="cellIs" priority="1965" operator="equal" dxfId="2">
      <formula>0</formula>
    </cfRule>
    <cfRule type="cellIs" priority="2092" operator="lessThan" dxfId="0">
      <formula>0</formula>
    </cfRule>
    <cfRule type="cellIs" priority="2093" operator="greaterThan" dxfId="1">
      <formula>0</formula>
    </cfRule>
    <cfRule type="cellIs" priority="2094" operator="equal" dxfId="2">
      <formula>0</formula>
    </cfRule>
    <cfRule type="cellIs" priority="2206" operator="lessThan" dxfId="0">
      <formula>0</formula>
    </cfRule>
    <cfRule type="cellIs" priority="2207" operator="greaterThan" dxfId="1">
      <formula>0</formula>
    </cfRule>
    <cfRule type="cellIs" priority="2208" operator="equal" dxfId="2">
      <formula>0</formula>
    </cfRule>
    <cfRule type="cellIs" priority="2335" operator="lessThan" dxfId="0">
      <formula>0</formula>
    </cfRule>
    <cfRule type="cellIs" priority="2336" operator="greaterThan" dxfId="1">
      <formula>0</formula>
    </cfRule>
    <cfRule type="cellIs" priority="2337" operator="equal" dxfId="2">
      <formula>0</formula>
    </cfRule>
    <cfRule type="cellIs" priority="2449" operator="lessThan" dxfId="0">
      <formula>0</formula>
    </cfRule>
    <cfRule type="cellIs" priority="2450" operator="greaterThan" dxfId="1">
      <formula>0</formula>
    </cfRule>
    <cfRule type="cellIs" priority="2451" operator="equal" dxfId="2">
      <formula>0</formula>
    </cfRule>
    <cfRule type="cellIs" priority="2578" operator="lessThan" dxfId="0">
      <formula>0</formula>
    </cfRule>
    <cfRule type="cellIs" priority="2579" operator="greaterThan" dxfId="1">
      <formula>0</formula>
    </cfRule>
    <cfRule type="cellIs" priority="2580" operator="equal" dxfId="2">
      <formula>0</formula>
    </cfRule>
    <cfRule type="cellIs" priority="2692" operator="lessThan" dxfId="0">
      <formula>0</formula>
    </cfRule>
    <cfRule type="cellIs" priority="2693" operator="greaterThan" dxfId="1">
      <formula>0</formula>
    </cfRule>
    <cfRule type="cellIs" priority="2694" operator="equal" dxfId="2">
      <formula>0</formula>
    </cfRule>
    <cfRule type="cellIs" priority="2821" operator="lessThan" dxfId="0">
      <formula>0</formula>
    </cfRule>
    <cfRule type="cellIs" priority="2822" operator="greaterThan" dxfId="1">
      <formula>0</formula>
    </cfRule>
    <cfRule type="cellIs" priority="2823" operator="equal" dxfId="2">
      <formula>0</formula>
    </cfRule>
  </conditionalFormatting>
  <conditionalFormatting sqref="AF105">
    <cfRule type="cellIs" priority="22" operator="lessThan" dxfId="0">
      <formula>0</formula>
    </cfRule>
    <cfRule type="cellIs" priority="23" operator="greaterThan" dxfId="1">
      <formula>0</formula>
    </cfRule>
    <cfRule type="cellIs" priority="24" operator="equal" dxfId="2">
      <formula>0</formula>
    </cfRule>
  </conditionalFormatting>
  <conditionalFormatting sqref="H105">
    <cfRule type="cellIs" priority="25" operator="lessThan" dxfId="0">
      <formula>0</formula>
    </cfRule>
    <cfRule type="cellIs" priority="26" operator="greaterThan" dxfId="1">
      <formula>0</formula>
    </cfRule>
    <cfRule type="cellIs" priority="27" operator="equal" dxfId="2">
      <formula>0</formula>
    </cfRule>
    <cfRule type="cellIs" priority="154" operator="lessThan" dxfId="0">
      <formula>0</formula>
    </cfRule>
    <cfRule type="cellIs" priority="155" operator="greaterThan" dxfId="1">
      <formula>0</formula>
    </cfRule>
    <cfRule type="cellIs" priority="156" operator="equal" dxfId="2">
      <formula>0</formula>
    </cfRule>
    <cfRule type="cellIs" priority="268" operator="lessThan" dxfId="0">
      <formula>0</formula>
    </cfRule>
    <cfRule type="cellIs" priority="269" operator="greaterThan" dxfId="1">
      <formula>0</formula>
    </cfRule>
    <cfRule type="cellIs" priority="270" operator="equal" dxfId="2">
      <formula>0</formula>
    </cfRule>
    <cfRule type="cellIs" priority="397" operator="lessThan" dxfId="0">
      <formula>0</formula>
    </cfRule>
    <cfRule type="cellIs" priority="398" operator="greaterThan" dxfId="1">
      <formula>0</formula>
    </cfRule>
    <cfRule type="cellIs" priority="399" operator="equal" dxfId="2">
      <formula>0</formula>
    </cfRule>
    <cfRule type="cellIs" priority="511" operator="lessThan" dxfId="0">
      <formula>0</formula>
    </cfRule>
    <cfRule type="cellIs" priority="512" operator="greaterThan" dxfId="1">
      <formula>0</formula>
    </cfRule>
    <cfRule type="cellIs" priority="513" operator="equal" dxfId="2">
      <formula>0</formula>
    </cfRule>
    <cfRule type="cellIs" priority="640" operator="lessThan" dxfId="0">
      <formula>0</formula>
    </cfRule>
    <cfRule type="cellIs" priority="641" operator="greaterThan" dxfId="1">
      <formula>0</formula>
    </cfRule>
    <cfRule type="cellIs" priority="642" operator="equal" dxfId="2">
      <formula>0</formula>
    </cfRule>
    <cfRule type="cellIs" priority="754" operator="lessThan" dxfId="0">
      <formula>0</formula>
    </cfRule>
    <cfRule type="cellIs" priority="755" operator="greaterThan" dxfId="1">
      <formula>0</formula>
    </cfRule>
    <cfRule type="cellIs" priority="756" operator="equal" dxfId="2">
      <formula>0</formula>
    </cfRule>
    <cfRule type="cellIs" priority="883" operator="lessThan" dxfId="0">
      <formula>0</formula>
    </cfRule>
    <cfRule type="cellIs" priority="884" operator="greaterThan" dxfId="1">
      <formula>0</formula>
    </cfRule>
    <cfRule type="cellIs" priority="885" operator="equal" dxfId="2">
      <formula>0</formula>
    </cfRule>
    <cfRule type="cellIs" priority="997" operator="lessThan" dxfId="0">
      <formula>0</formula>
    </cfRule>
    <cfRule type="cellIs" priority="998" operator="greaterThan" dxfId="1">
      <formula>0</formula>
    </cfRule>
    <cfRule type="cellIs" priority="999" operator="equal" dxfId="2">
      <formula>0</formula>
    </cfRule>
    <cfRule type="cellIs" priority="1126" operator="lessThan" dxfId="0">
      <formula>0</formula>
    </cfRule>
    <cfRule type="cellIs" priority="1127" operator="greaterThan" dxfId="1">
      <formula>0</formula>
    </cfRule>
    <cfRule type="cellIs" priority="1128" operator="equal" dxfId="2">
      <formula>0</formula>
    </cfRule>
    <cfRule type="cellIs" priority="1240" operator="lessThan" dxfId="0">
      <formula>0</formula>
    </cfRule>
    <cfRule type="cellIs" priority="1241" operator="greaterThan" dxfId="1">
      <formula>0</formula>
    </cfRule>
    <cfRule type="cellIs" priority="1242" operator="equal" dxfId="2">
      <formula>0</formula>
    </cfRule>
    <cfRule type="cellIs" priority="1369" operator="lessThan" dxfId="0">
      <formula>0</formula>
    </cfRule>
    <cfRule type="cellIs" priority="1370" operator="greaterThan" dxfId="1">
      <formula>0</formula>
    </cfRule>
    <cfRule type="cellIs" priority="1371" operator="equal" dxfId="2">
      <formula>0</formula>
    </cfRule>
    <cfRule type="cellIs" priority="1483" operator="lessThan" dxfId="0">
      <formula>0</formula>
    </cfRule>
    <cfRule type="cellIs" priority="1484" operator="greaterThan" dxfId="1">
      <formula>0</formula>
    </cfRule>
    <cfRule type="cellIs" priority="1485" operator="equal" dxfId="2">
      <formula>0</formula>
    </cfRule>
    <cfRule type="cellIs" priority="1612" operator="lessThan" dxfId="0">
      <formula>0</formula>
    </cfRule>
    <cfRule type="cellIs" priority="1613" operator="greaterThan" dxfId="1">
      <formula>0</formula>
    </cfRule>
    <cfRule type="cellIs" priority="1614" operator="equal" dxfId="2">
      <formula>0</formula>
    </cfRule>
    <cfRule type="cellIs" priority="1726" operator="lessThan" dxfId="0">
      <formula>0</formula>
    </cfRule>
    <cfRule type="cellIs" priority="1727" operator="greaterThan" dxfId="1">
      <formula>0</formula>
    </cfRule>
    <cfRule type="cellIs" priority="1728" operator="equal" dxfId="2">
      <formula>0</formula>
    </cfRule>
    <cfRule type="cellIs" priority="1855" operator="lessThan" dxfId="0">
      <formula>0</formula>
    </cfRule>
    <cfRule type="cellIs" priority="1856" operator="greaterThan" dxfId="1">
      <formula>0</formula>
    </cfRule>
    <cfRule type="cellIs" priority="1857" operator="equal" dxfId="2">
      <formula>0</formula>
    </cfRule>
    <cfRule type="cellIs" priority="1969" operator="lessThan" dxfId="0">
      <formula>0</formula>
    </cfRule>
    <cfRule type="cellIs" priority="1970" operator="greaterThan" dxfId="1">
      <formula>0</formula>
    </cfRule>
    <cfRule type="cellIs" priority="1971" operator="equal" dxfId="2">
      <formula>0</formula>
    </cfRule>
    <cfRule type="cellIs" priority="2098" operator="lessThan" dxfId="0">
      <formula>0</formula>
    </cfRule>
    <cfRule type="cellIs" priority="2099" operator="greaterThan" dxfId="1">
      <formula>0</formula>
    </cfRule>
    <cfRule type="cellIs" priority="2100" operator="equal" dxfId="2">
      <formula>0</formula>
    </cfRule>
    <cfRule type="cellIs" priority="2212" operator="lessThan" dxfId="0">
      <formula>0</formula>
    </cfRule>
    <cfRule type="cellIs" priority="2213" operator="greaterThan" dxfId="1">
      <formula>0</formula>
    </cfRule>
    <cfRule type="cellIs" priority="2214" operator="equal" dxfId="2">
      <formula>0</formula>
    </cfRule>
    <cfRule type="cellIs" priority="2341" operator="lessThan" dxfId="0">
      <formula>0</formula>
    </cfRule>
    <cfRule type="cellIs" priority="2342" operator="greaterThan" dxfId="1">
      <formula>0</formula>
    </cfRule>
    <cfRule type="cellIs" priority="2343" operator="equal" dxfId="2">
      <formula>0</formula>
    </cfRule>
    <cfRule type="cellIs" priority="2455" operator="lessThan" dxfId="0">
      <formula>0</formula>
    </cfRule>
    <cfRule type="cellIs" priority="2456" operator="greaterThan" dxfId="1">
      <formula>0</formula>
    </cfRule>
    <cfRule type="cellIs" priority="2457" operator="equal" dxfId="2">
      <formula>0</formula>
    </cfRule>
    <cfRule type="cellIs" priority="2584" operator="lessThan" dxfId="0">
      <formula>0</formula>
    </cfRule>
    <cfRule type="cellIs" priority="2585" operator="greaterThan" dxfId="1">
      <formula>0</formula>
    </cfRule>
    <cfRule type="cellIs" priority="2586" operator="equal" dxfId="2">
      <formula>0</formula>
    </cfRule>
    <cfRule type="cellIs" priority="2698" operator="lessThan" dxfId="0">
      <formula>0</formula>
    </cfRule>
    <cfRule type="cellIs" priority="2699" operator="greaterThan" dxfId="1">
      <formula>0</formula>
    </cfRule>
    <cfRule type="cellIs" priority="2700" operator="equal" dxfId="2">
      <formula>0</formula>
    </cfRule>
    <cfRule type="cellIs" priority="2827" operator="lessThan" dxfId="0">
      <formula>0</formula>
    </cfRule>
    <cfRule type="cellIs" priority="2828" operator="greaterThan" dxfId="1">
      <formula>0</formula>
    </cfRule>
    <cfRule type="cellIs" priority="2829" operator="equal" dxfId="2">
      <formula>0</formula>
    </cfRule>
  </conditionalFormatting>
  <conditionalFormatting sqref="AF106">
    <cfRule type="cellIs" priority="28" operator="lessThan" dxfId="0">
      <formula>0</formula>
    </cfRule>
    <cfRule type="cellIs" priority="29" operator="greaterThan" dxfId="1">
      <formula>0</formula>
    </cfRule>
    <cfRule type="cellIs" priority="30" operator="equal" dxfId="2">
      <formula>0</formula>
    </cfRule>
  </conditionalFormatting>
  <conditionalFormatting sqref="H106">
    <cfRule type="cellIs" priority="31" operator="lessThan" dxfId="0">
      <formula>0</formula>
    </cfRule>
    <cfRule type="cellIs" priority="32" operator="greaterThan" dxfId="1">
      <formula>0</formula>
    </cfRule>
    <cfRule type="cellIs" priority="33" operator="equal" dxfId="2">
      <formula>0</formula>
    </cfRule>
    <cfRule type="cellIs" priority="160" operator="lessThan" dxfId="0">
      <formula>0</formula>
    </cfRule>
    <cfRule type="cellIs" priority="161" operator="greaterThan" dxfId="1">
      <formula>0</formula>
    </cfRule>
    <cfRule type="cellIs" priority="162" operator="equal" dxfId="2">
      <formula>0</formula>
    </cfRule>
    <cfRule type="cellIs" priority="274" operator="lessThan" dxfId="0">
      <formula>0</formula>
    </cfRule>
    <cfRule type="cellIs" priority="275" operator="greaterThan" dxfId="1">
      <formula>0</formula>
    </cfRule>
    <cfRule type="cellIs" priority="276" operator="equal" dxfId="2">
      <formula>0</formula>
    </cfRule>
    <cfRule type="cellIs" priority="403" operator="lessThan" dxfId="0">
      <formula>0</formula>
    </cfRule>
    <cfRule type="cellIs" priority="404" operator="greaterThan" dxfId="1">
      <formula>0</formula>
    </cfRule>
    <cfRule type="cellIs" priority="405" operator="equal" dxfId="2">
      <formula>0</formula>
    </cfRule>
    <cfRule type="cellIs" priority="517" operator="lessThan" dxfId="0">
      <formula>0</formula>
    </cfRule>
    <cfRule type="cellIs" priority="518" operator="greaterThan" dxfId="1">
      <formula>0</formula>
    </cfRule>
    <cfRule type="cellIs" priority="519" operator="equal" dxfId="2">
      <formula>0</formula>
    </cfRule>
    <cfRule type="cellIs" priority="646" operator="lessThan" dxfId="0">
      <formula>0</formula>
    </cfRule>
    <cfRule type="cellIs" priority="647" operator="greaterThan" dxfId="1">
      <formula>0</formula>
    </cfRule>
    <cfRule type="cellIs" priority="648" operator="equal" dxfId="2">
      <formula>0</formula>
    </cfRule>
    <cfRule type="cellIs" priority="760" operator="lessThan" dxfId="0">
      <formula>0</formula>
    </cfRule>
    <cfRule type="cellIs" priority="761" operator="greaterThan" dxfId="1">
      <formula>0</formula>
    </cfRule>
    <cfRule type="cellIs" priority="762" operator="equal" dxfId="2">
      <formula>0</formula>
    </cfRule>
    <cfRule type="cellIs" priority="889" operator="lessThan" dxfId="0">
      <formula>0</formula>
    </cfRule>
    <cfRule type="cellIs" priority="890" operator="greaterThan" dxfId="1">
      <formula>0</formula>
    </cfRule>
    <cfRule type="cellIs" priority="891" operator="equal" dxfId="2">
      <formula>0</formula>
    </cfRule>
    <cfRule type="cellIs" priority="1003" operator="lessThan" dxfId="0">
      <formula>0</formula>
    </cfRule>
    <cfRule type="cellIs" priority="1004" operator="greaterThan" dxfId="1">
      <formula>0</formula>
    </cfRule>
    <cfRule type="cellIs" priority="1005" operator="equal" dxfId="2">
      <formula>0</formula>
    </cfRule>
    <cfRule type="cellIs" priority="1132" operator="lessThan" dxfId="0">
      <formula>0</formula>
    </cfRule>
    <cfRule type="cellIs" priority="1133" operator="greaterThan" dxfId="1">
      <formula>0</formula>
    </cfRule>
    <cfRule type="cellIs" priority="1134" operator="equal" dxfId="2">
      <formula>0</formula>
    </cfRule>
    <cfRule type="cellIs" priority="1246" operator="lessThan" dxfId="0">
      <formula>0</formula>
    </cfRule>
    <cfRule type="cellIs" priority="1247" operator="greaterThan" dxfId="1">
      <formula>0</formula>
    </cfRule>
    <cfRule type="cellIs" priority="1248" operator="equal" dxfId="2">
      <formula>0</formula>
    </cfRule>
    <cfRule type="cellIs" priority="1375" operator="lessThan" dxfId="0">
      <formula>0</formula>
    </cfRule>
    <cfRule type="cellIs" priority="1376" operator="greaterThan" dxfId="1">
      <formula>0</formula>
    </cfRule>
    <cfRule type="cellIs" priority="1377" operator="equal" dxfId="2">
      <formula>0</formula>
    </cfRule>
    <cfRule type="cellIs" priority="1489" operator="lessThan" dxfId="0">
      <formula>0</formula>
    </cfRule>
    <cfRule type="cellIs" priority="1490" operator="greaterThan" dxfId="1">
      <formula>0</formula>
    </cfRule>
    <cfRule type="cellIs" priority="1491" operator="equal" dxfId="2">
      <formula>0</formula>
    </cfRule>
    <cfRule type="cellIs" priority="1618" operator="lessThan" dxfId="0">
      <formula>0</formula>
    </cfRule>
    <cfRule type="cellIs" priority="1619" operator="greaterThan" dxfId="1">
      <formula>0</formula>
    </cfRule>
    <cfRule type="cellIs" priority="1620" operator="equal" dxfId="2">
      <formula>0</formula>
    </cfRule>
    <cfRule type="cellIs" priority="1732" operator="lessThan" dxfId="0">
      <formula>0</formula>
    </cfRule>
    <cfRule type="cellIs" priority="1733" operator="greaterThan" dxfId="1">
      <formula>0</formula>
    </cfRule>
    <cfRule type="cellIs" priority="1734" operator="equal" dxfId="2">
      <formula>0</formula>
    </cfRule>
    <cfRule type="cellIs" priority="1861" operator="lessThan" dxfId="0">
      <formula>0</formula>
    </cfRule>
    <cfRule type="cellIs" priority="1862" operator="greaterThan" dxfId="1">
      <formula>0</formula>
    </cfRule>
    <cfRule type="cellIs" priority="1863" operator="equal" dxfId="2">
      <formula>0</formula>
    </cfRule>
    <cfRule type="cellIs" priority="1975" operator="lessThan" dxfId="0">
      <formula>0</formula>
    </cfRule>
    <cfRule type="cellIs" priority="1976" operator="greaterThan" dxfId="1">
      <formula>0</formula>
    </cfRule>
    <cfRule type="cellIs" priority="1977" operator="equal" dxfId="2">
      <formula>0</formula>
    </cfRule>
    <cfRule type="cellIs" priority="2104" operator="lessThan" dxfId="0">
      <formula>0</formula>
    </cfRule>
    <cfRule type="cellIs" priority="2105" operator="greaterThan" dxfId="1">
      <formula>0</formula>
    </cfRule>
    <cfRule type="cellIs" priority="2106" operator="equal" dxfId="2">
      <formula>0</formula>
    </cfRule>
    <cfRule type="cellIs" priority="2218" operator="lessThan" dxfId="0">
      <formula>0</formula>
    </cfRule>
    <cfRule type="cellIs" priority="2219" operator="greaterThan" dxfId="1">
      <formula>0</formula>
    </cfRule>
    <cfRule type="cellIs" priority="2220" operator="equal" dxfId="2">
      <formula>0</formula>
    </cfRule>
    <cfRule type="cellIs" priority="2347" operator="lessThan" dxfId="0">
      <formula>0</formula>
    </cfRule>
    <cfRule type="cellIs" priority="2348" operator="greaterThan" dxfId="1">
      <formula>0</formula>
    </cfRule>
    <cfRule type="cellIs" priority="2349" operator="equal" dxfId="2">
      <formula>0</formula>
    </cfRule>
    <cfRule type="cellIs" priority="2461" operator="lessThan" dxfId="0">
      <formula>0</formula>
    </cfRule>
    <cfRule type="cellIs" priority="2462" operator="greaterThan" dxfId="1">
      <formula>0</formula>
    </cfRule>
    <cfRule type="cellIs" priority="2463" operator="equal" dxfId="2">
      <formula>0</formula>
    </cfRule>
    <cfRule type="cellIs" priority="2590" operator="lessThan" dxfId="0">
      <formula>0</formula>
    </cfRule>
    <cfRule type="cellIs" priority="2591" operator="greaterThan" dxfId="1">
      <formula>0</formula>
    </cfRule>
    <cfRule type="cellIs" priority="2592" operator="equal" dxfId="2">
      <formula>0</formula>
    </cfRule>
    <cfRule type="cellIs" priority="2704" operator="lessThan" dxfId="0">
      <formula>0</formula>
    </cfRule>
    <cfRule type="cellIs" priority="2705" operator="greaterThan" dxfId="1">
      <formula>0</formula>
    </cfRule>
    <cfRule type="cellIs" priority="2706" operator="equal" dxfId="2">
      <formula>0</formula>
    </cfRule>
    <cfRule type="cellIs" priority="2833" operator="lessThan" dxfId="0">
      <formula>0</formula>
    </cfRule>
    <cfRule type="cellIs" priority="2834" operator="greaterThan" dxfId="1">
      <formula>0</formula>
    </cfRule>
    <cfRule type="cellIs" priority="2835" operator="equal" dxfId="2">
      <formula>0</formula>
    </cfRule>
  </conditionalFormatting>
  <conditionalFormatting sqref="AF107">
    <cfRule type="cellIs" priority="34" operator="lessThan" dxfId="0">
      <formula>0</formula>
    </cfRule>
    <cfRule type="cellIs" priority="35" operator="greaterThan" dxfId="1">
      <formula>0</formula>
    </cfRule>
    <cfRule type="cellIs" priority="36" operator="equal" dxfId="2">
      <formula>0</formula>
    </cfRule>
  </conditionalFormatting>
  <conditionalFormatting sqref="H107">
    <cfRule type="cellIs" priority="37" operator="lessThan" dxfId="0">
      <formula>0</formula>
    </cfRule>
    <cfRule type="cellIs" priority="38" operator="greaterThan" dxfId="1">
      <formula>0</formula>
    </cfRule>
    <cfRule type="cellIs" priority="39" operator="equal" dxfId="2">
      <formula>0</formula>
    </cfRule>
    <cfRule type="cellIs" priority="166" operator="lessThan" dxfId="0">
      <formula>0</formula>
    </cfRule>
    <cfRule type="cellIs" priority="167" operator="greaterThan" dxfId="1">
      <formula>0</formula>
    </cfRule>
    <cfRule type="cellIs" priority="168" operator="equal" dxfId="2">
      <formula>0</formula>
    </cfRule>
    <cfRule type="cellIs" priority="280" operator="lessThan" dxfId="0">
      <formula>0</formula>
    </cfRule>
    <cfRule type="cellIs" priority="281" operator="greaterThan" dxfId="1">
      <formula>0</formula>
    </cfRule>
    <cfRule type="cellIs" priority="282" operator="equal" dxfId="2">
      <formula>0</formula>
    </cfRule>
    <cfRule type="cellIs" priority="409" operator="lessThan" dxfId="0">
      <formula>0</formula>
    </cfRule>
    <cfRule type="cellIs" priority="410" operator="greaterThan" dxfId="1">
      <formula>0</formula>
    </cfRule>
    <cfRule type="cellIs" priority="411" operator="equal" dxfId="2">
      <formula>0</formula>
    </cfRule>
    <cfRule type="cellIs" priority="523" operator="lessThan" dxfId="0">
      <formula>0</formula>
    </cfRule>
    <cfRule type="cellIs" priority="524" operator="greaterThan" dxfId="1">
      <formula>0</formula>
    </cfRule>
    <cfRule type="cellIs" priority="525" operator="equal" dxfId="2">
      <formula>0</formula>
    </cfRule>
    <cfRule type="cellIs" priority="652" operator="lessThan" dxfId="0">
      <formula>0</formula>
    </cfRule>
    <cfRule type="cellIs" priority="653" operator="greaterThan" dxfId="1">
      <formula>0</formula>
    </cfRule>
    <cfRule type="cellIs" priority="654" operator="equal" dxfId="2">
      <formula>0</formula>
    </cfRule>
    <cfRule type="cellIs" priority="766" operator="lessThan" dxfId="0">
      <formula>0</formula>
    </cfRule>
    <cfRule type="cellIs" priority="767" operator="greaterThan" dxfId="1">
      <formula>0</formula>
    </cfRule>
    <cfRule type="cellIs" priority="768" operator="equal" dxfId="2">
      <formula>0</formula>
    </cfRule>
    <cfRule type="cellIs" priority="895" operator="lessThan" dxfId="0">
      <formula>0</formula>
    </cfRule>
    <cfRule type="cellIs" priority="896" operator="greaterThan" dxfId="1">
      <formula>0</formula>
    </cfRule>
    <cfRule type="cellIs" priority="897" operator="equal" dxfId="2">
      <formula>0</formula>
    </cfRule>
    <cfRule type="cellIs" priority="1009" operator="lessThan" dxfId="0">
      <formula>0</formula>
    </cfRule>
    <cfRule type="cellIs" priority="1010" operator="greaterThan" dxfId="1">
      <formula>0</formula>
    </cfRule>
    <cfRule type="cellIs" priority="1011" operator="equal" dxfId="2">
      <formula>0</formula>
    </cfRule>
    <cfRule type="cellIs" priority="1138" operator="lessThan" dxfId="0">
      <formula>0</formula>
    </cfRule>
    <cfRule type="cellIs" priority="1139" operator="greaterThan" dxfId="1">
      <formula>0</formula>
    </cfRule>
    <cfRule type="cellIs" priority="1140" operator="equal" dxfId="2">
      <formula>0</formula>
    </cfRule>
    <cfRule type="cellIs" priority="1252" operator="lessThan" dxfId="0">
      <formula>0</formula>
    </cfRule>
    <cfRule type="cellIs" priority="1253" operator="greaterThan" dxfId="1">
      <formula>0</formula>
    </cfRule>
    <cfRule type="cellIs" priority="1254" operator="equal" dxfId="2">
      <formula>0</formula>
    </cfRule>
    <cfRule type="cellIs" priority="1381" operator="lessThan" dxfId="0">
      <formula>0</formula>
    </cfRule>
    <cfRule type="cellIs" priority="1382" operator="greaterThan" dxfId="1">
      <formula>0</formula>
    </cfRule>
    <cfRule type="cellIs" priority="1383" operator="equal" dxfId="2">
      <formula>0</formula>
    </cfRule>
    <cfRule type="cellIs" priority="1495" operator="lessThan" dxfId="0">
      <formula>0</formula>
    </cfRule>
    <cfRule type="cellIs" priority="1496" operator="greaterThan" dxfId="1">
      <formula>0</formula>
    </cfRule>
    <cfRule type="cellIs" priority="1497" operator="equal" dxfId="2">
      <formula>0</formula>
    </cfRule>
    <cfRule type="cellIs" priority="1624" operator="lessThan" dxfId="0">
      <formula>0</formula>
    </cfRule>
    <cfRule type="cellIs" priority="1625" operator="greaterThan" dxfId="1">
      <formula>0</formula>
    </cfRule>
    <cfRule type="cellIs" priority="1626" operator="equal" dxfId="2">
      <formula>0</formula>
    </cfRule>
    <cfRule type="cellIs" priority="1738" operator="lessThan" dxfId="0">
      <formula>0</formula>
    </cfRule>
    <cfRule type="cellIs" priority="1739" operator="greaterThan" dxfId="1">
      <formula>0</formula>
    </cfRule>
    <cfRule type="cellIs" priority="1740" operator="equal" dxfId="2">
      <formula>0</formula>
    </cfRule>
    <cfRule type="cellIs" priority="1867" operator="lessThan" dxfId="0">
      <formula>0</formula>
    </cfRule>
    <cfRule type="cellIs" priority="1868" operator="greaterThan" dxfId="1">
      <formula>0</formula>
    </cfRule>
    <cfRule type="cellIs" priority="1869" operator="equal" dxfId="2">
      <formula>0</formula>
    </cfRule>
    <cfRule type="cellIs" priority="1981" operator="lessThan" dxfId="0">
      <formula>0</formula>
    </cfRule>
    <cfRule type="cellIs" priority="1982" operator="greaterThan" dxfId="1">
      <formula>0</formula>
    </cfRule>
    <cfRule type="cellIs" priority="1983" operator="equal" dxfId="2">
      <formula>0</formula>
    </cfRule>
    <cfRule type="cellIs" priority="2110" operator="lessThan" dxfId="0">
      <formula>0</formula>
    </cfRule>
    <cfRule type="cellIs" priority="2111" operator="greaterThan" dxfId="1">
      <formula>0</formula>
    </cfRule>
    <cfRule type="cellIs" priority="2112" operator="equal" dxfId="2">
      <formula>0</formula>
    </cfRule>
    <cfRule type="cellIs" priority="2224" operator="lessThan" dxfId="0">
      <formula>0</formula>
    </cfRule>
    <cfRule type="cellIs" priority="2225" operator="greaterThan" dxfId="1">
      <formula>0</formula>
    </cfRule>
    <cfRule type="cellIs" priority="2226" operator="equal" dxfId="2">
      <formula>0</formula>
    </cfRule>
    <cfRule type="cellIs" priority="2353" operator="lessThan" dxfId="0">
      <formula>0</formula>
    </cfRule>
    <cfRule type="cellIs" priority="2354" operator="greaterThan" dxfId="1">
      <formula>0</formula>
    </cfRule>
    <cfRule type="cellIs" priority="2355" operator="equal" dxfId="2">
      <formula>0</formula>
    </cfRule>
    <cfRule type="cellIs" priority="2467" operator="lessThan" dxfId="0">
      <formula>0</formula>
    </cfRule>
    <cfRule type="cellIs" priority="2468" operator="greaterThan" dxfId="1">
      <formula>0</formula>
    </cfRule>
    <cfRule type="cellIs" priority="2469" operator="equal" dxfId="2">
      <formula>0</formula>
    </cfRule>
    <cfRule type="cellIs" priority="2596" operator="lessThan" dxfId="0">
      <formula>0</formula>
    </cfRule>
    <cfRule type="cellIs" priority="2597" operator="greaterThan" dxfId="1">
      <formula>0</formula>
    </cfRule>
    <cfRule type="cellIs" priority="2598" operator="equal" dxfId="2">
      <formula>0</formula>
    </cfRule>
    <cfRule type="cellIs" priority="2710" operator="lessThan" dxfId="0">
      <formula>0</formula>
    </cfRule>
    <cfRule type="cellIs" priority="2711" operator="greaterThan" dxfId="1">
      <formula>0</formula>
    </cfRule>
    <cfRule type="cellIs" priority="2712" operator="equal" dxfId="2">
      <formula>0</formula>
    </cfRule>
    <cfRule type="cellIs" priority="2839" operator="lessThan" dxfId="0">
      <formula>0</formula>
    </cfRule>
    <cfRule type="cellIs" priority="2840" operator="greaterThan" dxfId="1">
      <formula>0</formula>
    </cfRule>
    <cfRule type="cellIs" priority="2841" operator="equal" dxfId="2">
      <formula>0</formula>
    </cfRule>
  </conditionalFormatting>
  <conditionalFormatting sqref="AF108">
    <cfRule type="cellIs" priority="40" operator="lessThan" dxfId="0">
      <formula>0</formula>
    </cfRule>
    <cfRule type="cellIs" priority="41" operator="greaterThan" dxfId="1">
      <formula>0</formula>
    </cfRule>
    <cfRule type="cellIs" priority="42" operator="equal" dxfId="2">
      <formula>0</formula>
    </cfRule>
  </conditionalFormatting>
  <conditionalFormatting sqref="H108">
    <cfRule type="cellIs" priority="43" operator="lessThan" dxfId="0">
      <formula>0</formula>
    </cfRule>
    <cfRule type="cellIs" priority="44" operator="greaterThan" dxfId="1">
      <formula>0</formula>
    </cfRule>
    <cfRule type="cellIs" priority="45" operator="equal" dxfId="2">
      <formula>0</formula>
    </cfRule>
    <cfRule type="cellIs" priority="172" operator="lessThan" dxfId="0">
      <formula>0</formula>
    </cfRule>
    <cfRule type="cellIs" priority="173" operator="greaterThan" dxfId="1">
      <formula>0</formula>
    </cfRule>
    <cfRule type="cellIs" priority="174" operator="equal" dxfId="2">
      <formula>0</formula>
    </cfRule>
    <cfRule type="cellIs" priority="286" operator="lessThan" dxfId="0">
      <formula>0</formula>
    </cfRule>
    <cfRule type="cellIs" priority="287" operator="greaterThan" dxfId="1">
      <formula>0</formula>
    </cfRule>
    <cfRule type="cellIs" priority="288" operator="equal" dxfId="2">
      <formula>0</formula>
    </cfRule>
    <cfRule type="cellIs" priority="415" operator="lessThan" dxfId="0">
      <formula>0</formula>
    </cfRule>
    <cfRule type="cellIs" priority="416" operator="greaterThan" dxfId="1">
      <formula>0</formula>
    </cfRule>
    <cfRule type="cellIs" priority="417" operator="equal" dxfId="2">
      <formula>0</formula>
    </cfRule>
    <cfRule type="cellIs" priority="529" operator="lessThan" dxfId="0">
      <formula>0</formula>
    </cfRule>
    <cfRule type="cellIs" priority="530" operator="greaterThan" dxfId="1">
      <formula>0</formula>
    </cfRule>
    <cfRule type="cellIs" priority="531" operator="equal" dxfId="2">
      <formula>0</formula>
    </cfRule>
    <cfRule type="cellIs" priority="658" operator="lessThan" dxfId="0">
      <formula>0</formula>
    </cfRule>
    <cfRule type="cellIs" priority="659" operator="greaterThan" dxfId="1">
      <formula>0</formula>
    </cfRule>
    <cfRule type="cellIs" priority="660" operator="equal" dxfId="2">
      <formula>0</formula>
    </cfRule>
    <cfRule type="cellIs" priority="772" operator="lessThan" dxfId="0">
      <formula>0</formula>
    </cfRule>
    <cfRule type="cellIs" priority="773" operator="greaterThan" dxfId="1">
      <formula>0</formula>
    </cfRule>
    <cfRule type="cellIs" priority="774" operator="equal" dxfId="2">
      <formula>0</formula>
    </cfRule>
    <cfRule type="cellIs" priority="901" operator="lessThan" dxfId="0">
      <formula>0</formula>
    </cfRule>
    <cfRule type="cellIs" priority="902" operator="greaterThan" dxfId="1">
      <formula>0</formula>
    </cfRule>
    <cfRule type="cellIs" priority="903" operator="equal" dxfId="2">
      <formula>0</formula>
    </cfRule>
    <cfRule type="cellIs" priority="1015" operator="lessThan" dxfId="0">
      <formula>0</formula>
    </cfRule>
    <cfRule type="cellIs" priority="1016" operator="greaterThan" dxfId="1">
      <formula>0</formula>
    </cfRule>
    <cfRule type="cellIs" priority="1017" operator="equal" dxfId="2">
      <formula>0</formula>
    </cfRule>
    <cfRule type="cellIs" priority="1144" operator="lessThan" dxfId="0">
      <formula>0</formula>
    </cfRule>
    <cfRule type="cellIs" priority="1145" operator="greaterThan" dxfId="1">
      <formula>0</formula>
    </cfRule>
    <cfRule type="cellIs" priority="1146" operator="equal" dxfId="2">
      <formula>0</formula>
    </cfRule>
    <cfRule type="cellIs" priority="1258" operator="lessThan" dxfId="0">
      <formula>0</formula>
    </cfRule>
    <cfRule type="cellIs" priority="1259" operator="greaterThan" dxfId="1">
      <formula>0</formula>
    </cfRule>
    <cfRule type="cellIs" priority="1260" operator="equal" dxfId="2">
      <formula>0</formula>
    </cfRule>
    <cfRule type="cellIs" priority="1387" operator="lessThan" dxfId="0">
      <formula>0</formula>
    </cfRule>
    <cfRule type="cellIs" priority="1388" operator="greaterThan" dxfId="1">
      <formula>0</formula>
    </cfRule>
    <cfRule type="cellIs" priority="1389" operator="equal" dxfId="2">
      <formula>0</formula>
    </cfRule>
    <cfRule type="cellIs" priority="1501" operator="lessThan" dxfId="0">
      <formula>0</formula>
    </cfRule>
    <cfRule type="cellIs" priority="1502" operator="greaterThan" dxfId="1">
      <formula>0</formula>
    </cfRule>
    <cfRule type="cellIs" priority="1503" operator="equal" dxfId="2">
      <formula>0</formula>
    </cfRule>
    <cfRule type="cellIs" priority="1630" operator="lessThan" dxfId="0">
      <formula>0</formula>
    </cfRule>
    <cfRule type="cellIs" priority="1631" operator="greaterThan" dxfId="1">
      <formula>0</formula>
    </cfRule>
    <cfRule type="cellIs" priority="1632" operator="equal" dxfId="2">
      <formula>0</formula>
    </cfRule>
    <cfRule type="cellIs" priority="1744" operator="lessThan" dxfId="0">
      <formula>0</formula>
    </cfRule>
    <cfRule type="cellIs" priority="1745" operator="greaterThan" dxfId="1">
      <formula>0</formula>
    </cfRule>
    <cfRule type="cellIs" priority="1746" operator="equal" dxfId="2">
      <formula>0</formula>
    </cfRule>
    <cfRule type="cellIs" priority="1873" operator="lessThan" dxfId="0">
      <formula>0</formula>
    </cfRule>
    <cfRule type="cellIs" priority="1874" operator="greaterThan" dxfId="1">
      <formula>0</formula>
    </cfRule>
    <cfRule type="cellIs" priority="1875" operator="equal" dxfId="2">
      <formula>0</formula>
    </cfRule>
    <cfRule type="cellIs" priority="1987" operator="lessThan" dxfId="0">
      <formula>0</formula>
    </cfRule>
    <cfRule type="cellIs" priority="1988" operator="greaterThan" dxfId="1">
      <formula>0</formula>
    </cfRule>
    <cfRule type="cellIs" priority="1989" operator="equal" dxfId="2">
      <formula>0</formula>
    </cfRule>
    <cfRule type="cellIs" priority="2116" operator="lessThan" dxfId="0">
      <formula>0</formula>
    </cfRule>
    <cfRule type="cellIs" priority="2117" operator="greaterThan" dxfId="1">
      <formula>0</formula>
    </cfRule>
    <cfRule type="cellIs" priority="2118" operator="equal" dxfId="2">
      <formula>0</formula>
    </cfRule>
    <cfRule type="cellIs" priority="2230" operator="lessThan" dxfId="0">
      <formula>0</formula>
    </cfRule>
    <cfRule type="cellIs" priority="2231" operator="greaterThan" dxfId="1">
      <formula>0</formula>
    </cfRule>
    <cfRule type="cellIs" priority="2232" operator="equal" dxfId="2">
      <formula>0</formula>
    </cfRule>
    <cfRule type="cellIs" priority="2359" operator="lessThan" dxfId="0">
      <formula>0</formula>
    </cfRule>
    <cfRule type="cellIs" priority="2360" operator="greaterThan" dxfId="1">
      <formula>0</formula>
    </cfRule>
    <cfRule type="cellIs" priority="2361" operator="equal" dxfId="2">
      <formula>0</formula>
    </cfRule>
    <cfRule type="cellIs" priority="2473" operator="lessThan" dxfId="0">
      <formula>0</formula>
    </cfRule>
    <cfRule type="cellIs" priority="2474" operator="greaterThan" dxfId="1">
      <formula>0</formula>
    </cfRule>
    <cfRule type="cellIs" priority="2475" operator="equal" dxfId="2">
      <formula>0</formula>
    </cfRule>
    <cfRule type="cellIs" priority="2602" operator="lessThan" dxfId="0">
      <formula>0</formula>
    </cfRule>
    <cfRule type="cellIs" priority="2603" operator="greaterThan" dxfId="1">
      <formula>0</formula>
    </cfRule>
    <cfRule type="cellIs" priority="2604" operator="equal" dxfId="2">
      <formula>0</formula>
    </cfRule>
    <cfRule type="cellIs" priority="2716" operator="lessThan" dxfId="0">
      <formula>0</formula>
    </cfRule>
    <cfRule type="cellIs" priority="2717" operator="greaterThan" dxfId="1">
      <formula>0</formula>
    </cfRule>
    <cfRule type="cellIs" priority="2718" operator="equal" dxfId="2">
      <formula>0</formula>
    </cfRule>
    <cfRule type="cellIs" priority="2845" operator="lessThan" dxfId="0">
      <formula>0</formula>
    </cfRule>
    <cfRule type="cellIs" priority="2846" operator="greaterThan" dxfId="1">
      <formula>0</formula>
    </cfRule>
    <cfRule type="cellIs" priority="2847" operator="equal" dxfId="2">
      <formula>0</formula>
    </cfRule>
  </conditionalFormatting>
  <conditionalFormatting sqref="AF109">
    <cfRule type="cellIs" priority="46" operator="lessThan" dxfId="0">
      <formula>0</formula>
    </cfRule>
    <cfRule type="cellIs" priority="47" operator="greaterThan" dxfId="1">
      <formula>0</formula>
    </cfRule>
    <cfRule type="cellIs" priority="48" operator="equal" dxfId="2">
      <formula>0</formula>
    </cfRule>
    <cfRule type="cellIs" priority="88" operator="lessThan" dxfId="0">
      <formula>0</formula>
    </cfRule>
    <cfRule type="cellIs" priority="89" operator="greaterThan" dxfId="1">
      <formula>0</formula>
    </cfRule>
    <cfRule type="cellIs" priority="90" operator="equal" dxfId="2">
      <formula>0</formula>
    </cfRule>
  </conditionalFormatting>
  <conditionalFormatting sqref="H109">
    <cfRule type="cellIs" priority="49" operator="lessThan" dxfId="0">
      <formula>0</formula>
    </cfRule>
    <cfRule type="cellIs" priority="50" operator="greaterThan" dxfId="1">
      <formula>0</formula>
    </cfRule>
    <cfRule type="cellIs" priority="51" operator="equal" dxfId="2">
      <formula>0</formula>
    </cfRule>
    <cfRule type="cellIs" priority="91" operator="lessThan" dxfId="0">
      <formula>0</formula>
    </cfRule>
    <cfRule type="cellIs" priority="92" operator="greaterThan" dxfId="1">
      <formula>0</formula>
    </cfRule>
    <cfRule type="cellIs" priority="93" operator="equal" dxfId="2">
      <formula>0</formula>
    </cfRule>
    <cfRule type="cellIs" priority="178" operator="lessThan" dxfId="0">
      <formula>0</formula>
    </cfRule>
    <cfRule type="cellIs" priority="179" operator="greaterThan" dxfId="1">
      <formula>0</formula>
    </cfRule>
    <cfRule type="cellIs" priority="180" operator="equal" dxfId="2">
      <formula>0</formula>
    </cfRule>
    <cfRule type="cellIs" priority="220" operator="lessThan" dxfId="0">
      <formula>0</formula>
    </cfRule>
    <cfRule type="cellIs" priority="221" operator="greaterThan" dxfId="1">
      <formula>0</formula>
    </cfRule>
    <cfRule type="cellIs" priority="222" operator="equal" dxfId="2">
      <formula>0</formula>
    </cfRule>
    <cfRule type="cellIs" priority="292" operator="lessThan" dxfId="0">
      <formula>0</formula>
    </cfRule>
    <cfRule type="cellIs" priority="293" operator="greaterThan" dxfId="1">
      <formula>0</formula>
    </cfRule>
    <cfRule type="cellIs" priority="294" operator="equal" dxfId="2">
      <formula>0</formula>
    </cfRule>
    <cfRule type="cellIs" priority="334" operator="lessThan" dxfId="0">
      <formula>0</formula>
    </cfRule>
    <cfRule type="cellIs" priority="335" operator="greaterThan" dxfId="1">
      <formula>0</formula>
    </cfRule>
    <cfRule type="cellIs" priority="336" operator="equal" dxfId="2">
      <formula>0</formula>
    </cfRule>
    <cfRule type="cellIs" priority="421" operator="lessThan" dxfId="0">
      <formula>0</formula>
    </cfRule>
    <cfRule type="cellIs" priority="422" operator="greaterThan" dxfId="1">
      <formula>0</formula>
    </cfRule>
    <cfRule type="cellIs" priority="423" operator="equal" dxfId="2">
      <formula>0</formula>
    </cfRule>
    <cfRule type="cellIs" priority="463" operator="lessThan" dxfId="0">
      <formula>0</formula>
    </cfRule>
    <cfRule type="cellIs" priority="464" operator="greaterThan" dxfId="1">
      <formula>0</formula>
    </cfRule>
    <cfRule type="cellIs" priority="465" operator="equal" dxfId="2">
      <formula>0</formula>
    </cfRule>
    <cfRule type="cellIs" priority="535" operator="lessThan" dxfId="0">
      <formula>0</formula>
    </cfRule>
    <cfRule type="cellIs" priority="536" operator="greaterThan" dxfId="1">
      <formula>0</formula>
    </cfRule>
    <cfRule type="cellIs" priority="537" operator="equal" dxfId="2">
      <formula>0</formula>
    </cfRule>
    <cfRule type="cellIs" priority="577" operator="lessThan" dxfId="0">
      <formula>0</formula>
    </cfRule>
    <cfRule type="cellIs" priority="578" operator="greaterThan" dxfId="1">
      <formula>0</formula>
    </cfRule>
    <cfRule type="cellIs" priority="579" operator="equal" dxfId="2">
      <formula>0</formula>
    </cfRule>
    <cfRule type="cellIs" priority="664" operator="lessThan" dxfId="0">
      <formula>0</formula>
    </cfRule>
    <cfRule type="cellIs" priority="665" operator="greaterThan" dxfId="1">
      <formula>0</formula>
    </cfRule>
    <cfRule type="cellIs" priority="666" operator="equal" dxfId="2">
      <formula>0</formula>
    </cfRule>
    <cfRule type="cellIs" priority="706" operator="lessThan" dxfId="0">
      <formula>0</formula>
    </cfRule>
    <cfRule type="cellIs" priority="707" operator="greaterThan" dxfId="1">
      <formula>0</formula>
    </cfRule>
    <cfRule type="cellIs" priority="708" operator="equal" dxfId="2">
      <formula>0</formula>
    </cfRule>
    <cfRule type="cellIs" priority="778" operator="lessThan" dxfId="0">
      <formula>0</formula>
    </cfRule>
    <cfRule type="cellIs" priority="779" operator="greaterThan" dxfId="1">
      <formula>0</formula>
    </cfRule>
    <cfRule type="cellIs" priority="780" operator="equal" dxfId="2">
      <formula>0</formula>
    </cfRule>
    <cfRule type="cellIs" priority="820" operator="lessThan" dxfId="0">
      <formula>0</formula>
    </cfRule>
    <cfRule type="cellIs" priority="821" operator="greaterThan" dxfId="1">
      <formula>0</formula>
    </cfRule>
    <cfRule type="cellIs" priority="822" operator="equal" dxfId="2">
      <formula>0</formula>
    </cfRule>
    <cfRule type="cellIs" priority="907" operator="lessThan" dxfId="0">
      <formula>0</formula>
    </cfRule>
    <cfRule type="cellIs" priority="908" operator="greaterThan" dxfId="1">
      <formula>0</formula>
    </cfRule>
    <cfRule type="cellIs" priority="909" operator="equal" dxfId="2">
      <formula>0</formula>
    </cfRule>
    <cfRule type="cellIs" priority="949" operator="lessThan" dxfId="0">
      <formula>0</formula>
    </cfRule>
    <cfRule type="cellIs" priority="950" operator="greaterThan" dxfId="1">
      <formula>0</formula>
    </cfRule>
    <cfRule type="cellIs" priority="951" operator="equal" dxfId="2">
      <formula>0</formula>
    </cfRule>
    <cfRule type="cellIs" priority="1021" operator="lessThan" dxfId="0">
      <formula>0</formula>
    </cfRule>
    <cfRule type="cellIs" priority="1022" operator="greaterThan" dxfId="1">
      <formula>0</formula>
    </cfRule>
    <cfRule type="cellIs" priority="1023" operator="equal" dxfId="2">
      <formula>0</formula>
    </cfRule>
    <cfRule type="cellIs" priority="1063" operator="lessThan" dxfId="0">
      <formula>0</formula>
    </cfRule>
    <cfRule type="cellIs" priority="1064" operator="greaterThan" dxfId="1">
      <formula>0</formula>
    </cfRule>
    <cfRule type="cellIs" priority="1065" operator="equal" dxfId="2">
      <formula>0</formula>
    </cfRule>
    <cfRule type="cellIs" priority="1150" operator="lessThan" dxfId="0">
      <formula>0</formula>
    </cfRule>
    <cfRule type="cellIs" priority="1151" operator="greaterThan" dxfId="1">
      <formula>0</formula>
    </cfRule>
    <cfRule type="cellIs" priority="1152" operator="equal" dxfId="2">
      <formula>0</formula>
    </cfRule>
    <cfRule type="cellIs" priority="1192" operator="lessThan" dxfId="0">
      <formula>0</formula>
    </cfRule>
    <cfRule type="cellIs" priority="1193" operator="greaterThan" dxfId="1">
      <formula>0</formula>
    </cfRule>
    <cfRule type="cellIs" priority="1194" operator="equal" dxfId="2">
      <formula>0</formula>
    </cfRule>
    <cfRule type="cellIs" priority="1264" operator="lessThan" dxfId="0">
      <formula>0</formula>
    </cfRule>
    <cfRule type="cellIs" priority="1265" operator="greaterThan" dxfId="1">
      <formula>0</formula>
    </cfRule>
    <cfRule type="cellIs" priority="1266" operator="equal" dxfId="2">
      <formula>0</formula>
    </cfRule>
    <cfRule type="cellIs" priority="1306" operator="lessThan" dxfId="0">
      <formula>0</formula>
    </cfRule>
    <cfRule type="cellIs" priority="1307" operator="greaterThan" dxfId="1">
      <formula>0</formula>
    </cfRule>
    <cfRule type="cellIs" priority="1308" operator="equal" dxfId="2">
      <formula>0</formula>
    </cfRule>
    <cfRule type="cellIs" priority="1393" operator="lessThan" dxfId="0">
      <formula>0</formula>
    </cfRule>
    <cfRule type="cellIs" priority="1394" operator="greaterThan" dxfId="1">
      <formula>0</formula>
    </cfRule>
    <cfRule type="cellIs" priority="1395" operator="equal" dxfId="2">
      <formula>0</formula>
    </cfRule>
    <cfRule type="cellIs" priority="1435" operator="lessThan" dxfId="0">
      <formula>0</formula>
    </cfRule>
    <cfRule type="cellIs" priority="1436" operator="greaterThan" dxfId="1">
      <formula>0</formula>
    </cfRule>
    <cfRule type="cellIs" priority="1437" operator="equal" dxfId="2">
      <formula>0</formula>
    </cfRule>
    <cfRule type="cellIs" priority="1507" operator="lessThan" dxfId="0">
      <formula>0</formula>
    </cfRule>
    <cfRule type="cellIs" priority="1508" operator="greaterThan" dxfId="1">
      <formula>0</formula>
    </cfRule>
    <cfRule type="cellIs" priority="1509" operator="equal" dxfId="2">
      <formula>0</formula>
    </cfRule>
    <cfRule type="cellIs" priority="1549" operator="lessThan" dxfId="0">
      <formula>0</formula>
    </cfRule>
    <cfRule type="cellIs" priority="1550" operator="greaterThan" dxfId="1">
      <formula>0</formula>
    </cfRule>
    <cfRule type="cellIs" priority="1551" operator="equal" dxfId="2">
      <formula>0</formula>
    </cfRule>
    <cfRule type="cellIs" priority="1636" operator="lessThan" dxfId="0">
      <formula>0</formula>
    </cfRule>
    <cfRule type="cellIs" priority="1637" operator="greaterThan" dxfId="1">
      <formula>0</formula>
    </cfRule>
    <cfRule type="cellIs" priority="1638" operator="equal" dxfId="2">
      <formula>0</formula>
    </cfRule>
    <cfRule type="cellIs" priority="1678" operator="lessThan" dxfId="0">
      <formula>0</formula>
    </cfRule>
    <cfRule type="cellIs" priority="1679" operator="greaterThan" dxfId="1">
      <formula>0</formula>
    </cfRule>
    <cfRule type="cellIs" priority="1680" operator="equal" dxfId="2">
      <formula>0</formula>
    </cfRule>
    <cfRule type="cellIs" priority="1750" operator="lessThan" dxfId="0">
      <formula>0</formula>
    </cfRule>
    <cfRule type="cellIs" priority="1751" operator="greaterThan" dxfId="1">
      <formula>0</formula>
    </cfRule>
    <cfRule type="cellIs" priority="1752" operator="equal" dxfId="2">
      <formula>0</formula>
    </cfRule>
    <cfRule type="cellIs" priority="1792" operator="lessThan" dxfId="0">
      <formula>0</formula>
    </cfRule>
    <cfRule type="cellIs" priority="1793" operator="greaterThan" dxfId="1">
      <formula>0</formula>
    </cfRule>
    <cfRule type="cellIs" priority="1794" operator="equal" dxfId="2">
      <formula>0</formula>
    </cfRule>
    <cfRule type="cellIs" priority="1879" operator="lessThan" dxfId="0">
      <formula>0</formula>
    </cfRule>
    <cfRule type="cellIs" priority="1880" operator="greaterThan" dxfId="1">
      <formula>0</formula>
    </cfRule>
    <cfRule type="cellIs" priority="1881" operator="equal" dxfId="2">
      <formula>0</formula>
    </cfRule>
    <cfRule type="cellIs" priority="1921" operator="lessThan" dxfId="0">
      <formula>0</formula>
    </cfRule>
    <cfRule type="cellIs" priority="1922" operator="greaterThan" dxfId="1">
      <formula>0</formula>
    </cfRule>
    <cfRule type="cellIs" priority="1923" operator="equal" dxfId="2">
      <formula>0</formula>
    </cfRule>
    <cfRule type="cellIs" priority="1993" operator="lessThan" dxfId="0">
      <formula>0</formula>
    </cfRule>
    <cfRule type="cellIs" priority="1994" operator="greaterThan" dxfId="1">
      <formula>0</formula>
    </cfRule>
    <cfRule type="cellIs" priority="1995" operator="equal" dxfId="2">
      <formula>0</formula>
    </cfRule>
    <cfRule type="cellIs" priority="2035" operator="lessThan" dxfId="0">
      <formula>0</formula>
    </cfRule>
    <cfRule type="cellIs" priority="2036" operator="greaterThan" dxfId="1">
      <formula>0</formula>
    </cfRule>
    <cfRule type="cellIs" priority="2037" operator="equal" dxfId="2">
      <formula>0</formula>
    </cfRule>
    <cfRule type="cellIs" priority="2122" operator="lessThan" dxfId="0">
      <formula>0</formula>
    </cfRule>
    <cfRule type="cellIs" priority="2123" operator="greaterThan" dxfId="1">
      <formula>0</formula>
    </cfRule>
    <cfRule type="cellIs" priority="2124" operator="equal" dxfId="2">
      <formula>0</formula>
    </cfRule>
    <cfRule type="cellIs" priority="2164" operator="lessThan" dxfId="0">
      <formula>0</formula>
    </cfRule>
    <cfRule type="cellIs" priority="2165" operator="greaterThan" dxfId="1">
      <formula>0</formula>
    </cfRule>
    <cfRule type="cellIs" priority="2166" operator="equal" dxfId="2">
      <formula>0</formula>
    </cfRule>
    <cfRule type="cellIs" priority="2236" operator="lessThan" dxfId="0">
      <formula>0</formula>
    </cfRule>
    <cfRule type="cellIs" priority="2237" operator="greaterThan" dxfId="1">
      <formula>0</formula>
    </cfRule>
    <cfRule type="cellIs" priority="2238" operator="equal" dxfId="2">
      <formula>0</formula>
    </cfRule>
    <cfRule type="cellIs" priority="2278" operator="lessThan" dxfId="0">
      <formula>0</formula>
    </cfRule>
    <cfRule type="cellIs" priority="2279" operator="greaterThan" dxfId="1">
      <formula>0</formula>
    </cfRule>
    <cfRule type="cellIs" priority="2280" operator="equal" dxfId="2">
      <formula>0</formula>
    </cfRule>
    <cfRule type="cellIs" priority="2365" operator="lessThan" dxfId="0">
      <formula>0</formula>
    </cfRule>
    <cfRule type="cellIs" priority="2366" operator="greaterThan" dxfId="1">
      <formula>0</formula>
    </cfRule>
    <cfRule type="cellIs" priority="2367" operator="equal" dxfId="2">
      <formula>0</formula>
    </cfRule>
    <cfRule type="cellIs" priority="2407" operator="lessThan" dxfId="0">
      <formula>0</formula>
    </cfRule>
    <cfRule type="cellIs" priority="2408" operator="greaterThan" dxfId="1">
      <formula>0</formula>
    </cfRule>
    <cfRule type="cellIs" priority="2409" operator="equal" dxfId="2">
      <formula>0</formula>
    </cfRule>
    <cfRule type="cellIs" priority="2479" operator="lessThan" dxfId="0">
      <formula>0</formula>
    </cfRule>
    <cfRule type="cellIs" priority="2480" operator="greaterThan" dxfId="1">
      <formula>0</formula>
    </cfRule>
    <cfRule type="cellIs" priority="2481" operator="equal" dxfId="2">
      <formula>0</formula>
    </cfRule>
    <cfRule type="cellIs" priority="2521" operator="lessThan" dxfId="0">
      <formula>0</formula>
    </cfRule>
    <cfRule type="cellIs" priority="2522" operator="greaterThan" dxfId="1">
      <formula>0</formula>
    </cfRule>
    <cfRule type="cellIs" priority="2523" operator="equal" dxfId="2">
      <formula>0</formula>
    </cfRule>
    <cfRule type="cellIs" priority="2608" operator="lessThan" dxfId="0">
      <formula>0</formula>
    </cfRule>
    <cfRule type="cellIs" priority="2609" operator="greaterThan" dxfId="1">
      <formula>0</formula>
    </cfRule>
    <cfRule type="cellIs" priority="2610" operator="equal" dxfId="2">
      <formula>0</formula>
    </cfRule>
    <cfRule type="cellIs" priority="2650" operator="lessThan" dxfId="0">
      <formula>0</formula>
    </cfRule>
    <cfRule type="cellIs" priority="2651" operator="greaterThan" dxfId="1">
      <formula>0</formula>
    </cfRule>
    <cfRule type="cellIs" priority="2652" operator="equal" dxfId="2">
      <formula>0</formula>
    </cfRule>
    <cfRule type="cellIs" priority="2722" operator="lessThan" dxfId="0">
      <formula>0</formula>
    </cfRule>
    <cfRule type="cellIs" priority="2723" operator="greaterThan" dxfId="1">
      <formula>0</formula>
    </cfRule>
    <cfRule type="cellIs" priority="2724" operator="equal" dxfId="2">
      <formula>0</formula>
    </cfRule>
    <cfRule type="cellIs" priority="2764" operator="lessThan" dxfId="0">
      <formula>0</formula>
    </cfRule>
    <cfRule type="cellIs" priority="2765" operator="greaterThan" dxfId="1">
      <formula>0</formula>
    </cfRule>
    <cfRule type="cellIs" priority="2766" operator="equal" dxfId="2">
      <formula>0</formula>
    </cfRule>
    <cfRule type="cellIs" priority="2851" operator="lessThan" dxfId="0">
      <formula>0</formula>
    </cfRule>
    <cfRule type="cellIs" priority="2852" operator="greaterThan" dxfId="1">
      <formula>0</formula>
    </cfRule>
    <cfRule type="cellIs" priority="2853" operator="equal" dxfId="2">
      <formula>0</formula>
    </cfRule>
    <cfRule type="cellIs" priority="2893" operator="lessThan" dxfId="0">
      <formula>0</formula>
    </cfRule>
    <cfRule type="cellIs" priority="2894" operator="greaterThan" dxfId="1">
      <formula>0</formula>
    </cfRule>
    <cfRule type="cellIs" priority="2895" operator="equal" dxfId="2">
      <formula>0</formula>
    </cfRule>
  </conditionalFormatting>
  <conditionalFormatting sqref="AF110">
    <cfRule type="cellIs" priority="52" operator="lessThan" dxfId="0">
      <formula>0</formula>
    </cfRule>
    <cfRule type="cellIs" priority="53" operator="greaterThan" dxfId="1">
      <formula>0</formula>
    </cfRule>
    <cfRule type="cellIs" priority="54" operator="equal" dxfId="2">
      <formula>0</formula>
    </cfRule>
    <cfRule type="cellIs" priority="94" operator="lessThan" dxfId="0">
      <formula>0</formula>
    </cfRule>
    <cfRule type="cellIs" priority="95" operator="greaterThan" dxfId="1">
      <formula>0</formula>
    </cfRule>
    <cfRule type="cellIs" priority="96" operator="equal" dxfId="2">
      <formula>0</formula>
    </cfRule>
  </conditionalFormatting>
  <conditionalFormatting sqref="H110">
    <cfRule type="cellIs" priority="55" operator="lessThan" dxfId="0">
      <formula>0</formula>
    </cfRule>
    <cfRule type="cellIs" priority="56" operator="greaterThan" dxfId="1">
      <formula>0</formula>
    </cfRule>
    <cfRule type="cellIs" priority="57" operator="equal" dxfId="2">
      <formula>0</formula>
    </cfRule>
    <cfRule type="cellIs" priority="97" operator="lessThan" dxfId="0">
      <formula>0</formula>
    </cfRule>
    <cfRule type="cellIs" priority="98" operator="greaterThan" dxfId="1">
      <formula>0</formula>
    </cfRule>
    <cfRule type="cellIs" priority="99" operator="equal" dxfId="2">
      <formula>0</formula>
    </cfRule>
    <cfRule type="cellIs" priority="184" operator="lessThan" dxfId="0">
      <formula>0</formula>
    </cfRule>
    <cfRule type="cellIs" priority="185" operator="greaterThan" dxfId="1">
      <formula>0</formula>
    </cfRule>
    <cfRule type="cellIs" priority="186" operator="equal" dxfId="2">
      <formula>0</formula>
    </cfRule>
    <cfRule type="cellIs" priority="226" operator="lessThan" dxfId="0">
      <formula>0</formula>
    </cfRule>
    <cfRule type="cellIs" priority="227" operator="greaterThan" dxfId="1">
      <formula>0</formula>
    </cfRule>
    <cfRule type="cellIs" priority="228" operator="equal" dxfId="2">
      <formula>0</formula>
    </cfRule>
    <cfRule type="cellIs" priority="298" operator="lessThan" dxfId="0">
      <formula>0</formula>
    </cfRule>
    <cfRule type="cellIs" priority="299" operator="greaterThan" dxfId="1">
      <formula>0</formula>
    </cfRule>
    <cfRule type="cellIs" priority="300" operator="equal" dxfId="2">
      <formula>0</formula>
    </cfRule>
    <cfRule type="cellIs" priority="340" operator="lessThan" dxfId="0">
      <formula>0</formula>
    </cfRule>
    <cfRule type="cellIs" priority="341" operator="greaterThan" dxfId="1">
      <formula>0</formula>
    </cfRule>
    <cfRule type="cellIs" priority="342" operator="equal" dxfId="2">
      <formula>0</formula>
    </cfRule>
    <cfRule type="cellIs" priority="427" operator="lessThan" dxfId="0">
      <formula>0</formula>
    </cfRule>
    <cfRule type="cellIs" priority="428" operator="greaterThan" dxfId="1">
      <formula>0</formula>
    </cfRule>
    <cfRule type="cellIs" priority="429" operator="equal" dxfId="2">
      <formula>0</formula>
    </cfRule>
    <cfRule type="cellIs" priority="469" operator="lessThan" dxfId="0">
      <formula>0</formula>
    </cfRule>
    <cfRule type="cellIs" priority="470" operator="greaterThan" dxfId="1">
      <formula>0</formula>
    </cfRule>
    <cfRule type="cellIs" priority="471" operator="equal" dxfId="2">
      <formula>0</formula>
    </cfRule>
    <cfRule type="cellIs" priority="541" operator="lessThan" dxfId="0">
      <formula>0</formula>
    </cfRule>
    <cfRule type="cellIs" priority="542" operator="greaterThan" dxfId="1">
      <formula>0</formula>
    </cfRule>
    <cfRule type="cellIs" priority="543" operator="equal" dxfId="2">
      <formula>0</formula>
    </cfRule>
    <cfRule type="cellIs" priority="583" operator="lessThan" dxfId="0">
      <formula>0</formula>
    </cfRule>
    <cfRule type="cellIs" priority="584" operator="greaterThan" dxfId="1">
      <formula>0</formula>
    </cfRule>
    <cfRule type="cellIs" priority="585" operator="equal" dxfId="2">
      <formula>0</formula>
    </cfRule>
    <cfRule type="cellIs" priority="670" operator="lessThan" dxfId="0">
      <formula>0</formula>
    </cfRule>
    <cfRule type="cellIs" priority="671" operator="greaterThan" dxfId="1">
      <formula>0</formula>
    </cfRule>
    <cfRule type="cellIs" priority="672" operator="equal" dxfId="2">
      <formula>0</formula>
    </cfRule>
    <cfRule type="cellIs" priority="712" operator="lessThan" dxfId="0">
      <formula>0</formula>
    </cfRule>
    <cfRule type="cellIs" priority="713" operator="greaterThan" dxfId="1">
      <formula>0</formula>
    </cfRule>
    <cfRule type="cellIs" priority="714" operator="equal" dxfId="2">
      <formula>0</formula>
    </cfRule>
    <cfRule type="cellIs" priority="784" operator="lessThan" dxfId="0">
      <formula>0</formula>
    </cfRule>
    <cfRule type="cellIs" priority="785" operator="greaterThan" dxfId="1">
      <formula>0</formula>
    </cfRule>
    <cfRule type="cellIs" priority="786" operator="equal" dxfId="2">
      <formula>0</formula>
    </cfRule>
    <cfRule type="cellIs" priority="826" operator="lessThan" dxfId="0">
      <formula>0</formula>
    </cfRule>
    <cfRule type="cellIs" priority="827" operator="greaterThan" dxfId="1">
      <formula>0</formula>
    </cfRule>
    <cfRule type="cellIs" priority="828" operator="equal" dxfId="2">
      <formula>0</formula>
    </cfRule>
    <cfRule type="cellIs" priority="913" operator="lessThan" dxfId="0">
      <formula>0</formula>
    </cfRule>
    <cfRule type="cellIs" priority="914" operator="greaterThan" dxfId="1">
      <formula>0</formula>
    </cfRule>
    <cfRule type="cellIs" priority="915" operator="equal" dxfId="2">
      <formula>0</formula>
    </cfRule>
    <cfRule type="cellIs" priority="955" operator="lessThan" dxfId="0">
      <formula>0</formula>
    </cfRule>
    <cfRule type="cellIs" priority="956" operator="greaterThan" dxfId="1">
      <formula>0</formula>
    </cfRule>
    <cfRule type="cellIs" priority="957" operator="equal" dxfId="2">
      <formula>0</formula>
    </cfRule>
    <cfRule type="cellIs" priority="1027" operator="lessThan" dxfId="0">
      <formula>0</formula>
    </cfRule>
    <cfRule type="cellIs" priority="1028" operator="greaterThan" dxfId="1">
      <formula>0</formula>
    </cfRule>
    <cfRule type="cellIs" priority="1029" operator="equal" dxfId="2">
      <formula>0</formula>
    </cfRule>
    <cfRule type="cellIs" priority="1069" operator="lessThan" dxfId="0">
      <formula>0</formula>
    </cfRule>
    <cfRule type="cellIs" priority="1070" operator="greaterThan" dxfId="1">
      <formula>0</formula>
    </cfRule>
    <cfRule type="cellIs" priority="1071" operator="equal" dxfId="2">
      <formula>0</formula>
    </cfRule>
    <cfRule type="cellIs" priority="1156" operator="lessThan" dxfId="0">
      <formula>0</formula>
    </cfRule>
    <cfRule type="cellIs" priority="1157" operator="greaterThan" dxfId="1">
      <formula>0</formula>
    </cfRule>
    <cfRule type="cellIs" priority="1158" operator="equal" dxfId="2">
      <formula>0</formula>
    </cfRule>
    <cfRule type="cellIs" priority="1198" operator="lessThan" dxfId="0">
      <formula>0</formula>
    </cfRule>
    <cfRule type="cellIs" priority="1199" operator="greaterThan" dxfId="1">
      <formula>0</formula>
    </cfRule>
    <cfRule type="cellIs" priority="1200" operator="equal" dxfId="2">
      <formula>0</formula>
    </cfRule>
    <cfRule type="cellIs" priority="1270" operator="lessThan" dxfId="0">
      <formula>0</formula>
    </cfRule>
    <cfRule type="cellIs" priority="1271" operator="greaterThan" dxfId="1">
      <formula>0</formula>
    </cfRule>
    <cfRule type="cellIs" priority="1272" operator="equal" dxfId="2">
      <formula>0</formula>
    </cfRule>
    <cfRule type="cellIs" priority="1312" operator="lessThan" dxfId="0">
      <formula>0</formula>
    </cfRule>
    <cfRule type="cellIs" priority="1313" operator="greaterThan" dxfId="1">
      <formula>0</formula>
    </cfRule>
    <cfRule type="cellIs" priority="1314" operator="equal" dxfId="2">
      <formula>0</formula>
    </cfRule>
    <cfRule type="cellIs" priority="1399" operator="lessThan" dxfId="0">
      <formula>0</formula>
    </cfRule>
    <cfRule type="cellIs" priority="1400" operator="greaterThan" dxfId="1">
      <formula>0</formula>
    </cfRule>
    <cfRule type="cellIs" priority="1401" operator="equal" dxfId="2">
      <formula>0</formula>
    </cfRule>
    <cfRule type="cellIs" priority="1441" operator="lessThan" dxfId="0">
      <formula>0</formula>
    </cfRule>
    <cfRule type="cellIs" priority="1442" operator="greaterThan" dxfId="1">
      <formula>0</formula>
    </cfRule>
    <cfRule type="cellIs" priority="1443" operator="equal" dxfId="2">
      <formula>0</formula>
    </cfRule>
    <cfRule type="cellIs" priority="1513" operator="lessThan" dxfId="0">
      <formula>0</formula>
    </cfRule>
    <cfRule type="cellIs" priority="1514" operator="greaterThan" dxfId="1">
      <formula>0</formula>
    </cfRule>
    <cfRule type="cellIs" priority="1515" operator="equal" dxfId="2">
      <formula>0</formula>
    </cfRule>
    <cfRule type="cellIs" priority="1555" operator="lessThan" dxfId="0">
      <formula>0</formula>
    </cfRule>
    <cfRule type="cellIs" priority="1556" operator="greaterThan" dxfId="1">
      <formula>0</formula>
    </cfRule>
    <cfRule type="cellIs" priority="1557" operator="equal" dxfId="2">
      <formula>0</formula>
    </cfRule>
    <cfRule type="cellIs" priority="1642" operator="lessThan" dxfId="0">
      <formula>0</formula>
    </cfRule>
    <cfRule type="cellIs" priority="1643" operator="greaterThan" dxfId="1">
      <formula>0</formula>
    </cfRule>
    <cfRule type="cellIs" priority="1644" operator="equal" dxfId="2">
      <formula>0</formula>
    </cfRule>
    <cfRule type="cellIs" priority="1684" operator="lessThan" dxfId="0">
      <formula>0</formula>
    </cfRule>
    <cfRule type="cellIs" priority="1685" operator="greaterThan" dxfId="1">
      <formula>0</formula>
    </cfRule>
    <cfRule type="cellIs" priority="1686" operator="equal" dxfId="2">
      <formula>0</formula>
    </cfRule>
    <cfRule type="cellIs" priority="1756" operator="lessThan" dxfId="0">
      <formula>0</formula>
    </cfRule>
    <cfRule type="cellIs" priority="1757" operator="greaterThan" dxfId="1">
      <formula>0</formula>
    </cfRule>
    <cfRule type="cellIs" priority="1758" operator="equal" dxfId="2">
      <formula>0</formula>
    </cfRule>
    <cfRule type="cellIs" priority="1798" operator="lessThan" dxfId="0">
      <formula>0</formula>
    </cfRule>
    <cfRule type="cellIs" priority="1799" operator="greaterThan" dxfId="1">
      <formula>0</formula>
    </cfRule>
    <cfRule type="cellIs" priority="1800" operator="equal" dxfId="2">
      <formula>0</formula>
    </cfRule>
    <cfRule type="cellIs" priority="1885" operator="lessThan" dxfId="0">
      <formula>0</formula>
    </cfRule>
    <cfRule type="cellIs" priority="1886" operator="greaterThan" dxfId="1">
      <formula>0</formula>
    </cfRule>
    <cfRule type="cellIs" priority="1887" operator="equal" dxfId="2">
      <formula>0</formula>
    </cfRule>
    <cfRule type="cellIs" priority="1927" operator="lessThan" dxfId="0">
      <formula>0</formula>
    </cfRule>
    <cfRule type="cellIs" priority="1928" operator="greaterThan" dxfId="1">
      <formula>0</formula>
    </cfRule>
    <cfRule type="cellIs" priority="1929" operator="equal" dxfId="2">
      <formula>0</formula>
    </cfRule>
    <cfRule type="cellIs" priority="1999" operator="lessThan" dxfId="0">
      <formula>0</formula>
    </cfRule>
    <cfRule type="cellIs" priority="2000" operator="greaterThan" dxfId="1">
      <formula>0</formula>
    </cfRule>
    <cfRule type="cellIs" priority="2001" operator="equal" dxfId="2">
      <formula>0</formula>
    </cfRule>
    <cfRule type="cellIs" priority="2041" operator="lessThan" dxfId="0">
      <formula>0</formula>
    </cfRule>
    <cfRule type="cellIs" priority="2042" operator="greaterThan" dxfId="1">
      <formula>0</formula>
    </cfRule>
    <cfRule type="cellIs" priority="2043" operator="equal" dxfId="2">
      <formula>0</formula>
    </cfRule>
    <cfRule type="cellIs" priority="2128" operator="lessThan" dxfId="0">
      <formula>0</formula>
    </cfRule>
    <cfRule type="cellIs" priority="2129" operator="greaterThan" dxfId="1">
      <formula>0</formula>
    </cfRule>
    <cfRule type="cellIs" priority="2130" operator="equal" dxfId="2">
      <formula>0</formula>
    </cfRule>
    <cfRule type="cellIs" priority="2170" operator="lessThan" dxfId="0">
      <formula>0</formula>
    </cfRule>
    <cfRule type="cellIs" priority="2171" operator="greaterThan" dxfId="1">
      <formula>0</formula>
    </cfRule>
    <cfRule type="cellIs" priority="2172" operator="equal" dxfId="2">
      <formula>0</formula>
    </cfRule>
    <cfRule type="cellIs" priority="2242" operator="lessThan" dxfId="0">
      <formula>0</formula>
    </cfRule>
    <cfRule type="cellIs" priority="2243" operator="greaterThan" dxfId="1">
      <formula>0</formula>
    </cfRule>
    <cfRule type="cellIs" priority="2244" operator="equal" dxfId="2">
      <formula>0</formula>
    </cfRule>
    <cfRule type="cellIs" priority="2284" operator="lessThan" dxfId="0">
      <formula>0</formula>
    </cfRule>
    <cfRule type="cellIs" priority="2285" operator="greaterThan" dxfId="1">
      <formula>0</formula>
    </cfRule>
    <cfRule type="cellIs" priority="2286" operator="equal" dxfId="2">
      <formula>0</formula>
    </cfRule>
    <cfRule type="cellIs" priority="2371" operator="lessThan" dxfId="0">
      <formula>0</formula>
    </cfRule>
    <cfRule type="cellIs" priority="2372" operator="greaterThan" dxfId="1">
      <formula>0</formula>
    </cfRule>
    <cfRule type="cellIs" priority="2373" operator="equal" dxfId="2">
      <formula>0</formula>
    </cfRule>
    <cfRule type="cellIs" priority="2413" operator="lessThan" dxfId="0">
      <formula>0</formula>
    </cfRule>
    <cfRule type="cellIs" priority="2414" operator="greaterThan" dxfId="1">
      <formula>0</formula>
    </cfRule>
    <cfRule type="cellIs" priority="2415" operator="equal" dxfId="2">
      <formula>0</formula>
    </cfRule>
    <cfRule type="cellIs" priority="2485" operator="lessThan" dxfId="0">
      <formula>0</formula>
    </cfRule>
    <cfRule type="cellIs" priority="2486" operator="greaterThan" dxfId="1">
      <formula>0</formula>
    </cfRule>
    <cfRule type="cellIs" priority="2487" operator="equal" dxfId="2">
      <formula>0</formula>
    </cfRule>
    <cfRule type="cellIs" priority="2527" operator="lessThan" dxfId="0">
      <formula>0</formula>
    </cfRule>
    <cfRule type="cellIs" priority="2528" operator="greaterThan" dxfId="1">
      <formula>0</formula>
    </cfRule>
    <cfRule type="cellIs" priority="2529" operator="equal" dxfId="2">
      <formula>0</formula>
    </cfRule>
    <cfRule type="cellIs" priority="2614" operator="lessThan" dxfId="0">
      <formula>0</formula>
    </cfRule>
    <cfRule type="cellIs" priority="2615" operator="greaterThan" dxfId="1">
      <formula>0</formula>
    </cfRule>
    <cfRule type="cellIs" priority="2616" operator="equal" dxfId="2">
      <formula>0</formula>
    </cfRule>
    <cfRule type="cellIs" priority="2656" operator="lessThan" dxfId="0">
      <formula>0</formula>
    </cfRule>
    <cfRule type="cellIs" priority="2657" operator="greaterThan" dxfId="1">
      <formula>0</formula>
    </cfRule>
    <cfRule type="cellIs" priority="2658" operator="equal" dxfId="2">
      <formula>0</formula>
    </cfRule>
    <cfRule type="cellIs" priority="2728" operator="lessThan" dxfId="0">
      <formula>0</formula>
    </cfRule>
    <cfRule type="cellIs" priority="2729" operator="greaterThan" dxfId="1">
      <formula>0</formula>
    </cfRule>
    <cfRule type="cellIs" priority="2730" operator="equal" dxfId="2">
      <formula>0</formula>
    </cfRule>
    <cfRule type="cellIs" priority="2770" operator="lessThan" dxfId="0">
      <formula>0</formula>
    </cfRule>
    <cfRule type="cellIs" priority="2771" operator="greaterThan" dxfId="1">
      <formula>0</formula>
    </cfRule>
    <cfRule type="cellIs" priority="2772" operator="equal" dxfId="2">
      <formula>0</formula>
    </cfRule>
    <cfRule type="cellIs" priority="2857" operator="lessThan" dxfId="0">
      <formula>0</formula>
    </cfRule>
    <cfRule type="cellIs" priority="2858" operator="greaterThan" dxfId="1">
      <formula>0</formula>
    </cfRule>
    <cfRule type="cellIs" priority="2859" operator="equal" dxfId="2">
      <formula>0</formula>
    </cfRule>
    <cfRule type="cellIs" priority="2899" operator="lessThan" dxfId="0">
      <formula>0</formula>
    </cfRule>
    <cfRule type="cellIs" priority="2900" operator="greaterThan" dxfId="1">
      <formula>0</formula>
    </cfRule>
    <cfRule type="cellIs" priority="2901" operator="equal" dxfId="2">
      <formula>0</formula>
    </cfRule>
  </conditionalFormatting>
  <conditionalFormatting sqref="AF111">
    <cfRule type="cellIs" priority="58" operator="lessThan" dxfId="0">
      <formula>0</formula>
    </cfRule>
    <cfRule type="cellIs" priority="59" operator="greaterThan" dxfId="1">
      <formula>0</formula>
    </cfRule>
    <cfRule type="cellIs" priority="60" operator="equal" dxfId="2">
      <formula>0</formula>
    </cfRule>
    <cfRule type="cellIs" priority="100" operator="lessThan" dxfId="0">
      <formula>0</formula>
    </cfRule>
    <cfRule type="cellIs" priority="101" operator="greaterThan" dxfId="1">
      <formula>0</formula>
    </cfRule>
    <cfRule type="cellIs" priority="102" operator="equal" dxfId="2">
      <formula>0</formula>
    </cfRule>
  </conditionalFormatting>
  <conditionalFormatting sqref="H111">
    <cfRule type="cellIs" priority="61" operator="lessThan" dxfId="0">
      <formula>0</formula>
    </cfRule>
    <cfRule type="cellIs" priority="62" operator="greaterThan" dxfId="1">
      <formula>0</formula>
    </cfRule>
    <cfRule type="cellIs" priority="63" operator="equal" dxfId="2">
      <formula>0</formula>
    </cfRule>
    <cfRule type="cellIs" priority="103" operator="lessThan" dxfId="0">
      <formula>0</formula>
    </cfRule>
    <cfRule type="cellIs" priority="104" operator="greaterThan" dxfId="1">
      <formula>0</formula>
    </cfRule>
    <cfRule type="cellIs" priority="105" operator="equal" dxfId="2">
      <formula>0</formula>
    </cfRule>
    <cfRule type="cellIs" priority="190" operator="lessThan" dxfId="0">
      <formula>0</formula>
    </cfRule>
    <cfRule type="cellIs" priority="191" operator="greaterThan" dxfId="1">
      <formula>0</formula>
    </cfRule>
    <cfRule type="cellIs" priority="192" operator="equal" dxfId="2">
      <formula>0</formula>
    </cfRule>
    <cfRule type="cellIs" priority="232" operator="lessThan" dxfId="0">
      <formula>0</formula>
    </cfRule>
    <cfRule type="cellIs" priority="233" operator="greaterThan" dxfId="1">
      <formula>0</formula>
    </cfRule>
    <cfRule type="cellIs" priority="234" operator="equal" dxfId="2">
      <formula>0</formula>
    </cfRule>
    <cfRule type="cellIs" priority="304" operator="lessThan" dxfId="0">
      <formula>0</formula>
    </cfRule>
    <cfRule type="cellIs" priority="305" operator="greaterThan" dxfId="1">
      <formula>0</formula>
    </cfRule>
    <cfRule type="cellIs" priority="306" operator="equal" dxfId="2">
      <formula>0</formula>
    </cfRule>
    <cfRule type="cellIs" priority="346" operator="lessThan" dxfId="0">
      <formula>0</formula>
    </cfRule>
    <cfRule type="cellIs" priority="347" operator="greaterThan" dxfId="1">
      <formula>0</formula>
    </cfRule>
    <cfRule type="cellIs" priority="348" operator="equal" dxfId="2">
      <formula>0</formula>
    </cfRule>
    <cfRule type="cellIs" priority="433" operator="lessThan" dxfId="0">
      <formula>0</formula>
    </cfRule>
    <cfRule type="cellIs" priority="434" operator="greaterThan" dxfId="1">
      <formula>0</formula>
    </cfRule>
    <cfRule type="cellIs" priority="435" operator="equal" dxfId="2">
      <formula>0</formula>
    </cfRule>
    <cfRule type="cellIs" priority="475" operator="lessThan" dxfId="0">
      <formula>0</formula>
    </cfRule>
    <cfRule type="cellIs" priority="476" operator="greaterThan" dxfId="1">
      <formula>0</formula>
    </cfRule>
    <cfRule type="cellIs" priority="477" operator="equal" dxfId="2">
      <formula>0</formula>
    </cfRule>
    <cfRule type="cellIs" priority="547" operator="lessThan" dxfId="0">
      <formula>0</formula>
    </cfRule>
    <cfRule type="cellIs" priority="548" operator="greaterThan" dxfId="1">
      <formula>0</formula>
    </cfRule>
    <cfRule type="cellIs" priority="549" operator="equal" dxfId="2">
      <formula>0</formula>
    </cfRule>
    <cfRule type="cellIs" priority="589" operator="lessThan" dxfId="0">
      <formula>0</formula>
    </cfRule>
    <cfRule type="cellIs" priority="590" operator="greaterThan" dxfId="1">
      <formula>0</formula>
    </cfRule>
    <cfRule type="cellIs" priority="591" operator="equal" dxfId="2">
      <formula>0</formula>
    </cfRule>
    <cfRule type="cellIs" priority="676" operator="lessThan" dxfId="0">
      <formula>0</formula>
    </cfRule>
    <cfRule type="cellIs" priority="677" operator="greaterThan" dxfId="1">
      <formula>0</formula>
    </cfRule>
    <cfRule type="cellIs" priority="678" operator="equal" dxfId="2">
      <formula>0</formula>
    </cfRule>
    <cfRule type="cellIs" priority="718" operator="lessThan" dxfId="0">
      <formula>0</formula>
    </cfRule>
    <cfRule type="cellIs" priority="719" operator="greaterThan" dxfId="1">
      <formula>0</formula>
    </cfRule>
    <cfRule type="cellIs" priority="720" operator="equal" dxfId="2">
      <formula>0</formula>
    </cfRule>
    <cfRule type="cellIs" priority="790" operator="lessThan" dxfId="0">
      <formula>0</formula>
    </cfRule>
    <cfRule type="cellIs" priority="791" operator="greaterThan" dxfId="1">
      <formula>0</formula>
    </cfRule>
    <cfRule type="cellIs" priority="792" operator="equal" dxfId="2">
      <formula>0</formula>
    </cfRule>
    <cfRule type="cellIs" priority="832" operator="lessThan" dxfId="0">
      <formula>0</formula>
    </cfRule>
    <cfRule type="cellIs" priority="833" operator="greaterThan" dxfId="1">
      <formula>0</formula>
    </cfRule>
    <cfRule type="cellIs" priority="834" operator="equal" dxfId="2">
      <formula>0</formula>
    </cfRule>
    <cfRule type="cellIs" priority="919" operator="lessThan" dxfId="0">
      <formula>0</formula>
    </cfRule>
    <cfRule type="cellIs" priority="920" operator="greaterThan" dxfId="1">
      <formula>0</formula>
    </cfRule>
    <cfRule type="cellIs" priority="921" operator="equal" dxfId="2">
      <formula>0</formula>
    </cfRule>
    <cfRule type="cellIs" priority="961" operator="lessThan" dxfId="0">
      <formula>0</formula>
    </cfRule>
    <cfRule type="cellIs" priority="962" operator="greaterThan" dxfId="1">
      <formula>0</formula>
    </cfRule>
    <cfRule type="cellIs" priority="963" operator="equal" dxfId="2">
      <formula>0</formula>
    </cfRule>
    <cfRule type="cellIs" priority="1033" operator="lessThan" dxfId="0">
      <formula>0</formula>
    </cfRule>
    <cfRule type="cellIs" priority="1034" operator="greaterThan" dxfId="1">
      <formula>0</formula>
    </cfRule>
    <cfRule type="cellIs" priority="1035" operator="equal" dxfId="2">
      <formula>0</formula>
    </cfRule>
    <cfRule type="cellIs" priority="1075" operator="lessThan" dxfId="0">
      <formula>0</formula>
    </cfRule>
    <cfRule type="cellIs" priority="1076" operator="greaterThan" dxfId="1">
      <formula>0</formula>
    </cfRule>
    <cfRule type="cellIs" priority="1077" operator="equal" dxfId="2">
      <formula>0</formula>
    </cfRule>
    <cfRule type="cellIs" priority="1162" operator="lessThan" dxfId="0">
      <formula>0</formula>
    </cfRule>
    <cfRule type="cellIs" priority="1163" operator="greaterThan" dxfId="1">
      <formula>0</formula>
    </cfRule>
    <cfRule type="cellIs" priority="1164" operator="equal" dxfId="2">
      <formula>0</formula>
    </cfRule>
    <cfRule type="cellIs" priority="1204" operator="lessThan" dxfId="0">
      <formula>0</formula>
    </cfRule>
    <cfRule type="cellIs" priority="1205" operator="greaterThan" dxfId="1">
      <formula>0</formula>
    </cfRule>
    <cfRule type="cellIs" priority="1206" operator="equal" dxfId="2">
      <formula>0</formula>
    </cfRule>
    <cfRule type="cellIs" priority="1276" operator="lessThan" dxfId="0">
      <formula>0</formula>
    </cfRule>
    <cfRule type="cellIs" priority="1277" operator="greaterThan" dxfId="1">
      <formula>0</formula>
    </cfRule>
    <cfRule type="cellIs" priority="1278" operator="equal" dxfId="2">
      <formula>0</formula>
    </cfRule>
    <cfRule type="cellIs" priority="1318" operator="lessThan" dxfId="0">
      <formula>0</formula>
    </cfRule>
    <cfRule type="cellIs" priority="1319" operator="greaterThan" dxfId="1">
      <formula>0</formula>
    </cfRule>
    <cfRule type="cellIs" priority="1320" operator="equal" dxfId="2">
      <formula>0</formula>
    </cfRule>
    <cfRule type="cellIs" priority="1405" operator="lessThan" dxfId="0">
      <formula>0</formula>
    </cfRule>
    <cfRule type="cellIs" priority="1406" operator="greaterThan" dxfId="1">
      <formula>0</formula>
    </cfRule>
    <cfRule type="cellIs" priority="1407" operator="equal" dxfId="2">
      <formula>0</formula>
    </cfRule>
    <cfRule type="cellIs" priority="1447" operator="lessThan" dxfId="0">
      <formula>0</formula>
    </cfRule>
    <cfRule type="cellIs" priority="1448" operator="greaterThan" dxfId="1">
      <formula>0</formula>
    </cfRule>
    <cfRule type="cellIs" priority="1449" operator="equal" dxfId="2">
      <formula>0</formula>
    </cfRule>
    <cfRule type="cellIs" priority="1519" operator="lessThan" dxfId="0">
      <formula>0</formula>
    </cfRule>
    <cfRule type="cellIs" priority="1520" operator="greaterThan" dxfId="1">
      <formula>0</formula>
    </cfRule>
    <cfRule type="cellIs" priority="1521" operator="equal" dxfId="2">
      <formula>0</formula>
    </cfRule>
    <cfRule type="cellIs" priority="1561" operator="lessThan" dxfId="0">
      <formula>0</formula>
    </cfRule>
    <cfRule type="cellIs" priority="1562" operator="greaterThan" dxfId="1">
      <formula>0</formula>
    </cfRule>
    <cfRule type="cellIs" priority="1563" operator="equal" dxfId="2">
      <formula>0</formula>
    </cfRule>
    <cfRule type="cellIs" priority="1648" operator="lessThan" dxfId="0">
      <formula>0</formula>
    </cfRule>
    <cfRule type="cellIs" priority="1649" operator="greaterThan" dxfId="1">
      <formula>0</formula>
    </cfRule>
    <cfRule type="cellIs" priority="1650" operator="equal" dxfId="2">
      <formula>0</formula>
    </cfRule>
    <cfRule type="cellIs" priority="1690" operator="lessThan" dxfId="0">
      <formula>0</formula>
    </cfRule>
    <cfRule type="cellIs" priority="1691" operator="greaterThan" dxfId="1">
      <formula>0</formula>
    </cfRule>
    <cfRule type="cellIs" priority="1692" operator="equal" dxfId="2">
      <formula>0</formula>
    </cfRule>
    <cfRule type="cellIs" priority="1762" operator="lessThan" dxfId="0">
      <formula>0</formula>
    </cfRule>
    <cfRule type="cellIs" priority="1763" operator="greaterThan" dxfId="1">
      <formula>0</formula>
    </cfRule>
    <cfRule type="cellIs" priority="1764" operator="equal" dxfId="2">
      <formula>0</formula>
    </cfRule>
    <cfRule type="cellIs" priority="1804" operator="lessThan" dxfId="0">
      <formula>0</formula>
    </cfRule>
    <cfRule type="cellIs" priority="1805" operator="greaterThan" dxfId="1">
      <formula>0</formula>
    </cfRule>
    <cfRule type="cellIs" priority="1806" operator="equal" dxfId="2">
      <formula>0</formula>
    </cfRule>
    <cfRule type="cellIs" priority="1891" operator="lessThan" dxfId="0">
      <formula>0</formula>
    </cfRule>
    <cfRule type="cellIs" priority="1892" operator="greaterThan" dxfId="1">
      <formula>0</formula>
    </cfRule>
    <cfRule type="cellIs" priority="1893" operator="equal" dxfId="2">
      <formula>0</formula>
    </cfRule>
    <cfRule type="cellIs" priority="1933" operator="lessThan" dxfId="0">
      <formula>0</formula>
    </cfRule>
    <cfRule type="cellIs" priority="1934" operator="greaterThan" dxfId="1">
      <formula>0</formula>
    </cfRule>
    <cfRule type="cellIs" priority="1935" operator="equal" dxfId="2">
      <formula>0</formula>
    </cfRule>
    <cfRule type="cellIs" priority="2005" operator="lessThan" dxfId="0">
      <formula>0</formula>
    </cfRule>
    <cfRule type="cellIs" priority="2006" operator="greaterThan" dxfId="1">
      <formula>0</formula>
    </cfRule>
    <cfRule type="cellIs" priority="2007" operator="equal" dxfId="2">
      <formula>0</formula>
    </cfRule>
    <cfRule type="cellIs" priority="2047" operator="lessThan" dxfId="0">
      <formula>0</formula>
    </cfRule>
    <cfRule type="cellIs" priority="2048" operator="greaterThan" dxfId="1">
      <formula>0</formula>
    </cfRule>
    <cfRule type="cellIs" priority="2049" operator="equal" dxfId="2">
      <formula>0</formula>
    </cfRule>
    <cfRule type="cellIs" priority="2134" operator="lessThan" dxfId="0">
      <formula>0</formula>
    </cfRule>
    <cfRule type="cellIs" priority="2135" operator="greaterThan" dxfId="1">
      <formula>0</formula>
    </cfRule>
    <cfRule type="cellIs" priority="2136" operator="equal" dxfId="2">
      <formula>0</formula>
    </cfRule>
    <cfRule type="cellIs" priority="2176" operator="lessThan" dxfId="0">
      <formula>0</formula>
    </cfRule>
    <cfRule type="cellIs" priority="2177" operator="greaterThan" dxfId="1">
      <formula>0</formula>
    </cfRule>
    <cfRule type="cellIs" priority="2178" operator="equal" dxfId="2">
      <formula>0</formula>
    </cfRule>
    <cfRule type="cellIs" priority="2248" operator="lessThan" dxfId="0">
      <formula>0</formula>
    </cfRule>
    <cfRule type="cellIs" priority="2249" operator="greaterThan" dxfId="1">
      <formula>0</formula>
    </cfRule>
    <cfRule type="cellIs" priority="2250" operator="equal" dxfId="2">
      <formula>0</formula>
    </cfRule>
    <cfRule type="cellIs" priority="2290" operator="lessThan" dxfId="0">
      <formula>0</formula>
    </cfRule>
    <cfRule type="cellIs" priority="2291" operator="greaterThan" dxfId="1">
      <formula>0</formula>
    </cfRule>
    <cfRule type="cellIs" priority="2292" operator="equal" dxfId="2">
      <formula>0</formula>
    </cfRule>
    <cfRule type="cellIs" priority="2377" operator="lessThan" dxfId="0">
      <formula>0</formula>
    </cfRule>
    <cfRule type="cellIs" priority="2378" operator="greaterThan" dxfId="1">
      <formula>0</formula>
    </cfRule>
    <cfRule type="cellIs" priority="2379" operator="equal" dxfId="2">
      <formula>0</formula>
    </cfRule>
    <cfRule type="cellIs" priority="2419" operator="lessThan" dxfId="0">
      <formula>0</formula>
    </cfRule>
    <cfRule type="cellIs" priority="2420" operator="greaterThan" dxfId="1">
      <formula>0</formula>
    </cfRule>
    <cfRule type="cellIs" priority="2421" operator="equal" dxfId="2">
      <formula>0</formula>
    </cfRule>
    <cfRule type="cellIs" priority="2491" operator="lessThan" dxfId="0">
      <formula>0</formula>
    </cfRule>
    <cfRule type="cellIs" priority="2492" operator="greaterThan" dxfId="1">
      <formula>0</formula>
    </cfRule>
    <cfRule type="cellIs" priority="2493" operator="equal" dxfId="2">
      <formula>0</formula>
    </cfRule>
    <cfRule type="cellIs" priority="2533" operator="lessThan" dxfId="0">
      <formula>0</formula>
    </cfRule>
    <cfRule type="cellIs" priority="2534" operator="greaterThan" dxfId="1">
      <formula>0</formula>
    </cfRule>
    <cfRule type="cellIs" priority="2535" operator="equal" dxfId="2">
      <formula>0</formula>
    </cfRule>
    <cfRule type="cellIs" priority="2620" operator="lessThan" dxfId="0">
      <formula>0</formula>
    </cfRule>
    <cfRule type="cellIs" priority="2621" operator="greaterThan" dxfId="1">
      <formula>0</formula>
    </cfRule>
    <cfRule type="cellIs" priority="2622" operator="equal" dxfId="2">
      <formula>0</formula>
    </cfRule>
    <cfRule type="cellIs" priority="2662" operator="lessThan" dxfId="0">
      <formula>0</formula>
    </cfRule>
    <cfRule type="cellIs" priority="2663" operator="greaterThan" dxfId="1">
      <formula>0</formula>
    </cfRule>
    <cfRule type="cellIs" priority="2664" operator="equal" dxfId="2">
      <formula>0</formula>
    </cfRule>
    <cfRule type="cellIs" priority="2734" operator="lessThan" dxfId="0">
      <formula>0</formula>
    </cfRule>
    <cfRule type="cellIs" priority="2735" operator="greaterThan" dxfId="1">
      <formula>0</formula>
    </cfRule>
    <cfRule type="cellIs" priority="2736" operator="equal" dxfId="2">
      <formula>0</formula>
    </cfRule>
    <cfRule type="cellIs" priority="2776" operator="lessThan" dxfId="0">
      <formula>0</formula>
    </cfRule>
    <cfRule type="cellIs" priority="2777" operator="greaterThan" dxfId="1">
      <formula>0</formula>
    </cfRule>
    <cfRule type="cellIs" priority="2778" operator="equal" dxfId="2">
      <formula>0</formula>
    </cfRule>
    <cfRule type="cellIs" priority="2863" operator="lessThan" dxfId="0">
      <formula>0</formula>
    </cfRule>
    <cfRule type="cellIs" priority="2864" operator="greaterThan" dxfId="1">
      <formula>0</formula>
    </cfRule>
    <cfRule type="cellIs" priority="2865" operator="equal" dxfId="2">
      <formula>0</formula>
    </cfRule>
    <cfRule type="cellIs" priority="2905" operator="lessThan" dxfId="0">
      <formula>0</formula>
    </cfRule>
    <cfRule type="cellIs" priority="2906" operator="greaterThan" dxfId="1">
      <formula>0</formula>
    </cfRule>
    <cfRule type="cellIs" priority="2907" operator="equal" dxfId="2">
      <formula>0</formula>
    </cfRule>
  </conditionalFormatting>
  <conditionalFormatting sqref="AF112">
    <cfRule type="cellIs" priority="64" operator="lessThan" dxfId="0">
      <formula>0</formula>
    </cfRule>
    <cfRule type="cellIs" priority="65" operator="greaterThan" dxfId="1">
      <formula>0</formula>
    </cfRule>
    <cfRule type="cellIs" priority="66" operator="equal" dxfId="2">
      <formula>0</formula>
    </cfRule>
    <cfRule type="cellIs" priority="106" operator="lessThan" dxfId="0">
      <formula>0</formula>
    </cfRule>
    <cfRule type="cellIs" priority="107" operator="greaterThan" dxfId="1">
      <formula>0</formula>
    </cfRule>
    <cfRule type="cellIs" priority="108" operator="equal" dxfId="2">
      <formula>0</formula>
    </cfRule>
  </conditionalFormatting>
  <conditionalFormatting sqref="H112">
    <cfRule type="cellIs" priority="67" operator="lessThan" dxfId="0">
      <formula>0</formula>
    </cfRule>
    <cfRule type="cellIs" priority="68" operator="greaterThan" dxfId="1">
      <formula>0</formula>
    </cfRule>
    <cfRule type="cellIs" priority="69" operator="equal" dxfId="2">
      <formula>0</formula>
    </cfRule>
    <cfRule type="cellIs" priority="109" operator="lessThan" dxfId="0">
      <formula>0</formula>
    </cfRule>
    <cfRule type="cellIs" priority="110" operator="greaterThan" dxfId="1">
      <formula>0</formula>
    </cfRule>
    <cfRule type="cellIs" priority="111" operator="equal" dxfId="2">
      <formula>0</formula>
    </cfRule>
    <cfRule type="cellIs" priority="196" operator="lessThan" dxfId="0">
      <formula>0</formula>
    </cfRule>
    <cfRule type="cellIs" priority="197" operator="greaterThan" dxfId="1">
      <formula>0</formula>
    </cfRule>
    <cfRule type="cellIs" priority="198" operator="equal" dxfId="2">
      <formula>0</formula>
    </cfRule>
    <cfRule type="cellIs" priority="238" operator="lessThan" dxfId="0">
      <formula>0</formula>
    </cfRule>
    <cfRule type="cellIs" priority="239" operator="greaterThan" dxfId="1">
      <formula>0</formula>
    </cfRule>
    <cfRule type="cellIs" priority="240" operator="equal" dxfId="2">
      <formula>0</formula>
    </cfRule>
    <cfRule type="cellIs" priority="310" operator="lessThan" dxfId="0">
      <formula>0</formula>
    </cfRule>
    <cfRule type="cellIs" priority="311" operator="greaterThan" dxfId="1">
      <formula>0</formula>
    </cfRule>
    <cfRule type="cellIs" priority="312" operator="equal" dxfId="2">
      <formula>0</formula>
    </cfRule>
    <cfRule type="cellIs" priority="352" operator="lessThan" dxfId="0">
      <formula>0</formula>
    </cfRule>
    <cfRule type="cellIs" priority="353" operator="greaterThan" dxfId="1">
      <formula>0</formula>
    </cfRule>
    <cfRule type="cellIs" priority="354" operator="equal" dxfId="2">
      <formula>0</formula>
    </cfRule>
    <cfRule type="cellIs" priority="439" operator="lessThan" dxfId="0">
      <formula>0</formula>
    </cfRule>
    <cfRule type="cellIs" priority="440" operator="greaterThan" dxfId="1">
      <formula>0</formula>
    </cfRule>
    <cfRule type="cellIs" priority="441" operator="equal" dxfId="2">
      <formula>0</formula>
    </cfRule>
    <cfRule type="cellIs" priority="481" operator="lessThan" dxfId="0">
      <formula>0</formula>
    </cfRule>
    <cfRule type="cellIs" priority="482" operator="greaterThan" dxfId="1">
      <formula>0</formula>
    </cfRule>
    <cfRule type="cellIs" priority="483" operator="equal" dxfId="2">
      <formula>0</formula>
    </cfRule>
    <cfRule type="cellIs" priority="553" operator="lessThan" dxfId="0">
      <formula>0</formula>
    </cfRule>
    <cfRule type="cellIs" priority="554" operator="greaterThan" dxfId="1">
      <formula>0</formula>
    </cfRule>
    <cfRule type="cellIs" priority="555" operator="equal" dxfId="2">
      <formula>0</formula>
    </cfRule>
    <cfRule type="cellIs" priority="595" operator="lessThan" dxfId="0">
      <formula>0</formula>
    </cfRule>
    <cfRule type="cellIs" priority="596" operator="greaterThan" dxfId="1">
      <formula>0</formula>
    </cfRule>
    <cfRule type="cellIs" priority="597" operator="equal" dxfId="2">
      <formula>0</formula>
    </cfRule>
    <cfRule type="cellIs" priority="682" operator="lessThan" dxfId="0">
      <formula>0</formula>
    </cfRule>
    <cfRule type="cellIs" priority="683" operator="greaterThan" dxfId="1">
      <formula>0</formula>
    </cfRule>
    <cfRule type="cellIs" priority="684" operator="equal" dxfId="2">
      <formula>0</formula>
    </cfRule>
    <cfRule type="cellIs" priority="724" operator="lessThan" dxfId="0">
      <formula>0</formula>
    </cfRule>
    <cfRule type="cellIs" priority="725" operator="greaterThan" dxfId="1">
      <formula>0</formula>
    </cfRule>
    <cfRule type="cellIs" priority="726" operator="equal" dxfId="2">
      <formula>0</formula>
    </cfRule>
    <cfRule type="cellIs" priority="796" operator="lessThan" dxfId="0">
      <formula>0</formula>
    </cfRule>
    <cfRule type="cellIs" priority="797" operator="greaterThan" dxfId="1">
      <formula>0</formula>
    </cfRule>
    <cfRule type="cellIs" priority="798" operator="equal" dxfId="2">
      <formula>0</formula>
    </cfRule>
    <cfRule type="cellIs" priority="838" operator="lessThan" dxfId="0">
      <formula>0</formula>
    </cfRule>
    <cfRule type="cellIs" priority="839" operator="greaterThan" dxfId="1">
      <formula>0</formula>
    </cfRule>
    <cfRule type="cellIs" priority="840" operator="equal" dxfId="2">
      <formula>0</formula>
    </cfRule>
    <cfRule type="cellIs" priority="925" operator="lessThan" dxfId="0">
      <formula>0</formula>
    </cfRule>
    <cfRule type="cellIs" priority="926" operator="greaterThan" dxfId="1">
      <formula>0</formula>
    </cfRule>
    <cfRule type="cellIs" priority="927" operator="equal" dxfId="2">
      <formula>0</formula>
    </cfRule>
    <cfRule type="cellIs" priority="967" operator="lessThan" dxfId="0">
      <formula>0</formula>
    </cfRule>
    <cfRule type="cellIs" priority="968" operator="greaterThan" dxfId="1">
      <formula>0</formula>
    </cfRule>
    <cfRule type="cellIs" priority="969" operator="equal" dxfId="2">
      <formula>0</formula>
    </cfRule>
    <cfRule type="cellIs" priority="1039" operator="lessThan" dxfId="0">
      <formula>0</formula>
    </cfRule>
    <cfRule type="cellIs" priority="1040" operator="greaterThan" dxfId="1">
      <formula>0</formula>
    </cfRule>
    <cfRule type="cellIs" priority="1041" operator="equal" dxfId="2">
      <formula>0</formula>
    </cfRule>
    <cfRule type="cellIs" priority="1081" operator="lessThan" dxfId="0">
      <formula>0</formula>
    </cfRule>
    <cfRule type="cellIs" priority="1082" operator="greaterThan" dxfId="1">
      <formula>0</formula>
    </cfRule>
    <cfRule type="cellIs" priority="1083" operator="equal" dxfId="2">
      <formula>0</formula>
    </cfRule>
    <cfRule type="cellIs" priority="1168" operator="lessThan" dxfId="0">
      <formula>0</formula>
    </cfRule>
    <cfRule type="cellIs" priority="1169" operator="greaterThan" dxfId="1">
      <formula>0</formula>
    </cfRule>
    <cfRule type="cellIs" priority="1170" operator="equal" dxfId="2">
      <formula>0</formula>
    </cfRule>
    <cfRule type="cellIs" priority="1210" operator="lessThan" dxfId="0">
      <formula>0</formula>
    </cfRule>
    <cfRule type="cellIs" priority="1211" operator="greaterThan" dxfId="1">
      <formula>0</formula>
    </cfRule>
    <cfRule type="cellIs" priority="1212" operator="equal" dxfId="2">
      <formula>0</formula>
    </cfRule>
    <cfRule type="cellIs" priority="1282" operator="lessThan" dxfId="0">
      <formula>0</formula>
    </cfRule>
    <cfRule type="cellIs" priority="1283" operator="greaterThan" dxfId="1">
      <formula>0</formula>
    </cfRule>
    <cfRule type="cellIs" priority="1284" operator="equal" dxfId="2">
      <formula>0</formula>
    </cfRule>
    <cfRule type="cellIs" priority="1324" operator="lessThan" dxfId="0">
      <formula>0</formula>
    </cfRule>
    <cfRule type="cellIs" priority="1325" operator="greaterThan" dxfId="1">
      <formula>0</formula>
    </cfRule>
    <cfRule type="cellIs" priority="1326" operator="equal" dxfId="2">
      <formula>0</formula>
    </cfRule>
    <cfRule type="cellIs" priority="1411" operator="lessThan" dxfId="0">
      <formula>0</formula>
    </cfRule>
    <cfRule type="cellIs" priority="1412" operator="greaterThan" dxfId="1">
      <formula>0</formula>
    </cfRule>
    <cfRule type="cellIs" priority="1413" operator="equal" dxfId="2">
      <formula>0</formula>
    </cfRule>
    <cfRule type="cellIs" priority="1453" operator="lessThan" dxfId="0">
      <formula>0</formula>
    </cfRule>
    <cfRule type="cellIs" priority="1454" operator="greaterThan" dxfId="1">
      <formula>0</formula>
    </cfRule>
    <cfRule type="cellIs" priority="1455" operator="equal" dxfId="2">
      <formula>0</formula>
    </cfRule>
    <cfRule type="cellIs" priority="1525" operator="lessThan" dxfId="0">
      <formula>0</formula>
    </cfRule>
    <cfRule type="cellIs" priority="1526" operator="greaterThan" dxfId="1">
      <formula>0</formula>
    </cfRule>
    <cfRule type="cellIs" priority="1527" operator="equal" dxfId="2">
      <formula>0</formula>
    </cfRule>
    <cfRule type="cellIs" priority="1567" operator="lessThan" dxfId="0">
      <formula>0</formula>
    </cfRule>
    <cfRule type="cellIs" priority="1568" operator="greaterThan" dxfId="1">
      <formula>0</formula>
    </cfRule>
    <cfRule type="cellIs" priority="1569" operator="equal" dxfId="2">
      <formula>0</formula>
    </cfRule>
    <cfRule type="cellIs" priority="1654" operator="lessThan" dxfId="0">
      <formula>0</formula>
    </cfRule>
    <cfRule type="cellIs" priority="1655" operator="greaterThan" dxfId="1">
      <formula>0</formula>
    </cfRule>
    <cfRule type="cellIs" priority="1656" operator="equal" dxfId="2">
      <formula>0</formula>
    </cfRule>
    <cfRule type="cellIs" priority="1696" operator="lessThan" dxfId="0">
      <formula>0</formula>
    </cfRule>
    <cfRule type="cellIs" priority="1697" operator="greaterThan" dxfId="1">
      <formula>0</formula>
    </cfRule>
    <cfRule type="cellIs" priority="1698" operator="equal" dxfId="2">
      <formula>0</formula>
    </cfRule>
    <cfRule type="cellIs" priority="1768" operator="lessThan" dxfId="0">
      <formula>0</formula>
    </cfRule>
    <cfRule type="cellIs" priority="1769" operator="greaterThan" dxfId="1">
      <formula>0</formula>
    </cfRule>
    <cfRule type="cellIs" priority="1770" operator="equal" dxfId="2">
      <formula>0</formula>
    </cfRule>
    <cfRule type="cellIs" priority="1810" operator="lessThan" dxfId="0">
      <formula>0</formula>
    </cfRule>
    <cfRule type="cellIs" priority="1811" operator="greaterThan" dxfId="1">
      <formula>0</formula>
    </cfRule>
    <cfRule type="cellIs" priority="1812" operator="equal" dxfId="2">
      <formula>0</formula>
    </cfRule>
    <cfRule type="cellIs" priority="1897" operator="lessThan" dxfId="0">
      <formula>0</formula>
    </cfRule>
    <cfRule type="cellIs" priority="1898" operator="greaterThan" dxfId="1">
      <formula>0</formula>
    </cfRule>
    <cfRule type="cellIs" priority="1899" operator="equal" dxfId="2">
      <formula>0</formula>
    </cfRule>
    <cfRule type="cellIs" priority="1939" operator="lessThan" dxfId="0">
      <formula>0</formula>
    </cfRule>
    <cfRule type="cellIs" priority="1940" operator="greaterThan" dxfId="1">
      <formula>0</formula>
    </cfRule>
    <cfRule type="cellIs" priority="1941" operator="equal" dxfId="2">
      <formula>0</formula>
    </cfRule>
    <cfRule type="cellIs" priority="2011" operator="lessThan" dxfId="0">
      <formula>0</formula>
    </cfRule>
    <cfRule type="cellIs" priority="2012" operator="greaterThan" dxfId="1">
      <formula>0</formula>
    </cfRule>
    <cfRule type="cellIs" priority="2013" operator="equal" dxfId="2">
      <formula>0</formula>
    </cfRule>
    <cfRule type="cellIs" priority="2053" operator="lessThan" dxfId="0">
      <formula>0</formula>
    </cfRule>
    <cfRule type="cellIs" priority="2054" operator="greaterThan" dxfId="1">
      <formula>0</formula>
    </cfRule>
    <cfRule type="cellIs" priority="2055" operator="equal" dxfId="2">
      <formula>0</formula>
    </cfRule>
    <cfRule type="cellIs" priority="2140" operator="lessThan" dxfId="0">
      <formula>0</formula>
    </cfRule>
    <cfRule type="cellIs" priority="2141" operator="greaterThan" dxfId="1">
      <formula>0</formula>
    </cfRule>
    <cfRule type="cellIs" priority="2142" operator="equal" dxfId="2">
      <formula>0</formula>
    </cfRule>
    <cfRule type="cellIs" priority="2182" operator="lessThan" dxfId="0">
      <formula>0</formula>
    </cfRule>
    <cfRule type="cellIs" priority="2183" operator="greaterThan" dxfId="1">
      <formula>0</formula>
    </cfRule>
    <cfRule type="cellIs" priority="2184" operator="equal" dxfId="2">
      <formula>0</formula>
    </cfRule>
    <cfRule type="cellIs" priority="2254" operator="lessThan" dxfId="0">
      <formula>0</formula>
    </cfRule>
    <cfRule type="cellIs" priority="2255" operator="greaterThan" dxfId="1">
      <formula>0</formula>
    </cfRule>
    <cfRule type="cellIs" priority="2256" operator="equal" dxfId="2">
      <formula>0</formula>
    </cfRule>
    <cfRule type="cellIs" priority="2296" operator="lessThan" dxfId="0">
      <formula>0</formula>
    </cfRule>
    <cfRule type="cellIs" priority="2297" operator="greaterThan" dxfId="1">
      <formula>0</formula>
    </cfRule>
    <cfRule type="cellIs" priority="2298" operator="equal" dxfId="2">
      <formula>0</formula>
    </cfRule>
    <cfRule type="cellIs" priority="2383" operator="lessThan" dxfId="0">
      <formula>0</formula>
    </cfRule>
    <cfRule type="cellIs" priority="2384" operator="greaterThan" dxfId="1">
      <formula>0</formula>
    </cfRule>
    <cfRule type="cellIs" priority="2385" operator="equal" dxfId="2">
      <formula>0</formula>
    </cfRule>
    <cfRule type="cellIs" priority="2425" operator="lessThan" dxfId="0">
      <formula>0</formula>
    </cfRule>
    <cfRule type="cellIs" priority="2426" operator="greaterThan" dxfId="1">
      <formula>0</formula>
    </cfRule>
    <cfRule type="cellIs" priority="2427" operator="equal" dxfId="2">
      <formula>0</formula>
    </cfRule>
    <cfRule type="cellIs" priority="2497" operator="lessThan" dxfId="0">
      <formula>0</formula>
    </cfRule>
    <cfRule type="cellIs" priority="2498" operator="greaterThan" dxfId="1">
      <formula>0</formula>
    </cfRule>
    <cfRule type="cellIs" priority="2499" operator="equal" dxfId="2">
      <formula>0</formula>
    </cfRule>
    <cfRule type="cellIs" priority="2539" operator="lessThan" dxfId="0">
      <formula>0</formula>
    </cfRule>
    <cfRule type="cellIs" priority="2540" operator="greaterThan" dxfId="1">
      <formula>0</formula>
    </cfRule>
    <cfRule type="cellIs" priority="2541" operator="equal" dxfId="2">
      <formula>0</formula>
    </cfRule>
    <cfRule type="cellIs" priority="2626" operator="lessThan" dxfId="0">
      <formula>0</formula>
    </cfRule>
    <cfRule type="cellIs" priority="2627" operator="greaterThan" dxfId="1">
      <formula>0</formula>
    </cfRule>
    <cfRule type="cellIs" priority="2628" operator="equal" dxfId="2">
      <formula>0</formula>
    </cfRule>
    <cfRule type="cellIs" priority="2668" operator="lessThan" dxfId="0">
      <formula>0</formula>
    </cfRule>
    <cfRule type="cellIs" priority="2669" operator="greaterThan" dxfId="1">
      <formula>0</formula>
    </cfRule>
    <cfRule type="cellIs" priority="2670" operator="equal" dxfId="2">
      <formula>0</formula>
    </cfRule>
    <cfRule type="cellIs" priority="2740" operator="lessThan" dxfId="0">
      <formula>0</formula>
    </cfRule>
    <cfRule type="cellIs" priority="2741" operator="greaterThan" dxfId="1">
      <formula>0</formula>
    </cfRule>
    <cfRule type="cellIs" priority="2742" operator="equal" dxfId="2">
      <formula>0</formula>
    </cfRule>
    <cfRule type="cellIs" priority="2782" operator="lessThan" dxfId="0">
      <formula>0</formula>
    </cfRule>
    <cfRule type="cellIs" priority="2783" operator="greaterThan" dxfId="1">
      <formula>0</formula>
    </cfRule>
    <cfRule type="cellIs" priority="2784" operator="equal" dxfId="2">
      <formula>0</formula>
    </cfRule>
    <cfRule type="cellIs" priority="2869" operator="lessThan" dxfId="0">
      <formula>0</formula>
    </cfRule>
    <cfRule type="cellIs" priority="2870" operator="greaterThan" dxfId="1">
      <formula>0</formula>
    </cfRule>
    <cfRule type="cellIs" priority="2871" operator="equal" dxfId="2">
      <formula>0</formula>
    </cfRule>
    <cfRule type="cellIs" priority="2911" operator="lessThan" dxfId="0">
      <formula>0</formula>
    </cfRule>
    <cfRule type="cellIs" priority="2912" operator="greaterThan" dxfId="1">
      <formula>0</formula>
    </cfRule>
    <cfRule type="cellIs" priority="2913" operator="equal" dxfId="2">
      <formula>0</formula>
    </cfRule>
  </conditionalFormatting>
  <conditionalFormatting sqref="AF113">
    <cfRule type="cellIs" priority="70" operator="lessThan" dxfId="0">
      <formula>0</formula>
    </cfRule>
    <cfRule type="cellIs" priority="71" operator="greaterThan" dxfId="1">
      <formula>0</formula>
    </cfRule>
    <cfRule type="cellIs" priority="72" operator="equal" dxfId="2">
      <formula>0</formula>
    </cfRule>
    <cfRule type="cellIs" priority="112" operator="lessThan" dxfId="0">
      <formula>0</formula>
    </cfRule>
    <cfRule type="cellIs" priority="113" operator="greaterThan" dxfId="1">
      <formula>0</formula>
    </cfRule>
    <cfRule type="cellIs" priority="114" operator="equal" dxfId="2">
      <formula>0</formula>
    </cfRule>
  </conditionalFormatting>
  <conditionalFormatting sqref="H113">
    <cfRule type="cellIs" priority="73" operator="lessThan" dxfId="0">
      <formula>0</formula>
    </cfRule>
    <cfRule type="cellIs" priority="74" operator="greaterThan" dxfId="1">
      <formula>0</formula>
    </cfRule>
    <cfRule type="cellIs" priority="75" operator="equal" dxfId="2">
      <formula>0</formula>
    </cfRule>
    <cfRule type="cellIs" priority="115" operator="lessThan" dxfId="0">
      <formula>0</formula>
    </cfRule>
    <cfRule type="cellIs" priority="116" operator="greaterThan" dxfId="1">
      <formula>0</formula>
    </cfRule>
    <cfRule type="cellIs" priority="117" operator="equal" dxfId="2">
      <formula>0</formula>
    </cfRule>
    <cfRule type="cellIs" priority="202" operator="lessThan" dxfId="0">
      <formula>0</formula>
    </cfRule>
    <cfRule type="cellIs" priority="203" operator="greaterThan" dxfId="1">
      <formula>0</formula>
    </cfRule>
    <cfRule type="cellIs" priority="204" operator="equal" dxfId="2">
      <formula>0</formula>
    </cfRule>
    <cfRule type="cellIs" priority="244" operator="lessThan" dxfId="0">
      <formula>0</formula>
    </cfRule>
    <cfRule type="cellIs" priority="245" operator="greaterThan" dxfId="1">
      <formula>0</formula>
    </cfRule>
    <cfRule type="cellIs" priority="246" operator="equal" dxfId="2">
      <formula>0</formula>
    </cfRule>
    <cfRule type="cellIs" priority="316" operator="lessThan" dxfId="0">
      <formula>0</formula>
    </cfRule>
    <cfRule type="cellIs" priority="317" operator="greaterThan" dxfId="1">
      <formula>0</formula>
    </cfRule>
    <cfRule type="cellIs" priority="318" operator="equal" dxfId="2">
      <formula>0</formula>
    </cfRule>
    <cfRule type="cellIs" priority="358" operator="lessThan" dxfId="0">
      <formula>0</formula>
    </cfRule>
    <cfRule type="cellIs" priority="359" operator="greaterThan" dxfId="1">
      <formula>0</formula>
    </cfRule>
    <cfRule type="cellIs" priority="360" operator="equal" dxfId="2">
      <formula>0</formula>
    </cfRule>
    <cfRule type="cellIs" priority="445" operator="lessThan" dxfId="0">
      <formula>0</formula>
    </cfRule>
    <cfRule type="cellIs" priority="446" operator="greaterThan" dxfId="1">
      <formula>0</formula>
    </cfRule>
    <cfRule type="cellIs" priority="447" operator="equal" dxfId="2">
      <formula>0</formula>
    </cfRule>
    <cfRule type="cellIs" priority="487" operator="lessThan" dxfId="0">
      <formula>0</formula>
    </cfRule>
    <cfRule type="cellIs" priority="488" operator="greaterThan" dxfId="1">
      <formula>0</formula>
    </cfRule>
    <cfRule type="cellIs" priority="489" operator="equal" dxfId="2">
      <formula>0</formula>
    </cfRule>
    <cfRule type="cellIs" priority="559" operator="lessThan" dxfId="0">
      <formula>0</formula>
    </cfRule>
    <cfRule type="cellIs" priority="560" operator="greaterThan" dxfId="1">
      <formula>0</formula>
    </cfRule>
    <cfRule type="cellIs" priority="561" operator="equal" dxfId="2">
      <formula>0</formula>
    </cfRule>
    <cfRule type="cellIs" priority="601" operator="lessThan" dxfId="0">
      <formula>0</formula>
    </cfRule>
    <cfRule type="cellIs" priority="602" operator="greaterThan" dxfId="1">
      <formula>0</formula>
    </cfRule>
    <cfRule type="cellIs" priority="603" operator="equal" dxfId="2">
      <formula>0</formula>
    </cfRule>
    <cfRule type="cellIs" priority="688" operator="lessThan" dxfId="0">
      <formula>0</formula>
    </cfRule>
    <cfRule type="cellIs" priority="689" operator="greaterThan" dxfId="1">
      <formula>0</formula>
    </cfRule>
    <cfRule type="cellIs" priority="690" operator="equal" dxfId="2">
      <formula>0</formula>
    </cfRule>
    <cfRule type="cellIs" priority="730" operator="lessThan" dxfId="0">
      <formula>0</formula>
    </cfRule>
    <cfRule type="cellIs" priority="731" operator="greaterThan" dxfId="1">
      <formula>0</formula>
    </cfRule>
    <cfRule type="cellIs" priority="732" operator="equal" dxfId="2">
      <formula>0</formula>
    </cfRule>
    <cfRule type="cellIs" priority="802" operator="lessThan" dxfId="0">
      <formula>0</formula>
    </cfRule>
    <cfRule type="cellIs" priority="803" operator="greaterThan" dxfId="1">
      <formula>0</formula>
    </cfRule>
    <cfRule type="cellIs" priority="804" operator="equal" dxfId="2">
      <formula>0</formula>
    </cfRule>
    <cfRule type="cellIs" priority="844" operator="lessThan" dxfId="0">
      <formula>0</formula>
    </cfRule>
    <cfRule type="cellIs" priority="845" operator="greaterThan" dxfId="1">
      <formula>0</formula>
    </cfRule>
    <cfRule type="cellIs" priority="846" operator="equal" dxfId="2">
      <formula>0</formula>
    </cfRule>
    <cfRule type="cellIs" priority="931" operator="lessThan" dxfId="0">
      <formula>0</formula>
    </cfRule>
    <cfRule type="cellIs" priority="932" operator="greaterThan" dxfId="1">
      <formula>0</formula>
    </cfRule>
    <cfRule type="cellIs" priority="933" operator="equal" dxfId="2">
      <formula>0</formula>
    </cfRule>
    <cfRule type="cellIs" priority="973" operator="lessThan" dxfId="0">
      <formula>0</formula>
    </cfRule>
    <cfRule type="cellIs" priority="974" operator="greaterThan" dxfId="1">
      <formula>0</formula>
    </cfRule>
    <cfRule type="cellIs" priority="975" operator="equal" dxfId="2">
      <formula>0</formula>
    </cfRule>
    <cfRule type="cellIs" priority="1045" operator="lessThan" dxfId="0">
      <formula>0</formula>
    </cfRule>
    <cfRule type="cellIs" priority="1046" operator="greaterThan" dxfId="1">
      <formula>0</formula>
    </cfRule>
    <cfRule type="cellIs" priority="1047" operator="equal" dxfId="2">
      <formula>0</formula>
    </cfRule>
    <cfRule type="cellIs" priority="1087" operator="lessThan" dxfId="0">
      <formula>0</formula>
    </cfRule>
    <cfRule type="cellIs" priority="1088" operator="greaterThan" dxfId="1">
      <formula>0</formula>
    </cfRule>
    <cfRule type="cellIs" priority="1089" operator="equal" dxfId="2">
      <formula>0</formula>
    </cfRule>
    <cfRule type="cellIs" priority="1174" operator="lessThan" dxfId="0">
      <formula>0</formula>
    </cfRule>
    <cfRule type="cellIs" priority="1175" operator="greaterThan" dxfId="1">
      <formula>0</formula>
    </cfRule>
    <cfRule type="cellIs" priority="1176" operator="equal" dxfId="2">
      <formula>0</formula>
    </cfRule>
    <cfRule type="cellIs" priority="1216" operator="lessThan" dxfId="0">
      <formula>0</formula>
    </cfRule>
    <cfRule type="cellIs" priority="1217" operator="greaterThan" dxfId="1">
      <formula>0</formula>
    </cfRule>
    <cfRule type="cellIs" priority="1218" operator="equal" dxfId="2">
      <formula>0</formula>
    </cfRule>
    <cfRule type="cellIs" priority="1288" operator="lessThan" dxfId="0">
      <formula>0</formula>
    </cfRule>
    <cfRule type="cellIs" priority="1289" operator="greaterThan" dxfId="1">
      <formula>0</formula>
    </cfRule>
    <cfRule type="cellIs" priority="1290" operator="equal" dxfId="2">
      <formula>0</formula>
    </cfRule>
    <cfRule type="cellIs" priority="1330" operator="lessThan" dxfId="0">
      <formula>0</formula>
    </cfRule>
    <cfRule type="cellIs" priority="1331" operator="greaterThan" dxfId="1">
      <formula>0</formula>
    </cfRule>
    <cfRule type="cellIs" priority="1332" operator="equal" dxfId="2">
      <formula>0</formula>
    </cfRule>
    <cfRule type="cellIs" priority="1417" operator="lessThan" dxfId="0">
      <formula>0</formula>
    </cfRule>
    <cfRule type="cellIs" priority="1418" operator="greaterThan" dxfId="1">
      <formula>0</formula>
    </cfRule>
    <cfRule type="cellIs" priority="1419" operator="equal" dxfId="2">
      <formula>0</formula>
    </cfRule>
    <cfRule type="cellIs" priority="1459" operator="lessThan" dxfId="0">
      <formula>0</formula>
    </cfRule>
    <cfRule type="cellIs" priority="1460" operator="greaterThan" dxfId="1">
      <formula>0</formula>
    </cfRule>
    <cfRule type="cellIs" priority="1461" operator="equal" dxfId="2">
      <formula>0</formula>
    </cfRule>
    <cfRule type="cellIs" priority="1531" operator="lessThan" dxfId="0">
      <formula>0</formula>
    </cfRule>
    <cfRule type="cellIs" priority="1532" operator="greaterThan" dxfId="1">
      <formula>0</formula>
    </cfRule>
    <cfRule type="cellIs" priority="1533" operator="equal" dxfId="2">
      <formula>0</formula>
    </cfRule>
    <cfRule type="cellIs" priority="1573" operator="lessThan" dxfId="0">
      <formula>0</formula>
    </cfRule>
    <cfRule type="cellIs" priority="1574" operator="greaterThan" dxfId="1">
      <formula>0</formula>
    </cfRule>
    <cfRule type="cellIs" priority="1575" operator="equal" dxfId="2">
      <formula>0</formula>
    </cfRule>
    <cfRule type="cellIs" priority="1660" operator="lessThan" dxfId="0">
      <formula>0</formula>
    </cfRule>
    <cfRule type="cellIs" priority="1661" operator="greaterThan" dxfId="1">
      <formula>0</formula>
    </cfRule>
    <cfRule type="cellIs" priority="1662" operator="equal" dxfId="2">
      <formula>0</formula>
    </cfRule>
    <cfRule type="cellIs" priority="1702" operator="lessThan" dxfId="0">
      <formula>0</formula>
    </cfRule>
    <cfRule type="cellIs" priority="1703" operator="greaterThan" dxfId="1">
      <formula>0</formula>
    </cfRule>
    <cfRule type="cellIs" priority="1704" operator="equal" dxfId="2">
      <formula>0</formula>
    </cfRule>
    <cfRule type="cellIs" priority="1774" operator="lessThan" dxfId="0">
      <formula>0</formula>
    </cfRule>
    <cfRule type="cellIs" priority="1775" operator="greaterThan" dxfId="1">
      <formula>0</formula>
    </cfRule>
    <cfRule type="cellIs" priority="1776" operator="equal" dxfId="2">
      <formula>0</formula>
    </cfRule>
    <cfRule type="cellIs" priority="1816" operator="lessThan" dxfId="0">
      <formula>0</formula>
    </cfRule>
    <cfRule type="cellIs" priority="1817" operator="greaterThan" dxfId="1">
      <formula>0</formula>
    </cfRule>
    <cfRule type="cellIs" priority="1818" operator="equal" dxfId="2">
      <formula>0</formula>
    </cfRule>
    <cfRule type="cellIs" priority="1903" operator="lessThan" dxfId="0">
      <formula>0</formula>
    </cfRule>
    <cfRule type="cellIs" priority="1904" operator="greaterThan" dxfId="1">
      <formula>0</formula>
    </cfRule>
    <cfRule type="cellIs" priority="1905" operator="equal" dxfId="2">
      <formula>0</formula>
    </cfRule>
    <cfRule type="cellIs" priority="1945" operator="lessThan" dxfId="0">
      <formula>0</formula>
    </cfRule>
    <cfRule type="cellIs" priority="1946" operator="greaterThan" dxfId="1">
      <formula>0</formula>
    </cfRule>
    <cfRule type="cellIs" priority="1947" operator="equal" dxfId="2">
      <formula>0</formula>
    </cfRule>
    <cfRule type="cellIs" priority="2017" operator="lessThan" dxfId="0">
      <formula>0</formula>
    </cfRule>
    <cfRule type="cellIs" priority="2018" operator="greaterThan" dxfId="1">
      <formula>0</formula>
    </cfRule>
    <cfRule type="cellIs" priority="2019" operator="equal" dxfId="2">
      <formula>0</formula>
    </cfRule>
    <cfRule type="cellIs" priority="2059" operator="lessThan" dxfId="0">
      <formula>0</formula>
    </cfRule>
    <cfRule type="cellIs" priority="2060" operator="greaterThan" dxfId="1">
      <formula>0</formula>
    </cfRule>
    <cfRule type="cellIs" priority="2061" operator="equal" dxfId="2">
      <formula>0</formula>
    </cfRule>
    <cfRule type="cellIs" priority="2146" operator="lessThan" dxfId="0">
      <formula>0</formula>
    </cfRule>
    <cfRule type="cellIs" priority="2147" operator="greaterThan" dxfId="1">
      <formula>0</formula>
    </cfRule>
    <cfRule type="cellIs" priority="2148" operator="equal" dxfId="2">
      <formula>0</formula>
    </cfRule>
    <cfRule type="cellIs" priority="2188" operator="lessThan" dxfId="0">
      <formula>0</formula>
    </cfRule>
    <cfRule type="cellIs" priority="2189" operator="greaterThan" dxfId="1">
      <formula>0</formula>
    </cfRule>
    <cfRule type="cellIs" priority="2190" operator="equal" dxfId="2">
      <formula>0</formula>
    </cfRule>
    <cfRule type="cellIs" priority="2260" operator="lessThan" dxfId="0">
      <formula>0</formula>
    </cfRule>
    <cfRule type="cellIs" priority="2261" operator="greaterThan" dxfId="1">
      <formula>0</formula>
    </cfRule>
    <cfRule type="cellIs" priority="2262" operator="equal" dxfId="2">
      <formula>0</formula>
    </cfRule>
    <cfRule type="cellIs" priority="2302" operator="lessThan" dxfId="0">
      <formula>0</formula>
    </cfRule>
    <cfRule type="cellIs" priority="2303" operator="greaterThan" dxfId="1">
      <formula>0</formula>
    </cfRule>
    <cfRule type="cellIs" priority="2304" operator="equal" dxfId="2">
      <formula>0</formula>
    </cfRule>
    <cfRule type="cellIs" priority="2389" operator="lessThan" dxfId="0">
      <formula>0</formula>
    </cfRule>
    <cfRule type="cellIs" priority="2390" operator="greaterThan" dxfId="1">
      <formula>0</formula>
    </cfRule>
    <cfRule type="cellIs" priority="2391" operator="equal" dxfId="2">
      <formula>0</formula>
    </cfRule>
    <cfRule type="cellIs" priority="2431" operator="lessThan" dxfId="0">
      <formula>0</formula>
    </cfRule>
    <cfRule type="cellIs" priority="2432" operator="greaterThan" dxfId="1">
      <formula>0</formula>
    </cfRule>
    <cfRule type="cellIs" priority="2433" operator="equal" dxfId="2">
      <formula>0</formula>
    </cfRule>
    <cfRule type="cellIs" priority="2503" operator="lessThan" dxfId="0">
      <formula>0</formula>
    </cfRule>
    <cfRule type="cellIs" priority="2504" operator="greaterThan" dxfId="1">
      <formula>0</formula>
    </cfRule>
    <cfRule type="cellIs" priority="2505" operator="equal" dxfId="2">
      <formula>0</formula>
    </cfRule>
    <cfRule type="cellIs" priority="2545" operator="lessThan" dxfId="0">
      <formula>0</formula>
    </cfRule>
    <cfRule type="cellIs" priority="2546" operator="greaterThan" dxfId="1">
      <formula>0</formula>
    </cfRule>
    <cfRule type="cellIs" priority="2547" operator="equal" dxfId="2">
      <formula>0</formula>
    </cfRule>
    <cfRule type="cellIs" priority="2632" operator="lessThan" dxfId="0">
      <formula>0</formula>
    </cfRule>
    <cfRule type="cellIs" priority="2633" operator="greaterThan" dxfId="1">
      <formula>0</formula>
    </cfRule>
    <cfRule type="cellIs" priority="2634" operator="equal" dxfId="2">
      <formula>0</formula>
    </cfRule>
    <cfRule type="cellIs" priority="2674" operator="lessThan" dxfId="0">
      <formula>0</formula>
    </cfRule>
    <cfRule type="cellIs" priority="2675" operator="greaterThan" dxfId="1">
      <formula>0</formula>
    </cfRule>
    <cfRule type="cellIs" priority="2676" operator="equal" dxfId="2">
      <formula>0</formula>
    </cfRule>
    <cfRule type="cellIs" priority="2746" operator="lessThan" dxfId="0">
      <formula>0</formula>
    </cfRule>
    <cfRule type="cellIs" priority="2747" operator="greaterThan" dxfId="1">
      <formula>0</formula>
    </cfRule>
    <cfRule type="cellIs" priority="2748" operator="equal" dxfId="2">
      <formula>0</formula>
    </cfRule>
    <cfRule type="cellIs" priority="2788" operator="lessThan" dxfId="0">
      <formula>0</formula>
    </cfRule>
    <cfRule type="cellIs" priority="2789" operator="greaterThan" dxfId="1">
      <formula>0</formula>
    </cfRule>
    <cfRule type="cellIs" priority="2790" operator="equal" dxfId="2">
      <formula>0</formula>
    </cfRule>
    <cfRule type="cellIs" priority="2875" operator="lessThan" dxfId="0">
      <formula>0</formula>
    </cfRule>
    <cfRule type="cellIs" priority="2876" operator="greaterThan" dxfId="1">
      <formula>0</formula>
    </cfRule>
    <cfRule type="cellIs" priority="2877" operator="equal" dxfId="2">
      <formula>0</formula>
    </cfRule>
    <cfRule type="cellIs" priority="2917" operator="lessThan" dxfId="0">
      <formula>0</formula>
    </cfRule>
    <cfRule type="cellIs" priority="2918" operator="greaterThan" dxfId="1">
      <formula>0</formula>
    </cfRule>
    <cfRule type="cellIs" priority="2919" operator="equal" dxfId="2">
      <formula>0</formula>
    </cfRule>
  </conditionalFormatting>
  <conditionalFormatting sqref="AF114">
    <cfRule type="cellIs" priority="76" operator="lessThan" dxfId="0">
      <formula>0</formula>
    </cfRule>
    <cfRule type="cellIs" priority="77" operator="greaterThan" dxfId="1">
      <formula>0</formula>
    </cfRule>
    <cfRule type="cellIs" priority="78" operator="equal" dxfId="2">
      <formula>0</formula>
    </cfRule>
    <cfRule type="cellIs" priority="118" operator="lessThan" dxfId="0">
      <formula>0</formula>
    </cfRule>
    <cfRule type="cellIs" priority="119" operator="greaterThan" dxfId="1">
      <formula>0</formula>
    </cfRule>
    <cfRule type="cellIs" priority="120" operator="equal" dxfId="2">
      <formula>0</formula>
    </cfRule>
  </conditionalFormatting>
  <conditionalFormatting sqref="H114">
    <cfRule type="cellIs" priority="79" operator="lessThan" dxfId="0">
      <formula>0</formula>
    </cfRule>
    <cfRule type="cellIs" priority="80" operator="greaterThan" dxfId="1">
      <formula>0</formula>
    </cfRule>
    <cfRule type="cellIs" priority="81" operator="equal" dxfId="2">
      <formula>0</formula>
    </cfRule>
    <cfRule type="cellIs" priority="121" operator="lessThan" dxfId="0">
      <formula>0</formula>
    </cfRule>
    <cfRule type="cellIs" priority="122" operator="greaterThan" dxfId="1">
      <formula>0</formula>
    </cfRule>
    <cfRule type="cellIs" priority="123" operator="equal" dxfId="2">
      <formula>0</formula>
    </cfRule>
    <cfRule type="cellIs" priority="208" operator="lessThan" dxfId="0">
      <formula>0</formula>
    </cfRule>
    <cfRule type="cellIs" priority="209" operator="greaterThan" dxfId="1">
      <formula>0</formula>
    </cfRule>
    <cfRule type="cellIs" priority="210" operator="equal" dxfId="2">
      <formula>0</formula>
    </cfRule>
    <cfRule type="cellIs" priority="250" operator="lessThan" dxfId="0">
      <formula>0</formula>
    </cfRule>
    <cfRule type="cellIs" priority="251" operator="greaterThan" dxfId="1">
      <formula>0</formula>
    </cfRule>
    <cfRule type="cellIs" priority="252" operator="equal" dxfId="2">
      <formula>0</formula>
    </cfRule>
    <cfRule type="cellIs" priority="322" operator="lessThan" dxfId="0">
      <formula>0</formula>
    </cfRule>
    <cfRule type="cellIs" priority="323" operator="greaterThan" dxfId="1">
      <formula>0</formula>
    </cfRule>
    <cfRule type="cellIs" priority="324" operator="equal" dxfId="2">
      <formula>0</formula>
    </cfRule>
    <cfRule type="cellIs" priority="364" operator="lessThan" dxfId="0">
      <formula>0</formula>
    </cfRule>
    <cfRule type="cellIs" priority="365" operator="greaterThan" dxfId="1">
      <formula>0</formula>
    </cfRule>
    <cfRule type="cellIs" priority="366" operator="equal" dxfId="2">
      <formula>0</formula>
    </cfRule>
    <cfRule type="cellIs" priority="451" operator="lessThan" dxfId="0">
      <formula>0</formula>
    </cfRule>
    <cfRule type="cellIs" priority="452" operator="greaterThan" dxfId="1">
      <formula>0</formula>
    </cfRule>
    <cfRule type="cellIs" priority="453" operator="equal" dxfId="2">
      <formula>0</formula>
    </cfRule>
    <cfRule type="cellIs" priority="493" operator="lessThan" dxfId="0">
      <formula>0</formula>
    </cfRule>
    <cfRule type="cellIs" priority="494" operator="greaterThan" dxfId="1">
      <formula>0</formula>
    </cfRule>
    <cfRule type="cellIs" priority="495" operator="equal" dxfId="2">
      <formula>0</formula>
    </cfRule>
    <cfRule type="cellIs" priority="565" operator="lessThan" dxfId="0">
      <formula>0</formula>
    </cfRule>
    <cfRule type="cellIs" priority="566" operator="greaterThan" dxfId="1">
      <formula>0</formula>
    </cfRule>
    <cfRule type="cellIs" priority="567" operator="equal" dxfId="2">
      <formula>0</formula>
    </cfRule>
    <cfRule type="cellIs" priority="607" operator="lessThan" dxfId="0">
      <formula>0</formula>
    </cfRule>
    <cfRule type="cellIs" priority="608" operator="greaterThan" dxfId="1">
      <formula>0</formula>
    </cfRule>
    <cfRule type="cellIs" priority="609" operator="equal" dxfId="2">
      <formula>0</formula>
    </cfRule>
    <cfRule type="cellIs" priority="694" operator="lessThan" dxfId="0">
      <formula>0</formula>
    </cfRule>
    <cfRule type="cellIs" priority="695" operator="greaterThan" dxfId="1">
      <formula>0</formula>
    </cfRule>
    <cfRule type="cellIs" priority="696" operator="equal" dxfId="2">
      <formula>0</formula>
    </cfRule>
    <cfRule type="cellIs" priority="736" operator="lessThan" dxfId="0">
      <formula>0</formula>
    </cfRule>
    <cfRule type="cellIs" priority="737" operator="greaterThan" dxfId="1">
      <formula>0</formula>
    </cfRule>
    <cfRule type="cellIs" priority="738" operator="equal" dxfId="2">
      <formula>0</formula>
    </cfRule>
    <cfRule type="cellIs" priority="808" operator="lessThan" dxfId="0">
      <formula>0</formula>
    </cfRule>
    <cfRule type="cellIs" priority="809" operator="greaterThan" dxfId="1">
      <formula>0</formula>
    </cfRule>
    <cfRule type="cellIs" priority="810" operator="equal" dxfId="2">
      <formula>0</formula>
    </cfRule>
    <cfRule type="cellIs" priority="850" operator="lessThan" dxfId="0">
      <formula>0</formula>
    </cfRule>
    <cfRule type="cellIs" priority="851" operator="greaterThan" dxfId="1">
      <formula>0</formula>
    </cfRule>
    <cfRule type="cellIs" priority="852" operator="equal" dxfId="2">
      <formula>0</formula>
    </cfRule>
    <cfRule type="cellIs" priority="937" operator="lessThan" dxfId="0">
      <formula>0</formula>
    </cfRule>
    <cfRule type="cellIs" priority="938" operator="greaterThan" dxfId="1">
      <formula>0</formula>
    </cfRule>
    <cfRule type="cellIs" priority="939" operator="equal" dxfId="2">
      <formula>0</formula>
    </cfRule>
    <cfRule type="cellIs" priority="979" operator="lessThan" dxfId="0">
      <formula>0</formula>
    </cfRule>
    <cfRule type="cellIs" priority="980" operator="greaterThan" dxfId="1">
      <formula>0</formula>
    </cfRule>
    <cfRule type="cellIs" priority="981" operator="equal" dxfId="2">
      <formula>0</formula>
    </cfRule>
    <cfRule type="cellIs" priority="1051" operator="lessThan" dxfId="0">
      <formula>0</formula>
    </cfRule>
    <cfRule type="cellIs" priority="1052" operator="greaterThan" dxfId="1">
      <formula>0</formula>
    </cfRule>
    <cfRule type="cellIs" priority="1053" operator="equal" dxfId="2">
      <formula>0</formula>
    </cfRule>
    <cfRule type="cellIs" priority="1093" operator="lessThan" dxfId="0">
      <formula>0</formula>
    </cfRule>
    <cfRule type="cellIs" priority="1094" operator="greaterThan" dxfId="1">
      <formula>0</formula>
    </cfRule>
    <cfRule type="cellIs" priority="1095" operator="equal" dxfId="2">
      <formula>0</formula>
    </cfRule>
    <cfRule type="cellIs" priority="1180" operator="lessThan" dxfId="0">
      <formula>0</formula>
    </cfRule>
    <cfRule type="cellIs" priority="1181" operator="greaterThan" dxfId="1">
      <formula>0</formula>
    </cfRule>
    <cfRule type="cellIs" priority="1182" operator="equal" dxfId="2">
      <formula>0</formula>
    </cfRule>
    <cfRule type="cellIs" priority="1222" operator="lessThan" dxfId="0">
      <formula>0</formula>
    </cfRule>
    <cfRule type="cellIs" priority="1223" operator="greaterThan" dxfId="1">
      <formula>0</formula>
    </cfRule>
    <cfRule type="cellIs" priority="1224" operator="equal" dxfId="2">
      <formula>0</formula>
    </cfRule>
    <cfRule type="cellIs" priority="1294" operator="lessThan" dxfId="0">
      <formula>0</formula>
    </cfRule>
    <cfRule type="cellIs" priority="1295" operator="greaterThan" dxfId="1">
      <formula>0</formula>
    </cfRule>
    <cfRule type="cellIs" priority="1296" operator="equal" dxfId="2">
      <formula>0</formula>
    </cfRule>
    <cfRule type="cellIs" priority="1336" operator="lessThan" dxfId="0">
      <formula>0</formula>
    </cfRule>
    <cfRule type="cellIs" priority="1337" operator="greaterThan" dxfId="1">
      <formula>0</formula>
    </cfRule>
    <cfRule type="cellIs" priority="1338" operator="equal" dxfId="2">
      <formula>0</formula>
    </cfRule>
    <cfRule type="cellIs" priority="1423" operator="lessThan" dxfId="0">
      <formula>0</formula>
    </cfRule>
    <cfRule type="cellIs" priority="1424" operator="greaterThan" dxfId="1">
      <formula>0</formula>
    </cfRule>
    <cfRule type="cellIs" priority="1425" operator="equal" dxfId="2">
      <formula>0</formula>
    </cfRule>
    <cfRule type="cellIs" priority="1465" operator="lessThan" dxfId="0">
      <formula>0</formula>
    </cfRule>
    <cfRule type="cellIs" priority="1466" operator="greaterThan" dxfId="1">
      <formula>0</formula>
    </cfRule>
    <cfRule type="cellIs" priority="1467" operator="equal" dxfId="2">
      <formula>0</formula>
    </cfRule>
    <cfRule type="cellIs" priority="1537" operator="lessThan" dxfId="0">
      <formula>0</formula>
    </cfRule>
    <cfRule type="cellIs" priority="1538" operator="greaterThan" dxfId="1">
      <formula>0</formula>
    </cfRule>
    <cfRule type="cellIs" priority="1539" operator="equal" dxfId="2">
      <formula>0</formula>
    </cfRule>
    <cfRule type="cellIs" priority="1579" operator="lessThan" dxfId="0">
      <formula>0</formula>
    </cfRule>
    <cfRule type="cellIs" priority="1580" operator="greaterThan" dxfId="1">
      <formula>0</formula>
    </cfRule>
    <cfRule type="cellIs" priority="1581" operator="equal" dxfId="2">
      <formula>0</formula>
    </cfRule>
    <cfRule type="cellIs" priority="1666" operator="lessThan" dxfId="0">
      <formula>0</formula>
    </cfRule>
    <cfRule type="cellIs" priority="1667" operator="greaterThan" dxfId="1">
      <formula>0</formula>
    </cfRule>
    <cfRule type="cellIs" priority="1668" operator="equal" dxfId="2">
      <formula>0</formula>
    </cfRule>
    <cfRule type="cellIs" priority="1708" operator="lessThan" dxfId="0">
      <formula>0</formula>
    </cfRule>
    <cfRule type="cellIs" priority="1709" operator="greaterThan" dxfId="1">
      <formula>0</formula>
    </cfRule>
    <cfRule type="cellIs" priority="1710" operator="equal" dxfId="2">
      <formula>0</formula>
    </cfRule>
    <cfRule type="cellIs" priority="1780" operator="lessThan" dxfId="0">
      <formula>0</formula>
    </cfRule>
    <cfRule type="cellIs" priority="1781" operator="greaterThan" dxfId="1">
      <formula>0</formula>
    </cfRule>
    <cfRule type="cellIs" priority="1782" operator="equal" dxfId="2">
      <formula>0</formula>
    </cfRule>
    <cfRule type="cellIs" priority="1822" operator="lessThan" dxfId="0">
      <formula>0</formula>
    </cfRule>
    <cfRule type="cellIs" priority="1823" operator="greaterThan" dxfId="1">
      <formula>0</formula>
    </cfRule>
    <cfRule type="cellIs" priority="1824" operator="equal" dxfId="2">
      <formula>0</formula>
    </cfRule>
    <cfRule type="cellIs" priority="1909" operator="lessThan" dxfId="0">
      <formula>0</formula>
    </cfRule>
    <cfRule type="cellIs" priority="1910" operator="greaterThan" dxfId="1">
      <formula>0</formula>
    </cfRule>
    <cfRule type="cellIs" priority="1911" operator="equal" dxfId="2">
      <formula>0</formula>
    </cfRule>
    <cfRule type="cellIs" priority="1951" operator="lessThan" dxfId="0">
      <formula>0</formula>
    </cfRule>
    <cfRule type="cellIs" priority="1952" operator="greaterThan" dxfId="1">
      <formula>0</formula>
    </cfRule>
    <cfRule type="cellIs" priority="1953" operator="equal" dxfId="2">
      <formula>0</formula>
    </cfRule>
    <cfRule type="cellIs" priority="2023" operator="lessThan" dxfId="0">
      <formula>0</formula>
    </cfRule>
    <cfRule type="cellIs" priority="2024" operator="greaterThan" dxfId="1">
      <formula>0</formula>
    </cfRule>
    <cfRule type="cellIs" priority="2025" operator="equal" dxfId="2">
      <formula>0</formula>
    </cfRule>
    <cfRule type="cellIs" priority="2065" operator="lessThan" dxfId="0">
      <formula>0</formula>
    </cfRule>
    <cfRule type="cellIs" priority="2066" operator="greaterThan" dxfId="1">
      <formula>0</formula>
    </cfRule>
    <cfRule type="cellIs" priority="2067" operator="equal" dxfId="2">
      <formula>0</formula>
    </cfRule>
    <cfRule type="cellIs" priority="2152" operator="lessThan" dxfId="0">
      <formula>0</formula>
    </cfRule>
    <cfRule type="cellIs" priority="2153" operator="greaterThan" dxfId="1">
      <formula>0</formula>
    </cfRule>
    <cfRule type="cellIs" priority="2154" operator="equal" dxfId="2">
      <formula>0</formula>
    </cfRule>
    <cfRule type="cellIs" priority="2194" operator="lessThan" dxfId="0">
      <formula>0</formula>
    </cfRule>
    <cfRule type="cellIs" priority="2195" operator="greaterThan" dxfId="1">
      <formula>0</formula>
    </cfRule>
    <cfRule type="cellIs" priority="2196" operator="equal" dxfId="2">
      <formula>0</formula>
    </cfRule>
    <cfRule type="cellIs" priority="2266" operator="lessThan" dxfId="0">
      <formula>0</formula>
    </cfRule>
    <cfRule type="cellIs" priority="2267" operator="greaterThan" dxfId="1">
      <formula>0</formula>
    </cfRule>
    <cfRule type="cellIs" priority="2268" operator="equal" dxfId="2">
      <formula>0</formula>
    </cfRule>
    <cfRule type="cellIs" priority="2308" operator="lessThan" dxfId="0">
      <formula>0</formula>
    </cfRule>
    <cfRule type="cellIs" priority="2309" operator="greaterThan" dxfId="1">
      <formula>0</formula>
    </cfRule>
    <cfRule type="cellIs" priority="2310" operator="equal" dxfId="2">
      <formula>0</formula>
    </cfRule>
    <cfRule type="cellIs" priority="2395" operator="lessThan" dxfId="0">
      <formula>0</formula>
    </cfRule>
    <cfRule type="cellIs" priority="2396" operator="greaterThan" dxfId="1">
      <formula>0</formula>
    </cfRule>
    <cfRule type="cellIs" priority="2397" operator="equal" dxfId="2">
      <formula>0</formula>
    </cfRule>
    <cfRule type="cellIs" priority="2437" operator="lessThan" dxfId="0">
      <formula>0</formula>
    </cfRule>
    <cfRule type="cellIs" priority="2438" operator="greaterThan" dxfId="1">
      <formula>0</formula>
    </cfRule>
    <cfRule type="cellIs" priority="2439" operator="equal" dxfId="2">
      <formula>0</formula>
    </cfRule>
    <cfRule type="cellIs" priority="2509" operator="lessThan" dxfId="0">
      <formula>0</formula>
    </cfRule>
    <cfRule type="cellIs" priority="2510" operator="greaterThan" dxfId="1">
      <formula>0</formula>
    </cfRule>
    <cfRule type="cellIs" priority="2511" operator="equal" dxfId="2">
      <formula>0</formula>
    </cfRule>
    <cfRule type="cellIs" priority="2551" operator="lessThan" dxfId="0">
      <formula>0</formula>
    </cfRule>
    <cfRule type="cellIs" priority="2552" operator="greaterThan" dxfId="1">
      <formula>0</formula>
    </cfRule>
    <cfRule type="cellIs" priority="2553" operator="equal" dxfId="2">
      <formula>0</formula>
    </cfRule>
    <cfRule type="cellIs" priority="2638" operator="lessThan" dxfId="0">
      <formula>0</formula>
    </cfRule>
    <cfRule type="cellIs" priority="2639" operator="greaterThan" dxfId="1">
      <formula>0</formula>
    </cfRule>
    <cfRule type="cellIs" priority="2640" operator="equal" dxfId="2">
      <formula>0</formula>
    </cfRule>
    <cfRule type="cellIs" priority="2680" operator="lessThan" dxfId="0">
      <formula>0</formula>
    </cfRule>
    <cfRule type="cellIs" priority="2681" operator="greaterThan" dxfId="1">
      <formula>0</formula>
    </cfRule>
    <cfRule type="cellIs" priority="2682" operator="equal" dxfId="2">
      <formula>0</formula>
    </cfRule>
    <cfRule type="cellIs" priority="2752" operator="lessThan" dxfId="0">
      <formula>0</formula>
    </cfRule>
    <cfRule type="cellIs" priority="2753" operator="greaterThan" dxfId="1">
      <formula>0</formula>
    </cfRule>
    <cfRule type="cellIs" priority="2754" operator="equal" dxfId="2">
      <formula>0</formula>
    </cfRule>
    <cfRule type="cellIs" priority="2794" operator="lessThan" dxfId="0">
      <formula>0</formula>
    </cfRule>
    <cfRule type="cellIs" priority="2795" operator="greaterThan" dxfId="1">
      <formula>0</formula>
    </cfRule>
    <cfRule type="cellIs" priority="2796" operator="equal" dxfId="2">
      <formula>0</formula>
    </cfRule>
    <cfRule type="cellIs" priority="2881" operator="lessThan" dxfId="0">
      <formula>0</formula>
    </cfRule>
    <cfRule type="cellIs" priority="2882" operator="greaterThan" dxfId="1">
      <formula>0</formula>
    </cfRule>
    <cfRule type="cellIs" priority="2883" operator="equal" dxfId="2">
      <formula>0</formula>
    </cfRule>
    <cfRule type="cellIs" priority="2923" operator="lessThan" dxfId="0">
      <formula>0</formula>
    </cfRule>
    <cfRule type="cellIs" priority="2924" operator="greaterThan" dxfId="1">
      <formula>0</formula>
    </cfRule>
    <cfRule type="cellIs" priority="2925" operator="equal" dxfId="2">
      <formula>0</formula>
    </cfRule>
  </conditionalFormatting>
  <conditionalFormatting sqref="AF115">
    <cfRule type="cellIs" priority="82" operator="lessThan" dxfId="0">
      <formula>0</formula>
    </cfRule>
    <cfRule type="cellIs" priority="83" operator="greaterThan" dxfId="1">
      <formula>0</formula>
    </cfRule>
    <cfRule type="cellIs" priority="84" operator="equal" dxfId="2">
      <formula>0</formula>
    </cfRule>
    <cfRule type="cellIs" priority="124" operator="lessThan" dxfId="0">
      <formula>0</formula>
    </cfRule>
    <cfRule type="cellIs" priority="125" operator="greaterThan" dxfId="1">
      <formula>0</formula>
    </cfRule>
    <cfRule type="cellIs" priority="126" operator="equal" dxfId="2">
      <formula>0</formula>
    </cfRule>
  </conditionalFormatting>
  <conditionalFormatting sqref="H115">
    <cfRule type="cellIs" priority="85" operator="lessThan" dxfId="0">
      <formula>0</formula>
    </cfRule>
    <cfRule type="cellIs" priority="86" operator="greaterThan" dxfId="1">
      <formula>0</formula>
    </cfRule>
    <cfRule type="cellIs" priority="87" operator="equal" dxfId="2">
      <formula>0</formula>
    </cfRule>
    <cfRule type="cellIs" priority="127" operator="lessThan" dxfId="0">
      <formula>0</formula>
    </cfRule>
    <cfRule type="cellIs" priority="128" operator="greaterThan" dxfId="1">
      <formula>0</formula>
    </cfRule>
    <cfRule type="cellIs" priority="129" operator="equal" dxfId="2">
      <formula>0</formula>
    </cfRule>
    <cfRule type="cellIs" priority="214" operator="lessThan" dxfId="0">
      <formula>0</formula>
    </cfRule>
    <cfRule type="cellIs" priority="215" operator="greaterThan" dxfId="1">
      <formula>0</formula>
    </cfRule>
    <cfRule type="cellIs" priority="216" operator="equal" dxfId="2">
      <formula>0</formula>
    </cfRule>
    <cfRule type="cellIs" priority="256" operator="lessThan" dxfId="0">
      <formula>0</formula>
    </cfRule>
    <cfRule type="cellIs" priority="257" operator="greaterThan" dxfId="1">
      <formula>0</formula>
    </cfRule>
    <cfRule type="cellIs" priority="258" operator="equal" dxfId="2">
      <formula>0</formula>
    </cfRule>
    <cfRule type="cellIs" priority="328" operator="lessThan" dxfId="0">
      <formula>0</formula>
    </cfRule>
    <cfRule type="cellIs" priority="329" operator="greaterThan" dxfId="1">
      <formula>0</formula>
    </cfRule>
    <cfRule type="cellIs" priority="330" operator="equal" dxfId="2">
      <formula>0</formula>
    </cfRule>
    <cfRule type="cellIs" priority="370" operator="lessThan" dxfId="0">
      <formula>0</formula>
    </cfRule>
    <cfRule type="cellIs" priority="371" operator="greaterThan" dxfId="1">
      <formula>0</formula>
    </cfRule>
    <cfRule type="cellIs" priority="372" operator="equal" dxfId="2">
      <formula>0</formula>
    </cfRule>
    <cfRule type="cellIs" priority="457" operator="lessThan" dxfId="0">
      <formula>0</formula>
    </cfRule>
    <cfRule type="cellIs" priority="458" operator="greaterThan" dxfId="1">
      <formula>0</formula>
    </cfRule>
    <cfRule type="cellIs" priority="459" operator="equal" dxfId="2">
      <formula>0</formula>
    </cfRule>
    <cfRule type="cellIs" priority="499" operator="lessThan" dxfId="0">
      <formula>0</formula>
    </cfRule>
    <cfRule type="cellIs" priority="500" operator="greaterThan" dxfId="1">
      <formula>0</formula>
    </cfRule>
    <cfRule type="cellIs" priority="501" operator="equal" dxfId="2">
      <formula>0</formula>
    </cfRule>
    <cfRule type="cellIs" priority="571" operator="lessThan" dxfId="0">
      <formula>0</formula>
    </cfRule>
    <cfRule type="cellIs" priority="572" operator="greaterThan" dxfId="1">
      <formula>0</formula>
    </cfRule>
    <cfRule type="cellIs" priority="573" operator="equal" dxfId="2">
      <formula>0</formula>
    </cfRule>
    <cfRule type="cellIs" priority="613" operator="lessThan" dxfId="0">
      <formula>0</formula>
    </cfRule>
    <cfRule type="cellIs" priority="614" operator="greaterThan" dxfId="1">
      <formula>0</formula>
    </cfRule>
    <cfRule type="cellIs" priority="615" operator="equal" dxfId="2">
      <formula>0</formula>
    </cfRule>
    <cfRule type="cellIs" priority="700" operator="lessThan" dxfId="0">
      <formula>0</formula>
    </cfRule>
    <cfRule type="cellIs" priority="701" operator="greaterThan" dxfId="1">
      <formula>0</formula>
    </cfRule>
    <cfRule type="cellIs" priority="702" operator="equal" dxfId="2">
      <formula>0</formula>
    </cfRule>
    <cfRule type="cellIs" priority="742" operator="lessThan" dxfId="0">
      <formula>0</formula>
    </cfRule>
    <cfRule type="cellIs" priority="743" operator="greaterThan" dxfId="1">
      <formula>0</formula>
    </cfRule>
    <cfRule type="cellIs" priority="744" operator="equal" dxfId="2">
      <formula>0</formula>
    </cfRule>
    <cfRule type="cellIs" priority="814" operator="lessThan" dxfId="0">
      <formula>0</formula>
    </cfRule>
    <cfRule type="cellIs" priority="815" operator="greaterThan" dxfId="1">
      <formula>0</formula>
    </cfRule>
    <cfRule type="cellIs" priority="816" operator="equal" dxfId="2">
      <formula>0</formula>
    </cfRule>
    <cfRule type="cellIs" priority="856" operator="lessThan" dxfId="0">
      <formula>0</formula>
    </cfRule>
    <cfRule type="cellIs" priority="857" operator="greaterThan" dxfId="1">
      <formula>0</formula>
    </cfRule>
    <cfRule type="cellIs" priority="858" operator="equal" dxfId="2">
      <formula>0</formula>
    </cfRule>
    <cfRule type="cellIs" priority="943" operator="lessThan" dxfId="0">
      <formula>0</formula>
    </cfRule>
    <cfRule type="cellIs" priority="944" operator="greaterThan" dxfId="1">
      <formula>0</formula>
    </cfRule>
    <cfRule type="cellIs" priority="945" operator="equal" dxfId="2">
      <formula>0</formula>
    </cfRule>
    <cfRule type="cellIs" priority="985" operator="lessThan" dxfId="0">
      <formula>0</formula>
    </cfRule>
    <cfRule type="cellIs" priority="986" operator="greaterThan" dxfId="1">
      <formula>0</formula>
    </cfRule>
    <cfRule type="cellIs" priority="987" operator="equal" dxfId="2">
      <formula>0</formula>
    </cfRule>
    <cfRule type="cellIs" priority="1057" operator="lessThan" dxfId="0">
      <formula>0</formula>
    </cfRule>
    <cfRule type="cellIs" priority="1058" operator="greaterThan" dxfId="1">
      <formula>0</formula>
    </cfRule>
    <cfRule type="cellIs" priority="1059" operator="equal" dxfId="2">
      <formula>0</formula>
    </cfRule>
    <cfRule type="cellIs" priority="1099" operator="lessThan" dxfId="0">
      <formula>0</formula>
    </cfRule>
    <cfRule type="cellIs" priority="1100" operator="greaterThan" dxfId="1">
      <formula>0</formula>
    </cfRule>
    <cfRule type="cellIs" priority="1101" operator="equal" dxfId="2">
      <formula>0</formula>
    </cfRule>
    <cfRule type="cellIs" priority="1186" operator="lessThan" dxfId="0">
      <formula>0</formula>
    </cfRule>
    <cfRule type="cellIs" priority="1187" operator="greaterThan" dxfId="1">
      <formula>0</formula>
    </cfRule>
    <cfRule type="cellIs" priority="1188" operator="equal" dxfId="2">
      <formula>0</formula>
    </cfRule>
    <cfRule type="cellIs" priority="1228" operator="lessThan" dxfId="0">
      <formula>0</formula>
    </cfRule>
    <cfRule type="cellIs" priority="1229" operator="greaterThan" dxfId="1">
      <formula>0</formula>
    </cfRule>
    <cfRule type="cellIs" priority="1230" operator="equal" dxfId="2">
      <formula>0</formula>
    </cfRule>
    <cfRule type="cellIs" priority="1300" operator="lessThan" dxfId="0">
      <formula>0</formula>
    </cfRule>
    <cfRule type="cellIs" priority="1301" operator="greaterThan" dxfId="1">
      <formula>0</formula>
    </cfRule>
    <cfRule type="cellIs" priority="1302" operator="equal" dxfId="2">
      <formula>0</formula>
    </cfRule>
    <cfRule type="cellIs" priority="1342" operator="lessThan" dxfId="0">
      <formula>0</formula>
    </cfRule>
    <cfRule type="cellIs" priority="1343" operator="greaterThan" dxfId="1">
      <formula>0</formula>
    </cfRule>
    <cfRule type="cellIs" priority="1344" operator="equal" dxfId="2">
      <formula>0</formula>
    </cfRule>
    <cfRule type="cellIs" priority="1429" operator="lessThan" dxfId="0">
      <formula>0</formula>
    </cfRule>
    <cfRule type="cellIs" priority="1430" operator="greaterThan" dxfId="1">
      <formula>0</formula>
    </cfRule>
    <cfRule type="cellIs" priority="1431" operator="equal" dxfId="2">
      <formula>0</formula>
    </cfRule>
    <cfRule type="cellIs" priority="1471" operator="lessThan" dxfId="0">
      <formula>0</formula>
    </cfRule>
    <cfRule type="cellIs" priority="1472" operator="greaterThan" dxfId="1">
      <formula>0</formula>
    </cfRule>
    <cfRule type="cellIs" priority="1473" operator="equal" dxfId="2">
      <formula>0</formula>
    </cfRule>
    <cfRule type="cellIs" priority="1543" operator="lessThan" dxfId="0">
      <formula>0</formula>
    </cfRule>
    <cfRule type="cellIs" priority="1544" operator="greaterThan" dxfId="1">
      <formula>0</formula>
    </cfRule>
    <cfRule type="cellIs" priority="1545" operator="equal" dxfId="2">
      <formula>0</formula>
    </cfRule>
    <cfRule type="cellIs" priority="1585" operator="lessThan" dxfId="0">
      <formula>0</formula>
    </cfRule>
    <cfRule type="cellIs" priority="1586" operator="greaterThan" dxfId="1">
      <formula>0</formula>
    </cfRule>
    <cfRule type="cellIs" priority="1587" operator="equal" dxfId="2">
      <formula>0</formula>
    </cfRule>
    <cfRule type="cellIs" priority="1672" operator="lessThan" dxfId="0">
      <formula>0</formula>
    </cfRule>
    <cfRule type="cellIs" priority="1673" operator="greaterThan" dxfId="1">
      <formula>0</formula>
    </cfRule>
    <cfRule type="cellIs" priority="1674" operator="equal" dxfId="2">
      <formula>0</formula>
    </cfRule>
    <cfRule type="cellIs" priority="1714" operator="lessThan" dxfId="0">
      <formula>0</formula>
    </cfRule>
    <cfRule type="cellIs" priority="1715" operator="greaterThan" dxfId="1">
      <formula>0</formula>
    </cfRule>
    <cfRule type="cellIs" priority="1716" operator="equal" dxfId="2">
      <formula>0</formula>
    </cfRule>
    <cfRule type="cellIs" priority="1786" operator="lessThan" dxfId="0">
      <formula>0</formula>
    </cfRule>
    <cfRule type="cellIs" priority="1787" operator="greaterThan" dxfId="1">
      <formula>0</formula>
    </cfRule>
    <cfRule type="cellIs" priority="1788" operator="equal" dxfId="2">
      <formula>0</formula>
    </cfRule>
    <cfRule type="cellIs" priority="1828" operator="lessThan" dxfId="0">
      <formula>0</formula>
    </cfRule>
    <cfRule type="cellIs" priority="1829" operator="greaterThan" dxfId="1">
      <formula>0</formula>
    </cfRule>
    <cfRule type="cellIs" priority="1830" operator="equal" dxfId="2">
      <formula>0</formula>
    </cfRule>
    <cfRule type="cellIs" priority="1915" operator="lessThan" dxfId="0">
      <formula>0</formula>
    </cfRule>
    <cfRule type="cellIs" priority="1916" operator="greaterThan" dxfId="1">
      <formula>0</formula>
    </cfRule>
    <cfRule type="cellIs" priority="1917" operator="equal" dxfId="2">
      <formula>0</formula>
    </cfRule>
    <cfRule type="cellIs" priority="1957" operator="lessThan" dxfId="0">
      <formula>0</formula>
    </cfRule>
    <cfRule type="cellIs" priority="1958" operator="greaterThan" dxfId="1">
      <formula>0</formula>
    </cfRule>
    <cfRule type="cellIs" priority="1959" operator="equal" dxfId="2">
      <formula>0</formula>
    </cfRule>
    <cfRule type="cellIs" priority="2029" operator="lessThan" dxfId="0">
      <formula>0</formula>
    </cfRule>
    <cfRule type="cellIs" priority="2030" operator="greaterThan" dxfId="1">
      <formula>0</formula>
    </cfRule>
    <cfRule type="cellIs" priority="2031" operator="equal" dxfId="2">
      <formula>0</formula>
    </cfRule>
    <cfRule type="cellIs" priority="2071" operator="lessThan" dxfId="0">
      <formula>0</formula>
    </cfRule>
    <cfRule type="cellIs" priority="2072" operator="greaterThan" dxfId="1">
      <formula>0</formula>
    </cfRule>
    <cfRule type="cellIs" priority="2073" operator="equal" dxfId="2">
      <formula>0</formula>
    </cfRule>
    <cfRule type="cellIs" priority="2158" operator="lessThan" dxfId="0">
      <formula>0</formula>
    </cfRule>
    <cfRule type="cellIs" priority="2159" operator="greaterThan" dxfId="1">
      <formula>0</formula>
    </cfRule>
    <cfRule type="cellIs" priority="2160" operator="equal" dxfId="2">
      <formula>0</formula>
    </cfRule>
    <cfRule type="cellIs" priority="2200" operator="lessThan" dxfId="0">
      <formula>0</formula>
    </cfRule>
    <cfRule type="cellIs" priority="2201" operator="greaterThan" dxfId="1">
      <formula>0</formula>
    </cfRule>
    <cfRule type="cellIs" priority="2202" operator="equal" dxfId="2">
      <formula>0</formula>
    </cfRule>
    <cfRule type="cellIs" priority="2272" operator="lessThan" dxfId="0">
      <formula>0</formula>
    </cfRule>
    <cfRule type="cellIs" priority="2273" operator="greaterThan" dxfId="1">
      <formula>0</formula>
    </cfRule>
    <cfRule type="cellIs" priority="2274" operator="equal" dxfId="2">
      <formula>0</formula>
    </cfRule>
    <cfRule type="cellIs" priority="2314" operator="lessThan" dxfId="0">
      <formula>0</formula>
    </cfRule>
    <cfRule type="cellIs" priority="2315" operator="greaterThan" dxfId="1">
      <formula>0</formula>
    </cfRule>
    <cfRule type="cellIs" priority="2316" operator="equal" dxfId="2">
      <formula>0</formula>
    </cfRule>
    <cfRule type="cellIs" priority="2401" operator="lessThan" dxfId="0">
      <formula>0</formula>
    </cfRule>
    <cfRule type="cellIs" priority="2402" operator="greaterThan" dxfId="1">
      <formula>0</formula>
    </cfRule>
    <cfRule type="cellIs" priority="2403" operator="equal" dxfId="2">
      <formula>0</formula>
    </cfRule>
    <cfRule type="cellIs" priority="2443" operator="lessThan" dxfId="0">
      <formula>0</formula>
    </cfRule>
    <cfRule type="cellIs" priority="2444" operator="greaterThan" dxfId="1">
      <formula>0</formula>
    </cfRule>
    <cfRule type="cellIs" priority="2445" operator="equal" dxfId="2">
      <formula>0</formula>
    </cfRule>
    <cfRule type="cellIs" priority="2515" operator="lessThan" dxfId="0">
      <formula>0</formula>
    </cfRule>
    <cfRule type="cellIs" priority="2516" operator="greaterThan" dxfId="1">
      <formula>0</formula>
    </cfRule>
    <cfRule type="cellIs" priority="2517" operator="equal" dxfId="2">
      <formula>0</formula>
    </cfRule>
    <cfRule type="cellIs" priority="2557" operator="lessThan" dxfId="0">
      <formula>0</formula>
    </cfRule>
    <cfRule type="cellIs" priority="2558" operator="greaterThan" dxfId="1">
      <formula>0</formula>
    </cfRule>
    <cfRule type="cellIs" priority="2559" operator="equal" dxfId="2">
      <formula>0</formula>
    </cfRule>
    <cfRule type="cellIs" priority="2644" operator="lessThan" dxfId="0">
      <formula>0</formula>
    </cfRule>
    <cfRule type="cellIs" priority="2645" operator="greaterThan" dxfId="1">
      <formula>0</formula>
    </cfRule>
    <cfRule type="cellIs" priority="2646" operator="equal" dxfId="2">
      <formula>0</formula>
    </cfRule>
    <cfRule type="cellIs" priority="2686" operator="lessThan" dxfId="0">
      <formula>0</formula>
    </cfRule>
    <cfRule type="cellIs" priority="2687" operator="greaterThan" dxfId="1">
      <formula>0</formula>
    </cfRule>
    <cfRule type="cellIs" priority="2688" operator="equal" dxfId="2">
      <formula>0</formula>
    </cfRule>
    <cfRule type="cellIs" priority="2758" operator="lessThan" dxfId="0">
      <formula>0</formula>
    </cfRule>
    <cfRule type="cellIs" priority="2759" operator="greaterThan" dxfId="1">
      <formula>0</formula>
    </cfRule>
    <cfRule type="cellIs" priority="2760" operator="equal" dxfId="2">
      <formula>0</formula>
    </cfRule>
    <cfRule type="cellIs" priority="2800" operator="lessThan" dxfId="0">
      <formula>0</formula>
    </cfRule>
    <cfRule type="cellIs" priority="2801" operator="greaterThan" dxfId="1">
      <formula>0</formula>
    </cfRule>
    <cfRule type="cellIs" priority="2802" operator="equal" dxfId="2">
      <formula>0</formula>
    </cfRule>
    <cfRule type="cellIs" priority="2887" operator="lessThan" dxfId="0">
      <formula>0</formula>
    </cfRule>
    <cfRule type="cellIs" priority="2888" operator="greaterThan" dxfId="1">
      <formula>0</formula>
    </cfRule>
    <cfRule type="cellIs" priority="2889" operator="equal" dxfId="2">
      <formula>0</formula>
    </cfRule>
    <cfRule type="cellIs" priority="2929" operator="lessThan" dxfId="0">
      <formula>0</formula>
    </cfRule>
    <cfRule type="cellIs" priority="2930" operator="greaterThan" dxfId="1">
      <formula>0</formula>
    </cfRule>
    <cfRule type="cellIs" priority="2931" operator="equal" dxfId="2">
      <formula>0</formula>
    </cfRule>
  </conditionalFormatting>
  <conditionalFormatting sqref="I33">
    <cfRule type="cellIs" priority="130" operator="lessThan" dxfId="0">
      <formula>0</formula>
    </cfRule>
    <cfRule type="cellIs" priority="131" operator="greaterThan" dxfId="1">
      <formula>0</formula>
    </cfRule>
    <cfRule type="cellIs" priority="132" operator="equal" dxfId="2">
      <formula>0</formula>
    </cfRule>
  </conditionalFormatting>
  <conditionalFormatting sqref="I70">
    <cfRule type="cellIs" priority="133" operator="lessThan" dxfId="0">
      <formula>0</formula>
    </cfRule>
    <cfRule type="cellIs" priority="134" operator="greaterThan" dxfId="1">
      <formula>0</formula>
    </cfRule>
    <cfRule type="cellIs" priority="135" operator="equal" dxfId="2">
      <formula>0</formula>
    </cfRule>
  </conditionalFormatting>
  <conditionalFormatting sqref="I72">
    <cfRule type="cellIs" priority="136" operator="lessThan" dxfId="0">
      <formula>0</formula>
    </cfRule>
    <cfRule type="cellIs" priority="137" operator="greaterThan" dxfId="1">
      <formula>0</formula>
    </cfRule>
    <cfRule type="cellIs" priority="138" operator="equal" dxfId="2">
      <formula>0</formula>
    </cfRule>
  </conditionalFormatting>
  <conditionalFormatting sqref="I74">
    <cfRule type="cellIs" priority="139" operator="lessThan" dxfId="0">
      <formula>0</formula>
    </cfRule>
    <cfRule type="cellIs" priority="140" operator="greaterThan" dxfId="1">
      <formula>0</formula>
    </cfRule>
    <cfRule type="cellIs" priority="141" operator="equal" dxfId="2">
      <formula>0</formula>
    </cfRule>
  </conditionalFormatting>
  <conditionalFormatting sqref="I98">
    <cfRule type="cellIs" priority="142" operator="lessThan" dxfId="0">
      <formula>0</formula>
    </cfRule>
    <cfRule type="cellIs" priority="143" operator="greaterThan" dxfId="1">
      <formula>0</formula>
    </cfRule>
    <cfRule type="cellIs" priority="144" operator="equal" dxfId="2">
      <formula>0</formula>
    </cfRule>
  </conditionalFormatting>
  <conditionalFormatting sqref="I101">
    <cfRule type="cellIs" priority="145" operator="lessThan" dxfId="0">
      <formula>0</formula>
    </cfRule>
    <cfRule type="cellIs" priority="146" operator="greaterThan" dxfId="1">
      <formula>0</formula>
    </cfRule>
    <cfRule type="cellIs" priority="147" operator="equal" dxfId="2">
      <formula>0</formula>
    </cfRule>
  </conditionalFormatting>
  <conditionalFormatting sqref="I105">
    <cfRule type="cellIs" priority="151" operator="lessThan" dxfId="0">
      <formula>0</formula>
    </cfRule>
    <cfRule type="cellIs" priority="152" operator="greaterThan" dxfId="1">
      <formula>0</formula>
    </cfRule>
    <cfRule type="cellIs" priority="153" operator="equal" dxfId="2">
      <formula>0</formula>
    </cfRule>
  </conditionalFormatting>
  <conditionalFormatting sqref="I106">
    <cfRule type="cellIs" priority="157" operator="lessThan" dxfId="0">
      <formula>0</formula>
    </cfRule>
    <cfRule type="cellIs" priority="158" operator="greaterThan" dxfId="1">
      <formula>0</formula>
    </cfRule>
    <cfRule type="cellIs" priority="159" operator="equal" dxfId="2">
      <formula>0</formula>
    </cfRule>
  </conditionalFormatting>
  <conditionalFormatting sqref="I107">
    <cfRule type="cellIs" priority="163" operator="lessThan" dxfId="0">
      <formula>0</formula>
    </cfRule>
    <cfRule type="cellIs" priority="164" operator="greaterThan" dxfId="1">
      <formula>0</formula>
    </cfRule>
    <cfRule type="cellIs" priority="165" operator="equal" dxfId="2">
      <formula>0</formula>
    </cfRule>
  </conditionalFormatting>
  <conditionalFormatting sqref="I108">
    <cfRule type="cellIs" priority="169" operator="lessThan" dxfId="0">
      <formula>0</formula>
    </cfRule>
    <cfRule type="cellIs" priority="170" operator="greaterThan" dxfId="1">
      <formula>0</formula>
    </cfRule>
    <cfRule type="cellIs" priority="171" operator="equal" dxfId="2">
      <formula>0</formula>
    </cfRule>
  </conditionalFormatting>
  <conditionalFormatting sqref="I109">
    <cfRule type="cellIs" priority="175" operator="lessThan" dxfId="0">
      <formula>0</formula>
    </cfRule>
    <cfRule type="cellIs" priority="176" operator="greaterThan" dxfId="1">
      <formula>0</formula>
    </cfRule>
    <cfRule type="cellIs" priority="177" operator="equal" dxfId="2">
      <formula>0</formula>
    </cfRule>
    <cfRule type="cellIs" priority="217" operator="lessThan" dxfId="0">
      <formula>0</formula>
    </cfRule>
    <cfRule type="cellIs" priority="218" operator="greaterThan" dxfId="1">
      <formula>0</formula>
    </cfRule>
    <cfRule type="cellIs" priority="219" operator="equal" dxfId="2">
      <formula>0</formula>
    </cfRule>
  </conditionalFormatting>
  <conditionalFormatting sqref="I110">
    <cfRule type="cellIs" priority="181" operator="lessThan" dxfId="0">
      <formula>0</formula>
    </cfRule>
    <cfRule type="cellIs" priority="182" operator="greaterThan" dxfId="1">
      <formula>0</formula>
    </cfRule>
    <cfRule type="cellIs" priority="183" operator="equal" dxfId="2">
      <formula>0</formula>
    </cfRule>
    <cfRule type="cellIs" priority="223" operator="lessThan" dxfId="0">
      <formula>0</formula>
    </cfRule>
    <cfRule type="cellIs" priority="224" operator="greaterThan" dxfId="1">
      <formula>0</formula>
    </cfRule>
    <cfRule type="cellIs" priority="225" operator="equal" dxfId="2">
      <formula>0</formula>
    </cfRule>
  </conditionalFormatting>
  <conditionalFormatting sqref="I111">
    <cfRule type="cellIs" priority="187" operator="lessThan" dxfId="0">
      <formula>0</formula>
    </cfRule>
    <cfRule type="cellIs" priority="188" operator="greaterThan" dxfId="1">
      <formula>0</formula>
    </cfRule>
    <cfRule type="cellIs" priority="189" operator="equal" dxfId="2">
      <formula>0</formula>
    </cfRule>
    <cfRule type="cellIs" priority="229" operator="lessThan" dxfId="0">
      <formula>0</formula>
    </cfRule>
    <cfRule type="cellIs" priority="230" operator="greaterThan" dxfId="1">
      <formula>0</formula>
    </cfRule>
    <cfRule type="cellIs" priority="231" operator="equal" dxfId="2">
      <formula>0</formula>
    </cfRule>
  </conditionalFormatting>
  <conditionalFormatting sqref="I112">
    <cfRule type="cellIs" priority="193" operator="lessThan" dxfId="0">
      <formula>0</formula>
    </cfRule>
    <cfRule type="cellIs" priority="194" operator="greaterThan" dxfId="1">
      <formula>0</formula>
    </cfRule>
    <cfRule type="cellIs" priority="195" operator="equal" dxfId="2">
      <formula>0</formula>
    </cfRule>
    <cfRule type="cellIs" priority="235" operator="lessThan" dxfId="0">
      <formula>0</formula>
    </cfRule>
    <cfRule type="cellIs" priority="236" operator="greaterThan" dxfId="1">
      <formula>0</formula>
    </cfRule>
    <cfRule type="cellIs" priority="237" operator="equal" dxfId="2">
      <formula>0</formula>
    </cfRule>
  </conditionalFormatting>
  <conditionalFormatting sqref="I113">
    <cfRule type="cellIs" priority="199" operator="lessThan" dxfId="0">
      <formula>0</formula>
    </cfRule>
    <cfRule type="cellIs" priority="200" operator="greaterThan" dxfId="1">
      <formula>0</formula>
    </cfRule>
    <cfRule type="cellIs" priority="201" operator="equal" dxfId="2">
      <formula>0</formula>
    </cfRule>
    <cfRule type="cellIs" priority="241" operator="lessThan" dxfId="0">
      <formula>0</formula>
    </cfRule>
    <cfRule type="cellIs" priority="242" operator="greaterThan" dxfId="1">
      <formula>0</formula>
    </cfRule>
    <cfRule type="cellIs" priority="243" operator="equal" dxfId="2">
      <formula>0</formula>
    </cfRule>
  </conditionalFormatting>
  <conditionalFormatting sqref="I114">
    <cfRule type="cellIs" priority="205" operator="lessThan" dxfId="0">
      <formula>0</formula>
    </cfRule>
    <cfRule type="cellIs" priority="206" operator="greaterThan" dxfId="1">
      <formula>0</formula>
    </cfRule>
    <cfRule type="cellIs" priority="207" operator="equal" dxfId="2">
      <formula>0</formula>
    </cfRule>
    <cfRule type="cellIs" priority="247" operator="lessThan" dxfId="0">
      <formula>0</formula>
    </cfRule>
    <cfRule type="cellIs" priority="248" operator="greaterThan" dxfId="1">
      <formula>0</formula>
    </cfRule>
    <cfRule type="cellIs" priority="249" operator="equal" dxfId="2">
      <formula>0</formula>
    </cfRule>
  </conditionalFormatting>
  <conditionalFormatting sqref="I115">
    <cfRule type="cellIs" priority="211" operator="lessThan" dxfId="0">
      <formula>0</formula>
    </cfRule>
    <cfRule type="cellIs" priority="212" operator="greaterThan" dxfId="1">
      <formula>0</formula>
    </cfRule>
    <cfRule type="cellIs" priority="213" operator="equal" dxfId="2">
      <formula>0</formula>
    </cfRule>
    <cfRule type="cellIs" priority="253" operator="lessThan" dxfId="0">
      <formula>0</formula>
    </cfRule>
    <cfRule type="cellIs" priority="254" operator="greaterThan" dxfId="1">
      <formula>0</formula>
    </cfRule>
    <cfRule type="cellIs" priority="255" operator="equal" dxfId="2">
      <formula>0</formula>
    </cfRule>
  </conditionalFormatting>
  <conditionalFormatting sqref="J101">
    <cfRule type="cellIs" priority="259" operator="lessThan" dxfId="0">
      <formula>0</formula>
    </cfRule>
    <cfRule type="cellIs" priority="260" operator="greaterThan" dxfId="1">
      <formula>0</formula>
    </cfRule>
    <cfRule type="cellIs" priority="261" operator="equal" dxfId="2">
      <formula>0</formula>
    </cfRule>
  </conditionalFormatting>
  <conditionalFormatting sqref="J105">
    <cfRule type="cellIs" priority="265" operator="lessThan" dxfId="0">
      <formula>0</formula>
    </cfRule>
    <cfRule type="cellIs" priority="266" operator="greaterThan" dxfId="1">
      <formula>0</formula>
    </cfRule>
    <cfRule type="cellIs" priority="267" operator="equal" dxfId="2">
      <formula>0</formula>
    </cfRule>
  </conditionalFormatting>
  <conditionalFormatting sqref="J106">
    <cfRule type="cellIs" priority="271" operator="lessThan" dxfId="0">
      <formula>0</formula>
    </cfRule>
    <cfRule type="cellIs" priority="272" operator="greaterThan" dxfId="1">
      <formula>0</formula>
    </cfRule>
    <cfRule type="cellIs" priority="273" operator="equal" dxfId="2">
      <formula>0</formula>
    </cfRule>
  </conditionalFormatting>
  <conditionalFormatting sqref="J107">
    <cfRule type="cellIs" priority="277" operator="lessThan" dxfId="0">
      <formula>0</formula>
    </cfRule>
    <cfRule type="cellIs" priority="278" operator="greaterThan" dxfId="1">
      <formula>0</formula>
    </cfRule>
    <cfRule type="cellIs" priority="279" operator="equal" dxfId="2">
      <formula>0</formula>
    </cfRule>
  </conditionalFormatting>
  <conditionalFormatting sqref="J108">
    <cfRule type="cellIs" priority="283" operator="lessThan" dxfId="0">
      <formula>0</formula>
    </cfRule>
    <cfRule type="cellIs" priority="284" operator="greaterThan" dxfId="1">
      <formula>0</formula>
    </cfRule>
    <cfRule type="cellIs" priority="285" operator="equal" dxfId="2">
      <formula>0</formula>
    </cfRule>
  </conditionalFormatting>
  <conditionalFormatting sqref="J109">
    <cfRule type="cellIs" priority="289" operator="lessThan" dxfId="0">
      <formula>0</formula>
    </cfRule>
    <cfRule type="cellIs" priority="290" operator="greaterThan" dxfId="1">
      <formula>0</formula>
    </cfRule>
    <cfRule type="cellIs" priority="291" operator="equal" dxfId="2">
      <formula>0</formula>
    </cfRule>
    <cfRule type="cellIs" priority="331" operator="lessThan" dxfId="0">
      <formula>0</formula>
    </cfRule>
    <cfRule type="cellIs" priority="332" operator="greaterThan" dxfId="1">
      <formula>0</formula>
    </cfRule>
    <cfRule type="cellIs" priority="333" operator="equal" dxfId="2">
      <formula>0</formula>
    </cfRule>
  </conditionalFormatting>
  <conditionalFormatting sqref="J110">
    <cfRule type="cellIs" priority="295" operator="lessThan" dxfId="0">
      <formula>0</formula>
    </cfRule>
    <cfRule type="cellIs" priority="296" operator="greaterThan" dxfId="1">
      <formula>0</formula>
    </cfRule>
    <cfRule type="cellIs" priority="297" operator="equal" dxfId="2">
      <formula>0</formula>
    </cfRule>
    <cfRule type="cellIs" priority="337" operator="lessThan" dxfId="0">
      <formula>0</formula>
    </cfRule>
    <cfRule type="cellIs" priority="338" operator="greaterThan" dxfId="1">
      <formula>0</formula>
    </cfRule>
    <cfRule type="cellIs" priority="339" operator="equal" dxfId="2">
      <formula>0</formula>
    </cfRule>
  </conditionalFormatting>
  <conditionalFormatting sqref="J111">
    <cfRule type="cellIs" priority="301" operator="lessThan" dxfId="0">
      <formula>0</formula>
    </cfRule>
    <cfRule type="cellIs" priority="302" operator="greaterThan" dxfId="1">
      <formula>0</formula>
    </cfRule>
    <cfRule type="cellIs" priority="303" operator="equal" dxfId="2">
      <formula>0</formula>
    </cfRule>
    <cfRule type="cellIs" priority="343" operator="lessThan" dxfId="0">
      <formula>0</formula>
    </cfRule>
    <cfRule type="cellIs" priority="344" operator="greaterThan" dxfId="1">
      <formula>0</formula>
    </cfRule>
    <cfRule type="cellIs" priority="345" operator="equal" dxfId="2">
      <formula>0</formula>
    </cfRule>
  </conditionalFormatting>
  <conditionalFormatting sqref="J112">
    <cfRule type="cellIs" priority="307" operator="lessThan" dxfId="0">
      <formula>0</formula>
    </cfRule>
    <cfRule type="cellIs" priority="308" operator="greaterThan" dxfId="1">
      <formula>0</formula>
    </cfRule>
    <cfRule type="cellIs" priority="309" operator="equal" dxfId="2">
      <formula>0</formula>
    </cfRule>
    <cfRule type="cellIs" priority="349" operator="lessThan" dxfId="0">
      <formula>0</formula>
    </cfRule>
    <cfRule type="cellIs" priority="350" operator="greaterThan" dxfId="1">
      <formula>0</formula>
    </cfRule>
    <cfRule type="cellIs" priority="351" operator="equal" dxfId="2">
      <formula>0</formula>
    </cfRule>
  </conditionalFormatting>
  <conditionalFormatting sqref="J113">
    <cfRule type="cellIs" priority="313" operator="lessThan" dxfId="0">
      <formula>0</formula>
    </cfRule>
    <cfRule type="cellIs" priority="314" operator="greaterThan" dxfId="1">
      <formula>0</formula>
    </cfRule>
    <cfRule type="cellIs" priority="315" operator="equal" dxfId="2">
      <formula>0</formula>
    </cfRule>
    <cfRule type="cellIs" priority="355" operator="lessThan" dxfId="0">
      <formula>0</formula>
    </cfRule>
    <cfRule type="cellIs" priority="356" operator="greaterThan" dxfId="1">
      <formula>0</formula>
    </cfRule>
    <cfRule type="cellIs" priority="357" operator="equal" dxfId="2">
      <formula>0</formula>
    </cfRule>
  </conditionalFormatting>
  <conditionalFormatting sqref="J114">
    <cfRule type="cellIs" priority="319" operator="lessThan" dxfId="0">
      <formula>0</formula>
    </cfRule>
    <cfRule type="cellIs" priority="320" operator="greaterThan" dxfId="1">
      <formula>0</formula>
    </cfRule>
    <cfRule type="cellIs" priority="321" operator="equal" dxfId="2">
      <formula>0</formula>
    </cfRule>
    <cfRule type="cellIs" priority="361" operator="lessThan" dxfId="0">
      <formula>0</formula>
    </cfRule>
    <cfRule type="cellIs" priority="362" operator="greaterThan" dxfId="1">
      <formula>0</formula>
    </cfRule>
    <cfRule type="cellIs" priority="363" operator="equal" dxfId="2">
      <formula>0</formula>
    </cfRule>
  </conditionalFormatting>
  <conditionalFormatting sqref="J115">
    <cfRule type="cellIs" priority="325" operator="lessThan" dxfId="0">
      <formula>0</formula>
    </cfRule>
    <cfRule type="cellIs" priority="326" operator="greaterThan" dxfId="1">
      <formula>0</formula>
    </cfRule>
    <cfRule type="cellIs" priority="327" operator="equal" dxfId="2">
      <formula>0</formula>
    </cfRule>
    <cfRule type="cellIs" priority="367" operator="lessThan" dxfId="0">
      <formula>0</formula>
    </cfRule>
    <cfRule type="cellIs" priority="368" operator="greaterThan" dxfId="1">
      <formula>0</formula>
    </cfRule>
    <cfRule type="cellIs" priority="369" operator="equal" dxfId="2">
      <formula>0</formula>
    </cfRule>
  </conditionalFormatting>
  <conditionalFormatting sqref="K33">
    <cfRule type="cellIs" priority="373" operator="lessThan" dxfId="0">
      <formula>0</formula>
    </cfRule>
    <cfRule type="cellIs" priority="374" operator="greaterThan" dxfId="1">
      <formula>0</formula>
    </cfRule>
    <cfRule type="cellIs" priority="375" operator="equal" dxfId="2">
      <formula>0</formula>
    </cfRule>
  </conditionalFormatting>
  <conditionalFormatting sqref="K70">
    <cfRule type="cellIs" priority="376" operator="lessThan" dxfId="0">
      <formula>0</formula>
    </cfRule>
    <cfRule type="cellIs" priority="377" operator="greaterThan" dxfId="1">
      <formula>0</formula>
    </cfRule>
    <cfRule type="cellIs" priority="378" operator="equal" dxfId="2">
      <formula>0</formula>
    </cfRule>
  </conditionalFormatting>
  <conditionalFormatting sqref="K72">
    <cfRule type="cellIs" priority="379" operator="lessThan" dxfId="0">
      <formula>0</formula>
    </cfRule>
    <cfRule type="cellIs" priority="380" operator="greaterThan" dxfId="1">
      <formula>0</formula>
    </cfRule>
    <cfRule type="cellIs" priority="381" operator="equal" dxfId="2">
      <formula>0</formula>
    </cfRule>
  </conditionalFormatting>
  <conditionalFormatting sqref="K74">
    <cfRule type="cellIs" priority="382" operator="lessThan" dxfId="0">
      <formula>0</formula>
    </cfRule>
    <cfRule type="cellIs" priority="383" operator="greaterThan" dxfId="1">
      <formula>0</formula>
    </cfRule>
    <cfRule type="cellIs" priority="384" operator="equal" dxfId="2">
      <formula>0</formula>
    </cfRule>
  </conditionalFormatting>
  <conditionalFormatting sqref="K98">
    <cfRule type="cellIs" priority="385" operator="lessThan" dxfId="0">
      <formula>0</formula>
    </cfRule>
    <cfRule type="cellIs" priority="386" operator="greaterThan" dxfId="1">
      <formula>0</formula>
    </cfRule>
    <cfRule type="cellIs" priority="387" operator="equal" dxfId="2">
      <formula>0</formula>
    </cfRule>
  </conditionalFormatting>
  <conditionalFormatting sqref="K101">
    <cfRule type="cellIs" priority="388" operator="lessThan" dxfId="0">
      <formula>0</formula>
    </cfRule>
    <cfRule type="cellIs" priority="389" operator="greaterThan" dxfId="1">
      <formula>0</formula>
    </cfRule>
    <cfRule type="cellIs" priority="390" operator="equal" dxfId="2">
      <formula>0</formula>
    </cfRule>
  </conditionalFormatting>
  <conditionalFormatting sqref="K105">
    <cfRule type="cellIs" priority="394" operator="lessThan" dxfId="0">
      <formula>0</formula>
    </cfRule>
    <cfRule type="cellIs" priority="395" operator="greaterThan" dxfId="1">
      <formula>0</formula>
    </cfRule>
    <cfRule type="cellIs" priority="396" operator="equal" dxfId="2">
      <formula>0</formula>
    </cfRule>
  </conditionalFormatting>
  <conditionalFormatting sqref="K106">
    <cfRule type="cellIs" priority="400" operator="lessThan" dxfId="0">
      <formula>0</formula>
    </cfRule>
    <cfRule type="cellIs" priority="401" operator="greaterThan" dxfId="1">
      <formula>0</formula>
    </cfRule>
    <cfRule type="cellIs" priority="402" operator="equal" dxfId="2">
      <formula>0</formula>
    </cfRule>
  </conditionalFormatting>
  <conditionalFormatting sqref="K107">
    <cfRule type="cellIs" priority="406" operator="lessThan" dxfId="0">
      <formula>0</formula>
    </cfRule>
    <cfRule type="cellIs" priority="407" operator="greaterThan" dxfId="1">
      <formula>0</formula>
    </cfRule>
    <cfRule type="cellIs" priority="408" operator="equal" dxfId="2">
      <formula>0</formula>
    </cfRule>
  </conditionalFormatting>
  <conditionalFormatting sqref="K108">
    <cfRule type="cellIs" priority="412" operator="lessThan" dxfId="0">
      <formula>0</formula>
    </cfRule>
    <cfRule type="cellIs" priority="413" operator="greaterThan" dxfId="1">
      <formula>0</formula>
    </cfRule>
    <cfRule type="cellIs" priority="414" operator="equal" dxfId="2">
      <formula>0</formula>
    </cfRule>
  </conditionalFormatting>
  <conditionalFormatting sqref="K109">
    <cfRule type="cellIs" priority="418" operator="lessThan" dxfId="0">
      <formula>0</formula>
    </cfRule>
    <cfRule type="cellIs" priority="419" operator="greaterThan" dxfId="1">
      <formula>0</formula>
    </cfRule>
    <cfRule type="cellIs" priority="420" operator="equal" dxfId="2">
      <formula>0</formula>
    </cfRule>
    <cfRule type="cellIs" priority="460" operator="lessThan" dxfId="0">
      <formula>0</formula>
    </cfRule>
    <cfRule type="cellIs" priority="461" operator="greaterThan" dxfId="1">
      <formula>0</formula>
    </cfRule>
    <cfRule type="cellIs" priority="462" operator="equal" dxfId="2">
      <formula>0</formula>
    </cfRule>
  </conditionalFormatting>
  <conditionalFormatting sqref="K110">
    <cfRule type="cellIs" priority="424" operator="lessThan" dxfId="0">
      <formula>0</formula>
    </cfRule>
    <cfRule type="cellIs" priority="425" operator="greaterThan" dxfId="1">
      <formula>0</formula>
    </cfRule>
    <cfRule type="cellIs" priority="426" operator="equal" dxfId="2">
      <formula>0</formula>
    </cfRule>
    <cfRule type="cellIs" priority="466" operator="lessThan" dxfId="0">
      <formula>0</formula>
    </cfRule>
    <cfRule type="cellIs" priority="467" operator="greaterThan" dxfId="1">
      <formula>0</formula>
    </cfRule>
    <cfRule type="cellIs" priority="468" operator="equal" dxfId="2">
      <formula>0</formula>
    </cfRule>
  </conditionalFormatting>
  <conditionalFormatting sqref="K111">
    <cfRule type="cellIs" priority="430" operator="lessThan" dxfId="0">
      <formula>0</formula>
    </cfRule>
    <cfRule type="cellIs" priority="431" operator="greaterThan" dxfId="1">
      <formula>0</formula>
    </cfRule>
    <cfRule type="cellIs" priority="432" operator="equal" dxfId="2">
      <formula>0</formula>
    </cfRule>
    <cfRule type="cellIs" priority="472" operator="lessThan" dxfId="0">
      <formula>0</formula>
    </cfRule>
    <cfRule type="cellIs" priority="473" operator="greaterThan" dxfId="1">
      <formula>0</formula>
    </cfRule>
    <cfRule type="cellIs" priority="474" operator="equal" dxfId="2">
      <formula>0</formula>
    </cfRule>
  </conditionalFormatting>
  <conditionalFormatting sqref="K112">
    <cfRule type="cellIs" priority="436" operator="lessThan" dxfId="0">
      <formula>0</formula>
    </cfRule>
    <cfRule type="cellIs" priority="437" operator="greaterThan" dxfId="1">
      <formula>0</formula>
    </cfRule>
    <cfRule type="cellIs" priority="438" operator="equal" dxfId="2">
      <formula>0</formula>
    </cfRule>
    <cfRule type="cellIs" priority="478" operator="lessThan" dxfId="0">
      <formula>0</formula>
    </cfRule>
    <cfRule type="cellIs" priority="479" operator="greaterThan" dxfId="1">
      <formula>0</formula>
    </cfRule>
    <cfRule type="cellIs" priority="480" operator="equal" dxfId="2">
      <formula>0</formula>
    </cfRule>
  </conditionalFormatting>
  <conditionalFormatting sqref="K113">
    <cfRule type="cellIs" priority="442" operator="lessThan" dxfId="0">
      <formula>0</formula>
    </cfRule>
    <cfRule type="cellIs" priority="443" operator="greaterThan" dxfId="1">
      <formula>0</formula>
    </cfRule>
    <cfRule type="cellIs" priority="444" operator="equal" dxfId="2">
      <formula>0</formula>
    </cfRule>
    <cfRule type="cellIs" priority="484" operator="lessThan" dxfId="0">
      <formula>0</formula>
    </cfRule>
    <cfRule type="cellIs" priority="485" operator="greaterThan" dxfId="1">
      <formula>0</formula>
    </cfRule>
    <cfRule type="cellIs" priority="486" operator="equal" dxfId="2">
      <formula>0</formula>
    </cfRule>
  </conditionalFormatting>
  <conditionalFormatting sqref="K114">
    <cfRule type="cellIs" priority="448" operator="lessThan" dxfId="0">
      <formula>0</formula>
    </cfRule>
    <cfRule type="cellIs" priority="449" operator="greaterThan" dxfId="1">
      <formula>0</formula>
    </cfRule>
    <cfRule type="cellIs" priority="450" operator="equal" dxfId="2">
      <formula>0</formula>
    </cfRule>
    <cfRule type="cellIs" priority="490" operator="lessThan" dxfId="0">
      <formula>0</formula>
    </cfRule>
    <cfRule type="cellIs" priority="491" operator="greaterThan" dxfId="1">
      <formula>0</formula>
    </cfRule>
    <cfRule type="cellIs" priority="492" operator="equal" dxfId="2">
      <formula>0</formula>
    </cfRule>
  </conditionalFormatting>
  <conditionalFormatting sqref="K115">
    <cfRule type="cellIs" priority="454" operator="lessThan" dxfId="0">
      <formula>0</formula>
    </cfRule>
    <cfRule type="cellIs" priority="455" operator="greaterThan" dxfId="1">
      <formula>0</formula>
    </cfRule>
    <cfRule type="cellIs" priority="456" operator="equal" dxfId="2">
      <formula>0</formula>
    </cfRule>
    <cfRule type="cellIs" priority="496" operator="lessThan" dxfId="0">
      <formula>0</formula>
    </cfRule>
    <cfRule type="cellIs" priority="497" operator="greaterThan" dxfId="1">
      <formula>0</formula>
    </cfRule>
    <cfRule type="cellIs" priority="498" operator="equal" dxfId="2">
      <formula>0</formula>
    </cfRule>
  </conditionalFormatting>
  <conditionalFormatting sqref="L101">
    <cfRule type="cellIs" priority="502" operator="lessThan" dxfId="0">
      <formula>0</formula>
    </cfRule>
    <cfRule type="cellIs" priority="503" operator="greaterThan" dxfId="1">
      <formula>0</formula>
    </cfRule>
    <cfRule type="cellIs" priority="504" operator="equal" dxfId="2">
      <formula>0</formula>
    </cfRule>
  </conditionalFormatting>
  <conditionalFormatting sqref="L105">
    <cfRule type="cellIs" priority="508" operator="lessThan" dxfId="0">
      <formula>0</formula>
    </cfRule>
    <cfRule type="cellIs" priority="509" operator="greaterThan" dxfId="1">
      <formula>0</formula>
    </cfRule>
    <cfRule type="cellIs" priority="510" operator="equal" dxfId="2">
      <formula>0</formula>
    </cfRule>
  </conditionalFormatting>
  <conditionalFormatting sqref="L106">
    <cfRule type="cellIs" priority="514" operator="lessThan" dxfId="0">
      <formula>0</formula>
    </cfRule>
    <cfRule type="cellIs" priority="515" operator="greaterThan" dxfId="1">
      <formula>0</formula>
    </cfRule>
    <cfRule type="cellIs" priority="516" operator="equal" dxfId="2">
      <formula>0</formula>
    </cfRule>
  </conditionalFormatting>
  <conditionalFormatting sqref="L107">
    <cfRule type="cellIs" priority="520" operator="lessThan" dxfId="0">
      <formula>0</formula>
    </cfRule>
    <cfRule type="cellIs" priority="521" operator="greaterThan" dxfId="1">
      <formula>0</formula>
    </cfRule>
    <cfRule type="cellIs" priority="522" operator="equal" dxfId="2">
      <formula>0</formula>
    </cfRule>
  </conditionalFormatting>
  <conditionalFormatting sqref="L108">
    <cfRule type="cellIs" priority="526" operator="lessThan" dxfId="0">
      <formula>0</formula>
    </cfRule>
    <cfRule type="cellIs" priority="527" operator="greaterThan" dxfId="1">
      <formula>0</formula>
    </cfRule>
    <cfRule type="cellIs" priority="528" operator="equal" dxfId="2">
      <formula>0</formula>
    </cfRule>
  </conditionalFormatting>
  <conditionalFormatting sqref="L109">
    <cfRule type="cellIs" priority="532" operator="lessThan" dxfId="0">
      <formula>0</formula>
    </cfRule>
    <cfRule type="cellIs" priority="533" operator="greaterThan" dxfId="1">
      <formula>0</formula>
    </cfRule>
    <cfRule type="cellIs" priority="534" operator="equal" dxfId="2">
      <formula>0</formula>
    </cfRule>
    <cfRule type="cellIs" priority="574" operator="lessThan" dxfId="0">
      <formula>0</formula>
    </cfRule>
    <cfRule type="cellIs" priority="575" operator="greaterThan" dxfId="1">
      <formula>0</formula>
    </cfRule>
    <cfRule type="cellIs" priority="576" operator="equal" dxfId="2">
      <formula>0</formula>
    </cfRule>
  </conditionalFormatting>
  <conditionalFormatting sqref="L110">
    <cfRule type="cellIs" priority="538" operator="lessThan" dxfId="0">
      <formula>0</formula>
    </cfRule>
    <cfRule type="cellIs" priority="539" operator="greaterThan" dxfId="1">
      <formula>0</formula>
    </cfRule>
    <cfRule type="cellIs" priority="540" operator="equal" dxfId="2">
      <formula>0</formula>
    </cfRule>
    <cfRule type="cellIs" priority="580" operator="lessThan" dxfId="0">
      <formula>0</formula>
    </cfRule>
    <cfRule type="cellIs" priority="581" operator="greaterThan" dxfId="1">
      <formula>0</formula>
    </cfRule>
    <cfRule type="cellIs" priority="582" operator="equal" dxfId="2">
      <formula>0</formula>
    </cfRule>
  </conditionalFormatting>
  <conditionalFormatting sqref="L111">
    <cfRule type="cellIs" priority="544" operator="lessThan" dxfId="0">
      <formula>0</formula>
    </cfRule>
    <cfRule type="cellIs" priority="545" operator="greaterThan" dxfId="1">
      <formula>0</formula>
    </cfRule>
    <cfRule type="cellIs" priority="546" operator="equal" dxfId="2">
      <formula>0</formula>
    </cfRule>
    <cfRule type="cellIs" priority="586" operator="lessThan" dxfId="0">
      <formula>0</formula>
    </cfRule>
    <cfRule type="cellIs" priority="587" operator="greaterThan" dxfId="1">
      <formula>0</formula>
    </cfRule>
    <cfRule type="cellIs" priority="588" operator="equal" dxfId="2">
      <formula>0</formula>
    </cfRule>
  </conditionalFormatting>
  <conditionalFormatting sqref="L112">
    <cfRule type="cellIs" priority="550" operator="lessThan" dxfId="0">
      <formula>0</formula>
    </cfRule>
    <cfRule type="cellIs" priority="551" operator="greaterThan" dxfId="1">
      <formula>0</formula>
    </cfRule>
    <cfRule type="cellIs" priority="552" operator="equal" dxfId="2">
      <formula>0</formula>
    </cfRule>
    <cfRule type="cellIs" priority="592" operator="lessThan" dxfId="0">
      <formula>0</formula>
    </cfRule>
    <cfRule type="cellIs" priority="593" operator="greaterThan" dxfId="1">
      <formula>0</formula>
    </cfRule>
    <cfRule type="cellIs" priority="594" operator="equal" dxfId="2">
      <formula>0</formula>
    </cfRule>
  </conditionalFormatting>
  <conditionalFormatting sqref="L113">
    <cfRule type="cellIs" priority="556" operator="lessThan" dxfId="0">
      <formula>0</formula>
    </cfRule>
    <cfRule type="cellIs" priority="557" operator="greaterThan" dxfId="1">
      <formula>0</formula>
    </cfRule>
    <cfRule type="cellIs" priority="558" operator="equal" dxfId="2">
      <formula>0</formula>
    </cfRule>
    <cfRule type="cellIs" priority="598" operator="lessThan" dxfId="0">
      <formula>0</formula>
    </cfRule>
    <cfRule type="cellIs" priority="599" operator="greaterThan" dxfId="1">
      <formula>0</formula>
    </cfRule>
    <cfRule type="cellIs" priority="600" operator="equal" dxfId="2">
      <formula>0</formula>
    </cfRule>
  </conditionalFormatting>
  <conditionalFormatting sqref="L114">
    <cfRule type="cellIs" priority="562" operator="lessThan" dxfId="0">
      <formula>0</formula>
    </cfRule>
    <cfRule type="cellIs" priority="563" operator="greaterThan" dxfId="1">
      <formula>0</formula>
    </cfRule>
    <cfRule type="cellIs" priority="564" operator="equal" dxfId="2">
      <formula>0</formula>
    </cfRule>
    <cfRule type="cellIs" priority="604" operator="lessThan" dxfId="0">
      <formula>0</formula>
    </cfRule>
    <cfRule type="cellIs" priority="605" operator="greaterThan" dxfId="1">
      <formula>0</formula>
    </cfRule>
    <cfRule type="cellIs" priority="606" operator="equal" dxfId="2">
      <formula>0</formula>
    </cfRule>
  </conditionalFormatting>
  <conditionalFormatting sqref="L115">
    <cfRule type="cellIs" priority="568" operator="lessThan" dxfId="0">
      <formula>0</formula>
    </cfRule>
    <cfRule type="cellIs" priority="569" operator="greaterThan" dxfId="1">
      <formula>0</formula>
    </cfRule>
    <cfRule type="cellIs" priority="570" operator="equal" dxfId="2">
      <formula>0</formula>
    </cfRule>
    <cfRule type="cellIs" priority="610" operator="lessThan" dxfId="0">
      <formula>0</formula>
    </cfRule>
    <cfRule type="cellIs" priority="611" operator="greaterThan" dxfId="1">
      <formula>0</formula>
    </cfRule>
    <cfRule type="cellIs" priority="612" operator="equal" dxfId="2">
      <formula>0</formula>
    </cfRule>
  </conditionalFormatting>
  <conditionalFormatting sqref="M33">
    <cfRule type="cellIs" priority="616" operator="lessThan" dxfId="0">
      <formula>0</formula>
    </cfRule>
    <cfRule type="cellIs" priority="617" operator="greaterThan" dxfId="1">
      <formula>0</formula>
    </cfRule>
    <cfRule type="cellIs" priority="618" operator="equal" dxfId="2">
      <formula>0</formula>
    </cfRule>
  </conditionalFormatting>
  <conditionalFormatting sqref="M70">
    <cfRule type="cellIs" priority="619" operator="lessThan" dxfId="0">
      <formula>0</formula>
    </cfRule>
    <cfRule type="cellIs" priority="620" operator="greaterThan" dxfId="1">
      <formula>0</formula>
    </cfRule>
    <cfRule type="cellIs" priority="621" operator="equal" dxfId="2">
      <formula>0</formula>
    </cfRule>
  </conditionalFormatting>
  <conditionalFormatting sqref="M72">
    <cfRule type="cellIs" priority="622" operator="lessThan" dxfId="0">
      <formula>0</formula>
    </cfRule>
    <cfRule type="cellIs" priority="623" operator="greaterThan" dxfId="1">
      <formula>0</formula>
    </cfRule>
    <cfRule type="cellIs" priority="624" operator="equal" dxfId="2">
      <formula>0</formula>
    </cfRule>
  </conditionalFormatting>
  <conditionalFormatting sqref="M74">
    <cfRule type="cellIs" priority="625" operator="lessThan" dxfId="0">
      <formula>0</formula>
    </cfRule>
    <cfRule type="cellIs" priority="626" operator="greaterThan" dxfId="1">
      <formula>0</formula>
    </cfRule>
    <cfRule type="cellIs" priority="627" operator="equal" dxfId="2">
      <formula>0</formula>
    </cfRule>
  </conditionalFormatting>
  <conditionalFormatting sqref="M98">
    <cfRule type="cellIs" priority="628" operator="lessThan" dxfId="0">
      <formula>0</formula>
    </cfRule>
    <cfRule type="cellIs" priority="629" operator="greaterThan" dxfId="1">
      <formula>0</formula>
    </cfRule>
    <cfRule type="cellIs" priority="630" operator="equal" dxfId="2">
      <formula>0</formula>
    </cfRule>
  </conditionalFormatting>
  <conditionalFormatting sqref="M101">
    <cfRule type="cellIs" priority="631" operator="lessThan" dxfId="0">
      <formula>0</formula>
    </cfRule>
    <cfRule type="cellIs" priority="632" operator="greaterThan" dxfId="1">
      <formula>0</formula>
    </cfRule>
    <cfRule type="cellIs" priority="633" operator="equal" dxfId="2">
      <formula>0</formula>
    </cfRule>
  </conditionalFormatting>
  <conditionalFormatting sqref="M105">
    <cfRule type="cellIs" priority="637" operator="lessThan" dxfId="0">
      <formula>0</formula>
    </cfRule>
    <cfRule type="cellIs" priority="638" operator="greaterThan" dxfId="1">
      <formula>0</formula>
    </cfRule>
    <cfRule type="cellIs" priority="639" operator="equal" dxfId="2">
      <formula>0</formula>
    </cfRule>
  </conditionalFormatting>
  <conditionalFormatting sqref="M106">
    <cfRule type="cellIs" priority="643" operator="lessThan" dxfId="0">
      <formula>0</formula>
    </cfRule>
    <cfRule type="cellIs" priority="644" operator="greaterThan" dxfId="1">
      <formula>0</formula>
    </cfRule>
    <cfRule type="cellIs" priority="645" operator="equal" dxfId="2">
      <formula>0</formula>
    </cfRule>
  </conditionalFormatting>
  <conditionalFormatting sqref="M107">
    <cfRule type="cellIs" priority="649" operator="lessThan" dxfId="0">
      <formula>0</formula>
    </cfRule>
    <cfRule type="cellIs" priority="650" operator="greaterThan" dxfId="1">
      <formula>0</formula>
    </cfRule>
    <cfRule type="cellIs" priority="651" operator="equal" dxfId="2">
      <formula>0</formula>
    </cfRule>
  </conditionalFormatting>
  <conditionalFormatting sqref="M108">
    <cfRule type="cellIs" priority="655" operator="lessThan" dxfId="0">
      <formula>0</formula>
    </cfRule>
    <cfRule type="cellIs" priority="656" operator="greaterThan" dxfId="1">
      <formula>0</formula>
    </cfRule>
    <cfRule type="cellIs" priority="657" operator="equal" dxfId="2">
      <formula>0</formula>
    </cfRule>
  </conditionalFormatting>
  <conditionalFormatting sqref="M109">
    <cfRule type="cellIs" priority="661" operator="lessThan" dxfId="0">
      <formula>0</formula>
    </cfRule>
    <cfRule type="cellIs" priority="662" operator="greaterThan" dxfId="1">
      <formula>0</formula>
    </cfRule>
    <cfRule type="cellIs" priority="663" operator="equal" dxfId="2">
      <formula>0</formula>
    </cfRule>
    <cfRule type="cellIs" priority="703" operator="lessThan" dxfId="0">
      <formula>0</formula>
    </cfRule>
    <cfRule type="cellIs" priority="704" operator="greaterThan" dxfId="1">
      <formula>0</formula>
    </cfRule>
    <cfRule type="cellIs" priority="705" operator="equal" dxfId="2">
      <formula>0</formula>
    </cfRule>
  </conditionalFormatting>
  <conditionalFormatting sqref="M110">
    <cfRule type="cellIs" priority="667" operator="lessThan" dxfId="0">
      <formula>0</formula>
    </cfRule>
    <cfRule type="cellIs" priority="668" operator="greaterThan" dxfId="1">
      <formula>0</formula>
    </cfRule>
    <cfRule type="cellIs" priority="669" operator="equal" dxfId="2">
      <formula>0</formula>
    </cfRule>
    <cfRule type="cellIs" priority="709" operator="lessThan" dxfId="0">
      <formula>0</formula>
    </cfRule>
    <cfRule type="cellIs" priority="710" operator="greaterThan" dxfId="1">
      <formula>0</formula>
    </cfRule>
    <cfRule type="cellIs" priority="711" operator="equal" dxfId="2">
      <formula>0</formula>
    </cfRule>
  </conditionalFormatting>
  <conditionalFormatting sqref="M111">
    <cfRule type="cellIs" priority="673" operator="lessThan" dxfId="0">
      <formula>0</formula>
    </cfRule>
    <cfRule type="cellIs" priority="674" operator="greaterThan" dxfId="1">
      <formula>0</formula>
    </cfRule>
    <cfRule type="cellIs" priority="675" operator="equal" dxfId="2">
      <formula>0</formula>
    </cfRule>
    <cfRule type="cellIs" priority="715" operator="lessThan" dxfId="0">
      <formula>0</formula>
    </cfRule>
    <cfRule type="cellIs" priority="716" operator="greaterThan" dxfId="1">
      <formula>0</formula>
    </cfRule>
    <cfRule type="cellIs" priority="717" operator="equal" dxfId="2">
      <formula>0</formula>
    </cfRule>
  </conditionalFormatting>
  <conditionalFormatting sqref="M112">
    <cfRule type="cellIs" priority="679" operator="lessThan" dxfId="0">
      <formula>0</formula>
    </cfRule>
    <cfRule type="cellIs" priority="680" operator="greaterThan" dxfId="1">
      <formula>0</formula>
    </cfRule>
    <cfRule type="cellIs" priority="681" operator="equal" dxfId="2">
      <formula>0</formula>
    </cfRule>
    <cfRule type="cellIs" priority="721" operator="lessThan" dxfId="0">
      <formula>0</formula>
    </cfRule>
    <cfRule type="cellIs" priority="722" operator="greaterThan" dxfId="1">
      <formula>0</formula>
    </cfRule>
    <cfRule type="cellIs" priority="723" operator="equal" dxfId="2">
      <formula>0</formula>
    </cfRule>
  </conditionalFormatting>
  <conditionalFormatting sqref="M113">
    <cfRule type="cellIs" priority="685" operator="lessThan" dxfId="0">
      <formula>0</formula>
    </cfRule>
    <cfRule type="cellIs" priority="686" operator="greaterThan" dxfId="1">
      <formula>0</formula>
    </cfRule>
    <cfRule type="cellIs" priority="687" operator="equal" dxfId="2">
      <formula>0</formula>
    </cfRule>
    <cfRule type="cellIs" priority="727" operator="lessThan" dxfId="0">
      <formula>0</formula>
    </cfRule>
    <cfRule type="cellIs" priority="728" operator="greaterThan" dxfId="1">
      <formula>0</formula>
    </cfRule>
    <cfRule type="cellIs" priority="729" operator="equal" dxfId="2">
      <formula>0</formula>
    </cfRule>
  </conditionalFormatting>
  <conditionalFormatting sqref="M114">
    <cfRule type="cellIs" priority="691" operator="lessThan" dxfId="0">
      <formula>0</formula>
    </cfRule>
    <cfRule type="cellIs" priority="692" operator="greaterThan" dxfId="1">
      <formula>0</formula>
    </cfRule>
    <cfRule type="cellIs" priority="693" operator="equal" dxfId="2">
      <formula>0</formula>
    </cfRule>
    <cfRule type="cellIs" priority="733" operator="lessThan" dxfId="0">
      <formula>0</formula>
    </cfRule>
    <cfRule type="cellIs" priority="734" operator="greaterThan" dxfId="1">
      <formula>0</formula>
    </cfRule>
    <cfRule type="cellIs" priority="735" operator="equal" dxfId="2">
      <formula>0</formula>
    </cfRule>
  </conditionalFormatting>
  <conditionalFormatting sqref="M115">
    <cfRule type="cellIs" priority="697" operator="lessThan" dxfId="0">
      <formula>0</formula>
    </cfRule>
    <cfRule type="cellIs" priority="698" operator="greaterThan" dxfId="1">
      <formula>0</formula>
    </cfRule>
    <cfRule type="cellIs" priority="699" operator="equal" dxfId="2">
      <formula>0</formula>
    </cfRule>
    <cfRule type="cellIs" priority="739" operator="lessThan" dxfId="0">
      <formula>0</formula>
    </cfRule>
    <cfRule type="cellIs" priority="740" operator="greaterThan" dxfId="1">
      <formula>0</formula>
    </cfRule>
    <cfRule type="cellIs" priority="741" operator="equal" dxfId="2">
      <formula>0</formula>
    </cfRule>
  </conditionalFormatting>
  <conditionalFormatting sqref="N101">
    <cfRule type="cellIs" priority="745" operator="lessThan" dxfId="0">
      <formula>0</formula>
    </cfRule>
    <cfRule type="cellIs" priority="746" operator="greaterThan" dxfId="1">
      <formula>0</formula>
    </cfRule>
    <cfRule type="cellIs" priority="747" operator="equal" dxfId="2">
      <formula>0</formula>
    </cfRule>
  </conditionalFormatting>
  <conditionalFormatting sqref="N105">
    <cfRule type="cellIs" priority="751" operator="lessThan" dxfId="0">
      <formula>0</formula>
    </cfRule>
    <cfRule type="cellIs" priority="752" operator="greaterThan" dxfId="1">
      <formula>0</formula>
    </cfRule>
    <cfRule type="cellIs" priority="753" operator="equal" dxfId="2">
      <formula>0</formula>
    </cfRule>
  </conditionalFormatting>
  <conditionalFormatting sqref="N106">
    <cfRule type="cellIs" priority="757" operator="lessThan" dxfId="0">
      <formula>0</formula>
    </cfRule>
    <cfRule type="cellIs" priority="758" operator="greaterThan" dxfId="1">
      <formula>0</formula>
    </cfRule>
    <cfRule type="cellIs" priority="759" operator="equal" dxfId="2">
      <formula>0</formula>
    </cfRule>
  </conditionalFormatting>
  <conditionalFormatting sqref="N107">
    <cfRule type="cellIs" priority="763" operator="lessThan" dxfId="0">
      <formula>0</formula>
    </cfRule>
    <cfRule type="cellIs" priority="764" operator="greaterThan" dxfId="1">
      <formula>0</formula>
    </cfRule>
    <cfRule type="cellIs" priority="765" operator="equal" dxfId="2">
      <formula>0</formula>
    </cfRule>
  </conditionalFormatting>
  <conditionalFormatting sqref="N108">
    <cfRule type="cellIs" priority="769" operator="lessThan" dxfId="0">
      <formula>0</formula>
    </cfRule>
    <cfRule type="cellIs" priority="770" operator="greaterThan" dxfId="1">
      <formula>0</formula>
    </cfRule>
    <cfRule type="cellIs" priority="771" operator="equal" dxfId="2">
      <formula>0</formula>
    </cfRule>
  </conditionalFormatting>
  <conditionalFormatting sqref="N109">
    <cfRule type="cellIs" priority="775" operator="lessThan" dxfId="0">
      <formula>0</formula>
    </cfRule>
    <cfRule type="cellIs" priority="776" operator="greaterThan" dxfId="1">
      <formula>0</formula>
    </cfRule>
    <cfRule type="cellIs" priority="777" operator="equal" dxfId="2">
      <formula>0</formula>
    </cfRule>
    <cfRule type="cellIs" priority="817" operator="lessThan" dxfId="0">
      <formula>0</formula>
    </cfRule>
    <cfRule type="cellIs" priority="818" operator="greaterThan" dxfId="1">
      <formula>0</formula>
    </cfRule>
    <cfRule type="cellIs" priority="819" operator="equal" dxfId="2">
      <formula>0</formula>
    </cfRule>
  </conditionalFormatting>
  <conditionalFormatting sqref="N110">
    <cfRule type="cellIs" priority="781" operator="lessThan" dxfId="0">
      <formula>0</formula>
    </cfRule>
    <cfRule type="cellIs" priority="782" operator="greaterThan" dxfId="1">
      <formula>0</formula>
    </cfRule>
    <cfRule type="cellIs" priority="783" operator="equal" dxfId="2">
      <formula>0</formula>
    </cfRule>
    <cfRule type="cellIs" priority="823" operator="lessThan" dxfId="0">
      <formula>0</formula>
    </cfRule>
    <cfRule type="cellIs" priority="824" operator="greaterThan" dxfId="1">
      <formula>0</formula>
    </cfRule>
    <cfRule type="cellIs" priority="825" operator="equal" dxfId="2">
      <formula>0</formula>
    </cfRule>
  </conditionalFormatting>
  <conditionalFormatting sqref="N111">
    <cfRule type="cellIs" priority="787" operator="lessThan" dxfId="0">
      <formula>0</formula>
    </cfRule>
    <cfRule type="cellIs" priority="788" operator="greaterThan" dxfId="1">
      <formula>0</formula>
    </cfRule>
    <cfRule type="cellIs" priority="789" operator="equal" dxfId="2">
      <formula>0</formula>
    </cfRule>
    <cfRule type="cellIs" priority="829" operator="lessThan" dxfId="0">
      <formula>0</formula>
    </cfRule>
    <cfRule type="cellIs" priority="830" operator="greaterThan" dxfId="1">
      <formula>0</formula>
    </cfRule>
    <cfRule type="cellIs" priority="831" operator="equal" dxfId="2">
      <formula>0</formula>
    </cfRule>
  </conditionalFormatting>
  <conditionalFormatting sqref="N112">
    <cfRule type="cellIs" priority="793" operator="lessThan" dxfId="0">
      <formula>0</formula>
    </cfRule>
    <cfRule type="cellIs" priority="794" operator="greaterThan" dxfId="1">
      <formula>0</formula>
    </cfRule>
    <cfRule type="cellIs" priority="795" operator="equal" dxfId="2">
      <formula>0</formula>
    </cfRule>
    <cfRule type="cellIs" priority="835" operator="lessThan" dxfId="0">
      <formula>0</formula>
    </cfRule>
    <cfRule type="cellIs" priority="836" operator="greaterThan" dxfId="1">
      <formula>0</formula>
    </cfRule>
    <cfRule type="cellIs" priority="837" operator="equal" dxfId="2">
      <formula>0</formula>
    </cfRule>
  </conditionalFormatting>
  <conditionalFormatting sqref="N113">
    <cfRule type="cellIs" priority="799" operator="lessThan" dxfId="0">
      <formula>0</formula>
    </cfRule>
    <cfRule type="cellIs" priority="800" operator="greaterThan" dxfId="1">
      <formula>0</formula>
    </cfRule>
    <cfRule type="cellIs" priority="801" operator="equal" dxfId="2">
      <formula>0</formula>
    </cfRule>
    <cfRule type="cellIs" priority="841" operator="lessThan" dxfId="0">
      <formula>0</formula>
    </cfRule>
    <cfRule type="cellIs" priority="842" operator="greaterThan" dxfId="1">
      <formula>0</formula>
    </cfRule>
    <cfRule type="cellIs" priority="843" operator="equal" dxfId="2">
      <formula>0</formula>
    </cfRule>
  </conditionalFormatting>
  <conditionalFormatting sqref="N114">
    <cfRule type="cellIs" priority="805" operator="lessThan" dxfId="0">
      <formula>0</formula>
    </cfRule>
    <cfRule type="cellIs" priority="806" operator="greaterThan" dxfId="1">
      <formula>0</formula>
    </cfRule>
    <cfRule type="cellIs" priority="807" operator="equal" dxfId="2">
      <formula>0</formula>
    </cfRule>
    <cfRule type="cellIs" priority="847" operator="lessThan" dxfId="0">
      <formula>0</formula>
    </cfRule>
    <cfRule type="cellIs" priority="848" operator="greaterThan" dxfId="1">
      <formula>0</formula>
    </cfRule>
    <cfRule type="cellIs" priority="849" operator="equal" dxfId="2">
      <formula>0</formula>
    </cfRule>
  </conditionalFormatting>
  <conditionalFormatting sqref="N115">
    <cfRule type="cellIs" priority="811" operator="lessThan" dxfId="0">
      <formula>0</formula>
    </cfRule>
    <cfRule type="cellIs" priority="812" operator="greaterThan" dxfId="1">
      <formula>0</formula>
    </cfRule>
    <cfRule type="cellIs" priority="813" operator="equal" dxfId="2">
      <formula>0</formula>
    </cfRule>
    <cfRule type="cellIs" priority="853" operator="lessThan" dxfId="0">
      <formula>0</formula>
    </cfRule>
    <cfRule type="cellIs" priority="854" operator="greaterThan" dxfId="1">
      <formula>0</formula>
    </cfRule>
    <cfRule type="cellIs" priority="855" operator="equal" dxfId="2">
      <formula>0</formula>
    </cfRule>
  </conditionalFormatting>
  <conditionalFormatting sqref="O33">
    <cfRule type="cellIs" priority="859" operator="lessThan" dxfId="0">
      <formula>0</formula>
    </cfRule>
    <cfRule type="cellIs" priority="860" operator="greaterThan" dxfId="1">
      <formula>0</formula>
    </cfRule>
    <cfRule type="cellIs" priority="861" operator="equal" dxfId="2">
      <formula>0</formula>
    </cfRule>
  </conditionalFormatting>
  <conditionalFormatting sqref="O70">
    <cfRule type="cellIs" priority="862" operator="lessThan" dxfId="0">
      <formula>0</formula>
    </cfRule>
    <cfRule type="cellIs" priority="863" operator="greaterThan" dxfId="1">
      <formula>0</formula>
    </cfRule>
    <cfRule type="cellIs" priority="864" operator="equal" dxfId="2">
      <formula>0</formula>
    </cfRule>
  </conditionalFormatting>
  <conditionalFormatting sqref="O72">
    <cfRule type="cellIs" priority="865" operator="lessThan" dxfId="0">
      <formula>0</formula>
    </cfRule>
    <cfRule type="cellIs" priority="866" operator="greaterThan" dxfId="1">
      <formula>0</formula>
    </cfRule>
    <cfRule type="cellIs" priority="867" operator="equal" dxfId="2">
      <formula>0</formula>
    </cfRule>
  </conditionalFormatting>
  <conditionalFormatting sqref="O74">
    <cfRule type="cellIs" priority="868" operator="lessThan" dxfId="0">
      <formula>0</formula>
    </cfRule>
    <cfRule type="cellIs" priority="869" operator="greaterThan" dxfId="1">
      <formula>0</formula>
    </cfRule>
    <cfRule type="cellIs" priority="870" operator="equal" dxfId="2">
      <formula>0</formula>
    </cfRule>
  </conditionalFormatting>
  <conditionalFormatting sqref="O98">
    <cfRule type="cellIs" priority="871" operator="lessThan" dxfId="0">
      <formula>0</formula>
    </cfRule>
    <cfRule type="cellIs" priority="872" operator="greaterThan" dxfId="1">
      <formula>0</formula>
    </cfRule>
    <cfRule type="cellIs" priority="873" operator="equal" dxfId="2">
      <formula>0</formula>
    </cfRule>
  </conditionalFormatting>
  <conditionalFormatting sqref="O101">
    <cfRule type="cellIs" priority="874" operator="lessThan" dxfId="0">
      <formula>0</formula>
    </cfRule>
    <cfRule type="cellIs" priority="875" operator="greaterThan" dxfId="1">
      <formula>0</formula>
    </cfRule>
    <cfRule type="cellIs" priority="876" operator="equal" dxfId="2">
      <formula>0</formula>
    </cfRule>
  </conditionalFormatting>
  <conditionalFormatting sqref="O105">
    <cfRule type="cellIs" priority="880" operator="lessThan" dxfId="0">
      <formula>0</formula>
    </cfRule>
    <cfRule type="cellIs" priority="881" operator="greaterThan" dxfId="1">
      <formula>0</formula>
    </cfRule>
    <cfRule type="cellIs" priority="882" operator="equal" dxfId="2">
      <formula>0</formula>
    </cfRule>
  </conditionalFormatting>
  <conditionalFormatting sqref="O106">
    <cfRule type="cellIs" priority="886" operator="lessThan" dxfId="0">
      <formula>0</formula>
    </cfRule>
    <cfRule type="cellIs" priority="887" operator="greaterThan" dxfId="1">
      <formula>0</formula>
    </cfRule>
    <cfRule type="cellIs" priority="888" operator="equal" dxfId="2">
      <formula>0</formula>
    </cfRule>
  </conditionalFormatting>
  <conditionalFormatting sqref="O107">
    <cfRule type="cellIs" priority="892" operator="lessThan" dxfId="0">
      <formula>0</formula>
    </cfRule>
    <cfRule type="cellIs" priority="893" operator="greaterThan" dxfId="1">
      <formula>0</formula>
    </cfRule>
    <cfRule type="cellIs" priority="894" operator="equal" dxfId="2">
      <formula>0</formula>
    </cfRule>
  </conditionalFormatting>
  <conditionalFormatting sqref="O108">
    <cfRule type="cellIs" priority="898" operator="lessThan" dxfId="0">
      <formula>0</formula>
    </cfRule>
    <cfRule type="cellIs" priority="899" operator="greaterThan" dxfId="1">
      <formula>0</formula>
    </cfRule>
    <cfRule type="cellIs" priority="900" operator="equal" dxfId="2">
      <formula>0</formula>
    </cfRule>
  </conditionalFormatting>
  <conditionalFormatting sqref="O109">
    <cfRule type="cellIs" priority="904" operator="lessThan" dxfId="0">
      <formula>0</formula>
    </cfRule>
    <cfRule type="cellIs" priority="905" operator="greaterThan" dxfId="1">
      <formula>0</formula>
    </cfRule>
    <cfRule type="cellIs" priority="906" operator="equal" dxfId="2">
      <formula>0</formula>
    </cfRule>
    <cfRule type="cellIs" priority="946" operator="lessThan" dxfId="0">
      <formula>0</formula>
    </cfRule>
    <cfRule type="cellIs" priority="947" operator="greaterThan" dxfId="1">
      <formula>0</formula>
    </cfRule>
    <cfRule type="cellIs" priority="948" operator="equal" dxfId="2">
      <formula>0</formula>
    </cfRule>
  </conditionalFormatting>
  <conditionalFormatting sqref="O110">
    <cfRule type="cellIs" priority="910" operator="lessThan" dxfId="0">
      <formula>0</formula>
    </cfRule>
    <cfRule type="cellIs" priority="911" operator="greaterThan" dxfId="1">
      <formula>0</formula>
    </cfRule>
    <cfRule type="cellIs" priority="912" operator="equal" dxfId="2">
      <formula>0</formula>
    </cfRule>
    <cfRule type="cellIs" priority="952" operator="lessThan" dxfId="0">
      <formula>0</formula>
    </cfRule>
    <cfRule type="cellIs" priority="953" operator="greaterThan" dxfId="1">
      <formula>0</formula>
    </cfRule>
    <cfRule type="cellIs" priority="954" operator="equal" dxfId="2">
      <formula>0</formula>
    </cfRule>
  </conditionalFormatting>
  <conditionalFormatting sqref="O111">
    <cfRule type="cellIs" priority="916" operator="lessThan" dxfId="0">
      <formula>0</formula>
    </cfRule>
    <cfRule type="cellIs" priority="917" operator="greaterThan" dxfId="1">
      <formula>0</formula>
    </cfRule>
    <cfRule type="cellIs" priority="918" operator="equal" dxfId="2">
      <formula>0</formula>
    </cfRule>
    <cfRule type="cellIs" priority="958" operator="lessThan" dxfId="0">
      <formula>0</formula>
    </cfRule>
    <cfRule type="cellIs" priority="959" operator="greaterThan" dxfId="1">
      <formula>0</formula>
    </cfRule>
    <cfRule type="cellIs" priority="960" operator="equal" dxfId="2">
      <formula>0</formula>
    </cfRule>
  </conditionalFormatting>
  <conditionalFormatting sqref="O112">
    <cfRule type="cellIs" priority="922" operator="lessThan" dxfId="0">
      <formula>0</formula>
    </cfRule>
    <cfRule type="cellIs" priority="923" operator="greaterThan" dxfId="1">
      <formula>0</formula>
    </cfRule>
    <cfRule type="cellIs" priority="924" operator="equal" dxfId="2">
      <formula>0</formula>
    </cfRule>
    <cfRule type="cellIs" priority="964" operator="lessThan" dxfId="0">
      <formula>0</formula>
    </cfRule>
    <cfRule type="cellIs" priority="965" operator="greaterThan" dxfId="1">
      <formula>0</formula>
    </cfRule>
    <cfRule type="cellIs" priority="966" operator="equal" dxfId="2">
      <formula>0</formula>
    </cfRule>
  </conditionalFormatting>
  <conditionalFormatting sqref="O113">
    <cfRule type="cellIs" priority="928" operator="lessThan" dxfId="0">
      <formula>0</formula>
    </cfRule>
    <cfRule type="cellIs" priority="929" operator="greaterThan" dxfId="1">
      <formula>0</formula>
    </cfRule>
    <cfRule type="cellIs" priority="930" operator="equal" dxfId="2">
      <formula>0</formula>
    </cfRule>
    <cfRule type="cellIs" priority="970" operator="lessThan" dxfId="0">
      <formula>0</formula>
    </cfRule>
    <cfRule type="cellIs" priority="971" operator="greaterThan" dxfId="1">
      <formula>0</formula>
    </cfRule>
    <cfRule type="cellIs" priority="972" operator="equal" dxfId="2">
      <formula>0</formula>
    </cfRule>
  </conditionalFormatting>
  <conditionalFormatting sqref="O114">
    <cfRule type="cellIs" priority="934" operator="lessThan" dxfId="0">
      <formula>0</formula>
    </cfRule>
    <cfRule type="cellIs" priority="935" operator="greaterThan" dxfId="1">
      <formula>0</formula>
    </cfRule>
    <cfRule type="cellIs" priority="936" operator="equal" dxfId="2">
      <formula>0</formula>
    </cfRule>
    <cfRule type="cellIs" priority="976" operator="lessThan" dxfId="0">
      <formula>0</formula>
    </cfRule>
    <cfRule type="cellIs" priority="977" operator="greaterThan" dxfId="1">
      <formula>0</formula>
    </cfRule>
    <cfRule type="cellIs" priority="978" operator="equal" dxfId="2">
      <formula>0</formula>
    </cfRule>
  </conditionalFormatting>
  <conditionalFormatting sqref="O115">
    <cfRule type="cellIs" priority="940" operator="lessThan" dxfId="0">
      <formula>0</formula>
    </cfRule>
    <cfRule type="cellIs" priority="941" operator="greaterThan" dxfId="1">
      <formula>0</formula>
    </cfRule>
    <cfRule type="cellIs" priority="942" operator="equal" dxfId="2">
      <formula>0</formula>
    </cfRule>
    <cfRule type="cellIs" priority="982" operator="lessThan" dxfId="0">
      <formula>0</formula>
    </cfRule>
    <cfRule type="cellIs" priority="983" operator="greaterThan" dxfId="1">
      <formula>0</formula>
    </cfRule>
    <cfRule type="cellIs" priority="984" operator="equal" dxfId="2">
      <formula>0</formula>
    </cfRule>
  </conditionalFormatting>
  <conditionalFormatting sqref="P101">
    <cfRule type="cellIs" priority="988" operator="lessThan" dxfId="0">
      <formula>0</formula>
    </cfRule>
    <cfRule type="cellIs" priority="989" operator="greaterThan" dxfId="1">
      <formula>0</formula>
    </cfRule>
    <cfRule type="cellIs" priority="990" operator="equal" dxfId="2">
      <formula>0</formula>
    </cfRule>
  </conditionalFormatting>
  <conditionalFormatting sqref="P105">
    <cfRule type="cellIs" priority="994" operator="lessThan" dxfId="0">
      <formula>0</formula>
    </cfRule>
    <cfRule type="cellIs" priority="995" operator="greaterThan" dxfId="1">
      <formula>0</formula>
    </cfRule>
    <cfRule type="cellIs" priority="996" operator="equal" dxfId="2">
      <formula>0</formula>
    </cfRule>
  </conditionalFormatting>
  <conditionalFormatting sqref="P106">
    <cfRule type="cellIs" priority="1000" operator="lessThan" dxfId="0">
      <formula>0</formula>
    </cfRule>
    <cfRule type="cellIs" priority="1001" operator="greaterThan" dxfId="1">
      <formula>0</formula>
    </cfRule>
    <cfRule type="cellIs" priority="1002" operator="equal" dxfId="2">
      <formula>0</formula>
    </cfRule>
  </conditionalFormatting>
  <conditionalFormatting sqref="P107">
    <cfRule type="cellIs" priority="1006" operator="lessThan" dxfId="0">
      <formula>0</formula>
    </cfRule>
    <cfRule type="cellIs" priority="1007" operator="greaterThan" dxfId="1">
      <formula>0</formula>
    </cfRule>
    <cfRule type="cellIs" priority="1008" operator="equal" dxfId="2">
      <formula>0</formula>
    </cfRule>
  </conditionalFormatting>
  <conditionalFormatting sqref="P108">
    <cfRule type="cellIs" priority="1012" operator="lessThan" dxfId="0">
      <formula>0</formula>
    </cfRule>
    <cfRule type="cellIs" priority="1013" operator="greaterThan" dxfId="1">
      <formula>0</formula>
    </cfRule>
    <cfRule type="cellIs" priority="1014" operator="equal" dxfId="2">
      <formula>0</formula>
    </cfRule>
  </conditionalFormatting>
  <conditionalFormatting sqref="P109">
    <cfRule type="cellIs" priority="1018" operator="lessThan" dxfId="0">
      <formula>0</formula>
    </cfRule>
    <cfRule type="cellIs" priority="1019" operator="greaterThan" dxfId="1">
      <formula>0</formula>
    </cfRule>
    <cfRule type="cellIs" priority="1020" operator="equal" dxfId="2">
      <formula>0</formula>
    </cfRule>
    <cfRule type="cellIs" priority="1060" operator="lessThan" dxfId="0">
      <formula>0</formula>
    </cfRule>
    <cfRule type="cellIs" priority="1061" operator="greaterThan" dxfId="1">
      <formula>0</formula>
    </cfRule>
    <cfRule type="cellIs" priority="1062" operator="equal" dxfId="2">
      <formula>0</formula>
    </cfRule>
  </conditionalFormatting>
  <conditionalFormatting sqref="P110">
    <cfRule type="cellIs" priority="1024" operator="lessThan" dxfId="0">
      <formula>0</formula>
    </cfRule>
    <cfRule type="cellIs" priority="1025" operator="greaterThan" dxfId="1">
      <formula>0</formula>
    </cfRule>
    <cfRule type="cellIs" priority="1026" operator="equal" dxfId="2">
      <formula>0</formula>
    </cfRule>
    <cfRule type="cellIs" priority="1066" operator="lessThan" dxfId="0">
      <formula>0</formula>
    </cfRule>
    <cfRule type="cellIs" priority="1067" operator="greaterThan" dxfId="1">
      <formula>0</formula>
    </cfRule>
    <cfRule type="cellIs" priority="1068" operator="equal" dxfId="2">
      <formula>0</formula>
    </cfRule>
  </conditionalFormatting>
  <conditionalFormatting sqref="P111">
    <cfRule type="cellIs" priority="1030" operator="lessThan" dxfId="0">
      <formula>0</formula>
    </cfRule>
    <cfRule type="cellIs" priority="1031" operator="greaterThan" dxfId="1">
      <formula>0</formula>
    </cfRule>
    <cfRule type="cellIs" priority="1032" operator="equal" dxfId="2">
      <formula>0</formula>
    </cfRule>
    <cfRule type="cellIs" priority="1072" operator="lessThan" dxfId="0">
      <formula>0</formula>
    </cfRule>
    <cfRule type="cellIs" priority="1073" operator="greaterThan" dxfId="1">
      <formula>0</formula>
    </cfRule>
    <cfRule type="cellIs" priority="1074" operator="equal" dxfId="2">
      <formula>0</formula>
    </cfRule>
  </conditionalFormatting>
  <conditionalFormatting sqref="P112">
    <cfRule type="cellIs" priority="1036" operator="lessThan" dxfId="0">
      <formula>0</formula>
    </cfRule>
    <cfRule type="cellIs" priority="1037" operator="greaterThan" dxfId="1">
      <formula>0</formula>
    </cfRule>
    <cfRule type="cellIs" priority="1038" operator="equal" dxfId="2">
      <formula>0</formula>
    </cfRule>
    <cfRule type="cellIs" priority="1078" operator="lessThan" dxfId="0">
      <formula>0</formula>
    </cfRule>
    <cfRule type="cellIs" priority="1079" operator="greaterThan" dxfId="1">
      <formula>0</formula>
    </cfRule>
    <cfRule type="cellIs" priority="1080" operator="equal" dxfId="2">
      <formula>0</formula>
    </cfRule>
  </conditionalFormatting>
  <conditionalFormatting sqref="P113">
    <cfRule type="cellIs" priority="1042" operator="lessThan" dxfId="0">
      <formula>0</formula>
    </cfRule>
    <cfRule type="cellIs" priority="1043" operator="greaterThan" dxfId="1">
      <formula>0</formula>
    </cfRule>
    <cfRule type="cellIs" priority="1044" operator="equal" dxfId="2">
      <formula>0</formula>
    </cfRule>
    <cfRule type="cellIs" priority="1084" operator="lessThan" dxfId="0">
      <formula>0</formula>
    </cfRule>
    <cfRule type="cellIs" priority="1085" operator="greaterThan" dxfId="1">
      <formula>0</formula>
    </cfRule>
    <cfRule type="cellIs" priority="1086" operator="equal" dxfId="2">
      <formula>0</formula>
    </cfRule>
  </conditionalFormatting>
  <conditionalFormatting sqref="P114">
    <cfRule type="cellIs" priority="1048" operator="lessThan" dxfId="0">
      <formula>0</formula>
    </cfRule>
    <cfRule type="cellIs" priority="1049" operator="greaterThan" dxfId="1">
      <formula>0</formula>
    </cfRule>
    <cfRule type="cellIs" priority="1050" operator="equal" dxfId="2">
      <formula>0</formula>
    </cfRule>
    <cfRule type="cellIs" priority="1090" operator="lessThan" dxfId="0">
      <formula>0</formula>
    </cfRule>
    <cfRule type="cellIs" priority="1091" operator="greaterThan" dxfId="1">
      <formula>0</formula>
    </cfRule>
    <cfRule type="cellIs" priority="1092" operator="equal" dxfId="2">
      <formula>0</formula>
    </cfRule>
  </conditionalFormatting>
  <conditionalFormatting sqref="P115">
    <cfRule type="cellIs" priority="1054" operator="lessThan" dxfId="0">
      <formula>0</formula>
    </cfRule>
    <cfRule type="cellIs" priority="1055" operator="greaterThan" dxfId="1">
      <formula>0</formula>
    </cfRule>
    <cfRule type="cellIs" priority="1056" operator="equal" dxfId="2">
      <formula>0</formula>
    </cfRule>
    <cfRule type="cellIs" priority="1096" operator="lessThan" dxfId="0">
      <formula>0</formula>
    </cfRule>
    <cfRule type="cellIs" priority="1097" operator="greaterThan" dxfId="1">
      <formula>0</formula>
    </cfRule>
    <cfRule type="cellIs" priority="1098" operator="equal" dxfId="2">
      <formula>0</formula>
    </cfRule>
  </conditionalFormatting>
  <conditionalFormatting sqref="Q33">
    <cfRule type="cellIs" priority="1102" operator="lessThan" dxfId="0">
      <formula>0</formula>
    </cfRule>
    <cfRule type="cellIs" priority="1103" operator="greaterThan" dxfId="1">
      <formula>0</formula>
    </cfRule>
    <cfRule type="cellIs" priority="1104" operator="equal" dxfId="2">
      <formula>0</formula>
    </cfRule>
  </conditionalFormatting>
  <conditionalFormatting sqref="Q70">
    <cfRule type="cellIs" priority="1105" operator="lessThan" dxfId="0">
      <formula>0</formula>
    </cfRule>
    <cfRule type="cellIs" priority="1106" operator="greaterThan" dxfId="1">
      <formula>0</formula>
    </cfRule>
    <cfRule type="cellIs" priority="1107" operator="equal" dxfId="2">
      <formula>0</formula>
    </cfRule>
  </conditionalFormatting>
  <conditionalFormatting sqref="Q72">
    <cfRule type="cellIs" priority="1108" operator="lessThan" dxfId="0">
      <formula>0</formula>
    </cfRule>
    <cfRule type="cellIs" priority="1109" operator="greaterThan" dxfId="1">
      <formula>0</formula>
    </cfRule>
    <cfRule type="cellIs" priority="1110" operator="equal" dxfId="2">
      <formula>0</formula>
    </cfRule>
  </conditionalFormatting>
  <conditionalFormatting sqref="Q74">
    <cfRule type="cellIs" priority="1111" operator="lessThan" dxfId="0">
      <formula>0</formula>
    </cfRule>
    <cfRule type="cellIs" priority="1112" operator="greaterThan" dxfId="1">
      <formula>0</formula>
    </cfRule>
    <cfRule type="cellIs" priority="1113" operator="equal" dxfId="2">
      <formula>0</formula>
    </cfRule>
  </conditionalFormatting>
  <conditionalFormatting sqref="Q98">
    <cfRule type="cellIs" priority="1114" operator="lessThan" dxfId="0">
      <formula>0</formula>
    </cfRule>
    <cfRule type="cellIs" priority="1115" operator="greaterThan" dxfId="1">
      <formula>0</formula>
    </cfRule>
    <cfRule type="cellIs" priority="1116" operator="equal" dxfId="2">
      <formula>0</formula>
    </cfRule>
  </conditionalFormatting>
  <conditionalFormatting sqref="Q101">
    <cfRule type="cellIs" priority="1117" operator="lessThan" dxfId="0">
      <formula>0</formula>
    </cfRule>
    <cfRule type="cellIs" priority="1118" operator="greaterThan" dxfId="1">
      <formula>0</formula>
    </cfRule>
    <cfRule type="cellIs" priority="1119" operator="equal" dxfId="2">
      <formula>0</formula>
    </cfRule>
  </conditionalFormatting>
  <conditionalFormatting sqref="Q105">
    <cfRule type="cellIs" priority="1123" operator="lessThan" dxfId="0">
      <formula>0</formula>
    </cfRule>
    <cfRule type="cellIs" priority="1124" operator="greaterThan" dxfId="1">
      <formula>0</formula>
    </cfRule>
    <cfRule type="cellIs" priority="1125" operator="equal" dxfId="2">
      <formula>0</formula>
    </cfRule>
  </conditionalFormatting>
  <conditionalFormatting sqref="Q106">
    <cfRule type="cellIs" priority="1129" operator="lessThan" dxfId="0">
      <formula>0</formula>
    </cfRule>
    <cfRule type="cellIs" priority="1130" operator="greaterThan" dxfId="1">
      <formula>0</formula>
    </cfRule>
    <cfRule type="cellIs" priority="1131" operator="equal" dxfId="2">
      <formula>0</formula>
    </cfRule>
  </conditionalFormatting>
  <conditionalFormatting sqref="Q107">
    <cfRule type="cellIs" priority="1135" operator="lessThan" dxfId="0">
      <formula>0</formula>
    </cfRule>
    <cfRule type="cellIs" priority="1136" operator="greaterThan" dxfId="1">
      <formula>0</formula>
    </cfRule>
    <cfRule type="cellIs" priority="1137" operator="equal" dxfId="2">
      <formula>0</formula>
    </cfRule>
  </conditionalFormatting>
  <conditionalFormatting sqref="Q108">
    <cfRule type="cellIs" priority="1141" operator="lessThan" dxfId="0">
      <formula>0</formula>
    </cfRule>
    <cfRule type="cellIs" priority="1142" operator="greaterThan" dxfId="1">
      <formula>0</formula>
    </cfRule>
    <cfRule type="cellIs" priority="1143" operator="equal" dxfId="2">
      <formula>0</formula>
    </cfRule>
  </conditionalFormatting>
  <conditionalFormatting sqref="Q109">
    <cfRule type="cellIs" priority="1147" operator="lessThan" dxfId="0">
      <formula>0</formula>
    </cfRule>
    <cfRule type="cellIs" priority="1148" operator="greaterThan" dxfId="1">
      <formula>0</formula>
    </cfRule>
    <cfRule type="cellIs" priority="1149" operator="equal" dxfId="2">
      <formula>0</formula>
    </cfRule>
    <cfRule type="cellIs" priority="1189" operator="lessThan" dxfId="0">
      <formula>0</formula>
    </cfRule>
    <cfRule type="cellIs" priority="1190" operator="greaterThan" dxfId="1">
      <formula>0</formula>
    </cfRule>
    <cfRule type="cellIs" priority="1191" operator="equal" dxfId="2">
      <formula>0</formula>
    </cfRule>
  </conditionalFormatting>
  <conditionalFormatting sqref="Q110">
    <cfRule type="cellIs" priority="1153" operator="lessThan" dxfId="0">
      <formula>0</formula>
    </cfRule>
    <cfRule type="cellIs" priority="1154" operator="greaterThan" dxfId="1">
      <formula>0</formula>
    </cfRule>
    <cfRule type="cellIs" priority="1155" operator="equal" dxfId="2">
      <formula>0</formula>
    </cfRule>
    <cfRule type="cellIs" priority="1195" operator="lessThan" dxfId="0">
      <formula>0</formula>
    </cfRule>
    <cfRule type="cellIs" priority="1196" operator="greaterThan" dxfId="1">
      <formula>0</formula>
    </cfRule>
    <cfRule type="cellIs" priority="1197" operator="equal" dxfId="2">
      <formula>0</formula>
    </cfRule>
  </conditionalFormatting>
  <conditionalFormatting sqref="Q111">
    <cfRule type="cellIs" priority="1159" operator="lessThan" dxfId="0">
      <formula>0</formula>
    </cfRule>
    <cfRule type="cellIs" priority="1160" operator="greaterThan" dxfId="1">
      <formula>0</formula>
    </cfRule>
    <cfRule type="cellIs" priority="1161" operator="equal" dxfId="2">
      <formula>0</formula>
    </cfRule>
    <cfRule type="cellIs" priority="1201" operator="lessThan" dxfId="0">
      <formula>0</formula>
    </cfRule>
    <cfRule type="cellIs" priority="1202" operator="greaterThan" dxfId="1">
      <formula>0</formula>
    </cfRule>
    <cfRule type="cellIs" priority="1203" operator="equal" dxfId="2">
      <formula>0</formula>
    </cfRule>
  </conditionalFormatting>
  <conditionalFormatting sqref="Q112">
    <cfRule type="cellIs" priority="1165" operator="lessThan" dxfId="0">
      <formula>0</formula>
    </cfRule>
    <cfRule type="cellIs" priority="1166" operator="greaterThan" dxfId="1">
      <formula>0</formula>
    </cfRule>
    <cfRule type="cellIs" priority="1167" operator="equal" dxfId="2">
      <formula>0</formula>
    </cfRule>
    <cfRule type="cellIs" priority="1207" operator="lessThan" dxfId="0">
      <formula>0</formula>
    </cfRule>
    <cfRule type="cellIs" priority="1208" operator="greaterThan" dxfId="1">
      <formula>0</formula>
    </cfRule>
    <cfRule type="cellIs" priority="1209" operator="equal" dxfId="2">
      <formula>0</formula>
    </cfRule>
  </conditionalFormatting>
  <conditionalFormatting sqref="Q113">
    <cfRule type="cellIs" priority="1171" operator="lessThan" dxfId="0">
      <formula>0</formula>
    </cfRule>
    <cfRule type="cellIs" priority="1172" operator="greaterThan" dxfId="1">
      <formula>0</formula>
    </cfRule>
    <cfRule type="cellIs" priority="1173" operator="equal" dxfId="2">
      <formula>0</formula>
    </cfRule>
    <cfRule type="cellIs" priority="1213" operator="lessThan" dxfId="0">
      <formula>0</formula>
    </cfRule>
    <cfRule type="cellIs" priority="1214" operator="greaterThan" dxfId="1">
      <formula>0</formula>
    </cfRule>
    <cfRule type="cellIs" priority="1215" operator="equal" dxfId="2">
      <formula>0</formula>
    </cfRule>
  </conditionalFormatting>
  <conditionalFormatting sqref="Q114">
    <cfRule type="cellIs" priority="1177" operator="lessThan" dxfId="0">
      <formula>0</formula>
    </cfRule>
    <cfRule type="cellIs" priority="1178" operator="greaterThan" dxfId="1">
      <formula>0</formula>
    </cfRule>
    <cfRule type="cellIs" priority="1179" operator="equal" dxfId="2">
      <formula>0</formula>
    </cfRule>
    <cfRule type="cellIs" priority="1219" operator="lessThan" dxfId="0">
      <formula>0</formula>
    </cfRule>
    <cfRule type="cellIs" priority="1220" operator="greaterThan" dxfId="1">
      <formula>0</formula>
    </cfRule>
    <cfRule type="cellIs" priority="1221" operator="equal" dxfId="2">
      <formula>0</formula>
    </cfRule>
  </conditionalFormatting>
  <conditionalFormatting sqref="Q115">
    <cfRule type="cellIs" priority="1183" operator="lessThan" dxfId="0">
      <formula>0</formula>
    </cfRule>
    <cfRule type="cellIs" priority="1184" operator="greaterThan" dxfId="1">
      <formula>0</formula>
    </cfRule>
    <cfRule type="cellIs" priority="1185" operator="equal" dxfId="2">
      <formula>0</formula>
    </cfRule>
    <cfRule type="cellIs" priority="1225" operator="lessThan" dxfId="0">
      <formula>0</formula>
    </cfRule>
    <cfRule type="cellIs" priority="1226" operator="greaterThan" dxfId="1">
      <formula>0</formula>
    </cfRule>
    <cfRule type="cellIs" priority="1227" operator="equal" dxfId="2">
      <formula>0</formula>
    </cfRule>
  </conditionalFormatting>
  <conditionalFormatting sqref="R101">
    <cfRule type="cellIs" priority="1231" operator="lessThan" dxfId="0">
      <formula>0</formula>
    </cfRule>
    <cfRule type="cellIs" priority="1232" operator="greaterThan" dxfId="1">
      <formula>0</formula>
    </cfRule>
    <cfRule type="cellIs" priority="1233" operator="equal" dxfId="2">
      <formula>0</formula>
    </cfRule>
  </conditionalFormatting>
  <conditionalFormatting sqref="R105">
    <cfRule type="cellIs" priority="1237" operator="lessThan" dxfId="0">
      <formula>0</formula>
    </cfRule>
    <cfRule type="cellIs" priority="1238" operator="greaterThan" dxfId="1">
      <formula>0</formula>
    </cfRule>
    <cfRule type="cellIs" priority="1239" operator="equal" dxfId="2">
      <formula>0</formula>
    </cfRule>
  </conditionalFormatting>
  <conditionalFormatting sqref="R106">
    <cfRule type="cellIs" priority="1243" operator="lessThan" dxfId="0">
      <formula>0</formula>
    </cfRule>
    <cfRule type="cellIs" priority="1244" operator="greaterThan" dxfId="1">
      <formula>0</formula>
    </cfRule>
    <cfRule type="cellIs" priority="1245" operator="equal" dxfId="2">
      <formula>0</formula>
    </cfRule>
  </conditionalFormatting>
  <conditionalFormatting sqref="R107">
    <cfRule type="cellIs" priority="1249" operator="lessThan" dxfId="0">
      <formula>0</formula>
    </cfRule>
    <cfRule type="cellIs" priority="1250" operator="greaterThan" dxfId="1">
      <formula>0</formula>
    </cfRule>
    <cfRule type="cellIs" priority="1251" operator="equal" dxfId="2">
      <formula>0</formula>
    </cfRule>
  </conditionalFormatting>
  <conditionalFormatting sqref="R108">
    <cfRule type="cellIs" priority="1255" operator="lessThan" dxfId="0">
      <formula>0</formula>
    </cfRule>
    <cfRule type="cellIs" priority="1256" operator="greaterThan" dxfId="1">
      <formula>0</formula>
    </cfRule>
    <cfRule type="cellIs" priority="1257" operator="equal" dxfId="2">
      <formula>0</formula>
    </cfRule>
  </conditionalFormatting>
  <conditionalFormatting sqref="R109">
    <cfRule type="cellIs" priority="1261" operator="lessThan" dxfId="0">
      <formula>0</formula>
    </cfRule>
    <cfRule type="cellIs" priority="1262" operator="greaterThan" dxfId="1">
      <formula>0</formula>
    </cfRule>
    <cfRule type="cellIs" priority="1263" operator="equal" dxfId="2">
      <formula>0</formula>
    </cfRule>
    <cfRule type="cellIs" priority="1303" operator="lessThan" dxfId="0">
      <formula>0</formula>
    </cfRule>
    <cfRule type="cellIs" priority="1304" operator="greaterThan" dxfId="1">
      <formula>0</formula>
    </cfRule>
    <cfRule type="cellIs" priority="1305" operator="equal" dxfId="2">
      <formula>0</formula>
    </cfRule>
  </conditionalFormatting>
  <conditionalFormatting sqref="R110">
    <cfRule type="cellIs" priority="1267" operator="lessThan" dxfId="0">
      <formula>0</formula>
    </cfRule>
    <cfRule type="cellIs" priority="1268" operator="greaterThan" dxfId="1">
      <formula>0</formula>
    </cfRule>
    <cfRule type="cellIs" priority="1269" operator="equal" dxfId="2">
      <formula>0</formula>
    </cfRule>
    <cfRule type="cellIs" priority="1309" operator="lessThan" dxfId="0">
      <formula>0</formula>
    </cfRule>
    <cfRule type="cellIs" priority="1310" operator="greaterThan" dxfId="1">
      <formula>0</formula>
    </cfRule>
    <cfRule type="cellIs" priority="1311" operator="equal" dxfId="2">
      <formula>0</formula>
    </cfRule>
  </conditionalFormatting>
  <conditionalFormatting sqref="R111">
    <cfRule type="cellIs" priority="1273" operator="lessThan" dxfId="0">
      <formula>0</formula>
    </cfRule>
    <cfRule type="cellIs" priority="1274" operator="greaterThan" dxfId="1">
      <formula>0</formula>
    </cfRule>
    <cfRule type="cellIs" priority="1275" operator="equal" dxfId="2">
      <formula>0</formula>
    </cfRule>
    <cfRule type="cellIs" priority="1315" operator="lessThan" dxfId="0">
      <formula>0</formula>
    </cfRule>
    <cfRule type="cellIs" priority="1316" operator="greaterThan" dxfId="1">
      <formula>0</formula>
    </cfRule>
    <cfRule type="cellIs" priority="1317" operator="equal" dxfId="2">
      <formula>0</formula>
    </cfRule>
  </conditionalFormatting>
  <conditionalFormatting sqref="R112">
    <cfRule type="cellIs" priority="1279" operator="lessThan" dxfId="0">
      <formula>0</formula>
    </cfRule>
    <cfRule type="cellIs" priority="1280" operator="greaterThan" dxfId="1">
      <formula>0</formula>
    </cfRule>
    <cfRule type="cellIs" priority="1281" operator="equal" dxfId="2">
      <formula>0</formula>
    </cfRule>
    <cfRule type="cellIs" priority="1321" operator="lessThan" dxfId="0">
      <formula>0</formula>
    </cfRule>
    <cfRule type="cellIs" priority="1322" operator="greaterThan" dxfId="1">
      <formula>0</formula>
    </cfRule>
    <cfRule type="cellIs" priority="1323" operator="equal" dxfId="2">
      <formula>0</formula>
    </cfRule>
  </conditionalFormatting>
  <conditionalFormatting sqref="R113">
    <cfRule type="cellIs" priority="1285" operator="lessThan" dxfId="0">
      <formula>0</formula>
    </cfRule>
    <cfRule type="cellIs" priority="1286" operator="greaterThan" dxfId="1">
      <formula>0</formula>
    </cfRule>
    <cfRule type="cellIs" priority="1287" operator="equal" dxfId="2">
      <formula>0</formula>
    </cfRule>
    <cfRule type="cellIs" priority="1327" operator="lessThan" dxfId="0">
      <formula>0</formula>
    </cfRule>
    <cfRule type="cellIs" priority="1328" operator="greaterThan" dxfId="1">
      <formula>0</formula>
    </cfRule>
    <cfRule type="cellIs" priority="1329" operator="equal" dxfId="2">
      <formula>0</formula>
    </cfRule>
  </conditionalFormatting>
  <conditionalFormatting sqref="R114">
    <cfRule type="cellIs" priority="1291" operator="lessThan" dxfId="0">
      <formula>0</formula>
    </cfRule>
    <cfRule type="cellIs" priority="1292" operator="greaterThan" dxfId="1">
      <formula>0</formula>
    </cfRule>
    <cfRule type="cellIs" priority="1293" operator="equal" dxfId="2">
      <formula>0</formula>
    </cfRule>
    <cfRule type="cellIs" priority="1333" operator="lessThan" dxfId="0">
      <formula>0</formula>
    </cfRule>
    <cfRule type="cellIs" priority="1334" operator="greaterThan" dxfId="1">
      <formula>0</formula>
    </cfRule>
    <cfRule type="cellIs" priority="1335" operator="equal" dxfId="2">
      <formula>0</formula>
    </cfRule>
  </conditionalFormatting>
  <conditionalFormatting sqref="R115">
    <cfRule type="cellIs" priority="1297" operator="lessThan" dxfId="0">
      <formula>0</formula>
    </cfRule>
    <cfRule type="cellIs" priority="1298" operator="greaterThan" dxfId="1">
      <formula>0</formula>
    </cfRule>
    <cfRule type="cellIs" priority="1299" operator="equal" dxfId="2">
      <formula>0</formula>
    </cfRule>
    <cfRule type="cellIs" priority="1339" operator="lessThan" dxfId="0">
      <formula>0</formula>
    </cfRule>
    <cfRule type="cellIs" priority="1340" operator="greaterThan" dxfId="1">
      <formula>0</formula>
    </cfRule>
    <cfRule type="cellIs" priority="1341" operator="equal" dxfId="2">
      <formula>0</formula>
    </cfRule>
  </conditionalFormatting>
  <conditionalFormatting sqref="S33">
    <cfRule type="cellIs" priority="1345" operator="lessThan" dxfId="0">
      <formula>0</formula>
    </cfRule>
    <cfRule type="cellIs" priority="1346" operator="greaterThan" dxfId="1">
      <formula>0</formula>
    </cfRule>
    <cfRule type="cellIs" priority="1347" operator="equal" dxfId="2">
      <formula>0</formula>
    </cfRule>
  </conditionalFormatting>
  <conditionalFormatting sqref="S70">
    <cfRule type="cellIs" priority="1348" operator="lessThan" dxfId="0">
      <formula>0</formula>
    </cfRule>
    <cfRule type="cellIs" priority="1349" operator="greaterThan" dxfId="1">
      <formula>0</formula>
    </cfRule>
    <cfRule type="cellIs" priority="1350" operator="equal" dxfId="2">
      <formula>0</formula>
    </cfRule>
  </conditionalFormatting>
  <conditionalFormatting sqref="S72">
    <cfRule type="cellIs" priority="1351" operator="lessThan" dxfId="0">
      <formula>0</formula>
    </cfRule>
    <cfRule type="cellIs" priority="1352" operator="greaterThan" dxfId="1">
      <formula>0</formula>
    </cfRule>
    <cfRule type="cellIs" priority="1353" operator="equal" dxfId="2">
      <formula>0</formula>
    </cfRule>
  </conditionalFormatting>
  <conditionalFormatting sqref="S74">
    <cfRule type="cellIs" priority="1354" operator="lessThan" dxfId="0">
      <formula>0</formula>
    </cfRule>
    <cfRule type="cellIs" priority="1355" operator="greaterThan" dxfId="1">
      <formula>0</formula>
    </cfRule>
    <cfRule type="cellIs" priority="1356" operator="equal" dxfId="2">
      <formula>0</formula>
    </cfRule>
  </conditionalFormatting>
  <conditionalFormatting sqref="S98">
    <cfRule type="cellIs" priority="1357" operator="lessThan" dxfId="0">
      <formula>0</formula>
    </cfRule>
    <cfRule type="cellIs" priority="1358" operator="greaterThan" dxfId="1">
      <formula>0</formula>
    </cfRule>
    <cfRule type="cellIs" priority="1359" operator="equal" dxfId="2">
      <formula>0</formula>
    </cfRule>
  </conditionalFormatting>
  <conditionalFormatting sqref="S101">
    <cfRule type="cellIs" priority="1360" operator="lessThan" dxfId="0">
      <formula>0</formula>
    </cfRule>
    <cfRule type="cellIs" priority="1361" operator="greaterThan" dxfId="1">
      <formula>0</formula>
    </cfRule>
    <cfRule type="cellIs" priority="1362" operator="equal" dxfId="2">
      <formula>0</formula>
    </cfRule>
  </conditionalFormatting>
  <conditionalFormatting sqref="S105">
    <cfRule type="cellIs" priority="1366" operator="lessThan" dxfId="0">
      <formula>0</formula>
    </cfRule>
    <cfRule type="cellIs" priority="1367" operator="greaterThan" dxfId="1">
      <formula>0</formula>
    </cfRule>
    <cfRule type="cellIs" priority="1368" operator="equal" dxfId="2">
      <formula>0</formula>
    </cfRule>
  </conditionalFormatting>
  <conditionalFormatting sqref="S106">
    <cfRule type="cellIs" priority="1372" operator="lessThan" dxfId="0">
      <formula>0</formula>
    </cfRule>
    <cfRule type="cellIs" priority="1373" operator="greaterThan" dxfId="1">
      <formula>0</formula>
    </cfRule>
    <cfRule type="cellIs" priority="1374" operator="equal" dxfId="2">
      <formula>0</formula>
    </cfRule>
  </conditionalFormatting>
  <conditionalFormatting sqref="S107">
    <cfRule type="cellIs" priority="1378" operator="lessThan" dxfId="0">
      <formula>0</formula>
    </cfRule>
    <cfRule type="cellIs" priority="1379" operator="greaterThan" dxfId="1">
      <formula>0</formula>
    </cfRule>
    <cfRule type="cellIs" priority="1380" operator="equal" dxfId="2">
      <formula>0</formula>
    </cfRule>
  </conditionalFormatting>
  <conditionalFormatting sqref="S108">
    <cfRule type="cellIs" priority="1384" operator="lessThan" dxfId="0">
      <formula>0</formula>
    </cfRule>
    <cfRule type="cellIs" priority="1385" operator="greaterThan" dxfId="1">
      <formula>0</formula>
    </cfRule>
    <cfRule type="cellIs" priority="1386" operator="equal" dxfId="2">
      <formula>0</formula>
    </cfRule>
  </conditionalFormatting>
  <conditionalFormatting sqref="S109">
    <cfRule type="cellIs" priority="1390" operator="lessThan" dxfId="0">
      <formula>0</formula>
    </cfRule>
    <cfRule type="cellIs" priority="1391" operator="greaterThan" dxfId="1">
      <formula>0</formula>
    </cfRule>
    <cfRule type="cellIs" priority="1392" operator="equal" dxfId="2">
      <formula>0</formula>
    </cfRule>
    <cfRule type="cellIs" priority="1432" operator="lessThan" dxfId="0">
      <formula>0</formula>
    </cfRule>
    <cfRule type="cellIs" priority="1433" operator="greaterThan" dxfId="1">
      <formula>0</formula>
    </cfRule>
    <cfRule type="cellIs" priority="1434" operator="equal" dxfId="2">
      <formula>0</formula>
    </cfRule>
  </conditionalFormatting>
  <conditionalFormatting sqref="S110">
    <cfRule type="cellIs" priority="1396" operator="lessThan" dxfId="0">
      <formula>0</formula>
    </cfRule>
    <cfRule type="cellIs" priority="1397" operator="greaterThan" dxfId="1">
      <formula>0</formula>
    </cfRule>
    <cfRule type="cellIs" priority="1398" operator="equal" dxfId="2">
      <formula>0</formula>
    </cfRule>
    <cfRule type="cellIs" priority="1438" operator="lessThan" dxfId="0">
      <formula>0</formula>
    </cfRule>
    <cfRule type="cellIs" priority="1439" operator="greaterThan" dxfId="1">
      <formula>0</formula>
    </cfRule>
    <cfRule type="cellIs" priority="1440" operator="equal" dxfId="2">
      <formula>0</formula>
    </cfRule>
  </conditionalFormatting>
  <conditionalFormatting sqref="S111">
    <cfRule type="cellIs" priority="1402" operator="lessThan" dxfId="0">
      <formula>0</formula>
    </cfRule>
    <cfRule type="cellIs" priority="1403" operator="greaterThan" dxfId="1">
      <formula>0</formula>
    </cfRule>
    <cfRule type="cellIs" priority="1404" operator="equal" dxfId="2">
      <formula>0</formula>
    </cfRule>
    <cfRule type="cellIs" priority="1444" operator="lessThan" dxfId="0">
      <formula>0</formula>
    </cfRule>
    <cfRule type="cellIs" priority="1445" operator="greaterThan" dxfId="1">
      <formula>0</formula>
    </cfRule>
    <cfRule type="cellIs" priority="1446" operator="equal" dxfId="2">
      <formula>0</formula>
    </cfRule>
  </conditionalFormatting>
  <conditionalFormatting sqref="S112">
    <cfRule type="cellIs" priority="1408" operator="lessThan" dxfId="0">
      <formula>0</formula>
    </cfRule>
    <cfRule type="cellIs" priority="1409" operator="greaterThan" dxfId="1">
      <formula>0</formula>
    </cfRule>
    <cfRule type="cellIs" priority="1410" operator="equal" dxfId="2">
      <formula>0</formula>
    </cfRule>
    <cfRule type="cellIs" priority="1450" operator="lessThan" dxfId="0">
      <formula>0</formula>
    </cfRule>
    <cfRule type="cellIs" priority="1451" operator="greaterThan" dxfId="1">
      <formula>0</formula>
    </cfRule>
    <cfRule type="cellIs" priority="1452" operator="equal" dxfId="2">
      <formula>0</formula>
    </cfRule>
  </conditionalFormatting>
  <conditionalFormatting sqref="S113">
    <cfRule type="cellIs" priority="1414" operator="lessThan" dxfId="0">
      <formula>0</formula>
    </cfRule>
    <cfRule type="cellIs" priority="1415" operator="greaterThan" dxfId="1">
      <formula>0</formula>
    </cfRule>
    <cfRule type="cellIs" priority="1416" operator="equal" dxfId="2">
      <formula>0</formula>
    </cfRule>
    <cfRule type="cellIs" priority="1456" operator="lessThan" dxfId="0">
      <formula>0</formula>
    </cfRule>
    <cfRule type="cellIs" priority="1457" operator="greaterThan" dxfId="1">
      <formula>0</formula>
    </cfRule>
    <cfRule type="cellIs" priority="1458" operator="equal" dxfId="2">
      <formula>0</formula>
    </cfRule>
  </conditionalFormatting>
  <conditionalFormatting sqref="S114">
    <cfRule type="cellIs" priority="1420" operator="lessThan" dxfId="0">
      <formula>0</formula>
    </cfRule>
    <cfRule type="cellIs" priority="1421" operator="greaterThan" dxfId="1">
      <formula>0</formula>
    </cfRule>
    <cfRule type="cellIs" priority="1422" operator="equal" dxfId="2">
      <formula>0</formula>
    </cfRule>
    <cfRule type="cellIs" priority="1462" operator="lessThan" dxfId="0">
      <formula>0</formula>
    </cfRule>
    <cfRule type="cellIs" priority="1463" operator="greaterThan" dxfId="1">
      <formula>0</formula>
    </cfRule>
    <cfRule type="cellIs" priority="1464" operator="equal" dxfId="2">
      <formula>0</formula>
    </cfRule>
  </conditionalFormatting>
  <conditionalFormatting sqref="S115">
    <cfRule type="cellIs" priority="1426" operator="lessThan" dxfId="0">
      <formula>0</formula>
    </cfRule>
    <cfRule type="cellIs" priority="1427" operator="greaterThan" dxfId="1">
      <formula>0</formula>
    </cfRule>
    <cfRule type="cellIs" priority="1428" operator="equal" dxfId="2">
      <formula>0</formula>
    </cfRule>
    <cfRule type="cellIs" priority="1468" operator="lessThan" dxfId="0">
      <formula>0</formula>
    </cfRule>
    <cfRule type="cellIs" priority="1469" operator="greaterThan" dxfId="1">
      <formula>0</formula>
    </cfRule>
    <cfRule type="cellIs" priority="1470" operator="equal" dxfId="2">
      <formula>0</formula>
    </cfRule>
  </conditionalFormatting>
  <conditionalFormatting sqref="T101">
    <cfRule type="cellIs" priority="1474" operator="lessThan" dxfId="0">
      <formula>0</formula>
    </cfRule>
    <cfRule type="cellIs" priority="1475" operator="greaterThan" dxfId="1">
      <formula>0</formula>
    </cfRule>
    <cfRule type="cellIs" priority="1476" operator="equal" dxfId="2">
      <formula>0</formula>
    </cfRule>
  </conditionalFormatting>
  <conditionalFormatting sqref="T105">
    <cfRule type="cellIs" priority="1480" operator="lessThan" dxfId="0">
      <formula>0</formula>
    </cfRule>
    <cfRule type="cellIs" priority="1481" operator="greaterThan" dxfId="1">
      <formula>0</formula>
    </cfRule>
    <cfRule type="cellIs" priority="1482" operator="equal" dxfId="2">
      <formula>0</formula>
    </cfRule>
  </conditionalFormatting>
  <conditionalFormatting sqref="T106">
    <cfRule type="cellIs" priority="1486" operator="lessThan" dxfId="0">
      <formula>0</formula>
    </cfRule>
    <cfRule type="cellIs" priority="1487" operator="greaterThan" dxfId="1">
      <formula>0</formula>
    </cfRule>
    <cfRule type="cellIs" priority="1488" operator="equal" dxfId="2">
      <formula>0</formula>
    </cfRule>
  </conditionalFormatting>
  <conditionalFormatting sqref="T107">
    <cfRule type="cellIs" priority="1492" operator="lessThan" dxfId="0">
      <formula>0</formula>
    </cfRule>
    <cfRule type="cellIs" priority="1493" operator="greaterThan" dxfId="1">
      <formula>0</formula>
    </cfRule>
    <cfRule type="cellIs" priority="1494" operator="equal" dxfId="2">
      <formula>0</formula>
    </cfRule>
  </conditionalFormatting>
  <conditionalFormatting sqref="T108">
    <cfRule type="cellIs" priority="1498" operator="lessThan" dxfId="0">
      <formula>0</formula>
    </cfRule>
    <cfRule type="cellIs" priority="1499" operator="greaterThan" dxfId="1">
      <formula>0</formula>
    </cfRule>
    <cfRule type="cellIs" priority="1500" operator="equal" dxfId="2">
      <formula>0</formula>
    </cfRule>
  </conditionalFormatting>
  <conditionalFormatting sqref="T109">
    <cfRule type="cellIs" priority="1504" operator="lessThan" dxfId="0">
      <formula>0</formula>
    </cfRule>
    <cfRule type="cellIs" priority="1505" operator="greaterThan" dxfId="1">
      <formula>0</formula>
    </cfRule>
    <cfRule type="cellIs" priority="1506" operator="equal" dxfId="2">
      <formula>0</formula>
    </cfRule>
    <cfRule type="cellIs" priority="1546" operator="lessThan" dxfId="0">
      <formula>0</formula>
    </cfRule>
    <cfRule type="cellIs" priority="1547" operator="greaterThan" dxfId="1">
      <formula>0</formula>
    </cfRule>
    <cfRule type="cellIs" priority="1548" operator="equal" dxfId="2">
      <formula>0</formula>
    </cfRule>
  </conditionalFormatting>
  <conditionalFormatting sqref="T110">
    <cfRule type="cellIs" priority="1510" operator="lessThan" dxfId="0">
      <formula>0</formula>
    </cfRule>
    <cfRule type="cellIs" priority="1511" operator="greaterThan" dxfId="1">
      <formula>0</formula>
    </cfRule>
    <cfRule type="cellIs" priority="1512" operator="equal" dxfId="2">
      <formula>0</formula>
    </cfRule>
    <cfRule type="cellIs" priority="1552" operator="lessThan" dxfId="0">
      <formula>0</formula>
    </cfRule>
    <cfRule type="cellIs" priority="1553" operator="greaterThan" dxfId="1">
      <formula>0</formula>
    </cfRule>
    <cfRule type="cellIs" priority="1554" operator="equal" dxfId="2">
      <formula>0</formula>
    </cfRule>
  </conditionalFormatting>
  <conditionalFormatting sqref="T111">
    <cfRule type="cellIs" priority="1516" operator="lessThan" dxfId="0">
      <formula>0</formula>
    </cfRule>
    <cfRule type="cellIs" priority="1517" operator="greaterThan" dxfId="1">
      <formula>0</formula>
    </cfRule>
    <cfRule type="cellIs" priority="1518" operator="equal" dxfId="2">
      <formula>0</formula>
    </cfRule>
    <cfRule type="cellIs" priority="1558" operator="lessThan" dxfId="0">
      <formula>0</formula>
    </cfRule>
    <cfRule type="cellIs" priority="1559" operator="greaterThan" dxfId="1">
      <formula>0</formula>
    </cfRule>
    <cfRule type="cellIs" priority="1560" operator="equal" dxfId="2">
      <formula>0</formula>
    </cfRule>
  </conditionalFormatting>
  <conditionalFormatting sqref="T112">
    <cfRule type="cellIs" priority="1522" operator="lessThan" dxfId="0">
      <formula>0</formula>
    </cfRule>
    <cfRule type="cellIs" priority="1523" operator="greaterThan" dxfId="1">
      <formula>0</formula>
    </cfRule>
    <cfRule type="cellIs" priority="1524" operator="equal" dxfId="2">
      <formula>0</formula>
    </cfRule>
    <cfRule type="cellIs" priority="1564" operator="lessThan" dxfId="0">
      <formula>0</formula>
    </cfRule>
    <cfRule type="cellIs" priority="1565" operator="greaterThan" dxfId="1">
      <formula>0</formula>
    </cfRule>
    <cfRule type="cellIs" priority="1566" operator="equal" dxfId="2">
      <formula>0</formula>
    </cfRule>
  </conditionalFormatting>
  <conditionalFormatting sqref="T113">
    <cfRule type="cellIs" priority="1528" operator="lessThan" dxfId="0">
      <formula>0</formula>
    </cfRule>
    <cfRule type="cellIs" priority="1529" operator="greaterThan" dxfId="1">
      <formula>0</formula>
    </cfRule>
    <cfRule type="cellIs" priority="1530" operator="equal" dxfId="2">
      <formula>0</formula>
    </cfRule>
    <cfRule type="cellIs" priority="1570" operator="lessThan" dxfId="0">
      <formula>0</formula>
    </cfRule>
    <cfRule type="cellIs" priority="1571" operator="greaterThan" dxfId="1">
      <formula>0</formula>
    </cfRule>
    <cfRule type="cellIs" priority="1572" operator="equal" dxfId="2">
      <formula>0</formula>
    </cfRule>
  </conditionalFormatting>
  <conditionalFormatting sqref="T114">
    <cfRule type="cellIs" priority="1534" operator="lessThan" dxfId="0">
      <formula>0</formula>
    </cfRule>
    <cfRule type="cellIs" priority="1535" operator="greaterThan" dxfId="1">
      <formula>0</formula>
    </cfRule>
    <cfRule type="cellIs" priority="1536" operator="equal" dxfId="2">
      <formula>0</formula>
    </cfRule>
    <cfRule type="cellIs" priority="1576" operator="lessThan" dxfId="0">
      <formula>0</formula>
    </cfRule>
    <cfRule type="cellIs" priority="1577" operator="greaterThan" dxfId="1">
      <formula>0</formula>
    </cfRule>
    <cfRule type="cellIs" priority="1578" operator="equal" dxfId="2">
      <formula>0</formula>
    </cfRule>
  </conditionalFormatting>
  <conditionalFormatting sqref="T115">
    <cfRule type="cellIs" priority="1540" operator="lessThan" dxfId="0">
      <formula>0</formula>
    </cfRule>
    <cfRule type="cellIs" priority="1541" operator="greaterThan" dxfId="1">
      <formula>0</formula>
    </cfRule>
    <cfRule type="cellIs" priority="1542" operator="equal" dxfId="2">
      <formula>0</formula>
    </cfRule>
    <cfRule type="cellIs" priority="1582" operator="lessThan" dxfId="0">
      <formula>0</formula>
    </cfRule>
    <cfRule type="cellIs" priority="1583" operator="greaterThan" dxfId="1">
      <formula>0</formula>
    </cfRule>
    <cfRule type="cellIs" priority="1584" operator="equal" dxfId="2">
      <formula>0</formula>
    </cfRule>
  </conditionalFormatting>
  <conditionalFormatting sqref="U33">
    <cfRule type="cellIs" priority="1588" operator="lessThan" dxfId="0">
      <formula>0</formula>
    </cfRule>
    <cfRule type="cellIs" priority="1589" operator="greaterThan" dxfId="1">
      <formula>0</formula>
    </cfRule>
    <cfRule type="cellIs" priority="1590" operator="equal" dxfId="2">
      <formula>0</formula>
    </cfRule>
  </conditionalFormatting>
  <conditionalFormatting sqref="U70">
    <cfRule type="cellIs" priority="1591" operator="lessThan" dxfId="0">
      <formula>0</formula>
    </cfRule>
    <cfRule type="cellIs" priority="1592" operator="greaterThan" dxfId="1">
      <formula>0</formula>
    </cfRule>
    <cfRule type="cellIs" priority="1593" operator="equal" dxfId="2">
      <formula>0</formula>
    </cfRule>
  </conditionalFormatting>
  <conditionalFormatting sqref="U72">
    <cfRule type="cellIs" priority="1594" operator="lessThan" dxfId="0">
      <formula>0</formula>
    </cfRule>
    <cfRule type="cellIs" priority="1595" operator="greaterThan" dxfId="1">
      <formula>0</formula>
    </cfRule>
    <cfRule type="cellIs" priority="1596" operator="equal" dxfId="2">
      <formula>0</formula>
    </cfRule>
  </conditionalFormatting>
  <conditionalFormatting sqref="U74">
    <cfRule type="cellIs" priority="1597" operator="lessThan" dxfId="0">
      <formula>0</formula>
    </cfRule>
    <cfRule type="cellIs" priority="1598" operator="greaterThan" dxfId="1">
      <formula>0</formula>
    </cfRule>
    <cfRule type="cellIs" priority="1599" operator="equal" dxfId="2">
      <formula>0</formula>
    </cfRule>
  </conditionalFormatting>
  <conditionalFormatting sqref="U98">
    <cfRule type="cellIs" priority="1600" operator="lessThan" dxfId="0">
      <formula>0</formula>
    </cfRule>
    <cfRule type="cellIs" priority="1601" operator="greaterThan" dxfId="1">
      <formula>0</formula>
    </cfRule>
    <cfRule type="cellIs" priority="1602" operator="equal" dxfId="2">
      <formula>0</formula>
    </cfRule>
  </conditionalFormatting>
  <conditionalFormatting sqref="U101">
    <cfRule type="cellIs" priority="1603" operator="lessThan" dxfId="0">
      <formula>0</formula>
    </cfRule>
    <cfRule type="cellIs" priority="1604" operator="greaterThan" dxfId="1">
      <formula>0</formula>
    </cfRule>
    <cfRule type="cellIs" priority="1605" operator="equal" dxfId="2">
      <formula>0</formula>
    </cfRule>
  </conditionalFormatting>
  <conditionalFormatting sqref="U105">
    <cfRule type="cellIs" priority="1609" operator="lessThan" dxfId="0">
      <formula>0</formula>
    </cfRule>
    <cfRule type="cellIs" priority="1610" operator="greaterThan" dxfId="1">
      <formula>0</formula>
    </cfRule>
    <cfRule type="cellIs" priority="1611" operator="equal" dxfId="2">
      <formula>0</formula>
    </cfRule>
  </conditionalFormatting>
  <conditionalFormatting sqref="U106">
    <cfRule type="cellIs" priority="1615" operator="lessThan" dxfId="0">
      <formula>0</formula>
    </cfRule>
    <cfRule type="cellIs" priority="1616" operator="greaterThan" dxfId="1">
      <formula>0</formula>
    </cfRule>
    <cfRule type="cellIs" priority="1617" operator="equal" dxfId="2">
      <formula>0</formula>
    </cfRule>
  </conditionalFormatting>
  <conditionalFormatting sqref="U107">
    <cfRule type="cellIs" priority="1621" operator="lessThan" dxfId="0">
      <formula>0</formula>
    </cfRule>
    <cfRule type="cellIs" priority="1622" operator="greaterThan" dxfId="1">
      <formula>0</formula>
    </cfRule>
    <cfRule type="cellIs" priority="1623" operator="equal" dxfId="2">
      <formula>0</formula>
    </cfRule>
  </conditionalFormatting>
  <conditionalFormatting sqref="U108">
    <cfRule type="cellIs" priority="1627" operator="lessThan" dxfId="0">
      <formula>0</formula>
    </cfRule>
    <cfRule type="cellIs" priority="1628" operator="greaterThan" dxfId="1">
      <formula>0</formula>
    </cfRule>
    <cfRule type="cellIs" priority="1629" operator="equal" dxfId="2">
      <formula>0</formula>
    </cfRule>
  </conditionalFormatting>
  <conditionalFormatting sqref="U109">
    <cfRule type="cellIs" priority="1633" operator="lessThan" dxfId="0">
      <formula>0</formula>
    </cfRule>
    <cfRule type="cellIs" priority="1634" operator="greaterThan" dxfId="1">
      <formula>0</formula>
    </cfRule>
    <cfRule type="cellIs" priority="1635" operator="equal" dxfId="2">
      <formula>0</formula>
    </cfRule>
    <cfRule type="cellIs" priority="1675" operator="lessThan" dxfId="0">
      <formula>0</formula>
    </cfRule>
    <cfRule type="cellIs" priority="1676" operator="greaterThan" dxfId="1">
      <formula>0</formula>
    </cfRule>
    <cfRule type="cellIs" priority="1677" operator="equal" dxfId="2">
      <formula>0</formula>
    </cfRule>
  </conditionalFormatting>
  <conditionalFormatting sqref="U110">
    <cfRule type="cellIs" priority="1639" operator="lessThan" dxfId="0">
      <formula>0</formula>
    </cfRule>
    <cfRule type="cellIs" priority="1640" operator="greaterThan" dxfId="1">
      <formula>0</formula>
    </cfRule>
    <cfRule type="cellIs" priority="1641" operator="equal" dxfId="2">
      <formula>0</formula>
    </cfRule>
    <cfRule type="cellIs" priority="1681" operator="lessThan" dxfId="0">
      <formula>0</formula>
    </cfRule>
    <cfRule type="cellIs" priority="1682" operator="greaterThan" dxfId="1">
      <formula>0</formula>
    </cfRule>
    <cfRule type="cellIs" priority="1683" operator="equal" dxfId="2">
      <formula>0</formula>
    </cfRule>
  </conditionalFormatting>
  <conditionalFormatting sqref="U111">
    <cfRule type="cellIs" priority="1645" operator="lessThan" dxfId="0">
      <formula>0</formula>
    </cfRule>
    <cfRule type="cellIs" priority="1646" operator="greaterThan" dxfId="1">
      <formula>0</formula>
    </cfRule>
    <cfRule type="cellIs" priority="1647" operator="equal" dxfId="2">
      <formula>0</formula>
    </cfRule>
    <cfRule type="cellIs" priority="1687" operator="lessThan" dxfId="0">
      <formula>0</formula>
    </cfRule>
    <cfRule type="cellIs" priority="1688" operator="greaterThan" dxfId="1">
      <formula>0</formula>
    </cfRule>
    <cfRule type="cellIs" priority="1689" operator="equal" dxfId="2">
      <formula>0</formula>
    </cfRule>
  </conditionalFormatting>
  <conditionalFormatting sqref="U112">
    <cfRule type="cellIs" priority="1651" operator="lessThan" dxfId="0">
      <formula>0</formula>
    </cfRule>
    <cfRule type="cellIs" priority="1652" operator="greaterThan" dxfId="1">
      <formula>0</formula>
    </cfRule>
    <cfRule type="cellIs" priority="1653" operator="equal" dxfId="2">
      <formula>0</formula>
    </cfRule>
    <cfRule type="cellIs" priority="1693" operator="lessThan" dxfId="0">
      <formula>0</formula>
    </cfRule>
    <cfRule type="cellIs" priority="1694" operator="greaterThan" dxfId="1">
      <formula>0</formula>
    </cfRule>
    <cfRule type="cellIs" priority="1695" operator="equal" dxfId="2">
      <formula>0</formula>
    </cfRule>
  </conditionalFormatting>
  <conditionalFormatting sqref="U113">
    <cfRule type="cellIs" priority="1657" operator="lessThan" dxfId="0">
      <formula>0</formula>
    </cfRule>
    <cfRule type="cellIs" priority="1658" operator="greaterThan" dxfId="1">
      <formula>0</formula>
    </cfRule>
    <cfRule type="cellIs" priority="1659" operator="equal" dxfId="2">
      <formula>0</formula>
    </cfRule>
    <cfRule type="cellIs" priority="1699" operator="lessThan" dxfId="0">
      <formula>0</formula>
    </cfRule>
    <cfRule type="cellIs" priority="1700" operator="greaterThan" dxfId="1">
      <formula>0</formula>
    </cfRule>
    <cfRule type="cellIs" priority="1701" operator="equal" dxfId="2">
      <formula>0</formula>
    </cfRule>
  </conditionalFormatting>
  <conditionalFormatting sqref="U114">
    <cfRule type="cellIs" priority="1663" operator="lessThan" dxfId="0">
      <formula>0</formula>
    </cfRule>
    <cfRule type="cellIs" priority="1664" operator="greaterThan" dxfId="1">
      <formula>0</formula>
    </cfRule>
    <cfRule type="cellIs" priority="1665" operator="equal" dxfId="2">
      <formula>0</formula>
    </cfRule>
    <cfRule type="cellIs" priority="1705" operator="lessThan" dxfId="0">
      <formula>0</formula>
    </cfRule>
    <cfRule type="cellIs" priority="1706" operator="greaterThan" dxfId="1">
      <formula>0</formula>
    </cfRule>
    <cfRule type="cellIs" priority="1707" operator="equal" dxfId="2">
      <formula>0</formula>
    </cfRule>
  </conditionalFormatting>
  <conditionalFormatting sqref="U115">
    <cfRule type="cellIs" priority="1669" operator="lessThan" dxfId="0">
      <formula>0</formula>
    </cfRule>
    <cfRule type="cellIs" priority="1670" operator="greaterThan" dxfId="1">
      <formula>0</formula>
    </cfRule>
    <cfRule type="cellIs" priority="1671" operator="equal" dxfId="2">
      <formula>0</formula>
    </cfRule>
    <cfRule type="cellIs" priority="1711" operator="lessThan" dxfId="0">
      <formula>0</formula>
    </cfRule>
    <cfRule type="cellIs" priority="1712" operator="greaterThan" dxfId="1">
      <formula>0</formula>
    </cfRule>
    <cfRule type="cellIs" priority="1713" operator="equal" dxfId="2">
      <formula>0</formula>
    </cfRule>
  </conditionalFormatting>
  <conditionalFormatting sqref="V101">
    <cfRule type="cellIs" priority="1717" operator="lessThan" dxfId="0">
      <formula>0</formula>
    </cfRule>
    <cfRule type="cellIs" priority="1718" operator="greaterThan" dxfId="1">
      <formula>0</formula>
    </cfRule>
    <cfRule type="cellIs" priority="1719" operator="equal" dxfId="2">
      <formula>0</formula>
    </cfRule>
  </conditionalFormatting>
  <conditionalFormatting sqref="V105">
    <cfRule type="cellIs" priority="1723" operator="lessThan" dxfId="0">
      <formula>0</formula>
    </cfRule>
    <cfRule type="cellIs" priority="1724" operator="greaterThan" dxfId="1">
      <formula>0</formula>
    </cfRule>
    <cfRule type="cellIs" priority="1725" operator="equal" dxfId="2">
      <formula>0</formula>
    </cfRule>
  </conditionalFormatting>
  <conditionalFormatting sqref="V106">
    <cfRule type="cellIs" priority="1729" operator="lessThan" dxfId="0">
      <formula>0</formula>
    </cfRule>
    <cfRule type="cellIs" priority="1730" operator="greaterThan" dxfId="1">
      <formula>0</formula>
    </cfRule>
    <cfRule type="cellIs" priority="1731" operator="equal" dxfId="2">
      <formula>0</formula>
    </cfRule>
  </conditionalFormatting>
  <conditionalFormatting sqref="V107">
    <cfRule type="cellIs" priority="1735" operator="lessThan" dxfId="0">
      <formula>0</formula>
    </cfRule>
    <cfRule type="cellIs" priority="1736" operator="greaterThan" dxfId="1">
      <formula>0</formula>
    </cfRule>
    <cfRule type="cellIs" priority="1737" operator="equal" dxfId="2">
      <formula>0</formula>
    </cfRule>
  </conditionalFormatting>
  <conditionalFormatting sqref="V108">
    <cfRule type="cellIs" priority="1741" operator="lessThan" dxfId="0">
      <formula>0</formula>
    </cfRule>
    <cfRule type="cellIs" priority="1742" operator="greaterThan" dxfId="1">
      <formula>0</formula>
    </cfRule>
    <cfRule type="cellIs" priority="1743" operator="equal" dxfId="2">
      <formula>0</formula>
    </cfRule>
  </conditionalFormatting>
  <conditionalFormatting sqref="V109">
    <cfRule type="cellIs" priority="1747" operator="lessThan" dxfId="0">
      <formula>0</formula>
    </cfRule>
    <cfRule type="cellIs" priority="1748" operator="greaterThan" dxfId="1">
      <formula>0</formula>
    </cfRule>
    <cfRule type="cellIs" priority="1749" operator="equal" dxfId="2">
      <formula>0</formula>
    </cfRule>
    <cfRule type="cellIs" priority="1789" operator="lessThan" dxfId="0">
      <formula>0</formula>
    </cfRule>
    <cfRule type="cellIs" priority="1790" operator="greaterThan" dxfId="1">
      <formula>0</formula>
    </cfRule>
    <cfRule type="cellIs" priority="1791" operator="equal" dxfId="2">
      <formula>0</formula>
    </cfRule>
  </conditionalFormatting>
  <conditionalFormatting sqref="V110">
    <cfRule type="cellIs" priority="1753" operator="lessThan" dxfId="0">
      <formula>0</formula>
    </cfRule>
    <cfRule type="cellIs" priority="1754" operator="greaterThan" dxfId="1">
      <formula>0</formula>
    </cfRule>
    <cfRule type="cellIs" priority="1755" operator="equal" dxfId="2">
      <formula>0</formula>
    </cfRule>
    <cfRule type="cellIs" priority="1795" operator="lessThan" dxfId="0">
      <formula>0</formula>
    </cfRule>
    <cfRule type="cellIs" priority="1796" operator="greaterThan" dxfId="1">
      <formula>0</formula>
    </cfRule>
    <cfRule type="cellIs" priority="1797" operator="equal" dxfId="2">
      <formula>0</formula>
    </cfRule>
  </conditionalFormatting>
  <conditionalFormatting sqref="V111">
    <cfRule type="cellIs" priority="1759" operator="lessThan" dxfId="0">
      <formula>0</formula>
    </cfRule>
    <cfRule type="cellIs" priority="1760" operator="greaterThan" dxfId="1">
      <formula>0</formula>
    </cfRule>
    <cfRule type="cellIs" priority="1761" operator="equal" dxfId="2">
      <formula>0</formula>
    </cfRule>
    <cfRule type="cellIs" priority="1801" operator="lessThan" dxfId="0">
      <formula>0</formula>
    </cfRule>
    <cfRule type="cellIs" priority="1802" operator="greaterThan" dxfId="1">
      <formula>0</formula>
    </cfRule>
    <cfRule type="cellIs" priority="1803" operator="equal" dxfId="2">
      <formula>0</formula>
    </cfRule>
  </conditionalFormatting>
  <conditionalFormatting sqref="V112">
    <cfRule type="cellIs" priority="1765" operator="lessThan" dxfId="0">
      <formula>0</formula>
    </cfRule>
    <cfRule type="cellIs" priority="1766" operator="greaterThan" dxfId="1">
      <formula>0</formula>
    </cfRule>
    <cfRule type="cellIs" priority="1767" operator="equal" dxfId="2">
      <formula>0</formula>
    </cfRule>
    <cfRule type="cellIs" priority="1807" operator="lessThan" dxfId="0">
      <formula>0</formula>
    </cfRule>
    <cfRule type="cellIs" priority="1808" operator="greaterThan" dxfId="1">
      <formula>0</formula>
    </cfRule>
    <cfRule type="cellIs" priority="1809" operator="equal" dxfId="2">
      <formula>0</formula>
    </cfRule>
  </conditionalFormatting>
  <conditionalFormatting sqref="V113">
    <cfRule type="cellIs" priority="1771" operator="lessThan" dxfId="0">
      <formula>0</formula>
    </cfRule>
    <cfRule type="cellIs" priority="1772" operator="greaterThan" dxfId="1">
      <formula>0</formula>
    </cfRule>
    <cfRule type="cellIs" priority="1773" operator="equal" dxfId="2">
      <formula>0</formula>
    </cfRule>
    <cfRule type="cellIs" priority="1813" operator="lessThan" dxfId="0">
      <formula>0</formula>
    </cfRule>
    <cfRule type="cellIs" priority="1814" operator="greaterThan" dxfId="1">
      <formula>0</formula>
    </cfRule>
    <cfRule type="cellIs" priority="1815" operator="equal" dxfId="2">
      <formula>0</formula>
    </cfRule>
  </conditionalFormatting>
  <conditionalFormatting sqref="V114">
    <cfRule type="cellIs" priority="1777" operator="lessThan" dxfId="0">
      <formula>0</formula>
    </cfRule>
    <cfRule type="cellIs" priority="1778" operator="greaterThan" dxfId="1">
      <formula>0</formula>
    </cfRule>
    <cfRule type="cellIs" priority="1779" operator="equal" dxfId="2">
      <formula>0</formula>
    </cfRule>
    <cfRule type="cellIs" priority="1819" operator="lessThan" dxfId="0">
      <formula>0</formula>
    </cfRule>
    <cfRule type="cellIs" priority="1820" operator="greaterThan" dxfId="1">
      <formula>0</formula>
    </cfRule>
    <cfRule type="cellIs" priority="1821" operator="equal" dxfId="2">
      <formula>0</formula>
    </cfRule>
  </conditionalFormatting>
  <conditionalFormatting sqref="V115">
    <cfRule type="cellIs" priority="1783" operator="lessThan" dxfId="0">
      <formula>0</formula>
    </cfRule>
    <cfRule type="cellIs" priority="1784" operator="greaterThan" dxfId="1">
      <formula>0</formula>
    </cfRule>
    <cfRule type="cellIs" priority="1785" operator="equal" dxfId="2">
      <formula>0</formula>
    </cfRule>
    <cfRule type="cellIs" priority="1825" operator="lessThan" dxfId="0">
      <formula>0</formula>
    </cfRule>
    <cfRule type="cellIs" priority="1826" operator="greaterThan" dxfId="1">
      <formula>0</formula>
    </cfRule>
    <cfRule type="cellIs" priority="1827" operator="equal" dxfId="2">
      <formula>0</formula>
    </cfRule>
  </conditionalFormatting>
  <conditionalFormatting sqref="W33">
    <cfRule type="cellIs" priority="1831" operator="lessThan" dxfId="0">
      <formula>0</formula>
    </cfRule>
    <cfRule type="cellIs" priority="1832" operator="greaterThan" dxfId="1">
      <formula>0</formula>
    </cfRule>
    <cfRule type="cellIs" priority="1833" operator="equal" dxfId="2">
      <formula>0</formula>
    </cfRule>
  </conditionalFormatting>
  <conditionalFormatting sqref="W70">
    <cfRule type="cellIs" priority="1834" operator="lessThan" dxfId="0">
      <formula>0</formula>
    </cfRule>
    <cfRule type="cellIs" priority="1835" operator="greaterThan" dxfId="1">
      <formula>0</formula>
    </cfRule>
    <cfRule type="cellIs" priority="1836" operator="equal" dxfId="2">
      <formula>0</formula>
    </cfRule>
  </conditionalFormatting>
  <conditionalFormatting sqref="W72">
    <cfRule type="cellIs" priority="1837" operator="lessThan" dxfId="0">
      <formula>0</formula>
    </cfRule>
    <cfRule type="cellIs" priority="1838" operator="greaterThan" dxfId="1">
      <formula>0</formula>
    </cfRule>
    <cfRule type="cellIs" priority="1839" operator="equal" dxfId="2">
      <formula>0</formula>
    </cfRule>
  </conditionalFormatting>
  <conditionalFormatting sqref="W74">
    <cfRule type="cellIs" priority="1840" operator="lessThan" dxfId="0">
      <formula>0</formula>
    </cfRule>
    <cfRule type="cellIs" priority="1841" operator="greaterThan" dxfId="1">
      <formula>0</formula>
    </cfRule>
    <cfRule type="cellIs" priority="1842" operator="equal" dxfId="2">
      <formula>0</formula>
    </cfRule>
  </conditionalFormatting>
  <conditionalFormatting sqref="W98">
    <cfRule type="cellIs" priority="1843" operator="lessThan" dxfId="0">
      <formula>0</formula>
    </cfRule>
    <cfRule type="cellIs" priority="1844" operator="greaterThan" dxfId="1">
      <formula>0</formula>
    </cfRule>
    <cfRule type="cellIs" priority="1845" operator="equal" dxfId="2">
      <formula>0</formula>
    </cfRule>
  </conditionalFormatting>
  <conditionalFormatting sqref="W101">
    <cfRule type="cellIs" priority="1846" operator="lessThan" dxfId="0">
      <formula>0</formula>
    </cfRule>
    <cfRule type="cellIs" priority="1847" operator="greaterThan" dxfId="1">
      <formula>0</formula>
    </cfRule>
    <cfRule type="cellIs" priority="1848" operator="equal" dxfId="2">
      <formula>0</formula>
    </cfRule>
  </conditionalFormatting>
  <conditionalFormatting sqref="W105">
    <cfRule type="cellIs" priority="1852" operator="lessThan" dxfId="0">
      <formula>0</formula>
    </cfRule>
    <cfRule type="cellIs" priority="1853" operator="greaterThan" dxfId="1">
      <formula>0</formula>
    </cfRule>
    <cfRule type="cellIs" priority="1854" operator="equal" dxfId="2">
      <formula>0</formula>
    </cfRule>
  </conditionalFormatting>
  <conditionalFormatting sqref="W106">
    <cfRule type="cellIs" priority="1858" operator="lessThan" dxfId="0">
      <formula>0</formula>
    </cfRule>
    <cfRule type="cellIs" priority="1859" operator="greaterThan" dxfId="1">
      <formula>0</formula>
    </cfRule>
    <cfRule type="cellIs" priority="1860" operator="equal" dxfId="2">
      <formula>0</formula>
    </cfRule>
  </conditionalFormatting>
  <conditionalFormatting sqref="W107">
    <cfRule type="cellIs" priority="1864" operator="lessThan" dxfId="0">
      <formula>0</formula>
    </cfRule>
    <cfRule type="cellIs" priority="1865" operator="greaterThan" dxfId="1">
      <formula>0</formula>
    </cfRule>
    <cfRule type="cellIs" priority="1866" operator="equal" dxfId="2">
      <formula>0</formula>
    </cfRule>
  </conditionalFormatting>
  <conditionalFormatting sqref="W108">
    <cfRule type="cellIs" priority="1870" operator="lessThan" dxfId="0">
      <formula>0</formula>
    </cfRule>
    <cfRule type="cellIs" priority="1871" operator="greaterThan" dxfId="1">
      <formula>0</formula>
    </cfRule>
    <cfRule type="cellIs" priority="1872" operator="equal" dxfId="2">
      <formula>0</formula>
    </cfRule>
  </conditionalFormatting>
  <conditionalFormatting sqref="W109">
    <cfRule type="cellIs" priority="1876" operator="lessThan" dxfId="0">
      <formula>0</formula>
    </cfRule>
    <cfRule type="cellIs" priority="1877" operator="greaterThan" dxfId="1">
      <formula>0</formula>
    </cfRule>
    <cfRule type="cellIs" priority="1878" operator="equal" dxfId="2">
      <formula>0</formula>
    </cfRule>
    <cfRule type="cellIs" priority="1918" operator="lessThan" dxfId="0">
      <formula>0</formula>
    </cfRule>
    <cfRule type="cellIs" priority="1919" operator="greaterThan" dxfId="1">
      <formula>0</formula>
    </cfRule>
    <cfRule type="cellIs" priority="1920" operator="equal" dxfId="2">
      <formula>0</formula>
    </cfRule>
  </conditionalFormatting>
  <conditionalFormatting sqref="W110">
    <cfRule type="cellIs" priority="1882" operator="lessThan" dxfId="0">
      <formula>0</formula>
    </cfRule>
    <cfRule type="cellIs" priority="1883" operator="greaterThan" dxfId="1">
      <formula>0</formula>
    </cfRule>
    <cfRule type="cellIs" priority="1884" operator="equal" dxfId="2">
      <formula>0</formula>
    </cfRule>
    <cfRule type="cellIs" priority="1924" operator="lessThan" dxfId="0">
      <formula>0</formula>
    </cfRule>
    <cfRule type="cellIs" priority="1925" operator="greaterThan" dxfId="1">
      <formula>0</formula>
    </cfRule>
    <cfRule type="cellIs" priority="1926" operator="equal" dxfId="2">
      <formula>0</formula>
    </cfRule>
  </conditionalFormatting>
  <conditionalFormatting sqref="W111">
    <cfRule type="cellIs" priority="1888" operator="lessThan" dxfId="0">
      <formula>0</formula>
    </cfRule>
    <cfRule type="cellIs" priority="1889" operator="greaterThan" dxfId="1">
      <formula>0</formula>
    </cfRule>
    <cfRule type="cellIs" priority="1890" operator="equal" dxfId="2">
      <formula>0</formula>
    </cfRule>
    <cfRule type="cellIs" priority="1930" operator="lessThan" dxfId="0">
      <formula>0</formula>
    </cfRule>
    <cfRule type="cellIs" priority="1931" operator="greaterThan" dxfId="1">
      <formula>0</formula>
    </cfRule>
    <cfRule type="cellIs" priority="1932" operator="equal" dxfId="2">
      <formula>0</formula>
    </cfRule>
  </conditionalFormatting>
  <conditionalFormatting sqref="W112">
    <cfRule type="cellIs" priority="1894" operator="lessThan" dxfId="0">
      <formula>0</formula>
    </cfRule>
    <cfRule type="cellIs" priority="1895" operator="greaterThan" dxfId="1">
      <formula>0</formula>
    </cfRule>
    <cfRule type="cellIs" priority="1896" operator="equal" dxfId="2">
      <formula>0</formula>
    </cfRule>
    <cfRule type="cellIs" priority="1936" operator="lessThan" dxfId="0">
      <formula>0</formula>
    </cfRule>
    <cfRule type="cellIs" priority="1937" operator="greaterThan" dxfId="1">
      <formula>0</formula>
    </cfRule>
    <cfRule type="cellIs" priority="1938" operator="equal" dxfId="2">
      <formula>0</formula>
    </cfRule>
  </conditionalFormatting>
  <conditionalFormatting sqref="W113">
    <cfRule type="cellIs" priority="1900" operator="lessThan" dxfId="0">
      <formula>0</formula>
    </cfRule>
    <cfRule type="cellIs" priority="1901" operator="greaterThan" dxfId="1">
      <formula>0</formula>
    </cfRule>
    <cfRule type="cellIs" priority="1902" operator="equal" dxfId="2">
      <formula>0</formula>
    </cfRule>
    <cfRule type="cellIs" priority="1942" operator="lessThan" dxfId="0">
      <formula>0</formula>
    </cfRule>
    <cfRule type="cellIs" priority="1943" operator="greaterThan" dxfId="1">
      <formula>0</formula>
    </cfRule>
    <cfRule type="cellIs" priority="1944" operator="equal" dxfId="2">
      <formula>0</formula>
    </cfRule>
  </conditionalFormatting>
  <conditionalFormatting sqref="W114">
    <cfRule type="cellIs" priority="1906" operator="lessThan" dxfId="0">
      <formula>0</formula>
    </cfRule>
    <cfRule type="cellIs" priority="1907" operator="greaterThan" dxfId="1">
      <formula>0</formula>
    </cfRule>
    <cfRule type="cellIs" priority="1908" operator="equal" dxfId="2">
      <formula>0</formula>
    </cfRule>
    <cfRule type="cellIs" priority="1948" operator="lessThan" dxfId="0">
      <formula>0</formula>
    </cfRule>
    <cfRule type="cellIs" priority="1949" operator="greaterThan" dxfId="1">
      <formula>0</formula>
    </cfRule>
    <cfRule type="cellIs" priority="1950" operator="equal" dxfId="2">
      <formula>0</formula>
    </cfRule>
  </conditionalFormatting>
  <conditionalFormatting sqref="W115">
    <cfRule type="cellIs" priority="1912" operator="lessThan" dxfId="0">
      <formula>0</formula>
    </cfRule>
    <cfRule type="cellIs" priority="1913" operator="greaterThan" dxfId="1">
      <formula>0</formula>
    </cfRule>
    <cfRule type="cellIs" priority="1914" operator="equal" dxfId="2">
      <formula>0</formula>
    </cfRule>
    <cfRule type="cellIs" priority="1954" operator="lessThan" dxfId="0">
      <formula>0</formula>
    </cfRule>
    <cfRule type="cellIs" priority="1955" operator="greaterThan" dxfId="1">
      <formula>0</formula>
    </cfRule>
    <cfRule type="cellIs" priority="1956" operator="equal" dxfId="2">
      <formula>0</formula>
    </cfRule>
  </conditionalFormatting>
  <conditionalFormatting sqref="X101">
    <cfRule type="cellIs" priority="1960" operator="lessThan" dxfId="0">
      <formula>0</formula>
    </cfRule>
    <cfRule type="cellIs" priority="1961" operator="greaterThan" dxfId="1">
      <formula>0</formula>
    </cfRule>
    <cfRule type="cellIs" priority="1962" operator="equal" dxfId="2">
      <formula>0</formula>
    </cfRule>
  </conditionalFormatting>
  <conditionalFormatting sqref="X105">
    <cfRule type="cellIs" priority="1966" operator="lessThan" dxfId="0">
      <formula>0</formula>
    </cfRule>
    <cfRule type="cellIs" priority="1967" operator="greaterThan" dxfId="1">
      <formula>0</formula>
    </cfRule>
    <cfRule type="cellIs" priority="1968" operator="equal" dxfId="2">
      <formula>0</formula>
    </cfRule>
  </conditionalFormatting>
  <conditionalFormatting sqref="X106">
    <cfRule type="cellIs" priority="1972" operator="lessThan" dxfId="0">
      <formula>0</formula>
    </cfRule>
    <cfRule type="cellIs" priority="1973" operator="greaterThan" dxfId="1">
      <formula>0</formula>
    </cfRule>
    <cfRule type="cellIs" priority="1974" operator="equal" dxfId="2">
      <formula>0</formula>
    </cfRule>
  </conditionalFormatting>
  <conditionalFormatting sqref="X107">
    <cfRule type="cellIs" priority="1978" operator="lessThan" dxfId="0">
      <formula>0</formula>
    </cfRule>
    <cfRule type="cellIs" priority="1979" operator="greaterThan" dxfId="1">
      <formula>0</formula>
    </cfRule>
    <cfRule type="cellIs" priority="1980" operator="equal" dxfId="2">
      <formula>0</formula>
    </cfRule>
  </conditionalFormatting>
  <conditionalFormatting sqref="X108">
    <cfRule type="cellIs" priority="1984" operator="lessThan" dxfId="0">
      <formula>0</formula>
    </cfRule>
    <cfRule type="cellIs" priority="1985" operator="greaterThan" dxfId="1">
      <formula>0</formula>
    </cfRule>
    <cfRule type="cellIs" priority="1986" operator="equal" dxfId="2">
      <formula>0</formula>
    </cfRule>
  </conditionalFormatting>
  <conditionalFormatting sqref="X109">
    <cfRule type="cellIs" priority="1990" operator="lessThan" dxfId="0">
      <formula>0</formula>
    </cfRule>
    <cfRule type="cellIs" priority="1991" operator="greaterThan" dxfId="1">
      <formula>0</formula>
    </cfRule>
    <cfRule type="cellIs" priority="1992" operator="equal" dxfId="2">
      <formula>0</formula>
    </cfRule>
    <cfRule type="cellIs" priority="2032" operator="lessThan" dxfId="0">
      <formula>0</formula>
    </cfRule>
    <cfRule type="cellIs" priority="2033" operator="greaterThan" dxfId="1">
      <formula>0</formula>
    </cfRule>
    <cfRule type="cellIs" priority="2034" operator="equal" dxfId="2">
      <formula>0</formula>
    </cfRule>
  </conditionalFormatting>
  <conditionalFormatting sqref="X110">
    <cfRule type="cellIs" priority="1996" operator="lessThan" dxfId="0">
      <formula>0</formula>
    </cfRule>
    <cfRule type="cellIs" priority="1997" operator="greaterThan" dxfId="1">
      <formula>0</formula>
    </cfRule>
    <cfRule type="cellIs" priority="1998" operator="equal" dxfId="2">
      <formula>0</formula>
    </cfRule>
    <cfRule type="cellIs" priority="2038" operator="lessThan" dxfId="0">
      <formula>0</formula>
    </cfRule>
    <cfRule type="cellIs" priority="2039" operator="greaterThan" dxfId="1">
      <formula>0</formula>
    </cfRule>
    <cfRule type="cellIs" priority="2040" operator="equal" dxfId="2">
      <formula>0</formula>
    </cfRule>
  </conditionalFormatting>
  <conditionalFormatting sqref="X111">
    <cfRule type="cellIs" priority="2002" operator="lessThan" dxfId="0">
      <formula>0</formula>
    </cfRule>
    <cfRule type="cellIs" priority="2003" operator="greaterThan" dxfId="1">
      <formula>0</formula>
    </cfRule>
    <cfRule type="cellIs" priority="2004" operator="equal" dxfId="2">
      <formula>0</formula>
    </cfRule>
    <cfRule type="cellIs" priority="2044" operator="lessThan" dxfId="0">
      <formula>0</formula>
    </cfRule>
    <cfRule type="cellIs" priority="2045" operator="greaterThan" dxfId="1">
      <formula>0</formula>
    </cfRule>
    <cfRule type="cellIs" priority="2046" operator="equal" dxfId="2">
      <formula>0</formula>
    </cfRule>
  </conditionalFormatting>
  <conditionalFormatting sqref="X112">
    <cfRule type="cellIs" priority="2008" operator="lessThan" dxfId="0">
      <formula>0</formula>
    </cfRule>
    <cfRule type="cellIs" priority="2009" operator="greaterThan" dxfId="1">
      <formula>0</formula>
    </cfRule>
    <cfRule type="cellIs" priority="2010" operator="equal" dxfId="2">
      <formula>0</formula>
    </cfRule>
    <cfRule type="cellIs" priority="2050" operator="lessThan" dxfId="0">
      <formula>0</formula>
    </cfRule>
    <cfRule type="cellIs" priority="2051" operator="greaterThan" dxfId="1">
      <formula>0</formula>
    </cfRule>
    <cfRule type="cellIs" priority="2052" operator="equal" dxfId="2">
      <formula>0</formula>
    </cfRule>
  </conditionalFormatting>
  <conditionalFormatting sqref="X113">
    <cfRule type="cellIs" priority="2014" operator="lessThan" dxfId="0">
      <formula>0</formula>
    </cfRule>
    <cfRule type="cellIs" priority="2015" operator="greaterThan" dxfId="1">
      <formula>0</formula>
    </cfRule>
    <cfRule type="cellIs" priority="2016" operator="equal" dxfId="2">
      <formula>0</formula>
    </cfRule>
    <cfRule type="cellIs" priority="2056" operator="lessThan" dxfId="0">
      <formula>0</formula>
    </cfRule>
    <cfRule type="cellIs" priority="2057" operator="greaterThan" dxfId="1">
      <formula>0</formula>
    </cfRule>
    <cfRule type="cellIs" priority="2058" operator="equal" dxfId="2">
      <formula>0</formula>
    </cfRule>
  </conditionalFormatting>
  <conditionalFormatting sqref="X114">
    <cfRule type="cellIs" priority="2020" operator="lessThan" dxfId="0">
      <formula>0</formula>
    </cfRule>
    <cfRule type="cellIs" priority="2021" operator="greaterThan" dxfId="1">
      <formula>0</formula>
    </cfRule>
    <cfRule type="cellIs" priority="2022" operator="equal" dxfId="2">
      <formula>0</formula>
    </cfRule>
    <cfRule type="cellIs" priority="2062" operator="lessThan" dxfId="0">
      <formula>0</formula>
    </cfRule>
    <cfRule type="cellIs" priority="2063" operator="greaterThan" dxfId="1">
      <formula>0</formula>
    </cfRule>
    <cfRule type="cellIs" priority="2064" operator="equal" dxfId="2">
      <formula>0</formula>
    </cfRule>
  </conditionalFormatting>
  <conditionalFormatting sqref="X115">
    <cfRule type="cellIs" priority="2026" operator="lessThan" dxfId="0">
      <formula>0</formula>
    </cfRule>
    <cfRule type="cellIs" priority="2027" operator="greaterThan" dxfId="1">
      <formula>0</formula>
    </cfRule>
    <cfRule type="cellIs" priority="2028" operator="equal" dxfId="2">
      <formula>0</formula>
    </cfRule>
    <cfRule type="cellIs" priority="2068" operator="lessThan" dxfId="0">
      <formula>0</formula>
    </cfRule>
    <cfRule type="cellIs" priority="2069" operator="greaterThan" dxfId="1">
      <formula>0</formula>
    </cfRule>
    <cfRule type="cellIs" priority="2070" operator="equal" dxfId="2">
      <formula>0</formula>
    </cfRule>
  </conditionalFormatting>
  <conditionalFormatting sqref="Y33">
    <cfRule type="cellIs" priority="2074" operator="lessThan" dxfId="0">
      <formula>0</formula>
    </cfRule>
    <cfRule type="cellIs" priority="2075" operator="greaterThan" dxfId="1">
      <formula>0</formula>
    </cfRule>
    <cfRule type="cellIs" priority="2076" operator="equal" dxfId="2">
      <formula>0</formula>
    </cfRule>
  </conditionalFormatting>
  <conditionalFormatting sqref="Y70">
    <cfRule type="cellIs" priority="2077" operator="lessThan" dxfId="0">
      <formula>0</formula>
    </cfRule>
    <cfRule type="cellIs" priority="2078" operator="greaterThan" dxfId="1">
      <formula>0</formula>
    </cfRule>
    <cfRule type="cellIs" priority="2079" operator="equal" dxfId="2">
      <formula>0</formula>
    </cfRule>
  </conditionalFormatting>
  <conditionalFormatting sqref="Y72">
    <cfRule type="cellIs" priority="2080" operator="lessThan" dxfId="0">
      <formula>0</formula>
    </cfRule>
    <cfRule type="cellIs" priority="2081" operator="greaterThan" dxfId="1">
      <formula>0</formula>
    </cfRule>
    <cfRule type="cellIs" priority="2082" operator="equal" dxfId="2">
      <formula>0</formula>
    </cfRule>
  </conditionalFormatting>
  <conditionalFormatting sqref="Y74">
    <cfRule type="cellIs" priority="2083" operator="lessThan" dxfId="0">
      <formula>0</formula>
    </cfRule>
    <cfRule type="cellIs" priority="2084" operator="greaterThan" dxfId="1">
      <formula>0</formula>
    </cfRule>
    <cfRule type="cellIs" priority="2085" operator="equal" dxfId="2">
      <formula>0</formula>
    </cfRule>
  </conditionalFormatting>
  <conditionalFormatting sqref="Y98">
    <cfRule type="cellIs" priority="2086" operator="lessThan" dxfId="0">
      <formula>0</formula>
    </cfRule>
    <cfRule type="cellIs" priority="2087" operator="greaterThan" dxfId="1">
      <formula>0</formula>
    </cfRule>
    <cfRule type="cellIs" priority="2088" operator="equal" dxfId="2">
      <formula>0</formula>
    </cfRule>
  </conditionalFormatting>
  <conditionalFormatting sqref="Y101">
    <cfRule type="cellIs" priority="2089" operator="lessThan" dxfId="0">
      <formula>0</formula>
    </cfRule>
    <cfRule type="cellIs" priority="2090" operator="greaterThan" dxfId="1">
      <formula>0</formula>
    </cfRule>
    <cfRule type="cellIs" priority="2091" operator="equal" dxfId="2">
      <formula>0</formula>
    </cfRule>
  </conditionalFormatting>
  <conditionalFormatting sqref="Y105">
    <cfRule type="cellIs" priority="2095" operator="lessThan" dxfId="0">
      <formula>0</formula>
    </cfRule>
    <cfRule type="cellIs" priority="2096" operator="greaterThan" dxfId="1">
      <formula>0</formula>
    </cfRule>
    <cfRule type="cellIs" priority="2097" operator="equal" dxfId="2">
      <formula>0</formula>
    </cfRule>
  </conditionalFormatting>
  <conditionalFormatting sqref="Y106">
    <cfRule type="cellIs" priority="2101" operator="lessThan" dxfId="0">
      <formula>0</formula>
    </cfRule>
    <cfRule type="cellIs" priority="2102" operator="greaterThan" dxfId="1">
      <formula>0</formula>
    </cfRule>
    <cfRule type="cellIs" priority="2103" operator="equal" dxfId="2">
      <formula>0</formula>
    </cfRule>
  </conditionalFormatting>
  <conditionalFormatting sqref="Y107">
    <cfRule type="cellIs" priority="2107" operator="lessThan" dxfId="0">
      <formula>0</formula>
    </cfRule>
    <cfRule type="cellIs" priority="2108" operator="greaterThan" dxfId="1">
      <formula>0</formula>
    </cfRule>
    <cfRule type="cellIs" priority="2109" operator="equal" dxfId="2">
      <formula>0</formula>
    </cfRule>
  </conditionalFormatting>
  <conditionalFormatting sqref="Y108">
    <cfRule type="cellIs" priority="2113" operator="lessThan" dxfId="0">
      <formula>0</formula>
    </cfRule>
    <cfRule type="cellIs" priority="2114" operator="greaterThan" dxfId="1">
      <formula>0</formula>
    </cfRule>
    <cfRule type="cellIs" priority="2115" operator="equal" dxfId="2">
      <formula>0</formula>
    </cfRule>
  </conditionalFormatting>
  <conditionalFormatting sqref="Y109">
    <cfRule type="cellIs" priority="2119" operator="lessThan" dxfId="0">
      <formula>0</formula>
    </cfRule>
    <cfRule type="cellIs" priority="2120" operator="greaterThan" dxfId="1">
      <formula>0</formula>
    </cfRule>
    <cfRule type="cellIs" priority="2121" operator="equal" dxfId="2">
      <formula>0</formula>
    </cfRule>
    <cfRule type="cellIs" priority="2161" operator="lessThan" dxfId="0">
      <formula>0</formula>
    </cfRule>
    <cfRule type="cellIs" priority="2162" operator="greaterThan" dxfId="1">
      <formula>0</formula>
    </cfRule>
    <cfRule type="cellIs" priority="2163" operator="equal" dxfId="2">
      <formula>0</formula>
    </cfRule>
  </conditionalFormatting>
  <conditionalFormatting sqref="Y110">
    <cfRule type="cellIs" priority="2125" operator="lessThan" dxfId="0">
      <formula>0</formula>
    </cfRule>
    <cfRule type="cellIs" priority="2126" operator="greaterThan" dxfId="1">
      <formula>0</formula>
    </cfRule>
    <cfRule type="cellIs" priority="2127" operator="equal" dxfId="2">
      <formula>0</formula>
    </cfRule>
    <cfRule type="cellIs" priority="2167" operator="lessThan" dxfId="0">
      <formula>0</formula>
    </cfRule>
    <cfRule type="cellIs" priority="2168" operator="greaterThan" dxfId="1">
      <formula>0</formula>
    </cfRule>
    <cfRule type="cellIs" priority="2169" operator="equal" dxfId="2">
      <formula>0</formula>
    </cfRule>
  </conditionalFormatting>
  <conditionalFormatting sqref="Y111">
    <cfRule type="cellIs" priority="2131" operator="lessThan" dxfId="0">
      <formula>0</formula>
    </cfRule>
    <cfRule type="cellIs" priority="2132" operator="greaterThan" dxfId="1">
      <formula>0</formula>
    </cfRule>
    <cfRule type="cellIs" priority="2133" operator="equal" dxfId="2">
      <formula>0</formula>
    </cfRule>
    <cfRule type="cellIs" priority="2173" operator="lessThan" dxfId="0">
      <formula>0</formula>
    </cfRule>
    <cfRule type="cellIs" priority="2174" operator="greaterThan" dxfId="1">
      <formula>0</formula>
    </cfRule>
    <cfRule type="cellIs" priority="2175" operator="equal" dxfId="2">
      <formula>0</formula>
    </cfRule>
  </conditionalFormatting>
  <conditionalFormatting sqref="Y112">
    <cfRule type="cellIs" priority="2137" operator="lessThan" dxfId="0">
      <formula>0</formula>
    </cfRule>
    <cfRule type="cellIs" priority="2138" operator="greaterThan" dxfId="1">
      <formula>0</formula>
    </cfRule>
    <cfRule type="cellIs" priority="2139" operator="equal" dxfId="2">
      <formula>0</formula>
    </cfRule>
    <cfRule type="cellIs" priority="2179" operator="lessThan" dxfId="0">
      <formula>0</formula>
    </cfRule>
    <cfRule type="cellIs" priority="2180" operator="greaterThan" dxfId="1">
      <formula>0</formula>
    </cfRule>
    <cfRule type="cellIs" priority="2181" operator="equal" dxfId="2">
      <formula>0</formula>
    </cfRule>
  </conditionalFormatting>
  <conditionalFormatting sqref="Y113">
    <cfRule type="cellIs" priority="2143" operator="lessThan" dxfId="0">
      <formula>0</formula>
    </cfRule>
    <cfRule type="cellIs" priority="2144" operator="greaterThan" dxfId="1">
      <formula>0</formula>
    </cfRule>
    <cfRule type="cellIs" priority="2145" operator="equal" dxfId="2">
      <formula>0</formula>
    </cfRule>
    <cfRule type="cellIs" priority="2185" operator="lessThan" dxfId="0">
      <formula>0</formula>
    </cfRule>
    <cfRule type="cellIs" priority="2186" operator="greaterThan" dxfId="1">
      <formula>0</formula>
    </cfRule>
    <cfRule type="cellIs" priority="2187" operator="equal" dxfId="2">
      <formula>0</formula>
    </cfRule>
  </conditionalFormatting>
  <conditionalFormatting sqref="Y114">
    <cfRule type="cellIs" priority="2149" operator="lessThan" dxfId="0">
      <formula>0</formula>
    </cfRule>
    <cfRule type="cellIs" priority="2150" operator="greaterThan" dxfId="1">
      <formula>0</formula>
    </cfRule>
    <cfRule type="cellIs" priority="2151" operator="equal" dxfId="2">
      <formula>0</formula>
    </cfRule>
    <cfRule type="cellIs" priority="2191" operator="lessThan" dxfId="0">
      <formula>0</formula>
    </cfRule>
    <cfRule type="cellIs" priority="2192" operator="greaterThan" dxfId="1">
      <formula>0</formula>
    </cfRule>
    <cfRule type="cellIs" priority="2193" operator="equal" dxfId="2">
      <formula>0</formula>
    </cfRule>
  </conditionalFormatting>
  <conditionalFormatting sqref="Y115">
    <cfRule type="cellIs" priority="2155" operator="lessThan" dxfId="0">
      <formula>0</formula>
    </cfRule>
    <cfRule type="cellIs" priority="2156" operator="greaterThan" dxfId="1">
      <formula>0</formula>
    </cfRule>
    <cfRule type="cellIs" priority="2157" operator="equal" dxfId="2">
      <formula>0</formula>
    </cfRule>
    <cfRule type="cellIs" priority="2197" operator="lessThan" dxfId="0">
      <formula>0</formula>
    </cfRule>
    <cfRule type="cellIs" priority="2198" operator="greaterThan" dxfId="1">
      <formula>0</formula>
    </cfRule>
    <cfRule type="cellIs" priority="2199" operator="equal" dxfId="2">
      <formula>0</formula>
    </cfRule>
  </conditionalFormatting>
  <conditionalFormatting sqref="Z101">
    <cfRule type="cellIs" priority="2203" operator="lessThan" dxfId="0">
      <formula>0</formula>
    </cfRule>
    <cfRule type="cellIs" priority="2204" operator="greaterThan" dxfId="1">
      <formula>0</formula>
    </cfRule>
    <cfRule type="cellIs" priority="2205" operator="equal" dxfId="2">
      <formula>0</formula>
    </cfRule>
  </conditionalFormatting>
  <conditionalFormatting sqref="Z105">
    <cfRule type="cellIs" priority="2209" operator="lessThan" dxfId="0">
      <formula>0</formula>
    </cfRule>
    <cfRule type="cellIs" priority="2210" operator="greaterThan" dxfId="1">
      <formula>0</formula>
    </cfRule>
    <cfRule type="cellIs" priority="2211" operator="equal" dxfId="2">
      <formula>0</formula>
    </cfRule>
  </conditionalFormatting>
  <conditionalFormatting sqref="Z106">
    <cfRule type="cellIs" priority="2215" operator="lessThan" dxfId="0">
      <formula>0</formula>
    </cfRule>
    <cfRule type="cellIs" priority="2216" operator="greaterThan" dxfId="1">
      <formula>0</formula>
    </cfRule>
    <cfRule type="cellIs" priority="2217" operator="equal" dxfId="2">
      <formula>0</formula>
    </cfRule>
  </conditionalFormatting>
  <conditionalFormatting sqref="Z107">
    <cfRule type="cellIs" priority="2221" operator="lessThan" dxfId="0">
      <formula>0</formula>
    </cfRule>
    <cfRule type="cellIs" priority="2222" operator="greaterThan" dxfId="1">
      <formula>0</formula>
    </cfRule>
    <cfRule type="cellIs" priority="2223" operator="equal" dxfId="2">
      <formula>0</formula>
    </cfRule>
  </conditionalFormatting>
  <conditionalFormatting sqref="Z108">
    <cfRule type="cellIs" priority="2227" operator="lessThan" dxfId="0">
      <formula>0</formula>
    </cfRule>
    <cfRule type="cellIs" priority="2228" operator="greaterThan" dxfId="1">
      <formula>0</formula>
    </cfRule>
    <cfRule type="cellIs" priority="2229" operator="equal" dxfId="2">
      <formula>0</formula>
    </cfRule>
  </conditionalFormatting>
  <conditionalFormatting sqref="Z109">
    <cfRule type="cellIs" priority="2233" operator="lessThan" dxfId="0">
      <formula>0</formula>
    </cfRule>
    <cfRule type="cellIs" priority="2234" operator="greaterThan" dxfId="1">
      <formula>0</formula>
    </cfRule>
    <cfRule type="cellIs" priority="2235" operator="equal" dxfId="2">
      <formula>0</formula>
    </cfRule>
    <cfRule type="cellIs" priority="2275" operator="lessThan" dxfId="0">
      <formula>0</formula>
    </cfRule>
    <cfRule type="cellIs" priority="2276" operator="greaterThan" dxfId="1">
      <formula>0</formula>
    </cfRule>
    <cfRule type="cellIs" priority="2277" operator="equal" dxfId="2">
      <formula>0</formula>
    </cfRule>
  </conditionalFormatting>
  <conditionalFormatting sqref="Z110">
    <cfRule type="cellIs" priority="2239" operator="lessThan" dxfId="0">
      <formula>0</formula>
    </cfRule>
    <cfRule type="cellIs" priority="2240" operator="greaterThan" dxfId="1">
      <formula>0</formula>
    </cfRule>
    <cfRule type="cellIs" priority="2241" operator="equal" dxfId="2">
      <formula>0</formula>
    </cfRule>
    <cfRule type="cellIs" priority="2281" operator="lessThan" dxfId="0">
      <formula>0</formula>
    </cfRule>
    <cfRule type="cellIs" priority="2282" operator="greaterThan" dxfId="1">
      <formula>0</formula>
    </cfRule>
    <cfRule type="cellIs" priority="2283" operator="equal" dxfId="2">
      <formula>0</formula>
    </cfRule>
  </conditionalFormatting>
  <conditionalFormatting sqref="Z111">
    <cfRule type="cellIs" priority="2245" operator="lessThan" dxfId="0">
      <formula>0</formula>
    </cfRule>
    <cfRule type="cellIs" priority="2246" operator="greaterThan" dxfId="1">
      <formula>0</formula>
    </cfRule>
    <cfRule type="cellIs" priority="2247" operator="equal" dxfId="2">
      <formula>0</formula>
    </cfRule>
    <cfRule type="cellIs" priority="2287" operator="lessThan" dxfId="0">
      <formula>0</formula>
    </cfRule>
    <cfRule type="cellIs" priority="2288" operator="greaterThan" dxfId="1">
      <formula>0</formula>
    </cfRule>
    <cfRule type="cellIs" priority="2289" operator="equal" dxfId="2">
      <formula>0</formula>
    </cfRule>
  </conditionalFormatting>
  <conditionalFormatting sqref="Z112">
    <cfRule type="cellIs" priority="2251" operator="lessThan" dxfId="0">
      <formula>0</formula>
    </cfRule>
    <cfRule type="cellIs" priority="2252" operator="greaterThan" dxfId="1">
      <formula>0</formula>
    </cfRule>
    <cfRule type="cellIs" priority="2253" operator="equal" dxfId="2">
      <formula>0</formula>
    </cfRule>
    <cfRule type="cellIs" priority="2293" operator="lessThan" dxfId="0">
      <formula>0</formula>
    </cfRule>
    <cfRule type="cellIs" priority="2294" operator="greaterThan" dxfId="1">
      <formula>0</formula>
    </cfRule>
    <cfRule type="cellIs" priority="2295" operator="equal" dxfId="2">
      <formula>0</formula>
    </cfRule>
  </conditionalFormatting>
  <conditionalFormatting sqref="Z113">
    <cfRule type="cellIs" priority="2257" operator="lessThan" dxfId="0">
      <formula>0</formula>
    </cfRule>
    <cfRule type="cellIs" priority="2258" operator="greaterThan" dxfId="1">
      <formula>0</formula>
    </cfRule>
    <cfRule type="cellIs" priority="2259" operator="equal" dxfId="2">
      <formula>0</formula>
    </cfRule>
    <cfRule type="cellIs" priority="2299" operator="lessThan" dxfId="0">
      <formula>0</formula>
    </cfRule>
    <cfRule type="cellIs" priority="2300" operator="greaterThan" dxfId="1">
      <formula>0</formula>
    </cfRule>
    <cfRule type="cellIs" priority="2301" operator="equal" dxfId="2">
      <formula>0</formula>
    </cfRule>
  </conditionalFormatting>
  <conditionalFormatting sqref="Z114">
    <cfRule type="cellIs" priority="2263" operator="lessThan" dxfId="0">
      <formula>0</formula>
    </cfRule>
    <cfRule type="cellIs" priority="2264" operator="greaterThan" dxfId="1">
      <formula>0</formula>
    </cfRule>
    <cfRule type="cellIs" priority="2265" operator="equal" dxfId="2">
      <formula>0</formula>
    </cfRule>
    <cfRule type="cellIs" priority="2305" operator="lessThan" dxfId="0">
      <formula>0</formula>
    </cfRule>
    <cfRule type="cellIs" priority="2306" operator="greaterThan" dxfId="1">
      <formula>0</formula>
    </cfRule>
    <cfRule type="cellIs" priority="2307" operator="equal" dxfId="2">
      <formula>0</formula>
    </cfRule>
  </conditionalFormatting>
  <conditionalFormatting sqref="Z115">
    <cfRule type="cellIs" priority="2269" operator="lessThan" dxfId="0">
      <formula>0</formula>
    </cfRule>
    <cfRule type="cellIs" priority="2270" operator="greaterThan" dxfId="1">
      <formula>0</formula>
    </cfRule>
    <cfRule type="cellIs" priority="2271" operator="equal" dxfId="2">
      <formula>0</formula>
    </cfRule>
    <cfRule type="cellIs" priority="2311" operator="lessThan" dxfId="0">
      <formula>0</formula>
    </cfRule>
    <cfRule type="cellIs" priority="2312" operator="greaterThan" dxfId="1">
      <formula>0</formula>
    </cfRule>
    <cfRule type="cellIs" priority="2313" operator="equal" dxfId="2">
      <formula>0</formula>
    </cfRule>
  </conditionalFormatting>
  <conditionalFormatting sqref="AA33">
    <cfRule type="cellIs" priority="2317" operator="lessThan" dxfId="0">
      <formula>0</formula>
    </cfRule>
    <cfRule type="cellIs" priority="2318" operator="greaterThan" dxfId="1">
      <formula>0</formula>
    </cfRule>
    <cfRule type="cellIs" priority="2319" operator="equal" dxfId="2">
      <formula>0</formula>
    </cfRule>
  </conditionalFormatting>
  <conditionalFormatting sqref="AA70">
    <cfRule type="cellIs" priority="2320" operator="lessThan" dxfId="0">
      <formula>0</formula>
    </cfRule>
    <cfRule type="cellIs" priority="2321" operator="greaterThan" dxfId="1">
      <formula>0</formula>
    </cfRule>
    <cfRule type="cellIs" priority="2322" operator="equal" dxfId="2">
      <formula>0</formula>
    </cfRule>
  </conditionalFormatting>
  <conditionalFormatting sqref="AA72">
    <cfRule type="cellIs" priority="2323" operator="lessThan" dxfId="0">
      <formula>0</formula>
    </cfRule>
    <cfRule type="cellIs" priority="2324" operator="greaterThan" dxfId="1">
      <formula>0</formula>
    </cfRule>
    <cfRule type="cellIs" priority="2325" operator="equal" dxfId="2">
      <formula>0</formula>
    </cfRule>
  </conditionalFormatting>
  <conditionalFormatting sqref="AA74">
    <cfRule type="cellIs" priority="2326" operator="lessThan" dxfId="0">
      <formula>0</formula>
    </cfRule>
    <cfRule type="cellIs" priority="2327" operator="greaterThan" dxfId="1">
      <formula>0</formula>
    </cfRule>
    <cfRule type="cellIs" priority="2328" operator="equal" dxfId="2">
      <formula>0</formula>
    </cfRule>
  </conditionalFormatting>
  <conditionalFormatting sqref="AA98">
    <cfRule type="cellIs" priority="2329" operator="lessThan" dxfId="0">
      <formula>0</formula>
    </cfRule>
    <cfRule type="cellIs" priority="2330" operator="greaterThan" dxfId="1">
      <formula>0</formula>
    </cfRule>
    <cfRule type="cellIs" priority="2331" operator="equal" dxfId="2">
      <formula>0</formula>
    </cfRule>
  </conditionalFormatting>
  <conditionalFormatting sqref="AA101">
    <cfRule type="cellIs" priority="2332" operator="lessThan" dxfId="0">
      <formula>0</formula>
    </cfRule>
    <cfRule type="cellIs" priority="2333" operator="greaterThan" dxfId="1">
      <formula>0</formula>
    </cfRule>
    <cfRule type="cellIs" priority="2334" operator="equal" dxfId="2">
      <formula>0</formula>
    </cfRule>
  </conditionalFormatting>
  <conditionalFormatting sqref="AA105">
    <cfRule type="cellIs" priority="2338" operator="lessThan" dxfId="0">
      <formula>0</formula>
    </cfRule>
    <cfRule type="cellIs" priority="2339" operator="greaterThan" dxfId="1">
      <formula>0</formula>
    </cfRule>
    <cfRule type="cellIs" priority="2340" operator="equal" dxfId="2">
      <formula>0</formula>
    </cfRule>
  </conditionalFormatting>
  <conditionalFormatting sqref="AA106">
    <cfRule type="cellIs" priority="2344" operator="lessThan" dxfId="0">
      <formula>0</formula>
    </cfRule>
    <cfRule type="cellIs" priority="2345" operator="greaterThan" dxfId="1">
      <formula>0</formula>
    </cfRule>
    <cfRule type="cellIs" priority="2346" operator="equal" dxfId="2">
      <formula>0</formula>
    </cfRule>
  </conditionalFormatting>
  <conditionalFormatting sqref="AA107">
    <cfRule type="cellIs" priority="2350" operator="lessThan" dxfId="0">
      <formula>0</formula>
    </cfRule>
    <cfRule type="cellIs" priority="2351" operator="greaterThan" dxfId="1">
      <formula>0</formula>
    </cfRule>
    <cfRule type="cellIs" priority="2352" operator="equal" dxfId="2">
      <formula>0</formula>
    </cfRule>
  </conditionalFormatting>
  <conditionalFormatting sqref="AA108">
    <cfRule type="cellIs" priority="2356" operator="lessThan" dxfId="0">
      <formula>0</formula>
    </cfRule>
    <cfRule type="cellIs" priority="2357" operator="greaterThan" dxfId="1">
      <formula>0</formula>
    </cfRule>
    <cfRule type="cellIs" priority="2358" operator="equal" dxfId="2">
      <formula>0</formula>
    </cfRule>
  </conditionalFormatting>
  <conditionalFormatting sqref="AA109">
    <cfRule type="cellIs" priority="2362" operator="lessThan" dxfId="0">
      <formula>0</formula>
    </cfRule>
    <cfRule type="cellIs" priority="2363" operator="greaterThan" dxfId="1">
      <formula>0</formula>
    </cfRule>
    <cfRule type="cellIs" priority="2364" operator="equal" dxfId="2">
      <formula>0</formula>
    </cfRule>
    <cfRule type="cellIs" priority="2404" operator="lessThan" dxfId="0">
      <formula>0</formula>
    </cfRule>
    <cfRule type="cellIs" priority="2405" operator="greaterThan" dxfId="1">
      <formula>0</formula>
    </cfRule>
    <cfRule type="cellIs" priority="2406" operator="equal" dxfId="2">
      <formula>0</formula>
    </cfRule>
  </conditionalFormatting>
  <conditionalFormatting sqref="AA110">
    <cfRule type="cellIs" priority="2368" operator="lessThan" dxfId="0">
      <formula>0</formula>
    </cfRule>
    <cfRule type="cellIs" priority="2369" operator="greaterThan" dxfId="1">
      <formula>0</formula>
    </cfRule>
    <cfRule type="cellIs" priority="2370" operator="equal" dxfId="2">
      <formula>0</formula>
    </cfRule>
    <cfRule type="cellIs" priority="2410" operator="lessThan" dxfId="0">
      <formula>0</formula>
    </cfRule>
    <cfRule type="cellIs" priority="2411" operator="greaterThan" dxfId="1">
      <formula>0</formula>
    </cfRule>
    <cfRule type="cellIs" priority="2412" operator="equal" dxfId="2">
      <formula>0</formula>
    </cfRule>
  </conditionalFormatting>
  <conditionalFormatting sqref="AA111">
    <cfRule type="cellIs" priority="2374" operator="lessThan" dxfId="0">
      <formula>0</formula>
    </cfRule>
    <cfRule type="cellIs" priority="2375" operator="greaterThan" dxfId="1">
      <formula>0</formula>
    </cfRule>
    <cfRule type="cellIs" priority="2376" operator="equal" dxfId="2">
      <formula>0</formula>
    </cfRule>
    <cfRule type="cellIs" priority="2416" operator="lessThan" dxfId="0">
      <formula>0</formula>
    </cfRule>
    <cfRule type="cellIs" priority="2417" operator="greaterThan" dxfId="1">
      <formula>0</formula>
    </cfRule>
    <cfRule type="cellIs" priority="2418" operator="equal" dxfId="2">
      <formula>0</formula>
    </cfRule>
  </conditionalFormatting>
  <conditionalFormatting sqref="AA112">
    <cfRule type="cellIs" priority="2380" operator="lessThan" dxfId="0">
      <formula>0</formula>
    </cfRule>
    <cfRule type="cellIs" priority="2381" operator="greaterThan" dxfId="1">
      <formula>0</formula>
    </cfRule>
    <cfRule type="cellIs" priority="2382" operator="equal" dxfId="2">
      <formula>0</formula>
    </cfRule>
    <cfRule type="cellIs" priority="2422" operator="lessThan" dxfId="0">
      <formula>0</formula>
    </cfRule>
    <cfRule type="cellIs" priority="2423" operator="greaterThan" dxfId="1">
      <formula>0</formula>
    </cfRule>
    <cfRule type="cellIs" priority="2424" operator="equal" dxfId="2">
      <formula>0</formula>
    </cfRule>
  </conditionalFormatting>
  <conditionalFormatting sqref="AA113">
    <cfRule type="cellIs" priority="2386" operator="lessThan" dxfId="0">
      <formula>0</formula>
    </cfRule>
    <cfRule type="cellIs" priority="2387" operator="greaterThan" dxfId="1">
      <formula>0</formula>
    </cfRule>
    <cfRule type="cellIs" priority="2388" operator="equal" dxfId="2">
      <formula>0</formula>
    </cfRule>
    <cfRule type="cellIs" priority="2428" operator="lessThan" dxfId="0">
      <formula>0</formula>
    </cfRule>
    <cfRule type="cellIs" priority="2429" operator="greaterThan" dxfId="1">
      <formula>0</formula>
    </cfRule>
    <cfRule type="cellIs" priority="2430" operator="equal" dxfId="2">
      <formula>0</formula>
    </cfRule>
  </conditionalFormatting>
  <conditionalFormatting sqref="AA114">
    <cfRule type="cellIs" priority="2392" operator="lessThan" dxfId="0">
      <formula>0</formula>
    </cfRule>
    <cfRule type="cellIs" priority="2393" operator="greaterThan" dxfId="1">
      <formula>0</formula>
    </cfRule>
    <cfRule type="cellIs" priority="2394" operator="equal" dxfId="2">
      <formula>0</formula>
    </cfRule>
    <cfRule type="cellIs" priority="2434" operator="lessThan" dxfId="0">
      <formula>0</formula>
    </cfRule>
    <cfRule type="cellIs" priority="2435" operator="greaterThan" dxfId="1">
      <formula>0</formula>
    </cfRule>
    <cfRule type="cellIs" priority="2436" operator="equal" dxfId="2">
      <formula>0</formula>
    </cfRule>
  </conditionalFormatting>
  <conditionalFormatting sqref="AA115">
    <cfRule type="cellIs" priority="2398" operator="lessThan" dxfId="0">
      <formula>0</formula>
    </cfRule>
    <cfRule type="cellIs" priority="2399" operator="greaterThan" dxfId="1">
      <formula>0</formula>
    </cfRule>
    <cfRule type="cellIs" priority="2400" operator="equal" dxfId="2">
      <formula>0</formula>
    </cfRule>
    <cfRule type="cellIs" priority="2440" operator="lessThan" dxfId="0">
      <formula>0</formula>
    </cfRule>
    <cfRule type="cellIs" priority="2441" operator="greaterThan" dxfId="1">
      <formula>0</formula>
    </cfRule>
    <cfRule type="cellIs" priority="2442" operator="equal" dxfId="2">
      <formula>0</formula>
    </cfRule>
  </conditionalFormatting>
  <conditionalFormatting sqref="AB101">
    <cfRule type="cellIs" priority="2446" operator="lessThan" dxfId="0">
      <formula>0</formula>
    </cfRule>
    <cfRule type="cellIs" priority="2447" operator="greaterThan" dxfId="1">
      <formula>0</formula>
    </cfRule>
    <cfRule type="cellIs" priority="2448" operator="equal" dxfId="2">
      <formula>0</formula>
    </cfRule>
  </conditionalFormatting>
  <conditionalFormatting sqref="AB105">
    <cfRule type="cellIs" priority="2452" operator="lessThan" dxfId="0">
      <formula>0</formula>
    </cfRule>
    <cfRule type="cellIs" priority="2453" operator="greaterThan" dxfId="1">
      <formula>0</formula>
    </cfRule>
    <cfRule type="cellIs" priority="2454" operator="equal" dxfId="2">
      <formula>0</formula>
    </cfRule>
  </conditionalFormatting>
  <conditionalFormatting sqref="AB106">
    <cfRule type="cellIs" priority="2458" operator="lessThan" dxfId="0">
      <formula>0</formula>
    </cfRule>
    <cfRule type="cellIs" priority="2459" operator="greaterThan" dxfId="1">
      <formula>0</formula>
    </cfRule>
    <cfRule type="cellIs" priority="2460" operator="equal" dxfId="2">
      <formula>0</formula>
    </cfRule>
  </conditionalFormatting>
  <conditionalFormatting sqref="AB107">
    <cfRule type="cellIs" priority="2464" operator="lessThan" dxfId="0">
      <formula>0</formula>
    </cfRule>
    <cfRule type="cellIs" priority="2465" operator="greaterThan" dxfId="1">
      <formula>0</formula>
    </cfRule>
    <cfRule type="cellIs" priority="2466" operator="equal" dxfId="2">
      <formula>0</formula>
    </cfRule>
  </conditionalFormatting>
  <conditionalFormatting sqref="AB108">
    <cfRule type="cellIs" priority="2470" operator="lessThan" dxfId="0">
      <formula>0</formula>
    </cfRule>
    <cfRule type="cellIs" priority="2471" operator="greaterThan" dxfId="1">
      <formula>0</formula>
    </cfRule>
    <cfRule type="cellIs" priority="2472" operator="equal" dxfId="2">
      <formula>0</formula>
    </cfRule>
  </conditionalFormatting>
  <conditionalFormatting sqref="AB109">
    <cfRule type="cellIs" priority="2476" operator="lessThan" dxfId="0">
      <formula>0</formula>
    </cfRule>
    <cfRule type="cellIs" priority="2477" operator="greaterThan" dxfId="1">
      <formula>0</formula>
    </cfRule>
    <cfRule type="cellIs" priority="2478" operator="equal" dxfId="2">
      <formula>0</formula>
    </cfRule>
    <cfRule type="cellIs" priority="2518" operator="lessThan" dxfId="0">
      <formula>0</formula>
    </cfRule>
    <cfRule type="cellIs" priority="2519" operator="greaterThan" dxfId="1">
      <formula>0</formula>
    </cfRule>
    <cfRule type="cellIs" priority="2520" operator="equal" dxfId="2">
      <formula>0</formula>
    </cfRule>
  </conditionalFormatting>
  <conditionalFormatting sqref="AB110">
    <cfRule type="cellIs" priority="2482" operator="lessThan" dxfId="0">
      <formula>0</formula>
    </cfRule>
    <cfRule type="cellIs" priority="2483" operator="greaterThan" dxfId="1">
      <formula>0</formula>
    </cfRule>
    <cfRule type="cellIs" priority="2484" operator="equal" dxfId="2">
      <formula>0</formula>
    </cfRule>
    <cfRule type="cellIs" priority="2524" operator="lessThan" dxfId="0">
      <formula>0</formula>
    </cfRule>
    <cfRule type="cellIs" priority="2525" operator="greaterThan" dxfId="1">
      <formula>0</formula>
    </cfRule>
    <cfRule type="cellIs" priority="2526" operator="equal" dxfId="2">
      <formula>0</formula>
    </cfRule>
  </conditionalFormatting>
  <conditionalFormatting sqref="AB111">
    <cfRule type="cellIs" priority="2488" operator="lessThan" dxfId="0">
      <formula>0</formula>
    </cfRule>
    <cfRule type="cellIs" priority="2489" operator="greaterThan" dxfId="1">
      <formula>0</formula>
    </cfRule>
    <cfRule type="cellIs" priority="2490" operator="equal" dxfId="2">
      <formula>0</formula>
    </cfRule>
    <cfRule type="cellIs" priority="2530" operator="lessThan" dxfId="0">
      <formula>0</formula>
    </cfRule>
    <cfRule type="cellIs" priority="2531" operator="greaterThan" dxfId="1">
      <formula>0</formula>
    </cfRule>
    <cfRule type="cellIs" priority="2532" operator="equal" dxfId="2">
      <formula>0</formula>
    </cfRule>
  </conditionalFormatting>
  <conditionalFormatting sqref="AB112">
    <cfRule type="cellIs" priority="2494" operator="lessThan" dxfId="0">
      <formula>0</formula>
    </cfRule>
    <cfRule type="cellIs" priority="2495" operator="greaterThan" dxfId="1">
      <formula>0</formula>
    </cfRule>
    <cfRule type="cellIs" priority="2496" operator="equal" dxfId="2">
      <formula>0</formula>
    </cfRule>
    <cfRule type="cellIs" priority="2536" operator="lessThan" dxfId="0">
      <formula>0</formula>
    </cfRule>
    <cfRule type="cellIs" priority="2537" operator="greaterThan" dxfId="1">
      <formula>0</formula>
    </cfRule>
    <cfRule type="cellIs" priority="2538" operator="equal" dxfId="2">
      <formula>0</formula>
    </cfRule>
  </conditionalFormatting>
  <conditionalFormatting sqref="AB113">
    <cfRule type="cellIs" priority="2500" operator="lessThan" dxfId="0">
      <formula>0</formula>
    </cfRule>
    <cfRule type="cellIs" priority="2501" operator="greaterThan" dxfId="1">
      <formula>0</formula>
    </cfRule>
    <cfRule type="cellIs" priority="2502" operator="equal" dxfId="2">
      <formula>0</formula>
    </cfRule>
    <cfRule type="cellIs" priority="2542" operator="lessThan" dxfId="0">
      <formula>0</formula>
    </cfRule>
    <cfRule type="cellIs" priority="2543" operator="greaterThan" dxfId="1">
      <formula>0</formula>
    </cfRule>
    <cfRule type="cellIs" priority="2544" operator="equal" dxfId="2">
      <formula>0</formula>
    </cfRule>
  </conditionalFormatting>
  <conditionalFormatting sqref="AB114">
    <cfRule type="cellIs" priority="2506" operator="lessThan" dxfId="0">
      <formula>0</formula>
    </cfRule>
    <cfRule type="cellIs" priority="2507" operator="greaterThan" dxfId="1">
      <formula>0</formula>
    </cfRule>
    <cfRule type="cellIs" priority="2508" operator="equal" dxfId="2">
      <formula>0</formula>
    </cfRule>
    <cfRule type="cellIs" priority="2548" operator="lessThan" dxfId="0">
      <formula>0</formula>
    </cfRule>
    <cfRule type="cellIs" priority="2549" operator="greaterThan" dxfId="1">
      <formula>0</formula>
    </cfRule>
    <cfRule type="cellIs" priority="2550" operator="equal" dxfId="2">
      <formula>0</formula>
    </cfRule>
  </conditionalFormatting>
  <conditionalFormatting sqref="AB115">
    <cfRule type="cellIs" priority="2512" operator="lessThan" dxfId="0">
      <formula>0</formula>
    </cfRule>
    <cfRule type="cellIs" priority="2513" operator="greaterThan" dxfId="1">
      <formula>0</formula>
    </cfRule>
    <cfRule type="cellIs" priority="2514" operator="equal" dxfId="2">
      <formula>0</formula>
    </cfRule>
    <cfRule type="cellIs" priority="2554" operator="lessThan" dxfId="0">
      <formula>0</formula>
    </cfRule>
    <cfRule type="cellIs" priority="2555" operator="greaterThan" dxfId="1">
      <formula>0</formula>
    </cfRule>
    <cfRule type="cellIs" priority="2556" operator="equal" dxfId="2">
      <formula>0</formula>
    </cfRule>
  </conditionalFormatting>
  <conditionalFormatting sqref="AC33">
    <cfRule type="cellIs" priority="2560" operator="lessThan" dxfId="0">
      <formula>0</formula>
    </cfRule>
    <cfRule type="cellIs" priority="2561" operator="greaterThan" dxfId="1">
      <formula>0</formula>
    </cfRule>
    <cfRule type="cellIs" priority="2562" operator="equal" dxfId="2">
      <formula>0</formula>
    </cfRule>
  </conditionalFormatting>
  <conditionalFormatting sqref="AC70">
    <cfRule type="cellIs" priority="2563" operator="lessThan" dxfId="0">
      <formula>0</formula>
    </cfRule>
    <cfRule type="cellIs" priority="2564" operator="greaterThan" dxfId="1">
      <formula>0</formula>
    </cfRule>
    <cfRule type="cellIs" priority="2565" operator="equal" dxfId="2">
      <formula>0</formula>
    </cfRule>
  </conditionalFormatting>
  <conditionalFormatting sqref="AC72">
    <cfRule type="cellIs" priority="2566" operator="lessThan" dxfId="0">
      <formula>0</formula>
    </cfRule>
    <cfRule type="cellIs" priority="2567" operator="greaterThan" dxfId="1">
      <formula>0</formula>
    </cfRule>
    <cfRule type="cellIs" priority="2568" operator="equal" dxfId="2">
      <formula>0</formula>
    </cfRule>
  </conditionalFormatting>
  <conditionalFormatting sqref="AC74">
    <cfRule type="cellIs" priority="2569" operator="lessThan" dxfId="0">
      <formula>0</formula>
    </cfRule>
    <cfRule type="cellIs" priority="2570" operator="greaterThan" dxfId="1">
      <formula>0</formula>
    </cfRule>
    <cfRule type="cellIs" priority="2571" operator="equal" dxfId="2">
      <formula>0</formula>
    </cfRule>
  </conditionalFormatting>
  <conditionalFormatting sqref="AC98">
    <cfRule type="cellIs" priority="2572" operator="lessThan" dxfId="0">
      <formula>0</formula>
    </cfRule>
    <cfRule type="cellIs" priority="2573" operator="greaterThan" dxfId="1">
      <formula>0</formula>
    </cfRule>
    <cfRule type="cellIs" priority="2574" operator="equal" dxfId="2">
      <formula>0</formula>
    </cfRule>
  </conditionalFormatting>
  <conditionalFormatting sqref="AC101">
    <cfRule type="cellIs" priority="2575" operator="lessThan" dxfId="0">
      <formula>0</formula>
    </cfRule>
    <cfRule type="cellIs" priority="2576" operator="greaterThan" dxfId="1">
      <formula>0</formula>
    </cfRule>
    <cfRule type="cellIs" priority="2577" operator="equal" dxfId="2">
      <formula>0</formula>
    </cfRule>
  </conditionalFormatting>
  <conditionalFormatting sqref="AC105">
    <cfRule type="cellIs" priority="2581" operator="lessThan" dxfId="0">
      <formula>0</formula>
    </cfRule>
    <cfRule type="cellIs" priority="2582" operator="greaterThan" dxfId="1">
      <formula>0</formula>
    </cfRule>
    <cfRule type="cellIs" priority="2583" operator="equal" dxfId="2">
      <formula>0</formula>
    </cfRule>
  </conditionalFormatting>
  <conditionalFormatting sqref="AC106">
    <cfRule type="cellIs" priority="2587" operator="lessThan" dxfId="0">
      <formula>0</formula>
    </cfRule>
    <cfRule type="cellIs" priority="2588" operator="greaterThan" dxfId="1">
      <formula>0</formula>
    </cfRule>
    <cfRule type="cellIs" priority="2589" operator="equal" dxfId="2">
      <formula>0</formula>
    </cfRule>
  </conditionalFormatting>
  <conditionalFormatting sqref="AC107">
    <cfRule type="cellIs" priority="2593" operator="lessThan" dxfId="0">
      <formula>0</formula>
    </cfRule>
    <cfRule type="cellIs" priority="2594" operator="greaterThan" dxfId="1">
      <formula>0</formula>
    </cfRule>
    <cfRule type="cellIs" priority="2595" operator="equal" dxfId="2">
      <formula>0</formula>
    </cfRule>
  </conditionalFormatting>
  <conditionalFormatting sqref="AC108">
    <cfRule type="cellIs" priority="2599" operator="lessThan" dxfId="0">
      <formula>0</formula>
    </cfRule>
    <cfRule type="cellIs" priority="2600" operator="greaterThan" dxfId="1">
      <formula>0</formula>
    </cfRule>
    <cfRule type="cellIs" priority="2601" operator="equal" dxfId="2">
      <formula>0</formula>
    </cfRule>
  </conditionalFormatting>
  <conditionalFormatting sqref="AC109">
    <cfRule type="cellIs" priority="2605" operator="lessThan" dxfId="0">
      <formula>0</formula>
    </cfRule>
    <cfRule type="cellIs" priority="2606" operator="greaterThan" dxfId="1">
      <formula>0</formula>
    </cfRule>
    <cfRule type="cellIs" priority="2607" operator="equal" dxfId="2">
      <formula>0</formula>
    </cfRule>
    <cfRule type="cellIs" priority="2647" operator="lessThan" dxfId="0">
      <formula>0</formula>
    </cfRule>
    <cfRule type="cellIs" priority="2648" operator="greaterThan" dxfId="1">
      <formula>0</formula>
    </cfRule>
    <cfRule type="cellIs" priority="2649" operator="equal" dxfId="2">
      <formula>0</formula>
    </cfRule>
  </conditionalFormatting>
  <conditionalFormatting sqref="AC110">
    <cfRule type="cellIs" priority="2611" operator="lessThan" dxfId="0">
      <formula>0</formula>
    </cfRule>
    <cfRule type="cellIs" priority="2612" operator="greaterThan" dxfId="1">
      <formula>0</formula>
    </cfRule>
    <cfRule type="cellIs" priority="2613" operator="equal" dxfId="2">
      <formula>0</formula>
    </cfRule>
    <cfRule type="cellIs" priority="2653" operator="lessThan" dxfId="0">
      <formula>0</formula>
    </cfRule>
    <cfRule type="cellIs" priority="2654" operator="greaterThan" dxfId="1">
      <formula>0</formula>
    </cfRule>
    <cfRule type="cellIs" priority="2655" operator="equal" dxfId="2">
      <formula>0</formula>
    </cfRule>
  </conditionalFormatting>
  <conditionalFormatting sqref="AC111">
    <cfRule type="cellIs" priority="2617" operator="lessThan" dxfId="0">
      <formula>0</formula>
    </cfRule>
    <cfRule type="cellIs" priority="2618" operator="greaterThan" dxfId="1">
      <formula>0</formula>
    </cfRule>
    <cfRule type="cellIs" priority="2619" operator="equal" dxfId="2">
      <formula>0</formula>
    </cfRule>
    <cfRule type="cellIs" priority="2659" operator="lessThan" dxfId="0">
      <formula>0</formula>
    </cfRule>
    <cfRule type="cellIs" priority="2660" operator="greaterThan" dxfId="1">
      <formula>0</formula>
    </cfRule>
    <cfRule type="cellIs" priority="2661" operator="equal" dxfId="2">
      <formula>0</formula>
    </cfRule>
  </conditionalFormatting>
  <conditionalFormatting sqref="AC112">
    <cfRule type="cellIs" priority="2623" operator="lessThan" dxfId="0">
      <formula>0</formula>
    </cfRule>
    <cfRule type="cellIs" priority="2624" operator="greaterThan" dxfId="1">
      <formula>0</formula>
    </cfRule>
    <cfRule type="cellIs" priority="2625" operator="equal" dxfId="2">
      <formula>0</formula>
    </cfRule>
    <cfRule type="cellIs" priority="2665" operator="lessThan" dxfId="0">
      <formula>0</formula>
    </cfRule>
    <cfRule type="cellIs" priority="2666" operator="greaterThan" dxfId="1">
      <formula>0</formula>
    </cfRule>
    <cfRule type="cellIs" priority="2667" operator="equal" dxfId="2">
      <formula>0</formula>
    </cfRule>
  </conditionalFormatting>
  <conditionalFormatting sqref="AC113">
    <cfRule type="cellIs" priority="2629" operator="lessThan" dxfId="0">
      <formula>0</formula>
    </cfRule>
    <cfRule type="cellIs" priority="2630" operator="greaterThan" dxfId="1">
      <formula>0</formula>
    </cfRule>
    <cfRule type="cellIs" priority="2631" operator="equal" dxfId="2">
      <formula>0</formula>
    </cfRule>
    <cfRule type="cellIs" priority="2671" operator="lessThan" dxfId="0">
      <formula>0</formula>
    </cfRule>
    <cfRule type="cellIs" priority="2672" operator="greaterThan" dxfId="1">
      <formula>0</formula>
    </cfRule>
    <cfRule type="cellIs" priority="2673" operator="equal" dxfId="2">
      <formula>0</formula>
    </cfRule>
  </conditionalFormatting>
  <conditionalFormatting sqref="AC114">
    <cfRule type="cellIs" priority="2635" operator="lessThan" dxfId="0">
      <formula>0</formula>
    </cfRule>
    <cfRule type="cellIs" priority="2636" operator="greaterThan" dxfId="1">
      <formula>0</formula>
    </cfRule>
    <cfRule type="cellIs" priority="2637" operator="equal" dxfId="2">
      <formula>0</formula>
    </cfRule>
    <cfRule type="cellIs" priority="2677" operator="lessThan" dxfId="0">
      <formula>0</formula>
    </cfRule>
    <cfRule type="cellIs" priority="2678" operator="greaterThan" dxfId="1">
      <formula>0</formula>
    </cfRule>
    <cfRule type="cellIs" priority="2679" operator="equal" dxfId="2">
      <formula>0</formula>
    </cfRule>
  </conditionalFormatting>
  <conditionalFormatting sqref="AC115">
    <cfRule type="cellIs" priority="2641" operator="lessThan" dxfId="0">
      <formula>0</formula>
    </cfRule>
    <cfRule type="cellIs" priority="2642" operator="greaterThan" dxfId="1">
      <formula>0</formula>
    </cfRule>
    <cfRule type="cellIs" priority="2643" operator="equal" dxfId="2">
      <formula>0</formula>
    </cfRule>
    <cfRule type="cellIs" priority="2683" operator="lessThan" dxfId="0">
      <formula>0</formula>
    </cfRule>
    <cfRule type="cellIs" priority="2684" operator="greaterThan" dxfId="1">
      <formula>0</formula>
    </cfRule>
    <cfRule type="cellIs" priority="2685" operator="equal" dxfId="2">
      <formula>0</formula>
    </cfRule>
  </conditionalFormatting>
  <conditionalFormatting sqref="AD101">
    <cfRule type="cellIs" priority="2689" operator="lessThan" dxfId="0">
      <formula>0</formula>
    </cfRule>
    <cfRule type="cellIs" priority="2690" operator="greaterThan" dxfId="1">
      <formula>0</formula>
    </cfRule>
    <cfRule type="cellIs" priority="2691" operator="equal" dxfId="2">
      <formula>0</formula>
    </cfRule>
  </conditionalFormatting>
  <conditionalFormatting sqref="AD105">
    <cfRule type="cellIs" priority="2695" operator="lessThan" dxfId="0">
      <formula>0</formula>
    </cfRule>
    <cfRule type="cellIs" priority="2696" operator="greaterThan" dxfId="1">
      <formula>0</formula>
    </cfRule>
    <cfRule type="cellIs" priority="2697" operator="equal" dxfId="2">
      <formula>0</formula>
    </cfRule>
  </conditionalFormatting>
  <conditionalFormatting sqref="AD106">
    <cfRule type="cellIs" priority="2701" operator="lessThan" dxfId="0">
      <formula>0</formula>
    </cfRule>
    <cfRule type="cellIs" priority="2702" operator="greaterThan" dxfId="1">
      <formula>0</formula>
    </cfRule>
    <cfRule type="cellIs" priority="2703" operator="equal" dxfId="2">
      <formula>0</formula>
    </cfRule>
  </conditionalFormatting>
  <conditionalFormatting sqref="AD107">
    <cfRule type="cellIs" priority="2707" operator="lessThan" dxfId="0">
      <formula>0</formula>
    </cfRule>
    <cfRule type="cellIs" priority="2708" operator="greaterThan" dxfId="1">
      <formula>0</formula>
    </cfRule>
    <cfRule type="cellIs" priority="2709" operator="equal" dxfId="2">
      <formula>0</formula>
    </cfRule>
  </conditionalFormatting>
  <conditionalFormatting sqref="AD108">
    <cfRule type="cellIs" priority="2713" operator="lessThan" dxfId="0">
      <formula>0</formula>
    </cfRule>
    <cfRule type="cellIs" priority="2714" operator="greaterThan" dxfId="1">
      <formula>0</formula>
    </cfRule>
    <cfRule type="cellIs" priority="2715" operator="equal" dxfId="2">
      <formula>0</formula>
    </cfRule>
  </conditionalFormatting>
  <conditionalFormatting sqref="AD109">
    <cfRule type="cellIs" priority="2719" operator="lessThan" dxfId="0">
      <formula>0</formula>
    </cfRule>
    <cfRule type="cellIs" priority="2720" operator="greaterThan" dxfId="1">
      <formula>0</formula>
    </cfRule>
    <cfRule type="cellIs" priority="2721" operator="equal" dxfId="2">
      <formula>0</formula>
    </cfRule>
    <cfRule type="cellIs" priority="2761" operator="lessThan" dxfId="0">
      <formula>0</formula>
    </cfRule>
    <cfRule type="cellIs" priority="2762" operator="greaterThan" dxfId="1">
      <formula>0</formula>
    </cfRule>
    <cfRule type="cellIs" priority="2763" operator="equal" dxfId="2">
      <formula>0</formula>
    </cfRule>
  </conditionalFormatting>
  <conditionalFormatting sqref="AD110">
    <cfRule type="cellIs" priority="2725" operator="lessThan" dxfId="0">
      <formula>0</formula>
    </cfRule>
    <cfRule type="cellIs" priority="2726" operator="greaterThan" dxfId="1">
      <formula>0</formula>
    </cfRule>
    <cfRule type="cellIs" priority="2727" operator="equal" dxfId="2">
      <formula>0</formula>
    </cfRule>
    <cfRule type="cellIs" priority="2767" operator="lessThan" dxfId="0">
      <formula>0</formula>
    </cfRule>
    <cfRule type="cellIs" priority="2768" operator="greaterThan" dxfId="1">
      <formula>0</formula>
    </cfRule>
    <cfRule type="cellIs" priority="2769" operator="equal" dxfId="2">
      <formula>0</formula>
    </cfRule>
  </conditionalFormatting>
  <conditionalFormatting sqref="AD111">
    <cfRule type="cellIs" priority="2731" operator="lessThan" dxfId="0">
      <formula>0</formula>
    </cfRule>
    <cfRule type="cellIs" priority="2732" operator="greaterThan" dxfId="1">
      <formula>0</formula>
    </cfRule>
    <cfRule type="cellIs" priority="2733" operator="equal" dxfId="2">
      <formula>0</formula>
    </cfRule>
    <cfRule type="cellIs" priority="2773" operator="lessThan" dxfId="0">
      <formula>0</formula>
    </cfRule>
    <cfRule type="cellIs" priority="2774" operator="greaterThan" dxfId="1">
      <formula>0</formula>
    </cfRule>
    <cfRule type="cellIs" priority="2775" operator="equal" dxfId="2">
      <formula>0</formula>
    </cfRule>
  </conditionalFormatting>
  <conditionalFormatting sqref="AD112">
    <cfRule type="cellIs" priority="2737" operator="lessThan" dxfId="0">
      <formula>0</formula>
    </cfRule>
    <cfRule type="cellIs" priority="2738" operator="greaterThan" dxfId="1">
      <formula>0</formula>
    </cfRule>
    <cfRule type="cellIs" priority="2739" operator="equal" dxfId="2">
      <formula>0</formula>
    </cfRule>
    <cfRule type="cellIs" priority="2779" operator="lessThan" dxfId="0">
      <formula>0</formula>
    </cfRule>
    <cfRule type="cellIs" priority="2780" operator="greaterThan" dxfId="1">
      <formula>0</formula>
    </cfRule>
    <cfRule type="cellIs" priority="2781" operator="equal" dxfId="2">
      <formula>0</formula>
    </cfRule>
  </conditionalFormatting>
  <conditionalFormatting sqref="AD113">
    <cfRule type="cellIs" priority="2743" operator="lessThan" dxfId="0">
      <formula>0</formula>
    </cfRule>
    <cfRule type="cellIs" priority="2744" operator="greaterThan" dxfId="1">
      <formula>0</formula>
    </cfRule>
    <cfRule type="cellIs" priority="2745" operator="equal" dxfId="2">
      <formula>0</formula>
    </cfRule>
    <cfRule type="cellIs" priority="2785" operator="lessThan" dxfId="0">
      <formula>0</formula>
    </cfRule>
    <cfRule type="cellIs" priority="2786" operator="greaterThan" dxfId="1">
      <formula>0</formula>
    </cfRule>
    <cfRule type="cellIs" priority="2787" operator="equal" dxfId="2">
      <formula>0</formula>
    </cfRule>
  </conditionalFormatting>
  <conditionalFormatting sqref="AD114">
    <cfRule type="cellIs" priority="2749" operator="lessThan" dxfId="0">
      <formula>0</formula>
    </cfRule>
    <cfRule type="cellIs" priority="2750" operator="greaterThan" dxfId="1">
      <formula>0</formula>
    </cfRule>
    <cfRule type="cellIs" priority="2751" operator="equal" dxfId="2">
      <formula>0</formula>
    </cfRule>
    <cfRule type="cellIs" priority="2791" operator="lessThan" dxfId="0">
      <formula>0</formula>
    </cfRule>
    <cfRule type="cellIs" priority="2792" operator="greaterThan" dxfId="1">
      <formula>0</formula>
    </cfRule>
    <cfRule type="cellIs" priority="2793" operator="equal" dxfId="2">
      <formula>0</formula>
    </cfRule>
  </conditionalFormatting>
  <conditionalFormatting sqref="AD115">
    <cfRule type="cellIs" priority="2755" operator="lessThan" dxfId="0">
      <formula>0</formula>
    </cfRule>
    <cfRule type="cellIs" priority="2756" operator="greaterThan" dxfId="1">
      <formula>0</formula>
    </cfRule>
    <cfRule type="cellIs" priority="2757" operator="equal" dxfId="2">
      <formula>0</formula>
    </cfRule>
    <cfRule type="cellIs" priority="2797" operator="lessThan" dxfId="0">
      <formula>0</formula>
    </cfRule>
    <cfRule type="cellIs" priority="2798" operator="greaterThan" dxfId="1">
      <formula>0</formula>
    </cfRule>
    <cfRule type="cellIs" priority="2799" operator="equal" dxfId="2">
      <formula>0</formula>
    </cfRule>
  </conditionalFormatting>
  <conditionalFormatting sqref="AE33">
    <cfRule type="cellIs" priority="2803" operator="lessThan" dxfId="0">
      <formula>0</formula>
    </cfRule>
    <cfRule type="cellIs" priority="2804" operator="greaterThan" dxfId="1">
      <formula>0</formula>
    </cfRule>
    <cfRule type="cellIs" priority="2805" operator="equal" dxfId="2">
      <formula>0</formula>
    </cfRule>
  </conditionalFormatting>
  <conditionalFormatting sqref="AE70">
    <cfRule type="cellIs" priority="2806" operator="lessThan" dxfId="0">
      <formula>0</formula>
    </cfRule>
    <cfRule type="cellIs" priority="2807" operator="greaterThan" dxfId="1">
      <formula>0</formula>
    </cfRule>
    <cfRule type="cellIs" priority="2808" operator="equal" dxfId="2">
      <formula>0</formula>
    </cfRule>
  </conditionalFormatting>
  <conditionalFormatting sqref="AE72">
    <cfRule type="cellIs" priority="2809" operator="lessThan" dxfId="0">
      <formula>0</formula>
    </cfRule>
    <cfRule type="cellIs" priority="2810" operator="greaterThan" dxfId="1">
      <formula>0</formula>
    </cfRule>
    <cfRule type="cellIs" priority="2811" operator="equal" dxfId="2">
      <formula>0</formula>
    </cfRule>
  </conditionalFormatting>
  <conditionalFormatting sqref="AE74">
    <cfRule type="cellIs" priority="2812" operator="lessThan" dxfId="0">
      <formula>0</formula>
    </cfRule>
    <cfRule type="cellIs" priority="2813" operator="greaterThan" dxfId="1">
      <formula>0</formula>
    </cfRule>
    <cfRule type="cellIs" priority="2814" operator="equal" dxfId="2">
      <formula>0</formula>
    </cfRule>
  </conditionalFormatting>
  <conditionalFormatting sqref="AE98">
    <cfRule type="cellIs" priority="2815" operator="lessThan" dxfId="0">
      <formula>0</formula>
    </cfRule>
    <cfRule type="cellIs" priority="2816" operator="greaterThan" dxfId="1">
      <formula>0</formula>
    </cfRule>
    <cfRule type="cellIs" priority="2817" operator="equal" dxfId="2">
      <formula>0</formula>
    </cfRule>
  </conditionalFormatting>
  <conditionalFormatting sqref="AE101">
    <cfRule type="cellIs" priority="2818" operator="lessThan" dxfId="0">
      <formula>0</formula>
    </cfRule>
    <cfRule type="cellIs" priority="2819" operator="greaterThan" dxfId="1">
      <formula>0</formula>
    </cfRule>
    <cfRule type="cellIs" priority="2820" operator="equal" dxfId="2">
      <formula>0</formula>
    </cfRule>
  </conditionalFormatting>
  <conditionalFormatting sqref="AE105">
    <cfRule type="cellIs" priority="2824" operator="lessThan" dxfId="0">
      <formula>0</formula>
    </cfRule>
    <cfRule type="cellIs" priority="2825" operator="greaterThan" dxfId="1">
      <formula>0</formula>
    </cfRule>
    <cfRule type="cellIs" priority="2826" operator="equal" dxfId="2">
      <formula>0</formula>
    </cfRule>
  </conditionalFormatting>
  <conditionalFormatting sqref="AE106">
    <cfRule type="cellIs" priority="2830" operator="lessThan" dxfId="0">
      <formula>0</formula>
    </cfRule>
    <cfRule type="cellIs" priority="2831" operator="greaterThan" dxfId="1">
      <formula>0</formula>
    </cfRule>
    <cfRule type="cellIs" priority="2832" operator="equal" dxfId="2">
      <formula>0</formula>
    </cfRule>
  </conditionalFormatting>
  <conditionalFormatting sqref="AE107">
    <cfRule type="cellIs" priority="2836" operator="lessThan" dxfId="0">
      <formula>0</formula>
    </cfRule>
    <cfRule type="cellIs" priority="2837" operator="greaterThan" dxfId="1">
      <formula>0</formula>
    </cfRule>
    <cfRule type="cellIs" priority="2838" operator="equal" dxfId="2">
      <formula>0</formula>
    </cfRule>
  </conditionalFormatting>
  <conditionalFormatting sqref="AE108">
    <cfRule type="cellIs" priority="2842" operator="lessThan" dxfId="0">
      <formula>0</formula>
    </cfRule>
    <cfRule type="cellIs" priority="2843" operator="greaterThan" dxfId="1">
      <formula>0</formula>
    </cfRule>
    <cfRule type="cellIs" priority="2844" operator="equal" dxfId="2">
      <formula>0</formula>
    </cfRule>
  </conditionalFormatting>
  <conditionalFormatting sqref="AE109">
    <cfRule type="cellIs" priority="2848" operator="lessThan" dxfId="0">
      <formula>0</formula>
    </cfRule>
    <cfRule type="cellIs" priority="2849" operator="greaterThan" dxfId="1">
      <formula>0</formula>
    </cfRule>
    <cfRule type="cellIs" priority="2850" operator="equal" dxfId="2">
      <formula>0</formula>
    </cfRule>
    <cfRule type="cellIs" priority="2890" operator="lessThan" dxfId="0">
      <formula>0</formula>
    </cfRule>
    <cfRule type="cellIs" priority="2891" operator="greaterThan" dxfId="1">
      <formula>0</formula>
    </cfRule>
    <cfRule type="cellIs" priority="2892" operator="equal" dxfId="2">
      <formula>0</formula>
    </cfRule>
  </conditionalFormatting>
  <conditionalFormatting sqref="AE110">
    <cfRule type="cellIs" priority="2854" operator="lessThan" dxfId="0">
      <formula>0</formula>
    </cfRule>
    <cfRule type="cellIs" priority="2855" operator="greaterThan" dxfId="1">
      <formula>0</formula>
    </cfRule>
    <cfRule type="cellIs" priority="2856" operator="equal" dxfId="2">
      <formula>0</formula>
    </cfRule>
    <cfRule type="cellIs" priority="2896" operator="lessThan" dxfId="0">
      <formula>0</formula>
    </cfRule>
    <cfRule type="cellIs" priority="2897" operator="greaterThan" dxfId="1">
      <formula>0</formula>
    </cfRule>
    <cfRule type="cellIs" priority="2898" operator="equal" dxfId="2">
      <formula>0</formula>
    </cfRule>
  </conditionalFormatting>
  <conditionalFormatting sqref="AE111">
    <cfRule type="cellIs" priority="2860" operator="lessThan" dxfId="0">
      <formula>0</formula>
    </cfRule>
    <cfRule type="cellIs" priority="2861" operator="greaterThan" dxfId="1">
      <formula>0</formula>
    </cfRule>
    <cfRule type="cellIs" priority="2862" operator="equal" dxfId="2">
      <formula>0</formula>
    </cfRule>
    <cfRule type="cellIs" priority="2902" operator="lessThan" dxfId="0">
      <formula>0</formula>
    </cfRule>
    <cfRule type="cellIs" priority="2903" operator="greaterThan" dxfId="1">
      <formula>0</formula>
    </cfRule>
    <cfRule type="cellIs" priority="2904" operator="equal" dxfId="2">
      <formula>0</formula>
    </cfRule>
  </conditionalFormatting>
  <conditionalFormatting sqref="AE112">
    <cfRule type="cellIs" priority="2866" operator="lessThan" dxfId="0">
      <formula>0</formula>
    </cfRule>
    <cfRule type="cellIs" priority="2867" operator="greaterThan" dxfId="1">
      <formula>0</formula>
    </cfRule>
    <cfRule type="cellIs" priority="2868" operator="equal" dxfId="2">
      <formula>0</formula>
    </cfRule>
    <cfRule type="cellIs" priority="2908" operator="lessThan" dxfId="0">
      <formula>0</formula>
    </cfRule>
    <cfRule type="cellIs" priority="2909" operator="greaterThan" dxfId="1">
      <formula>0</formula>
    </cfRule>
    <cfRule type="cellIs" priority="2910" operator="equal" dxfId="2">
      <formula>0</formula>
    </cfRule>
  </conditionalFormatting>
  <conditionalFormatting sqref="AE113">
    <cfRule type="cellIs" priority="2872" operator="lessThan" dxfId="0">
      <formula>0</formula>
    </cfRule>
    <cfRule type="cellIs" priority="2873" operator="greaterThan" dxfId="1">
      <formula>0</formula>
    </cfRule>
    <cfRule type="cellIs" priority="2874" operator="equal" dxfId="2">
      <formula>0</formula>
    </cfRule>
    <cfRule type="cellIs" priority="2914" operator="lessThan" dxfId="0">
      <formula>0</formula>
    </cfRule>
    <cfRule type="cellIs" priority="2915" operator="greaterThan" dxfId="1">
      <formula>0</formula>
    </cfRule>
    <cfRule type="cellIs" priority="2916" operator="equal" dxfId="2">
      <formula>0</formula>
    </cfRule>
  </conditionalFormatting>
  <conditionalFormatting sqref="AE114">
    <cfRule type="cellIs" priority="2878" operator="lessThan" dxfId="0">
      <formula>0</formula>
    </cfRule>
    <cfRule type="cellIs" priority="2879" operator="greaterThan" dxfId="1">
      <formula>0</formula>
    </cfRule>
    <cfRule type="cellIs" priority="2880" operator="equal" dxfId="2">
      <formula>0</formula>
    </cfRule>
    <cfRule type="cellIs" priority="2920" operator="lessThan" dxfId="0">
      <formula>0</formula>
    </cfRule>
    <cfRule type="cellIs" priority="2921" operator="greaterThan" dxfId="1">
      <formula>0</formula>
    </cfRule>
    <cfRule type="cellIs" priority="2922" operator="equal" dxfId="2">
      <formula>0</formula>
    </cfRule>
  </conditionalFormatting>
  <conditionalFormatting sqref="AE115">
    <cfRule type="cellIs" priority="2884" operator="lessThan" dxfId="0">
      <formula>0</formula>
    </cfRule>
    <cfRule type="cellIs" priority="2885" operator="greaterThan" dxfId="1">
      <formula>0</formula>
    </cfRule>
    <cfRule type="cellIs" priority="2886" operator="equal" dxfId="2">
      <formula>0</formula>
    </cfRule>
    <cfRule type="cellIs" priority="2926" operator="lessThan" dxfId="0">
      <formula>0</formula>
    </cfRule>
    <cfRule type="cellIs" priority="2927" operator="greaterThan" dxfId="1">
      <formula>0</formula>
    </cfRule>
    <cfRule type="cellIs" priority="2928" operator="equal" dxfId="2">
      <formula>0</formula>
    </cfRule>
  </conditionalFormatting>
  <conditionalFormatting sqref="I35">
    <cfRule type="cellIs" priority="2932" operator="lessThan" dxfId="0">
      <formula>0</formula>
    </cfRule>
    <cfRule type="cellIs" priority="2933" operator="greaterThan" dxfId="1">
      <formula>0</formula>
    </cfRule>
    <cfRule type="cellIs" priority="2934" operator="equal" dxfId="2">
      <formula>0</formula>
    </cfRule>
  </conditionalFormatting>
  <conditionalFormatting sqref="I46">
    <cfRule type="cellIs" priority="2935" operator="lessThan" dxfId="0">
      <formula>0</formula>
    </cfRule>
    <cfRule type="cellIs" priority="2936" operator="greaterThan" dxfId="1">
      <formula>0</formula>
    </cfRule>
    <cfRule type="cellIs" priority="2937" operator="equal" dxfId="2">
      <formula>0</formula>
    </cfRule>
  </conditionalFormatting>
  <conditionalFormatting sqref="K35">
    <cfRule type="cellIs" priority="2938" operator="lessThan" dxfId="0">
      <formula>0</formula>
    </cfRule>
    <cfRule type="cellIs" priority="2939" operator="greaterThan" dxfId="1">
      <formula>0</formula>
    </cfRule>
    <cfRule type="cellIs" priority="2940" operator="equal" dxfId="2">
      <formula>0</formula>
    </cfRule>
  </conditionalFormatting>
  <conditionalFormatting sqref="K46">
    <cfRule type="cellIs" priority="2941" operator="lessThan" dxfId="0">
      <formula>0</formula>
    </cfRule>
    <cfRule type="cellIs" priority="2942" operator="greaterThan" dxfId="1">
      <formula>0</formula>
    </cfRule>
    <cfRule type="cellIs" priority="2943" operator="equal" dxfId="2">
      <formula>0</formula>
    </cfRule>
  </conditionalFormatting>
  <conditionalFormatting sqref="M35">
    <cfRule type="cellIs" priority="2944" operator="lessThan" dxfId="0">
      <formula>0</formula>
    </cfRule>
    <cfRule type="cellIs" priority="2945" operator="greaterThan" dxfId="1">
      <formula>0</formula>
    </cfRule>
    <cfRule type="cellIs" priority="2946" operator="equal" dxfId="2">
      <formula>0</formula>
    </cfRule>
  </conditionalFormatting>
  <conditionalFormatting sqref="M46">
    <cfRule type="cellIs" priority="2947" operator="lessThan" dxfId="0">
      <formula>0</formula>
    </cfRule>
    <cfRule type="cellIs" priority="2948" operator="greaterThan" dxfId="1">
      <formula>0</formula>
    </cfRule>
    <cfRule type="cellIs" priority="2949" operator="equal" dxfId="2">
      <formula>0</formula>
    </cfRule>
  </conditionalFormatting>
  <conditionalFormatting sqref="O35">
    <cfRule type="cellIs" priority="2950" operator="lessThan" dxfId="0">
      <formula>0</formula>
    </cfRule>
    <cfRule type="cellIs" priority="2951" operator="greaterThan" dxfId="1">
      <formula>0</formula>
    </cfRule>
    <cfRule type="cellIs" priority="2952" operator="equal" dxfId="2">
      <formula>0</formula>
    </cfRule>
  </conditionalFormatting>
  <conditionalFormatting sqref="O46">
    <cfRule type="cellIs" priority="2953" operator="lessThan" dxfId="0">
      <formula>0</formula>
    </cfRule>
    <cfRule type="cellIs" priority="2954" operator="greaterThan" dxfId="1">
      <formula>0</formula>
    </cfRule>
    <cfRule type="cellIs" priority="2955" operator="equal" dxfId="2">
      <formula>0</formula>
    </cfRule>
  </conditionalFormatting>
  <conditionalFormatting sqref="Q35">
    <cfRule type="cellIs" priority="2956" operator="lessThan" dxfId="0">
      <formula>0</formula>
    </cfRule>
    <cfRule type="cellIs" priority="2957" operator="greaterThan" dxfId="1">
      <formula>0</formula>
    </cfRule>
    <cfRule type="cellIs" priority="2958" operator="equal" dxfId="2">
      <formula>0</formula>
    </cfRule>
  </conditionalFormatting>
  <conditionalFormatting sqref="Q46">
    <cfRule type="cellIs" priority="2959" operator="lessThan" dxfId="0">
      <formula>0</formula>
    </cfRule>
    <cfRule type="cellIs" priority="2960" operator="greaterThan" dxfId="1">
      <formula>0</formula>
    </cfRule>
    <cfRule type="cellIs" priority="2961" operator="equal" dxfId="2">
      <formula>0</formula>
    </cfRule>
  </conditionalFormatting>
  <conditionalFormatting sqref="S35">
    <cfRule type="cellIs" priority="2962" operator="lessThan" dxfId="0">
      <formula>0</formula>
    </cfRule>
    <cfRule type="cellIs" priority="2963" operator="greaterThan" dxfId="1">
      <formula>0</formula>
    </cfRule>
    <cfRule type="cellIs" priority="2964" operator="equal" dxfId="2">
      <formula>0</formula>
    </cfRule>
  </conditionalFormatting>
  <conditionalFormatting sqref="S46">
    <cfRule type="cellIs" priority="2965" operator="lessThan" dxfId="0">
      <formula>0</formula>
    </cfRule>
    <cfRule type="cellIs" priority="2966" operator="greaterThan" dxfId="1">
      <formula>0</formula>
    </cfRule>
    <cfRule type="cellIs" priority="2967" operator="equal" dxfId="2">
      <formula>0</formula>
    </cfRule>
  </conditionalFormatting>
  <conditionalFormatting sqref="U35">
    <cfRule type="cellIs" priority="2968" operator="lessThan" dxfId="0">
      <formula>0</formula>
    </cfRule>
    <cfRule type="cellIs" priority="2969" operator="greaterThan" dxfId="1">
      <formula>0</formula>
    </cfRule>
    <cfRule type="cellIs" priority="2970" operator="equal" dxfId="2">
      <formula>0</formula>
    </cfRule>
  </conditionalFormatting>
  <conditionalFormatting sqref="U46">
    <cfRule type="cellIs" priority="2971" operator="lessThan" dxfId="0">
      <formula>0</formula>
    </cfRule>
    <cfRule type="cellIs" priority="2972" operator="greaterThan" dxfId="1">
      <formula>0</formula>
    </cfRule>
    <cfRule type="cellIs" priority="2973" operator="equal" dxfId="2">
      <formula>0</formula>
    </cfRule>
  </conditionalFormatting>
  <conditionalFormatting sqref="W35">
    <cfRule type="cellIs" priority="2974" operator="lessThan" dxfId="0">
      <formula>0</formula>
    </cfRule>
    <cfRule type="cellIs" priority="2975" operator="greaterThan" dxfId="1">
      <formula>0</formula>
    </cfRule>
    <cfRule type="cellIs" priority="2976" operator="equal" dxfId="2">
      <formula>0</formula>
    </cfRule>
  </conditionalFormatting>
  <conditionalFormatting sqref="W46">
    <cfRule type="cellIs" priority="2977" operator="lessThan" dxfId="0">
      <formula>0</formula>
    </cfRule>
    <cfRule type="cellIs" priority="2978" operator="greaterThan" dxfId="1">
      <formula>0</formula>
    </cfRule>
    <cfRule type="cellIs" priority="2979" operator="equal" dxfId="2">
      <formula>0</formula>
    </cfRule>
  </conditionalFormatting>
  <conditionalFormatting sqref="Y35">
    <cfRule type="cellIs" priority="2980" operator="lessThan" dxfId="0">
      <formula>0</formula>
    </cfRule>
    <cfRule type="cellIs" priority="2981" operator="greaterThan" dxfId="1">
      <formula>0</formula>
    </cfRule>
    <cfRule type="cellIs" priority="2982" operator="equal" dxfId="2">
      <formula>0</formula>
    </cfRule>
  </conditionalFormatting>
  <conditionalFormatting sqref="Y46">
    <cfRule type="cellIs" priority="2983" operator="lessThan" dxfId="0">
      <formula>0</formula>
    </cfRule>
    <cfRule type="cellIs" priority="2984" operator="greaterThan" dxfId="1">
      <formula>0</formula>
    </cfRule>
    <cfRule type="cellIs" priority="2985" operator="equal" dxfId="2">
      <formula>0</formula>
    </cfRule>
  </conditionalFormatting>
  <conditionalFormatting sqref="AA35">
    <cfRule type="cellIs" priority="2986" operator="lessThan" dxfId="0">
      <formula>0</formula>
    </cfRule>
    <cfRule type="cellIs" priority="2987" operator="greaterThan" dxfId="1">
      <formula>0</formula>
    </cfRule>
    <cfRule type="cellIs" priority="2988" operator="equal" dxfId="2">
      <formula>0</formula>
    </cfRule>
  </conditionalFormatting>
  <conditionalFormatting sqref="AA46">
    <cfRule type="cellIs" priority="2989" operator="lessThan" dxfId="0">
      <formula>0</formula>
    </cfRule>
    <cfRule type="cellIs" priority="2990" operator="greaterThan" dxfId="1">
      <formula>0</formula>
    </cfRule>
    <cfRule type="cellIs" priority="2991" operator="equal" dxfId="2">
      <formula>0</formula>
    </cfRule>
  </conditionalFormatting>
  <conditionalFormatting sqref="AC35">
    <cfRule type="cellIs" priority="2992" operator="lessThan" dxfId="0">
      <formula>0</formula>
    </cfRule>
    <cfRule type="cellIs" priority="2993" operator="greaterThan" dxfId="1">
      <formula>0</formula>
    </cfRule>
    <cfRule type="cellIs" priority="2994" operator="equal" dxfId="2">
      <formula>0</formula>
    </cfRule>
  </conditionalFormatting>
  <conditionalFormatting sqref="AC46">
    <cfRule type="cellIs" priority="2995" operator="lessThan" dxfId="0">
      <formula>0</formula>
    </cfRule>
    <cfRule type="cellIs" priority="2996" operator="greaterThan" dxfId="1">
      <formula>0</formula>
    </cfRule>
    <cfRule type="cellIs" priority="2997" operator="equal" dxfId="2">
      <formula>0</formula>
    </cfRule>
  </conditionalFormatting>
  <conditionalFormatting sqref="AE35">
    <cfRule type="cellIs" priority="2998" operator="lessThan" dxfId="0">
      <formula>0</formula>
    </cfRule>
    <cfRule type="cellIs" priority="2999" operator="greaterThan" dxfId="1">
      <formula>0</formula>
    </cfRule>
    <cfRule type="cellIs" priority="3000" operator="equal" dxfId="2">
      <formula>0</formula>
    </cfRule>
  </conditionalFormatting>
  <conditionalFormatting sqref="AE46">
    <cfRule type="cellIs" priority="3001" operator="lessThan" dxfId="0">
      <formula>0</formula>
    </cfRule>
    <cfRule type="cellIs" priority="3002" operator="greaterThan" dxfId="1">
      <formula>0</formula>
    </cfRule>
    <cfRule type="cellIs" priority="3003" operator="equal" dxfId="2">
      <formula>0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FF204E"/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cols>
    <col width="77.5" customWidth="1" min="1" max="1"/>
    <col width="26" customWidth="1" min="2" max="2"/>
    <col hidden="1" width="25" customWidth="1" min="3" max="3"/>
  </cols>
  <sheetData>
    <row r="1">
      <c r="B1" s="99" t="inlineStr">
        <is>
          <t>C.3.f</t>
        </is>
      </c>
    </row>
    <row r="2">
      <c r="A2" s="100" t="inlineStr">
        <is>
          <t>CASHFLOW DASHBOARD</t>
        </is>
      </c>
      <c r="B2" s="101" t="n"/>
      <c r="C2" s="102" t="n"/>
    </row>
    <row r="3">
      <c r="A3" s="103" t="inlineStr"/>
      <c r="B3" s="104" t="inlineStr">
        <is>
          <t>Projected</t>
        </is>
      </c>
      <c r="C3" s="105" t="inlineStr">
        <is>
          <t>Actual</t>
        </is>
      </c>
    </row>
    <row r="4">
      <c r="A4" s="18" t="n"/>
      <c r="B4" s="19" t="n"/>
    </row>
    <row r="5" hidden="1">
      <c r="A5" s="106" t="inlineStr">
        <is>
          <t>Actual Transfer Income to hit FNB - Endulini Sold</t>
        </is>
      </c>
      <c r="B5" s="107">
        <f>SUMIFS(Sales!$S:$S,Sales!$A:$A,"="&amp;"Endulini",Sales!$D:$D,TRUE,Sales!$E:$E,FALSE)</f>
        <v/>
      </c>
      <c r="C5" s="108">
        <f>SUMIFS(Sales!$S:$S,Sales!$A:$A,"="&amp;"Endulini",Sales!$D:$D,TRUE,Sales!$E:$E,FALSE)</f>
        <v/>
      </c>
    </row>
    <row r="6">
      <c r="A6" s="106" t="inlineStr">
        <is>
          <t>Actual Transfer Income to hit FNB - Heron Sold</t>
        </is>
      </c>
      <c r="B6" s="107">
        <f>SUMIFS(Sales!$S:$S,Sales!$A:$A,"&lt;&gt;"&amp;"Endulini",Sales!$D:$D,TRUE,Sales!$E:$E,FALSE)</f>
        <v/>
      </c>
      <c r="C6" s="108">
        <f>SUMIFS(Sales!$S:$S,Sales!$A:$A,"&lt;&gt;"&amp;"Endulini",Sales!$D:$D,TRUE,Sales!$E:$E,FALSE)</f>
        <v/>
      </c>
    </row>
    <row r="7">
      <c r="A7" s="106" t="inlineStr">
        <is>
          <t>Projected Transfer Income  - Endulini  Not yet Sold (Profit)</t>
        </is>
      </c>
      <c r="B7" s="107">
        <f>SUMIFS(Sales!$S:$S,Sales!$A:$A,"="&amp;"Endulini",Sales!$D:$D,FALSE,Sales!$E:$E,FALSE)</f>
        <v/>
      </c>
      <c r="C7" s="108" t="n"/>
    </row>
    <row r="8">
      <c r="A8" s="106" t="inlineStr">
        <is>
          <t>Projected Transfer Income  - Heron Not yet Sold (Profit)</t>
        </is>
      </c>
      <c r="B8" s="107">
        <f>SUMIFS(Sales!$S:$S,Sales!$A:$A,"&lt;&gt;"&amp;"Endulini",Sales!$D:$D,FALSE,Sales!$E:$E,FALSE,Sales!$F:$F,1)</f>
        <v/>
      </c>
      <c r="C8" s="108" t="n"/>
    </row>
    <row r="9" hidden="1">
      <c r="A9" s="106" t="inlineStr">
        <is>
          <t>Projected Not Allocated asd yet</t>
        </is>
      </c>
      <c r="B9" s="107">
        <f>'Cashflow Projection'!D33-Dashboard!B5-Dashboard!B6-Dashboard!B7-Dashboard!B8</f>
        <v/>
      </c>
      <c r="C9" s="108" t="n"/>
    </row>
    <row r="10">
      <c r="A10" s="106" t="n"/>
      <c r="B10" s="107" t="n"/>
      <c r="C10" s="108" t="n"/>
    </row>
    <row r="11">
      <c r="A11" s="109" t="inlineStr">
        <is>
          <t>Total Income</t>
        </is>
      </c>
      <c r="B11" s="110">
        <f>sum(B5:B9)</f>
        <v/>
      </c>
      <c r="C11" s="111">
        <f>sum(C5:C9)</f>
        <v/>
      </c>
    </row>
    <row r="12">
      <c r="A12" s="106" t="n"/>
      <c r="B12" s="107" t="n"/>
      <c r="C12" s="108" t="n"/>
    </row>
    <row r="13">
      <c r="A13" s="106" t="inlineStr">
        <is>
          <t>Momentum funds available to draw</t>
        </is>
      </c>
      <c r="B13" s="107">
        <f>SUMIFS(Xero!$G:$G,Xero!$E:$E,"Momentum Investors Account RU502229930",Xero!$B:$B,'Cashflow Projection'!$B$2)</f>
        <v/>
      </c>
      <c r="C13" s="108">
        <f>SUMIFS(Xero!$G:$G,Xero!$E:$E,"Momentum Investors Account RU502229930",Xero!$B:$B,'Cashflow Projection'!$B$2)</f>
        <v/>
      </c>
    </row>
    <row r="14">
      <c r="A14" s="106" t="inlineStr">
        <is>
          <t>FNB Bank</t>
        </is>
      </c>
      <c r="B14" s="107">
        <f>SUMIFS(Xero!$G:$G, Xero!$B:$B, 'Cashflow Projection'!$B$2, Xero!$D:$D, "84*")-B13</f>
        <v/>
      </c>
      <c r="C14" s="108">
        <f>SUMIFS(Xero!$G:$G, Xero!$B:$B, 'Cashflow Projection'!$B$2, Xero!$D:$D, "84*")-B13</f>
        <v/>
      </c>
    </row>
    <row r="15">
      <c r="A15" s="106" t="inlineStr">
        <is>
          <t>New Investors</t>
        </is>
      </c>
      <c r="B15" s="107" t="n">
        <v>5598623.87</v>
      </c>
      <c r="C15" s="108" t="n">
        <v>5598623.87</v>
      </c>
    </row>
    <row r="16">
      <c r="A16" s="106" t="inlineStr">
        <is>
          <t>Deposit made</t>
        </is>
      </c>
      <c r="B16" s="107" t="n">
        <v>0</v>
      </c>
      <c r="C16" s="108" t="n">
        <v>0</v>
      </c>
    </row>
    <row r="17" hidden="1">
      <c r="A17" s="106" t="inlineStr">
        <is>
          <t>Momentum interest to be earned</t>
        </is>
      </c>
      <c r="B17" s="107" t="n">
        <v>0</v>
      </c>
      <c r="C17" s="108" t="n">
        <v>0</v>
      </c>
    </row>
    <row r="18" hidden="1">
      <c r="A18" s="106" t="inlineStr">
        <is>
          <t>Investor funds to hit Momentum Account to draw</t>
        </is>
      </c>
      <c r="B18" s="107" t="n">
        <v>0</v>
      </c>
      <c r="C18" s="108" t="n">
        <v>0</v>
      </c>
    </row>
    <row r="19">
      <c r="A19" s="106" t="n"/>
      <c r="B19" s="107" t="n"/>
      <c r="C19" s="108" t="n"/>
    </row>
    <row r="20">
      <c r="A20" s="109" t="inlineStr">
        <is>
          <t>Total Cash</t>
        </is>
      </c>
      <c r="B20" s="110">
        <f>sum(B13:B18)</f>
        <v/>
      </c>
      <c r="C20" s="111">
        <f>sum(B13:B18)</f>
        <v/>
      </c>
    </row>
    <row r="21">
      <c r="A21" s="106" t="n"/>
      <c r="B21" s="107" t="n"/>
      <c r="C21" s="108" t="n"/>
    </row>
    <row r="22">
      <c r="A22" s="109" t="inlineStr">
        <is>
          <t>Total funds available to draw</t>
        </is>
      </c>
      <c r="B22" s="110">
        <f>B20+B11</f>
        <v/>
      </c>
      <c r="C22" s="111">
        <f>C20+C11</f>
        <v/>
      </c>
    </row>
    <row r="23">
      <c r="A23" s="106" t="n"/>
      <c r="B23" s="107" t="n"/>
      <c r="C23" s="108" t="n"/>
    </row>
    <row r="24">
      <c r="A24" s="106" t="inlineStr">
        <is>
          <t>Cost to complete Heron Projects (CPC)</t>
        </is>
      </c>
      <c r="B24" s="107">
        <f>'Cashflow Projection'!D49</f>
        <v/>
      </c>
      <c r="C24" s="108">
        <f>'Cashflow Projection'!D49</f>
        <v/>
      </c>
    </row>
    <row r="25">
      <c r="A25" s="106" t="inlineStr">
        <is>
          <t>Company Running Costs</t>
        </is>
      </c>
      <c r="B25" s="107">
        <f>'Cashflow Projection'!D68</f>
        <v/>
      </c>
      <c r="C25" s="108">
        <f>'Cashflow Projection'!D68</f>
        <v/>
      </c>
    </row>
    <row r="26">
      <c r="A26" s="106" t="inlineStr">
        <is>
          <t>VAT Payable</t>
        </is>
      </c>
      <c r="B26" s="107">
        <f>'Cashflow Projection'!D26+'Cashflow Projection'!D55</f>
        <v/>
      </c>
      <c r="C26" s="108">
        <f>'Cashflow Projection'!D26+'Cashflow Projection'!D55</f>
        <v/>
      </c>
    </row>
    <row r="27">
      <c r="A27" s="106" t="n"/>
      <c r="B27" s="107" t="n"/>
      <c r="C27" s="108" t="n"/>
    </row>
    <row r="28">
      <c r="A28" s="109" t="inlineStr">
        <is>
          <t>Project Costs</t>
        </is>
      </c>
      <c r="B28" s="110">
        <f>B24+B25+B26</f>
        <v/>
      </c>
      <c r="C28" s="111">
        <f>C24+C25+C26</f>
        <v/>
      </c>
    </row>
    <row r="29">
      <c r="A29" s="106" t="n"/>
      <c r="B29" s="107" t="n"/>
      <c r="C29" s="108" t="n"/>
    </row>
    <row r="30">
      <c r="A30" s="109" t="inlineStr">
        <is>
          <t>NETT EFFECT</t>
        </is>
      </c>
      <c r="B30" s="110">
        <f>B22+B28</f>
        <v/>
      </c>
      <c r="C30" s="111">
        <f>C22+C28</f>
        <v/>
      </c>
    </row>
    <row r="31">
      <c r="A31" s="18" t="n"/>
      <c r="B31" s="19" t="n"/>
    </row>
    <row r="32">
      <c r="A32" s="18" t="n"/>
      <c r="B32" s="19" t="n"/>
    </row>
    <row r="33">
      <c r="A33" s="96" t="n"/>
      <c r="B33" s="98" t="n"/>
    </row>
  </sheetData>
  <mergeCells count="1">
    <mergeCell ref="A2:B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070C0"/>
    <outlinePr summaryBelow="1" summaryRight="1"/>
    <pageSetUpPr/>
  </sheetPr>
  <dimension ref="A1:BL120"/>
  <sheetViews>
    <sheetView workbookViewId="0">
      <pane xSplit="1" ySplit="9" topLeftCell="B10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35" customWidth="1" min="1" max="1"/>
    <col width="18" customWidth="1" min="4" max="4"/>
    <col width="18" customWidth="1" min="5" max="5"/>
    <col width="18" customWidth="1" min="6" max="6"/>
    <col width="18" customWidth="1" min="7" max="7"/>
    <col width="18" customWidth="1" min="8" max="8"/>
    <col width="18" customWidth="1" min="9" max="9"/>
    <col width="18" customWidth="1" min="10" max="10"/>
    <col width="18" customWidth="1" min="11" max="11"/>
    <col width="18" customWidth="1" min="12" max="12"/>
    <col width="18" customWidth="1" min="13" max="13"/>
    <col width="18" customWidth="1" min="14" max="14"/>
    <col width="18" customWidth="1" min="15" max="15"/>
    <col width="18" customWidth="1" min="16" max="16"/>
    <col width="18" customWidth="1" min="17" max="17"/>
    <col width="18" customWidth="1" min="18" max="18"/>
    <col width="18" customWidth="1" min="19" max="19"/>
    <col width="18" customWidth="1" min="20" max="20"/>
    <col width="18" customWidth="1" min="21" max="21"/>
    <col width="18" customWidth="1" min="22" max="22"/>
    <col width="18" customWidth="1" min="23" max="23"/>
    <col width="18" customWidth="1" min="24" max="24"/>
    <col width="18" customWidth="1" min="25" max="25"/>
    <col width="18" customWidth="1" min="26" max="26"/>
    <col width="18" customWidth="1" min="27" max="27"/>
    <col width="18" customWidth="1" min="28" max="28"/>
    <col width="18" customWidth="1" min="29" max="29"/>
    <col width="18" customWidth="1" min="30" max="30"/>
    <col width="18" customWidth="1" min="31" max="31"/>
    <col width="18" customWidth="1" min="32" max="32"/>
    <col width="18" customWidth="1" min="33" max="33"/>
    <col width="18" customWidth="1" min="34" max="34"/>
    <col width="18" customWidth="1" min="35" max="35"/>
    <col width="18" customWidth="1" min="36" max="36"/>
    <col width="18" customWidth="1" min="37" max="37"/>
    <col width="18" customWidth="1" min="38" max="38"/>
    <col width="18" customWidth="1" min="39" max="39"/>
    <col width="18" customWidth="1" min="40" max="40"/>
    <col width="18" customWidth="1" min="41" max="41"/>
    <col width="18" customWidth="1" min="42" max="42"/>
    <col width="18" customWidth="1" min="43" max="43"/>
    <col width="18" customWidth="1" min="44" max="44"/>
    <col width="18" customWidth="1" min="45" max="45"/>
    <col width="18" customWidth="1" min="46" max="46"/>
    <col width="18" customWidth="1" min="47" max="47"/>
    <col width="18" customWidth="1" min="48" max="48"/>
    <col width="18" customWidth="1" min="49" max="49"/>
    <col width="18" customWidth="1" min="50" max="50"/>
    <col width="18" customWidth="1" min="51" max="51"/>
    <col width="18" customWidth="1" min="52" max="52"/>
    <col width="18" customWidth="1" min="53" max="53"/>
    <col width="18" customWidth="1" min="54" max="54"/>
    <col width="18" customWidth="1" min="55" max="55"/>
    <col width="18" customWidth="1" min="56" max="56"/>
    <col width="18" customWidth="1" min="57" max="57"/>
    <col width="18" customWidth="1" min="58" max="58"/>
    <col width="18" customWidth="1" min="59" max="59"/>
    <col width="18" customWidth="1" min="60" max="60"/>
    <col width="18" customWidth="1" min="61" max="61"/>
    <col width="18" customWidth="1" min="62" max="62"/>
    <col width="18" customWidth="1" min="63" max="63"/>
    <col width="18" customWidth="1" min="64" max="64"/>
  </cols>
  <sheetData>
    <row r="1">
      <c r="A1" s="112" t="inlineStr">
        <is>
          <t>HERON P&amp;L - Based on Cash Projection and Dashboard</t>
        </is>
      </c>
    </row>
    <row r="4">
      <c r="A4" t="inlineStr">
        <is>
          <t>Heron Fields (Pty) Ltd</t>
        </is>
      </c>
      <c r="B4" t="inlineStr">
        <is>
          <t>Heron Fields</t>
        </is>
      </c>
    </row>
    <row r="5">
      <c r="A5" t="inlineStr">
        <is>
          <t>Heron View (Pty) Ltd</t>
        </is>
      </c>
      <c r="B5" t="inlineStr">
        <is>
          <t>Heron View</t>
        </is>
      </c>
    </row>
    <row r="6">
      <c r="A6" t="inlineStr">
        <is>
          <t>Cape Projects Construction (Pty) Ltd</t>
        </is>
      </c>
    </row>
    <row r="9">
      <c r="A9" s="113" t="inlineStr">
        <is>
          <t>Month</t>
        </is>
      </c>
      <c r="B9" s="113" t="inlineStr"/>
      <c r="C9" s="113" t="inlineStr"/>
      <c r="D9" s="114" t="n">
        <v>44286</v>
      </c>
      <c r="E9" s="114" t="n">
        <v>44316</v>
      </c>
      <c r="F9" s="114" t="n">
        <v>44347</v>
      </c>
      <c r="G9" s="114" t="n">
        <v>44377</v>
      </c>
      <c r="H9" s="114" t="n">
        <v>44408</v>
      </c>
      <c r="I9" s="114" t="n">
        <v>44439</v>
      </c>
      <c r="J9" s="114" t="n">
        <v>44469</v>
      </c>
      <c r="K9" s="114" t="n">
        <v>44500</v>
      </c>
      <c r="L9" s="114" t="n">
        <v>44530</v>
      </c>
      <c r="M9" s="114" t="n">
        <v>44561</v>
      </c>
      <c r="N9" s="114" t="n">
        <v>44592</v>
      </c>
      <c r="O9" s="114" t="n">
        <v>44620</v>
      </c>
      <c r="P9" s="114" t="n">
        <v>44651</v>
      </c>
      <c r="Q9" s="114" t="n">
        <v>44681</v>
      </c>
      <c r="R9" s="114" t="n">
        <v>44712</v>
      </c>
      <c r="S9" s="114" t="n">
        <v>44742</v>
      </c>
      <c r="T9" s="114" t="n">
        <v>44773</v>
      </c>
      <c r="U9" s="114" t="n">
        <v>44804</v>
      </c>
      <c r="V9" s="114" t="n">
        <v>44834</v>
      </c>
      <c r="W9" s="114" t="n">
        <v>44865</v>
      </c>
      <c r="X9" s="114" t="n">
        <v>44895</v>
      </c>
      <c r="Y9" s="114" t="n">
        <v>44926</v>
      </c>
      <c r="Z9" s="114" t="n">
        <v>44957</v>
      </c>
      <c r="AA9" s="114" t="n">
        <v>44985</v>
      </c>
      <c r="AB9" s="114" t="n">
        <v>45016</v>
      </c>
      <c r="AC9" s="114" t="n">
        <v>45046</v>
      </c>
      <c r="AD9" s="114" t="n">
        <v>45077</v>
      </c>
      <c r="AE9" s="114" t="n">
        <v>45107</v>
      </c>
      <c r="AF9" s="114" t="n">
        <v>45138</v>
      </c>
      <c r="AG9" s="114" t="n">
        <v>45169</v>
      </c>
      <c r="AH9" s="114" t="n">
        <v>45199</v>
      </c>
      <c r="AI9" s="114" t="n">
        <v>45230</v>
      </c>
      <c r="AJ9" s="114" t="n">
        <v>45260</v>
      </c>
      <c r="AK9" s="114" t="n">
        <v>45291</v>
      </c>
      <c r="AL9" s="114" t="n">
        <v>45322</v>
      </c>
      <c r="AM9" s="114" t="n">
        <v>45323</v>
      </c>
      <c r="AN9" s="114" t="n">
        <v>45351</v>
      </c>
      <c r="AO9" s="114" t="n">
        <v>45352</v>
      </c>
      <c r="AP9" s="114" t="n">
        <v>45382</v>
      </c>
      <c r="AQ9" s="114" t="n">
        <v>45412</v>
      </c>
      <c r="AR9" s="114" t="n">
        <v>45443</v>
      </c>
      <c r="AS9" s="114">
        <f>EOMONTH(EDATE(AR9, 0),1)</f>
        <v/>
      </c>
      <c r="AT9" s="114">
        <f>EOMONTH(EDATE(AS9, 0),1)</f>
        <v/>
      </c>
      <c r="AU9" s="114">
        <f>EOMONTH(EDATE(AT9, 0),1)</f>
        <v/>
      </c>
      <c r="AV9" s="114">
        <f>EOMONTH(EDATE(AU9, 0),1)</f>
        <v/>
      </c>
      <c r="AW9" s="114">
        <f>EOMONTH(EDATE(AV9, 0),1)</f>
        <v/>
      </c>
      <c r="AX9" s="114">
        <f>EOMONTH(EDATE(AW9, 0),1)</f>
        <v/>
      </c>
      <c r="AY9" s="114">
        <f>EOMONTH(EDATE(AX9, 0),1)</f>
        <v/>
      </c>
      <c r="AZ9" s="114">
        <f>EOMONTH(EDATE(AY9, 0),1)</f>
        <v/>
      </c>
      <c r="BA9" s="114">
        <f>EOMONTH(EDATE(AZ9, 0),1)</f>
        <v/>
      </c>
      <c r="BB9" s="114">
        <f>EOMONTH(EDATE(BA9, 0),1)</f>
        <v/>
      </c>
      <c r="BC9" s="114">
        <f>EOMONTH(EDATE(BB9, 0),1)</f>
        <v/>
      </c>
      <c r="BD9" s="114">
        <f>EOMONTH(EDATE(BC9, 0),1)</f>
        <v/>
      </c>
      <c r="BE9" s="114">
        <f>EOMONTH(EDATE(BD9, 0),1)</f>
        <v/>
      </c>
      <c r="BF9" s="114">
        <f>EOMONTH(EDATE(BE9, 0),1)</f>
        <v/>
      </c>
      <c r="BG9" s="114">
        <f>EOMONTH(EDATE(BF9, 0),1)</f>
        <v/>
      </c>
      <c r="BH9" s="114">
        <f>EOMONTH(EDATE(BG9, 0),1)</f>
        <v/>
      </c>
      <c r="BI9" s="114">
        <f>EOMONTH(EDATE(BH9, 0),1)</f>
        <v/>
      </c>
      <c r="BJ9" s="114">
        <f>EOMONTH(EDATE(BI9, 0),1)</f>
        <v/>
      </c>
      <c r="BK9" s="113" t="inlineStr">
        <is>
          <t>Total</t>
        </is>
      </c>
      <c r="BL9" s="113" t="inlineStr">
        <is>
          <t>NSST</t>
        </is>
      </c>
    </row>
    <row r="10"/>
    <row r="11">
      <c r="A11" s="115" t="inlineStr">
        <is>
          <t>Income</t>
        </is>
      </c>
    </row>
    <row r="13">
      <c r="A13" s="116" t="inlineStr">
        <is>
          <t>Bond Origination</t>
        </is>
      </c>
      <c r="D13" s="117">
        <f>-SUMIFS(Xero!$F:$F,Xero!$B:$B,Heron!D$9,Xero!$A:$A,Heron!$A$4,Xero!$E:$E,Heron!$A13)-SUMIFS(Xero!$F:$F,Xero!$B:$B,Heron!D$9,Xero!$A:$A,Heron!$A$5,Xero!$E:$E,Heron!$A13)</f>
        <v/>
      </c>
      <c r="E13" s="117">
        <f>-SUMIFS(Xero!$F:$F,Xero!$B:$B,Heron!E$9,Xero!$A:$A,Heron!$A$4,Xero!$E:$E,Heron!$A13)-SUMIFS(Xero!$F:$F,Xero!$B:$B,Heron!E$9,Xero!$A:$A,Heron!$A$5,Xero!$E:$E,Heron!$A13)</f>
        <v/>
      </c>
      <c r="F13" s="117">
        <f>-SUMIFS(Xero!$F:$F,Xero!$B:$B,Heron!F$9,Xero!$A:$A,Heron!$A$4,Xero!$E:$E,Heron!$A13)-SUMIFS(Xero!$F:$F,Xero!$B:$B,Heron!F$9,Xero!$A:$A,Heron!$A$5,Xero!$E:$E,Heron!$A13)</f>
        <v/>
      </c>
      <c r="G13" s="117">
        <f>-SUMIFS(Xero!$F:$F,Xero!$B:$B,Heron!G$9,Xero!$A:$A,Heron!$A$4,Xero!$E:$E,Heron!$A13)-SUMIFS(Xero!$F:$F,Xero!$B:$B,Heron!G$9,Xero!$A:$A,Heron!$A$5,Xero!$E:$E,Heron!$A13)</f>
        <v/>
      </c>
      <c r="H13" s="117">
        <f>-SUMIFS(Xero!$F:$F,Xero!$B:$B,Heron!H$9,Xero!$A:$A,Heron!$A$4,Xero!$E:$E,Heron!$A13)-SUMIFS(Xero!$F:$F,Xero!$B:$B,Heron!H$9,Xero!$A:$A,Heron!$A$5,Xero!$E:$E,Heron!$A13)</f>
        <v/>
      </c>
      <c r="I13" s="117">
        <f>-SUMIFS(Xero!$F:$F,Xero!$B:$B,Heron!I$9,Xero!$A:$A,Heron!$A$4,Xero!$E:$E,Heron!$A13)-SUMIFS(Xero!$F:$F,Xero!$B:$B,Heron!I$9,Xero!$A:$A,Heron!$A$5,Xero!$E:$E,Heron!$A13)</f>
        <v/>
      </c>
      <c r="J13" s="117">
        <f>-SUMIFS(Xero!$F:$F,Xero!$B:$B,Heron!J$9,Xero!$A:$A,Heron!$A$4,Xero!$E:$E,Heron!$A13)-SUMIFS(Xero!$F:$F,Xero!$B:$B,Heron!J$9,Xero!$A:$A,Heron!$A$5,Xero!$E:$E,Heron!$A13)</f>
        <v/>
      </c>
      <c r="K13" s="117">
        <f>-SUMIFS(Xero!$F:$F,Xero!$B:$B,Heron!K$9,Xero!$A:$A,Heron!$A$4,Xero!$E:$E,Heron!$A13)-SUMIFS(Xero!$F:$F,Xero!$B:$B,Heron!K$9,Xero!$A:$A,Heron!$A$5,Xero!$E:$E,Heron!$A13)</f>
        <v/>
      </c>
      <c r="L13" s="117">
        <f>-SUMIFS(Xero!$F:$F,Xero!$B:$B,Heron!L$9,Xero!$A:$A,Heron!$A$4,Xero!$E:$E,Heron!$A13)-SUMIFS(Xero!$F:$F,Xero!$B:$B,Heron!L$9,Xero!$A:$A,Heron!$A$5,Xero!$E:$E,Heron!$A13)</f>
        <v/>
      </c>
      <c r="M13" s="117">
        <f>-SUMIFS(Xero!$F:$F,Xero!$B:$B,Heron!M$9,Xero!$A:$A,Heron!$A$4,Xero!$E:$E,Heron!$A13)-SUMIFS(Xero!$F:$F,Xero!$B:$B,Heron!M$9,Xero!$A:$A,Heron!$A$5,Xero!$E:$E,Heron!$A13)</f>
        <v/>
      </c>
      <c r="N13" s="117">
        <f>-SUMIFS(Xero!$F:$F,Xero!$B:$B,Heron!N$9,Xero!$A:$A,Heron!$A$4,Xero!$E:$E,Heron!$A13)-SUMIFS(Xero!$F:$F,Xero!$B:$B,Heron!N$9,Xero!$A:$A,Heron!$A$5,Xero!$E:$E,Heron!$A13)</f>
        <v/>
      </c>
      <c r="O13" s="117">
        <f>-SUMIFS(Xero!$F:$F,Xero!$B:$B,Heron!O$9,Xero!$A:$A,Heron!$A$4,Xero!$E:$E,Heron!$A13)-SUMIFS(Xero!$F:$F,Xero!$B:$B,Heron!O$9,Xero!$A:$A,Heron!$A$5,Xero!$E:$E,Heron!$A13)</f>
        <v/>
      </c>
      <c r="P13" s="117">
        <f>-SUMIFS(Xero!$F:$F,Xero!$B:$B,Heron!P$9,Xero!$A:$A,Heron!$A$4,Xero!$E:$E,Heron!$A13)-SUMIFS(Xero!$F:$F,Xero!$B:$B,Heron!P$9,Xero!$A:$A,Heron!$A$5,Xero!$E:$E,Heron!$A13)</f>
        <v/>
      </c>
      <c r="Q13" s="117">
        <f>-SUMIFS(Xero!$F:$F,Xero!$B:$B,Heron!Q$9,Xero!$A:$A,Heron!$A$4,Xero!$E:$E,Heron!$A13)-SUMIFS(Xero!$F:$F,Xero!$B:$B,Heron!Q$9,Xero!$A:$A,Heron!$A$5,Xero!$E:$E,Heron!$A13)</f>
        <v/>
      </c>
      <c r="R13" s="117">
        <f>-SUMIFS(Xero!$F:$F,Xero!$B:$B,Heron!R$9,Xero!$A:$A,Heron!$A$4,Xero!$E:$E,Heron!$A13)-SUMIFS(Xero!$F:$F,Xero!$B:$B,Heron!R$9,Xero!$A:$A,Heron!$A$5,Xero!$E:$E,Heron!$A13)</f>
        <v/>
      </c>
      <c r="S13" s="117">
        <f>-SUMIFS(Xero!$F:$F,Xero!$B:$B,Heron!S$9,Xero!$A:$A,Heron!$A$4,Xero!$E:$E,Heron!$A13)-SUMIFS(Xero!$F:$F,Xero!$B:$B,Heron!S$9,Xero!$A:$A,Heron!$A$5,Xero!$E:$E,Heron!$A13)</f>
        <v/>
      </c>
      <c r="T13" s="117">
        <f>-SUMIFS(Xero!$F:$F,Xero!$B:$B,Heron!T$9,Xero!$A:$A,Heron!$A$4,Xero!$E:$E,Heron!$A13)-SUMIFS(Xero!$F:$F,Xero!$B:$B,Heron!T$9,Xero!$A:$A,Heron!$A$5,Xero!$E:$E,Heron!$A13)</f>
        <v/>
      </c>
      <c r="U13" s="117">
        <f>-SUMIFS(Xero!$F:$F,Xero!$B:$B,Heron!U$9,Xero!$A:$A,Heron!$A$4,Xero!$E:$E,Heron!$A13)-SUMIFS(Xero!$F:$F,Xero!$B:$B,Heron!U$9,Xero!$A:$A,Heron!$A$5,Xero!$E:$E,Heron!$A13)</f>
        <v/>
      </c>
      <c r="V13" s="117">
        <f>-SUMIFS(Xero!$F:$F,Xero!$B:$B,Heron!V$9,Xero!$A:$A,Heron!$A$4,Xero!$E:$E,Heron!$A13)-SUMIFS(Xero!$F:$F,Xero!$B:$B,Heron!V$9,Xero!$A:$A,Heron!$A$5,Xero!$E:$E,Heron!$A13)</f>
        <v/>
      </c>
      <c r="W13" s="117">
        <f>-SUMIFS(Xero!$F:$F,Xero!$B:$B,Heron!W$9,Xero!$A:$A,Heron!$A$4,Xero!$E:$E,Heron!$A13)-SUMIFS(Xero!$F:$F,Xero!$B:$B,Heron!W$9,Xero!$A:$A,Heron!$A$5,Xero!$E:$E,Heron!$A13)</f>
        <v/>
      </c>
      <c r="X13" s="117">
        <f>-SUMIFS(Xero!$F:$F,Xero!$B:$B,Heron!X$9,Xero!$A:$A,Heron!$A$4,Xero!$E:$E,Heron!$A13)-SUMIFS(Xero!$F:$F,Xero!$B:$B,Heron!X$9,Xero!$A:$A,Heron!$A$5,Xero!$E:$E,Heron!$A13)</f>
        <v/>
      </c>
      <c r="Y13" s="117">
        <f>-SUMIFS(Xero!$F:$F,Xero!$B:$B,Heron!Y$9,Xero!$A:$A,Heron!$A$4,Xero!$E:$E,Heron!$A13)-SUMIFS(Xero!$F:$F,Xero!$B:$B,Heron!Y$9,Xero!$A:$A,Heron!$A$5,Xero!$E:$E,Heron!$A13)</f>
        <v/>
      </c>
      <c r="Z13" s="117">
        <f>-SUMIFS(Xero!$F:$F,Xero!$B:$B,Heron!Z$9,Xero!$A:$A,Heron!$A$4,Xero!$E:$E,Heron!$A13)-SUMIFS(Xero!$F:$F,Xero!$B:$B,Heron!Z$9,Xero!$A:$A,Heron!$A$5,Xero!$E:$E,Heron!$A13)</f>
        <v/>
      </c>
      <c r="AA13" s="117">
        <f>-SUMIFS(Xero!$F:$F,Xero!$B:$B,Heron!AA$9,Xero!$A:$A,Heron!$A$4,Xero!$E:$E,Heron!$A13)-SUMIFS(Xero!$F:$F,Xero!$B:$B,Heron!AA$9,Xero!$A:$A,Heron!$A$5,Xero!$E:$E,Heron!$A13)</f>
        <v/>
      </c>
      <c r="AB13" s="117">
        <f>-SUMIFS(Xero!$F:$F,Xero!$B:$B,Heron!AB$9,Xero!$A:$A,Heron!$A$4,Xero!$E:$E,Heron!$A13)-SUMIFS(Xero!$F:$F,Xero!$B:$B,Heron!AB$9,Xero!$A:$A,Heron!$A$5,Xero!$E:$E,Heron!$A13)</f>
        <v/>
      </c>
      <c r="AC13" s="117">
        <f>-SUMIFS(Xero!$F:$F,Xero!$B:$B,Heron!AC$9,Xero!$A:$A,Heron!$A$4,Xero!$E:$E,Heron!$A13)-SUMIFS(Xero!$F:$F,Xero!$B:$B,Heron!AC$9,Xero!$A:$A,Heron!$A$5,Xero!$E:$E,Heron!$A13)</f>
        <v/>
      </c>
      <c r="AD13" s="117">
        <f>-SUMIFS(Xero!$F:$F,Xero!$B:$B,Heron!AD$9,Xero!$A:$A,Heron!$A$4,Xero!$E:$E,Heron!$A13)-SUMIFS(Xero!$F:$F,Xero!$B:$B,Heron!AD$9,Xero!$A:$A,Heron!$A$5,Xero!$E:$E,Heron!$A13)</f>
        <v/>
      </c>
      <c r="AE13" s="117">
        <f>-SUMIFS(Xero!$F:$F,Xero!$B:$B,Heron!AE$9,Xero!$A:$A,Heron!$A$4,Xero!$E:$E,Heron!$A13)-SUMIFS(Xero!$F:$F,Xero!$B:$B,Heron!AE$9,Xero!$A:$A,Heron!$A$5,Xero!$E:$E,Heron!$A13)</f>
        <v/>
      </c>
      <c r="AF13" s="117">
        <f>-SUMIFS(Xero!$F:$F,Xero!$B:$B,Heron!AF$9,Xero!$A:$A,Heron!$A$4,Xero!$E:$E,Heron!$A13)-SUMIFS(Xero!$F:$F,Xero!$B:$B,Heron!AF$9,Xero!$A:$A,Heron!$A$5,Xero!$E:$E,Heron!$A13)</f>
        <v/>
      </c>
      <c r="AG13" s="117">
        <f>-SUMIFS(Xero!$F:$F,Xero!$B:$B,Heron!AG$9,Xero!$A:$A,Heron!$A$4,Xero!$E:$E,Heron!$A13)-SUMIFS(Xero!$F:$F,Xero!$B:$B,Heron!AG$9,Xero!$A:$A,Heron!$A$5,Xero!$E:$E,Heron!$A13)</f>
        <v/>
      </c>
      <c r="AH13" s="117">
        <f>-SUMIFS(Xero!$F:$F,Xero!$B:$B,Heron!AH$9,Xero!$A:$A,Heron!$A$4,Xero!$E:$E,Heron!$A13)-SUMIFS(Xero!$F:$F,Xero!$B:$B,Heron!AH$9,Xero!$A:$A,Heron!$A$5,Xero!$E:$E,Heron!$A13)</f>
        <v/>
      </c>
      <c r="AI13" s="117">
        <f>-SUMIFS(Xero!$F:$F,Xero!$B:$B,Heron!AI$9,Xero!$A:$A,Heron!$A$4,Xero!$E:$E,Heron!$A13)-SUMIFS(Xero!$F:$F,Xero!$B:$B,Heron!AI$9,Xero!$A:$A,Heron!$A$5,Xero!$E:$E,Heron!$A13)</f>
        <v/>
      </c>
      <c r="AJ13" s="117">
        <f>-SUMIFS(Xero!$F:$F,Xero!$B:$B,Heron!AJ$9,Xero!$A:$A,Heron!$A$4,Xero!$E:$E,Heron!$A13)-SUMIFS(Xero!$F:$F,Xero!$B:$B,Heron!AJ$9,Xero!$A:$A,Heron!$A$5,Xero!$E:$E,Heron!$A13)</f>
        <v/>
      </c>
      <c r="AK13" s="117">
        <f>-SUMIFS(Xero!$F:$F,Xero!$B:$B,Heron!AK$9,Xero!$A:$A,Heron!$A$4,Xero!$E:$E,Heron!$A13)-SUMIFS(Xero!$F:$F,Xero!$B:$B,Heron!AK$9,Xero!$A:$A,Heron!$A$5,Xero!$E:$E,Heron!$A13)</f>
        <v/>
      </c>
      <c r="AL13" s="117">
        <f>-SUMIFS(Xero!$F:$F,Xero!$B:$B,Heron!AL$9,Xero!$A:$A,Heron!$A$4,Xero!$E:$E,Heron!$A13)-SUMIFS(Xero!$F:$F,Xero!$B:$B,Heron!AL$9,Xero!$A:$A,Heron!$A$5,Xero!$E:$E,Heron!$A13)</f>
        <v/>
      </c>
      <c r="AM13" s="117">
        <f>-SUMIFS(Xero!$F:$F,Xero!$B:$B,Heron!AM$9,Xero!$A:$A,Heron!$A$4,Xero!$E:$E,Heron!$A13)-SUMIFS(Xero!$F:$F,Xero!$B:$B,Heron!AM$9,Xero!$A:$A,Heron!$A$5,Xero!$E:$E,Heron!$A13)</f>
        <v/>
      </c>
      <c r="AN13" s="117">
        <f>-SUMIFS(Xero!$F:$F,Xero!$B:$B,Heron!AN$9,Xero!$A:$A,Heron!$A$4,Xero!$E:$E,Heron!$A13)-SUMIFS(Xero!$F:$F,Xero!$B:$B,Heron!AN$9,Xero!$A:$A,Heron!$A$5,Xero!$E:$E,Heron!$A13)</f>
        <v/>
      </c>
      <c r="AO13" s="117">
        <f>-SUMIFS(Xero!$F:$F,Xero!$B:$B,Heron!AO$9,Xero!$A:$A,Heron!$A$4,Xero!$E:$E,Heron!$A13)-SUMIFS(Xero!$F:$F,Xero!$B:$B,Heron!AO$9,Xero!$A:$A,Heron!$A$5,Xero!$E:$E,Heron!$A13)</f>
        <v/>
      </c>
      <c r="AP13" s="117">
        <f>-SUMIFS(Xero!$F:$F,Xero!$B:$B,Heron!AP$9,Xero!$A:$A,Heron!$A$4,Xero!$E:$E,Heron!$A13)-SUMIFS(Xero!$F:$F,Xero!$B:$B,Heron!AP$9,Xero!$A:$A,Heron!$A$5,Xero!$E:$E,Heron!$A13)</f>
        <v/>
      </c>
      <c r="AQ13" s="117">
        <f>-SUMIFS(Xero!$F:$F,Xero!$B:$B,Heron!AQ$9,Xero!$A:$A,Heron!$A$4,Xero!$E:$E,Heron!$A13)-SUMIFS(Xero!$F:$F,Xero!$B:$B,Heron!AQ$9,Xero!$A:$A,Heron!$A$5,Xero!$E:$E,Heron!$A13)</f>
        <v/>
      </c>
      <c r="AR13" s="117">
        <f>-SUMIFS(Xero!$F:$F,Xero!$B:$B,Heron!AR$9,Xero!$A:$A,Heron!$A$4,Xero!$E:$E,Heron!$A13)-SUMIFS(Xero!$F:$F,Xero!$B:$B,Heron!AR$9,Xero!$A:$A,Heron!$A$5,Xero!$E:$E,Heron!$A13)</f>
        <v/>
      </c>
      <c r="AS13" s="117">
        <f>-SUMIFS(Xero!$F:$F,Xero!$B:$B,Heron!AS$9,Xero!$A:$A,Heron!$A$4,Xero!$E:$E,Heron!$A13)-SUMIFS(Xero!$F:$F,Xero!$B:$B,Heron!AS$9,Xero!$A:$A,Heron!$A$5,Xero!$E:$E,Heron!$A13)</f>
        <v/>
      </c>
      <c r="AT13" s="117">
        <f>-SUMIFS(Xero!$F:$F,Xero!$B:$B,Heron!AT$9,Xero!$A:$A,Heron!$A$4,Xero!$E:$E,Heron!$A13)-SUMIFS(Xero!$F:$F,Xero!$B:$B,Heron!AT$9,Xero!$A:$A,Heron!$A$5,Xero!$E:$E,Heron!$A13)</f>
        <v/>
      </c>
      <c r="AU13" s="117">
        <f>-SUMIFS(Xero!$F:$F,Xero!$B:$B,Heron!AU$9,Xero!$A:$A,Heron!$A$4,Xero!$E:$E,Heron!$A13)-SUMIFS(Xero!$F:$F,Xero!$B:$B,Heron!AU$9,Xero!$A:$A,Heron!$A$5,Xero!$E:$E,Heron!$A13)</f>
        <v/>
      </c>
      <c r="AV13" s="117">
        <f>-SUMIFS(Xero!$F:$F,Xero!$B:$B,Heron!AV$9,Xero!$A:$A,Heron!$A$4,Xero!$E:$E,Heron!$A13)-SUMIFS(Xero!$F:$F,Xero!$B:$B,Heron!AV$9,Xero!$A:$A,Heron!$A$5,Xero!$E:$E,Heron!$A13)</f>
        <v/>
      </c>
      <c r="AW13" s="117">
        <f>-SUMIFS(Xero!$F:$F,Xero!$B:$B,Heron!AW$9,Xero!$A:$A,Heron!$A$4,Xero!$E:$E,Heron!$A13)-SUMIFS(Xero!$F:$F,Xero!$B:$B,Heron!AW$9,Xero!$A:$A,Heron!$A$5,Xero!$E:$E,Heron!$A13)</f>
        <v/>
      </c>
      <c r="AX13" s="117">
        <f>-SUMIFS(Xero!$F:$F,Xero!$B:$B,Heron!AX$9,Xero!$A:$A,Heron!$A$4,Xero!$E:$E,Heron!$A13)-SUMIFS(Xero!$F:$F,Xero!$B:$B,Heron!AX$9,Xero!$A:$A,Heron!$A$5,Xero!$E:$E,Heron!$A13)</f>
        <v/>
      </c>
      <c r="AY13" s="117">
        <f>-SUMIFS(Xero!$F:$F,Xero!$B:$B,Heron!AY$9,Xero!$A:$A,Heron!$A$4,Xero!$E:$E,Heron!$A13)-SUMIFS(Xero!$F:$F,Xero!$B:$B,Heron!AY$9,Xero!$A:$A,Heron!$A$5,Xero!$E:$E,Heron!$A13)</f>
        <v/>
      </c>
      <c r="AZ13" s="117">
        <f>-SUMIFS(Xero!$F:$F,Xero!$B:$B,Heron!AZ$9,Xero!$A:$A,Heron!$A$4,Xero!$E:$E,Heron!$A13)-SUMIFS(Xero!$F:$F,Xero!$B:$B,Heron!AZ$9,Xero!$A:$A,Heron!$A$5,Xero!$E:$E,Heron!$A13)</f>
        <v/>
      </c>
      <c r="BA13" s="117">
        <f>-SUMIFS(Xero!$F:$F,Xero!$B:$B,Heron!BA$9,Xero!$A:$A,Heron!$A$4,Xero!$E:$E,Heron!$A13)-SUMIFS(Xero!$F:$F,Xero!$B:$B,Heron!BA$9,Xero!$A:$A,Heron!$A$5,Xero!$E:$E,Heron!$A13)</f>
        <v/>
      </c>
      <c r="BB13" s="117">
        <f>-SUMIFS(Xero!$F:$F,Xero!$B:$B,Heron!BB$9,Xero!$A:$A,Heron!$A$4,Xero!$E:$E,Heron!$A13)-SUMIFS(Xero!$F:$F,Xero!$B:$B,Heron!BB$9,Xero!$A:$A,Heron!$A$5,Xero!$E:$E,Heron!$A13)</f>
        <v/>
      </c>
      <c r="BC13" s="117">
        <f>-SUMIFS(Xero!$F:$F,Xero!$B:$B,Heron!BC$9,Xero!$A:$A,Heron!$A$4,Xero!$E:$E,Heron!$A13)-SUMIFS(Xero!$F:$F,Xero!$B:$B,Heron!BC$9,Xero!$A:$A,Heron!$A$5,Xero!$E:$E,Heron!$A13)</f>
        <v/>
      </c>
      <c r="BD13" s="117">
        <f>-SUMIFS(Xero!$F:$F,Xero!$B:$B,Heron!BD$9,Xero!$A:$A,Heron!$A$4,Xero!$E:$E,Heron!$A13)-SUMIFS(Xero!$F:$F,Xero!$B:$B,Heron!BD$9,Xero!$A:$A,Heron!$A$5,Xero!$E:$E,Heron!$A13)</f>
        <v/>
      </c>
      <c r="BE13" s="117">
        <f>-SUMIFS(Xero!$F:$F,Xero!$B:$B,Heron!BE$9,Xero!$A:$A,Heron!$A$4,Xero!$E:$E,Heron!$A13)-SUMIFS(Xero!$F:$F,Xero!$B:$B,Heron!BE$9,Xero!$A:$A,Heron!$A$5,Xero!$E:$E,Heron!$A13)</f>
        <v/>
      </c>
      <c r="BF13" s="117">
        <f>-SUMIFS(Xero!$F:$F,Xero!$B:$B,Heron!BF$9,Xero!$A:$A,Heron!$A$4,Xero!$E:$E,Heron!$A13)-SUMIFS(Xero!$F:$F,Xero!$B:$B,Heron!BF$9,Xero!$A:$A,Heron!$A$5,Xero!$E:$E,Heron!$A13)</f>
        <v/>
      </c>
      <c r="BG13" s="117">
        <f>-SUMIFS(Xero!$F:$F,Xero!$B:$B,Heron!BG$9,Xero!$A:$A,Heron!$A$4,Xero!$E:$E,Heron!$A13)-SUMIFS(Xero!$F:$F,Xero!$B:$B,Heron!BG$9,Xero!$A:$A,Heron!$A$5,Xero!$E:$E,Heron!$A13)</f>
        <v/>
      </c>
      <c r="BH13" s="117">
        <f>-SUMIFS(Xero!$F:$F,Xero!$B:$B,Heron!BH$9,Xero!$A:$A,Heron!$A$4,Xero!$E:$E,Heron!$A13)-SUMIFS(Xero!$F:$F,Xero!$B:$B,Heron!BH$9,Xero!$A:$A,Heron!$A$5,Xero!$E:$E,Heron!$A13)</f>
        <v/>
      </c>
      <c r="BI13" s="117">
        <f>-SUMIFS(Xero!$F:$F,Xero!$B:$B,Heron!BI$9,Xero!$A:$A,Heron!$A$4,Xero!$E:$E,Heron!$A13)-SUMIFS(Xero!$F:$F,Xero!$B:$B,Heron!BI$9,Xero!$A:$A,Heron!$A$5,Xero!$E:$E,Heron!$A13)</f>
        <v/>
      </c>
      <c r="BJ13" s="117">
        <f>-SUMIFS(Xero!$F:$F,Xero!$B:$B,Heron!BJ$9,Xero!$A:$A,Heron!$A$4,Xero!$E:$E,Heron!$A13)-SUMIFS(Xero!$F:$F,Xero!$B:$B,Heron!BJ$9,Xero!$A:$A,Heron!$A$5,Xero!$E:$E,Heron!$A13)</f>
        <v/>
      </c>
      <c r="BK13" s="117">
        <f>sum(D13:BJ13)</f>
        <v/>
      </c>
    </row>
    <row r="14">
      <c r="A14" s="116" t="inlineStr">
        <is>
          <t>CPC - Accounting Management Fee</t>
        </is>
      </c>
      <c r="D14" s="117">
        <f>-SUMIFS(Xero!$F:$F,Xero!$B:$B,Heron!D$9,Xero!$A:$A,Heron!$A$4,Xero!$E:$E,Heron!$A14)-SUMIFS(Xero!$F:$F,Xero!$B:$B,Heron!D$9,Xero!$A:$A,Heron!$A$5,Xero!$E:$E,Heron!$A14)</f>
        <v/>
      </c>
      <c r="E14" s="117">
        <f>-SUMIFS(Xero!$F:$F,Xero!$B:$B,Heron!E$9,Xero!$A:$A,Heron!$A$4,Xero!$E:$E,Heron!$A14)-SUMIFS(Xero!$F:$F,Xero!$B:$B,Heron!E$9,Xero!$A:$A,Heron!$A$5,Xero!$E:$E,Heron!$A14)</f>
        <v/>
      </c>
      <c r="F14" s="117">
        <f>-SUMIFS(Xero!$F:$F,Xero!$B:$B,Heron!F$9,Xero!$A:$A,Heron!$A$4,Xero!$E:$E,Heron!$A14)-SUMIFS(Xero!$F:$F,Xero!$B:$B,Heron!F$9,Xero!$A:$A,Heron!$A$5,Xero!$E:$E,Heron!$A14)</f>
        <v/>
      </c>
      <c r="G14" s="117">
        <f>-SUMIFS(Xero!$F:$F,Xero!$B:$B,Heron!G$9,Xero!$A:$A,Heron!$A$4,Xero!$E:$E,Heron!$A14)-SUMIFS(Xero!$F:$F,Xero!$B:$B,Heron!G$9,Xero!$A:$A,Heron!$A$5,Xero!$E:$E,Heron!$A14)</f>
        <v/>
      </c>
      <c r="H14" s="117">
        <f>-SUMIFS(Xero!$F:$F,Xero!$B:$B,Heron!H$9,Xero!$A:$A,Heron!$A$4,Xero!$E:$E,Heron!$A14)-SUMIFS(Xero!$F:$F,Xero!$B:$B,Heron!H$9,Xero!$A:$A,Heron!$A$5,Xero!$E:$E,Heron!$A14)</f>
        <v/>
      </c>
      <c r="I14" s="117">
        <f>-SUMIFS(Xero!$F:$F,Xero!$B:$B,Heron!I$9,Xero!$A:$A,Heron!$A$4,Xero!$E:$E,Heron!$A14)-SUMIFS(Xero!$F:$F,Xero!$B:$B,Heron!I$9,Xero!$A:$A,Heron!$A$5,Xero!$E:$E,Heron!$A14)</f>
        <v/>
      </c>
      <c r="J14" s="117">
        <f>-SUMIFS(Xero!$F:$F,Xero!$B:$B,Heron!J$9,Xero!$A:$A,Heron!$A$4,Xero!$E:$E,Heron!$A14)-SUMIFS(Xero!$F:$F,Xero!$B:$B,Heron!J$9,Xero!$A:$A,Heron!$A$5,Xero!$E:$E,Heron!$A14)</f>
        <v/>
      </c>
      <c r="K14" s="117">
        <f>-SUMIFS(Xero!$F:$F,Xero!$B:$B,Heron!K$9,Xero!$A:$A,Heron!$A$4,Xero!$E:$E,Heron!$A14)-SUMIFS(Xero!$F:$F,Xero!$B:$B,Heron!K$9,Xero!$A:$A,Heron!$A$5,Xero!$E:$E,Heron!$A14)</f>
        <v/>
      </c>
      <c r="L14" s="117">
        <f>-SUMIFS(Xero!$F:$F,Xero!$B:$B,Heron!L$9,Xero!$A:$A,Heron!$A$4,Xero!$E:$E,Heron!$A14)-SUMIFS(Xero!$F:$F,Xero!$B:$B,Heron!L$9,Xero!$A:$A,Heron!$A$5,Xero!$E:$E,Heron!$A14)</f>
        <v/>
      </c>
      <c r="M14" s="117">
        <f>-SUMIFS(Xero!$F:$F,Xero!$B:$B,Heron!M$9,Xero!$A:$A,Heron!$A$4,Xero!$E:$E,Heron!$A14)-SUMIFS(Xero!$F:$F,Xero!$B:$B,Heron!M$9,Xero!$A:$A,Heron!$A$5,Xero!$E:$E,Heron!$A14)</f>
        <v/>
      </c>
      <c r="N14" s="117">
        <f>-SUMIFS(Xero!$F:$F,Xero!$B:$B,Heron!N$9,Xero!$A:$A,Heron!$A$4,Xero!$E:$E,Heron!$A14)-SUMIFS(Xero!$F:$F,Xero!$B:$B,Heron!N$9,Xero!$A:$A,Heron!$A$5,Xero!$E:$E,Heron!$A14)</f>
        <v/>
      </c>
      <c r="O14" s="117">
        <f>-SUMIFS(Xero!$F:$F,Xero!$B:$B,Heron!O$9,Xero!$A:$A,Heron!$A$4,Xero!$E:$E,Heron!$A14)-SUMIFS(Xero!$F:$F,Xero!$B:$B,Heron!O$9,Xero!$A:$A,Heron!$A$5,Xero!$E:$E,Heron!$A14)</f>
        <v/>
      </c>
      <c r="P14" s="117">
        <f>-SUMIFS(Xero!$F:$F,Xero!$B:$B,Heron!P$9,Xero!$A:$A,Heron!$A$4,Xero!$E:$E,Heron!$A14)-SUMIFS(Xero!$F:$F,Xero!$B:$B,Heron!P$9,Xero!$A:$A,Heron!$A$5,Xero!$E:$E,Heron!$A14)</f>
        <v/>
      </c>
      <c r="Q14" s="117">
        <f>-SUMIFS(Xero!$F:$F,Xero!$B:$B,Heron!Q$9,Xero!$A:$A,Heron!$A$4,Xero!$E:$E,Heron!$A14)-SUMIFS(Xero!$F:$F,Xero!$B:$B,Heron!Q$9,Xero!$A:$A,Heron!$A$5,Xero!$E:$E,Heron!$A14)</f>
        <v/>
      </c>
      <c r="R14" s="117">
        <f>-SUMIFS(Xero!$F:$F,Xero!$B:$B,Heron!R$9,Xero!$A:$A,Heron!$A$4,Xero!$E:$E,Heron!$A14)-SUMIFS(Xero!$F:$F,Xero!$B:$B,Heron!R$9,Xero!$A:$A,Heron!$A$5,Xero!$E:$E,Heron!$A14)</f>
        <v/>
      </c>
      <c r="S14" s="117">
        <f>-SUMIFS(Xero!$F:$F,Xero!$B:$B,Heron!S$9,Xero!$A:$A,Heron!$A$4,Xero!$E:$E,Heron!$A14)-SUMIFS(Xero!$F:$F,Xero!$B:$B,Heron!S$9,Xero!$A:$A,Heron!$A$5,Xero!$E:$E,Heron!$A14)</f>
        <v/>
      </c>
      <c r="T14" s="117">
        <f>-SUMIFS(Xero!$F:$F,Xero!$B:$B,Heron!T$9,Xero!$A:$A,Heron!$A$4,Xero!$E:$E,Heron!$A14)-SUMIFS(Xero!$F:$F,Xero!$B:$B,Heron!T$9,Xero!$A:$A,Heron!$A$5,Xero!$E:$E,Heron!$A14)</f>
        <v/>
      </c>
      <c r="U14" s="117">
        <f>-SUMIFS(Xero!$F:$F,Xero!$B:$B,Heron!U$9,Xero!$A:$A,Heron!$A$4,Xero!$E:$E,Heron!$A14)-SUMIFS(Xero!$F:$F,Xero!$B:$B,Heron!U$9,Xero!$A:$A,Heron!$A$5,Xero!$E:$E,Heron!$A14)</f>
        <v/>
      </c>
      <c r="V14" s="117">
        <f>-SUMIFS(Xero!$F:$F,Xero!$B:$B,Heron!V$9,Xero!$A:$A,Heron!$A$4,Xero!$E:$E,Heron!$A14)-SUMIFS(Xero!$F:$F,Xero!$B:$B,Heron!V$9,Xero!$A:$A,Heron!$A$5,Xero!$E:$E,Heron!$A14)</f>
        <v/>
      </c>
      <c r="W14" s="117">
        <f>-SUMIFS(Xero!$F:$F,Xero!$B:$B,Heron!W$9,Xero!$A:$A,Heron!$A$4,Xero!$E:$E,Heron!$A14)-SUMIFS(Xero!$F:$F,Xero!$B:$B,Heron!W$9,Xero!$A:$A,Heron!$A$5,Xero!$E:$E,Heron!$A14)</f>
        <v/>
      </c>
      <c r="X14" s="117">
        <f>-SUMIFS(Xero!$F:$F,Xero!$B:$B,Heron!X$9,Xero!$A:$A,Heron!$A$4,Xero!$E:$E,Heron!$A14)-SUMIFS(Xero!$F:$F,Xero!$B:$B,Heron!X$9,Xero!$A:$A,Heron!$A$5,Xero!$E:$E,Heron!$A14)</f>
        <v/>
      </c>
      <c r="Y14" s="117">
        <f>-SUMIFS(Xero!$F:$F,Xero!$B:$B,Heron!Y$9,Xero!$A:$A,Heron!$A$4,Xero!$E:$E,Heron!$A14)-SUMIFS(Xero!$F:$F,Xero!$B:$B,Heron!Y$9,Xero!$A:$A,Heron!$A$5,Xero!$E:$E,Heron!$A14)</f>
        <v/>
      </c>
      <c r="Z14" s="117">
        <f>-SUMIFS(Xero!$F:$F,Xero!$B:$B,Heron!Z$9,Xero!$A:$A,Heron!$A$4,Xero!$E:$E,Heron!$A14)-SUMIFS(Xero!$F:$F,Xero!$B:$B,Heron!Z$9,Xero!$A:$A,Heron!$A$5,Xero!$E:$E,Heron!$A14)</f>
        <v/>
      </c>
      <c r="AA14" s="117">
        <f>-SUMIFS(Xero!$F:$F,Xero!$B:$B,Heron!AA$9,Xero!$A:$A,Heron!$A$4,Xero!$E:$E,Heron!$A14)-SUMIFS(Xero!$F:$F,Xero!$B:$B,Heron!AA$9,Xero!$A:$A,Heron!$A$5,Xero!$E:$E,Heron!$A14)</f>
        <v/>
      </c>
      <c r="AB14" s="117">
        <f>-SUMIFS(Xero!$F:$F,Xero!$B:$B,Heron!AB$9,Xero!$A:$A,Heron!$A$4,Xero!$E:$E,Heron!$A14)-SUMIFS(Xero!$F:$F,Xero!$B:$B,Heron!AB$9,Xero!$A:$A,Heron!$A$5,Xero!$E:$E,Heron!$A14)</f>
        <v/>
      </c>
      <c r="AC14" s="117">
        <f>-SUMIFS(Xero!$F:$F,Xero!$B:$B,Heron!AC$9,Xero!$A:$A,Heron!$A$4,Xero!$E:$E,Heron!$A14)-SUMIFS(Xero!$F:$F,Xero!$B:$B,Heron!AC$9,Xero!$A:$A,Heron!$A$5,Xero!$E:$E,Heron!$A14)</f>
        <v/>
      </c>
      <c r="AD14" s="117">
        <f>-SUMIFS(Xero!$F:$F,Xero!$B:$B,Heron!AD$9,Xero!$A:$A,Heron!$A$4,Xero!$E:$E,Heron!$A14)-SUMIFS(Xero!$F:$F,Xero!$B:$B,Heron!AD$9,Xero!$A:$A,Heron!$A$5,Xero!$E:$E,Heron!$A14)</f>
        <v/>
      </c>
      <c r="AE14" s="117">
        <f>-SUMIFS(Xero!$F:$F,Xero!$B:$B,Heron!AE$9,Xero!$A:$A,Heron!$A$4,Xero!$E:$E,Heron!$A14)-SUMIFS(Xero!$F:$F,Xero!$B:$B,Heron!AE$9,Xero!$A:$A,Heron!$A$5,Xero!$E:$E,Heron!$A14)</f>
        <v/>
      </c>
      <c r="AF14" s="117">
        <f>-SUMIFS(Xero!$F:$F,Xero!$B:$B,Heron!AF$9,Xero!$A:$A,Heron!$A$4,Xero!$E:$E,Heron!$A14)-SUMIFS(Xero!$F:$F,Xero!$B:$B,Heron!AF$9,Xero!$A:$A,Heron!$A$5,Xero!$E:$E,Heron!$A14)</f>
        <v/>
      </c>
      <c r="AG14" s="117">
        <f>-SUMIFS(Xero!$F:$F,Xero!$B:$B,Heron!AG$9,Xero!$A:$A,Heron!$A$4,Xero!$E:$E,Heron!$A14)-SUMIFS(Xero!$F:$F,Xero!$B:$B,Heron!AG$9,Xero!$A:$A,Heron!$A$5,Xero!$E:$E,Heron!$A14)</f>
        <v/>
      </c>
      <c r="AH14" s="117">
        <f>-SUMIFS(Xero!$F:$F,Xero!$B:$B,Heron!AH$9,Xero!$A:$A,Heron!$A$4,Xero!$E:$E,Heron!$A14)-SUMIFS(Xero!$F:$F,Xero!$B:$B,Heron!AH$9,Xero!$A:$A,Heron!$A$5,Xero!$E:$E,Heron!$A14)</f>
        <v/>
      </c>
      <c r="AI14" s="117">
        <f>-SUMIFS(Xero!$F:$F,Xero!$B:$B,Heron!AI$9,Xero!$A:$A,Heron!$A$4,Xero!$E:$E,Heron!$A14)-SUMIFS(Xero!$F:$F,Xero!$B:$B,Heron!AI$9,Xero!$A:$A,Heron!$A$5,Xero!$E:$E,Heron!$A14)</f>
        <v/>
      </c>
      <c r="AJ14" s="117">
        <f>-SUMIFS(Xero!$F:$F,Xero!$B:$B,Heron!AJ$9,Xero!$A:$A,Heron!$A$4,Xero!$E:$E,Heron!$A14)-SUMIFS(Xero!$F:$F,Xero!$B:$B,Heron!AJ$9,Xero!$A:$A,Heron!$A$5,Xero!$E:$E,Heron!$A14)</f>
        <v/>
      </c>
      <c r="AK14" s="117">
        <f>-SUMIFS(Xero!$F:$F,Xero!$B:$B,Heron!AK$9,Xero!$A:$A,Heron!$A$4,Xero!$E:$E,Heron!$A14)-SUMIFS(Xero!$F:$F,Xero!$B:$B,Heron!AK$9,Xero!$A:$A,Heron!$A$5,Xero!$E:$E,Heron!$A14)</f>
        <v/>
      </c>
      <c r="AL14" s="117">
        <f>-SUMIFS(Xero!$F:$F,Xero!$B:$B,Heron!AL$9,Xero!$A:$A,Heron!$A$4,Xero!$E:$E,Heron!$A14)-SUMIFS(Xero!$F:$F,Xero!$B:$B,Heron!AL$9,Xero!$A:$A,Heron!$A$5,Xero!$E:$E,Heron!$A14)</f>
        <v/>
      </c>
      <c r="AM14" s="117">
        <f>-SUMIFS(Xero!$F:$F,Xero!$B:$B,Heron!AM$9,Xero!$A:$A,Heron!$A$4,Xero!$E:$E,Heron!$A14)-SUMIFS(Xero!$F:$F,Xero!$B:$B,Heron!AM$9,Xero!$A:$A,Heron!$A$5,Xero!$E:$E,Heron!$A14)</f>
        <v/>
      </c>
      <c r="AN14" s="117">
        <f>-SUMIFS(Xero!$F:$F,Xero!$B:$B,Heron!AN$9,Xero!$A:$A,Heron!$A$4,Xero!$E:$E,Heron!$A14)-SUMIFS(Xero!$F:$F,Xero!$B:$B,Heron!AN$9,Xero!$A:$A,Heron!$A$5,Xero!$E:$E,Heron!$A14)</f>
        <v/>
      </c>
      <c r="AO14" s="117">
        <f>-SUMIFS(Xero!$F:$F,Xero!$B:$B,Heron!AO$9,Xero!$A:$A,Heron!$A$4,Xero!$E:$E,Heron!$A14)-SUMIFS(Xero!$F:$F,Xero!$B:$B,Heron!AO$9,Xero!$A:$A,Heron!$A$5,Xero!$E:$E,Heron!$A14)</f>
        <v/>
      </c>
      <c r="AP14" s="117">
        <f>-SUMIFS(Xero!$F:$F,Xero!$B:$B,Heron!AP$9,Xero!$A:$A,Heron!$A$4,Xero!$E:$E,Heron!$A14)-SUMIFS(Xero!$F:$F,Xero!$B:$B,Heron!AP$9,Xero!$A:$A,Heron!$A$5,Xero!$E:$E,Heron!$A14)</f>
        <v/>
      </c>
      <c r="AQ14" s="117">
        <f>-SUMIFS(Xero!$F:$F,Xero!$B:$B,Heron!AQ$9,Xero!$A:$A,Heron!$A$4,Xero!$E:$E,Heron!$A14)-SUMIFS(Xero!$F:$F,Xero!$B:$B,Heron!AQ$9,Xero!$A:$A,Heron!$A$5,Xero!$E:$E,Heron!$A14)</f>
        <v/>
      </c>
      <c r="AR14" s="117">
        <f>-SUMIFS(Xero!$F:$F,Xero!$B:$B,Heron!AR$9,Xero!$A:$A,Heron!$A$4,Xero!$E:$E,Heron!$A14)-SUMIFS(Xero!$F:$F,Xero!$B:$B,Heron!AR$9,Xero!$A:$A,Heron!$A$5,Xero!$E:$E,Heron!$A14)</f>
        <v/>
      </c>
      <c r="AS14" s="117">
        <f>-SUMIFS(Xero!$F:$F,Xero!$B:$B,Heron!AS$9,Xero!$A:$A,Heron!$A$4,Xero!$E:$E,Heron!$A14)-SUMIFS(Xero!$F:$F,Xero!$B:$B,Heron!AS$9,Xero!$A:$A,Heron!$A$5,Xero!$E:$E,Heron!$A14)</f>
        <v/>
      </c>
      <c r="AT14" s="117">
        <f>-SUMIFS(Xero!$F:$F,Xero!$B:$B,Heron!AT$9,Xero!$A:$A,Heron!$A$4,Xero!$E:$E,Heron!$A14)-SUMIFS(Xero!$F:$F,Xero!$B:$B,Heron!AT$9,Xero!$A:$A,Heron!$A$5,Xero!$E:$E,Heron!$A14)</f>
        <v/>
      </c>
      <c r="AU14" s="117">
        <f>-SUMIFS(Xero!$F:$F,Xero!$B:$B,Heron!AU$9,Xero!$A:$A,Heron!$A$4,Xero!$E:$E,Heron!$A14)-SUMIFS(Xero!$F:$F,Xero!$B:$B,Heron!AU$9,Xero!$A:$A,Heron!$A$5,Xero!$E:$E,Heron!$A14)</f>
        <v/>
      </c>
      <c r="AV14" s="117">
        <f>-SUMIFS(Xero!$F:$F,Xero!$B:$B,Heron!AV$9,Xero!$A:$A,Heron!$A$4,Xero!$E:$E,Heron!$A14)-SUMIFS(Xero!$F:$F,Xero!$B:$B,Heron!AV$9,Xero!$A:$A,Heron!$A$5,Xero!$E:$E,Heron!$A14)</f>
        <v/>
      </c>
      <c r="AW14" s="117">
        <f>-SUMIFS(Xero!$F:$F,Xero!$B:$B,Heron!AW$9,Xero!$A:$A,Heron!$A$4,Xero!$E:$E,Heron!$A14)-SUMIFS(Xero!$F:$F,Xero!$B:$B,Heron!AW$9,Xero!$A:$A,Heron!$A$5,Xero!$E:$E,Heron!$A14)</f>
        <v/>
      </c>
      <c r="AX14" s="117">
        <f>-SUMIFS(Xero!$F:$F,Xero!$B:$B,Heron!AX$9,Xero!$A:$A,Heron!$A$4,Xero!$E:$E,Heron!$A14)-SUMIFS(Xero!$F:$F,Xero!$B:$B,Heron!AX$9,Xero!$A:$A,Heron!$A$5,Xero!$E:$E,Heron!$A14)</f>
        <v/>
      </c>
      <c r="AY14" s="117">
        <f>-SUMIFS(Xero!$F:$F,Xero!$B:$B,Heron!AY$9,Xero!$A:$A,Heron!$A$4,Xero!$E:$E,Heron!$A14)-SUMIFS(Xero!$F:$F,Xero!$B:$B,Heron!AY$9,Xero!$A:$A,Heron!$A$5,Xero!$E:$E,Heron!$A14)</f>
        <v/>
      </c>
      <c r="AZ14" s="117">
        <f>-SUMIFS(Xero!$F:$F,Xero!$B:$B,Heron!AZ$9,Xero!$A:$A,Heron!$A$4,Xero!$E:$E,Heron!$A14)-SUMIFS(Xero!$F:$F,Xero!$B:$B,Heron!AZ$9,Xero!$A:$A,Heron!$A$5,Xero!$E:$E,Heron!$A14)</f>
        <v/>
      </c>
      <c r="BA14" s="117">
        <f>-SUMIFS(Xero!$F:$F,Xero!$B:$B,Heron!BA$9,Xero!$A:$A,Heron!$A$4,Xero!$E:$E,Heron!$A14)-SUMIFS(Xero!$F:$F,Xero!$B:$B,Heron!BA$9,Xero!$A:$A,Heron!$A$5,Xero!$E:$E,Heron!$A14)</f>
        <v/>
      </c>
      <c r="BB14" s="117">
        <f>-SUMIFS(Xero!$F:$F,Xero!$B:$B,Heron!BB$9,Xero!$A:$A,Heron!$A$4,Xero!$E:$E,Heron!$A14)-SUMIFS(Xero!$F:$F,Xero!$B:$B,Heron!BB$9,Xero!$A:$A,Heron!$A$5,Xero!$E:$E,Heron!$A14)</f>
        <v/>
      </c>
      <c r="BC14" s="117">
        <f>-SUMIFS(Xero!$F:$F,Xero!$B:$B,Heron!BC$9,Xero!$A:$A,Heron!$A$4,Xero!$E:$E,Heron!$A14)-SUMIFS(Xero!$F:$F,Xero!$B:$B,Heron!BC$9,Xero!$A:$A,Heron!$A$5,Xero!$E:$E,Heron!$A14)</f>
        <v/>
      </c>
      <c r="BD14" s="117">
        <f>-SUMIFS(Xero!$F:$F,Xero!$B:$B,Heron!BD$9,Xero!$A:$A,Heron!$A$4,Xero!$E:$E,Heron!$A14)-SUMIFS(Xero!$F:$F,Xero!$B:$B,Heron!BD$9,Xero!$A:$A,Heron!$A$5,Xero!$E:$E,Heron!$A14)</f>
        <v/>
      </c>
      <c r="BE14" s="117">
        <f>-SUMIFS(Xero!$F:$F,Xero!$B:$B,Heron!BE$9,Xero!$A:$A,Heron!$A$4,Xero!$E:$E,Heron!$A14)-SUMIFS(Xero!$F:$F,Xero!$B:$B,Heron!BE$9,Xero!$A:$A,Heron!$A$5,Xero!$E:$E,Heron!$A14)</f>
        <v/>
      </c>
      <c r="BF14" s="117">
        <f>-SUMIFS(Xero!$F:$F,Xero!$B:$B,Heron!BF$9,Xero!$A:$A,Heron!$A$4,Xero!$E:$E,Heron!$A14)-SUMIFS(Xero!$F:$F,Xero!$B:$B,Heron!BF$9,Xero!$A:$A,Heron!$A$5,Xero!$E:$E,Heron!$A14)</f>
        <v/>
      </c>
      <c r="BG14" s="117">
        <f>-SUMIFS(Xero!$F:$F,Xero!$B:$B,Heron!BG$9,Xero!$A:$A,Heron!$A$4,Xero!$E:$E,Heron!$A14)-SUMIFS(Xero!$F:$F,Xero!$B:$B,Heron!BG$9,Xero!$A:$A,Heron!$A$5,Xero!$E:$E,Heron!$A14)</f>
        <v/>
      </c>
      <c r="BH14" s="117">
        <f>-SUMIFS(Xero!$F:$F,Xero!$B:$B,Heron!BH$9,Xero!$A:$A,Heron!$A$4,Xero!$E:$E,Heron!$A14)-SUMIFS(Xero!$F:$F,Xero!$B:$B,Heron!BH$9,Xero!$A:$A,Heron!$A$5,Xero!$E:$E,Heron!$A14)</f>
        <v/>
      </c>
      <c r="BI14" s="117">
        <f>-SUMIFS(Xero!$F:$F,Xero!$B:$B,Heron!BI$9,Xero!$A:$A,Heron!$A$4,Xero!$E:$E,Heron!$A14)-SUMIFS(Xero!$F:$F,Xero!$B:$B,Heron!BI$9,Xero!$A:$A,Heron!$A$5,Xero!$E:$E,Heron!$A14)</f>
        <v/>
      </c>
      <c r="BJ14" s="117">
        <f>-SUMIFS(Xero!$F:$F,Xero!$B:$B,Heron!BJ$9,Xero!$A:$A,Heron!$A$4,Xero!$E:$E,Heron!$A14)-SUMIFS(Xero!$F:$F,Xero!$B:$B,Heron!BJ$9,Xero!$A:$A,Heron!$A$5,Xero!$E:$E,Heron!$A14)</f>
        <v/>
      </c>
      <c r="BK14" s="117">
        <f>sum(D14:BJ14)</f>
        <v/>
      </c>
    </row>
    <row r="15">
      <c r="A15" s="116" t="inlineStr">
        <is>
          <t>Interest Received - Deposit Grey Heron</t>
        </is>
      </c>
      <c r="D15" s="117">
        <f>-SUMIFS(Xero!$F:$F,Xero!$B:$B,Heron!D$9,Xero!$A:$A,Heron!$A$4,Xero!$E:$E,Heron!$A15)-SUMIFS(Xero!$F:$F,Xero!$B:$B,Heron!D$9,Xero!$A:$A,Heron!$A$5,Xero!$E:$E,Heron!$A15)</f>
        <v/>
      </c>
      <c r="E15" s="117">
        <f>-SUMIFS(Xero!$F:$F,Xero!$B:$B,Heron!E$9,Xero!$A:$A,Heron!$A$4,Xero!$E:$E,Heron!$A15)-SUMIFS(Xero!$F:$F,Xero!$B:$B,Heron!E$9,Xero!$A:$A,Heron!$A$5,Xero!$E:$E,Heron!$A15)</f>
        <v/>
      </c>
      <c r="F15" s="117">
        <f>-SUMIFS(Xero!$F:$F,Xero!$B:$B,Heron!F$9,Xero!$A:$A,Heron!$A$4,Xero!$E:$E,Heron!$A15)-SUMIFS(Xero!$F:$F,Xero!$B:$B,Heron!F$9,Xero!$A:$A,Heron!$A$5,Xero!$E:$E,Heron!$A15)</f>
        <v/>
      </c>
      <c r="G15" s="117">
        <f>-SUMIFS(Xero!$F:$F,Xero!$B:$B,Heron!G$9,Xero!$A:$A,Heron!$A$4,Xero!$E:$E,Heron!$A15)-SUMIFS(Xero!$F:$F,Xero!$B:$B,Heron!G$9,Xero!$A:$A,Heron!$A$5,Xero!$E:$E,Heron!$A15)</f>
        <v/>
      </c>
      <c r="H15" s="117">
        <f>-SUMIFS(Xero!$F:$F,Xero!$B:$B,Heron!H$9,Xero!$A:$A,Heron!$A$4,Xero!$E:$E,Heron!$A15)-SUMIFS(Xero!$F:$F,Xero!$B:$B,Heron!H$9,Xero!$A:$A,Heron!$A$5,Xero!$E:$E,Heron!$A15)</f>
        <v/>
      </c>
      <c r="I15" s="117">
        <f>-SUMIFS(Xero!$F:$F,Xero!$B:$B,Heron!I$9,Xero!$A:$A,Heron!$A$4,Xero!$E:$E,Heron!$A15)-SUMIFS(Xero!$F:$F,Xero!$B:$B,Heron!I$9,Xero!$A:$A,Heron!$A$5,Xero!$E:$E,Heron!$A15)</f>
        <v/>
      </c>
      <c r="J15" s="117">
        <f>-SUMIFS(Xero!$F:$F,Xero!$B:$B,Heron!J$9,Xero!$A:$A,Heron!$A$4,Xero!$E:$E,Heron!$A15)-SUMIFS(Xero!$F:$F,Xero!$B:$B,Heron!J$9,Xero!$A:$A,Heron!$A$5,Xero!$E:$E,Heron!$A15)</f>
        <v/>
      </c>
      <c r="K15" s="117">
        <f>-SUMIFS(Xero!$F:$F,Xero!$B:$B,Heron!K$9,Xero!$A:$A,Heron!$A$4,Xero!$E:$E,Heron!$A15)-SUMIFS(Xero!$F:$F,Xero!$B:$B,Heron!K$9,Xero!$A:$A,Heron!$A$5,Xero!$E:$E,Heron!$A15)</f>
        <v/>
      </c>
      <c r="L15" s="117">
        <f>-SUMIFS(Xero!$F:$F,Xero!$B:$B,Heron!L$9,Xero!$A:$A,Heron!$A$4,Xero!$E:$E,Heron!$A15)-SUMIFS(Xero!$F:$F,Xero!$B:$B,Heron!L$9,Xero!$A:$A,Heron!$A$5,Xero!$E:$E,Heron!$A15)</f>
        <v/>
      </c>
      <c r="M15" s="117">
        <f>-SUMIFS(Xero!$F:$F,Xero!$B:$B,Heron!M$9,Xero!$A:$A,Heron!$A$4,Xero!$E:$E,Heron!$A15)-SUMIFS(Xero!$F:$F,Xero!$B:$B,Heron!M$9,Xero!$A:$A,Heron!$A$5,Xero!$E:$E,Heron!$A15)</f>
        <v/>
      </c>
      <c r="N15" s="117">
        <f>-SUMIFS(Xero!$F:$F,Xero!$B:$B,Heron!N$9,Xero!$A:$A,Heron!$A$4,Xero!$E:$E,Heron!$A15)-SUMIFS(Xero!$F:$F,Xero!$B:$B,Heron!N$9,Xero!$A:$A,Heron!$A$5,Xero!$E:$E,Heron!$A15)</f>
        <v/>
      </c>
      <c r="O15" s="117">
        <f>-SUMIFS(Xero!$F:$F,Xero!$B:$B,Heron!O$9,Xero!$A:$A,Heron!$A$4,Xero!$E:$E,Heron!$A15)-SUMIFS(Xero!$F:$F,Xero!$B:$B,Heron!O$9,Xero!$A:$A,Heron!$A$5,Xero!$E:$E,Heron!$A15)</f>
        <v/>
      </c>
      <c r="P15" s="117">
        <f>-SUMIFS(Xero!$F:$F,Xero!$B:$B,Heron!P$9,Xero!$A:$A,Heron!$A$4,Xero!$E:$E,Heron!$A15)-SUMIFS(Xero!$F:$F,Xero!$B:$B,Heron!P$9,Xero!$A:$A,Heron!$A$5,Xero!$E:$E,Heron!$A15)</f>
        <v/>
      </c>
      <c r="Q15" s="117">
        <f>-SUMIFS(Xero!$F:$F,Xero!$B:$B,Heron!Q$9,Xero!$A:$A,Heron!$A$4,Xero!$E:$E,Heron!$A15)-SUMIFS(Xero!$F:$F,Xero!$B:$B,Heron!Q$9,Xero!$A:$A,Heron!$A$5,Xero!$E:$E,Heron!$A15)</f>
        <v/>
      </c>
      <c r="R15" s="117">
        <f>-SUMIFS(Xero!$F:$F,Xero!$B:$B,Heron!R$9,Xero!$A:$A,Heron!$A$4,Xero!$E:$E,Heron!$A15)-SUMIFS(Xero!$F:$F,Xero!$B:$B,Heron!R$9,Xero!$A:$A,Heron!$A$5,Xero!$E:$E,Heron!$A15)</f>
        <v/>
      </c>
      <c r="S15" s="117">
        <f>-SUMIFS(Xero!$F:$F,Xero!$B:$B,Heron!S$9,Xero!$A:$A,Heron!$A$4,Xero!$E:$E,Heron!$A15)-SUMIFS(Xero!$F:$F,Xero!$B:$B,Heron!S$9,Xero!$A:$A,Heron!$A$5,Xero!$E:$E,Heron!$A15)</f>
        <v/>
      </c>
      <c r="T15" s="117">
        <f>-SUMIFS(Xero!$F:$F,Xero!$B:$B,Heron!T$9,Xero!$A:$A,Heron!$A$4,Xero!$E:$E,Heron!$A15)-SUMIFS(Xero!$F:$F,Xero!$B:$B,Heron!T$9,Xero!$A:$A,Heron!$A$5,Xero!$E:$E,Heron!$A15)</f>
        <v/>
      </c>
      <c r="U15" s="117">
        <f>-SUMIFS(Xero!$F:$F,Xero!$B:$B,Heron!U$9,Xero!$A:$A,Heron!$A$4,Xero!$E:$E,Heron!$A15)-SUMIFS(Xero!$F:$F,Xero!$B:$B,Heron!U$9,Xero!$A:$A,Heron!$A$5,Xero!$E:$E,Heron!$A15)</f>
        <v/>
      </c>
      <c r="V15" s="117">
        <f>-SUMIFS(Xero!$F:$F,Xero!$B:$B,Heron!V$9,Xero!$A:$A,Heron!$A$4,Xero!$E:$E,Heron!$A15)-SUMIFS(Xero!$F:$F,Xero!$B:$B,Heron!V$9,Xero!$A:$A,Heron!$A$5,Xero!$E:$E,Heron!$A15)</f>
        <v/>
      </c>
      <c r="W15" s="117">
        <f>-SUMIFS(Xero!$F:$F,Xero!$B:$B,Heron!W$9,Xero!$A:$A,Heron!$A$4,Xero!$E:$E,Heron!$A15)-SUMIFS(Xero!$F:$F,Xero!$B:$B,Heron!W$9,Xero!$A:$A,Heron!$A$5,Xero!$E:$E,Heron!$A15)</f>
        <v/>
      </c>
      <c r="X15" s="117">
        <f>-SUMIFS(Xero!$F:$F,Xero!$B:$B,Heron!X$9,Xero!$A:$A,Heron!$A$4,Xero!$E:$E,Heron!$A15)-SUMIFS(Xero!$F:$F,Xero!$B:$B,Heron!X$9,Xero!$A:$A,Heron!$A$5,Xero!$E:$E,Heron!$A15)</f>
        <v/>
      </c>
      <c r="Y15" s="117">
        <f>-SUMIFS(Xero!$F:$F,Xero!$B:$B,Heron!Y$9,Xero!$A:$A,Heron!$A$4,Xero!$E:$E,Heron!$A15)-SUMIFS(Xero!$F:$F,Xero!$B:$B,Heron!Y$9,Xero!$A:$A,Heron!$A$5,Xero!$E:$E,Heron!$A15)</f>
        <v/>
      </c>
      <c r="Z15" s="117">
        <f>-SUMIFS(Xero!$F:$F,Xero!$B:$B,Heron!Z$9,Xero!$A:$A,Heron!$A$4,Xero!$E:$E,Heron!$A15)-SUMIFS(Xero!$F:$F,Xero!$B:$B,Heron!Z$9,Xero!$A:$A,Heron!$A$5,Xero!$E:$E,Heron!$A15)</f>
        <v/>
      </c>
      <c r="AA15" s="117">
        <f>-SUMIFS(Xero!$F:$F,Xero!$B:$B,Heron!AA$9,Xero!$A:$A,Heron!$A$4,Xero!$E:$E,Heron!$A15)-SUMIFS(Xero!$F:$F,Xero!$B:$B,Heron!AA$9,Xero!$A:$A,Heron!$A$5,Xero!$E:$E,Heron!$A15)</f>
        <v/>
      </c>
      <c r="AB15" s="117">
        <f>-SUMIFS(Xero!$F:$F,Xero!$B:$B,Heron!AB$9,Xero!$A:$A,Heron!$A$4,Xero!$E:$E,Heron!$A15)-SUMIFS(Xero!$F:$F,Xero!$B:$B,Heron!AB$9,Xero!$A:$A,Heron!$A$5,Xero!$E:$E,Heron!$A15)</f>
        <v/>
      </c>
      <c r="AC15" s="117">
        <f>-SUMIFS(Xero!$F:$F,Xero!$B:$B,Heron!AC$9,Xero!$A:$A,Heron!$A$4,Xero!$E:$E,Heron!$A15)-SUMIFS(Xero!$F:$F,Xero!$B:$B,Heron!AC$9,Xero!$A:$A,Heron!$A$5,Xero!$E:$E,Heron!$A15)</f>
        <v/>
      </c>
      <c r="AD15" s="117">
        <f>-SUMIFS(Xero!$F:$F,Xero!$B:$B,Heron!AD$9,Xero!$A:$A,Heron!$A$4,Xero!$E:$E,Heron!$A15)-SUMIFS(Xero!$F:$F,Xero!$B:$B,Heron!AD$9,Xero!$A:$A,Heron!$A$5,Xero!$E:$E,Heron!$A15)</f>
        <v/>
      </c>
      <c r="AE15" s="117">
        <f>-SUMIFS(Xero!$F:$F,Xero!$B:$B,Heron!AE$9,Xero!$A:$A,Heron!$A$4,Xero!$E:$E,Heron!$A15)-SUMIFS(Xero!$F:$F,Xero!$B:$B,Heron!AE$9,Xero!$A:$A,Heron!$A$5,Xero!$E:$E,Heron!$A15)</f>
        <v/>
      </c>
      <c r="AF15" s="117">
        <f>-SUMIFS(Xero!$F:$F,Xero!$B:$B,Heron!AF$9,Xero!$A:$A,Heron!$A$4,Xero!$E:$E,Heron!$A15)-SUMIFS(Xero!$F:$F,Xero!$B:$B,Heron!AF$9,Xero!$A:$A,Heron!$A$5,Xero!$E:$E,Heron!$A15)</f>
        <v/>
      </c>
      <c r="AG15" s="117">
        <f>-SUMIFS(Xero!$F:$F,Xero!$B:$B,Heron!AG$9,Xero!$A:$A,Heron!$A$4,Xero!$E:$E,Heron!$A15)-SUMIFS(Xero!$F:$F,Xero!$B:$B,Heron!AG$9,Xero!$A:$A,Heron!$A$5,Xero!$E:$E,Heron!$A15)</f>
        <v/>
      </c>
      <c r="AH15" s="117">
        <f>-SUMIFS(Xero!$F:$F,Xero!$B:$B,Heron!AH$9,Xero!$A:$A,Heron!$A$4,Xero!$E:$E,Heron!$A15)-SUMIFS(Xero!$F:$F,Xero!$B:$B,Heron!AH$9,Xero!$A:$A,Heron!$A$5,Xero!$E:$E,Heron!$A15)</f>
        <v/>
      </c>
      <c r="AI15" s="117">
        <f>-SUMIFS(Xero!$F:$F,Xero!$B:$B,Heron!AI$9,Xero!$A:$A,Heron!$A$4,Xero!$E:$E,Heron!$A15)-SUMIFS(Xero!$F:$F,Xero!$B:$B,Heron!AI$9,Xero!$A:$A,Heron!$A$5,Xero!$E:$E,Heron!$A15)</f>
        <v/>
      </c>
      <c r="AJ15" s="117">
        <f>-SUMIFS(Xero!$F:$F,Xero!$B:$B,Heron!AJ$9,Xero!$A:$A,Heron!$A$4,Xero!$E:$E,Heron!$A15)-SUMIFS(Xero!$F:$F,Xero!$B:$B,Heron!AJ$9,Xero!$A:$A,Heron!$A$5,Xero!$E:$E,Heron!$A15)</f>
        <v/>
      </c>
      <c r="AK15" s="117">
        <f>-SUMIFS(Xero!$F:$F,Xero!$B:$B,Heron!AK$9,Xero!$A:$A,Heron!$A$4,Xero!$E:$E,Heron!$A15)-SUMIFS(Xero!$F:$F,Xero!$B:$B,Heron!AK$9,Xero!$A:$A,Heron!$A$5,Xero!$E:$E,Heron!$A15)</f>
        <v/>
      </c>
      <c r="AL15" s="117">
        <f>-SUMIFS(Xero!$F:$F,Xero!$B:$B,Heron!AL$9,Xero!$A:$A,Heron!$A$4,Xero!$E:$E,Heron!$A15)-SUMIFS(Xero!$F:$F,Xero!$B:$B,Heron!AL$9,Xero!$A:$A,Heron!$A$5,Xero!$E:$E,Heron!$A15)</f>
        <v/>
      </c>
      <c r="AM15" s="117">
        <f>-SUMIFS(Xero!$F:$F,Xero!$B:$B,Heron!AM$9,Xero!$A:$A,Heron!$A$4,Xero!$E:$E,Heron!$A15)-SUMIFS(Xero!$F:$F,Xero!$B:$B,Heron!AM$9,Xero!$A:$A,Heron!$A$5,Xero!$E:$E,Heron!$A15)</f>
        <v/>
      </c>
      <c r="AN15" s="117">
        <f>-SUMIFS(Xero!$F:$F,Xero!$B:$B,Heron!AN$9,Xero!$A:$A,Heron!$A$4,Xero!$E:$E,Heron!$A15)-SUMIFS(Xero!$F:$F,Xero!$B:$B,Heron!AN$9,Xero!$A:$A,Heron!$A$5,Xero!$E:$E,Heron!$A15)</f>
        <v/>
      </c>
      <c r="AO15" s="117">
        <f>-SUMIFS(Xero!$F:$F,Xero!$B:$B,Heron!AO$9,Xero!$A:$A,Heron!$A$4,Xero!$E:$E,Heron!$A15)-SUMIFS(Xero!$F:$F,Xero!$B:$B,Heron!AO$9,Xero!$A:$A,Heron!$A$5,Xero!$E:$E,Heron!$A15)</f>
        <v/>
      </c>
      <c r="AP15" s="117">
        <f>-SUMIFS(Xero!$F:$F,Xero!$B:$B,Heron!AP$9,Xero!$A:$A,Heron!$A$4,Xero!$E:$E,Heron!$A15)-SUMIFS(Xero!$F:$F,Xero!$B:$B,Heron!AP$9,Xero!$A:$A,Heron!$A$5,Xero!$E:$E,Heron!$A15)</f>
        <v/>
      </c>
      <c r="AQ15" s="117">
        <f>-SUMIFS(Xero!$F:$F,Xero!$B:$B,Heron!AQ$9,Xero!$A:$A,Heron!$A$4,Xero!$E:$E,Heron!$A15)-SUMIFS(Xero!$F:$F,Xero!$B:$B,Heron!AQ$9,Xero!$A:$A,Heron!$A$5,Xero!$E:$E,Heron!$A15)</f>
        <v/>
      </c>
      <c r="AR15" s="117">
        <f>-SUMIFS(Xero!$F:$F,Xero!$B:$B,Heron!AR$9,Xero!$A:$A,Heron!$A$4,Xero!$E:$E,Heron!$A15)-SUMIFS(Xero!$F:$F,Xero!$B:$B,Heron!AR$9,Xero!$A:$A,Heron!$A$5,Xero!$E:$E,Heron!$A15)</f>
        <v/>
      </c>
      <c r="AS15" s="117">
        <f>-SUMIFS(Xero!$F:$F,Xero!$B:$B,Heron!AS$9,Xero!$A:$A,Heron!$A$4,Xero!$E:$E,Heron!$A15)-SUMIFS(Xero!$F:$F,Xero!$B:$B,Heron!AS$9,Xero!$A:$A,Heron!$A$5,Xero!$E:$E,Heron!$A15)</f>
        <v/>
      </c>
      <c r="AT15" s="117">
        <f>-SUMIFS(Xero!$F:$F,Xero!$B:$B,Heron!AT$9,Xero!$A:$A,Heron!$A$4,Xero!$E:$E,Heron!$A15)-SUMIFS(Xero!$F:$F,Xero!$B:$B,Heron!AT$9,Xero!$A:$A,Heron!$A$5,Xero!$E:$E,Heron!$A15)</f>
        <v/>
      </c>
      <c r="AU15" s="117">
        <f>-SUMIFS(Xero!$F:$F,Xero!$B:$B,Heron!AU$9,Xero!$A:$A,Heron!$A$4,Xero!$E:$E,Heron!$A15)-SUMIFS(Xero!$F:$F,Xero!$B:$B,Heron!AU$9,Xero!$A:$A,Heron!$A$5,Xero!$E:$E,Heron!$A15)</f>
        <v/>
      </c>
      <c r="AV15" s="117">
        <f>-SUMIFS(Xero!$F:$F,Xero!$B:$B,Heron!AV$9,Xero!$A:$A,Heron!$A$4,Xero!$E:$E,Heron!$A15)-SUMIFS(Xero!$F:$F,Xero!$B:$B,Heron!AV$9,Xero!$A:$A,Heron!$A$5,Xero!$E:$E,Heron!$A15)</f>
        <v/>
      </c>
      <c r="AW15" s="117">
        <f>-SUMIFS(Xero!$F:$F,Xero!$B:$B,Heron!AW$9,Xero!$A:$A,Heron!$A$4,Xero!$E:$E,Heron!$A15)-SUMIFS(Xero!$F:$F,Xero!$B:$B,Heron!AW$9,Xero!$A:$A,Heron!$A$5,Xero!$E:$E,Heron!$A15)</f>
        <v/>
      </c>
      <c r="AX15" s="117">
        <f>-SUMIFS(Xero!$F:$F,Xero!$B:$B,Heron!AX$9,Xero!$A:$A,Heron!$A$4,Xero!$E:$E,Heron!$A15)-SUMIFS(Xero!$F:$F,Xero!$B:$B,Heron!AX$9,Xero!$A:$A,Heron!$A$5,Xero!$E:$E,Heron!$A15)</f>
        <v/>
      </c>
      <c r="AY15" s="117">
        <f>-SUMIFS(Xero!$F:$F,Xero!$B:$B,Heron!AY$9,Xero!$A:$A,Heron!$A$4,Xero!$E:$E,Heron!$A15)-SUMIFS(Xero!$F:$F,Xero!$B:$B,Heron!AY$9,Xero!$A:$A,Heron!$A$5,Xero!$E:$E,Heron!$A15)</f>
        <v/>
      </c>
      <c r="AZ15" s="117">
        <f>-SUMIFS(Xero!$F:$F,Xero!$B:$B,Heron!AZ$9,Xero!$A:$A,Heron!$A$4,Xero!$E:$E,Heron!$A15)-SUMIFS(Xero!$F:$F,Xero!$B:$B,Heron!AZ$9,Xero!$A:$A,Heron!$A$5,Xero!$E:$E,Heron!$A15)</f>
        <v/>
      </c>
      <c r="BA15" s="117">
        <f>-SUMIFS(Xero!$F:$F,Xero!$B:$B,Heron!BA$9,Xero!$A:$A,Heron!$A$4,Xero!$E:$E,Heron!$A15)-SUMIFS(Xero!$F:$F,Xero!$B:$B,Heron!BA$9,Xero!$A:$A,Heron!$A$5,Xero!$E:$E,Heron!$A15)</f>
        <v/>
      </c>
      <c r="BB15" s="117">
        <f>-SUMIFS(Xero!$F:$F,Xero!$B:$B,Heron!BB$9,Xero!$A:$A,Heron!$A$4,Xero!$E:$E,Heron!$A15)-SUMIFS(Xero!$F:$F,Xero!$B:$B,Heron!BB$9,Xero!$A:$A,Heron!$A$5,Xero!$E:$E,Heron!$A15)</f>
        <v/>
      </c>
      <c r="BC15" s="117">
        <f>-SUMIFS(Xero!$F:$F,Xero!$B:$B,Heron!BC$9,Xero!$A:$A,Heron!$A$4,Xero!$E:$E,Heron!$A15)-SUMIFS(Xero!$F:$F,Xero!$B:$B,Heron!BC$9,Xero!$A:$A,Heron!$A$5,Xero!$E:$E,Heron!$A15)</f>
        <v/>
      </c>
      <c r="BD15" s="117">
        <f>-SUMIFS(Xero!$F:$F,Xero!$B:$B,Heron!BD$9,Xero!$A:$A,Heron!$A$4,Xero!$E:$E,Heron!$A15)-SUMIFS(Xero!$F:$F,Xero!$B:$B,Heron!BD$9,Xero!$A:$A,Heron!$A$5,Xero!$E:$E,Heron!$A15)</f>
        <v/>
      </c>
      <c r="BE15" s="117">
        <f>-SUMIFS(Xero!$F:$F,Xero!$B:$B,Heron!BE$9,Xero!$A:$A,Heron!$A$4,Xero!$E:$E,Heron!$A15)-SUMIFS(Xero!$F:$F,Xero!$B:$B,Heron!BE$9,Xero!$A:$A,Heron!$A$5,Xero!$E:$E,Heron!$A15)</f>
        <v/>
      </c>
      <c r="BF15" s="117">
        <f>-SUMIFS(Xero!$F:$F,Xero!$B:$B,Heron!BF$9,Xero!$A:$A,Heron!$A$4,Xero!$E:$E,Heron!$A15)-SUMIFS(Xero!$F:$F,Xero!$B:$B,Heron!BF$9,Xero!$A:$A,Heron!$A$5,Xero!$E:$E,Heron!$A15)</f>
        <v/>
      </c>
      <c r="BG15" s="117">
        <f>-SUMIFS(Xero!$F:$F,Xero!$B:$B,Heron!BG$9,Xero!$A:$A,Heron!$A$4,Xero!$E:$E,Heron!$A15)-SUMIFS(Xero!$F:$F,Xero!$B:$B,Heron!BG$9,Xero!$A:$A,Heron!$A$5,Xero!$E:$E,Heron!$A15)</f>
        <v/>
      </c>
      <c r="BH15" s="117">
        <f>-SUMIFS(Xero!$F:$F,Xero!$B:$B,Heron!BH$9,Xero!$A:$A,Heron!$A$4,Xero!$E:$E,Heron!$A15)-SUMIFS(Xero!$F:$F,Xero!$B:$B,Heron!BH$9,Xero!$A:$A,Heron!$A$5,Xero!$E:$E,Heron!$A15)</f>
        <v/>
      </c>
      <c r="BI15" s="117">
        <f>-SUMIFS(Xero!$F:$F,Xero!$B:$B,Heron!BI$9,Xero!$A:$A,Heron!$A$4,Xero!$E:$E,Heron!$A15)-SUMIFS(Xero!$F:$F,Xero!$B:$B,Heron!BI$9,Xero!$A:$A,Heron!$A$5,Xero!$E:$E,Heron!$A15)</f>
        <v/>
      </c>
      <c r="BJ15" s="117">
        <f>-SUMIFS(Xero!$F:$F,Xero!$B:$B,Heron!BJ$9,Xero!$A:$A,Heron!$A$4,Xero!$E:$E,Heron!$A15)-SUMIFS(Xero!$F:$F,Xero!$B:$B,Heron!BJ$9,Xero!$A:$A,Heron!$A$5,Xero!$E:$E,Heron!$A15)</f>
        <v/>
      </c>
      <c r="BK15" s="117">
        <f>sum(D15:BJ15)</f>
        <v/>
      </c>
    </row>
    <row r="16">
      <c r="A16" s="116" t="inlineStr">
        <is>
          <t>Interest Received - Deposits</t>
        </is>
      </c>
      <c r="D16" s="117">
        <f>-SUMIFS(Xero!$F:$F,Xero!$B:$B,Heron!D$9,Xero!$A:$A,Heron!$A$4,Xero!$E:$E,Heron!$A16)-SUMIFS(Xero!$F:$F,Xero!$B:$B,Heron!D$9,Xero!$A:$A,Heron!$A$5,Xero!$E:$E,Heron!$A16)</f>
        <v/>
      </c>
      <c r="E16" s="117">
        <f>-SUMIFS(Xero!$F:$F,Xero!$B:$B,Heron!E$9,Xero!$A:$A,Heron!$A$4,Xero!$E:$E,Heron!$A16)-SUMIFS(Xero!$F:$F,Xero!$B:$B,Heron!E$9,Xero!$A:$A,Heron!$A$5,Xero!$E:$E,Heron!$A16)</f>
        <v/>
      </c>
      <c r="F16" s="117">
        <f>-SUMIFS(Xero!$F:$F,Xero!$B:$B,Heron!F$9,Xero!$A:$A,Heron!$A$4,Xero!$E:$E,Heron!$A16)-SUMIFS(Xero!$F:$F,Xero!$B:$B,Heron!F$9,Xero!$A:$A,Heron!$A$5,Xero!$E:$E,Heron!$A16)</f>
        <v/>
      </c>
      <c r="G16" s="117">
        <f>-SUMIFS(Xero!$F:$F,Xero!$B:$B,Heron!G$9,Xero!$A:$A,Heron!$A$4,Xero!$E:$E,Heron!$A16)-SUMIFS(Xero!$F:$F,Xero!$B:$B,Heron!G$9,Xero!$A:$A,Heron!$A$5,Xero!$E:$E,Heron!$A16)</f>
        <v/>
      </c>
      <c r="H16" s="117">
        <f>-SUMIFS(Xero!$F:$F,Xero!$B:$B,Heron!H$9,Xero!$A:$A,Heron!$A$4,Xero!$E:$E,Heron!$A16)-SUMIFS(Xero!$F:$F,Xero!$B:$B,Heron!H$9,Xero!$A:$A,Heron!$A$5,Xero!$E:$E,Heron!$A16)</f>
        <v/>
      </c>
      <c r="I16" s="117">
        <f>-SUMIFS(Xero!$F:$F,Xero!$B:$B,Heron!I$9,Xero!$A:$A,Heron!$A$4,Xero!$E:$E,Heron!$A16)-SUMIFS(Xero!$F:$F,Xero!$B:$B,Heron!I$9,Xero!$A:$A,Heron!$A$5,Xero!$E:$E,Heron!$A16)</f>
        <v/>
      </c>
      <c r="J16" s="117">
        <f>-SUMIFS(Xero!$F:$F,Xero!$B:$B,Heron!J$9,Xero!$A:$A,Heron!$A$4,Xero!$E:$E,Heron!$A16)-SUMIFS(Xero!$F:$F,Xero!$B:$B,Heron!J$9,Xero!$A:$A,Heron!$A$5,Xero!$E:$E,Heron!$A16)</f>
        <v/>
      </c>
      <c r="K16" s="117">
        <f>-SUMIFS(Xero!$F:$F,Xero!$B:$B,Heron!K$9,Xero!$A:$A,Heron!$A$4,Xero!$E:$E,Heron!$A16)-SUMIFS(Xero!$F:$F,Xero!$B:$B,Heron!K$9,Xero!$A:$A,Heron!$A$5,Xero!$E:$E,Heron!$A16)</f>
        <v/>
      </c>
      <c r="L16" s="117">
        <f>-SUMIFS(Xero!$F:$F,Xero!$B:$B,Heron!L$9,Xero!$A:$A,Heron!$A$4,Xero!$E:$E,Heron!$A16)-SUMIFS(Xero!$F:$F,Xero!$B:$B,Heron!L$9,Xero!$A:$A,Heron!$A$5,Xero!$E:$E,Heron!$A16)</f>
        <v/>
      </c>
      <c r="M16" s="117">
        <f>-SUMIFS(Xero!$F:$F,Xero!$B:$B,Heron!M$9,Xero!$A:$A,Heron!$A$4,Xero!$E:$E,Heron!$A16)-SUMIFS(Xero!$F:$F,Xero!$B:$B,Heron!M$9,Xero!$A:$A,Heron!$A$5,Xero!$E:$E,Heron!$A16)</f>
        <v/>
      </c>
      <c r="N16" s="117">
        <f>-SUMIFS(Xero!$F:$F,Xero!$B:$B,Heron!N$9,Xero!$A:$A,Heron!$A$4,Xero!$E:$E,Heron!$A16)-SUMIFS(Xero!$F:$F,Xero!$B:$B,Heron!N$9,Xero!$A:$A,Heron!$A$5,Xero!$E:$E,Heron!$A16)</f>
        <v/>
      </c>
      <c r="O16" s="117">
        <f>-SUMIFS(Xero!$F:$F,Xero!$B:$B,Heron!O$9,Xero!$A:$A,Heron!$A$4,Xero!$E:$E,Heron!$A16)-SUMIFS(Xero!$F:$F,Xero!$B:$B,Heron!O$9,Xero!$A:$A,Heron!$A$5,Xero!$E:$E,Heron!$A16)</f>
        <v/>
      </c>
      <c r="P16" s="117">
        <f>-SUMIFS(Xero!$F:$F,Xero!$B:$B,Heron!P$9,Xero!$A:$A,Heron!$A$4,Xero!$E:$E,Heron!$A16)-SUMIFS(Xero!$F:$F,Xero!$B:$B,Heron!P$9,Xero!$A:$A,Heron!$A$5,Xero!$E:$E,Heron!$A16)</f>
        <v/>
      </c>
      <c r="Q16" s="117">
        <f>-SUMIFS(Xero!$F:$F,Xero!$B:$B,Heron!Q$9,Xero!$A:$A,Heron!$A$4,Xero!$E:$E,Heron!$A16)-SUMIFS(Xero!$F:$F,Xero!$B:$B,Heron!Q$9,Xero!$A:$A,Heron!$A$5,Xero!$E:$E,Heron!$A16)</f>
        <v/>
      </c>
      <c r="R16" s="117">
        <f>-SUMIFS(Xero!$F:$F,Xero!$B:$B,Heron!R$9,Xero!$A:$A,Heron!$A$4,Xero!$E:$E,Heron!$A16)-SUMIFS(Xero!$F:$F,Xero!$B:$B,Heron!R$9,Xero!$A:$A,Heron!$A$5,Xero!$E:$E,Heron!$A16)</f>
        <v/>
      </c>
      <c r="S16" s="117">
        <f>-SUMIFS(Xero!$F:$F,Xero!$B:$B,Heron!S$9,Xero!$A:$A,Heron!$A$4,Xero!$E:$E,Heron!$A16)-SUMIFS(Xero!$F:$F,Xero!$B:$B,Heron!S$9,Xero!$A:$A,Heron!$A$5,Xero!$E:$E,Heron!$A16)</f>
        <v/>
      </c>
      <c r="T16" s="117">
        <f>-SUMIFS(Xero!$F:$F,Xero!$B:$B,Heron!T$9,Xero!$A:$A,Heron!$A$4,Xero!$E:$E,Heron!$A16)-SUMIFS(Xero!$F:$F,Xero!$B:$B,Heron!T$9,Xero!$A:$A,Heron!$A$5,Xero!$E:$E,Heron!$A16)</f>
        <v/>
      </c>
      <c r="U16" s="117">
        <f>-SUMIFS(Xero!$F:$F,Xero!$B:$B,Heron!U$9,Xero!$A:$A,Heron!$A$4,Xero!$E:$E,Heron!$A16)-SUMIFS(Xero!$F:$F,Xero!$B:$B,Heron!U$9,Xero!$A:$A,Heron!$A$5,Xero!$E:$E,Heron!$A16)</f>
        <v/>
      </c>
      <c r="V16" s="117">
        <f>-SUMIFS(Xero!$F:$F,Xero!$B:$B,Heron!V$9,Xero!$A:$A,Heron!$A$4,Xero!$E:$E,Heron!$A16)-SUMIFS(Xero!$F:$F,Xero!$B:$B,Heron!V$9,Xero!$A:$A,Heron!$A$5,Xero!$E:$E,Heron!$A16)</f>
        <v/>
      </c>
      <c r="W16" s="117">
        <f>-SUMIFS(Xero!$F:$F,Xero!$B:$B,Heron!W$9,Xero!$A:$A,Heron!$A$4,Xero!$E:$E,Heron!$A16)-SUMIFS(Xero!$F:$F,Xero!$B:$B,Heron!W$9,Xero!$A:$A,Heron!$A$5,Xero!$E:$E,Heron!$A16)</f>
        <v/>
      </c>
      <c r="X16" s="117">
        <f>-SUMIFS(Xero!$F:$F,Xero!$B:$B,Heron!X$9,Xero!$A:$A,Heron!$A$4,Xero!$E:$E,Heron!$A16)-SUMIFS(Xero!$F:$F,Xero!$B:$B,Heron!X$9,Xero!$A:$A,Heron!$A$5,Xero!$E:$E,Heron!$A16)</f>
        <v/>
      </c>
      <c r="Y16" s="117">
        <f>-SUMIFS(Xero!$F:$F,Xero!$B:$B,Heron!Y$9,Xero!$A:$A,Heron!$A$4,Xero!$E:$E,Heron!$A16)-SUMIFS(Xero!$F:$F,Xero!$B:$B,Heron!Y$9,Xero!$A:$A,Heron!$A$5,Xero!$E:$E,Heron!$A16)</f>
        <v/>
      </c>
      <c r="Z16" s="117">
        <f>-SUMIFS(Xero!$F:$F,Xero!$B:$B,Heron!Z$9,Xero!$A:$A,Heron!$A$4,Xero!$E:$E,Heron!$A16)-SUMIFS(Xero!$F:$F,Xero!$B:$B,Heron!Z$9,Xero!$A:$A,Heron!$A$5,Xero!$E:$E,Heron!$A16)</f>
        <v/>
      </c>
      <c r="AA16" s="117">
        <f>-SUMIFS(Xero!$F:$F,Xero!$B:$B,Heron!AA$9,Xero!$A:$A,Heron!$A$4,Xero!$E:$E,Heron!$A16)-SUMIFS(Xero!$F:$F,Xero!$B:$B,Heron!AA$9,Xero!$A:$A,Heron!$A$5,Xero!$E:$E,Heron!$A16)</f>
        <v/>
      </c>
      <c r="AB16" s="117">
        <f>-SUMIFS(Xero!$F:$F,Xero!$B:$B,Heron!AB$9,Xero!$A:$A,Heron!$A$4,Xero!$E:$E,Heron!$A16)-SUMIFS(Xero!$F:$F,Xero!$B:$B,Heron!AB$9,Xero!$A:$A,Heron!$A$5,Xero!$E:$E,Heron!$A16)</f>
        <v/>
      </c>
      <c r="AC16" s="117">
        <f>-SUMIFS(Xero!$F:$F,Xero!$B:$B,Heron!AC$9,Xero!$A:$A,Heron!$A$4,Xero!$E:$E,Heron!$A16)-SUMIFS(Xero!$F:$F,Xero!$B:$B,Heron!AC$9,Xero!$A:$A,Heron!$A$5,Xero!$E:$E,Heron!$A16)</f>
        <v/>
      </c>
      <c r="AD16" s="117">
        <f>-SUMIFS(Xero!$F:$F,Xero!$B:$B,Heron!AD$9,Xero!$A:$A,Heron!$A$4,Xero!$E:$E,Heron!$A16)-SUMIFS(Xero!$F:$F,Xero!$B:$B,Heron!AD$9,Xero!$A:$A,Heron!$A$5,Xero!$E:$E,Heron!$A16)</f>
        <v/>
      </c>
      <c r="AE16" s="117">
        <f>-SUMIFS(Xero!$F:$F,Xero!$B:$B,Heron!AE$9,Xero!$A:$A,Heron!$A$4,Xero!$E:$E,Heron!$A16)-SUMIFS(Xero!$F:$F,Xero!$B:$B,Heron!AE$9,Xero!$A:$A,Heron!$A$5,Xero!$E:$E,Heron!$A16)</f>
        <v/>
      </c>
      <c r="AF16" s="117">
        <f>-SUMIFS(Xero!$F:$F,Xero!$B:$B,Heron!AF$9,Xero!$A:$A,Heron!$A$4,Xero!$E:$E,Heron!$A16)-SUMIFS(Xero!$F:$F,Xero!$B:$B,Heron!AF$9,Xero!$A:$A,Heron!$A$5,Xero!$E:$E,Heron!$A16)</f>
        <v/>
      </c>
      <c r="AG16" s="117">
        <f>-SUMIFS(Xero!$F:$F,Xero!$B:$B,Heron!AG$9,Xero!$A:$A,Heron!$A$4,Xero!$E:$E,Heron!$A16)-SUMIFS(Xero!$F:$F,Xero!$B:$B,Heron!AG$9,Xero!$A:$A,Heron!$A$5,Xero!$E:$E,Heron!$A16)</f>
        <v/>
      </c>
      <c r="AH16" s="117">
        <f>-SUMIFS(Xero!$F:$F,Xero!$B:$B,Heron!AH$9,Xero!$A:$A,Heron!$A$4,Xero!$E:$E,Heron!$A16)-SUMIFS(Xero!$F:$F,Xero!$B:$B,Heron!AH$9,Xero!$A:$A,Heron!$A$5,Xero!$E:$E,Heron!$A16)</f>
        <v/>
      </c>
      <c r="AI16" s="117">
        <f>-SUMIFS(Xero!$F:$F,Xero!$B:$B,Heron!AI$9,Xero!$A:$A,Heron!$A$4,Xero!$E:$E,Heron!$A16)-SUMIFS(Xero!$F:$F,Xero!$B:$B,Heron!AI$9,Xero!$A:$A,Heron!$A$5,Xero!$E:$E,Heron!$A16)</f>
        <v/>
      </c>
      <c r="AJ16" s="117">
        <f>-SUMIFS(Xero!$F:$F,Xero!$B:$B,Heron!AJ$9,Xero!$A:$A,Heron!$A$4,Xero!$E:$E,Heron!$A16)-SUMIFS(Xero!$F:$F,Xero!$B:$B,Heron!AJ$9,Xero!$A:$A,Heron!$A$5,Xero!$E:$E,Heron!$A16)</f>
        <v/>
      </c>
      <c r="AK16" s="117">
        <f>-SUMIFS(Xero!$F:$F,Xero!$B:$B,Heron!AK$9,Xero!$A:$A,Heron!$A$4,Xero!$E:$E,Heron!$A16)-SUMIFS(Xero!$F:$F,Xero!$B:$B,Heron!AK$9,Xero!$A:$A,Heron!$A$5,Xero!$E:$E,Heron!$A16)</f>
        <v/>
      </c>
      <c r="AL16" s="117">
        <f>-SUMIFS(Xero!$F:$F,Xero!$B:$B,Heron!AL$9,Xero!$A:$A,Heron!$A$4,Xero!$E:$E,Heron!$A16)-SUMIFS(Xero!$F:$F,Xero!$B:$B,Heron!AL$9,Xero!$A:$A,Heron!$A$5,Xero!$E:$E,Heron!$A16)</f>
        <v/>
      </c>
      <c r="AM16" s="117">
        <f>-SUMIFS(Xero!$F:$F,Xero!$B:$B,Heron!AM$9,Xero!$A:$A,Heron!$A$4,Xero!$E:$E,Heron!$A16)-SUMIFS(Xero!$F:$F,Xero!$B:$B,Heron!AM$9,Xero!$A:$A,Heron!$A$5,Xero!$E:$E,Heron!$A16)</f>
        <v/>
      </c>
      <c r="AN16" s="117">
        <f>-SUMIFS(Xero!$F:$F,Xero!$B:$B,Heron!AN$9,Xero!$A:$A,Heron!$A$4,Xero!$E:$E,Heron!$A16)-SUMIFS(Xero!$F:$F,Xero!$B:$B,Heron!AN$9,Xero!$A:$A,Heron!$A$5,Xero!$E:$E,Heron!$A16)</f>
        <v/>
      </c>
      <c r="AO16" s="117">
        <f>-SUMIFS(Xero!$F:$F,Xero!$B:$B,Heron!AO$9,Xero!$A:$A,Heron!$A$4,Xero!$E:$E,Heron!$A16)-SUMIFS(Xero!$F:$F,Xero!$B:$B,Heron!AO$9,Xero!$A:$A,Heron!$A$5,Xero!$E:$E,Heron!$A16)</f>
        <v/>
      </c>
      <c r="AP16" s="117">
        <f>-SUMIFS(Xero!$F:$F,Xero!$B:$B,Heron!AP$9,Xero!$A:$A,Heron!$A$4,Xero!$E:$E,Heron!$A16)-SUMIFS(Xero!$F:$F,Xero!$B:$B,Heron!AP$9,Xero!$A:$A,Heron!$A$5,Xero!$E:$E,Heron!$A16)</f>
        <v/>
      </c>
      <c r="AQ16" s="117">
        <f>-SUMIFS(Xero!$F:$F,Xero!$B:$B,Heron!AQ$9,Xero!$A:$A,Heron!$A$4,Xero!$E:$E,Heron!$A16)-SUMIFS(Xero!$F:$F,Xero!$B:$B,Heron!AQ$9,Xero!$A:$A,Heron!$A$5,Xero!$E:$E,Heron!$A16)</f>
        <v/>
      </c>
      <c r="AR16" s="117">
        <f>-SUMIFS(Xero!$F:$F,Xero!$B:$B,Heron!AR$9,Xero!$A:$A,Heron!$A$4,Xero!$E:$E,Heron!$A16)-SUMIFS(Xero!$F:$F,Xero!$B:$B,Heron!AR$9,Xero!$A:$A,Heron!$A$5,Xero!$E:$E,Heron!$A16)</f>
        <v/>
      </c>
      <c r="AS16" s="117">
        <f>-SUMIFS(Xero!$F:$F,Xero!$B:$B,Heron!AS$9,Xero!$A:$A,Heron!$A$4,Xero!$E:$E,Heron!$A16)-SUMIFS(Xero!$F:$F,Xero!$B:$B,Heron!AS$9,Xero!$A:$A,Heron!$A$5,Xero!$E:$E,Heron!$A16)</f>
        <v/>
      </c>
      <c r="AT16" s="117">
        <f>-SUMIFS(Xero!$F:$F,Xero!$B:$B,Heron!AT$9,Xero!$A:$A,Heron!$A$4,Xero!$E:$E,Heron!$A16)-SUMIFS(Xero!$F:$F,Xero!$B:$B,Heron!AT$9,Xero!$A:$A,Heron!$A$5,Xero!$E:$E,Heron!$A16)</f>
        <v/>
      </c>
      <c r="AU16" s="117">
        <f>-SUMIFS(Xero!$F:$F,Xero!$B:$B,Heron!AU$9,Xero!$A:$A,Heron!$A$4,Xero!$E:$E,Heron!$A16)-SUMIFS(Xero!$F:$F,Xero!$B:$B,Heron!AU$9,Xero!$A:$A,Heron!$A$5,Xero!$E:$E,Heron!$A16)</f>
        <v/>
      </c>
      <c r="AV16" s="117">
        <f>-SUMIFS(Xero!$F:$F,Xero!$B:$B,Heron!AV$9,Xero!$A:$A,Heron!$A$4,Xero!$E:$E,Heron!$A16)-SUMIFS(Xero!$F:$F,Xero!$B:$B,Heron!AV$9,Xero!$A:$A,Heron!$A$5,Xero!$E:$E,Heron!$A16)</f>
        <v/>
      </c>
      <c r="AW16" s="117">
        <f>-SUMIFS(Xero!$F:$F,Xero!$B:$B,Heron!AW$9,Xero!$A:$A,Heron!$A$4,Xero!$E:$E,Heron!$A16)-SUMIFS(Xero!$F:$F,Xero!$B:$B,Heron!AW$9,Xero!$A:$A,Heron!$A$5,Xero!$E:$E,Heron!$A16)</f>
        <v/>
      </c>
      <c r="AX16" s="117">
        <f>-SUMIFS(Xero!$F:$F,Xero!$B:$B,Heron!AX$9,Xero!$A:$A,Heron!$A$4,Xero!$E:$E,Heron!$A16)-SUMIFS(Xero!$F:$F,Xero!$B:$B,Heron!AX$9,Xero!$A:$A,Heron!$A$5,Xero!$E:$E,Heron!$A16)</f>
        <v/>
      </c>
      <c r="AY16" s="117">
        <f>-SUMIFS(Xero!$F:$F,Xero!$B:$B,Heron!AY$9,Xero!$A:$A,Heron!$A$4,Xero!$E:$E,Heron!$A16)-SUMIFS(Xero!$F:$F,Xero!$B:$B,Heron!AY$9,Xero!$A:$A,Heron!$A$5,Xero!$E:$E,Heron!$A16)</f>
        <v/>
      </c>
      <c r="AZ16" s="117">
        <f>-SUMIFS(Xero!$F:$F,Xero!$B:$B,Heron!AZ$9,Xero!$A:$A,Heron!$A$4,Xero!$E:$E,Heron!$A16)-SUMIFS(Xero!$F:$F,Xero!$B:$B,Heron!AZ$9,Xero!$A:$A,Heron!$A$5,Xero!$E:$E,Heron!$A16)</f>
        <v/>
      </c>
      <c r="BA16" s="117">
        <f>-SUMIFS(Xero!$F:$F,Xero!$B:$B,Heron!BA$9,Xero!$A:$A,Heron!$A$4,Xero!$E:$E,Heron!$A16)-SUMIFS(Xero!$F:$F,Xero!$B:$B,Heron!BA$9,Xero!$A:$A,Heron!$A$5,Xero!$E:$E,Heron!$A16)</f>
        <v/>
      </c>
      <c r="BB16" s="117">
        <f>-SUMIFS(Xero!$F:$F,Xero!$B:$B,Heron!BB$9,Xero!$A:$A,Heron!$A$4,Xero!$E:$E,Heron!$A16)-SUMIFS(Xero!$F:$F,Xero!$B:$B,Heron!BB$9,Xero!$A:$A,Heron!$A$5,Xero!$E:$E,Heron!$A16)</f>
        <v/>
      </c>
      <c r="BC16" s="117">
        <f>-SUMIFS(Xero!$F:$F,Xero!$B:$B,Heron!BC$9,Xero!$A:$A,Heron!$A$4,Xero!$E:$E,Heron!$A16)-SUMIFS(Xero!$F:$F,Xero!$B:$B,Heron!BC$9,Xero!$A:$A,Heron!$A$5,Xero!$E:$E,Heron!$A16)</f>
        <v/>
      </c>
      <c r="BD16" s="117">
        <f>-SUMIFS(Xero!$F:$F,Xero!$B:$B,Heron!BD$9,Xero!$A:$A,Heron!$A$4,Xero!$E:$E,Heron!$A16)-SUMIFS(Xero!$F:$F,Xero!$B:$B,Heron!BD$9,Xero!$A:$A,Heron!$A$5,Xero!$E:$E,Heron!$A16)</f>
        <v/>
      </c>
      <c r="BE16" s="117">
        <f>-SUMIFS(Xero!$F:$F,Xero!$B:$B,Heron!BE$9,Xero!$A:$A,Heron!$A$4,Xero!$E:$E,Heron!$A16)-SUMIFS(Xero!$F:$F,Xero!$B:$B,Heron!BE$9,Xero!$A:$A,Heron!$A$5,Xero!$E:$E,Heron!$A16)</f>
        <v/>
      </c>
      <c r="BF16" s="117">
        <f>-SUMIFS(Xero!$F:$F,Xero!$B:$B,Heron!BF$9,Xero!$A:$A,Heron!$A$4,Xero!$E:$E,Heron!$A16)-SUMIFS(Xero!$F:$F,Xero!$B:$B,Heron!BF$9,Xero!$A:$A,Heron!$A$5,Xero!$E:$E,Heron!$A16)</f>
        <v/>
      </c>
      <c r="BG16" s="117">
        <f>-SUMIFS(Xero!$F:$F,Xero!$B:$B,Heron!BG$9,Xero!$A:$A,Heron!$A$4,Xero!$E:$E,Heron!$A16)-SUMIFS(Xero!$F:$F,Xero!$B:$B,Heron!BG$9,Xero!$A:$A,Heron!$A$5,Xero!$E:$E,Heron!$A16)</f>
        <v/>
      </c>
      <c r="BH16" s="117">
        <f>-SUMIFS(Xero!$F:$F,Xero!$B:$B,Heron!BH$9,Xero!$A:$A,Heron!$A$4,Xero!$E:$E,Heron!$A16)-SUMIFS(Xero!$F:$F,Xero!$B:$B,Heron!BH$9,Xero!$A:$A,Heron!$A$5,Xero!$E:$E,Heron!$A16)</f>
        <v/>
      </c>
      <c r="BI16" s="117">
        <f>-SUMIFS(Xero!$F:$F,Xero!$B:$B,Heron!BI$9,Xero!$A:$A,Heron!$A$4,Xero!$E:$E,Heron!$A16)-SUMIFS(Xero!$F:$F,Xero!$B:$B,Heron!BI$9,Xero!$A:$A,Heron!$A$5,Xero!$E:$E,Heron!$A16)</f>
        <v/>
      </c>
      <c r="BJ16" s="117">
        <f>-SUMIFS(Xero!$F:$F,Xero!$B:$B,Heron!BJ$9,Xero!$A:$A,Heron!$A$4,Xero!$E:$E,Heron!$A16)-SUMIFS(Xero!$F:$F,Xero!$B:$B,Heron!BJ$9,Xero!$A:$A,Heron!$A$5,Xero!$E:$E,Heron!$A16)</f>
        <v/>
      </c>
      <c r="BK16" s="117">
        <f>sum(D16:BJ16)</f>
        <v/>
      </c>
    </row>
    <row r="17">
      <c r="A17" s="116" t="inlineStr">
        <is>
          <t>Interest Received - Momentum</t>
        </is>
      </c>
      <c r="D17" s="117">
        <f>-SUMIFS(Xero!$F:$F,Xero!$B:$B,Heron!D$9,Xero!$A:$A,Heron!$A$4,Xero!$E:$E,Heron!$A17)-SUMIFS(Xero!$F:$F,Xero!$B:$B,Heron!D$9,Xero!$A:$A,Heron!$A$5,Xero!$E:$E,Heron!$A17)</f>
        <v/>
      </c>
      <c r="E17" s="117">
        <f>-SUMIFS(Xero!$F:$F,Xero!$B:$B,Heron!E$9,Xero!$A:$A,Heron!$A$4,Xero!$E:$E,Heron!$A17)-SUMIFS(Xero!$F:$F,Xero!$B:$B,Heron!E$9,Xero!$A:$A,Heron!$A$5,Xero!$E:$E,Heron!$A17)</f>
        <v/>
      </c>
      <c r="F17" s="117">
        <f>-SUMIFS(Xero!$F:$F,Xero!$B:$B,Heron!F$9,Xero!$A:$A,Heron!$A$4,Xero!$E:$E,Heron!$A17)-SUMIFS(Xero!$F:$F,Xero!$B:$B,Heron!F$9,Xero!$A:$A,Heron!$A$5,Xero!$E:$E,Heron!$A17)</f>
        <v/>
      </c>
      <c r="G17" s="117">
        <f>-SUMIFS(Xero!$F:$F,Xero!$B:$B,Heron!G$9,Xero!$A:$A,Heron!$A$4,Xero!$E:$E,Heron!$A17)-SUMIFS(Xero!$F:$F,Xero!$B:$B,Heron!G$9,Xero!$A:$A,Heron!$A$5,Xero!$E:$E,Heron!$A17)</f>
        <v/>
      </c>
      <c r="H17" s="117">
        <f>-SUMIFS(Xero!$F:$F,Xero!$B:$B,Heron!H$9,Xero!$A:$A,Heron!$A$4,Xero!$E:$E,Heron!$A17)-SUMIFS(Xero!$F:$F,Xero!$B:$B,Heron!H$9,Xero!$A:$A,Heron!$A$5,Xero!$E:$E,Heron!$A17)</f>
        <v/>
      </c>
      <c r="I17" s="117">
        <f>-SUMIFS(Xero!$F:$F,Xero!$B:$B,Heron!I$9,Xero!$A:$A,Heron!$A$4,Xero!$E:$E,Heron!$A17)-SUMIFS(Xero!$F:$F,Xero!$B:$B,Heron!I$9,Xero!$A:$A,Heron!$A$5,Xero!$E:$E,Heron!$A17)</f>
        <v/>
      </c>
      <c r="J17" s="117">
        <f>-SUMIFS(Xero!$F:$F,Xero!$B:$B,Heron!J$9,Xero!$A:$A,Heron!$A$4,Xero!$E:$E,Heron!$A17)-SUMIFS(Xero!$F:$F,Xero!$B:$B,Heron!J$9,Xero!$A:$A,Heron!$A$5,Xero!$E:$E,Heron!$A17)</f>
        <v/>
      </c>
      <c r="K17" s="117">
        <f>-SUMIFS(Xero!$F:$F,Xero!$B:$B,Heron!K$9,Xero!$A:$A,Heron!$A$4,Xero!$E:$E,Heron!$A17)-SUMIFS(Xero!$F:$F,Xero!$B:$B,Heron!K$9,Xero!$A:$A,Heron!$A$5,Xero!$E:$E,Heron!$A17)</f>
        <v/>
      </c>
      <c r="L17" s="117">
        <f>-SUMIFS(Xero!$F:$F,Xero!$B:$B,Heron!L$9,Xero!$A:$A,Heron!$A$4,Xero!$E:$E,Heron!$A17)-SUMIFS(Xero!$F:$F,Xero!$B:$B,Heron!L$9,Xero!$A:$A,Heron!$A$5,Xero!$E:$E,Heron!$A17)</f>
        <v/>
      </c>
      <c r="M17" s="117">
        <f>-SUMIFS(Xero!$F:$F,Xero!$B:$B,Heron!M$9,Xero!$A:$A,Heron!$A$4,Xero!$E:$E,Heron!$A17)-SUMIFS(Xero!$F:$F,Xero!$B:$B,Heron!M$9,Xero!$A:$A,Heron!$A$5,Xero!$E:$E,Heron!$A17)</f>
        <v/>
      </c>
      <c r="N17" s="117">
        <f>-SUMIFS(Xero!$F:$F,Xero!$B:$B,Heron!N$9,Xero!$A:$A,Heron!$A$4,Xero!$E:$E,Heron!$A17)-SUMIFS(Xero!$F:$F,Xero!$B:$B,Heron!N$9,Xero!$A:$A,Heron!$A$5,Xero!$E:$E,Heron!$A17)</f>
        <v/>
      </c>
      <c r="O17" s="117">
        <f>-SUMIFS(Xero!$F:$F,Xero!$B:$B,Heron!O$9,Xero!$A:$A,Heron!$A$4,Xero!$E:$E,Heron!$A17)-SUMIFS(Xero!$F:$F,Xero!$B:$B,Heron!O$9,Xero!$A:$A,Heron!$A$5,Xero!$E:$E,Heron!$A17)</f>
        <v/>
      </c>
      <c r="P17" s="117">
        <f>-SUMIFS(Xero!$F:$F,Xero!$B:$B,Heron!P$9,Xero!$A:$A,Heron!$A$4,Xero!$E:$E,Heron!$A17)-SUMIFS(Xero!$F:$F,Xero!$B:$B,Heron!P$9,Xero!$A:$A,Heron!$A$5,Xero!$E:$E,Heron!$A17)</f>
        <v/>
      </c>
      <c r="Q17" s="117">
        <f>-SUMIFS(Xero!$F:$F,Xero!$B:$B,Heron!Q$9,Xero!$A:$A,Heron!$A$4,Xero!$E:$E,Heron!$A17)-SUMIFS(Xero!$F:$F,Xero!$B:$B,Heron!Q$9,Xero!$A:$A,Heron!$A$5,Xero!$E:$E,Heron!$A17)</f>
        <v/>
      </c>
      <c r="R17" s="117">
        <f>-SUMIFS(Xero!$F:$F,Xero!$B:$B,Heron!R$9,Xero!$A:$A,Heron!$A$4,Xero!$E:$E,Heron!$A17)-SUMIFS(Xero!$F:$F,Xero!$B:$B,Heron!R$9,Xero!$A:$A,Heron!$A$5,Xero!$E:$E,Heron!$A17)</f>
        <v/>
      </c>
      <c r="S17" s="117">
        <f>-SUMIFS(Xero!$F:$F,Xero!$B:$B,Heron!S$9,Xero!$A:$A,Heron!$A$4,Xero!$E:$E,Heron!$A17)-SUMIFS(Xero!$F:$F,Xero!$B:$B,Heron!S$9,Xero!$A:$A,Heron!$A$5,Xero!$E:$E,Heron!$A17)</f>
        <v/>
      </c>
      <c r="T17" s="117">
        <f>-SUMIFS(Xero!$F:$F,Xero!$B:$B,Heron!T$9,Xero!$A:$A,Heron!$A$4,Xero!$E:$E,Heron!$A17)-SUMIFS(Xero!$F:$F,Xero!$B:$B,Heron!T$9,Xero!$A:$A,Heron!$A$5,Xero!$E:$E,Heron!$A17)</f>
        <v/>
      </c>
      <c r="U17" s="117">
        <f>-SUMIFS(Xero!$F:$F,Xero!$B:$B,Heron!U$9,Xero!$A:$A,Heron!$A$4,Xero!$E:$E,Heron!$A17)-SUMIFS(Xero!$F:$F,Xero!$B:$B,Heron!U$9,Xero!$A:$A,Heron!$A$5,Xero!$E:$E,Heron!$A17)</f>
        <v/>
      </c>
      <c r="V17" s="117">
        <f>-SUMIFS(Xero!$F:$F,Xero!$B:$B,Heron!V$9,Xero!$A:$A,Heron!$A$4,Xero!$E:$E,Heron!$A17)-SUMIFS(Xero!$F:$F,Xero!$B:$B,Heron!V$9,Xero!$A:$A,Heron!$A$5,Xero!$E:$E,Heron!$A17)</f>
        <v/>
      </c>
      <c r="W17" s="117">
        <f>-SUMIFS(Xero!$F:$F,Xero!$B:$B,Heron!W$9,Xero!$A:$A,Heron!$A$4,Xero!$E:$E,Heron!$A17)-SUMIFS(Xero!$F:$F,Xero!$B:$B,Heron!W$9,Xero!$A:$A,Heron!$A$5,Xero!$E:$E,Heron!$A17)</f>
        <v/>
      </c>
      <c r="X17" s="117">
        <f>-SUMIFS(Xero!$F:$F,Xero!$B:$B,Heron!X$9,Xero!$A:$A,Heron!$A$4,Xero!$E:$E,Heron!$A17)-SUMIFS(Xero!$F:$F,Xero!$B:$B,Heron!X$9,Xero!$A:$A,Heron!$A$5,Xero!$E:$E,Heron!$A17)</f>
        <v/>
      </c>
      <c r="Y17" s="117">
        <f>-SUMIFS(Xero!$F:$F,Xero!$B:$B,Heron!Y$9,Xero!$A:$A,Heron!$A$4,Xero!$E:$E,Heron!$A17)-SUMIFS(Xero!$F:$F,Xero!$B:$B,Heron!Y$9,Xero!$A:$A,Heron!$A$5,Xero!$E:$E,Heron!$A17)</f>
        <v/>
      </c>
      <c r="Z17" s="117">
        <f>-SUMIFS(Xero!$F:$F,Xero!$B:$B,Heron!Z$9,Xero!$A:$A,Heron!$A$4,Xero!$E:$E,Heron!$A17)-SUMIFS(Xero!$F:$F,Xero!$B:$B,Heron!Z$9,Xero!$A:$A,Heron!$A$5,Xero!$E:$E,Heron!$A17)</f>
        <v/>
      </c>
      <c r="AA17" s="117">
        <f>-SUMIFS(Xero!$F:$F,Xero!$B:$B,Heron!AA$9,Xero!$A:$A,Heron!$A$4,Xero!$E:$E,Heron!$A17)-SUMIFS(Xero!$F:$F,Xero!$B:$B,Heron!AA$9,Xero!$A:$A,Heron!$A$5,Xero!$E:$E,Heron!$A17)</f>
        <v/>
      </c>
      <c r="AB17" s="117">
        <f>-SUMIFS(Xero!$F:$F,Xero!$B:$B,Heron!AB$9,Xero!$A:$A,Heron!$A$4,Xero!$E:$E,Heron!$A17)-SUMIFS(Xero!$F:$F,Xero!$B:$B,Heron!AB$9,Xero!$A:$A,Heron!$A$5,Xero!$E:$E,Heron!$A17)</f>
        <v/>
      </c>
      <c r="AC17" s="117">
        <f>-SUMIFS(Xero!$F:$F,Xero!$B:$B,Heron!AC$9,Xero!$A:$A,Heron!$A$4,Xero!$E:$E,Heron!$A17)-SUMIFS(Xero!$F:$F,Xero!$B:$B,Heron!AC$9,Xero!$A:$A,Heron!$A$5,Xero!$E:$E,Heron!$A17)</f>
        <v/>
      </c>
      <c r="AD17" s="117">
        <f>-SUMIFS(Xero!$F:$F,Xero!$B:$B,Heron!AD$9,Xero!$A:$A,Heron!$A$4,Xero!$E:$E,Heron!$A17)-SUMIFS(Xero!$F:$F,Xero!$B:$B,Heron!AD$9,Xero!$A:$A,Heron!$A$5,Xero!$E:$E,Heron!$A17)</f>
        <v/>
      </c>
      <c r="AE17" s="117">
        <f>-SUMIFS(Xero!$F:$F,Xero!$B:$B,Heron!AE$9,Xero!$A:$A,Heron!$A$4,Xero!$E:$E,Heron!$A17)-SUMIFS(Xero!$F:$F,Xero!$B:$B,Heron!AE$9,Xero!$A:$A,Heron!$A$5,Xero!$E:$E,Heron!$A17)</f>
        <v/>
      </c>
      <c r="AF17" s="117">
        <f>-SUMIFS(Xero!$F:$F,Xero!$B:$B,Heron!AF$9,Xero!$A:$A,Heron!$A$4,Xero!$E:$E,Heron!$A17)-SUMIFS(Xero!$F:$F,Xero!$B:$B,Heron!AF$9,Xero!$A:$A,Heron!$A$5,Xero!$E:$E,Heron!$A17)</f>
        <v/>
      </c>
      <c r="AG17" s="117">
        <f>-SUMIFS(Xero!$F:$F,Xero!$B:$B,Heron!AG$9,Xero!$A:$A,Heron!$A$4,Xero!$E:$E,Heron!$A17)-SUMIFS(Xero!$F:$F,Xero!$B:$B,Heron!AG$9,Xero!$A:$A,Heron!$A$5,Xero!$E:$E,Heron!$A17)</f>
        <v/>
      </c>
      <c r="AH17" s="117">
        <f>-SUMIFS(Xero!$F:$F,Xero!$B:$B,Heron!AH$9,Xero!$A:$A,Heron!$A$4,Xero!$E:$E,Heron!$A17)-SUMIFS(Xero!$F:$F,Xero!$B:$B,Heron!AH$9,Xero!$A:$A,Heron!$A$5,Xero!$E:$E,Heron!$A17)</f>
        <v/>
      </c>
      <c r="AI17" s="117">
        <f>-SUMIFS(Xero!$F:$F,Xero!$B:$B,Heron!AI$9,Xero!$A:$A,Heron!$A$4,Xero!$E:$E,Heron!$A17)-SUMIFS(Xero!$F:$F,Xero!$B:$B,Heron!AI$9,Xero!$A:$A,Heron!$A$5,Xero!$E:$E,Heron!$A17)</f>
        <v/>
      </c>
      <c r="AJ17" s="117">
        <f>-SUMIFS(Xero!$F:$F,Xero!$B:$B,Heron!AJ$9,Xero!$A:$A,Heron!$A$4,Xero!$E:$E,Heron!$A17)-SUMIFS(Xero!$F:$F,Xero!$B:$B,Heron!AJ$9,Xero!$A:$A,Heron!$A$5,Xero!$E:$E,Heron!$A17)</f>
        <v/>
      </c>
      <c r="AK17" s="117">
        <f>-SUMIFS(Xero!$F:$F,Xero!$B:$B,Heron!AK$9,Xero!$A:$A,Heron!$A$4,Xero!$E:$E,Heron!$A17)-SUMIFS(Xero!$F:$F,Xero!$B:$B,Heron!AK$9,Xero!$A:$A,Heron!$A$5,Xero!$E:$E,Heron!$A17)</f>
        <v/>
      </c>
      <c r="AL17" s="117">
        <f>-SUMIFS(Xero!$F:$F,Xero!$B:$B,Heron!AL$9,Xero!$A:$A,Heron!$A$4,Xero!$E:$E,Heron!$A17)-SUMIFS(Xero!$F:$F,Xero!$B:$B,Heron!AL$9,Xero!$A:$A,Heron!$A$5,Xero!$E:$E,Heron!$A17)</f>
        <v/>
      </c>
      <c r="AM17" s="117">
        <f>-SUMIFS(Xero!$F:$F,Xero!$B:$B,Heron!AM$9,Xero!$A:$A,Heron!$A$4,Xero!$E:$E,Heron!$A17)-SUMIFS(Xero!$F:$F,Xero!$B:$B,Heron!AM$9,Xero!$A:$A,Heron!$A$5,Xero!$E:$E,Heron!$A17)</f>
        <v/>
      </c>
      <c r="AN17" s="117">
        <f>-SUMIFS(Xero!$F:$F,Xero!$B:$B,Heron!AN$9,Xero!$A:$A,Heron!$A$4,Xero!$E:$E,Heron!$A17)-SUMIFS(Xero!$F:$F,Xero!$B:$B,Heron!AN$9,Xero!$A:$A,Heron!$A$5,Xero!$E:$E,Heron!$A17)</f>
        <v/>
      </c>
      <c r="AO17" s="117">
        <f>-SUMIFS(Xero!$F:$F,Xero!$B:$B,Heron!AO$9,Xero!$A:$A,Heron!$A$4,Xero!$E:$E,Heron!$A17)-SUMIFS(Xero!$F:$F,Xero!$B:$B,Heron!AO$9,Xero!$A:$A,Heron!$A$5,Xero!$E:$E,Heron!$A17)</f>
        <v/>
      </c>
      <c r="AP17" s="117">
        <f>-SUMIFS(Xero!$F:$F,Xero!$B:$B,Heron!AP$9,Xero!$A:$A,Heron!$A$4,Xero!$E:$E,Heron!$A17)-SUMIFS(Xero!$F:$F,Xero!$B:$B,Heron!AP$9,Xero!$A:$A,Heron!$A$5,Xero!$E:$E,Heron!$A17)</f>
        <v/>
      </c>
      <c r="AQ17" s="117">
        <f>-SUMIFS(Xero!$F:$F,Xero!$B:$B,Heron!AQ$9,Xero!$A:$A,Heron!$A$4,Xero!$E:$E,Heron!$A17)-SUMIFS(Xero!$F:$F,Xero!$B:$B,Heron!AQ$9,Xero!$A:$A,Heron!$A$5,Xero!$E:$E,Heron!$A17)</f>
        <v/>
      </c>
      <c r="AR17" s="117">
        <f>-SUMIFS(Xero!$F:$F,Xero!$B:$B,Heron!AR$9,Xero!$A:$A,Heron!$A$4,Xero!$E:$E,Heron!$A17)-SUMIFS(Xero!$F:$F,Xero!$B:$B,Heron!AR$9,Xero!$A:$A,Heron!$A$5,Xero!$E:$E,Heron!$A17)</f>
        <v/>
      </c>
      <c r="AS17" s="117">
        <f>-SUMIFS(Xero!$F:$F,Xero!$B:$B,Heron!AS$9,Xero!$A:$A,Heron!$A$4,Xero!$E:$E,Heron!$A17)-SUMIFS(Xero!$F:$F,Xero!$B:$B,Heron!AS$9,Xero!$A:$A,Heron!$A$5,Xero!$E:$E,Heron!$A17)</f>
        <v/>
      </c>
      <c r="AT17" s="117">
        <f>-SUMIFS(Xero!$F:$F,Xero!$B:$B,Heron!AT$9,Xero!$A:$A,Heron!$A$4,Xero!$E:$E,Heron!$A17)-SUMIFS(Xero!$F:$F,Xero!$B:$B,Heron!AT$9,Xero!$A:$A,Heron!$A$5,Xero!$E:$E,Heron!$A17)</f>
        <v/>
      </c>
      <c r="AU17" s="117">
        <f>-SUMIFS(Xero!$F:$F,Xero!$B:$B,Heron!AU$9,Xero!$A:$A,Heron!$A$4,Xero!$E:$E,Heron!$A17)-SUMIFS(Xero!$F:$F,Xero!$B:$B,Heron!AU$9,Xero!$A:$A,Heron!$A$5,Xero!$E:$E,Heron!$A17)</f>
        <v/>
      </c>
      <c r="AV17" s="117">
        <f>-SUMIFS(Xero!$F:$F,Xero!$B:$B,Heron!AV$9,Xero!$A:$A,Heron!$A$4,Xero!$E:$E,Heron!$A17)-SUMIFS(Xero!$F:$F,Xero!$B:$B,Heron!AV$9,Xero!$A:$A,Heron!$A$5,Xero!$E:$E,Heron!$A17)</f>
        <v/>
      </c>
      <c r="AW17" s="117">
        <f>-SUMIFS(Xero!$F:$F,Xero!$B:$B,Heron!AW$9,Xero!$A:$A,Heron!$A$4,Xero!$E:$E,Heron!$A17)-SUMIFS(Xero!$F:$F,Xero!$B:$B,Heron!AW$9,Xero!$A:$A,Heron!$A$5,Xero!$E:$E,Heron!$A17)</f>
        <v/>
      </c>
      <c r="AX17" s="117">
        <f>-SUMIFS(Xero!$F:$F,Xero!$B:$B,Heron!AX$9,Xero!$A:$A,Heron!$A$4,Xero!$E:$E,Heron!$A17)-SUMIFS(Xero!$F:$F,Xero!$B:$B,Heron!AX$9,Xero!$A:$A,Heron!$A$5,Xero!$E:$E,Heron!$A17)</f>
        <v/>
      </c>
      <c r="AY17" s="117">
        <f>-SUMIFS(Xero!$F:$F,Xero!$B:$B,Heron!AY$9,Xero!$A:$A,Heron!$A$4,Xero!$E:$E,Heron!$A17)-SUMIFS(Xero!$F:$F,Xero!$B:$B,Heron!AY$9,Xero!$A:$A,Heron!$A$5,Xero!$E:$E,Heron!$A17)</f>
        <v/>
      </c>
      <c r="AZ17" s="117">
        <f>-SUMIFS(Xero!$F:$F,Xero!$B:$B,Heron!AZ$9,Xero!$A:$A,Heron!$A$4,Xero!$E:$E,Heron!$A17)-SUMIFS(Xero!$F:$F,Xero!$B:$B,Heron!AZ$9,Xero!$A:$A,Heron!$A$5,Xero!$E:$E,Heron!$A17)</f>
        <v/>
      </c>
      <c r="BA17" s="117">
        <f>-SUMIFS(Xero!$F:$F,Xero!$B:$B,Heron!BA$9,Xero!$A:$A,Heron!$A$4,Xero!$E:$E,Heron!$A17)-SUMIFS(Xero!$F:$F,Xero!$B:$B,Heron!BA$9,Xero!$A:$A,Heron!$A$5,Xero!$E:$E,Heron!$A17)</f>
        <v/>
      </c>
      <c r="BB17" s="117">
        <f>-SUMIFS(Xero!$F:$F,Xero!$B:$B,Heron!BB$9,Xero!$A:$A,Heron!$A$4,Xero!$E:$E,Heron!$A17)-SUMIFS(Xero!$F:$F,Xero!$B:$B,Heron!BB$9,Xero!$A:$A,Heron!$A$5,Xero!$E:$E,Heron!$A17)</f>
        <v/>
      </c>
      <c r="BC17" s="117">
        <f>-SUMIFS(Xero!$F:$F,Xero!$B:$B,Heron!BC$9,Xero!$A:$A,Heron!$A$4,Xero!$E:$E,Heron!$A17)-SUMIFS(Xero!$F:$F,Xero!$B:$B,Heron!BC$9,Xero!$A:$A,Heron!$A$5,Xero!$E:$E,Heron!$A17)</f>
        <v/>
      </c>
      <c r="BD17" s="117">
        <f>-SUMIFS(Xero!$F:$F,Xero!$B:$B,Heron!BD$9,Xero!$A:$A,Heron!$A$4,Xero!$E:$E,Heron!$A17)-SUMIFS(Xero!$F:$F,Xero!$B:$B,Heron!BD$9,Xero!$A:$A,Heron!$A$5,Xero!$E:$E,Heron!$A17)</f>
        <v/>
      </c>
      <c r="BE17" s="117">
        <f>-SUMIFS(Xero!$F:$F,Xero!$B:$B,Heron!BE$9,Xero!$A:$A,Heron!$A$4,Xero!$E:$E,Heron!$A17)-SUMIFS(Xero!$F:$F,Xero!$B:$B,Heron!BE$9,Xero!$A:$A,Heron!$A$5,Xero!$E:$E,Heron!$A17)</f>
        <v/>
      </c>
      <c r="BF17" s="117">
        <f>-SUMIFS(Xero!$F:$F,Xero!$B:$B,Heron!BF$9,Xero!$A:$A,Heron!$A$4,Xero!$E:$E,Heron!$A17)-SUMIFS(Xero!$F:$F,Xero!$B:$B,Heron!BF$9,Xero!$A:$A,Heron!$A$5,Xero!$E:$E,Heron!$A17)</f>
        <v/>
      </c>
      <c r="BG17" s="117">
        <f>-SUMIFS(Xero!$F:$F,Xero!$B:$B,Heron!BG$9,Xero!$A:$A,Heron!$A$4,Xero!$E:$E,Heron!$A17)-SUMIFS(Xero!$F:$F,Xero!$B:$B,Heron!BG$9,Xero!$A:$A,Heron!$A$5,Xero!$E:$E,Heron!$A17)</f>
        <v/>
      </c>
      <c r="BH17" s="117">
        <f>-SUMIFS(Xero!$F:$F,Xero!$B:$B,Heron!BH$9,Xero!$A:$A,Heron!$A$4,Xero!$E:$E,Heron!$A17)-SUMIFS(Xero!$F:$F,Xero!$B:$B,Heron!BH$9,Xero!$A:$A,Heron!$A$5,Xero!$E:$E,Heron!$A17)</f>
        <v/>
      </c>
      <c r="BI17" s="117">
        <f>-SUMIFS(Xero!$F:$F,Xero!$B:$B,Heron!BI$9,Xero!$A:$A,Heron!$A$4,Xero!$E:$E,Heron!$A17)-SUMIFS(Xero!$F:$F,Xero!$B:$B,Heron!BI$9,Xero!$A:$A,Heron!$A$5,Xero!$E:$E,Heron!$A17)</f>
        <v/>
      </c>
      <c r="BJ17" s="117">
        <f>-SUMIFS(Xero!$F:$F,Xero!$B:$B,Heron!BJ$9,Xero!$A:$A,Heron!$A$4,Xero!$E:$E,Heron!$A17)-SUMIFS(Xero!$F:$F,Xero!$B:$B,Heron!BJ$9,Xero!$A:$A,Heron!$A$5,Xero!$E:$E,Heron!$A17)</f>
        <v/>
      </c>
      <c r="BK17" s="117">
        <f>sum(D17:BJ17)</f>
        <v/>
      </c>
    </row>
    <row r="18">
      <c r="A18" s="116" t="inlineStr">
        <is>
          <t>Interest Received - STBB Trust Account</t>
        </is>
      </c>
      <c r="D18" s="117">
        <f>-SUMIFS(Xero!$F:$F,Xero!$B:$B,Heron!D$9,Xero!$A:$A,Heron!$A$4,Xero!$E:$E,Heron!$A18)-SUMIFS(Xero!$F:$F,Xero!$B:$B,Heron!D$9,Xero!$A:$A,Heron!$A$5,Xero!$E:$E,Heron!$A18)</f>
        <v/>
      </c>
      <c r="E18" s="117">
        <f>-SUMIFS(Xero!$F:$F,Xero!$B:$B,Heron!E$9,Xero!$A:$A,Heron!$A$4,Xero!$E:$E,Heron!$A18)-SUMIFS(Xero!$F:$F,Xero!$B:$B,Heron!E$9,Xero!$A:$A,Heron!$A$5,Xero!$E:$E,Heron!$A18)</f>
        <v/>
      </c>
      <c r="F18" s="117">
        <f>-SUMIFS(Xero!$F:$F,Xero!$B:$B,Heron!F$9,Xero!$A:$A,Heron!$A$4,Xero!$E:$E,Heron!$A18)-SUMIFS(Xero!$F:$F,Xero!$B:$B,Heron!F$9,Xero!$A:$A,Heron!$A$5,Xero!$E:$E,Heron!$A18)</f>
        <v/>
      </c>
      <c r="G18" s="117">
        <f>-SUMIFS(Xero!$F:$F,Xero!$B:$B,Heron!G$9,Xero!$A:$A,Heron!$A$4,Xero!$E:$E,Heron!$A18)-SUMIFS(Xero!$F:$F,Xero!$B:$B,Heron!G$9,Xero!$A:$A,Heron!$A$5,Xero!$E:$E,Heron!$A18)</f>
        <v/>
      </c>
      <c r="H18" s="117">
        <f>-SUMIFS(Xero!$F:$F,Xero!$B:$B,Heron!H$9,Xero!$A:$A,Heron!$A$4,Xero!$E:$E,Heron!$A18)-SUMIFS(Xero!$F:$F,Xero!$B:$B,Heron!H$9,Xero!$A:$A,Heron!$A$5,Xero!$E:$E,Heron!$A18)</f>
        <v/>
      </c>
      <c r="I18" s="117">
        <f>-SUMIFS(Xero!$F:$F,Xero!$B:$B,Heron!I$9,Xero!$A:$A,Heron!$A$4,Xero!$E:$E,Heron!$A18)-SUMIFS(Xero!$F:$F,Xero!$B:$B,Heron!I$9,Xero!$A:$A,Heron!$A$5,Xero!$E:$E,Heron!$A18)</f>
        <v/>
      </c>
      <c r="J18" s="117">
        <f>-SUMIFS(Xero!$F:$F,Xero!$B:$B,Heron!J$9,Xero!$A:$A,Heron!$A$4,Xero!$E:$E,Heron!$A18)-SUMIFS(Xero!$F:$F,Xero!$B:$B,Heron!J$9,Xero!$A:$A,Heron!$A$5,Xero!$E:$E,Heron!$A18)</f>
        <v/>
      </c>
      <c r="K18" s="117">
        <f>-SUMIFS(Xero!$F:$F,Xero!$B:$B,Heron!K$9,Xero!$A:$A,Heron!$A$4,Xero!$E:$E,Heron!$A18)-SUMIFS(Xero!$F:$F,Xero!$B:$B,Heron!K$9,Xero!$A:$A,Heron!$A$5,Xero!$E:$E,Heron!$A18)</f>
        <v/>
      </c>
      <c r="L18" s="117">
        <f>-SUMIFS(Xero!$F:$F,Xero!$B:$B,Heron!L$9,Xero!$A:$A,Heron!$A$4,Xero!$E:$E,Heron!$A18)-SUMIFS(Xero!$F:$F,Xero!$B:$B,Heron!L$9,Xero!$A:$A,Heron!$A$5,Xero!$E:$E,Heron!$A18)</f>
        <v/>
      </c>
      <c r="M18" s="117">
        <f>-SUMIFS(Xero!$F:$F,Xero!$B:$B,Heron!M$9,Xero!$A:$A,Heron!$A$4,Xero!$E:$E,Heron!$A18)-SUMIFS(Xero!$F:$F,Xero!$B:$B,Heron!M$9,Xero!$A:$A,Heron!$A$5,Xero!$E:$E,Heron!$A18)</f>
        <v/>
      </c>
      <c r="N18" s="117">
        <f>-SUMIFS(Xero!$F:$F,Xero!$B:$B,Heron!N$9,Xero!$A:$A,Heron!$A$4,Xero!$E:$E,Heron!$A18)-SUMIFS(Xero!$F:$F,Xero!$B:$B,Heron!N$9,Xero!$A:$A,Heron!$A$5,Xero!$E:$E,Heron!$A18)</f>
        <v/>
      </c>
      <c r="O18" s="117">
        <f>-SUMIFS(Xero!$F:$F,Xero!$B:$B,Heron!O$9,Xero!$A:$A,Heron!$A$4,Xero!$E:$E,Heron!$A18)-SUMIFS(Xero!$F:$F,Xero!$B:$B,Heron!O$9,Xero!$A:$A,Heron!$A$5,Xero!$E:$E,Heron!$A18)</f>
        <v/>
      </c>
      <c r="P18" s="117">
        <f>-SUMIFS(Xero!$F:$F,Xero!$B:$B,Heron!P$9,Xero!$A:$A,Heron!$A$4,Xero!$E:$E,Heron!$A18)-SUMIFS(Xero!$F:$F,Xero!$B:$B,Heron!P$9,Xero!$A:$A,Heron!$A$5,Xero!$E:$E,Heron!$A18)</f>
        <v/>
      </c>
      <c r="Q18" s="117">
        <f>-SUMIFS(Xero!$F:$F,Xero!$B:$B,Heron!Q$9,Xero!$A:$A,Heron!$A$4,Xero!$E:$E,Heron!$A18)-SUMIFS(Xero!$F:$F,Xero!$B:$B,Heron!Q$9,Xero!$A:$A,Heron!$A$5,Xero!$E:$E,Heron!$A18)</f>
        <v/>
      </c>
      <c r="R18" s="117">
        <f>-SUMIFS(Xero!$F:$F,Xero!$B:$B,Heron!R$9,Xero!$A:$A,Heron!$A$4,Xero!$E:$E,Heron!$A18)-SUMIFS(Xero!$F:$F,Xero!$B:$B,Heron!R$9,Xero!$A:$A,Heron!$A$5,Xero!$E:$E,Heron!$A18)</f>
        <v/>
      </c>
      <c r="S18" s="117">
        <f>-SUMIFS(Xero!$F:$F,Xero!$B:$B,Heron!S$9,Xero!$A:$A,Heron!$A$4,Xero!$E:$E,Heron!$A18)-SUMIFS(Xero!$F:$F,Xero!$B:$B,Heron!S$9,Xero!$A:$A,Heron!$A$5,Xero!$E:$E,Heron!$A18)</f>
        <v/>
      </c>
      <c r="T18" s="117">
        <f>-SUMIFS(Xero!$F:$F,Xero!$B:$B,Heron!T$9,Xero!$A:$A,Heron!$A$4,Xero!$E:$E,Heron!$A18)-SUMIFS(Xero!$F:$F,Xero!$B:$B,Heron!T$9,Xero!$A:$A,Heron!$A$5,Xero!$E:$E,Heron!$A18)</f>
        <v/>
      </c>
      <c r="U18" s="117">
        <f>-SUMIFS(Xero!$F:$F,Xero!$B:$B,Heron!U$9,Xero!$A:$A,Heron!$A$4,Xero!$E:$E,Heron!$A18)-SUMIFS(Xero!$F:$F,Xero!$B:$B,Heron!U$9,Xero!$A:$A,Heron!$A$5,Xero!$E:$E,Heron!$A18)</f>
        <v/>
      </c>
      <c r="V18" s="117">
        <f>-SUMIFS(Xero!$F:$F,Xero!$B:$B,Heron!V$9,Xero!$A:$A,Heron!$A$4,Xero!$E:$E,Heron!$A18)-SUMIFS(Xero!$F:$F,Xero!$B:$B,Heron!V$9,Xero!$A:$A,Heron!$A$5,Xero!$E:$E,Heron!$A18)</f>
        <v/>
      </c>
      <c r="W18" s="117">
        <f>-SUMIFS(Xero!$F:$F,Xero!$B:$B,Heron!W$9,Xero!$A:$A,Heron!$A$4,Xero!$E:$E,Heron!$A18)-SUMIFS(Xero!$F:$F,Xero!$B:$B,Heron!W$9,Xero!$A:$A,Heron!$A$5,Xero!$E:$E,Heron!$A18)</f>
        <v/>
      </c>
      <c r="X18" s="117">
        <f>-SUMIFS(Xero!$F:$F,Xero!$B:$B,Heron!X$9,Xero!$A:$A,Heron!$A$4,Xero!$E:$E,Heron!$A18)-SUMIFS(Xero!$F:$F,Xero!$B:$B,Heron!X$9,Xero!$A:$A,Heron!$A$5,Xero!$E:$E,Heron!$A18)</f>
        <v/>
      </c>
      <c r="Y18" s="117">
        <f>-SUMIFS(Xero!$F:$F,Xero!$B:$B,Heron!Y$9,Xero!$A:$A,Heron!$A$4,Xero!$E:$E,Heron!$A18)-SUMIFS(Xero!$F:$F,Xero!$B:$B,Heron!Y$9,Xero!$A:$A,Heron!$A$5,Xero!$E:$E,Heron!$A18)</f>
        <v/>
      </c>
      <c r="Z18" s="117">
        <f>-SUMIFS(Xero!$F:$F,Xero!$B:$B,Heron!Z$9,Xero!$A:$A,Heron!$A$4,Xero!$E:$E,Heron!$A18)-SUMIFS(Xero!$F:$F,Xero!$B:$B,Heron!Z$9,Xero!$A:$A,Heron!$A$5,Xero!$E:$E,Heron!$A18)</f>
        <v/>
      </c>
      <c r="AA18" s="117">
        <f>-SUMIFS(Xero!$F:$F,Xero!$B:$B,Heron!AA$9,Xero!$A:$A,Heron!$A$4,Xero!$E:$E,Heron!$A18)-SUMIFS(Xero!$F:$F,Xero!$B:$B,Heron!AA$9,Xero!$A:$A,Heron!$A$5,Xero!$E:$E,Heron!$A18)</f>
        <v/>
      </c>
      <c r="AB18" s="117">
        <f>-SUMIFS(Xero!$F:$F,Xero!$B:$B,Heron!AB$9,Xero!$A:$A,Heron!$A$4,Xero!$E:$E,Heron!$A18)-SUMIFS(Xero!$F:$F,Xero!$B:$B,Heron!AB$9,Xero!$A:$A,Heron!$A$5,Xero!$E:$E,Heron!$A18)</f>
        <v/>
      </c>
      <c r="AC18" s="117">
        <f>-SUMIFS(Xero!$F:$F,Xero!$B:$B,Heron!AC$9,Xero!$A:$A,Heron!$A$4,Xero!$E:$E,Heron!$A18)-SUMIFS(Xero!$F:$F,Xero!$B:$B,Heron!AC$9,Xero!$A:$A,Heron!$A$5,Xero!$E:$E,Heron!$A18)</f>
        <v/>
      </c>
      <c r="AD18" s="117">
        <f>-SUMIFS(Xero!$F:$F,Xero!$B:$B,Heron!AD$9,Xero!$A:$A,Heron!$A$4,Xero!$E:$E,Heron!$A18)-SUMIFS(Xero!$F:$F,Xero!$B:$B,Heron!AD$9,Xero!$A:$A,Heron!$A$5,Xero!$E:$E,Heron!$A18)</f>
        <v/>
      </c>
      <c r="AE18" s="117">
        <f>-SUMIFS(Xero!$F:$F,Xero!$B:$B,Heron!AE$9,Xero!$A:$A,Heron!$A$4,Xero!$E:$E,Heron!$A18)-SUMIFS(Xero!$F:$F,Xero!$B:$B,Heron!AE$9,Xero!$A:$A,Heron!$A$5,Xero!$E:$E,Heron!$A18)</f>
        <v/>
      </c>
      <c r="AF18" s="117">
        <f>-SUMIFS(Xero!$F:$F,Xero!$B:$B,Heron!AF$9,Xero!$A:$A,Heron!$A$4,Xero!$E:$E,Heron!$A18)-SUMIFS(Xero!$F:$F,Xero!$B:$B,Heron!AF$9,Xero!$A:$A,Heron!$A$5,Xero!$E:$E,Heron!$A18)</f>
        <v/>
      </c>
      <c r="AG18" s="117">
        <f>-SUMIFS(Xero!$F:$F,Xero!$B:$B,Heron!AG$9,Xero!$A:$A,Heron!$A$4,Xero!$E:$E,Heron!$A18)-SUMIFS(Xero!$F:$F,Xero!$B:$B,Heron!AG$9,Xero!$A:$A,Heron!$A$5,Xero!$E:$E,Heron!$A18)</f>
        <v/>
      </c>
      <c r="AH18" s="117">
        <f>-SUMIFS(Xero!$F:$F,Xero!$B:$B,Heron!AH$9,Xero!$A:$A,Heron!$A$4,Xero!$E:$E,Heron!$A18)-SUMIFS(Xero!$F:$F,Xero!$B:$B,Heron!AH$9,Xero!$A:$A,Heron!$A$5,Xero!$E:$E,Heron!$A18)</f>
        <v/>
      </c>
      <c r="AI18" s="117">
        <f>-SUMIFS(Xero!$F:$F,Xero!$B:$B,Heron!AI$9,Xero!$A:$A,Heron!$A$4,Xero!$E:$E,Heron!$A18)-SUMIFS(Xero!$F:$F,Xero!$B:$B,Heron!AI$9,Xero!$A:$A,Heron!$A$5,Xero!$E:$E,Heron!$A18)</f>
        <v/>
      </c>
      <c r="AJ18" s="117">
        <f>-SUMIFS(Xero!$F:$F,Xero!$B:$B,Heron!AJ$9,Xero!$A:$A,Heron!$A$4,Xero!$E:$E,Heron!$A18)-SUMIFS(Xero!$F:$F,Xero!$B:$B,Heron!AJ$9,Xero!$A:$A,Heron!$A$5,Xero!$E:$E,Heron!$A18)</f>
        <v/>
      </c>
      <c r="AK18" s="117">
        <f>-SUMIFS(Xero!$F:$F,Xero!$B:$B,Heron!AK$9,Xero!$A:$A,Heron!$A$4,Xero!$E:$E,Heron!$A18)-SUMIFS(Xero!$F:$F,Xero!$B:$B,Heron!AK$9,Xero!$A:$A,Heron!$A$5,Xero!$E:$E,Heron!$A18)</f>
        <v/>
      </c>
      <c r="AL18" s="117">
        <f>-SUMIFS(Xero!$F:$F,Xero!$B:$B,Heron!AL$9,Xero!$A:$A,Heron!$A$4,Xero!$E:$E,Heron!$A18)-SUMIFS(Xero!$F:$F,Xero!$B:$B,Heron!AL$9,Xero!$A:$A,Heron!$A$5,Xero!$E:$E,Heron!$A18)</f>
        <v/>
      </c>
      <c r="AM18" s="117">
        <f>-SUMIFS(Xero!$F:$F,Xero!$B:$B,Heron!AM$9,Xero!$A:$A,Heron!$A$4,Xero!$E:$E,Heron!$A18)-SUMIFS(Xero!$F:$F,Xero!$B:$B,Heron!AM$9,Xero!$A:$A,Heron!$A$5,Xero!$E:$E,Heron!$A18)</f>
        <v/>
      </c>
      <c r="AN18" s="117">
        <f>-SUMIFS(Xero!$F:$F,Xero!$B:$B,Heron!AN$9,Xero!$A:$A,Heron!$A$4,Xero!$E:$E,Heron!$A18)-SUMIFS(Xero!$F:$F,Xero!$B:$B,Heron!AN$9,Xero!$A:$A,Heron!$A$5,Xero!$E:$E,Heron!$A18)</f>
        <v/>
      </c>
      <c r="AO18" s="117">
        <f>-SUMIFS(Xero!$F:$F,Xero!$B:$B,Heron!AO$9,Xero!$A:$A,Heron!$A$4,Xero!$E:$E,Heron!$A18)-SUMIFS(Xero!$F:$F,Xero!$B:$B,Heron!AO$9,Xero!$A:$A,Heron!$A$5,Xero!$E:$E,Heron!$A18)</f>
        <v/>
      </c>
      <c r="AP18" s="117">
        <f>-SUMIFS(Xero!$F:$F,Xero!$B:$B,Heron!AP$9,Xero!$A:$A,Heron!$A$4,Xero!$E:$E,Heron!$A18)-SUMIFS(Xero!$F:$F,Xero!$B:$B,Heron!AP$9,Xero!$A:$A,Heron!$A$5,Xero!$E:$E,Heron!$A18)</f>
        <v/>
      </c>
      <c r="AQ18" s="117">
        <f>-SUMIFS(Xero!$F:$F,Xero!$B:$B,Heron!AQ$9,Xero!$A:$A,Heron!$A$4,Xero!$E:$E,Heron!$A18)-SUMIFS(Xero!$F:$F,Xero!$B:$B,Heron!AQ$9,Xero!$A:$A,Heron!$A$5,Xero!$E:$E,Heron!$A18)</f>
        <v/>
      </c>
      <c r="AR18" s="117">
        <f>-SUMIFS(Xero!$F:$F,Xero!$B:$B,Heron!AR$9,Xero!$A:$A,Heron!$A$4,Xero!$E:$E,Heron!$A18)-SUMIFS(Xero!$F:$F,Xero!$B:$B,Heron!AR$9,Xero!$A:$A,Heron!$A$5,Xero!$E:$E,Heron!$A18)</f>
        <v/>
      </c>
      <c r="AS18" s="117">
        <f>-SUMIFS(Xero!$F:$F,Xero!$B:$B,Heron!AS$9,Xero!$A:$A,Heron!$A$4,Xero!$E:$E,Heron!$A18)-SUMIFS(Xero!$F:$F,Xero!$B:$B,Heron!AS$9,Xero!$A:$A,Heron!$A$5,Xero!$E:$E,Heron!$A18)</f>
        <v/>
      </c>
      <c r="AT18" s="117">
        <f>-SUMIFS(Xero!$F:$F,Xero!$B:$B,Heron!AT$9,Xero!$A:$A,Heron!$A$4,Xero!$E:$E,Heron!$A18)-SUMIFS(Xero!$F:$F,Xero!$B:$B,Heron!AT$9,Xero!$A:$A,Heron!$A$5,Xero!$E:$E,Heron!$A18)</f>
        <v/>
      </c>
      <c r="AU18" s="117">
        <f>-SUMIFS(Xero!$F:$F,Xero!$B:$B,Heron!AU$9,Xero!$A:$A,Heron!$A$4,Xero!$E:$E,Heron!$A18)-SUMIFS(Xero!$F:$F,Xero!$B:$B,Heron!AU$9,Xero!$A:$A,Heron!$A$5,Xero!$E:$E,Heron!$A18)</f>
        <v/>
      </c>
      <c r="AV18" s="117">
        <f>-SUMIFS(Xero!$F:$F,Xero!$B:$B,Heron!AV$9,Xero!$A:$A,Heron!$A$4,Xero!$E:$E,Heron!$A18)-SUMIFS(Xero!$F:$F,Xero!$B:$B,Heron!AV$9,Xero!$A:$A,Heron!$A$5,Xero!$E:$E,Heron!$A18)</f>
        <v/>
      </c>
      <c r="AW18" s="117">
        <f>-SUMIFS(Xero!$F:$F,Xero!$B:$B,Heron!AW$9,Xero!$A:$A,Heron!$A$4,Xero!$E:$E,Heron!$A18)-SUMIFS(Xero!$F:$F,Xero!$B:$B,Heron!AW$9,Xero!$A:$A,Heron!$A$5,Xero!$E:$E,Heron!$A18)</f>
        <v/>
      </c>
      <c r="AX18" s="117">
        <f>-SUMIFS(Xero!$F:$F,Xero!$B:$B,Heron!AX$9,Xero!$A:$A,Heron!$A$4,Xero!$E:$E,Heron!$A18)-SUMIFS(Xero!$F:$F,Xero!$B:$B,Heron!AX$9,Xero!$A:$A,Heron!$A$5,Xero!$E:$E,Heron!$A18)</f>
        <v/>
      </c>
      <c r="AY18" s="117">
        <f>-SUMIFS(Xero!$F:$F,Xero!$B:$B,Heron!AY$9,Xero!$A:$A,Heron!$A$4,Xero!$E:$E,Heron!$A18)-SUMIFS(Xero!$F:$F,Xero!$B:$B,Heron!AY$9,Xero!$A:$A,Heron!$A$5,Xero!$E:$E,Heron!$A18)</f>
        <v/>
      </c>
      <c r="AZ18" s="117">
        <f>-SUMIFS(Xero!$F:$F,Xero!$B:$B,Heron!AZ$9,Xero!$A:$A,Heron!$A$4,Xero!$E:$E,Heron!$A18)-SUMIFS(Xero!$F:$F,Xero!$B:$B,Heron!AZ$9,Xero!$A:$A,Heron!$A$5,Xero!$E:$E,Heron!$A18)</f>
        <v/>
      </c>
      <c r="BA18" s="117">
        <f>-SUMIFS(Xero!$F:$F,Xero!$B:$B,Heron!BA$9,Xero!$A:$A,Heron!$A$4,Xero!$E:$E,Heron!$A18)-SUMIFS(Xero!$F:$F,Xero!$B:$B,Heron!BA$9,Xero!$A:$A,Heron!$A$5,Xero!$E:$E,Heron!$A18)</f>
        <v/>
      </c>
      <c r="BB18" s="117">
        <f>-SUMIFS(Xero!$F:$F,Xero!$B:$B,Heron!BB$9,Xero!$A:$A,Heron!$A$4,Xero!$E:$E,Heron!$A18)-SUMIFS(Xero!$F:$F,Xero!$B:$B,Heron!BB$9,Xero!$A:$A,Heron!$A$5,Xero!$E:$E,Heron!$A18)</f>
        <v/>
      </c>
      <c r="BC18" s="117">
        <f>-SUMIFS(Xero!$F:$F,Xero!$B:$B,Heron!BC$9,Xero!$A:$A,Heron!$A$4,Xero!$E:$E,Heron!$A18)-SUMIFS(Xero!$F:$F,Xero!$B:$B,Heron!BC$9,Xero!$A:$A,Heron!$A$5,Xero!$E:$E,Heron!$A18)</f>
        <v/>
      </c>
      <c r="BD18" s="117">
        <f>-SUMIFS(Xero!$F:$F,Xero!$B:$B,Heron!BD$9,Xero!$A:$A,Heron!$A$4,Xero!$E:$E,Heron!$A18)-SUMIFS(Xero!$F:$F,Xero!$B:$B,Heron!BD$9,Xero!$A:$A,Heron!$A$5,Xero!$E:$E,Heron!$A18)</f>
        <v/>
      </c>
      <c r="BE18" s="117">
        <f>-SUMIFS(Xero!$F:$F,Xero!$B:$B,Heron!BE$9,Xero!$A:$A,Heron!$A$4,Xero!$E:$E,Heron!$A18)-SUMIFS(Xero!$F:$F,Xero!$B:$B,Heron!BE$9,Xero!$A:$A,Heron!$A$5,Xero!$E:$E,Heron!$A18)</f>
        <v/>
      </c>
      <c r="BF18" s="117">
        <f>-SUMIFS(Xero!$F:$F,Xero!$B:$B,Heron!BF$9,Xero!$A:$A,Heron!$A$4,Xero!$E:$E,Heron!$A18)-SUMIFS(Xero!$F:$F,Xero!$B:$B,Heron!BF$9,Xero!$A:$A,Heron!$A$5,Xero!$E:$E,Heron!$A18)</f>
        <v/>
      </c>
      <c r="BG18" s="117">
        <f>-SUMIFS(Xero!$F:$F,Xero!$B:$B,Heron!BG$9,Xero!$A:$A,Heron!$A$4,Xero!$E:$E,Heron!$A18)-SUMIFS(Xero!$F:$F,Xero!$B:$B,Heron!BG$9,Xero!$A:$A,Heron!$A$5,Xero!$E:$E,Heron!$A18)</f>
        <v/>
      </c>
      <c r="BH18" s="117">
        <f>-SUMIFS(Xero!$F:$F,Xero!$B:$B,Heron!BH$9,Xero!$A:$A,Heron!$A$4,Xero!$E:$E,Heron!$A18)-SUMIFS(Xero!$F:$F,Xero!$B:$B,Heron!BH$9,Xero!$A:$A,Heron!$A$5,Xero!$E:$E,Heron!$A18)</f>
        <v/>
      </c>
      <c r="BI18" s="117">
        <f>-SUMIFS(Xero!$F:$F,Xero!$B:$B,Heron!BI$9,Xero!$A:$A,Heron!$A$4,Xero!$E:$E,Heron!$A18)-SUMIFS(Xero!$F:$F,Xero!$B:$B,Heron!BI$9,Xero!$A:$A,Heron!$A$5,Xero!$E:$E,Heron!$A18)</f>
        <v/>
      </c>
      <c r="BJ18" s="117">
        <f>-SUMIFS(Xero!$F:$F,Xero!$B:$B,Heron!BJ$9,Xero!$A:$A,Heron!$A$4,Xero!$E:$E,Heron!$A18)-SUMIFS(Xero!$F:$F,Xero!$B:$B,Heron!BJ$9,Xero!$A:$A,Heron!$A$5,Xero!$E:$E,Heron!$A18)</f>
        <v/>
      </c>
      <c r="BK18" s="117">
        <f>sum(D18:BJ18)</f>
        <v/>
      </c>
    </row>
    <row r="19">
      <c r="A19" s="116" t="inlineStr">
        <is>
          <t>OMH - Accounting Management fees</t>
        </is>
      </c>
      <c r="D19" s="117">
        <f>-SUMIFS(Xero!$F:$F,Xero!$B:$B,Heron!D$9,Xero!$A:$A,Heron!$A$4,Xero!$E:$E,Heron!$A19)-SUMIFS(Xero!$F:$F,Xero!$B:$B,Heron!D$9,Xero!$A:$A,Heron!$A$5,Xero!$E:$E,Heron!$A19)</f>
        <v/>
      </c>
      <c r="E19" s="117">
        <f>-SUMIFS(Xero!$F:$F,Xero!$B:$B,Heron!E$9,Xero!$A:$A,Heron!$A$4,Xero!$E:$E,Heron!$A19)-SUMIFS(Xero!$F:$F,Xero!$B:$B,Heron!E$9,Xero!$A:$A,Heron!$A$5,Xero!$E:$E,Heron!$A19)</f>
        <v/>
      </c>
      <c r="F19" s="117">
        <f>-SUMIFS(Xero!$F:$F,Xero!$B:$B,Heron!F$9,Xero!$A:$A,Heron!$A$4,Xero!$E:$E,Heron!$A19)-SUMIFS(Xero!$F:$F,Xero!$B:$B,Heron!F$9,Xero!$A:$A,Heron!$A$5,Xero!$E:$E,Heron!$A19)</f>
        <v/>
      </c>
      <c r="G19" s="117">
        <f>-SUMIFS(Xero!$F:$F,Xero!$B:$B,Heron!G$9,Xero!$A:$A,Heron!$A$4,Xero!$E:$E,Heron!$A19)-SUMIFS(Xero!$F:$F,Xero!$B:$B,Heron!G$9,Xero!$A:$A,Heron!$A$5,Xero!$E:$E,Heron!$A19)</f>
        <v/>
      </c>
      <c r="H19" s="117">
        <f>-SUMIFS(Xero!$F:$F,Xero!$B:$B,Heron!H$9,Xero!$A:$A,Heron!$A$4,Xero!$E:$E,Heron!$A19)-SUMIFS(Xero!$F:$F,Xero!$B:$B,Heron!H$9,Xero!$A:$A,Heron!$A$5,Xero!$E:$E,Heron!$A19)</f>
        <v/>
      </c>
      <c r="I19" s="117">
        <f>-SUMIFS(Xero!$F:$F,Xero!$B:$B,Heron!I$9,Xero!$A:$A,Heron!$A$4,Xero!$E:$E,Heron!$A19)-SUMIFS(Xero!$F:$F,Xero!$B:$B,Heron!I$9,Xero!$A:$A,Heron!$A$5,Xero!$E:$E,Heron!$A19)</f>
        <v/>
      </c>
      <c r="J19" s="117">
        <f>-SUMIFS(Xero!$F:$F,Xero!$B:$B,Heron!J$9,Xero!$A:$A,Heron!$A$4,Xero!$E:$E,Heron!$A19)-SUMIFS(Xero!$F:$F,Xero!$B:$B,Heron!J$9,Xero!$A:$A,Heron!$A$5,Xero!$E:$E,Heron!$A19)</f>
        <v/>
      </c>
      <c r="K19" s="117">
        <f>-SUMIFS(Xero!$F:$F,Xero!$B:$B,Heron!K$9,Xero!$A:$A,Heron!$A$4,Xero!$E:$E,Heron!$A19)-SUMIFS(Xero!$F:$F,Xero!$B:$B,Heron!K$9,Xero!$A:$A,Heron!$A$5,Xero!$E:$E,Heron!$A19)</f>
        <v/>
      </c>
      <c r="L19" s="117">
        <f>-SUMIFS(Xero!$F:$F,Xero!$B:$B,Heron!L$9,Xero!$A:$A,Heron!$A$4,Xero!$E:$E,Heron!$A19)-SUMIFS(Xero!$F:$F,Xero!$B:$B,Heron!L$9,Xero!$A:$A,Heron!$A$5,Xero!$E:$E,Heron!$A19)</f>
        <v/>
      </c>
      <c r="M19" s="117">
        <f>-SUMIFS(Xero!$F:$F,Xero!$B:$B,Heron!M$9,Xero!$A:$A,Heron!$A$4,Xero!$E:$E,Heron!$A19)-SUMIFS(Xero!$F:$F,Xero!$B:$B,Heron!M$9,Xero!$A:$A,Heron!$A$5,Xero!$E:$E,Heron!$A19)</f>
        <v/>
      </c>
      <c r="N19" s="117">
        <f>-SUMIFS(Xero!$F:$F,Xero!$B:$B,Heron!N$9,Xero!$A:$A,Heron!$A$4,Xero!$E:$E,Heron!$A19)-SUMIFS(Xero!$F:$F,Xero!$B:$B,Heron!N$9,Xero!$A:$A,Heron!$A$5,Xero!$E:$E,Heron!$A19)</f>
        <v/>
      </c>
      <c r="O19" s="117">
        <f>-SUMIFS(Xero!$F:$F,Xero!$B:$B,Heron!O$9,Xero!$A:$A,Heron!$A$4,Xero!$E:$E,Heron!$A19)-SUMIFS(Xero!$F:$F,Xero!$B:$B,Heron!O$9,Xero!$A:$A,Heron!$A$5,Xero!$E:$E,Heron!$A19)</f>
        <v/>
      </c>
      <c r="P19" s="117">
        <f>-SUMIFS(Xero!$F:$F,Xero!$B:$B,Heron!P$9,Xero!$A:$A,Heron!$A$4,Xero!$E:$E,Heron!$A19)-SUMIFS(Xero!$F:$F,Xero!$B:$B,Heron!P$9,Xero!$A:$A,Heron!$A$5,Xero!$E:$E,Heron!$A19)</f>
        <v/>
      </c>
      <c r="Q19" s="117">
        <f>-SUMIFS(Xero!$F:$F,Xero!$B:$B,Heron!Q$9,Xero!$A:$A,Heron!$A$4,Xero!$E:$E,Heron!$A19)-SUMIFS(Xero!$F:$F,Xero!$B:$B,Heron!Q$9,Xero!$A:$A,Heron!$A$5,Xero!$E:$E,Heron!$A19)</f>
        <v/>
      </c>
      <c r="R19" s="117">
        <f>-SUMIFS(Xero!$F:$F,Xero!$B:$B,Heron!R$9,Xero!$A:$A,Heron!$A$4,Xero!$E:$E,Heron!$A19)-SUMIFS(Xero!$F:$F,Xero!$B:$B,Heron!R$9,Xero!$A:$A,Heron!$A$5,Xero!$E:$E,Heron!$A19)</f>
        <v/>
      </c>
      <c r="S19" s="117">
        <f>-SUMIFS(Xero!$F:$F,Xero!$B:$B,Heron!S$9,Xero!$A:$A,Heron!$A$4,Xero!$E:$E,Heron!$A19)-SUMIFS(Xero!$F:$F,Xero!$B:$B,Heron!S$9,Xero!$A:$A,Heron!$A$5,Xero!$E:$E,Heron!$A19)</f>
        <v/>
      </c>
      <c r="T19" s="117">
        <f>-SUMIFS(Xero!$F:$F,Xero!$B:$B,Heron!T$9,Xero!$A:$A,Heron!$A$4,Xero!$E:$E,Heron!$A19)-SUMIFS(Xero!$F:$F,Xero!$B:$B,Heron!T$9,Xero!$A:$A,Heron!$A$5,Xero!$E:$E,Heron!$A19)</f>
        <v/>
      </c>
      <c r="U19" s="117">
        <f>-SUMIFS(Xero!$F:$F,Xero!$B:$B,Heron!U$9,Xero!$A:$A,Heron!$A$4,Xero!$E:$E,Heron!$A19)-SUMIFS(Xero!$F:$F,Xero!$B:$B,Heron!U$9,Xero!$A:$A,Heron!$A$5,Xero!$E:$E,Heron!$A19)</f>
        <v/>
      </c>
      <c r="V19" s="117">
        <f>-SUMIFS(Xero!$F:$F,Xero!$B:$B,Heron!V$9,Xero!$A:$A,Heron!$A$4,Xero!$E:$E,Heron!$A19)-SUMIFS(Xero!$F:$F,Xero!$B:$B,Heron!V$9,Xero!$A:$A,Heron!$A$5,Xero!$E:$E,Heron!$A19)</f>
        <v/>
      </c>
      <c r="W19" s="117">
        <f>-SUMIFS(Xero!$F:$F,Xero!$B:$B,Heron!W$9,Xero!$A:$A,Heron!$A$4,Xero!$E:$E,Heron!$A19)-SUMIFS(Xero!$F:$F,Xero!$B:$B,Heron!W$9,Xero!$A:$A,Heron!$A$5,Xero!$E:$E,Heron!$A19)</f>
        <v/>
      </c>
      <c r="X19" s="117">
        <f>-SUMIFS(Xero!$F:$F,Xero!$B:$B,Heron!X$9,Xero!$A:$A,Heron!$A$4,Xero!$E:$E,Heron!$A19)-SUMIFS(Xero!$F:$F,Xero!$B:$B,Heron!X$9,Xero!$A:$A,Heron!$A$5,Xero!$E:$E,Heron!$A19)</f>
        <v/>
      </c>
      <c r="Y19" s="117">
        <f>-SUMIFS(Xero!$F:$F,Xero!$B:$B,Heron!Y$9,Xero!$A:$A,Heron!$A$4,Xero!$E:$E,Heron!$A19)-SUMIFS(Xero!$F:$F,Xero!$B:$B,Heron!Y$9,Xero!$A:$A,Heron!$A$5,Xero!$E:$E,Heron!$A19)</f>
        <v/>
      </c>
      <c r="Z19" s="117">
        <f>-SUMIFS(Xero!$F:$F,Xero!$B:$B,Heron!Z$9,Xero!$A:$A,Heron!$A$4,Xero!$E:$E,Heron!$A19)-SUMIFS(Xero!$F:$F,Xero!$B:$B,Heron!Z$9,Xero!$A:$A,Heron!$A$5,Xero!$E:$E,Heron!$A19)</f>
        <v/>
      </c>
      <c r="AA19" s="117">
        <f>-SUMIFS(Xero!$F:$F,Xero!$B:$B,Heron!AA$9,Xero!$A:$A,Heron!$A$4,Xero!$E:$E,Heron!$A19)-SUMIFS(Xero!$F:$F,Xero!$B:$B,Heron!AA$9,Xero!$A:$A,Heron!$A$5,Xero!$E:$E,Heron!$A19)</f>
        <v/>
      </c>
      <c r="AB19" s="117">
        <f>-SUMIFS(Xero!$F:$F,Xero!$B:$B,Heron!AB$9,Xero!$A:$A,Heron!$A$4,Xero!$E:$E,Heron!$A19)-SUMIFS(Xero!$F:$F,Xero!$B:$B,Heron!AB$9,Xero!$A:$A,Heron!$A$5,Xero!$E:$E,Heron!$A19)</f>
        <v/>
      </c>
      <c r="AC19" s="117">
        <f>-SUMIFS(Xero!$F:$F,Xero!$B:$B,Heron!AC$9,Xero!$A:$A,Heron!$A$4,Xero!$E:$E,Heron!$A19)-SUMIFS(Xero!$F:$F,Xero!$B:$B,Heron!AC$9,Xero!$A:$A,Heron!$A$5,Xero!$E:$E,Heron!$A19)</f>
        <v/>
      </c>
      <c r="AD19" s="117">
        <f>-SUMIFS(Xero!$F:$F,Xero!$B:$B,Heron!AD$9,Xero!$A:$A,Heron!$A$4,Xero!$E:$E,Heron!$A19)-SUMIFS(Xero!$F:$F,Xero!$B:$B,Heron!AD$9,Xero!$A:$A,Heron!$A$5,Xero!$E:$E,Heron!$A19)</f>
        <v/>
      </c>
      <c r="AE19" s="117">
        <f>-SUMIFS(Xero!$F:$F,Xero!$B:$B,Heron!AE$9,Xero!$A:$A,Heron!$A$4,Xero!$E:$E,Heron!$A19)-SUMIFS(Xero!$F:$F,Xero!$B:$B,Heron!AE$9,Xero!$A:$A,Heron!$A$5,Xero!$E:$E,Heron!$A19)</f>
        <v/>
      </c>
      <c r="AF19" s="117">
        <f>-SUMIFS(Xero!$F:$F,Xero!$B:$B,Heron!AF$9,Xero!$A:$A,Heron!$A$4,Xero!$E:$E,Heron!$A19)-SUMIFS(Xero!$F:$F,Xero!$B:$B,Heron!AF$9,Xero!$A:$A,Heron!$A$5,Xero!$E:$E,Heron!$A19)</f>
        <v/>
      </c>
      <c r="AG19" s="117">
        <f>-SUMIFS(Xero!$F:$F,Xero!$B:$B,Heron!AG$9,Xero!$A:$A,Heron!$A$4,Xero!$E:$E,Heron!$A19)-SUMIFS(Xero!$F:$F,Xero!$B:$B,Heron!AG$9,Xero!$A:$A,Heron!$A$5,Xero!$E:$E,Heron!$A19)</f>
        <v/>
      </c>
      <c r="AH19" s="117">
        <f>-SUMIFS(Xero!$F:$F,Xero!$B:$B,Heron!AH$9,Xero!$A:$A,Heron!$A$4,Xero!$E:$E,Heron!$A19)-SUMIFS(Xero!$F:$F,Xero!$B:$B,Heron!AH$9,Xero!$A:$A,Heron!$A$5,Xero!$E:$E,Heron!$A19)</f>
        <v/>
      </c>
      <c r="AI19" s="117">
        <f>-SUMIFS(Xero!$F:$F,Xero!$B:$B,Heron!AI$9,Xero!$A:$A,Heron!$A$4,Xero!$E:$E,Heron!$A19)-SUMIFS(Xero!$F:$F,Xero!$B:$B,Heron!AI$9,Xero!$A:$A,Heron!$A$5,Xero!$E:$E,Heron!$A19)</f>
        <v/>
      </c>
      <c r="AJ19" s="117">
        <f>-SUMIFS(Xero!$F:$F,Xero!$B:$B,Heron!AJ$9,Xero!$A:$A,Heron!$A$4,Xero!$E:$E,Heron!$A19)-SUMIFS(Xero!$F:$F,Xero!$B:$B,Heron!AJ$9,Xero!$A:$A,Heron!$A$5,Xero!$E:$E,Heron!$A19)</f>
        <v/>
      </c>
      <c r="AK19" s="117">
        <f>-SUMIFS(Xero!$F:$F,Xero!$B:$B,Heron!AK$9,Xero!$A:$A,Heron!$A$4,Xero!$E:$E,Heron!$A19)-SUMIFS(Xero!$F:$F,Xero!$B:$B,Heron!AK$9,Xero!$A:$A,Heron!$A$5,Xero!$E:$E,Heron!$A19)</f>
        <v/>
      </c>
      <c r="AL19" s="117">
        <f>-SUMIFS(Xero!$F:$F,Xero!$B:$B,Heron!AL$9,Xero!$A:$A,Heron!$A$4,Xero!$E:$E,Heron!$A19)-SUMIFS(Xero!$F:$F,Xero!$B:$B,Heron!AL$9,Xero!$A:$A,Heron!$A$5,Xero!$E:$E,Heron!$A19)</f>
        <v/>
      </c>
      <c r="AM19" s="117">
        <f>-SUMIFS(Xero!$F:$F,Xero!$B:$B,Heron!AM$9,Xero!$A:$A,Heron!$A$4,Xero!$E:$E,Heron!$A19)-SUMIFS(Xero!$F:$F,Xero!$B:$B,Heron!AM$9,Xero!$A:$A,Heron!$A$5,Xero!$E:$E,Heron!$A19)</f>
        <v/>
      </c>
      <c r="AN19" s="117">
        <f>-SUMIFS(Xero!$F:$F,Xero!$B:$B,Heron!AN$9,Xero!$A:$A,Heron!$A$4,Xero!$E:$E,Heron!$A19)-SUMIFS(Xero!$F:$F,Xero!$B:$B,Heron!AN$9,Xero!$A:$A,Heron!$A$5,Xero!$E:$E,Heron!$A19)</f>
        <v/>
      </c>
      <c r="AO19" s="117">
        <f>-SUMIFS(Xero!$F:$F,Xero!$B:$B,Heron!AO$9,Xero!$A:$A,Heron!$A$4,Xero!$E:$E,Heron!$A19)-SUMIFS(Xero!$F:$F,Xero!$B:$B,Heron!AO$9,Xero!$A:$A,Heron!$A$5,Xero!$E:$E,Heron!$A19)</f>
        <v/>
      </c>
      <c r="AP19" s="117">
        <f>-SUMIFS(Xero!$F:$F,Xero!$B:$B,Heron!AP$9,Xero!$A:$A,Heron!$A$4,Xero!$E:$E,Heron!$A19)-SUMIFS(Xero!$F:$F,Xero!$B:$B,Heron!AP$9,Xero!$A:$A,Heron!$A$5,Xero!$E:$E,Heron!$A19)</f>
        <v/>
      </c>
      <c r="AQ19" s="117">
        <f>-SUMIFS(Xero!$F:$F,Xero!$B:$B,Heron!AQ$9,Xero!$A:$A,Heron!$A$4,Xero!$E:$E,Heron!$A19)-SUMIFS(Xero!$F:$F,Xero!$B:$B,Heron!AQ$9,Xero!$A:$A,Heron!$A$5,Xero!$E:$E,Heron!$A19)</f>
        <v/>
      </c>
      <c r="AR19" s="117">
        <f>-SUMIFS(Xero!$F:$F,Xero!$B:$B,Heron!AR$9,Xero!$A:$A,Heron!$A$4,Xero!$E:$E,Heron!$A19)-SUMIFS(Xero!$F:$F,Xero!$B:$B,Heron!AR$9,Xero!$A:$A,Heron!$A$5,Xero!$E:$E,Heron!$A19)</f>
        <v/>
      </c>
      <c r="AS19" s="117">
        <f>-SUMIFS(Xero!$F:$F,Xero!$B:$B,Heron!AS$9,Xero!$A:$A,Heron!$A$4,Xero!$E:$E,Heron!$A19)-SUMIFS(Xero!$F:$F,Xero!$B:$B,Heron!AS$9,Xero!$A:$A,Heron!$A$5,Xero!$E:$E,Heron!$A19)</f>
        <v/>
      </c>
      <c r="AT19" s="117">
        <f>-SUMIFS(Xero!$F:$F,Xero!$B:$B,Heron!AT$9,Xero!$A:$A,Heron!$A$4,Xero!$E:$E,Heron!$A19)-SUMIFS(Xero!$F:$F,Xero!$B:$B,Heron!AT$9,Xero!$A:$A,Heron!$A$5,Xero!$E:$E,Heron!$A19)</f>
        <v/>
      </c>
      <c r="AU19" s="117">
        <f>-SUMIFS(Xero!$F:$F,Xero!$B:$B,Heron!AU$9,Xero!$A:$A,Heron!$A$4,Xero!$E:$E,Heron!$A19)-SUMIFS(Xero!$F:$F,Xero!$B:$B,Heron!AU$9,Xero!$A:$A,Heron!$A$5,Xero!$E:$E,Heron!$A19)</f>
        <v/>
      </c>
      <c r="AV19" s="117">
        <f>-SUMIFS(Xero!$F:$F,Xero!$B:$B,Heron!AV$9,Xero!$A:$A,Heron!$A$4,Xero!$E:$E,Heron!$A19)-SUMIFS(Xero!$F:$F,Xero!$B:$B,Heron!AV$9,Xero!$A:$A,Heron!$A$5,Xero!$E:$E,Heron!$A19)</f>
        <v/>
      </c>
      <c r="AW19" s="117">
        <f>-SUMIFS(Xero!$F:$F,Xero!$B:$B,Heron!AW$9,Xero!$A:$A,Heron!$A$4,Xero!$E:$E,Heron!$A19)-SUMIFS(Xero!$F:$F,Xero!$B:$B,Heron!AW$9,Xero!$A:$A,Heron!$A$5,Xero!$E:$E,Heron!$A19)</f>
        <v/>
      </c>
      <c r="AX19" s="117">
        <f>-SUMIFS(Xero!$F:$F,Xero!$B:$B,Heron!AX$9,Xero!$A:$A,Heron!$A$4,Xero!$E:$E,Heron!$A19)-SUMIFS(Xero!$F:$F,Xero!$B:$B,Heron!AX$9,Xero!$A:$A,Heron!$A$5,Xero!$E:$E,Heron!$A19)</f>
        <v/>
      </c>
      <c r="AY19" s="117">
        <f>-SUMIFS(Xero!$F:$F,Xero!$B:$B,Heron!AY$9,Xero!$A:$A,Heron!$A$4,Xero!$E:$E,Heron!$A19)-SUMIFS(Xero!$F:$F,Xero!$B:$B,Heron!AY$9,Xero!$A:$A,Heron!$A$5,Xero!$E:$E,Heron!$A19)</f>
        <v/>
      </c>
      <c r="AZ19" s="117">
        <f>-SUMIFS(Xero!$F:$F,Xero!$B:$B,Heron!AZ$9,Xero!$A:$A,Heron!$A$4,Xero!$E:$E,Heron!$A19)-SUMIFS(Xero!$F:$F,Xero!$B:$B,Heron!AZ$9,Xero!$A:$A,Heron!$A$5,Xero!$E:$E,Heron!$A19)</f>
        <v/>
      </c>
      <c r="BA19" s="117">
        <f>-SUMIFS(Xero!$F:$F,Xero!$B:$B,Heron!BA$9,Xero!$A:$A,Heron!$A$4,Xero!$E:$E,Heron!$A19)-SUMIFS(Xero!$F:$F,Xero!$B:$B,Heron!BA$9,Xero!$A:$A,Heron!$A$5,Xero!$E:$E,Heron!$A19)</f>
        <v/>
      </c>
      <c r="BB19" s="117">
        <f>-SUMIFS(Xero!$F:$F,Xero!$B:$B,Heron!BB$9,Xero!$A:$A,Heron!$A$4,Xero!$E:$E,Heron!$A19)-SUMIFS(Xero!$F:$F,Xero!$B:$B,Heron!BB$9,Xero!$A:$A,Heron!$A$5,Xero!$E:$E,Heron!$A19)</f>
        <v/>
      </c>
      <c r="BC19" s="117">
        <f>-SUMIFS(Xero!$F:$F,Xero!$B:$B,Heron!BC$9,Xero!$A:$A,Heron!$A$4,Xero!$E:$E,Heron!$A19)-SUMIFS(Xero!$F:$F,Xero!$B:$B,Heron!BC$9,Xero!$A:$A,Heron!$A$5,Xero!$E:$E,Heron!$A19)</f>
        <v/>
      </c>
      <c r="BD19" s="117">
        <f>-SUMIFS(Xero!$F:$F,Xero!$B:$B,Heron!BD$9,Xero!$A:$A,Heron!$A$4,Xero!$E:$E,Heron!$A19)-SUMIFS(Xero!$F:$F,Xero!$B:$B,Heron!BD$9,Xero!$A:$A,Heron!$A$5,Xero!$E:$E,Heron!$A19)</f>
        <v/>
      </c>
      <c r="BE19" s="117">
        <f>-SUMIFS(Xero!$F:$F,Xero!$B:$B,Heron!BE$9,Xero!$A:$A,Heron!$A$4,Xero!$E:$E,Heron!$A19)-SUMIFS(Xero!$F:$F,Xero!$B:$B,Heron!BE$9,Xero!$A:$A,Heron!$A$5,Xero!$E:$E,Heron!$A19)</f>
        <v/>
      </c>
      <c r="BF19" s="117">
        <f>-SUMIFS(Xero!$F:$F,Xero!$B:$B,Heron!BF$9,Xero!$A:$A,Heron!$A$4,Xero!$E:$E,Heron!$A19)-SUMIFS(Xero!$F:$F,Xero!$B:$B,Heron!BF$9,Xero!$A:$A,Heron!$A$5,Xero!$E:$E,Heron!$A19)</f>
        <v/>
      </c>
      <c r="BG19" s="117">
        <f>-SUMIFS(Xero!$F:$F,Xero!$B:$B,Heron!BG$9,Xero!$A:$A,Heron!$A$4,Xero!$E:$E,Heron!$A19)-SUMIFS(Xero!$F:$F,Xero!$B:$B,Heron!BG$9,Xero!$A:$A,Heron!$A$5,Xero!$E:$E,Heron!$A19)</f>
        <v/>
      </c>
      <c r="BH19" s="117">
        <f>-SUMIFS(Xero!$F:$F,Xero!$B:$B,Heron!BH$9,Xero!$A:$A,Heron!$A$4,Xero!$E:$E,Heron!$A19)-SUMIFS(Xero!$F:$F,Xero!$B:$B,Heron!BH$9,Xero!$A:$A,Heron!$A$5,Xero!$E:$E,Heron!$A19)</f>
        <v/>
      </c>
      <c r="BI19" s="117">
        <f>-SUMIFS(Xero!$F:$F,Xero!$B:$B,Heron!BI$9,Xero!$A:$A,Heron!$A$4,Xero!$E:$E,Heron!$A19)-SUMIFS(Xero!$F:$F,Xero!$B:$B,Heron!BI$9,Xero!$A:$A,Heron!$A$5,Xero!$E:$E,Heron!$A19)</f>
        <v/>
      </c>
      <c r="BJ19" s="117">
        <f>-SUMIFS(Xero!$F:$F,Xero!$B:$B,Heron!BJ$9,Xero!$A:$A,Heron!$A$4,Xero!$E:$E,Heron!$A19)-SUMIFS(Xero!$F:$F,Xero!$B:$B,Heron!BJ$9,Xero!$A:$A,Heron!$A$5,Xero!$E:$E,Heron!$A19)</f>
        <v/>
      </c>
      <c r="BK19" s="117">
        <f>sum(D19:BJ19)</f>
        <v/>
      </c>
    </row>
    <row r="20">
      <c r="A20" s="116" t="inlineStr">
        <is>
          <t>Recovery of Costs - Showhouse</t>
        </is>
      </c>
      <c r="D20" s="117">
        <f>-SUMIFS(Xero!$F:$F,Xero!$B:$B,Heron!D$9,Xero!$A:$A,Heron!$A$4,Xero!$E:$E,Heron!$A20)-SUMIFS(Xero!$F:$F,Xero!$B:$B,Heron!D$9,Xero!$A:$A,Heron!$A$5,Xero!$E:$E,Heron!$A20)</f>
        <v/>
      </c>
      <c r="E20" s="117">
        <f>-SUMIFS(Xero!$F:$F,Xero!$B:$B,Heron!E$9,Xero!$A:$A,Heron!$A$4,Xero!$E:$E,Heron!$A20)-SUMIFS(Xero!$F:$F,Xero!$B:$B,Heron!E$9,Xero!$A:$A,Heron!$A$5,Xero!$E:$E,Heron!$A20)</f>
        <v/>
      </c>
      <c r="F20" s="117">
        <f>-SUMIFS(Xero!$F:$F,Xero!$B:$B,Heron!F$9,Xero!$A:$A,Heron!$A$4,Xero!$E:$E,Heron!$A20)-SUMIFS(Xero!$F:$F,Xero!$B:$B,Heron!F$9,Xero!$A:$A,Heron!$A$5,Xero!$E:$E,Heron!$A20)</f>
        <v/>
      </c>
      <c r="G20" s="117">
        <f>-SUMIFS(Xero!$F:$F,Xero!$B:$B,Heron!G$9,Xero!$A:$A,Heron!$A$4,Xero!$E:$E,Heron!$A20)-SUMIFS(Xero!$F:$F,Xero!$B:$B,Heron!G$9,Xero!$A:$A,Heron!$A$5,Xero!$E:$E,Heron!$A20)</f>
        <v/>
      </c>
      <c r="H20" s="117">
        <f>-SUMIFS(Xero!$F:$F,Xero!$B:$B,Heron!H$9,Xero!$A:$A,Heron!$A$4,Xero!$E:$E,Heron!$A20)-SUMIFS(Xero!$F:$F,Xero!$B:$B,Heron!H$9,Xero!$A:$A,Heron!$A$5,Xero!$E:$E,Heron!$A20)</f>
        <v/>
      </c>
      <c r="I20" s="117">
        <f>-SUMIFS(Xero!$F:$F,Xero!$B:$B,Heron!I$9,Xero!$A:$A,Heron!$A$4,Xero!$E:$E,Heron!$A20)-SUMIFS(Xero!$F:$F,Xero!$B:$B,Heron!I$9,Xero!$A:$A,Heron!$A$5,Xero!$E:$E,Heron!$A20)</f>
        <v/>
      </c>
      <c r="J20" s="117">
        <f>-SUMIFS(Xero!$F:$F,Xero!$B:$B,Heron!J$9,Xero!$A:$A,Heron!$A$4,Xero!$E:$E,Heron!$A20)-SUMIFS(Xero!$F:$F,Xero!$B:$B,Heron!J$9,Xero!$A:$A,Heron!$A$5,Xero!$E:$E,Heron!$A20)</f>
        <v/>
      </c>
      <c r="K20" s="117">
        <f>-SUMIFS(Xero!$F:$F,Xero!$B:$B,Heron!K$9,Xero!$A:$A,Heron!$A$4,Xero!$E:$E,Heron!$A20)-SUMIFS(Xero!$F:$F,Xero!$B:$B,Heron!K$9,Xero!$A:$A,Heron!$A$5,Xero!$E:$E,Heron!$A20)</f>
        <v/>
      </c>
      <c r="L20" s="117">
        <f>-SUMIFS(Xero!$F:$F,Xero!$B:$B,Heron!L$9,Xero!$A:$A,Heron!$A$4,Xero!$E:$E,Heron!$A20)-SUMIFS(Xero!$F:$F,Xero!$B:$B,Heron!L$9,Xero!$A:$A,Heron!$A$5,Xero!$E:$E,Heron!$A20)</f>
        <v/>
      </c>
      <c r="M20" s="117">
        <f>-SUMIFS(Xero!$F:$F,Xero!$B:$B,Heron!M$9,Xero!$A:$A,Heron!$A$4,Xero!$E:$E,Heron!$A20)-SUMIFS(Xero!$F:$F,Xero!$B:$B,Heron!M$9,Xero!$A:$A,Heron!$A$5,Xero!$E:$E,Heron!$A20)</f>
        <v/>
      </c>
      <c r="N20" s="117">
        <f>-SUMIFS(Xero!$F:$F,Xero!$B:$B,Heron!N$9,Xero!$A:$A,Heron!$A$4,Xero!$E:$E,Heron!$A20)-SUMIFS(Xero!$F:$F,Xero!$B:$B,Heron!N$9,Xero!$A:$A,Heron!$A$5,Xero!$E:$E,Heron!$A20)</f>
        <v/>
      </c>
      <c r="O20" s="117">
        <f>-SUMIFS(Xero!$F:$F,Xero!$B:$B,Heron!O$9,Xero!$A:$A,Heron!$A$4,Xero!$E:$E,Heron!$A20)-SUMIFS(Xero!$F:$F,Xero!$B:$B,Heron!O$9,Xero!$A:$A,Heron!$A$5,Xero!$E:$E,Heron!$A20)</f>
        <v/>
      </c>
      <c r="P20" s="117">
        <f>-SUMIFS(Xero!$F:$F,Xero!$B:$B,Heron!P$9,Xero!$A:$A,Heron!$A$4,Xero!$E:$E,Heron!$A20)-SUMIFS(Xero!$F:$F,Xero!$B:$B,Heron!P$9,Xero!$A:$A,Heron!$A$5,Xero!$E:$E,Heron!$A20)</f>
        <v/>
      </c>
      <c r="Q20" s="117">
        <f>-SUMIFS(Xero!$F:$F,Xero!$B:$B,Heron!Q$9,Xero!$A:$A,Heron!$A$4,Xero!$E:$E,Heron!$A20)-SUMIFS(Xero!$F:$F,Xero!$B:$B,Heron!Q$9,Xero!$A:$A,Heron!$A$5,Xero!$E:$E,Heron!$A20)</f>
        <v/>
      </c>
      <c r="R20" s="117">
        <f>-SUMIFS(Xero!$F:$F,Xero!$B:$B,Heron!R$9,Xero!$A:$A,Heron!$A$4,Xero!$E:$E,Heron!$A20)-SUMIFS(Xero!$F:$F,Xero!$B:$B,Heron!R$9,Xero!$A:$A,Heron!$A$5,Xero!$E:$E,Heron!$A20)</f>
        <v/>
      </c>
      <c r="S20" s="117">
        <f>-SUMIFS(Xero!$F:$F,Xero!$B:$B,Heron!S$9,Xero!$A:$A,Heron!$A$4,Xero!$E:$E,Heron!$A20)-SUMIFS(Xero!$F:$F,Xero!$B:$B,Heron!S$9,Xero!$A:$A,Heron!$A$5,Xero!$E:$E,Heron!$A20)</f>
        <v/>
      </c>
      <c r="T20" s="117">
        <f>-SUMIFS(Xero!$F:$F,Xero!$B:$B,Heron!T$9,Xero!$A:$A,Heron!$A$4,Xero!$E:$E,Heron!$A20)-SUMIFS(Xero!$F:$F,Xero!$B:$B,Heron!T$9,Xero!$A:$A,Heron!$A$5,Xero!$E:$E,Heron!$A20)</f>
        <v/>
      </c>
      <c r="U20" s="117">
        <f>-SUMIFS(Xero!$F:$F,Xero!$B:$B,Heron!U$9,Xero!$A:$A,Heron!$A$4,Xero!$E:$E,Heron!$A20)-SUMIFS(Xero!$F:$F,Xero!$B:$B,Heron!U$9,Xero!$A:$A,Heron!$A$5,Xero!$E:$E,Heron!$A20)</f>
        <v/>
      </c>
      <c r="V20" s="117">
        <f>-SUMIFS(Xero!$F:$F,Xero!$B:$B,Heron!V$9,Xero!$A:$A,Heron!$A$4,Xero!$E:$E,Heron!$A20)-SUMIFS(Xero!$F:$F,Xero!$B:$B,Heron!V$9,Xero!$A:$A,Heron!$A$5,Xero!$E:$E,Heron!$A20)</f>
        <v/>
      </c>
      <c r="W20" s="117">
        <f>-SUMIFS(Xero!$F:$F,Xero!$B:$B,Heron!W$9,Xero!$A:$A,Heron!$A$4,Xero!$E:$E,Heron!$A20)-SUMIFS(Xero!$F:$F,Xero!$B:$B,Heron!W$9,Xero!$A:$A,Heron!$A$5,Xero!$E:$E,Heron!$A20)</f>
        <v/>
      </c>
      <c r="X20" s="117">
        <f>-SUMIFS(Xero!$F:$F,Xero!$B:$B,Heron!X$9,Xero!$A:$A,Heron!$A$4,Xero!$E:$E,Heron!$A20)-SUMIFS(Xero!$F:$F,Xero!$B:$B,Heron!X$9,Xero!$A:$A,Heron!$A$5,Xero!$E:$E,Heron!$A20)</f>
        <v/>
      </c>
      <c r="Y20" s="117">
        <f>-SUMIFS(Xero!$F:$F,Xero!$B:$B,Heron!Y$9,Xero!$A:$A,Heron!$A$4,Xero!$E:$E,Heron!$A20)-SUMIFS(Xero!$F:$F,Xero!$B:$B,Heron!Y$9,Xero!$A:$A,Heron!$A$5,Xero!$E:$E,Heron!$A20)</f>
        <v/>
      </c>
      <c r="Z20" s="117">
        <f>-SUMIFS(Xero!$F:$F,Xero!$B:$B,Heron!Z$9,Xero!$A:$A,Heron!$A$4,Xero!$E:$E,Heron!$A20)-SUMIFS(Xero!$F:$F,Xero!$B:$B,Heron!Z$9,Xero!$A:$A,Heron!$A$5,Xero!$E:$E,Heron!$A20)</f>
        <v/>
      </c>
      <c r="AA20" s="117">
        <f>-SUMIFS(Xero!$F:$F,Xero!$B:$B,Heron!AA$9,Xero!$A:$A,Heron!$A$4,Xero!$E:$E,Heron!$A20)-SUMIFS(Xero!$F:$F,Xero!$B:$B,Heron!AA$9,Xero!$A:$A,Heron!$A$5,Xero!$E:$E,Heron!$A20)</f>
        <v/>
      </c>
      <c r="AB20" s="117">
        <f>-SUMIFS(Xero!$F:$F,Xero!$B:$B,Heron!AB$9,Xero!$A:$A,Heron!$A$4,Xero!$E:$E,Heron!$A20)-SUMIFS(Xero!$F:$F,Xero!$B:$B,Heron!AB$9,Xero!$A:$A,Heron!$A$5,Xero!$E:$E,Heron!$A20)</f>
        <v/>
      </c>
      <c r="AC20" s="117">
        <f>-SUMIFS(Xero!$F:$F,Xero!$B:$B,Heron!AC$9,Xero!$A:$A,Heron!$A$4,Xero!$E:$E,Heron!$A20)-SUMIFS(Xero!$F:$F,Xero!$B:$B,Heron!AC$9,Xero!$A:$A,Heron!$A$5,Xero!$E:$E,Heron!$A20)</f>
        <v/>
      </c>
      <c r="AD20" s="117">
        <f>-SUMIFS(Xero!$F:$F,Xero!$B:$B,Heron!AD$9,Xero!$A:$A,Heron!$A$4,Xero!$E:$E,Heron!$A20)-SUMIFS(Xero!$F:$F,Xero!$B:$B,Heron!AD$9,Xero!$A:$A,Heron!$A$5,Xero!$E:$E,Heron!$A20)</f>
        <v/>
      </c>
      <c r="AE20" s="117">
        <f>-SUMIFS(Xero!$F:$F,Xero!$B:$B,Heron!AE$9,Xero!$A:$A,Heron!$A$4,Xero!$E:$E,Heron!$A20)-SUMIFS(Xero!$F:$F,Xero!$B:$B,Heron!AE$9,Xero!$A:$A,Heron!$A$5,Xero!$E:$E,Heron!$A20)</f>
        <v/>
      </c>
      <c r="AF20" s="117">
        <f>-SUMIFS(Xero!$F:$F,Xero!$B:$B,Heron!AF$9,Xero!$A:$A,Heron!$A$4,Xero!$E:$E,Heron!$A20)-SUMIFS(Xero!$F:$F,Xero!$B:$B,Heron!AF$9,Xero!$A:$A,Heron!$A$5,Xero!$E:$E,Heron!$A20)</f>
        <v/>
      </c>
      <c r="AG20" s="117">
        <f>-SUMIFS(Xero!$F:$F,Xero!$B:$B,Heron!AG$9,Xero!$A:$A,Heron!$A$4,Xero!$E:$E,Heron!$A20)-SUMIFS(Xero!$F:$F,Xero!$B:$B,Heron!AG$9,Xero!$A:$A,Heron!$A$5,Xero!$E:$E,Heron!$A20)</f>
        <v/>
      </c>
      <c r="AH20" s="117">
        <f>-SUMIFS(Xero!$F:$F,Xero!$B:$B,Heron!AH$9,Xero!$A:$A,Heron!$A$4,Xero!$E:$E,Heron!$A20)-SUMIFS(Xero!$F:$F,Xero!$B:$B,Heron!AH$9,Xero!$A:$A,Heron!$A$5,Xero!$E:$E,Heron!$A20)</f>
        <v/>
      </c>
      <c r="AI20" s="117">
        <f>-SUMIFS(Xero!$F:$F,Xero!$B:$B,Heron!AI$9,Xero!$A:$A,Heron!$A$4,Xero!$E:$E,Heron!$A20)-SUMIFS(Xero!$F:$F,Xero!$B:$B,Heron!AI$9,Xero!$A:$A,Heron!$A$5,Xero!$E:$E,Heron!$A20)</f>
        <v/>
      </c>
      <c r="AJ20" s="117">
        <f>-SUMIFS(Xero!$F:$F,Xero!$B:$B,Heron!AJ$9,Xero!$A:$A,Heron!$A$4,Xero!$E:$E,Heron!$A20)-SUMIFS(Xero!$F:$F,Xero!$B:$B,Heron!AJ$9,Xero!$A:$A,Heron!$A$5,Xero!$E:$E,Heron!$A20)</f>
        <v/>
      </c>
      <c r="AK20" s="117">
        <f>-SUMIFS(Xero!$F:$F,Xero!$B:$B,Heron!AK$9,Xero!$A:$A,Heron!$A$4,Xero!$E:$E,Heron!$A20)-SUMIFS(Xero!$F:$F,Xero!$B:$B,Heron!AK$9,Xero!$A:$A,Heron!$A$5,Xero!$E:$E,Heron!$A20)</f>
        <v/>
      </c>
      <c r="AL20" s="117">
        <f>-SUMIFS(Xero!$F:$F,Xero!$B:$B,Heron!AL$9,Xero!$A:$A,Heron!$A$4,Xero!$E:$E,Heron!$A20)-SUMIFS(Xero!$F:$F,Xero!$B:$B,Heron!AL$9,Xero!$A:$A,Heron!$A$5,Xero!$E:$E,Heron!$A20)</f>
        <v/>
      </c>
      <c r="AM20" s="117">
        <f>-SUMIFS(Xero!$F:$F,Xero!$B:$B,Heron!AM$9,Xero!$A:$A,Heron!$A$4,Xero!$E:$E,Heron!$A20)-SUMIFS(Xero!$F:$F,Xero!$B:$B,Heron!AM$9,Xero!$A:$A,Heron!$A$5,Xero!$E:$E,Heron!$A20)</f>
        <v/>
      </c>
      <c r="AN20" s="117">
        <f>-SUMIFS(Xero!$F:$F,Xero!$B:$B,Heron!AN$9,Xero!$A:$A,Heron!$A$4,Xero!$E:$E,Heron!$A20)-SUMIFS(Xero!$F:$F,Xero!$B:$B,Heron!AN$9,Xero!$A:$A,Heron!$A$5,Xero!$E:$E,Heron!$A20)</f>
        <v/>
      </c>
      <c r="AO20" s="117">
        <f>-SUMIFS(Xero!$F:$F,Xero!$B:$B,Heron!AO$9,Xero!$A:$A,Heron!$A$4,Xero!$E:$E,Heron!$A20)-SUMIFS(Xero!$F:$F,Xero!$B:$B,Heron!AO$9,Xero!$A:$A,Heron!$A$5,Xero!$E:$E,Heron!$A20)</f>
        <v/>
      </c>
      <c r="AP20" s="117">
        <f>-SUMIFS(Xero!$F:$F,Xero!$B:$B,Heron!AP$9,Xero!$A:$A,Heron!$A$4,Xero!$E:$E,Heron!$A20)-SUMIFS(Xero!$F:$F,Xero!$B:$B,Heron!AP$9,Xero!$A:$A,Heron!$A$5,Xero!$E:$E,Heron!$A20)</f>
        <v/>
      </c>
      <c r="AQ20" s="117">
        <f>-SUMIFS(Xero!$F:$F,Xero!$B:$B,Heron!AQ$9,Xero!$A:$A,Heron!$A$4,Xero!$E:$E,Heron!$A20)-SUMIFS(Xero!$F:$F,Xero!$B:$B,Heron!AQ$9,Xero!$A:$A,Heron!$A$5,Xero!$E:$E,Heron!$A20)</f>
        <v/>
      </c>
      <c r="AR20" s="117">
        <f>-SUMIFS(Xero!$F:$F,Xero!$B:$B,Heron!AR$9,Xero!$A:$A,Heron!$A$4,Xero!$E:$E,Heron!$A20)-SUMIFS(Xero!$F:$F,Xero!$B:$B,Heron!AR$9,Xero!$A:$A,Heron!$A$5,Xero!$E:$E,Heron!$A20)</f>
        <v/>
      </c>
      <c r="AS20" s="117">
        <f>-SUMIFS(Xero!$F:$F,Xero!$B:$B,Heron!AS$9,Xero!$A:$A,Heron!$A$4,Xero!$E:$E,Heron!$A20)-SUMIFS(Xero!$F:$F,Xero!$B:$B,Heron!AS$9,Xero!$A:$A,Heron!$A$5,Xero!$E:$E,Heron!$A20)</f>
        <v/>
      </c>
      <c r="AT20" s="117">
        <f>-SUMIFS(Xero!$F:$F,Xero!$B:$B,Heron!AT$9,Xero!$A:$A,Heron!$A$4,Xero!$E:$E,Heron!$A20)-SUMIFS(Xero!$F:$F,Xero!$B:$B,Heron!AT$9,Xero!$A:$A,Heron!$A$5,Xero!$E:$E,Heron!$A20)</f>
        <v/>
      </c>
      <c r="AU20" s="117">
        <f>-SUMIFS(Xero!$F:$F,Xero!$B:$B,Heron!AU$9,Xero!$A:$A,Heron!$A$4,Xero!$E:$E,Heron!$A20)-SUMIFS(Xero!$F:$F,Xero!$B:$B,Heron!AU$9,Xero!$A:$A,Heron!$A$5,Xero!$E:$E,Heron!$A20)</f>
        <v/>
      </c>
      <c r="AV20" s="117">
        <f>-SUMIFS(Xero!$F:$F,Xero!$B:$B,Heron!AV$9,Xero!$A:$A,Heron!$A$4,Xero!$E:$E,Heron!$A20)-SUMIFS(Xero!$F:$F,Xero!$B:$B,Heron!AV$9,Xero!$A:$A,Heron!$A$5,Xero!$E:$E,Heron!$A20)</f>
        <v/>
      </c>
      <c r="AW20" s="117">
        <f>-SUMIFS(Xero!$F:$F,Xero!$B:$B,Heron!AW$9,Xero!$A:$A,Heron!$A$4,Xero!$E:$E,Heron!$A20)-SUMIFS(Xero!$F:$F,Xero!$B:$B,Heron!AW$9,Xero!$A:$A,Heron!$A$5,Xero!$E:$E,Heron!$A20)</f>
        <v/>
      </c>
      <c r="AX20" s="117">
        <f>-SUMIFS(Xero!$F:$F,Xero!$B:$B,Heron!AX$9,Xero!$A:$A,Heron!$A$4,Xero!$E:$E,Heron!$A20)-SUMIFS(Xero!$F:$F,Xero!$B:$B,Heron!AX$9,Xero!$A:$A,Heron!$A$5,Xero!$E:$E,Heron!$A20)</f>
        <v/>
      </c>
      <c r="AY20" s="117">
        <f>-SUMIFS(Xero!$F:$F,Xero!$B:$B,Heron!AY$9,Xero!$A:$A,Heron!$A$4,Xero!$E:$E,Heron!$A20)-SUMIFS(Xero!$F:$F,Xero!$B:$B,Heron!AY$9,Xero!$A:$A,Heron!$A$5,Xero!$E:$E,Heron!$A20)</f>
        <v/>
      </c>
      <c r="AZ20" s="117">
        <f>-SUMIFS(Xero!$F:$F,Xero!$B:$B,Heron!AZ$9,Xero!$A:$A,Heron!$A$4,Xero!$E:$E,Heron!$A20)-SUMIFS(Xero!$F:$F,Xero!$B:$B,Heron!AZ$9,Xero!$A:$A,Heron!$A$5,Xero!$E:$E,Heron!$A20)</f>
        <v/>
      </c>
      <c r="BA20" s="117">
        <f>-SUMIFS(Xero!$F:$F,Xero!$B:$B,Heron!BA$9,Xero!$A:$A,Heron!$A$4,Xero!$E:$E,Heron!$A20)-SUMIFS(Xero!$F:$F,Xero!$B:$B,Heron!BA$9,Xero!$A:$A,Heron!$A$5,Xero!$E:$E,Heron!$A20)</f>
        <v/>
      </c>
      <c r="BB20" s="117">
        <f>-SUMIFS(Xero!$F:$F,Xero!$B:$B,Heron!BB$9,Xero!$A:$A,Heron!$A$4,Xero!$E:$E,Heron!$A20)-SUMIFS(Xero!$F:$F,Xero!$B:$B,Heron!BB$9,Xero!$A:$A,Heron!$A$5,Xero!$E:$E,Heron!$A20)</f>
        <v/>
      </c>
      <c r="BC20" s="117">
        <f>-SUMIFS(Xero!$F:$F,Xero!$B:$B,Heron!BC$9,Xero!$A:$A,Heron!$A$4,Xero!$E:$E,Heron!$A20)-SUMIFS(Xero!$F:$F,Xero!$B:$B,Heron!BC$9,Xero!$A:$A,Heron!$A$5,Xero!$E:$E,Heron!$A20)</f>
        <v/>
      </c>
      <c r="BD20" s="117">
        <f>-SUMIFS(Xero!$F:$F,Xero!$B:$B,Heron!BD$9,Xero!$A:$A,Heron!$A$4,Xero!$E:$E,Heron!$A20)-SUMIFS(Xero!$F:$F,Xero!$B:$B,Heron!BD$9,Xero!$A:$A,Heron!$A$5,Xero!$E:$E,Heron!$A20)</f>
        <v/>
      </c>
      <c r="BE20" s="117">
        <f>-SUMIFS(Xero!$F:$F,Xero!$B:$B,Heron!BE$9,Xero!$A:$A,Heron!$A$4,Xero!$E:$E,Heron!$A20)-SUMIFS(Xero!$F:$F,Xero!$B:$B,Heron!BE$9,Xero!$A:$A,Heron!$A$5,Xero!$E:$E,Heron!$A20)</f>
        <v/>
      </c>
      <c r="BF20" s="117">
        <f>-SUMIFS(Xero!$F:$F,Xero!$B:$B,Heron!BF$9,Xero!$A:$A,Heron!$A$4,Xero!$E:$E,Heron!$A20)-SUMIFS(Xero!$F:$F,Xero!$B:$B,Heron!BF$9,Xero!$A:$A,Heron!$A$5,Xero!$E:$E,Heron!$A20)</f>
        <v/>
      </c>
      <c r="BG20" s="117">
        <f>-SUMIFS(Xero!$F:$F,Xero!$B:$B,Heron!BG$9,Xero!$A:$A,Heron!$A$4,Xero!$E:$E,Heron!$A20)-SUMIFS(Xero!$F:$F,Xero!$B:$B,Heron!BG$9,Xero!$A:$A,Heron!$A$5,Xero!$E:$E,Heron!$A20)</f>
        <v/>
      </c>
      <c r="BH20" s="117">
        <f>-SUMIFS(Xero!$F:$F,Xero!$B:$B,Heron!BH$9,Xero!$A:$A,Heron!$A$4,Xero!$E:$E,Heron!$A20)-SUMIFS(Xero!$F:$F,Xero!$B:$B,Heron!BH$9,Xero!$A:$A,Heron!$A$5,Xero!$E:$E,Heron!$A20)</f>
        <v/>
      </c>
      <c r="BI20" s="117">
        <f>-SUMIFS(Xero!$F:$F,Xero!$B:$B,Heron!BI$9,Xero!$A:$A,Heron!$A$4,Xero!$E:$E,Heron!$A20)-SUMIFS(Xero!$F:$F,Xero!$B:$B,Heron!BI$9,Xero!$A:$A,Heron!$A$5,Xero!$E:$E,Heron!$A20)</f>
        <v/>
      </c>
      <c r="BJ20" s="117">
        <f>-SUMIFS(Xero!$F:$F,Xero!$B:$B,Heron!BJ$9,Xero!$A:$A,Heron!$A$4,Xero!$E:$E,Heron!$A20)-SUMIFS(Xero!$F:$F,Xero!$B:$B,Heron!BJ$9,Xero!$A:$A,Heron!$A$5,Xero!$E:$E,Heron!$A20)</f>
        <v/>
      </c>
      <c r="BK20" s="117">
        <f>sum(D20:BJ20)</f>
        <v/>
      </c>
    </row>
    <row r="21">
      <c r="A21" s="116" t="inlineStr">
        <is>
          <t>Rental Income</t>
        </is>
      </c>
      <c r="D21" s="117">
        <f>-SUMIFS(Xero!$F:$F,Xero!$B:$B,Heron!D$9,Xero!$A:$A,Heron!$A$4,Xero!$E:$E,Heron!$A21)-SUMIFS(Xero!$F:$F,Xero!$B:$B,Heron!D$9,Xero!$A:$A,Heron!$A$5,Xero!$E:$E,Heron!$A21)</f>
        <v/>
      </c>
      <c r="E21" s="117">
        <f>-SUMIFS(Xero!$F:$F,Xero!$B:$B,Heron!E$9,Xero!$A:$A,Heron!$A$4,Xero!$E:$E,Heron!$A21)-SUMIFS(Xero!$F:$F,Xero!$B:$B,Heron!E$9,Xero!$A:$A,Heron!$A$5,Xero!$E:$E,Heron!$A21)</f>
        <v/>
      </c>
      <c r="F21" s="117">
        <f>-SUMIFS(Xero!$F:$F,Xero!$B:$B,Heron!F$9,Xero!$A:$A,Heron!$A$4,Xero!$E:$E,Heron!$A21)-SUMIFS(Xero!$F:$F,Xero!$B:$B,Heron!F$9,Xero!$A:$A,Heron!$A$5,Xero!$E:$E,Heron!$A21)</f>
        <v/>
      </c>
      <c r="G21" s="117">
        <f>-SUMIFS(Xero!$F:$F,Xero!$B:$B,Heron!G$9,Xero!$A:$A,Heron!$A$4,Xero!$E:$E,Heron!$A21)-SUMIFS(Xero!$F:$F,Xero!$B:$B,Heron!G$9,Xero!$A:$A,Heron!$A$5,Xero!$E:$E,Heron!$A21)</f>
        <v/>
      </c>
      <c r="H21" s="117">
        <f>-SUMIFS(Xero!$F:$F,Xero!$B:$B,Heron!H$9,Xero!$A:$A,Heron!$A$4,Xero!$E:$E,Heron!$A21)-SUMIFS(Xero!$F:$F,Xero!$B:$B,Heron!H$9,Xero!$A:$A,Heron!$A$5,Xero!$E:$E,Heron!$A21)</f>
        <v/>
      </c>
      <c r="I21" s="117">
        <f>-SUMIFS(Xero!$F:$F,Xero!$B:$B,Heron!I$9,Xero!$A:$A,Heron!$A$4,Xero!$E:$E,Heron!$A21)-SUMIFS(Xero!$F:$F,Xero!$B:$B,Heron!I$9,Xero!$A:$A,Heron!$A$5,Xero!$E:$E,Heron!$A21)</f>
        <v/>
      </c>
      <c r="J21" s="117">
        <f>-SUMIFS(Xero!$F:$F,Xero!$B:$B,Heron!J$9,Xero!$A:$A,Heron!$A$4,Xero!$E:$E,Heron!$A21)-SUMIFS(Xero!$F:$F,Xero!$B:$B,Heron!J$9,Xero!$A:$A,Heron!$A$5,Xero!$E:$E,Heron!$A21)</f>
        <v/>
      </c>
      <c r="K21" s="117">
        <f>-SUMIFS(Xero!$F:$F,Xero!$B:$B,Heron!K$9,Xero!$A:$A,Heron!$A$4,Xero!$E:$E,Heron!$A21)-SUMIFS(Xero!$F:$F,Xero!$B:$B,Heron!K$9,Xero!$A:$A,Heron!$A$5,Xero!$E:$E,Heron!$A21)</f>
        <v/>
      </c>
      <c r="L21" s="117">
        <f>-SUMIFS(Xero!$F:$F,Xero!$B:$B,Heron!L$9,Xero!$A:$A,Heron!$A$4,Xero!$E:$E,Heron!$A21)-SUMIFS(Xero!$F:$F,Xero!$B:$B,Heron!L$9,Xero!$A:$A,Heron!$A$5,Xero!$E:$E,Heron!$A21)</f>
        <v/>
      </c>
      <c r="M21" s="117">
        <f>-SUMIFS(Xero!$F:$F,Xero!$B:$B,Heron!M$9,Xero!$A:$A,Heron!$A$4,Xero!$E:$E,Heron!$A21)-SUMIFS(Xero!$F:$F,Xero!$B:$B,Heron!M$9,Xero!$A:$A,Heron!$A$5,Xero!$E:$E,Heron!$A21)</f>
        <v/>
      </c>
      <c r="N21" s="117">
        <f>-SUMIFS(Xero!$F:$F,Xero!$B:$B,Heron!N$9,Xero!$A:$A,Heron!$A$4,Xero!$E:$E,Heron!$A21)-SUMIFS(Xero!$F:$F,Xero!$B:$B,Heron!N$9,Xero!$A:$A,Heron!$A$5,Xero!$E:$E,Heron!$A21)</f>
        <v/>
      </c>
      <c r="O21" s="117">
        <f>-SUMIFS(Xero!$F:$F,Xero!$B:$B,Heron!O$9,Xero!$A:$A,Heron!$A$4,Xero!$E:$E,Heron!$A21)-SUMIFS(Xero!$F:$F,Xero!$B:$B,Heron!O$9,Xero!$A:$A,Heron!$A$5,Xero!$E:$E,Heron!$A21)</f>
        <v/>
      </c>
      <c r="P21" s="117">
        <f>-SUMIFS(Xero!$F:$F,Xero!$B:$B,Heron!P$9,Xero!$A:$A,Heron!$A$4,Xero!$E:$E,Heron!$A21)-SUMIFS(Xero!$F:$F,Xero!$B:$B,Heron!P$9,Xero!$A:$A,Heron!$A$5,Xero!$E:$E,Heron!$A21)</f>
        <v/>
      </c>
      <c r="Q21" s="117">
        <f>-SUMIFS(Xero!$F:$F,Xero!$B:$B,Heron!Q$9,Xero!$A:$A,Heron!$A$4,Xero!$E:$E,Heron!$A21)-SUMIFS(Xero!$F:$F,Xero!$B:$B,Heron!Q$9,Xero!$A:$A,Heron!$A$5,Xero!$E:$E,Heron!$A21)</f>
        <v/>
      </c>
      <c r="R21" s="117">
        <f>-SUMIFS(Xero!$F:$F,Xero!$B:$B,Heron!R$9,Xero!$A:$A,Heron!$A$4,Xero!$E:$E,Heron!$A21)-SUMIFS(Xero!$F:$F,Xero!$B:$B,Heron!R$9,Xero!$A:$A,Heron!$A$5,Xero!$E:$E,Heron!$A21)</f>
        <v/>
      </c>
      <c r="S21" s="117">
        <f>-SUMIFS(Xero!$F:$F,Xero!$B:$B,Heron!S$9,Xero!$A:$A,Heron!$A$4,Xero!$E:$E,Heron!$A21)-SUMIFS(Xero!$F:$F,Xero!$B:$B,Heron!S$9,Xero!$A:$A,Heron!$A$5,Xero!$E:$E,Heron!$A21)</f>
        <v/>
      </c>
      <c r="T21" s="117">
        <f>-SUMIFS(Xero!$F:$F,Xero!$B:$B,Heron!T$9,Xero!$A:$A,Heron!$A$4,Xero!$E:$E,Heron!$A21)-SUMIFS(Xero!$F:$F,Xero!$B:$B,Heron!T$9,Xero!$A:$A,Heron!$A$5,Xero!$E:$E,Heron!$A21)</f>
        <v/>
      </c>
      <c r="U21" s="117">
        <f>-SUMIFS(Xero!$F:$F,Xero!$B:$B,Heron!U$9,Xero!$A:$A,Heron!$A$4,Xero!$E:$E,Heron!$A21)-SUMIFS(Xero!$F:$F,Xero!$B:$B,Heron!U$9,Xero!$A:$A,Heron!$A$5,Xero!$E:$E,Heron!$A21)</f>
        <v/>
      </c>
      <c r="V21" s="117">
        <f>-SUMIFS(Xero!$F:$F,Xero!$B:$B,Heron!V$9,Xero!$A:$A,Heron!$A$4,Xero!$E:$E,Heron!$A21)-SUMIFS(Xero!$F:$F,Xero!$B:$B,Heron!V$9,Xero!$A:$A,Heron!$A$5,Xero!$E:$E,Heron!$A21)</f>
        <v/>
      </c>
      <c r="W21" s="117">
        <f>-SUMIFS(Xero!$F:$F,Xero!$B:$B,Heron!W$9,Xero!$A:$A,Heron!$A$4,Xero!$E:$E,Heron!$A21)-SUMIFS(Xero!$F:$F,Xero!$B:$B,Heron!W$9,Xero!$A:$A,Heron!$A$5,Xero!$E:$E,Heron!$A21)</f>
        <v/>
      </c>
      <c r="X21" s="117">
        <f>-SUMIFS(Xero!$F:$F,Xero!$B:$B,Heron!X$9,Xero!$A:$A,Heron!$A$4,Xero!$E:$E,Heron!$A21)-SUMIFS(Xero!$F:$F,Xero!$B:$B,Heron!X$9,Xero!$A:$A,Heron!$A$5,Xero!$E:$E,Heron!$A21)</f>
        <v/>
      </c>
      <c r="Y21" s="117">
        <f>-SUMIFS(Xero!$F:$F,Xero!$B:$B,Heron!Y$9,Xero!$A:$A,Heron!$A$4,Xero!$E:$E,Heron!$A21)-SUMIFS(Xero!$F:$F,Xero!$B:$B,Heron!Y$9,Xero!$A:$A,Heron!$A$5,Xero!$E:$E,Heron!$A21)</f>
        <v/>
      </c>
      <c r="Z21" s="117">
        <f>-SUMIFS(Xero!$F:$F,Xero!$B:$B,Heron!Z$9,Xero!$A:$A,Heron!$A$4,Xero!$E:$E,Heron!$A21)-SUMIFS(Xero!$F:$F,Xero!$B:$B,Heron!Z$9,Xero!$A:$A,Heron!$A$5,Xero!$E:$E,Heron!$A21)</f>
        <v/>
      </c>
      <c r="AA21" s="117">
        <f>-SUMIFS(Xero!$F:$F,Xero!$B:$B,Heron!AA$9,Xero!$A:$A,Heron!$A$4,Xero!$E:$E,Heron!$A21)-SUMIFS(Xero!$F:$F,Xero!$B:$B,Heron!AA$9,Xero!$A:$A,Heron!$A$5,Xero!$E:$E,Heron!$A21)</f>
        <v/>
      </c>
      <c r="AB21" s="117">
        <f>-SUMIFS(Xero!$F:$F,Xero!$B:$B,Heron!AB$9,Xero!$A:$A,Heron!$A$4,Xero!$E:$E,Heron!$A21)-SUMIFS(Xero!$F:$F,Xero!$B:$B,Heron!AB$9,Xero!$A:$A,Heron!$A$5,Xero!$E:$E,Heron!$A21)</f>
        <v/>
      </c>
      <c r="AC21" s="117">
        <f>-SUMIFS(Xero!$F:$F,Xero!$B:$B,Heron!AC$9,Xero!$A:$A,Heron!$A$4,Xero!$E:$E,Heron!$A21)-SUMIFS(Xero!$F:$F,Xero!$B:$B,Heron!AC$9,Xero!$A:$A,Heron!$A$5,Xero!$E:$E,Heron!$A21)</f>
        <v/>
      </c>
      <c r="AD21" s="117">
        <f>-SUMIFS(Xero!$F:$F,Xero!$B:$B,Heron!AD$9,Xero!$A:$A,Heron!$A$4,Xero!$E:$E,Heron!$A21)-SUMIFS(Xero!$F:$F,Xero!$B:$B,Heron!AD$9,Xero!$A:$A,Heron!$A$5,Xero!$E:$E,Heron!$A21)</f>
        <v/>
      </c>
      <c r="AE21" s="117">
        <f>-SUMIFS(Xero!$F:$F,Xero!$B:$B,Heron!AE$9,Xero!$A:$A,Heron!$A$4,Xero!$E:$E,Heron!$A21)-SUMIFS(Xero!$F:$F,Xero!$B:$B,Heron!AE$9,Xero!$A:$A,Heron!$A$5,Xero!$E:$E,Heron!$A21)</f>
        <v/>
      </c>
      <c r="AF21" s="117">
        <f>-SUMIFS(Xero!$F:$F,Xero!$B:$B,Heron!AF$9,Xero!$A:$A,Heron!$A$4,Xero!$E:$E,Heron!$A21)-SUMIFS(Xero!$F:$F,Xero!$B:$B,Heron!AF$9,Xero!$A:$A,Heron!$A$5,Xero!$E:$E,Heron!$A21)</f>
        <v/>
      </c>
      <c r="AG21" s="117">
        <f>-SUMIFS(Xero!$F:$F,Xero!$B:$B,Heron!AG$9,Xero!$A:$A,Heron!$A$4,Xero!$E:$E,Heron!$A21)-SUMIFS(Xero!$F:$F,Xero!$B:$B,Heron!AG$9,Xero!$A:$A,Heron!$A$5,Xero!$E:$E,Heron!$A21)</f>
        <v/>
      </c>
      <c r="AH21" s="117">
        <f>-SUMIFS(Xero!$F:$F,Xero!$B:$B,Heron!AH$9,Xero!$A:$A,Heron!$A$4,Xero!$E:$E,Heron!$A21)-SUMIFS(Xero!$F:$F,Xero!$B:$B,Heron!AH$9,Xero!$A:$A,Heron!$A$5,Xero!$E:$E,Heron!$A21)</f>
        <v/>
      </c>
      <c r="AI21" s="117">
        <f>-SUMIFS(Xero!$F:$F,Xero!$B:$B,Heron!AI$9,Xero!$A:$A,Heron!$A$4,Xero!$E:$E,Heron!$A21)-SUMIFS(Xero!$F:$F,Xero!$B:$B,Heron!AI$9,Xero!$A:$A,Heron!$A$5,Xero!$E:$E,Heron!$A21)</f>
        <v/>
      </c>
      <c r="AJ21" s="117">
        <f>-SUMIFS(Xero!$F:$F,Xero!$B:$B,Heron!AJ$9,Xero!$A:$A,Heron!$A$4,Xero!$E:$E,Heron!$A21)-SUMIFS(Xero!$F:$F,Xero!$B:$B,Heron!AJ$9,Xero!$A:$A,Heron!$A$5,Xero!$E:$E,Heron!$A21)</f>
        <v/>
      </c>
      <c r="AK21" s="117">
        <f>-SUMIFS(Xero!$F:$F,Xero!$B:$B,Heron!AK$9,Xero!$A:$A,Heron!$A$4,Xero!$E:$E,Heron!$A21)-SUMIFS(Xero!$F:$F,Xero!$B:$B,Heron!AK$9,Xero!$A:$A,Heron!$A$5,Xero!$E:$E,Heron!$A21)</f>
        <v/>
      </c>
      <c r="AL21" s="117">
        <f>-SUMIFS(Xero!$F:$F,Xero!$B:$B,Heron!AL$9,Xero!$A:$A,Heron!$A$4,Xero!$E:$E,Heron!$A21)-SUMIFS(Xero!$F:$F,Xero!$B:$B,Heron!AL$9,Xero!$A:$A,Heron!$A$5,Xero!$E:$E,Heron!$A21)</f>
        <v/>
      </c>
      <c r="AM21" s="117">
        <f>-SUMIFS(Xero!$F:$F,Xero!$B:$B,Heron!AM$9,Xero!$A:$A,Heron!$A$4,Xero!$E:$E,Heron!$A21)-SUMIFS(Xero!$F:$F,Xero!$B:$B,Heron!AM$9,Xero!$A:$A,Heron!$A$5,Xero!$E:$E,Heron!$A21)</f>
        <v/>
      </c>
      <c r="AN21" s="117">
        <f>-SUMIFS(Xero!$F:$F,Xero!$B:$B,Heron!AN$9,Xero!$A:$A,Heron!$A$4,Xero!$E:$E,Heron!$A21)-SUMIFS(Xero!$F:$F,Xero!$B:$B,Heron!AN$9,Xero!$A:$A,Heron!$A$5,Xero!$E:$E,Heron!$A21)</f>
        <v/>
      </c>
      <c r="AO21" s="117">
        <f>-SUMIFS(Xero!$F:$F,Xero!$B:$B,Heron!AO$9,Xero!$A:$A,Heron!$A$4,Xero!$E:$E,Heron!$A21)-SUMIFS(Xero!$F:$F,Xero!$B:$B,Heron!AO$9,Xero!$A:$A,Heron!$A$5,Xero!$E:$E,Heron!$A21)</f>
        <v/>
      </c>
      <c r="AP21" s="117">
        <f>-SUMIFS(Xero!$F:$F,Xero!$B:$B,Heron!AP$9,Xero!$A:$A,Heron!$A$4,Xero!$E:$E,Heron!$A21)-SUMIFS(Xero!$F:$F,Xero!$B:$B,Heron!AP$9,Xero!$A:$A,Heron!$A$5,Xero!$E:$E,Heron!$A21)</f>
        <v/>
      </c>
      <c r="AQ21" s="117">
        <f>-SUMIFS(Xero!$F:$F,Xero!$B:$B,Heron!AQ$9,Xero!$A:$A,Heron!$A$4,Xero!$E:$E,Heron!$A21)-SUMIFS(Xero!$F:$F,Xero!$B:$B,Heron!AQ$9,Xero!$A:$A,Heron!$A$5,Xero!$E:$E,Heron!$A21)</f>
        <v/>
      </c>
      <c r="AR21" s="117">
        <f>-SUMIFS(Xero!$F:$F,Xero!$B:$B,Heron!AR$9,Xero!$A:$A,Heron!$A$4,Xero!$E:$E,Heron!$A21)-SUMIFS(Xero!$F:$F,Xero!$B:$B,Heron!AR$9,Xero!$A:$A,Heron!$A$5,Xero!$E:$E,Heron!$A21)</f>
        <v/>
      </c>
      <c r="AS21" s="117">
        <f>-SUMIFS(Xero!$F:$F,Xero!$B:$B,Heron!AS$9,Xero!$A:$A,Heron!$A$4,Xero!$E:$E,Heron!$A21)-SUMIFS(Xero!$F:$F,Xero!$B:$B,Heron!AS$9,Xero!$A:$A,Heron!$A$5,Xero!$E:$E,Heron!$A21)</f>
        <v/>
      </c>
      <c r="AT21" s="117">
        <f>-SUMIFS(Xero!$F:$F,Xero!$B:$B,Heron!AT$9,Xero!$A:$A,Heron!$A$4,Xero!$E:$E,Heron!$A21)-SUMIFS(Xero!$F:$F,Xero!$B:$B,Heron!AT$9,Xero!$A:$A,Heron!$A$5,Xero!$E:$E,Heron!$A21)</f>
        <v/>
      </c>
      <c r="AU21" s="117">
        <f>-SUMIFS(Xero!$F:$F,Xero!$B:$B,Heron!AU$9,Xero!$A:$A,Heron!$A$4,Xero!$E:$E,Heron!$A21)-SUMIFS(Xero!$F:$F,Xero!$B:$B,Heron!AU$9,Xero!$A:$A,Heron!$A$5,Xero!$E:$E,Heron!$A21)</f>
        <v/>
      </c>
      <c r="AV21" s="117">
        <f>-SUMIFS(Xero!$F:$F,Xero!$B:$B,Heron!AV$9,Xero!$A:$A,Heron!$A$4,Xero!$E:$E,Heron!$A21)-SUMIFS(Xero!$F:$F,Xero!$B:$B,Heron!AV$9,Xero!$A:$A,Heron!$A$5,Xero!$E:$E,Heron!$A21)</f>
        <v/>
      </c>
      <c r="AW21" s="117">
        <f>-SUMIFS(Xero!$F:$F,Xero!$B:$B,Heron!AW$9,Xero!$A:$A,Heron!$A$4,Xero!$E:$E,Heron!$A21)-SUMIFS(Xero!$F:$F,Xero!$B:$B,Heron!AW$9,Xero!$A:$A,Heron!$A$5,Xero!$E:$E,Heron!$A21)</f>
        <v/>
      </c>
      <c r="AX21" s="117">
        <f>-SUMIFS(Xero!$F:$F,Xero!$B:$B,Heron!AX$9,Xero!$A:$A,Heron!$A$4,Xero!$E:$E,Heron!$A21)-SUMIFS(Xero!$F:$F,Xero!$B:$B,Heron!AX$9,Xero!$A:$A,Heron!$A$5,Xero!$E:$E,Heron!$A21)</f>
        <v/>
      </c>
      <c r="AY21" s="117">
        <f>-SUMIFS(Xero!$F:$F,Xero!$B:$B,Heron!AY$9,Xero!$A:$A,Heron!$A$4,Xero!$E:$E,Heron!$A21)-SUMIFS(Xero!$F:$F,Xero!$B:$B,Heron!AY$9,Xero!$A:$A,Heron!$A$5,Xero!$E:$E,Heron!$A21)</f>
        <v/>
      </c>
      <c r="AZ21" s="117">
        <f>-SUMIFS(Xero!$F:$F,Xero!$B:$B,Heron!AZ$9,Xero!$A:$A,Heron!$A$4,Xero!$E:$E,Heron!$A21)-SUMIFS(Xero!$F:$F,Xero!$B:$B,Heron!AZ$9,Xero!$A:$A,Heron!$A$5,Xero!$E:$E,Heron!$A21)</f>
        <v/>
      </c>
      <c r="BA21" s="117">
        <f>-SUMIFS(Xero!$F:$F,Xero!$B:$B,Heron!BA$9,Xero!$A:$A,Heron!$A$4,Xero!$E:$E,Heron!$A21)-SUMIFS(Xero!$F:$F,Xero!$B:$B,Heron!BA$9,Xero!$A:$A,Heron!$A$5,Xero!$E:$E,Heron!$A21)</f>
        <v/>
      </c>
      <c r="BB21" s="117">
        <f>-SUMIFS(Xero!$F:$F,Xero!$B:$B,Heron!BB$9,Xero!$A:$A,Heron!$A$4,Xero!$E:$E,Heron!$A21)-SUMIFS(Xero!$F:$F,Xero!$B:$B,Heron!BB$9,Xero!$A:$A,Heron!$A$5,Xero!$E:$E,Heron!$A21)</f>
        <v/>
      </c>
      <c r="BC21" s="117">
        <f>-SUMIFS(Xero!$F:$F,Xero!$B:$B,Heron!BC$9,Xero!$A:$A,Heron!$A$4,Xero!$E:$E,Heron!$A21)-SUMIFS(Xero!$F:$F,Xero!$B:$B,Heron!BC$9,Xero!$A:$A,Heron!$A$5,Xero!$E:$E,Heron!$A21)</f>
        <v/>
      </c>
      <c r="BD21" s="117">
        <f>-SUMIFS(Xero!$F:$F,Xero!$B:$B,Heron!BD$9,Xero!$A:$A,Heron!$A$4,Xero!$E:$E,Heron!$A21)-SUMIFS(Xero!$F:$F,Xero!$B:$B,Heron!BD$9,Xero!$A:$A,Heron!$A$5,Xero!$E:$E,Heron!$A21)</f>
        <v/>
      </c>
      <c r="BE21" s="117">
        <f>-SUMIFS(Xero!$F:$F,Xero!$B:$B,Heron!BE$9,Xero!$A:$A,Heron!$A$4,Xero!$E:$E,Heron!$A21)-SUMIFS(Xero!$F:$F,Xero!$B:$B,Heron!BE$9,Xero!$A:$A,Heron!$A$5,Xero!$E:$E,Heron!$A21)</f>
        <v/>
      </c>
      <c r="BF21" s="117">
        <f>-SUMIFS(Xero!$F:$F,Xero!$B:$B,Heron!BF$9,Xero!$A:$A,Heron!$A$4,Xero!$E:$E,Heron!$A21)-SUMIFS(Xero!$F:$F,Xero!$B:$B,Heron!BF$9,Xero!$A:$A,Heron!$A$5,Xero!$E:$E,Heron!$A21)</f>
        <v/>
      </c>
      <c r="BG21" s="117">
        <f>-SUMIFS(Xero!$F:$F,Xero!$B:$B,Heron!BG$9,Xero!$A:$A,Heron!$A$4,Xero!$E:$E,Heron!$A21)-SUMIFS(Xero!$F:$F,Xero!$B:$B,Heron!BG$9,Xero!$A:$A,Heron!$A$5,Xero!$E:$E,Heron!$A21)</f>
        <v/>
      </c>
      <c r="BH21" s="117">
        <f>-SUMIFS(Xero!$F:$F,Xero!$B:$B,Heron!BH$9,Xero!$A:$A,Heron!$A$4,Xero!$E:$E,Heron!$A21)-SUMIFS(Xero!$F:$F,Xero!$B:$B,Heron!BH$9,Xero!$A:$A,Heron!$A$5,Xero!$E:$E,Heron!$A21)</f>
        <v/>
      </c>
      <c r="BI21" s="117">
        <f>-SUMIFS(Xero!$F:$F,Xero!$B:$B,Heron!BI$9,Xero!$A:$A,Heron!$A$4,Xero!$E:$E,Heron!$A21)-SUMIFS(Xero!$F:$F,Xero!$B:$B,Heron!BI$9,Xero!$A:$A,Heron!$A$5,Xero!$E:$E,Heron!$A21)</f>
        <v/>
      </c>
      <c r="BJ21" s="117">
        <f>-SUMIFS(Xero!$F:$F,Xero!$B:$B,Heron!BJ$9,Xero!$A:$A,Heron!$A$4,Xero!$E:$E,Heron!$A21)-SUMIFS(Xero!$F:$F,Xero!$B:$B,Heron!BJ$9,Xero!$A:$A,Heron!$A$5,Xero!$E:$E,Heron!$A21)</f>
        <v/>
      </c>
      <c r="BK21" s="117">
        <f>sum(D21:BJ21)</f>
        <v/>
      </c>
    </row>
    <row r="22">
      <c r="A22" s="116" t="inlineStr">
        <is>
          <t>Rental Income - Payprop ABSA</t>
        </is>
      </c>
      <c r="D22" s="117">
        <f>-SUMIFS(Xero!$F:$F,Xero!$B:$B,Heron!D$9,Xero!$A:$A,Heron!$A$4,Xero!$E:$E,Heron!$A22)-SUMIFS(Xero!$F:$F,Xero!$B:$B,Heron!D$9,Xero!$A:$A,Heron!$A$5,Xero!$E:$E,Heron!$A22)</f>
        <v/>
      </c>
      <c r="E22" s="117">
        <f>-SUMIFS(Xero!$F:$F,Xero!$B:$B,Heron!E$9,Xero!$A:$A,Heron!$A$4,Xero!$E:$E,Heron!$A22)-SUMIFS(Xero!$F:$F,Xero!$B:$B,Heron!E$9,Xero!$A:$A,Heron!$A$5,Xero!$E:$E,Heron!$A22)</f>
        <v/>
      </c>
      <c r="F22" s="117">
        <f>-SUMIFS(Xero!$F:$F,Xero!$B:$B,Heron!F$9,Xero!$A:$A,Heron!$A$4,Xero!$E:$E,Heron!$A22)-SUMIFS(Xero!$F:$F,Xero!$B:$B,Heron!F$9,Xero!$A:$A,Heron!$A$5,Xero!$E:$E,Heron!$A22)</f>
        <v/>
      </c>
      <c r="G22" s="117">
        <f>-SUMIFS(Xero!$F:$F,Xero!$B:$B,Heron!G$9,Xero!$A:$A,Heron!$A$4,Xero!$E:$E,Heron!$A22)-SUMIFS(Xero!$F:$F,Xero!$B:$B,Heron!G$9,Xero!$A:$A,Heron!$A$5,Xero!$E:$E,Heron!$A22)</f>
        <v/>
      </c>
      <c r="H22" s="117">
        <f>-SUMIFS(Xero!$F:$F,Xero!$B:$B,Heron!H$9,Xero!$A:$A,Heron!$A$4,Xero!$E:$E,Heron!$A22)-SUMIFS(Xero!$F:$F,Xero!$B:$B,Heron!H$9,Xero!$A:$A,Heron!$A$5,Xero!$E:$E,Heron!$A22)</f>
        <v/>
      </c>
      <c r="I22" s="117">
        <f>-SUMIFS(Xero!$F:$F,Xero!$B:$B,Heron!I$9,Xero!$A:$A,Heron!$A$4,Xero!$E:$E,Heron!$A22)-SUMIFS(Xero!$F:$F,Xero!$B:$B,Heron!I$9,Xero!$A:$A,Heron!$A$5,Xero!$E:$E,Heron!$A22)</f>
        <v/>
      </c>
      <c r="J22" s="117">
        <f>-SUMIFS(Xero!$F:$F,Xero!$B:$B,Heron!J$9,Xero!$A:$A,Heron!$A$4,Xero!$E:$E,Heron!$A22)-SUMIFS(Xero!$F:$F,Xero!$B:$B,Heron!J$9,Xero!$A:$A,Heron!$A$5,Xero!$E:$E,Heron!$A22)</f>
        <v/>
      </c>
      <c r="K22" s="117">
        <f>-SUMIFS(Xero!$F:$F,Xero!$B:$B,Heron!K$9,Xero!$A:$A,Heron!$A$4,Xero!$E:$E,Heron!$A22)-SUMIFS(Xero!$F:$F,Xero!$B:$B,Heron!K$9,Xero!$A:$A,Heron!$A$5,Xero!$E:$E,Heron!$A22)</f>
        <v/>
      </c>
      <c r="L22" s="117">
        <f>-SUMIFS(Xero!$F:$F,Xero!$B:$B,Heron!L$9,Xero!$A:$A,Heron!$A$4,Xero!$E:$E,Heron!$A22)-SUMIFS(Xero!$F:$F,Xero!$B:$B,Heron!L$9,Xero!$A:$A,Heron!$A$5,Xero!$E:$E,Heron!$A22)</f>
        <v/>
      </c>
      <c r="M22" s="117">
        <f>-SUMIFS(Xero!$F:$F,Xero!$B:$B,Heron!M$9,Xero!$A:$A,Heron!$A$4,Xero!$E:$E,Heron!$A22)-SUMIFS(Xero!$F:$F,Xero!$B:$B,Heron!M$9,Xero!$A:$A,Heron!$A$5,Xero!$E:$E,Heron!$A22)</f>
        <v/>
      </c>
      <c r="N22" s="117">
        <f>-SUMIFS(Xero!$F:$F,Xero!$B:$B,Heron!N$9,Xero!$A:$A,Heron!$A$4,Xero!$E:$E,Heron!$A22)-SUMIFS(Xero!$F:$F,Xero!$B:$B,Heron!N$9,Xero!$A:$A,Heron!$A$5,Xero!$E:$E,Heron!$A22)</f>
        <v/>
      </c>
      <c r="O22" s="117">
        <f>-SUMIFS(Xero!$F:$F,Xero!$B:$B,Heron!O$9,Xero!$A:$A,Heron!$A$4,Xero!$E:$E,Heron!$A22)-SUMIFS(Xero!$F:$F,Xero!$B:$B,Heron!O$9,Xero!$A:$A,Heron!$A$5,Xero!$E:$E,Heron!$A22)</f>
        <v/>
      </c>
      <c r="P22" s="117">
        <f>-SUMIFS(Xero!$F:$F,Xero!$B:$B,Heron!P$9,Xero!$A:$A,Heron!$A$4,Xero!$E:$E,Heron!$A22)-SUMIFS(Xero!$F:$F,Xero!$B:$B,Heron!P$9,Xero!$A:$A,Heron!$A$5,Xero!$E:$E,Heron!$A22)</f>
        <v/>
      </c>
      <c r="Q22" s="117">
        <f>-SUMIFS(Xero!$F:$F,Xero!$B:$B,Heron!Q$9,Xero!$A:$A,Heron!$A$4,Xero!$E:$E,Heron!$A22)-SUMIFS(Xero!$F:$F,Xero!$B:$B,Heron!Q$9,Xero!$A:$A,Heron!$A$5,Xero!$E:$E,Heron!$A22)</f>
        <v/>
      </c>
      <c r="R22" s="117">
        <f>-SUMIFS(Xero!$F:$F,Xero!$B:$B,Heron!R$9,Xero!$A:$A,Heron!$A$4,Xero!$E:$E,Heron!$A22)-SUMIFS(Xero!$F:$F,Xero!$B:$B,Heron!R$9,Xero!$A:$A,Heron!$A$5,Xero!$E:$E,Heron!$A22)</f>
        <v/>
      </c>
      <c r="S22" s="117">
        <f>-SUMIFS(Xero!$F:$F,Xero!$B:$B,Heron!S$9,Xero!$A:$A,Heron!$A$4,Xero!$E:$E,Heron!$A22)-SUMIFS(Xero!$F:$F,Xero!$B:$B,Heron!S$9,Xero!$A:$A,Heron!$A$5,Xero!$E:$E,Heron!$A22)</f>
        <v/>
      </c>
      <c r="T22" s="117">
        <f>-SUMIFS(Xero!$F:$F,Xero!$B:$B,Heron!T$9,Xero!$A:$A,Heron!$A$4,Xero!$E:$E,Heron!$A22)-SUMIFS(Xero!$F:$F,Xero!$B:$B,Heron!T$9,Xero!$A:$A,Heron!$A$5,Xero!$E:$E,Heron!$A22)</f>
        <v/>
      </c>
      <c r="U22" s="117">
        <f>-SUMIFS(Xero!$F:$F,Xero!$B:$B,Heron!U$9,Xero!$A:$A,Heron!$A$4,Xero!$E:$E,Heron!$A22)-SUMIFS(Xero!$F:$F,Xero!$B:$B,Heron!U$9,Xero!$A:$A,Heron!$A$5,Xero!$E:$E,Heron!$A22)</f>
        <v/>
      </c>
      <c r="V22" s="117">
        <f>-SUMIFS(Xero!$F:$F,Xero!$B:$B,Heron!V$9,Xero!$A:$A,Heron!$A$4,Xero!$E:$E,Heron!$A22)-SUMIFS(Xero!$F:$F,Xero!$B:$B,Heron!V$9,Xero!$A:$A,Heron!$A$5,Xero!$E:$E,Heron!$A22)</f>
        <v/>
      </c>
      <c r="W22" s="117">
        <f>-SUMIFS(Xero!$F:$F,Xero!$B:$B,Heron!W$9,Xero!$A:$A,Heron!$A$4,Xero!$E:$E,Heron!$A22)-SUMIFS(Xero!$F:$F,Xero!$B:$B,Heron!W$9,Xero!$A:$A,Heron!$A$5,Xero!$E:$E,Heron!$A22)</f>
        <v/>
      </c>
      <c r="X22" s="117">
        <f>-SUMIFS(Xero!$F:$F,Xero!$B:$B,Heron!X$9,Xero!$A:$A,Heron!$A$4,Xero!$E:$E,Heron!$A22)-SUMIFS(Xero!$F:$F,Xero!$B:$B,Heron!X$9,Xero!$A:$A,Heron!$A$5,Xero!$E:$E,Heron!$A22)</f>
        <v/>
      </c>
      <c r="Y22" s="117">
        <f>-SUMIFS(Xero!$F:$F,Xero!$B:$B,Heron!Y$9,Xero!$A:$A,Heron!$A$4,Xero!$E:$E,Heron!$A22)-SUMIFS(Xero!$F:$F,Xero!$B:$B,Heron!Y$9,Xero!$A:$A,Heron!$A$5,Xero!$E:$E,Heron!$A22)</f>
        <v/>
      </c>
      <c r="Z22" s="117">
        <f>-SUMIFS(Xero!$F:$F,Xero!$B:$B,Heron!Z$9,Xero!$A:$A,Heron!$A$4,Xero!$E:$E,Heron!$A22)-SUMIFS(Xero!$F:$F,Xero!$B:$B,Heron!Z$9,Xero!$A:$A,Heron!$A$5,Xero!$E:$E,Heron!$A22)</f>
        <v/>
      </c>
      <c r="AA22" s="117">
        <f>-SUMIFS(Xero!$F:$F,Xero!$B:$B,Heron!AA$9,Xero!$A:$A,Heron!$A$4,Xero!$E:$E,Heron!$A22)-SUMIFS(Xero!$F:$F,Xero!$B:$B,Heron!AA$9,Xero!$A:$A,Heron!$A$5,Xero!$E:$E,Heron!$A22)</f>
        <v/>
      </c>
      <c r="AB22" s="117">
        <f>-SUMIFS(Xero!$F:$F,Xero!$B:$B,Heron!AB$9,Xero!$A:$A,Heron!$A$4,Xero!$E:$E,Heron!$A22)-SUMIFS(Xero!$F:$F,Xero!$B:$B,Heron!AB$9,Xero!$A:$A,Heron!$A$5,Xero!$E:$E,Heron!$A22)</f>
        <v/>
      </c>
      <c r="AC22" s="117">
        <f>-SUMIFS(Xero!$F:$F,Xero!$B:$B,Heron!AC$9,Xero!$A:$A,Heron!$A$4,Xero!$E:$E,Heron!$A22)-SUMIFS(Xero!$F:$F,Xero!$B:$B,Heron!AC$9,Xero!$A:$A,Heron!$A$5,Xero!$E:$E,Heron!$A22)</f>
        <v/>
      </c>
      <c r="AD22" s="117">
        <f>-SUMIFS(Xero!$F:$F,Xero!$B:$B,Heron!AD$9,Xero!$A:$A,Heron!$A$4,Xero!$E:$E,Heron!$A22)-SUMIFS(Xero!$F:$F,Xero!$B:$B,Heron!AD$9,Xero!$A:$A,Heron!$A$5,Xero!$E:$E,Heron!$A22)</f>
        <v/>
      </c>
      <c r="AE22" s="117">
        <f>-SUMIFS(Xero!$F:$F,Xero!$B:$B,Heron!AE$9,Xero!$A:$A,Heron!$A$4,Xero!$E:$E,Heron!$A22)-SUMIFS(Xero!$F:$F,Xero!$B:$B,Heron!AE$9,Xero!$A:$A,Heron!$A$5,Xero!$E:$E,Heron!$A22)</f>
        <v/>
      </c>
      <c r="AF22" s="117">
        <f>-SUMIFS(Xero!$F:$F,Xero!$B:$B,Heron!AF$9,Xero!$A:$A,Heron!$A$4,Xero!$E:$E,Heron!$A22)-SUMIFS(Xero!$F:$F,Xero!$B:$B,Heron!AF$9,Xero!$A:$A,Heron!$A$5,Xero!$E:$E,Heron!$A22)</f>
        <v/>
      </c>
      <c r="AG22" s="117">
        <f>-SUMIFS(Xero!$F:$F,Xero!$B:$B,Heron!AG$9,Xero!$A:$A,Heron!$A$4,Xero!$E:$E,Heron!$A22)-SUMIFS(Xero!$F:$F,Xero!$B:$B,Heron!AG$9,Xero!$A:$A,Heron!$A$5,Xero!$E:$E,Heron!$A22)</f>
        <v/>
      </c>
      <c r="AH22" s="117">
        <f>-SUMIFS(Xero!$F:$F,Xero!$B:$B,Heron!AH$9,Xero!$A:$A,Heron!$A$4,Xero!$E:$E,Heron!$A22)-SUMIFS(Xero!$F:$F,Xero!$B:$B,Heron!AH$9,Xero!$A:$A,Heron!$A$5,Xero!$E:$E,Heron!$A22)</f>
        <v/>
      </c>
      <c r="AI22" s="117">
        <f>-SUMIFS(Xero!$F:$F,Xero!$B:$B,Heron!AI$9,Xero!$A:$A,Heron!$A$4,Xero!$E:$E,Heron!$A22)-SUMIFS(Xero!$F:$F,Xero!$B:$B,Heron!AI$9,Xero!$A:$A,Heron!$A$5,Xero!$E:$E,Heron!$A22)</f>
        <v/>
      </c>
      <c r="AJ22" s="117">
        <f>-SUMIFS(Xero!$F:$F,Xero!$B:$B,Heron!AJ$9,Xero!$A:$A,Heron!$A$4,Xero!$E:$E,Heron!$A22)-SUMIFS(Xero!$F:$F,Xero!$B:$B,Heron!AJ$9,Xero!$A:$A,Heron!$A$5,Xero!$E:$E,Heron!$A22)</f>
        <v/>
      </c>
      <c r="AK22" s="117">
        <f>-SUMIFS(Xero!$F:$F,Xero!$B:$B,Heron!AK$9,Xero!$A:$A,Heron!$A$4,Xero!$E:$E,Heron!$A22)-SUMIFS(Xero!$F:$F,Xero!$B:$B,Heron!AK$9,Xero!$A:$A,Heron!$A$5,Xero!$E:$E,Heron!$A22)</f>
        <v/>
      </c>
      <c r="AL22" s="117">
        <f>-SUMIFS(Xero!$F:$F,Xero!$B:$B,Heron!AL$9,Xero!$A:$A,Heron!$A$4,Xero!$E:$E,Heron!$A22)-SUMIFS(Xero!$F:$F,Xero!$B:$B,Heron!AL$9,Xero!$A:$A,Heron!$A$5,Xero!$E:$E,Heron!$A22)</f>
        <v/>
      </c>
      <c r="AM22" s="117">
        <f>-SUMIFS(Xero!$F:$F,Xero!$B:$B,Heron!AM$9,Xero!$A:$A,Heron!$A$4,Xero!$E:$E,Heron!$A22)-SUMIFS(Xero!$F:$F,Xero!$B:$B,Heron!AM$9,Xero!$A:$A,Heron!$A$5,Xero!$E:$E,Heron!$A22)</f>
        <v/>
      </c>
      <c r="AN22" s="117">
        <f>-SUMIFS(Xero!$F:$F,Xero!$B:$B,Heron!AN$9,Xero!$A:$A,Heron!$A$4,Xero!$E:$E,Heron!$A22)-SUMIFS(Xero!$F:$F,Xero!$B:$B,Heron!AN$9,Xero!$A:$A,Heron!$A$5,Xero!$E:$E,Heron!$A22)</f>
        <v/>
      </c>
      <c r="AO22" s="117">
        <f>-SUMIFS(Xero!$F:$F,Xero!$B:$B,Heron!AO$9,Xero!$A:$A,Heron!$A$4,Xero!$E:$E,Heron!$A22)-SUMIFS(Xero!$F:$F,Xero!$B:$B,Heron!AO$9,Xero!$A:$A,Heron!$A$5,Xero!$E:$E,Heron!$A22)</f>
        <v/>
      </c>
      <c r="AP22" s="117">
        <f>-SUMIFS(Xero!$F:$F,Xero!$B:$B,Heron!AP$9,Xero!$A:$A,Heron!$A$4,Xero!$E:$E,Heron!$A22)-SUMIFS(Xero!$F:$F,Xero!$B:$B,Heron!AP$9,Xero!$A:$A,Heron!$A$5,Xero!$E:$E,Heron!$A22)</f>
        <v/>
      </c>
      <c r="AQ22" s="117">
        <f>-SUMIFS(Xero!$F:$F,Xero!$B:$B,Heron!AQ$9,Xero!$A:$A,Heron!$A$4,Xero!$E:$E,Heron!$A22)-SUMIFS(Xero!$F:$F,Xero!$B:$B,Heron!AQ$9,Xero!$A:$A,Heron!$A$5,Xero!$E:$E,Heron!$A22)</f>
        <v/>
      </c>
      <c r="AR22" s="117">
        <f>-SUMIFS(Xero!$F:$F,Xero!$B:$B,Heron!AR$9,Xero!$A:$A,Heron!$A$4,Xero!$E:$E,Heron!$A22)-SUMIFS(Xero!$F:$F,Xero!$B:$B,Heron!AR$9,Xero!$A:$A,Heron!$A$5,Xero!$E:$E,Heron!$A22)</f>
        <v/>
      </c>
      <c r="AS22" s="117">
        <f>-SUMIFS(Xero!$F:$F,Xero!$B:$B,Heron!AS$9,Xero!$A:$A,Heron!$A$4,Xero!$E:$E,Heron!$A22)-SUMIFS(Xero!$F:$F,Xero!$B:$B,Heron!AS$9,Xero!$A:$A,Heron!$A$5,Xero!$E:$E,Heron!$A22)</f>
        <v/>
      </c>
      <c r="AT22" s="117">
        <f>-SUMIFS(Xero!$F:$F,Xero!$B:$B,Heron!AT$9,Xero!$A:$A,Heron!$A$4,Xero!$E:$E,Heron!$A22)-SUMIFS(Xero!$F:$F,Xero!$B:$B,Heron!AT$9,Xero!$A:$A,Heron!$A$5,Xero!$E:$E,Heron!$A22)</f>
        <v/>
      </c>
      <c r="AU22" s="117">
        <f>-SUMIFS(Xero!$F:$F,Xero!$B:$B,Heron!AU$9,Xero!$A:$A,Heron!$A$4,Xero!$E:$E,Heron!$A22)-SUMIFS(Xero!$F:$F,Xero!$B:$B,Heron!AU$9,Xero!$A:$A,Heron!$A$5,Xero!$E:$E,Heron!$A22)</f>
        <v/>
      </c>
      <c r="AV22" s="117">
        <f>-SUMIFS(Xero!$F:$F,Xero!$B:$B,Heron!AV$9,Xero!$A:$A,Heron!$A$4,Xero!$E:$E,Heron!$A22)-SUMIFS(Xero!$F:$F,Xero!$B:$B,Heron!AV$9,Xero!$A:$A,Heron!$A$5,Xero!$E:$E,Heron!$A22)</f>
        <v/>
      </c>
      <c r="AW22" s="117">
        <f>-SUMIFS(Xero!$F:$F,Xero!$B:$B,Heron!AW$9,Xero!$A:$A,Heron!$A$4,Xero!$E:$E,Heron!$A22)-SUMIFS(Xero!$F:$F,Xero!$B:$B,Heron!AW$9,Xero!$A:$A,Heron!$A$5,Xero!$E:$E,Heron!$A22)</f>
        <v/>
      </c>
      <c r="AX22" s="117">
        <f>-SUMIFS(Xero!$F:$F,Xero!$B:$B,Heron!AX$9,Xero!$A:$A,Heron!$A$4,Xero!$E:$E,Heron!$A22)-SUMIFS(Xero!$F:$F,Xero!$B:$B,Heron!AX$9,Xero!$A:$A,Heron!$A$5,Xero!$E:$E,Heron!$A22)</f>
        <v/>
      </c>
      <c r="AY22" s="117">
        <f>-SUMIFS(Xero!$F:$F,Xero!$B:$B,Heron!AY$9,Xero!$A:$A,Heron!$A$4,Xero!$E:$E,Heron!$A22)-SUMIFS(Xero!$F:$F,Xero!$B:$B,Heron!AY$9,Xero!$A:$A,Heron!$A$5,Xero!$E:$E,Heron!$A22)</f>
        <v/>
      </c>
      <c r="AZ22" s="117">
        <f>-SUMIFS(Xero!$F:$F,Xero!$B:$B,Heron!AZ$9,Xero!$A:$A,Heron!$A$4,Xero!$E:$E,Heron!$A22)-SUMIFS(Xero!$F:$F,Xero!$B:$B,Heron!AZ$9,Xero!$A:$A,Heron!$A$5,Xero!$E:$E,Heron!$A22)</f>
        <v/>
      </c>
      <c r="BA22" s="117">
        <f>-SUMIFS(Xero!$F:$F,Xero!$B:$B,Heron!BA$9,Xero!$A:$A,Heron!$A$4,Xero!$E:$E,Heron!$A22)-SUMIFS(Xero!$F:$F,Xero!$B:$B,Heron!BA$9,Xero!$A:$A,Heron!$A$5,Xero!$E:$E,Heron!$A22)</f>
        <v/>
      </c>
      <c r="BB22" s="117">
        <f>-SUMIFS(Xero!$F:$F,Xero!$B:$B,Heron!BB$9,Xero!$A:$A,Heron!$A$4,Xero!$E:$E,Heron!$A22)-SUMIFS(Xero!$F:$F,Xero!$B:$B,Heron!BB$9,Xero!$A:$A,Heron!$A$5,Xero!$E:$E,Heron!$A22)</f>
        <v/>
      </c>
      <c r="BC22" s="117">
        <f>-SUMIFS(Xero!$F:$F,Xero!$B:$B,Heron!BC$9,Xero!$A:$A,Heron!$A$4,Xero!$E:$E,Heron!$A22)-SUMIFS(Xero!$F:$F,Xero!$B:$B,Heron!BC$9,Xero!$A:$A,Heron!$A$5,Xero!$E:$E,Heron!$A22)</f>
        <v/>
      </c>
      <c r="BD22" s="117">
        <f>-SUMIFS(Xero!$F:$F,Xero!$B:$B,Heron!BD$9,Xero!$A:$A,Heron!$A$4,Xero!$E:$E,Heron!$A22)-SUMIFS(Xero!$F:$F,Xero!$B:$B,Heron!BD$9,Xero!$A:$A,Heron!$A$5,Xero!$E:$E,Heron!$A22)</f>
        <v/>
      </c>
      <c r="BE22" s="117">
        <f>-SUMIFS(Xero!$F:$F,Xero!$B:$B,Heron!BE$9,Xero!$A:$A,Heron!$A$4,Xero!$E:$E,Heron!$A22)-SUMIFS(Xero!$F:$F,Xero!$B:$B,Heron!BE$9,Xero!$A:$A,Heron!$A$5,Xero!$E:$E,Heron!$A22)</f>
        <v/>
      </c>
      <c r="BF22" s="117">
        <f>-SUMIFS(Xero!$F:$F,Xero!$B:$B,Heron!BF$9,Xero!$A:$A,Heron!$A$4,Xero!$E:$E,Heron!$A22)-SUMIFS(Xero!$F:$F,Xero!$B:$B,Heron!BF$9,Xero!$A:$A,Heron!$A$5,Xero!$E:$E,Heron!$A22)</f>
        <v/>
      </c>
      <c r="BG22" s="117">
        <f>-SUMIFS(Xero!$F:$F,Xero!$B:$B,Heron!BG$9,Xero!$A:$A,Heron!$A$4,Xero!$E:$E,Heron!$A22)-SUMIFS(Xero!$F:$F,Xero!$B:$B,Heron!BG$9,Xero!$A:$A,Heron!$A$5,Xero!$E:$E,Heron!$A22)</f>
        <v/>
      </c>
      <c r="BH22" s="117">
        <f>-SUMIFS(Xero!$F:$F,Xero!$B:$B,Heron!BH$9,Xero!$A:$A,Heron!$A$4,Xero!$E:$E,Heron!$A22)-SUMIFS(Xero!$F:$F,Xero!$B:$B,Heron!BH$9,Xero!$A:$A,Heron!$A$5,Xero!$E:$E,Heron!$A22)</f>
        <v/>
      </c>
      <c r="BI22" s="117">
        <f>-SUMIFS(Xero!$F:$F,Xero!$B:$B,Heron!BI$9,Xero!$A:$A,Heron!$A$4,Xero!$E:$E,Heron!$A22)-SUMIFS(Xero!$F:$F,Xero!$B:$B,Heron!BI$9,Xero!$A:$A,Heron!$A$5,Xero!$E:$E,Heron!$A22)</f>
        <v/>
      </c>
      <c r="BJ22" s="117">
        <f>-SUMIFS(Xero!$F:$F,Xero!$B:$B,Heron!BJ$9,Xero!$A:$A,Heron!$A$4,Xero!$E:$E,Heron!$A22)-SUMIFS(Xero!$F:$F,Xero!$B:$B,Heron!BJ$9,Xero!$A:$A,Heron!$A$5,Xero!$E:$E,Heron!$A22)</f>
        <v/>
      </c>
      <c r="BK22" s="117">
        <f>sum(D22:BJ22)</f>
        <v/>
      </c>
    </row>
    <row r="23">
      <c r="A23" s="116" t="inlineStr">
        <is>
          <t>Revaluation of Land</t>
        </is>
      </c>
      <c r="D23" s="117">
        <f>-SUMIFS(Xero!$F:$F,Xero!$B:$B,Heron!D$9,Xero!$A:$A,Heron!$A$4,Xero!$E:$E,Heron!$A23)-SUMIFS(Xero!$F:$F,Xero!$B:$B,Heron!D$9,Xero!$A:$A,Heron!$A$5,Xero!$E:$E,Heron!$A23)</f>
        <v/>
      </c>
      <c r="E23" s="117">
        <f>-SUMIFS(Xero!$F:$F,Xero!$B:$B,Heron!E$9,Xero!$A:$A,Heron!$A$4,Xero!$E:$E,Heron!$A23)-SUMIFS(Xero!$F:$F,Xero!$B:$B,Heron!E$9,Xero!$A:$A,Heron!$A$5,Xero!$E:$E,Heron!$A23)</f>
        <v/>
      </c>
      <c r="F23" s="117">
        <f>-SUMIFS(Xero!$F:$F,Xero!$B:$B,Heron!F$9,Xero!$A:$A,Heron!$A$4,Xero!$E:$E,Heron!$A23)-SUMIFS(Xero!$F:$F,Xero!$B:$B,Heron!F$9,Xero!$A:$A,Heron!$A$5,Xero!$E:$E,Heron!$A23)</f>
        <v/>
      </c>
      <c r="G23" s="117">
        <f>-SUMIFS(Xero!$F:$F,Xero!$B:$B,Heron!G$9,Xero!$A:$A,Heron!$A$4,Xero!$E:$E,Heron!$A23)-SUMIFS(Xero!$F:$F,Xero!$B:$B,Heron!G$9,Xero!$A:$A,Heron!$A$5,Xero!$E:$E,Heron!$A23)</f>
        <v/>
      </c>
      <c r="H23" s="117">
        <f>-SUMIFS(Xero!$F:$F,Xero!$B:$B,Heron!H$9,Xero!$A:$A,Heron!$A$4,Xero!$E:$E,Heron!$A23)-SUMIFS(Xero!$F:$F,Xero!$B:$B,Heron!H$9,Xero!$A:$A,Heron!$A$5,Xero!$E:$E,Heron!$A23)</f>
        <v/>
      </c>
      <c r="I23" s="117">
        <f>-SUMIFS(Xero!$F:$F,Xero!$B:$B,Heron!I$9,Xero!$A:$A,Heron!$A$4,Xero!$E:$E,Heron!$A23)-SUMIFS(Xero!$F:$F,Xero!$B:$B,Heron!I$9,Xero!$A:$A,Heron!$A$5,Xero!$E:$E,Heron!$A23)</f>
        <v/>
      </c>
      <c r="J23" s="117">
        <f>-SUMIFS(Xero!$F:$F,Xero!$B:$B,Heron!J$9,Xero!$A:$A,Heron!$A$4,Xero!$E:$E,Heron!$A23)-SUMIFS(Xero!$F:$F,Xero!$B:$B,Heron!J$9,Xero!$A:$A,Heron!$A$5,Xero!$E:$E,Heron!$A23)</f>
        <v/>
      </c>
      <c r="K23" s="117">
        <f>-SUMIFS(Xero!$F:$F,Xero!$B:$B,Heron!K$9,Xero!$A:$A,Heron!$A$4,Xero!$E:$E,Heron!$A23)-SUMIFS(Xero!$F:$F,Xero!$B:$B,Heron!K$9,Xero!$A:$A,Heron!$A$5,Xero!$E:$E,Heron!$A23)</f>
        <v/>
      </c>
      <c r="L23" s="117">
        <f>-SUMIFS(Xero!$F:$F,Xero!$B:$B,Heron!L$9,Xero!$A:$A,Heron!$A$4,Xero!$E:$E,Heron!$A23)-SUMIFS(Xero!$F:$F,Xero!$B:$B,Heron!L$9,Xero!$A:$A,Heron!$A$5,Xero!$E:$E,Heron!$A23)</f>
        <v/>
      </c>
      <c r="M23" s="117">
        <f>-SUMIFS(Xero!$F:$F,Xero!$B:$B,Heron!M$9,Xero!$A:$A,Heron!$A$4,Xero!$E:$E,Heron!$A23)-SUMIFS(Xero!$F:$F,Xero!$B:$B,Heron!M$9,Xero!$A:$A,Heron!$A$5,Xero!$E:$E,Heron!$A23)</f>
        <v/>
      </c>
      <c r="N23" s="117">
        <f>-SUMIFS(Xero!$F:$F,Xero!$B:$B,Heron!N$9,Xero!$A:$A,Heron!$A$4,Xero!$E:$E,Heron!$A23)-SUMIFS(Xero!$F:$F,Xero!$B:$B,Heron!N$9,Xero!$A:$A,Heron!$A$5,Xero!$E:$E,Heron!$A23)</f>
        <v/>
      </c>
      <c r="O23" s="117">
        <f>-SUMIFS(Xero!$F:$F,Xero!$B:$B,Heron!O$9,Xero!$A:$A,Heron!$A$4,Xero!$E:$E,Heron!$A23)-SUMIFS(Xero!$F:$F,Xero!$B:$B,Heron!O$9,Xero!$A:$A,Heron!$A$5,Xero!$E:$E,Heron!$A23)</f>
        <v/>
      </c>
      <c r="P23" s="117">
        <f>-SUMIFS(Xero!$F:$F,Xero!$B:$B,Heron!P$9,Xero!$A:$A,Heron!$A$4,Xero!$E:$E,Heron!$A23)-SUMIFS(Xero!$F:$F,Xero!$B:$B,Heron!P$9,Xero!$A:$A,Heron!$A$5,Xero!$E:$E,Heron!$A23)</f>
        <v/>
      </c>
      <c r="Q23" s="117">
        <f>-SUMIFS(Xero!$F:$F,Xero!$B:$B,Heron!Q$9,Xero!$A:$A,Heron!$A$4,Xero!$E:$E,Heron!$A23)-SUMIFS(Xero!$F:$F,Xero!$B:$B,Heron!Q$9,Xero!$A:$A,Heron!$A$5,Xero!$E:$E,Heron!$A23)</f>
        <v/>
      </c>
      <c r="R23" s="117">
        <f>-SUMIFS(Xero!$F:$F,Xero!$B:$B,Heron!R$9,Xero!$A:$A,Heron!$A$4,Xero!$E:$E,Heron!$A23)-SUMIFS(Xero!$F:$F,Xero!$B:$B,Heron!R$9,Xero!$A:$A,Heron!$A$5,Xero!$E:$E,Heron!$A23)</f>
        <v/>
      </c>
      <c r="S23" s="117">
        <f>-SUMIFS(Xero!$F:$F,Xero!$B:$B,Heron!S$9,Xero!$A:$A,Heron!$A$4,Xero!$E:$E,Heron!$A23)-SUMIFS(Xero!$F:$F,Xero!$B:$B,Heron!S$9,Xero!$A:$A,Heron!$A$5,Xero!$E:$E,Heron!$A23)</f>
        <v/>
      </c>
      <c r="T23" s="117">
        <f>-SUMIFS(Xero!$F:$F,Xero!$B:$B,Heron!T$9,Xero!$A:$A,Heron!$A$4,Xero!$E:$E,Heron!$A23)-SUMIFS(Xero!$F:$F,Xero!$B:$B,Heron!T$9,Xero!$A:$A,Heron!$A$5,Xero!$E:$E,Heron!$A23)</f>
        <v/>
      </c>
      <c r="U23" s="117">
        <f>-SUMIFS(Xero!$F:$F,Xero!$B:$B,Heron!U$9,Xero!$A:$A,Heron!$A$4,Xero!$E:$E,Heron!$A23)-SUMIFS(Xero!$F:$F,Xero!$B:$B,Heron!U$9,Xero!$A:$A,Heron!$A$5,Xero!$E:$E,Heron!$A23)</f>
        <v/>
      </c>
      <c r="V23" s="117">
        <f>-SUMIFS(Xero!$F:$F,Xero!$B:$B,Heron!V$9,Xero!$A:$A,Heron!$A$4,Xero!$E:$E,Heron!$A23)-SUMIFS(Xero!$F:$F,Xero!$B:$B,Heron!V$9,Xero!$A:$A,Heron!$A$5,Xero!$E:$E,Heron!$A23)</f>
        <v/>
      </c>
      <c r="W23" s="117">
        <f>-SUMIFS(Xero!$F:$F,Xero!$B:$B,Heron!W$9,Xero!$A:$A,Heron!$A$4,Xero!$E:$E,Heron!$A23)-SUMIFS(Xero!$F:$F,Xero!$B:$B,Heron!W$9,Xero!$A:$A,Heron!$A$5,Xero!$E:$E,Heron!$A23)</f>
        <v/>
      </c>
      <c r="X23" s="117">
        <f>-SUMIFS(Xero!$F:$F,Xero!$B:$B,Heron!X$9,Xero!$A:$A,Heron!$A$4,Xero!$E:$E,Heron!$A23)-SUMIFS(Xero!$F:$F,Xero!$B:$B,Heron!X$9,Xero!$A:$A,Heron!$A$5,Xero!$E:$E,Heron!$A23)</f>
        <v/>
      </c>
      <c r="Y23" s="117">
        <f>-SUMIFS(Xero!$F:$F,Xero!$B:$B,Heron!Y$9,Xero!$A:$A,Heron!$A$4,Xero!$E:$E,Heron!$A23)-SUMIFS(Xero!$F:$F,Xero!$B:$B,Heron!Y$9,Xero!$A:$A,Heron!$A$5,Xero!$E:$E,Heron!$A23)</f>
        <v/>
      </c>
      <c r="Z23" s="117">
        <f>-SUMIFS(Xero!$F:$F,Xero!$B:$B,Heron!Z$9,Xero!$A:$A,Heron!$A$4,Xero!$E:$E,Heron!$A23)-SUMIFS(Xero!$F:$F,Xero!$B:$B,Heron!Z$9,Xero!$A:$A,Heron!$A$5,Xero!$E:$E,Heron!$A23)</f>
        <v/>
      </c>
      <c r="AA23" s="117">
        <f>-SUMIFS(Xero!$F:$F,Xero!$B:$B,Heron!AA$9,Xero!$A:$A,Heron!$A$4,Xero!$E:$E,Heron!$A23)-SUMIFS(Xero!$F:$F,Xero!$B:$B,Heron!AA$9,Xero!$A:$A,Heron!$A$5,Xero!$E:$E,Heron!$A23)</f>
        <v/>
      </c>
      <c r="AB23" s="117">
        <f>-SUMIFS(Xero!$F:$F,Xero!$B:$B,Heron!AB$9,Xero!$A:$A,Heron!$A$4,Xero!$E:$E,Heron!$A23)-SUMIFS(Xero!$F:$F,Xero!$B:$B,Heron!AB$9,Xero!$A:$A,Heron!$A$5,Xero!$E:$E,Heron!$A23)</f>
        <v/>
      </c>
      <c r="AC23" s="117">
        <f>-SUMIFS(Xero!$F:$F,Xero!$B:$B,Heron!AC$9,Xero!$A:$A,Heron!$A$4,Xero!$E:$E,Heron!$A23)-SUMIFS(Xero!$F:$F,Xero!$B:$B,Heron!AC$9,Xero!$A:$A,Heron!$A$5,Xero!$E:$E,Heron!$A23)</f>
        <v/>
      </c>
      <c r="AD23" s="117">
        <f>-SUMIFS(Xero!$F:$F,Xero!$B:$B,Heron!AD$9,Xero!$A:$A,Heron!$A$4,Xero!$E:$E,Heron!$A23)-SUMIFS(Xero!$F:$F,Xero!$B:$B,Heron!AD$9,Xero!$A:$A,Heron!$A$5,Xero!$E:$E,Heron!$A23)</f>
        <v/>
      </c>
      <c r="AE23" s="117">
        <f>-SUMIFS(Xero!$F:$F,Xero!$B:$B,Heron!AE$9,Xero!$A:$A,Heron!$A$4,Xero!$E:$E,Heron!$A23)-SUMIFS(Xero!$F:$F,Xero!$B:$B,Heron!AE$9,Xero!$A:$A,Heron!$A$5,Xero!$E:$E,Heron!$A23)</f>
        <v/>
      </c>
      <c r="AF23" s="117">
        <f>-SUMIFS(Xero!$F:$F,Xero!$B:$B,Heron!AF$9,Xero!$A:$A,Heron!$A$4,Xero!$E:$E,Heron!$A23)-SUMIFS(Xero!$F:$F,Xero!$B:$B,Heron!AF$9,Xero!$A:$A,Heron!$A$5,Xero!$E:$E,Heron!$A23)</f>
        <v/>
      </c>
      <c r="AG23" s="117">
        <f>-SUMIFS(Xero!$F:$F,Xero!$B:$B,Heron!AG$9,Xero!$A:$A,Heron!$A$4,Xero!$E:$E,Heron!$A23)-SUMIFS(Xero!$F:$F,Xero!$B:$B,Heron!AG$9,Xero!$A:$A,Heron!$A$5,Xero!$E:$E,Heron!$A23)</f>
        <v/>
      </c>
      <c r="AH23" s="117">
        <f>-SUMIFS(Xero!$F:$F,Xero!$B:$B,Heron!AH$9,Xero!$A:$A,Heron!$A$4,Xero!$E:$E,Heron!$A23)-SUMIFS(Xero!$F:$F,Xero!$B:$B,Heron!AH$9,Xero!$A:$A,Heron!$A$5,Xero!$E:$E,Heron!$A23)</f>
        <v/>
      </c>
      <c r="AI23" s="117">
        <f>-SUMIFS(Xero!$F:$F,Xero!$B:$B,Heron!AI$9,Xero!$A:$A,Heron!$A$4,Xero!$E:$E,Heron!$A23)-SUMIFS(Xero!$F:$F,Xero!$B:$B,Heron!AI$9,Xero!$A:$A,Heron!$A$5,Xero!$E:$E,Heron!$A23)</f>
        <v/>
      </c>
      <c r="AJ23" s="117">
        <f>-SUMIFS(Xero!$F:$F,Xero!$B:$B,Heron!AJ$9,Xero!$A:$A,Heron!$A$4,Xero!$E:$E,Heron!$A23)-SUMIFS(Xero!$F:$F,Xero!$B:$B,Heron!AJ$9,Xero!$A:$A,Heron!$A$5,Xero!$E:$E,Heron!$A23)</f>
        <v/>
      </c>
      <c r="AK23" s="117">
        <f>-SUMIFS(Xero!$F:$F,Xero!$B:$B,Heron!AK$9,Xero!$A:$A,Heron!$A$4,Xero!$E:$E,Heron!$A23)-SUMIFS(Xero!$F:$F,Xero!$B:$B,Heron!AK$9,Xero!$A:$A,Heron!$A$5,Xero!$E:$E,Heron!$A23)</f>
        <v/>
      </c>
      <c r="AL23" s="117">
        <f>-SUMIFS(Xero!$F:$F,Xero!$B:$B,Heron!AL$9,Xero!$A:$A,Heron!$A$4,Xero!$E:$E,Heron!$A23)-SUMIFS(Xero!$F:$F,Xero!$B:$B,Heron!AL$9,Xero!$A:$A,Heron!$A$5,Xero!$E:$E,Heron!$A23)</f>
        <v/>
      </c>
      <c r="AM23" s="117">
        <f>-SUMIFS(Xero!$F:$F,Xero!$B:$B,Heron!AM$9,Xero!$A:$A,Heron!$A$4,Xero!$E:$E,Heron!$A23)-SUMIFS(Xero!$F:$F,Xero!$B:$B,Heron!AM$9,Xero!$A:$A,Heron!$A$5,Xero!$E:$E,Heron!$A23)</f>
        <v/>
      </c>
      <c r="AN23" s="117">
        <f>-SUMIFS(Xero!$F:$F,Xero!$B:$B,Heron!AN$9,Xero!$A:$A,Heron!$A$4,Xero!$E:$E,Heron!$A23)-SUMIFS(Xero!$F:$F,Xero!$B:$B,Heron!AN$9,Xero!$A:$A,Heron!$A$5,Xero!$E:$E,Heron!$A23)</f>
        <v/>
      </c>
      <c r="AO23" s="117">
        <f>-SUMIFS(Xero!$F:$F,Xero!$B:$B,Heron!AO$9,Xero!$A:$A,Heron!$A$4,Xero!$E:$E,Heron!$A23)-SUMIFS(Xero!$F:$F,Xero!$B:$B,Heron!AO$9,Xero!$A:$A,Heron!$A$5,Xero!$E:$E,Heron!$A23)</f>
        <v/>
      </c>
      <c r="AP23" s="117">
        <f>-SUMIFS(Xero!$F:$F,Xero!$B:$B,Heron!AP$9,Xero!$A:$A,Heron!$A$4,Xero!$E:$E,Heron!$A23)-SUMIFS(Xero!$F:$F,Xero!$B:$B,Heron!AP$9,Xero!$A:$A,Heron!$A$5,Xero!$E:$E,Heron!$A23)</f>
        <v/>
      </c>
      <c r="AQ23" s="117">
        <f>-SUMIFS(Xero!$F:$F,Xero!$B:$B,Heron!AQ$9,Xero!$A:$A,Heron!$A$4,Xero!$E:$E,Heron!$A23)-SUMIFS(Xero!$F:$F,Xero!$B:$B,Heron!AQ$9,Xero!$A:$A,Heron!$A$5,Xero!$E:$E,Heron!$A23)</f>
        <v/>
      </c>
      <c r="AR23" s="117">
        <f>-SUMIFS(Xero!$F:$F,Xero!$B:$B,Heron!AR$9,Xero!$A:$A,Heron!$A$4,Xero!$E:$E,Heron!$A23)-SUMIFS(Xero!$F:$F,Xero!$B:$B,Heron!AR$9,Xero!$A:$A,Heron!$A$5,Xero!$E:$E,Heron!$A23)</f>
        <v/>
      </c>
      <c r="AS23" s="117">
        <f>-SUMIFS(Xero!$F:$F,Xero!$B:$B,Heron!AS$9,Xero!$A:$A,Heron!$A$4,Xero!$E:$E,Heron!$A23)-SUMIFS(Xero!$F:$F,Xero!$B:$B,Heron!AS$9,Xero!$A:$A,Heron!$A$5,Xero!$E:$E,Heron!$A23)</f>
        <v/>
      </c>
      <c r="AT23" s="117">
        <f>-SUMIFS(Xero!$F:$F,Xero!$B:$B,Heron!AT$9,Xero!$A:$A,Heron!$A$4,Xero!$E:$E,Heron!$A23)-SUMIFS(Xero!$F:$F,Xero!$B:$B,Heron!AT$9,Xero!$A:$A,Heron!$A$5,Xero!$E:$E,Heron!$A23)</f>
        <v/>
      </c>
      <c r="AU23" s="117">
        <f>-SUMIFS(Xero!$F:$F,Xero!$B:$B,Heron!AU$9,Xero!$A:$A,Heron!$A$4,Xero!$E:$E,Heron!$A23)-SUMIFS(Xero!$F:$F,Xero!$B:$B,Heron!AU$9,Xero!$A:$A,Heron!$A$5,Xero!$E:$E,Heron!$A23)</f>
        <v/>
      </c>
      <c r="AV23" s="117">
        <f>-SUMIFS(Xero!$F:$F,Xero!$B:$B,Heron!AV$9,Xero!$A:$A,Heron!$A$4,Xero!$E:$E,Heron!$A23)-SUMIFS(Xero!$F:$F,Xero!$B:$B,Heron!AV$9,Xero!$A:$A,Heron!$A$5,Xero!$E:$E,Heron!$A23)</f>
        <v/>
      </c>
      <c r="AW23" s="117">
        <f>-SUMIFS(Xero!$F:$F,Xero!$B:$B,Heron!AW$9,Xero!$A:$A,Heron!$A$4,Xero!$E:$E,Heron!$A23)-SUMIFS(Xero!$F:$F,Xero!$B:$B,Heron!AW$9,Xero!$A:$A,Heron!$A$5,Xero!$E:$E,Heron!$A23)</f>
        <v/>
      </c>
      <c r="AX23" s="117">
        <f>-SUMIFS(Xero!$F:$F,Xero!$B:$B,Heron!AX$9,Xero!$A:$A,Heron!$A$4,Xero!$E:$E,Heron!$A23)-SUMIFS(Xero!$F:$F,Xero!$B:$B,Heron!AX$9,Xero!$A:$A,Heron!$A$5,Xero!$E:$E,Heron!$A23)</f>
        <v/>
      </c>
      <c r="AY23" s="117">
        <f>-SUMIFS(Xero!$F:$F,Xero!$B:$B,Heron!AY$9,Xero!$A:$A,Heron!$A$4,Xero!$E:$E,Heron!$A23)-SUMIFS(Xero!$F:$F,Xero!$B:$B,Heron!AY$9,Xero!$A:$A,Heron!$A$5,Xero!$E:$E,Heron!$A23)</f>
        <v/>
      </c>
      <c r="AZ23" s="117">
        <f>-SUMIFS(Xero!$F:$F,Xero!$B:$B,Heron!AZ$9,Xero!$A:$A,Heron!$A$4,Xero!$E:$E,Heron!$A23)-SUMIFS(Xero!$F:$F,Xero!$B:$B,Heron!AZ$9,Xero!$A:$A,Heron!$A$5,Xero!$E:$E,Heron!$A23)</f>
        <v/>
      </c>
      <c r="BA23" s="117">
        <f>-SUMIFS(Xero!$F:$F,Xero!$B:$B,Heron!BA$9,Xero!$A:$A,Heron!$A$4,Xero!$E:$E,Heron!$A23)-SUMIFS(Xero!$F:$F,Xero!$B:$B,Heron!BA$9,Xero!$A:$A,Heron!$A$5,Xero!$E:$E,Heron!$A23)</f>
        <v/>
      </c>
      <c r="BB23" s="117">
        <f>-SUMIFS(Xero!$F:$F,Xero!$B:$B,Heron!BB$9,Xero!$A:$A,Heron!$A$4,Xero!$E:$E,Heron!$A23)-SUMIFS(Xero!$F:$F,Xero!$B:$B,Heron!BB$9,Xero!$A:$A,Heron!$A$5,Xero!$E:$E,Heron!$A23)</f>
        <v/>
      </c>
      <c r="BC23" s="117">
        <f>-SUMIFS(Xero!$F:$F,Xero!$B:$B,Heron!BC$9,Xero!$A:$A,Heron!$A$4,Xero!$E:$E,Heron!$A23)-SUMIFS(Xero!$F:$F,Xero!$B:$B,Heron!BC$9,Xero!$A:$A,Heron!$A$5,Xero!$E:$E,Heron!$A23)</f>
        <v/>
      </c>
      <c r="BD23" s="117">
        <f>-SUMIFS(Xero!$F:$F,Xero!$B:$B,Heron!BD$9,Xero!$A:$A,Heron!$A$4,Xero!$E:$E,Heron!$A23)-SUMIFS(Xero!$F:$F,Xero!$B:$B,Heron!BD$9,Xero!$A:$A,Heron!$A$5,Xero!$E:$E,Heron!$A23)</f>
        <v/>
      </c>
      <c r="BE23" s="117">
        <f>-SUMIFS(Xero!$F:$F,Xero!$B:$B,Heron!BE$9,Xero!$A:$A,Heron!$A$4,Xero!$E:$E,Heron!$A23)-SUMIFS(Xero!$F:$F,Xero!$B:$B,Heron!BE$9,Xero!$A:$A,Heron!$A$5,Xero!$E:$E,Heron!$A23)</f>
        <v/>
      </c>
      <c r="BF23" s="117">
        <f>-SUMIFS(Xero!$F:$F,Xero!$B:$B,Heron!BF$9,Xero!$A:$A,Heron!$A$4,Xero!$E:$E,Heron!$A23)-SUMIFS(Xero!$F:$F,Xero!$B:$B,Heron!BF$9,Xero!$A:$A,Heron!$A$5,Xero!$E:$E,Heron!$A23)</f>
        <v/>
      </c>
      <c r="BG23" s="117">
        <f>-SUMIFS(Xero!$F:$F,Xero!$B:$B,Heron!BG$9,Xero!$A:$A,Heron!$A$4,Xero!$E:$E,Heron!$A23)-SUMIFS(Xero!$F:$F,Xero!$B:$B,Heron!BG$9,Xero!$A:$A,Heron!$A$5,Xero!$E:$E,Heron!$A23)</f>
        <v/>
      </c>
      <c r="BH23" s="117">
        <f>-SUMIFS(Xero!$F:$F,Xero!$B:$B,Heron!BH$9,Xero!$A:$A,Heron!$A$4,Xero!$E:$E,Heron!$A23)-SUMIFS(Xero!$F:$F,Xero!$B:$B,Heron!BH$9,Xero!$A:$A,Heron!$A$5,Xero!$E:$E,Heron!$A23)</f>
        <v/>
      </c>
      <c r="BI23" s="117">
        <f>-SUMIFS(Xero!$F:$F,Xero!$B:$B,Heron!BI$9,Xero!$A:$A,Heron!$A$4,Xero!$E:$E,Heron!$A23)-SUMIFS(Xero!$F:$F,Xero!$B:$B,Heron!BI$9,Xero!$A:$A,Heron!$A$5,Xero!$E:$E,Heron!$A23)</f>
        <v/>
      </c>
      <c r="BJ23" s="117">
        <f>-SUMIFS(Xero!$F:$F,Xero!$B:$B,Heron!BJ$9,Xero!$A:$A,Heron!$A$4,Xero!$E:$E,Heron!$A23)-SUMIFS(Xero!$F:$F,Xero!$B:$B,Heron!BJ$9,Xero!$A:$A,Heron!$A$5,Xero!$E:$E,Heron!$A23)</f>
        <v/>
      </c>
      <c r="BK23" s="117">
        <f>sum(D23:BJ23)</f>
        <v/>
      </c>
    </row>
    <row r="24">
      <c r="A24" s="116" t="inlineStr">
        <is>
          <t>Sales - Heron Fields</t>
        </is>
      </c>
      <c r="D24" s="117">
        <f>-SUMIFS(Xero!$F:$F,Xero!$B:$B,Heron!D$9,Xero!$A:$A,Heron!$A$4,Xero!$E:$E,Heron!$A24)-SUMIFS(Xero!$F:$F,Xero!$B:$B,Heron!D$9,Xero!$A:$A,Heron!$A$5,Xero!$E:$E,Heron!$A24)+SUMIFS(Sales!$K:$K,Sales!$E:$E,FALSE,Sales!$A:$A,Heron!$B$4,Sales!$H:$H,"&lt;="&amp;Heron!D$9,Sales!$H:$H,"&gt;"&amp;Heron!C$9,Sales!$F:$F,1)</f>
        <v/>
      </c>
      <c r="E24" s="117">
        <f>-SUMIFS(Xero!$F:$F,Xero!$B:$B,Heron!E$9,Xero!$A:$A,Heron!$A$4,Xero!$E:$E,Heron!$A24)-SUMIFS(Xero!$F:$F,Xero!$B:$B,Heron!E$9,Xero!$A:$A,Heron!$A$5,Xero!$E:$E,Heron!$A24)+SUMIFS(Sales!$K:$K,Sales!$E:$E,FALSE,Sales!$A:$A,Heron!$B$4,Sales!$H:$H,"&lt;="&amp;Heron!E$9,Sales!$H:$H,"&gt;"&amp;Heron!D$9,Sales!$F:$F,1)</f>
        <v/>
      </c>
      <c r="F24" s="117">
        <f>-SUMIFS(Xero!$F:$F,Xero!$B:$B,Heron!F$9,Xero!$A:$A,Heron!$A$4,Xero!$E:$E,Heron!$A24)-SUMIFS(Xero!$F:$F,Xero!$B:$B,Heron!F$9,Xero!$A:$A,Heron!$A$5,Xero!$E:$E,Heron!$A24)+SUMIFS(Sales!$K:$K,Sales!$E:$E,FALSE,Sales!$A:$A,Heron!$B$4,Sales!$H:$H,"&lt;="&amp;Heron!F$9,Sales!$H:$H,"&gt;"&amp;Heron!E$9,Sales!$F:$F,1)</f>
        <v/>
      </c>
      <c r="G24" s="117">
        <f>-SUMIFS(Xero!$F:$F,Xero!$B:$B,Heron!G$9,Xero!$A:$A,Heron!$A$4,Xero!$E:$E,Heron!$A24)-SUMIFS(Xero!$F:$F,Xero!$B:$B,Heron!G$9,Xero!$A:$A,Heron!$A$5,Xero!$E:$E,Heron!$A24)+SUMIFS(Sales!$K:$K,Sales!$E:$E,FALSE,Sales!$A:$A,Heron!$B$4,Sales!$H:$H,"&lt;="&amp;Heron!G$9,Sales!$H:$H,"&gt;"&amp;Heron!F$9,Sales!$F:$F,1)</f>
        <v/>
      </c>
      <c r="H24" s="117">
        <f>-SUMIFS(Xero!$F:$F,Xero!$B:$B,Heron!H$9,Xero!$A:$A,Heron!$A$4,Xero!$E:$E,Heron!$A24)-SUMIFS(Xero!$F:$F,Xero!$B:$B,Heron!H$9,Xero!$A:$A,Heron!$A$5,Xero!$E:$E,Heron!$A24)+SUMIFS(Sales!$K:$K,Sales!$E:$E,FALSE,Sales!$A:$A,Heron!$B$4,Sales!$H:$H,"&lt;="&amp;Heron!H$9,Sales!$H:$H,"&gt;"&amp;Heron!G$9,Sales!$F:$F,1)</f>
        <v/>
      </c>
      <c r="I24" s="117">
        <f>-SUMIFS(Xero!$F:$F,Xero!$B:$B,Heron!I$9,Xero!$A:$A,Heron!$A$4,Xero!$E:$E,Heron!$A24)-SUMIFS(Xero!$F:$F,Xero!$B:$B,Heron!I$9,Xero!$A:$A,Heron!$A$5,Xero!$E:$E,Heron!$A24)+SUMIFS(Sales!$K:$K,Sales!$E:$E,FALSE,Sales!$A:$A,Heron!$B$4,Sales!$H:$H,"&lt;="&amp;Heron!I$9,Sales!$H:$H,"&gt;"&amp;Heron!H$9,Sales!$F:$F,1)</f>
        <v/>
      </c>
      <c r="J24" s="117">
        <f>-SUMIFS(Xero!$F:$F,Xero!$B:$B,Heron!J$9,Xero!$A:$A,Heron!$A$4,Xero!$E:$E,Heron!$A24)-SUMIFS(Xero!$F:$F,Xero!$B:$B,Heron!J$9,Xero!$A:$A,Heron!$A$5,Xero!$E:$E,Heron!$A24)+SUMIFS(Sales!$K:$K,Sales!$E:$E,FALSE,Sales!$A:$A,Heron!$B$4,Sales!$H:$H,"&lt;="&amp;Heron!J$9,Sales!$H:$H,"&gt;"&amp;Heron!I$9,Sales!$F:$F,1)</f>
        <v/>
      </c>
      <c r="K24" s="117">
        <f>-SUMIFS(Xero!$F:$F,Xero!$B:$B,Heron!K$9,Xero!$A:$A,Heron!$A$4,Xero!$E:$E,Heron!$A24)-SUMIFS(Xero!$F:$F,Xero!$B:$B,Heron!K$9,Xero!$A:$A,Heron!$A$5,Xero!$E:$E,Heron!$A24)+SUMIFS(Sales!$K:$K,Sales!$E:$E,FALSE,Sales!$A:$A,Heron!$B$4,Sales!$H:$H,"&lt;="&amp;Heron!K$9,Sales!$H:$H,"&gt;"&amp;Heron!J$9,Sales!$F:$F,1)</f>
        <v/>
      </c>
      <c r="L24" s="117">
        <f>-SUMIFS(Xero!$F:$F,Xero!$B:$B,Heron!L$9,Xero!$A:$A,Heron!$A$4,Xero!$E:$E,Heron!$A24)-SUMIFS(Xero!$F:$F,Xero!$B:$B,Heron!L$9,Xero!$A:$A,Heron!$A$5,Xero!$E:$E,Heron!$A24)+SUMIFS(Sales!$K:$K,Sales!$E:$E,FALSE,Sales!$A:$A,Heron!$B$4,Sales!$H:$H,"&lt;="&amp;Heron!L$9,Sales!$H:$H,"&gt;"&amp;Heron!K$9,Sales!$F:$F,1)</f>
        <v/>
      </c>
      <c r="M24" s="117">
        <f>-SUMIFS(Xero!$F:$F,Xero!$B:$B,Heron!M$9,Xero!$A:$A,Heron!$A$4,Xero!$E:$E,Heron!$A24)-SUMIFS(Xero!$F:$F,Xero!$B:$B,Heron!M$9,Xero!$A:$A,Heron!$A$5,Xero!$E:$E,Heron!$A24)+SUMIFS(Sales!$K:$K,Sales!$E:$E,FALSE,Sales!$A:$A,Heron!$B$4,Sales!$H:$H,"&lt;="&amp;Heron!M$9,Sales!$H:$H,"&gt;"&amp;Heron!L$9,Sales!$F:$F,1)</f>
        <v/>
      </c>
      <c r="N24" s="117">
        <f>-SUMIFS(Xero!$F:$F,Xero!$B:$B,Heron!N$9,Xero!$A:$A,Heron!$A$4,Xero!$E:$E,Heron!$A24)-SUMIFS(Xero!$F:$F,Xero!$B:$B,Heron!N$9,Xero!$A:$A,Heron!$A$5,Xero!$E:$E,Heron!$A24)+SUMIFS(Sales!$K:$K,Sales!$E:$E,FALSE,Sales!$A:$A,Heron!$B$4,Sales!$H:$H,"&lt;="&amp;Heron!N$9,Sales!$H:$H,"&gt;"&amp;Heron!M$9,Sales!$F:$F,1)</f>
        <v/>
      </c>
      <c r="O24" s="117">
        <f>-SUMIFS(Xero!$F:$F,Xero!$B:$B,Heron!O$9,Xero!$A:$A,Heron!$A$4,Xero!$E:$E,Heron!$A24)-SUMIFS(Xero!$F:$F,Xero!$B:$B,Heron!O$9,Xero!$A:$A,Heron!$A$5,Xero!$E:$E,Heron!$A24)+SUMIFS(Sales!$K:$K,Sales!$E:$E,FALSE,Sales!$A:$A,Heron!$B$4,Sales!$H:$H,"&lt;="&amp;Heron!O$9,Sales!$H:$H,"&gt;"&amp;Heron!N$9,Sales!$F:$F,1)</f>
        <v/>
      </c>
      <c r="P24" s="117">
        <f>-SUMIFS(Xero!$F:$F,Xero!$B:$B,Heron!P$9,Xero!$A:$A,Heron!$A$4,Xero!$E:$E,Heron!$A24)-SUMIFS(Xero!$F:$F,Xero!$B:$B,Heron!P$9,Xero!$A:$A,Heron!$A$5,Xero!$E:$E,Heron!$A24)+SUMIFS(Sales!$K:$K,Sales!$E:$E,FALSE,Sales!$A:$A,Heron!$B$4,Sales!$H:$H,"&lt;="&amp;Heron!P$9,Sales!$H:$H,"&gt;"&amp;Heron!O$9,Sales!$F:$F,1)</f>
        <v/>
      </c>
      <c r="Q24" s="117">
        <f>-SUMIFS(Xero!$F:$F,Xero!$B:$B,Heron!Q$9,Xero!$A:$A,Heron!$A$4,Xero!$E:$E,Heron!$A24)-SUMIFS(Xero!$F:$F,Xero!$B:$B,Heron!Q$9,Xero!$A:$A,Heron!$A$5,Xero!$E:$E,Heron!$A24)+SUMIFS(Sales!$K:$K,Sales!$E:$E,FALSE,Sales!$A:$A,Heron!$B$4,Sales!$H:$H,"&lt;="&amp;Heron!Q$9,Sales!$H:$H,"&gt;"&amp;Heron!P$9,Sales!$F:$F,1)</f>
        <v/>
      </c>
      <c r="R24" s="117">
        <f>-SUMIFS(Xero!$F:$F,Xero!$B:$B,Heron!R$9,Xero!$A:$A,Heron!$A$4,Xero!$E:$E,Heron!$A24)-SUMIFS(Xero!$F:$F,Xero!$B:$B,Heron!R$9,Xero!$A:$A,Heron!$A$5,Xero!$E:$E,Heron!$A24)+SUMIFS(Sales!$K:$K,Sales!$E:$E,FALSE,Sales!$A:$A,Heron!$B$4,Sales!$H:$H,"&lt;="&amp;Heron!R$9,Sales!$H:$H,"&gt;"&amp;Heron!Q$9,Sales!$F:$F,1)</f>
        <v/>
      </c>
      <c r="S24" s="117">
        <f>-SUMIFS(Xero!$F:$F,Xero!$B:$B,Heron!S$9,Xero!$A:$A,Heron!$A$4,Xero!$E:$E,Heron!$A24)-SUMIFS(Xero!$F:$F,Xero!$B:$B,Heron!S$9,Xero!$A:$A,Heron!$A$5,Xero!$E:$E,Heron!$A24)+SUMIFS(Sales!$K:$K,Sales!$E:$E,FALSE,Sales!$A:$A,Heron!$B$4,Sales!$H:$H,"&lt;="&amp;Heron!S$9,Sales!$H:$H,"&gt;"&amp;Heron!R$9,Sales!$F:$F,1)</f>
        <v/>
      </c>
      <c r="T24" s="117">
        <f>-SUMIFS(Xero!$F:$F,Xero!$B:$B,Heron!T$9,Xero!$A:$A,Heron!$A$4,Xero!$E:$E,Heron!$A24)-SUMIFS(Xero!$F:$F,Xero!$B:$B,Heron!T$9,Xero!$A:$A,Heron!$A$5,Xero!$E:$E,Heron!$A24)+SUMIFS(Sales!$K:$K,Sales!$E:$E,FALSE,Sales!$A:$A,Heron!$B$4,Sales!$H:$H,"&lt;="&amp;Heron!T$9,Sales!$H:$H,"&gt;"&amp;Heron!S$9,Sales!$F:$F,1)</f>
        <v/>
      </c>
      <c r="U24" s="117">
        <f>-SUMIFS(Xero!$F:$F,Xero!$B:$B,Heron!U$9,Xero!$A:$A,Heron!$A$4,Xero!$E:$E,Heron!$A24)-SUMIFS(Xero!$F:$F,Xero!$B:$B,Heron!U$9,Xero!$A:$A,Heron!$A$5,Xero!$E:$E,Heron!$A24)+SUMIFS(Sales!$K:$K,Sales!$E:$E,FALSE,Sales!$A:$A,Heron!$B$4,Sales!$H:$H,"&lt;="&amp;Heron!U$9,Sales!$H:$H,"&gt;"&amp;Heron!T$9,Sales!$F:$F,1)</f>
        <v/>
      </c>
      <c r="V24" s="117">
        <f>-SUMIFS(Xero!$F:$F,Xero!$B:$B,Heron!V$9,Xero!$A:$A,Heron!$A$4,Xero!$E:$E,Heron!$A24)-SUMIFS(Xero!$F:$F,Xero!$B:$B,Heron!V$9,Xero!$A:$A,Heron!$A$5,Xero!$E:$E,Heron!$A24)+SUMIFS(Sales!$K:$K,Sales!$E:$E,FALSE,Sales!$A:$A,Heron!$B$4,Sales!$H:$H,"&lt;="&amp;Heron!V$9,Sales!$H:$H,"&gt;"&amp;Heron!U$9,Sales!$F:$F,1)</f>
        <v/>
      </c>
      <c r="W24" s="117">
        <f>-SUMIFS(Xero!$F:$F,Xero!$B:$B,Heron!W$9,Xero!$A:$A,Heron!$A$4,Xero!$E:$E,Heron!$A24)-SUMIFS(Xero!$F:$F,Xero!$B:$B,Heron!W$9,Xero!$A:$A,Heron!$A$5,Xero!$E:$E,Heron!$A24)+SUMIFS(Sales!$K:$K,Sales!$E:$E,FALSE,Sales!$A:$A,Heron!$B$4,Sales!$H:$H,"&lt;="&amp;Heron!W$9,Sales!$H:$H,"&gt;"&amp;Heron!V$9,Sales!$F:$F,1)</f>
        <v/>
      </c>
      <c r="X24" s="117">
        <f>-SUMIFS(Xero!$F:$F,Xero!$B:$B,Heron!X$9,Xero!$A:$A,Heron!$A$4,Xero!$E:$E,Heron!$A24)-SUMIFS(Xero!$F:$F,Xero!$B:$B,Heron!X$9,Xero!$A:$A,Heron!$A$5,Xero!$E:$E,Heron!$A24)+SUMIFS(Sales!$K:$K,Sales!$E:$E,FALSE,Sales!$A:$A,Heron!$B$4,Sales!$H:$H,"&lt;="&amp;Heron!X$9,Sales!$H:$H,"&gt;"&amp;Heron!W$9,Sales!$F:$F,1)</f>
        <v/>
      </c>
      <c r="Y24" s="117">
        <f>-SUMIFS(Xero!$F:$F,Xero!$B:$B,Heron!Y$9,Xero!$A:$A,Heron!$A$4,Xero!$E:$E,Heron!$A24)-SUMIFS(Xero!$F:$F,Xero!$B:$B,Heron!Y$9,Xero!$A:$A,Heron!$A$5,Xero!$E:$E,Heron!$A24)+SUMIFS(Sales!$K:$K,Sales!$E:$E,FALSE,Sales!$A:$A,Heron!$B$4,Sales!$H:$H,"&lt;="&amp;Heron!Y$9,Sales!$H:$H,"&gt;"&amp;Heron!X$9,Sales!$F:$F,1)</f>
        <v/>
      </c>
      <c r="Z24" s="117">
        <f>-SUMIFS(Xero!$F:$F,Xero!$B:$B,Heron!Z$9,Xero!$A:$A,Heron!$A$4,Xero!$E:$E,Heron!$A24)-SUMIFS(Xero!$F:$F,Xero!$B:$B,Heron!Z$9,Xero!$A:$A,Heron!$A$5,Xero!$E:$E,Heron!$A24)+SUMIFS(Sales!$K:$K,Sales!$E:$E,FALSE,Sales!$A:$A,Heron!$B$4,Sales!$H:$H,"&lt;="&amp;Heron!Z$9,Sales!$H:$H,"&gt;"&amp;Heron!Y$9,Sales!$F:$F,1)</f>
        <v/>
      </c>
      <c r="AA24" s="117">
        <f>-SUMIFS(Xero!$F:$F,Xero!$B:$B,Heron!AA$9,Xero!$A:$A,Heron!$A$4,Xero!$E:$E,Heron!$A24)-SUMIFS(Xero!$F:$F,Xero!$B:$B,Heron!AA$9,Xero!$A:$A,Heron!$A$5,Xero!$E:$E,Heron!$A24)+SUMIFS(Sales!$K:$K,Sales!$E:$E,FALSE,Sales!$A:$A,Heron!$B$4,Sales!$H:$H,"&lt;="&amp;Heron!AA$9,Sales!$H:$H,"&gt;"&amp;Heron!Z$9,Sales!$F:$F,1)</f>
        <v/>
      </c>
      <c r="AB24" s="117">
        <f>-SUMIFS(Xero!$F:$F,Xero!$B:$B,Heron!AB$9,Xero!$A:$A,Heron!$A$4,Xero!$E:$E,Heron!$A24)-SUMIFS(Xero!$F:$F,Xero!$B:$B,Heron!AB$9,Xero!$A:$A,Heron!$A$5,Xero!$E:$E,Heron!$A24)+SUMIFS(Sales!$K:$K,Sales!$E:$E,FALSE,Sales!$A:$A,Heron!$B$4,Sales!$H:$H,"&lt;="&amp;Heron!AB$9,Sales!$H:$H,"&gt;"&amp;Heron!AA$9,Sales!$F:$F,1)</f>
        <v/>
      </c>
      <c r="AC24" s="117">
        <f>-SUMIFS(Xero!$F:$F,Xero!$B:$B,Heron!AC$9,Xero!$A:$A,Heron!$A$4,Xero!$E:$E,Heron!$A24)-SUMIFS(Xero!$F:$F,Xero!$B:$B,Heron!AC$9,Xero!$A:$A,Heron!$A$5,Xero!$E:$E,Heron!$A24)+SUMIFS(Sales!$K:$K,Sales!$E:$E,FALSE,Sales!$A:$A,Heron!$B$4,Sales!$H:$H,"&lt;="&amp;Heron!AC$9,Sales!$H:$H,"&gt;"&amp;Heron!AB$9,Sales!$F:$F,1)</f>
        <v/>
      </c>
      <c r="AD24" s="117">
        <f>-SUMIFS(Xero!$F:$F,Xero!$B:$B,Heron!AD$9,Xero!$A:$A,Heron!$A$4,Xero!$E:$E,Heron!$A24)-SUMIFS(Xero!$F:$F,Xero!$B:$B,Heron!AD$9,Xero!$A:$A,Heron!$A$5,Xero!$E:$E,Heron!$A24)+SUMIFS(Sales!$K:$K,Sales!$E:$E,FALSE,Sales!$A:$A,Heron!$B$4,Sales!$H:$H,"&lt;="&amp;Heron!AD$9,Sales!$H:$H,"&gt;"&amp;Heron!AC$9,Sales!$F:$F,1)</f>
        <v/>
      </c>
      <c r="AE24" s="117">
        <f>-SUMIFS(Xero!$F:$F,Xero!$B:$B,Heron!AE$9,Xero!$A:$A,Heron!$A$4,Xero!$E:$E,Heron!$A24)-SUMIFS(Xero!$F:$F,Xero!$B:$B,Heron!AE$9,Xero!$A:$A,Heron!$A$5,Xero!$E:$E,Heron!$A24)+SUMIFS(Sales!$K:$K,Sales!$E:$E,FALSE,Sales!$A:$A,Heron!$B$4,Sales!$H:$H,"&lt;="&amp;Heron!AE$9,Sales!$H:$H,"&gt;"&amp;Heron!AD$9,Sales!$F:$F,1)</f>
        <v/>
      </c>
      <c r="AF24" s="117">
        <f>-SUMIFS(Xero!$F:$F,Xero!$B:$B,Heron!AF$9,Xero!$A:$A,Heron!$A$4,Xero!$E:$E,Heron!$A24)-SUMIFS(Xero!$F:$F,Xero!$B:$B,Heron!AF$9,Xero!$A:$A,Heron!$A$5,Xero!$E:$E,Heron!$A24)+SUMIFS(Sales!$K:$K,Sales!$E:$E,FALSE,Sales!$A:$A,Heron!$B$4,Sales!$H:$H,"&lt;="&amp;Heron!AF$9,Sales!$H:$H,"&gt;"&amp;Heron!AE$9,Sales!$F:$F,1)</f>
        <v/>
      </c>
      <c r="AG24" s="117">
        <f>-SUMIFS(Xero!$F:$F,Xero!$B:$B,Heron!AG$9,Xero!$A:$A,Heron!$A$4,Xero!$E:$E,Heron!$A24)-SUMIFS(Xero!$F:$F,Xero!$B:$B,Heron!AG$9,Xero!$A:$A,Heron!$A$5,Xero!$E:$E,Heron!$A24)+SUMIFS(Sales!$K:$K,Sales!$E:$E,FALSE,Sales!$A:$A,Heron!$B$4,Sales!$H:$H,"&lt;="&amp;Heron!AG$9,Sales!$H:$H,"&gt;"&amp;Heron!AF$9,Sales!$F:$F,1)</f>
        <v/>
      </c>
      <c r="AH24" s="117">
        <f>-SUMIFS(Xero!$F:$F,Xero!$B:$B,Heron!AH$9,Xero!$A:$A,Heron!$A$4,Xero!$E:$E,Heron!$A24)-SUMIFS(Xero!$F:$F,Xero!$B:$B,Heron!AH$9,Xero!$A:$A,Heron!$A$5,Xero!$E:$E,Heron!$A24)+SUMIFS(Sales!$K:$K,Sales!$E:$E,FALSE,Sales!$A:$A,Heron!$B$4,Sales!$H:$H,"&lt;="&amp;Heron!AH$9,Sales!$H:$H,"&gt;"&amp;Heron!AG$9,Sales!$F:$F,1)</f>
        <v/>
      </c>
      <c r="AI24" s="117">
        <f>-SUMIFS(Xero!$F:$F,Xero!$B:$B,Heron!AI$9,Xero!$A:$A,Heron!$A$4,Xero!$E:$E,Heron!$A24)-SUMIFS(Xero!$F:$F,Xero!$B:$B,Heron!AI$9,Xero!$A:$A,Heron!$A$5,Xero!$E:$E,Heron!$A24)+SUMIFS(Sales!$K:$K,Sales!$E:$E,FALSE,Sales!$A:$A,Heron!$B$4,Sales!$H:$H,"&lt;="&amp;Heron!AI$9,Sales!$H:$H,"&gt;"&amp;Heron!AH$9,Sales!$F:$F,1)</f>
        <v/>
      </c>
      <c r="AJ24" s="117">
        <f>-SUMIFS(Xero!$F:$F,Xero!$B:$B,Heron!AJ$9,Xero!$A:$A,Heron!$A$4,Xero!$E:$E,Heron!$A24)-SUMIFS(Xero!$F:$F,Xero!$B:$B,Heron!AJ$9,Xero!$A:$A,Heron!$A$5,Xero!$E:$E,Heron!$A24)+SUMIFS(Sales!$K:$K,Sales!$E:$E,FALSE,Sales!$A:$A,Heron!$B$4,Sales!$H:$H,"&lt;="&amp;Heron!AJ$9,Sales!$H:$H,"&gt;"&amp;Heron!AI$9,Sales!$F:$F,1)</f>
        <v/>
      </c>
      <c r="AK24" s="117">
        <f>-SUMIFS(Xero!$F:$F,Xero!$B:$B,Heron!AK$9,Xero!$A:$A,Heron!$A$4,Xero!$E:$E,Heron!$A24)-SUMIFS(Xero!$F:$F,Xero!$B:$B,Heron!AK$9,Xero!$A:$A,Heron!$A$5,Xero!$E:$E,Heron!$A24)+SUMIFS(Sales!$K:$K,Sales!$E:$E,FALSE,Sales!$A:$A,Heron!$B$4,Sales!$H:$H,"&lt;="&amp;Heron!AK$9,Sales!$H:$H,"&gt;"&amp;Heron!AJ$9,Sales!$F:$F,1)</f>
        <v/>
      </c>
      <c r="AL24" s="117">
        <f>-SUMIFS(Xero!$F:$F,Xero!$B:$B,Heron!AL$9,Xero!$A:$A,Heron!$A$4,Xero!$E:$E,Heron!$A24)-SUMIFS(Xero!$F:$F,Xero!$B:$B,Heron!AL$9,Xero!$A:$A,Heron!$A$5,Xero!$E:$E,Heron!$A24)+SUMIFS(Sales!$K:$K,Sales!$E:$E,FALSE,Sales!$A:$A,Heron!$B$4,Sales!$H:$H,"&lt;="&amp;Heron!AL$9,Sales!$H:$H,"&gt;"&amp;Heron!AK$9,Sales!$F:$F,1)</f>
        <v/>
      </c>
      <c r="AM24" s="117">
        <f>-SUMIFS(Xero!$F:$F,Xero!$B:$B,Heron!AM$9,Xero!$A:$A,Heron!$A$4,Xero!$E:$E,Heron!$A24)-SUMIFS(Xero!$F:$F,Xero!$B:$B,Heron!AM$9,Xero!$A:$A,Heron!$A$5,Xero!$E:$E,Heron!$A24)+SUMIFS(Sales!$K:$K,Sales!$E:$E,FALSE,Sales!$A:$A,Heron!$B$4,Sales!$H:$H,"&lt;="&amp;Heron!AM$9,Sales!$H:$H,"&gt;"&amp;Heron!AL$9,Sales!$F:$F,1)</f>
        <v/>
      </c>
      <c r="AN24" s="117">
        <f>-SUMIFS(Xero!$F:$F,Xero!$B:$B,Heron!AN$9,Xero!$A:$A,Heron!$A$4,Xero!$E:$E,Heron!$A24)-SUMIFS(Xero!$F:$F,Xero!$B:$B,Heron!AN$9,Xero!$A:$A,Heron!$A$5,Xero!$E:$E,Heron!$A24)+SUMIFS(Sales!$K:$K,Sales!$E:$E,FALSE,Sales!$A:$A,Heron!$B$4,Sales!$H:$H,"&lt;="&amp;Heron!AN$9,Sales!$H:$H,"&gt;"&amp;Heron!AM$9,Sales!$F:$F,1)</f>
        <v/>
      </c>
      <c r="AO24" s="117">
        <f>-SUMIFS(Xero!$F:$F,Xero!$B:$B,Heron!AO$9,Xero!$A:$A,Heron!$A$4,Xero!$E:$E,Heron!$A24)-SUMIFS(Xero!$F:$F,Xero!$B:$B,Heron!AO$9,Xero!$A:$A,Heron!$A$5,Xero!$E:$E,Heron!$A24)+SUMIFS(Sales!$K:$K,Sales!$E:$E,FALSE,Sales!$A:$A,Heron!$B$4,Sales!$H:$H,"&lt;="&amp;Heron!AO$9,Sales!$H:$H,"&gt;"&amp;Heron!AN$9,Sales!$F:$F,1)</f>
        <v/>
      </c>
      <c r="AP24" s="117">
        <f>-SUMIFS(Xero!$F:$F,Xero!$B:$B,Heron!AP$9,Xero!$A:$A,Heron!$A$4,Xero!$E:$E,Heron!$A24)-SUMIFS(Xero!$F:$F,Xero!$B:$B,Heron!AP$9,Xero!$A:$A,Heron!$A$5,Xero!$E:$E,Heron!$A24)+SUMIFS(Sales!$K:$K,Sales!$E:$E,FALSE,Sales!$A:$A,Heron!$B$4,Sales!$H:$H,"&lt;="&amp;Heron!AP$9,Sales!$H:$H,"&gt;"&amp;Heron!AO$9,Sales!$F:$F,1)</f>
        <v/>
      </c>
      <c r="AQ24" s="117">
        <f>-SUMIFS(Xero!$F:$F,Xero!$B:$B,Heron!AQ$9,Xero!$A:$A,Heron!$A$4,Xero!$E:$E,Heron!$A24)-SUMIFS(Xero!$F:$F,Xero!$B:$B,Heron!AQ$9,Xero!$A:$A,Heron!$A$5,Xero!$E:$E,Heron!$A24)+SUMIFS(Sales!$K:$K,Sales!$E:$E,FALSE,Sales!$A:$A,Heron!$B$4,Sales!$H:$H,"&lt;="&amp;Heron!AQ$9,Sales!$H:$H,"&gt;"&amp;Heron!AP$9,Sales!$F:$F,1)</f>
        <v/>
      </c>
      <c r="AR24" s="117">
        <f>-SUMIFS(Xero!$F:$F,Xero!$B:$B,Heron!AR$9,Xero!$A:$A,Heron!$A$4,Xero!$E:$E,Heron!$A24)-SUMIFS(Xero!$F:$F,Xero!$B:$B,Heron!AR$9,Xero!$A:$A,Heron!$A$5,Xero!$E:$E,Heron!$A24)+SUMIFS(Sales!$K:$K,Sales!$E:$E,FALSE,Sales!$A:$A,Heron!$B$4,Sales!$H:$H,"&lt;="&amp;Heron!AR$9,Sales!$H:$H,"&gt;"&amp;Heron!AQ$9,Sales!$F:$F,1)</f>
        <v/>
      </c>
      <c r="AS24" s="117">
        <f>-SUMIFS(Xero!$F:$F,Xero!$B:$B,Heron!AS$9,Xero!$A:$A,Heron!$A$4,Xero!$E:$E,Heron!$A24)-SUMIFS(Xero!$F:$F,Xero!$B:$B,Heron!AS$9,Xero!$A:$A,Heron!$A$5,Xero!$E:$E,Heron!$A24)+SUMIFS(Sales!$K:$K,Sales!$E:$E,FALSE,Sales!$A:$A,Heron!$B$4,Sales!$H:$H,"&lt;="&amp;Heron!AS$9,Sales!$H:$H,"&gt;"&amp;Heron!AR$9,Sales!$F:$F,1)</f>
        <v/>
      </c>
      <c r="AT24" s="117">
        <f>-SUMIFS(Xero!$F:$F,Xero!$B:$B,Heron!AT$9,Xero!$A:$A,Heron!$A$4,Xero!$E:$E,Heron!$A24)-SUMIFS(Xero!$F:$F,Xero!$B:$B,Heron!AT$9,Xero!$A:$A,Heron!$A$5,Xero!$E:$E,Heron!$A24)+SUMIFS(Sales!$K:$K,Sales!$E:$E,FALSE,Sales!$A:$A,Heron!$B$4,Sales!$H:$H,"&lt;="&amp;Heron!AT$9,Sales!$H:$H,"&gt;"&amp;Heron!AS$9,Sales!$F:$F,1)</f>
        <v/>
      </c>
      <c r="AU24" s="117">
        <f>-SUMIFS(Xero!$F:$F,Xero!$B:$B,Heron!AU$9,Xero!$A:$A,Heron!$A$4,Xero!$E:$E,Heron!$A24)-SUMIFS(Xero!$F:$F,Xero!$B:$B,Heron!AU$9,Xero!$A:$A,Heron!$A$5,Xero!$E:$E,Heron!$A24)+SUMIFS(Sales!$K:$K,Sales!$E:$E,FALSE,Sales!$A:$A,Heron!$B$4,Sales!$H:$H,"&lt;="&amp;Heron!AU$9,Sales!$H:$H,"&gt;"&amp;Heron!AT$9,Sales!$F:$F,1)</f>
        <v/>
      </c>
      <c r="AV24" s="117">
        <f>-SUMIFS(Xero!$F:$F,Xero!$B:$B,Heron!AV$9,Xero!$A:$A,Heron!$A$4,Xero!$E:$E,Heron!$A24)-SUMIFS(Xero!$F:$F,Xero!$B:$B,Heron!AV$9,Xero!$A:$A,Heron!$A$5,Xero!$E:$E,Heron!$A24)+SUMIFS(Sales!$K:$K,Sales!$E:$E,FALSE,Sales!$A:$A,Heron!$B$4,Sales!$H:$H,"&lt;="&amp;Heron!AV$9,Sales!$H:$H,"&gt;"&amp;Heron!AU$9,Sales!$F:$F,1)</f>
        <v/>
      </c>
      <c r="AW24" s="117">
        <f>-SUMIFS(Xero!$F:$F,Xero!$B:$B,Heron!AW$9,Xero!$A:$A,Heron!$A$4,Xero!$E:$E,Heron!$A24)-SUMIFS(Xero!$F:$F,Xero!$B:$B,Heron!AW$9,Xero!$A:$A,Heron!$A$5,Xero!$E:$E,Heron!$A24)+SUMIFS(Sales!$K:$K,Sales!$E:$E,FALSE,Sales!$A:$A,Heron!$B$4,Sales!$H:$H,"&lt;="&amp;Heron!AW$9,Sales!$H:$H,"&gt;"&amp;Heron!AV$9,Sales!$F:$F,1)</f>
        <v/>
      </c>
      <c r="AX24" s="117">
        <f>-SUMIFS(Xero!$F:$F,Xero!$B:$B,Heron!AX$9,Xero!$A:$A,Heron!$A$4,Xero!$E:$E,Heron!$A24)-SUMIFS(Xero!$F:$F,Xero!$B:$B,Heron!AX$9,Xero!$A:$A,Heron!$A$5,Xero!$E:$E,Heron!$A24)+SUMIFS(Sales!$K:$K,Sales!$E:$E,FALSE,Sales!$A:$A,Heron!$B$4,Sales!$H:$H,"&lt;="&amp;Heron!AX$9,Sales!$H:$H,"&gt;"&amp;Heron!AW$9,Sales!$F:$F,1)</f>
        <v/>
      </c>
      <c r="AY24" s="117">
        <f>-SUMIFS(Xero!$F:$F,Xero!$B:$B,Heron!AY$9,Xero!$A:$A,Heron!$A$4,Xero!$E:$E,Heron!$A24)-SUMIFS(Xero!$F:$F,Xero!$B:$B,Heron!AY$9,Xero!$A:$A,Heron!$A$5,Xero!$E:$E,Heron!$A24)+SUMIFS(Sales!$K:$K,Sales!$E:$E,FALSE,Sales!$A:$A,Heron!$B$4,Sales!$H:$H,"&lt;="&amp;Heron!AY$9,Sales!$H:$H,"&gt;"&amp;Heron!AX$9,Sales!$F:$F,1)</f>
        <v/>
      </c>
      <c r="AZ24" s="117">
        <f>-SUMIFS(Xero!$F:$F,Xero!$B:$B,Heron!AZ$9,Xero!$A:$A,Heron!$A$4,Xero!$E:$E,Heron!$A24)-SUMIFS(Xero!$F:$F,Xero!$B:$B,Heron!AZ$9,Xero!$A:$A,Heron!$A$5,Xero!$E:$E,Heron!$A24)+SUMIFS(Sales!$K:$K,Sales!$E:$E,FALSE,Sales!$A:$A,Heron!$B$4,Sales!$H:$H,"&lt;="&amp;Heron!AZ$9,Sales!$H:$H,"&gt;"&amp;Heron!AY$9,Sales!$F:$F,1)</f>
        <v/>
      </c>
      <c r="BA24" s="117">
        <f>-SUMIFS(Xero!$F:$F,Xero!$B:$B,Heron!BA$9,Xero!$A:$A,Heron!$A$4,Xero!$E:$E,Heron!$A24)-SUMIFS(Xero!$F:$F,Xero!$B:$B,Heron!BA$9,Xero!$A:$A,Heron!$A$5,Xero!$E:$E,Heron!$A24)+SUMIFS(Sales!$K:$K,Sales!$E:$E,FALSE,Sales!$A:$A,Heron!$B$4,Sales!$H:$H,"&lt;="&amp;Heron!BA$9,Sales!$H:$H,"&gt;"&amp;Heron!AZ$9,Sales!$F:$F,1)</f>
        <v/>
      </c>
      <c r="BB24" s="117">
        <f>-SUMIFS(Xero!$F:$F,Xero!$B:$B,Heron!BB$9,Xero!$A:$A,Heron!$A$4,Xero!$E:$E,Heron!$A24)-SUMIFS(Xero!$F:$F,Xero!$B:$B,Heron!BB$9,Xero!$A:$A,Heron!$A$5,Xero!$E:$E,Heron!$A24)+SUMIFS(Sales!$K:$K,Sales!$E:$E,FALSE,Sales!$A:$A,Heron!$B$4,Sales!$H:$H,"&lt;="&amp;Heron!BB$9,Sales!$H:$H,"&gt;"&amp;Heron!BA$9,Sales!$F:$F,1)</f>
        <v/>
      </c>
      <c r="BC24" s="117">
        <f>-SUMIFS(Xero!$F:$F,Xero!$B:$B,Heron!BC$9,Xero!$A:$A,Heron!$A$4,Xero!$E:$E,Heron!$A24)-SUMIFS(Xero!$F:$F,Xero!$B:$B,Heron!BC$9,Xero!$A:$A,Heron!$A$5,Xero!$E:$E,Heron!$A24)+SUMIFS(Sales!$K:$K,Sales!$E:$E,FALSE,Sales!$A:$A,Heron!$B$4,Sales!$H:$H,"&lt;="&amp;Heron!BC$9,Sales!$H:$H,"&gt;"&amp;Heron!BB$9,Sales!$F:$F,1)</f>
        <v/>
      </c>
      <c r="BD24" s="117">
        <f>-SUMIFS(Xero!$F:$F,Xero!$B:$B,Heron!BD$9,Xero!$A:$A,Heron!$A$4,Xero!$E:$E,Heron!$A24)-SUMIFS(Xero!$F:$F,Xero!$B:$B,Heron!BD$9,Xero!$A:$A,Heron!$A$5,Xero!$E:$E,Heron!$A24)+SUMIFS(Sales!$K:$K,Sales!$E:$E,FALSE,Sales!$A:$A,Heron!$B$4,Sales!$H:$H,"&lt;="&amp;Heron!BD$9,Sales!$H:$H,"&gt;"&amp;Heron!BC$9,Sales!$F:$F,1)</f>
        <v/>
      </c>
      <c r="BE24" s="117">
        <f>-SUMIFS(Xero!$F:$F,Xero!$B:$B,Heron!BE$9,Xero!$A:$A,Heron!$A$4,Xero!$E:$E,Heron!$A24)-SUMIFS(Xero!$F:$F,Xero!$B:$B,Heron!BE$9,Xero!$A:$A,Heron!$A$5,Xero!$E:$E,Heron!$A24)+SUMIFS(Sales!$K:$K,Sales!$E:$E,FALSE,Sales!$A:$A,Heron!$B$4,Sales!$H:$H,"&lt;="&amp;Heron!BE$9,Sales!$H:$H,"&gt;"&amp;Heron!BD$9,Sales!$F:$F,1)</f>
        <v/>
      </c>
      <c r="BF24" s="117">
        <f>-SUMIFS(Xero!$F:$F,Xero!$B:$B,Heron!BF$9,Xero!$A:$A,Heron!$A$4,Xero!$E:$E,Heron!$A24)-SUMIFS(Xero!$F:$F,Xero!$B:$B,Heron!BF$9,Xero!$A:$A,Heron!$A$5,Xero!$E:$E,Heron!$A24)+SUMIFS(Sales!$K:$K,Sales!$E:$E,FALSE,Sales!$A:$A,Heron!$B$4,Sales!$H:$H,"&lt;="&amp;Heron!BF$9,Sales!$H:$H,"&gt;"&amp;Heron!BE$9,Sales!$F:$F,1)</f>
        <v/>
      </c>
      <c r="BG24" s="117">
        <f>-SUMIFS(Xero!$F:$F,Xero!$B:$B,Heron!BG$9,Xero!$A:$A,Heron!$A$4,Xero!$E:$E,Heron!$A24)-SUMIFS(Xero!$F:$F,Xero!$B:$B,Heron!BG$9,Xero!$A:$A,Heron!$A$5,Xero!$E:$E,Heron!$A24)+SUMIFS(Sales!$K:$K,Sales!$E:$E,FALSE,Sales!$A:$A,Heron!$B$4,Sales!$H:$H,"&lt;="&amp;Heron!BG$9,Sales!$H:$H,"&gt;"&amp;Heron!BF$9,Sales!$F:$F,1)</f>
        <v/>
      </c>
      <c r="BH24" s="117">
        <f>-SUMIFS(Xero!$F:$F,Xero!$B:$B,Heron!BH$9,Xero!$A:$A,Heron!$A$4,Xero!$E:$E,Heron!$A24)-SUMIFS(Xero!$F:$F,Xero!$B:$B,Heron!BH$9,Xero!$A:$A,Heron!$A$5,Xero!$E:$E,Heron!$A24)+SUMIFS(Sales!$K:$K,Sales!$E:$E,FALSE,Sales!$A:$A,Heron!$B$4,Sales!$H:$H,"&lt;="&amp;Heron!BH$9,Sales!$H:$H,"&gt;"&amp;Heron!BG$9,Sales!$F:$F,1)</f>
        <v/>
      </c>
      <c r="BI24" s="117">
        <f>-SUMIFS(Xero!$F:$F,Xero!$B:$B,Heron!BI$9,Xero!$A:$A,Heron!$A$4,Xero!$E:$E,Heron!$A24)-SUMIFS(Xero!$F:$F,Xero!$B:$B,Heron!BI$9,Xero!$A:$A,Heron!$A$5,Xero!$E:$E,Heron!$A24)+SUMIFS(Sales!$K:$K,Sales!$E:$E,FALSE,Sales!$A:$A,Heron!$B$4,Sales!$H:$H,"&lt;="&amp;Heron!BI$9,Sales!$H:$H,"&gt;"&amp;Heron!BH$9,Sales!$F:$F,1)</f>
        <v/>
      </c>
      <c r="BJ24" s="117">
        <f>-SUMIFS(Xero!$F:$F,Xero!$B:$B,Heron!BJ$9,Xero!$A:$A,Heron!$A$4,Xero!$E:$E,Heron!$A24)-SUMIFS(Xero!$F:$F,Xero!$B:$B,Heron!BJ$9,Xero!$A:$A,Heron!$A$5,Xero!$E:$E,Heron!$A24)+SUMIFS(Sales!$K:$K,Sales!$E:$E,FALSE,Sales!$A:$A,Heron!$B$4,Sales!$H:$H,"&lt;="&amp;Heron!BJ$9,Sales!$H:$H,"&gt;"&amp;Heron!BI$9,Sales!$F:$F,1)</f>
        <v/>
      </c>
      <c r="BK24" s="117">
        <f>sum(D24:BJ24)</f>
        <v/>
      </c>
    </row>
    <row r="25">
      <c r="A25" s="116" t="inlineStr">
        <is>
          <t>Sales - Heron Fields occupational rent</t>
        </is>
      </c>
      <c r="D25" s="117">
        <f>-SUMIFS(Xero!$F:$F,Xero!$B:$B,Heron!D$9,Xero!$A:$A,Heron!$A$4,Xero!$E:$E,Heron!$A25)-SUMIFS(Xero!$F:$F,Xero!$B:$B,Heron!D$9,Xero!$A:$A,Heron!$A$5,Xero!$E:$E,Heron!$A25)</f>
        <v/>
      </c>
      <c r="E25" s="117">
        <f>-SUMIFS(Xero!$F:$F,Xero!$B:$B,Heron!E$9,Xero!$A:$A,Heron!$A$4,Xero!$E:$E,Heron!$A25)-SUMIFS(Xero!$F:$F,Xero!$B:$B,Heron!E$9,Xero!$A:$A,Heron!$A$5,Xero!$E:$E,Heron!$A25)</f>
        <v/>
      </c>
      <c r="F25" s="117">
        <f>-SUMIFS(Xero!$F:$F,Xero!$B:$B,Heron!F$9,Xero!$A:$A,Heron!$A$4,Xero!$E:$E,Heron!$A25)-SUMIFS(Xero!$F:$F,Xero!$B:$B,Heron!F$9,Xero!$A:$A,Heron!$A$5,Xero!$E:$E,Heron!$A25)</f>
        <v/>
      </c>
      <c r="G25" s="117">
        <f>-SUMIFS(Xero!$F:$F,Xero!$B:$B,Heron!G$9,Xero!$A:$A,Heron!$A$4,Xero!$E:$E,Heron!$A25)-SUMIFS(Xero!$F:$F,Xero!$B:$B,Heron!G$9,Xero!$A:$A,Heron!$A$5,Xero!$E:$E,Heron!$A25)</f>
        <v/>
      </c>
      <c r="H25" s="117">
        <f>-SUMIFS(Xero!$F:$F,Xero!$B:$B,Heron!H$9,Xero!$A:$A,Heron!$A$4,Xero!$E:$E,Heron!$A25)-SUMIFS(Xero!$F:$F,Xero!$B:$B,Heron!H$9,Xero!$A:$A,Heron!$A$5,Xero!$E:$E,Heron!$A25)</f>
        <v/>
      </c>
      <c r="I25" s="117">
        <f>-SUMIFS(Xero!$F:$F,Xero!$B:$B,Heron!I$9,Xero!$A:$A,Heron!$A$4,Xero!$E:$E,Heron!$A25)-SUMIFS(Xero!$F:$F,Xero!$B:$B,Heron!I$9,Xero!$A:$A,Heron!$A$5,Xero!$E:$E,Heron!$A25)</f>
        <v/>
      </c>
      <c r="J25" s="117">
        <f>-SUMIFS(Xero!$F:$F,Xero!$B:$B,Heron!J$9,Xero!$A:$A,Heron!$A$4,Xero!$E:$E,Heron!$A25)-SUMIFS(Xero!$F:$F,Xero!$B:$B,Heron!J$9,Xero!$A:$A,Heron!$A$5,Xero!$E:$E,Heron!$A25)</f>
        <v/>
      </c>
      <c r="K25" s="117">
        <f>-SUMIFS(Xero!$F:$F,Xero!$B:$B,Heron!K$9,Xero!$A:$A,Heron!$A$4,Xero!$E:$E,Heron!$A25)-SUMIFS(Xero!$F:$F,Xero!$B:$B,Heron!K$9,Xero!$A:$A,Heron!$A$5,Xero!$E:$E,Heron!$A25)</f>
        <v/>
      </c>
      <c r="L25" s="117">
        <f>-SUMIFS(Xero!$F:$F,Xero!$B:$B,Heron!L$9,Xero!$A:$A,Heron!$A$4,Xero!$E:$E,Heron!$A25)-SUMIFS(Xero!$F:$F,Xero!$B:$B,Heron!L$9,Xero!$A:$A,Heron!$A$5,Xero!$E:$E,Heron!$A25)</f>
        <v/>
      </c>
      <c r="M25" s="117">
        <f>-SUMIFS(Xero!$F:$F,Xero!$B:$B,Heron!M$9,Xero!$A:$A,Heron!$A$4,Xero!$E:$E,Heron!$A25)-SUMIFS(Xero!$F:$F,Xero!$B:$B,Heron!M$9,Xero!$A:$A,Heron!$A$5,Xero!$E:$E,Heron!$A25)</f>
        <v/>
      </c>
      <c r="N25" s="117">
        <f>-SUMIFS(Xero!$F:$F,Xero!$B:$B,Heron!N$9,Xero!$A:$A,Heron!$A$4,Xero!$E:$E,Heron!$A25)-SUMIFS(Xero!$F:$F,Xero!$B:$B,Heron!N$9,Xero!$A:$A,Heron!$A$5,Xero!$E:$E,Heron!$A25)</f>
        <v/>
      </c>
      <c r="O25" s="117">
        <f>-SUMIFS(Xero!$F:$F,Xero!$B:$B,Heron!O$9,Xero!$A:$A,Heron!$A$4,Xero!$E:$E,Heron!$A25)-SUMIFS(Xero!$F:$F,Xero!$B:$B,Heron!O$9,Xero!$A:$A,Heron!$A$5,Xero!$E:$E,Heron!$A25)</f>
        <v/>
      </c>
      <c r="P25" s="117">
        <f>-SUMIFS(Xero!$F:$F,Xero!$B:$B,Heron!P$9,Xero!$A:$A,Heron!$A$4,Xero!$E:$E,Heron!$A25)-SUMIFS(Xero!$F:$F,Xero!$B:$B,Heron!P$9,Xero!$A:$A,Heron!$A$5,Xero!$E:$E,Heron!$A25)</f>
        <v/>
      </c>
      <c r="Q25" s="117">
        <f>-SUMIFS(Xero!$F:$F,Xero!$B:$B,Heron!Q$9,Xero!$A:$A,Heron!$A$4,Xero!$E:$E,Heron!$A25)-SUMIFS(Xero!$F:$F,Xero!$B:$B,Heron!Q$9,Xero!$A:$A,Heron!$A$5,Xero!$E:$E,Heron!$A25)</f>
        <v/>
      </c>
      <c r="R25" s="117">
        <f>-SUMIFS(Xero!$F:$F,Xero!$B:$B,Heron!R$9,Xero!$A:$A,Heron!$A$4,Xero!$E:$E,Heron!$A25)-SUMIFS(Xero!$F:$F,Xero!$B:$B,Heron!R$9,Xero!$A:$A,Heron!$A$5,Xero!$E:$E,Heron!$A25)</f>
        <v/>
      </c>
      <c r="S25" s="117">
        <f>-SUMIFS(Xero!$F:$F,Xero!$B:$B,Heron!S$9,Xero!$A:$A,Heron!$A$4,Xero!$E:$E,Heron!$A25)-SUMIFS(Xero!$F:$F,Xero!$B:$B,Heron!S$9,Xero!$A:$A,Heron!$A$5,Xero!$E:$E,Heron!$A25)</f>
        <v/>
      </c>
      <c r="T25" s="117">
        <f>-SUMIFS(Xero!$F:$F,Xero!$B:$B,Heron!T$9,Xero!$A:$A,Heron!$A$4,Xero!$E:$E,Heron!$A25)-SUMIFS(Xero!$F:$F,Xero!$B:$B,Heron!T$9,Xero!$A:$A,Heron!$A$5,Xero!$E:$E,Heron!$A25)</f>
        <v/>
      </c>
      <c r="U25" s="117">
        <f>-SUMIFS(Xero!$F:$F,Xero!$B:$B,Heron!U$9,Xero!$A:$A,Heron!$A$4,Xero!$E:$E,Heron!$A25)-SUMIFS(Xero!$F:$F,Xero!$B:$B,Heron!U$9,Xero!$A:$A,Heron!$A$5,Xero!$E:$E,Heron!$A25)</f>
        <v/>
      </c>
      <c r="V25" s="117">
        <f>-SUMIFS(Xero!$F:$F,Xero!$B:$B,Heron!V$9,Xero!$A:$A,Heron!$A$4,Xero!$E:$E,Heron!$A25)-SUMIFS(Xero!$F:$F,Xero!$B:$B,Heron!V$9,Xero!$A:$A,Heron!$A$5,Xero!$E:$E,Heron!$A25)</f>
        <v/>
      </c>
      <c r="W25" s="117">
        <f>-SUMIFS(Xero!$F:$F,Xero!$B:$B,Heron!W$9,Xero!$A:$A,Heron!$A$4,Xero!$E:$E,Heron!$A25)-SUMIFS(Xero!$F:$F,Xero!$B:$B,Heron!W$9,Xero!$A:$A,Heron!$A$5,Xero!$E:$E,Heron!$A25)</f>
        <v/>
      </c>
      <c r="X25" s="117">
        <f>-SUMIFS(Xero!$F:$F,Xero!$B:$B,Heron!X$9,Xero!$A:$A,Heron!$A$4,Xero!$E:$E,Heron!$A25)-SUMIFS(Xero!$F:$F,Xero!$B:$B,Heron!X$9,Xero!$A:$A,Heron!$A$5,Xero!$E:$E,Heron!$A25)</f>
        <v/>
      </c>
      <c r="Y25" s="117">
        <f>-SUMIFS(Xero!$F:$F,Xero!$B:$B,Heron!Y$9,Xero!$A:$A,Heron!$A$4,Xero!$E:$E,Heron!$A25)-SUMIFS(Xero!$F:$F,Xero!$B:$B,Heron!Y$9,Xero!$A:$A,Heron!$A$5,Xero!$E:$E,Heron!$A25)</f>
        <v/>
      </c>
      <c r="Z25" s="117">
        <f>-SUMIFS(Xero!$F:$F,Xero!$B:$B,Heron!Z$9,Xero!$A:$A,Heron!$A$4,Xero!$E:$E,Heron!$A25)-SUMIFS(Xero!$F:$F,Xero!$B:$B,Heron!Z$9,Xero!$A:$A,Heron!$A$5,Xero!$E:$E,Heron!$A25)</f>
        <v/>
      </c>
      <c r="AA25" s="117">
        <f>-SUMIFS(Xero!$F:$F,Xero!$B:$B,Heron!AA$9,Xero!$A:$A,Heron!$A$4,Xero!$E:$E,Heron!$A25)-SUMIFS(Xero!$F:$F,Xero!$B:$B,Heron!AA$9,Xero!$A:$A,Heron!$A$5,Xero!$E:$E,Heron!$A25)</f>
        <v/>
      </c>
      <c r="AB25" s="117">
        <f>-SUMIFS(Xero!$F:$F,Xero!$B:$B,Heron!AB$9,Xero!$A:$A,Heron!$A$4,Xero!$E:$E,Heron!$A25)-SUMIFS(Xero!$F:$F,Xero!$B:$B,Heron!AB$9,Xero!$A:$A,Heron!$A$5,Xero!$E:$E,Heron!$A25)</f>
        <v/>
      </c>
      <c r="AC25" s="117">
        <f>-SUMIFS(Xero!$F:$F,Xero!$B:$B,Heron!AC$9,Xero!$A:$A,Heron!$A$4,Xero!$E:$E,Heron!$A25)-SUMIFS(Xero!$F:$F,Xero!$B:$B,Heron!AC$9,Xero!$A:$A,Heron!$A$5,Xero!$E:$E,Heron!$A25)</f>
        <v/>
      </c>
      <c r="AD25" s="117">
        <f>-SUMIFS(Xero!$F:$F,Xero!$B:$B,Heron!AD$9,Xero!$A:$A,Heron!$A$4,Xero!$E:$E,Heron!$A25)-SUMIFS(Xero!$F:$F,Xero!$B:$B,Heron!AD$9,Xero!$A:$A,Heron!$A$5,Xero!$E:$E,Heron!$A25)</f>
        <v/>
      </c>
      <c r="AE25" s="117">
        <f>-SUMIFS(Xero!$F:$F,Xero!$B:$B,Heron!AE$9,Xero!$A:$A,Heron!$A$4,Xero!$E:$E,Heron!$A25)-SUMIFS(Xero!$F:$F,Xero!$B:$B,Heron!AE$9,Xero!$A:$A,Heron!$A$5,Xero!$E:$E,Heron!$A25)</f>
        <v/>
      </c>
      <c r="AF25" s="117">
        <f>-SUMIFS(Xero!$F:$F,Xero!$B:$B,Heron!AF$9,Xero!$A:$A,Heron!$A$4,Xero!$E:$E,Heron!$A25)-SUMIFS(Xero!$F:$F,Xero!$B:$B,Heron!AF$9,Xero!$A:$A,Heron!$A$5,Xero!$E:$E,Heron!$A25)</f>
        <v/>
      </c>
      <c r="AG25" s="117">
        <f>-SUMIFS(Xero!$F:$F,Xero!$B:$B,Heron!AG$9,Xero!$A:$A,Heron!$A$4,Xero!$E:$E,Heron!$A25)-SUMIFS(Xero!$F:$F,Xero!$B:$B,Heron!AG$9,Xero!$A:$A,Heron!$A$5,Xero!$E:$E,Heron!$A25)</f>
        <v/>
      </c>
      <c r="AH25" s="117">
        <f>-SUMIFS(Xero!$F:$F,Xero!$B:$B,Heron!AH$9,Xero!$A:$A,Heron!$A$4,Xero!$E:$E,Heron!$A25)-SUMIFS(Xero!$F:$F,Xero!$B:$B,Heron!AH$9,Xero!$A:$A,Heron!$A$5,Xero!$E:$E,Heron!$A25)</f>
        <v/>
      </c>
      <c r="AI25" s="117">
        <f>-SUMIFS(Xero!$F:$F,Xero!$B:$B,Heron!AI$9,Xero!$A:$A,Heron!$A$4,Xero!$E:$E,Heron!$A25)-SUMIFS(Xero!$F:$F,Xero!$B:$B,Heron!AI$9,Xero!$A:$A,Heron!$A$5,Xero!$E:$E,Heron!$A25)</f>
        <v/>
      </c>
      <c r="AJ25" s="117">
        <f>-SUMIFS(Xero!$F:$F,Xero!$B:$B,Heron!AJ$9,Xero!$A:$A,Heron!$A$4,Xero!$E:$E,Heron!$A25)-SUMIFS(Xero!$F:$F,Xero!$B:$B,Heron!AJ$9,Xero!$A:$A,Heron!$A$5,Xero!$E:$E,Heron!$A25)</f>
        <v/>
      </c>
      <c r="AK25" s="117">
        <f>-SUMIFS(Xero!$F:$F,Xero!$B:$B,Heron!AK$9,Xero!$A:$A,Heron!$A$4,Xero!$E:$E,Heron!$A25)-SUMIFS(Xero!$F:$F,Xero!$B:$B,Heron!AK$9,Xero!$A:$A,Heron!$A$5,Xero!$E:$E,Heron!$A25)</f>
        <v/>
      </c>
      <c r="AL25" s="117">
        <f>-SUMIFS(Xero!$F:$F,Xero!$B:$B,Heron!AL$9,Xero!$A:$A,Heron!$A$4,Xero!$E:$E,Heron!$A25)-SUMIFS(Xero!$F:$F,Xero!$B:$B,Heron!AL$9,Xero!$A:$A,Heron!$A$5,Xero!$E:$E,Heron!$A25)</f>
        <v/>
      </c>
      <c r="AM25" s="117">
        <f>-SUMIFS(Xero!$F:$F,Xero!$B:$B,Heron!AM$9,Xero!$A:$A,Heron!$A$4,Xero!$E:$E,Heron!$A25)-SUMIFS(Xero!$F:$F,Xero!$B:$B,Heron!AM$9,Xero!$A:$A,Heron!$A$5,Xero!$E:$E,Heron!$A25)</f>
        <v/>
      </c>
      <c r="AN25" s="117">
        <f>-SUMIFS(Xero!$F:$F,Xero!$B:$B,Heron!AN$9,Xero!$A:$A,Heron!$A$4,Xero!$E:$E,Heron!$A25)-SUMIFS(Xero!$F:$F,Xero!$B:$B,Heron!AN$9,Xero!$A:$A,Heron!$A$5,Xero!$E:$E,Heron!$A25)</f>
        <v/>
      </c>
      <c r="AO25" s="117">
        <f>-SUMIFS(Xero!$F:$F,Xero!$B:$B,Heron!AO$9,Xero!$A:$A,Heron!$A$4,Xero!$E:$E,Heron!$A25)-SUMIFS(Xero!$F:$F,Xero!$B:$B,Heron!AO$9,Xero!$A:$A,Heron!$A$5,Xero!$E:$E,Heron!$A25)</f>
        <v/>
      </c>
      <c r="AP25" s="117">
        <f>-SUMIFS(Xero!$F:$F,Xero!$B:$B,Heron!AP$9,Xero!$A:$A,Heron!$A$4,Xero!$E:$E,Heron!$A25)-SUMIFS(Xero!$F:$F,Xero!$B:$B,Heron!AP$9,Xero!$A:$A,Heron!$A$5,Xero!$E:$E,Heron!$A25)</f>
        <v/>
      </c>
      <c r="AQ25" s="117">
        <f>-SUMIFS(Xero!$F:$F,Xero!$B:$B,Heron!AQ$9,Xero!$A:$A,Heron!$A$4,Xero!$E:$E,Heron!$A25)-SUMIFS(Xero!$F:$F,Xero!$B:$B,Heron!AQ$9,Xero!$A:$A,Heron!$A$5,Xero!$E:$E,Heron!$A25)</f>
        <v/>
      </c>
      <c r="AR25" s="117">
        <f>-SUMIFS(Xero!$F:$F,Xero!$B:$B,Heron!AR$9,Xero!$A:$A,Heron!$A$4,Xero!$E:$E,Heron!$A25)-SUMIFS(Xero!$F:$F,Xero!$B:$B,Heron!AR$9,Xero!$A:$A,Heron!$A$5,Xero!$E:$E,Heron!$A25)</f>
        <v/>
      </c>
      <c r="AS25" s="117">
        <f>-SUMIFS(Xero!$F:$F,Xero!$B:$B,Heron!AS$9,Xero!$A:$A,Heron!$A$4,Xero!$E:$E,Heron!$A25)-SUMIFS(Xero!$F:$F,Xero!$B:$B,Heron!AS$9,Xero!$A:$A,Heron!$A$5,Xero!$E:$E,Heron!$A25)</f>
        <v/>
      </c>
      <c r="AT25" s="117">
        <f>-SUMIFS(Xero!$F:$F,Xero!$B:$B,Heron!AT$9,Xero!$A:$A,Heron!$A$4,Xero!$E:$E,Heron!$A25)-SUMIFS(Xero!$F:$F,Xero!$B:$B,Heron!AT$9,Xero!$A:$A,Heron!$A$5,Xero!$E:$E,Heron!$A25)</f>
        <v/>
      </c>
      <c r="AU25" s="117">
        <f>-SUMIFS(Xero!$F:$F,Xero!$B:$B,Heron!AU$9,Xero!$A:$A,Heron!$A$4,Xero!$E:$E,Heron!$A25)-SUMIFS(Xero!$F:$F,Xero!$B:$B,Heron!AU$9,Xero!$A:$A,Heron!$A$5,Xero!$E:$E,Heron!$A25)</f>
        <v/>
      </c>
      <c r="AV25" s="117">
        <f>-SUMIFS(Xero!$F:$F,Xero!$B:$B,Heron!AV$9,Xero!$A:$A,Heron!$A$4,Xero!$E:$E,Heron!$A25)-SUMIFS(Xero!$F:$F,Xero!$B:$B,Heron!AV$9,Xero!$A:$A,Heron!$A$5,Xero!$E:$E,Heron!$A25)</f>
        <v/>
      </c>
      <c r="AW25" s="117">
        <f>-SUMIFS(Xero!$F:$F,Xero!$B:$B,Heron!AW$9,Xero!$A:$A,Heron!$A$4,Xero!$E:$E,Heron!$A25)-SUMIFS(Xero!$F:$F,Xero!$B:$B,Heron!AW$9,Xero!$A:$A,Heron!$A$5,Xero!$E:$E,Heron!$A25)</f>
        <v/>
      </c>
      <c r="AX25" s="117">
        <f>-SUMIFS(Xero!$F:$F,Xero!$B:$B,Heron!AX$9,Xero!$A:$A,Heron!$A$4,Xero!$E:$E,Heron!$A25)-SUMIFS(Xero!$F:$F,Xero!$B:$B,Heron!AX$9,Xero!$A:$A,Heron!$A$5,Xero!$E:$E,Heron!$A25)</f>
        <v/>
      </c>
      <c r="AY25" s="117">
        <f>-SUMIFS(Xero!$F:$F,Xero!$B:$B,Heron!AY$9,Xero!$A:$A,Heron!$A$4,Xero!$E:$E,Heron!$A25)-SUMIFS(Xero!$F:$F,Xero!$B:$B,Heron!AY$9,Xero!$A:$A,Heron!$A$5,Xero!$E:$E,Heron!$A25)</f>
        <v/>
      </c>
      <c r="AZ25" s="117">
        <f>-SUMIFS(Xero!$F:$F,Xero!$B:$B,Heron!AZ$9,Xero!$A:$A,Heron!$A$4,Xero!$E:$E,Heron!$A25)-SUMIFS(Xero!$F:$F,Xero!$B:$B,Heron!AZ$9,Xero!$A:$A,Heron!$A$5,Xero!$E:$E,Heron!$A25)</f>
        <v/>
      </c>
      <c r="BA25" s="117">
        <f>-SUMIFS(Xero!$F:$F,Xero!$B:$B,Heron!BA$9,Xero!$A:$A,Heron!$A$4,Xero!$E:$E,Heron!$A25)-SUMIFS(Xero!$F:$F,Xero!$B:$B,Heron!BA$9,Xero!$A:$A,Heron!$A$5,Xero!$E:$E,Heron!$A25)</f>
        <v/>
      </c>
      <c r="BB25" s="117">
        <f>-SUMIFS(Xero!$F:$F,Xero!$B:$B,Heron!BB$9,Xero!$A:$A,Heron!$A$4,Xero!$E:$E,Heron!$A25)-SUMIFS(Xero!$F:$F,Xero!$B:$B,Heron!BB$9,Xero!$A:$A,Heron!$A$5,Xero!$E:$E,Heron!$A25)</f>
        <v/>
      </c>
      <c r="BC25" s="117">
        <f>-SUMIFS(Xero!$F:$F,Xero!$B:$B,Heron!BC$9,Xero!$A:$A,Heron!$A$4,Xero!$E:$E,Heron!$A25)-SUMIFS(Xero!$F:$F,Xero!$B:$B,Heron!BC$9,Xero!$A:$A,Heron!$A$5,Xero!$E:$E,Heron!$A25)</f>
        <v/>
      </c>
      <c r="BD25" s="117">
        <f>-SUMIFS(Xero!$F:$F,Xero!$B:$B,Heron!BD$9,Xero!$A:$A,Heron!$A$4,Xero!$E:$E,Heron!$A25)-SUMIFS(Xero!$F:$F,Xero!$B:$B,Heron!BD$9,Xero!$A:$A,Heron!$A$5,Xero!$E:$E,Heron!$A25)</f>
        <v/>
      </c>
      <c r="BE25" s="117">
        <f>-SUMIFS(Xero!$F:$F,Xero!$B:$B,Heron!BE$9,Xero!$A:$A,Heron!$A$4,Xero!$E:$E,Heron!$A25)-SUMIFS(Xero!$F:$F,Xero!$B:$B,Heron!BE$9,Xero!$A:$A,Heron!$A$5,Xero!$E:$E,Heron!$A25)</f>
        <v/>
      </c>
      <c r="BF25" s="117">
        <f>-SUMIFS(Xero!$F:$F,Xero!$B:$B,Heron!BF$9,Xero!$A:$A,Heron!$A$4,Xero!$E:$E,Heron!$A25)-SUMIFS(Xero!$F:$F,Xero!$B:$B,Heron!BF$9,Xero!$A:$A,Heron!$A$5,Xero!$E:$E,Heron!$A25)</f>
        <v/>
      </c>
      <c r="BG25" s="117">
        <f>-SUMIFS(Xero!$F:$F,Xero!$B:$B,Heron!BG$9,Xero!$A:$A,Heron!$A$4,Xero!$E:$E,Heron!$A25)-SUMIFS(Xero!$F:$F,Xero!$B:$B,Heron!BG$9,Xero!$A:$A,Heron!$A$5,Xero!$E:$E,Heron!$A25)</f>
        <v/>
      </c>
      <c r="BH25" s="117">
        <f>-SUMIFS(Xero!$F:$F,Xero!$B:$B,Heron!BH$9,Xero!$A:$A,Heron!$A$4,Xero!$E:$E,Heron!$A25)-SUMIFS(Xero!$F:$F,Xero!$B:$B,Heron!BH$9,Xero!$A:$A,Heron!$A$5,Xero!$E:$E,Heron!$A25)</f>
        <v/>
      </c>
      <c r="BI25" s="117">
        <f>-SUMIFS(Xero!$F:$F,Xero!$B:$B,Heron!BI$9,Xero!$A:$A,Heron!$A$4,Xero!$E:$E,Heron!$A25)-SUMIFS(Xero!$F:$F,Xero!$B:$B,Heron!BI$9,Xero!$A:$A,Heron!$A$5,Xero!$E:$E,Heron!$A25)</f>
        <v/>
      </c>
      <c r="BJ25" s="117">
        <f>-SUMIFS(Xero!$F:$F,Xero!$B:$B,Heron!BJ$9,Xero!$A:$A,Heron!$A$4,Xero!$E:$E,Heron!$A25)-SUMIFS(Xero!$F:$F,Xero!$B:$B,Heron!BJ$9,Xero!$A:$A,Heron!$A$5,Xero!$E:$E,Heron!$A25)</f>
        <v/>
      </c>
      <c r="BK25" s="117">
        <f>sum(D25:BJ25)</f>
        <v/>
      </c>
    </row>
    <row r="26">
      <c r="A26" s="116" t="inlineStr">
        <is>
          <t>Sales - Heron View Occupational Rent</t>
        </is>
      </c>
      <c r="D26" s="117">
        <f>-SUMIFS(Xero!$F:$F,Xero!$B:$B,Heron!D$9,Xero!$A:$A,Heron!$A$4,Xero!$E:$E,Heron!$A26)-SUMIFS(Xero!$F:$F,Xero!$B:$B,Heron!D$9,Xero!$A:$A,Heron!$A$5,Xero!$E:$E,Heron!$A26)</f>
        <v/>
      </c>
      <c r="E26" s="117">
        <f>-SUMIFS(Xero!$F:$F,Xero!$B:$B,Heron!E$9,Xero!$A:$A,Heron!$A$4,Xero!$E:$E,Heron!$A26)-SUMIFS(Xero!$F:$F,Xero!$B:$B,Heron!E$9,Xero!$A:$A,Heron!$A$5,Xero!$E:$E,Heron!$A26)</f>
        <v/>
      </c>
      <c r="F26" s="117">
        <f>-SUMIFS(Xero!$F:$F,Xero!$B:$B,Heron!F$9,Xero!$A:$A,Heron!$A$4,Xero!$E:$E,Heron!$A26)-SUMIFS(Xero!$F:$F,Xero!$B:$B,Heron!F$9,Xero!$A:$A,Heron!$A$5,Xero!$E:$E,Heron!$A26)</f>
        <v/>
      </c>
      <c r="G26" s="117">
        <f>-SUMIFS(Xero!$F:$F,Xero!$B:$B,Heron!G$9,Xero!$A:$A,Heron!$A$4,Xero!$E:$E,Heron!$A26)-SUMIFS(Xero!$F:$F,Xero!$B:$B,Heron!G$9,Xero!$A:$A,Heron!$A$5,Xero!$E:$E,Heron!$A26)</f>
        <v/>
      </c>
      <c r="H26" s="117">
        <f>-SUMIFS(Xero!$F:$F,Xero!$B:$B,Heron!H$9,Xero!$A:$A,Heron!$A$4,Xero!$E:$E,Heron!$A26)-SUMIFS(Xero!$F:$F,Xero!$B:$B,Heron!H$9,Xero!$A:$A,Heron!$A$5,Xero!$E:$E,Heron!$A26)</f>
        <v/>
      </c>
      <c r="I26" s="117">
        <f>-SUMIFS(Xero!$F:$F,Xero!$B:$B,Heron!I$9,Xero!$A:$A,Heron!$A$4,Xero!$E:$E,Heron!$A26)-SUMIFS(Xero!$F:$F,Xero!$B:$B,Heron!I$9,Xero!$A:$A,Heron!$A$5,Xero!$E:$E,Heron!$A26)</f>
        <v/>
      </c>
      <c r="J26" s="117">
        <f>-SUMIFS(Xero!$F:$F,Xero!$B:$B,Heron!J$9,Xero!$A:$A,Heron!$A$4,Xero!$E:$E,Heron!$A26)-SUMIFS(Xero!$F:$F,Xero!$B:$B,Heron!J$9,Xero!$A:$A,Heron!$A$5,Xero!$E:$E,Heron!$A26)</f>
        <v/>
      </c>
      <c r="K26" s="117">
        <f>-SUMIFS(Xero!$F:$F,Xero!$B:$B,Heron!K$9,Xero!$A:$A,Heron!$A$4,Xero!$E:$E,Heron!$A26)-SUMIFS(Xero!$F:$F,Xero!$B:$B,Heron!K$9,Xero!$A:$A,Heron!$A$5,Xero!$E:$E,Heron!$A26)</f>
        <v/>
      </c>
      <c r="L26" s="117">
        <f>-SUMIFS(Xero!$F:$F,Xero!$B:$B,Heron!L$9,Xero!$A:$A,Heron!$A$4,Xero!$E:$E,Heron!$A26)-SUMIFS(Xero!$F:$F,Xero!$B:$B,Heron!L$9,Xero!$A:$A,Heron!$A$5,Xero!$E:$E,Heron!$A26)</f>
        <v/>
      </c>
      <c r="M26" s="117">
        <f>-SUMIFS(Xero!$F:$F,Xero!$B:$B,Heron!M$9,Xero!$A:$A,Heron!$A$4,Xero!$E:$E,Heron!$A26)-SUMIFS(Xero!$F:$F,Xero!$B:$B,Heron!M$9,Xero!$A:$A,Heron!$A$5,Xero!$E:$E,Heron!$A26)</f>
        <v/>
      </c>
      <c r="N26" s="117">
        <f>-SUMIFS(Xero!$F:$F,Xero!$B:$B,Heron!N$9,Xero!$A:$A,Heron!$A$4,Xero!$E:$E,Heron!$A26)-SUMIFS(Xero!$F:$F,Xero!$B:$B,Heron!N$9,Xero!$A:$A,Heron!$A$5,Xero!$E:$E,Heron!$A26)</f>
        <v/>
      </c>
      <c r="O26" s="117">
        <f>-SUMIFS(Xero!$F:$F,Xero!$B:$B,Heron!O$9,Xero!$A:$A,Heron!$A$4,Xero!$E:$E,Heron!$A26)-SUMIFS(Xero!$F:$F,Xero!$B:$B,Heron!O$9,Xero!$A:$A,Heron!$A$5,Xero!$E:$E,Heron!$A26)</f>
        <v/>
      </c>
      <c r="P26" s="117">
        <f>-SUMIFS(Xero!$F:$F,Xero!$B:$B,Heron!P$9,Xero!$A:$A,Heron!$A$4,Xero!$E:$E,Heron!$A26)-SUMIFS(Xero!$F:$F,Xero!$B:$B,Heron!P$9,Xero!$A:$A,Heron!$A$5,Xero!$E:$E,Heron!$A26)</f>
        <v/>
      </c>
      <c r="Q26" s="117">
        <f>-SUMIFS(Xero!$F:$F,Xero!$B:$B,Heron!Q$9,Xero!$A:$A,Heron!$A$4,Xero!$E:$E,Heron!$A26)-SUMIFS(Xero!$F:$F,Xero!$B:$B,Heron!Q$9,Xero!$A:$A,Heron!$A$5,Xero!$E:$E,Heron!$A26)</f>
        <v/>
      </c>
      <c r="R26" s="117">
        <f>-SUMIFS(Xero!$F:$F,Xero!$B:$B,Heron!R$9,Xero!$A:$A,Heron!$A$4,Xero!$E:$E,Heron!$A26)-SUMIFS(Xero!$F:$F,Xero!$B:$B,Heron!R$9,Xero!$A:$A,Heron!$A$5,Xero!$E:$E,Heron!$A26)</f>
        <v/>
      </c>
      <c r="S26" s="117">
        <f>-SUMIFS(Xero!$F:$F,Xero!$B:$B,Heron!S$9,Xero!$A:$A,Heron!$A$4,Xero!$E:$E,Heron!$A26)-SUMIFS(Xero!$F:$F,Xero!$B:$B,Heron!S$9,Xero!$A:$A,Heron!$A$5,Xero!$E:$E,Heron!$A26)</f>
        <v/>
      </c>
      <c r="T26" s="117">
        <f>-SUMIFS(Xero!$F:$F,Xero!$B:$B,Heron!T$9,Xero!$A:$A,Heron!$A$4,Xero!$E:$E,Heron!$A26)-SUMIFS(Xero!$F:$F,Xero!$B:$B,Heron!T$9,Xero!$A:$A,Heron!$A$5,Xero!$E:$E,Heron!$A26)</f>
        <v/>
      </c>
      <c r="U26" s="117">
        <f>-SUMIFS(Xero!$F:$F,Xero!$B:$B,Heron!U$9,Xero!$A:$A,Heron!$A$4,Xero!$E:$E,Heron!$A26)-SUMIFS(Xero!$F:$F,Xero!$B:$B,Heron!U$9,Xero!$A:$A,Heron!$A$5,Xero!$E:$E,Heron!$A26)</f>
        <v/>
      </c>
      <c r="V26" s="117">
        <f>-SUMIFS(Xero!$F:$F,Xero!$B:$B,Heron!V$9,Xero!$A:$A,Heron!$A$4,Xero!$E:$E,Heron!$A26)-SUMIFS(Xero!$F:$F,Xero!$B:$B,Heron!V$9,Xero!$A:$A,Heron!$A$5,Xero!$E:$E,Heron!$A26)</f>
        <v/>
      </c>
      <c r="W26" s="117">
        <f>-SUMIFS(Xero!$F:$F,Xero!$B:$B,Heron!W$9,Xero!$A:$A,Heron!$A$4,Xero!$E:$E,Heron!$A26)-SUMIFS(Xero!$F:$F,Xero!$B:$B,Heron!W$9,Xero!$A:$A,Heron!$A$5,Xero!$E:$E,Heron!$A26)</f>
        <v/>
      </c>
      <c r="X26" s="117">
        <f>-SUMIFS(Xero!$F:$F,Xero!$B:$B,Heron!X$9,Xero!$A:$A,Heron!$A$4,Xero!$E:$E,Heron!$A26)-SUMIFS(Xero!$F:$F,Xero!$B:$B,Heron!X$9,Xero!$A:$A,Heron!$A$5,Xero!$E:$E,Heron!$A26)</f>
        <v/>
      </c>
      <c r="Y26" s="117">
        <f>-SUMIFS(Xero!$F:$F,Xero!$B:$B,Heron!Y$9,Xero!$A:$A,Heron!$A$4,Xero!$E:$E,Heron!$A26)-SUMIFS(Xero!$F:$F,Xero!$B:$B,Heron!Y$9,Xero!$A:$A,Heron!$A$5,Xero!$E:$E,Heron!$A26)</f>
        <v/>
      </c>
      <c r="Z26" s="117">
        <f>-SUMIFS(Xero!$F:$F,Xero!$B:$B,Heron!Z$9,Xero!$A:$A,Heron!$A$4,Xero!$E:$E,Heron!$A26)-SUMIFS(Xero!$F:$F,Xero!$B:$B,Heron!Z$9,Xero!$A:$A,Heron!$A$5,Xero!$E:$E,Heron!$A26)</f>
        <v/>
      </c>
      <c r="AA26" s="117">
        <f>-SUMIFS(Xero!$F:$F,Xero!$B:$B,Heron!AA$9,Xero!$A:$A,Heron!$A$4,Xero!$E:$E,Heron!$A26)-SUMIFS(Xero!$F:$F,Xero!$B:$B,Heron!AA$9,Xero!$A:$A,Heron!$A$5,Xero!$E:$E,Heron!$A26)</f>
        <v/>
      </c>
      <c r="AB26" s="117">
        <f>-SUMIFS(Xero!$F:$F,Xero!$B:$B,Heron!AB$9,Xero!$A:$A,Heron!$A$4,Xero!$E:$E,Heron!$A26)-SUMIFS(Xero!$F:$F,Xero!$B:$B,Heron!AB$9,Xero!$A:$A,Heron!$A$5,Xero!$E:$E,Heron!$A26)</f>
        <v/>
      </c>
      <c r="AC26" s="117">
        <f>-SUMIFS(Xero!$F:$F,Xero!$B:$B,Heron!AC$9,Xero!$A:$A,Heron!$A$4,Xero!$E:$E,Heron!$A26)-SUMIFS(Xero!$F:$F,Xero!$B:$B,Heron!AC$9,Xero!$A:$A,Heron!$A$5,Xero!$E:$E,Heron!$A26)</f>
        <v/>
      </c>
      <c r="AD26" s="117">
        <f>-SUMIFS(Xero!$F:$F,Xero!$B:$B,Heron!AD$9,Xero!$A:$A,Heron!$A$4,Xero!$E:$E,Heron!$A26)-SUMIFS(Xero!$F:$F,Xero!$B:$B,Heron!AD$9,Xero!$A:$A,Heron!$A$5,Xero!$E:$E,Heron!$A26)</f>
        <v/>
      </c>
      <c r="AE26" s="117">
        <f>-SUMIFS(Xero!$F:$F,Xero!$B:$B,Heron!AE$9,Xero!$A:$A,Heron!$A$4,Xero!$E:$E,Heron!$A26)-SUMIFS(Xero!$F:$F,Xero!$B:$B,Heron!AE$9,Xero!$A:$A,Heron!$A$5,Xero!$E:$E,Heron!$A26)</f>
        <v/>
      </c>
      <c r="AF26" s="117">
        <f>-SUMIFS(Xero!$F:$F,Xero!$B:$B,Heron!AF$9,Xero!$A:$A,Heron!$A$4,Xero!$E:$E,Heron!$A26)-SUMIFS(Xero!$F:$F,Xero!$B:$B,Heron!AF$9,Xero!$A:$A,Heron!$A$5,Xero!$E:$E,Heron!$A26)</f>
        <v/>
      </c>
      <c r="AG26" s="117">
        <f>-SUMIFS(Xero!$F:$F,Xero!$B:$B,Heron!AG$9,Xero!$A:$A,Heron!$A$4,Xero!$E:$E,Heron!$A26)-SUMIFS(Xero!$F:$F,Xero!$B:$B,Heron!AG$9,Xero!$A:$A,Heron!$A$5,Xero!$E:$E,Heron!$A26)</f>
        <v/>
      </c>
      <c r="AH26" s="117">
        <f>-SUMIFS(Xero!$F:$F,Xero!$B:$B,Heron!AH$9,Xero!$A:$A,Heron!$A$4,Xero!$E:$E,Heron!$A26)-SUMIFS(Xero!$F:$F,Xero!$B:$B,Heron!AH$9,Xero!$A:$A,Heron!$A$5,Xero!$E:$E,Heron!$A26)</f>
        <v/>
      </c>
      <c r="AI26" s="117">
        <f>-SUMIFS(Xero!$F:$F,Xero!$B:$B,Heron!AI$9,Xero!$A:$A,Heron!$A$4,Xero!$E:$E,Heron!$A26)-SUMIFS(Xero!$F:$F,Xero!$B:$B,Heron!AI$9,Xero!$A:$A,Heron!$A$5,Xero!$E:$E,Heron!$A26)</f>
        <v/>
      </c>
      <c r="AJ26" s="117">
        <f>-SUMIFS(Xero!$F:$F,Xero!$B:$B,Heron!AJ$9,Xero!$A:$A,Heron!$A$4,Xero!$E:$E,Heron!$A26)-SUMIFS(Xero!$F:$F,Xero!$B:$B,Heron!AJ$9,Xero!$A:$A,Heron!$A$5,Xero!$E:$E,Heron!$A26)</f>
        <v/>
      </c>
      <c r="AK26" s="117">
        <f>-SUMIFS(Xero!$F:$F,Xero!$B:$B,Heron!AK$9,Xero!$A:$A,Heron!$A$4,Xero!$E:$E,Heron!$A26)-SUMIFS(Xero!$F:$F,Xero!$B:$B,Heron!AK$9,Xero!$A:$A,Heron!$A$5,Xero!$E:$E,Heron!$A26)</f>
        <v/>
      </c>
      <c r="AL26" s="117">
        <f>-SUMIFS(Xero!$F:$F,Xero!$B:$B,Heron!AL$9,Xero!$A:$A,Heron!$A$4,Xero!$E:$E,Heron!$A26)-SUMIFS(Xero!$F:$F,Xero!$B:$B,Heron!AL$9,Xero!$A:$A,Heron!$A$5,Xero!$E:$E,Heron!$A26)</f>
        <v/>
      </c>
      <c r="AM26" s="117">
        <f>-SUMIFS(Xero!$F:$F,Xero!$B:$B,Heron!AM$9,Xero!$A:$A,Heron!$A$4,Xero!$E:$E,Heron!$A26)-SUMIFS(Xero!$F:$F,Xero!$B:$B,Heron!AM$9,Xero!$A:$A,Heron!$A$5,Xero!$E:$E,Heron!$A26)</f>
        <v/>
      </c>
      <c r="AN26" s="117">
        <f>-SUMIFS(Xero!$F:$F,Xero!$B:$B,Heron!AN$9,Xero!$A:$A,Heron!$A$4,Xero!$E:$E,Heron!$A26)-SUMIFS(Xero!$F:$F,Xero!$B:$B,Heron!AN$9,Xero!$A:$A,Heron!$A$5,Xero!$E:$E,Heron!$A26)</f>
        <v/>
      </c>
      <c r="AO26" s="117">
        <f>-SUMIFS(Xero!$F:$F,Xero!$B:$B,Heron!AO$9,Xero!$A:$A,Heron!$A$4,Xero!$E:$E,Heron!$A26)-SUMIFS(Xero!$F:$F,Xero!$B:$B,Heron!AO$9,Xero!$A:$A,Heron!$A$5,Xero!$E:$E,Heron!$A26)</f>
        <v/>
      </c>
      <c r="AP26" s="117">
        <f>-SUMIFS(Xero!$F:$F,Xero!$B:$B,Heron!AP$9,Xero!$A:$A,Heron!$A$4,Xero!$E:$E,Heron!$A26)-SUMIFS(Xero!$F:$F,Xero!$B:$B,Heron!AP$9,Xero!$A:$A,Heron!$A$5,Xero!$E:$E,Heron!$A26)</f>
        <v/>
      </c>
      <c r="AQ26" s="117">
        <f>-SUMIFS(Xero!$F:$F,Xero!$B:$B,Heron!AQ$9,Xero!$A:$A,Heron!$A$4,Xero!$E:$E,Heron!$A26)-SUMIFS(Xero!$F:$F,Xero!$B:$B,Heron!AQ$9,Xero!$A:$A,Heron!$A$5,Xero!$E:$E,Heron!$A26)</f>
        <v/>
      </c>
      <c r="AR26" s="117">
        <f>-SUMIFS(Xero!$F:$F,Xero!$B:$B,Heron!AR$9,Xero!$A:$A,Heron!$A$4,Xero!$E:$E,Heron!$A26)-SUMIFS(Xero!$F:$F,Xero!$B:$B,Heron!AR$9,Xero!$A:$A,Heron!$A$5,Xero!$E:$E,Heron!$A26)</f>
        <v/>
      </c>
      <c r="AS26" s="117">
        <f>-SUMIFS(Xero!$F:$F,Xero!$B:$B,Heron!AS$9,Xero!$A:$A,Heron!$A$4,Xero!$E:$E,Heron!$A26)-SUMIFS(Xero!$F:$F,Xero!$B:$B,Heron!AS$9,Xero!$A:$A,Heron!$A$5,Xero!$E:$E,Heron!$A26)</f>
        <v/>
      </c>
      <c r="AT26" s="117">
        <f>-SUMIFS(Xero!$F:$F,Xero!$B:$B,Heron!AT$9,Xero!$A:$A,Heron!$A$4,Xero!$E:$E,Heron!$A26)-SUMIFS(Xero!$F:$F,Xero!$B:$B,Heron!AT$9,Xero!$A:$A,Heron!$A$5,Xero!$E:$E,Heron!$A26)</f>
        <v/>
      </c>
      <c r="AU26" s="117">
        <f>-SUMIFS(Xero!$F:$F,Xero!$B:$B,Heron!AU$9,Xero!$A:$A,Heron!$A$4,Xero!$E:$E,Heron!$A26)-SUMIFS(Xero!$F:$F,Xero!$B:$B,Heron!AU$9,Xero!$A:$A,Heron!$A$5,Xero!$E:$E,Heron!$A26)</f>
        <v/>
      </c>
      <c r="AV26" s="117">
        <f>-SUMIFS(Xero!$F:$F,Xero!$B:$B,Heron!AV$9,Xero!$A:$A,Heron!$A$4,Xero!$E:$E,Heron!$A26)-SUMIFS(Xero!$F:$F,Xero!$B:$B,Heron!AV$9,Xero!$A:$A,Heron!$A$5,Xero!$E:$E,Heron!$A26)</f>
        <v/>
      </c>
      <c r="AW26" s="117">
        <f>-SUMIFS(Xero!$F:$F,Xero!$B:$B,Heron!AW$9,Xero!$A:$A,Heron!$A$4,Xero!$E:$E,Heron!$A26)-SUMIFS(Xero!$F:$F,Xero!$B:$B,Heron!AW$9,Xero!$A:$A,Heron!$A$5,Xero!$E:$E,Heron!$A26)</f>
        <v/>
      </c>
      <c r="AX26" s="117">
        <f>-SUMIFS(Xero!$F:$F,Xero!$B:$B,Heron!AX$9,Xero!$A:$A,Heron!$A$4,Xero!$E:$E,Heron!$A26)-SUMIFS(Xero!$F:$F,Xero!$B:$B,Heron!AX$9,Xero!$A:$A,Heron!$A$5,Xero!$E:$E,Heron!$A26)</f>
        <v/>
      </c>
      <c r="AY26" s="117">
        <f>-SUMIFS(Xero!$F:$F,Xero!$B:$B,Heron!AY$9,Xero!$A:$A,Heron!$A$4,Xero!$E:$E,Heron!$A26)-SUMIFS(Xero!$F:$F,Xero!$B:$B,Heron!AY$9,Xero!$A:$A,Heron!$A$5,Xero!$E:$E,Heron!$A26)</f>
        <v/>
      </c>
      <c r="AZ26" s="117">
        <f>-SUMIFS(Xero!$F:$F,Xero!$B:$B,Heron!AZ$9,Xero!$A:$A,Heron!$A$4,Xero!$E:$E,Heron!$A26)-SUMIFS(Xero!$F:$F,Xero!$B:$B,Heron!AZ$9,Xero!$A:$A,Heron!$A$5,Xero!$E:$E,Heron!$A26)</f>
        <v/>
      </c>
      <c r="BA26" s="117">
        <f>-SUMIFS(Xero!$F:$F,Xero!$B:$B,Heron!BA$9,Xero!$A:$A,Heron!$A$4,Xero!$E:$E,Heron!$A26)-SUMIFS(Xero!$F:$F,Xero!$B:$B,Heron!BA$9,Xero!$A:$A,Heron!$A$5,Xero!$E:$E,Heron!$A26)</f>
        <v/>
      </c>
      <c r="BB26" s="117">
        <f>-SUMIFS(Xero!$F:$F,Xero!$B:$B,Heron!BB$9,Xero!$A:$A,Heron!$A$4,Xero!$E:$E,Heron!$A26)-SUMIFS(Xero!$F:$F,Xero!$B:$B,Heron!BB$9,Xero!$A:$A,Heron!$A$5,Xero!$E:$E,Heron!$A26)</f>
        <v/>
      </c>
      <c r="BC26" s="117">
        <f>-SUMIFS(Xero!$F:$F,Xero!$B:$B,Heron!BC$9,Xero!$A:$A,Heron!$A$4,Xero!$E:$E,Heron!$A26)-SUMIFS(Xero!$F:$F,Xero!$B:$B,Heron!BC$9,Xero!$A:$A,Heron!$A$5,Xero!$E:$E,Heron!$A26)</f>
        <v/>
      </c>
      <c r="BD26" s="117">
        <f>-SUMIFS(Xero!$F:$F,Xero!$B:$B,Heron!BD$9,Xero!$A:$A,Heron!$A$4,Xero!$E:$E,Heron!$A26)-SUMIFS(Xero!$F:$F,Xero!$B:$B,Heron!BD$9,Xero!$A:$A,Heron!$A$5,Xero!$E:$E,Heron!$A26)</f>
        <v/>
      </c>
      <c r="BE26" s="117">
        <f>-SUMIFS(Xero!$F:$F,Xero!$B:$B,Heron!BE$9,Xero!$A:$A,Heron!$A$4,Xero!$E:$E,Heron!$A26)-SUMIFS(Xero!$F:$F,Xero!$B:$B,Heron!BE$9,Xero!$A:$A,Heron!$A$5,Xero!$E:$E,Heron!$A26)</f>
        <v/>
      </c>
      <c r="BF26" s="117">
        <f>-SUMIFS(Xero!$F:$F,Xero!$B:$B,Heron!BF$9,Xero!$A:$A,Heron!$A$4,Xero!$E:$E,Heron!$A26)-SUMIFS(Xero!$F:$F,Xero!$B:$B,Heron!BF$9,Xero!$A:$A,Heron!$A$5,Xero!$E:$E,Heron!$A26)</f>
        <v/>
      </c>
      <c r="BG26" s="117">
        <f>-SUMIFS(Xero!$F:$F,Xero!$B:$B,Heron!BG$9,Xero!$A:$A,Heron!$A$4,Xero!$E:$E,Heron!$A26)-SUMIFS(Xero!$F:$F,Xero!$B:$B,Heron!BG$9,Xero!$A:$A,Heron!$A$5,Xero!$E:$E,Heron!$A26)</f>
        <v/>
      </c>
      <c r="BH26" s="117">
        <f>-SUMIFS(Xero!$F:$F,Xero!$B:$B,Heron!BH$9,Xero!$A:$A,Heron!$A$4,Xero!$E:$E,Heron!$A26)-SUMIFS(Xero!$F:$F,Xero!$B:$B,Heron!BH$9,Xero!$A:$A,Heron!$A$5,Xero!$E:$E,Heron!$A26)</f>
        <v/>
      </c>
      <c r="BI26" s="117">
        <f>-SUMIFS(Xero!$F:$F,Xero!$B:$B,Heron!BI$9,Xero!$A:$A,Heron!$A$4,Xero!$E:$E,Heron!$A26)-SUMIFS(Xero!$F:$F,Xero!$B:$B,Heron!BI$9,Xero!$A:$A,Heron!$A$5,Xero!$E:$E,Heron!$A26)</f>
        <v/>
      </c>
      <c r="BJ26" s="117">
        <f>-SUMIFS(Xero!$F:$F,Xero!$B:$B,Heron!BJ$9,Xero!$A:$A,Heron!$A$4,Xero!$E:$E,Heron!$A26)-SUMIFS(Xero!$F:$F,Xero!$B:$B,Heron!BJ$9,Xero!$A:$A,Heron!$A$5,Xero!$E:$E,Heron!$A26)</f>
        <v/>
      </c>
      <c r="BK26" s="117">
        <f>sum(D26:BJ26)</f>
        <v/>
      </c>
    </row>
    <row r="27">
      <c r="A27" s="116" t="inlineStr">
        <is>
          <t>Sales - Heron View Sales</t>
        </is>
      </c>
      <c r="D27" s="117">
        <f>-SUMIFS(Xero!$F:$F,Xero!$B:$B,Heron!D$9,Xero!$A:$A,Heron!$A$4,Xero!$E:$E,Heron!$A27)-SUMIFS(Xero!$F:$F,Xero!$B:$B,Heron!D$9,Xero!$A:$A,Heron!$A$5,Xero!$E:$E,Heron!$A27)+SUMIFS(Sales!$K:$K,Sales!$E:$E,FALSE,Sales!$A:$A,Heron!$B$5,Sales!$H:$H,"&lt;="&amp;Heron!D$9,Sales!$H:$H,"&gt;"&amp;Heron!C$9,Sales!$F:$F,1)</f>
        <v/>
      </c>
      <c r="E27" s="117">
        <f>-SUMIFS(Xero!$F:$F,Xero!$B:$B,Heron!E$9,Xero!$A:$A,Heron!$A$4,Xero!$E:$E,Heron!$A27)-SUMIFS(Xero!$F:$F,Xero!$B:$B,Heron!E$9,Xero!$A:$A,Heron!$A$5,Xero!$E:$E,Heron!$A27)+SUMIFS(Sales!$K:$K,Sales!$E:$E,FALSE,Sales!$A:$A,Heron!$B$5,Sales!$H:$H,"&lt;="&amp;Heron!E$9,Sales!$H:$H,"&gt;"&amp;Heron!D$9,Sales!$F:$F,1)</f>
        <v/>
      </c>
      <c r="F27" s="117">
        <f>-SUMIFS(Xero!$F:$F,Xero!$B:$B,Heron!F$9,Xero!$A:$A,Heron!$A$4,Xero!$E:$E,Heron!$A27)-SUMIFS(Xero!$F:$F,Xero!$B:$B,Heron!F$9,Xero!$A:$A,Heron!$A$5,Xero!$E:$E,Heron!$A27)+SUMIFS(Sales!$K:$K,Sales!$E:$E,FALSE,Sales!$A:$A,Heron!$B$5,Sales!$H:$H,"&lt;="&amp;Heron!F$9,Sales!$H:$H,"&gt;"&amp;Heron!E$9,Sales!$F:$F,1)</f>
        <v/>
      </c>
      <c r="G27" s="117">
        <f>-SUMIFS(Xero!$F:$F,Xero!$B:$B,Heron!G$9,Xero!$A:$A,Heron!$A$4,Xero!$E:$E,Heron!$A27)-SUMIFS(Xero!$F:$F,Xero!$B:$B,Heron!G$9,Xero!$A:$A,Heron!$A$5,Xero!$E:$E,Heron!$A27)+SUMIFS(Sales!$K:$K,Sales!$E:$E,FALSE,Sales!$A:$A,Heron!$B$5,Sales!$H:$H,"&lt;="&amp;Heron!G$9,Sales!$H:$H,"&gt;"&amp;Heron!F$9,Sales!$F:$F,1)</f>
        <v/>
      </c>
      <c r="H27" s="117">
        <f>-SUMIFS(Xero!$F:$F,Xero!$B:$B,Heron!H$9,Xero!$A:$A,Heron!$A$4,Xero!$E:$E,Heron!$A27)-SUMIFS(Xero!$F:$F,Xero!$B:$B,Heron!H$9,Xero!$A:$A,Heron!$A$5,Xero!$E:$E,Heron!$A27)+SUMIFS(Sales!$K:$K,Sales!$E:$E,FALSE,Sales!$A:$A,Heron!$B$5,Sales!$H:$H,"&lt;="&amp;Heron!H$9,Sales!$H:$H,"&gt;"&amp;Heron!G$9,Sales!$F:$F,1)</f>
        <v/>
      </c>
      <c r="I27" s="117">
        <f>-SUMIFS(Xero!$F:$F,Xero!$B:$B,Heron!I$9,Xero!$A:$A,Heron!$A$4,Xero!$E:$E,Heron!$A27)-SUMIFS(Xero!$F:$F,Xero!$B:$B,Heron!I$9,Xero!$A:$A,Heron!$A$5,Xero!$E:$E,Heron!$A27)+SUMIFS(Sales!$K:$K,Sales!$E:$E,FALSE,Sales!$A:$A,Heron!$B$5,Sales!$H:$H,"&lt;="&amp;Heron!I$9,Sales!$H:$H,"&gt;"&amp;Heron!H$9,Sales!$F:$F,1)</f>
        <v/>
      </c>
      <c r="J27" s="117">
        <f>-SUMIFS(Xero!$F:$F,Xero!$B:$B,Heron!J$9,Xero!$A:$A,Heron!$A$4,Xero!$E:$E,Heron!$A27)-SUMIFS(Xero!$F:$F,Xero!$B:$B,Heron!J$9,Xero!$A:$A,Heron!$A$5,Xero!$E:$E,Heron!$A27)+SUMIFS(Sales!$K:$K,Sales!$E:$E,FALSE,Sales!$A:$A,Heron!$B$5,Sales!$H:$H,"&lt;="&amp;Heron!J$9,Sales!$H:$H,"&gt;"&amp;Heron!I$9,Sales!$F:$F,1)</f>
        <v/>
      </c>
      <c r="K27" s="117">
        <f>-SUMIFS(Xero!$F:$F,Xero!$B:$B,Heron!K$9,Xero!$A:$A,Heron!$A$4,Xero!$E:$E,Heron!$A27)-SUMIFS(Xero!$F:$F,Xero!$B:$B,Heron!K$9,Xero!$A:$A,Heron!$A$5,Xero!$E:$E,Heron!$A27)+SUMIFS(Sales!$K:$K,Sales!$E:$E,FALSE,Sales!$A:$A,Heron!$B$5,Sales!$H:$H,"&lt;="&amp;Heron!K$9,Sales!$H:$H,"&gt;"&amp;Heron!J$9,Sales!$F:$F,1)</f>
        <v/>
      </c>
      <c r="L27" s="117">
        <f>-SUMIFS(Xero!$F:$F,Xero!$B:$B,Heron!L$9,Xero!$A:$A,Heron!$A$4,Xero!$E:$E,Heron!$A27)-SUMIFS(Xero!$F:$F,Xero!$B:$B,Heron!L$9,Xero!$A:$A,Heron!$A$5,Xero!$E:$E,Heron!$A27)+SUMIFS(Sales!$K:$K,Sales!$E:$E,FALSE,Sales!$A:$A,Heron!$B$5,Sales!$H:$H,"&lt;="&amp;Heron!L$9,Sales!$H:$H,"&gt;"&amp;Heron!K$9,Sales!$F:$F,1)</f>
        <v/>
      </c>
      <c r="M27" s="117">
        <f>-SUMIFS(Xero!$F:$F,Xero!$B:$B,Heron!M$9,Xero!$A:$A,Heron!$A$4,Xero!$E:$E,Heron!$A27)-SUMIFS(Xero!$F:$F,Xero!$B:$B,Heron!M$9,Xero!$A:$A,Heron!$A$5,Xero!$E:$E,Heron!$A27)+SUMIFS(Sales!$K:$K,Sales!$E:$E,FALSE,Sales!$A:$A,Heron!$B$5,Sales!$H:$H,"&lt;="&amp;Heron!M$9,Sales!$H:$H,"&gt;"&amp;Heron!L$9,Sales!$F:$F,1)</f>
        <v/>
      </c>
      <c r="N27" s="117">
        <f>-SUMIFS(Xero!$F:$F,Xero!$B:$B,Heron!N$9,Xero!$A:$A,Heron!$A$4,Xero!$E:$E,Heron!$A27)-SUMIFS(Xero!$F:$F,Xero!$B:$B,Heron!N$9,Xero!$A:$A,Heron!$A$5,Xero!$E:$E,Heron!$A27)+SUMIFS(Sales!$K:$K,Sales!$E:$E,FALSE,Sales!$A:$A,Heron!$B$5,Sales!$H:$H,"&lt;="&amp;Heron!N$9,Sales!$H:$H,"&gt;"&amp;Heron!M$9,Sales!$F:$F,1)</f>
        <v/>
      </c>
      <c r="O27" s="117">
        <f>-SUMIFS(Xero!$F:$F,Xero!$B:$B,Heron!O$9,Xero!$A:$A,Heron!$A$4,Xero!$E:$E,Heron!$A27)-SUMIFS(Xero!$F:$F,Xero!$B:$B,Heron!O$9,Xero!$A:$A,Heron!$A$5,Xero!$E:$E,Heron!$A27)+SUMIFS(Sales!$K:$K,Sales!$E:$E,FALSE,Sales!$A:$A,Heron!$B$5,Sales!$H:$H,"&lt;="&amp;Heron!O$9,Sales!$H:$H,"&gt;"&amp;Heron!N$9,Sales!$F:$F,1)</f>
        <v/>
      </c>
      <c r="P27" s="117">
        <f>-SUMIFS(Xero!$F:$F,Xero!$B:$B,Heron!P$9,Xero!$A:$A,Heron!$A$4,Xero!$E:$E,Heron!$A27)-SUMIFS(Xero!$F:$F,Xero!$B:$B,Heron!P$9,Xero!$A:$A,Heron!$A$5,Xero!$E:$E,Heron!$A27)+SUMIFS(Sales!$K:$K,Sales!$E:$E,FALSE,Sales!$A:$A,Heron!$B$5,Sales!$H:$H,"&lt;="&amp;Heron!P$9,Sales!$H:$H,"&gt;"&amp;Heron!O$9,Sales!$F:$F,1)</f>
        <v/>
      </c>
      <c r="Q27" s="117">
        <f>-SUMIFS(Xero!$F:$F,Xero!$B:$B,Heron!Q$9,Xero!$A:$A,Heron!$A$4,Xero!$E:$E,Heron!$A27)-SUMIFS(Xero!$F:$F,Xero!$B:$B,Heron!Q$9,Xero!$A:$A,Heron!$A$5,Xero!$E:$E,Heron!$A27)+SUMIFS(Sales!$K:$K,Sales!$E:$E,FALSE,Sales!$A:$A,Heron!$B$5,Sales!$H:$H,"&lt;="&amp;Heron!Q$9,Sales!$H:$H,"&gt;"&amp;Heron!P$9,Sales!$F:$F,1)</f>
        <v/>
      </c>
      <c r="R27" s="117">
        <f>-SUMIFS(Xero!$F:$F,Xero!$B:$B,Heron!R$9,Xero!$A:$A,Heron!$A$4,Xero!$E:$E,Heron!$A27)-SUMIFS(Xero!$F:$F,Xero!$B:$B,Heron!R$9,Xero!$A:$A,Heron!$A$5,Xero!$E:$E,Heron!$A27)+SUMIFS(Sales!$K:$K,Sales!$E:$E,FALSE,Sales!$A:$A,Heron!$B$5,Sales!$H:$H,"&lt;="&amp;Heron!R$9,Sales!$H:$H,"&gt;"&amp;Heron!Q$9,Sales!$F:$F,1)</f>
        <v/>
      </c>
      <c r="S27" s="117">
        <f>-SUMIFS(Xero!$F:$F,Xero!$B:$B,Heron!S$9,Xero!$A:$A,Heron!$A$4,Xero!$E:$E,Heron!$A27)-SUMIFS(Xero!$F:$F,Xero!$B:$B,Heron!S$9,Xero!$A:$A,Heron!$A$5,Xero!$E:$E,Heron!$A27)+SUMIFS(Sales!$K:$K,Sales!$E:$E,FALSE,Sales!$A:$A,Heron!$B$5,Sales!$H:$H,"&lt;="&amp;Heron!S$9,Sales!$H:$H,"&gt;"&amp;Heron!R$9,Sales!$F:$F,1)</f>
        <v/>
      </c>
      <c r="T27" s="117">
        <f>-SUMIFS(Xero!$F:$F,Xero!$B:$B,Heron!T$9,Xero!$A:$A,Heron!$A$4,Xero!$E:$E,Heron!$A27)-SUMIFS(Xero!$F:$F,Xero!$B:$B,Heron!T$9,Xero!$A:$A,Heron!$A$5,Xero!$E:$E,Heron!$A27)+SUMIFS(Sales!$K:$K,Sales!$E:$E,FALSE,Sales!$A:$A,Heron!$B$5,Sales!$H:$H,"&lt;="&amp;Heron!T$9,Sales!$H:$H,"&gt;"&amp;Heron!S$9,Sales!$F:$F,1)</f>
        <v/>
      </c>
      <c r="U27" s="117">
        <f>-SUMIFS(Xero!$F:$F,Xero!$B:$B,Heron!U$9,Xero!$A:$A,Heron!$A$4,Xero!$E:$E,Heron!$A27)-SUMIFS(Xero!$F:$F,Xero!$B:$B,Heron!U$9,Xero!$A:$A,Heron!$A$5,Xero!$E:$E,Heron!$A27)+SUMIFS(Sales!$K:$K,Sales!$E:$E,FALSE,Sales!$A:$A,Heron!$B$5,Sales!$H:$H,"&lt;="&amp;Heron!U$9,Sales!$H:$H,"&gt;"&amp;Heron!T$9,Sales!$F:$F,1)</f>
        <v/>
      </c>
      <c r="V27" s="117">
        <f>-SUMIFS(Xero!$F:$F,Xero!$B:$B,Heron!V$9,Xero!$A:$A,Heron!$A$4,Xero!$E:$E,Heron!$A27)-SUMIFS(Xero!$F:$F,Xero!$B:$B,Heron!V$9,Xero!$A:$A,Heron!$A$5,Xero!$E:$E,Heron!$A27)+SUMIFS(Sales!$K:$K,Sales!$E:$E,FALSE,Sales!$A:$A,Heron!$B$5,Sales!$H:$H,"&lt;="&amp;Heron!V$9,Sales!$H:$H,"&gt;"&amp;Heron!U$9,Sales!$F:$F,1)</f>
        <v/>
      </c>
      <c r="W27" s="117">
        <f>-SUMIFS(Xero!$F:$F,Xero!$B:$B,Heron!W$9,Xero!$A:$A,Heron!$A$4,Xero!$E:$E,Heron!$A27)-SUMIFS(Xero!$F:$F,Xero!$B:$B,Heron!W$9,Xero!$A:$A,Heron!$A$5,Xero!$E:$E,Heron!$A27)+SUMIFS(Sales!$K:$K,Sales!$E:$E,FALSE,Sales!$A:$A,Heron!$B$5,Sales!$H:$H,"&lt;="&amp;Heron!W$9,Sales!$H:$H,"&gt;"&amp;Heron!V$9,Sales!$F:$F,1)</f>
        <v/>
      </c>
      <c r="X27" s="117">
        <f>-SUMIFS(Xero!$F:$F,Xero!$B:$B,Heron!X$9,Xero!$A:$A,Heron!$A$4,Xero!$E:$E,Heron!$A27)-SUMIFS(Xero!$F:$F,Xero!$B:$B,Heron!X$9,Xero!$A:$A,Heron!$A$5,Xero!$E:$E,Heron!$A27)+SUMIFS(Sales!$K:$K,Sales!$E:$E,FALSE,Sales!$A:$A,Heron!$B$5,Sales!$H:$H,"&lt;="&amp;Heron!X$9,Sales!$H:$H,"&gt;"&amp;Heron!W$9,Sales!$F:$F,1)</f>
        <v/>
      </c>
      <c r="Y27" s="117">
        <f>-SUMIFS(Xero!$F:$F,Xero!$B:$B,Heron!Y$9,Xero!$A:$A,Heron!$A$4,Xero!$E:$E,Heron!$A27)-SUMIFS(Xero!$F:$F,Xero!$B:$B,Heron!Y$9,Xero!$A:$A,Heron!$A$5,Xero!$E:$E,Heron!$A27)+SUMIFS(Sales!$K:$K,Sales!$E:$E,FALSE,Sales!$A:$A,Heron!$B$5,Sales!$H:$H,"&lt;="&amp;Heron!Y$9,Sales!$H:$H,"&gt;"&amp;Heron!X$9,Sales!$F:$F,1)</f>
        <v/>
      </c>
      <c r="Z27" s="117">
        <f>-SUMIFS(Xero!$F:$F,Xero!$B:$B,Heron!Z$9,Xero!$A:$A,Heron!$A$4,Xero!$E:$E,Heron!$A27)-SUMIFS(Xero!$F:$F,Xero!$B:$B,Heron!Z$9,Xero!$A:$A,Heron!$A$5,Xero!$E:$E,Heron!$A27)+SUMIFS(Sales!$K:$K,Sales!$E:$E,FALSE,Sales!$A:$A,Heron!$B$5,Sales!$H:$H,"&lt;="&amp;Heron!Z$9,Sales!$H:$H,"&gt;"&amp;Heron!Y$9,Sales!$F:$F,1)</f>
        <v/>
      </c>
      <c r="AA27" s="117">
        <f>-SUMIFS(Xero!$F:$F,Xero!$B:$B,Heron!AA$9,Xero!$A:$A,Heron!$A$4,Xero!$E:$E,Heron!$A27)-SUMIFS(Xero!$F:$F,Xero!$B:$B,Heron!AA$9,Xero!$A:$A,Heron!$A$5,Xero!$E:$E,Heron!$A27)+SUMIFS(Sales!$K:$K,Sales!$E:$E,FALSE,Sales!$A:$A,Heron!$B$5,Sales!$H:$H,"&lt;="&amp;Heron!AA$9,Sales!$H:$H,"&gt;"&amp;Heron!Z$9,Sales!$F:$F,1)</f>
        <v/>
      </c>
      <c r="AB27" s="117">
        <f>-SUMIFS(Xero!$F:$F,Xero!$B:$B,Heron!AB$9,Xero!$A:$A,Heron!$A$4,Xero!$E:$E,Heron!$A27)-SUMIFS(Xero!$F:$F,Xero!$B:$B,Heron!AB$9,Xero!$A:$A,Heron!$A$5,Xero!$E:$E,Heron!$A27)+SUMIFS(Sales!$K:$K,Sales!$E:$E,FALSE,Sales!$A:$A,Heron!$B$5,Sales!$H:$H,"&lt;="&amp;Heron!AB$9,Sales!$H:$H,"&gt;"&amp;Heron!AA$9,Sales!$F:$F,1)</f>
        <v/>
      </c>
      <c r="AC27" s="117">
        <f>-SUMIFS(Xero!$F:$F,Xero!$B:$B,Heron!AC$9,Xero!$A:$A,Heron!$A$4,Xero!$E:$E,Heron!$A27)-SUMIFS(Xero!$F:$F,Xero!$B:$B,Heron!AC$9,Xero!$A:$A,Heron!$A$5,Xero!$E:$E,Heron!$A27)+SUMIFS(Sales!$K:$K,Sales!$E:$E,FALSE,Sales!$A:$A,Heron!$B$5,Sales!$H:$H,"&lt;="&amp;Heron!AC$9,Sales!$H:$H,"&gt;"&amp;Heron!AB$9,Sales!$F:$F,1)</f>
        <v/>
      </c>
      <c r="AD27" s="117">
        <f>-SUMIFS(Xero!$F:$F,Xero!$B:$B,Heron!AD$9,Xero!$A:$A,Heron!$A$4,Xero!$E:$E,Heron!$A27)-SUMIFS(Xero!$F:$F,Xero!$B:$B,Heron!AD$9,Xero!$A:$A,Heron!$A$5,Xero!$E:$E,Heron!$A27)+SUMIFS(Sales!$K:$K,Sales!$E:$E,FALSE,Sales!$A:$A,Heron!$B$5,Sales!$H:$H,"&lt;="&amp;Heron!AD$9,Sales!$H:$H,"&gt;"&amp;Heron!AC$9,Sales!$F:$F,1)</f>
        <v/>
      </c>
      <c r="AE27" s="117">
        <f>-SUMIFS(Xero!$F:$F,Xero!$B:$B,Heron!AE$9,Xero!$A:$A,Heron!$A$4,Xero!$E:$E,Heron!$A27)-SUMIFS(Xero!$F:$F,Xero!$B:$B,Heron!AE$9,Xero!$A:$A,Heron!$A$5,Xero!$E:$E,Heron!$A27)+SUMIFS(Sales!$K:$K,Sales!$E:$E,FALSE,Sales!$A:$A,Heron!$B$5,Sales!$H:$H,"&lt;="&amp;Heron!AE$9,Sales!$H:$H,"&gt;"&amp;Heron!AD$9,Sales!$F:$F,1)</f>
        <v/>
      </c>
      <c r="AF27" s="117">
        <f>-SUMIFS(Xero!$F:$F,Xero!$B:$B,Heron!AF$9,Xero!$A:$A,Heron!$A$4,Xero!$E:$E,Heron!$A27)-SUMIFS(Xero!$F:$F,Xero!$B:$B,Heron!AF$9,Xero!$A:$A,Heron!$A$5,Xero!$E:$E,Heron!$A27)+SUMIFS(Sales!$K:$K,Sales!$E:$E,FALSE,Sales!$A:$A,Heron!$B$5,Sales!$H:$H,"&lt;="&amp;Heron!AF$9,Sales!$H:$H,"&gt;"&amp;Heron!AE$9,Sales!$F:$F,1)</f>
        <v/>
      </c>
      <c r="AG27" s="117">
        <f>-SUMIFS(Xero!$F:$F,Xero!$B:$B,Heron!AG$9,Xero!$A:$A,Heron!$A$4,Xero!$E:$E,Heron!$A27)-SUMIFS(Xero!$F:$F,Xero!$B:$B,Heron!AG$9,Xero!$A:$A,Heron!$A$5,Xero!$E:$E,Heron!$A27)+SUMIFS(Sales!$K:$K,Sales!$E:$E,FALSE,Sales!$A:$A,Heron!$B$5,Sales!$H:$H,"&lt;="&amp;Heron!AG$9,Sales!$H:$H,"&gt;"&amp;Heron!AF$9,Sales!$F:$F,1)</f>
        <v/>
      </c>
      <c r="AH27" s="117">
        <f>-SUMIFS(Xero!$F:$F,Xero!$B:$B,Heron!AH$9,Xero!$A:$A,Heron!$A$4,Xero!$E:$E,Heron!$A27)-SUMIFS(Xero!$F:$F,Xero!$B:$B,Heron!AH$9,Xero!$A:$A,Heron!$A$5,Xero!$E:$E,Heron!$A27)+SUMIFS(Sales!$K:$K,Sales!$E:$E,FALSE,Sales!$A:$A,Heron!$B$5,Sales!$H:$H,"&lt;="&amp;Heron!AH$9,Sales!$H:$H,"&gt;"&amp;Heron!AG$9,Sales!$F:$F,1)</f>
        <v/>
      </c>
      <c r="AI27" s="117">
        <f>-SUMIFS(Xero!$F:$F,Xero!$B:$B,Heron!AI$9,Xero!$A:$A,Heron!$A$4,Xero!$E:$E,Heron!$A27)-SUMIFS(Xero!$F:$F,Xero!$B:$B,Heron!AI$9,Xero!$A:$A,Heron!$A$5,Xero!$E:$E,Heron!$A27)+SUMIFS(Sales!$K:$K,Sales!$E:$E,FALSE,Sales!$A:$A,Heron!$B$5,Sales!$H:$H,"&lt;="&amp;Heron!AI$9,Sales!$H:$H,"&gt;"&amp;Heron!AH$9,Sales!$F:$F,1)</f>
        <v/>
      </c>
      <c r="AJ27" s="117">
        <f>-SUMIFS(Xero!$F:$F,Xero!$B:$B,Heron!AJ$9,Xero!$A:$A,Heron!$A$4,Xero!$E:$E,Heron!$A27)-SUMIFS(Xero!$F:$F,Xero!$B:$B,Heron!AJ$9,Xero!$A:$A,Heron!$A$5,Xero!$E:$E,Heron!$A27)+SUMIFS(Sales!$K:$K,Sales!$E:$E,FALSE,Sales!$A:$A,Heron!$B$5,Sales!$H:$H,"&lt;="&amp;Heron!AJ$9,Sales!$H:$H,"&gt;"&amp;Heron!AI$9,Sales!$F:$F,1)</f>
        <v/>
      </c>
      <c r="AK27" s="117">
        <f>-SUMIFS(Xero!$F:$F,Xero!$B:$B,Heron!AK$9,Xero!$A:$A,Heron!$A$4,Xero!$E:$E,Heron!$A27)-SUMIFS(Xero!$F:$F,Xero!$B:$B,Heron!AK$9,Xero!$A:$A,Heron!$A$5,Xero!$E:$E,Heron!$A27)+SUMIFS(Sales!$K:$K,Sales!$E:$E,FALSE,Sales!$A:$A,Heron!$B$5,Sales!$H:$H,"&lt;="&amp;Heron!AK$9,Sales!$H:$H,"&gt;"&amp;Heron!AJ$9,Sales!$F:$F,1)</f>
        <v/>
      </c>
      <c r="AL27" s="117">
        <f>-SUMIFS(Xero!$F:$F,Xero!$B:$B,Heron!AL$9,Xero!$A:$A,Heron!$A$4,Xero!$E:$E,Heron!$A27)-SUMIFS(Xero!$F:$F,Xero!$B:$B,Heron!AL$9,Xero!$A:$A,Heron!$A$5,Xero!$E:$E,Heron!$A27)+SUMIFS(Sales!$K:$K,Sales!$E:$E,FALSE,Sales!$A:$A,Heron!$B$5,Sales!$H:$H,"&lt;="&amp;Heron!AL$9,Sales!$H:$H,"&gt;"&amp;Heron!AK$9,Sales!$F:$F,1)</f>
        <v/>
      </c>
      <c r="AM27" s="117">
        <f>-SUMIFS(Xero!$F:$F,Xero!$B:$B,Heron!AM$9,Xero!$A:$A,Heron!$A$4,Xero!$E:$E,Heron!$A27)-SUMIFS(Xero!$F:$F,Xero!$B:$B,Heron!AM$9,Xero!$A:$A,Heron!$A$5,Xero!$E:$E,Heron!$A27)+SUMIFS(Sales!$K:$K,Sales!$E:$E,FALSE,Sales!$A:$A,Heron!$B$5,Sales!$H:$H,"&lt;="&amp;Heron!AM$9,Sales!$H:$H,"&gt;"&amp;Heron!AL$9,Sales!$F:$F,1)</f>
        <v/>
      </c>
      <c r="AN27" s="117">
        <f>-SUMIFS(Xero!$F:$F,Xero!$B:$B,Heron!AN$9,Xero!$A:$A,Heron!$A$4,Xero!$E:$E,Heron!$A27)-SUMIFS(Xero!$F:$F,Xero!$B:$B,Heron!AN$9,Xero!$A:$A,Heron!$A$5,Xero!$E:$E,Heron!$A27)+SUMIFS(Sales!$K:$K,Sales!$E:$E,FALSE,Sales!$A:$A,Heron!$B$5,Sales!$H:$H,"&lt;="&amp;Heron!AN$9,Sales!$H:$H,"&gt;"&amp;Heron!AM$9,Sales!$F:$F,1)</f>
        <v/>
      </c>
      <c r="AO27" s="117">
        <f>-SUMIFS(Xero!$F:$F,Xero!$B:$B,Heron!AO$9,Xero!$A:$A,Heron!$A$4,Xero!$E:$E,Heron!$A27)-SUMIFS(Xero!$F:$F,Xero!$B:$B,Heron!AO$9,Xero!$A:$A,Heron!$A$5,Xero!$E:$E,Heron!$A27)+SUMIFS(Sales!$K:$K,Sales!$E:$E,FALSE,Sales!$A:$A,Heron!$B$5,Sales!$H:$H,"&lt;="&amp;Heron!AO$9,Sales!$H:$H,"&gt;"&amp;Heron!AN$9,Sales!$F:$F,1)</f>
        <v/>
      </c>
      <c r="AP27" s="117">
        <f>-SUMIFS(Xero!$F:$F,Xero!$B:$B,Heron!AP$9,Xero!$A:$A,Heron!$A$4,Xero!$E:$E,Heron!$A27)-SUMIFS(Xero!$F:$F,Xero!$B:$B,Heron!AP$9,Xero!$A:$A,Heron!$A$5,Xero!$E:$E,Heron!$A27)+SUMIFS(Sales!$K:$K,Sales!$E:$E,FALSE,Sales!$A:$A,Heron!$B$5,Sales!$H:$H,"&lt;="&amp;Heron!AP$9,Sales!$H:$H,"&gt;"&amp;Heron!AO$9,Sales!$F:$F,1)</f>
        <v/>
      </c>
      <c r="AQ27" s="117">
        <f>-SUMIFS(Xero!$F:$F,Xero!$B:$B,Heron!AQ$9,Xero!$A:$A,Heron!$A$4,Xero!$E:$E,Heron!$A27)-SUMIFS(Xero!$F:$F,Xero!$B:$B,Heron!AQ$9,Xero!$A:$A,Heron!$A$5,Xero!$E:$E,Heron!$A27)+SUMIFS(Sales!$K:$K,Sales!$E:$E,FALSE,Sales!$A:$A,Heron!$B$5,Sales!$H:$H,"&lt;="&amp;Heron!AQ$9,Sales!$H:$H,"&gt;"&amp;Heron!AP$9,Sales!$F:$F,1)</f>
        <v/>
      </c>
      <c r="AR27" s="117">
        <f>-SUMIFS(Xero!$F:$F,Xero!$B:$B,Heron!AR$9,Xero!$A:$A,Heron!$A$4,Xero!$E:$E,Heron!$A27)-SUMIFS(Xero!$F:$F,Xero!$B:$B,Heron!AR$9,Xero!$A:$A,Heron!$A$5,Xero!$E:$E,Heron!$A27)+SUMIFS(Sales!$K:$K,Sales!$E:$E,FALSE,Sales!$A:$A,Heron!$B$5,Sales!$H:$H,"&lt;="&amp;Heron!AR$9,Sales!$H:$H,"&gt;"&amp;Heron!AQ$9,Sales!$F:$F,1)</f>
        <v/>
      </c>
      <c r="AS27" s="117">
        <f>-SUMIFS(Xero!$F:$F,Xero!$B:$B,Heron!AS$9,Xero!$A:$A,Heron!$A$4,Xero!$E:$E,Heron!$A27)-SUMIFS(Xero!$F:$F,Xero!$B:$B,Heron!AS$9,Xero!$A:$A,Heron!$A$5,Xero!$E:$E,Heron!$A27)+SUMIFS(Sales!$K:$K,Sales!$E:$E,FALSE,Sales!$A:$A,Heron!$B$5,Sales!$H:$H,"&lt;="&amp;Heron!AS$9,Sales!$H:$H,"&gt;"&amp;Heron!AR$9,Sales!$F:$F,1)</f>
        <v/>
      </c>
      <c r="AT27" s="117">
        <f>-SUMIFS(Xero!$F:$F,Xero!$B:$B,Heron!AT$9,Xero!$A:$A,Heron!$A$4,Xero!$E:$E,Heron!$A27)-SUMIFS(Xero!$F:$F,Xero!$B:$B,Heron!AT$9,Xero!$A:$A,Heron!$A$5,Xero!$E:$E,Heron!$A27)+SUMIFS(Sales!$K:$K,Sales!$E:$E,FALSE,Sales!$A:$A,Heron!$B$5,Sales!$H:$H,"&lt;="&amp;Heron!AT$9,Sales!$H:$H,"&gt;"&amp;Heron!AS$9,Sales!$F:$F,1)</f>
        <v/>
      </c>
      <c r="AU27" s="117">
        <f>-SUMIFS(Xero!$F:$F,Xero!$B:$B,Heron!AU$9,Xero!$A:$A,Heron!$A$4,Xero!$E:$E,Heron!$A27)-SUMIFS(Xero!$F:$F,Xero!$B:$B,Heron!AU$9,Xero!$A:$A,Heron!$A$5,Xero!$E:$E,Heron!$A27)+SUMIFS(Sales!$K:$K,Sales!$E:$E,FALSE,Sales!$A:$A,Heron!$B$5,Sales!$H:$H,"&lt;="&amp;Heron!AU$9,Sales!$H:$H,"&gt;"&amp;Heron!AT$9,Sales!$F:$F,1)</f>
        <v/>
      </c>
      <c r="AV27" s="117">
        <f>-SUMIFS(Xero!$F:$F,Xero!$B:$B,Heron!AV$9,Xero!$A:$A,Heron!$A$4,Xero!$E:$E,Heron!$A27)-SUMIFS(Xero!$F:$F,Xero!$B:$B,Heron!AV$9,Xero!$A:$A,Heron!$A$5,Xero!$E:$E,Heron!$A27)+SUMIFS(Sales!$K:$K,Sales!$E:$E,FALSE,Sales!$A:$A,Heron!$B$5,Sales!$H:$H,"&lt;="&amp;Heron!AV$9,Sales!$H:$H,"&gt;"&amp;Heron!AU$9,Sales!$F:$F,1)</f>
        <v/>
      </c>
      <c r="AW27" s="117">
        <f>-SUMIFS(Xero!$F:$F,Xero!$B:$B,Heron!AW$9,Xero!$A:$A,Heron!$A$4,Xero!$E:$E,Heron!$A27)-SUMIFS(Xero!$F:$F,Xero!$B:$B,Heron!AW$9,Xero!$A:$A,Heron!$A$5,Xero!$E:$E,Heron!$A27)+SUMIFS(Sales!$K:$K,Sales!$E:$E,FALSE,Sales!$A:$A,Heron!$B$5,Sales!$H:$H,"&lt;="&amp;Heron!AW$9,Sales!$H:$H,"&gt;"&amp;Heron!AV$9,Sales!$F:$F,1)</f>
        <v/>
      </c>
      <c r="AX27" s="117">
        <f>-SUMIFS(Xero!$F:$F,Xero!$B:$B,Heron!AX$9,Xero!$A:$A,Heron!$A$4,Xero!$E:$E,Heron!$A27)-SUMIFS(Xero!$F:$F,Xero!$B:$B,Heron!AX$9,Xero!$A:$A,Heron!$A$5,Xero!$E:$E,Heron!$A27)+SUMIFS(Sales!$K:$K,Sales!$E:$E,FALSE,Sales!$A:$A,Heron!$B$5,Sales!$H:$H,"&lt;="&amp;Heron!AX$9,Sales!$H:$H,"&gt;"&amp;Heron!AW$9,Sales!$F:$F,1)</f>
        <v/>
      </c>
      <c r="AY27" s="117">
        <f>-SUMIFS(Xero!$F:$F,Xero!$B:$B,Heron!AY$9,Xero!$A:$A,Heron!$A$4,Xero!$E:$E,Heron!$A27)-SUMIFS(Xero!$F:$F,Xero!$B:$B,Heron!AY$9,Xero!$A:$A,Heron!$A$5,Xero!$E:$E,Heron!$A27)+SUMIFS(Sales!$K:$K,Sales!$E:$E,FALSE,Sales!$A:$A,Heron!$B$5,Sales!$H:$H,"&lt;="&amp;Heron!AY$9,Sales!$H:$H,"&gt;"&amp;Heron!AX$9,Sales!$F:$F,1)</f>
        <v/>
      </c>
      <c r="AZ27" s="117">
        <f>-SUMIFS(Xero!$F:$F,Xero!$B:$B,Heron!AZ$9,Xero!$A:$A,Heron!$A$4,Xero!$E:$E,Heron!$A27)-SUMIFS(Xero!$F:$F,Xero!$B:$B,Heron!AZ$9,Xero!$A:$A,Heron!$A$5,Xero!$E:$E,Heron!$A27)+SUMIFS(Sales!$K:$K,Sales!$E:$E,FALSE,Sales!$A:$A,Heron!$B$5,Sales!$H:$H,"&lt;="&amp;Heron!AZ$9,Sales!$H:$H,"&gt;"&amp;Heron!AY$9,Sales!$F:$F,1)</f>
        <v/>
      </c>
      <c r="BA27" s="117">
        <f>-SUMIFS(Xero!$F:$F,Xero!$B:$B,Heron!BA$9,Xero!$A:$A,Heron!$A$4,Xero!$E:$E,Heron!$A27)-SUMIFS(Xero!$F:$F,Xero!$B:$B,Heron!BA$9,Xero!$A:$A,Heron!$A$5,Xero!$E:$E,Heron!$A27)+SUMIFS(Sales!$K:$K,Sales!$E:$E,FALSE,Sales!$A:$A,Heron!$B$5,Sales!$H:$H,"&lt;="&amp;Heron!BA$9,Sales!$H:$H,"&gt;"&amp;Heron!AZ$9,Sales!$F:$F,1)</f>
        <v/>
      </c>
      <c r="BB27" s="117">
        <f>-SUMIFS(Xero!$F:$F,Xero!$B:$B,Heron!BB$9,Xero!$A:$A,Heron!$A$4,Xero!$E:$E,Heron!$A27)-SUMIFS(Xero!$F:$F,Xero!$B:$B,Heron!BB$9,Xero!$A:$A,Heron!$A$5,Xero!$E:$E,Heron!$A27)+SUMIFS(Sales!$K:$K,Sales!$E:$E,FALSE,Sales!$A:$A,Heron!$B$5,Sales!$H:$H,"&lt;="&amp;Heron!BB$9,Sales!$H:$H,"&gt;"&amp;Heron!BA$9,Sales!$F:$F,1)</f>
        <v/>
      </c>
      <c r="BC27" s="117">
        <f>-SUMIFS(Xero!$F:$F,Xero!$B:$B,Heron!BC$9,Xero!$A:$A,Heron!$A$4,Xero!$E:$E,Heron!$A27)-SUMIFS(Xero!$F:$F,Xero!$B:$B,Heron!BC$9,Xero!$A:$A,Heron!$A$5,Xero!$E:$E,Heron!$A27)+SUMIFS(Sales!$K:$K,Sales!$E:$E,FALSE,Sales!$A:$A,Heron!$B$5,Sales!$H:$H,"&lt;="&amp;Heron!BC$9,Sales!$H:$H,"&gt;"&amp;Heron!BB$9,Sales!$F:$F,1)</f>
        <v/>
      </c>
      <c r="BD27" s="117">
        <f>-SUMIFS(Xero!$F:$F,Xero!$B:$B,Heron!BD$9,Xero!$A:$A,Heron!$A$4,Xero!$E:$E,Heron!$A27)-SUMIFS(Xero!$F:$F,Xero!$B:$B,Heron!BD$9,Xero!$A:$A,Heron!$A$5,Xero!$E:$E,Heron!$A27)+SUMIFS(Sales!$K:$K,Sales!$E:$E,FALSE,Sales!$A:$A,Heron!$B$5,Sales!$H:$H,"&lt;="&amp;Heron!BD$9,Sales!$H:$H,"&gt;"&amp;Heron!BC$9,Sales!$F:$F,1)</f>
        <v/>
      </c>
      <c r="BE27" s="117">
        <f>-SUMIFS(Xero!$F:$F,Xero!$B:$B,Heron!BE$9,Xero!$A:$A,Heron!$A$4,Xero!$E:$E,Heron!$A27)-SUMIFS(Xero!$F:$F,Xero!$B:$B,Heron!BE$9,Xero!$A:$A,Heron!$A$5,Xero!$E:$E,Heron!$A27)+SUMIFS(Sales!$K:$K,Sales!$E:$E,FALSE,Sales!$A:$A,Heron!$B$5,Sales!$H:$H,"&lt;="&amp;Heron!BE$9,Sales!$H:$H,"&gt;"&amp;Heron!BD$9,Sales!$F:$F,1)</f>
        <v/>
      </c>
      <c r="BF27" s="117">
        <f>-SUMIFS(Xero!$F:$F,Xero!$B:$B,Heron!BF$9,Xero!$A:$A,Heron!$A$4,Xero!$E:$E,Heron!$A27)-SUMIFS(Xero!$F:$F,Xero!$B:$B,Heron!BF$9,Xero!$A:$A,Heron!$A$5,Xero!$E:$E,Heron!$A27)+SUMIFS(Sales!$K:$K,Sales!$E:$E,FALSE,Sales!$A:$A,Heron!$B$5,Sales!$H:$H,"&lt;="&amp;Heron!BF$9,Sales!$H:$H,"&gt;"&amp;Heron!BE$9,Sales!$F:$F,1)</f>
        <v/>
      </c>
      <c r="BG27" s="117">
        <f>-SUMIFS(Xero!$F:$F,Xero!$B:$B,Heron!BG$9,Xero!$A:$A,Heron!$A$4,Xero!$E:$E,Heron!$A27)-SUMIFS(Xero!$F:$F,Xero!$B:$B,Heron!BG$9,Xero!$A:$A,Heron!$A$5,Xero!$E:$E,Heron!$A27)+SUMIFS(Sales!$K:$K,Sales!$E:$E,FALSE,Sales!$A:$A,Heron!$B$5,Sales!$H:$H,"&lt;="&amp;Heron!BG$9,Sales!$H:$H,"&gt;"&amp;Heron!BF$9,Sales!$F:$F,1)</f>
        <v/>
      </c>
      <c r="BH27" s="117">
        <f>-SUMIFS(Xero!$F:$F,Xero!$B:$B,Heron!BH$9,Xero!$A:$A,Heron!$A$4,Xero!$E:$E,Heron!$A27)-SUMIFS(Xero!$F:$F,Xero!$B:$B,Heron!BH$9,Xero!$A:$A,Heron!$A$5,Xero!$E:$E,Heron!$A27)+SUMIFS(Sales!$K:$K,Sales!$E:$E,FALSE,Sales!$A:$A,Heron!$B$5,Sales!$H:$H,"&lt;="&amp;Heron!BH$9,Sales!$H:$H,"&gt;"&amp;Heron!BG$9,Sales!$F:$F,1)</f>
        <v/>
      </c>
      <c r="BI27" s="117">
        <f>-SUMIFS(Xero!$F:$F,Xero!$B:$B,Heron!BI$9,Xero!$A:$A,Heron!$A$4,Xero!$E:$E,Heron!$A27)-SUMIFS(Xero!$F:$F,Xero!$B:$B,Heron!BI$9,Xero!$A:$A,Heron!$A$5,Xero!$E:$E,Heron!$A27)+SUMIFS(Sales!$K:$K,Sales!$E:$E,FALSE,Sales!$A:$A,Heron!$B$5,Sales!$H:$H,"&lt;="&amp;Heron!BI$9,Sales!$H:$H,"&gt;"&amp;Heron!BH$9,Sales!$F:$F,1)</f>
        <v/>
      </c>
      <c r="BJ27" s="117">
        <f>-SUMIFS(Xero!$F:$F,Xero!$B:$B,Heron!BJ$9,Xero!$A:$A,Heron!$A$4,Xero!$E:$E,Heron!$A27)-SUMIFS(Xero!$F:$F,Xero!$B:$B,Heron!BJ$9,Xero!$A:$A,Heron!$A$5,Xero!$E:$E,Heron!$A27)+SUMIFS(Sales!$K:$K,Sales!$E:$E,FALSE,Sales!$A:$A,Heron!$B$5,Sales!$H:$H,"&lt;="&amp;Heron!BJ$9,Sales!$H:$H,"&gt;"&amp;Heron!BI$9,Sales!$F:$F,1)</f>
        <v/>
      </c>
      <c r="BK27" s="117">
        <f>sum(D27:BJ27)</f>
        <v/>
      </c>
    </row>
    <row r="29">
      <c r="A29" s="115" t="inlineStr">
        <is>
          <t>Total Income</t>
        </is>
      </c>
      <c r="D29" s="118">
        <f>sum(D13:D27)</f>
        <v/>
      </c>
      <c r="E29" s="118">
        <f>sum(E13:E27)</f>
        <v/>
      </c>
      <c r="F29" s="118">
        <f>sum(F13:F27)</f>
        <v/>
      </c>
      <c r="G29" s="118">
        <f>sum(G13:G27)</f>
        <v/>
      </c>
      <c r="H29" s="118">
        <f>sum(H13:H27)</f>
        <v/>
      </c>
      <c r="I29" s="118">
        <f>sum(I13:I27)</f>
        <v/>
      </c>
      <c r="J29" s="118">
        <f>sum(J13:J27)</f>
        <v/>
      </c>
      <c r="K29" s="118">
        <f>sum(K13:K27)</f>
        <v/>
      </c>
      <c r="L29" s="118">
        <f>sum(L13:L27)</f>
        <v/>
      </c>
      <c r="M29" s="118">
        <f>sum(M13:M27)</f>
        <v/>
      </c>
      <c r="N29" s="118">
        <f>sum(N13:N27)</f>
        <v/>
      </c>
      <c r="O29" s="118">
        <f>sum(O13:O27)</f>
        <v/>
      </c>
      <c r="P29" s="118">
        <f>sum(P13:P27)</f>
        <v/>
      </c>
      <c r="Q29" s="118">
        <f>sum(Q13:Q27)</f>
        <v/>
      </c>
      <c r="R29" s="118">
        <f>sum(R13:R27)</f>
        <v/>
      </c>
      <c r="S29" s="118">
        <f>sum(S13:S27)</f>
        <v/>
      </c>
      <c r="T29" s="118">
        <f>sum(T13:T27)</f>
        <v/>
      </c>
      <c r="U29" s="118">
        <f>sum(U13:U27)</f>
        <v/>
      </c>
      <c r="V29" s="118">
        <f>sum(V13:V27)</f>
        <v/>
      </c>
      <c r="W29" s="118">
        <f>sum(W13:W27)</f>
        <v/>
      </c>
      <c r="X29" s="118">
        <f>sum(X13:X27)</f>
        <v/>
      </c>
      <c r="Y29" s="118">
        <f>sum(Y13:Y27)</f>
        <v/>
      </c>
      <c r="Z29" s="118">
        <f>sum(Z13:Z27)</f>
        <v/>
      </c>
      <c r="AA29" s="118">
        <f>sum(AA13:AA27)</f>
        <v/>
      </c>
      <c r="AB29" s="118">
        <f>sum(AB13:AB27)</f>
        <v/>
      </c>
      <c r="AC29" s="118">
        <f>sum(AC13:AC27)</f>
        <v/>
      </c>
      <c r="AD29" s="118">
        <f>sum(AD13:AD27)</f>
        <v/>
      </c>
      <c r="AE29" s="118">
        <f>sum(AE13:AE27)</f>
        <v/>
      </c>
      <c r="AF29" s="118">
        <f>sum(AF13:AF27)</f>
        <v/>
      </c>
      <c r="AG29" s="118">
        <f>sum(AG13:AG27)</f>
        <v/>
      </c>
      <c r="AH29" s="118">
        <f>sum(AH13:AH27)</f>
        <v/>
      </c>
      <c r="AI29" s="118">
        <f>sum(AI13:AI27)</f>
        <v/>
      </c>
      <c r="AJ29" s="118">
        <f>sum(AJ13:AJ27)</f>
        <v/>
      </c>
      <c r="AK29" s="118">
        <f>sum(AK13:AK27)</f>
        <v/>
      </c>
      <c r="AL29" s="118">
        <f>sum(AL13:AL27)</f>
        <v/>
      </c>
      <c r="AM29" s="118">
        <f>sum(AM13:AM27)</f>
        <v/>
      </c>
      <c r="AN29" s="118">
        <f>sum(AN13:AN27)</f>
        <v/>
      </c>
      <c r="AO29" s="118">
        <f>sum(AO13:AO27)</f>
        <v/>
      </c>
      <c r="AP29" s="118">
        <f>sum(AP13:AP27)</f>
        <v/>
      </c>
      <c r="AQ29" s="118">
        <f>sum(AQ13:AQ27)</f>
        <v/>
      </c>
      <c r="AR29" s="118">
        <f>sum(AR13:AR27)</f>
        <v/>
      </c>
      <c r="AS29" s="118">
        <f>sum(AS13:AS27)</f>
        <v/>
      </c>
      <c r="AT29" s="118">
        <f>sum(AT13:AT27)</f>
        <v/>
      </c>
      <c r="AU29" s="118">
        <f>sum(AU13:AU27)</f>
        <v/>
      </c>
      <c r="AV29" s="118">
        <f>sum(AV13:AV27)</f>
        <v/>
      </c>
      <c r="AW29" s="118">
        <f>sum(AW13:AW27)</f>
        <v/>
      </c>
      <c r="AX29" s="118">
        <f>sum(AX13:AX27)</f>
        <v/>
      </c>
      <c r="AY29" s="118">
        <f>sum(AY13:AY27)</f>
        <v/>
      </c>
      <c r="AZ29" s="118">
        <f>sum(AZ13:AZ27)</f>
        <v/>
      </c>
      <c r="BA29" s="118">
        <f>sum(BA13:BA27)</f>
        <v/>
      </c>
      <c r="BB29" s="118">
        <f>sum(BB13:BB27)</f>
        <v/>
      </c>
      <c r="BC29" s="118">
        <f>sum(BC13:BC27)</f>
        <v/>
      </c>
      <c r="BD29" s="118">
        <f>sum(BD13:BD27)</f>
        <v/>
      </c>
      <c r="BE29" s="118">
        <f>sum(BE13:BE27)</f>
        <v/>
      </c>
      <c r="BF29" s="118">
        <f>sum(BF13:BF27)</f>
        <v/>
      </c>
      <c r="BG29" s="118">
        <f>sum(BG13:BG27)</f>
        <v/>
      </c>
      <c r="BH29" s="118">
        <f>sum(BH13:BH27)</f>
        <v/>
      </c>
      <c r="BI29" s="118">
        <f>sum(BI13:BI27)</f>
        <v/>
      </c>
      <c r="BJ29" s="118">
        <f>sum(BJ13:BJ27)</f>
        <v/>
      </c>
      <c r="BK29" s="118">
        <f>sum(BK13:BK27)</f>
        <v/>
      </c>
      <c r="BL29" s="118">
        <f>sum(BL13:BL27)</f>
        <v/>
      </c>
    </row>
    <row r="31">
      <c r="A31" s="115" t="inlineStr">
        <is>
          <t>Expenses</t>
        </is>
      </c>
    </row>
    <row r="33">
      <c r="A33" s="116" t="inlineStr">
        <is>
          <t>Accounting - CIPC</t>
        </is>
      </c>
      <c r="D33" s="117">
        <f>SUMIFS(Xero!$F:$F,Xero!$B:$B,Heron!D$9,Xero!$A:$A,Heron!$A$4,Xero!$E:$E,Heron!$A33)+SUMIFS(Xero!$F:$F,Xero!$B:$B,Heron!D$9,Xero!$A:$A,Heron!$A$5,Xero!$E:$E,Heron!$A33)</f>
        <v/>
      </c>
      <c r="E33" s="117">
        <f>SUMIFS(Xero!$F:$F,Xero!$B:$B,Heron!E$9,Xero!$A:$A,Heron!$A$4,Xero!$E:$E,Heron!$A33)+SUMIFS(Xero!$F:$F,Xero!$B:$B,Heron!E$9,Xero!$A:$A,Heron!$A$5,Xero!$E:$E,Heron!$A33)</f>
        <v/>
      </c>
      <c r="F33" s="117">
        <f>SUMIFS(Xero!$F:$F,Xero!$B:$B,Heron!F$9,Xero!$A:$A,Heron!$A$4,Xero!$E:$E,Heron!$A33)+SUMIFS(Xero!$F:$F,Xero!$B:$B,Heron!F$9,Xero!$A:$A,Heron!$A$5,Xero!$E:$E,Heron!$A33)</f>
        <v/>
      </c>
      <c r="G33" s="117">
        <f>SUMIFS(Xero!$F:$F,Xero!$B:$B,Heron!G$9,Xero!$A:$A,Heron!$A$4,Xero!$E:$E,Heron!$A33)+SUMIFS(Xero!$F:$F,Xero!$B:$B,Heron!G$9,Xero!$A:$A,Heron!$A$5,Xero!$E:$E,Heron!$A33)</f>
        <v/>
      </c>
      <c r="H33" s="117">
        <f>SUMIFS(Xero!$F:$F,Xero!$B:$B,Heron!H$9,Xero!$A:$A,Heron!$A$4,Xero!$E:$E,Heron!$A33)+SUMIFS(Xero!$F:$F,Xero!$B:$B,Heron!H$9,Xero!$A:$A,Heron!$A$5,Xero!$E:$E,Heron!$A33)</f>
        <v/>
      </c>
      <c r="I33" s="117">
        <f>SUMIFS(Xero!$F:$F,Xero!$B:$B,Heron!I$9,Xero!$A:$A,Heron!$A$4,Xero!$E:$E,Heron!$A33)+SUMIFS(Xero!$F:$F,Xero!$B:$B,Heron!I$9,Xero!$A:$A,Heron!$A$5,Xero!$E:$E,Heron!$A33)</f>
        <v/>
      </c>
      <c r="J33" s="117">
        <f>SUMIFS(Xero!$F:$F,Xero!$B:$B,Heron!J$9,Xero!$A:$A,Heron!$A$4,Xero!$E:$E,Heron!$A33)+SUMIFS(Xero!$F:$F,Xero!$B:$B,Heron!J$9,Xero!$A:$A,Heron!$A$5,Xero!$E:$E,Heron!$A33)</f>
        <v/>
      </c>
      <c r="K33" s="117">
        <f>SUMIFS(Xero!$F:$F,Xero!$B:$B,Heron!K$9,Xero!$A:$A,Heron!$A$4,Xero!$E:$E,Heron!$A33)+SUMIFS(Xero!$F:$F,Xero!$B:$B,Heron!K$9,Xero!$A:$A,Heron!$A$5,Xero!$E:$E,Heron!$A33)</f>
        <v/>
      </c>
      <c r="L33" s="117">
        <f>SUMIFS(Xero!$F:$F,Xero!$B:$B,Heron!L$9,Xero!$A:$A,Heron!$A$4,Xero!$E:$E,Heron!$A33)+SUMIFS(Xero!$F:$F,Xero!$B:$B,Heron!L$9,Xero!$A:$A,Heron!$A$5,Xero!$E:$E,Heron!$A33)</f>
        <v/>
      </c>
      <c r="M33" s="117">
        <f>SUMIFS(Xero!$F:$F,Xero!$B:$B,Heron!M$9,Xero!$A:$A,Heron!$A$4,Xero!$E:$E,Heron!$A33)+SUMIFS(Xero!$F:$F,Xero!$B:$B,Heron!M$9,Xero!$A:$A,Heron!$A$5,Xero!$E:$E,Heron!$A33)</f>
        <v/>
      </c>
      <c r="N33" s="117">
        <f>SUMIFS(Xero!$F:$F,Xero!$B:$B,Heron!N$9,Xero!$A:$A,Heron!$A$4,Xero!$E:$E,Heron!$A33)+SUMIFS(Xero!$F:$F,Xero!$B:$B,Heron!N$9,Xero!$A:$A,Heron!$A$5,Xero!$E:$E,Heron!$A33)</f>
        <v/>
      </c>
      <c r="O33" s="117">
        <f>SUMIFS(Xero!$F:$F,Xero!$B:$B,Heron!O$9,Xero!$A:$A,Heron!$A$4,Xero!$E:$E,Heron!$A33)+SUMIFS(Xero!$F:$F,Xero!$B:$B,Heron!O$9,Xero!$A:$A,Heron!$A$5,Xero!$E:$E,Heron!$A33)</f>
        <v/>
      </c>
      <c r="P33" s="117">
        <f>SUMIFS(Xero!$F:$F,Xero!$B:$B,Heron!P$9,Xero!$A:$A,Heron!$A$4,Xero!$E:$E,Heron!$A33)+SUMIFS(Xero!$F:$F,Xero!$B:$B,Heron!P$9,Xero!$A:$A,Heron!$A$5,Xero!$E:$E,Heron!$A33)</f>
        <v/>
      </c>
      <c r="Q33" s="117">
        <f>SUMIFS(Xero!$F:$F,Xero!$B:$B,Heron!Q$9,Xero!$A:$A,Heron!$A$4,Xero!$E:$E,Heron!$A33)+SUMIFS(Xero!$F:$F,Xero!$B:$B,Heron!Q$9,Xero!$A:$A,Heron!$A$5,Xero!$E:$E,Heron!$A33)</f>
        <v/>
      </c>
      <c r="R33" s="117">
        <f>SUMIFS(Xero!$F:$F,Xero!$B:$B,Heron!R$9,Xero!$A:$A,Heron!$A$4,Xero!$E:$E,Heron!$A33)+SUMIFS(Xero!$F:$F,Xero!$B:$B,Heron!R$9,Xero!$A:$A,Heron!$A$5,Xero!$E:$E,Heron!$A33)</f>
        <v/>
      </c>
      <c r="S33" s="117">
        <f>SUMIFS(Xero!$F:$F,Xero!$B:$B,Heron!S$9,Xero!$A:$A,Heron!$A$4,Xero!$E:$E,Heron!$A33)+SUMIFS(Xero!$F:$F,Xero!$B:$B,Heron!S$9,Xero!$A:$A,Heron!$A$5,Xero!$E:$E,Heron!$A33)</f>
        <v/>
      </c>
      <c r="T33" s="117">
        <f>SUMIFS(Xero!$F:$F,Xero!$B:$B,Heron!T$9,Xero!$A:$A,Heron!$A$4,Xero!$E:$E,Heron!$A33)+SUMIFS(Xero!$F:$F,Xero!$B:$B,Heron!T$9,Xero!$A:$A,Heron!$A$5,Xero!$E:$E,Heron!$A33)</f>
        <v/>
      </c>
      <c r="U33" s="117">
        <f>SUMIFS(Xero!$F:$F,Xero!$B:$B,Heron!U$9,Xero!$A:$A,Heron!$A$4,Xero!$E:$E,Heron!$A33)+SUMIFS(Xero!$F:$F,Xero!$B:$B,Heron!U$9,Xero!$A:$A,Heron!$A$5,Xero!$E:$E,Heron!$A33)</f>
        <v/>
      </c>
      <c r="V33" s="117">
        <f>SUMIFS(Xero!$F:$F,Xero!$B:$B,Heron!V$9,Xero!$A:$A,Heron!$A$4,Xero!$E:$E,Heron!$A33)+SUMIFS(Xero!$F:$F,Xero!$B:$B,Heron!V$9,Xero!$A:$A,Heron!$A$5,Xero!$E:$E,Heron!$A33)</f>
        <v/>
      </c>
      <c r="W33" s="117">
        <f>SUMIFS(Xero!$F:$F,Xero!$B:$B,Heron!W$9,Xero!$A:$A,Heron!$A$4,Xero!$E:$E,Heron!$A33)+SUMIFS(Xero!$F:$F,Xero!$B:$B,Heron!W$9,Xero!$A:$A,Heron!$A$5,Xero!$E:$E,Heron!$A33)</f>
        <v/>
      </c>
      <c r="X33" s="117">
        <f>SUMIFS(Xero!$F:$F,Xero!$B:$B,Heron!X$9,Xero!$A:$A,Heron!$A$4,Xero!$E:$E,Heron!$A33)+SUMIFS(Xero!$F:$F,Xero!$B:$B,Heron!X$9,Xero!$A:$A,Heron!$A$5,Xero!$E:$E,Heron!$A33)</f>
        <v/>
      </c>
      <c r="Y33" s="117">
        <f>SUMIFS(Xero!$F:$F,Xero!$B:$B,Heron!Y$9,Xero!$A:$A,Heron!$A$4,Xero!$E:$E,Heron!$A33)+SUMIFS(Xero!$F:$F,Xero!$B:$B,Heron!Y$9,Xero!$A:$A,Heron!$A$5,Xero!$E:$E,Heron!$A33)</f>
        <v/>
      </c>
      <c r="Z33" s="117">
        <f>SUMIFS(Xero!$F:$F,Xero!$B:$B,Heron!Z$9,Xero!$A:$A,Heron!$A$4,Xero!$E:$E,Heron!$A33)+SUMIFS(Xero!$F:$F,Xero!$B:$B,Heron!Z$9,Xero!$A:$A,Heron!$A$5,Xero!$E:$E,Heron!$A33)</f>
        <v/>
      </c>
      <c r="AA33" s="117">
        <f>SUMIFS(Xero!$F:$F,Xero!$B:$B,Heron!AA$9,Xero!$A:$A,Heron!$A$4,Xero!$E:$E,Heron!$A33)+SUMIFS(Xero!$F:$F,Xero!$B:$B,Heron!AA$9,Xero!$A:$A,Heron!$A$5,Xero!$E:$E,Heron!$A33)</f>
        <v/>
      </c>
      <c r="AB33" s="117">
        <f>SUMIFS(Xero!$F:$F,Xero!$B:$B,Heron!AB$9,Xero!$A:$A,Heron!$A$4,Xero!$E:$E,Heron!$A33)+SUMIFS(Xero!$F:$F,Xero!$B:$B,Heron!AB$9,Xero!$A:$A,Heron!$A$5,Xero!$E:$E,Heron!$A33)</f>
        <v/>
      </c>
      <c r="AC33" s="117">
        <f>SUMIFS(Xero!$F:$F,Xero!$B:$B,Heron!AC$9,Xero!$A:$A,Heron!$A$4,Xero!$E:$E,Heron!$A33)+SUMIFS(Xero!$F:$F,Xero!$B:$B,Heron!AC$9,Xero!$A:$A,Heron!$A$5,Xero!$E:$E,Heron!$A33)</f>
        <v/>
      </c>
      <c r="AD33" s="117">
        <f>SUMIFS(Xero!$F:$F,Xero!$B:$B,Heron!AD$9,Xero!$A:$A,Heron!$A$4,Xero!$E:$E,Heron!$A33)+SUMIFS(Xero!$F:$F,Xero!$B:$B,Heron!AD$9,Xero!$A:$A,Heron!$A$5,Xero!$E:$E,Heron!$A33)</f>
        <v/>
      </c>
      <c r="AE33" s="117">
        <f>SUMIFS(Xero!$F:$F,Xero!$B:$B,Heron!AE$9,Xero!$A:$A,Heron!$A$4,Xero!$E:$E,Heron!$A33)+SUMIFS(Xero!$F:$F,Xero!$B:$B,Heron!AE$9,Xero!$A:$A,Heron!$A$5,Xero!$E:$E,Heron!$A33)</f>
        <v/>
      </c>
      <c r="AF33" s="117">
        <f>SUMIFS(Xero!$F:$F,Xero!$B:$B,Heron!AF$9,Xero!$A:$A,Heron!$A$4,Xero!$E:$E,Heron!$A33)+SUMIFS(Xero!$F:$F,Xero!$B:$B,Heron!AF$9,Xero!$A:$A,Heron!$A$5,Xero!$E:$E,Heron!$A33)</f>
        <v/>
      </c>
      <c r="AG33" s="117">
        <f>SUMIFS(Xero!$F:$F,Xero!$B:$B,Heron!AG$9,Xero!$A:$A,Heron!$A$4,Xero!$E:$E,Heron!$A33)+SUMIFS(Xero!$F:$F,Xero!$B:$B,Heron!AG$9,Xero!$A:$A,Heron!$A$5,Xero!$E:$E,Heron!$A33)</f>
        <v/>
      </c>
      <c r="AH33" s="117">
        <f>SUMIFS(Xero!$F:$F,Xero!$B:$B,Heron!AH$9,Xero!$A:$A,Heron!$A$4,Xero!$E:$E,Heron!$A33)+SUMIFS(Xero!$F:$F,Xero!$B:$B,Heron!AH$9,Xero!$A:$A,Heron!$A$5,Xero!$E:$E,Heron!$A33)</f>
        <v/>
      </c>
      <c r="AI33" s="117">
        <f>SUMIFS(Xero!$F:$F,Xero!$B:$B,Heron!AI$9,Xero!$A:$A,Heron!$A$4,Xero!$E:$E,Heron!$A33)+SUMIFS(Xero!$F:$F,Xero!$B:$B,Heron!AI$9,Xero!$A:$A,Heron!$A$5,Xero!$E:$E,Heron!$A33)</f>
        <v/>
      </c>
      <c r="AJ33" s="117">
        <f>SUMIFS(Xero!$F:$F,Xero!$B:$B,Heron!AJ$9,Xero!$A:$A,Heron!$A$4,Xero!$E:$E,Heron!$A33)+SUMIFS(Xero!$F:$F,Xero!$B:$B,Heron!AJ$9,Xero!$A:$A,Heron!$A$5,Xero!$E:$E,Heron!$A33)</f>
        <v/>
      </c>
      <c r="AK33" s="117">
        <f>SUMIFS(Xero!$F:$F,Xero!$B:$B,Heron!AK$9,Xero!$A:$A,Heron!$A$4,Xero!$E:$E,Heron!$A33)+SUMIFS(Xero!$F:$F,Xero!$B:$B,Heron!AK$9,Xero!$A:$A,Heron!$A$5,Xero!$E:$E,Heron!$A33)</f>
        <v/>
      </c>
      <c r="AL33" s="117">
        <f>SUMIFS(Xero!$F:$F,Xero!$B:$B,Heron!AL$9,Xero!$A:$A,Heron!$A$4,Xero!$E:$E,Heron!$A33)+SUMIFS(Xero!$F:$F,Xero!$B:$B,Heron!AL$9,Xero!$A:$A,Heron!$A$5,Xero!$E:$E,Heron!$A33)</f>
        <v/>
      </c>
      <c r="AM33" s="117">
        <f>SUMIFS(Xero!$F:$F,Xero!$B:$B,Heron!AM$9,Xero!$A:$A,Heron!$A$4,Xero!$E:$E,Heron!$A33)+SUMIFS(Xero!$F:$F,Xero!$B:$B,Heron!AM$9,Xero!$A:$A,Heron!$A$5,Xero!$E:$E,Heron!$A33)</f>
        <v/>
      </c>
      <c r="AN33" s="117">
        <f>SUMIFS(Xero!$F:$F,Xero!$B:$B,Heron!AN$9,Xero!$A:$A,Heron!$A$4,Xero!$E:$E,Heron!$A33)+SUMIFS(Xero!$F:$F,Xero!$B:$B,Heron!AN$9,Xero!$A:$A,Heron!$A$5,Xero!$E:$E,Heron!$A33)</f>
        <v/>
      </c>
      <c r="AO33" s="117">
        <f>SUMIFS(Xero!$F:$F,Xero!$B:$B,Heron!AO$9,Xero!$A:$A,Heron!$A$4,Xero!$E:$E,Heron!$A33)+SUMIFS(Xero!$F:$F,Xero!$B:$B,Heron!AO$9,Xero!$A:$A,Heron!$A$5,Xero!$E:$E,Heron!$A33)</f>
        <v/>
      </c>
      <c r="AP33" s="117">
        <f>SUMIFS(Xero!$F:$F,Xero!$B:$B,Heron!AP$9,Xero!$A:$A,Heron!$A$4,Xero!$E:$E,Heron!$A33)+SUMIFS(Xero!$F:$F,Xero!$B:$B,Heron!AP$9,Xero!$A:$A,Heron!$A$5,Xero!$E:$E,Heron!$A33)</f>
        <v/>
      </c>
      <c r="AQ33" s="117">
        <f>SUMIFS(Xero!$F:$F,Xero!$B:$B,Heron!AQ$9,Xero!$A:$A,Heron!$A$4,Xero!$E:$E,Heron!$A33)+SUMIFS(Xero!$F:$F,Xero!$B:$B,Heron!AQ$9,Xero!$A:$A,Heron!$A$5,Xero!$E:$E,Heron!$A33)</f>
        <v/>
      </c>
      <c r="AR33" s="117">
        <f>SUMIFS(Xero!$F:$F,Xero!$B:$B,Heron!AR$9,Xero!$A:$A,Heron!$A$4,Xero!$E:$E,Heron!$A33)+SUMIFS(Xero!$F:$F,Xero!$B:$B,Heron!AR$9,Xero!$A:$A,Heron!$A$5,Xero!$E:$E,Heron!$A33)</f>
        <v/>
      </c>
      <c r="AS33" s="117">
        <f>SUMIFS(Xero!$F:$F,Xero!$B:$B,Heron!AS$9,Xero!$A:$A,Heron!$A$4,Xero!$E:$E,Heron!$A33)+SUMIFS(Xero!$F:$F,Xero!$B:$B,Heron!AS$9,Xero!$A:$A,Heron!$A$5,Xero!$E:$E,Heron!$A33)</f>
        <v/>
      </c>
      <c r="AT33" s="117">
        <f>SUMIFS(Xero!$F:$F,Xero!$B:$B,Heron!AT$9,Xero!$A:$A,Heron!$A$4,Xero!$E:$E,Heron!$A33)+SUMIFS(Xero!$F:$F,Xero!$B:$B,Heron!AT$9,Xero!$A:$A,Heron!$A$5,Xero!$E:$E,Heron!$A33)</f>
        <v/>
      </c>
      <c r="AU33" s="117">
        <f>SUMIFS(Xero!$F:$F,Xero!$B:$B,Heron!AU$9,Xero!$A:$A,Heron!$A$4,Xero!$E:$E,Heron!$A33)+SUMIFS(Xero!$F:$F,Xero!$B:$B,Heron!AU$9,Xero!$A:$A,Heron!$A$5,Xero!$E:$E,Heron!$A33)</f>
        <v/>
      </c>
      <c r="AV33" s="117">
        <f>SUMIFS(Xero!$F:$F,Xero!$B:$B,Heron!AV$9,Xero!$A:$A,Heron!$A$4,Xero!$E:$E,Heron!$A33)+SUMIFS(Xero!$F:$F,Xero!$B:$B,Heron!AV$9,Xero!$A:$A,Heron!$A$5,Xero!$E:$E,Heron!$A33)</f>
        <v/>
      </c>
      <c r="AW33" s="117">
        <f>SUMIFS(Xero!$F:$F,Xero!$B:$B,Heron!AW$9,Xero!$A:$A,Heron!$A$4,Xero!$E:$E,Heron!$A33)+SUMIFS(Xero!$F:$F,Xero!$B:$B,Heron!AW$9,Xero!$A:$A,Heron!$A$5,Xero!$E:$E,Heron!$A33)</f>
        <v/>
      </c>
      <c r="AX33" s="117">
        <f>SUMIFS(Xero!$F:$F,Xero!$B:$B,Heron!AX$9,Xero!$A:$A,Heron!$A$4,Xero!$E:$E,Heron!$A33)+SUMIFS(Xero!$F:$F,Xero!$B:$B,Heron!AX$9,Xero!$A:$A,Heron!$A$5,Xero!$E:$E,Heron!$A33)</f>
        <v/>
      </c>
      <c r="AY33" s="117">
        <f>SUMIFS(Xero!$F:$F,Xero!$B:$B,Heron!AY$9,Xero!$A:$A,Heron!$A$4,Xero!$E:$E,Heron!$A33)+SUMIFS(Xero!$F:$F,Xero!$B:$B,Heron!AY$9,Xero!$A:$A,Heron!$A$5,Xero!$E:$E,Heron!$A33)</f>
        <v/>
      </c>
      <c r="AZ33" s="117">
        <f>SUMIFS(Xero!$F:$F,Xero!$B:$B,Heron!AZ$9,Xero!$A:$A,Heron!$A$4,Xero!$E:$E,Heron!$A33)+SUMIFS(Xero!$F:$F,Xero!$B:$B,Heron!AZ$9,Xero!$A:$A,Heron!$A$5,Xero!$E:$E,Heron!$A33)</f>
        <v/>
      </c>
      <c r="BA33" s="117">
        <f>SUMIFS(Xero!$F:$F,Xero!$B:$B,Heron!BA$9,Xero!$A:$A,Heron!$A$4,Xero!$E:$E,Heron!$A33)+SUMIFS(Xero!$F:$F,Xero!$B:$B,Heron!BA$9,Xero!$A:$A,Heron!$A$5,Xero!$E:$E,Heron!$A33)</f>
        <v/>
      </c>
      <c r="BB33" s="117">
        <f>SUMIFS(Xero!$F:$F,Xero!$B:$B,Heron!BB$9,Xero!$A:$A,Heron!$A$4,Xero!$E:$E,Heron!$A33)+SUMIFS(Xero!$F:$F,Xero!$B:$B,Heron!BB$9,Xero!$A:$A,Heron!$A$5,Xero!$E:$E,Heron!$A33)</f>
        <v/>
      </c>
      <c r="BC33" s="117">
        <f>SUMIFS(Xero!$F:$F,Xero!$B:$B,Heron!BC$9,Xero!$A:$A,Heron!$A$4,Xero!$E:$E,Heron!$A33)+SUMIFS(Xero!$F:$F,Xero!$B:$B,Heron!BC$9,Xero!$A:$A,Heron!$A$5,Xero!$E:$E,Heron!$A33)</f>
        <v/>
      </c>
      <c r="BD33" s="117">
        <f>SUMIFS(Xero!$F:$F,Xero!$B:$B,Heron!BD$9,Xero!$A:$A,Heron!$A$4,Xero!$E:$E,Heron!$A33)+SUMIFS(Xero!$F:$F,Xero!$B:$B,Heron!BD$9,Xero!$A:$A,Heron!$A$5,Xero!$E:$E,Heron!$A33)</f>
        <v/>
      </c>
      <c r="BE33" s="117">
        <f>SUMIFS(Xero!$F:$F,Xero!$B:$B,Heron!BE$9,Xero!$A:$A,Heron!$A$4,Xero!$E:$E,Heron!$A33)+SUMIFS(Xero!$F:$F,Xero!$B:$B,Heron!BE$9,Xero!$A:$A,Heron!$A$5,Xero!$E:$E,Heron!$A33)</f>
        <v/>
      </c>
      <c r="BF33" s="117">
        <f>SUMIFS(Xero!$F:$F,Xero!$B:$B,Heron!BF$9,Xero!$A:$A,Heron!$A$4,Xero!$E:$E,Heron!$A33)+SUMIFS(Xero!$F:$F,Xero!$B:$B,Heron!BF$9,Xero!$A:$A,Heron!$A$5,Xero!$E:$E,Heron!$A33)</f>
        <v/>
      </c>
      <c r="BG33" s="117">
        <f>SUMIFS(Xero!$F:$F,Xero!$B:$B,Heron!BG$9,Xero!$A:$A,Heron!$A$4,Xero!$E:$E,Heron!$A33)+SUMIFS(Xero!$F:$F,Xero!$B:$B,Heron!BG$9,Xero!$A:$A,Heron!$A$5,Xero!$E:$E,Heron!$A33)</f>
        <v/>
      </c>
      <c r="BH33" s="117">
        <f>SUMIFS(Xero!$F:$F,Xero!$B:$B,Heron!BH$9,Xero!$A:$A,Heron!$A$4,Xero!$E:$E,Heron!$A33)+SUMIFS(Xero!$F:$F,Xero!$B:$B,Heron!BH$9,Xero!$A:$A,Heron!$A$5,Xero!$E:$E,Heron!$A33)</f>
        <v/>
      </c>
      <c r="BI33" s="117">
        <f>SUMIFS(Xero!$F:$F,Xero!$B:$B,Heron!BI$9,Xero!$A:$A,Heron!$A$4,Xero!$E:$E,Heron!$A33)+SUMIFS(Xero!$F:$F,Xero!$B:$B,Heron!BI$9,Xero!$A:$A,Heron!$A$5,Xero!$E:$E,Heron!$A33)</f>
        <v/>
      </c>
      <c r="BJ33" s="117">
        <f>SUMIFS(Xero!$F:$F,Xero!$B:$B,Heron!BJ$9,Xero!$A:$A,Heron!$A$4,Xero!$E:$E,Heron!$A33)+SUMIFS(Xero!$F:$F,Xero!$B:$B,Heron!BJ$9,Xero!$A:$A,Heron!$A$5,Xero!$E:$E,Heron!$A33)</f>
        <v/>
      </c>
      <c r="BK33" s="117">
        <f>sum(D33:BJ33)</f>
        <v/>
      </c>
    </row>
    <row r="34">
      <c r="A34" s="116" t="inlineStr">
        <is>
          <t>Accounting Fees</t>
        </is>
      </c>
      <c r="D34" s="117">
        <f>SUMIFS(Xero!$F:$F,Xero!$B:$B,Heron!D$9,Xero!$A:$A,Heron!$A$4,Xero!$E:$E,Heron!$A34)+SUMIFS(Xero!$F:$F,Xero!$B:$B,Heron!D$9,Xero!$A:$A,Heron!$A$5,Xero!$E:$E,Heron!$A34)</f>
        <v/>
      </c>
      <c r="E34" s="117">
        <f>SUMIFS(Xero!$F:$F,Xero!$B:$B,Heron!E$9,Xero!$A:$A,Heron!$A$4,Xero!$E:$E,Heron!$A34)+SUMIFS(Xero!$F:$F,Xero!$B:$B,Heron!E$9,Xero!$A:$A,Heron!$A$5,Xero!$E:$E,Heron!$A34)</f>
        <v/>
      </c>
      <c r="F34" s="117">
        <f>SUMIFS(Xero!$F:$F,Xero!$B:$B,Heron!F$9,Xero!$A:$A,Heron!$A$4,Xero!$E:$E,Heron!$A34)+SUMIFS(Xero!$F:$F,Xero!$B:$B,Heron!F$9,Xero!$A:$A,Heron!$A$5,Xero!$E:$E,Heron!$A34)</f>
        <v/>
      </c>
      <c r="G34" s="117">
        <f>SUMIFS(Xero!$F:$F,Xero!$B:$B,Heron!G$9,Xero!$A:$A,Heron!$A$4,Xero!$E:$E,Heron!$A34)+SUMIFS(Xero!$F:$F,Xero!$B:$B,Heron!G$9,Xero!$A:$A,Heron!$A$5,Xero!$E:$E,Heron!$A34)</f>
        <v/>
      </c>
      <c r="H34" s="117">
        <f>SUMIFS(Xero!$F:$F,Xero!$B:$B,Heron!H$9,Xero!$A:$A,Heron!$A$4,Xero!$E:$E,Heron!$A34)+SUMIFS(Xero!$F:$F,Xero!$B:$B,Heron!H$9,Xero!$A:$A,Heron!$A$5,Xero!$E:$E,Heron!$A34)</f>
        <v/>
      </c>
      <c r="I34" s="117">
        <f>SUMIFS(Xero!$F:$F,Xero!$B:$B,Heron!I$9,Xero!$A:$A,Heron!$A$4,Xero!$E:$E,Heron!$A34)+SUMIFS(Xero!$F:$F,Xero!$B:$B,Heron!I$9,Xero!$A:$A,Heron!$A$5,Xero!$E:$E,Heron!$A34)</f>
        <v/>
      </c>
      <c r="J34" s="117">
        <f>SUMIFS(Xero!$F:$F,Xero!$B:$B,Heron!J$9,Xero!$A:$A,Heron!$A$4,Xero!$E:$E,Heron!$A34)+SUMIFS(Xero!$F:$F,Xero!$B:$B,Heron!J$9,Xero!$A:$A,Heron!$A$5,Xero!$E:$E,Heron!$A34)</f>
        <v/>
      </c>
      <c r="K34" s="117">
        <f>SUMIFS(Xero!$F:$F,Xero!$B:$B,Heron!K$9,Xero!$A:$A,Heron!$A$4,Xero!$E:$E,Heron!$A34)+SUMIFS(Xero!$F:$F,Xero!$B:$B,Heron!K$9,Xero!$A:$A,Heron!$A$5,Xero!$E:$E,Heron!$A34)</f>
        <v/>
      </c>
      <c r="L34" s="117">
        <f>SUMIFS(Xero!$F:$F,Xero!$B:$B,Heron!L$9,Xero!$A:$A,Heron!$A$4,Xero!$E:$E,Heron!$A34)+SUMIFS(Xero!$F:$F,Xero!$B:$B,Heron!L$9,Xero!$A:$A,Heron!$A$5,Xero!$E:$E,Heron!$A34)</f>
        <v/>
      </c>
      <c r="M34" s="117">
        <f>SUMIFS(Xero!$F:$F,Xero!$B:$B,Heron!M$9,Xero!$A:$A,Heron!$A$4,Xero!$E:$E,Heron!$A34)+SUMIFS(Xero!$F:$F,Xero!$B:$B,Heron!M$9,Xero!$A:$A,Heron!$A$5,Xero!$E:$E,Heron!$A34)</f>
        <v/>
      </c>
      <c r="N34" s="117">
        <f>SUMIFS(Xero!$F:$F,Xero!$B:$B,Heron!N$9,Xero!$A:$A,Heron!$A$4,Xero!$E:$E,Heron!$A34)+SUMIFS(Xero!$F:$F,Xero!$B:$B,Heron!N$9,Xero!$A:$A,Heron!$A$5,Xero!$E:$E,Heron!$A34)</f>
        <v/>
      </c>
      <c r="O34" s="117">
        <f>SUMIFS(Xero!$F:$F,Xero!$B:$B,Heron!O$9,Xero!$A:$A,Heron!$A$4,Xero!$E:$E,Heron!$A34)+SUMIFS(Xero!$F:$F,Xero!$B:$B,Heron!O$9,Xero!$A:$A,Heron!$A$5,Xero!$E:$E,Heron!$A34)</f>
        <v/>
      </c>
      <c r="P34" s="117">
        <f>SUMIFS(Xero!$F:$F,Xero!$B:$B,Heron!P$9,Xero!$A:$A,Heron!$A$4,Xero!$E:$E,Heron!$A34)+SUMIFS(Xero!$F:$F,Xero!$B:$B,Heron!P$9,Xero!$A:$A,Heron!$A$5,Xero!$E:$E,Heron!$A34)</f>
        <v/>
      </c>
      <c r="Q34" s="117">
        <f>SUMIFS(Xero!$F:$F,Xero!$B:$B,Heron!Q$9,Xero!$A:$A,Heron!$A$4,Xero!$E:$E,Heron!$A34)+SUMIFS(Xero!$F:$F,Xero!$B:$B,Heron!Q$9,Xero!$A:$A,Heron!$A$5,Xero!$E:$E,Heron!$A34)</f>
        <v/>
      </c>
      <c r="R34" s="117">
        <f>SUMIFS(Xero!$F:$F,Xero!$B:$B,Heron!R$9,Xero!$A:$A,Heron!$A$4,Xero!$E:$E,Heron!$A34)+SUMIFS(Xero!$F:$F,Xero!$B:$B,Heron!R$9,Xero!$A:$A,Heron!$A$5,Xero!$E:$E,Heron!$A34)</f>
        <v/>
      </c>
      <c r="S34" s="117">
        <f>SUMIFS(Xero!$F:$F,Xero!$B:$B,Heron!S$9,Xero!$A:$A,Heron!$A$4,Xero!$E:$E,Heron!$A34)+SUMIFS(Xero!$F:$F,Xero!$B:$B,Heron!S$9,Xero!$A:$A,Heron!$A$5,Xero!$E:$E,Heron!$A34)</f>
        <v/>
      </c>
      <c r="T34" s="117">
        <f>SUMIFS(Xero!$F:$F,Xero!$B:$B,Heron!T$9,Xero!$A:$A,Heron!$A$4,Xero!$E:$E,Heron!$A34)+SUMIFS(Xero!$F:$F,Xero!$B:$B,Heron!T$9,Xero!$A:$A,Heron!$A$5,Xero!$E:$E,Heron!$A34)</f>
        <v/>
      </c>
      <c r="U34" s="117">
        <f>SUMIFS(Xero!$F:$F,Xero!$B:$B,Heron!U$9,Xero!$A:$A,Heron!$A$4,Xero!$E:$E,Heron!$A34)+SUMIFS(Xero!$F:$F,Xero!$B:$B,Heron!U$9,Xero!$A:$A,Heron!$A$5,Xero!$E:$E,Heron!$A34)</f>
        <v/>
      </c>
      <c r="V34" s="117">
        <f>SUMIFS(Xero!$F:$F,Xero!$B:$B,Heron!V$9,Xero!$A:$A,Heron!$A$4,Xero!$E:$E,Heron!$A34)+SUMIFS(Xero!$F:$F,Xero!$B:$B,Heron!V$9,Xero!$A:$A,Heron!$A$5,Xero!$E:$E,Heron!$A34)</f>
        <v/>
      </c>
      <c r="W34" s="117">
        <f>SUMIFS(Xero!$F:$F,Xero!$B:$B,Heron!W$9,Xero!$A:$A,Heron!$A$4,Xero!$E:$E,Heron!$A34)+SUMIFS(Xero!$F:$F,Xero!$B:$B,Heron!W$9,Xero!$A:$A,Heron!$A$5,Xero!$E:$E,Heron!$A34)</f>
        <v/>
      </c>
      <c r="X34" s="117">
        <f>SUMIFS(Xero!$F:$F,Xero!$B:$B,Heron!X$9,Xero!$A:$A,Heron!$A$4,Xero!$E:$E,Heron!$A34)+SUMIFS(Xero!$F:$F,Xero!$B:$B,Heron!X$9,Xero!$A:$A,Heron!$A$5,Xero!$E:$E,Heron!$A34)</f>
        <v/>
      </c>
      <c r="Y34" s="117">
        <f>SUMIFS(Xero!$F:$F,Xero!$B:$B,Heron!Y$9,Xero!$A:$A,Heron!$A$4,Xero!$E:$E,Heron!$A34)+SUMIFS(Xero!$F:$F,Xero!$B:$B,Heron!Y$9,Xero!$A:$A,Heron!$A$5,Xero!$E:$E,Heron!$A34)</f>
        <v/>
      </c>
      <c r="Z34" s="117">
        <f>SUMIFS(Xero!$F:$F,Xero!$B:$B,Heron!Z$9,Xero!$A:$A,Heron!$A$4,Xero!$E:$E,Heron!$A34)+SUMIFS(Xero!$F:$F,Xero!$B:$B,Heron!Z$9,Xero!$A:$A,Heron!$A$5,Xero!$E:$E,Heron!$A34)</f>
        <v/>
      </c>
      <c r="AA34" s="117">
        <f>SUMIFS(Xero!$F:$F,Xero!$B:$B,Heron!AA$9,Xero!$A:$A,Heron!$A$4,Xero!$E:$E,Heron!$A34)+SUMIFS(Xero!$F:$F,Xero!$B:$B,Heron!AA$9,Xero!$A:$A,Heron!$A$5,Xero!$E:$E,Heron!$A34)</f>
        <v/>
      </c>
      <c r="AB34" s="117">
        <f>SUMIFS(Xero!$F:$F,Xero!$B:$B,Heron!AB$9,Xero!$A:$A,Heron!$A$4,Xero!$E:$E,Heron!$A34)+SUMIFS(Xero!$F:$F,Xero!$B:$B,Heron!AB$9,Xero!$A:$A,Heron!$A$5,Xero!$E:$E,Heron!$A34)</f>
        <v/>
      </c>
      <c r="AC34" s="117">
        <f>SUMIFS(Xero!$F:$F,Xero!$B:$B,Heron!AC$9,Xero!$A:$A,Heron!$A$4,Xero!$E:$E,Heron!$A34)+SUMIFS(Xero!$F:$F,Xero!$B:$B,Heron!AC$9,Xero!$A:$A,Heron!$A$5,Xero!$E:$E,Heron!$A34)</f>
        <v/>
      </c>
      <c r="AD34" s="117">
        <f>SUMIFS(Xero!$F:$F,Xero!$B:$B,Heron!AD$9,Xero!$A:$A,Heron!$A$4,Xero!$E:$E,Heron!$A34)+SUMIFS(Xero!$F:$F,Xero!$B:$B,Heron!AD$9,Xero!$A:$A,Heron!$A$5,Xero!$E:$E,Heron!$A34)</f>
        <v/>
      </c>
      <c r="AE34" s="117">
        <f>SUMIFS(Xero!$F:$F,Xero!$B:$B,Heron!AE$9,Xero!$A:$A,Heron!$A$4,Xero!$E:$E,Heron!$A34)+SUMIFS(Xero!$F:$F,Xero!$B:$B,Heron!AE$9,Xero!$A:$A,Heron!$A$5,Xero!$E:$E,Heron!$A34)</f>
        <v/>
      </c>
      <c r="AF34" s="117">
        <f>SUMIFS(Xero!$F:$F,Xero!$B:$B,Heron!AF$9,Xero!$A:$A,Heron!$A$4,Xero!$E:$E,Heron!$A34)+SUMIFS(Xero!$F:$F,Xero!$B:$B,Heron!AF$9,Xero!$A:$A,Heron!$A$5,Xero!$E:$E,Heron!$A34)</f>
        <v/>
      </c>
      <c r="AG34" s="117">
        <f>SUMIFS(Xero!$F:$F,Xero!$B:$B,Heron!AG$9,Xero!$A:$A,Heron!$A$4,Xero!$E:$E,Heron!$A34)+SUMIFS(Xero!$F:$F,Xero!$B:$B,Heron!AG$9,Xero!$A:$A,Heron!$A$5,Xero!$E:$E,Heron!$A34)</f>
        <v/>
      </c>
      <c r="AH34" s="117">
        <f>SUMIFS(Xero!$F:$F,Xero!$B:$B,Heron!AH$9,Xero!$A:$A,Heron!$A$4,Xero!$E:$E,Heron!$A34)+SUMIFS(Xero!$F:$F,Xero!$B:$B,Heron!AH$9,Xero!$A:$A,Heron!$A$5,Xero!$E:$E,Heron!$A34)</f>
        <v/>
      </c>
      <c r="AI34" s="117">
        <f>SUMIFS(Xero!$F:$F,Xero!$B:$B,Heron!AI$9,Xero!$A:$A,Heron!$A$4,Xero!$E:$E,Heron!$A34)+SUMIFS(Xero!$F:$F,Xero!$B:$B,Heron!AI$9,Xero!$A:$A,Heron!$A$5,Xero!$E:$E,Heron!$A34)</f>
        <v/>
      </c>
      <c r="AJ34" s="117">
        <f>SUMIFS(Xero!$F:$F,Xero!$B:$B,Heron!AJ$9,Xero!$A:$A,Heron!$A$4,Xero!$E:$E,Heron!$A34)+SUMIFS(Xero!$F:$F,Xero!$B:$B,Heron!AJ$9,Xero!$A:$A,Heron!$A$5,Xero!$E:$E,Heron!$A34)</f>
        <v/>
      </c>
      <c r="AK34" s="117">
        <f>SUMIFS(Xero!$F:$F,Xero!$B:$B,Heron!AK$9,Xero!$A:$A,Heron!$A$4,Xero!$E:$E,Heron!$A34)+SUMIFS(Xero!$F:$F,Xero!$B:$B,Heron!AK$9,Xero!$A:$A,Heron!$A$5,Xero!$E:$E,Heron!$A34)</f>
        <v/>
      </c>
      <c r="AL34" s="117">
        <f>SUMIFS(Xero!$F:$F,Xero!$B:$B,Heron!AL$9,Xero!$A:$A,Heron!$A$4,Xero!$E:$E,Heron!$A34)+SUMIFS(Xero!$F:$F,Xero!$B:$B,Heron!AL$9,Xero!$A:$A,Heron!$A$5,Xero!$E:$E,Heron!$A34)</f>
        <v/>
      </c>
      <c r="AM34" s="117">
        <f>SUMIFS(Xero!$F:$F,Xero!$B:$B,Heron!AM$9,Xero!$A:$A,Heron!$A$4,Xero!$E:$E,Heron!$A34)+SUMIFS(Xero!$F:$F,Xero!$B:$B,Heron!AM$9,Xero!$A:$A,Heron!$A$5,Xero!$E:$E,Heron!$A34)</f>
        <v/>
      </c>
      <c r="AN34" s="117">
        <f>SUMIFS(Xero!$F:$F,Xero!$B:$B,Heron!AN$9,Xero!$A:$A,Heron!$A$4,Xero!$E:$E,Heron!$A34)+SUMIFS(Xero!$F:$F,Xero!$B:$B,Heron!AN$9,Xero!$A:$A,Heron!$A$5,Xero!$E:$E,Heron!$A34)</f>
        <v/>
      </c>
      <c r="AO34" s="117">
        <f>SUMIFS(Xero!$F:$F,Xero!$B:$B,Heron!AO$9,Xero!$A:$A,Heron!$A$4,Xero!$E:$E,Heron!$A34)+SUMIFS(Xero!$F:$F,Xero!$B:$B,Heron!AO$9,Xero!$A:$A,Heron!$A$5,Xero!$E:$E,Heron!$A34)</f>
        <v/>
      </c>
      <c r="AP34" s="117">
        <f>SUMIFS(Xero!$F:$F,Xero!$B:$B,Heron!AP$9,Xero!$A:$A,Heron!$A$4,Xero!$E:$E,Heron!$A34)+SUMIFS(Xero!$F:$F,Xero!$B:$B,Heron!AP$9,Xero!$A:$A,Heron!$A$5,Xero!$E:$E,Heron!$A34)</f>
        <v/>
      </c>
      <c r="AQ34" s="117">
        <f>SUMIFS(Xero!$F:$F,Xero!$B:$B,Heron!AQ$9,Xero!$A:$A,Heron!$A$4,Xero!$E:$E,Heron!$A34)+SUMIFS(Xero!$F:$F,Xero!$B:$B,Heron!AQ$9,Xero!$A:$A,Heron!$A$5,Xero!$E:$E,Heron!$A34)</f>
        <v/>
      </c>
      <c r="AR34" s="117">
        <f>SUMIFS(Xero!$F:$F,Xero!$B:$B,Heron!AR$9,Xero!$A:$A,Heron!$A$4,Xero!$E:$E,Heron!$A34)+SUMIFS(Xero!$F:$F,Xero!$B:$B,Heron!AR$9,Xero!$A:$A,Heron!$A$5,Xero!$E:$E,Heron!$A34)</f>
        <v/>
      </c>
      <c r="AS34" s="117">
        <f>SUMIFS(Xero!$F:$F,Xero!$B:$B,Heron!AS$9,Xero!$A:$A,Heron!$A$4,Xero!$E:$E,Heron!$A34)+SUMIFS(Xero!$F:$F,Xero!$B:$B,Heron!AS$9,Xero!$A:$A,Heron!$A$5,Xero!$E:$E,Heron!$A34)</f>
        <v/>
      </c>
      <c r="AT34" s="117">
        <f>SUMIFS(Xero!$F:$F,Xero!$B:$B,Heron!AT$9,Xero!$A:$A,Heron!$A$4,Xero!$E:$E,Heron!$A34)+SUMIFS(Xero!$F:$F,Xero!$B:$B,Heron!AT$9,Xero!$A:$A,Heron!$A$5,Xero!$E:$E,Heron!$A34)</f>
        <v/>
      </c>
      <c r="AU34" s="117">
        <f>SUMIFS(Xero!$F:$F,Xero!$B:$B,Heron!AU$9,Xero!$A:$A,Heron!$A$4,Xero!$E:$E,Heron!$A34)+SUMIFS(Xero!$F:$F,Xero!$B:$B,Heron!AU$9,Xero!$A:$A,Heron!$A$5,Xero!$E:$E,Heron!$A34)</f>
        <v/>
      </c>
      <c r="AV34" s="117">
        <f>SUMIFS(Xero!$F:$F,Xero!$B:$B,Heron!AV$9,Xero!$A:$A,Heron!$A$4,Xero!$E:$E,Heron!$A34)+SUMIFS(Xero!$F:$F,Xero!$B:$B,Heron!AV$9,Xero!$A:$A,Heron!$A$5,Xero!$E:$E,Heron!$A34)</f>
        <v/>
      </c>
      <c r="AW34" s="117">
        <f>SUMIFS(Xero!$F:$F,Xero!$B:$B,Heron!AW$9,Xero!$A:$A,Heron!$A$4,Xero!$E:$E,Heron!$A34)+SUMIFS(Xero!$F:$F,Xero!$B:$B,Heron!AW$9,Xero!$A:$A,Heron!$A$5,Xero!$E:$E,Heron!$A34)</f>
        <v/>
      </c>
      <c r="AX34" s="117">
        <f>SUMIFS(Xero!$F:$F,Xero!$B:$B,Heron!AX$9,Xero!$A:$A,Heron!$A$4,Xero!$E:$E,Heron!$A34)+SUMIFS(Xero!$F:$F,Xero!$B:$B,Heron!AX$9,Xero!$A:$A,Heron!$A$5,Xero!$E:$E,Heron!$A34)</f>
        <v/>
      </c>
      <c r="AY34" s="117">
        <f>SUMIFS(Xero!$F:$F,Xero!$B:$B,Heron!AY$9,Xero!$A:$A,Heron!$A$4,Xero!$E:$E,Heron!$A34)+SUMIFS(Xero!$F:$F,Xero!$B:$B,Heron!AY$9,Xero!$A:$A,Heron!$A$5,Xero!$E:$E,Heron!$A34)</f>
        <v/>
      </c>
      <c r="AZ34" s="117">
        <f>SUMIFS(Xero!$F:$F,Xero!$B:$B,Heron!AZ$9,Xero!$A:$A,Heron!$A$4,Xero!$E:$E,Heron!$A34)+SUMIFS(Xero!$F:$F,Xero!$B:$B,Heron!AZ$9,Xero!$A:$A,Heron!$A$5,Xero!$E:$E,Heron!$A34)</f>
        <v/>
      </c>
      <c r="BA34" s="117">
        <f>SUMIFS(Xero!$F:$F,Xero!$B:$B,Heron!BA$9,Xero!$A:$A,Heron!$A$4,Xero!$E:$E,Heron!$A34)+SUMIFS(Xero!$F:$F,Xero!$B:$B,Heron!BA$9,Xero!$A:$A,Heron!$A$5,Xero!$E:$E,Heron!$A34)</f>
        <v/>
      </c>
      <c r="BB34" s="117">
        <f>SUMIFS(Xero!$F:$F,Xero!$B:$B,Heron!BB$9,Xero!$A:$A,Heron!$A$4,Xero!$E:$E,Heron!$A34)+SUMIFS(Xero!$F:$F,Xero!$B:$B,Heron!BB$9,Xero!$A:$A,Heron!$A$5,Xero!$E:$E,Heron!$A34)</f>
        <v/>
      </c>
      <c r="BC34" s="117">
        <f>SUMIFS(Xero!$F:$F,Xero!$B:$B,Heron!BC$9,Xero!$A:$A,Heron!$A$4,Xero!$E:$E,Heron!$A34)+SUMIFS(Xero!$F:$F,Xero!$B:$B,Heron!BC$9,Xero!$A:$A,Heron!$A$5,Xero!$E:$E,Heron!$A34)</f>
        <v/>
      </c>
      <c r="BD34" s="117">
        <f>SUMIFS(Xero!$F:$F,Xero!$B:$B,Heron!BD$9,Xero!$A:$A,Heron!$A$4,Xero!$E:$E,Heron!$A34)+SUMIFS(Xero!$F:$F,Xero!$B:$B,Heron!BD$9,Xero!$A:$A,Heron!$A$5,Xero!$E:$E,Heron!$A34)</f>
        <v/>
      </c>
      <c r="BE34" s="117">
        <f>SUMIFS(Xero!$F:$F,Xero!$B:$B,Heron!BE$9,Xero!$A:$A,Heron!$A$4,Xero!$E:$E,Heron!$A34)+SUMIFS(Xero!$F:$F,Xero!$B:$B,Heron!BE$9,Xero!$A:$A,Heron!$A$5,Xero!$E:$E,Heron!$A34)</f>
        <v/>
      </c>
      <c r="BF34" s="117">
        <f>SUMIFS(Xero!$F:$F,Xero!$B:$B,Heron!BF$9,Xero!$A:$A,Heron!$A$4,Xero!$E:$E,Heron!$A34)+SUMIFS(Xero!$F:$F,Xero!$B:$B,Heron!BF$9,Xero!$A:$A,Heron!$A$5,Xero!$E:$E,Heron!$A34)</f>
        <v/>
      </c>
      <c r="BG34" s="117">
        <f>SUMIFS(Xero!$F:$F,Xero!$B:$B,Heron!BG$9,Xero!$A:$A,Heron!$A$4,Xero!$E:$E,Heron!$A34)+SUMIFS(Xero!$F:$F,Xero!$B:$B,Heron!BG$9,Xero!$A:$A,Heron!$A$5,Xero!$E:$E,Heron!$A34)</f>
        <v/>
      </c>
      <c r="BH34" s="117">
        <f>SUMIFS(Xero!$F:$F,Xero!$B:$B,Heron!BH$9,Xero!$A:$A,Heron!$A$4,Xero!$E:$E,Heron!$A34)+SUMIFS(Xero!$F:$F,Xero!$B:$B,Heron!BH$9,Xero!$A:$A,Heron!$A$5,Xero!$E:$E,Heron!$A34)</f>
        <v/>
      </c>
      <c r="BI34" s="117">
        <f>SUMIFS(Xero!$F:$F,Xero!$B:$B,Heron!BI$9,Xero!$A:$A,Heron!$A$4,Xero!$E:$E,Heron!$A34)+SUMIFS(Xero!$F:$F,Xero!$B:$B,Heron!BI$9,Xero!$A:$A,Heron!$A$5,Xero!$E:$E,Heron!$A34)</f>
        <v/>
      </c>
      <c r="BJ34" s="117">
        <f>SUMIFS(Xero!$F:$F,Xero!$B:$B,Heron!BJ$9,Xero!$A:$A,Heron!$A$4,Xero!$E:$E,Heron!$A34)+SUMIFS(Xero!$F:$F,Xero!$B:$B,Heron!BJ$9,Xero!$A:$A,Heron!$A$5,Xero!$E:$E,Heron!$A34)</f>
        <v/>
      </c>
      <c r="BK34" s="117">
        <f>sum(D34:BJ34)</f>
        <v/>
      </c>
    </row>
    <row r="35">
      <c r="A35" s="116" t="inlineStr">
        <is>
          <t>Admin - MBA</t>
        </is>
      </c>
      <c r="D35" s="117">
        <f>SUMIFS(Xero!$F:$F,Xero!$B:$B,Heron!D$9,Xero!$A:$A,Heron!$A$4,Xero!$E:$E,Heron!$A35)+SUMIFS(Xero!$F:$F,Xero!$B:$B,Heron!D$9,Xero!$A:$A,Heron!$A$5,Xero!$E:$E,Heron!$A35)</f>
        <v/>
      </c>
      <c r="E35" s="117">
        <f>SUMIFS(Xero!$F:$F,Xero!$B:$B,Heron!E$9,Xero!$A:$A,Heron!$A$4,Xero!$E:$E,Heron!$A35)+SUMIFS(Xero!$F:$F,Xero!$B:$B,Heron!E$9,Xero!$A:$A,Heron!$A$5,Xero!$E:$E,Heron!$A35)</f>
        <v/>
      </c>
      <c r="F35" s="117">
        <f>SUMIFS(Xero!$F:$F,Xero!$B:$B,Heron!F$9,Xero!$A:$A,Heron!$A$4,Xero!$E:$E,Heron!$A35)+SUMIFS(Xero!$F:$F,Xero!$B:$B,Heron!F$9,Xero!$A:$A,Heron!$A$5,Xero!$E:$E,Heron!$A35)</f>
        <v/>
      </c>
      <c r="G35" s="117">
        <f>SUMIFS(Xero!$F:$F,Xero!$B:$B,Heron!G$9,Xero!$A:$A,Heron!$A$4,Xero!$E:$E,Heron!$A35)+SUMIFS(Xero!$F:$F,Xero!$B:$B,Heron!G$9,Xero!$A:$A,Heron!$A$5,Xero!$E:$E,Heron!$A35)</f>
        <v/>
      </c>
      <c r="H35" s="117">
        <f>SUMIFS(Xero!$F:$F,Xero!$B:$B,Heron!H$9,Xero!$A:$A,Heron!$A$4,Xero!$E:$E,Heron!$A35)+SUMIFS(Xero!$F:$F,Xero!$B:$B,Heron!H$9,Xero!$A:$A,Heron!$A$5,Xero!$E:$E,Heron!$A35)</f>
        <v/>
      </c>
      <c r="I35" s="117">
        <f>SUMIFS(Xero!$F:$F,Xero!$B:$B,Heron!I$9,Xero!$A:$A,Heron!$A$4,Xero!$E:$E,Heron!$A35)+SUMIFS(Xero!$F:$F,Xero!$B:$B,Heron!I$9,Xero!$A:$A,Heron!$A$5,Xero!$E:$E,Heron!$A35)</f>
        <v/>
      </c>
      <c r="J35" s="117">
        <f>SUMIFS(Xero!$F:$F,Xero!$B:$B,Heron!J$9,Xero!$A:$A,Heron!$A$4,Xero!$E:$E,Heron!$A35)+SUMIFS(Xero!$F:$F,Xero!$B:$B,Heron!J$9,Xero!$A:$A,Heron!$A$5,Xero!$E:$E,Heron!$A35)</f>
        <v/>
      </c>
      <c r="K35" s="117">
        <f>SUMIFS(Xero!$F:$F,Xero!$B:$B,Heron!K$9,Xero!$A:$A,Heron!$A$4,Xero!$E:$E,Heron!$A35)+SUMIFS(Xero!$F:$F,Xero!$B:$B,Heron!K$9,Xero!$A:$A,Heron!$A$5,Xero!$E:$E,Heron!$A35)</f>
        <v/>
      </c>
      <c r="L35" s="117">
        <f>SUMIFS(Xero!$F:$F,Xero!$B:$B,Heron!L$9,Xero!$A:$A,Heron!$A$4,Xero!$E:$E,Heron!$A35)+SUMIFS(Xero!$F:$F,Xero!$B:$B,Heron!L$9,Xero!$A:$A,Heron!$A$5,Xero!$E:$E,Heron!$A35)</f>
        <v/>
      </c>
      <c r="M35" s="117">
        <f>SUMIFS(Xero!$F:$F,Xero!$B:$B,Heron!M$9,Xero!$A:$A,Heron!$A$4,Xero!$E:$E,Heron!$A35)+SUMIFS(Xero!$F:$F,Xero!$B:$B,Heron!M$9,Xero!$A:$A,Heron!$A$5,Xero!$E:$E,Heron!$A35)</f>
        <v/>
      </c>
      <c r="N35" s="117">
        <f>SUMIFS(Xero!$F:$F,Xero!$B:$B,Heron!N$9,Xero!$A:$A,Heron!$A$4,Xero!$E:$E,Heron!$A35)+SUMIFS(Xero!$F:$F,Xero!$B:$B,Heron!N$9,Xero!$A:$A,Heron!$A$5,Xero!$E:$E,Heron!$A35)</f>
        <v/>
      </c>
      <c r="O35" s="117">
        <f>SUMIFS(Xero!$F:$F,Xero!$B:$B,Heron!O$9,Xero!$A:$A,Heron!$A$4,Xero!$E:$E,Heron!$A35)+SUMIFS(Xero!$F:$F,Xero!$B:$B,Heron!O$9,Xero!$A:$A,Heron!$A$5,Xero!$E:$E,Heron!$A35)</f>
        <v/>
      </c>
      <c r="P35" s="117">
        <f>SUMIFS(Xero!$F:$F,Xero!$B:$B,Heron!P$9,Xero!$A:$A,Heron!$A$4,Xero!$E:$E,Heron!$A35)+SUMIFS(Xero!$F:$F,Xero!$B:$B,Heron!P$9,Xero!$A:$A,Heron!$A$5,Xero!$E:$E,Heron!$A35)</f>
        <v/>
      </c>
      <c r="Q35" s="117">
        <f>SUMIFS(Xero!$F:$F,Xero!$B:$B,Heron!Q$9,Xero!$A:$A,Heron!$A$4,Xero!$E:$E,Heron!$A35)+SUMIFS(Xero!$F:$F,Xero!$B:$B,Heron!Q$9,Xero!$A:$A,Heron!$A$5,Xero!$E:$E,Heron!$A35)</f>
        <v/>
      </c>
      <c r="R35" s="117">
        <f>SUMIFS(Xero!$F:$F,Xero!$B:$B,Heron!R$9,Xero!$A:$A,Heron!$A$4,Xero!$E:$E,Heron!$A35)+SUMIFS(Xero!$F:$F,Xero!$B:$B,Heron!R$9,Xero!$A:$A,Heron!$A$5,Xero!$E:$E,Heron!$A35)</f>
        <v/>
      </c>
      <c r="S35" s="117">
        <f>SUMIFS(Xero!$F:$F,Xero!$B:$B,Heron!S$9,Xero!$A:$A,Heron!$A$4,Xero!$E:$E,Heron!$A35)+SUMIFS(Xero!$F:$F,Xero!$B:$B,Heron!S$9,Xero!$A:$A,Heron!$A$5,Xero!$E:$E,Heron!$A35)</f>
        <v/>
      </c>
      <c r="T35" s="117">
        <f>SUMIFS(Xero!$F:$F,Xero!$B:$B,Heron!T$9,Xero!$A:$A,Heron!$A$4,Xero!$E:$E,Heron!$A35)+SUMIFS(Xero!$F:$F,Xero!$B:$B,Heron!T$9,Xero!$A:$A,Heron!$A$5,Xero!$E:$E,Heron!$A35)</f>
        <v/>
      </c>
      <c r="U35" s="117">
        <f>SUMIFS(Xero!$F:$F,Xero!$B:$B,Heron!U$9,Xero!$A:$A,Heron!$A$4,Xero!$E:$E,Heron!$A35)+SUMIFS(Xero!$F:$F,Xero!$B:$B,Heron!U$9,Xero!$A:$A,Heron!$A$5,Xero!$E:$E,Heron!$A35)</f>
        <v/>
      </c>
      <c r="V35" s="117">
        <f>SUMIFS(Xero!$F:$F,Xero!$B:$B,Heron!V$9,Xero!$A:$A,Heron!$A$4,Xero!$E:$E,Heron!$A35)+SUMIFS(Xero!$F:$F,Xero!$B:$B,Heron!V$9,Xero!$A:$A,Heron!$A$5,Xero!$E:$E,Heron!$A35)</f>
        <v/>
      </c>
      <c r="W35" s="117">
        <f>SUMIFS(Xero!$F:$F,Xero!$B:$B,Heron!W$9,Xero!$A:$A,Heron!$A$4,Xero!$E:$E,Heron!$A35)+SUMIFS(Xero!$F:$F,Xero!$B:$B,Heron!W$9,Xero!$A:$A,Heron!$A$5,Xero!$E:$E,Heron!$A35)</f>
        <v/>
      </c>
      <c r="X35" s="117">
        <f>SUMIFS(Xero!$F:$F,Xero!$B:$B,Heron!X$9,Xero!$A:$A,Heron!$A$4,Xero!$E:$E,Heron!$A35)+SUMIFS(Xero!$F:$F,Xero!$B:$B,Heron!X$9,Xero!$A:$A,Heron!$A$5,Xero!$E:$E,Heron!$A35)</f>
        <v/>
      </c>
      <c r="Y35" s="117">
        <f>SUMIFS(Xero!$F:$F,Xero!$B:$B,Heron!Y$9,Xero!$A:$A,Heron!$A$4,Xero!$E:$E,Heron!$A35)+SUMIFS(Xero!$F:$F,Xero!$B:$B,Heron!Y$9,Xero!$A:$A,Heron!$A$5,Xero!$E:$E,Heron!$A35)</f>
        <v/>
      </c>
      <c r="Z35" s="117">
        <f>SUMIFS(Xero!$F:$F,Xero!$B:$B,Heron!Z$9,Xero!$A:$A,Heron!$A$4,Xero!$E:$E,Heron!$A35)+SUMIFS(Xero!$F:$F,Xero!$B:$B,Heron!Z$9,Xero!$A:$A,Heron!$A$5,Xero!$E:$E,Heron!$A35)</f>
        <v/>
      </c>
      <c r="AA35" s="117">
        <f>SUMIFS(Xero!$F:$F,Xero!$B:$B,Heron!AA$9,Xero!$A:$A,Heron!$A$4,Xero!$E:$E,Heron!$A35)+SUMIFS(Xero!$F:$F,Xero!$B:$B,Heron!AA$9,Xero!$A:$A,Heron!$A$5,Xero!$E:$E,Heron!$A35)</f>
        <v/>
      </c>
      <c r="AB35" s="117">
        <f>SUMIFS(Xero!$F:$F,Xero!$B:$B,Heron!AB$9,Xero!$A:$A,Heron!$A$4,Xero!$E:$E,Heron!$A35)+SUMIFS(Xero!$F:$F,Xero!$B:$B,Heron!AB$9,Xero!$A:$A,Heron!$A$5,Xero!$E:$E,Heron!$A35)</f>
        <v/>
      </c>
      <c r="AC35" s="117">
        <f>SUMIFS(Xero!$F:$F,Xero!$B:$B,Heron!AC$9,Xero!$A:$A,Heron!$A$4,Xero!$E:$E,Heron!$A35)+SUMIFS(Xero!$F:$F,Xero!$B:$B,Heron!AC$9,Xero!$A:$A,Heron!$A$5,Xero!$E:$E,Heron!$A35)</f>
        <v/>
      </c>
      <c r="AD35" s="117">
        <f>SUMIFS(Xero!$F:$F,Xero!$B:$B,Heron!AD$9,Xero!$A:$A,Heron!$A$4,Xero!$E:$E,Heron!$A35)+SUMIFS(Xero!$F:$F,Xero!$B:$B,Heron!AD$9,Xero!$A:$A,Heron!$A$5,Xero!$E:$E,Heron!$A35)</f>
        <v/>
      </c>
      <c r="AE35" s="117">
        <f>SUMIFS(Xero!$F:$F,Xero!$B:$B,Heron!AE$9,Xero!$A:$A,Heron!$A$4,Xero!$E:$E,Heron!$A35)+SUMIFS(Xero!$F:$F,Xero!$B:$B,Heron!AE$9,Xero!$A:$A,Heron!$A$5,Xero!$E:$E,Heron!$A35)</f>
        <v/>
      </c>
      <c r="AF35" s="117">
        <f>SUMIFS(Xero!$F:$F,Xero!$B:$B,Heron!AF$9,Xero!$A:$A,Heron!$A$4,Xero!$E:$E,Heron!$A35)+SUMIFS(Xero!$F:$F,Xero!$B:$B,Heron!AF$9,Xero!$A:$A,Heron!$A$5,Xero!$E:$E,Heron!$A35)</f>
        <v/>
      </c>
      <c r="AG35" s="117">
        <f>SUMIFS(Xero!$F:$F,Xero!$B:$B,Heron!AG$9,Xero!$A:$A,Heron!$A$4,Xero!$E:$E,Heron!$A35)+SUMIFS(Xero!$F:$F,Xero!$B:$B,Heron!AG$9,Xero!$A:$A,Heron!$A$5,Xero!$E:$E,Heron!$A35)</f>
        <v/>
      </c>
      <c r="AH35" s="117">
        <f>SUMIFS(Xero!$F:$F,Xero!$B:$B,Heron!AH$9,Xero!$A:$A,Heron!$A$4,Xero!$E:$E,Heron!$A35)+SUMIFS(Xero!$F:$F,Xero!$B:$B,Heron!AH$9,Xero!$A:$A,Heron!$A$5,Xero!$E:$E,Heron!$A35)</f>
        <v/>
      </c>
      <c r="AI35" s="117">
        <f>SUMIFS(Xero!$F:$F,Xero!$B:$B,Heron!AI$9,Xero!$A:$A,Heron!$A$4,Xero!$E:$E,Heron!$A35)+SUMIFS(Xero!$F:$F,Xero!$B:$B,Heron!AI$9,Xero!$A:$A,Heron!$A$5,Xero!$E:$E,Heron!$A35)</f>
        <v/>
      </c>
      <c r="AJ35" s="117">
        <f>SUMIFS(Xero!$F:$F,Xero!$B:$B,Heron!AJ$9,Xero!$A:$A,Heron!$A$4,Xero!$E:$E,Heron!$A35)+SUMIFS(Xero!$F:$F,Xero!$B:$B,Heron!AJ$9,Xero!$A:$A,Heron!$A$5,Xero!$E:$E,Heron!$A35)</f>
        <v/>
      </c>
      <c r="AK35" s="117">
        <f>SUMIFS(Xero!$F:$F,Xero!$B:$B,Heron!AK$9,Xero!$A:$A,Heron!$A$4,Xero!$E:$E,Heron!$A35)+SUMIFS(Xero!$F:$F,Xero!$B:$B,Heron!AK$9,Xero!$A:$A,Heron!$A$5,Xero!$E:$E,Heron!$A35)</f>
        <v/>
      </c>
      <c r="AL35" s="117">
        <f>SUMIFS(Xero!$F:$F,Xero!$B:$B,Heron!AL$9,Xero!$A:$A,Heron!$A$4,Xero!$E:$E,Heron!$A35)+SUMIFS(Xero!$F:$F,Xero!$B:$B,Heron!AL$9,Xero!$A:$A,Heron!$A$5,Xero!$E:$E,Heron!$A35)</f>
        <v/>
      </c>
      <c r="AM35" s="117">
        <f>SUMIFS(Xero!$F:$F,Xero!$B:$B,Heron!AM$9,Xero!$A:$A,Heron!$A$4,Xero!$E:$E,Heron!$A35)+SUMIFS(Xero!$F:$F,Xero!$B:$B,Heron!AM$9,Xero!$A:$A,Heron!$A$5,Xero!$E:$E,Heron!$A35)</f>
        <v/>
      </c>
      <c r="AN35" s="117">
        <f>SUMIFS(Xero!$F:$F,Xero!$B:$B,Heron!AN$9,Xero!$A:$A,Heron!$A$4,Xero!$E:$E,Heron!$A35)+SUMIFS(Xero!$F:$F,Xero!$B:$B,Heron!AN$9,Xero!$A:$A,Heron!$A$5,Xero!$E:$E,Heron!$A35)</f>
        <v/>
      </c>
      <c r="AO35" s="117">
        <f>SUMIFS(Xero!$F:$F,Xero!$B:$B,Heron!AO$9,Xero!$A:$A,Heron!$A$4,Xero!$E:$E,Heron!$A35)+SUMIFS(Xero!$F:$F,Xero!$B:$B,Heron!AO$9,Xero!$A:$A,Heron!$A$5,Xero!$E:$E,Heron!$A35)</f>
        <v/>
      </c>
      <c r="AP35" s="117">
        <f>SUMIFS(Xero!$F:$F,Xero!$B:$B,Heron!AP$9,Xero!$A:$A,Heron!$A$4,Xero!$E:$E,Heron!$A35)+SUMIFS(Xero!$F:$F,Xero!$B:$B,Heron!AP$9,Xero!$A:$A,Heron!$A$5,Xero!$E:$E,Heron!$A35)</f>
        <v/>
      </c>
      <c r="AQ35" s="117">
        <f>SUMIFS(Xero!$F:$F,Xero!$B:$B,Heron!AQ$9,Xero!$A:$A,Heron!$A$4,Xero!$E:$E,Heron!$A35)+SUMIFS(Xero!$F:$F,Xero!$B:$B,Heron!AQ$9,Xero!$A:$A,Heron!$A$5,Xero!$E:$E,Heron!$A35)</f>
        <v/>
      </c>
      <c r="AR35" s="117">
        <f>SUMIFS(Xero!$F:$F,Xero!$B:$B,Heron!AR$9,Xero!$A:$A,Heron!$A$4,Xero!$E:$E,Heron!$A35)+SUMIFS(Xero!$F:$F,Xero!$B:$B,Heron!AR$9,Xero!$A:$A,Heron!$A$5,Xero!$E:$E,Heron!$A35)</f>
        <v/>
      </c>
      <c r="AS35" s="117">
        <f>SUMIFS(Xero!$F:$F,Xero!$B:$B,Heron!AS$9,Xero!$A:$A,Heron!$A$4,Xero!$E:$E,Heron!$A35)+SUMIFS(Xero!$F:$F,Xero!$B:$B,Heron!AS$9,Xero!$A:$A,Heron!$A$5,Xero!$E:$E,Heron!$A35)</f>
        <v/>
      </c>
      <c r="AT35" s="117">
        <f>SUMIFS(Xero!$F:$F,Xero!$B:$B,Heron!AT$9,Xero!$A:$A,Heron!$A$4,Xero!$E:$E,Heron!$A35)+SUMIFS(Xero!$F:$F,Xero!$B:$B,Heron!AT$9,Xero!$A:$A,Heron!$A$5,Xero!$E:$E,Heron!$A35)</f>
        <v/>
      </c>
      <c r="AU35" s="117">
        <f>SUMIFS(Xero!$F:$F,Xero!$B:$B,Heron!AU$9,Xero!$A:$A,Heron!$A$4,Xero!$E:$E,Heron!$A35)+SUMIFS(Xero!$F:$F,Xero!$B:$B,Heron!AU$9,Xero!$A:$A,Heron!$A$5,Xero!$E:$E,Heron!$A35)</f>
        <v/>
      </c>
      <c r="AV35" s="117">
        <f>SUMIFS(Xero!$F:$F,Xero!$B:$B,Heron!AV$9,Xero!$A:$A,Heron!$A$4,Xero!$E:$E,Heron!$A35)+SUMIFS(Xero!$F:$F,Xero!$B:$B,Heron!AV$9,Xero!$A:$A,Heron!$A$5,Xero!$E:$E,Heron!$A35)</f>
        <v/>
      </c>
      <c r="AW35" s="117">
        <f>SUMIFS(Xero!$F:$F,Xero!$B:$B,Heron!AW$9,Xero!$A:$A,Heron!$A$4,Xero!$E:$E,Heron!$A35)+SUMIFS(Xero!$F:$F,Xero!$B:$B,Heron!AW$9,Xero!$A:$A,Heron!$A$5,Xero!$E:$E,Heron!$A35)</f>
        <v/>
      </c>
      <c r="AX35" s="117">
        <f>SUMIFS(Xero!$F:$F,Xero!$B:$B,Heron!AX$9,Xero!$A:$A,Heron!$A$4,Xero!$E:$E,Heron!$A35)+SUMIFS(Xero!$F:$F,Xero!$B:$B,Heron!AX$9,Xero!$A:$A,Heron!$A$5,Xero!$E:$E,Heron!$A35)</f>
        <v/>
      </c>
      <c r="AY35" s="117">
        <f>SUMIFS(Xero!$F:$F,Xero!$B:$B,Heron!AY$9,Xero!$A:$A,Heron!$A$4,Xero!$E:$E,Heron!$A35)+SUMIFS(Xero!$F:$F,Xero!$B:$B,Heron!AY$9,Xero!$A:$A,Heron!$A$5,Xero!$E:$E,Heron!$A35)</f>
        <v/>
      </c>
      <c r="AZ35" s="117">
        <f>SUMIFS(Xero!$F:$F,Xero!$B:$B,Heron!AZ$9,Xero!$A:$A,Heron!$A$4,Xero!$E:$E,Heron!$A35)+SUMIFS(Xero!$F:$F,Xero!$B:$B,Heron!AZ$9,Xero!$A:$A,Heron!$A$5,Xero!$E:$E,Heron!$A35)</f>
        <v/>
      </c>
      <c r="BA35" s="117">
        <f>SUMIFS(Xero!$F:$F,Xero!$B:$B,Heron!BA$9,Xero!$A:$A,Heron!$A$4,Xero!$E:$E,Heron!$A35)+SUMIFS(Xero!$F:$F,Xero!$B:$B,Heron!BA$9,Xero!$A:$A,Heron!$A$5,Xero!$E:$E,Heron!$A35)</f>
        <v/>
      </c>
      <c r="BB35" s="117">
        <f>SUMIFS(Xero!$F:$F,Xero!$B:$B,Heron!BB$9,Xero!$A:$A,Heron!$A$4,Xero!$E:$E,Heron!$A35)+SUMIFS(Xero!$F:$F,Xero!$B:$B,Heron!BB$9,Xero!$A:$A,Heron!$A$5,Xero!$E:$E,Heron!$A35)</f>
        <v/>
      </c>
      <c r="BC35" s="117">
        <f>SUMIFS(Xero!$F:$F,Xero!$B:$B,Heron!BC$9,Xero!$A:$A,Heron!$A$4,Xero!$E:$E,Heron!$A35)+SUMIFS(Xero!$F:$F,Xero!$B:$B,Heron!BC$9,Xero!$A:$A,Heron!$A$5,Xero!$E:$E,Heron!$A35)</f>
        <v/>
      </c>
      <c r="BD35" s="117">
        <f>SUMIFS(Xero!$F:$F,Xero!$B:$B,Heron!BD$9,Xero!$A:$A,Heron!$A$4,Xero!$E:$E,Heron!$A35)+SUMIFS(Xero!$F:$F,Xero!$B:$B,Heron!BD$9,Xero!$A:$A,Heron!$A$5,Xero!$E:$E,Heron!$A35)</f>
        <v/>
      </c>
      <c r="BE35" s="117">
        <f>SUMIFS(Xero!$F:$F,Xero!$B:$B,Heron!BE$9,Xero!$A:$A,Heron!$A$4,Xero!$E:$E,Heron!$A35)+SUMIFS(Xero!$F:$F,Xero!$B:$B,Heron!BE$9,Xero!$A:$A,Heron!$A$5,Xero!$E:$E,Heron!$A35)</f>
        <v/>
      </c>
      <c r="BF35" s="117">
        <f>SUMIFS(Xero!$F:$F,Xero!$B:$B,Heron!BF$9,Xero!$A:$A,Heron!$A$4,Xero!$E:$E,Heron!$A35)+SUMIFS(Xero!$F:$F,Xero!$B:$B,Heron!BF$9,Xero!$A:$A,Heron!$A$5,Xero!$E:$E,Heron!$A35)</f>
        <v/>
      </c>
      <c r="BG35" s="117">
        <f>SUMIFS(Xero!$F:$F,Xero!$B:$B,Heron!BG$9,Xero!$A:$A,Heron!$A$4,Xero!$E:$E,Heron!$A35)+SUMIFS(Xero!$F:$F,Xero!$B:$B,Heron!BG$9,Xero!$A:$A,Heron!$A$5,Xero!$E:$E,Heron!$A35)</f>
        <v/>
      </c>
      <c r="BH35" s="117">
        <f>SUMIFS(Xero!$F:$F,Xero!$B:$B,Heron!BH$9,Xero!$A:$A,Heron!$A$4,Xero!$E:$E,Heron!$A35)+SUMIFS(Xero!$F:$F,Xero!$B:$B,Heron!BH$9,Xero!$A:$A,Heron!$A$5,Xero!$E:$E,Heron!$A35)</f>
        <v/>
      </c>
      <c r="BI35" s="117">
        <f>SUMIFS(Xero!$F:$F,Xero!$B:$B,Heron!BI$9,Xero!$A:$A,Heron!$A$4,Xero!$E:$E,Heron!$A35)+SUMIFS(Xero!$F:$F,Xero!$B:$B,Heron!BI$9,Xero!$A:$A,Heron!$A$5,Xero!$E:$E,Heron!$A35)</f>
        <v/>
      </c>
      <c r="BJ35" s="117">
        <f>SUMIFS(Xero!$F:$F,Xero!$B:$B,Heron!BJ$9,Xero!$A:$A,Heron!$A$4,Xero!$E:$E,Heron!$A35)+SUMIFS(Xero!$F:$F,Xero!$B:$B,Heron!BJ$9,Xero!$A:$A,Heron!$A$5,Xero!$E:$E,Heron!$A35)</f>
        <v/>
      </c>
      <c r="BK35" s="117">
        <f>sum(D35:BJ35)</f>
        <v/>
      </c>
    </row>
    <row r="36">
      <c r="A36" s="116" t="inlineStr">
        <is>
          <t>Advertising - Media24</t>
        </is>
      </c>
      <c r="D36" s="117">
        <f>SUMIFS(Xero!$F:$F,Xero!$B:$B,Heron!D$9,Xero!$A:$A,Heron!$A$4,Xero!$E:$E,Heron!$A36)+SUMIFS(Xero!$F:$F,Xero!$B:$B,Heron!D$9,Xero!$A:$A,Heron!$A$5,Xero!$E:$E,Heron!$A36)</f>
        <v/>
      </c>
      <c r="E36" s="117">
        <f>SUMIFS(Xero!$F:$F,Xero!$B:$B,Heron!E$9,Xero!$A:$A,Heron!$A$4,Xero!$E:$E,Heron!$A36)+SUMIFS(Xero!$F:$F,Xero!$B:$B,Heron!E$9,Xero!$A:$A,Heron!$A$5,Xero!$E:$E,Heron!$A36)</f>
        <v/>
      </c>
      <c r="F36" s="117">
        <f>SUMIFS(Xero!$F:$F,Xero!$B:$B,Heron!F$9,Xero!$A:$A,Heron!$A$4,Xero!$E:$E,Heron!$A36)+SUMIFS(Xero!$F:$F,Xero!$B:$B,Heron!F$9,Xero!$A:$A,Heron!$A$5,Xero!$E:$E,Heron!$A36)</f>
        <v/>
      </c>
      <c r="G36" s="117">
        <f>SUMIFS(Xero!$F:$F,Xero!$B:$B,Heron!G$9,Xero!$A:$A,Heron!$A$4,Xero!$E:$E,Heron!$A36)+SUMIFS(Xero!$F:$F,Xero!$B:$B,Heron!G$9,Xero!$A:$A,Heron!$A$5,Xero!$E:$E,Heron!$A36)</f>
        <v/>
      </c>
      <c r="H36" s="117">
        <f>SUMIFS(Xero!$F:$F,Xero!$B:$B,Heron!H$9,Xero!$A:$A,Heron!$A$4,Xero!$E:$E,Heron!$A36)+SUMIFS(Xero!$F:$F,Xero!$B:$B,Heron!H$9,Xero!$A:$A,Heron!$A$5,Xero!$E:$E,Heron!$A36)</f>
        <v/>
      </c>
      <c r="I36" s="117">
        <f>SUMIFS(Xero!$F:$F,Xero!$B:$B,Heron!I$9,Xero!$A:$A,Heron!$A$4,Xero!$E:$E,Heron!$A36)+SUMIFS(Xero!$F:$F,Xero!$B:$B,Heron!I$9,Xero!$A:$A,Heron!$A$5,Xero!$E:$E,Heron!$A36)</f>
        <v/>
      </c>
      <c r="J36" s="117">
        <f>SUMIFS(Xero!$F:$F,Xero!$B:$B,Heron!J$9,Xero!$A:$A,Heron!$A$4,Xero!$E:$E,Heron!$A36)+SUMIFS(Xero!$F:$F,Xero!$B:$B,Heron!J$9,Xero!$A:$A,Heron!$A$5,Xero!$E:$E,Heron!$A36)</f>
        <v/>
      </c>
      <c r="K36" s="117">
        <f>SUMIFS(Xero!$F:$F,Xero!$B:$B,Heron!K$9,Xero!$A:$A,Heron!$A$4,Xero!$E:$E,Heron!$A36)+SUMIFS(Xero!$F:$F,Xero!$B:$B,Heron!K$9,Xero!$A:$A,Heron!$A$5,Xero!$E:$E,Heron!$A36)</f>
        <v/>
      </c>
      <c r="L36" s="117">
        <f>SUMIFS(Xero!$F:$F,Xero!$B:$B,Heron!L$9,Xero!$A:$A,Heron!$A$4,Xero!$E:$E,Heron!$A36)+SUMIFS(Xero!$F:$F,Xero!$B:$B,Heron!L$9,Xero!$A:$A,Heron!$A$5,Xero!$E:$E,Heron!$A36)</f>
        <v/>
      </c>
      <c r="M36" s="117">
        <f>SUMIFS(Xero!$F:$F,Xero!$B:$B,Heron!M$9,Xero!$A:$A,Heron!$A$4,Xero!$E:$E,Heron!$A36)+SUMIFS(Xero!$F:$F,Xero!$B:$B,Heron!M$9,Xero!$A:$A,Heron!$A$5,Xero!$E:$E,Heron!$A36)</f>
        <v/>
      </c>
      <c r="N36" s="117">
        <f>SUMIFS(Xero!$F:$F,Xero!$B:$B,Heron!N$9,Xero!$A:$A,Heron!$A$4,Xero!$E:$E,Heron!$A36)+SUMIFS(Xero!$F:$F,Xero!$B:$B,Heron!N$9,Xero!$A:$A,Heron!$A$5,Xero!$E:$E,Heron!$A36)</f>
        <v/>
      </c>
      <c r="O36" s="117">
        <f>SUMIFS(Xero!$F:$F,Xero!$B:$B,Heron!O$9,Xero!$A:$A,Heron!$A$4,Xero!$E:$E,Heron!$A36)+SUMIFS(Xero!$F:$F,Xero!$B:$B,Heron!O$9,Xero!$A:$A,Heron!$A$5,Xero!$E:$E,Heron!$A36)</f>
        <v/>
      </c>
      <c r="P36" s="117">
        <f>SUMIFS(Xero!$F:$F,Xero!$B:$B,Heron!P$9,Xero!$A:$A,Heron!$A$4,Xero!$E:$E,Heron!$A36)+SUMIFS(Xero!$F:$F,Xero!$B:$B,Heron!P$9,Xero!$A:$A,Heron!$A$5,Xero!$E:$E,Heron!$A36)</f>
        <v/>
      </c>
      <c r="Q36" s="117">
        <f>SUMIFS(Xero!$F:$F,Xero!$B:$B,Heron!Q$9,Xero!$A:$A,Heron!$A$4,Xero!$E:$E,Heron!$A36)+SUMIFS(Xero!$F:$F,Xero!$B:$B,Heron!Q$9,Xero!$A:$A,Heron!$A$5,Xero!$E:$E,Heron!$A36)</f>
        <v/>
      </c>
      <c r="R36" s="117">
        <f>SUMIFS(Xero!$F:$F,Xero!$B:$B,Heron!R$9,Xero!$A:$A,Heron!$A$4,Xero!$E:$E,Heron!$A36)+SUMIFS(Xero!$F:$F,Xero!$B:$B,Heron!R$9,Xero!$A:$A,Heron!$A$5,Xero!$E:$E,Heron!$A36)</f>
        <v/>
      </c>
      <c r="S36" s="117">
        <f>SUMIFS(Xero!$F:$F,Xero!$B:$B,Heron!S$9,Xero!$A:$A,Heron!$A$4,Xero!$E:$E,Heron!$A36)+SUMIFS(Xero!$F:$F,Xero!$B:$B,Heron!S$9,Xero!$A:$A,Heron!$A$5,Xero!$E:$E,Heron!$A36)</f>
        <v/>
      </c>
      <c r="T36" s="117">
        <f>SUMIFS(Xero!$F:$F,Xero!$B:$B,Heron!T$9,Xero!$A:$A,Heron!$A$4,Xero!$E:$E,Heron!$A36)+SUMIFS(Xero!$F:$F,Xero!$B:$B,Heron!T$9,Xero!$A:$A,Heron!$A$5,Xero!$E:$E,Heron!$A36)</f>
        <v/>
      </c>
      <c r="U36" s="117">
        <f>SUMIFS(Xero!$F:$F,Xero!$B:$B,Heron!U$9,Xero!$A:$A,Heron!$A$4,Xero!$E:$E,Heron!$A36)+SUMIFS(Xero!$F:$F,Xero!$B:$B,Heron!U$9,Xero!$A:$A,Heron!$A$5,Xero!$E:$E,Heron!$A36)</f>
        <v/>
      </c>
      <c r="V36" s="117">
        <f>SUMIFS(Xero!$F:$F,Xero!$B:$B,Heron!V$9,Xero!$A:$A,Heron!$A$4,Xero!$E:$E,Heron!$A36)+SUMIFS(Xero!$F:$F,Xero!$B:$B,Heron!V$9,Xero!$A:$A,Heron!$A$5,Xero!$E:$E,Heron!$A36)</f>
        <v/>
      </c>
      <c r="W36" s="117">
        <f>SUMIFS(Xero!$F:$F,Xero!$B:$B,Heron!W$9,Xero!$A:$A,Heron!$A$4,Xero!$E:$E,Heron!$A36)+SUMIFS(Xero!$F:$F,Xero!$B:$B,Heron!W$9,Xero!$A:$A,Heron!$A$5,Xero!$E:$E,Heron!$A36)</f>
        <v/>
      </c>
      <c r="X36" s="117">
        <f>SUMIFS(Xero!$F:$F,Xero!$B:$B,Heron!X$9,Xero!$A:$A,Heron!$A$4,Xero!$E:$E,Heron!$A36)+SUMIFS(Xero!$F:$F,Xero!$B:$B,Heron!X$9,Xero!$A:$A,Heron!$A$5,Xero!$E:$E,Heron!$A36)</f>
        <v/>
      </c>
      <c r="Y36" s="117">
        <f>SUMIFS(Xero!$F:$F,Xero!$B:$B,Heron!Y$9,Xero!$A:$A,Heron!$A$4,Xero!$E:$E,Heron!$A36)+SUMIFS(Xero!$F:$F,Xero!$B:$B,Heron!Y$9,Xero!$A:$A,Heron!$A$5,Xero!$E:$E,Heron!$A36)</f>
        <v/>
      </c>
      <c r="Z36" s="117">
        <f>SUMIFS(Xero!$F:$F,Xero!$B:$B,Heron!Z$9,Xero!$A:$A,Heron!$A$4,Xero!$E:$E,Heron!$A36)+SUMIFS(Xero!$F:$F,Xero!$B:$B,Heron!Z$9,Xero!$A:$A,Heron!$A$5,Xero!$E:$E,Heron!$A36)</f>
        <v/>
      </c>
      <c r="AA36" s="117">
        <f>SUMIFS(Xero!$F:$F,Xero!$B:$B,Heron!AA$9,Xero!$A:$A,Heron!$A$4,Xero!$E:$E,Heron!$A36)+SUMIFS(Xero!$F:$F,Xero!$B:$B,Heron!AA$9,Xero!$A:$A,Heron!$A$5,Xero!$E:$E,Heron!$A36)</f>
        <v/>
      </c>
      <c r="AB36" s="117">
        <f>SUMIFS(Xero!$F:$F,Xero!$B:$B,Heron!AB$9,Xero!$A:$A,Heron!$A$4,Xero!$E:$E,Heron!$A36)+SUMIFS(Xero!$F:$F,Xero!$B:$B,Heron!AB$9,Xero!$A:$A,Heron!$A$5,Xero!$E:$E,Heron!$A36)</f>
        <v/>
      </c>
      <c r="AC36" s="117">
        <f>SUMIFS(Xero!$F:$F,Xero!$B:$B,Heron!AC$9,Xero!$A:$A,Heron!$A$4,Xero!$E:$E,Heron!$A36)+SUMIFS(Xero!$F:$F,Xero!$B:$B,Heron!AC$9,Xero!$A:$A,Heron!$A$5,Xero!$E:$E,Heron!$A36)</f>
        <v/>
      </c>
      <c r="AD36" s="117">
        <f>SUMIFS(Xero!$F:$F,Xero!$B:$B,Heron!AD$9,Xero!$A:$A,Heron!$A$4,Xero!$E:$E,Heron!$A36)+SUMIFS(Xero!$F:$F,Xero!$B:$B,Heron!AD$9,Xero!$A:$A,Heron!$A$5,Xero!$E:$E,Heron!$A36)</f>
        <v/>
      </c>
      <c r="AE36" s="117">
        <f>SUMIFS(Xero!$F:$F,Xero!$B:$B,Heron!AE$9,Xero!$A:$A,Heron!$A$4,Xero!$E:$E,Heron!$A36)+SUMIFS(Xero!$F:$F,Xero!$B:$B,Heron!AE$9,Xero!$A:$A,Heron!$A$5,Xero!$E:$E,Heron!$A36)</f>
        <v/>
      </c>
      <c r="AF36" s="117">
        <f>SUMIFS(Xero!$F:$F,Xero!$B:$B,Heron!AF$9,Xero!$A:$A,Heron!$A$4,Xero!$E:$E,Heron!$A36)+SUMIFS(Xero!$F:$F,Xero!$B:$B,Heron!AF$9,Xero!$A:$A,Heron!$A$5,Xero!$E:$E,Heron!$A36)</f>
        <v/>
      </c>
      <c r="AG36" s="117">
        <f>SUMIFS(Xero!$F:$F,Xero!$B:$B,Heron!AG$9,Xero!$A:$A,Heron!$A$4,Xero!$E:$E,Heron!$A36)+SUMIFS(Xero!$F:$F,Xero!$B:$B,Heron!AG$9,Xero!$A:$A,Heron!$A$5,Xero!$E:$E,Heron!$A36)</f>
        <v/>
      </c>
      <c r="AH36" s="117">
        <f>SUMIFS(Xero!$F:$F,Xero!$B:$B,Heron!AH$9,Xero!$A:$A,Heron!$A$4,Xero!$E:$E,Heron!$A36)+SUMIFS(Xero!$F:$F,Xero!$B:$B,Heron!AH$9,Xero!$A:$A,Heron!$A$5,Xero!$E:$E,Heron!$A36)</f>
        <v/>
      </c>
      <c r="AI36" s="117">
        <f>SUMIFS(Xero!$F:$F,Xero!$B:$B,Heron!AI$9,Xero!$A:$A,Heron!$A$4,Xero!$E:$E,Heron!$A36)+SUMIFS(Xero!$F:$F,Xero!$B:$B,Heron!AI$9,Xero!$A:$A,Heron!$A$5,Xero!$E:$E,Heron!$A36)</f>
        <v/>
      </c>
      <c r="AJ36" s="117">
        <f>SUMIFS(Xero!$F:$F,Xero!$B:$B,Heron!AJ$9,Xero!$A:$A,Heron!$A$4,Xero!$E:$E,Heron!$A36)+SUMIFS(Xero!$F:$F,Xero!$B:$B,Heron!AJ$9,Xero!$A:$A,Heron!$A$5,Xero!$E:$E,Heron!$A36)</f>
        <v/>
      </c>
      <c r="AK36" s="117">
        <f>SUMIFS(Xero!$F:$F,Xero!$B:$B,Heron!AK$9,Xero!$A:$A,Heron!$A$4,Xero!$E:$E,Heron!$A36)+SUMIFS(Xero!$F:$F,Xero!$B:$B,Heron!AK$9,Xero!$A:$A,Heron!$A$5,Xero!$E:$E,Heron!$A36)</f>
        <v/>
      </c>
      <c r="AL36" s="117">
        <f>SUMIFS(Xero!$F:$F,Xero!$B:$B,Heron!AL$9,Xero!$A:$A,Heron!$A$4,Xero!$E:$E,Heron!$A36)+SUMIFS(Xero!$F:$F,Xero!$B:$B,Heron!AL$9,Xero!$A:$A,Heron!$A$5,Xero!$E:$E,Heron!$A36)</f>
        <v/>
      </c>
      <c r="AM36" s="117">
        <f>SUMIFS(Xero!$F:$F,Xero!$B:$B,Heron!AM$9,Xero!$A:$A,Heron!$A$4,Xero!$E:$E,Heron!$A36)+SUMIFS(Xero!$F:$F,Xero!$B:$B,Heron!AM$9,Xero!$A:$A,Heron!$A$5,Xero!$E:$E,Heron!$A36)</f>
        <v/>
      </c>
      <c r="AN36" s="117">
        <f>SUMIFS(Xero!$F:$F,Xero!$B:$B,Heron!AN$9,Xero!$A:$A,Heron!$A$4,Xero!$E:$E,Heron!$A36)+SUMIFS(Xero!$F:$F,Xero!$B:$B,Heron!AN$9,Xero!$A:$A,Heron!$A$5,Xero!$E:$E,Heron!$A36)</f>
        <v/>
      </c>
      <c r="AO36" s="117">
        <f>SUMIFS(Xero!$F:$F,Xero!$B:$B,Heron!AO$9,Xero!$A:$A,Heron!$A$4,Xero!$E:$E,Heron!$A36)+SUMIFS(Xero!$F:$F,Xero!$B:$B,Heron!AO$9,Xero!$A:$A,Heron!$A$5,Xero!$E:$E,Heron!$A36)</f>
        <v/>
      </c>
      <c r="AP36" s="117">
        <f>SUMIFS(Xero!$F:$F,Xero!$B:$B,Heron!AP$9,Xero!$A:$A,Heron!$A$4,Xero!$E:$E,Heron!$A36)+SUMIFS(Xero!$F:$F,Xero!$B:$B,Heron!AP$9,Xero!$A:$A,Heron!$A$5,Xero!$E:$E,Heron!$A36)</f>
        <v/>
      </c>
      <c r="AQ36" s="117">
        <f>SUMIFS(Xero!$F:$F,Xero!$B:$B,Heron!AQ$9,Xero!$A:$A,Heron!$A$4,Xero!$E:$E,Heron!$A36)+SUMIFS(Xero!$F:$F,Xero!$B:$B,Heron!AQ$9,Xero!$A:$A,Heron!$A$5,Xero!$E:$E,Heron!$A36)</f>
        <v/>
      </c>
      <c r="AR36" s="117">
        <f>SUMIFS(Xero!$F:$F,Xero!$B:$B,Heron!AR$9,Xero!$A:$A,Heron!$A$4,Xero!$E:$E,Heron!$A36)+SUMIFS(Xero!$F:$F,Xero!$B:$B,Heron!AR$9,Xero!$A:$A,Heron!$A$5,Xero!$E:$E,Heron!$A36)</f>
        <v/>
      </c>
      <c r="AS36" s="117">
        <f>SUMIFS(Xero!$F:$F,Xero!$B:$B,Heron!AS$9,Xero!$A:$A,Heron!$A$4,Xero!$E:$E,Heron!$A36)+SUMIFS(Xero!$F:$F,Xero!$B:$B,Heron!AS$9,Xero!$A:$A,Heron!$A$5,Xero!$E:$E,Heron!$A36)</f>
        <v/>
      </c>
      <c r="AT36" s="117">
        <f>SUMIFS(Xero!$F:$F,Xero!$B:$B,Heron!AT$9,Xero!$A:$A,Heron!$A$4,Xero!$E:$E,Heron!$A36)+SUMIFS(Xero!$F:$F,Xero!$B:$B,Heron!AT$9,Xero!$A:$A,Heron!$A$5,Xero!$E:$E,Heron!$A36)</f>
        <v/>
      </c>
      <c r="AU36" s="117">
        <f>SUMIFS(Xero!$F:$F,Xero!$B:$B,Heron!AU$9,Xero!$A:$A,Heron!$A$4,Xero!$E:$E,Heron!$A36)+SUMIFS(Xero!$F:$F,Xero!$B:$B,Heron!AU$9,Xero!$A:$A,Heron!$A$5,Xero!$E:$E,Heron!$A36)</f>
        <v/>
      </c>
      <c r="AV36" s="117">
        <f>SUMIFS(Xero!$F:$F,Xero!$B:$B,Heron!AV$9,Xero!$A:$A,Heron!$A$4,Xero!$E:$E,Heron!$A36)+SUMIFS(Xero!$F:$F,Xero!$B:$B,Heron!AV$9,Xero!$A:$A,Heron!$A$5,Xero!$E:$E,Heron!$A36)</f>
        <v/>
      </c>
      <c r="AW36" s="117">
        <f>SUMIFS(Xero!$F:$F,Xero!$B:$B,Heron!AW$9,Xero!$A:$A,Heron!$A$4,Xero!$E:$E,Heron!$A36)+SUMIFS(Xero!$F:$F,Xero!$B:$B,Heron!AW$9,Xero!$A:$A,Heron!$A$5,Xero!$E:$E,Heron!$A36)</f>
        <v/>
      </c>
      <c r="AX36" s="117">
        <f>SUMIFS(Xero!$F:$F,Xero!$B:$B,Heron!AX$9,Xero!$A:$A,Heron!$A$4,Xero!$E:$E,Heron!$A36)+SUMIFS(Xero!$F:$F,Xero!$B:$B,Heron!AX$9,Xero!$A:$A,Heron!$A$5,Xero!$E:$E,Heron!$A36)</f>
        <v/>
      </c>
      <c r="AY36" s="117">
        <f>SUMIFS(Xero!$F:$F,Xero!$B:$B,Heron!AY$9,Xero!$A:$A,Heron!$A$4,Xero!$E:$E,Heron!$A36)+SUMIFS(Xero!$F:$F,Xero!$B:$B,Heron!AY$9,Xero!$A:$A,Heron!$A$5,Xero!$E:$E,Heron!$A36)</f>
        <v/>
      </c>
      <c r="AZ36" s="117">
        <f>SUMIFS(Xero!$F:$F,Xero!$B:$B,Heron!AZ$9,Xero!$A:$A,Heron!$A$4,Xero!$E:$E,Heron!$A36)+SUMIFS(Xero!$F:$F,Xero!$B:$B,Heron!AZ$9,Xero!$A:$A,Heron!$A$5,Xero!$E:$E,Heron!$A36)</f>
        <v/>
      </c>
      <c r="BA36" s="117">
        <f>SUMIFS(Xero!$F:$F,Xero!$B:$B,Heron!BA$9,Xero!$A:$A,Heron!$A$4,Xero!$E:$E,Heron!$A36)+SUMIFS(Xero!$F:$F,Xero!$B:$B,Heron!BA$9,Xero!$A:$A,Heron!$A$5,Xero!$E:$E,Heron!$A36)</f>
        <v/>
      </c>
      <c r="BB36" s="117">
        <f>SUMIFS(Xero!$F:$F,Xero!$B:$B,Heron!BB$9,Xero!$A:$A,Heron!$A$4,Xero!$E:$E,Heron!$A36)+SUMIFS(Xero!$F:$F,Xero!$B:$B,Heron!BB$9,Xero!$A:$A,Heron!$A$5,Xero!$E:$E,Heron!$A36)</f>
        <v/>
      </c>
      <c r="BC36" s="117">
        <f>SUMIFS(Xero!$F:$F,Xero!$B:$B,Heron!BC$9,Xero!$A:$A,Heron!$A$4,Xero!$E:$E,Heron!$A36)+SUMIFS(Xero!$F:$F,Xero!$B:$B,Heron!BC$9,Xero!$A:$A,Heron!$A$5,Xero!$E:$E,Heron!$A36)</f>
        <v/>
      </c>
      <c r="BD36" s="117">
        <f>SUMIFS(Xero!$F:$F,Xero!$B:$B,Heron!BD$9,Xero!$A:$A,Heron!$A$4,Xero!$E:$E,Heron!$A36)+SUMIFS(Xero!$F:$F,Xero!$B:$B,Heron!BD$9,Xero!$A:$A,Heron!$A$5,Xero!$E:$E,Heron!$A36)</f>
        <v/>
      </c>
      <c r="BE36" s="117">
        <f>SUMIFS(Xero!$F:$F,Xero!$B:$B,Heron!BE$9,Xero!$A:$A,Heron!$A$4,Xero!$E:$E,Heron!$A36)+SUMIFS(Xero!$F:$F,Xero!$B:$B,Heron!BE$9,Xero!$A:$A,Heron!$A$5,Xero!$E:$E,Heron!$A36)</f>
        <v/>
      </c>
      <c r="BF36" s="117">
        <f>SUMIFS(Xero!$F:$F,Xero!$B:$B,Heron!BF$9,Xero!$A:$A,Heron!$A$4,Xero!$E:$E,Heron!$A36)+SUMIFS(Xero!$F:$F,Xero!$B:$B,Heron!BF$9,Xero!$A:$A,Heron!$A$5,Xero!$E:$E,Heron!$A36)</f>
        <v/>
      </c>
      <c r="BG36" s="117">
        <f>SUMIFS(Xero!$F:$F,Xero!$B:$B,Heron!BG$9,Xero!$A:$A,Heron!$A$4,Xero!$E:$E,Heron!$A36)+SUMIFS(Xero!$F:$F,Xero!$B:$B,Heron!BG$9,Xero!$A:$A,Heron!$A$5,Xero!$E:$E,Heron!$A36)</f>
        <v/>
      </c>
      <c r="BH36" s="117">
        <f>SUMIFS(Xero!$F:$F,Xero!$B:$B,Heron!BH$9,Xero!$A:$A,Heron!$A$4,Xero!$E:$E,Heron!$A36)+SUMIFS(Xero!$F:$F,Xero!$B:$B,Heron!BH$9,Xero!$A:$A,Heron!$A$5,Xero!$E:$E,Heron!$A36)</f>
        <v/>
      </c>
      <c r="BI36" s="117">
        <f>SUMIFS(Xero!$F:$F,Xero!$B:$B,Heron!BI$9,Xero!$A:$A,Heron!$A$4,Xero!$E:$E,Heron!$A36)+SUMIFS(Xero!$F:$F,Xero!$B:$B,Heron!BI$9,Xero!$A:$A,Heron!$A$5,Xero!$E:$E,Heron!$A36)</f>
        <v/>
      </c>
      <c r="BJ36" s="117">
        <f>SUMIFS(Xero!$F:$F,Xero!$B:$B,Heron!BJ$9,Xero!$A:$A,Heron!$A$4,Xero!$E:$E,Heron!$A36)+SUMIFS(Xero!$F:$F,Xero!$B:$B,Heron!BJ$9,Xero!$A:$A,Heron!$A$5,Xero!$E:$E,Heron!$A36)</f>
        <v/>
      </c>
      <c r="BK36" s="117">
        <f>sum(D36:BJ36)</f>
        <v/>
      </c>
    </row>
    <row r="37">
      <c r="A37" s="116" t="inlineStr">
        <is>
          <t>Advertising - Property24</t>
        </is>
      </c>
      <c r="D37" s="117">
        <f>SUMIFS(Xero!$F:$F,Xero!$B:$B,Heron!D$9,Xero!$A:$A,Heron!$A$4,Xero!$E:$E,Heron!$A37)+SUMIFS(Xero!$F:$F,Xero!$B:$B,Heron!D$9,Xero!$A:$A,Heron!$A$5,Xero!$E:$E,Heron!$A37)</f>
        <v/>
      </c>
      <c r="E37" s="117">
        <f>SUMIFS(Xero!$F:$F,Xero!$B:$B,Heron!E$9,Xero!$A:$A,Heron!$A$4,Xero!$E:$E,Heron!$A37)+SUMIFS(Xero!$F:$F,Xero!$B:$B,Heron!E$9,Xero!$A:$A,Heron!$A$5,Xero!$E:$E,Heron!$A37)</f>
        <v/>
      </c>
      <c r="F37" s="117">
        <f>SUMIFS(Xero!$F:$F,Xero!$B:$B,Heron!F$9,Xero!$A:$A,Heron!$A$4,Xero!$E:$E,Heron!$A37)+SUMIFS(Xero!$F:$F,Xero!$B:$B,Heron!F$9,Xero!$A:$A,Heron!$A$5,Xero!$E:$E,Heron!$A37)</f>
        <v/>
      </c>
      <c r="G37" s="117">
        <f>SUMIFS(Xero!$F:$F,Xero!$B:$B,Heron!G$9,Xero!$A:$A,Heron!$A$4,Xero!$E:$E,Heron!$A37)+SUMIFS(Xero!$F:$F,Xero!$B:$B,Heron!G$9,Xero!$A:$A,Heron!$A$5,Xero!$E:$E,Heron!$A37)</f>
        <v/>
      </c>
      <c r="H37" s="117">
        <f>SUMIFS(Xero!$F:$F,Xero!$B:$B,Heron!H$9,Xero!$A:$A,Heron!$A$4,Xero!$E:$E,Heron!$A37)+SUMIFS(Xero!$F:$F,Xero!$B:$B,Heron!H$9,Xero!$A:$A,Heron!$A$5,Xero!$E:$E,Heron!$A37)</f>
        <v/>
      </c>
      <c r="I37" s="117">
        <f>SUMIFS(Xero!$F:$F,Xero!$B:$B,Heron!I$9,Xero!$A:$A,Heron!$A$4,Xero!$E:$E,Heron!$A37)+SUMIFS(Xero!$F:$F,Xero!$B:$B,Heron!I$9,Xero!$A:$A,Heron!$A$5,Xero!$E:$E,Heron!$A37)</f>
        <v/>
      </c>
      <c r="J37" s="117">
        <f>SUMIFS(Xero!$F:$F,Xero!$B:$B,Heron!J$9,Xero!$A:$A,Heron!$A$4,Xero!$E:$E,Heron!$A37)+SUMIFS(Xero!$F:$F,Xero!$B:$B,Heron!J$9,Xero!$A:$A,Heron!$A$5,Xero!$E:$E,Heron!$A37)</f>
        <v/>
      </c>
      <c r="K37" s="117">
        <f>SUMIFS(Xero!$F:$F,Xero!$B:$B,Heron!K$9,Xero!$A:$A,Heron!$A$4,Xero!$E:$E,Heron!$A37)+SUMIFS(Xero!$F:$F,Xero!$B:$B,Heron!K$9,Xero!$A:$A,Heron!$A$5,Xero!$E:$E,Heron!$A37)</f>
        <v/>
      </c>
      <c r="L37" s="117">
        <f>SUMIFS(Xero!$F:$F,Xero!$B:$B,Heron!L$9,Xero!$A:$A,Heron!$A$4,Xero!$E:$E,Heron!$A37)+SUMIFS(Xero!$F:$F,Xero!$B:$B,Heron!L$9,Xero!$A:$A,Heron!$A$5,Xero!$E:$E,Heron!$A37)</f>
        <v/>
      </c>
      <c r="M37" s="117">
        <f>SUMIFS(Xero!$F:$F,Xero!$B:$B,Heron!M$9,Xero!$A:$A,Heron!$A$4,Xero!$E:$E,Heron!$A37)+SUMIFS(Xero!$F:$F,Xero!$B:$B,Heron!M$9,Xero!$A:$A,Heron!$A$5,Xero!$E:$E,Heron!$A37)</f>
        <v/>
      </c>
      <c r="N37" s="117">
        <f>SUMIFS(Xero!$F:$F,Xero!$B:$B,Heron!N$9,Xero!$A:$A,Heron!$A$4,Xero!$E:$E,Heron!$A37)+SUMIFS(Xero!$F:$F,Xero!$B:$B,Heron!N$9,Xero!$A:$A,Heron!$A$5,Xero!$E:$E,Heron!$A37)</f>
        <v/>
      </c>
      <c r="O37" s="117">
        <f>SUMIFS(Xero!$F:$F,Xero!$B:$B,Heron!O$9,Xero!$A:$A,Heron!$A$4,Xero!$E:$E,Heron!$A37)+SUMIFS(Xero!$F:$F,Xero!$B:$B,Heron!O$9,Xero!$A:$A,Heron!$A$5,Xero!$E:$E,Heron!$A37)</f>
        <v/>
      </c>
      <c r="P37" s="117">
        <f>SUMIFS(Xero!$F:$F,Xero!$B:$B,Heron!P$9,Xero!$A:$A,Heron!$A$4,Xero!$E:$E,Heron!$A37)+SUMIFS(Xero!$F:$F,Xero!$B:$B,Heron!P$9,Xero!$A:$A,Heron!$A$5,Xero!$E:$E,Heron!$A37)</f>
        <v/>
      </c>
      <c r="Q37" s="117">
        <f>SUMIFS(Xero!$F:$F,Xero!$B:$B,Heron!Q$9,Xero!$A:$A,Heron!$A$4,Xero!$E:$E,Heron!$A37)+SUMIFS(Xero!$F:$F,Xero!$B:$B,Heron!Q$9,Xero!$A:$A,Heron!$A$5,Xero!$E:$E,Heron!$A37)</f>
        <v/>
      </c>
      <c r="R37" s="117">
        <f>SUMIFS(Xero!$F:$F,Xero!$B:$B,Heron!R$9,Xero!$A:$A,Heron!$A$4,Xero!$E:$E,Heron!$A37)+SUMIFS(Xero!$F:$F,Xero!$B:$B,Heron!R$9,Xero!$A:$A,Heron!$A$5,Xero!$E:$E,Heron!$A37)</f>
        <v/>
      </c>
      <c r="S37" s="117">
        <f>SUMIFS(Xero!$F:$F,Xero!$B:$B,Heron!S$9,Xero!$A:$A,Heron!$A$4,Xero!$E:$E,Heron!$A37)+SUMIFS(Xero!$F:$F,Xero!$B:$B,Heron!S$9,Xero!$A:$A,Heron!$A$5,Xero!$E:$E,Heron!$A37)</f>
        <v/>
      </c>
      <c r="T37" s="117">
        <f>SUMIFS(Xero!$F:$F,Xero!$B:$B,Heron!T$9,Xero!$A:$A,Heron!$A$4,Xero!$E:$E,Heron!$A37)+SUMIFS(Xero!$F:$F,Xero!$B:$B,Heron!T$9,Xero!$A:$A,Heron!$A$5,Xero!$E:$E,Heron!$A37)</f>
        <v/>
      </c>
      <c r="U37" s="117">
        <f>SUMIFS(Xero!$F:$F,Xero!$B:$B,Heron!U$9,Xero!$A:$A,Heron!$A$4,Xero!$E:$E,Heron!$A37)+SUMIFS(Xero!$F:$F,Xero!$B:$B,Heron!U$9,Xero!$A:$A,Heron!$A$5,Xero!$E:$E,Heron!$A37)</f>
        <v/>
      </c>
      <c r="V37" s="117">
        <f>SUMIFS(Xero!$F:$F,Xero!$B:$B,Heron!V$9,Xero!$A:$A,Heron!$A$4,Xero!$E:$E,Heron!$A37)+SUMIFS(Xero!$F:$F,Xero!$B:$B,Heron!V$9,Xero!$A:$A,Heron!$A$5,Xero!$E:$E,Heron!$A37)</f>
        <v/>
      </c>
      <c r="W37" s="117">
        <f>SUMIFS(Xero!$F:$F,Xero!$B:$B,Heron!W$9,Xero!$A:$A,Heron!$A$4,Xero!$E:$E,Heron!$A37)+SUMIFS(Xero!$F:$F,Xero!$B:$B,Heron!W$9,Xero!$A:$A,Heron!$A$5,Xero!$E:$E,Heron!$A37)</f>
        <v/>
      </c>
      <c r="X37" s="117">
        <f>SUMIFS(Xero!$F:$F,Xero!$B:$B,Heron!X$9,Xero!$A:$A,Heron!$A$4,Xero!$E:$E,Heron!$A37)+SUMIFS(Xero!$F:$F,Xero!$B:$B,Heron!X$9,Xero!$A:$A,Heron!$A$5,Xero!$E:$E,Heron!$A37)</f>
        <v/>
      </c>
      <c r="Y37" s="117">
        <f>SUMIFS(Xero!$F:$F,Xero!$B:$B,Heron!Y$9,Xero!$A:$A,Heron!$A$4,Xero!$E:$E,Heron!$A37)+SUMIFS(Xero!$F:$F,Xero!$B:$B,Heron!Y$9,Xero!$A:$A,Heron!$A$5,Xero!$E:$E,Heron!$A37)</f>
        <v/>
      </c>
      <c r="Z37" s="117">
        <f>SUMIFS(Xero!$F:$F,Xero!$B:$B,Heron!Z$9,Xero!$A:$A,Heron!$A$4,Xero!$E:$E,Heron!$A37)+SUMIFS(Xero!$F:$F,Xero!$B:$B,Heron!Z$9,Xero!$A:$A,Heron!$A$5,Xero!$E:$E,Heron!$A37)</f>
        <v/>
      </c>
      <c r="AA37" s="117">
        <f>SUMIFS(Xero!$F:$F,Xero!$B:$B,Heron!AA$9,Xero!$A:$A,Heron!$A$4,Xero!$E:$E,Heron!$A37)+SUMIFS(Xero!$F:$F,Xero!$B:$B,Heron!AA$9,Xero!$A:$A,Heron!$A$5,Xero!$E:$E,Heron!$A37)</f>
        <v/>
      </c>
      <c r="AB37" s="117">
        <f>SUMIFS(Xero!$F:$F,Xero!$B:$B,Heron!AB$9,Xero!$A:$A,Heron!$A$4,Xero!$E:$E,Heron!$A37)+SUMIFS(Xero!$F:$F,Xero!$B:$B,Heron!AB$9,Xero!$A:$A,Heron!$A$5,Xero!$E:$E,Heron!$A37)</f>
        <v/>
      </c>
      <c r="AC37" s="117">
        <f>SUMIFS(Xero!$F:$F,Xero!$B:$B,Heron!AC$9,Xero!$A:$A,Heron!$A$4,Xero!$E:$E,Heron!$A37)+SUMIFS(Xero!$F:$F,Xero!$B:$B,Heron!AC$9,Xero!$A:$A,Heron!$A$5,Xero!$E:$E,Heron!$A37)</f>
        <v/>
      </c>
      <c r="AD37" s="117">
        <f>SUMIFS(Xero!$F:$F,Xero!$B:$B,Heron!AD$9,Xero!$A:$A,Heron!$A$4,Xero!$E:$E,Heron!$A37)+SUMIFS(Xero!$F:$F,Xero!$B:$B,Heron!AD$9,Xero!$A:$A,Heron!$A$5,Xero!$E:$E,Heron!$A37)</f>
        <v/>
      </c>
      <c r="AE37" s="117">
        <f>SUMIFS(Xero!$F:$F,Xero!$B:$B,Heron!AE$9,Xero!$A:$A,Heron!$A$4,Xero!$E:$E,Heron!$A37)+SUMIFS(Xero!$F:$F,Xero!$B:$B,Heron!AE$9,Xero!$A:$A,Heron!$A$5,Xero!$E:$E,Heron!$A37)</f>
        <v/>
      </c>
      <c r="AF37" s="117">
        <f>SUMIFS(Xero!$F:$F,Xero!$B:$B,Heron!AF$9,Xero!$A:$A,Heron!$A$4,Xero!$E:$E,Heron!$A37)+SUMIFS(Xero!$F:$F,Xero!$B:$B,Heron!AF$9,Xero!$A:$A,Heron!$A$5,Xero!$E:$E,Heron!$A37)</f>
        <v/>
      </c>
      <c r="AG37" s="117">
        <f>SUMIFS(Xero!$F:$F,Xero!$B:$B,Heron!AG$9,Xero!$A:$A,Heron!$A$4,Xero!$E:$E,Heron!$A37)+SUMIFS(Xero!$F:$F,Xero!$B:$B,Heron!AG$9,Xero!$A:$A,Heron!$A$5,Xero!$E:$E,Heron!$A37)</f>
        <v/>
      </c>
      <c r="AH37" s="117">
        <f>SUMIFS(Xero!$F:$F,Xero!$B:$B,Heron!AH$9,Xero!$A:$A,Heron!$A$4,Xero!$E:$E,Heron!$A37)+SUMIFS(Xero!$F:$F,Xero!$B:$B,Heron!AH$9,Xero!$A:$A,Heron!$A$5,Xero!$E:$E,Heron!$A37)</f>
        <v/>
      </c>
      <c r="AI37" s="117">
        <f>SUMIFS(Xero!$F:$F,Xero!$B:$B,Heron!AI$9,Xero!$A:$A,Heron!$A$4,Xero!$E:$E,Heron!$A37)+SUMIFS(Xero!$F:$F,Xero!$B:$B,Heron!AI$9,Xero!$A:$A,Heron!$A$5,Xero!$E:$E,Heron!$A37)</f>
        <v/>
      </c>
      <c r="AJ37" s="117">
        <f>SUMIFS(Xero!$F:$F,Xero!$B:$B,Heron!AJ$9,Xero!$A:$A,Heron!$A$4,Xero!$E:$E,Heron!$A37)+SUMIFS(Xero!$F:$F,Xero!$B:$B,Heron!AJ$9,Xero!$A:$A,Heron!$A$5,Xero!$E:$E,Heron!$A37)</f>
        <v/>
      </c>
      <c r="AK37" s="117">
        <f>SUMIFS(Xero!$F:$F,Xero!$B:$B,Heron!AK$9,Xero!$A:$A,Heron!$A$4,Xero!$E:$E,Heron!$A37)+SUMIFS(Xero!$F:$F,Xero!$B:$B,Heron!AK$9,Xero!$A:$A,Heron!$A$5,Xero!$E:$E,Heron!$A37)</f>
        <v/>
      </c>
      <c r="AL37" s="117">
        <f>SUMIFS(Xero!$F:$F,Xero!$B:$B,Heron!AL$9,Xero!$A:$A,Heron!$A$4,Xero!$E:$E,Heron!$A37)+SUMIFS(Xero!$F:$F,Xero!$B:$B,Heron!AL$9,Xero!$A:$A,Heron!$A$5,Xero!$E:$E,Heron!$A37)</f>
        <v/>
      </c>
      <c r="AM37" s="117">
        <f>SUMIFS(Xero!$F:$F,Xero!$B:$B,Heron!AM$9,Xero!$A:$A,Heron!$A$4,Xero!$E:$E,Heron!$A37)+SUMIFS(Xero!$F:$F,Xero!$B:$B,Heron!AM$9,Xero!$A:$A,Heron!$A$5,Xero!$E:$E,Heron!$A37)</f>
        <v/>
      </c>
      <c r="AN37" s="117">
        <f>SUMIFS(Xero!$F:$F,Xero!$B:$B,Heron!AN$9,Xero!$A:$A,Heron!$A$4,Xero!$E:$E,Heron!$A37)+SUMIFS(Xero!$F:$F,Xero!$B:$B,Heron!AN$9,Xero!$A:$A,Heron!$A$5,Xero!$E:$E,Heron!$A37)</f>
        <v/>
      </c>
      <c r="AO37" s="117">
        <f>SUMIFS(Xero!$F:$F,Xero!$B:$B,Heron!AO$9,Xero!$A:$A,Heron!$A$4,Xero!$E:$E,Heron!$A37)+SUMIFS(Xero!$F:$F,Xero!$B:$B,Heron!AO$9,Xero!$A:$A,Heron!$A$5,Xero!$E:$E,Heron!$A37)</f>
        <v/>
      </c>
      <c r="AP37" s="117">
        <f>SUMIFS(Xero!$F:$F,Xero!$B:$B,Heron!AP$9,Xero!$A:$A,Heron!$A$4,Xero!$E:$E,Heron!$A37)+SUMIFS(Xero!$F:$F,Xero!$B:$B,Heron!AP$9,Xero!$A:$A,Heron!$A$5,Xero!$E:$E,Heron!$A37)</f>
        <v/>
      </c>
      <c r="AQ37" s="117">
        <f>SUMIFS(Xero!$F:$F,Xero!$B:$B,Heron!AQ$9,Xero!$A:$A,Heron!$A$4,Xero!$E:$E,Heron!$A37)+SUMIFS(Xero!$F:$F,Xero!$B:$B,Heron!AQ$9,Xero!$A:$A,Heron!$A$5,Xero!$E:$E,Heron!$A37)</f>
        <v/>
      </c>
      <c r="AR37" s="117">
        <f>SUMIFS(Xero!$F:$F,Xero!$B:$B,Heron!AR$9,Xero!$A:$A,Heron!$A$4,Xero!$E:$E,Heron!$A37)+SUMIFS(Xero!$F:$F,Xero!$B:$B,Heron!AR$9,Xero!$A:$A,Heron!$A$5,Xero!$E:$E,Heron!$A37)</f>
        <v/>
      </c>
      <c r="AS37" s="117">
        <f>SUMIFS(Xero!$F:$F,Xero!$B:$B,Heron!AS$9,Xero!$A:$A,Heron!$A$4,Xero!$E:$E,Heron!$A37)+SUMIFS(Xero!$F:$F,Xero!$B:$B,Heron!AS$9,Xero!$A:$A,Heron!$A$5,Xero!$E:$E,Heron!$A37)</f>
        <v/>
      </c>
      <c r="AT37" s="117">
        <f>SUMIFS(Xero!$F:$F,Xero!$B:$B,Heron!AT$9,Xero!$A:$A,Heron!$A$4,Xero!$E:$E,Heron!$A37)+SUMIFS(Xero!$F:$F,Xero!$B:$B,Heron!AT$9,Xero!$A:$A,Heron!$A$5,Xero!$E:$E,Heron!$A37)</f>
        <v/>
      </c>
      <c r="AU37" s="117">
        <f>SUMIFS(Xero!$F:$F,Xero!$B:$B,Heron!AU$9,Xero!$A:$A,Heron!$A$4,Xero!$E:$E,Heron!$A37)+SUMIFS(Xero!$F:$F,Xero!$B:$B,Heron!AU$9,Xero!$A:$A,Heron!$A$5,Xero!$E:$E,Heron!$A37)</f>
        <v/>
      </c>
      <c r="AV37" s="117">
        <f>SUMIFS(Xero!$F:$F,Xero!$B:$B,Heron!AV$9,Xero!$A:$A,Heron!$A$4,Xero!$E:$E,Heron!$A37)+SUMIFS(Xero!$F:$F,Xero!$B:$B,Heron!AV$9,Xero!$A:$A,Heron!$A$5,Xero!$E:$E,Heron!$A37)</f>
        <v/>
      </c>
      <c r="AW37" s="117">
        <f>SUMIFS(Xero!$F:$F,Xero!$B:$B,Heron!AW$9,Xero!$A:$A,Heron!$A$4,Xero!$E:$E,Heron!$A37)+SUMIFS(Xero!$F:$F,Xero!$B:$B,Heron!AW$9,Xero!$A:$A,Heron!$A$5,Xero!$E:$E,Heron!$A37)</f>
        <v/>
      </c>
      <c r="AX37" s="117">
        <f>SUMIFS(Xero!$F:$F,Xero!$B:$B,Heron!AX$9,Xero!$A:$A,Heron!$A$4,Xero!$E:$E,Heron!$A37)+SUMIFS(Xero!$F:$F,Xero!$B:$B,Heron!AX$9,Xero!$A:$A,Heron!$A$5,Xero!$E:$E,Heron!$A37)</f>
        <v/>
      </c>
      <c r="AY37" s="117">
        <f>SUMIFS(Xero!$F:$F,Xero!$B:$B,Heron!AY$9,Xero!$A:$A,Heron!$A$4,Xero!$E:$E,Heron!$A37)+SUMIFS(Xero!$F:$F,Xero!$B:$B,Heron!AY$9,Xero!$A:$A,Heron!$A$5,Xero!$E:$E,Heron!$A37)</f>
        <v/>
      </c>
      <c r="AZ37" s="117">
        <f>SUMIFS(Xero!$F:$F,Xero!$B:$B,Heron!AZ$9,Xero!$A:$A,Heron!$A$4,Xero!$E:$E,Heron!$A37)+SUMIFS(Xero!$F:$F,Xero!$B:$B,Heron!AZ$9,Xero!$A:$A,Heron!$A$5,Xero!$E:$E,Heron!$A37)</f>
        <v/>
      </c>
      <c r="BA37" s="117">
        <f>SUMIFS(Xero!$F:$F,Xero!$B:$B,Heron!BA$9,Xero!$A:$A,Heron!$A$4,Xero!$E:$E,Heron!$A37)+SUMIFS(Xero!$F:$F,Xero!$B:$B,Heron!BA$9,Xero!$A:$A,Heron!$A$5,Xero!$E:$E,Heron!$A37)</f>
        <v/>
      </c>
      <c r="BB37" s="117">
        <f>SUMIFS(Xero!$F:$F,Xero!$B:$B,Heron!BB$9,Xero!$A:$A,Heron!$A$4,Xero!$E:$E,Heron!$A37)+SUMIFS(Xero!$F:$F,Xero!$B:$B,Heron!BB$9,Xero!$A:$A,Heron!$A$5,Xero!$E:$E,Heron!$A37)</f>
        <v/>
      </c>
      <c r="BC37" s="117">
        <f>SUMIFS(Xero!$F:$F,Xero!$B:$B,Heron!BC$9,Xero!$A:$A,Heron!$A$4,Xero!$E:$E,Heron!$A37)+SUMIFS(Xero!$F:$F,Xero!$B:$B,Heron!BC$9,Xero!$A:$A,Heron!$A$5,Xero!$E:$E,Heron!$A37)</f>
        <v/>
      </c>
      <c r="BD37" s="117">
        <f>SUMIFS(Xero!$F:$F,Xero!$B:$B,Heron!BD$9,Xero!$A:$A,Heron!$A$4,Xero!$E:$E,Heron!$A37)+SUMIFS(Xero!$F:$F,Xero!$B:$B,Heron!BD$9,Xero!$A:$A,Heron!$A$5,Xero!$E:$E,Heron!$A37)</f>
        <v/>
      </c>
      <c r="BE37" s="117">
        <f>SUMIFS(Xero!$F:$F,Xero!$B:$B,Heron!BE$9,Xero!$A:$A,Heron!$A$4,Xero!$E:$E,Heron!$A37)+SUMIFS(Xero!$F:$F,Xero!$B:$B,Heron!BE$9,Xero!$A:$A,Heron!$A$5,Xero!$E:$E,Heron!$A37)</f>
        <v/>
      </c>
      <c r="BF37" s="117">
        <f>SUMIFS(Xero!$F:$F,Xero!$B:$B,Heron!BF$9,Xero!$A:$A,Heron!$A$4,Xero!$E:$E,Heron!$A37)+SUMIFS(Xero!$F:$F,Xero!$B:$B,Heron!BF$9,Xero!$A:$A,Heron!$A$5,Xero!$E:$E,Heron!$A37)</f>
        <v/>
      </c>
      <c r="BG37" s="117">
        <f>SUMIFS(Xero!$F:$F,Xero!$B:$B,Heron!BG$9,Xero!$A:$A,Heron!$A$4,Xero!$E:$E,Heron!$A37)+SUMIFS(Xero!$F:$F,Xero!$B:$B,Heron!BG$9,Xero!$A:$A,Heron!$A$5,Xero!$E:$E,Heron!$A37)</f>
        <v/>
      </c>
      <c r="BH37" s="117">
        <f>SUMIFS(Xero!$F:$F,Xero!$B:$B,Heron!BH$9,Xero!$A:$A,Heron!$A$4,Xero!$E:$E,Heron!$A37)+SUMIFS(Xero!$F:$F,Xero!$B:$B,Heron!BH$9,Xero!$A:$A,Heron!$A$5,Xero!$E:$E,Heron!$A37)</f>
        <v/>
      </c>
      <c r="BI37" s="117">
        <f>SUMIFS(Xero!$F:$F,Xero!$B:$B,Heron!BI$9,Xero!$A:$A,Heron!$A$4,Xero!$E:$E,Heron!$A37)+SUMIFS(Xero!$F:$F,Xero!$B:$B,Heron!BI$9,Xero!$A:$A,Heron!$A$5,Xero!$E:$E,Heron!$A37)</f>
        <v/>
      </c>
      <c r="BJ37" s="117">
        <f>SUMIFS(Xero!$F:$F,Xero!$B:$B,Heron!BJ$9,Xero!$A:$A,Heron!$A$4,Xero!$E:$E,Heron!$A37)+SUMIFS(Xero!$F:$F,Xero!$B:$B,Heron!BJ$9,Xero!$A:$A,Heron!$A$5,Xero!$E:$E,Heron!$A37)</f>
        <v/>
      </c>
      <c r="BK37" s="117">
        <f>sum(D37:BJ37)</f>
        <v/>
      </c>
    </row>
    <row r="38">
      <c r="A38" s="116" t="inlineStr">
        <is>
          <t>Advertising - Pure Brand Activation</t>
        </is>
      </c>
      <c r="D38" s="117">
        <f>SUMIFS(Xero!$F:$F,Xero!$B:$B,Heron!D$9,Xero!$A:$A,Heron!$A$4,Xero!$E:$E,Heron!$A38)+SUMIFS(Xero!$F:$F,Xero!$B:$B,Heron!D$9,Xero!$A:$A,Heron!$A$5,Xero!$E:$E,Heron!$A38)</f>
        <v/>
      </c>
      <c r="E38" s="117">
        <f>SUMIFS(Xero!$F:$F,Xero!$B:$B,Heron!E$9,Xero!$A:$A,Heron!$A$4,Xero!$E:$E,Heron!$A38)+SUMIFS(Xero!$F:$F,Xero!$B:$B,Heron!E$9,Xero!$A:$A,Heron!$A$5,Xero!$E:$E,Heron!$A38)</f>
        <v/>
      </c>
      <c r="F38" s="117">
        <f>SUMIFS(Xero!$F:$F,Xero!$B:$B,Heron!F$9,Xero!$A:$A,Heron!$A$4,Xero!$E:$E,Heron!$A38)+SUMIFS(Xero!$F:$F,Xero!$B:$B,Heron!F$9,Xero!$A:$A,Heron!$A$5,Xero!$E:$E,Heron!$A38)</f>
        <v/>
      </c>
      <c r="G38" s="117">
        <f>SUMIFS(Xero!$F:$F,Xero!$B:$B,Heron!G$9,Xero!$A:$A,Heron!$A$4,Xero!$E:$E,Heron!$A38)+SUMIFS(Xero!$F:$F,Xero!$B:$B,Heron!G$9,Xero!$A:$A,Heron!$A$5,Xero!$E:$E,Heron!$A38)</f>
        <v/>
      </c>
      <c r="H38" s="117">
        <f>SUMIFS(Xero!$F:$F,Xero!$B:$B,Heron!H$9,Xero!$A:$A,Heron!$A$4,Xero!$E:$E,Heron!$A38)+SUMIFS(Xero!$F:$F,Xero!$B:$B,Heron!H$9,Xero!$A:$A,Heron!$A$5,Xero!$E:$E,Heron!$A38)</f>
        <v/>
      </c>
      <c r="I38" s="117">
        <f>SUMIFS(Xero!$F:$F,Xero!$B:$B,Heron!I$9,Xero!$A:$A,Heron!$A$4,Xero!$E:$E,Heron!$A38)+SUMIFS(Xero!$F:$F,Xero!$B:$B,Heron!I$9,Xero!$A:$A,Heron!$A$5,Xero!$E:$E,Heron!$A38)</f>
        <v/>
      </c>
      <c r="J38" s="117">
        <f>SUMIFS(Xero!$F:$F,Xero!$B:$B,Heron!J$9,Xero!$A:$A,Heron!$A$4,Xero!$E:$E,Heron!$A38)+SUMIFS(Xero!$F:$F,Xero!$B:$B,Heron!J$9,Xero!$A:$A,Heron!$A$5,Xero!$E:$E,Heron!$A38)</f>
        <v/>
      </c>
      <c r="K38" s="117">
        <f>SUMIFS(Xero!$F:$F,Xero!$B:$B,Heron!K$9,Xero!$A:$A,Heron!$A$4,Xero!$E:$E,Heron!$A38)+SUMIFS(Xero!$F:$F,Xero!$B:$B,Heron!K$9,Xero!$A:$A,Heron!$A$5,Xero!$E:$E,Heron!$A38)</f>
        <v/>
      </c>
      <c r="L38" s="117">
        <f>SUMIFS(Xero!$F:$F,Xero!$B:$B,Heron!L$9,Xero!$A:$A,Heron!$A$4,Xero!$E:$E,Heron!$A38)+SUMIFS(Xero!$F:$F,Xero!$B:$B,Heron!L$9,Xero!$A:$A,Heron!$A$5,Xero!$E:$E,Heron!$A38)</f>
        <v/>
      </c>
      <c r="M38" s="117">
        <f>SUMIFS(Xero!$F:$F,Xero!$B:$B,Heron!M$9,Xero!$A:$A,Heron!$A$4,Xero!$E:$E,Heron!$A38)+SUMIFS(Xero!$F:$F,Xero!$B:$B,Heron!M$9,Xero!$A:$A,Heron!$A$5,Xero!$E:$E,Heron!$A38)</f>
        <v/>
      </c>
      <c r="N38" s="117">
        <f>SUMIFS(Xero!$F:$F,Xero!$B:$B,Heron!N$9,Xero!$A:$A,Heron!$A$4,Xero!$E:$E,Heron!$A38)+SUMIFS(Xero!$F:$F,Xero!$B:$B,Heron!N$9,Xero!$A:$A,Heron!$A$5,Xero!$E:$E,Heron!$A38)</f>
        <v/>
      </c>
      <c r="O38" s="117">
        <f>SUMIFS(Xero!$F:$F,Xero!$B:$B,Heron!O$9,Xero!$A:$A,Heron!$A$4,Xero!$E:$E,Heron!$A38)+SUMIFS(Xero!$F:$F,Xero!$B:$B,Heron!O$9,Xero!$A:$A,Heron!$A$5,Xero!$E:$E,Heron!$A38)</f>
        <v/>
      </c>
      <c r="P38" s="117">
        <f>SUMIFS(Xero!$F:$F,Xero!$B:$B,Heron!P$9,Xero!$A:$A,Heron!$A$4,Xero!$E:$E,Heron!$A38)+SUMIFS(Xero!$F:$F,Xero!$B:$B,Heron!P$9,Xero!$A:$A,Heron!$A$5,Xero!$E:$E,Heron!$A38)</f>
        <v/>
      </c>
      <c r="Q38" s="117">
        <f>SUMIFS(Xero!$F:$F,Xero!$B:$B,Heron!Q$9,Xero!$A:$A,Heron!$A$4,Xero!$E:$E,Heron!$A38)+SUMIFS(Xero!$F:$F,Xero!$B:$B,Heron!Q$9,Xero!$A:$A,Heron!$A$5,Xero!$E:$E,Heron!$A38)</f>
        <v/>
      </c>
      <c r="R38" s="117">
        <f>SUMIFS(Xero!$F:$F,Xero!$B:$B,Heron!R$9,Xero!$A:$A,Heron!$A$4,Xero!$E:$E,Heron!$A38)+SUMIFS(Xero!$F:$F,Xero!$B:$B,Heron!R$9,Xero!$A:$A,Heron!$A$5,Xero!$E:$E,Heron!$A38)</f>
        <v/>
      </c>
      <c r="S38" s="117">
        <f>SUMIFS(Xero!$F:$F,Xero!$B:$B,Heron!S$9,Xero!$A:$A,Heron!$A$4,Xero!$E:$E,Heron!$A38)+SUMIFS(Xero!$F:$F,Xero!$B:$B,Heron!S$9,Xero!$A:$A,Heron!$A$5,Xero!$E:$E,Heron!$A38)</f>
        <v/>
      </c>
      <c r="T38" s="117">
        <f>SUMIFS(Xero!$F:$F,Xero!$B:$B,Heron!T$9,Xero!$A:$A,Heron!$A$4,Xero!$E:$E,Heron!$A38)+SUMIFS(Xero!$F:$F,Xero!$B:$B,Heron!T$9,Xero!$A:$A,Heron!$A$5,Xero!$E:$E,Heron!$A38)</f>
        <v/>
      </c>
      <c r="U38" s="117">
        <f>SUMIFS(Xero!$F:$F,Xero!$B:$B,Heron!U$9,Xero!$A:$A,Heron!$A$4,Xero!$E:$E,Heron!$A38)+SUMIFS(Xero!$F:$F,Xero!$B:$B,Heron!U$9,Xero!$A:$A,Heron!$A$5,Xero!$E:$E,Heron!$A38)</f>
        <v/>
      </c>
      <c r="V38" s="117">
        <f>SUMIFS(Xero!$F:$F,Xero!$B:$B,Heron!V$9,Xero!$A:$A,Heron!$A$4,Xero!$E:$E,Heron!$A38)+SUMIFS(Xero!$F:$F,Xero!$B:$B,Heron!V$9,Xero!$A:$A,Heron!$A$5,Xero!$E:$E,Heron!$A38)</f>
        <v/>
      </c>
      <c r="W38" s="117">
        <f>SUMIFS(Xero!$F:$F,Xero!$B:$B,Heron!W$9,Xero!$A:$A,Heron!$A$4,Xero!$E:$E,Heron!$A38)+SUMIFS(Xero!$F:$F,Xero!$B:$B,Heron!W$9,Xero!$A:$A,Heron!$A$5,Xero!$E:$E,Heron!$A38)</f>
        <v/>
      </c>
      <c r="X38" s="117">
        <f>SUMIFS(Xero!$F:$F,Xero!$B:$B,Heron!X$9,Xero!$A:$A,Heron!$A$4,Xero!$E:$E,Heron!$A38)+SUMIFS(Xero!$F:$F,Xero!$B:$B,Heron!X$9,Xero!$A:$A,Heron!$A$5,Xero!$E:$E,Heron!$A38)</f>
        <v/>
      </c>
      <c r="Y38" s="117">
        <f>SUMIFS(Xero!$F:$F,Xero!$B:$B,Heron!Y$9,Xero!$A:$A,Heron!$A$4,Xero!$E:$E,Heron!$A38)+SUMIFS(Xero!$F:$F,Xero!$B:$B,Heron!Y$9,Xero!$A:$A,Heron!$A$5,Xero!$E:$E,Heron!$A38)</f>
        <v/>
      </c>
      <c r="Z38" s="117">
        <f>SUMIFS(Xero!$F:$F,Xero!$B:$B,Heron!Z$9,Xero!$A:$A,Heron!$A$4,Xero!$E:$E,Heron!$A38)+SUMIFS(Xero!$F:$F,Xero!$B:$B,Heron!Z$9,Xero!$A:$A,Heron!$A$5,Xero!$E:$E,Heron!$A38)</f>
        <v/>
      </c>
      <c r="AA38" s="117">
        <f>SUMIFS(Xero!$F:$F,Xero!$B:$B,Heron!AA$9,Xero!$A:$A,Heron!$A$4,Xero!$E:$E,Heron!$A38)+SUMIFS(Xero!$F:$F,Xero!$B:$B,Heron!AA$9,Xero!$A:$A,Heron!$A$5,Xero!$E:$E,Heron!$A38)</f>
        <v/>
      </c>
      <c r="AB38" s="117">
        <f>SUMIFS(Xero!$F:$F,Xero!$B:$B,Heron!AB$9,Xero!$A:$A,Heron!$A$4,Xero!$E:$E,Heron!$A38)+SUMIFS(Xero!$F:$F,Xero!$B:$B,Heron!AB$9,Xero!$A:$A,Heron!$A$5,Xero!$E:$E,Heron!$A38)</f>
        <v/>
      </c>
      <c r="AC38" s="117">
        <f>SUMIFS(Xero!$F:$F,Xero!$B:$B,Heron!AC$9,Xero!$A:$A,Heron!$A$4,Xero!$E:$E,Heron!$A38)+SUMIFS(Xero!$F:$F,Xero!$B:$B,Heron!AC$9,Xero!$A:$A,Heron!$A$5,Xero!$E:$E,Heron!$A38)</f>
        <v/>
      </c>
      <c r="AD38" s="117">
        <f>SUMIFS(Xero!$F:$F,Xero!$B:$B,Heron!AD$9,Xero!$A:$A,Heron!$A$4,Xero!$E:$E,Heron!$A38)+SUMIFS(Xero!$F:$F,Xero!$B:$B,Heron!AD$9,Xero!$A:$A,Heron!$A$5,Xero!$E:$E,Heron!$A38)</f>
        <v/>
      </c>
      <c r="AE38" s="117">
        <f>SUMIFS(Xero!$F:$F,Xero!$B:$B,Heron!AE$9,Xero!$A:$A,Heron!$A$4,Xero!$E:$E,Heron!$A38)+SUMIFS(Xero!$F:$F,Xero!$B:$B,Heron!AE$9,Xero!$A:$A,Heron!$A$5,Xero!$E:$E,Heron!$A38)</f>
        <v/>
      </c>
      <c r="AF38" s="117">
        <f>SUMIFS(Xero!$F:$F,Xero!$B:$B,Heron!AF$9,Xero!$A:$A,Heron!$A$4,Xero!$E:$E,Heron!$A38)+SUMIFS(Xero!$F:$F,Xero!$B:$B,Heron!AF$9,Xero!$A:$A,Heron!$A$5,Xero!$E:$E,Heron!$A38)</f>
        <v/>
      </c>
      <c r="AG38" s="117">
        <f>SUMIFS(Xero!$F:$F,Xero!$B:$B,Heron!AG$9,Xero!$A:$A,Heron!$A$4,Xero!$E:$E,Heron!$A38)+SUMIFS(Xero!$F:$F,Xero!$B:$B,Heron!AG$9,Xero!$A:$A,Heron!$A$5,Xero!$E:$E,Heron!$A38)</f>
        <v/>
      </c>
      <c r="AH38" s="117">
        <f>SUMIFS(Xero!$F:$F,Xero!$B:$B,Heron!AH$9,Xero!$A:$A,Heron!$A$4,Xero!$E:$E,Heron!$A38)+SUMIFS(Xero!$F:$F,Xero!$B:$B,Heron!AH$9,Xero!$A:$A,Heron!$A$5,Xero!$E:$E,Heron!$A38)</f>
        <v/>
      </c>
      <c r="AI38" s="117">
        <f>SUMIFS(Xero!$F:$F,Xero!$B:$B,Heron!AI$9,Xero!$A:$A,Heron!$A$4,Xero!$E:$E,Heron!$A38)+SUMIFS(Xero!$F:$F,Xero!$B:$B,Heron!AI$9,Xero!$A:$A,Heron!$A$5,Xero!$E:$E,Heron!$A38)</f>
        <v/>
      </c>
      <c r="AJ38" s="117">
        <f>SUMIFS(Xero!$F:$F,Xero!$B:$B,Heron!AJ$9,Xero!$A:$A,Heron!$A$4,Xero!$E:$E,Heron!$A38)+SUMIFS(Xero!$F:$F,Xero!$B:$B,Heron!AJ$9,Xero!$A:$A,Heron!$A$5,Xero!$E:$E,Heron!$A38)</f>
        <v/>
      </c>
      <c r="AK38" s="117">
        <f>SUMIFS(Xero!$F:$F,Xero!$B:$B,Heron!AK$9,Xero!$A:$A,Heron!$A$4,Xero!$E:$E,Heron!$A38)+SUMIFS(Xero!$F:$F,Xero!$B:$B,Heron!AK$9,Xero!$A:$A,Heron!$A$5,Xero!$E:$E,Heron!$A38)</f>
        <v/>
      </c>
      <c r="AL38" s="117">
        <f>SUMIFS(Xero!$F:$F,Xero!$B:$B,Heron!AL$9,Xero!$A:$A,Heron!$A$4,Xero!$E:$E,Heron!$A38)+SUMIFS(Xero!$F:$F,Xero!$B:$B,Heron!AL$9,Xero!$A:$A,Heron!$A$5,Xero!$E:$E,Heron!$A38)</f>
        <v/>
      </c>
      <c r="AM38" s="117">
        <f>SUMIFS(Xero!$F:$F,Xero!$B:$B,Heron!AM$9,Xero!$A:$A,Heron!$A$4,Xero!$E:$E,Heron!$A38)+SUMIFS(Xero!$F:$F,Xero!$B:$B,Heron!AM$9,Xero!$A:$A,Heron!$A$5,Xero!$E:$E,Heron!$A38)</f>
        <v/>
      </c>
      <c r="AN38" s="117">
        <f>SUMIFS(Xero!$F:$F,Xero!$B:$B,Heron!AN$9,Xero!$A:$A,Heron!$A$4,Xero!$E:$E,Heron!$A38)+SUMIFS(Xero!$F:$F,Xero!$B:$B,Heron!AN$9,Xero!$A:$A,Heron!$A$5,Xero!$E:$E,Heron!$A38)</f>
        <v/>
      </c>
      <c r="AO38" s="117">
        <f>SUMIFS(Xero!$F:$F,Xero!$B:$B,Heron!AO$9,Xero!$A:$A,Heron!$A$4,Xero!$E:$E,Heron!$A38)+SUMIFS(Xero!$F:$F,Xero!$B:$B,Heron!AO$9,Xero!$A:$A,Heron!$A$5,Xero!$E:$E,Heron!$A38)</f>
        <v/>
      </c>
      <c r="AP38" s="117">
        <f>SUMIFS(Xero!$F:$F,Xero!$B:$B,Heron!AP$9,Xero!$A:$A,Heron!$A$4,Xero!$E:$E,Heron!$A38)+SUMIFS(Xero!$F:$F,Xero!$B:$B,Heron!AP$9,Xero!$A:$A,Heron!$A$5,Xero!$E:$E,Heron!$A38)</f>
        <v/>
      </c>
      <c r="AQ38" s="117">
        <f>SUMIFS(Xero!$F:$F,Xero!$B:$B,Heron!AQ$9,Xero!$A:$A,Heron!$A$4,Xero!$E:$E,Heron!$A38)+SUMIFS(Xero!$F:$F,Xero!$B:$B,Heron!AQ$9,Xero!$A:$A,Heron!$A$5,Xero!$E:$E,Heron!$A38)</f>
        <v/>
      </c>
      <c r="AR38" s="117">
        <f>SUMIFS(Xero!$F:$F,Xero!$B:$B,Heron!AR$9,Xero!$A:$A,Heron!$A$4,Xero!$E:$E,Heron!$A38)+SUMIFS(Xero!$F:$F,Xero!$B:$B,Heron!AR$9,Xero!$A:$A,Heron!$A$5,Xero!$E:$E,Heron!$A38)</f>
        <v/>
      </c>
      <c r="AS38" s="117">
        <f>SUMIFS(Xero!$F:$F,Xero!$B:$B,Heron!AS$9,Xero!$A:$A,Heron!$A$4,Xero!$E:$E,Heron!$A38)+SUMIFS(Xero!$F:$F,Xero!$B:$B,Heron!AS$9,Xero!$A:$A,Heron!$A$5,Xero!$E:$E,Heron!$A38)</f>
        <v/>
      </c>
      <c r="AT38" s="117">
        <f>SUMIFS(Xero!$F:$F,Xero!$B:$B,Heron!AT$9,Xero!$A:$A,Heron!$A$4,Xero!$E:$E,Heron!$A38)+SUMIFS(Xero!$F:$F,Xero!$B:$B,Heron!AT$9,Xero!$A:$A,Heron!$A$5,Xero!$E:$E,Heron!$A38)</f>
        <v/>
      </c>
      <c r="AU38" s="117">
        <f>SUMIFS(Xero!$F:$F,Xero!$B:$B,Heron!AU$9,Xero!$A:$A,Heron!$A$4,Xero!$E:$E,Heron!$A38)+SUMIFS(Xero!$F:$F,Xero!$B:$B,Heron!AU$9,Xero!$A:$A,Heron!$A$5,Xero!$E:$E,Heron!$A38)</f>
        <v/>
      </c>
      <c r="AV38" s="117">
        <f>SUMIFS(Xero!$F:$F,Xero!$B:$B,Heron!AV$9,Xero!$A:$A,Heron!$A$4,Xero!$E:$E,Heron!$A38)+SUMIFS(Xero!$F:$F,Xero!$B:$B,Heron!AV$9,Xero!$A:$A,Heron!$A$5,Xero!$E:$E,Heron!$A38)</f>
        <v/>
      </c>
      <c r="AW38" s="117">
        <f>SUMIFS(Xero!$F:$F,Xero!$B:$B,Heron!AW$9,Xero!$A:$A,Heron!$A$4,Xero!$E:$E,Heron!$A38)+SUMIFS(Xero!$F:$F,Xero!$B:$B,Heron!AW$9,Xero!$A:$A,Heron!$A$5,Xero!$E:$E,Heron!$A38)</f>
        <v/>
      </c>
      <c r="AX38" s="117">
        <f>SUMIFS(Xero!$F:$F,Xero!$B:$B,Heron!AX$9,Xero!$A:$A,Heron!$A$4,Xero!$E:$E,Heron!$A38)+SUMIFS(Xero!$F:$F,Xero!$B:$B,Heron!AX$9,Xero!$A:$A,Heron!$A$5,Xero!$E:$E,Heron!$A38)</f>
        <v/>
      </c>
      <c r="AY38" s="117">
        <f>SUMIFS(Xero!$F:$F,Xero!$B:$B,Heron!AY$9,Xero!$A:$A,Heron!$A$4,Xero!$E:$E,Heron!$A38)+SUMIFS(Xero!$F:$F,Xero!$B:$B,Heron!AY$9,Xero!$A:$A,Heron!$A$5,Xero!$E:$E,Heron!$A38)</f>
        <v/>
      </c>
      <c r="AZ38" s="117">
        <f>SUMIFS(Xero!$F:$F,Xero!$B:$B,Heron!AZ$9,Xero!$A:$A,Heron!$A$4,Xero!$E:$E,Heron!$A38)+SUMIFS(Xero!$F:$F,Xero!$B:$B,Heron!AZ$9,Xero!$A:$A,Heron!$A$5,Xero!$E:$E,Heron!$A38)</f>
        <v/>
      </c>
      <c r="BA38" s="117">
        <f>SUMIFS(Xero!$F:$F,Xero!$B:$B,Heron!BA$9,Xero!$A:$A,Heron!$A$4,Xero!$E:$E,Heron!$A38)+SUMIFS(Xero!$F:$F,Xero!$B:$B,Heron!BA$9,Xero!$A:$A,Heron!$A$5,Xero!$E:$E,Heron!$A38)</f>
        <v/>
      </c>
      <c r="BB38" s="117">
        <f>SUMIFS(Xero!$F:$F,Xero!$B:$B,Heron!BB$9,Xero!$A:$A,Heron!$A$4,Xero!$E:$E,Heron!$A38)+SUMIFS(Xero!$F:$F,Xero!$B:$B,Heron!BB$9,Xero!$A:$A,Heron!$A$5,Xero!$E:$E,Heron!$A38)</f>
        <v/>
      </c>
      <c r="BC38" s="117">
        <f>SUMIFS(Xero!$F:$F,Xero!$B:$B,Heron!BC$9,Xero!$A:$A,Heron!$A$4,Xero!$E:$E,Heron!$A38)+SUMIFS(Xero!$F:$F,Xero!$B:$B,Heron!BC$9,Xero!$A:$A,Heron!$A$5,Xero!$E:$E,Heron!$A38)</f>
        <v/>
      </c>
      <c r="BD38" s="117">
        <f>SUMIFS(Xero!$F:$F,Xero!$B:$B,Heron!BD$9,Xero!$A:$A,Heron!$A$4,Xero!$E:$E,Heron!$A38)+SUMIFS(Xero!$F:$F,Xero!$B:$B,Heron!BD$9,Xero!$A:$A,Heron!$A$5,Xero!$E:$E,Heron!$A38)</f>
        <v/>
      </c>
      <c r="BE38" s="117">
        <f>SUMIFS(Xero!$F:$F,Xero!$B:$B,Heron!BE$9,Xero!$A:$A,Heron!$A$4,Xero!$E:$E,Heron!$A38)+SUMIFS(Xero!$F:$F,Xero!$B:$B,Heron!BE$9,Xero!$A:$A,Heron!$A$5,Xero!$E:$E,Heron!$A38)</f>
        <v/>
      </c>
      <c r="BF38" s="117">
        <f>SUMIFS(Xero!$F:$F,Xero!$B:$B,Heron!BF$9,Xero!$A:$A,Heron!$A$4,Xero!$E:$E,Heron!$A38)+SUMIFS(Xero!$F:$F,Xero!$B:$B,Heron!BF$9,Xero!$A:$A,Heron!$A$5,Xero!$E:$E,Heron!$A38)</f>
        <v/>
      </c>
      <c r="BG38" s="117">
        <f>SUMIFS(Xero!$F:$F,Xero!$B:$B,Heron!BG$9,Xero!$A:$A,Heron!$A$4,Xero!$E:$E,Heron!$A38)+SUMIFS(Xero!$F:$F,Xero!$B:$B,Heron!BG$9,Xero!$A:$A,Heron!$A$5,Xero!$E:$E,Heron!$A38)</f>
        <v/>
      </c>
      <c r="BH38" s="117">
        <f>SUMIFS(Xero!$F:$F,Xero!$B:$B,Heron!BH$9,Xero!$A:$A,Heron!$A$4,Xero!$E:$E,Heron!$A38)+SUMIFS(Xero!$F:$F,Xero!$B:$B,Heron!BH$9,Xero!$A:$A,Heron!$A$5,Xero!$E:$E,Heron!$A38)</f>
        <v/>
      </c>
      <c r="BI38" s="117">
        <f>SUMIFS(Xero!$F:$F,Xero!$B:$B,Heron!BI$9,Xero!$A:$A,Heron!$A$4,Xero!$E:$E,Heron!$A38)+SUMIFS(Xero!$F:$F,Xero!$B:$B,Heron!BI$9,Xero!$A:$A,Heron!$A$5,Xero!$E:$E,Heron!$A38)</f>
        <v/>
      </c>
      <c r="BJ38" s="117">
        <f>SUMIFS(Xero!$F:$F,Xero!$B:$B,Heron!BJ$9,Xero!$A:$A,Heron!$A$4,Xero!$E:$E,Heron!$A38)+SUMIFS(Xero!$F:$F,Xero!$B:$B,Heron!BJ$9,Xero!$A:$A,Heron!$A$5,Xero!$E:$E,Heron!$A38)</f>
        <v/>
      </c>
      <c r="BK38" s="117">
        <f>sum(D38:BJ38)</f>
        <v/>
      </c>
    </row>
    <row r="39">
      <c r="A39" s="116" t="inlineStr">
        <is>
          <t>Advertising - Real Marketing</t>
        </is>
      </c>
      <c r="D39" s="117">
        <f>SUMIFS(Xero!$F:$F,Xero!$B:$B,Heron!D$9,Xero!$A:$A,Heron!$A$4,Xero!$E:$E,Heron!$A39)+SUMIFS(Xero!$F:$F,Xero!$B:$B,Heron!D$9,Xero!$A:$A,Heron!$A$5,Xero!$E:$E,Heron!$A39)</f>
        <v/>
      </c>
      <c r="E39" s="117">
        <f>SUMIFS(Xero!$F:$F,Xero!$B:$B,Heron!E$9,Xero!$A:$A,Heron!$A$4,Xero!$E:$E,Heron!$A39)+SUMIFS(Xero!$F:$F,Xero!$B:$B,Heron!E$9,Xero!$A:$A,Heron!$A$5,Xero!$E:$E,Heron!$A39)</f>
        <v/>
      </c>
      <c r="F39" s="117">
        <f>SUMIFS(Xero!$F:$F,Xero!$B:$B,Heron!F$9,Xero!$A:$A,Heron!$A$4,Xero!$E:$E,Heron!$A39)+SUMIFS(Xero!$F:$F,Xero!$B:$B,Heron!F$9,Xero!$A:$A,Heron!$A$5,Xero!$E:$E,Heron!$A39)</f>
        <v/>
      </c>
      <c r="G39" s="117">
        <f>SUMIFS(Xero!$F:$F,Xero!$B:$B,Heron!G$9,Xero!$A:$A,Heron!$A$4,Xero!$E:$E,Heron!$A39)+SUMIFS(Xero!$F:$F,Xero!$B:$B,Heron!G$9,Xero!$A:$A,Heron!$A$5,Xero!$E:$E,Heron!$A39)</f>
        <v/>
      </c>
      <c r="H39" s="117">
        <f>SUMIFS(Xero!$F:$F,Xero!$B:$B,Heron!H$9,Xero!$A:$A,Heron!$A$4,Xero!$E:$E,Heron!$A39)+SUMIFS(Xero!$F:$F,Xero!$B:$B,Heron!H$9,Xero!$A:$A,Heron!$A$5,Xero!$E:$E,Heron!$A39)</f>
        <v/>
      </c>
      <c r="I39" s="117">
        <f>SUMIFS(Xero!$F:$F,Xero!$B:$B,Heron!I$9,Xero!$A:$A,Heron!$A$4,Xero!$E:$E,Heron!$A39)+SUMIFS(Xero!$F:$F,Xero!$B:$B,Heron!I$9,Xero!$A:$A,Heron!$A$5,Xero!$E:$E,Heron!$A39)</f>
        <v/>
      </c>
      <c r="J39" s="117">
        <f>SUMIFS(Xero!$F:$F,Xero!$B:$B,Heron!J$9,Xero!$A:$A,Heron!$A$4,Xero!$E:$E,Heron!$A39)+SUMIFS(Xero!$F:$F,Xero!$B:$B,Heron!J$9,Xero!$A:$A,Heron!$A$5,Xero!$E:$E,Heron!$A39)</f>
        <v/>
      </c>
      <c r="K39" s="117">
        <f>SUMIFS(Xero!$F:$F,Xero!$B:$B,Heron!K$9,Xero!$A:$A,Heron!$A$4,Xero!$E:$E,Heron!$A39)+SUMIFS(Xero!$F:$F,Xero!$B:$B,Heron!K$9,Xero!$A:$A,Heron!$A$5,Xero!$E:$E,Heron!$A39)</f>
        <v/>
      </c>
      <c r="L39" s="117">
        <f>SUMIFS(Xero!$F:$F,Xero!$B:$B,Heron!L$9,Xero!$A:$A,Heron!$A$4,Xero!$E:$E,Heron!$A39)+SUMIFS(Xero!$F:$F,Xero!$B:$B,Heron!L$9,Xero!$A:$A,Heron!$A$5,Xero!$E:$E,Heron!$A39)</f>
        <v/>
      </c>
      <c r="M39" s="117">
        <f>SUMIFS(Xero!$F:$F,Xero!$B:$B,Heron!M$9,Xero!$A:$A,Heron!$A$4,Xero!$E:$E,Heron!$A39)+SUMIFS(Xero!$F:$F,Xero!$B:$B,Heron!M$9,Xero!$A:$A,Heron!$A$5,Xero!$E:$E,Heron!$A39)</f>
        <v/>
      </c>
      <c r="N39" s="117">
        <f>SUMIFS(Xero!$F:$F,Xero!$B:$B,Heron!N$9,Xero!$A:$A,Heron!$A$4,Xero!$E:$E,Heron!$A39)+SUMIFS(Xero!$F:$F,Xero!$B:$B,Heron!N$9,Xero!$A:$A,Heron!$A$5,Xero!$E:$E,Heron!$A39)</f>
        <v/>
      </c>
      <c r="O39" s="117">
        <f>SUMIFS(Xero!$F:$F,Xero!$B:$B,Heron!O$9,Xero!$A:$A,Heron!$A$4,Xero!$E:$E,Heron!$A39)+SUMIFS(Xero!$F:$F,Xero!$B:$B,Heron!O$9,Xero!$A:$A,Heron!$A$5,Xero!$E:$E,Heron!$A39)</f>
        <v/>
      </c>
      <c r="P39" s="117">
        <f>SUMIFS(Xero!$F:$F,Xero!$B:$B,Heron!P$9,Xero!$A:$A,Heron!$A$4,Xero!$E:$E,Heron!$A39)+SUMIFS(Xero!$F:$F,Xero!$B:$B,Heron!P$9,Xero!$A:$A,Heron!$A$5,Xero!$E:$E,Heron!$A39)</f>
        <v/>
      </c>
      <c r="Q39" s="117">
        <f>SUMIFS(Xero!$F:$F,Xero!$B:$B,Heron!Q$9,Xero!$A:$A,Heron!$A$4,Xero!$E:$E,Heron!$A39)+SUMIFS(Xero!$F:$F,Xero!$B:$B,Heron!Q$9,Xero!$A:$A,Heron!$A$5,Xero!$E:$E,Heron!$A39)</f>
        <v/>
      </c>
      <c r="R39" s="117">
        <f>SUMIFS(Xero!$F:$F,Xero!$B:$B,Heron!R$9,Xero!$A:$A,Heron!$A$4,Xero!$E:$E,Heron!$A39)+SUMIFS(Xero!$F:$F,Xero!$B:$B,Heron!R$9,Xero!$A:$A,Heron!$A$5,Xero!$E:$E,Heron!$A39)</f>
        <v/>
      </c>
      <c r="S39" s="117">
        <f>SUMIFS(Xero!$F:$F,Xero!$B:$B,Heron!S$9,Xero!$A:$A,Heron!$A$4,Xero!$E:$E,Heron!$A39)+SUMIFS(Xero!$F:$F,Xero!$B:$B,Heron!S$9,Xero!$A:$A,Heron!$A$5,Xero!$E:$E,Heron!$A39)</f>
        <v/>
      </c>
      <c r="T39" s="117">
        <f>SUMIFS(Xero!$F:$F,Xero!$B:$B,Heron!T$9,Xero!$A:$A,Heron!$A$4,Xero!$E:$E,Heron!$A39)+SUMIFS(Xero!$F:$F,Xero!$B:$B,Heron!T$9,Xero!$A:$A,Heron!$A$5,Xero!$E:$E,Heron!$A39)</f>
        <v/>
      </c>
      <c r="U39" s="117">
        <f>SUMIFS(Xero!$F:$F,Xero!$B:$B,Heron!U$9,Xero!$A:$A,Heron!$A$4,Xero!$E:$E,Heron!$A39)+SUMIFS(Xero!$F:$F,Xero!$B:$B,Heron!U$9,Xero!$A:$A,Heron!$A$5,Xero!$E:$E,Heron!$A39)</f>
        <v/>
      </c>
      <c r="V39" s="117">
        <f>SUMIFS(Xero!$F:$F,Xero!$B:$B,Heron!V$9,Xero!$A:$A,Heron!$A$4,Xero!$E:$E,Heron!$A39)+SUMIFS(Xero!$F:$F,Xero!$B:$B,Heron!V$9,Xero!$A:$A,Heron!$A$5,Xero!$E:$E,Heron!$A39)</f>
        <v/>
      </c>
      <c r="W39" s="117">
        <f>SUMIFS(Xero!$F:$F,Xero!$B:$B,Heron!W$9,Xero!$A:$A,Heron!$A$4,Xero!$E:$E,Heron!$A39)+SUMIFS(Xero!$F:$F,Xero!$B:$B,Heron!W$9,Xero!$A:$A,Heron!$A$5,Xero!$E:$E,Heron!$A39)</f>
        <v/>
      </c>
      <c r="X39" s="117">
        <f>SUMIFS(Xero!$F:$F,Xero!$B:$B,Heron!X$9,Xero!$A:$A,Heron!$A$4,Xero!$E:$E,Heron!$A39)+SUMIFS(Xero!$F:$F,Xero!$B:$B,Heron!X$9,Xero!$A:$A,Heron!$A$5,Xero!$E:$E,Heron!$A39)</f>
        <v/>
      </c>
      <c r="Y39" s="117">
        <f>SUMIFS(Xero!$F:$F,Xero!$B:$B,Heron!Y$9,Xero!$A:$A,Heron!$A$4,Xero!$E:$E,Heron!$A39)+SUMIFS(Xero!$F:$F,Xero!$B:$B,Heron!Y$9,Xero!$A:$A,Heron!$A$5,Xero!$E:$E,Heron!$A39)</f>
        <v/>
      </c>
      <c r="Z39" s="117">
        <f>SUMIFS(Xero!$F:$F,Xero!$B:$B,Heron!Z$9,Xero!$A:$A,Heron!$A$4,Xero!$E:$E,Heron!$A39)+SUMIFS(Xero!$F:$F,Xero!$B:$B,Heron!Z$9,Xero!$A:$A,Heron!$A$5,Xero!$E:$E,Heron!$A39)</f>
        <v/>
      </c>
      <c r="AA39" s="117">
        <f>SUMIFS(Xero!$F:$F,Xero!$B:$B,Heron!AA$9,Xero!$A:$A,Heron!$A$4,Xero!$E:$E,Heron!$A39)+SUMIFS(Xero!$F:$F,Xero!$B:$B,Heron!AA$9,Xero!$A:$A,Heron!$A$5,Xero!$E:$E,Heron!$A39)</f>
        <v/>
      </c>
      <c r="AB39" s="117">
        <f>SUMIFS(Xero!$F:$F,Xero!$B:$B,Heron!AB$9,Xero!$A:$A,Heron!$A$4,Xero!$E:$E,Heron!$A39)+SUMIFS(Xero!$F:$F,Xero!$B:$B,Heron!AB$9,Xero!$A:$A,Heron!$A$5,Xero!$E:$E,Heron!$A39)</f>
        <v/>
      </c>
      <c r="AC39" s="117">
        <f>SUMIFS(Xero!$F:$F,Xero!$B:$B,Heron!AC$9,Xero!$A:$A,Heron!$A$4,Xero!$E:$E,Heron!$A39)+SUMIFS(Xero!$F:$F,Xero!$B:$B,Heron!AC$9,Xero!$A:$A,Heron!$A$5,Xero!$E:$E,Heron!$A39)</f>
        <v/>
      </c>
      <c r="AD39" s="117">
        <f>SUMIFS(Xero!$F:$F,Xero!$B:$B,Heron!AD$9,Xero!$A:$A,Heron!$A$4,Xero!$E:$E,Heron!$A39)+SUMIFS(Xero!$F:$F,Xero!$B:$B,Heron!AD$9,Xero!$A:$A,Heron!$A$5,Xero!$E:$E,Heron!$A39)</f>
        <v/>
      </c>
      <c r="AE39" s="117">
        <f>SUMIFS(Xero!$F:$F,Xero!$B:$B,Heron!AE$9,Xero!$A:$A,Heron!$A$4,Xero!$E:$E,Heron!$A39)+SUMIFS(Xero!$F:$F,Xero!$B:$B,Heron!AE$9,Xero!$A:$A,Heron!$A$5,Xero!$E:$E,Heron!$A39)</f>
        <v/>
      </c>
      <c r="AF39" s="117">
        <f>SUMIFS(Xero!$F:$F,Xero!$B:$B,Heron!AF$9,Xero!$A:$A,Heron!$A$4,Xero!$E:$E,Heron!$A39)+SUMIFS(Xero!$F:$F,Xero!$B:$B,Heron!AF$9,Xero!$A:$A,Heron!$A$5,Xero!$E:$E,Heron!$A39)</f>
        <v/>
      </c>
      <c r="AG39" s="117">
        <f>SUMIFS(Xero!$F:$F,Xero!$B:$B,Heron!AG$9,Xero!$A:$A,Heron!$A$4,Xero!$E:$E,Heron!$A39)+SUMIFS(Xero!$F:$F,Xero!$B:$B,Heron!AG$9,Xero!$A:$A,Heron!$A$5,Xero!$E:$E,Heron!$A39)</f>
        <v/>
      </c>
      <c r="AH39" s="117">
        <f>SUMIFS(Xero!$F:$F,Xero!$B:$B,Heron!AH$9,Xero!$A:$A,Heron!$A$4,Xero!$E:$E,Heron!$A39)+SUMIFS(Xero!$F:$F,Xero!$B:$B,Heron!AH$9,Xero!$A:$A,Heron!$A$5,Xero!$E:$E,Heron!$A39)</f>
        <v/>
      </c>
      <c r="AI39" s="117">
        <f>SUMIFS(Xero!$F:$F,Xero!$B:$B,Heron!AI$9,Xero!$A:$A,Heron!$A$4,Xero!$E:$E,Heron!$A39)+SUMIFS(Xero!$F:$F,Xero!$B:$B,Heron!AI$9,Xero!$A:$A,Heron!$A$5,Xero!$E:$E,Heron!$A39)</f>
        <v/>
      </c>
      <c r="AJ39" s="117">
        <f>SUMIFS(Xero!$F:$F,Xero!$B:$B,Heron!AJ$9,Xero!$A:$A,Heron!$A$4,Xero!$E:$E,Heron!$A39)+SUMIFS(Xero!$F:$F,Xero!$B:$B,Heron!AJ$9,Xero!$A:$A,Heron!$A$5,Xero!$E:$E,Heron!$A39)</f>
        <v/>
      </c>
      <c r="AK39" s="117">
        <f>SUMIFS(Xero!$F:$F,Xero!$B:$B,Heron!AK$9,Xero!$A:$A,Heron!$A$4,Xero!$E:$E,Heron!$A39)+SUMIFS(Xero!$F:$F,Xero!$B:$B,Heron!AK$9,Xero!$A:$A,Heron!$A$5,Xero!$E:$E,Heron!$A39)</f>
        <v/>
      </c>
      <c r="AL39" s="117">
        <f>SUMIFS(Xero!$F:$F,Xero!$B:$B,Heron!AL$9,Xero!$A:$A,Heron!$A$4,Xero!$E:$E,Heron!$A39)+SUMIFS(Xero!$F:$F,Xero!$B:$B,Heron!AL$9,Xero!$A:$A,Heron!$A$5,Xero!$E:$E,Heron!$A39)</f>
        <v/>
      </c>
      <c r="AM39" s="117">
        <f>SUMIFS(Xero!$F:$F,Xero!$B:$B,Heron!AM$9,Xero!$A:$A,Heron!$A$4,Xero!$E:$E,Heron!$A39)+SUMIFS(Xero!$F:$F,Xero!$B:$B,Heron!AM$9,Xero!$A:$A,Heron!$A$5,Xero!$E:$E,Heron!$A39)</f>
        <v/>
      </c>
      <c r="AN39" s="117">
        <f>SUMIFS(Xero!$F:$F,Xero!$B:$B,Heron!AN$9,Xero!$A:$A,Heron!$A$4,Xero!$E:$E,Heron!$A39)+SUMIFS(Xero!$F:$F,Xero!$B:$B,Heron!AN$9,Xero!$A:$A,Heron!$A$5,Xero!$E:$E,Heron!$A39)</f>
        <v/>
      </c>
      <c r="AO39" s="117">
        <f>SUMIFS(Xero!$F:$F,Xero!$B:$B,Heron!AO$9,Xero!$A:$A,Heron!$A$4,Xero!$E:$E,Heron!$A39)+SUMIFS(Xero!$F:$F,Xero!$B:$B,Heron!AO$9,Xero!$A:$A,Heron!$A$5,Xero!$E:$E,Heron!$A39)</f>
        <v/>
      </c>
      <c r="AP39" s="117">
        <f>SUMIFS(Xero!$F:$F,Xero!$B:$B,Heron!AP$9,Xero!$A:$A,Heron!$A$4,Xero!$E:$E,Heron!$A39)+SUMIFS(Xero!$F:$F,Xero!$B:$B,Heron!AP$9,Xero!$A:$A,Heron!$A$5,Xero!$E:$E,Heron!$A39)</f>
        <v/>
      </c>
      <c r="AQ39" s="117">
        <f>SUMIFS(Xero!$F:$F,Xero!$B:$B,Heron!AQ$9,Xero!$A:$A,Heron!$A$4,Xero!$E:$E,Heron!$A39)+SUMIFS(Xero!$F:$F,Xero!$B:$B,Heron!AQ$9,Xero!$A:$A,Heron!$A$5,Xero!$E:$E,Heron!$A39)</f>
        <v/>
      </c>
      <c r="AR39" s="117">
        <f>SUMIFS(Xero!$F:$F,Xero!$B:$B,Heron!AR$9,Xero!$A:$A,Heron!$A$4,Xero!$E:$E,Heron!$A39)+SUMIFS(Xero!$F:$F,Xero!$B:$B,Heron!AR$9,Xero!$A:$A,Heron!$A$5,Xero!$E:$E,Heron!$A39)</f>
        <v/>
      </c>
      <c r="AS39" s="117">
        <f>SUMIFS(Xero!$F:$F,Xero!$B:$B,Heron!AS$9,Xero!$A:$A,Heron!$A$4,Xero!$E:$E,Heron!$A39)+SUMIFS(Xero!$F:$F,Xero!$B:$B,Heron!AS$9,Xero!$A:$A,Heron!$A$5,Xero!$E:$E,Heron!$A39)</f>
        <v/>
      </c>
      <c r="AT39" s="117">
        <f>SUMIFS(Xero!$F:$F,Xero!$B:$B,Heron!AT$9,Xero!$A:$A,Heron!$A$4,Xero!$E:$E,Heron!$A39)+SUMIFS(Xero!$F:$F,Xero!$B:$B,Heron!AT$9,Xero!$A:$A,Heron!$A$5,Xero!$E:$E,Heron!$A39)</f>
        <v/>
      </c>
      <c r="AU39" s="117">
        <f>SUMIFS(Xero!$F:$F,Xero!$B:$B,Heron!AU$9,Xero!$A:$A,Heron!$A$4,Xero!$E:$E,Heron!$A39)+SUMIFS(Xero!$F:$F,Xero!$B:$B,Heron!AU$9,Xero!$A:$A,Heron!$A$5,Xero!$E:$E,Heron!$A39)</f>
        <v/>
      </c>
      <c r="AV39" s="117">
        <f>SUMIFS(Xero!$F:$F,Xero!$B:$B,Heron!AV$9,Xero!$A:$A,Heron!$A$4,Xero!$E:$E,Heron!$A39)+SUMIFS(Xero!$F:$F,Xero!$B:$B,Heron!AV$9,Xero!$A:$A,Heron!$A$5,Xero!$E:$E,Heron!$A39)</f>
        <v/>
      </c>
      <c r="AW39" s="117">
        <f>SUMIFS(Xero!$F:$F,Xero!$B:$B,Heron!AW$9,Xero!$A:$A,Heron!$A$4,Xero!$E:$E,Heron!$A39)+SUMIFS(Xero!$F:$F,Xero!$B:$B,Heron!AW$9,Xero!$A:$A,Heron!$A$5,Xero!$E:$E,Heron!$A39)</f>
        <v/>
      </c>
      <c r="AX39" s="117">
        <f>SUMIFS(Xero!$F:$F,Xero!$B:$B,Heron!AX$9,Xero!$A:$A,Heron!$A$4,Xero!$E:$E,Heron!$A39)+SUMIFS(Xero!$F:$F,Xero!$B:$B,Heron!AX$9,Xero!$A:$A,Heron!$A$5,Xero!$E:$E,Heron!$A39)</f>
        <v/>
      </c>
      <c r="AY39" s="117">
        <f>SUMIFS(Xero!$F:$F,Xero!$B:$B,Heron!AY$9,Xero!$A:$A,Heron!$A$4,Xero!$E:$E,Heron!$A39)+SUMIFS(Xero!$F:$F,Xero!$B:$B,Heron!AY$9,Xero!$A:$A,Heron!$A$5,Xero!$E:$E,Heron!$A39)</f>
        <v/>
      </c>
      <c r="AZ39" s="117">
        <f>SUMIFS(Xero!$F:$F,Xero!$B:$B,Heron!AZ$9,Xero!$A:$A,Heron!$A$4,Xero!$E:$E,Heron!$A39)+SUMIFS(Xero!$F:$F,Xero!$B:$B,Heron!AZ$9,Xero!$A:$A,Heron!$A$5,Xero!$E:$E,Heron!$A39)</f>
        <v/>
      </c>
      <c r="BA39" s="117">
        <f>SUMIFS(Xero!$F:$F,Xero!$B:$B,Heron!BA$9,Xero!$A:$A,Heron!$A$4,Xero!$E:$E,Heron!$A39)+SUMIFS(Xero!$F:$F,Xero!$B:$B,Heron!BA$9,Xero!$A:$A,Heron!$A$5,Xero!$E:$E,Heron!$A39)</f>
        <v/>
      </c>
      <c r="BB39" s="117">
        <f>SUMIFS(Xero!$F:$F,Xero!$B:$B,Heron!BB$9,Xero!$A:$A,Heron!$A$4,Xero!$E:$E,Heron!$A39)+SUMIFS(Xero!$F:$F,Xero!$B:$B,Heron!BB$9,Xero!$A:$A,Heron!$A$5,Xero!$E:$E,Heron!$A39)</f>
        <v/>
      </c>
      <c r="BC39" s="117">
        <f>SUMIFS(Xero!$F:$F,Xero!$B:$B,Heron!BC$9,Xero!$A:$A,Heron!$A$4,Xero!$E:$E,Heron!$A39)+SUMIFS(Xero!$F:$F,Xero!$B:$B,Heron!BC$9,Xero!$A:$A,Heron!$A$5,Xero!$E:$E,Heron!$A39)</f>
        <v/>
      </c>
      <c r="BD39" s="117">
        <f>SUMIFS(Xero!$F:$F,Xero!$B:$B,Heron!BD$9,Xero!$A:$A,Heron!$A$4,Xero!$E:$E,Heron!$A39)+SUMIFS(Xero!$F:$F,Xero!$B:$B,Heron!BD$9,Xero!$A:$A,Heron!$A$5,Xero!$E:$E,Heron!$A39)</f>
        <v/>
      </c>
      <c r="BE39" s="117">
        <f>SUMIFS(Xero!$F:$F,Xero!$B:$B,Heron!BE$9,Xero!$A:$A,Heron!$A$4,Xero!$E:$E,Heron!$A39)+SUMIFS(Xero!$F:$F,Xero!$B:$B,Heron!BE$9,Xero!$A:$A,Heron!$A$5,Xero!$E:$E,Heron!$A39)</f>
        <v/>
      </c>
      <c r="BF39" s="117">
        <f>SUMIFS(Xero!$F:$F,Xero!$B:$B,Heron!BF$9,Xero!$A:$A,Heron!$A$4,Xero!$E:$E,Heron!$A39)+SUMIFS(Xero!$F:$F,Xero!$B:$B,Heron!BF$9,Xero!$A:$A,Heron!$A$5,Xero!$E:$E,Heron!$A39)</f>
        <v/>
      </c>
      <c r="BG39" s="117">
        <f>SUMIFS(Xero!$F:$F,Xero!$B:$B,Heron!BG$9,Xero!$A:$A,Heron!$A$4,Xero!$E:$E,Heron!$A39)+SUMIFS(Xero!$F:$F,Xero!$B:$B,Heron!BG$9,Xero!$A:$A,Heron!$A$5,Xero!$E:$E,Heron!$A39)</f>
        <v/>
      </c>
      <c r="BH39" s="117">
        <f>SUMIFS(Xero!$F:$F,Xero!$B:$B,Heron!BH$9,Xero!$A:$A,Heron!$A$4,Xero!$E:$E,Heron!$A39)+SUMIFS(Xero!$F:$F,Xero!$B:$B,Heron!BH$9,Xero!$A:$A,Heron!$A$5,Xero!$E:$E,Heron!$A39)</f>
        <v/>
      </c>
      <c r="BI39" s="117">
        <f>SUMIFS(Xero!$F:$F,Xero!$B:$B,Heron!BI$9,Xero!$A:$A,Heron!$A$4,Xero!$E:$E,Heron!$A39)+SUMIFS(Xero!$F:$F,Xero!$B:$B,Heron!BI$9,Xero!$A:$A,Heron!$A$5,Xero!$E:$E,Heron!$A39)</f>
        <v/>
      </c>
      <c r="BJ39" s="117">
        <f>SUMIFS(Xero!$F:$F,Xero!$B:$B,Heron!BJ$9,Xero!$A:$A,Heron!$A$4,Xero!$E:$E,Heron!$A39)+SUMIFS(Xero!$F:$F,Xero!$B:$B,Heron!BJ$9,Xero!$A:$A,Heron!$A$5,Xero!$E:$E,Heron!$A39)</f>
        <v/>
      </c>
      <c r="BK39" s="117">
        <f>sum(D39:BJ39)</f>
        <v/>
      </c>
    </row>
    <row r="40">
      <c r="A40" s="116" t="inlineStr">
        <is>
          <t>Advertising - Thinkink</t>
        </is>
      </c>
      <c r="D40" s="117">
        <f>SUMIFS(Xero!$F:$F,Xero!$B:$B,Heron!D$9,Xero!$A:$A,Heron!$A$4,Xero!$E:$E,Heron!$A40)+SUMIFS(Xero!$F:$F,Xero!$B:$B,Heron!D$9,Xero!$A:$A,Heron!$A$5,Xero!$E:$E,Heron!$A40)</f>
        <v/>
      </c>
      <c r="E40" s="117">
        <f>SUMIFS(Xero!$F:$F,Xero!$B:$B,Heron!E$9,Xero!$A:$A,Heron!$A$4,Xero!$E:$E,Heron!$A40)+SUMIFS(Xero!$F:$F,Xero!$B:$B,Heron!E$9,Xero!$A:$A,Heron!$A$5,Xero!$E:$E,Heron!$A40)</f>
        <v/>
      </c>
      <c r="F40" s="117">
        <f>SUMIFS(Xero!$F:$F,Xero!$B:$B,Heron!F$9,Xero!$A:$A,Heron!$A$4,Xero!$E:$E,Heron!$A40)+SUMIFS(Xero!$F:$F,Xero!$B:$B,Heron!F$9,Xero!$A:$A,Heron!$A$5,Xero!$E:$E,Heron!$A40)</f>
        <v/>
      </c>
      <c r="G40" s="117">
        <f>SUMIFS(Xero!$F:$F,Xero!$B:$B,Heron!G$9,Xero!$A:$A,Heron!$A$4,Xero!$E:$E,Heron!$A40)+SUMIFS(Xero!$F:$F,Xero!$B:$B,Heron!G$9,Xero!$A:$A,Heron!$A$5,Xero!$E:$E,Heron!$A40)</f>
        <v/>
      </c>
      <c r="H40" s="117">
        <f>SUMIFS(Xero!$F:$F,Xero!$B:$B,Heron!H$9,Xero!$A:$A,Heron!$A$4,Xero!$E:$E,Heron!$A40)+SUMIFS(Xero!$F:$F,Xero!$B:$B,Heron!H$9,Xero!$A:$A,Heron!$A$5,Xero!$E:$E,Heron!$A40)</f>
        <v/>
      </c>
      <c r="I40" s="117">
        <f>SUMIFS(Xero!$F:$F,Xero!$B:$B,Heron!I$9,Xero!$A:$A,Heron!$A$4,Xero!$E:$E,Heron!$A40)+SUMIFS(Xero!$F:$F,Xero!$B:$B,Heron!I$9,Xero!$A:$A,Heron!$A$5,Xero!$E:$E,Heron!$A40)</f>
        <v/>
      </c>
      <c r="J40" s="117">
        <f>SUMIFS(Xero!$F:$F,Xero!$B:$B,Heron!J$9,Xero!$A:$A,Heron!$A$4,Xero!$E:$E,Heron!$A40)+SUMIFS(Xero!$F:$F,Xero!$B:$B,Heron!J$9,Xero!$A:$A,Heron!$A$5,Xero!$E:$E,Heron!$A40)</f>
        <v/>
      </c>
      <c r="K40" s="117">
        <f>SUMIFS(Xero!$F:$F,Xero!$B:$B,Heron!K$9,Xero!$A:$A,Heron!$A$4,Xero!$E:$E,Heron!$A40)+SUMIFS(Xero!$F:$F,Xero!$B:$B,Heron!K$9,Xero!$A:$A,Heron!$A$5,Xero!$E:$E,Heron!$A40)</f>
        <v/>
      </c>
      <c r="L40" s="117">
        <f>SUMIFS(Xero!$F:$F,Xero!$B:$B,Heron!L$9,Xero!$A:$A,Heron!$A$4,Xero!$E:$E,Heron!$A40)+SUMIFS(Xero!$F:$F,Xero!$B:$B,Heron!L$9,Xero!$A:$A,Heron!$A$5,Xero!$E:$E,Heron!$A40)</f>
        <v/>
      </c>
      <c r="M40" s="117">
        <f>SUMIFS(Xero!$F:$F,Xero!$B:$B,Heron!M$9,Xero!$A:$A,Heron!$A$4,Xero!$E:$E,Heron!$A40)+SUMIFS(Xero!$F:$F,Xero!$B:$B,Heron!M$9,Xero!$A:$A,Heron!$A$5,Xero!$E:$E,Heron!$A40)</f>
        <v/>
      </c>
      <c r="N40" s="117">
        <f>SUMIFS(Xero!$F:$F,Xero!$B:$B,Heron!N$9,Xero!$A:$A,Heron!$A$4,Xero!$E:$E,Heron!$A40)+SUMIFS(Xero!$F:$F,Xero!$B:$B,Heron!N$9,Xero!$A:$A,Heron!$A$5,Xero!$E:$E,Heron!$A40)</f>
        <v/>
      </c>
      <c r="O40" s="117">
        <f>SUMIFS(Xero!$F:$F,Xero!$B:$B,Heron!O$9,Xero!$A:$A,Heron!$A$4,Xero!$E:$E,Heron!$A40)+SUMIFS(Xero!$F:$F,Xero!$B:$B,Heron!O$9,Xero!$A:$A,Heron!$A$5,Xero!$E:$E,Heron!$A40)</f>
        <v/>
      </c>
      <c r="P40" s="117">
        <f>SUMIFS(Xero!$F:$F,Xero!$B:$B,Heron!P$9,Xero!$A:$A,Heron!$A$4,Xero!$E:$E,Heron!$A40)+SUMIFS(Xero!$F:$F,Xero!$B:$B,Heron!P$9,Xero!$A:$A,Heron!$A$5,Xero!$E:$E,Heron!$A40)</f>
        <v/>
      </c>
      <c r="Q40" s="117">
        <f>SUMIFS(Xero!$F:$F,Xero!$B:$B,Heron!Q$9,Xero!$A:$A,Heron!$A$4,Xero!$E:$E,Heron!$A40)+SUMIFS(Xero!$F:$F,Xero!$B:$B,Heron!Q$9,Xero!$A:$A,Heron!$A$5,Xero!$E:$E,Heron!$A40)</f>
        <v/>
      </c>
      <c r="R40" s="117">
        <f>SUMIFS(Xero!$F:$F,Xero!$B:$B,Heron!R$9,Xero!$A:$A,Heron!$A$4,Xero!$E:$E,Heron!$A40)+SUMIFS(Xero!$F:$F,Xero!$B:$B,Heron!R$9,Xero!$A:$A,Heron!$A$5,Xero!$E:$E,Heron!$A40)</f>
        <v/>
      </c>
      <c r="S40" s="117">
        <f>SUMIFS(Xero!$F:$F,Xero!$B:$B,Heron!S$9,Xero!$A:$A,Heron!$A$4,Xero!$E:$E,Heron!$A40)+SUMIFS(Xero!$F:$F,Xero!$B:$B,Heron!S$9,Xero!$A:$A,Heron!$A$5,Xero!$E:$E,Heron!$A40)</f>
        <v/>
      </c>
      <c r="T40" s="117">
        <f>SUMIFS(Xero!$F:$F,Xero!$B:$B,Heron!T$9,Xero!$A:$A,Heron!$A$4,Xero!$E:$E,Heron!$A40)+SUMIFS(Xero!$F:$F,Xero!$B:$B,Heron!T$9,Xero!$A:$A,Heron!$A$5,Xero!$E:$E,Heron!$A40)</f>
        <v/>
      </c>
      <c r="U40" s="117">
        <f>SUMIFS(Xero!$F:$F,Xero!$B:$B,Heron!U$9,Xero!$A:$A,Heron!$A$4,Xero!$E:$E,Heron!$A40)+SUMIFS(Xero!$F:$F,Xero!$B:$B,Heron!U$9,Xero!$A:$A,Heron!$A$5,Xero!$E:$E,Heron!$A40)</f>
        <v/>
      </c>
      <c r="V40" s="117">
        <f>SUMIFS(Xero!$F:$F,Xero!$B:$B,Heron!V$9,Xero!$A:$A,Heron!$A$4,Xero!$E:$E,Heron!$A40)+SUMIFS(Xero!$F:$F,Xero!$B:$B,Heron!V$9,Xero!$A:$A,Heron!$A$5,Xero!$E:$E,Heron!$A40)</f>
        <v/>
      </c>
      <c r="W40" s="117">
        <f>SUMIFS(Xero!$F:$F,Xero!$B:$B,Heron!W$9,Xero!$A:$A,Heron!$A$4,Xero!$E:$E,Heron!$A40)+SUMIFS(Xero!$F:$F,Xero!$B:$B,Heron!W$9,Xero!$A:$A,Heron!$A$5,Xero!$E:$E,Heron!$A40)</f>
        <v/>
      </c>
      <c r="X40" s="117">
        <f>SUMIFS(Xero!$F:$F,Xero!$B:$B,Heron!X$9,Xero!$A:$A,Heron!$A$4,Xero!$E:$E,Heron!$A40)+SUMIFS(Xero!$F:$F,Xero!$B:$B,Heron!X$9,Xero!$A:$A,Heron!$A$5,Xero!$E:$E,Heron!$A40)</f>
        <v/>
      </c>
      <c r="Y40" s="117">
        <f>SUMIFS(Xero!$F:$F,Xero!$B:$B,Heron!Y$9,Xero!$A:$A,Heron!$A$4,Xero!$E:$E,Heron!$A40)+SUMIFS(Xero!$F:$F,Xero!$B:$B,Heron!Y$9,Xero!$A:$A,Heron!$A$5,Xero!$E:$E,Heron!$A40)</f>
        <v/>
      </c>
      <c r="Z40" s="117">
        <f>SUMIFS(Xero!$F:$F,Xero!$B:$B,Heron!Z$9,Xero!$A:$A,Heron!$A$4,Xero!$E:$E,Heron!$A40)+SUMIFS(Xero!$F:$F,Xero!$B:$B,Heron!Z$9,Xero!$A:$A,Heron!$A$5,Xero!$E:$E,Heron!$A40)</f>
        <v/>
      </c>
      <c r="AA40" s="117">
        <f>SUMIFS(Xero!$F:$F,Xero!$B:$B,Heron!AA$9,Xero!$A:$A,Heron!$A$4,Xero!$E:$E,Heron!$A40)+SUMIFS(Xero!$F:$F,Xero!$B:$B,Heron!AA$9,Xero!$A:$A,Heron!$A$5,Xero!$E:$E,Heron!$A40)</f>
        <v/>
      </c>
      <c r="AB40" s="117">
        <f>SUMIFS(Xero!$F:$F,Xero!$B:$B,Heron!AB$9,Xero!$A:$A,Heron!$A$4,Xero!$E:$E,Heron!$A40)+SUMIFS(Xero!$F:$F,Xero!$B:$B,Heron!AB$9,Xero!$A:$A,Heron!$A$5,Xero!$E:$E,Heron!$A40)</f>
        <v/>
      </c>
      <c r="AC40" s="117">
        <f>SUMIFS(Xero!$F:$F,Xero!$B:$B,Heron!AC$9,Xero!$A:$A,Heron!$A$4,Xero!$E:$E,Heron!$A40)+SUMIFS(Xero!$F:$F,Xero!$B:$B,Heron!AC$9,Xero!$A:$A,Heron!$A$5,Xero!$E:$E,Heron!$A40)</f>
        <v/>
      </c>
      <c r="AD40" s="117">
        <f>SUMIFS(Xero!$F:$F,Xero!$B:$B,Heron!AD$9,Xero!$A:$A,Heron!$A$4,Xero!$E:$E,Heron!$A40)+SUMIFS(Xero!$F:$F,Xero!$B:$B,Heron!AD$9,Xero!$A:$A,Heron!$A$5,Xero!$E:$E,Heron!$A40)</f>
        <v/>
      </c>
      <c r="AE40" s="117">
        <f>SUMIFS(Xero!$F:$F,Xero!$B:$B,Heron!AE$9,Xero!$A:$A,Heron!$A$4,Xero!$E:$E,Heron!$A40)+SUMIFS(Xero!$F:$F,Xero!$B:$B,Heron!AE$9,Xero!$A:$A,Heron!$A$5,Xero!$E:$E,Heron!$A40)</f>
        <v/>
      </c>
      <c r="AF40" s="117">
        <f>SUMIFS(Xero!$F:$F,Xero!$B:$B,Heron!AF$9,Xero!$A:$A,Heron!$A$4,Xero!$E:$E,Heron!$A40)+SUMIFS(Xero!$F:$F,Xero!$B:$B,Heron!AF$9,Xero!$A:$A,Heron!$A$5,Xero!$E:$E,Heron!$A40)</f>
        <v/>
      </c>
      <c r="AG40" s="117">
        <f>SUMIFS(Xero!$F:$F,Xero!$B:$B,Heron!AG$9,Xero!$A:$A,Heron!$A$4,Xero!$E:$E,Heron!$A40)+SUMIFS(Xero!$F:$F,Xero!$B:$B,Heron!AG$9,Xero!$A:$A,Heron!$A$5,Xero!$E:$E,Heron!$A40)</f>
        <v/>
      </c>
      <c r="AH40" s="117">
        <f>SUMIFS(Xero!$F:$F,Xero!$B:$B,Heron!AH$9,Xero!$A:$A,Heron!$A$4,Xero!$E:$E,Heron!$A40)+SUMIFS(Xero!$F:$F,Xero!$B:$B,Heron!AH$9,Xero!$A:$A,Heron!$A$5,Xero!$E:$E,Heron!$A40)</f>
        <v/>
      </c>
      <c r="AI40" s="117">
        <f>SUMIFS(Xero!$F:$F,Xero!$B:$B,Heron!AI$9,Xero!$A:$A,Heron!$A$4,Xero!$E:$E,Heron!$A40)+SUMIFS(Xero!$F:$F,Xero!$B:$B,Heron!AI$9,Xero!$A:$A,Heron!$A$5,Xero!$E:$E,Heron!$A40)</f>
        <v/>
      </c>
      <c r="AJ40" s="117">
        <f>SUMIFS(Xero!$F:$F,Xero!$B:$B,Heron!AJ$9,Xero!$A:$A,Heron!$A$4,Xero!$E:$E,Heron!$A40)+SUMIFS(Xero!$F:$F,Xero!$B:$B,Heron!AJ$9,Xero!$A:$A,Heron!$A$5,Xero!$E:$E,Heron!$A40)</f>
        <v/>
      </c>
      <c r="AK40" s="117">
        <f>SUMIFS(Xero!$F:$F,Xero!$B:$B,Heron!AK$9,Xero!$A:$A,Heron!$A$4,Xero!$E:$E,Heron!$A40)+SUMIFS(Xero!$F:$F,Xero!$B:$B,Heron!AK$9,Xero!$A:$A,Heron!$A$5,Xero!$E:$E,Heron!$A40)</f>
        <v/>
      </c>
      <c r="AL40" s="117">
        <f>SUMIFS(Xero!$F:$F,Xero!$B:$B,Heron!AL$9,Xero!$A:$A,Heron!$A$4,Xero!$E:$E,Heron!$A40)+SUMIFS(Xero!$F:$F,Xero!$B:$B,Heron!AL$9,Xero!$A:$A,Heron!$A$5,Xero!$E:$E,Heron!$A40)</f>
        <v/>
      </c>
      <c r="AM40" s="117">
        <f>SUMIFS(Xero!$F:$F,Xero!$B:$B,Heron!AM$9,Xero!$A:$A,Heron!$A$4,Xero!$E:$E,Heron!$A40)+SUMIFS(Xero!$F:$F,Xero!$B:$B,Heron!AM$9,Xero!$A:$A,Heron!$A$5,Xero!$E:$E,Heron!$A40)</f>
        <v/>
      </c>
      <c r="AN40" s="117">
        <f>SUMIFS(Xero!$F:$F,Xero!$B:$B,Heron!AN$9,Xero!$A:$A,Heron!$A$4,Xero!$E:$E,Heron!$A40)+SUMIFS(Xero!$F:$F,Xero!$B:$B,Heron!AN$9,Xero!$A:$A,Heron!$A$5,Xero!$E:$E,Heron!$A40)</f>
        <v/>
      </c>
      <c r="AO40" s="117">
        <f>SUMIFS(Xero!$F:$F,Xero!$B:$B,Heron!AO$9,Xero!$A:$A,Heron!$A$4,Xero!$E:$E,Heron!$A40)+SUMIFS(Xero!$F:$F,Xero!$B:$B,Heron!AO$9,Xero!$A:$A,Heron!$A$5,Xero!$E:$E,Heron!$A40)</f>
        <v/>
      </c>
      <c r="AP40" s="117">
        <f>SUMIFS(Xero!$F:$F,Xero!$B:$B,Heron!AP$9,Xero!$A:$A,Heron!$A$4,Xero!$E:$E,Heron!$A40)+SUMIFS(Xero!$F:$F,Xero!$B:$B,Heron!AP$9,Xero!$A:$A,Heron!$A$5,Xero!$E:$E,Heron!$A40)</f>
        <v/>
      </c>
      <c r="AQ40" s="117">
        <f>SUMIFS(Xero!$F:$F,Xero!$B:$B,Heron!AQ$9,Xero!$A:$A,Heron!$A$4,Xero!$E:$E,Heron!$A40)+SUMIFS(Xero!$F:$F,Xero!$B:$B,Heron!AQ$9,Xero!$A:$A,Heron!$A$5,Xero!$E:$E,Heron!$A40)</f>
        <v/>
      </c>
      <c r="AR40" s="117">
        <f>SUMIFS(Xero!$F:$F,Xero!$B:$B,Heron!AR$9,Xero!$A:$A,Heron!$A$4,Xero!$E:$E,Heron!$A40)+SUMIFS(Xero!$F:$F,Xero!$B:$B,Heron!AR$9,Xero!$A:$A,Heron!$A$5,Xero!$E:$E,Heron!$A40)</f>
        <v/>
      </c>
      <c r="AS40" s="117">
        <f>SUMIFS(Xero!$F:$F,Xero!$B:$B,Heron!AS$9,Xero!$A:$A,Heron!$A$4,Xero!$E:$E,Heron!$A40)+SUMIFS(Xero!$F:$F,Xero!$B:$B,Heron!AS$9,Xero!$A:$A,Heron!$A$5,Xero!$E:$E,Heron!$A40)</f>
        <v/>
      </c>
      <c r="AT40" s="117">
        <f>SUMIFS(Xero!$F:$F,Xero!$B:$B,Heron!AT$9,Xero!$A:$A,Heron!$A$4,Xero!$E:$E,Heron!$A40)+SUMIFS(Xero!$F:$F,Xero!$B:$B,Heron!AT$9,Xero!$A:$A,Heron!$A$5,Xero!$E:$E,Heron!$A40)</f>
        <v/>
      </c>
      <c r="AU40" s="117">
        <f>SUMIFS(Xero!$F:$F,Xero!$B:$B,Heron!AU$9,Xero!$A:$A,Heron!$A$4,Xero!$E:$E,Heron!$A40)+SUMIFS(Xero!$F:$F,Xero!$B:$B,Heron!AU$9,Xero!$A:$A,Heron!$A$5,Xero!$E:$E,Heron!$A40)</f>
        <v/>
      </c>
      <c r="AV40" s="117">
        <f>SUMIFS(Xero!$F:$F,Xero!$B:$B,Heron!AV$9,Xero!$A:$A,Heron!$A$4,Xero!$E:$E,Heron!$A40)+SUMIFS(Xero!$F:$F,Xero!$B:$B,Heron!AV$9,Xero!$A:$A,Heron!$A$5,Xero!$E:$E,Heron!$A40)</f>
        <v/>
      </c>
      <c r="AW40" s="117">
        <f>SUMIFS(Xero!$F:$F,Xero!$B:$B,Heron!AW$9,Xero!$A:$A,Heron!$A$4,Xero!$E:$E,Heron!$A40)+SUMIFS(Xero!$F:$F,Xero!$B:$B,Heron!AW$9,Xero!$A:$A,Heron!$A$5,Xero!$E:$E,Heron!$A40)</f>
        <v/>
      </c>
      <c r="AX40" s="117">
        <f>SUMIFS(Xero!$F:$F,Xero!$B:$B,Heron!AX$9,Xero!$A:$A,Heron!$A$4,Xero!$E:$E,Heron!$A40)+SUMIFS(Xero!$F:$F,Xero!$B:$B,Heron!AX$9,Xero!$A:$A,Heron!$A$5,Xero!$E:$E,Heron!$A40)</f>
        <v/>
      </c>
      <c r="AY40" s="117">
        <f>SUMIFS(Xero!$F:$F,Xero!$B:$B,Heron!AY$9,Xero!$A:$A,Heron!$A$4,Xero!$E:$E,Heron!$A40)+SUMIFS(Xero!$F:$F,Xero!$B:$B,Heron!AY$9,Xero!$A:$A,Heron!$A$5,Xero!$E:$E,Heron!$A40)</f>
        <v/>
      </c>
      <c r="AZ40" s="117">
        <f>SUMIFS(Xero!$F:$F,Xero!$B:$B,Heron!AZ$9,Xero!$A:$A,Heron!$A$4,Xero!$E:$E,Heron!$A40)+SUMIFS(Xero!$F:$F,Xero!$B:$B,Heron!AZ$9,Xero!$A:$A,Heron!$A$5,Xero!$E:$E,Heron!$A40)</f>
        <v/>
      </c>
      <c r="BA40" s="117">
        <f>SUMIFS(Xero!$F:$F,Xero!$B:$B,Heron!BA$9,Xero!$A:$A,Heron!$A$4,Xero!$E:$E,Heron!$A40)+SUMIFS(Xero!$F:$F,Xero!$B:$B,Heron!BA$9,Xero!$A:$A,Heron!$A$5,Xero!$E:$E,Heron!$A40)</f>
        <v/>
      </c>
      <c r="BB40" s="117">
        <f>SUMIFS(Xero!$F:$F,Xero!$B:$B,Heron!BB$9,Xero!$A:$A,Heron!$A$4,Xero!$E:$E,Heron!$A40)+SUMIFS(Xero!$F:$F,Xero!$B:$B,Heron!BB$9,Xero!$A:$A,Heron!$A$5,Xero!$E:$E,Heron!$A40)</f>
        <v/>
      </c>
      <c r="BC40" s="117">
        <f>SUMIFS(Xero!$F:$F,Xero!$B:$B,Heron!BC$9,Xero!$A:$A,Heron!$A$4,Xero!$E:$E,Heron!$A40)+SUMIFS(Xero!$F:$F,Xero!$B:$B,Heron!BC$9,Xero!$A:$A,Heron!$A$5,Xero!$E:$E,Heron!$A40)</f>
        <v/>
      </c>
      <c r="BD40" s="117">
        <f>SUMIFS(Xero!$F:$F,Xero!$B:$B,Heron!BD$9,Xero!$A:$A,Heron!$A$4,Xero!$E:$E,Heron!$A40)+SUMIFS(Xero!$F:$F,Xero!$B:$B,Heron!BD$9,Xero!$A:$A,Heron!$A$5,Xero!$E:$E,Heron!$A40)</f>
        <v/>
      </c>
      <c r="BE40" s="117">
        <f>SUMIFS(Xero!$F:$F,Xero!$B:$B,Heron!BE$9,Xero!$A:$A,Heron!$A$4,Xero!$E:$E,Heron!$A40)+SUMIFS(Xero!$F:$F,Xero!$B:$B,Heron!BE$9,Xero!$A:$A,Heron!$A$5,Xero!$E:$E,Heron!$A40)</f>
        <v/>
      </c>
      <c r="BF40" s="117">
        <f>SUMIFS(Xero!$F:$F,Xero!$B:$B,Heron!BF$9,Xero!$A:$A,Heron!$A$4,Xero!$E:$E,Heron!$A40)+SUMIFS(Xero!$F:$F,Xero!$B:$B,Heron!BF$9,Xero!$A:$A,Heron!$A$5,Xero!$E:$E,Heron!$A40)</f>
        <v/>
      </c>
      <c r="BG40" s="117">
        <f>SUMIFS(Xero!$F:$F,Xero!$B:$B,Heron!BG$9,Xero!$A:$A,Heron!$A$4,Xero!$E:$E,Heron!$A40)+SUMIFS(Xero!$F:$F,Xero!$B:$B,Heron!BG$9,Xero!$A:$A,Heron!$A$5,Xero!$E:$E,Heron!$A40)</f>
        <v/>
      </c>
      <c r="BH40" s="117">
        <f>SUMIFS(Xero!$F:$F,Xero!$B:$B,Heron!BH$9,Xero!$A:$A,Heron!$A$4,Xero!$E:$E,Heron!$A40)+SUMIFS(Xero!$F:$F,Xero!$B:$B,Heron!BH$9,Xero!$A:$A,Heron!$A$5,Xero!$E:$E,Heron!$A40)</f>
        <v/>
      </c>
      <c r="BI40" s="117">
        <f>SUMIFS(Xero!$F:$F,Xero!$B:$B,Heron!BI$9,Xero!$A:$A,Heron!$A$4,Xero!$E:$E,Heron!$A40)+SUMIFS(Xero!$F:$F,Xero!$B:$B,Heron!BI$9,Xero!$A:$A,Heron!$A$5,Xero!$E:$E,Heron!$A40)</f>
        <v/>
      </c>
      <c r="BJ40" s="117">
        <f>SUMIFS(Xero!$F:$F,Xero!$B:$B,Heron!BJ$9,Xero!$A:$A,Heron!$A$4,Xero!$E:$E,Heron!$A40)+SUMIFS(Xero!$F:$F,Xero!$B:$B,Heron!BJ$9,Xero!$A:$A,Heron!$A$5,Xero!$E:$E,Heron!$A40)</f>
        <v/>
      </c>
      <c r="BK40" s="117">
        <f>sum(D40:BJ40)</f>
        <v/>
      </c>
    </row>
    <row r="41">
      <c r="A41" s="116" t="inlineStr">
        <is>
          <t>Advertising _AND_ Promotions</t>
        </is>
      </c>
      <c r="D41" s="117">
        <f>SUMIFS(Xero!$F:$F,Xero!$B:$B,Heron!D$9,Xero!$A:$A,Heron!$A$4,Xero!$E:$E,Heron!$A41)+SUMIFS(Xero!$F:$F,Xero!$B:$B,Heron!D$9,Xero!$A:$A,Heron!$A$5,Xero!$E:$E,Heron!$A41)</f>
        <v/>
      </c>
      <c r="E41" s="117">
        <f>SUMIFS(Xero!$F:$F,Xero!$B:$B,Heron!E$9,Xero!$A:$A,Heron!$A$4,Xero!$E:$E,Heron!$A41)+SUMIFS(Xero!$F:$F,Xero!$B:$B,Heron!E$9,Xero!$A:$A,Heron!$A$5,Xero!$E:$E,Heron!$A41)</f>
        <v/>
      </c>
      <c r="F41" s="117">
        <f>SUMIFS(Xero!$F:$F,Xero!$B:$B,Heron!F$9,Xero!$A:$A,Heron!$A$4,Xero!$E:$E,Heron!$A41)+SUMIFS(Xero!$F:$F,Xero!$B:$B,Heron!F$9,Xero!$A:$A,Heron!$A$5,Xero!$E:$E,Heron!$A41)</f>
        <v/>
      </c>
      <c r="G41" s="117">
        <f>SUMIFS(Xero!$F:$F,Xero!$B:$B,Heron!G$9,Xero!$A:$A,Heron!$A$4,Xero!$E:$E,Heron!$A41)+SUMIFS(Xero!$F:$F,Xero!$B:$B,Heron!G$9,Xero!$A:$A,Heron!$A$5,Xero!$E:$E,Heron!$A41)</f>
        <v/>
      </c>
      <c r="H41" s="117">
        <f>SUMIFS(Xero!$F:$F,Xero!$B:$B,Heron!H$9,Xero!$A:$A,Heron!$A$4,Xero!$E:$E,Heron!$A41)+SUMIFS(Xero!$F:$F,Xero!$B:$B,Heron!H$9,Xero!$A:$A,Heron!$A$5,Xero!$E:$E,Heron!$A41)</f>
        <v/>
      </c>
      <c r="I41" s="117">
        <f>SUMIFS(Xero!$F:$F,Xero!$B:$B,Heron!I$9,Xero!$A:$A,Heron!$A$4,Xero!$E:$E,Heron!$A41)+SUMIFS(Xero!$F:$F,Xero!$B:$B,Heron!I$9,Xero!$A:$A,Heron!$A$5,Xero!$E:$E,Heron!$A41)</f>
        <v/>
      </c>
      <c r="J41" s="117">
        <f>SUMIFS(Xero!$F:$F,Xero!$B:$B,Heron!J$9,Xero!$A:$A,Heron!$A$4,Xero!$E:$E,Heron!$A41)+SUMIFS(Xero!$F:$F,Xero!$B:$B,Heron!J$9,Xero!$A:$A,Heron!$A$5,Xero!$E:$E,Heron!$A41)</f>
        <v/>
      </c>
      <c r="K41" s="117">
        <f>SUMIFS(Xero!$F:$F,Xero!$B:$B,Heron!K$9,Xero!$A:$A,Heron!$A$4,Xero!$E:$E,Heron!$A41)+SUMIFS(Xero!$F:$F,Xero!$B:$B,Heron!K$9,Xero!$A:$A,Heron!$A$5,Xero!$E:$E,Heron!$A41)</f>
        <v/>
      </c>
      <c r="L41" s="117">
        <f>SUMIFS(Xero!$F:$F,Xero!$B:$B,Heron!L$9,Xero!$A:$A,Heron!$A$4,Xero!$E:$E,Heron!$A41)+SUMIFS(Xero!$F:$F,Xero!$B:$B,Heron!L$9,Xero!$A:$A,Heron!$A$5,Xero!$E:$E,Heron!$A41)</f>
        <v/>
      </c>
      <c r="M41" s="117">
        <f>SUMIFS(Xero!$F:$F,Xero!$B:$B,Heron!M$9,Xero!$A:$A,Heron!$A$4,Xero!$E:$E,Heron!$A41)+SUMIFS(Xero!$F:$F,Xero!$B:$B,Heron!M$9,Xero!$A:$A,Heron!$A$5,Xero!$E:$E,Heron!$A41)</f>
        <v/>
      </c>
      <c r="N41" s="117">
        <f>SUMIFS(Xero!$F:$F,Xero!$B:$B,Heron!N$9,Xero!$A:$A,Heron!$A$4,Xero!$E:$E,Heron!$A41)+SUMIFS(Xero!$F:$F,Xero!$B:$B,Heron!N$9,Xero!$A:$A,Heron!$A$5,Xero!$E:$E,Heron!$A41)</f>
        <v/>
      </c>
      <c r="O41" s="117">
        <f>SUMIFS(Xero!$F:$F,Xero!$B:$B,Heron!O$9,Xero!$A:$A,Heron!$A$4,Xero!$E:$E,Heron!$A41)+SUMIFS(Xero!$F:$F,Xero!$B:$B,Heron!O$9,Xero!$A:$A,Heron!$A$5,Xero!$E:$E,Heron!$A41)</f>
        <v/>
      </c>
      <c r="P41" s="117">
        <f>SUMIFS(Xero!$F:$F,Xero!$B:$B,Heron!P$9,Xero!$A:$A,Heron!$A$4,Xero!$E:$E,Heron!$A41)+SUMIFS(Xero!$F:$F,Xero!$B:$B,Heron!P$9,Xero!$A:$A,Heron!$A$5,Xero!$E:$E,Heron!$A41)</f>
        <v/>
      </c>
      <c r="Q41" s="117">
        <f>SUMIFS(Xero!$F:$F,Xero!$B:$B,Heron!Q$9,Xero!$A:$A,Heron!$A$4,Xero!$E:$E,Heron!$A41)+SUMIFS(Xero!$F:$F,Xero!$B:$B,Heron!Q$9,Xero!$A:$A,Heron!$A$5,Xero!$E:$E,Heron!$A41)</f>
        <v/>
      </c>
      <c r="R41" s="117">
        <f>SUMIFS(Xero!$F:$F,Xero!$B:$B,Heron!R$9,Xero!$A:$A,Heron!$A$4,Xero!$E:$E,Heron!$A41)+SUMIFS(Xero!$F:$F,Xero!$B:$B,Heron!R$9,Xero!$A:$A,Heron!$A$5,Xero!$E:$E,Heron!$A41)</f>
        <v/>
      </c>
      <c r="S41" s="117">
        <f>SUMIFS(Xero!$F:$F,Xero!$B:$B,Heron!S$9,Xero!$A:$A,Heron!$A$4,Xero!$E:$E,Heron!$A41)+SUMIFS(Xero!$F:$F,Xero!$B:$B,Heron!S$9,Xero!$A:$A,Heron!$A$5,Xero!$E:$E,Heron!$A41)</f>
        <v/>
      </c>
      <c r="T41" s="117">
        <f>SUMIFS(Xero!$F:$F,Xero!$B:$B,Heron!T$9,Xero!$A:$A,Heron!$A$4,Xero!$E:$E,Heron!$A41)+SUMIFS(Xero!$F:$F,Xero!$B:$B,Heron!T$9,Xero!$A:$A,Heron!$A$5,Xero!$E:$E,Heron!$A41)</f>
        <v/>
      </c>
      <c r="U41" s="117">
        <f>SUMIFS(Xero!$F:$F,Xero!$B:$B,Heron!U$9,Xero!$A:$A,Heron!$A$4,Xero!$E:$E,Heron!$A41)+SUMIFS(Xero!$F:$F,Xero!$B:$B,Heron!U$9,Xero!$A:$A,Heron!$A$5,Xero!$E:$E,Heron!$A41)</f>
        <v/>
      </c>
      <c r="V41" s="117">
        <f>SUMIFS(Xero!$F:$F,Xero!$B:$B,Heron!V$9,Xero!$A:$A,Heron!$A$4,Xero!$E:$E,Heron!$A41)+SUMIFS(Xero!$F:$F,Xero!$B:$B,Heron!V$9,Xero!$A:$A,Heron!$A$5,Xero!$E:$E,Heron!$A41)</f>
        <v/>
      </c>
      <c r="W41" s="117">
        <f>SUMIFS(Xero!$F:$F,Xero!$B:$B,Heron!W$9,Xero!$A:$A,Heron!$A$4,Xero!$E:$E,Heron!$A41)+SUMIFS(Xero!$F:$F,Xero!$B:$B,Heron!W$9,Xero!$A:$A,Heron!$A$5,Xero!$E:$E,Heron!$A41)</f>
        <v/>
      </c>
      <c r="X41" s="117">
        <f>SUMIFS(Xero!$F:$F,Xero!$B:$B,Heron!X$9,Xero!$A:$A,Heron!$A$4,Xero!$E:$E,Heron!$A41)+SUMIFS(Xero!$F:$F,Xero!$B:$B,Heron!X$9,Xero!$A:$A,Heron!$A$5,Xero!$E:$E,Heron!$A41)</f>
        <v/>
      </c>
      <c r="Y41" s="117">
        <f>SUMIFS(Xero!$F:$F,Xero!$B:$B,Heron!Y$9,Xero!$A:$A,Heron!$A$4,Xero!$E:$E,Heron!$A41)+SUMIFS(Xero!$F:$F,Xero!$B:$B,Heron!Y$9,Xero!$A:$A,Heron!$A$5,Xero!$E:$E,Heron!$A41)</f>
        <v/>
      </c>
      <c r="Z41" s="117">
        <f>SUMIFS(Xero!$F:$F,Xero!$B:$B,Heron!Z$9,Xero!$A:$A,Heron!$A$4,Xero!$E:$E,Heron!$A41)+SUMIFS(Xero!$F:$F,Xero!$B:$B,Heron!Z$9,Xero!$A:$A,Heron!$A$5,Xero!$E:$E,Heron!$A41)</f>
        <v/>
      </c>
      <c r="AA41" s="117">
        <f>SUMIFS(Xero!$F:$F,Xero!$B:$B,Heron!AA$9,Xero!$A:$A,Heron!$A$4,Xero!$E:$E,Heron!$A41)+SUMIFS(Xero!$F:$F,Xero!$B:$B,Heron!AA$9,Xero!$A:$A,Heron!$A$5,Xero!$E:$E,Heron!$A41)</f>
        <v/>
      </c>
      <c r="AB41" s="117">
        <f>SUMIFS(Xero!$F:$F,Xero!$B:$B,Heron!AB$9,Xero!$A:$A,Heron!$A$4,Xero!$E:$E,Heron!$A41)+SUMIFS(Xero!$F:$F,Xero!$B:$B,Heron!AB$9,Xero!$A:$A,Heron!$A$5,Xero!$E:$E,Heron!$A41)</f>
        <v/>
      </c>
      <c r="AC41" s="117">
        <f>SUMIFS(Xero!$F:$F,Xero!$B:$B,Heron!AC$9,Xero!$A:$A,Heron!$A$4,Xero!$E:$E,Heron!$A41)+SUMIFS(Xero!$F:$F,Xero!$B:$B,Heron!AC$9,Xero!$A:$A,Heron!$A$5,Xero!$E:$E,Heron!$A41)</f>
        <v/>
      </c>
      <c r="AD41" s="117">
        <f>SUMIFS(Xero!$F:$F,Xero!$B:$B,Heron!AD$9,Xero!$A:$A,Heron!$A$4,Xero!$E:$E,Heron!$A41)+SUMIFS(Xero!$F:$F,Xero!$B:$B,Heron!AD$9,Xero!$A:$A,Heron!$A$5,Xero!$E:$E,Heron!$A41)</f>
        <v/>
      </c>
      <c r="AE41" s="117">
        <f>SUMIFS(Xero!$F:$F,Xero!$B:$B,Heron!AE$9,Xero!$A:$A,Heron!$A$4,Xero!$E:$E,Heron!$A41)+SUMIFS(Xero!$F:$F,Xero!$B:$B,Heron!AE$9,Xero!$A:$A,Heron!$A$5,Xero!$E:$E,Heron!$A41)</f>
        <v/>
      </c>
      <c r="AF41" s="117">
        <f>SUMIFS(Xero!$F:$F,Xero!$B:$B,Heron!AF$9,Xero!$A:$A,Heron!$A$4,Xero!$E:$E,Heron!$A41)+SUMIFS(Xero!$F:$F,Xero!$B:$B,Heron!AF$9,Xero!$A:$A,Heron!$A$5,Xero!$E:$E,Heron!$A41)</f>
        <v/>
      </c>
      <c r="AG41" s="117">
        <f>SUMIFS(Xero!$F:$F,Xero!$B:$B,Heron!AG$9,Xero!$A:$A,Heron!$A$4,Xero!$E:$E,Heron!$A41)+SUMIFS(Xero!$F:$F,Xero!$B:$B,Heron!AG$9,Xero!$A:$A,Heron!$A$5,Xero!$E:$E,Heron!$A41)</f>
        <v/>
      </c>
      <c r="AH41" s="117">
        <f>SUMIFS(Xero!$F:$F,Xero!$B:$B,Heron!AH$9,Xero!$A:$A,Heron!$A$4,Xero!$E:$E,Heron!$A41)+SUMIFS(Xero!$F:$F,Xero!$B:$B,Heron!AH$9,Xero!$A:$A,Heron!$A$5,Xero!$E:$E,Heron!$A41)</f>
        <v/>
      </c>
      <c r="AI41" s="117">
        <f>SUMIFS(Xero!$F:$F,Xero!$B:$B,Heron!AI$9,Xero!$A:$A,Heron!$A$4,Xero!$E:$E,Heron!$A41)+SUMIFS(Xero!$F:$F,Xero!$B:$B,Heron!AI$9,Xero!$A:$A,Heron!$A$5,Xero!$E:$E,Heron!$A41)</f>
        <v/>
      </c>
      <c r="AJ41" s="117">
        <f>SUMIFS(Xero!$F:$F,Xero!$B:$B,Heron!AJ$9,Xero!$A:$A,Heron!$A$4,Xero!$E:$E,Heron!$A41)+SUMIFS(Xero!$F:$F,Xero!$B:$B,Heron!AJ$9,Xero!$A:$A,Heron!$A$5,Xero!$E:$E,Heron!$A41)</f>
        <v/>
      </c>
      <c r="AK41" s="117">
        <f>SUMIFS(Xero!$F:$F,Xero!$B:$B,Heron!AK$9,Xero!$A:$A,Heron!$A$4,Xero!$E:$E,Heron!$A41)+SUMIFS(Xero!$F:$F,Xero!$B:$B,Heron!AK$9,Xero!$A:$A,Heron!$A$5,Xero!$E:$E,Heron!$A41)</f>
        <v/>
      </c>
      <c r="AL41" s="117">
        <f>SUMIFS(Xero!$F:$F,Xero!$B:$B,Heron!AL$9,Xero!$A:$A,Heron!$A$4,Xero!$E:$E,Heron!$A41)+SUMIFS(Xero!$F:$F,Xero!$B:$B,Heron!AL$9,Xero!$A:$A,Heron!$A$5,Xero!$E:$E,Heron!$A41)</f>
        <v/>
      </c>
      <c r="AM41" s="117">
        <f>SUMIFS(Xero!$F:$F,Xero!$B:$B,Heron!AM$9,Xero!$A:$A,Heron!$A$4,Xero!$E:$E,Heron!$A41)+SUMIFS(Xero!$F:$F,Xero!$B:$B,Heron!AM$9,Xero!$A:$A,Heron!$A$5,Xero!$E:$E,Heron!$A41)</f>
        <v/>
      </c>
      <c r="AN41" s="117">
        <f>SUMIFS(Xero!$F:$F,Xero!$B:$B,Heron!AN$9,Xero!$A:$A,Heron!$A$4,Xero!$E:$E,Heron!$A41)+SUMIFS(Xero!$F:$F,Xero!$B:$B,Heron!AN$9,Xero!$A:$A,Heron!$A$5,Xero!$E:$E,Heron!$A41)</f>
        <v/>
      </c>
      <c r="AO41" s="117">
        <f>SUMIFS(Xero!$F:$F,Xero!$B:$B,Heron!AO$9,Xero!$A:$A,Heron!$A$4,Xero!$E:$E,Heron!$A41)+SUMIFS(Xero!$F:$F,Xero!$B:$B,Heron!AO$9,Xero!$A:$A,Heron!$A$5,Xero!$E:$E,Heron!$A41)</f>
        <v/>
      </c>
      <c r="AP41" s="117">
        <f>SUMIFS(Xero!$F:$F,Xero!$B:$B,Heron!AP$9,Xero!$A:$A,Heron!$A$4,Xero!$E:$E,Heron!$A41)+SUMIFS(Xero!$F:$F,Xero!$B:$B,Heron!AP$9,Xero!$A:$A,Heron!$A$5,Xero!$E:$E,Heron!$A41)</f>
        <v/>
      </c>
      <c r="AQ41" s="117">
        <f>SUMIFS(Xero!$F:$F,Xero!$B:$B,Heron!AQ$9,Xero!$A:$A,Heron!$A$4,Xero!$E:$E,Heron!$A41)+SUMIFS(Xero!$F:$F,Xero!$B:$B,Heron!AQ$9,Xero!$A:$A,Heron!$A$5,Xero!$E:$E,Heron!$A41)</f>
        <v/>
      </c>
      <c r="AR41" s="117">
        <f>SUMIFS(Xero!$F:$F,Xero!$B:$B,Heron!AR$9,Xero!$A:$A,Heron!$A$4,Xero!$E:$E,Heron!$A41)+SUMIFS(Xero!$F:$F,Xero!$B:$B,Heron!AR$9,Xero!$A:$A,Heron!$A$5,Xero!$E:$E,Heron!$A41)</f>
        <v/>
      </c>
      <c r="AS41" s="117">
        <f>SUMIFS(Xero!$F:$F,Xero!$B:$B,Heron!AS$9,Xero!$A:$A,Heron!$A$4,Xero!$E:$E,Heron!$A41)+SUMIFS(Xero!$F:$F,Xero!$B:$B,Heron!AS$9,Xero!$A:$A,Heron!$A$5,Xero!$E:$E,Heron!$A41)</f>
        <v/>
      </c>
      <c r="AT41" s="117">
        <f>SUMIFS(Xero!$F:$F,Xero!$B:$B,Heron!AT$9,Xero!$A:$A,Heron!$A$4,Xero!$E:$E,Heron!$A41)+SUMIFS(Xero!$F:$F,Xero!$B:$B,Heron!AT$9,Xero!$A:$A,Heron!$A$5,Xero!$E:$E,Heron!$A41)</f>
        <v/>
      </c>
      <c r="AU41" s="117">
        <f>SUMIFS(Xero!$F:$F,Xero!$B:$B,Heron!AU$9,Xero!$A:$A,Heron!$A$4,Xero!$E:$E,Heron!$A41)+SUMIFS(Xero!$F:$F,Xero!$B:$B,Heron!AU$9,Xero!$A:$A,Heron!$A$5,Xero!$E:$E,Heron!$A41)</f>
        <v/>
      </c>
      <c r="AV41" s="117">
        <f>SUMIFS(Xero!$F:$F,Xero!$B:$B,Heron!AV$9,Xero!$A:$A,Heron!$A$4,Xero!$E:$E,Heron!$A41)+SUMIFS(Xero!$F:$F,Xero!$B:$B,Heron!AV$9,Xero!$A:$A,Heron!$A$5,Xero!$E:$E,Heron!$A41)</f>
        <v/>
      </c>
      <c r="AW41" s="117">
        <f>SUMIFS(Xero!$F:$F,Xero!$B:$B,Heron!AW$9,Xero!$A:$A,Heron!$A$4,Xero!$E:$E,Heron!$A41)+SUMIFS(Xero!$F:$F,Xero!$B:$B,Heron!AW$9,Xero!$A:$A,Heron!$A$5,Xero!$E:$E,Heron!$A41)</f>
        <v/>
      </c>
      <c r="AX41" s="117">
        <f>SUMIFS(Xero!$F:$F,Xero!$B:$B,Heron!AX$9,Xero!$A:$A,Heron!$A$4,Xero!$E:$E,Heron!$A41)+SUMIFS(Xero!$F:$F,Xero!$B:$B,Heron!AX$9,Xero!$A:$A,Heron!$A$5,Xero!$E:$E,Heron!$A41)</f>
        <v/>
      </c>
      <c r="AY41" s="117">
        <f>SUMIFS(Xero!$F:$F,Xero!$B:$B,Heron!AY$9,Xero!$A:$A,Heron!$A$4,Xero!$E:$E,Heron!$A41)+SUMIFS(Xero!$F:$F,Xero!$B:$B,Heron!AY$9,Xero!$A:$A,Heron!$A$5,Xero!$E:$E,Heron!$A41)</f>
        <v/>
      </c>
      <c r="AZ41" s="117">
        <f>SUMIFS(Xero!$F:$F,Xero!$B:$B,Heron!AZ$9,Xero!$A:$A,Heron!$A$4,Xero!$E:$E,Heron!$A41)+SUMIFS(Xero!$F:$F,Xero!$B:$B,Heron!AZ$9,Xero!$A:$A,Heron!$A$5,Xero!$E:$E,Heron!$A41)</f>
        <v/>
      </c>
      <c r="BA41" s="117">
        <f>SUMIFS(Xero!$F:$F,Xero!$B:$B,Heron!BA$9,Xero!$A:$A,Heron!$A$4,Xero!$E:$E,Heron!$A41)+SUMIFS(Xero!$F:$F,Xero!$B:$B,Heron!BA$9,Xero!$A:$A,Heron!$A$5,Xero!$E:$E,Heron!$A41)</f>
        <v/>
      </c>
      <c r="BB41" s="117">
        <f>SUMIFS(Xero!$F:$F,Xero!$B:$B,Heron!BB$9,Xero!$A:$A,Heron!$A$4,Xero!$E:$E,Heron!$A41)+SUMIFS(Xero!$F:$F,Xero!$B:$B,Heron!BB$9,Xero!$A:$A,Heron!$A$5,Xero!$E:$E,Heron!$A41)</f>
        <v/>
      </c>
      <c r="BC41" s="117">
        <f>SUMIFS(Xero!$F:$F,Xero!$B:$B,Heron!BC$9,Xero!$A:$A,Heron!$A$4,Xero!$E:$E,Heron!$A41)+SUMIFS(Xero!$F:$F,Xero!$B:$B,Heron!BC$9,Xero!$A:$A,Heron!$A$5,Xero!$E:$E,Heron!$A41)</f>
        <v/>
      </c>
      <c r="BD41" s="117">
        <f>SUMIFS(Xero!$F:$F,Xero!$B:$B,Heron!BD$9,Xero!$A:$A,Heron!$A$4,Xero!$E:$E,Heron!$A41)+SUMIFS(Xero!$F:$F,Xero!$B:$B,Heron!BD$9,Xero!$A:$A,Heron!$A$5,Xero!$E:$E,Heron!$A41)</f>
        <v/>
      </c>
      <c r="BE41" s="117">
        <f>SUMIFS(Xero!$F:$F,Xero!$B:$B,Heron!BE$9,Xero!$A:$A,Heron!$A$4,Xero!$E:$E,Heron!$A41)+SUMIFS(Xero!$F:$F,Xero!$B:$B,Heron!BE$9,Xero!$A:$A,Heron!$A$5,Xero!$E:$E,Heron!$A41)</f>
        <v/>
      </c>
      <c r="BF41" s="117">
        <f>SUMIFS(Xero!$F:$F,Xero!$B:$B,Heron!BF$9,Xero!$A:$A,Heron!$A$4,Xero!$E:$E,Heron!$A41)+SUMIFS(Xero!$F:$F,Xero!$B:$B,Heron!BF$9,Xero!$A:$A,Heron!$A$5,Xero!$E:$E,Heron!$A41)</f>
        <v/>
      </c>
      <c r="BG41" s="117">
        <f>SUMIFS(Xero!$F:$F,Xero!$B:$B,Heron!BG$9,Xero!$A:$A,Heron!$A$4,Xero!$E:$E,Heron!$A41)+SUMIFS(Xero!$F:$F,Xero!$B:$B,Heron!BG$9,Xero!$A:$A,Heron!$A$5,Xero!$E:$E,Heron!$A41)</f>
        <v/>
      </c>
      <c r="BH41" s="117">
        <f>SUMIFS(Xero!$F:$F,Xero!$B:$B,Heron!BH$9,Xero!$A:$A,Heron!$A$4,Xero!$E:$E,Heron!$A41)+SUMIFS(Xero!$F:$F,Xero!$B:$B,Heron!BH$9,Xero!$A:$A,Heron!$A$5,Xero!$E:$E,Heron!$A41)</f>
        <v/>
      </c>
      <c r="BI41" s="117">
        <f>SUMIFS(Xero!$F:$F,Xero!$B:$B,Heron!BI$9,Xero!$A:$A,Heron!$A$4,Xero!$E:$E,Heron!$A41)+SUMIFS(Xero!$F:$F,Xero!$B:$B,Heron!BI$9,Xero!$A:$A,Heron!$A$5,Xero!$E:$E,Heron!$A41)</f>
        <v/>
      </c>
      <c r="BJ41" s="117">
        <f>SUMIFS(Xero!$F:$F,Xero!$B:$B,Heron!BJ$9,Xero!$A:$A,Heron!$A$4,Xero!$E:$E,Heron!$A41)+SUMIFS(Xero!$F:$F,Xero!$B:$B,Heron!BJ$9,Xero!$A:$A,Heron!$A$5,Xero!$E:$E,Heron!$A41)</f>
        <v/>
      </c>
      <c r="BK41" s="117">
        <f>sum(D41:BJ41)</f>
        <v/>
      </c>
    </row>
    <row r="42">
      <c r="A42" s="116" t="inlineStr">
        <is>
          <t>Bank Charges</t>
        </is>
      </c>
      <c r="D42" s="117">
        <f>SUMIFS(Xero!$F:$F,Xero!$B:$B,Heron!D$9,Xero!$A:$A,Heron!$A$4,Xero!$E:$E,Heron!$A42)+SUMIFS(Xero!$F:$F,Xero!$B:$B,Heron!D$9,Xero!$A:$A,Heron!$A$5,Xero!$E:$E,Heron!$A42)</f>
        <v/>
      </c>
      <c r="E42" s="117">
        <f>SUMIFS(Xero!$F:$F,Xero!$B:$B,Heron!E$9,Xero!$A:$A,Heron!$A$4,Xero!$E:$E,Heron!$A42)+SUMIFS(Xero!$F:$F,Xero!$B:$B,Heron!E$9,Xero!$A:$A,Heron!$A$5,Xero!$E:$E,Heron!$A42)</f>
        <v/>
      </c>
      <c r="F42" s="117">
        <f>SUMIFS(Xero!$F:$F,Xero!$B:$B,Heron!F$9,Xero!$A:$A,Heron!$A$4,Xero!$E:$E,Heron!$A42)+SUMIFS(Xero!$F:$F,Xero!$B:$B,Heron!F$9,Xero!$A:$A,Heron!$A$5,Xero!$E:$E,Heron!$A42)</f>
        <v/>
      </c>
      <c r="G42" s="117">
        <f>SUMIFS(Xero!$F:$F,Xero!$B:$B,Heron!G$9,Xero!$A:$A,Heron!$A$4,Xero!$E:$E,Heron!$A42)+SUMIFS(Xero!$F:$F,Xero!$B:$B,Heron!G$9,Xero!$A:$A,Heron!$A$5,Xero!$E:$E,Heron!$A42)</f>
        <v/>
      </c>
      <c r="H42" s="117">
        <f>SUMIFS(Xero!$F:$F,Xero!$B:$B,Heron!H$9,Xero!$A:$A,Heron!$A$4,Xero!$E:$E,Heron!$A42)+SUMIFS(Xero!$F:$F,Xero!$B:$B,Heron!H$9,Xero!$A:$A,Heron!$A$5,Xero!$E:$E,Heron!$A42)</f>
        <v/>
      </c>
      <c r="I42" s="117">
        <f>SUMIFS(Xero!$F:$F,Xero!$B:$B,Heron!I$9,Xero!$A:$A,Heron!$A$4,Xero!$E:$E,Heron!$A42)+SUMIFS(Xero!$F:$F,Xero!$B:$B,Heron!I$9,Xero!$A:$A,Heron!$A$5,Xero!$E:$E,Heron!$A42)</f>
        <v/>
      </c>
      <c r="J42" s="117">
        <f>SUMIFS(Xero!$F:$F,Xero!$B:$B,Heron!J$9,Xero!$A:$A,Heron!$A$4,Xero!$E:$E,Heron!$A42)+SUMIFS(Xero!$F:$F,Xero!$B:$B,Heron!J$9,Xero!$A:$A,Heron!$A$5,Xero!$E:$E,Heron!$A42)</f>
        <v/>
      </c>
      <c r="K42" s="117">
        <f>SUMIFS(Xero!$F:$F,Xero!$B:$B,Heron!K$9,Xero!$A:$A,Heron!$A$4,Xero!$E:$E,Heron!$A42)+SUMIFS(Xero!$F:$F,Xero!$B:$B,Heron!K$9,Xero!$A:$A,Heron!$A$5,Xero!$E:$E,Heron!$A42)</f>
        <v/>
      </c>
      <c r="L42" s="117">
        <f>SUMIFS(Xero!$F:$F,Xero!$B:$B,Heron!L$9,Xero!$A:$A,Heron!$A$4,Xero!$E:$E,Heron!$A42)+SUMIFS(Xero!$F:$F,Xero!$B:$B,Heron!L$9,Xero!$A:$A,Heron!$A$5,Xero!$E:$E,Heron!$A42)</f>
        <v/>
      </c>
      <c r="M42" s="117">
        <f>SUMIFS(Xero!$F:$F,Xero!$B:$B,Heron!M$9,Xero!$A:$A,Heron!$A$4,Xero!$E:$E,Heron!$A42)+SUMIFS(Xero!$F:$F,Xero!$B:$B,Heron!M$9,Xero!$A:$A,Heron!$A$5,Xero!$E:$E,Heron!$A42)</f>
        <v/>
      </c>
      <c r="N42" s="117">
        <f>SUMIFS(Xero!$F:$F,Xero!$B:$B,Heron!N$9,Xero!$A:$A,Heron!$A$4,Xero!$E:$E,Heron!$A42)+SUMIFS(Xero!$F:$F,Xero!$B:$B,Heron!N$9,Xero!$A:$A,Heron!$A$5,Xero!$E:$E,Heron!$A42)</f>
        <v/>
      </c>
      <c r="O42" s="117">
        <f>SUMIFS(Xero!$F:$F,Xero!$B:$B,Heron!O$9,Xero!$A:$A,Heron!$A$4,Xero!$E:$E,Heron!$A42)+SUMIFS(Xero!$F:$F,Xero!$B:$B,Heron!O$9,Xero!$A:$A,Heron!$A$5,Xero!$E:$E,Heron!$A42)</f>
        <v/>
      </c>
      <c r="P42" s="117">
        <f>SUMIFS(Xero!$F:$F,Xero!$B:$B,Heron!P$9,Xero!$A:$A,Heron!$A$4,Xero!$E:$E,Heron!$A42)+SUMIFS(Xero!$F:$F,Xero!$B:$B,Heron!P$9,Xero!$A:$A,Heron!$A$5,Xero!$E:$E,Heron!$A42)</f>
        <v/>
      </c>
      <c r="Q42" s="117">
        <f>SUMIFS(Xero!$F:$F,Xero!$B:$B,Heron!Q$9,Xero!$A:$A,Heron!$A$4,Xero!$E:$E,Heron!$A42)+SUMIFS(Xero!$F:$F,Xero!$B:$B,Heron!Q$9,Xero!$A:$A,Heron!$A$5,Xero!$E:$E,Heron!$A42)</f>
        <v/>
      </c>
      <c r="R42" s="117">
        <f>SUMIFS(Xero!$F:$F,Xero!$B:$B,Heron!R$9,Xero!$A:$A,Heron!$A$4,Xero!$E:$E,Heron!$A42)+SUMIFS(Xero!$F:$F,Xero!$B:$B,Heron!R$9,Xero!$A:$A,Heron!$A$5,Xero!$E:$E,Heron!$A42)</f>
        <v/>
      </c>
      <c r="S42" s="117">
        <f>SUMIFS(Xero!$F:$F,Xero!$B:$B,Heron!S$9,Xero!$A:$A,Heron!$A$4,Xero!$E:$E,Heron!$A42)+SUMIFS(Xero!$F:$F,Xero!$B:$B,Heron!S$9,Xero!$A:$A,Heron!$A$5,Xero!$E:$E,Heron!$A42)</f>
        <v/>
      </c>
      <c r="T42" s="117">
        <f>SUMIFS(Xero!$F:$F,Xero!$B:$B,Heron!T$9,Xero!$A:$A,Heron!$A$4,Xero!$E:$E,Heron!$A42)+SUMIFS(Xero!$F:$F,Xero!$B:$B,Heron!T$9,Xero!$A:$A,Heron!$A$5,Xero!$E:$E,Heron!$A42)</f>
        <v/>
      </c>
      <c r="U42" s="117">
        <f>SUMIFS(Xero!$F:$F,Xero!$B:$B,Heron!U$9,Xero!$A:$A,Heron!$A$4,Xero!$E:$E,Heron!$A42)+SUMIFS(Xero!$F:$F,Xero!$B:$B,Heron!U$9,Xero!$A:$A,Heron!$A$5,Xero!$E:$E,Heron!$A42)</f>
        <v/>
      </c>
      <c r="V42" s="117">
        <f>SUMIFS(Xero!$F:$F,Xero!$B:$B,Heron!V$9,Xero!$A:$A,Heron!$A$4,Xero!$E:$E,Heron!$A42)+SUMIFS(Xero!$F:$F,Xero!$B:$B,Heron!V$9,Xero!$A:$A,Heron!$A$5,Xero!$E:$E,Heron!$A42)</f>
        <v/>
      </c>
      <c r="W42" s="117">
        <f>SUMIFS(Xero!$F:$F,Xero!$B:$B,Heron!W$9,Xero!$A:$A,Heron!$A$4,Xero!$E:$E,Heron!$A42)+SUMIFS(Xero!$F:$F,Xero!$B:$B,Heron!W$9,Xero!$A:$A,Heron!$A$5,Xero!$E:$E,Heron!$A42)</f>
        <v/>
      </c>
      <c r="X42" s="117">
        <f>SUMIFS(Xero!$F:$F,Xero!$B:$B,Heron!X$9,Xero!$A:$A,Heron!$A$4,Xero!$E:$E,Heron!$A42)+SUMIFS(Xero!$F:$F,Xero!$B:$B,Heron!X$9,Xero!$A:$A,Heron!$A$5,Xero!$E:$E,Heron!$A42)</f>
        <v/>
      </c>
      <c r="Y42" s="117">
        <f>SUMIFS(Xero!$F:$F,Xero!$B:$B,Heron!Y$9,Xero!$A:$A,Heron!$A$4,Xero!$E:$E,Heron!$A42)+SUMIFS(Xero!$F:$F,Xero!$B:$B,Heron!Y$9,Xero!$A:$A,Heron!$A$5,Xero!$E:$E,Heron!$A42)</f>
        <v/>
      </c>
      <c r="Z42" s="117">
        <f>SUMIFS(Xero!$F:$F,Xero!$B:$B,Heron!Z$9,Xero!$A:$A,Heron!$A$4,Xero!$E:$E,Heron!$A42)+SUMIFS(Xero!$F:$F,Xero!$B:$B,Heron!Z$9,Xero!$A:$A,Heron!$A$5,Xero!$E:$E,Heron!$A42)</f>
        <v/>
      </c>
      <c r="AA42" s="117">
        <f>SUMIFS(Xero!$F:$F,Xero!$B:$B,Heron!AA$9,Xero!$A:$A,Heron!$A$4,Xero!$E:$E,Heron!$A42)+SUMIFS(Xero!$F:$F,Xero!$B:$B,Heron!AA$9,Xero!$A:$A,Heron!$A$5,Xero!$E:$E,Heron!$A42)</f>
        <v/>
      </c>
      <c r="AB42" s="117">
        <f>SUMIFS(Xero!$F:$F,Xero!$B:$B,Heron!AB$9,Xero!$A:$A,Heron!$A$4,Xero!$E:$E,Heron!$A42)+SUMIFS(Xero!$F:$F,Xero!$B:$B,Heron!AB$9,Xero!$A:$A,Heron!$A$5,Xero!$E:$E,Heron!$A42)</f>
        <v/>
      </c>
      <c r="AC42" s="117">
        <f>SUMIFS(Xero!$F:$F,Xero!$B:$B,Heron!AC$9,Xero!$A:$A,Heron!$A$4,Xero!$E:$E,Heron!$A42)+SUMIFS(Xero!$F:$F,Xero!$B:$B,Heron!AC$9,Xero!$A:$A,Heron!$A$5,Xero!$E:$E,Heron!$A42)</f>
        <v/>
      </c>
      <c r="AD42" s="117">
        <f>SUMIFS(Xero!$F:$F,Xero!$B:$B,Heron!AD$9,Xero!$A:$A,Heron!$A$4,Xero!$E:$E,Heron!$A42)+SUMIFS(Xero!$F:$F,Xero!$B:$B,Heron!AD$9,Xero!$A:$A,Heron!$A$5,Xero!$E:$E,Heron!$A42)</f>
        <v/>
      </c>
      <c r="AE42" s="117">
        <f>SUMIFS(Xero!$F:$F,Xero!$B:$B,Heron!AE$9,Xero!$A:$A,Heron!$A$4,Xero!$E:$E,Heron!$A42)+SUMIFS(Xero!$F:$F,Xero!$B:$B,Heron!AE$9,Xero!$A:$A,Heron!$A$5,Xero!$E:$E,Heron!$A42)</f>
        <v/>
      </c>
      <c r="AF42" s="117">
        <f>SUMIFS(Xero!$F:$F,Xero!$B:$B,Heron!AF$9,Xero!$A:$A,Heron!$A$4,Xero!$E:$E,Heron!$A42)+SUMIFS(Xero!$F:$F,Xero!$B:$B,Heron!AF$9,Xero!$A:$A,Heron!$A$5,Xero!$E:$E,Heron!$A42)</f>
        <v/>
      </c>
      <c r="AG42" s="117">
        <f>SUMIFS(Xero!$F:$F,Xero!$B:$B,Heron!AG$9,Xero!$A:$A,Heron!$A$4,Xero!$E:$E,Heron!$A42)+SUMIFS(Xero!$F:$F,Xero!$B:$B,Heron!AG$9,Xero!$A:$A,Heron!$A$5,Xero!$E:$E,Heron!$A42)</f>
        <v/>
      </c>
      <c r="AH42" s="117">
        <f>SUMIFS(Xero!$F:$F,Xero!$B:$B,Heron!AH$9,Xero!$A:$A,Heron!$A$4,Xero!$E:$E,Heron!$A42)+SUMIFS(Xero!$F:$F,Xero!$B:$B,Heron!AH$9,Xero!$A:$A,Heron!$A$5,Xero!$E:$E,Heron!$A42)</f>
        <v/>
      </c>
      <c r="AI42" s="117">
        <f>SUMIFS(Xero!$F:$F,Xero!$B:$B,Heron!AI$9,Xero!$A:$A,Heron!$A$4,Xero!$E:$E,Heron!$A42)+SUMIFS(Xero!$F:$F,Xero!$B:$B,Heron!AI$9,Xero!$A:$A,Heron!$A$5,Xero!$E:$E,Heron!$A42)</f>
        <v/>
      </c>
      <c r="AJ42" s="117">
        <f>SUMIFS(Xero!$F:$F,Xero!$B:$B,Heron!AJ$9,Xero!$A:$A,Heron!$A$4,Xero!$E:$E,Heron!$A42)+SUMIFS(Xero!$F:$F,Xero!$B:$B,Heron!AJ$9,Xero!$A:$A,Heron!$A$5,Xero!$E:$E,Heron!$A42)</f>
        <v/>
      </c>
      <c r="AK42" s="117">
        <f>SUMIFS(Xero!$F:$F,Xero!$B:$B,Heron!AK$9,Xero!$A:$A,Heron!$A$4,Xero!$E:$E,Heron!$A42)+SUMIFS(Xero!$F:$F,Xero!$B:$B,Heron!AK$9,Xero!$A:$A,Heron!$A$5,Xero!$E:$E,Heron!$A42)</f>
        <v/>
      </c>
      <c r="AL42" s="117">
        <f>SUMIFS(Xero!$F:$F,Xero!$B:$B,Heron!AL$9,Xero!$A:$A,Heron!$A$4,Xero!$E:$E,Heron!$A42)+SUMIFS(Xero!$F:$F,Xero!$B:$B,Heron!AL$9,Xero!$A:$A,Heron!$A$5,Xero!$E:$E,Heron!$A42)</f>
        <v/>
      </c>
      <c r="AM42" s="117">
        <f>SUMIFS(Xero!$F:$F,Xero!$B:$B,Heron!AM$9,Xero!$A:$A,Heron!$A$4,Xero!$E:$E,Heron!$A42)+SUMIFS(Xero!$F:$F,Xero!$B:$B,Heron!AM$9,Xero!$A:$A,Heron!$A$5,Xero!$E:$E,Heron!$A42)</f>
        <v/>
      </c>
      <c r="AN42" s="117">
        <f>SUMIFS(Xero!$F:$F,Xero!$B:$B,Heron!AN$9,Xero!$A:$A,Heron!$A$4,Xero!$E:$E,Heron!$A42)+SUMIFS(Xero!$F:$F,Xero!$B:$B,Heron!AN$9,Xero!$A:$A,Heron!$A$5,Xero!$E:$E,Heron!$A42)</f>
        <v/>
      </c>
      <c r="AO42" s="117">
        <f>SUMIFS(Xero!$F:$F,Xero!$B:$B,Heron!AO$9,Xero!$A:$A,Heron!$A$4,Xero!$E:$E,Heron!$A42)+SUMIFS(Xero!$F:$F,Xero!$B:$B,Heron!AO$9,Xero!$A:$A,Heron!$A$5,Xero!$E:$E,Heron!$A42)</f>
        <v/>
      </c>
      <c r="AP42" s="117">
        <f>SUMIFS(Xero!$F:$F,Xero!$B:$B,Heron!AP$9,Xero!$A:$A,Heron!$A$4,Xero!$E:$E,Heron!$A42)+SUMIFS(Xero!$F:$F,Xero!$B:$B,Heron!AP$9,Xero!$A:$A,Heron!$A$5,Xero!$E:$E,Heron!$A42)</f>
        <v/>
      </c>
      <c r="AQ42" s="117">
        <f>SUMIFS(Xero!$F:$F,Xero!$B:$B,Heron!AQ$9,Xero!$A:$A,Heron!$A$4,Xero!$E:$E,Heron!$A42)+SUMIFS(Xero!$F:$F,Xero!$B:$B,Heron!AQ$9,Xero!$A:$A,Heron!$A$5,Xero!$E:$E,Heron!$A42)</f>
        <v/>
      </c>
      <c r="AR42" s="117">
        <f>SUMIFS(Xero!$F:$F,Xero!$B:$B,Heron!AR$9,Xero!$A:$A,Heron!$A$4,Xero!$E:$E,Heron!$A42)+SUMIFS(Xero!$F:$F,Xero!$B:$B,Heron!AR$9,Xero!$A:$A,Heron!$A$5,Xero!$E:$E,Heron!$A42)</f>
        <v/>
      </c>
      <c r="AS42" s="117">
        <f>SUMIFS(Xero!$F:$F,Xero!$B:$B,Heron!AS$9,Xero!$A:$A,Heron!$A$4,Xero!$E:$E,Heron!$A42)+SUMIFS(Xero!$F:$F,Xero!$B:$B,Heron!AS$9,Xero!$A:$A,Heron!$A$5,Xero!$E:$E,Heron!$A42)</f>
        <v/>
      </c>
      <c r="AT42" s="117">
        <f>SUMIFS(Xero!$F:$F,Xero!$B:$B,Heron!AT$9,Xero!$A:$A,Heron!$A$4,Xero!$E:$E,Heron!$A42)+SUMIFS(Xero!$F:$F,Xero!$B:$B,Heron!AT$9,Xero!$A:$A,Heron!$A$5,Xero!$E:$E,Heron!$A42)</f>
        <v/>
      </c>
      <c r="AU42" s="117">
        <f>SUMIFS(Xero!$F:$F,Xero!$B:$B,Heron!AU$9,Xero!$A:$A,Heron!$A$4,Xero!$E:$E,Heron!$A42)+SUMIFS(Xero!$F:$F,Xero!$B:$B,Heron!AU$9,Xero!$A:$A,Heron!$A$5,Xero!$E:$E,Heron!$A42)</f>
        <v/>
      </c>
      <c r="AV42" s="117">
        <f>SUMIFS(Xero!$F:$F,Xero!$B:$B,Heron!AV$9,Xero!$A:$A,Heron!$A$4,Xero!$E:$E,Heron!$A42)+SUMIFS(Xero!$F:$F,Xero!$B:$B,Heron!AV$9,Xero!$A:$A,Heron!$A$5,Xero!$E:$E,Heron!$A42)</f>
        <v/>
      </c>
      <c r="AW42" s="117">
        <f>SUMIFS(Xero!$F:$F,Xero!$B:$B,Heron!AW$9,Xero!$A:$A,Heron!$A$4,Xero!$E:$E,Heron!$A42)+SUMIFS(Xero!$F:$F,Xero!$B:$B,Heron!AW$9,Xero!$A:$A,Heron!$A$5,Xero!$E:$E,Heron!$A42)</f>
        <v/>
      </c>
      <c r="AX42" s="117">
        <f>SUMIFS(Xero!$F:$F,Xero!$B:$B,Heron!AX$9,Xero!$A:$A,Heron!$A$4,Xero!$E:$E,Heron!$A42)+SUMIFS(Xero!$F:$F,Xero!$B:$B,Heron!AX$9,Xero!$A:$A,Heron!$A$5,Xero!$E:$E,Heron!$A42)</f>
        <v/>
      </c>
      <c r="AY42" s="117">
        <f>SUMIFS(Xero!$F:$F,Xero!$B:$B,Heron!AY$9,Xero!$A:$A,Heron!$A$4,Xero!$E:$E,Heron!$A42)+SUMIFS(Xero!$F:$F,Xero!$B:$B,Heron!AY$9,Xero!$A:$A,Heron!$A$5,Xero!$E:$E,Heron!$A42)</f>
        <v/>
      </c>
      <c r="AZ42" s="117">
        <f>SUMIFS(Xero!$F:$F,Xero!$B:$B,Heron!AZ$9,Xero!$A:$A,Heron!$A$4,Xero!$E:$E,Heron!$A42)+SUMIFS(Xero!$F:$F,Xero!$B:$B,Heron!AZ$9,Xero!$A:$A,Heron!$A$5,Xero!$E:$E,Heron!$A42)</f>
        <v/>
      </c>
      <c r="BA42" s="117">
        <f>SUMIFS(Xero!$F:$F,Xero!$B:$B,Heron!BA$9,Xero!$A:$A,Heron!$A$4,Xero!$E:$E,Heron!$A42)+SUMIFS(Xero!$F:$F,Xero!$B:$B,Heron!BA$9,Xero!$A:$A,Heron!$A$5,Xero!$E:$E,Heron!$A42)</f>
        <v/>
      </c>
      <c r="BB42" s="117">
        <f>SUMIFS(Xero!$F:$F,Xero!$B:$B,Heron!BB$9,Xero!$A:$A,Heron!$A$4,Xero!$E:$E,Heron!$A42)+SUMIFS(Xero!$F:$F,Xero!$B:$B,Heron!BB$9,Xero!$A:$A,Heron!$A$5,Xero!$E:$E,Heron!$A42)</f>
        <v/>
      </c>
      <c r="BC42" s="117">
        <f>SUMIFS(Xero!$F:$F,Xero!$B:$B,Heron!BC$9,Xero!$A:$A,Heron!$A$4,Xero!$E:$E,Heron!$A42)+SUMIFS(Xero!$F:$F,Xero!$B:$B,Heron!BC$9,Xero!$A:$A,Heron!$A$5,Xero!$E:$E,Heron!$A42)</f>
        <v/>
      </c>
      <c r="BD42" s="117">
        <f>SUMIFS(Xero!$F:$F,Xero!$B:$B,Heron!BD$9,Xero!$A:$A,Heron!$A$4,Xero!$E:$E,Heron!$A42)+SUMIFS(Xero!$F:$F,Xero!$B:$B,Heron!BD$9,Xero!$A:$A,Heron!$A$5,Xero!$E:$E,Heron!$A42)</f>
        <v/>
      </c>
      <c r="BE42" s="117">
        <f>SUMIFS(Xero!$F:$F,Xero!$B:$B,Heron!BE$9,Xero!$A:$A,Heron!$A$4,Xero!$E:$E,Heron!$A42)+SUMIFS(Xero!$F:$F,Xero!$B:$B,Heron!BE$9,Xero!$A:$A,Heron!$A$5,Xero!$E:$E,Heron!$A42)</f>
        <v/>
      </c>
      <c r="BF42" s="117">
        <f>SUMIFS(Xero!$F:$F,Xero!$B:$B,Heron!BF$9,Xero!$A:$A,Heron!$A$4,Xero!$E:$E,Heron!$A42)+SUMIFS(Xero!$F:$F,Xero!$B:$B,Heron!BF$9,Xero!$A:$A,Heron!$A$5,Xero!$E:$E,Heron!$A42)</f>
        <v/>
      </c>
      <c r="BG42" s="117">
        <f>SUMIFS(Xero!$F:$F,Xero!$B:$B,Heron!BG$9,Xero!$A:$A,Heron!$A$4,Xero!$E:$E,Heron!$A42)+SUMIFS(Xero!$F:$F,Xero!$B:$B,Heron!BG$9,Xero!$A:$A,Heron!$A$5,Xero!$E:$E,Heron!$A42)</f>
        <v/>
      </c>
      <c r="BH42" s="117">
        <f>SUMIFS(Xero!$F:$F,Xero!$B:$B,Heron!BH$9,Xero!$A:$A,Heron!$A$4,Xero!$E:$E,Heron!$A42)+SUMIFS(Xero!$F:$F,Xero!$B:$B,Heron!BH$9,Xero!$A:$A,Heron!$A$5,Xero!$E:$E,Heron!$A42)</f>
        <v/>
      </c>
      <c r="BI42" s="117">
        <f>SUMIFS(Xero!$F:$F,Xero!$B:$B,Heron!BI$9,Xero!$A:$A,Heron!$A$4,Xero!$E:$E,Heron!$A42)+SUMIFS(Xero!$F:$F,Xero!$B:$B,Heron!BI$9,Xero!$A:$A,Heron!$A$5,Xero!$E:$E,Heron!$A42)</f>
        <v/>
      </c>
      <c r="BJ42" s="117">
        <f>SUMIFS(Xero!$F:$F,Xero!$B:$B,Heron!BJ$9,Xero!$A:$A,Heron!$A$4,Xero!$E:$E,Heron!$A42)+SUMIFS(Xero!$F:$F,Xero!$B:$B,Heron!BJ$9,Xero!$A:$A,Heron!$A$5,Xero!$E:$E,Heron!$A42)</f>
        <v/>
      </c>
      <c r="BK42" s="117">
        <f>sum(D42:BJ42)</f>
        <v/>
      </c>
    </row>
    <row r="43">
      <c r="A43" s="116" t="inlineStr">
        <is>
          <t>COCT: Developers Rates &amp; Refuse Acc: 236356811</t>
        </is>
      </c>
      <c r="D43" s="117">
        <f>SUMIFS(Xero!$F:$F,Xero!$B:$B,Heron!D$9,Xero!$A:$A,Heron!$A$4,Xero!$E:$E,Heron!$A43)+SUMIFS(Xero!$F:$F,Xero!$B:$B,Heron!D$9,Xero!$A:$A,Heron!$A$5,Xero!$E:$E,Heron!$A43)</f>
        <v/>
      </c>
      <c r="E43" s="117">
        <f>SUMIFS(Xero!$F:$F,Xero!$B:$B,Heron!E$9,Xero!$A:$A,Heron!$A$4,Xero!$E:$E,Heron!$A43)+SUMIFS(Xero!$F:$F,Xero!$B:$B,Heron!E$9,Xero!$A:$A,Heron!$A$5,Xero!$E:$E,Heron!$A43)</f>
        <v/>
      </c>
      <c r="F43" s="117">
        <f>SUMIFS(Xero!$F:$F,Xero!$B:$B,Heron!F$9,Xero!$A:$A,Heron!$A$4,Xero!$E:$E,Heron!$A43)+SUMIFS(Xero!$F:$F,Xero!$B:$B,Heron!F$9,Xero!$A:$A,Heron!$A$5,Xero!$E:$E,Heron!$A43)</f>
        <v/>
      </c>
      <c r="G43" s="117">
        <f>SUMIFS(Xero!$F:$F,Xero!$B:$B,Heron!G$9,Xero!$A:$A,Heron!$A$4,Xero!$E:$E,Heron!$A43)+SUMIFS(Xero!$F:$F,Xero!$B:$B,Heron!G$9,Xero!$A:$A,Heron!$A$5,Xero!$E:$E,Heron!$A43)</f>
        <v/>
      </c>
      <c r="H43" s="117">
        <f>SUMIFS(Xero!$F:$F,Xero!$B:$B,Heron!H$9,Xero!$A:$A,Heron!$A$4,Xero!$E:$E,Heron!$A43)+SUMIFS(Xero!$F:$F,Xero!$B:$B,Heron!H$9,Xero!$A:$A,Heron!$A$5,Xero!$E:$E,Heron!$A43)</f>
        <v/>
      </c>
      <c r="I43" s="117">
        <f>SUMIFS(Xero!$F:$F,Xero!$B:$B,Heron!I$9,Xero!$A:$A,Heron!$A$4,Xero!$E:$E,Heron!$A43)+SUMIFS(Xero!$F:$F,Xero!$B:$B,Heron!I$9,Xero!$A:$A,Heron!$A$5,Xero!$E:$E,Heron!$A43)</f>
        <v/>
      </c>
      <c r="J43" s="117">
        <f>SUMIFS(Xero!$F:$F,Xero!$B:$B,Heron!J$9,Xero!$A:$A,Heron!$A$4,Xero!$E:$E,Heron!$A43)+SUMIFS(Xero!$F:$F,Xero!$B:$B,Heron!J$9,Xero!$A:$A,Heron!$A$5,Xero!$E:$E,Heron!$A43)</f>
        <v/>
      </c>
      <c r="K43" s="117">
        <f>SUMIFS(Xero!$F:$F,Xero!$B:$B,Heron!K$9,Xero!$A:$A,Heron!$A$4,Xero!$E:$E,Heron!$A43)+SUMIFS(Xero!$F:$F,Xero!$B:$B,Heron!K$9,Xero!$A:$A,Heron!$A$5,Xero!$E:$E,Heron!$A43)</f>
        <v/>
      </c>
      <c r="L43" s="117">
        <f>SUMIFS(Xero!$F:$F,Xero!$B:$B,Heron!L$9,Xero!$A:$A,Heron!$A$4,Xero!$E:$E,Heron!$A43)+SUMIFS(Xero!$F:$F,Xero!$B:$B,Heron!L$9,Xero!$A:$A,Heron!$A$5,Xero!$E:$E,Heron!$A43)</f>
        <v/>
      </c>
      <c r="M43" s="117">
        <f>SUMIFS(Xero!$F:$F,Xero!$B:$B,Heron!M$9,Xero!$A:$A,Heron!$A$4,Xero!$E:$E,Heron!$A43)+SUMIFS(Xero!$F:$F,Xero!$B:$B,Heron!M$9,Xero!$A:$A,Heron!$A$5,Xero!$E:$E,Heron!$A43)</f>
        <v/>
      </c>
      <c r="N43" s="117">
        <f>SUMIFS(Xero!$F:$F,Xero!$B:$B,Heron!N$9,Xero!$A:$A,Heron!$A$4,Xero!$E:$E,Heron!$A43)+SUMIFS(Xero!$F:$F,Xero!$B:$B,Heron!N$9,Xero!$A:$A,Heron!$A$5,Xero!$E:$E,Heron!$A43)</f>
        <v/>
      </c>
      <c r="O43" s="117">
        <f>SUMIFS(Xero!$F:$F,Xero!$B:$B,Heron!O$9,Xero!$A:$A,Heron!$A$4,Xero!$E:$E,Heron!$A43)+SUMIFS(Xero!$F:$F,Xero!$B:$B,Heron!O$9,Xero!$A:$A,Heron!$A$5,Xero!$E:$E,Heron!$A43)</f>
        <v/>
      </c>
      <c r="P43" s="117">
        <f>SUMIFS(Xero!$F:$F,Xero!$B:$B,Heron!P$9,Xero!$A:$A,Heron!$A$4,Xero!$E:$E,Heron!$A43)+SUMIFS(Xero!$F:$F,Xero!$B:$B,Heron!P$9,Xero!$A:$A,Heron!$A$5,Xero!$E:$E,Heron!$A43)</f>
        <v/>
      </c>
      <c r="Q43" s="117">
        <f>SUMIFS(Xero!$F:$F,Xero!$B:$B,Heron!Q$9,Xero!$A:$A,Heron!$A$4,Xero!$E:$E,Heron!$A43)+SUMIFS(Xero!$F:$F,Xero!$B:$B,Heron!Q$9,Xero!$A:$A,Heron!$A$5,Xero!$E:$E,Heron!$A43)</f>
        <v/>
      </c>
      <c r="R43" s="117">
        <f>SUMIFS(Xero!$F:$F,Xero!$B:$B,Heron!R$9,Xero!$A:$A,Heron!$A$4,Xero!$E:$E,Heron!$A43)+SUMIFS(Xero!$F:$F,Xero!$B:$B,Heron!R$9,Xero!$A:$A,Heron!$A$5,Xero!$E:$E,Heron!$A43)</f>
        <v/>
      </c>
      <c r="S43" s="117">
        <f>SUMIFS(Xero!$F:$F,Xero!$B:$B,Heron!S$9,Xero!$A:$A,Heron!$A$4,Xero!$E:$E,Heron!$A43)+SUMIFS(Xero!$F:$F,Xero!$B:$B,Heron!S$9,Xero!$A:$A,Heron!$A$5,Xero!$E:$E,Heron!$A43)</f>
        <v/>
      </c>
      <c r="T43" s="117">
        <f>SUMIFS(Xero!$F:$F,Xero!$B:$B,Heron!T$9,Xero!$A:$A,Heron!$A$4,Xero!$E:$E,Heron!$A43)+SUMIFS(Xero!$F:$F,Xero!$B:$B,Heron!T$9,Xero!$A:$A,Heron!$A$5,Xero!$E:$E,Heron!$A43)</f>
        <v/>
      </c>
      <c r="U43" s="117">
        <f>SUMIFS(Xero!$F:$F,Xero!$B:$B,Heron!U$9,Xero!$A:$A,Heron!$A$4,Xero!$E:$E,Heron!$A43)+SUMIFS(Xero!$F:$F,Xero!$B:$B,Heron!U$9,Xero!$A:$A,Heron!$A$5,Xero!$E:$E,Heron!$A43)</f>
        <v/>
      </c>
      <c r="V43" s="117">
        <f>SUMIFS(Xero!$F:$F,Xero!$B:$B,Heron!V$9,Xero!$A:$A,Heron!$A$4,Xero!$E:$E,Heron!$A43)+SUMIFS(Xero!$F:$F,Xero!$B:$B,Heron!V$9,Xero!$A:$A,Heron!$A$5,Xero!$E:$E,Heron!$A43)</f>
        <v/>
      </c>
      <c r="W43" s="117">
        <f>SUMIFS(Xero!$F:$F,Xero!$B:$B,Heron!W$9,Xero!$A:$A,Heron!$A$4,Xero!$E:$E,Heron!$A43)+SUMIFS(Xero!$F:$F,Xero!$B:$B,Heron!W$9,Xero!$A:$A,Heron!$A$5,Xero!$E:$E,Heron!$A43)</f>
        <v/>
      </c>
      <c r="X43" s="117">
        <f>SUMIFS(Xero!$F:$F,Xero!$B:$B,Heron!X$9,Xero!$A:$A,Heron!$A$4,Xero!$E:$E,Heron!$A43)+SUMIFS(Xero!$F:$F,Xero!$B:$B,Heron!X$9,Xero!$A:$A,Heron!$A$5,Xero!$E:$E,Heron!$A43)</f>
        <v/>
      </c>
      <c r="Y43" s="117">
        <f>SUMIFS(Xero!$F:$F,Xero!$B:$B,Heron!Y$9,Xero!$A:$A,Heron!$A$4,Xero!$E:$E,Heron!$A43)+SUMIFS(Xero!$F:$F,Xero!$B:$B,Heron!Y$9,Xero!$A:$A,Heron!$A$5,Xero!$E:$E,Heron!$A43)</f>
        <v/>
      </c>
      <c r="Z43" s="117">
        <f>SUMIFS(Xero!$F:$F,Xero!$B:$B,Heron!Z$9,Xero!$A:$A,Heron!$A$4,Xero!$E:$E,Heron!$A43)+SUMIFS(Xero!$F:$F,Xero!$B:$B,Heron!Z$9,Xero!$A:$A,Heron!$A$5,Xero!$E:$E,Heron!$A43)</f>
        <v/>
      </c>
      <c r="AA43" s="117">
        <f>SUMIFS(Xero!$F:$F,Xero!$B:$B,Heron!AA$9,Xero!$A:$A,Heron!$A$4,Xero!$E:$E,Heron!$A43)+SUMIFS(Xero!$F:$F,Xero!$B:$B,Heron!AA$9,Xero!$A:$A,Heron!$A$5,Xero!$E:$E,Heron!$A43)</f>
        <v/>
      </c>
      <c r="AB43" s="117">
        <f>SUMIFS(Xero!$F:$F,Xero!$B:$B,Heron!AB$9,Xero!$A:$A,Heron!$A$4,Xero!$E:$E,Heron!$A43)+SUMIFS(Xero!$F:$F,Xero!$B:$B,Heron!AB$9,Xero!$A:$A,Heron!$A$5,Xero!$E:$E,Heron!$A43)</f>
        <v/>
      </c>
      <c r="AC43" s="117">
        <f>SUMIFS(Xero!$F:$F,Xero!$B:$B,Heron!AC$9,Xero!$A:$A,Heron!$A$4,Xero!$E:$E,Heron!$A43)+SUMIFS(Xero!$F:$F,Xero!$B:$B,Heron!AC$9,Xero!$A:$A,Heron!$A$5,Xero!$E:$E,Heron!$A43)</f>
        <v/>
      </c>
      <c r="AD43" s="117">
        <f>SUMIFS(Xero!$F:$F,Xero!$B:$B,Heron!AD$9,Xero!$A:$A,Heron!$A$4,Xero!$E:$E,Heron!$A43)+SUMIFS(Xero!$F:$F,Xero!$B:$B,Heron!AD$9,Xero!$A:$A,Heron!$A$5,Xero!$E:$E,Heron!$A43)</f>
        <v/>
      </c>
      <c r="AE43" s="117">
        <f>SUMIFS(Xero!$F:$F,Xero!$B:$B,Heron!AE$9,Xero!$A:$A,Heron!$A$4,Xero!$E:$E,Heron!$A43)+SUMIFS(Xero!$F:$F,Xero!$B:$B,Heron!AE$9,Xero!$A:$A,Heron!$A$5,Xero!$E:$E,Heron!$A43)</f>
        <v/>
      </c>
      <c r="AF43" s="117">
        <f>SUMIFS(Xero!$F:$F,Xero!$B:$B,Heron!AF$9,Xero!$A:$A,Heron!$A$4,Xero!$E:$E,Heron!$A43)+SUMIFS(Xero!$F:$F,Xero!$B:$B,Heron!AF$9,Xero!$A:$A,Heron!$A$5,Xero!$E:$E,Heron!$A43)</f>
        <v/>
      </c>
      <c r="AG43" s="117">
        <f>SUMIFS(Xero!$F:$F,Xero!$B:$B,Heron!AG$9,Xero!$A:$A,Heron!$A$4,Xero!$E:$E,Heron!$A43)+SUMIFS(Xero!$F:$F,Xero!$B:$B,Heron!AG$9,Xero!$A:$A,Heron!$A$5,Xero!$E:$E,Heron!$A43)</f>
        <v/>
      </c>
      <c r="AH43" s="117">
        <f>SUMIFS(Xero!$F:$F,Xero!$B:$B,Heron!AH$9,Xero!$A:$A,Heron!$A$4,Xero!$E:$E,Heron!$A43)+SUMIFS(Xero!$F:$F,Xero!$B:$B,Heron!AH$9,Xero!$A:$A,Heron!$A$5,Xero!$E:$E,Heron!$A43)</f>
        <v/>
      </c>
      <c r="AI43" s="117">
        <f>SUMIFS(Xero!$F:$F,Xero!$B:$B,Heron!AI$9,Xero!$A:$A,Heron!$A$4,Xero!$E:$E,Heron!$A43)+SUMIFS(Xero!$F:$F,Xero!$B:$B,Heron!AI$9,Xero!$A:$A,Heron!$A$5,Xero!$E:$E,Heron!$A43)</f>
        <v/>
      </c>
      <c r="AJ43" s="117">
        <f>SUMIFS(Xero!$F:$F,Xero!$B:$B,Heron!AJ$9,Xero!$A:$A,Heron!$A$4,Xero!$E:$E,Heron!$A43)+SUMIFS(Xero!$F:$F,Xero!$B:$B,Heron!AJ$9,Xero!$A:$A,Heron!$A$5,Xero!$E:$E,Heron!$A43)</f>
        <v/>
      </c>
      <c r="AK43" s="117">
        <f>SUMIFS(Xero!$F:$F,Xero!$B:$B,Heron!AK$9,Xero!$A:$A,Heron!$A$4,Xero!$E:$E,Heron!$A43)+SUMIFS(Xero!$F:$F,Xero!$B:$B,Heron!AK$9,Xero!$A:$A,Heron!$A$5,Xero!$E:$E,Heron!$A43)</f>
        <v/>
      </c>
      <c r="AL43" s="117">
        <f>SUMIFS(Xero!$F:$F,Xero!$B:$B,Heron!AL$9,Xero!$A:$A,Heron!$A$4,Xero!$E:$E,Heron!$A43)+SUMIFS(Xero!$F:$F,Xero!$B:$B,Heron!AL$9,Xero!$A:$A,Heron!$A$5,Xero!$E:$E,Heron!$A43)</f>
        <v/>
      </c>
      <c r="AM43" s="117">
        <f>SUMIFS(Xero!$F:$F,Xero!$B:$B,Heron!AM$9,Xero!$A:$A,Heron!$A$4,Xero!$E:$E,Heron!$A43)+SUMIFS(Xero!$F:$F,Xero!$B:$B,Heron!AM$9,Xero!$A:$A,Heron!$A$5,Xero!$E:$E,Heron!$A43)</f>
        <v/>
      </c>
      <c r="AN43" s="117">
        <f>SUMIFS(Xero!$F:$F,Xero!$B:$B,Heron!AN$9,Xero!$A:$A,Heron!$A$4,Xero!$E:$E,Heron!$A43)+SUMIFS(Xero!$F:$F,Xero!$B:$B,Heron!AN$9,Xero!$A:$A,Heron!$A$5,Xero!$E:$E,Heron!$A43)</f>
        <v/>
      </c>
      <c r="AO43" s="117">
        <f>SUMIFS(Xero!$F:$F,Xero!$B:$B,Heron!AO$9,Xero!$A:$A,Heron!$A$4,Xero!$E:$E,Heron!$A43)+SUMIFS(Xero!$F:$F,Xero!$B:$B,Heron!AO$9,Xero!$A:$A,Heron!$A$5,Xero!$E:$E,Heron!$A43)</f>
        <v/>
      </c>
      <c r="AP43" s="117">
        <f>SUMIFS(Xero!$F:$F,Xero!$B:$B,Heron!AP$9,Xero!$A:$A,Heron!$A$4,Xero!$E:$E,Heron!$A43)+SUMIFS(Xero!$F:$F,Xero!$B:$B,Heron!AP$9,Xero!$A:$A,Heron!$A$5,Xero!$E:$E,Heron!$A43)</f>
        <v/>
      </c>
      <c r="AQ43" s="117">
        <f>SUMIFS(Xero!$F:$F,Xero!$B:$B,Heron!AQ$9,Xero!$A:$A,Heron!$A$4,Xero!$E:$E,Heron!$A43)+SUMIFS(Xero!$F:$F,Xero!$B:$B,Heron!AQ$9,Xero!$A:$A,Heron!$A$5,Xero!$E:$E,Heron!$A43)</f>
        <v/>
      </c>
      <c r="AR43" s="117">
        <f>SUMIFS(Xero!$F:$F,Xero!$B:$B,Heron!AR$9,Xero!$A:$A,Heron!$A$4,Xero!$E:$E,Heron!$A43)+SUMIFS(Xero!$F:$F,Xero!$B:$B,Heron!AR$9,Xero!$A:$A,Heron!$A$5,Xero!$E:$E,Heron!$A43)</f>
        <v/>
      </c>
      <c r="AS43" s="117">
        <f>SUMIFS(Xero!$F:$F,Xero!$B:$B,Heron!AS$9,Xero!$A:$A,Heron!$A$4,Xero!$E:$E,Heron!$A43)+SUMIFS(Xero!$F:$F,Xero!$B:$B,Heron!AS$9,Xero!$A:$A,Heron!$A$5,Xero!$E:$E,Heron!$A43)</f>
        <v/>
      </c>
      <c r="AT43" s="117">
        <f>SUMIFS(Xero!$F:$F,Xero!$B:$B,Heron!AT$9,Xero!$A:$A,Heron!$A$4,Xero!$E:$E,Heron!$A43)+SUMIFS(Xero!$F:$F,Xero!$B:$B,Heron!AT$9,Xero!$A:$A,Heron!$A$5,Xero!$E:$E,Heron!$A43)</f>
        <v/>
      </c>
      <c r="AU43" s="117">
        <f>SUMIFS(Xero!$F:$F,Xero!$B:$B,Heron!AU$9,Xero!$A:$A,Heron!$A$4,Xero!$E:$E,Heron!$A43)+SUMIFS(Xero!$F:$F,Xero!$B:$B,Heron!AU$9,Xero!$A:$A,Heron!$A$5,Xero!$E:$E,Heron!$A43)</f>
        <v/>
      </c>
      <c r="AV43" s="117">
        <f>SUMIFS(Xero!$F:$F,Xero!$B:$B,Heron!AV$9,Xero!$A:$A,Heron!$A$4,Xero!$E:$E,Heron!$A43)+SUMIFS(Xero!$F:$F,Xero!$B:$B,Heron!AV$9,Xero!$A:$A,Heron!$A$5,Xero!$E:$E,Heron!$A43)</f>
        <v/>
      </c>
      <c r="AW43" s="117">
        <f>SUMIFS(Xero!$F:$F,Xero!$B:$B,Heron!AW$9,Xero!$A:$A,Heron!$A$4,Xero!$E:$E,Heron!$A43)+SUMIFS(Xero!$F:$F,Xero!$B:$B,Heron!AW$9,Xero!$A:$A,Heron!$A$5,Xero!$E:$E,Heron!$A43)</f>
        <v/>
      </c>
      <c r="AX43" s="117">
        <f>SUMIFS(Xero!$F:$F,Xero!$B:$B,Heron!AX$9,Xero!$A:$A,Heron!$A$4,Xero!$E:$E,Heron!$A43)+SUMIFS(Xero!$F:$F,Xero!$B:$B,Heron!AX$9,Xero!$A:$A,Heron!$A$5,Xero!$E:$E,Heron!$A43)</f>
        <v/>
      </c>
      <c r="AY43" s="117">
        <f>SUMIFS(Xero!$F:$F,Xero!$B:$B,Heron!AY$9,Xero!$A:$A,Heron!$A$4,Xero!$E:$E,Heron!$A43)+SUMIFS(Xero!$F:$F,Xero!$B:$B,Heron!AY$9,Xero!$A:$A,Heron!$A$5,Xero!$E:$E,Heron!$A43)</f>
        <v/>
      </c>
      <c r="AZ43" s="117">
        <f>SUMIFS(Xero!$F:$F,Xero!$B:$B,Heron!AZ$9,Xero!$A:$A,Heron!$A$4,Xero!$E:$E,Heron!$A43)+SUMIFS(Xero!$F:$F,Xero!$B:$B,Heron!AZ$9,Xero!$A:$A,Heron!$A$5,Xero!$E:$E,Heron!$A43)</f>
        <v/>
      </c>
      <c r="BA43" s="117">
        <f>SUMIFS(Xero!$F:$F,Xero!$B:$B,Heron!BA$9,Xero!$A:$A,Heron!$A$4,Xero!$E:$E,Heron!$A43)+SUMIFS(Xero!$F:$F,Xero!$B:$B,Heron!BA$9,Xero!$A:$A,Heron!$A$5,Xero!$E:$E,Heron!$A43)</f>
        <v/>
      </c>
      <c r="BB43" s="117">
        <f>SUMIFS(Xero!$F:$F,Xero!$B:$B,Heron!BB$9,Xero!$A:$A,Heron!$A$4,Xero!$E:$E,Heron!$A43)+SUMIFS(Xero!$F:$F,Xero!$B:$B,Heron!BB$9,Xero!$A:$A,Heron!$A$5,Xero!$E:$E,Heron!$A43)</f>
        <v/>
      </c>
      <c r="BC43" s="117">
        <f>SUMIFS(Xero!$F:$F,Xero!$B:$B,Heron!BC$9,Xero!$A:$A,Heron!$A$4,Xero!$E:$E,Heron!$A43)+SUMIFS(Xero!$F:$F,Xero!$B:$B,Heron!BC$9,Xero!$A:$A,Heron!$A$5,Xero!$E:$E,Heron!$A43)</f>
        <v/>
      </c>
      <c r="BD43" s="117">
        <f>SUMIFS(Xero!$F:$F,Xero!$B:$B,Heron!BD$9,Xero!$A:$A,Heron!$A$4,Xero!$E:$E,Heron!$A43)+SUMIFS(Xero!$F:$F,Xero!$B:$B,Heron!BD$9,Xero!$A:$A,Heron!$A$5,Xero!$E:$E,Heron!$A43)</f>
        <v/>
      </c>
      <c r="BE43" s="117">
        <f>SUMIFS(Xero!$F:$F,Xero!$B:$B,Heron!BE$9,Xero!$A:$A,Heron!$A$4,Xero!$E:$E,Heron!$A43)+SUMIFS(Xero!$F:$F,Xero!$B:$B,Heron!BE$9,Xero!$A:$A,Heron!$A$5,Xero!$E:$E,Heron!$A43)</f>
        <v/>
      </c>
      <c r="BF43" s="117">
        <f>SUMIFS(Xero!$F:$F,Xero!$B:$B,Heron!BF$9,Xero!$A:$A,Heron!$A$4,Xero!$E:$E,Heron!$A43)+SUMIFS(Xero!$F:$F,Xero!$B:$B,Heron!BF$9,Xero!$A:$A,Heron!$A$5,Xero!$E:$E,Heron!$A43)</f>
        <v/>
      </c>
      <c r="BG43" s="117">
        <f>SUMIFS(Xero!$F:$F,Xero!$B:$B,Heron!BG$9,Xero!$A:$A,Heron!$A$4,Xero!$E:$E,Heron!$A43)+SUMIFS(Xero!$F:$F,Xero!$B:$B,Heron!BG$9,Xero!$A:$A,Heron!$A$5,Xero!$E:$E,Heron!$A43)</f>
        <v/>
      </c>
      <c r="BH43" s="117">
        <f>SUMIFS(Xero!$F:$F,Xero!$B:$B,Heron!BH$9,Xero!$A:$A,Heron!$A$4,Xero!$E:$E,Heron!$A43)+SUMIFS(Xero!$F:$F,Xero!$B:$B,Heron!BH$9,Xero!$A:$A,Heron!$A$5,Xero!$E:$E,Heron!$A43)</f>
        <v/>
      </c>
      <c r="BI43" s="117">
        <f>SUMIFS(Xero!$F:$F,Xero!$B:$B,Heron!BI$9,Xero!$A:$A,Heron!$A$4,Xero!$E:$E,Heron!$A43)+SUMIFS(Xero!$F:$F,Xero!$B:$B,Heron!BI$9,Xero!$A:$A,Heron!$A$5,Xero!$E:$E,Heron!$A43)</f>
        <v/>
      </c>
      <c r="BJ43" s="117">
        <f>SUMIFS(Xero!$F:$F,Xero!$B:$B,Heron!BJ$9,Xero!$A:$A,Heron!$A$4,Xero!$E:$E,Heron!$A43)+SUMIFS(Xero!$F:$F,Xero!$B:$B,Heron!BJ$9,Xero!$A:$A,Heron!$A$5,Xero!$E:$E,Heron!$A43)</f>
        <v/>
      </c>
      <c r="BK43" s="117">
        <f>sum(D43:BJ43)</f>
        <v/>
      </c>
    </row>
    <row r="44">
      <c r="A44" s="116" t="inlineStr">
        <is>
          <t>COS - Commission HF Units</t>
        </is>
      </c>
      <c r="D44" s="117">
        <f>SUMIFS(Xero!$F:$F,Xero!$B:$B,Heron!D$9,Xero!$A:$A,Heron!$A$4,Xero!$E:$E,Heron!$A44)+SUMIFS(Xero!$F:$F,Xero!$B:$B,Heron!D$9,Xero!$A:$A,Heron!$A$5,Xero!$E:$E,Heron!$A44)+SUMIFS(Sales!$O:$O,Sales!$E:$E,FALSE,Sales!$A:$A,Heron!$B$4,Sales!$H:$H,"&lt;="&amp;Heron!D$9,Sales!$H:$H,"&gt;"&amp;Heron!C$9,Sales!$F:$F,1)/1.15</f>
        <v/>
      </c>
      <c r="E44" s="117">
        <f>SUMIFS(Xero!$F:$F,Xero!$B:$B,Heron!E$9,Xero!$A:$A,Heron!$A$4,Xero!$E:$E,Heron!$A44)+SUMIFS(Xero!$F:$F,Xero!$B:$B,Heron!E$9,Xero!$A:$A,Heron!$A$5,Xero!$E:$E,Heron!$A44)+SUMIFS(Sales!$O:$O,Sales!$E:$E,FALSE,Sales!$A:$A,Heron!$B$4,Sales!$H:$H,"&lt;="&amp;Heron!E$9,Sales!$H:$H,"&gt;"&amp;Heron!D$9,Sales!$F:$F,1)/1.15</f>
        <v/>
      </c>
      <c r="F44" s="117">
        <f>SUMIFS(Xero!$F:$F,Xero!$B:$B,Heron!F$9,Xero!$A:$A,Heron!$A$4,Xero!$E:$E,Heron!$A44)+SUMIFS(Xero!$F:$F,Xero!$B:$B,Heron!F$9,Xero!$A:$A,Heron!$A$5,Xero!$E:$E,Heron!$A44)+SUMIFS(Sales!$O:$O,Sales!$E:$E,FALSE,Sales!$A:$A,Heron!$B$4,Sales!$H:$H,"&lt;="&amp;Heron!F$9,Sales!$H:$H,"&gt;"&amp;Heron!E$9,Sales!$F:$F,1)/1.15</f>
        <v/>
      </c>
      <c r="G44" s="117">
        <f>SUMIFS(Xero!$F:$F,Xero!$B:$B,Heron!G$9,Xero!$A:$A,Heron!$A$4,Xero!$E:$E,Heron!$A44)+SUMIFS(Xero!$F:$F,Xero!$B:$B,Heron!G$9,Xero!$A:$A,Heron!$A$5,Xero!$E:$E,Heron!$A44)+SUMIFS(Sales!$O:$O,Sales!$E:$E,FALSE,Sales!$A:$A,Heron!$B$4,Sales!$H:$H,"&lt;="&amp;Heron!G$9,Sales!$H:$H,"&gt;"&amp;Heron!F$9,Sales!$F:$F,1)/1.15</f>
        <v/>
      </c>
      <c r="H44" s="117">
        <f>SUMIFS(Xero!$F:$F,Xero!$B:$B,Heron!H$9,Xero!$A:$A,Heron!$A$4,Xero!$E:$E,Heron!$A44)+SUMIFS(Xero!$F:$F,Xero!$B:$B,Heron!H$9,Xero!$A:$A,Heron!$A$5,Xero!$E:$E,Heron!$A44)+SUMIFS(Sales!$O:$O,Sales!$E:$E,FALSE,Sales!$A:$A,Heron!$B$4,Sales!$H:$H,"&lt;="&amp;Heron!H$9,Sales!$H:$H,"&gt;"&amp;Heron!G$9,Sales!$F:$F,1)/1.15</f>
        <v/>
      </c>
      <c r="I44" s="117">
        <f>SUMIFS(Xero!$F:$F,Xero!$B:$B,Heron!I$9,Xero!$A:$A,Heron!$A$4,Xero!$E:$E,Heron!$A44)+SUMIFS(Xero!$F:$F,Xero!$B:$B,Heron!I$9,Xero!$A:$A,Heron!$A$5,Xero!$E:$E,Heron!$A44)+SUMIFS(Sales!$O:$O,Sales!$E:$E,FALSE,Sales!$A:$A,Heron!$B$4,Sales!$H:$H,"&lt;="&amp;Heron!I$9,Sales!$H:$H,"&gt;"&amp;Heron!H$9,Sales!$F:$F,1)/1.15</f>
        <v/>
      </c>
      <c r="J44" s="117">
        <f>SUMIFS(Xero!$F:$F,Xero!$B:$B,Heron!J$9,Xero!$A:$A,Heron!$A$4,Xero!$E:$E,Heron!$A44)+SUMIFS(Xero!$F:$F,Xero!$B:$B,Heron!J$9,Xero!$A:$A,Heron!$A$5,Xero!$E:$E,Heron!$A44)+SUMIFS(Sales!$O:$O,Sales!$E:$E,FALSE,Sales!$A:$A,Heron!$B$4,Sales!$H:$H,"&lt;="&amp;Heron!J$9,Sales!$H:$H,"&gt;"&amp;Heron!I$9,Sales!$F:$F,1)/1.15</f>
        <v/>
      </c>
      <c r="K44" s="117">
        <f>SUMIFS(Xero!$F:$F,Xero!$B:$B,Heron!K$9,Xero!$A:$A,Heron!$A$4,Xero!$E:$E,Heron!$A44)+SUMIFS(Xero!$F:$F,Xero!$B:$B,Heron!K$9,Xero!$A:$A,Heron!$A$5,Xero!$E:$E,Heron!$A44)+SUMIFS(Sales!$O:$O,Sales!$E:$E,FALSE,Sales!$A:$A,Heron!$B$4,Sales!$H:$H,"&lt;="&amp;Heron!K$9,Sales!$H:$H,"&gt;"&amp;Heron!J$9,Sales!$F:$F,1)/1.15</f>
        <v/>
      </c>
      <c r="L44" s="117">
        <f>SUMIFS(Xero!$F:$F,Xero!$B:$B,Heron!L$9,Xero!$A:$A,Heron!$A$4,Xero!$E:$E,Heron!$A44)+SUMIFS(Xero!$F:$F,Xero!$B:$B,Heron!L$9,Xero!$A:$A,Heron!$A$5,Xero!$E:$E,Heron!$A44)+SUMIFS(Sales!$O:$O,Sales!$E:$E,FALSE,Sales!$A:$A,Heron!$B$4,Sales!$H:$H,"&lt;="&amp;Heron!L$9,Sales!$H:$H,"&gt;"&amp;Heron!K$9,Sales!$F:$F,1)/1.15</f>
        <v/>
      </c>
      <c r="M44" s="117">
        <f>SUMIFS(Xero!$F:$F,Xero!$B:$B,Heron!M$9,Xero!$A:$A,Heron!$A$4,Xero!$E:$E,Heron!$A44)+SUMIFS(Xero!$F:$F,Xero!$B:$B,Heron!M$9,Xero!$A:$A,Heron!$A$5,Xero!$E:$E,Heron!$A44)+SUMIFS(Sales!$O:$O,Sales!$E:$E,FALSE,Sales!$A:$A,Heron!$B$4,Sales!$H:$H,"&lt;="&amp;Heron!M$9,Sales!$H:$H,"&gt;"&amp;Heron!L$9,Sales!$F:$F,1)/1.15</f>
        <v/>
      </c>
      <c r="N44" s="117">
        <f>SUMIFS(Xero!$F:$F,Xero!$B:$B,Heron!N$9,Xero!$A:$A,Heron!$A$4,Xero!$E:$E,Heron!$A44)+SUMIFS(Xero!$F:$F,Xero!$B:$B,Heron!N$9,Xero!$A:$A,Heron!$A$5,Xero!$E:$E,Heron!$A44)+SUMIFS(Sales!$O:$O,Sales!$E:$E,FALSE,Sales!$A:$A,Heron!$B$4,Sales!$H:$H,"&lt;="&amp;Heron!N$9,Sales!$H:$H,"&gt;"&amp;Heron!M$9,Sales!$F:$F,1)/1.15</f>
        <v/>
      </c>
      <c r="O44" s="117">
        <f>SUMIFS(Xero!$F:$F,Xero!$B:$B,Heron!O$9,Xero!$A:$A,Heron!$A$4,Xero!$E:$E,Heron!$A44)+SUMIFS(Xero!$F:$F,Xero!$B:$B,Heron!O$9,Xero!$A:$A,Heron!$A$5,Xero!$E:$E,Heron!$A44)+SUMIFS(Sales!$O:$O,Sales!$E:$E,FALSE,Sales!$A:$A,Heron!$B$4,Sales!$H:$H,"&lt;="&amp;Heron!O$9,Sales!$H:$H,"&gt;"&amp;Heron!N$9,Sales!$F:$F,1)/1.15</f>
        <v/>
      </c>
      <c r="P44" s="117">
        <f>SUMIFS(Xero!$F:$F,Xero!$B:$B,Heron!P$9,Xero!$A:$A,Heron!$A$4,Xero!$E:$E,Heron!$A44)+SUMIFS(Xero!$F:$F,Xero!$B:$B,Heron!P$9,Xero!$A:$A,Heron!$A$5,Xero!$E:$E,Heron!$A44)+SUMIFS(Sales!$O:$O,Sales!$E:$E,FALSE,Sales!$A:$A,Heron!$B$4,Sales!$H:$H,"&lt;="&amp;Heron!P$9,Sales!$H:$H,"&gt;"&amp;Heron!O$9,Sales!$F:$F,1)/1.15</f>
        <v/>
      </c>
      <c r="Q44" s="117">
        <f>SUMIFS(Xero!$F:$F,Xero!$B:$B,Heron!Q$9,Xero!$A:$A,Heron!$A$4,Xero!$E:$E,Heron!$A44)+SUMIFS(Xero!$F:$F,Xero!$B:$B,Heron!Q$9,Xero!$A:$A,Heron!$A$5,Xero!$E:$E,Heron!$A44)+SUMIFS(Sales!$O:$O,Sales!$E:$E,FALSE,Sales!$A:$A,Heron!$B$4,Sales!$H:$H,"&lt;="&amp;Heron!Q$9,Sales!$H:$H,"&gt;"&amp;Heron!P$9,Sales!$F:$F,1)/1.15</f>
        <v/>
      </c>
      <c r="R44" s="117">
        <f>SUMIFS(Xero!$F:$F,Xero!$B:$B,Heron!R$9,Xero!$A:$A,Heron!$A$4,Xero!$E:$E,Heron!$A44)+SUMIFS(Xero!$F:$F,Xero!$B:$B,Heron!R$9,Xero!$A:$A,Heron!$A$5,Xero!$E:$E,Heron!$A44)+SUMIFS(Sales!$O:$O,Sales!$E:$E,FALSE,Sales!$A:$A,Heron!$B$4,Sales!$H:$H,"&lt;="&amp;Heron!R$9,Sales!$H:$H,"&gt;"&amp;Heron!Q$9,Sales!$F:$F,1)/1.15</f>
        <v/>
      </c>
      <c r="S44" s="117">
        <f>SUMIFS(Xero!$F:$F,Xero!$B:$B,Heron!S$9,Xero!$A:$A,Heron!$A$4,Xero!$E:$E,Heron!$A44)+SUMIFS(Xero!$F:$F,Xero!$B:$B,Heron!S$9,Xero!$A:$A,Heron!$A$5,Xero!$E:$E,Heron!$A44)+SUMIFS(Sales!$O:$O,Sales!$E:$E,FALSE,Sales!$A:$A,Heron!$B$4,Sales!$H:$H,"&lt;="&amp;Heron!S$9,Sales!$H:$H,"&gt;"&amp;Heron!R$9,Sales!$F:$F,1)/1.15</f>
        <v/>
      </c>
      <c r="T44" s="117">
        <f>SUMIFS(Xero!$F:$F,Xero!$B:$B,Heron!T$9,Xero!$A:$A,Heron!$A$4,Xero!$E:$E,Heron!$A44)+SUMIFS(Xero!$F:$F,Xero!$B:$B,Heron!T$9,Xero!$A:$A,Heron!$A$5,Xero!$E:$E,Heron!$A44)+SUMIFS(Sales!$O:$O,Sales!$E:$E,FALSE,Sales!$A:$A,Heron!$B$4,Sales!$H:$H,"&lt;="&amp;Heron!T$9,Sales!$H:$H,"&gt;"&amp;Heron!S$9,Sales!$F:$F,1)/1.15</f>
        <v/>
      </c>
      <c r="U44" s="117">
        <f>SUMIFS(Xero!$F:$F,Xero!$B:$B,Heron!U$9,Xero!$A:$A,Heron!$A$4,Xero!$E:$E,Heron!$A44)+SUMIFS(Xero!$F:$F,Xero!$B:$B,Heron!U$9,Xero!$A:$A,Heron!$A$5,Xero!$E:$E,Heron!$A44)+SUMIFS(Sales!$O:$O,Sales!$E:$E,FALSE,Sales!$A:$A,Heron!$B$4,Sales!$H:$H,"&lt;="&amp;Heron!U$9,Sales!$H:$H,"&gt;"&amp;Heron!T$9,Sales!$F:$F,1)/1.15</f>
        <v/>
      </c>
      <c r="V44" s="117">
        <f>SUMIFS(Xero!$F:$F,Xero!$B:$B,Heron!V$9,Xero!$A:$A,Heron!$A$4,Xero!$E:$E,Heron!$A44)+SUMIFS(Xero!$F:$F,Xero!$B:$B,Heron!V$9,Xero!$A:$A,Heron!$A$5,Xero!$E:$E,Heron!$A44)+SUMIFS(Sales!$O:$O,Sales!$E:$E,FALSE,Sales!$A:$A,Heron!$B$4,Sales!$H:$H,"&lt;="&amp;Heron!V$9,Sales!$H:$H,"&gt;"&amp;Heron!U$9,Sales!$F:$F,1)/1.15</f>
        <v/>
      </c>
      <c r="W44" s="117">
        <f>SUMIFS(Xero!$F:$F,Xero!$B:$B,Heron!W$9,Xero!$A:$A,Heron!$A$4,Xero!$E:$E,Heron!$A44)+SUMIFS(Xero!$F:$F,Xero!$B:$B,Heron!W$9,Xero!$A:$A,Heron!$A$5,Xero!$E:$E,Heron!$A44)+SUMIFS(Sales!$O:$O,Sales!$E:$E,FALSE,Sales!$A:$A,Heron!$B$4,Sales!$H:$H,"&lt;="&amp;Heron!W$9,Sales!$H:$H,"&gt;"&amp;Heron!V$9,Sales!$F:$F,1)/1.15</f>
        <v/>
      </c>
      <c r="X44" s="117">
        <f>SUMIFS(Xero!$F:$F,Xero!$B:$B,Heron!X$9,Xero!$A:$A,Heron!$A$4,Xero!$E:$E,Heron!$A44)+SUMIFS(Xero!$F:$F,Xero!$B:$B,Heron!X$9,Xero!$A:$A,Heron!$A$5,Xero!$E:$E,Heron!$A44)+SUMIFS(Sales!$O:$O,Sales!$E:$E,FALSE,Sales!$A:$A,Heron!$B$4,Sales!$H:$H,"&lt;="&amp;Heron!X$9,Sales!$H:$H,"&gt;"&amp;Heron!W$9,Sales!$F:$F,1)/1.15</f>
        <v/>
      </c>
      <c r="Y44" s="117">
        <f>SUMIFS(Xero!$F:$F,Xero!$B:$B,Heron!Y$9,Xero!$A:$A,Heron!$A$4,Xero!$E:$E,Heron!$A44)+SUMIFS(Xero!$F:$F,Xero!$B:$B,Heron!Y$9,Xero!$A:$A,Heron!$A$5,Xero!$E:$E,Heron!$A44)+SUMIFS(Sales!$O:$O,Sales!$E:$E,FALSE,Sales!$A:$A,Heron!$B$4,Sales!$H:$H,"&lt;="&amp;Heron!Y$9,Sales!$H:$H,"&gt;"&amp;Heron!X$9,Sales!$F:$F,1)/1.15</f>
        <v/>
      </c>
      <c r="Z44" s="117">
        <f>SUMIFS(Xero!$F:$F,Xero!$B:$B,Heron!Z$9,Xero!$A:$A,Heron!$A$4,Xero!$E:$E,Heron!$A44)+SUMIFS(Xero!$F:$F,Xero!$B:$B,Heron!Z$9,Xero!$A:$A,Heron!$A$5,Xero!$E:$E,Heron!$A44)+SUMIFS(Sales!$O:$O,Sales!$E:$E,FALSE,Sales!$A:$A,Heron!$B$4,Sales!$H:$H,"&lt;="&amp;Heron!Z$9,Sales!$H:$H,"&gt;"&amp;Heron!Y$9,Sales!$F:$F,1)/1.15</f>
        <v/>
      </c>
      <c r="AA44" s="117">
        <f>SUMIFS(Xero!$F:$F,Xero!$B:$B,Heron!AA$9,Xero!$A:$A,Heron!$A$4,Xero!$E:$E,Heron!$A44)+SUMIFS(Xero!$F:$F,Xero!$B:$B,Heron!AA$9,Xero!$A:$A,Heron!$A$5,Xero!$E:$E,Heron!$A44)+SUMIFS(Sales!$O:$O,Sales!$E:$E,FALSE,Sales!$A:$A,Heron!$B$4,Sales!$H:$H,"&lt;="&amp;Heron!AA$9,Sales!$H:$H,"&gt;"&amp;Heron!Z$9,Sales!$F:$F,1)/1.15</f>
        <v/>
      </c>
      <c r="AB44" s="117">
        <f>SUMIFS(Xero!$F:$F,Xero!$B:$B,Heron!AB$9,Xero!$A:$A,Heron!$A$4,Xero!$E:$E,Heron!$A44)+SUMIFS(Xero!$F:$F,Xero!$B:$B,Heron!AB$9,Xero!$A:$A,Heron!$A$5,Xero!$E:$E,Heron!$A44)+SUMIFS(Sales!$O:$O,Sales!$E:$E,FALSE,Sales!$A:$A,Heron!$B$4,Sales!$H:$H,"&lt;="&amp;Heron!AB$9,Sales!$H:$H,"&gt;"&amp;Heron!AA$9,Sales!$F:$F,1)/1.15</f>
        <v/>
      </c>
      <c r="AC44" s="117">
        <f>SUMIFS(Xero!$F:$F,Xero!$B:$B,Heron!AC$9,Xero!$A:$A,Heron!$A$4,Xero!$E:$E,Heron!$A44)+SUMIFS(Xero!$F:$F,Xero!$B:$B,Heron!AC$9,Xero!$A:$A,Heron!$A$5,Xero!$E:$E,Heron!$A44)+SUMIFS(Sales!$O:$O,Sales!$E:$E,FALSE,Sales!$A:$A,Heron!$B$4,Sales!$H:$H,"&lt;="&amp;Heron!AC$9,Sales!$H:$H,"&gt;"&amp;Heron!AB$9,Sales!$F:$F,1)/1.15</f>
        <v/>
      </c>
      <c r="AD44" s="117">
        <f>SUMIFS(Xero!$F:$F,Xero!$B:$B,Heron!AD$9,Xero!$A:$A,Heron!$A$4,Xero!$E:$E,Heron!$A44)+SUMIFS(Xero!$F:$F,Xero!$B:$B,Heron!AD$9,Xero!$A:$A,Heron!$A$5,Xero!$E:$E,Heron!$A44)+SUMIFS(Sales!$O:$O,Sales!$E:$E,FALSE,Sales!$A:$A,Heron!$B$4,Sales!$H:$H,"&lt;="&amp;Heron!AD$9,Sales!$H:$H,"&gt;"&amp;Heron!AC$9,Sales!$F:$F,1)/1.15</f>
        <v/>
      </c>
      <c r="AE44" s="117">
        <f>SUMIFS(Xero!$F:$F,Xero!$B:$B,Heron!AE$9,Xero!$A:$A,Heron!$A$4,Xero!$E:$E,Heron!$A44)+SUMIFS(Xero!$F:$F,Xero!$B:$B,Heron!AE$9,Xero!$A:$A,Heron!$A$5,Xero!$E:$E,Heron!$A44)+SUMIFS(Sales!$O:$O,Sales!$E:$E,FALSE,Sales!$A:$A,Heron!$B$4,Sales!$H:$H,"&lt;="&amp;Heron!AE$9,Sales!$H:$H,"&gt;"&amp;Heron!AD$9,Sales!$F:$F,1)/1.15</f>
        <v/>
      </c>
      <c r="AF44" s="117">
        <f>SUMIFS(Xero!$F:$F,Xero!$B:$B,Heron!AF$9,Xero!$A:$A,Heron!$A$4,Xero!$E:$E,Heron!$A44)+SUMIFS(Xero!$F:$F,Xero!$B:$B,Heron!AF$9,Xero!$A:$A,Heron!$A$5,Xero!$E:$E,Heron!$A44)+SUMIFS(Sales!$O:$O,Sales!$E:$E,FALSE,Sales!$A:$A,Heron!$B$4,Sales!$H:$H,"&lt;="&amp;Heron!AF$9,Sales!$H:$H,"&gt;"&amp;Heron!AE$9,Sales!$F:$F,1)/1.15</f>
        <v/>
      </c>
      <c r="AG44" s="117">
        <f>SUMIFS(Xero!$F:$F,Xero!$B:$B,Heron!AG$9,Xero!$A:$A,Heron!$A$4,Xero!$E:$E,Heron!$A44)+SUMIFS(Xero!$F:$F,Xero!$B:$B,Heron!AG$9,Xero!$A:$A,Heron!$A$5,Xero!$E:$E,Heron!$A44)+SUMIFS(Sales!$O:$O,Sales!$E:$E,FALSE,Sales!$A:$A,Heron!$B$4,Sales!$H:$H,"&lt;="&amp;Heron!AG$9,Sales!$H:$H,"&gt;"&amp;Heron!AF$9,Sales!$F:$F,1)/1.15</f>
        <v/>
      </c>
      <c r="AH44" s="117">
        <f>SUMIFS(Xero!$F:$F,Xero!$B:$B,Heron!AH$9,Xero!$A:$A,Heron!$A$4,Xero!$E:$E,Heron!$A44)+SUMIFS(Xero!$F:$F,Xero!$B:$B,Heron!AH$9,Xero!$A:$A,Heron!$A$5,Xero!$E:$E,Heron!$A44)+SUMIFS(Sales!$O:$O,Sales!$E:$E,FALSE,Sales!$A:$A,Heron!$B$4,Sales!$H:$H,"&lt;="&amp;Heron!AH$9,Sales!$H:$H,"&gt;"&amp;Heron!AG$9,Sales!$F:$F,1)/1.15</f>
        <v/>
      </c>
      <c r="AI44" s="117">
        <f>SUMIFS(Xero!$F:$F,Xero!$B:$B,Heron!AI$9,Xero!$A:$A,Heron!$A$4,Xero!$E:$E,Heron!$A44)+SUMIFS(Xero!$F:$F,Xero!$B:$B,Heron!AI$9,Xero!$A:$A,Heron!$A$5,Xero!$E:$E,Heron!$A44)+SUMIFS(Sales!$O:$O,Sales!$E:$E,FALSE,Sales!$A:$A,Heron!$B$4,Sales!$H:$H,"&lt;="&amp;Heron!AI$9,Sales!$H:$H,"&gt;"&amp;Heron!AH$9,Sales!$F:$F,1)/1.15</f>
        <v/>
      </c>
      <c r="AJ44" s="117">
        <f>SUMIFS(Xero!$F:$F,Xero!$B:$B,Heron!AJ$9,Xero!$A:$A,Heron!$A$4,Xero!$E:$E,Heron!$A44)+SUMIFS(Xero!$F:$F,Xero!$B:$B,Heron!AJ$9,Xero!$A:$A,Heron!$A$5,Xero!$E:$E,Heron!$A44)+SUMIFS(Sales!$O:$O,Sales!$E:$E,FALSE,Sales!$A:$A,Heron!$B$4,Sales!$H:$H,"&lt;="&amp;Heron!AJ$9,Sales!$H:$H,"&gt;"&amp;Heron!AI$9,Sales!$F:$F,1)/1.15</f>
        <v/>
      </c>
      <c r="AK44" s="117">
        <f>SUMIFS(Xero!$F:$F,Xero!$B:$B,Heron!AK$9,Xero!$A:$A,Heron!$A$4,Xero!$E:$E,Heron!$A44)+SUMIFS(Xero!$F:$F,Xero!$B:$B,Heron!AK$9,Xero!$A:$A,Heron!$A$5,Xero!$E:$E,Heron!$A44)+SUMIFS(Sales!$O:$O,Sales!$E:$E,FALSE,Sales!$A:$A,Heron!$B$4,Sales!$H:$H,"&lt;="&amp;Heron!AK$9,Sales!$H:$H,"&gt;"&amp;Heron!AJ$9,Sales!$F:$F,1)/1.15</f>
        <v/>
      </c>
      <c r="AL44" s="117">
        <f>SUMIFS(Xero!$F:$F,Xero!$B:$B,Heron!AL$9,Xero!$A:$A,Heron!$A$4,Xero!$E:$E,Heron!$A44)+SUMIFS(Xero!$F:$F,Xero!$B:$B,Heron!AL$9,Xero!$A:$A,Heron!$A$5,Xero!$E:$E,Heron!$A44)+SUMIFS(Sales!$O:$O,Sales!$E:$E,FALSE,Sales!$A:$A,Heron!$B$4,Sales!$H:$H,"&lt;="&amp;Heron!AL$9,Sales!$H:$H,"&gt;"&amp;Heron!AK$9,Sales!$F:$F,1)/1.15</f>
        <v/>
      </c>
      <c r="AM44" s="117">
        <f>SUMIFS(Xero!$F:$F,Xero!$B:$B,Heron!AM$9,Xero!$A:$A,Heron!$A$4,Xero!$E:$E,Heron!$A44)+SUMIFS(Xero!$F:$F,Xero!$B:$B,Heron!AM$9,Xero!$A:$A,Heron!$A$5,Xero!$E:$E,Heron!$A44)+SUMIFS(Sales!$O:$O,Sales!$E:$E,FALSE,Sales!$A:$A,Heron!$B$4,Sales!$H:$H,"&lt;="&amp;Heron!AM$9,Sales!$H:$H,"&gt;"&amp;Heron!AL$9,Sales!$F:$F,1)/1.15</f>
        <v/>
      </c>
      <c r="AN44" s="117">
        <f>SUMIFS(Xero!$F:$F,Xero!$B:$B,Heron!AN$9,Xero!$A:$A,Heron!$A$4,Xero!$E:$E,Heron!$A44)+SUMIFS(Xero!$F:$F,Xero!$B:$B,Heron!AN$9,Xero!$A:$A,Heron!$A$5,Xero!$E:$E,Heron!$A44)+SUMIFS(Sales!$O:$O,Sales!$E:$E,FALSE,Sales!$A:$A,Heron!$B$4,Sales!$H:$H,"&lt;="&amp;Heron!AN$9,Sales!$H:$H,"&gt;"&amp;Heron!AM$9,Sales!$F:$F,1)/1.15</f>
        <v/>
      </c>
      <c r="AO44" s="117">
        <f>SUMIFS(Xero!$F:$F,Xero!$B:$B,Heron!AO$9,Xero!$A:$A,Heron!$A$4,Xero!$E:$E,Heron!$A44)+SUMIFS(Xero!$F:$F,Xero!$B:$B,Heron!AO$9,Xero!$A:$A,Heron!$A$5,Xero!$E:$E,Heron!$A44)+SUMIFS(Sales!$O:$O,Sales!$E:$E,FALSE,Sales!$A:$A,Heron!$B$4,Sales!$H:$H,"&lt;="&amp;Heron!AO$9,Sales!$H:$H,"&gt;"&amp;Heron!AN$9,Sales!$F:$F,1)/1.15</f>
        <v/>
      </c>
      <c r="AP44" s="117">
        <f>SUMIFS(Xero!$F:$F,Xero!$B:$B,Heron!AP$9,Xero!$A:$A,Heron!$A$4,Xero!$E:$E,Heron!$A44)+SUMIFS(Xero!$F:$F,Xero!$B:$B,Heron!AP$9,Xero!$A:$A,Heron!$A$5,Xero!$E:$E,Heron!$A44)+SUMIFS(Sales!$O:$O,Sales!$E:$E,FALSE,Sales!$A:$A,Heron!$B$4,Sales!$H:$H,"&lt;="&amp;Heron!AP$9,Sales!$H:$H,"&gt;"&amp;Heron!AO$9,Sales!$F:$F,1)/1.15</f>
        <v/>
      </c>
      <c r="AQ44" s="117">
        <f>SUMIFS(Xero!$F:$F,Xero!$B:$B,Heron!AQ$9,Xero!$A:$A,Heron!$A$4,Xero!$E:$E,Heron!$A44)+SUMIFS(Xero!$F:$F,Xero!$B:$B,Heron!AQ$9,Xero!$A:$A,Heron!$A$5,Xero!$E:$E,Heron!$A44)+SUMIFS(Sales!$O:$O,Sales!$E:$E,FALSE,Sales!$A:$A,Heron!$B$4,Sales!$H:$H,"&lt;="&amp;Heron!AQ$9,Sales!$H:$H,"&gt;"&amp;Heron!AP$9,Sales!$F:$F,1)/1.15</f>
        <v/>
      </c>
      <c r="AR44" s="117">
        <f>SUMIFS(Xero!$F:$F,Xero!$B:$B,Heron!AR$9,Xero!$A:$A,Heron!$A$4,Xero!$E:$E,Heron!$A44)+SUMIFS(Xero!$F:$F,Xero!$B:$B,Heron!AR$9,Xero!$A:$A,Heron!$A$5,Xero!$E:$E,Heron!$A44)+SUMIFS(Sales!$O:$O,Sales!$E:$E,FALSE,Sales!$A:$A,Heron!$B$4,Sales!$H:$H,"&lt;="&amp;Heron!AR$9,Sales!$H:$H,"&gt;"&amp;Heron!AQ$9,Sales!$F:$F,1)/1.15</f>
        <v/>
      </c>
      <c r="AS44" s="117">
        <f>SUMIFS(Xero!$F:$F,Xero!$B:$B,Heron!AS$9,Xero!$A:$A,Heron!$A$4,Xero!$E:$E,Heron!$A44)+SUMIFS(Xero!$F:$F,Xero!$B:$B,Heron!AS$9,Xero!$A:$A,Heron!$A$5,Xero!$E:$E,Heron!$A44)+SUMIFS(Sales!$O:$O,Sales!$E:$E,FALSE,Sales!$A:$A,Heron!$B$4,Sales!$H:$H,"&lt;="&amp;Heron!AS$9,Sales!$H:$H,"&gt;"&amp;Heron!AR$9,Sales!$F:$F,1)/1.15</f>
        <v/>
      </c>
      <c r="AT44" s="117">
        <f>SUMIFS(Xero!$F:$F,Xero!$B:$B,Heron!AT$9,Xero!$A:$A,Heron!$A$4,Xero!$E:$E,Heron!$A44)+SUMIFS(Xero!$F:$F,Xero!$B:$B,Heron!AT$9,Xero!$A:$A,Heron!$A$5,Xero!$E:$E,Heron!$A44)+SUMIFS(Sales!$O:$O,Sales!$E:$E,FALSE,Sales!$A:$A,Heron!$B$4,Sales!$H:$H,"&lt;="&amp;Heron!AT$9,Sales!$H:$H,"&gt;"&amp;Heron!AS$9,Sales!$F:$F,1)/1.15</f>
        <v/>
      </c>
      <c r="AU44" s="117">
        <f>SUMIFS(Xero!$F:$F,Xero!$B:$B,Heron!AU$9,Xero!$A:$A,Heron!$A$4,Xero!$E:$E,Heron!$A44)+SUMIFS(Xero!$F:$F,Xero!$B:$B,Heron!AU$9,Xero!$A:$A,Heron!$A$5,Xero!$E:$E,Heron!$A44)+SUMIFS(Sales!$O:$O,Sales!$E:$E,FALSE,Sales!$A:$A,Heron!$B$4,Sales!$H:$H,"&lt;="&amp;Heron!AU$9,Sales!$H:$H,"&gt;"&amp;Heron!AT$9,Sales!$F:$F,1)/1.15</f>
        <v/>
      </c>
      <c r="AV44" s="117">
        <f>SUMIFS(Xero!$F:$F,Xero!$B:$B,Heron!AV$9,Xero!$A:$A,Heron!$A$4,Xero!$E:$E,Heron!$A44)+SUMIFS(Xero!$F:$F,Xero!$B:$B,Heron!AV$9,Xero!$A:$A,Heron!$A$5,Xero!$E:$E,Heron!$A44)+SUMIFS(Sales!$O:$O,Sales!$E:$E,FALSE,Sales!$A:$A,Heron!$B$4,Sales!$H:$H,"&lt;="&amp;Heron!AV$9,Sales!$H:$H,"&gt;"&amp;Heron!AU$9,Sales!$F:$F,1)/1.15</f>
        <v/>
      </c>
      <c r="AW44" s="117">
        <f>SUMIFS(Xero!$F:$F,Xero!$B:$B,Heron!AW$9,Xero!$A:$A,Heron!$A$4,Xero!$E:$E,Heron!$A44)+SUMIFS(Xero!$F:$F,Xero!$B:$B,Heron!AW$9,Xero!$A:$A,Heron!$A$5,Xero!$E:$E,Heron!$A44)+SUMIFS(Sales!$O:$O,Sales!$E:$E,FALSE,Sales!$A:$A,Heron!$B$4,Sales!$H:$H,"&lt;="&amp;Heron!AW$9,Sales!$H:$H,"&gt;"&amp;Heron!AV$9,Sales!$F:$F,1)/1.15</f>
        <v/>
      </c>
      <c r="AX44" s="117">
        <f>SUMIFS(Xero!$F:$F,Xero!$B:$B,Heron!AX$9,Xero!$A:$A,Heron!$A$4,Xero!$E:$E,Heron!$A44)+SUMIFS(Xero!$F:$F,Xero!$B:$B,Heron!AX$9,Xero!$A:$A,Heron!$A$5,Xero!$E:$E,Heron!$A44)+SUMIFS(Sales!$O:$O,Sales!$E:$E,FALSE,Sales!$A:$A,Heron!$B$4,Sales!$H:$H,"&lt;="&amp;Heron!AX$9,Sales!$H:$H,"&gt;"&amp;Heron!AW$9,Sales!$F:$F,1)/1.15</f>
        <v/>
      </c>
      <c r="AY44" s="117">
        <f>SUMIFS(Xero!$F:$F,Xero!$B:$B,Heron!AY$9,Xero!$A:$A,Heron!$A$4,Xero!$E:$E,Heron!$A44)+SUMIFS(Xero!$F:$F,Xero!$B:$B,Heron!AY$9,Xero!$A:$A,Heron!$A$5,Xero!$E:$E,Heron!$A44)+SUMIFS(Sales!$O:$O,Sales!$E:$E,FALSE,Sales!$A:$A,Heron!$B$4,Sales!$H:$H,"&lt;="&amp;Heron!AY$9,Sales!$H:$H,"&gt;"&amp;Heron!AX$9,Sales!$F:$F,1)/1.15</f>
        <v/>
      </c>
      <c r="AZ44" s="117">
        <f>SUMIFS(Xero!$F:$F,Xero!$B:$B,Heron!AZ$9,Xero!$A:$A,Heron!$A$4,Xero!$E:$E,Heron!$A44)+SUMIFS(Xero!$F:$F,Xero!$B:$B,Heron!AZ$9,Xero!$A:$A,Heron!$A$5,Xero!$E:$E,Heron!$A44)+SUMIFS(Sales!$O:$O,Sales!$E:$E,FALSE,Sales!$A:$A,Heron!$B$4,Sales!$H:$H,"&lt;="&amp;Heron!AZ$9,Sales!$H:$H,"&gt;"&amp;Heron!AY$9,Sales!$F:$F,1)/1.15</f>
        <v/>
      </c>
      <c r="BA44" s="117">
        <f>SUMIFS(Xero!$F:$F,Xero!$B:$B,Heron!BA$9,Xero!$A:$A,Heron!$A$4,Xero!$E:$E,Heron!$A44)+SUMIFS(Xero!$F:$F,Xero!$B:$B,Heron!BA$9,Xero!$A:$A,Heron!$A$5,Xero!$E:$E,Heron!$A44)+SUMIFS(Sales!$O:$O,Sales!$E:$E,FALSE,Sales!$A:$A,Heron!$B$4,Sales!$H:$H,"&lt;="&amp;Heron!BA$9,Sales!$H:$H,"&gt;"&amp;Heron!AZ$9,Sales!$F:$F,1)/1.15</f>
        <v/>
      </c>
      <c r="BB44" s="117">
        <f>SUMIFS(Xero!$F:$F,Xero!$B:$B,Heron!BB$9,Xero!$A:$A,Heron!$A$4,Xero!$E:$E,Heron!$A44)+SUMIFS(Xero!$F:$F,Xero!$B:$B,Heron!BB$9,Xero!$A:$A,Heron!$A$5,Xero!$E:$E,Heron!$A44)+SUMIFS(Sales!$O:$O,Sales!$E:$E,FALSE,Sales!$A:$A,Heron!$B$4,Sales!$H:$H,"&lt;="&amp;Heron!BB$9,Sales!$H:$H,"&gt;"&amp;Heron!BA$9,Sales!$F:$F,1)/1.15</f>
        <v/>
      </c>
      <c r="BC44" s="117">
        <f>SUMIFS(Xero!$F:$F,Xero!$B:$B,Heron!BC$9,Xero!$A:$A,Heron!$A$4,Xero!$E:$E,Heron!$A44)+SUMIFS(Xero!$F:$F,Xero!$B:$B,Heron!BC$9,Xero!$A:$A,Heron!$A$5,Xero!$E:$E,Heron!$A44)+SUMIFS(Sales!$O:$O,Sales!$E:$E,FALSE,Sales!$A:$A,Heron!$B$4,Sales!$H:$H,"&lt;="&amp;Heron!BC$9,Sales!$H:$H,"&gt;"&amp;Heron!BB$9,Sales!$F:$F,1)/1.15</f>
        <v/>
      </c>
      <c r="BD44" s="117">
        <f>SUMIFS(Xero!$F:$F,Xero!$B:$B,Heron!BD$9,Xero!$A:$A,Heron!$A$4,Xero!$E:$E,Heron!$A44)+SUMIFS(Xero!$F:$F,Xero!$B:$B,Heron!BD$9,Xero!$A:$A,Heron!$A$5,Xero!$E:$E,Heron!$A44)+SUMIFS(Sales!$O:$O,Sales!$E:$E,FALSE,Sales!$A:$A,Heron!$B$4,Sales!$H:$H,"&lt;="&amp;Heron!BD$9,Sales!$H:$H,"&gt;"&amp;Heron!BC$9,Sales!$F:$F,1)/1.15</f>
        <v/>
      </c>
      <c r="BE44" s="117">
        <f>SUMIFS(Xero!$F:$F,Xero!$B:$B,Heron!BE$9,Xero!$A:$A,Heron!$A$4,Xero!$E:$E,Heron!$A44)+SUMIFS(Xero!$F:$F,Xero!$B:$B,Heron!BE$9,Xero!$A:$A,Heron!$A$5,Xero!$E:$E,Heron!$A44)+SUMIFS(Sales!$O:$O,Sales!$E:$E,FALSE,Sales!$A:$A,Heron!$B$4,Sales!$H:$H,"&lt;="&amp;Heron!BE$9,Sales!$H:$H,"&gt;"&amp;Heron!BD$9,Sales!$F:$F,1)/1.15</f>
        <v/>
      </c>
      <c r="BF44" s="117">
        <f>SUMIFS(Xero!$F:$F,Xero!$B:$B,Heron!BF$9,Xero!$A:$A,Heron!$A$4,Xero!$E:$E,Heron!$A44)+SUMIFS(Xero!$F:$F,Xero!$B:$B,Heron!BF$9,Xero!$A:$A,Heron!$A$5,Xero!$E:$E,Heron!$A44)+SUMIFS(Sales!$O:$O,Sales!$E:$E,FALSE,Sales!$A:$A,Heron!$B$4,Sales!$H:$H,"&lt;="&amp;Heron!BF$9,Sales!$H:$H,"&gt;"&amp;Heron!BE$9,Sales!$F:$F,1)/1.15</f>
        <v/>
      </c>
      <c r="BG44" s="117">
        <f>SUMIFS(Xero!$F:$F,Xero!$B:$B,Heron!BG$9,Xero!$A:$A,Heron!$A$4,Xero!$E:$E,Heron!$A44)+SUMIFS(Xero!$F:$F,Xero!$B:$B,Heron!BG$9,Xero!$A:$A,Heron!$A$5,Xero!$E:$E,Heron!$A44)+SUMIFS(Sales!$O:$O,Sales!$E:$E,FALSE,Sales!$A:$A,Heron!$B$4,Sales!$H:$H,"&lt;="&amp;Heron!BG$9,Sales!$H:$H,"&gt;"&amp;Heron!BF$9,Sales!$F:$F,1)/1.15</f>
        <v/>
      </c>
      <c r="BH44" s="117">
        <f>SUMIFS(Xero!$F:$F,Xero!$B:$B,Heron!BH$9,Xero!$A:$A,Heron!$A$4,Xero!$E:$E,Heron!$A44)+SUMIFS(Xero!$F:$F,Xero!$B:$B,Heron!BH$9,Xero!$A:$A,Heron!$A$5,Xero!$E:$E,Heron!$A44)+SUMIFS(Sales!$O:$O,Sales!$E:$E,FALSE,Sales!$A:$A,Heron!$B$4,Sales!$H:$H,"&lt;="&amp;Heron!BH$9,Sales!$H:$H,"&gt;"&amp;Heron!BG$9,Sales!$F:$F,1)/1.15</f>
        <v/>
      </c>
      <c r="BI44" s="117">
        <f>SUMIFS(Xero!$F:$F,Xero!$B:$B,Heron!BI$9,Xero!$A:$A,Heron!$A$4,Xero!$E:$E,Heron!$A44)+SUMIFS(Xero!$F:$F,Xero!$B:$B,Heron!BI$9,Xero!$A:$A,Heron!$A$5,Xero!$E:$E,Heron!$A44)+SUMIFS(Sales!$O:$O,Sales!$E:$E,FALSE,Sales!$A:$A,Heron!$B$4,Sales!$H:$H,"&lt;="&amp;Heron!BI$9,Sales!$H:$H,"&gt;"&amp;Heron!BH$9,Sales!$F:$F,1)/1.15</f>
        <v/>
      </c>
      <c r="BJ44" s="117">
        <f>SUMIFS(Xero!$F:$F,Xero!$B:$B,Heron!BJ$9,Xero!$A:$A,Heron!$A$4,Xero!$E:$E,Heron!$A44)+SUMIFS(Xero!$F:$F,Xero!$B:$B,Heron!BJ$9,Xero!$A:$A,Heron!$A$5,Xero!$E:$E,Heron!$A44)+SUMIFS(Sales!$O:$O,Sales!$E:$E,FALSE,Sales!$A:$A,Heron!$B$4,Sales!$H:$H,"&lt;="&amp;Heron!BJ$9,Sales!$H:$H,"&gt;"&amp;Heron!BI$9,Sales!$F:$F,1)/1.15</f>
        <v/>
      </c>
      <c r="BK44" s="117">
        <f>sum(D44:BJ44)</f>
        <v/>
      </c>
    </row>
    <row r="45">
      <c r="A45" s="116" t="inlineStr">
        <is>
          <t>COS - Commission HV Units</t>
        </is>
      </c>
      <c r="D45" s="117">
        <f>SUMIFS(Xero!$F:$F,Xero!$B:$B,Heron!D$9,Xero!$A:$A,Heron!$A$4,Xero!$E:$E,Heron!$A45)+SUMIFS(Xero!$F:$F,Xero!$B:$B,Heron!D$9,Xero!$A:$A,Heron!$A$5,Xero!$E:$E,Heron!$A45)+SUMIFS(Sales!$O:$O,Sales!$E:$E,FALSE,Sales!$A:$A,Heron!$B$5,Sales!$H:$H,"&lt;="&amp;Heron!D$9,Sales!$H:$H,"&gt;"&amp;Heron!C$9,Sales!$F:$F,1)/1.15</f>
        <v/>
      </c>
      <c r="E45" s="117">
        <f>SUMIFS(Xero!$F:$F,Xero!$B:$B,Heron!E$9,Xero!$A:$A,Heron!$A$4,Xero!$E:$E,Heron!$A45)+SUMIFS(Xero!$F:$F,Xero!$B:$B,Heron!E$9,Xero!$A:$A,Heron!$A$5,Xero!$E:$E,Heron!$A45)+SUMIFS(Sales!$O:$O,Sales!$E:$E,FALSE,Sales!$A:$A,Heron!$B$5,Sales!$H:$H,"&lt;="&amp;Heron!E$9,Sales!$H:$H,"&gt;"&amp;Heron!D$9,Sales!$F:$F,1)/1.15</f>
        <v/>
      </c>
      <c r="F45" s="117">
        <f>SUMIFS(Xero!$F:$F,Xero!$B:$B,Heron!F$9,Xero!$A:$A,Heron!$A$4,Xero!$E:$E,Heron!$A45)+SUMIFS(Xero!$F:$F,Xero!$B:$B,Heron!F$9,Xero!$A:$A,Heron!$A$5,Xero!$E:$E,Heron!$A45)+SUMIFS(Sales!$O:$O,Sales!$E:$E,FALSE,Sales!$A:$A,Heron!$B$5,Sales!$H:$H,"&lt;="&amp;Heron!F$9,Sales!$H:$H,"&gt;"&amp;Heron!E$9,Sales!$F:$F,1)/1.15</f>
        <v/>
      </c>
      <c r="G45" s="117">
        <f>SUMIFS(Xero!$F:$F,Xero!$B:$B,Heron!G$9,Xero!$A:$A,Heron!$A$4,Xero!$E:$E,Heron!$A45)+SUMIFS(Xero!$F:$F,Xero!$B:$B,Heron!G$9,Xero!$A:$A,Heron!$A$5,Xero!$E:$E,Heron!$A45)+SUMIFS(Sales!$O:$O,Sales!$E:$E,FALSE,Sales!$A:$A,Heron!$B$5,Sales!$H:$H,"&lt;="&amp;Heron!G$9,Sales!$H:$H,"&gt;"&amp;Heron!F$9,Sales!$F:$F,1)/1.15</f>
        <v/>
      </c>
      <c r="H45" s="117">
        <f>SUMIFS(Xero!$F:$F,Xero!$B:$B,Heron!H$9,Xero!$A:$A,Heron!$A$4,Xero!$E:$E,Heron!$A45)+SUMIFS(Xero!$F:$F,Xero!$B:$B,Heron!H$9,Xero!$A:$A,Heron!$A$5,Xero!$E:$E,Heron!$A45)+SUMIFS(Sales!$O:$O,Sales!$E:$E,FALSE,Sales!$A:$A,Heron!$B$5,Sales!$H:$H,"&lt;="&amp;Heron!H$9,Sales!$H:$H,"&gt;"&amp;Heron!G$9,Sales!$F:$F,1)/1.15</f>
        <v/>
      </c>
      <c r="I45" s="117">
        <f>SUMIFS(Xero!$F:$F,Xero!$B:$B,Heron!I$9,Xero!$A:$A,Heron!$A$4,Xero!$E:$E,Heron!$A45)+SUMIFS(Xero!$F:$F,Xero!$B:$B,Heron!I$9,Xero!$A:$A,Heron!$A$5,Xero!$E:$E,Heron!$A45)+SUMIFS(Sales!$O:$O,Sales!$E:$E,FALSE,Sales!$A:$A,Heron!$B$5,Sales!$H:$H,"&lt;="&amp;Heron!I$9,Sales!$H:$H,"&gt;"&amp;Heron!H$9,Sales!$F:$F,1)/1.15</f>
        <v/>
      </c>
      <c r="J45" s="117">
        <f>SUMIFS(Xero!$F:$F,Xero!$B:$B,Heron!J$9,Xero!$A:$A,Heron!$A$4,Xero!$E:$E,Heron!$A45)+SUMIFS(Xero!$F:$F,Xero!$B:$B,Heron!J$9,Xero!$A:$A,Heron!$A$5,Xero!$E:$E,Heron!$A45)+SUMIFS(Sales!$O:$O,Sales!$E:$E,FALSE,Sales!$A:$A,Heron!$B$5,Sales!$H:$H,"&lt;="&amp;Heron!J$9,Sales!$H:$H,"&gt;"&amp;Heron!I$9,Sales!$F:$F,1)/1.15</f>
        <v/>
      </c>
      <c r="K45" s="117">
        <f>SUMIFS(Xero!$F:$F,Xero!$B:$B,Heron!K$9,Xero!$A:$A,Heron!$A$4,Xero!$E:$E,Heron!$A45)+SUMIFS(Xero!$F:$F,Xero!$B:$B,Heron!K$9,Xero!$A:$A,Heron!$A$5,Xero!$E:$E,Heron!$A45)+SUMIFS(Sales!$O:$O,Sales!$E:$E,FALSE,Sales!$A:$A,Heron!$B$5,Sales!$H:$H,"&lt;="&amp;Heron!K$9,Sales!$H:$H,"&gt;"&amp;Heron!J$9,Sales!$F:$F,1)/1.15</f>
        <v/>
      </c>
      <c r="L45" s="117">
        <f>SUMIFS(Xero!$F:$F,Xero!$B:$B,Heron!L$9,Xero!$A:$A,Heron!$A$4,Xero!$E:$E,Heron!$A45)+SUMIFS(Xero!$F:$F,Xero!$B:$B,Heron!L$9,Xero!$A:$A,Heron!$A$5,Xero!$E:$E,Heron!$A45)+SUMIFS(Sales!$O:$O,Sales!$E:$E,FALSE,Sales!$A:$A,Heron!$B$5,Sales!$H:$H,"&lt;="&amp;Heron!L$9,Sales!$H:$H,"&gt;"&amp;Heron!K$9,Sales!$F:$F,1)/1.15</f>
        <v/>
      </c>
      <c r="M45" s="117">
        <f>SUMIFS(Xero!$F:$F,Xero!$B:$B,Heron!M$9,Xero!$A:$A,Heron!$A$4,Xero!$E:$E,Heron!$A45)+SUMIFS(Xero!$F:$F,Xero!$B:$B,Heron!M$9,Xero!$A:$A,Heron!$A$5,Xero!$E:$E,Heron!$A45)+SUMIFS(Sales!$O:$O,Sales!$E:$E,FALSE,Sales!$A:$A,Heron!$B$5,Sales!$H:$H,"&lt;="&amp;Heron!M$9,Sales!$H:$H,"&gt;"&amp;Heron!L$9,Sales!$F:$F,1)/1.15</f>
        <v/>
      </c>
      <c r="N45" s="117">
        <f>SUMIFS(Xero!$F:$F,Xero!$B:$B,Heron!N$9,Xero!$A:$A,Heron!$A$4,Xero!$E:$E,Heron!$A45)+SUMIFS(Xero!$F:$F,Xero!$B:$B,Heron!N$9,Xero!$A:$A,Heron!$A$5,Xero!$E:$E,Heron!$A45)+SUMIFS(Sales!$O:$O,Sales!$E:$E,FALSE,Sales!$A:$A,Heron!$B$5,Sales!$H:$H,"&lt;="&amp;Heron!N$9,Sales!$H:$H,"&gt;"&amp;Heron!M$9,Sales!$F:$F,1)/1.15</f>
        <v/>
      </c>
      <c r="O45" s="117">
        <f>SUMIFS(Xero!$F:$F,Xero!$B:$B,Heron!O$9,Xero!$A:$A,Heron!$A$4,Xero!$E:$E,Heron!$A45)+SUMIFS(Xero!$F:$F,Xero!$B:$B,Heron!O$9,Xero!$A:$A,Heron!$A$5,Xero!$E:$E,Heron!$A45)+SUMIFS(Sales!$O:$O,Sales!$E:$E,FALSE,Sales!$A:$A,Heron!$B$5,Sales!$H:$H,"&lt;="&amp;Heron!O$9,Sales!$H:$H,"&gt;"&amp;Heron!N$9,Sales!$F:$F,1)/1.15</f>
        <v/>
      </c>
      <c r="P45" s="117">
        <f>SUMIFS(Xero!$F:$F,Xero!$B:$B,Heron!P$9,Xero!$A:$A,Heron!$A$4,Xero!$E:$E,Heron!$A45)+SUMIFS(Xero!$F:$F,Xero!$B:$B,Heron!P$9,Xero!$A:$A,Heron!$A$5,Xero!$E:$E,Heron!$A45)+SUMIFS(Sales!$O:$O,Sales!$E:$E,FALSE,Sales!$A:$A,Heron!$B$5,Sales!$H:$H,"&lt;="&amp;Heron!P$9,Sales!$H:$H,"&gt;"&amp;Heron!O$9,Sales!$F:$F,1)/1.15</f>
        <v/>
      </c>
      <c r="Q45" s="117">
        <f>SUMIFS(Xero!$F:$F,Xero!$B:$B,Heron!Q$9,Xero!$A:$A,Heron!$A$4,Xero!$E:$E,Heron!$A45)+SUMIFS(Xero!$F:$F,Xero!$B:$B,Heron!Q$9,Xero!$A:$A,Heron!$A$5,Xero!$E:$E,Heron!$A45)+SUMIFS(Sales!$O:$O,Sales!$E:$E,FALSE,Sales!$A:$A,Heron!$B$5,Sales!$H:$H,"&lt;="&amp;Heron!Q$9,Sales!$H:$H,"&gt;"&amp;Heron!P$9,Sales!$F:$F,1)/1.15</f>
        <v/>
      </c>
      <c r="R45" s="117">
        <f>SUMIFS(Xero!$F:$F,Xero!$B:$B,Heron!R$9,Xero!$A:$A,Heron!$A$4,Xero!$E:$E,Heron!$A45)+SUMIFS(Xero!$F:$F,Xero!$B:$B,Heron!R$9,Xero!$A:$A,Heron!$A$5,Xero!$E:$E,Heron!$A45)+SUMIFS(Sales!$O:$O,Sales!$E:$E,FALSE,Sales!$A:$A,Heron!$B$5,Sales!$H:$H,"&lt;="&amp;Heron!R$9,Sales!$H:$H,"&gt;"&amp;Heron!Q$9,Sales!$F:$F,1)/1.15</f>
        <v/>
      </c>
      <c r="S45" s="117">
        <f>SUMIFS(Xero!$F:$F,Xero!$B:$B,Heron!S$9,Xero!$A:$A,Heron!$A$4,Xero!$E:$E,Heron!$A45)+SUMIFS(Xero!$F:$F,Xero!$B:$B,Heron!S$9,Xero!$A:$A,Heron!$A$5,Xero!$E:$E,Heron!$A45)+SUMIFS(Sales!$O:$O,Sales!$E:$E,FALSE,Sales!$A:$A,Heron!$B$5,Sales!$H:$H,"&lt;="&amp;Heron!S$9,Sales!$H:$H,"&gt;"&amp;Heron!R$9,Sales!$F:$F,1)/1.15</f>
        <v/>
      </c>
      <c r="T45" s="117">
        <f>SUMIFS(Xero!$F:$F,Xero!$B:$B,Heron!T$9,Xero!$A:$A,Heron!$A$4,Xero!$E:$E,Heron!$A45)+SUMIFS(Xero!$F:$F,Xero!$B:$B,Heron!T$9,Xero!$A:$A,Heron!$A$5,Xero!$E:$E,Heron!$A45)+SUMIFS(Sales!$O:$O,Sales!$E:$E,FALSE,Sales!$A:$A,Heron!$B$5,Sales!$H:$H,"&lt;="&amp;Heron!T$9,Sales!$H:$H,"&gt;"&amp;Heron!S$9,Sales!$F:$F,1)/1.15</f>
        <v/>
      </c>
      <c r="U45" s="117">
        <f>SUMIFS(Xero!$F:$F,Xero!$B:$B,Heron!U$9,Xero!$A:$A,Heron!$A$4,Xero!$E:$E,Heron!$A45)+SUMIFS(Xero!$F:$F,Xero!$B:$B,Heron!U$9,Xero!$A:$A,Heron!$A$5,Xero!$E:$E,Heron!$A45)+SUMIFS(Sales!$O:$O,Sales!$E:$E,FALSE,Sales!$A:$A,Heron!$B$5,Sales!$H:$H,"&lt;="&amp;Heron!U$9,Sales!$H:$H,"&gt;"&amp;Heron!T$9,Sales!$F:$F,1)/1.15</f>
        <v/>
      </c>
      <c r="V45" s="117">
        <f>SUMIFS(Xero!$F:$F,Xero!$B:$B,Heron!V$9,Xero!$A:$A,Heron!$A$4,Xero!$E:$E,Heron!$A45)+SUMIFS(Xero!$F:$F,Xero!$B:$B,Heron!V$9,Xero!$A:$A,Heron!$A$5,Xero!$E:$E,Heron!$A45)+SUMIFS(Sales!$O:$O,Sales!$E:$E,FALSE,Sales!$A:$A,Heron!$B$5,Sales!$H:$H,"&lt;="&amp;Heron!V$9,Sales!$H:$H,"&gt;"&amp;Heron!U$9,Sales!$F:$F,1)/1.15</f>
        <v/>
      </c>
      <c r="W45" s="117">
        <f>SUMIFS(Xero!$F:$F,Xero!$B:$B,Heron!W$9,Xero!$A:$A,Heron!$A$4,Xero!$E:$E,Heron!$A45)+SUMIFS(Xero!$F:$F,Xero!$B:$B,Heron!W$9,Xero!$A:$A,Heron!$A$5,Xero!$E:$E,Heron!$A45)+SUMIFS(Sales!$O:$O,Sales!$E:$E,FALSE,Sales!$A:$A,Heron!$B$5,Sales!$H:$H,"&lt;="&amp;Heron!W$9,Sales!$H:$H,"&gt;"&amp;Heron!V$9,Sales!$F:$F,1)/1.15</f>
        <v/>
      </c>
      <c r="X45" s="117">
        <f>SUMIFS(Xero!$F:$F,Xero!$B:$B,Heron!X$9,Xero!$A:$A,Heron!$A$4,Xero!$E:$E,Heron!$A45)+SUMIFS(Xero!$F:$F,Xero!$B:$B,Heron!X$9,Xero!$A:$A,Heron!$A$5,Xero!$E:$E,Heron!$A45)+SUMIFS(Sales!$O:$O,Sales!$E:$E,FALSE,Sales!$A:$A,Heron!$B$5,Sales!$H:$H,"&lt;="&amp;Heron!X$9,Sales!$H:$H,"&gt;"&amp;Heron!W$9,Sales!$F:$F,1)/1.15</f>
        <v/>
      </c>
      <c r="Y45" s="117">
        <f>SUMIFS(Xero!$F:$F,Xero!$B:$B,Heron!Y$9,Xero!$A:$A,Heron!$A$4,Xero!$E:$E,Heron!$A45)+SUMIFS(Xero!$F:$F,Xero!$B:$B,Heron!Y$9,Xero!$A:$A,Heron!$A$5,Xero!$E:$E,Heron!$A45)+SUMIFS(Sales!$O:$O,Sales!$E:$E,FALSE,Sales!$A:$A,Heron!$B$5,Sales!$H:$H,"&lt;="&amp;Heron!Y$9,Sales!$H:$H,"&gt;"&amp;Heron!X$9,Sales!$F:$F,1)/1.15</f>
        <v/>
      </c>
      <c r="Z45" s="117">
        <f>SUMIFS(Xero!$F:$F,Xero!$B:$B,Heron!Z$9,Xero!$A:$A,Heron!$A$4,Xero!$E:$E,Heron!$A45)+SUMIFS(Xero!$F:$F,Xero!$B:$B,Heron!Z$9,Xero!$A:$A,Heron!$A$5,Xero!$E:$E,Heron!$A45)+SUMIFS(Sales!$O:$O,Sales!$E:$E,FALSE,Sales!$A:$A,Heron!$B$5,Sales!$H:$H,"&lt;="&amp;Heron!Z$9,Sales!$H:$H,"&gt;"&amp;Heron!Y$9,Sales!$F:$F,1)/1.15</f>
        <v/>
      </c>
      <c r="AA45" s="117">
        <f>SUMIFS(Xero!$F:$F,Xero!$B:$B,Heron!AA$9,Xero!$A:$A,Heron!$A$4,Xero!$E:$E,Heron!$A45)+SUMIFS(Xero!$F:$F,Xero!$B:$B,Heron!AA$9,Xero!$A:$A,Heron!$A$5,Xero!$E:$E,Heron!$A45)+SUMIFS(Sales!$O:$O,Sales!$E:$E,FALSE,Sales!$A:$A,Heron!$B$5,Sales!$H:$H,"&lt;="&amp;Heron!AA$9,Sales!$H:$H,"&gt;"&amp;Heron!Z$9,Sales!$F:$F,1)/1.15</f>
        <v/>
      </c>
      <c r="AB45" s="117">
        <f>SUMIFS(Xero!$F:$F,Xero!$B:$B,Heron!AB$9,Xero!$A:$A,Heron!$A$4,Xero!$E:$E,Heron!$A45)+SUMIFS(Xero!$F:$F,Xero!$B:$B,Heron!AB$9,Xero!$A:$A,Heron!$A$5,Xero!$E:$E,Heron!$A45)+SUMIFS(Sales!$O:$O,Sales!$E:$E,FALSE,Sales!$A:$A,Heron!$B$5,Sales!$H:$H,"&lt;="&amp;Heron!AB$9,Sales!$H:$H,"&gt;"&amp;Heron!AA$9,Sales!$F:$F,1)/1.15</f>
        <v/>
      </c>
      <c r="AC45" s="117">
        <f>SUMIFS(Xero!$F:$F,Xero!$B:$B,Heron!AC$9,Xero!$A:$A,Heron!$A$4,Xero!$E:$E,Heron!$A45)+SUMIFS(Xero!$F:$F,Xero!$B:$B,Heron!AC$9,Xero!$A:$A,Heron!$A$5,Xero!$E:$E,Heron!$A45)+SUMIFS(Sales!$O:$O,Sales!$E:$E,FALSE,Sales!$A:$A,Heron!$B$5,Sales!$H:$H,"&lt;="&amp;Heron!AC$9,Sales!$H:$H,"&gt;"&amp;Heron!AB$9,Sales!$F:$F,1)/1.15</f>
        <v/>
      </c>
      <c r="AD45" s="117">
        <f>SUMIFS(Xero!$F:$F,Xero!$B:$B,Heron!AD$9,Xero!$A:$A,Heron!$A$4,Xero!$E:$E,Heron!$A45)+SUMIFS(Xero!$F:$F,Xero!$B:$B,Heron!AD$9,Xero!$A:$A,Heron!$A$5,Xero!$E:$E,Heron!$A45)+SUMIFS(Sales!$O:$O,Sales!$E:$E,FALSE,Sales!$A:$A,Heron!$B$5,Sales!$H:$H,"&lt;="&amp;Heron!AD$9,Sales!$H:$H,"&gt;"&amp;Heron!AC$9,Sales!$F:$F,1)/1.15</f>
        <v/>
      </c>
      <c r="AE45" s="117">
        <f>SUMIFS(Xero!$F:$F,Xero!$B:$B,Heron!AE$9,Xero!$A:$A,Heron!$A$4,Xero!$E:$E,Heron!$A45)+SUMIFS(Xero!$F:$F,Xero!$B:$B,Heron!AE$9,Xero!$A:$A,Heron!$A$5,Xero!$E:$E,Heron!$A45)+SUMIFS(Sales!$O:$O,Sales!$E:$E,FALSE,Sales!$A:$A,Heron!$B$5,Sales!$H:$H,"&lt;="&amp;Heron!AE$9,Sales!$H:$H,"&gt;"&amp;Heron!AD$9,Sales!$F:$F,1)/1.15</f>
        <v/>
      </c>
      <c r="AF45" s="117">
        <f>SUMIFS(Xero!$F:$F,Xero!$B:$B,Heron!AF$9,Xero!$A:$A,Heron!$A$4,Xero!$E:$E,Heron!$A45)+SUMIFS(Xero!$F:$F,Xero!$B:$B,Heron!AF$9,Xero!$A:$A,Heron!$A$5,Xero!$E:$E,Heron!$A45)+SUMIFS(Sales!$O:$O,Sales!$E:$E,FALSE,Sales!$A:$A,Heron!$B$5,Sales!$H:$H,"&lt;="&amp;Heron!AF$9,Sales!$H:$H,"&gt;"&amp;Heron!AE$9,Sales!$F:$F,1)/1.15</f>
        <v/>
      </c>
      <c r="AG45" s="117">
        <f>SUMIFS(Xero!$F:$F,Xero!$B:$B,Heron!AG$9,Xero!$A:$A,Heron!$A$4,Xero!$E:$E,Heron!$A45)+SUMIFS(Xero!$F:$F,Xero!$B:$B,Heron!AG$9,Xero!$A:$A,Heron!$A$5,Xero!$E:$E,Heron!$A45)+SUMIFS(Sales!$O:$O,Sales!$E:$E,FALSE,Sales!$A:$A,Heron!$B$5,Sales!$H:$H,"&lt;="&amp;Heron!AG$9,Sales!$H:$H,"&gt;"&amp;Heron!AF$9,Sales!$F:$F,1)/1.15</f>
        <v/>
      </c>
      <c r="AH45" s="117">
        <f>SUMIFS(Xero!$F:$F,Xero!$B:$B,Heron!AH$9,Xero!$A:$A,Heron!$A$4,Xero!$E:$E,Heron!$A45)+SUMIFS(Xero!$F:$F,Xero!$B:$B,Heron!AH$9,Xero!$A:$A,Heron!$A$5,Xero!$E:$E,Heron!$A45)+SUMIFS(Sales!$O:$O,Sales!$E:$E,FALSE,Sales!$A:$A,Heron!$B$5,Sales!$H:$H,"&lt;="&amp;Heron!AH$9,Sales!$H:$H,"&gt;"&amp;Heron!AG$9,Sales!$F:$F,1)/1.15</f>
        <v/>
      </c>
      <c r="AI45" s="117">
        <f>SUMIFS(Xero!$F:$F,Xero!$B:$B,Heron!AI$9,Xero!$A:$A,Heron!$A$4,Xero!$E:$E,Heron!$A45)+SUMIFS(Xero!$F:$F,Xero!$B:$B,Heron!AI$9,Xero!$A:$A,Heron!$A$5,Xero!$E:$E,Heron!$A45)+SUMIFS(Sales!$O:$O,Sales!$E:$E,FALSE,Sales!$A:$A,Heron!$B$5,Sales!$H:$H,"&lt;="&amp;Heron!AI$9,Sales!$H:$H,"&gt;"&amp;Heron!AH$9,Sales!$F:$F,1)/1.15</f>
        <v/>
      </c>
      <c r="AJ45" s="117">
        <f>SUMIFS(Xero!$F:$F,Xero!$B:$B,Heron!AJ$9,Xero!$A:$A,Heron!$A$4,Xero!$E:$E,Heron!$A45)+SUMIFS(Xero!$F:$F,Xero!$B:$B,Heron!AJ$9,Xero!$A:$A,Heron!$A$5,Xero!$E:$E,Heron!$A45)+SUMIFS(Sales!$O:$O,Sales!$E:$E,FALSE,Sales!$A:$A,Heron!$B$5,Sales!$H:$H,"&lt;="&amp;Heron!AJ$9,Sales!$H:$H,"&gt;"&amp;Heron!AI$9,Sales!$F:$F,1)/1.15</f>
        <v/>
      </c>
      <c r="AK45" s="117">
        <f>SUMIFS(Xero!$F:$F,Xero!$B:$B,Heron!AK$9,Xero!$A:$A,Heron!$A$4,Xero!$E:$E,Heron!$A45)+SUMIFS(Xero!$F:$F,Xero!$B:$B,Heron!AK$9,Xero!$A:$A,Heron!$A$5,Xero!$E:$E,Heron!$A45)+SUMIFS(Sales!$O:$O,Sales!$E:$E,FALSE,Sales!$A:$A,Heron!$B$5,Sales!$H:$H,"&lt;="&amp;Heron!AK$9,Sales!$H:$H,"&gt;"&amp;Heron!AJ$9,Sales!$F:$F,1)/1.15</f>
        <v/>
      </c>
      <c r="AL45" s="117">
        <f>SUMIFS(Xero!$F:$F,Xero!$B:$B,Heron!AL$9,Xero!$A:$A,Heron!$A$4,Xero!$E:$E,Heron!$A45)+SUMIFS(Xero!$F:$F,Xero!$B:$B,Heron!AL$9,Xero!$A:$A,Heron!$A$5,Xero!$E:$E,Heron!$A45)+SUMIFS(Sales!$O:$O,Sales!$E:$E,FALSE,Sales!$A:$A,Heron!$B$5,Sales!$H:$H,"&lt;="&amp;Heron!AL$9,Sales!$H:$H,"&gt;"&amp;Heron!AK$9,Sales!$F:$F,1)/1.15</f>
        <v/>
      </c>
      <c r="AM45" s="117">
        <f>SUMIFS(Xero!$F:$F,Xero!$B:$B,Heron!AM$9,Xero!$A:$A,Heron!$A$4,Xero!$E:$E,Heron!$A45)+SUMIFS(Xero!$F:$F,Xero!$B:$B,Heron!AM$9,Xero!$A:$A,Heron!$A$5,Xero!$E:$E,Heron!$A45)+SUMIFS(Sales!$O:$O,Sales!$E:$E,FALSE,Sales!$A:$A,Heron!$B$5,Sales!$H:$H,"&lt;="&amp;Heron!AM$9,Sales!$H:$H,"&gt;"&amp;Heron!AL$9,Sales!$F:$F,1)/1.15</f>
        <v/>
      </c>
      <c r="AN45" s="117">
        <f>SUMIFS(Xero!$F:$F,Xero!$B:$B,Heron!AN$9,Xero!$A:$A,Heron!$A$4,Xero!$E:$E,Heron!$A45)+SUMIFS(Xero!$F:$F,Xero!$B:$B,Heron!AN$9,Xero!$A:$A,Heron!$A$5,Xero!$E:$E,Heron!$A45)+SUMIFS(Sales!$O:$O,Sales!$E:$E,FALSE,Sales!$A:$A,Heron!$B$5,Sales!$H:$H,"&lt;="&amp;Heron!AN$9,Sales!$H:$H,"&gt;"&amp;Heron!AM$9,Sales!$F:$F,1)/1.15</f>
        <v/>
      </c>
      <c r="AO45" s="117">
        <f>SUMIFS(Xero!$F:$F,Xero!$B:$B,Heron!AO$9,Xero!$A:$A,Heron!$A$4,Xero!$E:$E,Heron!$A45)+SUMIFS(Xero!$F:$F,Xero!$B:$B,Heron!AO$9,Xero!$A:$A,Heron!$A$5,Xero!$E:$E,Heron!$A45)+SUMIFS(Sales!$O:$O,Sales!$E:$E,FALSE,Sales!$A:$A,Heron!$B$5,Sales!$H:$H,"&lt;="&amp;Heron!AO$9,Sales!$H:$H,"&gt;"&amp;Heron!AN$9,Sales!$F:$F,1)/1.15</f>
        <v/>
      </c>
      <c r="AP45" s="117">
        <f>SUMIFS(Xero!$F:$F,Xero!$B:$B,Heron!AP$9,Xero!$A:$A,Heron!$A$4,Xero!$E:$E,Heron!$A45)+SUMIFS(Xero!$F:$F,Xero!$B:$B,Heron!AP$9,Xero!$A:$A,Heron!$A$5,Xero!$E:$E,Heron!$A45)+SUMIFS(Sales!$O:$O,Sales!$E:$E,FALSE,Sales!$A:$A,Heron!$B$5,Sales!$H:$H,"&lt;="&amp;Heron!AP$9,Sales!$H:$H,"&gt;"&amp;Heron!AO$9,Sales!$F:$F,1)/1.15</f>
        <v/>
      </c>
      <c r="AQ45" s="117">
        <f>SUMIFS(Xero!$F:$F,Xero!$B:$B,Heron!AQ$9,Xero!$A:$A,Heron!$A$4,Xero!$E:$E,Heron!$A45)+SUMIFS(Xero!$F:$F,Xero!$B:$B,Heron!AQ$9,Xero!$A:$A,Heron!$A$5,Xero!$E:$E,Heron!$A45)+SUMIFS(Sales!$O:$O,Sales!$E:$E,FALSE,Sales!$A:$A,Heron!$B$5,Sales!$H:$H,"&lt;="&amp;Heron!AQ$9,Sales!$H:$H,"&gt;"&amp;Heron!AP$9,Sales!$F:$F,1)/1.15</f>
        <v/>
      </c>
      <c r="AR45" s="117">
        <f>SUMIFS(Xero!$F:$F,Xero!$B:$B,Heron!AR$9,Xero!$A:$A,Heron!$A$4,Xero!$E:$E,Heron!$A45)+SUMIFS(Xero!$F:$F,Xero!$B:$B,Heron!AR$9,Xero!$A:$A,Heron!$A$5,Xero!$E:$E,Heron!$A45)+SUMIFS(Sales!$O:$O,Sales!$E:$E,FALSE,Sales!$A:$A,Heron!$B$5,Sales!$H:$H,"&lt;="&amp;Heron!AR$9,Sales!$H:$H,"&gt;"&amp;Heron!AQ$9,Sales!$F:$F,1)/1.15</f>
        <v/>
      </c>
      <c r="AS45" s="117">
        <f>SUMIFS(Xero!$F:$F,Xero!$B:$B,Heron!AS$9,Xero!$A:$A,Heron!$A$4,Xero!$E:$E,Heron!$A45)+SUMIFS(Xero!$F:$F,Xero!$B:$B,Heron!AS$9,Xero!$A:$A,Heron!$A$5,Xero!$E:$E,Heron!$A45)+SUMIFS(Sales!$O:$O,Sales!$E:$E,FALSE,Sales!$A:$A,Heron!$B$5,Sales!$H:$H,"&lt;="&amp;Heron!AS$9,Sales!$H:$H,"&gt;"&amp;Heron!AR$9,Sales!$F:$F,1)/1.15</f>
        <v/>
      </c>
      <c r="AT45" s="117">
        <f>SUMIFS(Xero!$F:$F,Xero!$B:$B,Heron!AT$9,Xero!$A:$A,Heron!$A$4,Xero!$E:$E,Heron!$A45)+SUMIFS(Xero!$F:$F,Xero!$B:$B,Heron!AT$9,Xero!$A:$A,Heron!$A$5,Xero!$E:$E,Heron!$A45)+SUMIFS(Sales!$O:$O,Sales!$E:$E,FALSE,Sales!$A:$A,Heron!$B$5,Sales!$H:$H,"&lt;="&amp;Heron!AT$9,Sales!$H:$H,"&gt;"&amp;Heron!AS$9,Sales!$F:$F,1)/1.15</f>
        <v/>
      </c>
      <c r="AU45" s="117">
        <f>SUMIFS(Xero!$F:$F,Xero!$B:$B,Heron!AU$9,Xero!$A:$A,Heron!$A$4,Xero!$E:$E,Heron!$A45)+SUMIFS(Xero!$F:$F,Xero!$B:$B,Heron!AU$9,Xero!$A:$A,Heron!$A$5,Xero!$E:$E,Heron!$A45)+SUMIFS(Sales!$O:$O,Sales!$E:$E,FALSE,Sales!$A:$A,Heron!$B$5,Sales!$H:$H,"&lt;="&amp;Heron!AU$9,Sales!$H:$H,"&gt;"&amp;Heron!AT$9,Sales!$F:$F,1)/1.15</f>
        <v/>
      </c>
      <c r="AV45" s="117">
        <f>SUMIFS(Xero!$F:$F,Xero!$B:$B,Heron!AV$9,Xero!$A:$A,Heron!$A$4,Xero!$E:$E,Heron!$A45)+SUMIFS(Xero!$F:$F,Xero!$B:$B,Heron!AV$9,Xero!$A:$A,Heron!$A$5,Xero!$E:$E,Heron!$A45)+SUMIFS(Sales!$O:$O,Sales!$E:$E,FALSE,Sales!$A:$A,Heron!$B$5,Sales!$H:$H,"&lt;="&amp;Heron!AV$9,Sales!$H:$H,"&gt;"&amp;Heron!AU$9,Sales!$F:$F,1)/1.15</f>
        <v/>
      </c>
      <c r="AW45" s="117">
        <f>SUMIFS(Xero!$F:$F,Xero!$B:$B,Heron!AW$9,Xero!$A:$A,Heron!$A$4,Xero!$E:$E,Heron!$A45)+SUMIFS(Xero!$F:$F,Xero!$B:$B,Heron!AW$9,Xero!$A:$A,Heron!$A$5,Xero!$E:$E,Heron!$A45)+SUMIFS(Sales!$O:$O,Sales!$E:$E,FALSE,Sales!$A:$A,Heron!$B$5,Sales!$H:$H,"&lt;="&amp;Heron!AW$9,Sales!$H:$H,"&gt;"&amp;Heron!AV$9,Sales!$F:$F,1)/1.15</f>
        <v/>
      </c>
      <c r="AX45" s="117">
        <f>SUMIFS(Xero!$F:$F,Xero!$B:$B,Heron!AX$9,Xero!$A:$A,Heron!$A$4,Xero!$E:$E,Heron!$A45)+SUMIFS(Xero!$F:$F,Xero!$B:$B,Heron!AX$9,Xero!$A:$A,Heron!$A$5,Xero!$E:$E,Heron!$A45)+SUMIFS(Sales!$O:$O,Sales!$E:$E,FALSE,Sales!$A:$A,Heron!$B$5,Sales!$H:$H,"&lt;="&amp;Heron!AX$9,Sales!$H:$H,"&gt;"&amp;Heron!AW$9,Sales!$F:$F,1)/1.15</f>
        <v/>
      </c>
      <c r="AY45" s="117">
        <f>SUMIFS(Xero!$F:$F,Xero!$B:$B,Heron!AY$9,Xero!$A:$A,Heron!$A$4,Xero!$E:$E,Heron!$A45)+SUMIFS(Xero!$F:$F,Xero!$B:$B,Heron!AY$9,Xero!$A:$A,Heron!$A$5,Xero!$E:$E,Heron!$A45)+SUMIFS(Sales!$O:$O,Sales!$E:$E,FALSE,Sales!$A:$A,Heron!$B$5,Sales!$H:$H,"&lt;="&amp;Heron!AY$9,Sales!$H:$H,"&gt;"&amp;Heron!AX$9,Sales!$F:$F,1)/1.15</f>
        <v/>
      </c>
      <c r="AZ45" s="117">
        <f>SUMIFS(Xero!$F:$F,Xero!$B:$B,Heron!AZ$9,Xero!$A:$A,Heron!$A$4,Xero!$E:$E,Heron!$A45)+SUMIFS(Xero!$F:$F,Xero!$B:$B,Heron!AZ$9,Xero!$A:$A,Heron!$A$5,Xero!$E:$E,Heron!$A45)+SUMIFS(Sales!$O:$O,Sales!$E:$E,FALSE,Sales!$A:$A,Heron!$B$5,Sales!$H:$H,"&lt;="&amp;Heron!AZ$9,Sales!$H:$H,"&gt;"&amp;Heron!AY$9,Sales!$F:$F,1)/1.15</f>
        <v/>
      </c>
      <c r="BA45" s="117">
        <f>SUMIFS(Xero!$F:$F,Xero!$B:$B,Heron!BA$9,Xero!$A:$A,Heron!$A$4,Xero!$E:$E,Heron!$A45)+SUMIFS(Xero!$F:$F,Xero!$B:$B,Heron!BA$9,Xero!$A:$A,Heron!$A$5,Xero!$E:$E,Heron!$A45)+SUMIFS(Sales!$O:$O,Sales!$E:$E,FALSE,Sales!$A:$A,Heron!$B$5,Sales!$H:$H,"&lt;="&amp;Heron!BA$9,Sales!$H:$H,"&gt;"&amp;Heron!AZ$9,Sales!$F:$F,1)/1.15</f>
        <v/>
      </c>
      <c r="BB45" s="117">
        <f>SUMIFS(Xero!$F:$F,Xero!$B:$B,Heron!BB$9,Xero!$A:$A,Heron!$A$4,Xero!$E:$E,Heron!$A45)+SUMIFS(Xero!$F:$F,Xero!$B:$B,Heron!BB$9,Xero!$A:$A,Heron!$A$5,Xero!$E:$E,Heron!$A45)+SUMIFS(Sales!$O:$O,Sales!$E:$E,FALSE,Sales!$A:$A,Heron!$B$5,Sales!$H:$H,"&lt;="&amp;Heron!BB$9,Sales!$H:$H,"&gt;"&amp;Heron!BA$9,Sales!$F:$F,1)/1.15</f>
        <v/>
      </c>
      <c r="BC45" s="117">
        <f>SUMIFS(Xero!$F:$F,Xero!$B:$B,Heron!BC$9,Xero!$A:$A,Heron!$A$4,Xero!$E:$E,Heron!$A45)+SUMIFS(Xero!$F:$F,Xero!$B:$B,Heron!BC$9,Xero!$A:$A,Heron!$A$5,Xero!$E:$E,Heron!$A45)+SUMIFS(Sales!$O:$O,Sales!$E:$E,FALSE,Sales!$A:$A,Heron!$B$5,Sales!$H:$H,"&lt;="&amp;Heron!BC$9,Sales!$H:$H,"&gt;"&amp;Heron!BB$9,Sales!$F:$F,1)/1.15</f>
        <v/>
      </c>
      <c r="BD45" s="117">
        <f>SUMIFS(Xero!$F:$F,Xero!$B:$B,Heron!BD$9,Xero!$A:$A,Heron!$A$4,Xero!$E:$E,Heron!$A45)+SUMIFS(Xero!$F:$F,Xero!$B:$B,Heron!BD$9,Xero!$A:$A,Heron!$A$5,Xero!$E:$E,Heron!$A45)+SUMIFS(Sales!$O:$O,Sales!$E:$E,FALSE,Sales!$A:$A,Heron!$B$5,Sales!$H:$H,"&lt;="&amp;Heron!BD$9,Sales!$H:$H,"&gt;"&amp;Heron!BC$9,Sales!$F:$F,1)/1.15</f>
        <v/>
      </c>
      <c r="BE45" s="117">
        <f>SUMIFS(Xero!$F:$F,Xero!$B:$B,Heron!BE$9,Xero!$A:$A,Heron!$A$4,Xero!$E:$E,Heron!$A45)+SUMIFS(Xero!$F:$F,Xero!$B:$B,Heron!BE$9,Xero!$A:$A,Heron!$A$5,Xero!$E:$E,Heron!$A45)+SUMIFS(Sales!$O:$O,Sales!$E:$E,FALSE,Sales!$A:$A,Heron!$B$5,Sales!$H:$H,"&lt;="&amp;Heron!BE$9,Sales!$H:$H,"&gt;"&amp;Heron!BD$9,Sales!$F:$F,1)/1.15</f>
        <v/>
      </c>
      <c r="BF45" s="117">
        <f>SUMIFS(Xero!$F:$F,Xero!$B:$B,Heron!BF$9,Xero!$A:$A,Heron!$A$4,Xero!$E:$E,Heron!$A45)+SUMIFS(Xero!$F:$F,Xero!$B:$B,Heron!BF$9,Xero!$A:$A,Heron!$A$5,Xero!$E:$E,Heron!$A45)+SUMIFS(Sales!$O:$O,Sales!$E:$E,FALSE,Sales!$A:$A,Heron!$B$5,Sales!$H:$H,"&lt;="&amp;Heron!BF$9,Sales!$H:$H,"&gt;"&amp;Heron!BE$9,Sales!$F:$F,1)/1.15</f>
        <v/>
      </c>
      <c r="BG45" s="117">
        <f>SUMIFS(Xero!$F:$F,Xero!$B:$B,Heron!BG$9,Xero!$A:$A,Heron!$A$4,Xero!$E:$E,Heron!$A45)+SUMIFS(Xero!$F:$F,Xero!$B:$B,Heron!BG$9,Xero!$A:$A,Heron!$A$5,Xero!$E:$E,Heron!$A45)+SUMIFS(Sales!$O:$O,Sales!$E:$E,FALSE,Sales!$A:$A,Heron!$B$5,Sales!$H:$H,"&lt;="&amp;Heron!BG$9,Sales!$H:$H,"&gt;"&amp;Heron!BF$9,Sales!$F:$F,1)/1.15</f>
        <v/>
      </c>
      <c r="BH45" s="117">
        <f>SUMIFS(Xero!$F:$F,Xero!$B:$B,Heron!BH$9,Xero!$A:$A,Heron!$A$4,Xero!$E:$E,Heron!$A45)+SUMIFS(Xero!$F:$F,Xero!$B:$B,Heron!BH$9,Xero!$A:$A,Heron!$A$5,Xero!$E:$E,Heron!$A45)+SUMIFS(Sales!$O:$O,Sales!$E:$E,FALSE,Sales!$A:$A,Heron!$B$5,Sales!$H:$H,"&lt;="&amp;Heron!BH$9,Sales!$H:$H,"&gt;"&amp;Heron!BG$9,Sales!$F:$F,1)/1.15</f>
        <v/>
      </c>
      <c r="BI45" s="117">
        <f>SUMIFS(Xero!$F:$F,Xero!$B:$B,Heron!BI$9,Xero!$A:$A,Heron!$A$4,Xero!$E:$E,Heron!$A45)+SUMIFS(Xero!$F:$F,Xero!$B:$B,Heron!BI$9,Xero!$A:$A,Heron!$A$5,Xero!$E:$E,Heron!$A45)+SUMIFS(Sales!$O:$O,Sales!$E:$E,FALSE,Sales!$A:$A,Heron!$B$5,Sales!$H:$H,"&lt;="&amp;Heron!BI$9,Sales!$H:$H,"&gt;"&amp;Heron!BH$9,Sales!$F:$F,1)/1.15</f>
        <v/>
      </c>
      <c r="BJ45" s="117">
        <f>SUMIFS(Xero!$F:$F,Xero!$B:$B,Heron!BJ$9,Xero!$A:$A,Heron!$A$4,Xero!$E:$E,Heron!$A45)+SUMIFS(Xero!$F:$F,Xero!$B:$B,Heron!BJ$9,Xero!$A:$A,Heron!$A$5,Xero!$E:$E,Heron!$A45)+SUMIFS(Sales!$O:$O,Sales!$E:$E,FALSE,Sales!$A:$A,Heron!$B$5,Sales!$H:$H,"&lt;="&amp;Heron!BJ$9,Sales!$H:$H,"&gt;"&amp;Heron!BI$9,Sales!$F:$F,1)/1.15</f>
        <v/>
      </c>
      <c r="BK45" s="117">
        <f>sum(D45:BJ45)</f>
        <v/>
      </c>
    </row>
    <row r="46">
      <c r="A46" s="116" t="inlineStr">
        <is>
          <t>COS - Commission Heron Fields investors</t>
        </is>
      </c>
      <c r="D46" s="117">
        <f>SUMIFS(Xero!$F:$F,Xero!$B:$B,Heron!D$9,Xero!$A:$A,Heron!$A$4,Xero!$E:$E,Heron!$A46)+SUMIFS(Xero!$F:$F,Xero!$B:$B,Heron!D$9,Xero!$A:$A,Heron!$A$5,Xero!$E:$E,Heron!$A46)</f>
        <v/>
      </c>
      <c r="E46" s="117">
        <f>SUMIFS(Xero!$F:$F,Xero!$B:$B,Heron!E$9,Xero!$A:$A,Heron!$A$4,Xero!$E:$E,Heron!$A46)+SUMIFS(Xero!$F:$F,Xero!$B:$B,Heron!E$9,Xero!$A:$A,Heron!$A$5,Xero!$E:$E,Heron!$A46)</f>
        <v/>
      </c>
      <c r="F46" s="117">
        <f>SUMIFS(Xero!$F:$F,Xero!$B:$B,Heron!F$9,Xero!$A:$A,Heron!$A$4,Xero!$E:$E,Heron!$A46)+SUMIFS(Xero!$F:$F,Xero!$B:$B,Heron!F$9,Xero!$A:$A,Heron!$A$5,Xero!$E:$E,Heron!$A46)</f>
        <v/>
      </c>
      <c r="G46" s="117">
        <f>SUMIFS(Xero!$F:$F,Xero!$B:$B,Heron!G$9,Xero!$A:$A,Heron!$A$4,Xero!$E:$E,Heron!$A46)+SUMIFS(Xero!$F:$F,Xero!$B:$B,Heron!G$9,Xero!$A:$A,Heron!$A$5,Xero!$E:$E,Heron!$A46)</f>
        <v/>
      </c>
      <c r="H46" s="117">
        <f>SUMIFS(Xero!$F:$F,Xero!$B:$B,Heron!H$9,Xero!$A:$A,Heron!$A$4,Xero!$E:$E,Heron!$A46)+SUMIFS(Xero!$F:$F,Xero!$B:$B,Heron!H$9,Xero!$A:$A,Heron!$A$5,Xero!$E:$E,Heron!$A46)</f>
        <v/>
      </c>
      <c r="I46" s="117">
        <f>SUMIFS(Xero!$F:$F,Xero!$B:$B,Heron!I$9,Xero!$A:$A,Heron!$A$4,Xero!$E:$E,Heron!$A46)+SUMIFS(Xero!$F:$F,Xero!$B:$B,Heron!I$9,Xero!$A:$A,Heron!$A$5,Xero!$E:$E,Heron!$A46)</f>
        <v/>
      </c>
      <c r="J46" s="117">
        <f>SUMIFS(Xero!$F:$F,Xero!$B:$B,Heron!J$9,Xero!$A:$A,Heron!$A$4,Xero!$E:$E,Heron!$A46)+SUMIFS(Xero!$F:$F,Xero!$B:$B,Heron!J$9,Xero!$A:$A,Heron!$A$5,Xero!$E:$E,Heron!$A46)</f>
        <v/>
      </c>
      <c r="K46" s="117">
        <f>SUMIFS(Xero!$F:$F,Xero!$B:$B,Heron!K$9,Xero!$A:$A,Heron!$A$4,Xero!$E:$E,Heron!$A46)+SUMIFS(Xero!$F:$F,Xero!$B:$B,Heron!K$9,Xero!$A:$A,Heron!$A$5,Xero!$E:$E,Heron!$A46)</f>
        <v/>
      </c>
      <c r="L46" s="117">
        <f>SUMIFS(Xero!$F:$F,Xero!$B:$B,Heron!L$9,Xero!$A:$A,Heron!$A$4,Xero!$E:$E,Heron!$A46)+SUMIFS(Xero!$F:$F,Xero!$B:$B,Heron!L$9,Xero!$A:$A,Heron!$A$5,Xero!$E:$E,Heron!$A46)</f>
        <v/>
      </c>
      <c r="M46" s="117">
        <f>SUMIFS(Xero!$F:$F,Xero!$B:$B,Heron!M$9,Xero!$A:$A,Heron!$A$4,Xero!$E:$E,Heron!$A46)+SUMIFS(Xero!$F:$F,Xero!$B:$B,Heron!M$9,Xero!$A:$A,Heron!$A$5,Xero!$E:$E,Heron!$A46)</f>
        <v/>
      </c>
      <c r="N46" s="117">
        <f>SUMIFS(Xero!$F:$F,Xero!$B:$B,Heron!N$9,Xero!$A:$A,Heron!$A$4,Xero!$E:$E,Heron!$A46)+SUMIFS(Xero!$F:$F,Xero!$B:$B,Heron!N$9,Xero!$A:$A,Heron!$A$5,Xero!$E:$E,Heron!$A46)</f>
        <v/>
      </c>
      <c r="O46" s="117">
        <f>SUMIFS(Xero!$F:$F,Xero!$B:$B,Heron!O$9,Xero!$A:$A,Heron!$A$4,Xero!$E:$E,Heron!$A46)+SUMIFS(Xero!$F:$F,Xero!$B:$B,Heron!O$9,Xero!$A:$A,Heron!$A$5,Xero!$E:$E,Heron!$A46)</f>
        <v/>
      </c>
      <c r="P46" s="117">
        <f>SUMIFS(Xero!$F:$F,Xero!$B:$B,Heron!P$9,Xero!$A:$A,Heron!$A$4,Xero!$E:$E,Heron!$A46)+SUMIFS(Xero!$F:$F,Xero!$B:$B,Heron!P$9,Xero!$A:$A,Heron!$A$5,Xero!$E:$E,Heron!$A46)</f>
        <v/>
      </c>
      <c r="Q46" s="117">
        <f>SUMIFS(Xero!$F:$F,Xero!$B:$B,Heron!Q$9,Xero!$A:$A,Heron!$A$4,Xero!$E:$E,Heron!$A46)+SUMIFS(Xero!$F:$F,Xero!$B:$B,Heron!Q$9,Xero!$A:$A,Heron!$A$5,Xero!$E:$E,Heron!$A46)</f>
        <v/>
      </c>
      <c r="R46" s="117">
        <f>SUMIFS(Xero!$F:$F,Xero!$B:$B,Heron!R$9,Xero!$A:$A,Heron!$A$4,Xero!$E:$E,Heron!$A46)+SUMIFS(Xero!$F:$F,Xero!$B:$B,Heron!R$9,Xero!$A:$A,Heron!$A$5,Xero!$E:$E,Heron!$A46)</f>
        <v/>
      </c>
      <c r="S46" s="117">
        <f>SUMIFS(Xero!$F:$F,Xero!$B:$B,Heron!S$9,Xero!$A:$A,Heron!$A$4,Xero!$E:$E,Heron!$A46)+SUMIFS(Xero!$F:$F,Xero!$B:$B,Heron!S$9,Xero!$A:$A,Heron!$A$5,Xero!$E:$E,Heron!$A46)</f>
        <v/>
      </c>
      <c r="T46" s="117">
        <f>SUMIFS(Xero!$F:$F,Xero!$B:$B,Heron!T$9,Xero!$A:$A,Heron!$A$4,Xero!$E:$E,Heron!$A46)+SUMIFS(Xero!$F:$F,Xero!$B:$B,Heron!T$9,Xero!$A:$A,Heron!$A$5,Xero!$E:$E,Heron!$A46)</f>
        <v/>
      </c>
      <c r="U46" s="117">
        <f>SUMIFS(Xero!$F:$F,Xero!$B:$B,Heron!U$9,Xero!$A:$A,Heron!$A$4,Xero!$E:$E,Heron!$A46)+SUMIFS(Xero!$F:$F,Xero!$B:$B,Heron!U$9,Xero!$A:$A,Heron!$A$5,Xero!$E:$E,Heron!$A46)</f>
        <v/>
      </c>
      <c r="V46" s="117">
        <f>SUMIFS(Xero!$F:$F,Xero!$B:$B,Heron!V$9,Xero!$A:$A,Heron!$A$4,Xero!$E:$E,Heron!$A46)+SUMIFS(Xero!$F:$F,Xero!$B:$B,Heron!V$9,Xero!$A:$A,Heron!$A$5,Xero!$E:$E,Heron!$A46)</f>
        <v/>
      </c>
      <c r="W46" s="117">
        <f>SUMIFS(Xero!$F:$F,Xero!$B:$B,Heron!W$9,Xero!$A:$A,Heron!$A$4,Xero!$E:$E,Heron!$A46)+SUMIFS(Xero!$F:$F,Xero!$B:$B,Heron!W$9,Xero!$A:$A,Heron!$A$5,Xero!$E:$E,Heron!$A46)</f>
        <v/>
      </c>
      <c r="X46" s="117">
        <f>SUMIFS(Xero!$F:$F,Xero!$B:$B,Heron!X$9,Xero!$A:$A,Heron!$A$4,Xero!$E:$E,Heron!$A46)+SUMIFS(Xero!$F:$F,Xero!$B:$B,Heron!X$9,Xero!$A:$A,Heron!$A$5,Xero!$E:$E,Heron!$A46)</f>
        <v/>
      </c>
      <c r="Y46" s="117">
        <f>SUMIFS(Xero!$F:$F,Xero!$B:$B,Heron!Y$9,Xero!$A:$A,Heron!$A$4,Xero!$E:$E,Heron!$A46)+SUMIFS(Xero!$F:$F,Xero!$B:$B,Heron!Y$9,Xero!$A:$A,Heron!$A$5,Xero!$E:$E,Heron!$A46)</f>
        <v/>
      </c>
      <c r="Z46" s="117">
        <f>SUMIFS(Xero!$F:$F,Xero!$B:$B,Heron!Z$9,Xero!$A:$A,Heron!$A$4,Xero!$E:$E,Heron!$A46)+SUMIFS(Xero!$F:$F,Xero!$B:$B,Heron!Z$9,Xero!$A:$A,Heron!$A$5,Xero!$E:$E,Heron!$A46)</f>
        <v/>
      </c>
      <c r="AA46" s="117">
        <f>SUMIFS(Xero!$F:$F,Xero!$B:$B,Heron!AA$9,Xero!$A:$A,Heron!$A$4,Xero!$E:$E,Heron!$A46)+SUMIFS(Xero!$F:$F,Xero!$B:$B,Heron!AA$9,Xero!$A:$A,Heron!$A$5,Xero!$E:$E,Heron!$A46)</f>
        <v/>
      </c>
      <c r="AB46" s="117">
        <f>SUMIFS(Xero!$F:$F,Xero!$B:$B,Heron!AB$9,Xero!$A:$A,Heron!$A$4,Xero!$E:$E,Heron!$A46)+SUMIFS(Xero!$F:$F,Xero!$B:$B,Heron!AB$9,Xero!$A:$A,Heron!$A$5,Xero!$E:$E,Heron!$A46)</f>
        <v/>
      </c>
      <c r="AC46" s="117">
        <f>SUMIFS(Xero!$F:$F,Xero!$B:$B,Heron!AC$9,Xero!$A:$A,Heron!$A$4,Xero!$E:$E,Heron!$A46)+SUMIFS(Xero!$F:$F,Xero!$B:$B,Heron!AC$9,Xero!$A:$A,Heron!$A$5,Xero!$E:$E,Heron!$A46)</f>
        <v/>
      </c>
      <c r="AD46" s="117">
        <f>SUMIFS(Xero!$F:$F,Xero!$B:$B,Heron!AD$9,Xero!$A:$A,Heron!$A$4,Xero!$E:$E,Heron!$A46)+SUMIFS(Xero!$F:$F,Xero!$B:$B,Heron!AD$9,Xero!$A:$A,Heron!$A$5,Xero!$E:$E,Heron!$A46)</f>
        <v/>
      </c>
      <c r="AE46" s="117">
        <f>SUMIFS(Xero!$F:$F,Xero!$B:$B,Heron!AE$9,Xero!$A:$A,Heron!$A$4,Xero!$E:$E,Heron!$A46)+SUMIFS(Xero!$F:$F,Xero!$B:$B,Heron!AE$9,Xero!$A:$A,Heron!$A$5,Xero!$E:$E,Heron!$A46)</f>
        <v/>
      </c>
      <c r="AF46" s="117">
        <f>SUMIFS(Xero!$F:$F,Xero!$B:$B,Heron!AF$9,Xero!$A:$A,Heron!$A$4,Xero!$E:$E,Heron!$A46)+SUMIFS(Xero!$F:$F,Xero!$B:$B,Heron!AF$9,Xero!$A:$A,Heron!$A$5,Xero!$E:$E,Heron!$A46)</f>
        <v/>
      </c>
      <c r="AG46" s="117">
        <f>SUMIFS(Xero!$F:$F,Xero!$B:$B,Heron!AG$9,Xero!$A:$A,Heron!$A$4,Xero!$E:$E,Heron!$A46)+SUMIFS(Xero!$F:$F,Xero!$B:$B,Heron!AG$9,Xero!$A:$A,Heron!$A$5,Xero!$E:$E,Heron!$A46)</f>
        <v/>
      </c>
      <c r="AH46" s="117">
        <f>SUMIFS(Xero!$F:$F,Xero!$B:$B,Heron!AH$9,Xero!$A:$A,Heron!$A$4,Xero!$E:$E,Heron!$A46)+SUMIFS(Xero!$F:$F,Xero!$B:$B,Heron!AH$9,Xero!$A:$A,Heron!$A$5,Xero!$E:$E,Heron!$A46)</f>
        <v/>
      </c>
      <c r="AI46" s="117">
        <f>SUMIFS(Xero!$F:$F,Xero!$B:$B,Heron!AI$9,Xero!$A:$A,Heron!$A$4,Xero!$E:$E,Heron!$A46)+SUMIFS(Xero!$F:$F,Xero!$B:$B,Heron!AI$9,Xero!$A:$A,Heron!$A$5,Xero!$E:$E,Heron!$A46)</f>
        <v/>
      </c>
      <c r="AJ46" s="117">
        <f>SUMIFS(Xero!$F:$F,Xero!$B:$B,Heron!AJ$9,Xero!$A:$A,Heron!$A$4,Xero!$E:$E,Heron!$A46)+SUMIFS(Xero!$F:$F,Xero!$B:$B,Heron!AJ$9,Xero!$A:$A,Heron!$A$5,Xero!$E:$E,Heron!$A46)</f>
        <v/>
      </c>
      <c r="AK46" s="117">
        <f>SUMIFS(Xero!$F:$F,Xero!$B:$B,Heron!AK$9,Xero!$A:$A,Heron!$A$4,Xero!$E:$E,Heron!$A46)+SUMIFS(Xero!$F:$F,Xero!$B:$B,Heron!AK$9,Xero!$A:$A,Heron!$A$5,Xero!$E:$E,Heron!$A46)</f>
        <v/>
      </c>
      <c r="AL46" s="117">
        <f>SUMIFS(Xero!$F:$F,Xero!$B:$B,Heron!AL$9,Xero!$A:$A,Heron!$A$4,Xero!$E:$E,Heron!$A46)+SUMIFS(Xero!$F:$F,Xero!$B:$B,Heron!AL$9,Xero!$A:$A,Heron!$A$5,Xero!$E:$E,Heron!$A46)</f>
        <v/>
      </c>
      <c r="AM46" s="117">
        <f>SUMIFS(Xero!$F:$F,Xero!$B:$B,Heron!AM$9,Xero!$A:$A,Heron!$A$4,Xero!$E:$E,Heron!$A46)+SUMIFS(Xero!$F:$F,Xero!$B:$B,Heron!AM$9,Xero!$A:$A,Heron!$A$5,Xero!$E:$E,Heron!$A46)</f>
        <v/>
      </c>
      <c r="AN46" s="117">
        <f>SUMIFS(Xero!$F:$F,Xero!$B:$B,Heron!AN$9,Xero!$A:$A,Heron!$A$4,Xero!$E:$E,Heron!$A46)+SUMIFS(Xero!$F:$F,Xero!$B:$B,Heron!AN$9,Xero!$A:$A,Heron!$A$5,Xero!$E:$E,Heron!$A46)</f>
        <v/>
      </c>
      <c r="AO46" s="117">
        <f>SUMIFS(Xero!$F:$F,Xero!$B:$B,Heron!AO$9,Xero!$A:$A,Heron!$A$4,Xero!$E:$E,Heron!$A46)+SUMIFS(Xero!$F:$F,Xero!$B:$B,Heron!AO$9,Xero!$A:$A,Heron!$A$5,Xero!$E:$E,Heron!$A46)</f>
        <v/>
      </c>
      <c r="AP46" s="117">
        <f>SUMIFS(Xero!$F:$F,Xero!$B:$B,Heron!AP$9,Xero!$A:$A,Heron!$A$4,Xero!$E:$E,Heron!$A46)+SUMIFS(Xero!$F:$F,Xero!$B:$B,Heron!AP$9,Xero!$A:$A,Heron!$A$5,Xero!$E:$E,Heron!$A46)</f>
        <v/>
      </c>
      <c r="AQ46" s="117">
        <f>SUMIFS(Xero!$F:$F,Xero!$B:$B,Heron!AQ$9,Xero!$A:$A,Heron!$A$4,Xero!$E:$E,Heron!$A46)+SUMIFS(Xero!$F:$F,Xero!$B:$B,Heron!AQ$9,Xero!$A:$A,Heron!$A$5,Xero!$E:$E,Heron!$A46)</f>
        <v/>
      </c>
      <c r="AR46" s="117">
        <f>SUMIFS(Xero!$F:$F,Xero!$B:$B,Heron!AR$9,Xero!$A:$A,Heron!$A$4,Xero!$E:$E,Heron!$A46)+SUMIFS(Xero!$F:$F,Xero!$B:$B,Heron!AR$9,Xero!$A:$A,Heron!$A$5,Xero!$E:$E,Heron!$A46)</f>
        <v/>
      </c>
      <c r="AS46" s="117">
        <f>SUMIFS(Xero!$F:$F,Xero!$B:$B,Heron!AS$9,Xero!$A:$A,Heron!$A$4,Xero!$E:$E,Heron!$A46)+SUMIFS(Xero!$F:$F,Xero!$B:$B,Heron!AS$9,Xero!$A:$A,Heron!$A$5,Xero!$E:$E,Heron!$A46)</f>
        <v/>
      </c>
      <c r="AT46" s="117">
        <f>SUMIFS(Xero!$F:$F,Xero!$B:$B,Heron!AT$9,Xero!$A:$A,Heron!$A$4,Xero!$E:$E,Heron!$A46)+SUMIFS(Xero!$F:$F,Xero!$B:$B,Heron!AT$9,Xero!$A:$A,Heron!$A$5,Xero!$E:$E,Heron!$A46)</f>
        <v/>
      </c>
      <c r="AU46" s="117">
        <f>SUMIFS(Xero!$F:$F,Xero!$B:$B,Heron!AU$9,Xero!$A:$A,Heron!$A$4,Xero!$E:$E,Heron!$A46)+SUMIFS(Xero!$F:$F,Xero!$B:$B,Heron!AU$9,Xero!$A:$A,Heron!$A$5,Xero!$E:$E,Heron!$A46)</f>
        <v/>
      </c>
      <c r="AV46" s="117">
        <f>SUMIFS(Xero!$F:$F,Xero!$B:$B,Heron!AV$9,Xero!$A:$A,Heron!$A$4,Xero!$E:$E,Heron!$A46)+SUMIFS(Xero!$F:$F,Xero!$B:$B,Heron!AV$9,Xero!$A:$A,Heron!$A$5,Xero!$E:$E,Heron!$A46)</f>
        <v/>
      </c>
      <c r="AW46" s="117">
        <f>SUMIFS(Xero!$F:$F,Xero!$B:$B,Heron!AW$9,Xero!$A:$A,Heron!$A$4,Xero!$E:$E,Heron!$A46)+SUMIFS(Xero!$F:$F,Xero!$B:$B,Heron!AW$9,Xero!$A:$A,Heron!$A$5,Xero!$E:$E,Heron!$A46)</f>
        <v/>
      </c>
      <c r="AX46" s="117">
        <f>SUMIFS(Xero!$F:$F,Xero!$B:$B,Heron!AX$9,Xero!$A:$A,Heron!$A$4,Xero!$E:$E,Heron!$A46)+SUMIFS(Xero!$F:$F,Xero!$B:$B,Heron!AX$9,Xero!$A:$A,Heron!$A$5,Xero!$E:$E,Heron!$A46)</f>
        <v/>
      </c>
      <c r="AY46" s="117">
        <f>SUMIFS(Xero!$F:$F,Xero!$B:$B,Heron!AY$9,Xero!$A:$A,Heron!$A$4,Xero!$E:$E,Heron!$A46)+SUMIFS(Xero!$F:$F,Xero!$B:$B,Heron!AY$9,Xero!$A:$A,Heron!$A$5,Xero!$E:$E,Heron!$A46)</f>
        <v/>
      </c>
      <c r="AZ46" s="117">
        <f>SUMIFS(Xero!$F:$F,Xero!$B:$B,Heron!AZ$9,Xero!$A:$A,Heron!$A$4,Xero!$E:$E,Heron!$A46)+SUMIFS(Xero!$F:$F,Xero!$B:$B,Heron!AZ$9,Xero!$A:$A,Heron!$A$5,Xero!$E:$E,Heron!$A46)</f>
        <v/>
      </c>
      <c r="BA46" s="117">
        <f>SUMIFS(Xero!$F:$F,Xero!$B:$B,Heron!BA$9,Xero!$A:$A,Heron!$A$4,Xero!$E:$E,Heron!$A46)+SUMIFS(Xero!$F:$F,Xero!$B:$B,Heron!BA$9,Xero!$A:$A,Heron!$A$5,Xero!$E:$E,Heron!$A46)</f>
        <v/>
      </c>
      <c r="BB46" s="117">
        <f>SUMIFS(Xero!$F:$F,Xero!$B:$B,Heron!BB$9,Xero!$A:$A,Heron!$A$4,Xero!$E:$E,Heron!$A46)+SUMIFS(Xero!$F:$F,Xero!$B:$B,Heron!BB$9,Xero!$A:$A,Heron!$A$5,Xero!$E:$E,Heron!$A46)</f>
        <v/>
      </c>
      <c r="BC46" s="117">
        <f>SUMIFS(Xero!$F:$F,Xero!$B:$B,Heron!BC$9,Xero!$A:$A,Heron!$A$4,Xero!$E:$E,Heron!$A46)+SUMIFS(Xero!$F:$F,Xero!$B:$B,Heron!BC$9,Xero!$A:$A,Heron!$A$5,Xero!$E:$E,Heron!$A46)</f>
        <v/>
      </c>
      <c r="BD46" s="117">
        <f>SUMIFS(Xero!$F:$F,Xero!$B:$B,Heron!BD$9,Xero!$A:$A,Heron!$A$4,Xero!$E:$E,Heron!$A46)+SUMIFS(Xero!$F:$F,Xero!$B:$B,Heron!BD$9,Xero!$A:$A,Heron!$A$5,Xero!$E:$E,Heron!$A46)</f>
        <v/>
      </c>
      <c r="BE46" s="117">
        <f>SUMIFS(Xero!$F:$F,Xero!$B:$B,Heron!BE$9,Xero!$A:$A,Heron!$A$4,Xero!$E:$E,Heron!$A46)+SUMIFS(Xero!$F:$F,Xero!$B:$B,Heron!BE$9,Xero!$A:$A,Heron!$A$5,Xero!$E:$E,Heron!$A46)</f>
        <v/>
      </c>
      <c r="BF46" s="117">
        <f>SUMIFS(Xero!$F:$F,Xero!$B:$B,Heron!BF$9,Xero!$A:$A,Heron!$A$4,Xero!$E:$E,Heron!$A46)+SUMIFS(Xero!$F:$F,Xero!$B:$B,Heron!BF$9,Xero!$A:$A,Heron!$A$5,Xero!$E:$E,Heron!$A46)</f>
        <v/>
      </c>
      <c r="BG46" s="117">
        <f>SUMIFS(Xero!$F:$F,Xero!$B:$B,Heron!BG$9,Xero!$A:$A,Heron!$A$4,Xero!$E:$E,Heron!$A46)+SUMIFS(Xero!$F:$F,Xero!$B:$B,Heron!BG$9,Xero!$A:$A,Heron!$A$5,Xero!$E:$E,Heron!$A46)</f>
        <v/>
      </c>
      <c r="BH46" s="117">
        <f>SUMIFS(Xero!$F:$F,Xero!$B:$B,Heron!BH$9,Xero!$A:$A,Heron!$A$4,Xero!$E:$E,Heron!$A46)+SUMIFS(Xero!$F:$F,Xero!$B:$B,Heron!BH$9,Xero!$A:$A,Heron!$A$5,Xero!$E:$E,Heron!$A46)</f>
        <v/>
      </c>
      <c r="BI46" s="117">
        <f>SUMIFS(Xero!$F:$F,Xero!$B:$B,Heron!BI$9,Xero!$A:$A,Heron!$A$4,Xero!$E:$E,Heron!$A46)+SUMIFS(Xero!$F:$F,Xero!$B:$B,Heron!BI$9,Xero!$A:$A,Heron!$A$5,Xero!$E:$E,Heron!$A46)</f>
        <v/>
      </c>
      <c r="BJ46" s="117">
        <f>SUMIFS(Xero!$F:$F,Xero!$B:$B,Heron!BJ$9,Xero!$A:$A,Heron!$A$4,Xero!$E:$E,Heron!$A46)+SUMIFS(Xero!$F:$F,Xero!$B:$B,Heron!BJ$9,Xero!$A:$A,Heron!$A$5,Xero!$E:$E,Heron!$A46)</f>
        <v/>
      </c>
      <c r="BK46" s="117">
        <f>sum(D46:BJ46)</f>
        <v/>
      </c>
    </row>
    <row r="47">
      <c r="A47" s="116" t="inlineStr">
        <is>
          <t>COS - Construction</t>
        </is>
      </c>
      <c r="D47" s="117">
        <f>SUMIFS(Xero!$F:$F,Xero!$B:$B,Heron!D$9,Xero!$A:$A,Heron!$A$4,Xero!$E:$E,Heron!$A47)+SUMIFS(Xero!$F:$F,Xero!$B:$B,Heron!D$9,Xero!$A:$A,Heron!$A$5,Xero!$E:$E,Heron!$A47)</f>
        <v/>
      </c>
      <c r="E47" s="117">
        <f>SUMIFS(Xero!$F:$F,Xero!$B:$B,Heron!E$9,Xero!$A:$A,Heron!$A$4,Xero!$E:$E,Heron!$A47)+SUMIFS(Xero!$F:$F,Xero!$B:$B,Heron!E$9,Xero!$A:$A,Heron!$A$5,Xero!$E:$E,Heron!$A47)</f>
        <v/>
      </c>
      <c r="F47" s="117">
        <f>SUMIFS(Xero!$F:$F,Xero!$B:$B,Heron!F$9,Xero!$A:$A,Heron!$A$4,Xero!$E:$E,Heron!$A47)+SUMIFS(Xero!$F:$F,Xero!$B:$B,Heron!F$9,Xero!$A:$A,Heron!$A$5,Xero!$E:$E,Heron!$A47)</f>
        <v/>
      </c>
      <c r="G47" s="117">
        <f>SUMIFS(Xero!$F:$F,Xero!$B:$B,Heron!G$9,Xero!$A:$A,Heron!$A$4,Xero!$E:$E,Heron!$A47)+SUMIFS(Xero!$F:$F,Xero!$B:$B,Heron!G$9,Xero!$A:$A,Heron!$A$5,Xero!$E:$E,Heron!$A47)</f>
        <v/>
      </c>
      <c r="H47" s="117">
        <f>SUMIFS(Xero!$F:$F,Xero!$B:$B,Heron!H$9,Xero!$A:$A,Heron!$A$4,Xero!$E:$E,Heron!$A47)+SUMIFS(Xero!$F:$F,Xero!$B:$B,Heron!H$9,Xero!$A:$A,Heron!$A$5,Xero!$E:$E,Heron!$A47)</f>
        <v/>
      </c>
      <c r="I47" s="117">
        <f>SUMIFS(Xero!$F:$F,Xero!$B:$B,Heron!I$9,Xero!$A:$A,Heron!$A$4,Xero!$E:$E,Heron!$A47)+SUMIFS(Xero!$F:$F,Xero!$B:$B,Heron!I$9,Xero!$A:$A,Heron!$A$5,Xero!$E:$E,Heron!$A47)</f>
        <v/>
      </c>
      <c r="J47" s="117">
        <f>SUMIFS(Xero!$F:$F,Xero!$B:$B,Heron!J$9,Xero!$A:$A,Heron!$A$4,Xero!$E:$E,Heron!$A47)+SUMIFS(Xero!$F:$F,Xero!$B:$B,Heron!J$9,Xero!$A:$A,Heron!$A$5,Xero!$E:$E,Heron!$A47)</f>
        <v/>
      </c>
      <c r="K47" s="117">
        <f>SUMIFS(Xero!$F:$F,Xero!$B:$B,Heron!K$9,Xero!$A:$A,Heron!$A$4,Xero!$E:$E,Heron!$A47)+SUMIFS(Xero!$F:$F,Xero!$B:$B,Heron!K$9,Xero!$A:$A,Heron!$A$5,Xero!$E:$E,Heron!$A47)</f>
        <v/>
      </c>
      <c r="L47" s="117">
        <f>SUMIFS(Xero!$F:$F,Xero!$B:$B,Heron!L$9,Xero!$A:$A,Heron!$A$4,Xero!$E:$E,Heron!$A47)+SUMIFS(Xero!$F:$F,Xero!$B:$B,Heron!L$9,Xero!$A:$A,Heron!$A$5,Xero!$E:$E,Heron!$A47)</f>
        <v/>
      </c>
      <c r="M47" s="117">
        <f>SUMIFS(Xero!$F:$F,Xero!$B:$B,Heron!M$9,Xero!$A:$A,Heron!$A$4,Xero!$E:$E,Heron!$A47)+SUMIFS(Xero!$F:$F,Xero!$B:$B,Heron!M$9,Xero!$A:$A,Heron!$A$5,Xero!$E:$E,Heron!$A47)</f>
        <v/>
      </c>
      <c r="N47" s="117">
        <f>SUMIFS(Xero!$F:$F,Xero!$B:$B,Heron!N$9,Xero!$A:$A,Heron!$A$4,Xero!$E:$E,Heron!$A47)+SUMIFS(Xero!$F:$F,Xero!$B:$B,Heron!N$9,Xero!$A:$A,Heron!$A$5,Xero!$E:$E,Heron!$A47)</f>
        <v/>
      </c>
      <c r="O47" s="117">
        <f>SUMIFS(Xero!$F:$F,Xero!$B:$B,Heron!O$9,Xero!$A:$A,Heron!$A$4,Xero!$E:$E,Heron!$A47)+SUMIFS(Xero!$F:$F,Xero!$B:$B,Heron!O$9,Xero!$A:$A,Heron!$A$5,Xero!$E:$E,Heron!$A47)</f>
        <v/>
      </c>
      <c r="P47" s="117">
        <f>SUMIFS(Xero!$F:$F,Xero!$B:$B,Heron!P$9,Xero!$A:$A,Heron!$A$4,Xero!$E:$E,Heron!$A47)+SUMIFS(Xero!$F:$F,Xero!$B:$B,Heron!P$9,Xero!$A:$A,Heron!$A$5,Xero!$E:$E,Heron!$A47)</f>
        <v/>
      </c>
      <c r="Q47" s="117">
        <f>SUMIFS(Xero!$F:$F,Xero!$B:$B,Heron!Q$9,Xero!$A:$A,Heron!$A$4,Xero!$E:$E,Heron!$A47)+SUMIFS(Xero!$F:$F,Xero!$B:$B,Heron!Q$9,Xero!$A:$A,Heron!$A$5,Xero!$E:$E,Heron!$A47)</f>
        <v/>
      </c>
      <c r="R47" s="117">
        <f>SUMIFS(Xero!$F:$F,Xero!$B:$B,Heron!R$9,Xero!$A:$A,Heron!$A$4,Xero!$E:$E,Heron!$A47)+SUMIFS(Xero!$F:$F,Xero!$B:$B,Heron!R$9,Xero!$A:$A,Heron!$A$5,Xero!$E:$E,Heron!$A47)</f>
        <v/>
      </c>
      <c r="S47" s="117">
        <f>SUMIFS(Xero!$F:$F,Xero!$B:$B,Heron!S$9,Xero!$A:$A,Heron!$A$4,Xero!$E:$E,Heron!$A47)+SUMIFS(Xero!$F:$F,Xero!$B:$B,Heron!S$9,Xero!$A:$A,Heron!$A$5,Xero!$E:$E,Heron!$A47)</f>
        <v/>
      </c>
      <c r="T47" s="117">
        <f>SUMIFS(Xero!$F:$F,Xero!$B:$B,Heron!T$9,Xero!$A:$A,Heron!$A$4,Xero!$E:$E,Heron!$A47)+SUMIFS(Xero!$F:$F,Xero!$B:$B,Heron!T$9,Xero!$A:$A,Heron!$A$5,Xero!$E:$E,Heron!$A47)</f>
        <v/>
      </c>
      <c r="U47" s="117">
        <f>SUMIFS(Xero!$F:$F,Xero!$B:$B,Heron!U$9,Xero!$A:$A,Heron!$A$4,Xero!$E:$E,Heron!$A47)+SUMIFS(Xero!$F:$F,Xero!$B:$B,Heron!U$9,Xero!$A:$A,Heron!$A$5,Xero!$E:$E,Heron!$A47)</f>
        <v/>
      </c>
      <c r="V47" s="117">
        <f>SUMIFS(Xero!$F:$F,Xero!$B:$B,Heron!V$9,Xero!$A:$A,Heron!$A$4,Xero!$E:$E,Heron!$A47)+SUMIFS(Xero!$F:$F,Xero!$B:$B,Heron!V$9,Xero!$A:$A,Heron!$A$5,Xero!$E:$E,Heron!$A47)</f>
        <v/>
      </c>
      <c r="W47" s="117">
        <f>SUMIFS(Xero!$F:$F,Xero!$B:$B,Heron!W$9,Xero!$A:$A,Heron!$A$4,Xero!$E:$E,Heron!$A47)+SUMIFS(Xero!$F:$F,Xero!$B:$B,Heron!W$9,Xero!$A:$A,Heron!$A$5,Xero!$E:$E,Heron!$A47)</f>
        <v/>
      </c>
      <c r="X47" s="117">
        <f>SUMIFS(Xero!$F:$F,Xero!$B:$B,Heron!X$9,Xero!$A:$A,Heron!$A$4,Xero!$E:$E,Heron!$A47)+SUMIFS(Xero!$F:$F,Xero!$B:$B,Heron!X$9,Xero!$A:$A,Heron!$A$5,Xero!$E:$E,Heron!$A47)</f>
        <v/>
      </c>
      <c r="Y47" s="117">
        <f>SUMIFS(Xero!$F:$F,Xero!$B:$B,Heron!Y$9,Xero!$A:$A,Heron!$A$4,Xero!$E:$E,Heron!$A47)+SUMIFS(Xero!$F:$F,Xero!$B:$B,Heron!Y$9,Xero!$A:$A,Heron!$A$5,Xero!$E:$E,Heron!$A47)</f>
        <v/>
      </c>
      <c r="Z47" s="117">
        <f>SUMIFS(Xero!$F:$F,Xero!$B:$B,Heron!Z$9,Xero!$A:$A,Heron!$A$4,Xero!$E:$E,Heron!$A47)+SUMIFS(Xero!$F:$F,Xero!$B:$B,Heron!Z$9,Xero!$A:$A,Heron!$A$5,Xero!$E:$E,Heron!$A47)</f>
        <v/>
      </c>
      <c r="AA47" s="117">
        <f>SUMIFS(Xero!$F:$F,Xero!$B:$B,Heron!AA$9,Xero!$A:$A,Heron!$A$4,Xero!$E:$E,Heron!$A47)+SUMIFS(Xero!$F:$F,Xero!$B:$B,Heron!AA$9,Xero!$A:$A,Heron!$A$5,Xero!$E:$E,Heron!$A47)</f>
        <v/>
      </c>
      <c r="AB47" s="117">
        <f>SUMIFS(Xero!$F:$F,Xero!$B:$B,Heron!AB$9,Xero!$A:$A,Heron!$A$4,Xero!$E:$E,Heron!$A47)+SUMIFS(Xero!$F:$F,Xero!$B:$B,Heron!AB$9,Xero!$A:$A,Heron!$A$5,Xero!$E:$E,Heron!$A47)</f>
        <v/>
      </c>
      <c r="AC47" s="117">
        <f>SUMIFS(Xero!$F:$F,Xero!$B:$B,Heron!AC$9,Xero!$A:$A,Heron!$A$4,Xero!$E:$E,Heron!$A47)+SUMIFS(Xero!$F:$F,Xero!$B:$B,Heron!AC$9,Xero!$A:$A,Heron!$A$5,Xero!$E:$E,Heron!$A47)</f>
        <v/>
      </c>
      <c r="AD47" s="117">
        <f>SUMIFS(Xero!$F:$F,Xero!$B:$B,Heron!AD$9,Xero!$A:$A,Heron!$A$4,Xero!$E:$E,Heron!$A47)+SUMIFS(Xero!$F:$F,Xero!$B:$B,Heron!AD$9,Xero!$A:$A,Heron!$A$5,Xero!$E:$E,Heron!$A47)</f>
        <v/>
      </c>
      <c r="AE47" s="117">
        <f>SUMIFS(Xero!$F:$F,Xero!$B:$B,Heron!AE$9,Xero!$A:$A,Heron!$A$4,Xero!$E:$E,Heron!$A47)+SUMIFS(Xero!$F:$F,Xero!$B:$B,Heron!AE$9,Xero!$A:$A,Heron!$A$5,Xero!$E:$E,Heron!$A47)</f>
        <v/>
      </c>
      <c r="AF47" s="117">
        <f>SUMIFS(Xero!$F:$F,Xero!$B:$B,Heron!AF$9,Xero!$A:$A,Heron!$A$4,Xero!$E:$E,Heron!$A47)+SUMIFS(Xero!$F:$F,Xero!$B:$B,Heron!AF$9,Xero!$A:$A,Heron!$A$5,Xero!$E:$E,Heron!$A47)</f>
        <v/>
      </c>
      <c r="AG47" s="117">
        <f>SUMIFS(Xero!$F:$F,Xero!$B:$B,Heron!AG$9,Xero!$A:$A,Heron!$A$4,Xero!$E:$E,Heron!$A47)+SUMIFS(Xero!$F:$F,Xero!$B:$B,Heron!AG$9,Xero!$A:$A,Heron!$A$5,Xero!$E:$E,Heron!$A47)</f>
        <v/>
      </c>
      <c r="AH47" s="117">
        <f>SUMIFS(Xero!$F:$F,Xero!$B:$B,Heron!AH$9,Xero!$A:$A,Heron!$A$4,Xero!$E:$E,Heron!$A47)+SUMIFS(Xero!$F:$F,Xero!$B:$B,Heron!AH$9,Xero!$A:$A,Heron!$A$5,Xero!$E:$E,Heron!$A47)</f>
        <v/>
      </c>
      <c r="AI47" s="117">
        <f>SUMIFS(Xero!$F:$F,Xero!$B:$B,Heron!AI$9,Xero!$A:$A,Heron!$A$4,Xero!$E:$E,Heron!$A47)+SUMIFS(Xero!$F:$F,Xero!$B:$B,Heron!AI$9,Xero!$A:$A,Heron!$A$5,Xero!$E:$E,Heron!$A47)</f>
        <v/>
      </c>
      <c r="AJ47" s="117">
        <f>SUMIFS(Xero!$F:$F,Xero!$B:$B,Heron!AJ$9,Xero!$A:$A,Heron!$A$4,Xero!$E:$E,Heron!$A47)+SUMIFS(Xero!$F:$F,Xero!$B:$B,Heron!AJ$9,Xero!$A:$A,Heron!$A$5,Xero!$E:$E,Heron!$A47)</f>
        <v/>
      </c>
      <c r="AK47" s="117">
        <f>SUMIFS(Xero!$F:$F,Xero!$B:$B,Heron!AK$9,Xero!$A:$A,Heron!$A$4,Xero!$E:$E,Heron!$A47)+SUMIFS(Xero!$F:$F,Xero!$B:$B,Heron!AK$9,Xero!$A:$A,Heron!$A$5,Xero!$E:$E,Heron!$A47)</f>
        <v/>
      </c>
      <c r="AL47" s="117">
        <f>SUMIFS(Xero!$F:$F,Xero!$B:$B,Heron!AL$9,Xero!$A:$A,Heron!$A$4,Xero!$E:$E,Heron!$A47)+SUMIFS(Xero!$F:$F,Xero!$B:$B,Heron!AL$9,Xero!$A:$A,Heron!$A$5,Xero!$E:$E,Heron!$A47)</f>
        <v/>
      </c>
      <c r="AM47" s="117">
        <f>SUMIFS(Xero!$F:$F,Xero!$B:$B,Heron!AM$9,Xero!$A:$A,Heron!$A$4,Xero!$E:$E,Heron!$A47)+SUMIFS(Xero!$F:$F,Xero!$B:$B,Heron!AM$9,Xero!$A:$A,Heron!$A$5,Xero!$E:$E,Heron!$A47)</f>
        <v/>
      </c>
      <c r="AN47" s="117">
        <f>SUMIFS(Xero!$F:$F,Xero!$B:$B,Heron!AN$9,Xero!$A:$A,Heron!$A$4,Xero!$E:$E,Heron!$A47)+SUMIFS(Xero!$F:$F,Xero!$B:$B,Heron!AN$9,Xero!$A:$A,Heron!$A$5,Xero!$E:$E,Heron!$A47)</f>
        <v/>
      </c>
      <c r="AO47" s="117">
        <f>SUMIFS(Xero!$F:$F,Xero!$B:$B,Heron!AO$9,Xero!$A:$A,Heron!$A$4,Xero!$E:$E,Heron!$A47)+SUMIFS(Xero!$F:$F,Xero!$B:$B,Heron!AO$9,Xero!$A:$A,Heron!$A$5,Xero!$E:$E,Heron!$A47)</f>
        <v/>
      </c>
      <c r="AP47" s="117">
        <f>SUMIFS(Xero!$F:$F,Xero!$B:$B,Heron!AP$9,Xero!$A:$A,Heron!$A$4,Xero!$E:$E,Heron!$A47)+SUMIFS(Xero!$F:$F,Xero!$B:$B,Heron!AP$9,Xero!$A:$A,Heron!$A$5,Xero!$E:$E,Heron!$A47)</f>
        <v/>
      </c>
      <c r="AQ47" s="117">
        <f>SUMIFS(Xero!$F:$F,Xero!$B:$B,Heron!AQ$9,Xero!$A:$A,Heron!$A$4,Xero!$E:$E,Heron!$A47)+SUMIFS(Xero!$F:$F,Xero!$B:$B,Heron!AQ$9,Xero!$A:$A,Heron!$A$5,Xero!$E:$E,Heron!$A47)</f>
        <v/>
      </c>
      <c r="AR47" s="117">
        <f>SUMIFS(Xero!$F:$F,Xero!$B:$B,Heron!AR$9,Xero!$A:$A,Heron!$A$4,Xero!$E:$E,Heron!$A47)+SUMIFS(Xero!$F:$F,Xero!$B:$B,Heron!AR$9,Xero!$A:$A,Heron!$A$5,Xero!$E:$E,Heron!$A47)</f>
        <v/>
      </c>
      <c r="AS47" s="117">
        <f>SUMIFS(Xero!$F:$F,Xero!$B:$B,Heron!AS$9,Xero!$A:$A,Heron!$A$4,Xero!$E:$E,Heron!$A47)+SUMIFS(Xero!$F:$F,Xero!$B:$B,Heron!AS$9,Xero!$A:$A,Heron!$A$5,Xero!$E:$E,Heron!$A47)</f>
        <v/>
      </c>
      <c r="AT47" s="117">
        <f>SUMIFS(Xero!$F:$F,Xero!$B:$B,Heron!AT$9,Xero!$A:$A,Heron!$A$4,Xero!$E:$E,Heron!$A47)+SUMIFS(Xero!$F:$F,Xero!$B:$B,Heron!AT$9,Xero!$A:$A,Heron!$A$5,Xero!$E:$E,Heron!$A47)</f>
        <v/>
      </c>
      <c r="AU47" s="117">
        <f>SUMIFS(Xero!$F:$F,Xero!$B:$B,Heron!AU$9,Xero!$A:$A,Heron!$A$4,Xero!$E:$E,Heron!$A47)+SUMIFS(Xero!$F:$F,Xero!$B:$B,Heron!AU$9,Xero!$A:$A,Heron!$A$5,Xero!$E:$E,Heron!$A47)</f>
        <v/>
      </c>
      <c r="AV47" s="117">
        <f>SUMIFS(Xero!$F:$F,Xero!$B:$B,Heron!AV$9,Xero!$A:$A,Heron!$A$4,Xero!$E:$E,Heron!$A47)+SUMIFS(Xero!$F:$F,Xero!$B:$B,Heron!AV$9,Xero!$A:$A,Heron!$A$5,Xero!$E:$E,Heron!$A47)</f>
        <v/>
      </c>
      <c r="AW47" s="117">
        <f>SUMIFS(Xero!$F:$F,Xero!$B:$B,Heron!AW$9,Xero!$A:$A,Heron!$A$4,Xero!$E:$E,Heron!$A47)+SUMIFS(Xero!$F:$F,Xero!$B:$B,Heron!AW$9,Xero!$A:$A,Heron!$A$5,Xero!$E:$E,Heron!$A47)</f>
        <v/>
      </c>
      <c r="AX47" s="117">
        <f>SUMIFS(Xero!$F:$F,Xero!$B:$B,Heron!AX$9,Xero!$A:$A,Heron!$A$4,Xero!$E:$E,Heron!$A47)+SUMIFS(Xero!$F:$F,Xero!$B:$B,Heron!AX$9,Xero!$A:$A,Heron!$A$5,Xero!$E:$E,Heron!$A47)</f>
        <v/>
      </c>
      <c r="AY47" s="117">
        <f>SUMIFS(Xero!$F:$F,Xero!$B:$B,Heron!AY$9,Xero!$A:$A,Heron!$A$4,Xero!$E:$E,Heron!$A47)+SUMIFS(Xero!$F:$F,Xero!$B:$B,Heron!AY$9,Xero!$A:$A,Heron!$A$5,Xero!$E:$E,Heron!$A47)</f>
        <v/>
      </c>
      <c r="AZ47" s="117">
        <f>SUMIFS(Xero!$F:$F,Xero!$B:$B,Heron!AZ$9,Xero!$A:$A,Heron!$A$4,Xero!$E:$E,Heron!$A47)+SUMIFS(Xero!$F:$F,Xero!$B:$B,Heron!AZ$9,Xero!$A:$A,Heron!$A$5,Xero!$E:$E,Heron!$A47)</f>
        <v/>
      </c>
      <c r="BA47" s="117">
        <f>SUMIFS(Xero!$F:$F,Xero!$B:$B,Heron!BA$9,Xero!$A:$A,Heron!$A$4,Xero!$E:$E,Heron!$A47)+SUMIFS(Xero!$F:$F,Xero!$B:$B,Heron!BA$9,Xero!$A:$A,Heron!$A$5,Xero!$E:$E,Heron!$A47)</f>
        <v/>
      </c>
      <c r="BB47" s="117">
        <f>SUMIFS(Xero!$F:$F,Xero!$B:$B,Heron!BB$9,Xero!$A:$A,Heron!$A$4,Xero!$E:$E,Heron!$A47)+SUMIFS(Xero!$F:$F,Xero!$B:$B,Heron!BB$9,Xero!$A:$A,Heron!$A$5,Xero!$E:$E,Heron!$A47)</f>
        <v/>
      </c>
      <c r="BC47" s="117">
        <f>SUMIFS(Xero!$F:$F,Xero!$B:$B,Heron!BC$9,Xero!$A:$A,Heron!$A$4,Xero!$E:$E,Heron!$A47)+SUMIFS(Xero!$F:$F,Xero!$B:$B,Heron!BC$9,Xero!$A:$A,Heron!$A$5,Xero!$E:$E,Heron!$A47)</f>
        <v/>
      </c>
      <c r="BD47" s="117">
        <f>SUMIFS(Xero!$F:$F,Xero!$B:$B,Heron!BD$9,Xero!$A:$A,Heron!$A$4,Xero!$E:$E,Heron!$A47)+SUMIFS(Xero!$F:$F,Xero!$B:$B,Heron!BD$9,Xero!$A:$A,Heron!$A$5,Xero!$E:$E,Heron!$A47)</f>
        <v/>
      </c>
      <c r="BE47" s="117">
        <f>SUMIFS(Xero!$F:$F,Xero!$B:$B,Heron!BE$9,Xero!$A:$A,Heron!$A$4,Xero!$E:$E,Heron!$A47)+SUMIFS(Xero!$F:$F,Xero!$B:$B,Heron!BE$9,Xero!$A:$A,Heron!$A$5,Xero!$E:$E,Heron!$A47)</f>
        <v/>
      </c>
      <c r="BF47" s="117">
        <f>SUMIFS(Xero!$F:$F,Xero!$B:$B,Heron!BF$9,Xero!$A:$A,Heron!$A$4,Xero!$E:$E,Heron!$A47)+SUMIFS(Xero!$F:$F,Xero!$B:$B,Heron!BF$9,Xero!$A:$A,Heron!$A$5,Xero!$E:$E,Heron!$A47)</f>
        <v/>
      </c>
      <c r="BG47" s="117">
        <f>SUMIFS(Xero!$F:$F,Xero!$B:$B,Heron!BG$9,Xero!$A:$A,Heron!$A$4,Xero!$E:$E,Heron!$A47)+SUMIFS(Xero!$F:$F,Xero!$B:$B,Heron!BG$9,Xero!$A:$A,Heron!$A$5,Xero!$E:$E,Heron!$A47)</f>
        <v/>
      </c>
      <c r="BH47" s="117">
        <f>SUMIFS(Xero!$F:$F,Xero!$B:$B,Heron!BH$9,Xero!$A:$A,Heron!$A$4,Xero!$E:$E,Heron!$A47)+SUMIFS(Xero!$F:$F,Xero!$B:$B,Heron!BH$9,Xero!$A:$A,Heron!$A$5,Xero!$E:$E,Heron!$A47)</f>
        <v/>
      </c>
      <c r="BI47" s="117">
        <f>SUMIFS(Xero!$F:$F,Xero!$B:$B,Heron!BI$9,Xero!$A:$A,Heron!$A$4,Xero!$E:$E,Heron!$A47)+SUMIFS(Xero!$F:$F,Xero!$B:$B,Heron!BI$9,Xero!$A:$A,Heron!$A$5,Xero!$E:$E,Heron!$A47)</f>
        <v/>
      </c>
      <c r="BJ47" s="117">
        <f>SUMIFS(Xero!$F:$F,Xero!$B:$B,Heron!BJ$9,Xero!$A:$A,Heron!$A$4,Xero!$E:$E,Heron!$A47)+SUMIFS(Xero!$F:$F,Xero!$B:$B,Heron!BJ$9,Xero!$A:$A,Heron!$A$5,Xero!$E:$E,Heron!$A47)</f>
        <v/>
      </c>
      <c r="BK47" s="117">
        <f>sum(D47:BJ47)</f>
        <v/>
      </c>
    </row>
    <row r="48">
      <c r="A48" s="116" t="inlineStr">
        <is>
          <t>COS - Electricity</t>
        </is>
      </c>
      <c r="D48" s="117">
        <f>SUMIFS(Xero!$F:$F,Xero!$B:$B,Heron!D$9,Xero!$A:$A,Heron!$A$4,Xero!$E:$E,Heron!$A48)+SUMIFS(Xero!$F:$F,Xero!$B:$B,Heron!D$9,Xero!$A:$A,Heron!$A$5,Xero!$E:$E,Heron!$A48)</f>
        <v/>
      </c>
      <c r="E48" s="117">
        <f>SUMIFS(Xero!$F:$F,Xero!$B:$B,Heron!E$9,Xero!$A:$A,Heron!$A$4,Xero!$E:$E,Heron!$A48)+SUMIFS(Xero!$F:$F,Xero!$B:$B,Heron!E$9,Xero!$A:$A,Heron!$A$5,Xero!$E:$E,Heron!$A48)</f>
        <v/>
      </c>
      <c r="F48" s="117">
        <f>SUMIFS(Xero!$F:$F,Xero!$B:$B,Heron!F$9,Xero!$A:$A,Heron!$A$4,Xero!$E:$E,Heron!$A48)+SUMIFS(Xero!$F:$F,Xero!$B:$B,Heron!F$9,Xero!$A:$A,Heron!$A$5,Xero!$E:$E,Heron!$A48)</f>
        <v/>
      </c>
      <c r="G48" s="117">
        <f>SUMIFS(Xero!$F:$F,Xero!$B:$B,Heron!G$9,Xero!$A:$A,Heron!$A$4,Xero!$E:$E,Heron!$A48)+SUMIFS(Xero!$F:$F,Xero!$B:$B,Heron!G$9,Xero!$A:$A,Heron!$A$5,Xero!$E:$E,Heron!$A48)</f>
        <v/>
      </c>
      <c r="H48" s="117">
        <f>SUMIFS(Xero!$F:$F,Xero!$B:$B,Heron!H$9,Xero!$A:$A,Heron!$A$4,Xero!$E:$E,Heron!$A48)+SUMIFS(Xero!$F:$F,Xero!$B:$B,Heron!H$9,Xero!$A:$A,Heron!$A$5,Xero!$E:$E,Heron!$A48)</f>
        <v/>
      </c>
      <c r="I48" s="117">
        <f>SUMIFS(Xero!$F:$F,Xero!$B:$B,Heron!I$9,Xero!$A:$A,Heron!$A$4,Xero!$E:$E,Heron!$A48)+SUMIFS(Xero!$F:$F,Xero!$B:$B,Heron!I$9,Xero!$A:$A,Heron!$A$5,Xero!$E:$E,Heron!$A48)</f>
        <v/>
      </c>
      <c r="J48" s="117">
        <f>SUMIFS(Xero!$F:$F,Xero!$B:$B,Heron!J$9,Xero!$A:$A,Heron!$A$4,Xero!$E:$E,Heron!$A48)+SUMIFS(Xero!$F:$F,Xero!$B:$B,Heron!J$9,Xero!$A:$A,Heron!$A$5,Xero!$E:$E,Heron!$A48)</f>
        <v/>
      </c>
      <c r="K48" s="117">
        <f>SUMIFS(Xero!$F:$F,Xero!$B:$B,Heron!K$9,Xero!$A:$A,Heron!$A$4,Xero!$E:$E,Heron!$A48)+SUMIFS(Xero!$F:$F,Xero!$B:$B,Heron!K$9,Xero!$A:$A,Heron!$A$5,Xero!$E:$E,Heron!$A48)</f>
        <v/>
      </c>
      <c r="L48" s="117">
        <f>SUMIFS(Xero!$F:$F,Xero!$B:$B,Heron!L$9,Xero!$A:$A,Heron!$A$4,Xero!$E:$E,Heron!$A48)+SUMIFS(Xero!$F:$F,Xero!$B:$B,Heron!L$9,Xero!$A:$A,Heron!$A$5,Xero!$E:$E,Heron!$A48)</f>
        <v/>
      </c>
      <c r="M48" s="117">
        <f>SUMIFS(Xero!$F:$F,Xero!$B:$B,Heron!M$9,Xero!$A:$A,Heron!$A$4,Xero!$E:$E,Heron!$A48)+SUMIFS(Xero!$F:$F,Xero!$B:$B,Heron!M$9,Xero!$A:$A,Heron!$A$5,Xero!$E:$E,Heron!$A48)</f>
        <v/>
      </c>
      <c r="N48" s="117">
        <f>SUMIFS(Xero!$F:$F,Xero!$B:$B,Heron!N$9,Xero!$A:$A,Heron!$A$4,Xero!$E:$E,Heron!$A48)+SUMIFS(Xero!$F:$F,Xero!$B:$B,Heron!N$9,Xero!$A:$A,Heron!$A$5,Xero!$E:$E,Heron!$A48)</f>
        <v/>
      </c>
      <c r="O48" s="117">
        <f>SUMIFS(Xero!$F:$F,Xero!$B:$B,Heron!O$9,Xero!$A:$A,Heron!$A$4,Xero!$E:$E,Heron!$A48)+SUMIFS(Xero!$F:$F,Xero!$B:$B,Heron!O$9,Xero!$A:$A,Heron!$A$5,Xero!$E:$E,Heron!$A48)</f>
        <v/>
      </c>
      <c r="P48" s="117">
        <f>SUMIFS(Xero!$F:$F,Xero!$B:$B,Heron!P$9,Xero!$A:$A,Heron!$A$4,Xero!$E:$E,Heron!$A48)+SUMIFS(Xero!$F:$F,Xero!$B:$B,Heron!P$9,Xero!$A:$A,Heron!$A$5,Xero!$E:$E,Heron!$A48)</f>
        <v/>
      </c>
      <c r="Q48" s="117">
        <f>SUMIFS(Xero!$F:$F,Xero!$B:$B,Heron!Q$9,Xero!$A:$A,Heron!$A$4,Xero!$E:$E,Heron!$A48)+SUMIFS(Xero!$F:$F,Xero!$B:$B,Heron!Q$9,Xero!$A:$A,Heron!$A$5,Xero!$E:$E,Heron!$A48)</f>
        <v/>
      </c>
      <c r="R48" s="117">
        <f>SUMIFS(Xero!$F:$F,Xero!$B:$B,Heron!R$9,Xero!$A:$A,Heron!$A$4,Xero!$E:$E,Heron!$A48)+SUMIFS(Xero!$F:$F,Xero!$B:$B,Heron!R$9,Xero!$A:$A,Heron!$A$5,Xero!$E:$E,Heron!$A48)</f>
        <v/>
      </c>
      <c r="S48" s="117">
        <f>SUMIFS(Xero!$F:$F,Xero!$B:$B,Heron!S$9,Xero!$A:$A,Heron!$A$4,Xero!$E:$E,Heron!$A48)+SUMIFS(Xero!$F:$F,Xero!$B:$B,Heron!S$9,Xero!$A:$A,Heron!$A$5,Xero!$E:$E,Heron!$A48)</f>
        <v/>
      </c>
      <c r="T48" s="117">
        <f>SUMIFS(Xero!$F:$F,Xero!$B:$B,Heron!T$9,Xero!$A:$A,Heron!$A$4,Xero!$E:$E,Heron!$A48)+SUMIFS(Xero!$F:$F,Xero!$B:$B,Heron!T$9,Xero!$A:$A,Heron!$A$5,Xero!$E:$E,Heron!$A48)</f>
        <v/>
      </c>
      <c r="U48" s="117">
        <f>SUMIFS(Xero!$F:$F,Xero!$B:$B,Heron!U$9,Xero!$A:$A,Heron!$A$4,Xero!$E:$E,Heron!$A48)+SUMIFS(Xero!$F:$F,Xero!$B:$B,Heron!U$9,Xero!$A:$A,Heron!$A$5,Xero!$E:$E,Heron!$A48)</f>
        <v/>
      </c>
      <c r="V48" s="117">
        <f>SUMIFS(Xero!$F:$F,Xero!$B:$B,Heron!V$9,Xero!$A:$A,Heron!$A$4,Xero!$E:$E,Heron!$A48)+SUMIFS(Xero!$F:$F,Xero!$B:$B,Heron!V$9,Xero!$A:$A,Heron!$A$5,Xero!$E:$E,Heron!$A48)</f>
        <v/>
      </c>
      <c r="W48" s="117">
        <f>SUMIFS(Xero!$F:$F,Xero!$B:$B,Heron!W$9,Xero!$A:$A,Heron!$A$4,Xero!$E:$E,Heron!$A48)+SUMIFS(Xero!$F:$F,Xero!$B:$B,Heron!W$9,Xero!$A:$A,Heron!$A$5,Xero!$E:$E,Heron!$A48)</f>
        <v/>
      </c>
      <c r="X48" s="117">
        <f>SUMIFS(Xero!$F:$F,Xero!$B:$B,Heron!X$9,Xero!$A:$A,Heron!$A$4,Xero!$E:$E,Heron!$A48)+SUMIFS(Xero!$F:$F,Xero!$B:$B,Heron!X$9,Xero!$A:$A,Heron!$A$5,Xero!$E:$E,Heron!$A48)</f>
        <v/>
      </c>
      <c r="Y48" s="117">
        <f>SUMIFS(Xero!$F:$F,Xero!$B:$B,Heron!Y$9,Xero!$A:$A,Heron!$A$4,Xero!$E:$E,Heron!$A48)+SUMIFS(Xero!$F:$F,Xero!$B:$B,Heron!Y$9,Xero!$A:$A,Heron!$A$5,Xero!$E:$E,Heron!$A48)</f>
        <v/>
      </c>
      <c r="Z48" s="117">
        <f>SUMIFS(Xero!$F:$F,Xero!$B:$B,Heron!Z$9,Xero!$A:$A,Heron!$A$4,Xero!$E:$E,Heron!$A48)+SUMIFS(Xero!$F:$F,Xero!$B:$B,Heron!Z$9,Xero!$A:$A,Heron!$A$5,Xero!$E:$E,Heron!$A48)</f>
        <v/>
      </c>
      <c r="AA48" s="117">
        <f>SUMIFS(Xero!$F:$F,Xero!$B:$B,Heron!AA$9,Xero!$A:$A,Heron!$A$4,Xero!$E:$E,Heron!$A48)+SUMIFS(Xero!$F:$F,Xero!$B:$B,Heron!AA$9,Xero!$A:$A,Heron!$A$5,Xero!$E:$E,Heron!$A48)</f>
        <v/>
      </c>
      <c r="AB48" s="117">
        <f>SUMIFS(Xero!$F:$F,Xero!$B:$B,Heron!AB$9,Xero!$A:$A,Heron!$A$4,Xero!$E:$E,Heron!$A48)+SUMIFS(Xero!$F:$F,Xero!$B:$B,Heron!AB$9,Xero!$A:$A,Heron!$A$5,Xero!$E:$E,Heron!$A48)</f>
        <v/>
      </c>
      <c r="AC48" s="117">
        <f>SUMIFS(Xero!$F:$F,Xero!$B:$B,Heron!AC$9,Xero!$A:$A,Heron!$A$4,Xero!$E:$E,Heron!$A48)+SUMIFS(Xero!$F:$F,Xero!$B:$B,Heron!AC$9,Xero!$A:$A,Heron!$A$5,Xero!$E:$E,Heron!$A48)</f>
        <v/>
      </c>
      <c r="AD48" s="117">
        <f>SUMIFS(Xero!$F:$F,Xero!$B:$B,Heron!AD$9,Xero!$A:$A,Heron!$A$4,Xero!$E:$E,Heron!$A48)+SUMIFS(Xero!$F:$F,Xero!$B:$B,Heron!AD$9,Xero!$A:$A,Heron!$A$5,Xero!$E:$E,Heron!$A48)</f>
        <v/>
      </c>
      <c r="AE48" s="117">
        <f>SUMIFS(Xero!$F:$F,Xero!$B:$B,Heron!AE$9,Xero!$A:$A,Heron!$A$4,Xero!$E:$E,Heron!$A48)+SUMIFS(Xero!$F:$F,Xero!$B:$B,Heron!AE$9,Xero!$A:$A,Heron!$A$5,Xero!$E:$E,Heron!$A48)</f>
        <v/>
      </c>
      <c r="AF48" s="117">
        <f>SUMIFS(Xero!$F:$F,Xero!$B:$B,Heron!AF$9,Xero!$A:$A,Heron!$A$4,Xero!$E:$E,Heron!$A48)+SUMIFS(Xero!$F:$F,Xero!$B:$B,Heron!AF$9,Xero!$A:$A,Heron!$A$5,Xero!$E:$E,Heron!$A48)</f>
        <v/>
      </c>
      <c r="AG48" s="117">
        <f>SUMIFS(Xero!$F:$F,Xero!$B:$B,Heron!AG$9,Xero!$A:$A,Heron!$A$4,Xero!$E:$E,Heron!$A48)+SUMIFS(Xero!$F:$F,Xero!$B:$B,Heron!AG$9,Xero!$A:$A,Heron!$A$5,Xero!$E:$E,Heron!$A48)</f>
        <v/>
      </c>
      <c r="AH48" s="117">
        <f>SUMIFS(Xero!$F:$F,Xero!$B:$B,Heron!AH$9,Xero!$A:$A,Heron!$A$4,Xero!$E:$E,Heron!$A48)+SUMIFS(Xero!$F:$F,Xero!$B:$B,Heron!AH$9,Xero!$A:$A,Heron!$A$5,Xero!$E:$E,Heron!$A48)</f>
        <v/>
      </c>
      <c r="AI48" s="117">
        <f>SUMIFS(Xero!$F:$F,Xero!$B:$B,Heron!AI$9,Xero!$A:$A,Heron!$A$4,Xero!$E:$E,Heron!$A48)+SUMIFS(Xero!$F:$F,Xero!$B:$B,Heron!AI$9,Xero!$A:$A,Heron!$A$5,Xero!$E:$E,Heron!$A48)</f>
        <v/>
      </c>
      <c r="AJ48" s="117">
        <f>SUMIFS(Xero!$F:$F,Xero!$B:$B,Heron!AJ$9,Xero!$A:$A,Heron!$A$4,Xero!$E:$E,Heron!$A48)+SUMIFS(Xero!$F:$F,Xero!$B:$B,Heron!AJ$9,Xero!$A:$A,Heron!$A$5,Xero!$E:$E,Heron!$A48)</f>
        <v/>
      </c>
      <c r="AK48" s="117">
        <f>SUMIFS(Xero!$F:$F,Xero!$B:$B,Heron!AK$9,Xero!$A:$A,Heron!$A$4,Xero!$E:$E,Heron!$A48)+SUMIFS(Xero!$F:$F,Xero!$B:$B,Heron!AK$9,Xero!$A:$A,Heron!$A$5,Xero!$E:$E,Heron!$A48)</f>
        <v/>
      </c>
      <c r="AL48" s="117">
        <f>SUMIFS(Xero!$F:$F,Xero!$B:$B,Heron!AL$9,Xero!$A:$A,Heron!$A$4,Xero!$E:$E,Heron!$A48)+SUMIFS(Xero!$F:$F,Xero!$B:$B,Heron!AL$9,Xero!$A:$A,Heron!$A$5,Xero!$E:$E,Heron!$A48)</f>
        <v/>
      </c>
      <c r="AM48" s="117">
        <f>SUMIFS(Xero!$F:$F,Xero!$B:$B,Heron!AM$9,Xero!$A:$A,Heron!$A$4,Xero!$E:$E,Heron!$A48)+SUMIFS(Xero!$F:$F,Xero!$B:$B,Heron!AM$9,Xero!$A:$A,Heron!$A$5,Xero!$E:$E,Heron!$A48)</f>
        <v/>
      </c>
      <c r="AN48" s="117">
        <f>SUMIFS(Xero!$F:$F,Xero!$B:$B,Heron!AN$9,Xero!$A:$A,Heron!$A$4,Xero!$E:$E,Heron!$A48)+SUMIFS(Xero!$F:$F,Xero!$B:$B,Heron!AN$9,Xero!$A:$A,Heron!$A$5,Xero!$E:$E,Heron!$A48)</f>
        <v/>
      </c>
      <c r="AO48" s="117">
        <f>SUMIFS(Xero!$F:$F,Xero!$B:$B,Heron!AO$9,Xero!$A:$A,Heron!$A$4,Xero!$E:$E,Heron!$A48)+SUMIFS(Xero!$F:$F,Xero!$B:$B,Heron!AO$9,Xero!$A:$A,Heron!$A$5,Xero!$E:$E,Heron!$A48)</f>
        <v/>
      </c>
      <c r="AP48" s="117">
        <f>SUMIFS(Xero!$F:$F,Xero!$B:$B,Heron!AP$9,Xero!$A:$A,Heron!$A$4,Xero!$E:$E,Heron!$A48)+SUMIFS(Xero!$F:$F,Xero!$B:$B,Heron!AP$9,Xero!$A:$A,Heron!$A$5,Xero!$E:$E,Heron!$A48)</f>
        <v/>
      </c>
      <c r="AQ48" s="117">
        <f>SUMIFS(Xero!$F:$F,Xero!$B:$B,Heron!AQ$9,Xero!$A:$A,Heron!$A$4,Xero!$E:$E,Heron!$A48)+SUMIFS(Xero!$F:$F,Xero!$B:$B,Heron!AQ$9,Xero!$A:$A,Heron!$A$5,Xero!$E:$E,Heron!$A48)</f>
        <v/>
      </c>
      <c r="AR48" s="117">
        <f>SUMIFS(Xero!$F:$F,Xero!$B:$B,Heron!AR$9,Xero!$A:$A,Heron!$A$4,Xero!$E:$E,Heron!$A48)+SUMIFS(Xero!$F:$F,Xero!$B:$B,Heron!AR$9,Xero!$A:$A,Heron!$A$5,Xero!$E:$E,Heron!$A48)</f>
        <v/>
      </c>
      <c r="AS48" s="117">
        <f>SUMIFS(Xero!$F:$F,Xero!$B:$B,Heron!AS$9,Xero!$A:$A,Heron!$A$4,Xero!$E:$E,Heron!$A48)+SUMIFS(Xero!$F:$F,Xero!$B:$B,Heron!AS$9,Xero!$A:$A,Heron!$A$5,Xero!$E:$E,Heron!$A48)</f>
        <v/>
      </c>
      <c r="AT48" s="117">
        <f>SUMIFS(Xero!$F:$F,Xero!$B:$B,Heron!AT$9,Xero!$A:$A,Heron!$A$4,Xero!$E:$E,Heron!$A48)+SUMIFS(Xero!$F:$F,Xero!$B:$B,Heron!AT$9,Xero!$A:$A,Heron!$A$5,Xero!$E:$E,Heron!$A48)</f>
        <v/>
      </c>
      <c r="AU48" s="117">
        <f>SUMIFS(Xero!$F:$F,Xero!$B:$B,Heron!AU$9,Xero!$A:$A,Heron!$A$4,Xero!$E:$E,Heron!$A48)+SUMIFS(Xero!$F:$F,Xero!$B:$B,Heron!AU$9,Xero!$A:$A,Heron!$A$5,Xero!$E:$E,Heron!$A48)</f>
        <v/>
      </c>
      <c r="AV48" s="117">
        <f>SUMIFS(Xero!$F:$F,Xero!$B:$B,Heron!AV$9,Xero!$A:$A,Heron!$A$4,Xero!$E:$E,Heron!$A48)+SUMIFS(Xero!$F:$F,Xero!$B:$B,Heron!AV$9,Xero!$A:$A,Heron!$A$5,Xero!$E:$E,Heron!$A48)</f>
        <v/>
      </c>
      <c r="AW48" s="117">
        <f>SUMIFS(Xero!$F:$F,Xero!$B:$B,Heron!AW$9,Xero!$A:$A,Heron!$A$4,Xero!$E:$E,Heron!$A48)+SUMIFS(Xero!$F:$F,Xero!$B:$B,Heron!AW$9,Xero!$A:$A,Heron!$A$5,Xero!$E:$E,Heron!$A48)</f>
        <v/>
      </c>
      <c r="AX48" s="117">
        <f>SUMIFS(Xero!$F:$F,Xero!$B:$B,Heron!AX$9,Xero!$A:$A,Heron!$A$4,Xero!$E:$E,Heron!$A48)+SUMIFS(Xero!$F:$F,Xero!$B:$B,Heron!AX$9,Xero!$A:$A,Heron!$A$5,Xero!$E:$E,Heron!$A48)</f>
        <v/>
      </c>
      <c r="AY48" s="117">
        <f>SUMIFS(Xero!$F:$F,Xero!$B:$B,Heron!AY$9,Xero!$A:$A,Heron!$A$4,Xero!$E:$E,Heron!$A48)+SUMIFS(Xero!$F:$F,Xero!$B:$B,Heron!AY$9,Xero!$A:$A,Heron!$A$5,Xero!$E:$E,Heron!$A48)</f>
        <v/>
      </c>
      <c r="AZ48" s="117">
        <f>SUMIFS(Xero!$F:$F,Xero!$B:$B,Heron!AZ$9,Xero!$A:$A,Heron!$A$4,Xero!$E:$E,Heron!$A48)+SUMIFS(Xero!$F:$F,Xero!$B:$B,Heron!AZ$9,Xero!$A:$A,Heron!$A$5,Xero!$E:$E,Heron!$A48)</f>
        <v/>
      </c>
      <c r="BA48" s="117">
        <f>SUMIFS(Xero!$F:$F,Xero!$B:$B,Heron!BA$9,Xero!$A:$A,Heron!$A$4,Xero!$E:$E,Heron!$A48)+SUMIFS(Xero!$F:$F,Xero!$B:$B,Heron!BA$9,Xero!$A:$A,Heron!$A$5,Xero!$E:$E,Heron!$A48)</f>
        <v/>
      </c>
      <c r="BB48" s="117">
        <f>SUMIFS(Xero!$F:$F,Xero!$B:$B,Heron!BB$9,Xero!$A:$A,Heron!$A$4,Xero!$E:$E,Heron!$A48)+SUMIFS(Xero!$F:$F,Xero!$B:$B,Heron!BB$9,Xero!$A:$A,Heron!$A$5,Xero!$E:$E,Heron!$A48)</f>
        <v/>
      </c>
      <c r="BC48" s="117">
        <f>SUMIFS(Xero!$F:$F,Xero!$B:$B,Heron!BC$9,Xero!$A:$A,Heron!$A$4,Xero!$E:$E,Heron!$A48)+SUMIFS(Xero!$F:$F,Xero!$B:$B,Heron!BC$9,Xero!$A:$A,Heron!$A$5,Xero!$E:$E,Heron!$A48)</f>
        <v/>
      </c>
      <c r="BD48" s="117">
        <f>SUMIFS(Xero!$F:$F,Xero!$B:$B,Heron!BD$9,Xero!$A:$A,Heron!$A$4,Xero!$E:$E,Heron!$A48)+SUMIFS(Xero!$F:$F,Xero!$B:$B,Heron!BD$9,Xero!$A:$A,Heron!$A$5,Xero!$E:$E,Heron!$A48)</f>
        <v/>
      </c>
      <c r="BE48" s="117">
        <f>SUMIFS(Xero!$F:$F,Xero!$B:$B,Heron!BE$9,Xero!$A:$A,Heron!$A$4,Xero!$E:$E,Heron!$A48)+SUMIFS(Xero!$F:$F,Xero!$B:$B,Heron!BE$9,Xero!$A:$A,Heron!$A$5,Xero!$E:$E,Heron!$A48)</f>
        <v/>
      </c>
      <c r="BF48" s="117">
        <f>SUMIFS(Xero!$F:$F,Xero!$B:$B,Heron!BF$9,Xero!$A:$A,Heron!$A$4,Xero!$E:$E,Heron!$A48)+SUMIFS(Xero!$F:$F,Xero!$B:$B,Heron!BF$9,Xero!$A:$A,Heron!$A$5,Xero!$E:$E,Heron!$A48)</f>
        <v/>
      </c>
      <c r="BG48" s="117">
        <f>SUMIFS(Xero!$F:$F,Xero!$B:$B,Heron!BG$9,Xero!$A:$A,Heron!$A$4,Xero!$E:$E,Heron!$A48)+SUMIFS(Xero!$F:$F,Xero!$B:$B,Heron!BG$9,Xero!$A:$A,Heron!$A$5,Xero!$E:$E,Heron!$A48)</f>
        <v/>
      </c>
      <c r="BH48" s="117">
        <f>SUMIFS(Xero!$F:$F,Xero!$B:$B,Heron!BH$9,Xero!$A:$A,Heron!$A$4,Xero!$E:$E,Heron!$A48)+SUMIFS(Xero!$F:$F,Xero!$B:$B,Heron!BH$9,Xero!$A:$A,Heron!$A$5,Xero!$E:$E,Heron!$A48)</f>
        <v/>
      </c>
      <c r="BI48" s="117">
        <f>SUMIFS(Xero!$F:$F,Xero!$B:$B,Heron!BI$9,Xero!$A:$A,Heron!$A$4,Xero!$E:$E,Heron!$A48)+SUMIFS(Xero!$F:$F,Xero!$B:$B,Heron!BI$9,Xero!$A:$A,Heron!$A$5,Xero!$E:$E,Heron!$A48)</f>
        <v/>
      </c>
      <c r="BJ48" s="117">
        <f>SUMIFS(Xero!$F:$F,Xero!$B:$B,Heron!BJ$9,Xero!$A:$A,Heron!$A$4,Xero!$E:$E,Heron!$A48)+SUMIFS(Xero!$F:$F,Xero!$B:$B,Heron!BJ$9,Xero!$A:$A,Heron!$A$5,Xero!$E:$E,Heron!$A48)</f>
        <v/>
      </c>
      <c r="BK48" s="117">
        <f>sum(D48:BJ48)</f>
        <v/>
      </c>
    </row>
    <row r="49">
      <c r="A49" s="116" t="inlineStr">
        <is>
          <t>COS - HV COCT Rates clearance</t>
        </is>
      </c>
      <c r="D49" s="117">
        <f>SUMIFS(Xero!$F:$F,Xero!$B:$B,Heron!D$9,Xero!$A:$A,Heron!$A$4,Xero!$E:$E,Heron!$A49)+SUMIFS(Xero!$F:$F,Xero!$B:$B,Heron!D$9,Xero!$A:$A,Heron!$A$5,Xero!$E:$E,Heron!$A49)</f>
        <v/>
      </c>
      <c r="E49" s="117">
        <f>SUMIFS(Xero!$F:$F,Xero!$B:$B,Heron!E$9,Xero!$A:$A,Heron!$A$4,Xero!$E:$E,Heron!$A49)+SUMIFS(Xero!$F:$F,Xero!$B:$B,Heron!E$9,Xero!$A:$A,Heron!$A$5,Xero!$E:$E,Heron!$A49)</f>
        <v/>
      </c>
      <c r="F49" s="117">
        <f>SUMIFS(Xero!$F:$F,Xero!$B:$B,Heron!F$9,Xero!$A:$A,Heron!$A$4,Xero!$E:$E,Heron!$A49)+SUMIFS(Xero!$F:$F,Xero!$B:$B,Heron!F$9,Xero!$A:$A,Heron!$A$5,Xero!$E:$E,Heron!$A49)</f>
        <v/>
      </c>
      <c r="G49" s="117">
        <f>SUMIFS(Xero!$F:$F,Xero!$B:$B,Heron!G$9,Xero!$A:$A,Heron!$A$4,Xero!$E:$E,Heron!$A49)+SUMIFS(Xero!$F:$F,Xero!$B:$B,Heron!G$9,Xero!$A:$A,Heron!$A$5,Xero!$E:$E,Heron!$A49)</f>
        <v/>
      </c>
      <c r="H49" s="117">
        <f>SUMIFS(Xero!$F:$F,Xero!$B:$B,Heron!H$9,Xero!$A:$A,Heron!$A$4,Xero!$E:$E,Heron!$A49)+SUMIFS(Xero!$F:$F,Xero!$B:$B,Heron!H$9,Xero!$A:$A,Heron!$A$5,Xero!$E:$E,Heron!$A49)</f>
        <v/>
      </c>
      <c r="I49" s="117">
        <f>SUMIFS(Xero!$F:$F,Xero!$B:$B,Heron!I$9,Xero!$A:$A,Heron!$A$4,Xero!$E:$E,Heron!$A49)+SUMIFS(Xero!$F:$F,Xero!$B:$B,Heron!I$9,Xero!$A:$A,Heron!$A$5,Xero!$E:$E,Heron!$A49)</f>
        <v/>
      </c>
      <c r="J49" s="117">
        <f>SUMIFS(Xero!$F:$F,Xero!$B:$B,Heron!J$9,Xero!$A:$A,Heron!$A$4,Xero!$E:$E,Heron!$A49)+SUMIFS(Xero!$F:$F,Xero!$B:$B,Heron!J$9,Xero!$A:$A,Heron!$A$5,Xero!$E:$E,Heron!$A49)</f>
        <v/>
      </c>
      <c r="K49" s="117">
        <f>SUMIFS(Xero!$F:$F,Xero!$B:$B,Heron!K$9,Xero!$A:$A,Heron!$A$4,Xero!$E:$E,Heron!$A49)+SUMIFS(Xero!$F:$F,Xero!$B:$B,Heron!K$9,Xero!$A:$A,Heron!$A$5,Xero!$E:$E,Heron!$A49)</f>
        <v/>
      </c>
      <c r="L49" s="117">
        <f>SUMIFS(Xero!$F:$F,Xero!$B:$B,Heron!L$9,Xero!$A:$A,Heron!$A$4,Xero!$E:$E,Heron!$A49)+SUMIFS(Xero!$F:$F,Xero!$B:$B,Heron!L$9,Xero!$A:$A,Heron!$A$5,Xero!$E:$E,Heron!$A49)</f>
        <v/>
      </c>
      <c r="M49" s="117">
        <f>SUMIFS(Xero!$F:$F,Xero!$B:$B,Heron!M$9,Xero!$A:$A,Heron!$A$4,Xero!$E:$E,Heron!$A49)+SUMIFS(Xero!$F:$F,Xero!$B:$B,Heron!M$9,Xero!$A:$A,Heron!$A$5,Xero!$E:$E,Heron!$A49)</f>
        <v/>
      </c>
      <c r="N49" s="117">
        <f>SUMIFS(Xero!$F:$F,Xero!$B:$B,Heron!N$9,Xero!$A:$A,Heron!$A$4,Xero!$E:$E,Heron!$A49)+SUMIFS(Xero!$F:$F,Xero!$B:$B,Heron!N$9,Xero!$A:$A,Heron!$A$5,Xero!$E:$E,Heron!$A49)</f>
        <v/>
      </c>
      <c r="O49" s="117">
        <f>SUMIFS(Xero!$F:$F,Xero!$B:$B,Heron!O$9,Xero!$A:$A,Heron!$A$4,Xero!$E:$E,Heron!$A49)+SUMIFS(Xero!$F:$F,Xero!$B:$B,Heron!O$9,Xero!$A:$A,Heron!$A$5,Xero!$E:$E,Heron!$A49)</f>
        <v/>
      </c>
      <c r="P49" s="117">
        <f>SUMIFS(Xero!$F:$F,Xero!$B:$B,Heron!P$9,Xero!$A:$A,Heron!$A$4,Xero!$E:$E,Heron!$A49)+SUMIFS(Xero!$F:$F,Xero!$B:$B,Heron!P$9,Xero!$A:$A,Heron!$A$5,Xero!$E:$E,Heron!$A49)</f>
        <v/>
      </c>
      <c r="Q49" s="117">
        <f>SUMIFS(Xero!$F:$F,Xero!$B:$B,Heron!Q$9,Xero!$A:$A,Heron!$A$4,Xero!$E:$E,Heron!$A49)+SUMIFS(Xero!$F:$F,Xero!$B:$B,Heron!Q$9,Xero!$A:$A,Heron!$A$5,Xero!$E:$E,Heron!$A49)</f>
        <v/>
      </c>
      <c r="R49" s="117">
        <f>SUMIFS(Xero!$F:$F,Xero!$B:$B,Heron!R$9,Xero!$A:$A,Heron!$A$4,Xero!$E:$E,Heron!$A49)+SUMIFS(Xero!$F:$F,Xero!$B:$B,Heron!R$9,Xero!$A:$A,Heron!$A$5,Xero!$E:$E,Heron!$A49)</f>
        <v/>
      </c>
      <c r="S49" s="117">
        <f>SUMIFS(Xero!$F:$F,Xero!$B:$B,Heron!S$9,Xero!$A:$A,Heron!$A$4,Xero!$E:$E,Heron!$A49)+SUMIFS(Xero!$F:$F,Xero!$B:$B,Heron!S$9,Xero!$A:$A,Heron!$A$5,Xero!$E:$E,Heron!$A49)</f>
        <v/>
      </c>
      <c r="T49" s="117">
        <f>SUMIFS(Xero!$F:$F,Xero!$B:$B,Heron!T$9,Xero!$A:$A,Heron!$A$4,Xero!$E:$E,Heron!$A49)+SUMIFS(Xero!$F:$F,Xero!$B:$B,Heron!T$9,Xero!$A:$A,Heron!$A$5,Xero!$E:$E,Heron!$A49)</f>
        <v/>
      </c>
      <c r="U49" s="117">
        <f>SUMIFS(Xero!$F:$F,Xero!$B:$B,Heron!U$9,Xero!$A:$A,Heron!$A$4,Xero!$E:$E,Heron!$A49)+SUMIFS(Xero!$F:$F,Xero!$B:$B,Heron!U$9,Xero!$A:$A,Heron!$A$5,Xero!$E:$E,Heron!$A49)</f>
        <v/>
      </c>
      <c r="V49" s="117">
        <f>SUMIFS(Xero!$F:$F,Xero!$B:$B,Heron!V$9,Xero!$A:$A,Heron!$A$4,Xero!$E:$E,Heron!$A49)+SUMIFS(Xero!$F:$F,Xero!$B:$B,Heron!V$9,Xero!$A:$A,Heron!$A$5,Xero!$E:$E,Heron!$A49)</f>
        <v/>
      </c>
      <c r="W49" s="117">
        <f>SUMIFS(Xero!$F:$F,Xero!$B:$B,Heron!W$9,Xero!$A:$A,Heron!$A$4,Xero!$E:$E,Heron!$A49)+SUMIFS(Xero!$F:$F,Xero!$B:$B,Heron!W$9,Xero!$A:$A,Heron!$A$5,Xero!$E:$E,Heron!$A49)</f>
        <v/>
      </c>
      <c r="X49" s="117">
        <f>SUMIFS(Xero!$F:$F,Xero!$B:$B,Heron!X$9,Xero!$A:$A,Heron!$A$4,Xero!$E:$E,Heron!$A49)+SUMIFS(Xero!$F:$F,Xero!$B:$B,Heron!X$9,Xero!$A:$A,Heron!$A$5,Xero!$E:$E,Heron!$A49)</f>
        <v/>
      </c>
      <c r="Y49" s="117">
        <f>SUMIFS(Xero!$F:$F,Xero!$B:$B,Heron!Y$9,Xero!$A:$A,Heron!$A$4,Xero!$E:$E,Heron!$A49)+SUMIFS(Xero!$F:$F,Xero!$B:$B,Heron!Y$9,Xero!$A:$A,Heron!$A$5,Xero!$E:$E,Heron!$A49)</f>
        <v/>
      </c>
      <c r="Z49" s="117">
        <f>SUMIFS(Xero!$F:$F,Xero!$B:$B,Heron!Z$9,Xero!$A:$A,Heron!$A$4,Xero!$E:$E,Heron!$A49)+SUMIFS(Xero!$F:$F,Xero!$B:$B,Heron!Z$9,Xero!$A:$A,Heron!$A$5,Xero!$E:$E,Heron!$A49)</f>
        <v/>
      </c>
      <c r="AA49" s="117">
        <f>SUMIFS(Xero!$F:$F,Xero!$B:$B,Heron!AA$9,Xero!$A:$A,Heron!$A$4,Xero!$E:$E,Heron!$A49)+SUMIFS(Xero!$F:$F,Xero!$B:$B,Heron!AA$9,Xero!$A:$A,Heron!$A$5,Xero!$E:$E,Heron!$A49)</f>
        <v/>
      </c>
      <c r="AB49" s="117">
        <f>SUMIFS(Xero!$F:$F,Xero!$B:$B,Heron!AB$9,Xero!$A:$A,Heron!$A$4,Xero!$E:$E,Heron!$A49)+SUMIFS(Xero!$F:$F,Xero!$B:$B,Heron!AB$9,Xero!$A:$A,Heron!$A$5,Xero!$E:$E,Heron!$A49)</f>
        <v/>
      </c>
      <c r="AC49" s="117">
        <f>SUMIFS(Xero!$F:$F,Xero!$B:$B,Heron!AC$9,Xero!$A:$A,Heron!$A$4,Xero!$E:$E,Heron!$A49)+SUMIFS(Xero!$F:$F,Xero!$B:$B,Heron!AC$9,Xero!$A:$A,Heron!$A$5,Xero!$E:$E,Heron!$A49)</f>
        <v/>
      </c>
      <c r="AD49" s="117">
        <f>SUMIFS(Xero!$F:$F,Xero!$B:$B,Heron!AD$9,Xero!$A:$A,Heron!$A$4,Xero!$E:$E,Heron!$A49)+SUMIFS(Xero!$F:$F,Xero!$B:$B,Heron!AD$9,Xero!$A:$A,Heron!$A$5,Xero!$E:$E,Heron!$A49)</f>
        <v/>
      </c>
      <c r="AE49" s="117">
        <f>SUMIFS(Xero!$F:$F,Xero!$B:$B,Heron!AE$9,Xero!$A:$A,Heron!$A$4,Xero!$E:$E,Heron!$A49)+SUMIFS(Xero!$F:$F,Xero!$B:$B,Heron!AE$9,Xero!$A:$A,Heron!$A$5,Xero!$E:$E,Heron!$A49)</f>
        <v/>
      </c>
      <c r="AF49" s="117">
        <f>SUMIFS(Xero!$F:$F,Xero!$B:$B,Heron!AF$9,Xero!$A:$A,Heron!$A$4,Xero!$E:$E,Heron!$A49)+SUMIFS(Xero!$F:$F,Xero!$B:$B,Heron!AF$9,Xero!$A:$A,Heron!$A$5,Xero!$E:$E,Heron!$A49)</f>
        <v/>
      </c>
      <c r="AG49" s="117">
        <f>SUMIFS(Xero!$F:$F,Xero!$B:$B,Heron!AG$9,Xero!$A:$A,Heron!$A$4,Xero!$E:$E,Heron!$A49)+SUMIFS(Xero!$F:$F,Xero!$B:$B,Heron!AG$9,Xero!$A:$A,Heron!$A$5,Xero!$E:$E,Heron!$A49)</f>
        <v/>
      </c>
      <c r="AH49" s="117">
        <f>SUMIFS(Xero!$F:$F,Xero!$B:$B,Heron!AH$9,Xero!$A:$A,Heron!$A$4,Xero!$E:$E,Heron!$A49)+SUMIFS(Xero!$F:$F,Xero!$B:$B,Heron!AH$9,Xero!$A:$A,Heron!$A$5,Xero!$E:$E,Heron!$A49)</f>
        <v/>
      </c>
      <c r="AI49" s="117">
        <f>SUMIFS(Xero!$F:$F,Xero!$B:$B,Heron!AI$9,Xero!$A:$A,Heron!$A$4,Xero!$E:$E,Heron!$A49)+SUMIFS(Xero!$F:$F,Xero!$B:$B,Heron!AI$9,Xero!$A:$A,Heron!$A$5,Xero!$E:$E,Heron!$A49)</f>
        <v/>
      </c>
      <c r="AJ49" s="117">
        <f>SUMIFS(Xero!$F:$F,Xero!$B:$B,Heron!AJ$9,Xero!$A:$A,Heron!$A$4,Xero!$E:$E,Heron!$A49)+SUMIFS(Xero!$F:$F,Xero!$B:$B,Heron!AJ$9,Xero!$A:$A,Heron!$A$5,Xero!$E:$E,Heron!$A49)</f>
        <v/>
      </c>
      <c r="AK49" s="117">
        <f>SUMIFS(Xero!$F:$F,Xero!$B:$B,Heron!AK$9,Xero!$A:$A,Heron!$A$4,Xero!$E:$E,Heron!$A49)+SUMIFS(Xero!$F:$F,Xero!$B:$B,Heron!AK$9,Xero!$A:$A,Heron!$A$5,Xero!$E:$E,Heron!$A49)</f>
        <v/>
      </c>
      <c r="AL49" s="117">
        <f>SUMIFS(Xero!$F:$F,Xero!$B:$B,Heron!AL$9,Xero!$A:$A,Heron!$A$4,Xero!$E:$E,Heron!$A49)+SUMIFS(Xero!$F:$F,Xero!$B:$B,Heron!AL$9,Xero!$A:$A,Heron!$A$5,Xero!$E:$E,Heron!$A49)</f>
        <v/>
      </c>
      <c r="AM49" s="117">
        <f>SUMIFS(Xero!$F:$F,Xero!$B:$B,Heron!AM$9,Xero!$A:$A,Heron!$A$4,Xero!$E:$E,Heron!$A49)+SUMIFS(Xero!$F:$F,Xero!$B:$B,Heron!AM$9,Xero!$A:$A,Heron!$A$5,Xero!$E:$E,Heron!$A49)</f>
        <v/>
      </c>
      <c r="AN49" s="117">
        <f>SUMIFS(Xero!$F:$F,Xero!$B:$B,Heron!AN$9,Xero!$A:$A,Heron!$A$4,Xero!$E:$E,Heron!$A49)+SUMIFS(Xero!$F:$F,Xero!$B:$B,Heron!AN$9,Xero!$A:$A,Heron!$A$5,Xero!$E:$E,Heron!$A49)</f>
        <v/>
      </c>
      <c r="AO49" s="117">
        <f>SUMIFS(Xero!$F:$F,Xero!$B:$B,Heron!AO$9,Xero!$A:$A,Heron!$A$4,Xero!$E:$E,Heron!$A49)+SUMIFS(Xero!$F:$F,Xero!$B:$B,Heron!AO$9,Xero!$A:$A,Heron!$A$5,Xero!$E:$E,Heron!$A49)</f>
        <v/>
      </c>
      <c r="AP49" s="117">
        <f>SUMIFS(Xero!$F:$F,Xero!$B:$B,Heron!AP$9,Xero!$A:$A,Heron!$A$4,Xero!$E:$E,Heron!$A49)+SUMIFS(Xero!$F:$F,Xero!$B:$B,Heron!AP$9,Xero!$A:$A,Heron!$A$5,Xero!$E:$E,Heron!$A49)</f>
        <v/>
      </c>
      <c r="AQ49" s="117">
        <f>SUMIFS(Xero!$F:$F,Xero!$B:$B,Heron!AQ$9,Xero!$A:$A,Heron!$A$4,Xero!$E:$E,Heron!$A49)+SUMIFS(Xero!$F:$F,Xero!$B:$B,Heron!AQ$9,Xero!$A:$A,Heron!$A$5,Xero!$E:$E,Heron!$A49)</f>
        <v/>
      </c>
      <c r="AR49" s="117">
        <f>SUMIFS(Xero!$F:$F,Xero!$B:$B,Heron!AR$9,Xero!$A:$A,Heron!$A$4,Xero!$E:$E,Heron!$A49)+SUMIFS(Xero!$F:$F,Xero!$B:$B,Heron!AR$9,Xero!$A:$A,Heron!$A$5,Xero!$E:$E,Heron!$A49)</f>
        <v/>
      </c>
      <c r="AS49" s="117">
        <f>SUMIFS(Xero!$F:$F,Xero!$B:$B,Heron!AS$9,Xero!$A:$A,Heron!$A$4,Xero!$E:$E,Heron!$A49)+SUMIFS(Xero!$F:$F,Xero!$B:$B,Heron!AS$9,Xero!$A:$A,Heron!$A$5,Xero!$E:$E,Heron!$A49)</f>
        <v/>
      </c>
      <c r="AT49" s="117">
        <f>SUMIFS(Xero!$F:$F,Xero!$B:$B,Heron!AT$9,Xero!$A:$A,Heron!$A$4,Xero!$E:$E,Heron!$A49)+SUMIFS(Xero!$F:$F,Xero!$B:$B,Heron!AT$9,Xero!$A:$A,Heron!$A$5,Xero!$E:$E,Heron!$A49)</f>
        <v/>
      </c>
      <c r="AU49" s="117">
        <f>SUMIFS(Xero!$F:$F,Xero!$B:$B,Heron!AU$9,Xero!$A:$A,Heron!$A$4,Xero!$E:$E,Heron!$A49)+SUMIFS(Xero!$F:$F,Xero!$B:$B,Heron!AU$9,Xero!$A:$A,Heron!$A$5,Xero!$E:$E,Heron!$A49)</f>
        <v/>
      </c>
      <c r="AV49" s="117">
        <f>SUMIFS(Xero!$F:$F,Xero!$B:$B,Heron!AV$9,Xero!$A:$A,Heron!$A$4,Xero!$E:$E,Heron!$A49)+SUMIFS(Xero!$F:$F,Xero!$B:$B,Heron!AV$9,Xero!$A:$A,Heron!$A$5,Xero!$E:$E,Heron!$A49)</f>
        <v/>
      </c>
      <c r="AW49" s="117">
        <f>SUMIFS(Xero!$F:$F,Xero!$B:$B,Heron!AW$9,Xero!$A:$A,Heron!$A$4,Xero!$E:$E,Heron!$A49)+SUMIFS(Xero!$F:$F,Xero!$B:$B,Heron!AW$9,Xero!$A:$A,Heron!$A$5,Xero!$E:$E,Heron!$A49)</f>
        <v/>
      </c>
      <c r="AX49" s="117">
        <f>SUMIFS(Xero!$F:$F,Xero!$B:$B,Heron!AX$9,Xero!$A:$A,Heron!$A$4,Xero!$E:$E,Heron!$A49)+SUMIFS(Xero!$F:$F,Xero!$B:$B,Heron!AX$9,Xero!$A:$A,Heron!$A$5,Xero!$E:$E,Heron!$A49)</f>
        <v/>
      </c>
      <c r="AY49" s="117">
        <f>SUMIFS(Xero!$F:$F,Xero!$B:$B,Heron!AY$9,Xero!$A:$A,Heron!$A$4,Xero!$E:$E,Heron!$A49)+SUMIFS(Xero!$F:$F,Xero!$B:$B,Heron!AY$9,Xero!$A:$A,Heron!$A$5,Xero!$E:$E,Heron!$A49)</f>
        <v/>
      </c>
      <c r="AZ49" s="117">
        <f>SUMIFS(Xero!$F:$F,Xero!$B:$B,Heron!AZ$9,Xero!$A:$A,Heron!$A$4,Xero!$E:$E,Heron!$A49)+SUMIFS(Xero!$F:$F,Xero!$B:$B,Heron!AZ$9,Xero!$A:$A,Heron!$A$5,Xero!$E:$E,Heron!$A49)</f>
        <v/>
      </c>
      <c r="BA49" s="117">
        <f>SUMIFS(Xero!$F:$F,Xero!$B:$B,Heron!BA$9,Xero!$A:$A,Heron!$A$4,Xero!$E:$E,Heron!$A49)+SUMIFS(Xero!$F:$F,Xero!$B:$B,Heron!BA$9,Xero!$A:$A,Heron!$A$5,Xero!$E:$E,Heron!$A49)</f>
        <v/>
      </c>
      <c r="BB49" s="117">
        <f>SUMIFS(Xero!$F:$F,Xero!$B:$B,Heron!BB$9,Xero!$A:$A,Heron!$A$4,Xero!$E:$E,Heron!$A49)+SUMIFS(Xero!$F:$F,Xero!$B:$B,Heron!BB$9,Xero!$A:$A,Heron!$A$5,Xero!$E:$E,Heron!$A49)</f>
        <v/>
      </c>
      <c r="BC49" s="117">
        <f>SUMIFS(Xero!$F:$F,Xero!$B:$B,Heron!BC$9,Xero!$A:$A,Heron!$A$4,Xero!$E:$E,Heron!$A49)+SUMIFS(Xero!$F:$F,Xero!$B:$B,Heron!BC$9,Xero!$A:$A,Heron!$A$5,Xero!$E:$E,Heron!$A49)</f>
        <v/>
      </c>
      <c r="BD49" s="117">
        <f>SUMIFS(Xero!$F:$F,Xero!$B:$B,Heron!BD$9,Xero!$A:$A,Heron!$A$4,Xero!$E:$E,Heron!$A49)+SUMIFS(Xero!$F:$F,Xero!$B:$B,Heron!BD$9,Xero!$A:$A,Heron!$A$5,Xero!$E:$E,Heron!$A49)</f>
        <v/>
      </c>
      <c r="BE49" s="117">
        <f>SUMIFS(Xero!$F:$F,Xero!$B:$B,Heron!BE$9,Xero!$A:$A,Heron!$A$4,Xero!$E:$E,Heron!$A49)+SUMIFS(Xero!$F:$F,Xero!$B:$B,Heron!BE$9,Xero!$A:$A,Heron!$A$5,Xero!$E:$E,Heron!$A49)</f>
        <v/>
      </c>
      <c r="BF49" s="117">
        <f>SUMIFS(Xero!$F:$F,Xero!$B:$B,Heron!BF$9,Xero!$A:$A,Heron!$A$4,Xero!$E:$E,Heron!$A49)+SUMIFS(Xero!$F:$F,Xero!$B:$B,Heron!BF$9,Xero!$A:$A,Heron!$A$5,Xero!$E:$E,Heron!$A49)</f>
        <v/>
      </c>
      <c r="BG49" s="117">
        <f>SUMIFS(Xero!$F:$F,Xero!$B:$B,Heron!BG$9,Xero!$A:$A,Heron!$A$4,Xero!$E:$E,Heron!$A49)+SUMIFS(Xero!$F:$F,Xero!$B:$B,Heron!BG$9,Xero!$A:$A,Heron!$A$5,Xero!$E:$E,Heron!$A49)</f>
        <v/>
      </c>
      <c r="BH49" s="117">
        <f>SUMIFS(Xero!$F:$F,Xero!$B:$B,Heron!BH$9,Xero!$A:$A,Heron!$A$4,Xero!$E:$E,Heron!$A49)+SUMIFS(Xero!$F:$F,Xero!$B:$B,Heron!BH$9,Xero!$A:$A,Heron!$A$5,Xero!$E:$E,Heron!$A49)</f>
        <v/>
      </c>
      <c r="BI49" s="117">
        <f>SUMIFS(Xero!$F:$F,Xero!$B:$B,Heron!BI$9,Xero!$A:$A,Heron!$A$4,Xero!$E:$E,Heron!$A49)+SUMIFS(Xero!$F:$F,Xero!$B:$B,Heron!BI$9,Xero!$A:$A,Heron!$A$5,Xero!$E:$E,Heron!$A49)</f>
        <v/>
      </c>
      <c r="BJ49" s="117">
        <f>SUMIFS(Xero!$F:$F,Xero!$B:$B,Heron!BJ$9,Xero!$A:$A,Heron!$A$4,Xero!$E:$E,Heron!$A49)+SUMIFS(Xero!$F:$F,Xero!$B:$B,Heron!BJ$9,Xero!$A:$A,Heron!$A$5,Xero!$E:$E,Heron!$A49)</f>
        <v/>
      </c>
      <c r="BK49" s="117">
        <f>sum(D49:BJ49)</f>
        <v/>
      </c>
    </row>
    <row r="50">
      <c r="A50" s="116" t="inlineStr">
        <is>
          <t>COS - Heron View</t>
        </is>
      </c>
      <c r="D50" s="117">
        <f>SUMIFS(Xero!$F:$F,Xero!$B:$B,Heron!D$9,Xero!$A:$A,Heron!$A$4,Xero!$E:$E,Heron!$A50)+SUMIFS(Xero!$F:$F,Xero!$B:$B,Heron!D$9,Xero!$A:$A,Heron!$A$5,Xero!$E:$E,Heron!$A50)</f>
        <v/>
      </c>
      <c r="E50" s="117">
        <f>SUMIFS(Xero!$F:$F,Xero!$B:$B,Heron!E$9,Xero!$A:$A,Heron!$A$4,Xero!$E:$E,Heron!$A50)+SUMIFS(Xero!$F:$F,Xero!$B:$B,Heron!E$9,Xero!$A:$A,Heron!$A$5,Xero!$E:$E,Heron!$A50)</f>
        <v/>
      </c>
      <c r="F50" s="117">
        <f>SUMIFS(Xero!$F:$F,Xero!$B:$B,Heron!F$9,Xero!$A:$A,Heron!$A$4,Xero!$E:$E,Heron!$A50)+SUMIFS(Xero!$F:$F,Xero!$B:$B,Heron!F$9,Xero!$A:$A,Heron!$A$5,Xero!$E:$E,Heron!$A50)</f>
        <v/>
      </c>
      <c r="G50" s="117">
        <f>SUMIFS(Xero!$F:$F,Xero!$B:$B,Heron!G$9,Xero!$A:$A,Heron!$A$4,Xero!$E:$E,Heron!$A50)+SUMIFS(Xero!$F:$F,Xero!$B:$B,Heron!G$9,Xero!$A:$A,Heron!$A$5,Xero!$E:$E,Heron!$A50)</f>
        <v/>
      </c>
      <c r="H50" s="117">
        <f>SUMIFS(Xero!$F:$F,Xero!$B:$B,Heron!H$9,Xero!$A:$A,Heron!$A$4,Xero!$E:$E,Heron!$A50)+SUMIFS(Xero!$F:$F,Xero!$B:$B,Heron!H$9,Xero!$A:$A,Heron!$A$5,Xero!$E:$E,Heron!$A50)</f>
        <v/>
      </c>
      <c r="I50" s="117">
        <f>SUMIFS(Xero!$F:$F,Xero!$B:$B,Heron!I$9,Xero!$A:$A,Heron!$A$4,Xero!$E:$E,Heron!$A50)+SUMIFS(Xero!$F:$F,Xero!$B:$B,Heron!I$9,Xero!$A:$A,Heron!$A$5,Xero!$E:$E,Heron!$A50)</f>
        <v/>
      </c>
      <c r="J50" s="117">
        <f>SUMIFS(Xero!$F:$F,Xero!$B:$B,Heron!J$9,Xero!$A:$A,Heron!$A$4,Xero!$E:$E,Heron!$A50)+SUMIFS(Xero!$F:$F,Xero!$B:$B,Heron!J$9,Xero!$A:$A,Heron!$A$5,Xero!$E:$E,Heron!$A50)</f>
        <v/>
      </c>
      <c r="K50" s="117">
        <f>SUMIFS(Xero!$F:$F,Xero!$B:$B,Heron!K$9,Xero!$A:$A,Heron!$A$4,Xero!$E:$E,Heron!$A50)+SUMIFS(Xero!$F:$F,Xero!$B:$B,Heron!K$9,Xero!$A:$A,Heron!$A$5,Xero!$E:$E,Heron!$A50)</f>
        <v/>
      </c>
      <c r="L50" s="117">
        <f>SUMIFS(Xero!$F:$F,Xero!$B:$B,Heron!L$9,Xero!$A:$A,Heron!$A$4,Xero!$E:$E,Heron!$A50)+SUMIFS(Xero!$F:$F,Xero!$B:$B,Heron!L$9,Xero!$A:$A,Heron!$A$5,Xero!$E:$E,Heron!$A50)</f>
        <v/>
      </c>
      <c r="M50" s="117">
        <f>SUMIFS(Xero!$F:$F,Xero!$B:$B,Heron!M$9,Xero!$A:$A,Heron!$A$4,Xero!$E:$E,Heron!$A50)+SUMIFS(Xero!$F:$F,Xero!$B:$B,Heron!M$9,Xero!$A:$A,Heron!$A$5,Xero!$E:$E,Heron!$A50)</f>
        <v/>
      </c>
      <c r="N50" s="117">
        <f>SUMIFS(Xero!$F:$F,Xero!$B:$B,Heron!N$9,Xero!$A:$A,Heron!$A$4,Xero!$E:$E,Heron!$A50)+SUMIFS(Xero!$F:$F,Xero!$B:$B,Heron!N$9,Xero!$A:$A,Heron!$A$5,Xero!$E:$E,Heron!$A50)</f>
        <v/>
      </c>
      <c r="O50" s="117">
        <f>SUMIFS(Xero!$F:$F,Xero!$B:$B,Heron!O$9,Xero!$A:$A,Heron!$A$4,Xero!$E:$E,Heron!$A50)+SUMIFS(Xero!$F:$F,Xero!$B:$B,Heron!O$9,Xero!$A:$A,Heron!$A$5,Xero!$E:$E,Heron!$A50)</f>
        <v/>
      </c>
      <c r="P50" s="117">
        <f>SUMIFS(Xero!$F:$F,Xero!$B:$B,Heron!P$9,Xero!$A:$A,Heron!$A$4,Xero!$E:$E,Heron!$A50)+SUMIFS(Xero!$F:$F,Xero!$B:$B,Heron!P$9,Xero!$A:$A,Heron!$A$5,Xero!$E:$E,Heron!$A50)</f>
        <v/>
      </c>
      <c r="Q50" s="117">
        <f>SUMIFS(Xero!$F:$F,Xero!$B:$B,Heron!Q$9,Xero!$A:$A,Heron!$A$4,Xero!$E:$E,Heron!$A50)+SUMIFS(Xero!$F:$F,Xero!$B:$B,Heron!Q$9,Xero!$A:$A,Heron!$A$5,Xero!$E:$E,Heron!$A50)</f>
        <v/>
      </c>
      <c r="R50" s="117">
        <f>SUMIFS(Xero!$F:$F,Xero!$B:$B,Heron!R$9,Xero!$A:$A,Heron!$A$4,Xero!$E:$E,Heron!$A50)+SUMIFS(Xero!$F:$F,Xero!$B:$B,Heron!R$9,Xero!$A:$A,Heron!$A$5,Xero!$E:$E,Heron!$A50)</f>
        <v/>
      </c>
      <c r="S50" s="117">
        <f>SUMIFS(Xero!$F:$F,Xero!$B:$B,Heron!S$9,Xero!$A:$A,Heron!$A$4,Xero!$E:$E,Heron!$A50)+SUMIFS(Xero!$F:$F,Xero!$B:$B,Heron!S$9,Xero!$A:$A,Heron!$A$5,Xero!$E:$E,Heron!$A50)</f>
        <v/>
      </c>
      <c r="T50" s="117">
        <f>SUMIFS(Xero!$F:$F,Xero!$B:$B,Heron!T$9,Xero!$A:$A,Heron!$A$4,Xero!$E:$E,Heron!$A50)+SUMIFS(Xero!$F:$F,Xero!$B:$B,Heron!T$9,Xero!$A:$A,Heron!$A$5,Xero!$E:$E,Heron!$A50)</f>
        <v/>
      </c>
      <c r="U50" s="117">
        <f>SUMIFS(Xero!$F:$F,Xero!$B:$B,Heron!U$9,Xero!$A:$A,Heron!$A$4,Xero!$E:$E,Heron!$A50)+SUMIFS(Xero!$F:$F,Xero!$B:$B,Heron!U$9,Xero!$A:$A,Heron!$A$5,Xero!$E:$E,Heron!$A50)</f>
        <v/>
      </c>
      <c r="V50" s="117">
        <f>SUMIFS(Xero!$F:$F,Xero!$B:$B,Heron!V$9,Xero!$A:$A,Heron!$A$4,Xero!$E:$E,Heron!$A50)+SUMIFS(Xero!$F:$F,Xero!$B:$B,Heron!V$9,Xero!$A:$A,Heron!$A$5,Xero!$E:$E,Heron!$A50)</f>
        <v/>
      </c>
      <c r="W50" s="117">
        <f>SUMIFS(Xero!$F:$F,Xero!$B:$B,Heron!W$9,Xero!$A:$A,Heron!$A$4,Xero!$E:$E,Heron!$A50)+SUMIFS(Xero!$F:$F,Xero!$B:$B,Heron!W$9,Xero!$A:$A,Heron!$A$5,Xero!$E:$E,Heron!$A50)</f>
        <v/>
      </c>
      <c r="X50" s="117">
        <f>SUMIFS(Xero!$F:$F,Xero!$B:$B,Heron!X$9,Xero!$A:$A,Heron!$A$4,Xero!$E:$E,Heron!$A50)+SUMIFS(Xero!$F:$F,Xero!$B:$B,Heron!X$9,Xero!$A:$A,Heron!$A$5,Xero!$E:$E,Heron!$A50)</f>
        <v/>
      </c>
      <c r="Y50" s="117">
        <f>SUMIFS(Xero!$F:$F,Xero!$B:$B,Heron!Y$9,Xero!$A:$A,Heron!$A$4,Xero!$E:$E,Heron!$A50)+SUMIFS(Xero!$F:$F,Xero!$B:$B,Heron!Y$9,Xero!$A:$A,Heron!$A$5,Xero!$E:$E,Heron!$A50)</f>
        <v/>
      </c>
      <c r="Z50" s="117">
        <f>SUMIFS(Xero!$F:$F,Xero!$B:$B,Heron!Z$9,Xero!$A:$A,Heron!$A$4,Xero!$E:$E,Heron!$A50)+SUMIFS(Xero!$F:$F,Xero!$B:$B,Heron!Z$9,Xero!$A:$A,Heron!$A$5,Xero!$E:$E,Heron!$A50)</f>
        <v/>
      </c>
      <c r="AA50" s="117">
        <f>SUMIFS(Xero!$F:$F,Xero!$B:$B,Heron!AA$9,Xero!$A:$A,Heron!$A$4,Xero!$E:$E,Heron!$A50)+SUMIFS(Xero!$F:$F,Xero!$B:$B,Heron!AA$9,Xero!$A:$A,Heron!$A$5,Xero!$E:$E,Heron!$A50)</f>
        <v/>
      </c>
      <c r="AB50" s="117">
        <f>SUMIFS(Xero!$F:$F,Xero!$B:$B,Heron!AB$9,Xero!$A:$A,Heron!$A$4,Xero!$E:$E,Heron!$A50)+SUMIFS(Xero!$F:$F,Xero!$B:$B,Heron!AB$9,Xero!$A:$A,Heron!$A$5,Xero!$E:$E,Heron!$A50)</f>
        <v/>
      </c>
      <c r="AC50" s="117">
        <f>SUMIFS(Xero!$F:$F,Xero!$B:$B,Heron!AC$9,Xero!$A:$A,Heron!$A$4,Xero!$E:$E,Heron!$A50)+SUMIFS(Xero!$F:$F,Xero!$B:$B,Heron!AC$9,Xero!$A:$A,Heron!$A$5,Xero!$E:$E,Heron!$A50)</f>
        <v/>
      </c>
      <c r="AD50" s="117">
        <f>SUMIFS(Xero!$F:$F,Xero!$B:$B,Heron!AD$9,Xero!$A:$A,Heron!$A$4,Xero!$E:$E,Heron!$A50)+SUMIFS(Xero!$F:$F,Xero!$B:$B,Heron!AD$9,Xero!$A:$A,Heron!$A$5,Xero!$E:$E,Heron!$A50)</f>
        <v/>
      </c>
      <c r="AE50" s="117">
        <f>SUMIFS(Xero!$F:$F,Xero!$B:$B,Heron!AE$9,Xero!$A:$A,Heron!$A$4,Xero!$E:$E,Heron!$A50)+SUMIFS(Xero!$F:$F,Xero!$B:$B,Heron!AE$9,Xero!$A:$A,Heron!$A$5,Xero!$E:$E,Heron!$A50)</f>
        <v/>
      </c>
      <c r="AF50" s="117">
        <f>SUMIFS(Xero!$F:$F,Xero!$B:$B,Heron!AF$9,Xero!$A:$A,Heron!$A$4,Xero!$E:$E,Heron!$A50)+SUMIFS(Xero!$F:$F,Xero!$B:$B,Heron!AF$9,Xero!$A:$A,Heron!$A$5,Xero!$E:$E,Heron!$A50)</f>
        <v/>
      </c>
      <c r="AG50" s="117">
        <f>SUMIFS(Xero!$F:$F,Xero!$B:$B,Heron!AG$9,Xero!$A:$A,Heron!$A$4,Xero!$E:$E,Heron!$A50)+SUMIFS(Xero!$F:$F,Xero!$B:$B,Heron!AG$9,Xero!$A:$A,Heron!$A$5,Xero!$E:$E,Heron!$A50)</f>
        <v/>
      </c>
      <c r="AH50" s="117">
        <f>SUMIFS(Xero!$F:$F,Xero!$B:$B,Heron!AH$9,Xero!$A:$A,Heron!$A$4,Xero!$E:$E,Heron!$A50)+SUMIFS(Xero!$F:$F,Xero!$B:$B,Heron!AH$9,Xero!$A:$A,Heron!$A$5,Xero!$E:$E,Heron!$A50)</f>
        <v/>
      </c>
      <c r="AI50" s="117">
        <f>SUMIFS(Xero!$F:$F,Xero!$B:$B,Heron!AI$9,Xero!$A:$A,Heron!$A$4,Xero!$E:$E,Heron!$A50)+SUMIFS(Xero!$F:$F,Xero!$B:$B,Heron!AI$9,Xero!$A:$A,Heron!$A$5,Xero!$E:$E,Heron!$A50)</f>
        <v/>
      </c>
      <c r="AJ50" s="117">
        <f>SUMIFS(Xero!$F:$F,Xero!$B:$B,Heron!AJ$9,Xero!$A:$A,Heron!$A$4,Xero!$E:$E,Heron!$A50)+SUMIFS(Xero!$F:$F,Xero!$B:$B,Heron!AJ$9,Xero!$A:$A,Heron!$A$5,Xero!$E:$E,Heron!$A50)</f>
        <v/>
      </c>
      <c r="AK50" s="117">
        <f>SUMIFS(Xero!$F:$F,Xero!$B:$B,Heron!AK$9,Xero!$A:$A,Heron!$A$4,Xero!$E:$E,Heron!$A50)+SUMIFS(Xero!$F:$F,Xero!$B:$B,Heron!AK$9,Xero!$A:$A,Heron!$A$5,Xero!$E:$E,Heron!$A50)</f>
        <v/>
      </c>
      <c r="AL50" s="117">
        <f>SUMIFS(Xero!$F:$F,Xero!$B:$B,Heron!AL$9,Xero!$A:$A,Heron!$A$4,Xero!$E:$E,Heron!$A50)+SUMIFS(Xero!$F:$F,Xero!$B:$B,Heron!AL$9,Xero!$A:$A,Heron!$A$5,Xero!$E:$E,Heron!$A50)</f>
        <v/>
      </c>
      <c r="AM50" s="117">
        <f>SUMIFS(Xero!$F:$F,Xero!$B:$B,Heron!AM$9,Xero!$A:$A,Heron!$A$4,Xero!$E:$E,Heron!$A50)+SUMIFS(Xero!$F:$F,Xero!$B:$B,Heron!AM$9,Xero!$A:$A,Heron!$A$5,Xero!$E:$E,Heron!$A50)</f>
        <v/>
      </c>
      <c r="AN50" s="117">
        <f>SUMIFS(Xero!$F:$F,Xero!$B:$B,Heron!AN$9,Xero!$A:$A,Heron!$A$4,Xero!$E:$E,Heron!$A50)+SUMIFS(Xero!$F:$F,Xero!$B:$B,Heron!AN$9,Xero!$A:$A,Heron!$A$5,Xero!$E:$E,Heron!$A50)</f>
        <v/>
      </c>
      <c r="AO50" s="117">
        <f>SUMIFS(Xero!$F:$F,Xero!$B:$B,Heron!AO$9,Xero!$A:$A,Heron!$A$4,Xero!$E:$E,Heron!$A50)+SUMIFS(Xero!$F:$F,Xero!$B:$B,Heron!AO$9,Xero!$A:$A,Heron!$A$5,Xero!$E:$E,Heron!$A50)</f>
        <v/>
      </c>
      <c r="AP50" s="117">
        <f>SUMIFS(Xero!$F:$F,Xero!$B:$B,Heron!AP$9,Xero!$A:$A,Heron!$A$4,Xero!$E:$E,Heron!$A50)+SUMIFS(Xero!$F:$F,Xero!$B:$B,Heron!AP$9,Xero!$A:$A,Heron!$A$5,Xero!$E:$E,Heron!$A50)</f>
        <v/>
      </c>
      <c r="AQ50" s="117">
        <f>SUMIFS(Xero!$F:$F,Xero!$B:$B,Heron!AQ$9,Xero!$A:$A,Heron!$A$4,Xero!$E:$E,Heron!$A50)+SUMIFS(Xero!$F:$F,Xero!$B:$B,Heron!AQ$9,Xero!$A:$A,Heron!$A$5,Xero!$E:$E,Heron!$A50)</f>
        <v/>
      </c>
      <c r="AR50" s="117">
        <f>SUMIFS(Xero!$F:$F,Xero!$B:$B,Heron!AR$9,Xero!$A:$A,Heron!$A$4,Xero!$E:$E,Heron!$A50)+SUMIFS(Xero!$F:$F,Xero!$B:$B,Heron!AR$9,Xero!$A:$A,Heron!$A$5,Xero!$E:$E,Heron!$A50)</f>
        <v/>
      </c>
      <c r="AS50" s="117">
        <f>SUMIFS(Xero!$F:$F,Xero!$B:$B,Heron!AS$9,Xero!$A:$A,Heron!$A$4,Xero!$E:$E,Heron!$A50)+SUMIFS(Xero!$F:$F,Xero!$B:$B,Heron!AS$9,Xero!$A:$A,Heron!$A$5,Xero!$E:$E,Heron!$A50)</f>
        <v/>
      </c>
      <c r="AT50" s="117">
        <f>SUMIFS(Xero!$F:$F,Xero!$B:$B,Heron!AT$9,Xero!$A:$A,Heron!$A$4,Xero!$E:$E,Heron!$A50)+SUMIFS(Xero!$F:$F,Xero!$B:$B,Heron!AT$9,Xero!$A:$A,Heron!$A$5,Xero!$E:$E,Heron!$A50)</f>
        <v/>
      </c>
      <c r="AU50" s="117">
        <f>SUMIFS(Xero!$F:$F,Xero!$B:$B,Heron!AU$9,Xero!$A:$A,Heron!$A$4,Xero!$E:$E,Heron!$A50)+SUMIFS(Xero!$F:$F,Xero!$B:$B,Heron!AU$9,Xero!$A:$A,Heron!$A$5,Xero!$E:$E,Heron!$A50)</f>
        <v/>
      </c>
      <c r="AV50" s="117">
        <f>SUMIFS(Xero!$F:$F,Xero!$B:$B,Heron!AV$9,Xero!$A:$A,Heron!$A$4,Xero!$E:$E,Heron!$A50)+SUMIFS(Xero!$F:$F,Xero!$B:$B,Heron!AV$9,Xero!$A:$A,Heron!$A$5,Xero!$E:$E,Heron!$A50)</f>
        <v/>
      </c>
      <c r="AW50" s="117">
        <f>SUMIFS(Xero!$F:$F,Xero!$B:$B,Heron!AW$9,Xero!$A:$A,Heron!$A$4,Xero!$E:$E,Heron!$A50)+SUMIFS(Xero!$F:$F,Xero!$B:$B,Heron!AW$9,Xero!$A:$A,Heron!$A$5,Xero!$E:$E,Heron!$A50)</f>
        <v/>
      </c>
      <c r="AX50" s="117">
        <f>SUMIFS(Xero!$F:$F,Xero!$B:$B,Heron!AX$9,Xero!$A:$A,Heron!$A$4,Xero!$E:$E,Heron!$A50)+SUMIFS(Xero!$F:$F,Xero!$B:$B,Heron!AX$9,Xero!$A:$A,Heron!$A$5,Xero!$E:$E,Heron!$A50)</f>
        <v/>
      </c>
      <c r="AY50" s="117">
        <f>SUMIFS(Xero!$F:$F,Xero!$B:$B,Heron!AY$9,Xero!$A:$A,Heron!$A$4,Xero!$E:$E,Heron!$A50)+SUMIFS(Xero!$F:$F,Xero!$B:$B,Heron!AY$9,Xero!$A:$A,Heron!$A$5,Xero!$E:$E,Heron!$A50)</f>
        <v/>
      </c>
      <c r="AZ50" s="117">
        <f>SUMIFS(Xero!$F:$F,Xero!$B:$B,Heron!AZ$9,Xero!$A:$A,Heron!$A$4,Xero!$E:$E,Heron!$A50)+SUMIFS(Xero!$F:$F,Xero!$B:$B,Heron!AZ$9,Xero!$A:$A,Heron!$A$5,Xero!$E:$E,Heron!$A50)</f>
        <v/>
      </c>
      <c r="BA50" s="117">
        <f>SUMIFS(Xero!$F:$F,Xero!$B:$B,Heron!BA$9,Xero!$A:$A,Heron!$A$4,Xero!$E:$E,Heron!$A50)+SUMIFS(Xero!$F:$F,Xero!$B:$B,Heron!BA$9,Xero!$A:$A,Heron!$A$5,Xero!$E:$E,Heron!$A50)</f>
        <v/>
      </c>
      <c r="BB50" s="117">
        <f>SUMIFS(Xero!$F:$F,Xero!$B:$B,Heron!BB$9,Xero!$A:$A,Heron!$A$4,Xero!$E:$E,Heron!$A50)+SUMIFS(Xero!$F:$F,Xero!$B:$B,Heron!BB$9,Xero!$A:$A,Heron!$A$5,Xero!$E:$E,Heron!$A50)</f>
        <v/>
      </c>
      <c r="BC50" s="117">
        <f>SUMIFS(Xero!$F:$F,Xero!$B:$B,Heron!BC$9,Xero!$A:$A,Heron!$A$4,Xero!$E:$E,Heron!$A50)+SUMIFS(Xero!$F:$F,Xero!$B:$B,Heron!BC$9,Xero!$A:$A,Heron!$A$5,Xero!$E:$E,Heron!$A50)</f>
        <v/>
      </c>
      <c r="BD50" s="117">
        <f>SUMIFS(Xero!$F:$F,Xero!$B:$B,Heron!BD$9,Xero!$A:$A,Heron!$A$4,Xero!$E:$E,Heron!$A50)+SUMIFS(Xero!$F:$F,Xero!$B:$B,Heron!BD$9,Xero!$A:$A,Heron!$A$5,Xero!$E:$E,Heron!$A50)</f>
        <v/>
      </c>
      <c r="BE50" s="117">
        <f>SUMIFS(Xero!$F:$F,Xero!$B:$B,Heron!BE$9,Xero!$A:$A,Heron!$A$4,Xero!$E:$E,Heron!$A50)+SUMIFS(Xero!$F:$F,Xero!$B:$B,Heron!BE$9,Xero!$A:$A,Heron!$A$5,Xero!$E:$E,Heron!$A50)</f>
        <v/>
      </c>
      <c r="BF50" s="117">
        <f>SUMIFS(Xero!$F:$F,Xero!$B:$B,Heron!BF$9,Xero!$A:$A,Heron!$A$4,Xero!$E:$E,Heron!$A50)+SUMIFS(Xero!$F:$F,Xero!$B:$B,Heron!BF$9,Xero!$A:$A,Heron!$A$5,Xero!$E:$E,Heron!$A50)</f>
        <v/>
      </c>
      <c r="BG50" s="117">
        <f>SUMIFS(Xero!$F:$F,Xero!$B:$B,Heron!BG$9,Xero!$A:$A,Heron!$A$4,Xero!$E:$E,Heron!$A50)+SUMIFS(Xero!$F:$F,Xero!$B:$B,Heron!BG$9,Xero!$A:$A,Heron!$A$5,Xero!$E:$E,Heron!$A50)</f>
        <v/>
      </c>
      <c r="BH50" s="117">
        <f>SUMIFS(Xero!$F:$F,Xero!$B:$B,Heron!BH$9,Xero!$A:$A,Heron!$A$4,Xero!$E:$E,Heron!$A50)+SUMIFS(Xero!$F:$F,Xero!$B:$B,Heron!BH$9,Xero!$A:$A,Heron!$A$5,Xero!$E:$E,Heron!$A50)</f>
        <v/>
      </c>
      <c r="BI50" s="117">
        <f>SUMIFS(Xero!$F:$F,Xero!$B:$B,Heron!BI$9,Xero!$A:$A,Heron!$A$4,Xero!$E:$E,Heron!$A50)+SUMIFS(Xero!$F:$F,Xero!$B:$B,Heron!BI$9,Xero!$A:$A,Heron!$A$5,Xero!$E:$E,Heron!$A50)</f>
        <v/>
      </c>
      <c r="BJ50" s="117">
        <f>SUMIFS(Xero!$F:$F,Xero!$B:$B,Heron!BJ$9,Xero!$A:$A,Heron!$A$4,Xero!$E:$E,Heron!$A50)+SUMIFS(Xero!$F:$F,Xero!$B:$B,Heron!BJ$9,Xero!$A:$A,Heron!$A$5,Xero!$E:$E,Heron!$A50)</f>
        <v/>
      </c>
      <c r="BK50" s="117">
        <f>sum(D50:BJ50)</f>
        <v/>
      </c>
    </row>
    <row r="51">
      <c r="A51" s="116" t="inlineStr">
        <is>
          <t>COS - Heron View Showhouse</t>
        </is>
      </c>
      <c r="D51" s="117">
        <f>SUMIFS(Xero!$F:$F,Xero!$B:$B,Heron!D$9,Xero!$A:$A,Heron!$A$4,Xero!$E:$E,Heron!$A51)+SUMIFS(Xero!$F:$F,Xero!$B:$B,Heron!D$9,Xero!$A:$A,Heron!$A$5,Xero!$E:$E,Heron!$A51)</f>
        <v/>
      </c>
      <c r="E51" s="117">
        <f>SUMIFS(Xero!$F:$F,Xero!$B:$B,Heron!E$9,Xero!$A:$A,Heron!$A$4,Xero!$E:$E,Heron!$A51)+SUMIFS(Xero!$F:$F,Xero!$B:$B,Heron!E$9,Xero!$A:$A,Heron!$A$5,Xero!$E:$E,Heron!$A51)</f>
        <v/>
      </c>
      <c r="F51" s="117">
        <f>SUMIFS(Xero!$F:$F,Xero!$B:$B,Heron!F$9,Xero!$A:$A,Heron!$A$4,Xero!$E:$E,Heron!$A51)+SUMIFS(Xero!$F:$F,Xero!$B:$B,Heron!F$9,Xero!$A:$A,Heron!$A$5,Xero!$E:$E,Heron!$A51)</f>
        <v/>
      </c>
      <c r="G51" s="117">
        <f>SUMIFS(Xero!$F:$F,Xero!$B:$B,Heron!G$9,Xero!$A:$A,Heron!$A$4,Xero!$E:$E,Heron!$A51)+SUMIFS(Xero!$F:$F,Xero!$B:$B,Heron!G$9,Xero!$A:$A,Heron!$A$5,Xero!$E:$E,Heron!$A51)</f>
        <v/>
      </c>
      <c r="H51" s="117">
        <f>SUMIFS(Xero!$F:$F,Xero!$B:$B,Heron!H$9,Xero!$A:$A,Heron!$A$4,Xero!$E:$E,Heron!$A51)+SUMIFS(Xero!$F:$F,Xero!$B:$B,Heron!H$9,Xero!$A:$A,Heron!$A$5,Xero!$E:$E,Heron!$A51)</f>
        <v/>
      </c>
      <c r="I51" s="117">
        <f>SUMIFS(Xero!$F:$F,Xero!$B:$B,Heron!I$9,Xero!$A:$A,Heron!$A$4,Xero!$E:$E,Heron!$A51)+SUMIFS(Xero!$F:$F,Xero!$B:$B,Heron!I$9,Xero!$A:$A,Heron!$A$5,Xero!$E:$E,Heron!$A51)</f>
        <v/>
      </c>
      <c r="J51" s="117">
        <f>SUMIFS(Xero!$F:$F,Xero!$B:$B,Heron!J$9,Xero!$A:$A,Heron!$A$4,Xero!$E:$E,Heron!$A51)+SUMIFS(Xero!$F:$F,Xero!$B:$B,Heron!J$9,Xero!$A:$A,Heron!$A$5,Xero!$E:$E,Heron!$A51)</f>
        <v/>
      </c>
      <c r="K51" s="117">
        <f>SUMIFS(Xero!$F:$F,Xero!$B:$B,Heron!K$9,Xero!$A:$A,Heron!$A$4,Xero!$E:$E,Heron!$A51)+SUMIFS(Xero!$F:$F,Xero!$B:$B,Heron!K$9,Xero!$A:$A,Heron!$A$5,Xero!$E:$E,Heron!$A51)</f>
        <v/>
      </c>
      <c r="L51" s="117">
        <f>SUMIFS(Xero!$F:$F,Xero!$B:$B,Heron!L$9,Xero!$A:$A,Heron!$A$4,Xero!$E:$E,Heron!$A51)+SUMIFS(Xero!$F:$F,Xero!$B:$B,Heron!L$9,Xero!$A:$A,Heron!$A$5,Xero!$E:$E,Heron!$A51)</f>
        <v/>
      </c>
      <c r="M51" s="117">
        <f>SUMIFS(Xero!$F:$F,Xero!$B:$B,Heron!M$9,Xero!$A:$A,Heron!$A$4,Xero!$E:$E,Heron!$A51)+SUMIFS(Xero!$F:$F,Xero!$B:$B,Heron!M$9,Xero!$A:$A,Heron!$A$5,Xero!$E:$E,Heron!$A51)</f>
        <v/>
      </c>
      <c r="N51" s="117">
        <f>SUMIFS(Xero!$F:$F,Xero!$B:$B,Heron!N$9,Xero!$A:$A,Heron!$A$4,Xero!$E:$E,Heron!$A51)+SUMIFS(Xero!$F:$F,Xero!$B:$B,Heron!N$9,Xero!$A:$A,Heron!$A$5,Xero!$E:$E,Heron!$A51)</f>
        <v/>
      </c>
      <c r="O51" s="117">
        <f>SUMIFS(Xero!$F:$F,Xero!$B:$B,Heron!O$9,Xero!$A:$A,Heron!$A$4,Xero!$E:$E,Heron!$A51)+SUMIFS(Xero!$F:$F,Xero!$B:$B,Heron!O$9,Xero!$A:$A,Heron!$A$5,Xero!$E:$E,Heron!$A51)</f>
        <v/>
      </c>
      <c r="P51" s="117">
        <f>SUMIFS(Xero!$F:$F,Xero!$B:$B,Heron!P$9,Xero!$A:$A,Heron!$A$4,Xero!$E:$E,Heron!$A51)+SUMIFS(Xero!$F:$F,Xero!$B:$B,Heron!P$9,Xero!$A:$A,Heron!$A$5,Xero!$E:$E,Heron!$A51)</f>
        <v/>
      </c>
      <c r="Q51" s="117">
        <f>SUMIFS(Xero!$F:$F,Xero!$B:$B,Heron!Q$9,Xero!$A:$A,Heron!$A$4,Xero!$E:$E,Heron!$A51)+SUMIFS(Xero!$F:$F,Xero!$B:$B,Heron!Q$9,Xero!$A:$A,Heron!$A$5,Xero!$E:$E,Heron!$A51)</f>
        <v/>
      </c>
      <c r="R51" s="117">
        <f>SUMIFS(Xero!$F:$F,Xero!$B:$B,Heron!R$9,Xero!$A:$A,Heron!$A$4,Xero!$E:$E,Heron!$A51)+SUMIFS(Xero!$F:$F,Xero!$B:$B,Heron!R$9,Xero!$A:$A,Heron!$A$5,Xero!$E:$E,Heron!$A51)</f>
        <v/>
      </c>
      <c r="S51" s="117">
        <f>SUMIFS(Xero!$F:$F,Xero!$B:$B,Heron!S$9,Xero!$A:$A,Heron!$A$4,Xero!$E:$E,Heron!$A51)+SUMIFS(Xero!$F:$F,Xero!$B:$B,Heron!S$9,Xero!$A:$A,Heron!$A$5,Xero!$E:$E,Heron!$A51)</f>
        <v/>
      </c>
      <c r="T51" s="117">
        <f>SUMIFS(Xero!$F:$F,Xero!$B:$B,Heron!T$9,Xero!$A:$A,Heron!$A$4,Xero!$E:$E,Heron!$A51)+SUMIFS(Xero!$F:$F,Xero!$B:$B,Heron!T$9,Xero!$A:$A,Heron!$A$5,Xero!$E:$E,Heron!$A51)</f>
        <v/>
      </c>
      <c r="U51" s="117">
        <f>SUMIFS(Xero!$F:$F,Xero!$B:$B,Heron!U$9,Xero!$A:$A,Heron!$A$4,Xero!$E:$E,Heron!$A51)+SUMIFS(Xero!$F:$F,Xero!$B:$B,Heron!U$9,Xero!$A:$A,Heron!$A$5,Xero!$E:$E,Heron!$A51)</f>
        <v/>
      </c>
      <c r="V51" s="117">
        <f>SUMIFS(Xero!$F:$F,Xero!$B:$B,Heron!V$9,Xero!$A:$A,Heron!$A$4,Xero!$E:$E,Heron!$A51)+SUMIFS(Xero!$F:$F,Xero!$B:$B,Heron!V$9,Xero!$A:$A,Heron!$A$5,Xero!$E:$E,Heron!$A51)</f>
        <v/>
      </c>
      <c r="W51" s="117">
        <f>SUMIFS(Xero!$F:$F,Xero!$B:$B,Heron!W$9,Xero!$A:$A,Heron!$A$4,Xero!$E:$E,Heron!$A51)+SUMIFS(Xero!$F:$F,Xero!$B:$B,Heron!W$9,Xero!$A:$A,Heron!$A$5,Xero!$E:$E,Heron!$A51)</f>
        <v/>
      </c>
      <c r="X51" s="117">
        <f>SUMIFS(Xero!$F:$F,Xero!$B:$B,Heron!X$9,Xero!$A:$A,Heron!$A$4,Xero!$E:$E,Heron!$A51)+SUMIFS(Xero!$F:$F,Xero!$B:$B,Heron!X$9,Xero!$A:$A,Heron!$A$5,Xero!$E:$E,Heron!$A51)</f>
        <v/>
      </c>
      <c r="Y51" s="117">
        <f>SUMIFS(Xero!$F:$F,Xero!$B:$B,Heron!Y$9,Xero!$A:$A,Heron!$A$4,Xero!$E:$E,Heron!$A51)+SUMIFS(Xero!$F:$F,Xero!$B:$B,Heron!Y$9,Xero!$A:$A,Heron!$A$5,Xero!$E:$E,Heron!$A51)</f>
        <v/>
      </c>
      <c r="Z51" s="117">
        <f>SUMIFS(Xero!$F:$F,Xero!$B:$B,Heron!Z$9,Xero!$A:$A,Heron!$A$4,Xero!$E:$E,Heron!$A51)+SUMIFS(Xero!$F:$F,Xero!$B:$B,Heron!Z$9,Xero!$A:$A,Heron!$A$5,Xero!$E:$E,Heron!$A51)</f>
        <v/>
      </c>
      <c r="AA51" s="117">
        <f>SUMIFS(Xero!$F:$F,Xero!$B:$B,Heron!AA$9,Xero!$A:$A,Heron!$A$4,Xero!$E:$E,Heron!$A51)+SUMIFS(Xero!$F:$F,Xero!$B:$B,Heron!AA$9,Xero!$A:$A,Heron!$A$5,Xero!$E:$E,Heron!$A51)</f>
        <v/>
      </c>
      <c r="AB51" s="117">
        <f>SUMIFS(Xero!$F:$F,Xero!$B:$B,Heron!AB$9,Xero!$A:$A,Heron!$A$4,Xero!$E:$E,Heron!$A51)+SUMIFS(Xero!$F:$F,Xero!$B:$B,Heron!AB$9,Xero!$A:$A,Heron!$A$5,Xero!$E:$E,Heron!$A51)</f>
        <v/>
      </c>
      <c r="AC51" s="117">
        <f>SUMIFS(Xero!$F:$F,Xero!$B:$B,Heron!AC$9,Xero!$A:$A,Heron!$A$4,Xero!$E:$E,Heron!$A51)+SUMIFS(Xero!$F:$F,Xero!$B:$B,Heron!AC$9,Xero!$A:$A,Heron!$A$5,Xero!$E:$E,Heron!$A51)</f>
        <v/>
      </c>
      <c r="AD51" s="117">
        <f>SUMIFS(Xero!$F:$F,Xero!$B:$B,Heron!AD$9,Xero!$A:$A,Heron!$A$4,Xero!$E:$E,Heron!$A51)+SUMIFS(Xero!$F:$F,Xero!$B:$B,Heron!AD$9,Xero!$A:$A,Heron!$A$5,Xero!$E:$E,Heron!$A51)</f>
        <v/>
      </c>
      <c r="AE51" s="117">
        <f>SUMIFS(Xero!$F:$F,Xero!$B:$B,Heron!AE$9,Xero!$A:$A,Heron!$A$4,Xero!$E:$E,Heron!$A51)+SUMIFS(Xero!$F:$F,Xero!$B:$B,Heron!AE$9,Xero!$A:$A,Heron!$A$5,Xero!$E:$E,Heron!$A51)</f>
        <v/>
      </c>
      <c r="AF51" s="117">
        <f>SUMIFS(Xero!$F:$F,Xero!$B:$B,Heron!AF$9,Xero!$A:$A,Heron!$A$4,Xero!$E:$E,Heron!$A51)+SUMIFS(Xero!$F:$F,Xero!$B:$B,Heron!AF$9,Xero!$A:$A,Heron!$A$5,Xero!$E:$E,Heron!$A51)</f>
        <v/>
      </c>
      <c r="AG51" s="117">
        <f>SUMIFS(Xero!$F:$F,Xero!$B:$B,Heron!AG$9,Xero!$A:$A,Heron!$A$4,Xero!$E:$E,Heron!$A51)+SUMIFS(Xero!$F:$F,Xero!$B:$B,Heron!AG$9,Xero!$A:$A,Heron!$A$5,Xero!$E:$E,Heron!$A51)</f>
        <v/>
      </c>
      <c r="AH51" s="117">
        <f>SUMIFS(Xero!$F:$F,Xero!$B:$B,Heron!AH$9,Xero!$A:$A,Heron!$A$4,Xero!$E:$E,Heron!$A51)+SUMIFS(Xero!$F:$F,Xero!$B:$B,Heron!AH$9,Xero!$A:$A,Heron!$A$5,Xero!$E:$E,Heron!$A51)</f>
        <v/>
      </c>
      <c r="AI51" s="117">
        <f>SUMIFS(Xero!$F:$F,Xero!$B:$B,Heron!AI$9,Xero!$A:$A,Heron!$A$4,Xero!$E:$E,Heron!$A51)+SUMIFS(Xero!$F:$F,Xero!$B:$B,Heron!AI$9,Xero!$A:$A,Heron!$A$5,Xero!$E:$E,Heron!$A51)</f>
        <v/>
      </c>
      <c r="AJ51" s="117">
        <f>SUMIFS(Xero!$F:$F,Xero!$B:$B,Heron!AJ$9,Xero!$A:$A,Heron!$A$4,Xero!$E:$E,Heron!$A51)+SUMIFS(Xero!$F:$F,Xero!$B:$B,Heron!AJ$9,Xero!$A:$A,Heron!$A$5,Xero!$E:$E,Heron!$A51)</f>
        <v/>
      </c>
      <c r="AK51" s="117">
        <f>SUMIFS(Xero!$F:$F,Xero!$B:$B,Heron!AK$9,Xero!$A:$A,Heron!$A$4,Xero!$E:$E,Heron!$A51)+SUMIFS(Xero!$F:$F,Xero!$B:$B,Heron!AK$9,Xero!$A:$A,Heron!$A$5,Xero!$E:$E,Heron!$A51)</f>
        <v/>
      </c>
      <c r="AL51" s="117">
        <f>SUMIFS(Xero!$F:$F,Xero!$B:$B,Heron!AL$9,Xero!$A:$A,Heron!$A$4,Xero!$E:$E,Heron!$A51)+SUMIFS(Xero!$F:$F,Xero!$B:$B,Heron!AL$9,Xero!$A:$A,Heron!$A$5,Xero!$E:$E,Heron!$A51)</f>
        <v/>
      </c>
      <c r="AM51" s="117">
        <f>SUMIFS(Xero!$F:$F,Xero!$B:$B,Heron!AM$9,Xero!$A:$A,Heron!$A$4,Xero!$E:$E,Heron!$A51)+SUMIFS(Xero!$F:$F,Xero!$B:$B,Heron!AM$9,Xero!$A:$A,Heron!$A$5,Xero!$E:$E,Heron!$A51)</f>
        <v/>
      </c>
      <c r="AN51" s="117">
        <f>SUMIFS(Xero!$F:$F,Xero!$B:$B,Heron!AN$9,Xero!$A:$A,Heron!$A$4,Xero!$E:$E,Heron!$A51)+SUMIFS(Xero!$F:$F,Xero!$B:$B,Heron!AN$9,Xero!$A:$A,Heron!$A$5,Xero!$E:$E,Heron!$A51)</f>
        <v/>
      </c>
      <c r="AO51" s="117">
        <f>SUMIFS(Xero!$F:$F,Xero!$B:$B,Heron!AO$9,Xero!$A:$A,Heron!$A$4,Xero!$E:$E,Heron!$A51)+SUMIFS(Xero!$F:$F,Xero!$B:$B,Heron!AO$9,Xero!$A:$A,Heron!$A$5,Xero!$E:$E,Heron!$A51)</f>
        <v/>
      </c>
      <c r="AP51" s="117">
        <f>SUMIFS(Xero!$F:$F,Xero!$B:$B,Heron!AP$9,Xero!$A:$A,Heron!$A$4,Xero!$E:$E,Heron!$A51)+SUMIFS(Xero!$F:$F,Xero!$B:$B,Heron!AP$9,Xero!$A:$A,Heron!$A$5,Xero!$E:$E,Heron!$A51)</f>
        <v/>
      </c>
      <c r="AQ51" s="117">
        <f>SUMIFS(Xero!$F:$F,Xero!$B:$B,Heron!AQ$9,Xero!$A:$A,Heron!$A$4,Xero!$E:$E,Heron!$A51)+SUMIFS(Xero!$F:$F,Xero!$B:$B,Heron!AQ$9,Xero!$A:$A,Heron!$A$5,Xero!$E:$E,Heron!$A51)</f>
        <v/>
      </c>
      <c r="AR51" s="117">
        <f>SUMIFS(Xero!$F:$F,Xero!$B:$B,Heron!AR$9,Xero!$A:$A,Heron!$A$4,Xero!$E:$E,Heron!$A51)+SUMIFS(Xero!$F:$F,Xero!$B:$B,Heron!AR$9,Xero!$A:$A,Heron!$A$5,Xero!$E:$E,Heron!$A51)</f>
        <v/>
      </c>
      <c r="AS51" s="117">
        <f>SUMIFS(Xero!$F:$F,Xero!$B:$B,Heron!AS$9,Xero!$A:$A,Heron!$A$4,Xero!$E:$E,Heron!$A51)+SUMIFS(Xero!$F:$F,Xero!$B:$B,Heron!AS$9,Xero!$A:$A,Heron!$A$5,Xero!$E:$E,Heron!$A51)</f>
        <v/>
      </c>
      <c r="AT51" s="117">
        <f>SUMIFS(Xero!$F:$F,Xero!$B:$B,Heron!AT$9,Xero!$A:$A,Heron!$A$4,Xero!$E:$E,Heron!$A51)+SUMIFS(Xero!$F:$F,Xero!$B:$B,Heron!AT$9,Xero!$A:$A,Heron!$A$5,Xero!$E:$E,Heron!$A51)</f>
        <v/>
      </c>
      <c r="AU51" s="117">
        <f>SUMIFS(Xero!$F:$F,Xero!$B:$B,Heron!AU$9,Xero!$A:$A,Heron!$A$4,Xero!$E:$E,Heron!$A51)+SUMIFS(Xero!$F:$F,Xero!$B:$B,Heron!AU$9,Xero!$A:$A,Heron!$A$5,Xero!$E:$E,Heron!$A51)</f>
        <v/>
      </c>
      <c r="AV51" s="117">
        <f>SUMIFS(Xero!$F:$F,Xero!$B:$B,Heron!AV$9,Xero!$A:$A,Heron!$A$4,Xero!$E:$E,Heron!$A51)+SUMIFS(Xero!$F:$F,Xero!$B:$B,Heron!AV$9,Xero!$A:$A,Heron!$A$5,Xero!$E:$E,Heron!$A51)</f>
        <v/>
      </c>
      <c r="AW51" s="117">
        <f>SUMIFS(Xero!$F:$F,Xero!$B:$B,Heron!AW$9,Xero!$A:$A,Heron!$A$4,Xero!$E:$E,Heron!$A51)+SUMIFS(Xero!$F:$F,Xero!$B:$B,Heron!AW$9,Xero!$A:$A,Heron!$A$5,Xero!$E:$E,Heron!$A51)</f>
        <v/>
      </c>
      <c r="AX51" s="117">
        <f>SUMIFS(Xero!$F:$F,Xero!$B:$B,Heron!AX$9,Xero!$A:$A,Heron!$A$4,Xero!$E:$E,Heron!$A51)+SUMIFS(Xero!$F:$F,Xero!$B:$B,Heron!AX$9,Xero!$A:$A,Heron!$A$5,Xero!$E:$E,Heron!$A51)</f>
        <v/>
      </c>
      <c r="AY51" s="117">
        <f>SUMIFS(Xero!$F:$F,Xero!$B:$B,Heron!AY$9,Xero!$A:$A,Heron!$A$4,Xero!$E:$E,Heron!$A51)+SUMIFS(Xero!$F:$F,Xero!$B:$B,Heron!AY$9,Xero!$A:$A,Heron!$A$5,Xero!$E:$E,Heron!$A51)</f>
        <v/>
      </c>
      <c r="AZ51" s="117">
        <f>SUMIFS(Xero!$F:$F,Xero!$B:$B,Heron!AZ$9,Xero!$A:$A,Heron!$A$4,Xero!$E:$E,Heron!$A51)+SUMIFS(Xero!$F:$F,Xero!$B:$B,Heron!AZ$9,Xero!$A:$A,Heron!$A$5,Xero!$E:$E,Heron!$A51)</f>
        <v/>
      </c>
      <c r="BA51" s="117">
        <f>SUMIFS(Xero!$F:$F,Xero!$B:$B,Heron!BA$9,Xero!$A:$A,Heron!$A$4,Xero!$E:$E,Heron!$A51)+SUMIFS(Xero!$F:$F,Xero!$B:$B,Heron!BA$9,Xero!$A:$A,Heron!$A$5,Xero!$E:$E,Heron!$A51)</f>
        <v/>
      </c>
      <c r="BB51" s="117">
        <f>SUMIFS(Xero!$F:$F,Xero!$B:$B,Heron!BB$9,Xero!$A:$A,Heron!$A$4,Xero!$E:$E,Heron!$A51)+SUMIFS(Xero!$F:$F,Xero!$B:$B,Heron!BB$9,Xero!$A:$A,Heron!$A$5,Xero!$E:$E,Heron!$A51)</f>
        <v/>
      </c>
      <c r="BC51" s="117">
        <f>SUMIFS(Xero!$F:$F,Xero!$B:$B,Heron!BC$9,Xero!$A:$A,Heron!$A$4,Xero!$E:$E,Heron!$A51)+SUMIFS(Xero!$F:$F,Xero!$B:$B,Heron!BC$9,Xero!$A:$A,Heron!$A$5,Xero!$E:$E,Heron!$A51)</f>
        <v/>
      </c>
      <c r="BD51" s="117">
        <f>SUMIFS(Xero!$F:$F,Xero!$B:$B,Heron!BD$9,Xero!$A:$A,Heron!$A$4,Xero!$E:$E,Heron!$A51)+SUMIFS(Xero!$F:$F,Xero!$B:$B,Heron!BD$9,Xero!$A:$A,Heron!$A$5,Xero!$E:$E,Heron!$A51)</f>
        <v/>
      </c>
      <c r="BE51" s="117">
        <f>SUMIFS(Xero!$F:$F,Xero!$B:$B,Heron!BE$9,Xero!$A:$A,Heron!$A$4,Xero!$E:$E,Heron!$A51)+SUMIFS(Xero!$F:$F,Xero!$B:$B,Heron!BE$9,Xero!$A:$A,Heron!$A$5,Xero!$E:$E,Heron!$A51)</f>
        <v/>
      </c>
      <c r="BF51" s="117">
        <f>SUMIFS(Xero!$F:$F,Xero!$B:$B,Heron!BF$9,Xero!$A:$A,Heron!$A$4,Xero!$E:$E,Heron!$A51)+SUMIFS(Xero!$F:$F,Xero!$B:$B,Heron!BF$9,Xero!$A:$A,Heron!$A$5,Xero!$E:$E,Heron!$A51)</f>
        <v/>
      </c>
      <c r="BG51" s="117">
        <f>SUMIFS(Xero!$F:$F,Xero!$B:$B,Heron!BG$9,Xero!$A:$A,Heron!$A$4,Xero!$E:$E,Heron!$A51)+SUMIFS(Xero!$F:$F,Xero!$B:$B,Heron!BG$9,Xero!$A:$A,Heron!$A$5,Xero!$E:$E,Heron!$A51)</f>
        <v/>
      </c>
      <c r="BH51" s="117">
        <f>SUMIFS(Xero!$F:$F,Xero!$B:$B,Heron!BH$9,Xero!$A:$A,Heron!$A$4,Xero!$E:$E,Heron!$A51)+SUMIFS(Xero!$F:$F,Xero!$B:$B,Heron!BH$9,Xero!$A:$A,Heron!$A$5,Xero!$E:$E,Heron!$A51)</f>
        <v/>
      </c>
      <c r="BI51" s="117">
        <f>SUMIFS(Xero!$F:$F,Xero!$B:$B,Heron!BI$9,Xero!$A:$A,Heron!$A$4,Xero!$E:$E,Heron!$A51)+SUMIFS(Xero!$F:$F,Xero!$B:$B,Heron!BI$9,Xero!$A:$A,Heron!$A$5,Xero!$E:$E,Heron!$A51)</f>
        <v/>
      </c>
      <c r="BJ51" s="117">
        <f>SUMIFS(Xero!$F:$F,Xero!$B:$B,Heron!BJ$9,Xero!$A:$A,Heron!$A$4,Xero!$E:$E,Heron!$A51)+SUMIFS(Xero!$F:$F,Xero!$B:$B,Heron!BJ$9,Xero!$A:$A,Heron!$A$5,Xero!$E:$E,Heron!$A51)</f>
        <v/>
      </c>
      <c r="BK51" s="117">
        <f>sum(D51:BJ51)</f>
        <v/>
      </c>
    </row>
    <row r="52">
      <c r="A52" s="116" t="inlineStr">
        <is>
          <t>COS - Heron sales office</t>
        </is>
      </c>
      <c r="D52" s="117">
        <f>SUMIFS(Xero!$F:$F,Xero!$B:$B,Heron!D$9,Xero!$A:$A,Heron!$A$4,Xero!$E:$E,Heron!$A52)+SUMIFS(Xero!$F:$F,Xero!$B:$B,Heron!D$9,Xero!$A:$A,Heron!$A$5,Xero!$E:$E,Heron!$A52)</f>
        <v/>
      </c>
      <c r="E52" s="117">
        <f>SUMIFS(Xero!$F:$F,Xero!$B:$B,Heron!E$9,Xero!$A:$A,Heron!$A$4,Xero!$E:$E,Heron!$A52)+SUMIFS(Xero!$F:$F,Xero!$B:$B,Heron!E$9,Xero!$A:$A,Heron!$A$5,Xero!$E:$E,Heron!$A52)</f>
        <v/>
      </c>
      <c r="F52" s="117">
        <f>SUMIFS(Xero!$F:$F,Xero!$B:$B,Heron!F$9,Xero!$A:$A,Heron!$A$4,Xero!$E:$E,Heron!$A52)+SUMIFS(Xero!$F:$F,Xero!$B:$B,Heron!F$9,Xero!$A:$A,Heron!$A$5,Xero!$E:$E,Heron!$A52)</f>
        <v/>
      </c>
      <c r="G52" s="117">
        <f>SUMIFS(Xero!$F:$F,Xero!$B:$B,Heron!G$9,Xero!$A:$A,Heron!$A$4,Xero!$E:$E,Heron!$A52)+SUMIFS(Xero!$F:$F,Xero!$B:$B,Heron!G$9,Xero!$A:$A,Heron!$A$5,Xero!$E:$E,Heron!$A52)</f>
        <v/>
      </c>
      <c r="H52" s="117">
        <f>SUMIFS(Xero!$F:$F,Xero!$B:$B,Heron!H$9,Xero!$A:$A,Heron!$A$4,Xero!$E:$E,Heron!$A52)+SUMIFS(Xero!$F:$F,Xero!$B:$B,Heron!H$9,Xero!$A:$A,Heron!$A$5,Xero!$E:$E,Heron!$A52)</f>
        <v/>
      </c>
      <c r="I52" s="117">
        <f>SUMIFS(Xero!$F:$F,Xero!$B:$B,Heron!I$9,Xero!$A:$A,Heron!$A$4,Xero!$E:$E,Heron!$A52)+SUMIFS(Xero!$F:$F,Xero!$B:$B,Heron!I$9,Xero!$A:$A,Heron!$A$5,Xero!$E:$E,Heron!$A52)</f>
        <v/>
      </c>
      <c r="J52" s="117">
        <f>SUMIFS(Xero!$F:$F,Xero!$B:$B,Heron!J$9,Xero!$A:$A,Heron!$A$4,Xero!$E:$E,Heron!$A52)+SUMIFS(Xero!$F:$F,Xero!$B:$B,Heron!J$9,Xero!$A:$A,Heron!$A$5,Xero!$E:$E,Heron!$A52)</f>
        <v/>
      </c>
      <c r="K52" s="117">
        <f>SUMIFS(Xero!$F:$F,Xero!$B:$B,Heron!K$9,Xero!$A:$A,Heron!$A$4,Xero!$E:$E,Heron!$A52)+SUMIFS(Xero!$F:$F,Xero!$B:$B,Heron!K$9,Xero!$A:$A,Heron!$A$5,Xero!$E:$E,Heron!$A52)</f>
        <v/>
      </c>
      <c r="L52" s="117">
        <f>SUMIFS(Xero!$F:$F,Xero!$B:$B,Heron!L$9,Xero!$A:$A,Heron!$A$4,Xero!$E:$E,Heron!$A52)+SUMIFS(Xero!$F:$F,Xero!$B:$B,Heron!L$9,Xero!$A:$A,Heron!$A$5,Xero!$E:$E,Heron!$A52)</f>
        <v/>
      </c>
      <c r="M52" s="117">
        <f>SUMIFS(Xero!$F:$F,Xero!$B:$B,Heron!M$9,Xero!$A:$A,Heron!$A$4,Xero!$E:$E,Heron!$A52)+SUMIFS(Xero!$F:$F,Xero!$B:$B,Heron!M$9,Xero!$A:$A,Heron!$A$5,Xero!$E:$E,Heron!$A52)</f>
        <v/>
      </c>
      <c r="N52" s="117">
        <f>SUMIFS(Xero!$F:$F,Xero!$B:$B,Heron!N$9,Xero!$A:$A,Heron!$A$4,Xero!$E:$E,Heron!$A52)+SUMIFS(Xero!$F:$F,Xero!$B:$B,Heron!N$9,Xero!$A:$A,Heron!$A$5,Xero!$E:$E,Heron!$A52)</f>
        <v/>
      </c>
      <c r="O52" s="117">
        <f>SUMIFS(Xero!$F:$F,Xero!$B:$B,Heron!O$9,Xero!$A:$A,Heron!$A$4,Xero!$E:$E,Heron!$A52)+SUMIFS(Xero!$F:$F,Xero!$B:$B,Heron!O$9,Xero!$A:$A,Heron!$A$5,Xero!$E:$E,Heron!$A52)</f>
        <v/>
      </c>
      <c r="P52" s="117">
        <f>SUMIFS(Xero!$F:$F,Xero!$B:$B,Heron!P$9,Xero!$A:$A,Heron!$A$4,Xero!$E:$E,Heron!$A52)+SUMIFS(Xero!$F:$F,Xero!$B:$B,Heron!P$9,Xero!$A:$A,Heron!$A$5,Xero!$E:$E,Heron!$A52)</f>
        <v/>
      </c>
      <c r="Q52" s="117">
        <f>SUMIFS(Xero!$F:$F,Xero!$B:$B,Heron!Q$9,Xero!$A:$A,Heron!$A$4,Xero!$E:$E,Heron!$A52)+SUMIFS(Xero!$F:$F,Xero!$B:$B,Heron!Q$9,Xero!$A:$A,Heron!$A$5,Xero!$E:$E,Heron!$A52)</f>
        <v/>
      </c>
      <c r="R52" s="117">
        <f>SUMIFS(Xero!$F:$F,Xero!$B:$B,Heron!R$9,Xero!$A:$A,Heron!$A$4,Xero!$E:$E,Heron!$A52)+SUMIFS(Xero!$F:$F,Xero!$B:$B,Heron!R$9,Xero!$A:$A,Heron!$A$5,Xero!$E:$E,Heron!$A52)</f>
        <v/>
      </c>
      <c r="S52" s="117">
        <f>SUMIFS(Xero!$F:$F,Xero!$B:$B,Heron!S$9,Xero!$A:$A,Heron!$A$4,Xero!$E:$E,Heron!$A52)+SUMIFS(Xero!$F:$F,Xero!$B:$B,Heron!S$9,Xero!$A:$A,Heron!$A$5,Xero!$E:$E,Heron!$A52)</f>
        <v/>
      </c>
      <c r="T52" s="117">
        <f>SUMIFS(Xero!$F:$F,Xero!$B:$B,Heron!T$9,Xero!$A:$A,Heron!$A$4,Xero!$E:$E,Heron!$A52)+SUMIFS(Xero!$F:$F,Xero!$B:$B,Heron!T$9,Xero!$A:$A,Heron!$A$5,Xero!$E:$E,Heron!$A52)</f>
        <v/>
      </c>
      <c r="U52" s="117">
        <f>SUMIFS(Xero!$F:$F,Xero!$B:$B,Heron!U$9,Xero!$A:$A,Heron!$A$4,Xero!$E:$E,Heron!$A52)+SUMIFS(Xero!$F:$F,Xero!$B:$B,Heron!U$9,Xero!$A:$A,Heron!$A$5,Xero!$E:$E,Heron!$A52)</f>
        <v/>
      </c>
      <c r="V52" s="117">
        <f>SUMIFS(Xero!$F:$F,Xero!$B:$B,Heron!V$9,Xero!$A:$A,Heron!$A$4,Xero!$E:$E,Heron!$A52)+SUMIFS(Xero!$F:$F,Xero!$B:$B,Heron!V$9,Xero!$A:$A,Heron!$A$5,Xero!$E:$E,Heron!$A52)</f>
        <v/>
      </c>
      <c r="W52" s="117">
        <f>SUMIFS(Xero!$F:$F,Xero!$B:$B,Heron!W$9,Xero!$A:$A,Heron!$A$4,Xero!$E:$E,Heron!$A52)+SUMIFS(Xero!$F:$F,Xero!$B:$B,Heron!W$9,Xero!$A:$A,Heron!$A$5,Xero!$E:$E,Heron!$A52)</f>
        <v/>
      </c>
      <c r="X52" s="117">
        <f>SUMIFS(Xero!$F:$F,Xero!$B:$B,Heron!X$9,Xero!$A:$A,Heron!$A$4,Xero!$E:$E,Heron!$A52)+SUMIFS(Xero!$F:$F,Xero!$B:$B,Heron!X$9,Xero!$A:$A,Heron!$A$5,Xero!$E:$E,Heron!$A52)</f>
        <v/>
      </c>
      <c r="Y52" s="117">
        <f>SUMIFS(Xero!$F:$F,Xero!$B:$B,Heron!Y$9,Xero!$A:$A,Heron!$A$4,Xero!$E:$E,Heron!$A52)+SUMIFS(Xero!$F:$F,Xero!$B:$B,Heron!Y$9,Xero!$A:$A,Heron!$A$5,Xero!$E:$E,Heron!$A52)</f>
        <v/>
      </c>
      <c r="Z52" s="117">
        <f>SUMIFS(Xero!$F:$F,Xero!$B:$B,Heron!Z$9,Xero!$A:$A,Heron!$A$4,Xero!$E:$E,Heron!$A52)+SUMIFS(Xero!$F:$F,Xero!$B:$B,Heron!Z$9,Xero!$A:$A,Heron!$A$5,Xero!$E:$E,Heron!$A52)</f>
        <v/>
      </c>
      <c r="AA52" s="117">
        <f>SUMIFS(Xero!$F:$F,Xero!$B:$B,Heron!AA$9,Xero!$A:$A,Heron!$A$4,Xero!$E:$E,Heron!$A52)+SUMIFS(Xero!$F:$F,Xero!$B:$B,Heron!AA$9,Xero!$A:$A,Heron!$A$5,Xero!$E:$E,Heron!$A52)</f>
        <v/>
      </c>
      <c r="AB52" s="117">
        <f>SUMIFS(Xero!$F:$F,Xero!$B:$B,Heron!AB$9,Xero!$A:$A,Heron!$A$4,Xero!$E:$E,Heron!$A52)+SUMIFS(Xero!$F:$F,Xero!$B:$B,Heron!AB$9,Xero!$A:$A,Heron!$A$5,Xero!$E:$E,Heron!$A52)</f>
        <v/>
      </c>
      <c r="AC52" s="117">
        <f>SUMIFS(Xero!$F:$F,Xero!$B:$B,Heron!AC$9,Xero!$A:$A,Heron!$A$4,Xero!$E:$E,Heron!$A52)+SUMIFS(Xero!$F:$F,Xero!$B:$B,Heron!AC$9,Xero!$A:$A,Heron!$A$5,Xero!$E:$E,Heron!$A52)</f>
        <v/>
      </c>
      <c r="AD52" s="117">
        <f>SUMIFS(Xero!$F:$F,Xero!$B:$B,Heron!AD$9,Xero!$A:$A,Heron!$A$4,Xero!$E:$E,Heron!$A52)+SUMIFS(Xero!$F:$F,Xero!$B:$B,Heron!AD$9,Xero!$A:$A,Heron!$A$5,Xero!$E:$E,Heron!$A52)</f>
        <v/>
      </c>
      <c r="AE52" s="117">
        <f>SUMIFS(Xero!$F:$F,Xero!$B:$B,Heron!AE$9,Xero!$A:$A,Heron!$A$4,Xero!$E:$E,Heron!$A52)+SUMIFS(Xero!$F:$F,Xero!$B:$B,Heron!AE$9,Xero!$A:$A,Heron!$A$5,Xero!$E:$E,Heron!$A52)</f>
        <v/>
      </c>
      <c r="AF52" s="117">
        <f>SUMIFS(Xero!$F:$F,Xero!$B:$B,Heron!AF$9,Xero!$A:$A,Heron!$A$4,Xero!$E:$E,Heron!$A52)+SUMIFS(Xero!$F:$F,Xero!$B:$B,Heron!AF$9,Xero!$A:$A,Heron!$A$5,Xero!$E:$E,Heron!$A52)</f>
        <v/>
      </c>
      <c r="AG52" s="117">
        <f>SUMIFS(Xero!$F:$F,Xero!$B:$B,Heron!AG$9,Xero!$A:$A,Heron!$A$4,Xero!$E:$E,Heron!$A52)+SUMIFS(Xero!$F:$F,Xero!$B:$B,Heron!AG$9,Xero!$A:$A,Heron!$A$5,Xero!$E:$E,Heron!$A52)</f>
        <v/>
      </c>
      <c r="AH52" s="117">
        <f>SUMIFS(Xero!$F:$F,Xero!$B:$B,Heron!AH$9,Xero!$A:$A,Heron!$A$4,Xero!$E:$E,Heron!$A52)+SUMIFS(Xero!$F:$F,Xero!$B:$B,Heron!AH$9,Xero!$A:$A,Heron!$A$5,Xero!$E:$E,Heron!$A52)</f>
        <v/>
      </c>
      <c r="AI52" s="117">
        <f>SUMIFS(Xero!$F:$F,Xero!$B:$B,Heron!AI$9,Xero!$A:$A,Heron!$A$4,Xero!$E:$E,Heron!$A52)+SUMIFS(Xero!$F:$F,Xero!$B:$B,Heron!AI$9,Xero!$A:$A,Heron!$A$5,Xero!$E:$E,Heron!$A52)</f>
        <v/>
      </c>
      <c r="AJ52" s="117">
        <f>SUMIFS(Xero!$F:$F,Xero!$B:$B,Heron!AJ$9,Xero!$A:$A,Heron!$A$4,Xero!$E:$E,Heron!$A52)+SUMIFS(Xero!$F:$F,Xero!$B:$B,Heron!AJ$9,Xero!$A:$A,Heron!$A$5,Xero!$E:$E,Heron!$A52)</f>
        <v/>
      </c>
      <c r="AK52" s="117">
        <f>SUMIFS(Xero!$F:$F,Xero!$B:$B,Heron!AK$9,Xero!$A:$A,Heron!$A$4,Xero!$E:$E,Heron!$A52)+SUMIFS(Xero!$F:$F,Xero!$B:$B,Heron!AK$9,Xero!$A:$A,Heron!$A$5,Xero!$E:$E,Heron!$A52)</f>
        <v/>
      </c>
      <c r="AL52" s="117">
        <f>SUMIFS(Xero!$F:$F,Xero!$B:$B,Heron!AL$9,Xero!$A:$A,Heron!$A$4,Xero!$E:$E,Heron!$A52)+SUMIFS(Xero!$F:$F,Xero!$B:$B,Heron!AL$9,Xero!$A:$A,Heron!$A$5,Xero!$E:$E,Heron!$A52)</f>
        <v/>
      </c>
      <c r="AM52" s="117">
        <f>SUMIFS(Xero!$F:$F,Xero!$B:$B,Heron!AM$9,Xero!$A:$A,Heron!$A$4,Xero!$E:$E,Heron!$A52)+SUMIFS(Xero!$F:$F,Xero!$B:$B,Heron!AM$9,Xero!$A:$A,Heron!$A$5,Xero!$E:$E,Heron!$A52)</f>
        <v/>
      </c>
      <c r="AN52" s="117">
        <f>SUMIFS(Xero!$F:$F,Xero!$B:$B,Heron!AN$9,Xero!$A:$A,Heron!$A$4,Xero!$E:$E,Heron!$A52)+SUMIFS(Xero!$F:$F,Xero!$B:$B,Heron!AN$9,Xero!$A:$A,Heron!$A$5,Xero!$E:$E,Heron!$A52)</f>
        <v/>
      </c>
      <c r="AO52" s="117">
        <f>SUMIFS(Xero!$F:$F,Xero!$B:$B,Heron!AO$9,Xero!$A:$A,Heron!$A$4,Xero!$E:$E,Heron!$A52)+SUMIFS(Xero!$F:$F,Xero!$B:$B,Heron!AO$9,Xero!$A:$A,Heron!$A$5,Xero!$E:$E,Heron!$A52)</f>
        <v/>
      </c>
      <c r="AP52" s="117">
        <f>SUMIFS(Xero!$F:$F,Xero!$B:$B,Heron!AP$9,Xero!$A:$A,Heron!$A$4,Xero!$E:$E,Heron!$A52)+SUMIFS(Xero!$F:$F,Xero!$B:$B,Heron!AP$9,Xero!$A:$A,Heron!$A$5,Xero!$E:$E,Heron!$A52)</f>
        <v/>
      </c>
      <c r="AQ52" s="117">
        <f>SUMIFS(Xero!$F:$F,Xero!$B:$B,Heron!AQ$9,Xero!$A:$A,Heron!$A$4,Xero!$E:$E,Heron!$A52)+SUMIFS(Xero!$F:$F,Xero!$B:$B,Heron!AQ$9,Xero!$A:$A,Heron!$A$5,Xero!$E:$E,Heron!$A52)</f>
        <v/>
      </c>
      <c r="AR52" s="117">
        <f>SUMIFS(Xero!$F:$F,Xero!$B:$B,Heron!AR$9,Xero!$A:$A,Heron!$A$4,Xero!$E:$E,Heron!$A52)+SUMIFS(Xero!$F:$F,Xero!$B:$B,Heron!AR$9,Xero!$A:$A,Heron!$A$5,Xero!$E:$E,Heron!$A52)</f>
        <v/>
      </c>
      <c r="AS52" s="117">
        <f>SUMIFS(Xero!$F:$F,Xero!$B:$B,Heron!AS$9,Xero!$A:$A,Heron!$A$4,Xero!$E:$E,Heron!$A52)+SUMIFS(Xero!$F:$F,Xero!$B:$B,Heron!AS$9,Xero!$A:$A,Heron!$A$5,Xero!$E:$E,Heron!$A52)</f>
        <v/>
      </c>
      <c r="AT52" s="117">
        <f>SUMIFS(Xero!$F:$F,Xero!$B:$B,Heron!AT$9,Xero!$A:$A,Heron!$A$4,Xero!$E:$E,Heron!$A52)+SUMIFS(Xero!$F:$F,Xero!$B:$B,Heron!AT$9,Xero!$A:$A,Heron!$A$5,Xero!$E:$E,Heron!$A52)</f>
        <v/>
      </c>
      <c r="AU52" s="117">
        <f>SUMIFS(Xero!$F:$F,Xero!$B:$B,Heron!AU$9,Xero!$A:$A,Heron!$A$4,Xero!$E:$E,Heron!$A52)+SUMIFS(Xero!$F:$F,Xero!$B:$B,Heron!AU$9,Xero!$A:$A,Heron!$A$5,Xero!$E:$E,Heron!$A52)</f>
        <v/>
      </c>
      <c r="AV52" s="117">
        <f>SUMIFS(Xero!$F:$F,Xero!$B:$B,Heron!AV$9,Xero!$A:$A,Heron!$A$4,Xero!$E:$E,Heron!$A52)+SUMIFS(Xero!$F:$F,Xero!$B:$B,Heron!AV$9,Xero!$A:$A,Heron!$A$5,Xero!$E:$E,Heron!$A52)</f>
        <v/>
      </c>
      <c r="AW52" s="117">
        <f>SUMIFS(Xero!$F:$F,Xero!$B:$B,Heron!AW$9,Xero!$A:$A,Heron!$A$4,Xero!$E:$E,Heron!$A52)+SUMIFS(Xero!$F:$F,Xero!$B:$B,Heron!AW$9,Xero!$A:$A,Heron!$A$5,Xero!$E:$E,Heron!$A52)</f>
        <v/>
      </c>
      <c r="AX52" s="117">
        <f>SUMIFS(Xero!$F:$F,Xero!$B:$B,Heron!AX$9,Xero!$A:$A,Heron!$A$4,Xero!$E:$E,Heron!$A52)+SUMIFS(Xero!$F:$F,Xero!$B:$B,Heron!AX$9,Xero!$A:$A,Heron!$A$5,Xero!$E:$E,Heron!$A52)</f>
        <v/>
      </c>
      <c r="AY52" s="117">
        <f>SUMIFS(Xero!$F:$F,Xero!$B:$B,Heron!AY$9,Xero!$A:$A,Heron!$A$4,Xero!$E:$E,Heron!$A52)+SUMIFS(Xero!$F:$F,Xero!$B:$B,Heron!AY$9,Xero!$A:$A,Heron!$A$5,Xero!$E:$E,Heron!$A52)</f>
        <v/>
      </c>
      <c r="AZ52" s="117">
        <f>SUMIFS(Xero!$F:$F,Xero!$B:$B,Heron!AZ$9,Xero!$A:$A,Heron!$A$4,Xero!$E:$E,Heron!$A52)+SUMIFS(Xero!$F:$F,Xero!$B:$B,Heron!AZ$9,Xero!$A:$A,Heron!$A$5,Xero!$E:$E,Heron!$A52)</f>
        <v/>
      </c>
      <c r="BA52" s="117">
        <f>SUMIFS(Xero!$F:$F,Xero!$B:$B,Heron!BA$9,Xero!$A:$A,Heron!$A$4,Xero!$E:$E,Heron!$A52)+SUMIFS(Xero!$F:$F,Xero!$B:$B,Heron!BA$9,Xero!$A:$A,Heron!$A$5,Xero!$E:$E,Heron!$A52)</f>
        <v/>
      </c>
      <c r="BB52" s="117">
        <f>SUMIFS(Xero!$F:$F,Xero!$B:$B,Heron!BB$9,Xero!$A:$A,Heron!$A$4,Xero!$E:$E,Heron!$A52)+SUMIFS(Xero!$F:$F,Xero!$B:$B,Heron!BB$9,Xero!$A:$A,Heron!$A$5,Xero!$E:$E,Heron!$A52)</f>
        <v/>
      </c>
      <c r="BC52" s="117">
        <f>SUMIFS(Xero!$F:$F,Xero!$B:$B,Heron!BC$9,Xero!$A:$A,Heron!$A$4,Xero!$E:$E,Heron!$A52)+SUMIFS(Xero!$F:$F,Xero!$B:$B,Heron!BC$9,Xero!$A:$A,Heron!$A$5,Xero!$E:$E,Heron!$A52)</f>
        <v/>
      </c>
      <c r="BD52" s="117">
        <f>SUMIFS(Xero!$F:$F,Xero!$B:$B,Heron!BD$9,Xero!$A:$A,Heron!$A$4,Xero!$E:$E,Heron!$A52)+SUMIFS(Xero!$F:$F,Xero!$B:$B,Heron!BD$9,Xero!$A:$A,Heron!$A$5,Xero!$E:$E,Heron!$A52)</f>
        <v/>
      </c>
      <c r="BE52" s="117">
        <f>SUMIFS(Xero!$F:$F,Xero!$B:$B,Heron!BE$9,Xero!$A:$A,Heron!$A$4,Xero!$E:$E,Heron!$A52)+SUMIFS(Xero!$F:$F,Xero!$B:$B,Heron!BE$9,Xero!$A:$A,Heron!$A$5,Xero!$E:$E,Heron!$A52)</f>
        <v/>
      </c>
      <c r="BF52" s="117">
        <f>SUMIFS(Xero!$F:$F,Xero!$B:$B,Heron!BF$9,Xero!$A:$A,Heron!$A$4,Xero!$E:$E,Heron!$A52)+SUMIFS(Xero!$F:$F,Xero!$B:$B,Heron!BF$9,Xero!$A:$A,Heron!$A$5,Xero!$E:$E,Heron!$A52)</f>
        <v/>
      </c>
      <c r="BG52" s="117">
        <f>SUMIFS(Xero!$F:$F,Xero!$B:$B,Heron!BG$9,Xero!$A:$A,Heron!$A$4,Xero!$E:$E,Heron!$A52)+SUMIFS(Xero!$F:$F,Xero!$B:$B,Heron!BG$9,Xero!$A:$A,Heron!$A$5,Xero!$E:$E,Heron!$A52)</f>
        <v/>
      </c>
      <c r="BH52" s="117">
        <f>SUMIFS(Xero!$F:$F,Xero!$B:$B,Heron!BH$9,Xero!$A:$A,Heron!$A$4,Xero!$E:$E,Heron!$A52)+SUMIFS(Xero!$F:$F,Xero!$B:$B,Heron!BH$9,Xero!$A:$A,Heron!$A$5,Xero!$E:$E,Heron!$A52)</f>
        <v/>
      </c>
      <c r="BI52" s="117">
        <f>SUMIFS(Xero!$F:$F,Xero!$B:$B,Heron!BI$9,Xero!$A:$A,Heron!$A$4,Xero!$E:$E,Heron!$A52)+SUMIFS(Xero!$F:$F,Xero!$B:$B,Heron!BI$9,Xero!$A:$A,Heron!$A$5,Xero!$E:$E,Heron!$A52)</f>
        <v/>
      </c>
      <c r="BJ52" s="117">
        <f>SUMIFS(Xero!$F:$F,Xero!$B:$B,Heron!BJ$9,Xero!$A:$A,Heron!$A$4,Xero!$E:$E,Heron!$A52)+SUMIFS(Xero!$F:$F,Xero!$B:$B,Heron!BJ$9,Xero!$A:$A,Heron!$A$5,Xero!$E:$E,Heron!$A52)</f>
        <v/>
      </c>
      <c r="BK52" s="117">
        <f>sum(D52:BJ52)</f>
        <v/>
      </c>
    </row>
    <row r="53">
      <c r="A53" s="116" t="inlineStr">
        <is>
          <t>COS - Inverters</t>
        </is>
      </c>
      <c r="D53" s="117">
        <f>SUMIFS(Xero!$F:$F,Xero!$B:$B,Heron!D$9,Xero!$A:$A,Heron!$A$4,Xero!$E:$E,Heron!$A53)+SUMIFS(Xero!$F:$F,Xero!$B:$B,Heron!D$9,Xero!$A:$A,Heron!$A$5,Xero!$E:$E,Heron!$A53)</f>
        <v/>
      </c>
      <c r="E53" s="117">
        <f>SUMIFS(Xero!$F:$F,Xero!$B:$B,Heron!E$9,Xero!$A:$A,Heron!$A$4,Xero!$E:$E,Heron!$A53)+SUMIFS(Xero!$F:$F,Xero!$B:$B,Heron!E$9,Xero!$A:$A,Heron!$A$5,Xero!$E:$E,Heron!$A53)</f>
        <v/>
      </c>
      <c r="F53" s="117">
        <f>SUMIFS(Xero!$F:$F,Xero!$B:$B,Heron!F$9,Xero!$A:$A,Heron!$A$4,Xero!$E:$E,Heron!$A53)+SUMIFS(Xero!$F:$F,Xero!$B:$B,Heron!F$9,Xero!$A:$A,Heron!$A$5,Xero!$E:$E,Heron!$A53)</f>
        <v/>
      </c>
      <c r="G53" s="117">
        <f>SUMIFS(Xero!$F:$F,Xero!$B:$B,Heron!G$9,Xero!$A:$A,Heron!$A$4,Xero!$E:$E,Heron!$A53)+SUMIFS(Xero!$F:$F,Xero!$B:$B,Heron!G$9,Xero!$A:$A,Heron!$A$5,Xero!$E:$E,Heron!$A53)</f>
        <v/>
      </c>
      <c r="H53" s="117">
        <f>SUMIFS(Xero!$F:$F,Xero!$B:$B,Heron!H$9,Xero!$A:$A,Heron!$A$4,Xero!$E:$E,Heron!$A53)+SUMIFS(Xero!$F:$F,Xero!$B:$B,Heron!H$9,Xero!$A:$A,Heron!$A$5,Xero!$E:$E,Heron!$A53)</f>
        <v/>
      </c>
      <c r="I53" s="117">
        <f>SUMIFS(Xero!$F:$F,Xero!$B:$B,Heron!I$9,Xero!$A:$A,Heron!$A$4,Xero!$E:$E,Heron!$A53)+SUMIFS(Xero!$F:$F,Xero!$B:$B,Heron!I$9,Xero!$A:$A,Heron!$A$5,Xero!$E:$E,Heron!$A53)</f>
        <v/>
      </c>
      <c r="J53" s="117">
        <f>SUMIFS(Xero!$F:$F,Xero!$B:$B,Heron!J$9,Xero!$A:$A,Heron!$A$4,Xero!$E:$E,Heron!$A53)+SUMIFS(Xero!$F:$F,Xero!$B:$B,Heron!J$9,Xero!$A:$A,Heron!$A$5,Xero!$E:$E,Heron!$A53)</f>
        <v/>
      </c>
      <c r="K53" s="117">
        <f>SUMIFS(Xero!$F:$F,Xero!$B:$B,Heron!K$9,Xero!$A:$A,Heron!$A$4,Xero!$E:$E,Heron!$A53)+SUMIFS(Xero!$F:$F,Xero!$B:$B,Heron!K$9,Xero!$A:$A,Heron!$A$5,Xero!$E:$E,Heron!$A53)</f>
        <v/>
      </c>
      <c r="L53" s="117">
        <f>SUMIFS(Xero!$F:$F,Xero!$B:$B,Heron!L$9,Xero!$A:$A,Heron!$A$4,Xero!$E:$E,Heron!$A53)+SUMIFS(Xero!$F:$F,Xero!$B:$B,Heron!L$9,Xero!$A:$A,Heron!$A$5,Xero!$E:$E,Heron!$A53)</f>
        <v/>
      </c>
      <c r="M53" s="117">
        <f>SUMIFS(Xero!$F:$F,Xero!$B:$B,Heron!M$9,Xero!$A:$A,Heron!$A$4,Xero!$E:$E,Heron!$A53)+SUMIFS(Xero!$F:$F,Xero!$B:$B,Heron!M$9,Xero!$A:$A,Heron!$A$5,Xero!$E:$E,Heron!$A53)</f>
        <v/>
      </c>
      <c r="N53" s="117">
        <f>SUMIFS(Xero!$F:$F,Xero!$B:$B,Heron!N$9,Xero!$A:$A,Heron!$A$4,Xero!$E:$E,Heron!$A53)+SUMIFS(Xero!$F:$F,Xero!$B:$B,Heron!N$9,Xero!$A:$A,Heron!$A$5,Xero!$E:$E,Heron!$A53)</f>
        <v/>
      </c>
      <c r="O53" s="117">
        <f>SUMIFS(Xero!$F:$F,Xero!$B:$B,Heron!O$9,Xero!$A:$A,Heron!$A$4,Xero!$E:$E,Heron!$A53)+SUMIFS(Xero!$F:$F,Xero!$B:$B,Heron!O$9,Xero!$A:$A,Heron!$A$5,Xero!$E:$E,Heron!$A53)</f>
        <v/>
      </c>
      <c r="P53" s="117">
        <f>SUMIFS(Xero!$F:$F,Xero!$B:$B,Heron!P$9,Xero!$A:$A,Heron!$A$4,Xero!$E:$E,Heron!$A53)+SUMIFS(Xero!$F:$F,Xero!$B:$B,Heron!P$9,Xero!$A:$A,Heron!$A$5,Xero!$E:$E,Heron!$A53)</f>
        <v/>
      </c>
      <c r="Q53" s="117">
        <f>SUMIFS(Xero!$F:$F,Xero!$B:$B,Heron!Q$9,Xero!$A:$A,Heron!$A$4,Xero!$E:$E,Heron!$A53)+SUMIFS(Xero!$F:$F,Xero!$B:$B,Heron!Q$9,Xero!$A:$A,Heron!$A$5,Xero!$E:$E,Heron!$A53)</f>
        <v/>
      </c>
      <c r="R53" s="117">
        <f>SUMIFS(Xero!$F:$F,Xero!$B:$B,Heron!R$9,Xero!$A:$A,Heron!$A$4,Xero!$E:$E,Heron!$A53)+SUMIFS(Xero!$F:$F,Xero!$B:$B,Heron!R$9,Xero!$A:$A,Heron!$A$5,Xero!$E:$E,Heron!$A53)</f>
        <v/>
      </c>
      <c r="S53" s="117">
        <f>SUMIFS(Xero!$F:$F,Xero!$B:$B,Heron!S$9,Xero!$A:$A,Heron!$A$4,Xero!$E:$E,Heron!$A53)+SUMIFS(Xero!$F:$F,Xero!$B:$B,Heron!S$9,Xero!$A:$A,Heron!$A$5,Xero!$E:$E,Heron!$A53)</f>
        <v/>
      </c>
      <c r="T53" s="117">
        <f>SUMIFS(Xero!$F:$F,Xero!$B:$B,Heron!T$9,Xero!$A:$A,Heron!$A$4,Xero!$E:$E,Heron!$A53)+SUMIFS(Xero!$F:$F,Xero!$B:$B,Heron!T$9,Xero!$A:$A,Heron!$A$5,Xero!$E:$E,Heron!$A53)</f>
        <v/>
      </c>
      <c r="U53" s="117">
        <f>SUMIFS(Xero!$F:$F,Xero!$B:$B,Heron!U$9,Xero!$A:$A,Heron!$A$4,Xero!$E:$E,Heron!$A53)+SUMIFS(Xero!$F:$F,Xero!$B:$B,Heron!U$9,Xero!$A:$A,Heron!$A$5,Xero!$E:$E,Heron!$A53)</f>
        <v/>
      </c>
      <c r="V53" s="117">
        <f>SUMIFS(Xero!$F:$F,Xero!$B:$B,Heron!V$9,Xero!$A:$A,Heron!$A$4,Xero!$E:$E,Heron!$A53)+SUMIFS(Xero!$F:$F,Xero!$B:$B,Heron!V$9,Xero!$A:$A,Heron!$A$5,Xero!$E:$E,Heron!$A53)</f>
        <v/>
      </c>
      <c r="W53" s="117">
        <f>SUMIFS(Xero!$F:$F,Xero!$B:$B,Heron!W$9,Xero!$A:$A,Heron!$A$4,Xero!$E:$E,Heron!$A53)+SUMIFS(Xero!$F:$F,Xero!$B:$B,Heron!W$9,Xero!$A:$A,Heron!$A$5,Xero!$E:$E,Heron!$A53)</f>
        <v/>
      </c>
      <c r="X53" s="117">
        <f>SUMIFS(Xero!$F:$F,Xero!$B:$B,Heron!X$9,Xero!$A:$A,Heron!$A$4,Xero!$E:$E,Heron!$A53)+SUMIFS(Xero!$F:$F,Xero!$B:$B,Heron!X$9,Xero!$A:$A,Heron!$A$5,Xero!$E:$E,Heron!$A53)</f>
        <v/>
      </c>
      <c r="Y53" s="117">
        <f>SUMIFS(Xero!$F:$F,Xero!$B:$B,Heron!Y$9,Xero!$A:$A,Heron!$A$4,Xero!$E:$E,Heron!$A53)+SUMIFS(Xero!$F:$F,Xero!$B:$B,Heron!Y$9,Xero!$A:$A,Heron!$A$5,Xero!$E:$E,Heron!$A53)</f>
        <v/>
      </c>
      <c r="Z53" s="117">
        <f>SUMIFS(Xero!$F:$F,Xero!$B:$B,Heron!Z$9,Xero!$A:$A,Heron!$A$4,Xero!$E:$E,Heron!$A53)+SUMIFS(Xero!$F:$F,Xero!$B:$B,Heron!Z$9,Xero!$A:$A,Heron!$A$5,Xero!$E:$E,Heron!$A53)</f>
        <v/>
      </c>
      <c r="AA53" s="117">
        <f>SUMIFS(Xero!$F:$F,Xero!$B:$B,Heron!AA$9,Xero!$A:$A,Heron!$A$4,Xero!$E:$E,Heron!$A53)+SUMIFS(Xero!$F:$F,Xero!$B:$B,Heron!AA$9,Xero!$A:$A,Heron!$A$5,Xero!$E:$E,Heron!$A53)</f>
        <v/>
      </c>
      <c r="AB53" s="117">
        <f>SUMIFS(Xero!$F:$F,Xero!$B:$B,Heron!AB$9,Xero!$A:$A,Heron!$A$4,Xero!$E:$E,Heron!$A53)+SUMIFS(Xero!$F:$F,Xero!$B:$B,Heron!AB$9,Xero!$A:$A,Heron!$A$5,Xero!$E:$E,Heron!$A53)</f>
        <v/>
      </c>
      <c r="AC53" s="117">
        <f>SUMIFS(Xero!$F:$F,Xero!$B:$B,Heron!AC$9,Xero!$A:$A,Heron!$A$4,Xero!$E:$E,Heron!$A53)+SUMIFS(Xero!$F:$F,Xero!$B:$B,Heron!AC$9,Xero!$A:$A,Heron!$A$5,Xero!$E:$E,Heron!$A53)</f>
        <v/>
      </c>
      <c r="AD53" s="117">
        <f>SUMIFS(Xero!$F:$F,Xero!$B:$B,Heron!AD$9,Xero!$A:$A,Heron!$A$4,Xero!$E:$E,Heron!$A53)+SUMIFS(Xero!$F:$F,Xero!$B:$B,Heron!AD$9,Xero!$A:$A,Heron!$A$5,Xero!$E:$E,Heron!$A53)</f>
        <v/>
      </c>
      <c r="AE53" s="117">
        <f>SUMIFS(Xero!$F:$F,Xero!$B:$B,Heron!AE$9,Xero!$A:$A,Heron!$A$4,Xero!$E:$E,Heron!$A53)+SUMIFS(Xero!$F:$F,Xero!$B:$B,Heron!AE$9,Xero!$A:$A,Heron!$A$5,Xero!$E:$E,Heron!$A53)</f>
        <v/>
      </c>
      <c r="AF53" s="117">
        <f>SUMIFS(Xero!$F:$F,Xero!$B:$B,Heron!AF$9,Xero!$A:$A,Heron!$A$4,Xero!$E:$E,Heron!$A53)+SUMIFS(Xero!$F:$F,Xero!$B:$B,Heron!AF$9,Xero!$A:$A,Heron!$A$5,Xero!$E:$E,Heron!$A53)</f>
        <v/>
      </c>
      <c r="AG53" s="117">
        <f>SUMIFS(Xero!$F:$F,Xero!$B:$B,Heron!AG$9,Xero!$A:$A,Heron!$A$4,Xero!$E:$E,Heron!$A53)+SUMIFS(Xero!$F:$F,Xero!$B:$B,Heron!AG$9,Xero!$A:$A,Heron!$A$5,Xero!$E:$E,Heron!$A53)</f>
        <v/>
      </c>
      <c r="AH53" s="117">
        <f>SUMIFS(Xero!$F:$F,Xero!$B:$B,Heron!AH$9,Xero!$A:$A,Heron!$A$4,Xero!$E:$E,Heron!$A53)+SUMIFS(Xero!$F:$F,Xero!$B:$B,Heron!AH$9,Xero!$A:$A,Heron!$A$5,Xero!$E:$E,Heron!$A53)</f>
        <v/>
      </c>
      <c r="AI53" s="117">
        <f>SUMIFS(Xero!$F:$F,Xero!$B:$B,Heron!AI$9,Xero!$A:$A,Heron!$A$4,Xero!$E:$E,Heron!$A53)+SUMIFS(Xero!$F:$F,Xero!$B:$B,Heron!AI$9,Xero!$A:$A,Heron!$A$5,Xero!$E:$E,Heron!$A53)</f>
        <v/>
      </c>
      <c r="AJ53" s="117">
        <f>SUMIFS(Xero!$F:$F,Xero!$B:$B,Heron!AJ$9,Xero!$A:$A,Heron!$A$4,Xero!$E:$E,Heron!$A53)+SUMIFS(Xero!$F:$F,Xero!$B:$B,Heron!AJ$9,Xero!$A:$A,Heron!$A$5,Xero!$E:$E,Heron!$A53)</f>
        <v/>
      </c>
      <c r="AK53" s="117">
        <f>SUMIFS(Xero!$F:$F,Xero!$B:$B,Heron!AK$9,Xero!$A:$A,Heron!$A$4,Xero!$E:$E,Heron!$A53)+SUMIFS(Xero!$F:$F,Xero!$B:$B,Heron!AK$9,Xero!$A:$A,Heron!$A$5,Xero!$E:$E,Heron!$A53)</f>
        <v/>
      </c>
      <c r="AL53" s="117">
        <f>SUMIFS(Xero!$F:$F,Xero!$B:$B,Heron!AL$9,Xero!$A:$A,Heron!$A$4,Xero!$E:$E,Heron!$A53)+SUMIFS(Xero!$F:$F,Xero!$B:$B,Heron!AL$9,Xero!$A:$A,Heron!$A$5,Xero!$E:$E,Heron!$A53)</f>
        <v/>
      </c>
      <c r="AM53" s="117">
        <f>SUMIFS(Xero!$F:$F,Xero!$B:$B,Heron!AM$9,Xero!$A:$A,Heron!$A$4,Xero!$E:$E,Heron!$A53)+SUMIFS(Xero!$F:$F,Xero!$B:$B,Heron!AM$9,Xero!$A:$A,Heron!$A$5,Xero!$E:$E,Heron!$A53)</f>
        <v/>
      </c>
      <c r="AN53" s="117">
        <f>SUMIFS(Xero!$F:$F,Xero!$B:$B,Heron!AN$9,Xero!$A:$A,Heron!$A$4,Xero!$E:$E,Heron!$A53)+SUMIFS(Xero!$F:$F,Xero!$B:$B,Heron!AN$9,Xero!$A:$A,Heron!$A$5,Xero!$E:$E,Heron!$A53)</f>
        <v/>
      </c>
      <c r="AO53" s="117">
        <f>SUMIFS(Xero!$F:$F,Xero!$B:$B,Heron!AO$9,Xero!$A:$A,Heron!$A$4,Xero!$E:$E,Heron!$A53)+SUMIFS(Xero!$F:$F,Xero!$B:$B,Heron!AO$9,Xero!$A:$A,Heron!$A$5,Xero!$E:$E,Heron!$A53)</f>
        <v/>
      </c>
      <c r="AP53" s="117">
        <f>SUMIFS(Xero!$F:$F,Xero!$B:$B,Heron!AP$9,Xero!$A:$A,Heron!$A$4,Xero!$E:$E,Heron!$A53)+SUMIFS(Xero!$F:$F,Xero!$B:$B,Heron!AP$9,Xero!$A:$A,Heron!$A$5,Xero!$E:$E,Heron!$A53)</f>
        <v/>
      </c>
      <c r="AQ53" s="117">
        <f>SUMIFS(Xero!$F:$F,Xero!$B:$B,Heron!AQ$9,Xero!$A:$A,Heron!$A$4,Xero!$E:$E,Heron!$A53)+SUMIFS(Xero!$F:$F,Xero!$B:$B,Heron!AQ$9,Xero!$A:$A,Heron!$A$5,Xero!$E:$E,Heron!$A53)</f>
        <v/>
      </c>
      <c r="AR53" s="117">
        <f>SUMIFS(Xero!$F:$F,Xero!$B:$B,Heron!AR$9,Xero!$A:$A,Heron!$A$4,Xero!$E:$E,Heron!$A53)+SUMIFS(Xero!$F:$F,Xero!$B:$B,Heron!AR$9,Xero!$A:$A,Heron!$A$5,Xero!$E:$E,Heron!$A53)</f>
        <v/>
      </c>
      <c r="AS53" s="117">
        <f>SUMIFS(Xero!$F:$F,Xero!$B:$B,Heron!AS$9,Xero!$A:$A,Heron!$A$4,Xero!$E:$E,Heron!$A53)+SUMIFS(Xero!$F:$F,Xero!$B:$B,Heron!AS$9,Xero!$A:$A,Heron!$A$5,Xero!$E:$E,Heron!$A53)</f>
        <v/>
      </c>
      <c r="AT53" s="117">
        <f>SUMIFS(Xero!$F:$F,Xero!$B:$B,Heron!AT$9,Xero!$A:$A,Heron!$A$4,Xero!$E:$E,Heron!$A53)+SUMIFS(Xero!$F:$F,Xero!$B:$B,Heron!AT$9,Xero!$A:$A,Heron!$A$5,Xero!$E:$E,Heron!$A53)</f>
        <v/>
      </c>
      <c r="AU53" s="117">
        <f>SUMIFS(Xero!$F:$F,Xero!$B:$B,Heron!AU$9,Xero!$A:$A,Heron!$A$4,Xero!$E:$E,Heron!$A53)+SUMIFS(Xero!$F:$F,Xero!$B:$B,Heron!AU$9,Xero!$A:$A,Heron!$A$5,Xero!$E:$E,Heron!$A53)</f>
        <v/>
      </c>
      <c r="AV53" s="117">
        <f>SUMIFS(Xero!$F:$F,Xero!$B:$B,Heron!AV$9,Xero!$A:$A,Heron!$A$4,Xero!$E:$E,Heron!$A53)+SUMIFS(Xero!$F:$F,Xero!$B:$B,Heron!AV$9,Xero!$A:$A,Heron!$A$5,Xero!$E:$E,Heron!$A53)</f>
        <v/>
      </c>
      <c r="AW53" s="117">
        <f>SUMIFS(Xero!$F:$F,Xero!$B:$B,Heron!AW$9,Xero!$A:$A,Heron!$A$4,Xero!$E:$E,Heron!$A53)+SUMIFS(Xero!$F:$F,Xero!$B:$B,Heron!AW$9,Xero!$A:$A,Heron!$A$5,Xero!$E:$E,Heron!$A53)</f>
        <v/>
      </c>
      <c r="AX53" s="117">
        <f>SUMIFS(Xero!$F:$F,Xero!$B:$B,Heron!AX$9,Xero!$A:$A,Heron!$A$4,Xero!$E:$E,Heron!$A53)+SUMIFS(Xero!$F:$F,Xero!$B:$B,Heron!AX$9,Xero!$A:$A,Heron!$A$5,Xero!$E:$E,Heron!$A53)</f>
        <v/>
      </c>
      <c r="AY53" s="117">
        <f>SUMIFS(Xero!$F:$F,Xero!$B:$B,Heron!AY$9,Xero!$A:$A,Heron!$A$4,Xero!$E:$E,Heron!$A53)+SUMIFS(Xero!$F:$F,Xero!$B:$B,Heron!AY$9,Xero!$A:$A,Heron!$A$5,Xero!$E:$E,Heron!$A53)</f>
        <v/>
      </c>
      <c r="AZ53" s="117">
        <f>SUMIFS(Xero!$F:$F,Xero!$B:$B,Heron!AZ$9,Xero!$A:$A,Heron!$A$4,Xero!$E:$E,Heron!$A53)+SUMIFS(Xero!$F:$F,Xero!$B:$B,Heron!AZ$9,Xero!$A:$A,Heron!$A$5,Xero!$E:$E,Heron!$A53)</f>
        <v/>
      </c>
      <c r="BA53" s="117">
        <f>SUMIFS(Xero!$F:$F,Xero!$B:$B,Heron!BA$9,Xero!$A:$A,Heron!$A$4,Xero!$E:$E,Heron!$A53)+SUMIFS(Xero!$F:$F,Xero!$B:$B,Heron!BA$9,Xero!$A:$A,Heron!$A$5,Xero!$E:$E,Heron!$A53)</f>
        <v/>
      </c>
      <c r="BB53" s="117">
        <f>SUMIFS(Xero!$F:$F,Xero!$B:$B,Heron!BB$9,Xero!$A:$A,Heron!$A$4,Xero!$E:$E,Heron!$A53)+SUMIFS(Xero!$F:$F,Xero!$B:$B,Heron!BB$9,Xero!$A:$A,Heron!$A$5,Xero!$E:$E,Heron!$A53)</f>
        <v/>
      </c>
      <c r="BC53" s="117">
        <f>SUMIFS(Xero!$F:$F,Xero!$B:$B,Heron!BC$9,Xero!$A:$A,Heron!$A$4,Xero!$E:$E,Heron!$A53)+SUMIFS(Xero!$F:$F,Xero!$B:$B,Heron!BC$9,Xero!$A:$A,Heron!$A$5,Xero!$E:$E,Heron!$A53)</f>
        <v/>
      </c>
      <c r="BD53" s="117">
        <f>SUMIFS(Xero!$F:$F,Xero!$B:$B,Heron!BD$9,Xero!$A:$A,Heron!$A$4,Xero!$E:$E,Heron!$A53)+SUMIFS(Xero!$F:$F,Xero!$B:$B,Heron!BD$9,Xero!$A:$A,Heron!$A$5,Xero!$E:$E,Heron!$A53)</f>
        <v/>
      </c>
      <c r="BE53" s="117">
        <f>SUMIFS(Xero!$F:$F,Xero!$B:$B,Heron!BE$9,Xero!$A:$A,Heron!$A$4,Xero!$E:$E,Heron!$A53)+SUMIFS(Xero!$F:$F,Xero!$B:$B,Heron!BE$9,Xero!$A:$A,Heron!$A$5,Xero!$E:$E,Heron!$A53)</f>
        <v/>
      </c>
      <c r="BF53" s="117">
        <f>SUMIFS(Xero!$F:$F,Xero!$B:$B,Heron!BF$9,Xero!$A:$A,Heron!$A$4,Xero!$E:$E,Heron!$A53)+SUMIFS(Xero!$F:$F,Xero!$B:$B,Heron!BF$9,Xero!$A:$A,Heron!$A$5,Xero!$E:$E,Heron!$A53)</f>
        <v/>
      </c>
      <c r="BG53" s="117">
        <f>SUMIFS(Xero!$F:$F,Xero!$B:$B,Heron!BG$9,Xero!$A:$A,Heron!$A$4,Xero!$E:$E,Heron!$A53)+SUMIFS(Xero!$F:$F,Xero!$B:$B,Heron!BG$9,Xero!$A:$A,Heron!$A$5,Xero!$E:$E,Heron!$A53)</f>
        <v/>
      </c>
      <c r="BH53" s="117">
        <f>SUMIFS(Xero!$F:$F,Xero!$B:$B,Heron!BH$9,Xero!$A:$A,Heron!$A$4,Xero!$E:$E,Heron!$A53)+SUMIFS(Xero!$F:$F,Xero!$B:$B,Heron!BH$9,Xero!$A:$A,Heron!$A$5,Xero!$E:$E,Heron!$A53)</f>
        <v/>
      </c>
      <c r="BI53" s="117">
        <f>SUMIFS(Xero!$F:$F,Xero!$B:$B,Heron!BI$9,Xero!$A:$A,Heron!$A$4,Xero!$E:$E,Heron!$A53)+SUMIFS(Xero!$F:$F,Xero!$B:$B,Heron!BI$9,Xero!$A:$A,Heron!$A$5,Xero!$E:$E,Heron!$A53)</f>
        <v/>
      </c>
      <c r="BJ53" s="117">
        <f>SUMIFS(Xero!$F:$F,Xero!$B:$B,Heron!BJ$9,Xero!$A:$A,Heron!$A$4,Xero!$E:$E,Heron!$A53)+SUMIFS(Xero!$F:$F,Xero!$B:$B,Heron!BJ$9,Xero!$A:$A,Heron!$A$5,Xero!$E:$E,Heron!$A53)</f>
        <v/>
      </c>
      <c r="BK53" s="117">
        <f>sum(D53:BJ53)</f>
        <v/>
      </c>
    </row>
    <row r="54">
      <c r="A54" s="116" t="inlineStr">
        <is>
          <t>COS - Legal Fees</t>
        </is>
      </c>
      <c r="D54" s="117">
        <f>SUMIFS(Xero!$F:$F,Xero!$B:$B,Heron!D$9,Xero!$A:$A,Heron!$A$4,Xero!$E:$E,Heron!$A54)+SUMIFS(Xero!$F:$F,Xero!$B:$B,Heron!D$9,Xero!$A:$A,Heron!$A$5,Xero!$E:$E,Heron!$A54)+SUMIFS(Sales!$L:$L,Sales!$E:$E,FALSE,Sales!$A:$A,"&lt;&gt;"&amp;"Endulini",Sales!$H:$H,"&lt;="&amp;Heron!D$9,Sales!$H:$H,"&gt;"&amp;Heron!C$9,Sales!$F:$F,1)+SUMIFS(Sales!$M:$M,Sales!$E:$E,FALSE,Sales!$A:$A,"&lt;&gt;"&amp;"Endulini",Sales!$H:$H,"&lt;="&amp;Heron!D$9,Sales!$H:$H,"&gt;"&amp;Heron!C$9,Sales!$F:$F,1)+SUMIFS(Sales!$N:$N,Sales!$E:$E,FALSE,Sales!$A:$A,"&lt;&gt;"&amp;"Endulini",Sales!$H:$H,"&lt;="&amp;Heron!D$9,Sales!$H:$H,"&gt;"&amp;Heron!C$9,Sales!$F:$F,1)+SUMIFS(Sales!$P:$P,Sales!$E:$E,FALSE,Sales!$A:$A,"&lt;&gt;"&amp;"Endulini",Sales!$H:$H,"&lt;="&amp;Heron!D$9,Sales!$H:$H,"&gt;"&amp;Heron!C$9,Sales!$F:$F,1)</f>
        <v/>
      </c>
      <c r="E54" s="117">
        <f>SUMIFS(Xero!$F:$F,Xero!$B:$B,Heron!E$9,Xero!$A:$A,Heron!$A$4,Xero!$E:$E,Heron!$A54)+SUMIFS(Xero!$F:$F,Xero!$B:$B,Heron!E$9,Xero!$A:$A,Heron!$A$5,Xero!$E:$E,Heron!$A54)+SUMIFS(Sales!$L:$L,Sales!$E:$E,FALSE,Sales!$A:$A,"&lt;&gt;"&amp;"Endulini",Sales!$H:$H,"&lt;="&amp;Heron!E$9,Sales!$H:$H,"&gt;"&amp;Heron!D$9,Sales!$F:$F,1)+SUMIFS(Sales!$M:$M,Sales!$E:$E,FALSE,Sales!$A:$A,"&lt;&gt;"&amp;"Endulini",Sales!$H:$H,"&lt;="&amp;Heron!E$9,Sales!$H:$H,"&gt;"&amp;Heron!D$9,Sales!$F:$F,1)+SUMIFS(Sales!$N:$N,Sales!$E:$E,FALSE,Sales!$A:$A,"&lt;&gt;"&amp;"Endulini",Sales!$H:$H,"&lt;="&amp;Heron!E$9,Sales!$H:$H,"&gt;"&amp;Heron!D$9,Sales!$F:$F,1)+SUMIFS(Sales!$P:$P,Sales!$E:$E,FALSE,Sales!$A:$A,"&lt;&gt;"&amp;"Endulini",Sales!$H:$H,"&lt;="&amp;Heron!E$9,Sales!$H:$H,"&gt;"&amp;Heron!D$9,Sales!$F:$F,1)</f>
        <v/>
      </c>
      <c r="F54" s="117">
        <f>SUMIFS(Xero!$F:$F,Xero!$B:$B,Heron!F$9,Xero!$A:$A,Heron!$A$4,Xero!$E:$E,Heron!$A54)+SUMIFS(Xero!$F:$F,Xero!$B:$B,Heron!F$9,Xero!$A:$A,Heron!$A$5,Xero!$E:$E,Heron!$A54)+SUMIFS(Sales!$L:$L,Sales!$E:$E,FALSE,Sales!$A:$A,"&lt;&gt;"&amp;"Endulini",Sales!$H:$H,"&lt;="&amp;Heron!F$9,Sales!$H:$H,"&gt;"&amp;Heron!E$9,Sales!$F:$F,1)+SUMIFS(Sales!$M:$M,Sales!$E:$E,FALSE,Sales!$A:$A,"&lt;&gt;"&amp;"Endulini",Sales!$H:$H,"&lt;="&amp;Heron!F$9,Sales!$H:$H,"&gt;"&amp;Heron!E$9,Sales!$F:$F,1)+SUMIFS(Sales!$N:$N,Sales!$E:$E,FALSE,Sales!$A:$A,"&lt;&gt;"&amp;"Endulini",Sales!$H:$H,"&lt;="&amp;Heron!F$9,Sales!$H:$H,"&gt;"&amp;Heron!E$9,Sales!$F:$F,1)+SUMIFS(Sales!$P:$P,Sales!$E:$E,FALSE,Sales!$A:$A,"&lt;&gt;"&amp;"Endulini",Sales!$H:$H,"&lt;="&amp;Heron!F$9,Sales!$H:$H,"&gt;"&amp;Heron!E$9,Sales!$F:$F,1)</f>
        <v/>
      </c>
      <c r="G54" s="117">
        <f>SUMIFS(Xero!$F:$F,Xero!$B:$B,Heron!G$9,Xero!$A:$A,Heron!$A$4,Xero!$E:$E,Heron!$A54)+SUMIFS(Xero!$F:$F,Xero!$B:$B,Heron!G$9,Xero!$A:$A,Heron!$A$5,Xero!$E:$E,Heron!$A54)+SUMIFS(Sales!$L:$L,Sales!$E:$E,FALSE,Sales!$A:$A,"&lt;&gt;"&amp;"Endulini",Sales!$H:$H,"&lt;="&amp;Heron!G$9,Sales!$H:$H,"&gt;"&amp;Heron!F$9,Sales!$F:$F,1)+SUMIFS(Sales!$M:$M,Sales!$E:$E,FALSE,Sales!$A:$A,"&lt;&gt;"&amp;"Endulini",Sales!$H:$H,"&lt;="&amp;Heron!G$9,Sales!$H:$H,"&gt;"&amp;Heron!F$9,Sales!$F:$F,1)+SUMIFS(Sales!$N:$N,Sales!$E:$E,FALSE,Sales!$A:$A,"&lt;&gt;"&amp;"Endulini",Sales!$H:$H,"&lt;="&amp;Heron!G$9,Sales!$H:$H,"&gt;"&amp;Heron!F$9,Sales!$F:$F,1)+SUMIFS(Sales!$P:$P,Sales!$E:$E,FALSE,Sales!$A:$A,"&lt;&gt;"&amp;"Endulini",Sales!$H:$H,"&lt;="&amp;Heron!G$9,Sales!$H:$H,"&gt;"&amp;Heron!F$9,Sales!$F:$F,1)</f>
        <v/>
      </c>
      <c r="H54" s="117">
        <f>SUMIFS(Xero!$F:$F,Xero!$B:$B,Heron!H$9,Xero!$A:$A,Heron!$A$4,Xero!$E:$E,Heron!$A54)+SUMIFS(Xero!$F:$F,Xero!$B:$B,Heron!H$9,Xero!$A:$A,Heron!$A$5,Xero!$E:$E,Heron!$A54)+SUMIFS(Sales!$L:$L,Sales!$E:$E,FALSE,Sales!$A:$A,"&lt;&gt;"&amp;"Endulini",Sales!$H:$H,"&lt;="&amp;Heron!H$9,Sales!$H:$H,"&gt;"&amp;Heron!G$9,Sales!$F:$F,1)+SUMIFS(Sales!$M:$M,Sales!$E:$E,FALSE,Sales!$A:$A,"&lt;&gt;"&amp;"Endulini",Sales!$H:$H,"&lt;="&amp;Heron!H$9,Sales!$H:$H,"&gt;"&amp;Heron!G$9,Sales!$F:$F,1)+SUMIFS(Sales!$N:$N,Sales!$E:$E,FALSE,Sales!$A:$A,"&lt;&gt;"&amp;"Endulini",Sales!$H:$H,"&lt;="&amp;Heron!H$9,Sales!$H:$H,"&gt;"&amp;Heron!G$9,Sales!$F:$F,1)+SUMIFS(Sales!$P:$P,Sales!$E:$E,FALSE,Sales!$A:$A,"&lt;&gt;"&amp;"Endulini",Sales!$H:$H,"&lt;="&amp;Heron!H$9,Sales!$H:$H,"&gt;"&amp;Heron!G$9,Sales!$F:$F,1)</f>
        <v/>
      </c>
      <c r="I54" s="117">
        <f>SUMIFS(Xero!$F:$F,Xero!$B:$B,Heron!I$9,Xero!$A:$A,Heron!$A$4,Xero!$E:$E,Heron!$A54)+SUMIFS(Xero!$F:$F,Xero!$B:$B,Heron!I$9,Xero!$A:$A,Heron!$A$5,Xero!$E:$E,Heron!$A54)+SUMIFS(Sales!$L:$L,Sales!$E:$E,FALSE,Sales!$A:$A,"&lt;&gt;"&amp;"Endulini",Sales!$H:$H,"&lt;="&amp;Heron!I$9,Sales!$H:$H,"&gt;"&amp;Heron!H$9,Sales!$F:$F,1)+SUMIFS(Sales!$M:$M,Sales!$E:$E,FALSE,Sales!$A:$A,"&lt;&gt;"&amp;"Endulini",Sales!$H:$H,"&lt;="&amp;Heron!I$9,Sales!$H:$H,"&gt;"&amp;Heron!H$9,Sales!$F:$F,1)+SUMIFS(Sales!$N:$N,Sales!$E:$E,FALSE,Sales!$A:$A,"&lt;&gt;"&amp;"Endulini",Sales!$H:$H,"&lt;="&amp;Heron!I$9,Sales!$H:$H,"&gt;"&amp;Heron!H$9,Sales!$F:$F,1)+SUMIFS(Sales!$P:$P,Sales!$E:$E,FALSE,Sales!$A:$A,"&lt;&gt;"&amp;"Endulini",Sales!$H:$H,"&lt;="&amp;Heron!I$9,Sales!$H:$H,"&gt;"&amp;Heron!H$9,Sales!$F:$F,1)</f>
        <v/>
      </c>
      <c r="J54" s="117">
        <f>SUMIFS(Xero!$F:$F,Xero!$B:$B,Heron!J$9,Xero!$A:$A,Heron!$A$4,Xero!$E:$E,Heron!$A54)+SUMIFS(Xero!$F:$F,Xero!$B:$B,Heron!J$9,Xero!$A:$A,Heron!$A$5,Xero!$E:$E,Heron!$A54)+SUMIFS(Sales!$L:$L,Sales!$E:$E,FALSE,Sales!$A:$A,"&lt;&gt;"&amp;"Endulini",Sales!$H:$H,"&lt;="&amp;Heron!J$9,Sales!$H:$H,"&gt;"&amp;Heron!I$9,Sales!$F:$F,1)+SUMIFS(Sales!$M:$M,Sales!$E:$E,FALSE,Sales!$A:$A,"&lt;&gt;"&amp;"Endulini",Sales!$H:$H,"&lt;="&amp;Heron!J$9,Sales!$H:$H,"&gt;"&amp;Heron!I$9,Sales!$F:$F,1)+SUMIFS(Sales!$N:$N,Sales!$E:$E,FALSE,Sales!$A:$A,"&lt;&gt;"&amp;"Endulini",Sales!$H:$H,"&lt;="&amp;Heron!J$9,Sales!$H:$H,"&gt;"&amp;Heron!I$9,Sales!$F:$F,1)+SUMIFS(Sales!$P:$P,Sales!$E:$E,FALSE,Sales!$A:$A,"&lt;&gt;"&amp;"Endulini",Sales!$H:$H,"&lt;="&amp;Heron!J$9,Sales!$H:$H,"&gt;"&amp;Heron!I$9,Sales!$F:$F,1)</f>
        <v/>
      </c>
      <c r="K54" s="117">
        <f>SUMIFS(Xero!$F:$F,Xero!$B:$B,Heron!K$9,Xero!$A:$A,Heron!$A$4,Xero!$E:$E,Heron!$A54)+SUMIFS(Xero!$F:$F,Xero!$B:$B,Heron!K$9,Xero!$A:$A,Heron!$A$5,Xero!$E:$E,Heron!$A54)+SUMIFS(Sales!$L:$L,Sales!$E:$E,FALSE,Sales!$A:$A,"&lt;&gt;"&amp;"Endulini",Sales!$H:$H,"&lt;="&amp;Heron!K$9,Sales!$H:$H,"&gt;"&amp;Heron!J$9,Sales!$F:$F,1)+SUMIFS(Sales!$M:$M,Sales!$E:$E,FALSE,Sales!$A:$A,"&lt;&gt;"&amp;"Endulini",Sales!$H:$H,"&lt;="&amp;Heron!K$9,Sales!$H:$H,"&gt;"&amp;Heron!J$9,Sales!$F:$F,1)+SUMIFS(Sales!$N:$N,Sales!$E:$E,FALSE,Sales!$A:$A,"&lt;&gt;"&amp;"Endulini",Sales!$H:$H,"&lt;="&amp;Heron!K$9,Sales!$H:$H,"&gt;"&amp;Heron!J$9,Sales!$F:$F,1)+SUMIFS(Sales!$P:$P,Sales!$E:$E,FALSE,Sales!$A:$A,"&lt;&gt;"&amp;"Endulini",Sales!$H:$H,"&lt;="&amp;Heron!K$9,Sales!$H:$H,"&gt;"&amp;Heron!J$9,Sales!$F:$F,1)</f>
        <v/>
      </c>
      <c r="L54" s="117">
        <f>SUMIFS(Xero!$F:$F,Xero!$B:$B,Heron!L$9,Xero!$A:$A,Heron!$A$4,Xero!$E:$E,Heron!$A54)+SUMIFS(Xero!$F:$F,Xero!$B:$B,Heron!L$9,Xero!$A:$A,Heron!$A$5,Xero!$E:$E,Heron!$A54)+SUMIFS(Sales!$L:$L,Sales!$E:$E,FALSE,Sales!$A:$A,"&lt;&gt;"&amp;"Endulini",Sales!$H:$H,"&lt;="&amp;Heron!L$9,Sales!$H:$H,"&gt;"&amp;Heron!K$9,Sales!$F:$F,1)+SUMIFS(Sales!$M:$M,Sales!$E:$E,FALSE,Sales!$A:$A,"&lt;&gt;"&amp;"Endulini",Sales!$H:$H,"&lt;="&amp;Heron!L$9,Sales!$H:$H,"&gt;"&amp;Heron!K$9,Sales!$F:$F,1)+SUMIFS(Sales!$N:$N,Sales!$E:$E,FALSE,Sales!$A:$A,"&lt;&gt;"&amp;"Endulini",Sales!$H:$H,"&lt;="&amp;Heron!L$9,Sales!$H:$H,"&gt;"&amp;Heron!K$9,Sales!$F:$F,1)+SUMIFS(Sales!$P:$P,Sales!$E:$E,FALSE,Sales!$A:$A,"&lt;&gt;"&amp;"Endulini",Sales!$H:$H,"&lt;="&amp;Heron!L$9,Sales!$H:$H,"&gt;"&amp;Heron!K$9,Sales!$F:$F,1)</f>
        <v/>
      </c>
      <c r="M54" s="117">
        <f>SUMIFS(Xero!$F:$F,Xero!$B:$B,Heron!M$9,Xero!$A:$A,Heron!$A$4,Xero!$E:$E,Heron!$A54)+SUMIFS(Xero!$F:$F,Xero!$B:$B,Heron!M$9,Xero!$A:$A,Heron!$A$5,Xero!$E:$E,Heron!$A54)+SUMIFS(Sales!$L:$L,Sales!$E:$E,FALSE,Sales!$A:$A,"&lt;&gt;"&amp;"Endulini",Sales!$H:$H,"&lt;="&amp;Heron!M$9,Sales!$H:$H,"&gt;"&amp;Heron!L$9,Sales!$F:$F,1)+SUMIFS(Sales!$M:$M,Sales!$E:$E,FALSE,Sales!$A:$A,"&lt;&gt;"&amp;"Endulini",Sales!$H:$H,"&lt;="&amp;Heron!M$9,Sales!$H:$H,"&gt;"&amp;Heron!L$9,Sales!$F:$F,1)+SUMIFS(Sales!$N:$N,Sales!$E:$E,FALSE,Sales!$A:$A,"&lt;&gt;"&amp;"Endulini",Sales!$H:$H,"&lt;="&amp;Heron!M$9,Sales!$H:$H,"&gt;"&amp;Heron!L$9,Sales!$F:$F,1)+SUMIFS(Sales!$P:$P,Sales!$E:$E,FALSE,Sales!$A:$A,"&lt;&gt;"&amp;"Endulini",Sales!$H:$H,"&lt;="&amp;Heron!M$9,Sales!$H:$H,"&gt;"&amp;Heron!L$9,Sales!$F:$F,1)</f>
        <v/>
      </c>
      <c r="N54" s="117">
        <f>SUMIFS(Xero!$F:$F,Xero!$B:$B,Heron!N$9,Xero!$A:$A,Heron!$A$4,Xero!$E:$E,Heron!$A54)+SUMIFS(Xero!$F:$F,Xero!$B:$B,Heron!N$9,Xero!$A:$A,Heron!$A$5,Xero!$E:$E,Heron!$A54)+SUMIFS(Sales!$L:$L,Sales!$E:$E,FALSE,Sales!$A:$A,"&lt;&gt;"&amp;"Endulini",Sales!$H:$H,"&lt;="&amp;Heron!N$9,Sales!$H:$H,"&gt;"&amp;Heron!M$9,Sales!$F:$F,1)+SUMIFS(Sales!$M:$M,Sales!$E:$E,FALSE,Sales!$A:$A,"&lt;&gt;"&amp;"Endulini",Sales!$H:$H,"&lt;="&amp;Heron!N$9,Sales!$H:$H,"&gt;"&amp;Heron!M$9,Sales!$F:$F,1)+SUMIFS(Sales!$N:$N,Sales!$E:$E,FALSE,Sales!$A:$A,"&lt;&gt;"&amp;"Endulini",Sales!$H:$H,"&lt;="&amp;Heron!N$9,Sales!$H:$H,"&gt;"&amp;Heron!M$9,Sales!$F:$F,1)+SUMIFS(Sales!$P:$P,Sales!$E:$E,FALSE,Sales!$A:$A,"&lt;&gt;"&amp;"Endulini",Sales!$H:$H,"&lt;="&amp;Heron!N$9,Sales!$H:$H,"&gt;"&amp;Heron!M$9,Sales!$F:$F,1)</f>
        <v/>
      </c>
      <c r="O54" s="117">
        <f>SUMIFS(Xero!$F:$F,Xero!$B:$B,Heron!O$9,Xero!$A:$A,Heron!$A$4,Xero!$E:$E,Heron!$A54)+SUMIFS(Xero!$F:$F,Xero!$B:$B,Heron!O$9,Xero!$A:$A,Heron!$A$5,Xero!$E:$E,Heron!$A54)+SUMIFS(Sales!$L:$L,Sales!$E:$E,FALSE,Sales!$A:$A,"&lt;&gt;"&amp;"Endulini",Sales!$H:$H,"&lt;="&amp;Heron!O$9,Sales!$H:$H,"&gt;"&amp;Heron!N$9,Sales!$F:$F,1)+SUMIFS(Sales!$M:$M,Sales!$E:$E,FALSE,Sales!$A:$A,"&lt;&gt;"&amp;"Endulini",Sales!$H:$H,"&lt;="&amp;Heron!O$9,Sales!$H:$H,"&gt;"&amp;Heron!N$9,Sales!$F:$F,1)+SUMIFS(Sales!$N:$N,Sales!$E:$E,FALSE,Sales!$A:$A,"&lt;&gt;"&amp;"Endulini",Sales!$H:$H,"&lt;="&amp;Heron!O$9,Sales!$H:$H,"&gt;"&amp;Heron!N$9,Sales!$F:$F,1)+SUMIFS(Sales!$P:$P,Sales!$E:$E,FALSE,Sales!$A:$A,"&lt;&gt;"&amp;"Endulini",Sales!$H:$H,"&lt;="&amp;Heron!O$9,Sales!$H:$H,"&gt;"&amp;Heron!N$9,Sales!$F:$F,1)</f>
        <v/>
      </c>
      <c r="P54" s="117">
        <f>SUMIFS(Xero!$F:$F,Xero!$B:$B,Heron!P$9,Xero!$A:$A,Heron!$A$4,Xero!$E:$E,Heron!$A54)+SUMIFS(Xero!$F:$F,Xero!$B:$B,Heron!P$9,Xero!$A:$A,Heron!$A$5,Xero!$E:$E,Heron!$A54)+SUMIFS(Sales!$L:$L,Sales!$E:$E,FALSE,Sales!$A:$A,"&lt;&gt;"&amp;"Endulini",Sales!$H:$H,"&lt;="&amp;Heron!P$9,Sales!$H:$H,"&gt;"&amp;Heron!O$9,Sales!$F:$F,1)+SUMIFS(Sales!$M:$M,Sales!$E:$E,FALSE,Sales!$A:$A,"&lt;&gt;"&amp;"Endulini",Sales!$H:$H,"&lt;="&amp;Heron!P$9,Sales!$H:$H,"&gt;"&amp;Heron!O$9,Sales!$F:$F,1)+SUMIFS(Sales!$N:$N,Sales!$E:$E,FALSE,Sales!$A:$A,"&lt;&gt;"&amp;"Endulini",Sales!$H:$H,"&lt;="&amp;Heron!P$9,Sales!$H:$H,"&gt;"&amp;Heron!O$9,Sales!$F:$F,1)+SUMIFS(Sales!$P:$P,Sales!$E:$E,FALSE,Sales!$A:$A,"&lt;&gt;"&amp;"Endulini",Sales!$H:$H,"&lt;="&amp;Heron!P$9,Sales!$H:$H,"&gt;"&amp;Heron!O$9,Sales!$F:$F,1)</f>
        <v/>
      </c>
      <c r="Q54" s="117">
        <f>SUMIFS(Xero!$F:$F,Xero!$B:$B,Heron!Q$9,Xero!$A:$A,Heron!$A$4,Xero!$E:$E,Heron!$A54)+SUMIFS(Xero!$F:$F,Xero!$B:$B,Heron!Q$9,Xero!$A:$A,Heron!$A$5,Xero!$E:$E,Heron!$A54)+SUMIFS(Sales!$L:$L,Sales!$E:$E,FALSE,Sales!$A:$A,"&lt;&gt;"&amp;"Endulini",Sales!$H:$H,"&lt;="&amp;Heron!Q$9,Sales!$H:$H,"&gt;"&amp;Heron!P$9,Sales!$F:$F,1)+SUMIFS(Sales!$M:$M,Sales!$E:$E,FALSE,Sales!$A:$A,"&lt;&gt;"&amp;"Endulini",Sales!$H:$H,"&lt;="&amp;Heron!Q$9,Sales!$H:$H,"&gt;"&amp;Heron!P$9,Sales!$F:$F,1)+SUMIFS(Sales!$N:$N,Sales!$E:$E,FALSE,Sales!$A:$A,"&lt;&gt;"&amp;"Endulini",Sales!$H:$H,"&lt;="&amp;Heron!Q$9,Sales!$H:$H,"&gt;"&amp;Heron!P$9,Sales!$F:$F,1)+SUMIFS(Sales!$P:$P,Sales!$E:$E,FALSE,Sales!$A:$A,"&lt;&gt;"&amp;"Endulini",Sales!$H:$H,"&lt;="&amp;Heron!Q$9,Sales!$H:$H,"&gt;"&amp;Heron!P$9,Sales!$F:$F,1)</f>
        <v/>
      </c>
      <c r="R54" s="117">
        <f>SUMIFS(Xero!$F:$F,Xero!$B:$B,Heron!R$9,Xero!$A:$A,Heron!$A$4,Xero!$E:$E,Heron!$A54)+SUMIFS(Xero!$F:$F,Xero!$B:$B,Heron!R$9,Xero!$A:$A,Heron!$A$5,Xero!$E:$E,Heron!$A54)+SUMIFS(Sales!$L:$L,Sales!$E:$E,FALSE,Sales!$A:$A,"&lt;&gt;"&amp;"Endulini",Sales!$H:$H,"&lt;="&amp;Heron!R$9,Sales!$H:$H,"&gt;"&amp;Heron!Q$9,Sales!$F:$F,1)+SUMIFS(Sales!$M:$M,Sales!$E:$E,FALSE,Sales!$A:$A,"&lt;&gt;"&amp;"Endulini",Sales!$H:$H,"&lt;="&amp;Heron!R$9,Sales!$H:$H,"&gt;"&amp;Heron!Q$9,Sales!$F:$F,1)+SUMIFS(Sales!$N:$N,Sales!$E:$E,FALSE,Sales!$A:$A,"&lt;&gt;"&amp;"Endulini",Sales!$H:$H,"&lt;="&amp;Heron!R$9,Sales!$H:$H,"&gt;"&amp;Heron!Q$9,Sales!$F:$F,1)+SUMIFS(Sales!$P:$P,Sales!$E:$E,FALSE,Sales!$A:$A,"&lt;&gt;"&amp;"Endulini",Sales!$H:$H,"&lt;="&amp;Heron!R$9,Sales!$H:$H,"&gt;"&amp;Heron!Q$9,Sales!$F:$F,1)</f>
        <v/>
      </c>
      <c r="S54" s="117">
        <f>SUMIFS(Xero!$F:$F,Xero!$B:$B,Heron!S$9,Xero!$A:$A,Heron!$A$4,Xero!$E:$E,Heron!$A54)+SUMIFS(Xero!$F:$F,Xero!$B:$B,Heron!S$9,Xero!$A:$A,Heron!$A$5,Xero!$E:$E,Heron!$A54)+SUMIFS(Sales!$L:$L,Sales!$E:$E,FALSE,Sales!$A:$A,"&lt;&gt;"&amp;"Endulini",Sales!$H:$H,"&lt;="&amp;Heron!S$9,Sales!$H:$H,"&gt;"&amp;Heron!R$9,Sales!$F:$F,1)+SUMIFS(Sales!$M:$M,Sales!$E:$E,FALSE,Sales!$A:$A,"&lt;&gt;"&amp;"Endulini",Sales!$H:$H,"&lt;="&amp;Heron!S$9,Sales!$H:$H,"&gt;"&amp;Heron!R$9,Sales!$F:$F,1)+SUMIFS(Sales!$N:$N,Sales!$E:$E,FALSE,Sales!$A:$A,"&lt;&gt;"&amp;"Endulini",Sales!$H:$H,"&lt;="&amp;Heron!S$9,Sales!$H:$H,"&gt;"&amp;Heron!R$9,Sales!$F:$F,1)+SUMIFS(Sales!$P:$P,Sales!$E:$E,FALSE,Sales!$A:$A,"&lt;&gt;"&amp;"Endulini",Sales!$H:$H,"&lt;="&amp;Heron!S$9,Sales!$H:$H,"&gt;"&amp;Heron!R$9,Sales!$F:$F,1)</f>
        <v/>
      </c>
      <c r="T54" s="117">
        <f>SUMIFS(Xero!$F:$F,Xero!$B:$B,Heron!T$9,Xero!$A:$A,Heron!$A$4,Xero!$E:$E,Heron!$A54)+SUMIFS(Xero!$F:$F,Xero!$B:$B,Heron!T$9,Xero!$A:$A,Heron!$A$5,Xero!$E:$E,Heron!$A54)+SUMIFS(Sales!$L:$L,Sales!$E:$E,FALSE,Sales!$A:$A,"&lt;&gt;"&amp;"Endulini",Sales!$H:$H,"&lt;="&amp;Heron!T$9,Sales!$H:$H,"&gt;"&amp;Heron!S$9,Sales!$F:$F,1)+SUMIFS(Sales!$M:$M,Sales!$E:$E,FALSE,Sales!$A:$A,"&lt;&gt;"&amp;"Endulini",Sales!$H:$H,"&lt;="&amp;Heron!T$9,Sales!$H:$H,"&gt;"&amp;Heron!S$9,Sales!$F:$F,1)+SUMIFS(Sales!$N:$N,Sales!$E:$E,FALSE,Sales!$A:$A,"&lt;&gt;"&amp;"Endulini",Sales!$H:$H,"&lt;="&amp;Heron!T$9,Sales!$H:$H,"&gt;"&amp;Heron!S$9,Sales!$F:$F,1)+SUMIFS(Sales!$P:$P,Sales!$E:$E,FALSE,Sales!$A:$A,"&lt;&gt;"&amp;"Endulini",Sales!$H:$H,"&lt;="&amp;Heron!T$9,Sales!$H:$H,"&gt;"&amp;Heron!S$9,Sales!$F:$F,1)</f>
        <v/>
      </c>
      <c r="U54" s="117">
        <f>SUMIFS(Xero!$F:$F,Xero!$B:$B,Heron!U$9,Xero!$A:$A,Heron!$A$4,Xero!$E:$E,Heron!$A54)+SUMIFS(Xero!$F:$F,Xero!$B:$B,Heron!U$9,Xero!$A:$A,Heron!$A$5,Xero!$E:$E,Heron!$A54)+SUMIFS(Sales!$L:$L,Sales!$E:$E,FALSE,Sales!$A:$A,"&lt;&gt;"&amp;"Endulini",Sales!$H:$H,"&lt;="&amp;Heron!U$9,Sales!$H:$H,"&gt;"&amp;Heron!T$9,Sales!$F:$F,1)+SUMIFS(Sales!$M:$M,Sales!$E:$E,FALSE,Sales!$A:$A,"&lt;&gt;"&amp;"Endulini",Sales!$H:$H,"&lt;="&amp;Heron!U$9,Sales!$H:$H,"&gt;"&amp;Heron!T$9,Sales!$F:$F,1)+SUMIFS(Sales!$N:$N,Sales!$E:$E,FALSE,Sales!$A:$A,"&lt;&gt;"&amp;"Endulini",Sales!$H:$H,"&lt;="&amp;Heron!U$9,Sales!$H:$H,"&gt;"&amp;Heron!T$9,Sales!$F:$F,1)+SUMIFS(Sales!$P:$P,Sales!$E:$E,FALSE,Sales!$A:$A,"&lt;&gt;"&amp;"Endulini",Sales!$H:$H,"&lt;="&amp;Heron!U$9,Sales!$H:$H,"&gt;"&amp;Heron!T$9,Sales!$F:$F,1)</f>
        <v/>
      </c>
      <c r="V54" s="117">
        <f>SUMIFS(Xero!$F:$F,Xero!$B:$B,Heron!V$9,Xero!$A:$A,Heron!$A$4,Xero!$E:$E,Heron!$A54)+SUMIFS(Xero!$F:$F,Xero!$B:$B,Heron!V$9,Xero!$A:$A,Heron!$A$5,Xero!$E:$E,Heron!$A54)+SUMIFS(Sales!$L:$L,Sales!$E:$E,FALSE,Sales!$A:$A,"&lt;&gt;"&amp;"Endulini",Sales!$H:$H,"&lt;="&amp;Heron!V$9,Sales!$H:$H,"&gt;"&amp;Heron!U$9,Sales!$F:$F,1)+SUMIFS(Sales!$M:$M,Sales!$E:$E,FALSE,Sales!$A:$A,"&lt;&gt;"&amp;"Endulini",Sales!$H:$H,"&lt;="&amp;Heron!V$9,Sales!$H:$H,"&gt;"&amp;Heron!U$9,Sales!$F:$F,1)+SUMIFS(Sales!$N:$N,Sales!$E:$E,FALSE,Sales!$A:$A,"&lt;&gt;"&amp;"Endulini",Sales!$H:$H,"&lt;="&amp;Heron!V$9,Sales!$H:$H,"&gt;"&amp;Heron!U$9,Sales!$F:$F,1)+SUMIFS(Sales!$P:$P,Sales!$E:$E,FALSE,Sales!$A:$A,"&lt;&gt;"&amp;"Endulini",Sales!$H:$H,"&lt;="&amp;Heron!V$9,Sales!$H:$H,"&gt;"&amp;Heron!U$9,Sales!$F:$F,1)</f>
        <v/>
      </c>
      <c r="W54" s="117">
        <f>SUMIFS(Xero!$F:$F,Xero!$B:$B,Heron!W$9,Xero!$A:$A,Heron!$A$4,Xero!$E:$E,Heron!$A54)+SUMIFS(Xero!$F:$F,Xero!$B:$B,Heron!W$9,Xero!$A:$A,Heron!$A$5,Xero!$E:$E,Heron!$A54)+SUMIFS(Sales!$L:$L,Sales!$E:$E,FALSE,Sales!$A:$A,"&lt;&gt;"&amp;"Endulini",Sales!$H:$H,"&lt;="&amp;Heron!W$9,Sales!$H:$H,"&gt;"&amp;Heron!V$9,Sales!$F:$F,1)+SUMIFS(Sales!$M:$M,Sales!$E:$E,FALSE,Sales!$A:$A,"&lt;&gt;"&amp;"Endulini",Sales!$H:$H,"&lt;="&amp;Heron!W$9,Sales!$H:$H,"&gt;"&amp;Heron!V$9,Sales!$F:$F,1)+SUMIFS(Sales!$N:$N,Sales!$E:$E,FALSE,Sales!$A:$A,"&lt;&gt;"&amp;"Endulini",Sales!$H:$H,"&lt;="&amp;Heron!W$9,Sales!$H:$H,"&gt;"&amp;Heron!V$9,Sales!$F:$F,1)+SUMIFS(Sales!$P:$P,Sales!$E:$E,FALSE,Sales!$A:$A,"&lt;&gt;"&amp;"Endulini",Sales!$H:$H,"&lt;="&amp;Heron!W$9,Sales!$H:$H,"&gt;"&amp;Heron!V$9,Sales!$F:$F,1)</f>
        <v/>
      </c>
      <c r="X54" s="117">
        <f>SUMIFS(Xero!$F:$F,Xero!$B:$B,Heron!X$9,Xero!$A:$A,Heron!$A$4,Xero!$E:$E,Heron!$A54)+SUMIFS(Xero!$F:$F,Xero!$B:$B,Heron!X$9,Xero!$A:$A,Heron!$A$5,Xero!$E:$E,Heron!$A54)+SUMIFS(Sales!$L:$L,Sales!$E:$E,FALSE,Sales!$A:$A,"&lt;&gt;"&amp;"Endulini",Sales!$H:$H,"&lt;="&amp;Heron!X$9,Sales!$H:$H,"&gt;"&amp;Heron!W$9,Sales!$F:$F,1)+SUMIFS(Sales!$M:$M,Sales!$E:$E,FALSE,Sales!$A:$A,"&lt;&gt;"&amp;"Endulini",Sales!$H:$H,"&lt;="&amp;Heron!X$9,Sales!$H:$H,"&gt;"&amp;Heron!W$9,Sales!$F:$F,1)+SUMIFS(Sales!$N:$N,Sales!$E:$E,FALSE,Sales!$A:$A,"&lt;&gt;"&amp;"Endulini",Sales!$H:$H,"&lt;="&amp;Heron!X$9,Sales!$H:$H,"&gt;"&amp;Heron!W$9,Sales!$F:$F,1)+SUMIFS(Sales!$P:$P,Sales!$E:$E,FALSE,Sales!$A:$A,"&lt;&gt;"&amp;"Endulini",Sales!$H:$H,"&lt;="&amp;Heron!X$9,Sales!$H:$H,"&gt;"&amp;Heron!W$9,Sales!$F:$F,1)</f>
        <v/>
      </c>
      <c r="Y54" s="117">
        <f>SUMIFS(Xero!$F:$F,Xero!$B:$B,Heron!Y$9,Xero!$A:$A,Heron!$A$4,Xero!$E:$E,Heron!$A54)+SUMIFS(Xero!$F:$F,Xero!$B:$B,Heron!Y$9,Xero!$A:$A,Heron!$A$5,Xero!$E:$E,Heron!$A54)+SUMIFS(Sales!$L:$L,Sales!$E:$E,FALSE,Sales!$A:$A,"&lt;&gt;"&amp;"Endulini",Sales!$H:$H,"&lt;="&amp;Heron!Y$9,Sales!$H:$H,"&gt;"&amp;Heron!X$9,Sales!$F:$F,1)+SUMIFS(Sales!$M:$M,Sales!$E:$E,FALSE,Sales!$A:$A,"&lt;&gt;"&amp;"Endulini",Sales!$H:$H,"&lt;="&amp;Heron!Y$9,Sales!$H:$H,"&gt;"&amp;Heron!X$9,Sales!$F:$F,1)+SUMIFS(Sales!$N:$N,Sales!$E:$E,FALSE,Sales!$A:$A,"&lt;&gt;"&amp;"Endulini",Sales!$H:$H,"&lt;="&amp;Heron!Y$9,Sales!$H:$H,"&gt;"&amp;Heron!X$9,Sales!$F:$F,1)+SUMIFS(Sales!$P:$P,Sales!$E:$E,FALSE,Sales!$A:$A,"&lt;&gt;"&amp;"Endulini",Sales!$H:$H,"&lt;="&amp;Heron!Y$9,Sales!$H:$H,"&gt;"&amp;Heron!X$9,Sales!$F:$F,1)</f>
        <v/>
      </c>
      <c r="Z54" s="117">
        <f>SUMIFS(Xero!$F:$F,Xero!$B:$B,Heron!Z$9,Xero!$A:$A,Heron!$A$4,Xero!$E:$E,Heron!$A54)+SUMIFS(Xero!$F:$F,Xero!$B:$B,Heron!Z$9,Xero!$A:$A,Heron!$A$5,Xero!$E:$E,Heron!$A54)+SUMIFS(Sales!$L:$L,Sales!$E:$E,FALSE,Sales!$A:$A,"&lt;&gt;"&amp;"Endulini",Sales!$H:$H,"&lt;="&amp;Heron!Z$9,Sales!$H:$H,"&gt;"&amp;Heron!Y$9,Sales!$F:$F,1)+SUMIFS(Sales!$M:$M,Sales!$E:$E,FALSE,Sales!$A:$A,"&lt;&gt;"&amp;"Endulini",Sales!$H:$H,"&lt;="&amp;Heron!Z$9,Sales!$H:$H,"&gt;"&amp;Heron!Y$9,Sales!$F:$F,1)+SUMIFS(Sales!$N:$N,Sales!$E:$E,FALSE,Sales!$A:$A,"&lt;&gt;"&amp;"Endulini",Sales!$H:$H,"&lt;="&amp;Heron!Z$9,Sales!$H:$H,"&gt;"&amp;Heron!Y$9,Sales!$F:$F,1)+SUMIFS(Sales!$P:$P,Sales!$E:$E,FALSE,Sales!$A:$A,"&lt;&gt;"&amp;"Endulini",Sales!$H:$H,"&lt;="&amp;Heron!Z$9,Sales!$H:$H,"&gt;"&amp;Heron!Y$9,Sales!$F:$F,1)</f>
        <v/>
      </c>
      <c r="AA54" s="117">
        <f>SUMIFS(Xero!$F:$F,Xero!$B:$B,Heron!AA$9,Xero!$A:$A,Heron!$A$4,Xero!$E:$E,Heron!$A54)+SUMIFS(Xero!$F:$F,Xero!$B:$B,Heron!AA$9,Xero!$A:$A,Heron!$A$5,Xero!$E:$E,Heron!$A54)+SUMIFS(Sales!$L:$L,Sales!$E:$E,FALSE,Sales!$A:$A,"&lt;&gt;"&amp;"Endulini",Sales!$H:$H,"&lt;="&amp;Heron!AA$9,Sales!$H:$H,"&gt;"&amp;Heron!Z$9,Sales!$F:$F,1)+SUMIFS(Sales!$M:$M,Sales!$E:$E,FALSE,Sales!$A:$A,"&lt;&gt;"&amp;"Endulini",Sales!$H:$H,"&lt;="&amp;Heron!AA$9,Sales!$H:$H,"&gt;"&amp;Heron!Z$9,Sales!$F:$F,1)+SUMIFS(Sales!$N:$N,Sales!$E:$E,FALSE,Sales!$A:$A,"&lt;&gt;"&amp;"Endulini",Sales!$H:$H,"&lt;="&amp;Heron!AA$9,Sales!$H:$H,"&gt;"&amp;Heron!Z$9,Sales!$F:$F,1)+SUMIFS(Sales!$P:$P,Sales!$E:$E,FALSE,Sales!$A:$A,"&lt;&gt;"&amp;"Endulini",Sales!$H:$H,"&lt;="&amp;Heron!AA$9,Sales!$H:$H,"&gt;"&amp;Heron!Z$9,Sales!$F:$F,1)</f>
        <v/>
      </c>
      <c r="AB54" s="117">
        <f>SUMIFS(Xero!$F:$F,Xero!$B:$B,Heron!AB$9,Xero!$A:$A,Heron!$A$4,Xero!$E:$E,Heron!$A54)+SUMIFS(Xero!$F:$F,Xero!$B:$B,Heron!AB$9,Xero!$A:$A,Heron!$A$5,Xero!$E:$E,Heron!$A54)+SUMIFS(Sales!$L:$L,Sales!$E:$E,FALSE,Sales!$A:$A,"&lt;&gt;"&amp;"Endulini",Sales!$H:$H,"&lt;="&amp;Heron!AB$9,Sales!$H:$H,"&gt;"&amp;Heron!AA$9,Sales!$F:$F,1)+SUMIFS(Sales!$M:$M,Sales!$E:$E,FALSE,Sales!$A:$A,"&lt;&gt;"&amp;"Endulini",Sales!$H:$H,"&lt;="&amp;Heron!AB$9,Sales!$H:$H,"&gt;"&amp;Heron!AA$9,Sales!$F:$F,1)+SUMIFS(Sales!$N:$N,Sales!$E:$E,FALSE,Sales!$A:$A,"&lt;&gt;"&amp;"Endulini",Sales!$H:$H,"&lt;="&amp;Heron!AB$9,Sales!$H:$H,"&gt;"&amp;Heron!AA$9,Sales!$F:$F,1)+SUMIFS(Sales!$P:$P,Sales!$E:$E,FALSE,Sales!$A:$A,"&lt;&gt;"&amp;"Endulini",Sales!$H:$H,"&lt;="&amp;Heron!AB$9,Sales!$H:$H,"&gt;"&amp;Heron!AA$9,Sales!$F:$F,1)</f>
        <v/>
      </c>
      <c r="AC54" s="117">
        <f>SUMIFS(Xero!$F:$F,Xero!$B:$B,Heron!AC$9,Xero!$A:$A,Heron!$A$4,Xero!$E:$E,Heron!$A54)+SUMIFS(Xero!$F:$F,Xero!$B:$B,Heron!AC$9,Xero!$A:$A,Heron!$A$5,Xero!$E:$E,Heron!$A54)+SUMIFS(Sales!$L:$L,Sales!$E:$E,FALSE,Sales!$A:$A,"&lt;&gt;"&amp;"Endulini",Sales!$H:$H,"&lt;="&amp;Heron!AC$9,Sales!$H:$H,"&gt;"&amp;Heron!AB$9,Sales!$F:$F,1)+SUMIFS(Sales!$M:$M,Sales!$E:$E,FALSE,Sales!$A:$A,"&lt;&gt;"&amp;"Endulini",Sales!$H:$H,"&lt;="&amp;Heron!AC$9,Sales!$H:$H,"&gt;"&amp;Heron!AB$9,Sales!$F:$F,1)+SUMIFS(Sales!$N:$N,Sales!$E:$E,FALSE,Sales!$A:$A,"&lt;&gt;"&amp;"Endulini",Sales!$H:$H,"&lt;="&amp;Heron!AC$9,Sales!$H:$H,"&gt;"&amp;Heron!AB$9,Sales!$F:$F,1)+SUMIFS(Sales!$P:$P,Sales!$E:$E,FALSE,Sales!$A:$A,"&lt;&gt;"&amp;"Endulini",Sales!$H:$H,"&lt;="&amp;Heron!AC$9,Sales!$H:$H,"&gt;"&amp;Heron!AB$9,Sales!$F:$F,1)</f>
        <v/>
      </c>
      <c r="AD54" s="117">
        <f>SUMIFS(Xero!$F:$F,Xero!$B:$B,Heron!AD$9,Xero!$A:$A,Heron!$A$4,Xero!$E:$E,Heron!$A54)+SUMIFS(Xero!$F:$F,Xero!$B:$B,Heron!AD$9,Xero!$A:$A,Heron!$A$5,Xero!$E:$E,Heron!$A54)+SUMIFS(Sales!$L:$L,Sales!$E:$E,FALSE,Sales!$A:$A,"&lt;&gt;"&amp;"Endulini",Sales!$H:$H,"&lt;="&amp;Heron!AD$9,Sales!$H:$H,"&gt;"&amp;Heron!AC$9,Sales!$F:$F,1)+SUMIFS(Sales!$M:$M,Sales!$E:$E,FALSE,Sales!$A:$A,"&lt;&gt;"&amp;"Endulini",Sales!$H:$H,"&lt;="&amp;Heron!AD$9,Sales!$H:$H,"&gt;"&amp;Heron!AC$9,Sales!$F:$F,1)+SUMIFS(Sales!$N:$N,Sales!$E:$E,FALSE,Sales!$A:$A,"&lt;&gt;"&amp;"Endulini",Sales!$H:$H,"&lt;="&amp;Heron!AD$9,Sales!$H:$H,"&gt;"&amp;Heron!AC$9,Sales!$F:$F,1)+SUMIFS(Sales!$P:$P,Sales!$E:$E,FALSE,Sales!$A:$A,"&lt;&gt;"&amp;"Endulini",Sales!$H:$H,"&lt;="&amp;Heron!AD$9,Sales!$H:$H,"&gt;"&amp;Heron!AC$9,Sales!$F:$F,1)</f>
        <v/>
      </c>
      <c r="AE54" s="117">
        <f>SUMIFS(Xero!$F:$F,Xero!$B:$B,Heron!AE$9,Xero!$A:$A,Heron!$A$4,Xero!$E:$E,Heron!$A54)+SUMIFS(Xero!$F:$F,Xero!$B:$B,Heron!AE$9,Xero!$A:$A,Heron!$A$5,Xero!$E:$E,Heron!$A54)+SUMIFS(Sales!$L:$L,Sales!$E:$E,FALSE,Sales!$A:$A,"&lt;&gt;"&amp;"Endulini",Sales!$H:$H,"&lt;="&amp;Heron!AE$9,Sales!$H:$H,"&gt;"&amp;Heron!AD$9,Sales!$F:$F,1)+SUMIFS(Sales!$M:$M,Sales!$E:$E,FALSE,Sales!$A:$A,"&lt;&gt;"&amp;"Endulini",Sales!$H:$H,"&lt;="&amp;Heron!AE$9,Sales!$H:$H,"&gt;"&amp;Heron!AD$9,Sales!$F:$F,1)+SUMIFS(Sales!$N:$N,Sales!$E:$E,FALSE,Sales!$A:$A,"&lt;&gt;"&amp;"Endulini",Sales!$H:$H,"&lt;="&amp;Heron!AE$9,Sales!$H:$H,"&gt;"&amp;Heron!AD$9,Sales!$F:$F,1)+SUMIFS(Sales!$P:$P,Sales!$E:$E,FALSE,Sales!$A:$A,"&lt;&gt;"&amp;"Endulini",Sales!$H:$H,"&lt;="&amp;Heron!AE$9,Sales!$H:$H,"&gt;"&amp;Heron!AD$9,Sales!$F:$F,1)</f>
        <v/>
      </c>
      <c r="AF54" s="117">
        <f>SUMIFS(Xero!$F:$F,Xero!$B:$B,Heron!AF$9,Xero!$A:$A,Heron!$A$4,Xero!$E:$E,Heron!$A54)+SUMIFS(Xero!$F:$F,Xero!$B:$B,Heron!AF$9,Xero!$A:$A,Heron!$A$5,Xero!$E:$E,Heron!$A54)+SUMIFS(Sales!$L:$L,Sales!$E:$E,FALSE,Sales!$A:$A,"&lt;&gt;"&amp;"Endulini",Sales!$H:$H,"&lt;="&amp;Heron!AF$9,Sales!$H:$H,"&gt;"&amp;Heron!AE$9,Sales!$F:$F,1)+SUMIFS(Sales!$M:$M,Sales!$E:$E,FALSE,Sales!$A:$A,"&lt;&gt;"&amp;"Endulini",Sales!$H:$H,"&lt;="&amp;Heron!AF$9,Sales!$H:$H,"&gt;"&amp;Heron!AE$9,Sales!$F:$F,1)+SUMIFS(Sales!$N:$N,Sales!$E:$E,FALSE,Sales!$A:$A,"&lt;&gt;"&amp;"Endulini",Sales!$H:$H,"&lt;="&amp;Heron!AF$9,Sales!$H:$H,"&gt;"&amp;Heron!AE$9,Sales!$F:$F,1)+SUMIFS(Sales!$P:$P,Sales!$E:$E,FALSE,Sales!$A:$A,"&lt;&gt;"&amp;"Endulini",Sales!$H:$H,"&lt;="&amp;Heron!AF$9,Sales!$H:$H,"&gt;"&amp;Heron!AE$9,Sales!$F:$F,1)</f>
        <v/>
      </c>
      <c r="AG54" s="117">
        <f>SUMIFS(Xero!$F:$F,Xero!$B:$B,Heron!AG$9,Xero!$A:$A,Heron!$A$4,Xero!$E:$E,Heron!$A54)+SUMIFS(Xero!$F:$F,Xero!$B:$B,Heron!AG$9,Xero!$A:$A,Heron!$A$5,Xero!$E:$E,Heron!$A54)+SUMIFS(Sales!$L:$L,Sales!$E:$E,FALSE,Sales!$A:$A,"&lt;&gt;"&amp;"Endulini",Sales!$H:$H,"&lt;="&amp;Heron!AG$9,Sales!$H:$H,"&gt;"&amp;Heron!AF$9,Sales!$F:$F,1)+SUMIFS(Sales!$M:$M,Sales!$E:$E,FALSE,Sales!$A:$A,"&lt;&gt;"&amp;"Endulini",Sales!$H:$H,"&lt;="&amp;Heron!AG$9,Sales!$H:$H,"&gt;"&amp;Heron!AF$9,Sales!$F:$F,1)+SUMIFS(Sales!$N:$N,Sales!$E:$E,FALSE,Sales!$A:$A,"&lt;&gt;"&amp;"Endulini",Sales!$H:$H,"&lt;="&amp;Heron!AG$9,Sales!$H:$H,"&gt;"&amp;Heron!AF$9,Sales!$F:$F,1)+SUMIFS(Sales!$P:$P,Sales!$E:$E,FALSE,Sales!$A:$A,"&lt;&gt;"&amp;"Endulini",Sales!$H:$H,"&lt;="&amp;Heron!AG$9,Sales!$H:$H,"&gt;"&amp;Heron!AF$9,Sales!$F:$F,1)</f>
        <v/>
      </c>
      <c r="AH54" s="117">
        <f>SUMIFS(Xero!$F:$F,Xero!$B:$B,Heron!AH$9,Xero!$A:$A,Heron!$A$4,Xero!$E:$E,Heron!$A54)+SUMIFS(Xero!$F:$F,Xero!$B:$B,Heron!AH$9,Xero!$A:$A,Heron!$A$5,Xero!$E:$E,Heron!$A54)+SUMIFS(Sales!$L:$L,Sales!$E:$E,FALSE,Sales!$A:$A,"&lt;&gt;"&amp;"Endulini",Sales!$H:$H,"&lt;="&amp;Heron!AH$9,Sales!$H:$H,"&gt;"&amp;Heron!AG$9,Sales!$F:$F,1)+SUMIFS(Sales!$M:$M,Sales!$E:$E,FALSE,Sales!$A:$A,"&lt;&gt;"&amp;"Endulini",Sales!$H:$H,"&lt;="&amp;Heron!AH$9,Sales!$H:$H,"&gt;"&amp;Heron!AG$9,Sales!$F:$F,1)+SUMIFS(Sales!$N:$N,Sales!$E:$E,FALSE,Sales!$A:$A,"&lt;&gt;"&amp;"Endulini",Sales!$H:$H,"&lt;="&amp;Heron!AH$9,Sales!$H:$H,"&gt;"&amp;Heron!AG$9,Sales!$F:$F,1)+SUMIFS(Sales!$P:$P,Sales!$E:$E,FALSE,Sales!$A:$A,"&lt;&gt;"&amp;"Endulini",Sales!$H:$H,"&lt;="&amp;Heron!AH$9,Sales!$H:$H,"&gt;"&amp;Heron!AG$9,Sales!$F:$F,1)</f>
        <v/>
      </c>
      <c r="AI54" s="117">
        <f>SUMIFS(Xero!$F:$F,Xero!$B:$B,Heron!AI$9,Xero!$A:$A,Heron!$A$4,Xero!$E:$E,Heron!$A54)+SUMIFS(Xero!$F:$F,Xero!$B:$B,Heron!AI$9,Xero!$A:$A,Heron!$A$5,Xero!$E:$E,Heron!$A54)+SUMIFS(Sales!$L:$L,Sales!$E:$E,FALSE,Sales!$A:$A,"&lt;&gt;"&amp;"Endulini",Sales!$H:$H,"&lt;="&amp;Heron!AI$9,Sales!$H:$H,"&gt;"&amp;Heron!AH$9,Sales!$F:$F,1)+SUMIFS(Sales!$M:$M,Sales!$E:$E,FALSE,Sales!$A:$A,"&lt;&gt;"&amp;"Endulini",Sales!$H:$H,"&lt;="&amp;Heron!AI$9,Sales!$H:$H,"&gt;"&amp;Heron!AH$9,Sales!$F:$F,1)+SUMIFS(Sales!$N:$N,Sales!$E:$E,FALSE,Sales!$A:$A,"&lt;&gt;"&amp;"Endulini",Sales!$H:$H,"&lt;="&amp;Heron!AI$9,Sales!$H:$H,"&gt;"&amp;Heron!AH$9,Sales!$F:$F,1)+SUMIFS(Sales!$P:$P,Sales!$E:$E,FALSE,Sales!$A:$A,"&lt;&gt;"&amp;"Endulini",Sales!$H:$H,"&lt;="&amp;Heron!AI$9,Sales!$H:$H,"&gt;"&amp;Heron!AH$9,Sales!$F:$F,1)</f>
        <v/>
      </c>
      <c r="AJ54" s="117">
        <f>SUMIFS(Xero!$F:$F,Xero!$B:$B,Heron!AJ$9,Xero!$A:$A,Heron!$A$4,Xero!$E:$E,Heron!$A54)+SUMIFS(Xero!$F:$F,Xero!$B:$B,Heron!AJ$9,Xero!$A:$A,Heron!$A$5,Xero!$E:$E,Heron!$A54)+SUMIFS(Sales!$L:$L,Sales!$E:$E,FALSE,Sales!$A:$A,"&lt;&gt;"&amp;"Endulini",Sales!$H:$H,"&lt;="&amp;Heron!AJ$9,Sales!$H:$H,"&gt;"&amp;Heron!AI$9,Sales!$F:$F,1)+SUMIFS(Sales!$M:$M,Sales!$E:$E,FALSE,Sales!$A:$A,"&lt;&gt;"&amp;"Endulini",Sales!$H:$H,"&lt;="&amp;Heron!AJ$9,Sales!$H:$H,"&gt;"&amp;Heron!AI$9,Sales!$F:$F,1)+SUMIFS(Sales!$N:$N,Sales!$E:$E,FALSE,Sales!$A:$A,"&lt;&gt;"&amp;"Endulini",Sales!$H:$H,"&lt;="&amp;Heron!AJ$9,Sales!$H:$H,"&gt;"&amp;Heron!AI$9,Sales!$F:$F,1)+SUMIFS(Sales!$P:$P,Sales!$E:$E,FALSE,Sales!$A:$A,"&lt;&gt;"&amp;"Endulini",Sales!$H:$H,"&lt;="&amp;Heron!AJ$9,Sales!$H:$H,"&gt;"&amp;Heron!AI$9,Sales!$F:$F,1)</f>
        <v/>
      </c>
      <c r="AK54" s="117">
        <f>SUMIFS(Xero!$F:$F,Xero!$B:$B,Heron!AK$9,Xero!$A:$A,Heron!$A$4,Xero!$E:$E,Heron!$A54)+SUMIFS(Xero!$F:$F,Xero!$B:$B,Heron!AK$9,Xero!$A:$A,Heron!$A$5,Xero!$E:$E,Heron!$A54)+SUMIFS(Sales!$L:$L,Sales!$E:$E,FALSE,Sales!$A:$A,"&lt;&gt;"&amp;"Endulini",Sales!$H:$H,"&lt;="&amp;Heron!AK$9,Sales!$H:$H,"&gt;"&amp;Heron!AJ$9,Sales!$F:$F,1)+SUMIFS(Sales!$M:$M,Sales!$E:$E,FALSE,Sales!$A:$A,"&lt;&gt;"&amp;"Endulini",Sales!$H:$H,"&lt;="&amp;Heron!AK$9,Sales!$H:$H,"&gt;"&amp;Heron!AJ$9,Sales!$F:$F,1)+SUMIFS(Sales!$N:$N,Sales!$E:$E,FALSE,Sales!$A:$A,"&lt;&gt;"&amp;"Endulini",Sales!$H:$H,"&lt;="&amp;Heron!AK$9,Sales!$H:$H,"&gt;"&amp;Heron!AJ$9,Sales!$F:$F,1)+SUMIFS(Sales!$P:$P,Sales!$E:$E,FALSE,Sales!$A:$A,"&lt;&gt;"&amp;"Endulini",Sales!$H:$H,"&lt;="&amp;Heron!AK$9,Sales!$H:$H,"&gt;"&amp;Heron!AJ$9,Sales!$F:$F,1)</f>
        <v/>
      </c>
      <c r="AL54" s="117">
        <f>SUMIFS(Xero!$F:$F,Xero!$B:$B,Heron!AL$9,Xero!$A:$A,Heron!$A$4,Xero!$E:$E,Heron!$A54)+SUMIFS(Xero!$F:$F,Xero!$B:$B,Heron!AL$9,Xero!$A:$A,Heron!$A$5,Xero!$E:$E,Heron!$A54)+SUMIFS(Sales!$L:$L,Sales!$E:$E,FALSE,Sales!$A:$A,"&lt;&gt;"&amp;"Endulini",Sales!$H:$H,"&lt;="&amp;Heron!AL$9,Sales!$H:$H,"&gt;"&amp;Heron!AK$9,Sales!$F:$F,1)+SUMIFS(Sales!$M:$M,Sales!$E:$E,FALSE,Sales!$A:$A,"&lt;&gt;"&amp;"Endulini",Sales!$H:$H,"&lt;="&amp;Heron!AL$9,Sales!$H:$H,"&gt;"&amp;Heron!AK$9,Sales!$F:$F,1)+SUMIFS(Sales!$N:$N,Sales!$E:$E,FALSE,Sales!$A:$A,"&lt;&gt;"&amp;"Endulini",Sales!$H:$H,"&lt;="&amp;Heron!AL$9,Sales!$H:$H,"&gt;"&amp;Heron!AK$9,Sales!$F:$F,1)+SUMIFS(Sales!$P:$P,Sales!$E:$E,FALSE,Sales!$A:$A,"&lt;&gt;"&amp;"Endulini",Sales!$H:$H,"&lt;="&amp;Heron!AL$9,Sales!$H:$H,"&gt;"&amp;Heron!AK$9,Sales!$F:$F,1)</f>
        <v/>
      </c>
      <c r="AM54" s="117">
        <f>SUMIFS(Xero!$F:$F,Xero!$B:$B,Heron!AM$9,Xero!$A:$A,Heron!$A$4,Xero!$E:$E,Heron!$A54)+SUMIFS(Xero!$F:$F,Xero!$B:$B,Heron!AM$9,Xero!$A:$A,Heron!$A$5,Xero!$E:$E,Heron!$A54)+SUMIFS(Sales!$L:$L,Sales!$E:$E,FALSE,Sales!$A:$A,"&lt;&gt;"&amp;"Endulini",Sales!$H:$H,"&lt;="&amp;Heron!AM$9,Sales!$H:$H,"&gt;"&amp;Heron!AL$9,Sales!$F:$F,1)+SUMIFS(Sales!$M:$M,Sales!$E:$E,FALSE,Sales!$A:$A,"&lt;&gt;"&amp;"Endulini",Sales!$H:$H,"&lt;="&amp;Heron!AM$9,Sales!$H:$H,"&gt;"&amp;Heron!AL$9,Sales!$F:$F,1)+SUMIFS(Sales!$N:$N,Sales!$E:$E,FALSE,Sales!$A:$A,"&lt;&gt;"&amp;"Endulini",Sales!$H:$H,"&lt;="&amp;Heron!AM$9,Sales!$H:$H,"&gt;"&amp;Heron!AL$9,Sales!$F:$F,1)+SUMIFS(Sales!$P:$P,Sales!$E:$E,FALSE,Sales!$A:$A,"&lt;&gt;"&amp;"Endulini",Sales!$H:$H,"&lt;="&amp;Heron!AM$9,Sales!$H:$H,"&gt;"&amp;Heron!AL$9,Sales!$F:$F,1)</f>
        <v/>
      </c>
      <c r="AN54" s="117">
        <f>SUMIFS(Xero!$F:$F,Xero!$B:$B,Heron!AN$9,Xero!$A:$A,Heron!$A$4,Xero!$E:$E,Heron!$A54)+SUMIFS(Xero!$F:$F,Xero!$B:$B,Heron!AN$9,Xero!$A:$A,Heron!$A$5,Xero!$E:$E,Heron!$A54)+SUMIFS(Sales!$L:$L,Sales!$E:$E,FALSE,Sales!$A:$A,"&lt;&gt;"&amp;"Endulini",Sales!$H:$H,"&lt;="&amp;Heron!AN$9,Sales!$H:$H,"&gt;"&amp;Heron!AM$9,Sales!$F:$F,1)+SUMIFS(Sales!$M:$M,Sales!$E:$E,FALSE,Sales!$A:$A,"&lt;&gt;"&amp;"Endulini",Sales!$H:$H,"&lt;="&amp;Heron!AN$9,Sales!$H:$H,"&gt;"&amp;Heron!AM$9,Sales!$F:$F,1)+SUMIFS(Sales!$N:$N,Sales!$E:$E,FALSE,Sales!$A:$A,"&lt;&gt;"&amp;"Endulini",Sales!$H:$H,"&lt;="&amp;Heron!AN$9,Sales!$H:$H,"&gt;"&amp;Heron!AM$9,Sales!$F:$F,1)+SUMIFS(Sales!$P:$P,Sales!$E:$E,FALSE,Sales!$A:$A,"&lt;&gt;"&amp;"Endulini",Sales!$H:$H,"&lt;="&amp;Heron!AN$9,Sales!$H:$H,"&gt;"&amp;Heron!AM$9,Sales!$F:$F,1)</f>
        <v/>
      </c>
      <c r="AO54" s="117">
        <f>SUMIFS(Xero!$F:$F,Xero!$B:$B,Heron!AO$9,Xero!$A:$A,Heron!$A$4,Xero!$E:$E,Heron!$A54)+SUMIFS(Xero!$F:$F,Xero!$B:$B,Heron!AO$9,Xero!$A:$A,Heron!$A$5,Xero!$E:$E,Heron!$A54)+SUMIFS(Sales!$L:$L,Sales!$E:$E,FALSE,Sales!$A:$A,"&lt;&gt;"&amp;"Endulini",Sales!$H:$H,"&lt;="&amp;Heron!AO$9,Sales!$H:$H,"&gt;"&amp;Heron!AN$9,Sales!$F:$F,1)+SUMIFS(Sales!$M:$M,Sales!$E:$E,FALSE,Sales!$A:$A,"&lt;&gt;"&amp;"Endulini",Sales!$H:$H,"&lt;="&amp;Heron!AO$9,Sales!$H:$H,"&gt;"&amp;Heron!AN$9,Sales!$F:$F,1)+SUMIFS(Sales!$N:$N,Sales!$E:$E,FALSE,Sales!$A:$A,"&lt;&gt;"&amp;"Endulini",Sales!$H:$H,"&lt;="&amp;Heron!AO$9,Sales!$H:$H,"&gt;"&amp;Heron!AN$9,Sales!$F:$F,1)+SUMIFS(Sales!$P:$P,Sales!$E:$E,FALSE,Sales!$A:$A,"&lt;&gt;"&amp;"Endulini",Sales!$H:$H,"&lt;="&amp;Heron!AO$9,Sales!$H:$H,"&gt;"&amp;Heron!AN$9,Sales!$F:$F,1)</f>
        <v/>
      </c>
      <c r="AP54" s="117">
        <f>SUMIFS(Xero!$F:$F,Xero!$B:$B,Heron!AP$9,Xero!$A:$A,Heron!$A$4,Xero!$E:$E,Heron!$A54)+SUMIFS(Xero!$F:$F,Xero!$B:$B,Heron!AP$9,Xero!$A:$A,Heron!$A$5,Xero!$E:$E,Heron!$A54)+SUMIFS(Sales!$L:$L,Sales!$E:$E,FALSE,Sales!$A:$A,"&lt;&gt;"&amp;"Endulini",Sales!$H:$H,"&lt;="&amp;Heron!AP$9,Sales!$H:$H,"&gt;"&amp;Heron!AO$9,Sales!$F:$F,1)+SUMIFS(Sales!$M:$M,Sales!$E:$E,FALSE,Sales!$A:$A,"&lt;&gt;"&amp;"Endulini",Sales!$H:$H,"&lt;="&amp;Heron!AP$9,Sales!$H:$H,"&gt;"&amp;Heron!AO$9,Sales!$F:$F,1)+SUMIFS(Sales!$N:$N,Sales!$E:$E,FALSE,Sales!$A:$A,"&lt;&gt;"&amp;"Endulini",Sales!$H:$H,"&lt;="&amp;Heron!AP$9,Sales!$H:$H,"&gt;"&amp;Heron!AO$9,Sales!$F:$F,1)+SUMIFS(Sales!$P:$P,Sales!$E:$E,FALSE,Sales!$A:$A,"&lt;&gt;"&amp;"Endulini",Sales!$H:$H,"&lt;="&amp;Heron!AP$9,Sales!$H:$H,"&gt;"&amp;Heron!AO$9,Sales!$F:$F,1)</f>
        <v/>
      </c>
      <c r="AQ54" s="117">
        <f>SUMIFS(Xero!$F:$F,Xero!$B:$B,Heron!AQ$9,Xero!$A:$A,Heron!$A$4,Xero!$E:$E,Heron!$A54)+SUMIFS(Xero!$F:$F,Xero!$B:$B,Heron!AQ$9,Xero!$A:$A,Heron!$A$5,Xero!$E:$E,Heron!$A54)+SUMIFS(Sales!$L:$L,Sales!$E:$E,FALSE,Sales!$A:$A,"&lt;&gt;"&amp;"Endulini",Sales!$H:$H,"&lt;="&amp;Heron!AQ$9,Sales!$H:$H,"&gt;"&amp;Heron!AP$9,Sales!$F:$F,1)+SUMIFS(Sales!$M:$M,Sales!$E:$E,FALSE,Sales!$A:$A,"&lt;&gt;"&amp;"Endulini",Sales!$H:$H,"&lt;="&amp;Heron!AQ$9,Sales!$H:$H,"&gt;"&amp;Heron!AP$9,Sales!$F:$F,1)+SUMIFS(Sales!$N:$N,Sales!$E:$E,FALSE,Sales!$A:$A,"&lt;&gt;"&amp;"Endulini",Sales!$H:$H,"&lt;="&amp;Heron!AQ$9,Sales!$H:$H,"&gt;"&amp;Heron!AP$9,Sales!$F:$F,1)+SUMIFS(Sales!$P:$P,Sales!$E:$E,FALSE,Sales!$A:$A,"&lt;&gt;"&amp;"Endulini",Sales!$H:$H,"&lt;="&amp;Heron!AQ$9,Sales!$H:$H,"&gt;"&amp;Heron!AP$9,Sales!$F:$F,1)</f>
        <v/>
      </c>
      <c r="AR54" s="117">
        <f>SUMIFS(Xero!$F:$F,Xero!$B:$B,Heron!AR$9,Xero!$A:$A,Heron!$A$4,Xero!$E:$E,Heron!$A54)+SUMIFS(Xero!$F:$F,Xero!$B:$B,Heron!AR$9,Xero!$A:$A,Heron!$A$5,Xero!$E:$E,Heron!$A54)+SUMIFS(Sales!$L:$L,Sales!$E:$E,FALSE,Sales!$A:$A,"&lt;&gt;"&amp;"Endulini",Sales!$H:$H,"&lt;="&amp;Heron!AR$9,Sales!$H:$H,"&gt;"&amp;Heron!AQ$9,Sales!$F:$F,1)+SUMIFS(Sales!$M:$M,Sales!$E:$E,FALSE,Sales!$A:$A,"&lt;&gt;"&amp;"Endulini",Sales!$H:$H,"&lt;="&amp;Heron!AR$9,Sales!$H:$H,"&gt;"&amp;Heron!AQ$9,Sales!$F:$F,1)+SUMIFS(Sales!$N:$N,Sales!$E:$E,FALSE,Sales!$A:$A,"&lt;&gt;"&amp;"Endulini",Sales!$H:$H,"&lt;="&amp;Heron!AR$9,Sales!$H:$H,"&gt;"&amp;Heron!AQ$9,Sales!$F:$F,1)+SUMIFS(Sales!$P:$P,Sales!$E:$E,FALSE,Sales!$A:$A,"&lt;&gt;"&amp;"Endulini",Sales!$H:$H,"&lt;="&amp;Heron!AR$9,Sales!$H:$H,"&gt;"&amp;Heron!AQ$9,Sales!$F:$F,1)</f>
        <v/>
      </c>
      <c r="AS54" s="117">
        <f>SUMIFS(Xero!$F:$F,Xero!$B:$B,Heron!AS$9,Xero!$A:$A,Heron!$A$4,Xero!$E:$E,Heron!$A54)+SUMIFS(Xero!$F:$F,Xero!$B:$B,Heron!AS$9,Xero!$A:$A,Heron!$A$5,Xero!$E:$E,Heron!$A54)+SUMIFS(Sales!$L:$L,Sales!$E:$E,FALSE,Sales!$A:$A,"&lt;&gt;"&amp;"Endulini",Sales!$H:$H,"&lt;="&amp;Heron!AS$9,Sales!$H:$H,"&gt;"&amp;Heron!AR$9,Sales!$F:$F,1)+SUMIFS(Sales!$M:$M,Sales!$E:$E,FALSE,Sales!$A:$A,"&lt;&gt;"&amp;"Endulini",Sales!$H:$H,"&lt;="&amp;Heron!AS$9,Sales!$H:$H,"&gt;"&amp;Heron!AR$9,Sales!$F:$F,1)+SUMIFS(Sales!$N:$N,Sales!$E:$E,FALSE,Sales!$A:$A,"&lt;&gt;"&amp;"Endulini",Sales!$H:$H,"&lt;="&amp;Heron!AS$9,Sales!$H:$H,"&gt;"&amp;Heron!AR$9,Sales!$F:$F,1)+SUMIFS(Sales!$P:$P,Sales!$E:$E,FALSE,Sales!$A:$A,"&lt;&gt;"&amp;"Endulini",Sales!$H:$H,"&lt;="&amp;Heron!AS$9,Sales!$H:$H,"&gt;"&amp;Heron!AR$9,Sales!$F:$F,1)</f>
        <v/>
      </c>
      <c r="AT54" s="117">
        <f>SUMIFS(Xero!$F:$F,Xero!$B:$B,Heron!AT$9,Xero!$A:$A,Heron!$A$4,Xero!$E:$E,Heron!$A54)+SUMIFS(Xero!$F:$F,Xero!$B:$B,Heron!AT$9,Xero!$A:$A,Heron!$A$5,Xero!$E:$E,Heron!$A54)+SUMIFS(Sales!$L:$L,Sales!$E:$E,FALSE,Sales!$A:$A,"&lt;&gt;"&amp;"Endulini",Sales!$H:$H,"&lt;="&amp;Heron!AT$9,Sales!$H:$H,"&gt;"&amp;Heron!AS$9,Sales!$F:$F,1)+SUMIFS(Sales!$M:$M,Sales!$E:$E,FALSE,Sales!$A:$A,"&lt;&gt;"&amp;"Endulini",Sales!$H:$H,"&lt;="&amp;Heron!AT$9,Sales!$H:$H,"&gt;"&amp;Heron!AS$9,Sales!$F:$F,1)+SUMIFS(Sales!$N:$N,Sales!$E:$E,FALSE,Sales!$A:$A,"&lt;&gt;"&amp;"Endulini",Sales!$H:$H,"&lt;="&amp;Heron!AT$9,Sales!$H:$H,"&gt;"&amp;Heron!AS$9,Sales!$F:$F,1)+SUMIFS(Sales!$P:$P,Sales!$E:$E,FALSE,Sales!$A:$A,"&lt;&gt;"&amp;"Endulini",Sales!$H:$H,"&lt;="&amp;Heron!AT$9,Sales!$H:$H,"&gt;"&amp;Heron!AS$9,Sales!$F:$F,1)</f>
        <v/>
      </c>
      <c r="AU54" s="117">
        <f>SUMIFS(Xero!$F:$F,Xero!$B:$B,Heron!AU$9,Xero!$A:$A,Heron!$A$4,Xero!$E:$E,Heron!$A54)+SUMIFS(Xero!$F:$F,Xero!$B:$B,Heron!AU$9,Xero!$A:$A,Heron!$A$5,Xero!$E:$E,Heron!$A54)+SUMIFS(Sales!$L:$L,Sales!$E:$E,FALSE,Sales!$A:$A,"&lt;&gt;"&amp;"Endulini",Sales!$H:$H,"&lt;="&amp;Heron!AU$9,Sales!$H:$H,"&gt;"&amp;Heron!AT$9,Sales!$F:$F,1)+SUMIFS(Sales!$M:$M,Sales!$E:$E,FALSE,Sales!$A:$A,"&lt;&gt;"&amp;"Endulini",Sales!$H:$H,"&lt;="&amp;Heron!AU$9,Sales!$H:$H,"&gt;"&amp;Heron!AT$9,Sales!$F:$F,1)+SUMIFS(Sales!$N:$N,Sales!$E:$E,FALSE,Sales!$A:$A,"&lt;&gt;"&amp;"Endulini",Sales!$H:$H,"&lt;="&amp;Heron!AU$9,Sales!$H:$H,"&gt;"&amp;Heron!AT$9,Sales!$F:$F,1)+SUMIFS(Sales!$P:$P,Sales!$E:$E,FALSE,Sales!$A:$A,"&lt;&gt;"&amp;"Endulini",Sales!$H:$H,"&lt;="&amp;Heron!AU$9,Sales!$H:$H,"&gt;"&amp;Heron!AT$9,Sales!$F:$F,1)</f>
        <v/>
      </c>
      <c r="AV54" s="117">
        <f>SUMIFS(Xero!$F:$F,Xero!$B:$B,Heron!AV$9,Xero!$A:$A,Heron!$A$4,Xero!$E:$E,Heron!$A54)+SUMIFS(Xero!$F:$F,Xero!$B:$B,Heron!AV$9,Xero!$A:$A,Heron!$A$5,Xero!$E:$E,Heron!$A54)+SUMIFS(Sales!$L:$L,Sales!$E:$E,FALSE,Sales!$A:$A,"&lt;&gt;"&amp;"Endulini",Sales!$H:$H,"&lt;="&amp;Heron!AV$9,Sales!$H:$H,"&gt;"&amp;Heron!AU$9,Sales!$F:$F,1)+SUMIFS(Sales!$M:$M,Sales!$E:$E,FALSE,Sales!$A:$A,"&lt;&gt;"&amp;"Endulini",Sales!$H:$H,"&lt;="&amp;Heron!AV$9,Sales!$H:$H,"&gt;"&amp;Heron!AU$9,Sales!$F:$F,1)+SUMIFS(Sales!$N:$N,Sales!$E:$E,FALSE,Sales!$A:$A,"&lt;&gt;"&amp;"Endulini",Sales!$H:$H,"&lt;="&amp;Heron!AV$9,Sales!$H:$H,"&gt;"&amp;Heron!AU$9,Sales!$F:$F,1)+SUMIFS(Sales!$P:$P,Sales!$E:$E,FALSE,Sales!$A:$A,"&lt;&gt;"&amp;"Endulini",Sales!$H:$H,"&lt;="&amp;Heron!AV$9,Sales!$H:$H,"&gt;"&amp;Heron!AU$9,Sales!$F:$F,1)</f>
        <v/>
      </c>
      <c r="AW54" s="117">
        <f>SUMIFS(Xero!$F:$F,Xero!$B:$B,Heron!AW$9,Xero!$A:$A,Heron!$A$4,Xero!$E:$E,Heron!$A54)+SUMIFS(Xero!$F:$F,Xero!$B:$B,Heron!AW$9,Xero!$A:$A,Heron!$A$5,Xero!$E:$E,Heron!$A54)+SUMIFS(Sales!$L:$L,Sales!$E:$E,FALSE,Sales!$A:$A,"&lt;&gt;"&amp;"Endulini",Sales!$H:$H,"&lt;="&amp;Heron!AW$9,Sales!$H:$H,"&gt;"&amp;Heron!AV$9,Sales!$F:$F,1)+SUMIFS(Sales!$M:$M,Sales!$E:$E,FALSE,Sales!$A:$A,"&lt;&gt;"&amp;"Endulini",Sales!$H:$H,"&lt;="&amp;Heron!AW$9,Sales!$H:$H,"&gt;"&amp;Heron!AV$9,Sales!$F:$F,1)+SUMIFS(Sales!$N:$N,Sales!$E:$E,FALSE,Sales!$A:$A,"&lt;&gt;"&amp;"Endulini",Sales!$H:$H,"&lt;="&amp;Heron!AW$9,Sales!$H:$H,"&gt;"&amp;Heron!AV$9,Sales!$F:$F,1)+SUMIFS(Sales!$P:$P,Sales!$E:$E,FALSE,Sales!$A:$A,"&lt;&gt;"&amp;"Endulini",Sales!$H:$H,"&lt;="&amp;Heron!AW$9,Sales!$H:$H,"&gt;"&amp;Heron!AV$9,Sales!$F:$F,1)</f>
        <v/>
      </c>
      <c r="AX54" s="117">
        <f>SUMIFS(Xero!$F:$F,Xero!$B:$B,Heron!AX$9,Xero!$A:$A,Heron!$A$4,Xero!$E:$E,Heron!$A54)+SUMIFS(Xero!$F:$F,Xero!$B:$B,Heron!AX$9,Xero!$A:$A,Heron!$A$5,Xero!$E:$E,Heron!$A54)+SUMIFS(Sales!$L:$L,Sales!$E:$E,FALSE,Sales!$A:$A,"&lt;&gt;"&amp;"Endulini",Sales!$H:$H,"&lt;="&amp;Heron!AX$9,Sales!$H:$H,"&gt;"&amp;Heron!AW$9,Sales!$F:$F,1)+SUMIFS(Sales!$M:$M,Sales!$E:$E,FALSE,Sales!$A:$A,"&lt;&gt;"&amp;"Endulini",Sales!$H:$H,"&lt;="&amp;Heron!AX$9,Sales!$H:$H,"&gt;"&amp;Heron!AW$9,Sales!$F:$F,1)+SUMIFS(Sales!$N:$N,Sales!$E:$E,FALSE,Sales!$A:$A,"&lt;&gt;"&amp;"Endulini",Sales!$H:$H,"&lt;="&amp;Heron!AX$9,Sales!$H:$H,"&gt;"&amp;Heron!AW$9,Sales!$F:$F,1)+SUMIFS(Sales!$P:$P,Sales!$E:$E,FALSE,Sales!$A:$A,"&lt;&gt;"&amp;"Endulini",Sales!$H:$H,"&lt;="&amp;Heron!AX$9,Sales!$H:$H,"&gt;"&amp;Heron!AW$9,Sales!$F:$F,1)</f>
        <v/>
      </c>
      <c r="AY54" s="117">
        <f>SUMIFS(Xero!$F:$F,Xero!$B:$B,Heron!AY$9,Xero!$A:$A,Heron!$A$4,Xero!$E:$E,Heron!$A54)+SUMIFS(Xero!$F:$F,Xero!$B:$B,Heron!AY$9,Xero!$A:$A,Heron!$A$5,Xero!$E:$E,Heron!$A54)+SUMIFS(Sales!$L:$L,Sales!$E:$E,FALSE,Sales!$A:$A,"&lt;&gt;"&amp;"Endulini",Sales!$H:$H,"&lt;="&amp;Heron!AY$9,Sales!$H:$H,"&gt;"&amp;Heron!AX$9,Sales!$F:$F,1)+SUMIFS(Sales!$M:$M,Sales!$E:$E,FALSE,Sales!$A:$A,"&lt;&gt;"&amp;"Endulini",Sales!$H:$H,"&lt;="&amp;Heron!AY$9,Sales!$H:$H,"&gt;"&amp;Heron!AX$9,Sales!$F:$F,1)+SUMIFS(Sales!$N:$N,Sales!$E:$E,FALSE,Sales!$A:$A,"&lt;&gt;"&amp;"Endulini",Sales!$H:$H,"&lt;="&amp;Heron!AY$9,Sales!$H:$H,"&gt;"&amp;Heron!AX$9,Sales!$F:$F,1)+SUMIFS(Sales!$P:$P,Sales!$E:$E,FALSE,Sales!$A:$A,"&lt;&gt;"&amp;"Endulini",Sales!$H:$H,"&lt;="&amp;Heron!AY$9,Sales!$H:$H,"&gt;"&amp;Heron!AX$9,Sales!$F:$F,1)</f>
        <v/>
      </c>
      <c r="AZ54" s="117">
        <f>SUMIFS(Xero!$F:$F,Xero!$B:$B,Heron!AZ$9,Xero!$A:$A,Heron!$A$4,Xero!$E:$E,Heron!$A54)+SUMIFS(Xero!$F:$F,Xero!$B:$B,Heron!AZ$9,Xero!$A:$A,Heron!$A$5,Xero!$E:$E,Heron!$A54)+SUMIFS(Sales!$L:$L,Sales!$E:$E,FALSE,Sales!$A:$A,"&lt;&gt;"&amp;"Endulini",Sales!$H:$H,"&lt;="&amp;Heron!AZ$9,Sales!$H:$H,"&gt;"&amp;Heron!AY$9,Sales!$F:$F,1)+SUMIFS(Sales!$M:$M,Sales!$E:$E,FALSE,Sales!$A:$A,"&lt;&gt;"&amp;"Endulini",Sales!$H:$H,"&lt;="&amp;Heron!AZ$9,Sales!$H:$H,"&gt;"&amp;Heron!AY$9,Sales!$F:$F,1)+SUMIFS(Sales!$N:$N,Sales!$E:$E,FALSE,Sales!$A:$A,"&lt;&gt;"&amp;"Endulini",Sales!$H:$H,"&lt;="&amp;Heron!AZ$9,Sales!$H:$H,"&gt;"&amp;Heron!AY$9,Sales!$F:$F,1)+SUMIFS(Sales!$P:$P,Sales!$E:$E,FALSE,Sales!$A:$A,"&lt;&gt;"&amp;"Endulini",Sales!$H:$H,"&lt;="&amp;Heron!AZ$9,Sales!$H:$H,"&gt;"&amp;Heron!AY$9,Sales!$F:$F,1)</f>
        <v/>
      </c>
      <c r="BA54" s="117">
        <f>SUMIFS(Xero!$F:$F,Xero!$B:$B,Heron!BA$9,Xero!$A:$A,Heron!$A$4,Xero!$E:$E,Heron!$A54)+SUMIFS(Xero!$F:$F,Xero!$B:$B,Heron!BA$9,Xero!$A:$A,Heron!$A$5,Xero!$E:$E,Heron!$A54)+SUMIFS(Sales!$L:$L,Sales!$E:$E,FALSE,Sales!$A:$A,"&lt;&gt;"&amp;"Endulini",Sales!$H:$H,"&lt;="&amp;Heron!BA$9,Sales!$H:$H,"&gt;"&amp;Heron!AZ$9,Sales!$F:$F,1)+SUMIFS(Sales!$M:$M,Sales!$E:$E,FALSE,Sales!$A:$A,"&lt;&gt;"&amp;"Endulini",Sales!$H:$H,"&lt;="&amp;Heron!BA$9,Sales!$H:$H,"&gt;"&amp;Heron!AZ$9,Sales!$F:$F,1)+SUMIFS(Sales!$N:$N,Sales!$E:$E,FALSE,Sales!$A:$A,"&lt;&gt;"&amp;"Endulini",Sales!$H:$H,"&lt;="&amp;Heron!BA$9,Sales!$H:$H,"&gt;"&amp;Heron!AZ$9,Sales!$F:$F,1)+SUMIFS(Sales!$P:$P,Sales!$E:$E,FALSE,Sales!$A:$A,"&lt;&gt;"&amp;"Endulini",Sales!$H:$H,"&lt;="&amp;Heron!BA$9,Sales!$H:$H,"&gt;"&amp;Heron!AZ$9,Sales!$F:$F,1)</f>
        <v/>
      </c>
      <c r="BB54" s="117">
        <f>SUMIFS(Xero!$F:$F,Xero!$B:$B,Heron!BB$9,Xero!$A:$A,Heron!$A$4,Xero!$E:$E,Heron!$A54)+SUMIFS(Xero!$F:$F,Xero!$B:$B,Heron!BB$9,Xero!$A:$A,Heron!$A$5,Xero!$E:$E,Heron!$A54)+SUMIFS(Sales!$L:$L,Sales!$E:$E,FALSE,Sales!$A:$A,"&lt;&gt;"&amp;"Endulini",Sales!$H:$H,"&lt;="&amp;Heron!BB$9,Sales!$H:$H,"&gt;"&amp;Heron!BA$9,Sales!$F:$F,1)+SUMIFS(Sales!$M:$M,Sales!$E:$E,FALSE,Sales!$A:$A,"&lt;&gt;"&amp;"Endulini",Sales!$H:$H,"&lt;="&amp;Heron!BB$9,Sales!$H:$H,"&gt;"&amp;Heron!BA$9,Sales!$F:$F,1)+SUMIFS(Sales!$N:$N,Sales!$E:$E,FALSE,Sales!$A:$A,"&lt;&gt;"&amp;"Endulini",Sales!$H:$H,"&lt;="&amp;Heron!BB$9,Sales!$H:$H,"&gt;"&amp;Heron!BA$9,Sales!$F:$F,1)+SUMIFS(Sales!$P:$P,Sales!$E:$E,FALSE,Sales!$A:$A,"&lt;&gt;"&amp;"Endulini",Sales!$H:$H,"&lt;="&amp;Heron!BB$9,Sales!$H:$H,"&gt;"&amp;Heron!BA$9,Sales!$F:$F,1)</f>
        <v/>
      </c>
      <c r="BC54" s="117">
        <f>SUMIFS(Xero!$F:$F,Xero!$B:$B,Heron!BC$9,Xero!$A:$A,Heron!$A$4,Xero!$E:$E,Heron!$A54)+SUMIFS(Xero!$F:$F,Xero!$B:$B,Heron!BC$9,Xero!$A:$A,Heron!$A$5,Xero!$E:$E,Heron!$A54)+SUMIFS(Sales!$L:$L,Sales!$E:$E,FALSE,Sales!$A:$A,"&lt;&gt;"&amp;"Endulini",Sales!$H:$H,"&lt;="&amp;Heron!BC$9,Sales!$H:$H,"&gt;"&amp;Heron!BB$9,Sales!$F:$F,1)+SUMIFS(Sales!$M:$M,Sales!$E:$E,FALSE,Sales!$A:$A,"&lt;&gt;"&amp;"Endulini",Sales!$H:$H,"&lt;="&amp;Heron!BC$9,Sales!$H:$H,"&gt;"&amp;Heron!BB$9,Sales!$F:$F,1)+SUMIFS(Sales!$N:$N,Sales!$E:$E,FALSE,Sales!$A:$A,"&lt;&gt;"&amp;"Endulini",Sales!$H:$H,"&lt;="&amp;Heron!BC$9,Sales!$H:$H,"&gt;"&amp;Heron!BB$9,Sales!$F:$F,1)+SUMIFS(Sales!$P:$P,Sales!$E:$E,FALSE,Sales!$A:$A,"&lt;&gt;"&amp;"Endulini",Sales!$H:$H,"&lt;="&amp;Heron!BC$9,Sales!$H:$H,"&gt;"&amp;Heron!BB$9,Sales!$F:$F,1)</f>
        <v/>
      </c>
      <c r="BD54" s="117">
        <f>SUMIFS(Xero!$F:$F,Xero!$B:$B,Heron!BD$9,Xero!$A:$A,Heron!$A$4,Xero!$E:$E,Heron!$A54)+SUMIFS(Xero!$F:$F,Xero!$B:$B,Heron!BD$9,Xero!$A:$A,Heron!$A$5,Xero!$E:$E,Heron!$A54)+SUMIFS(Sales!$L:$L,Sales!$E:$E,FALSE,Sales!$A:$A,"&lt;&gt;"&amp;"Endulini",Sales!$H:$H,"&lt;="&amp;Heron!BD$9,Sales!$H:$H,"&gt;"&amp;Heron!BC$9,Sales!$F:$F,1)+SUMIFS(Sales!$M:$M,Sales!$E:$E,FALSE,Sales!$A:$A,"&lt;&gt;"&amp;"Endulini",Sales!$H:$H,"&lt;="&amp;Heron!BD$9,Sales!$H:$H,"&gt;"&amp;Heron!BC$9,Sales!$F:$F,1)+SUMIFS(Sales!$N:$N,Sales!$E:$E,FALSE,Sales!$A:$A,"&lt;&gt;"&amp;"Endulini",Sales!$H:$H,"&lt;="&amp;Heron!BD$9,Sales!$H:$H,"&gt;"&amp;Heron!BC$9,Sales!$F:$F,1)+SUMIFS(Sales!$P:$P,Sales!$E:$E,FALSE,Sales!$A:$A,"&lt;&gt;"&amp;"Endulini",Sales!$H:$H,"&lt;="&amp;Heron!BD$9,Sales!$H:$H,"&gt;"&amp;Heron!BC$9,Sales!$F:$F,1)</f>
        <v/>
      </c>
      <c r="BE54" s="117">
        <f>SUMIFS(Xero!$F:$F,Xero!$B:$B,Heron!BE$9,Xero!$A:$A,Heron!$A$4,Xero!$E:$E,Heron!$A54)+SUMIFS(Xero!$F:$F,Xero!$B:$B,Heron!BE$9,Xero!$A:$A,Heron!$A$5,Xero!$E:$E,Heron!$A54)+SUMIFS(Sales!$L:$L,Sales!$E:$E,FALSE,Sales!$A:$A,"&lt;&gt;"&amp;"Endulini",Sales!$H:$H,"&lt;="&amp;Heron!BE$9,Sales!$H:$H,"&gt;"&amp;Heron!BD$9,Sales!$F:$F,1)+SUMIFS(Sales!$M:$M,Sales!$E:$E,FALSE,Sales!$A:$A,"&lt;&gt;"&amp;"Endulini",Sales!$H:$H,"&lt;="&amp;Heron!BE$9,Sales!$H:$H,"&gt;"&amp;Heron!BD$9,Sales!$F:$F,1)+SUMIFS(Sales!$N:$N,Sales!$E:$E,FALSE,Sales!$A:$A,"&lt;&gt;"&amp;"Endulini",Sales!$H:$H,"&lt;="&amp;Heron!BE$9,Sales!$H:$H,"&gt;"&amp;Heron!BD$9,Sales!$F:$F,1)+SUMIFS(Sales!$P:$P,Sales!$E:$E,FALSE,Sales!$A:$A,"&lt;&gt;"&amp;"Endulini",Sales!$H:$H,"&lt;="&amp;Heron!BE$9,Sales!$H:$H,"&gt;"&amp;Heron!BD$9,Sales!$F:$F,1)</f>
        <v/>
      </c>
      <c r="BF54" s="117">
        <f>SUMIFS(Xero!$F:$F,Xero!$B:$B,Heron!BF$9,Xero!$A:$A,Heron!$A$4,Xero!$E:$E,Heron!$A54)+SUMIFS(Xero!$F:$F,Xero!$B:$B,Heron!BF$9,Xero!$A:$A,Heron!$A$5,Xero!$E:$E,Heron!$A54)+SUMIFS(Sales!$L:$L,Sales!$E:$E,FALSE,Sales!$A:$A,"&lt;&gt;"&amp;"Endulini",Sales!$H:$H,"&lt;="&amp;Heron!BF$9,Sales!$H:$H,"&gt;"&amp;Heron!BE$9,Sales!$F:$F,1)+SUMIFS(Sales!$M:$M,Sales!$E:$E,FALSE,Sales!$A:$A,"&lt;&gt;"&amp;"Endulini",Sales!$H:$H,"&lt;="&amp;Heron!BF$9,Sales!$H:$H,"&gt;"&amp;Heron!BE$9,Sales!$F:$F,1)+SUMIFS(Sales!$N:$N,Sales!$E:$E,FALSE,Sales!$A:$A,"&lt;&gt;"&amp;"Endulini",Sales!$H:$H,"&lt;="&amp;Heron!BF$9,Sales!$H:$H,"&gt;"&amp;Heron!BE$9,Sales!$F:$F,1)+SUMIFS(Sales!$P:$P,Sales!$E:$E,FALSE,Sales!$A:$A,"&lt;&gt;"&amp;"Endulini",Sales!$H:$H,"&lt;="&amp;Heron!BF$9,Sales!$H:$H,"&gt;"&amp;Heron!BE$9,Sales!$F:$F,1)</f>
        <v/>
      </c>
      <c r="BG54" s="117">
        <f>SUMIFS(Xero!$F:$F,Xero!$B:$B,Heron!BG$9,Xero!$A:$A,Heron!$A$4,Xero!$E:$E,Heron!$A54)+SUMIFS(Xero!$F:$F,Xero!$B:$B,Heron!BG$9,Xero!$A:$A,Heron!$A$5,Xero!$E:$E,Heron!$A54)+SUMIFS(Sales!$L:$L,Sales!$E:$E,FALSE,Sales!$A:$A,"&lt;&gt;"&amp;"Endulini",Sales!$H:$H,"&lt;="&amp;Heron!BG$9,Sales!$H:$H,"&gt;"&amp;Heron!BF$9,Sales!$F:$F,1)+SUMIFS(Sales!$M:$M,Sales!$E:$E,FALSE,Sales!$A:$A,"&lt;&gt;"&amp;"Endulini",Sales!$H:$H,"&lt;="&amp;Heron!BG$9,Sales!$H:$H,"&gt;"&amp;Heron!BF$9,Sales!$F:$F,1)+SUMIFS(Sales!$N:$N,Sales!$E:$E,FALSE,Sales!$A:$A,"&lt;&gt;"&amp;"Endulini",Sales!$H:$H,"&lt;="&amp;Heron!BG$9,Sales!$H:$H,"&gt;"&amp;Heron!BF$9,Sales!$F:$F,1)+SUMIFS(Sales!$P:$P,Sales!$E:$E,FALSE,Sales!$A:$A,"&lt;&gt;"&amp;"Endulini",Sales!$H:$H,"&lt;="&amp;Heron!BG$9,Sales!$H:$H,"&gt;"&amp;Heron!BF$9,Sales!$F:$F,1)</f>
        <v/>
      </c>
      <c r="BH54" s="117">
        <f>SUMIFS(Xero!$F:$F,Xero!$B:$B,Heron!BH$9,Xero!$A:$A,Heron!$A$4,Xero!$E:$E,Heron!$A54)+SUMIFS(Xero!$F:$F,Xero!$B:$B,Heron!BH$9,Xero!$A:$A,Heron!$A$5,Xero!$E:$E,Heron!$A54)+SUMIFS(Sales!$L:$L,Sales!$E:$E,FALSE,Sales!$A:$A,"&lt;&gt;"&amp;"Endulini",Sales!$H:$H,"&lt;="&amp;Heron!BH$9,Sales!$H:$H,"&gt;"&amp;Heron!BG$9,Sales!$F:$F,1)+SUMIFS(Sales!$M:$M,Sales!$E:$E,FALSE,Sales!$A:$A,"&lt;&gt;"&amp;"Endulini",Sales!$H:$H,"&lt;="&amp;Heron!BH$9,Sales!$H:$H,"&gt;"&amp;Heron!BG$9,Sales!$F:$F,1)+SUMIFS(Sales!$N:$N,Sales!$E:$E,FALSE,Sales!$A:$A,"&lt;&gt;"&amp;"Endulini",Sales!$H:$H,"&lt;="&amp;Heron!BH$9,Sales!$H:$H,"&gt;"&amp;Heron!BG$9,Sales!$F:$F,1)+SUMIFS(Sales!$P:$P,Sales!$E:$E,FALSE,Sales!$A:$A,"&lt;&gt;"&amp;"Endulini",Sales!$H:$H,"&lt;="&amp;Heron!BH$9,Sales!$H:$H,"&gt;"&amp;Heron!BG$9,Sales!$F:$F,1)</f>
        <v/>
      </c>
      <c r="BI54" s="117">
        <f>SUMIFS(Xero!$F:$F,Xero!$B:$B,Heron!BI$9,Xero!$A:$A,Heron!$A$4,Xero!$E:$E,Heron!$A54)+SUMIFS(Xero!$F:$F,Xero!$B:$B,Heron!BI$9,Xero!$A:$A,Heron!$A$5,Xero!$E:$E,Heron!$A54)+SUMIFS(Sales!$L:$L,Sales!$E:$E,FALSE,Sales!$A:$A,"&lt;&gt;"&amp;"Endulini",Sales!$H:$H,"&lt;="&amp;Heron!BI$9,Sales!$H:$H,"&gt;"&amp;Heron!BH$9,Sales!$F:$F,1)+SUMIFS(Sales!$M:$M,Sales!$E:$E,FALSE,Sales!$A:$A,"&lt;&gt;"&amp;"Endulini",Sales!$H:$H,"&lt;="&amp;Heron!BI$9,Sales!$H:$H,"&gt;"&amp;Heron!BH$9,Sales!$F:$F,1)+SUMIFS(Sales!$N:$N,Sales!$E:$E,FALSE,Sales!$A:$A,"&lt;&gt;"&amp;"Endulini",Sales!$H:$H,"&lt;="&amp;Heron!BI$9,Sales!$H:$H,"&gt;"&amp;Heron!BH$9,Sales!$F:$F,1)+SUMIFS(Sales!$P:$P,Sales!$E:$E,FALSE,Sales!$A:$A,"&lt;&gt;"&amp;"Endulini",Sales!$H:$H,"&lt;="&amp;Heron!BI$9,Sales!$H:$H,"&gt;"&amp;Heron!BH$9,Sales!$F:$F,1)</f>
        <v/>
      </c>
      <c r="BJ54" s="117">
        <f>SUMIFS(Xero!$F:$F,Xero!$B:$B,Heron!BJ$9,Xero!$A:$A,Heron!$A$4,Xero!$E:$E,Heron!$A54)+SUMIFS(Xero!$F:$F,Xero!$B:$B,Heron!BJ$9,Xero!$A:$A,Heron!$A$5,Xero!$E:$E,Heron!$A54)+SUMIFS(Sales!$L:$L,Sales!$E:$E,FALSE,Sales!$A:$A,"&lt;&gt;"&amp;"Endulini",Sales!$H:$H,"&lt;="&amp;Heron!BJ$9,Sales!$H:$H,"&gt;"&amp;Heron!BI$9,Sales!$F:$F,1)+SUMIFS(Sales!$M:$M,Sales!$E:$E,FALSE,Sales!$A:$A,"&lt;&gt;"&amp;"Endulini",Sales!$H:$H,"&lt;="&amp;Heron!BJ$9,Sales!$H:$H,"&gt;"&amp;Heron!BI$9,Sales!$F:$F,1)+SUMIFS(Sales!$N:$N,Sales!$E:$E,FALSE,Sales!$A:$A,"&lt;&gt;"&amp;"Endulini",Sales!$H:$H,"&lt;="&amp;Heron!BJ$9,Sales!$H:$H,"&gt;"&amp;Heron!BI$9,Sales!$F:$F,1)+SUMIFS(Sales!$P:$P,Sales!$E:$E,FALSE,Sales!$A:$A,"&lt;&gt;"&amp;"Endulini",Sales!$H:$H,"&lt;="&amp;Heron!BJ$9,Sales!$H:$H,"&gt;"&amp;Heron!BI$9,Sales!$F:$F,1)</f>
        <v/>
      </c>
      <c r="BK54" s="117">
        <f>sum(D54:BJ54)</f>
        <v/>
      </c>
    </row>
    <row r="55">
      <c r="A55" s="116" t="inlineStr">
        <is>
          <t>COS - Legal Fees Opening of Sec Title Fees</t>
        </is>
      </c>
      <c r="D55" s="117">
        <f>SUMIFS(Xero!$F:$F,Xero!$B:$B,Heron!D$9,Xero!$A:$A,Heron!$A$4,Xero!$E:$E,Heron!$A55)+SUMIFS(Xero!$F:$F,Xero!$B:$B,Heron!D$9,Xero!$A:$A,Heron!$A$5,Xero!$E:$E,Heron!$A55)</f>
        <v/>
      </c>
      <c r="E55" s="117">
        <f>SUMIFS(Xero!$F:$F,Xero!$B:$B,Heron!E$9,Xero!$A:$A,Heron!$A$4,Xero!$E:$E,Heron!$A55)+SUMIFS(Xero!$F:$F,Xero!$B:$B,Heron!E$9,Xero!$A:$A,Heron!$A$5,Xero!$E:$E,Heron!$A55)</f>
        <v/>
      </c>
      <c r="F55" s="117">
        <f>SUMIFS(Xero!$F:$F,Xero!$B:$B,Heron!F$9,Xero!$A:$A,Heron!$A$4,Xero!$E:$E,Heron!$A55)+SUMIFS(Xero!$F:$F,Xero!$B:$B,Heron!F$9,Xero!$A:$A,Heron!$A$5,Xero!$E:$E,Heron!$A55)</f>
        <v/>
      </c>
      <c r="G55" s="117">
        <f>SUMIFS(Xero!$F:$F,Xero!$B:$B,Heron!G$9,Xero!$A:$A,Heron!$A$4,Xero!$E:$E,Heron!$A55)+SUMIFS(Xero!$F:$F,Xero!$B:$B,Heron!G$9,Xero!$A:$A,Heron!$A$5,Xero!$E:$E,Heron!$A55)</f>
        <v/>
      </c>
      <c r="H55" s="117">
        <f>SUMIFS(Xero!$F:$F,Xero!$B:$B,Heron!H$9,Xero!$A:$A,Heron!$A$4,Xero!$E:$E,Heron!$A55)+SUMIFS(Xero!$F:$F,Xero!$B:$B,Heron!H$9,Xero!$A:$A,Heron!$A$5,Xero!$E:$E,Heron!$A55)</f>
        <v/>
      </c>
      <c r="I55" s="117">
        <f>SUMIFS(Xero!$F:$F,Xero!$B:$B,Heron!I$9,Xero!$A:$A,Heron!$A$4,Xero!$E:$E,Heron!$A55)+SUMIFS(Xero!$F:$F,Xero!$B:$B,Heron!I$9,Xero!$A:$A,Heron!$A$5,Xero!$E:$E,Heron!$A55)</f>
        <v/>
      </c>
      <c r="J55" s="117">
        <f>SUMIFS(Xero!$F:$F,Xero!$B:$B,Heron!J$9,Xero!$A:$A,Heron!$A$4,Xero!$E:$E,Heron!$A55)+SUMIFS(Xero!$F:$F,Xero!$B:$B,Heron!J$9,Xero!$A:$A,Heron!$A$5,Xero!$E:$E,Heron!$A55)</f>
        <v/>
      </c>
      <c r="K55" s="117">
        <f>SUMIFS(Xero!$F:$F,Xero!$B:$B,Heron!K$9,Xero!$A:$A,Heron!$A$4,Xero!$E:$E,Heron!$A55)+SUMIFS(Xero!$F:$F,Xero!$B:$B,Heron!K$9,Xero!$A:$A,Heron!$A$5,Xero!$E:$E,Heron!$A55)</f>
        <v/>
      </c>
      <c r="L55" s="117">
        <f>SUMIFS(Xero!$F:$F,Xero!$B:$B,Heron!L$9,Xero!$A:$A,Heron!$A$4,Xero!$E:$E,Heron!$A55)+SUMIFS(Xero!$F:$F,Xero!$B:$B,Heron!L$9,Xero!$A:$A,Heron!$A$5,Xero!$E:$E,Heron!$A55)</f>
        <v/>
      </c>
      <c r="M55" s="117">
        <f>SUMIFS(Xero!$F:$F,Xero!$B:$B,Heron!M$9,Xero!$A:$A,Heron!$A$4,Xero!$E:$E,Heron!$A55)+SUMIFS(Xero!$F:$F,Xero!$B:$B,Heron!M$9,Xero!$A:$A,Heron!$A$5,Xero!$E:$E,Heron!$A55)</f>
        <v/>
      </c>
      <c r="N55" s="117">
        <f>SUMIFS(Xero!$F:$F,Xero!$B:$B,Heron!N$9,Xero!$A:$A,Heron!$A$4,Xero!$E:$E,Heron!$A55)+SUMIFS(Xero!$F:$F,Xero!$B:$B,Heron!N$9,Xero!$A:$A,Heron!$A$5,Xero!$E:$E,Heron!$A55)</f>
        <v/>
      </c>
      <c r="O55" s="117">
        <f>SUMIFS(Xero!$F:$F,Xero!$B:$B,Heron!O$9,Xero!$A:$A,Heron!$A$4,Xero!$E:$E,Heron!$A55)+SUMIFS(Xero!$F:$F,Xero!$B:$B,Heron!O$9,Xero!$A:$A,Heron!$A$5,Xero!$E:$E,Heron!$A55)</f>
        <v/>
      </c>
      <c r="P55" s="117">
        <f>SUMIFS(Xero!$F:$F,Xero!$B:$B,Heron!P$9,Xero!$A:$A,Heron!$A$4,Xero!$E:$E,Heron!$A55)+SUMIFS(Xero!$F:$F,Xero!$B:$B,Heron!P$9,Xero!$A:$A,Heron!$A$5,Xero!$E:$E,Heron!$A55)</f>
        <v/>
      </c>
      <c r="Q55" s="117">
        <f>SUMIFS(Xero!$F:$F,Xero!$B:$B,Heron!Q$9,Xero!$A:$A,Heron!$A$4,Xero!$E:$E,Heron!$A55)+SUMIFS(Xero!$F:$F,Xero!$B:$B,Heron!Q$9,Xero!$A:$A,Heron!$A$5,Xero!$E:$E,Heron!$A55)</f>
        <v/>
      </c>
      <c r="R55" s="117">
        <f>SUMIFS(Xero!$F:$F,Xero!$B:$B,Heron!R$9,Xero!$A:$A,Heron!$A$4,Xero!$E:$E,Heron!$A55)+SUMIFS(Xero!$F:$F,Xero!$B:$B,Heron!R$9,Xero!$A:$A,Heron!$A$5,Xero!$E:$E,Heron!$A55)</f>
        <v/>
      </c>
      <c r="S55" s="117">
        <f>SUMIFS(Xero!$F:$F,Xero!$B:$B,Heron!S$9,Xero!$A:$A,Heron!$A$4,Xero!$E:$E,Heron!$A55)+SUMIFS(Xero!$F:$F,Xero!$B:$B,Heron!S$9,Xero!$A:$A,Heron!$A$5,Xero!$E:$E,Heron!$A55)</f>
        <v/>
      </c>
      <c r="T55" s="117">
        <f>SUMIFS(Xero!$F:$F,Xero!$B:$B,Heron!T$9,Xero!$A:$A,Heron!$A$4,Xero!$E:$E,Heron!$A55)+SUMIFS(Xero!$F:$F,Xero!$B:$B,Heron!T$9,Xero!$A:$A,Heron!$A$5,Xero!$E:$E,Heron!$A55)</f>
        <v/>
      </c>
      <c r="U55" s="117">
        <f>SUMIFS(Xero!$F:$F,Xero!$B:$B,Heron!U$9,Xero!$A:$A,Heron!$A$4,Xero!$E:$E,Heron!$A55)+SUMIFS(Xero!$F:$F,Xero!$B:$B,Heron!U$9,Xero!$A:$A,Heron!$A$5,Xero!$E:$E,Heron!$A55)</f>
        <v/>
      </c>
      <c r="V55" s="117">
        <f>SUMIFS(Xero!$F:$F,Xero!$B:$B,Heron!V$9,Xero!$A:$A,Heron!$A$4,Xero!$E:$E,Heron!$A55)+SUMIFS(Xero!$F:$F,Xero!$B:$B,Heron!V$9,Xero!$A:$A,Heron!$A$5,Xero!$E:$E,Heron!$A55)</f>
        <v/>
      </c>
      <c r="W55" s="117">
        <f>SUMIFS(Xero!$F:$F,Xero!$B:$B,Heron!W$9,Xero!$A:$A,Heron!$A$4,Xero!$E:$E,Heron!$A55)+SUMIFS(Xero!$F:$F,Xero!$B:$B,Heron!W$9,Xero!$A:$A,Heron!$A$5,Xero!$E:$E,Heron!$A55)</f>
        <v/>
      </c>
      <c r="X55" s="117">
        <f>SUMIFS(Xero!$F:$F,Xero!$B:$B,Heron!X$9,Xero!$A:$A,Heron!$A$4,Xero!$E:$E,Heron!$A55)+SUMIFS(Xero!$F:$F,Xero!$B:$B,Heron!X$9,Xero!$A:$A,Heron!$A$5,Xero!$E:$E,Heron!$A55)</f>
        <v/>
      </c>
      <c r="Y55" s="117">
        <f>SUMIFS(Xero!$F:$F,Xero!$B:$B,Heron!Y$9,Xero!$A:$A,Heron!$A$4,Xero!$E:$E,Heron!$A55)+SUMIFS(Xero!$F:$F,Xero!$B:$B,Heron!Y$9,Xero!$A:$A,Heron!$A$5,Xero!$E:$E,Heron!$A55)</f>
        <v/>
      </c>
      <c r="Z55" s="117">
        <f>SUMIFS(Xero!$F:$F,Xero!$B:$B,Heron!Z$9,Xero!$A:$A,Heron!$A$4,Xero!$E:$E,Heron!$A55)+SUMIFS(Xero!$F:$F,Xero!$B:$B,Heron!Z$9,Xero!$A:$A,Heron!$A$5,Xero!$E:$E,Heron!$A55)</f>
        <v/>
      </c>
      <c r="AA55" s="117">
        <f>SUMIFS(Xero!$F:$F,Xero!$B:$B,Heron!AA$9,Xero!$A:$A,Heron!$A$4,Xero!$E:$E,Heron!$A55)+SUMIFS(Xero!$F:$F,Xero!$B:$B,Heron!AA$9,Xero!$A:$A,Heron!$A$5,Xero!$E:$E,Heron!$A55)</f>
        <v/>
      </c>
      <c r="AB55" s="117">
        <f>SUMIFS(Xero!$F:$F,Xero!$B:$B,Heron!AB$9,Xero!$A:$A,Heron!$A$4,Xero!$E:$E,Heron!$A55)+SUMIFS(Xero!$F:$F,Xero!$B:$B,Heron!AB$9,Xero!$A:$A,Heron!$A$5,Xero!$E:$E,Heron!$A55)</f>
        <v/>
      </c>
      <c r="AC55" s="117">
        <f>SUMIFS(Xero!$F:$F,Xero!$B:$B,Heron!AC$9,Xero!$A:$A,Heron!$A$4,Xero!$E:$E,Heron!$A55)+SUMIFS(Xero!$F:$F,Xero!$B:$B,Heron!AC$9,Xero!$A:$A,Heron!$A$5,Xero!$E:$E,Heron!$A55)</f>
        <v/>
      </c>
      <c r="AD55" s="117">
        <f>SUMIFS(Xero!$F:$F,Xero!$B:$B,Heron!AD$9,Xero!$A:$A,Heron!$A$4,Xero!$E:$E,Heron!$A55)+SUMIFS(Xero!$F:$F,Xero!$B:$B,Heron!AD$9,Xero!$A:$A,Heron!$A$5,Xero!$E:$E,Heron!$A55)</f>
        <v/>
      </c>
      <c r="AE55" s="117">
        <f>SUMIFS(Xero!$F:$F,Xero!$B:$B,Heron!AE$9,Xero!$A:$A,Heron!$A$4,Xero!$E:$E,Heron!$A55)+SUMIFS(Xero!$F:$F,Xero!$B:$B,Heron!AE$9,Xero!$A:$A,Heron!$A$5,Xero!$E:$E,Heron!$A55)</f>
        <v/>
      </c>
      <c r="AF55" s="117">
        <f>SUMIFS(Xero!$F:$F,Xero!$B:$B,Heron!AF$9,Xero!$A:$A,Heron!$A$4,Xero!$E:$E,Heron!$A55)+SUMIFS(Xero!$F:$F,Xero!$B:$B,Heron!AF$9,Xero!$A:$A,Heron!$A$5,Xero!$E:$E,Heron!$A55)</f>
        <v/>
      </c>
      <c r="AG55" s="117">
        <f>SUMIFS(Xero!$F:$F,Xero!$B:$B,Heron!AG$9,Xero!$A:$A,Heron!$A$4,Xero!$E:$E,Heron!$A55)+SUMIFS(Xero!$F:$F,Xero!$B:$B,Heron!AG$9,Xero!$A:$A,Heron!$A$5,Xero!$E:$E,Heron!$A55)</f>
        <v/>
      </c>
      <c r="AH55" s="117">
        <f>SUMIFS(Xero!$F:$F,Xero!$B:$B,Heron!AH$9,Xero!$A:$A,Heron!$A$4,Xero!$E:$E,Heron!$A55)+SUMIFS(Xero!$F:$F,Xero!$B:$B,Heron!AH$9,Xero!$A:$A,Heron!$A$5,Xero!$E:$E,Heron!$A55)</f>
        <v/>
      </c>
      <c r="AI55" s="117">
        <f>SUMIFS(Xero!$F:$F,Xero!$B:$B,Heron!AI$9,Xero!$A:$A,Heron!$A$4,Xero!$E:$E,Heron!$A55)+SUMIFS(Xero!$F:$F,Xero!$B:$B,Heron!AI$9,Xero!$A:$A,Heron!$A$5,Xero!$E:$E,Heron!$A55)</f>
        <v/>
      </c>
      <c r="AJ55" s="117">
        <f>SUMIFS(Xero!$F:$F,Xero!$B:$B,Heron!AJ$9,Xero!$A:$A,Heron!$A$4,Xero!$E:$E,Heron!$A55)+SUMIFS(Xero!$F:$F,Xero!$B:$B,Heron!AJ$9,Xero!$A:$A,Heron!$A$5,Xero!$E:$E,Heron!$A55)</f>
        <v/>
      </c>
      <c r="AK55" s="117">
        <f>SUMIFS(Xero!$F:$F,Xero!$B:$B,Heron!AK$9,Xero!$A:$A,Heron!$A$4,Xero!$E:$E,Heron!$A55)+SUMIFS(Xero!$F:$F,Xero!$B:$B,Heron!AK$9,Xero!$A:$A,Heron!$A$5,Xero!$E:$E,Heron!$A55)</f>
        <v/>
      </c>
      <c r="AL55" s="117">
        <f>SUMIFS(Xero!$F:$F,Xero!$B:$B,Heron!AL$9,Xero!$A:$A,Heron!$A$4,Xero!$E:$E,Heron!$A55)+SUMIFS(Xero!$F:$F,Xero!$B:$B,Heron!AL$9,Xero!$A:$A,Heron!$A$5,Xero!$E:$E,Heron!$A55)</f>
        <v/>
      </c>
      <c r="AM55" s="117">
        <f>SUMIFS(Xero!$F:$F,Xero!$B:$B,Heron!AM$9,Xero!$A:$A,Heron!$A$4,Xero!$E:$E,Heron!$A55)+SUMIFS(Xero!$F:$F,Xero!$B:$B,Heron!AM$9,Xero!$A:$A,Heron!$A$5,Xero!$E:$E,Heron!$A55)</f>
        <v/>
      </c>
      <c r="AN55" s="117">
        <f>SUMIFS(Xero!$F:$F,Xero!$B:$B,Heron!AN$9,Xero!$A:$A,Heron!$A$4,Xero!$E:$E,Heron!$A55)+SUMIFS(Xero!$F:$F,Xero!$B:$B,Heron!AN$9,Xero!$A:$A,Heron!$A$5,Xero!$E:$E,Heron!$A55)</f>
        <v/>
      </c>
      <c r="AO55" s="117">
        <f>SUMIFS(Xero!$F:$F,Xero!$B:$B,Heron!AO$9,Xero!$A:$A,Heron!$A$4,Xero!$E:$E,Heron!$A55)+SUMIFS(Xero!$F:$F,Xero!$B:$B,Heron!AO$9,Xero!$A:$A,Heron!$A$5,Xero!$E:$E,Heron!$A55)</f>
        <v/>
      </c>
      <c r="AP55" s="117">
        <f>SUMIFS(Xero!$F:$F,Xero!$B:$B,Heron!AP$9,Xero!$A:$A,Heron!$A$4,Xero!$E:$E,Heron!$A55)+SUMIFS(Xero!$F:$F,Xero!$B:$B,Heron!AP$9,Xero!$A:$A,Heron!$A$5,Xero!$E:$E,Heron!$A55)</f>
        <v/>
      </c>
      <c r="AQ55" s="117">
        <f>SUMIFS(Xero!$F:$F,Xero!$B:$B,Heron!AQ$9,Xero!$A:$A,Heron!$A$4,Xero!$E:$E,Heron!$A55)+SUMIFS(Xero!$F:$F,Xero!$B:$B,Heron!AQ$9,Xero!$A:$A,Heron!$A$5,Xero!$E:$E,Heron!$A55)</f>
        <v/>
      </c>
      <c r="AR55" s="117">
        <f>SUMIFS(Xero!$F:$F,Xero!$B:$B,Heron!AR$9,Xero!$A:$A,Heron!$A$4,Xero!$E:$E,Heron!$A55)+SUMIFS(Xero!$F:$F,Xero!$B:$B,Heron!AR$9,Xero!$A:$A,Heron!$A$5,Xero!$E:$E,Heron!$A55)</f>
        <v/>
      </c>
      <c r="AS55" s="117">
        <f>SUMIFS(Xero!$F:$F,Xero!$B:$B,Heron!AS$9,Xero!$A:$A,Heron!$A$4,Xero!$E:$E,Heron!$A55)+SUMIFS(Xero!$F:$F,Xero!$B:$B,Heron!AS$9,Xero!$A:$A,Heron!$A$5,Xero!$E:$E,Heron!$A55)</f>
        <v/>
      </c>
      <c r="AT55" s="117">
        <f>SUMIFS(Xero!$F:$F,Xero!$B:$B,Heron!AT$9,Xero!$A:$A,Heron!$A$4,Xero!$E:$E,Heron!$A55)+SUMIFS(Xero!$F:$F,Xero!$B:$B,Heron!AT$9,Xero!$A:$A,Heron!$A$5,Xero!$E:$E,Heron!$A55)</f>
        <v/>
      </c>
      <c r="AU55" s="117">
        <f>SUMIFS(Xero!$F:$F,Xero!$B:$B,Heron!AU$9,Xero!$A:$A,Heron!$A$4,Xero!$E:$E,Heron!$A55)+SUMIFS(Xero!$F:$F,Xero!$B:$B,Heron!AU$9,Xero!$A:$A,Heron!$A$5,Xero!$E:$E,Heron!$A55)</f>
        <v/>
      </c>
      <c r="AV55" s="117">
        <f>SUMIFS(Xero!$F:$F,Xero!$B:$B,Heron!AV$9,Xero!$A:$A,Heron!$A$4,Xero!$E:$E,Heron!$A55)+SUMIFS(Xero!$F:$F,Xero!$B:$B,Heron!AV$9,Xero!$A:$A,Heron!$A$5,Xero!$E:$E,Heron!$A55)</f>
        <v/>
      </c>
      <c r="AW55" s="117">
        <f>SUMIFS(Xero!$F:$F,Xero!$B:$B,Heron!AW$9,Xero!$A:$A,Heron!$A$4,Xero!$E:$E,Heron!$A55)+SUMIFS(Xero!$F:$F,Xero!$B:$B,Heron!AW$9,Xero!$A:$A,Heron!$A$5,Xero!$E:$E,Heron!$A55)</f>
        <v/>
      </c>
      <c r="AX55" s="117">
        <f>SUMIFS(Xero!$F:$F,Xero!$B:$B,Heron!AX$9,Xero!$A:$A,Heron!$A$4,Xero!$E:$E,Heron!$A55)+SUMIFS(Xero!$F:$F,Xero!$B:$B,Heron!AX$9,Xero!$A:$A,Heron!$A$5,Xero!$E:$E,Heron!$A55)</f>
        <v/>
      </c>
      <c r="AY55" s="117">
        <f>SUMIFS(Xero!$F:$F,Xero!$B:$B,Heron!AY$9,Xero!$A:$A,Heron!$A$4,Xero!$E:$E,Heron!$A55)+SUMIFS(Xero!$F:$F,Xero!$B:$B,Heron!AY$9,Xero!$A:$A,Heron!$A$5,Xero!$E:$E,Heron!$A55)</f>
        <v/>
      </c>
      <c r="AZ55" s="117">
        <f>SUMIFS(Xero!$F:$F,Xero!$B:$B,Heron!AZ$9,Xero!$A:$A,Heron!$A$4,Xero!$E:$E,Heron!$A55)+SUMIFS(Xero!$F:$F,Xero!$B:$B,Heron!AZ$9,Xero!$A:$A,Heron!$A$5,Xero!$E:$E,Heron!$A55)</f>
        <v/>
      </c>
      <c r="BA55" s="117">
        <f>SUMIFS(Xero!$F:$F,Xero!$B:$B,Heron!BA$9,Xero!$A:$A,Heron!$A$4,Xero!$E:$E,Heron!$A55)+SUMIFS(Xero!$F:$F,Xero!$B:$B,Heron!BA$9,Xero!$A:$A,Heron!$A$5,Xero!$E:$E,Heron!$A55)</f>
        <v/>
      </c>
      <c r="BB55" s="117">
        <f>SUMIFS(Xero!$F:$F,Xero!$B:$B,Heron!BB$9,Xero!$A:$A,Heron!$A$4,Xero!$E:$E,Heron!$A55)+SUMIFS(Xero!$F:$F,Xero!$B:$B,Heron!BB$9,Xero!$A:$A,Heron!$A$5,Xero!$E:$E,Heron!$A55)</f>
        <v/>
      </c>
      <c r="BC55" s="117">
        <f>SUMIFS(Xero!$F:$F,Xero!$B:$B,Heron!BC$9,Xero!$A:$A,Heron!$A$4,Xero!$E:$E,Heron!$A55)+SUMIFS(Xero!$F:$F,Xero!$B:$B,Heron!BC$9,Xero!$A:$A,Heron!$A$5,Xero!$E:$E,Heron!$A55)</f>
        <v/>
      </c>
      <c r="BD55" s="117">
        <f>SUMIFS(Xero!$F:$F,Xero!$B:$B,Heron!BD$9,Xero!$A:$A,Heron!$A$4,Xero!$E:$E,Heron!$A55)+SUMIFS(Xero!$F:$F,Xero!$B:$B,Heron!BD$9,Xero!$A:$A,Heron!$A$5,Xero!$E:$E,Heron!$A55)</f>
        <v/>
      </c>
      <c r="BE55" s="117">
        <f>SUMIFS(Xero!$F:$F,Xero!$B:$B,Heron!BE$9,Xero!$A:$A,Heron!$A$4,Xero!$E:$E,Heron!$A55)+SUMIFS(Xero!$F:$F,Xero!$B:$B,Heron!BE$9,Xero!$A:$A,Heron!$A$5,Xero!$E:$E,Heron!$A55)</f>
        <v/>
      </c>
      <c r="BF55" s="117">
        <f>SUMIFS(Xero!$F:$F,Xero!$B:$B,Heron!BF$9,Xero!$A:$A,Heron!$A$4,Xero!$E:$E,Heron!$A55)+SUMIFS(Xero!$F:$F,Xero!$B:$B,Heron!BF$9,Xero!$A:$A,Heron!$A$5,Xero!$E:$E,Heron!$A55)</f>
        <v/>
      </c>
      <c r="BG55" s="117">
        <f>SUMIFS(Xero!$F:$F,Xero!$B:$B,Heron!BG$9,Xero!$A:$A,Heron!$A$4,Xero!$E:$E,Heron!$A55)+SUMIFS(Xero!$F:$F,Xero!$B:$B,Heron!BG$9,Xero!$A:$A,Heron!$A$5,Xero!$E:$E,Heron!$A55)</f>
        <v/>
      </c>
      <c r="BH55" s="117">
        <f>SUMIFS(Xero!$F:$F,Xero!$B:$B,Heron!BH$9,Xero!$A:$A,Heron!$A$4,Xero!$E:$E,Heron!$A55)+SUMIFS(Xero!$F:$F,Xero!$B:$B,Heron!BH$9,Xero!$A:$A,Heron!$A$5,Xero!$E:$E,Heron!$A55)</f>
        <v/>
      </c>
      <c r="BI55" s="117">
        <f>SUMIFS(Xero!$F:$F,Xero!$B:$B,Heron!BI$9,Xero!$A:$A,Heron!$A$4,Xero!$E:$E,Heron!$A55)+SUMIFS(Xero!$F:$F,Xero!$B:$B,Heron!BI$9,Xero!$A:$A,Heron!$A$5,Xero!$E:$E,Heron!$A55)</f>
        <v/>
      </c>
      <c r="BJ55" s="117">
        <f>SUMIFS(Xero!$F:$F,Xero!$B:$B,Heron!BJ$9,Xero!$A:$A,Heron!$A$4,Xero!$E:$E,Heron!$A55)+SUMIFS(Xero!$F:$F,Xero!$B:$B,Heron!BJ$9,Xero!$A:$A,Heron!$A$5,Xero!$E:$E,Heron!$A55)</f>
        <v/>
      </c>
      <c r="BK55" s="117">
        <f>sum(D55:BJ55)</f>
        <v/>
      </c>
    </row>
    <row r="56">
      <c r="A56" s="116" t="inlineStr">
        <is>
          <t>COS - Legal Fees Opening of Sec Title Scheme</t>
        </is>
      </c>
      <c r="D56" s="117">
        <f>SUMIFS(Xero!$F:$F,Xero!$B:$B,Heron!D$9,Xero!$A:$A,Heron!$A$4,Xero!$E:$E,Heron!$A56)+SUMIFS(Xero!$F:$F,Xero!$B:$B,Heron!D$9,Xero!$A:$A,Heron!$A$5,Xero!$E:$E,Heron!$A56)</f>
        <v/>
      </c>
      <c r="E56" s="117">
        <f>SUMIFS(Xero!$F:$F,Xero!$B:$B,Heron!E$9,Xero!$A:$A,Heron!$A$4,Xero!$E:$E,Heron!$A56)+SUMIFS(Xero!$F:$F,Xero!$B:$B,Heron!E$9,Xero!$A:$A,Heron!$A$5,Xero!$E:$E,Heron!$A56)</f>
        <v/>
      </c>
      <c r="F56" s="117">
        <f>SUMIFS(Xero!$F:$F,Xero!$B:$B,Heron!F$9,Xero!$A:$A,Heron!$A$4,Xero!$E:$E,Heron!$A56)+SUMIFS(Xero!$F:$F,Xero!$B:$B,Heron!F$9,Xero!$A:$A,Heron!$A$5,Xero!$E:$E,Heron!$A56)</f>
        <v/>
      </c>
      <c r="G56" s="117">
        <f>SUMIFS(Xero!$F:$F,Xero!$B:$B,Heron!G$9,Xero!$A:$A,Heron!$A$4,Xero!$E:$E,Heron!$A56)+SUMIFS(Xero!$F:$F,Xero!$B:$B,Heron!G$9,Xero!$A:$A,Heron!$A$5,Xero!$E:$E,Heron!$A56)</f>
        <v/>
      </c>
      <c r="H56" s="117">
        <f>SUMIFS(Xero!$F:$F,Xero!$B:$B,Heron!H$9,Xero!$A:$A,Heron!$A$4,Xero!$E:$E,Heron!$A56)+SUMIFS(Xero!$F:$F,Xero!$B:$B,Heron!H$9,Xero!$A:$A,Heron!$A$5,Xero!$E:$E,Heron!$A56)</f>
        <v/>
      </c>
      <c r="I56" s="117">
        <f>SUMIFS(Xero!$F:$F,Xero!$B:$B,Heron!I$9,Xero!$A:$A,Heron!$A$4,Xero!$E:$E,Heron!$A56)+SUMIFS(Xero!$F:$F,Xero!$B:$B,Heron!I$9,Xero!$A:$A,Heron!$A$5,Xero!$E:$E,Heron!$A56)</f>
        <v/>
      </c>
      <c r="J56" s="117">
        <f>SUMIFS(Xero!$F:$F,Xero!$B:$B,Heron!J$9,Xero!$A:$A,Heron!$A$4,Xero!$E:$E,Heron!$A56)+SUMIFS(Xero!$F:$F,Xero!$B:$B,Heron!J$9,Xero!$A:$A,Heron!$A$5,Xero!$E:$E,Heron!$A56)</f>
        <v/>
      </c>
      <c r="K56" s="117">
        <f>SUMIFS(Xero!$F:$F,Xero!$B:$B,Heron!K$9,Xero!$A:$A,Heron!$A$4,Xero!$E:$E,Heron!$A56)+SUMIFS(Xero!$F:$F,Xero!$B:$B,Heron!K$9,Xero!$A:$A,Heron!$A$5,Xero!$E:$E,Heron!$A56)</f>
        <v/>
      </c>
      <c r="L56" s="117">
        <f>SUMIFS(Xero!$F:$F,Xero!$B:$B,Heron!L$9,Xero!$A:$A,Heron!$A$4,Xero!$E:$E,Heron!$A56)+SUMIFS(Xero!$F:$F,Xero!$B:$B,Heron!L$9,Xero!$A:$A,Heron!$A$5,Xero!$E:$E,Heron!$A56)</f>
        <v/>
      </c>
      <c r="M56" s="117">
        <f>SUMIFS(Xero!$F:$F,Xero!$B:$B,Heron!M$9,Xero!$A:$A,Heron!$A$4,Xero!$E:$E,Heron!$A56)+SUMIFS(Xero!$F:$F,Xero!$B:$B,Heron!M$9,Xero!$A:$A,Heron!$A$5,Xero!$E:$E,Heron!$A56)</f>
        <v/>
      </c>
      <c r="N56" s="117">
        <f>SUMIFS(Xero!$F:$F,Xero!$B:$B,Heron!N$9,Xero!$A:$A,Heron!$A$4,Xero!$E:$E,Heron!$A56)+SUMIFS(Xero!$F:$F,Xero!$B:$B,Heron!N$9,Xero!$A:$A,Heron!$A$5,Xero!$E:$E,Heron!$A56)</f>
        <v/>
      </c>
      <c r="O56" s="117">
        <f>SUMIFS(Xero!$F:$F,Xero!$B:$B,Heron!O$9,Xero!$A:$A,Heron!$A$4,Xero!$E:$E,Heron!$A56)+SUMIFS(Xero!$F:$F,Xero!$B:$B,Heron!O$9,Xero!$A:$A,Heron!$A$5,Xero!$E:$E,Heron!$A56)</f>
        <v/>
      </c>
      <c r="P56" s="117">
        <f>SUMIFS(Xero!$F:$F,Xero!$B:$B,Heron!P$9,Xero!$A:$A,Heron!$A$4,Xero!$E:$E,Heron!$A56)+SUMIFS(Xero!$F:$F,Xero!$B:$B,Heron!P$9,Xero!$A:$A,Heron!$A$5,Xero!$E:$E,Heron!$A56)</f>
        <v/>
      </c>
      <c r="Q56" s="117">
        <f>SUMIFS(Xero!$F:$F,Xero!$B:$B,Heron!Q$9,Xero!$A:$A,Heron!$A$4,Xero!$E:$E,Heron!$A56)+SUMIFS(Xero!$F:$F,Xero!$B:$B,Heron!Q$9,Xero!$A:$A,Heron!$A$5,Xero!$E:$E,Heron!$A56)</f>
        <v/>
      </c>
      <c r="R56" s="117">
        <f>SUMIFS(Xero!$F:$F,Xero!$B:$B,Heron!R$9,Xero!$A:$A,Heron!$A$4,Xero!$E:$E,Heron!$A56)+SUMIFS(Xero!$F:$F,Xero!$B:$B,Heron!R$9,Xero!$A:$A,Heron!$A$5,Xero!$E:$E,Heron!$A56)</f>
        <v/>
      </c>
      <c r="S56" s="117">
        <f>SUMIFS(Xero!$F:$F,Xero!$B:$B,Heron!S$9,Xero!$A:$A,Heron!$A$4,Xero!$E:$E,Heron!$A56)+SUMIFS(Xero!$F:$F,Xero!$B:$B,Heron!S$9,Xero!$A:$A,Heron!$A$5,Xero!$E:$E,Heron!$A56)</f>
        <v/>
      </c>
      <c r="T56" s="117">
        <f>SUMIFS(Xero!$F:$F,Xero!$B:$B,Heron!T$9,Xero!$A:$A,Heron!$A$4,Xero!$E:$E,Heron!$A56)+SUMIFS(Xero!$F:$F,Xero!$B:$B,Heron!T$9,Xero!$A:$A,Heron!$A$5,Xero!$E:$E,Heron!$A56)</f>
        <v/>
      </c>
      <c r="U56" s="117">
        <f>SUMIFS(Xero!$F:$F,Xero!$B:$B,Heron!U$9,Xero!$A:$A,Heron!$A$4,Xero!$E:$E,Heron!$A56)+SUMIFS(Xero!$F:$F,Xero!$B:$B,Heron!U$9,Xero!$A:$A,Heron!$A$5,Xero!$E:$E,Heron!$A56)</f>
        <v/>
      </c>
      <c r="V56" s="117">
        <f>SUMIFS(Xero!$F:$F,Xero!$B:$B,Heron!V$9,Xero!$A:$A,Heron!$A$4,Xero!$E:$E,Heron!$A56)+SUMIFS(Xero!$F:$F,Xero!$B:$B,Heron!V$9,Xero!$A:$A,Heron!$A$5,Xero!$E:$E,Heron!$A56)</f>
        <v/>
      </c>
      <c r="W56" s="117">
        <f>SUMIFS(Xero!$F:$F,Xero!$B:$B,Heron!W$9,Xero!$A:$A,Heron!$A$4,Xero!$E:$E,Heron!$A56)+SUMIFS(Xero!$F:$F,Xero!$B:$B,Heron!W$9,Xero!$A:$A,Heron!$A$5,Xero!$E:$E,Heron!$A56)</f>
        <v/>
      </c>
      <c r="X56" s="117">
        <f>SUMIFS(Xero!$F:$F,Xero!$B:$B,Heron!X$9,Xero!$A:$A,Heron!$A$4,Xero!$E:$E,Heron!$A56)+SUMIFS(Xero!$F:$F,Xero!$B:$B,Heron!X$9,Xero!$A:$A,Heron!$A$5,Xero!$E:$E,Heron!$A56)</f>
        <v/>
      </c>
      <c r="Y56" s="117">
        <f>SUMIFS(Xero!$F:$F,Xero!$B:$B,Heron!Y$9,Xero!$A:$A,Heron!$A$4,Xero!$E:$E,Heron!$A56)+SUMIFS(Xero!$F:$F,Xero!$B:$B,Heron!Y$9,Xero!$A:$A,Heron!$A$5,Xero!$E:$E,Heron!$A56)</f>
        <v/>
      </c>
      <c r="Z56" s="117">
        <f>SUMIFS(Xero!$F:$F,Xero!$B:$B,Heron!Z$9,Xero!$A:$A,Heron!$A$4,Xero!$E:$E,Heron!$A56)+SUMIFS(Xero!$F:$F,Xero!$B:$B,Heron!Z$9,Xero!$A:$A,Heron!$A$5,Xero!$E:$E,Heron!$A56)</f>
        <v/>
      </c>
      <c r="AA56" s="117">
        <f>SUMIFS(Xero!$F:$F,Xero!$B:$B,Heron!AA$9,Xero!$A:$A,Heron!$A$4,Xero!$E:$E,Heron!$A56)+SUMIFS(Xero!$F:$F,Xero!$B:$B,Heron!AA$9,Xero!$A:$A,Heron!$A$5,Xero!$E:$E,Heron!$A56)</f>
        <v/>
      </c>
      <c r="AB56" s="117">
        <f>SUMIFS(Xero!$F:$F,Xero!$B:$B,Heron!AB$9,Xero!$A:$A,Heron!$A$4,Xero!$E:$E,Heron!$A56)+SUMIFS(Xero!$F:$F,Xero!$B:$B,Heron!AB$9,Xero!$A:$A,Heron!$A$5,Xero!$E:$E,Heron!$A56)</f>
        <v/>
      </c>
      <c r="AC56" s="117">
        <f>SUMIFS(Xero!$F:$F,Xero!$B:$B,Heron!AC$9,Xero!$A:$A,Heron!$A$4,Xero!$E:$E,Heron!$A56)+SUMIFS(Xero!$F:$F,Xero!$B:$B,Heron!AC$9,Xero!$A:$A,Heron!$A$5,Xero!$E:$E,Heron!$A56)</f>
        <v/>
      </c>
      <c r="AD56" s="117">
        <f>SUMIFS(Xero!$F:$F,Xero!$B:$B,Heron!AD$9,Xero!$A:$A,Heron!$A$4,Xero!$E:$E,Heron!$A56)+SUMIFS(Xero!$F:$F,Xero!$B:$B,Heron!AD$9,Xero!$A:$A,Heron!$A$5,Xero!$E:$E,Heron!$A56)</f>
        <v/>
      </c>
      <c r="AE56" s="117">
        <f>SUMIFS(Xero!$F:$F,Xero!$B:$B,Heron!AE$9,Xero!$A:$A,Heron!$A$4,Xero!$E:$E,Heron!$A56)+SUMIFS(Xero!$F:$F,Xero!$B:$B,Heron!AE$9,Xero!$A:$A,Heron!$A$5,Xero!$E:$E,Heron!$A56)</f>
        <v/>
      </c>
      <c r="AF56" s="117">
        <f>SUMIFS(Xero!$F:$F,Xero!$B:$B,Heron!AF$9,Xero!$A:$A,Heron!$A$4,Xero!$E:$E,Heron!$A56)+SUMIFS(Xero!$F:$F,Xero!$B:$B,Heron!AF$9,Xero!$A:$A,Heron!$A$5,Xero!$E:$E,Heron!$A56)</f>
        <v/>
      </c>
      <c r="AG56" s="117">
        <f>SUMIFS(Xero!$F:$F,Xero!$B:$B,Heron!AG$9,Xero!$A:$A,Heron!$A$4,Xero!$E:$E,Heron!$A56)+SUMIFS(Xero!$F:$F,Xero!$B:$B,Heron!AG$9,Xero!$A:$A,Heron!$A$5,Xero!$E:$E,Heron!$A56)</f>
        <v/>
      </c>
      <c r="AH56" s="117">
        <f>SUMIFS(Xero!$F:$F,Xero!$B:$B,Heron!AH$9,Xero!$A:$A,Heron!$A$4,Xero!$E:$E,Heron!$A56)+SUMIFS(Xero!$F:$F,Xero!$B:$B,Heron!AH$9,Xero!$A:$A,Heron!$A$5,Xero!$E:$E,Heron!$A56)</f>
        <v/>
      </c>
      <c r="AI56" s="117">
        <f>SUMIFS(Xero!$F:$F,Xero!$B:$B,Heron!AI$9,Xero!$A:$A,Heron!$A$4,Xero!$E:$E,Heron!$A56)+SUMIFS(Xero!$F:$F,Xero!$B:$B,Heron!AI$9,Xero!$A:$A,Heron!$A$5,Xero!$E:$E,Heron!$A56)</f>
        <v/>
      </c>
      <c r="AJ56" s="117">
        <f>SUMIFS(Xero!$F:$F,Xero!$B:$B,Heron!AJ$9,Xero!$A:$A,Heron!$A$4,Xero!$E:$E,Heron!$A56)+SUMIFS(Xero!$F:$F,Xero!$B:$B,Heron!AJ$9,Xero!$A:$A,Heron!$A$5,Xero!$E:$E,Heron!$A56)</f>
        <v/>
      </c>
      <c r="AK56" s="117">
        <f>SUMIFS(Xero!$F:$F,Xero!$B:$B,Heron!AK$9,Xero!$A:$A,Heron!$A$4,Xero!$E:$E,Heron!$A56)+SUMIFS(Xero!$F:$F,Xero!$B:$B,Heron!AK$9,Xero!$A:$A,Heron!$A$5,Xero!$E:$E,Heron!$A56)</f>
        <v/>
      </c>
      <c r="AL56" s="117">
        <f>SUMIFS(Xero!$F:$F,Xero!$B:$B,Heron!AL$9,Xero!$A:$A,Heron!$A$4,Xero!$E:$E,Heron!$A56)+SUMIFS(Xero!$F:$F,Xero!$B:$B,Heron!AL$9,Xero!$A:$A,Heron!$A$5,Xero!$E:$E,Heron!$A56)</f>
        <v/>
      </c>
      <c r="AM56" s="117">
        <f>SUMIFS(Xero!$F:$F,Xero!$B:$B,Heron!AM$9,Xero!$A:$A,Heron!$A$4,Xero!$E:$E,Heron!$A56)+SUMIFS(Xero!$F:$F,Xero!$B:$B,Heron!AM$9,Xero!$A:$A,Heron!$A$5,Xero!$E:$E,Heron!$A56)</f>
        <v/>
      </c>
      <c r="AN56" s="117">
        <f>SUMIFS(Xero!$F:$F,Xero!$B:$B,Heron!AN$9,Xero!$A:$A,Heron!$A$4,Xero!$E:$E,Heron!$A56)+SUMIFS(Xero!$F:$F,Xero!$B:$B,Heron!AN$9,Xero!$A:$A,Heron!$A$5,Xero!$E:$E,Heron!$A56)</f>
        <v/>
      </c>
      <c r="AO56" s="117">
        <f>SUMIFS(Xero!$F:$F,Xero!$B:$B,Heron!AO$9,Xero!$A:$A,Heron!$A$4,Xero!$E:$E,Heron!$A56)+SUMIFS(Xero!$F:$F,Xero!$B:$B,Heron!AO$9,Xero!$A:$A,Heron!$A$5,Xero!$E:$E,Heron!$A56)</f>
        <v/>
      </c>
      <c r="AP56" s="117">
        <f>SUMIFS(Xero!$F:$F,Xero!$B:$B,Heron!AP$9,Xero!$A:$A,Heron!$A$4,Xero!$E:$E,Heron!$A56)+SUMIFS(Xero!$F:$F,Xero!$B:$B,Heron!AP$9,Xero!$A:$A,Heron!$A$5,Xero!$E:$E,Heron!$A56)</f>
        <v/>
      </c>
      <c r="AQ56" s="117">
        <f>SUMIFS(Xero!$F:$F,Xero!$B:$B,Heron!AQ$9,Xero!$A:$A,Heron!$A$4,Xero!$E:$E,Heron!$A56)+SUMIFS(Xero!$F:$F,Xero!$B:$B,Heron!AQ$9,Xero!$A:$A,Heron!$A$5,Xero!$E:$E,Heron!$A56)</f>
        <v/>
      </c>
      <c r="AR56" s="117">
        <f>SUMIFS(Xero!$F:$F,Xero!$B:$B,Heron!AR$9,Xero!$A:$A,Heron!$A$4,Xero!$E:$E,Heron!$A56)+SUMIFS(Xero!$F:$F,Xero!$B:$B,Heron!AR$9,Xero!$A:$A,Heron!$A$5,Xero!$E:$E,Heron!$A56)</f>
        <v/>
      </c>
      <c r="AS56" s="117">
        <f>SUMIFS(Xero!$F:$F,Xero!$B:$B,Heron!AS$9,Xero!$A:$A,Heron!$A$4,Xero!$E:$E,Heron!$A56)+SUMIFS(Xero!$F:$F,Xero!$B:$B,Heron!AS$9,Xero!$A:$A,Heron!$A$5,Xero!$E:$E,Heron!$A56)</f>
        <v/>
      </c>
      <c r="AT56" s="117">
        <f>SUMIFS(Xero!$F:$F,Xero!$B:$B,Heron!AT$9,Xero!$A:$A,Heron!$A$4,Xero!$E:$E,Heron!$A56)+SUMIFS(Xero!$F:$F,Xero!$B:$B,Heron!AT$9,Xero!$A:$A,Heron!$A$5,Xero!$E:$E,Heron!$A56)</f>
        <v/>
      </c>
      <c r="AU56" s="117">
        <f>SUMIFS(Xero!$F:$F,Xero!$B:$B,Heron!AU$9,Xero!$A:$A,Heron!$A$4,Xero!$E:$E,Heron!$A56)+SUMIFS(Xero!$F:$F,Xero!$B:$B,Heron!AU$9,Xero!$A:$A,Heron!$A$5,Xero!$E:$E,Heron!$A56)</f>
        <v/>
      </c>
      <c r="AV56" s="117">
        <f>SUMIFS(Xero!$F:$F,Xero!$B:$B,Heron!AV$9,Xero!$A:$A,Heron!$A$4,Xero!$E:$E,Heron!$A56)+SUMIFS(Xero!$F:$F,Xero!$B:$B,Heron!AV$9,Xero!$A:$A,Heron!$A$5,Xero!$E:$E,Heron!$A56)</f>
        <v/>
      </c>
      <c r="AW56" s="117">
        <f>SUMIFS(Xero!$F:$F,Xero!$B:$B,Heron!AW$9,Xero!$A:$A,Heron!$A$4,Xero!$E:$E,Heron!$A56)+SUMIFS(Xero!$F:$F,Xero!$B:$B,Heron!AW$9,Xero!$A:$A,Heron!$A$5,Xero!$E:$E,Heron!$A56)</f>
        <v/>
      </c>
      <c r="AX56" s="117">
        <f>SUMIFS(Xero!$F:$F,Xero!$B:$B,Heron!AX$9,Xero!$A:$A,Heron!$A$4,Xero!$E:$E,Heron!$A56)+SUMIFS(Xero!$F:$F,Xero!$B:$B,Heron!AX$9,Xero!$A:$A,Heron!$A$5,Xero!$E:$E,Heron!$A56)</f>
        <v/>
      </c>
      <c r="AY56" s="117">
        <f>SUMIFS(Xero!$F:$F,Xero!$B:$B,Heron!AY$9,Xero!$A:$A,Heron!$A$4,Xero!$E:$E,Heron!$A56)+SUMIFS(Xero!$F:$F,Xero!$B:$B,Heron!AY$9,Xero!$A:$A,Heron!$A$5,Xero!$E:$E,Heron!$A56)</f>
        <v/>
      </c>
      <c r="AZ56" s="117">
        <f>SUMIFS(Xero!$F:$F,Xero!$B:$B,Heron!AZ$9,Xero!$A:$A,Heron!$A$4,Xero!$E:$E,Heron!$A56)+SUMIFS(Xero!$F:$F,Xero!$B:$B,Heron!AZ$9,Xero!$A:$A,Heron!$A$5,Xero!$E:$E,Heron!$A56)</f>
        <v/>
      </c>
      <c r="BA56" s="117">
        <f>SUMIFS(Xero!$F:$F,Xero!$B:$B,Heron!BA$9,Xero!$A:$A,Heron!$A$4,Xero!$E:$E,Heron!$A56)+SUMIFS(Xero!$F:$F,Xero!$B:$B,Heron!BA$9,Xero!$A:$A,Heron!$A$5,Xero!$E:$E,Heron!$A56)</f>
        <v/>
      </c>
      <c r="BB56" s="117">
        <f>SUMIFS(Xero!$F:$F,Xero!$B:$B,Heron!BB$9,Xero!$A:$A,Heron!$A$4,Xero!$E:$E,Heron!$A56)+SUMIFS(Xero!$F:$F,Xero!$B:$B,Heron!BB$9,Xero!$A:$A,Heron!$A$5,Xero!$E:$E,Heron!$A56)</f>
        <v/>
      </c>
      <c r="BC56" s="117">
        <f>SUMIFS(Xero!$F:$F,Xero!$B:$B,Heron!BC$9,Xero!$A:$A,Heron!$A$4,Xero!$E:$E,Heron!$A56)+SUMIFS(Xero!$F:$F,Xero!$B:$B,Heron!BC$9,Xero!$A:$A,Heron!$A$5,Xero!$E:$E,Heron!$A56)</f>
        <v/>
      </c>
      <c r="BD56" s="117">
        <f>SUMIFS(Xero!$F:$F,Xero!$B:$B,Heron!BD$9,Xero!$A:$A,Heron!$A$4,Xero!$E:$E,Heron!$A56)+SUMIFS(Xero!$F:$F,Xero!$B:$B,Heron!BD$9,Xero!$A:$A,Heron!$A$5,Xero!$E:$E,Heron!$A56)</f>
        <v/>
      </c>
      <c r="BE56" s="117">
        <f>SUMIFS(Xero!$F:$F,Xero!$B:$B,Heron!BE$9,Xero!$A:$A,Heron!$A$4,Xero!$E:$E,Heron!$A56)+SUMIFS(Xero!$F:$F,Xero!$B:$B,Heron!BE$9,Xero!$A:$A,Heron!$A$5,Xero!$E:$E,Heron!$A56)</f>
        <v/>
      </c>
      <c r="BF56" s="117">
        <f>SUMIFS(Xero!$F:$F,Xero!$B:$B,Heron!BF$9,Xero!$A:$A,Heron!$A$4,Xero!$E:$E,Heron!$A56)+SUMIFS(Xero!$F:$F,Xero!$B:$B,Heron!BF$9,Xero!$A:$A,Heron!$A$5,Xero!$E:$E,Heron!$A56)</f>
        <v/>
      </c>
      <c r="BG56" s="117">
        <f>SUMIFS(Xero!$F:$F,Xero!$B:$B,Heron!BG$9,Xero!$A:$A,Heron!$A$4,Xero!$E:$E,Heron!$A56)+SUMIFS(Xero!$F:$F,Xero!$B:$B,Heron!BG$9,Xero!$A:$A,Heron!$A$5,Xero!$E:$E,Heron!$A56)</f>
        <v/>
      </c>
      <c r="BH56" s="117">
        <f>SUMIFS(Xero!$F:$F,Xero!$B:$B,Heron!BH$9,Xero!$A:$A,Heron!$A$4,Xero!$E:$E,Heron!$A56)+SUMIFS(Xero!$F:$F,Xero!$B:$B,Heron!BH$9,Xero!$A:$A,Heron!$A$5,Xero!$E:$E,Heron!$A56)</f>
        <v/>
      </c>
      <c r="BI56" s="117">
        <f>SUMIFS(Xero!$F:$F,Xero!$B:$B,Heron!BI$9,Xero!$A:$A,Heron!$A$4,Xero!$E:$E,Heron!$A56)+SUMIFS(Xero!$F:$F,Xero!$B:$B,Heron!BI$9,Xero!$A:$A,Heron!$A$5,Xero!$E:$E,Heron!$A56)</f>
        <v/>
      </c>
      <c r="BJ56" s="117">
        <f>SUMIFS(Xero!$F:$F,Xero!$B:$B,Heron!BJ$9,Xero!$A:$A,Heron!$A$4,Xero!$E:$E,Heron!$A56)+SUMIFS(Xero!$F:$F,Xero!$B:$B,Heron!BJ$9,Xero!$A:$A,Heron!$A$5,Xero!$E:$E,Heron!$A56)</f>
        <v/>
      </c>
      <c r="BK56" s="117">
        <f>sum(D56:BJ56)</f>
        <v/>
      </c>
    </row>
    <row r="57">
      <c r="A57" s="116" t="inlineStr">
        <is>
          <t>COS - Levies</t>
        </is>
      </c>
      <c r="D57" s="117">
        <f>SUMIFS(Xero!$F:$F,Xero!$B:$B,Heron!D$9,Xero!$A:$A,Heron!$A$4,Xero!$E:$E,Heron!$A57)+SUMIFS(Xero!$F:$F,Xero!$B:$B,Heron!D$9,Xero!$A:$A,Heron!$A$5,Xero!$E:$E,Heron!$A57)</f>
        <v/>
      </c>
      <c r="E57" s="117">
        <f>SUMIFS(Xero!$F:$F,Xero!$B:$B,Heron!E$9,Xero!$A:$A,Heron!$A$4,Xero!$E:$E,Heron!$A57)+SUMIFS(Xero!$F:$F,Xero!$B:$B,Heron!E$9,Xero!$A:$A,Heron!$A$5,Xero!$E:$E,Heron!$A57)</f>
        <v/>
      </c>
      <c r="F57" s="117">
        <f>SUMIFS(Xero!$F:$F,Xero!$B:$B,Heron!F$9,Xero!$A:$A,Heron!$A$4,Xero!$E:$E,Heron!$A57)+SUMIFS(Xero!$F:$F,Xero!$B:$B,Heron!F$9,Xero!$A:$A,Heron!$A$5,Xero!$E:$E,Heron!$A57)</f>
        <v/>
      </c>
      <c r="G57" s="117">
        <f>SUMIFS(Xero!$F:$F,Xero!$B:$B,Heron!G$9,Xero!$A:$A,Heron!$A$4,Xero!$E:$E,Heron!$A57)+SUMIFS(Xero!$F:$F,Xero!$B:$B,Heron!G$9,Xero!$A:$A,Heron!$A$5,Xero!$E:$E,Heron!$A57)</f>
        <v/>
      </c>
      <c r="H57" s="117">
        <f>SUMIFS(Xero!$F:$F,Xero!$B:$B,Heron!H$9,Xero!$A:$A,Heron!$A$4,Xero!$E:$E,Heron!$A57)+SUMIFS(Xero!$F:$F,Xero!$B:$B,Heron!H$9,Xero!$A:$A,Heron!$A$5,Xero!$E:$E,Heron!$A57)</f>
        <v/>
      </c>
      <c r="I57" s="117">
        <f>SUMIFS(Xero!$F:$F,Xero!$B:$B,Heron!I$9,Xero!$A:$A,Heron!$A$4,Xero!$E:$E,Heron!$A57)+SUMIFS(Xero!$F:$F,Xero!$B:$B,Heron!I$9,Xero!$A:$A,Heron!$A$5,Xero!$E:$E,Heron!$A57)</f>
        <v/>
      </c>
      <c r="J57" s="117">
        <f>SUMIFS(Xero!$F:$F,Xero!$B:$B,Heron!J$9,Xero!$A:$A,Heron!$A$4,Xero!$E:$E,Heron!$A57)+SUMIFS(Xero!$F:$F,Xero!$B:$B,Heron!J$9,Xero!$A:$A,Heron!$A$5,Xero!$E:$E,Heron!$A57)</f>
        <v/>
      </c>
      <c r="K57" s="117">
        <f>SUMIFS(Xero!$F:$F,Xero!$B:$B,Heron!K$9,Xero!$A:$A,Heron!$A$4,Xero!$E:$E,Heron!$A57)+SUMIFS(Xero!$F:$F,Xero!$B:$B,Heron!K$9,Xero!$A:$A,Heron!$A$5,Xero!$E:$E,Heron!$A57)</f>
        <v/>
      </c>
      <c r="L57" s="117">
        <f>SUMIFS(Xero!$F:$F,Xero!$B:$B,Heron!L$9,Xero!$A:$A,Heron!$A$4,Xero!$E:$E,Heron!$A57)+SUMIFS(Xero!$F:$F,Xero!$B:$B,Heron!L$9,Xero!$A:$A,Heron!$A$5,Xero!$E:$E,Heron!$A57)</f>
        <v/>
      </c>
      <c r="M57" s="117">
        <f>SUMIFS(Xero!$F:$F,Xero!$B:$B,Heron!M$9,Xero!$A:$A,Heron!$A$4,Xero!$E:$E,Heron!$A57)+SUMIFS(Xero!$F:$F,Xero!$B:$B,Heron!M$9,Xero!$A:$A,Heron!$A$5,Xero!$E:$E,Heron!$A57)</f>
        <v/>
      </c>
      <c r="N57" s="117">
        <f>SUMIFS(Xero!$F:$F,Xero!$B:$B,Heron!N$9,Xero!$A:$A,Heron!$A$4,Xero!$E:$E,Heron!$A57)+SUMIFS(Xero!$F:$F,Xero!$B:$B,Heron!N$9,Xero!$A:$A,Heron!$A$5,Xero!$E:$E,Heron!$A57)</f>
        <v/>
      </c>
      <c r="O57" s="117">
        <f>SUMIFS(Xero!$F:$F,Xero!$B:$B,Heron!O$9,Xero!$A:$A,Heron!$A$4,Xero!$E:$E,Heron!$A57)+SUMIFS(Xero!$F:$F,Xero!$B:$B,Heron!O$9,Xero!$A:$A,Heron!$A$5,Xero!$E:$E,Heron!$A57)</f>
        <v/>
      </c>
      <c r="P57" s="117">
        <f>SUMIFS(Xero!$F:$F,Xero!$B:$B,Heron!P$9,Xero!$A:$A,Heron!$A$4,Xero!$E:$E,Heron!$A57)+SUMIFS(Xero!$F:$F,Xero!$B:$B,Heron!P$9,Xero!$A:$A,Heron!$A$5,Xero!$E:$E,Heron!$A57)</f>
        <v/>
      </c>
      <c r="Q57" s="117">
        <f>SUMIFS(Xero!$F:$F,Xero!$B:$B,Heron!Q$9,Xero!$A:$A,Heron!$A$4,Xero!$E:$E,Heron!$A57)+SUMIFS(Xero!$F:$F,Xero!$B:$B,Heron!Q$9,Xero!$A:$A,Heron!$A$5,Xero!$E:$E,Heron!$A57)</f>
        <v/>
      </c>
      <c r="R57" s="117">
        <f>SUMIFS(Xero!$F:$F,Xero!$B:$B,Heron!R$9,Xero!$A:$A,Heron!$A$4,Xero!$E:$E,Heron!$A57)+SUMIFS(Xero!$F:$F,Xero!$B:$B,Heron!R$9,Xero!$A:$A,Heron!$A$5,Xero!$E:$E,Heron!$A57)</f>
        <v/>
      </c>
      <c r="S57" s="117">
        <f>SUMIFS(Xero!$F:$F,Xero!$B:$B,Heron!S$9,Xero!$A:$A,Heron!$A$4,Xero!$E:$E,Heron!$A57)+SUMIFS(Xero!$F:$F,Xero!$B:$B,Heron!S$9,Xero!$A:$A,Heron!$A$5,Xero!$E:$E,Heron!$A57)</f>
        <v/>
      </c>
      <c r="T57" s="117">
        <f>SUMIFS(Xero!$F:$F,Xero!$B:$B,Heron!T$9,Xero!$A:$A,Heron!$A$4,Xero!$E:$E,Heron!$A57)+SUMIFS(Xero!$F:$F,Xero!$B:$B,Heron!T$9,Xero!$A:$A,Heron!$A$5,Xero!$E:$E,Heron!$A57)</f>
        <v/>
      </c>
      <c r="U57" s="117">
        <f>SUMIFS(Xero!$F:$F,Xero!$B:$B,Heron!U$9,Xero!$A:$A,Heron!$A$4,Xero!$E:$E,Heron!$A57)+SUMIFS(Xero!$F:$F,Xero!$B:$B,Heron!U$9,Xero!$A:$A,Heron!$A$5,Xero!$E:$E,Heron!$A57)</f>
        <v/>
      </c>
      <c r="V57" s="117">
        <f>SUMIFS(Xero!$F:$F,Xero!$B:$B,Heron!V$9,Xero!$A:$A,Heron!$A$4,Xero!$E:$E,Heron!$A57)+SUMIFS(Xero!$F:$F,Xero!$B:$B,Heron!V$9,Xero!$A:$A,Heron!$A$5,Xero!$E:$E,Heron!$A57)</f>
        <v/>
      </c>
      <c r="W57" s="117">
        <f>SUMIFS(Xero!$F:$F,Xero!$B:$B,Heron!W$9,Xero!$A:$A,Heron!$A$4,Xero!$E:$E,Heron!$A57)+SUMIFS(Xero!$F:$F,Xero!$B:$B,Heron!W$9,Xero!$A:$A,Heron!$A$5,Xero!$E:$E,Heron!$A57)</f>
        <v/>
      </c>
      <c r="X57" s="117">
        <f>SUMIFS(Xero!$F:$F,Xero!$B:$B,Heron!X$9,Xero!$A:$A,Heron!$A$4,Xero!$E:$E,Heron!$A57)+SUMIFS(Xero!$F:$F,Xero!$B:$B,Heron!X$9,Xero!$A:$A,Heron!$A$5,Xero!$E:$E,Heron!$A57)</f>
        <v/>
      </c>
      <c r="Y57" s="117">
        <f>SUMIFS(Xero!$F:$F,Xero!$B:$B,Heron!Y$9,Xero!$A:$A,Heron!$A$4,Xero!$E:$E,Heron!$A57)+SUMIFS(Xero!$F:$F,Xero!$B:$B,Heron!Y$9,Xero!$A:$A,Heron!$A$5,Xero!$E:$E,Heron!$A57)</f>
        <v/>
      </c>
      <c r="Z57" s="117">
        <f>SUMIFS(Xero!$F:$F,Xero!$B:$B,Heron!Z$9,Xero!$A:$A,Heron!$A$4,Xero!$E:$E,Heron!$A57)+SUMIFS(Xero!$F:$F,Xero!$B:$B,Heron!Z$9,Xero!$A:$A,Heron!$A$5,Xero!$E:$E,Heron!$A57)</f>
        <v/>
      </c>
      <c r="AA57" s="117">
        <f>SUMIFS(Xero!$F:$F,Xero!$B:$B,Heron!AA$9,Xero!$A:$A,Heron!$A$4,Xero!$E:$E,Heron!$A57)+SUMIFS(Xero!$F:$F,Xero!$B:$B,Heron!AA$9,Xero!$A:$A,Heron!$A$5,Xero!$E:$E,Heron!$A57)</f>
        <v/>
      </c>
      <c r="AB57" s="117">
        <f>SUMIFS(Xero!$F:$F,Xero!$B:$B,Heron!AB$9,Xero!$A:$A,Heron!$A$4,Xero!$E:$E,Heron!$A57)+SUMIFS(Xero!$F:$F,Xero!$B:$B,Heron!AB$9,Xero!$A:$A,Heron!$A$5,Xero!$E:$E,Heron!$A57)</f>
        <v/>
      </c>
      <c r="AC57" s="117">
        <f>SUMIFS(Xero!$F:$F,Xero!$B:$B,Heron!AC$9,Xero!$A:$A,Heron!$A$4,Xero!$E:$E,Heron!$A57)+SUMIFS(Xero!$F:$F,Xero!$B:$B,Heron!AC$9,Xero!$A:$A,Heron!$A$5,Xero!$E:$E,Heron!$A57)</f>
        <v/>
      </c>
      <c r="AD57" s="117">
        <f>SUMIFS(Xero!$F:$F,Xero!$B:$B,Heron!AD$9,Xero!$A:$A,Heron!$A$4,Xero!$E:$E,Heron!$A57)+SUMIFS(Xero!$F:$F,Xero!$B:$B,Heron!AD$9,Xero!$A:$A,Heron!$A$5,Xero!$E:$E,Heron!$A57)</f>
        <v/>
      </c>
      <c r="AE57" s="117">
        <f>SUMIFS(Xero!$F:$F,Xero!$B:$B,Heron!AE$9,Xero!$A:$A,Heron!$A$4,Xero!$E:$E,Heron!$A57)+SUMIFS(Xero!$F:$F,Xero!$B:$B,Heron!AE$9,Xero!$A:$A,Heron!$A$5,Xero!$E:$E,Heron!$A57)</f>
        <v/>
      </c>
      <c r="AF57" s="117">
        <f>SUMIFS(Xero!$F:$F,Xero!$B:$B,Heron!AF$9,Xero!$A:$A,Heron!$A$4,Xero!$E:$E,Heron!$A57)+SUMIFS(Xero!$F:$F,Xero!$B:$B,Heron!AF$9,Xero!$A:$A,Heron!$A$5,Xero!$E:$E,Heron!$A57)</f>
        <v/>
      </c>
      <c r="AG57" s="117">
        <f>SUMIFS(Xero!$F:$F,Xero!$B:$B,Heron!AG$9,Xero!$A:$A,Heron!$A$4,Xero!$E:$E,Heron!$A57)+SUMIFS(Xero!$F:$F,Xero!$B:$B,Heron!AG$9,Xero!$A:$A,Heron!$A$5,Xero!$E:$E,Heron!$A57)</f>
        <v/>
      </c>
      <c r="AH57" s="117">
        <f>SUMIFS(Xero!$F:$F,Xero!$B:$B,Heron!AH$9,Xero!$A:$A,Heron!$A$4,Xero!$E:$E,Heron!$A57)+SUMIFS(Xero!$F:$F,Xero!$B:$B,Heron!AH$9,Xero!$A:$A,Heron!$A$5,Xero!$E:$E,Heron!$A57)</f>
        <v/>
      </c>
      <c r="AI57" s="117">
        <f>SUMIFS(Xero!$F:$F,Xero!$B:$B,Heron!AI$9,Xero!$A:$A,Heron!$A$4,Xero!$E:$E,Heron!$A57)+SUMIFS(Xero!$F:$F,Xero!$B:$B,Heron!AI$9,Xero!$A:$A,Heron!$A$5,Xero!$E:$E,Heron!$A57)</f>
        <v/>
      </c>
      <c r="AJ57" s="117">
        <f>SUMIFS(Xero!$F:$F,Xero!$B:$B,Heron!AJ$9,Xero!$A:$A,Heron!$A$4,Xero!$E:$E,Heron!$A57)+SUMIFS(Xero!$F:$F,Xero!$B:$B,Heron!AJ$9,Xero!$A:$A,Heron!$A$5,Xero!$E:$E,Heron!$A57)</f>
        <v/>
      </c>
      <c r="AK57" s="117">
        <f>SUMIFS(Xero!$F:$F,Xero!$B:$B,Heron!AK$9,Xero!$A:$A,Heron!$A$4,Xero!$E:$E,Heron!$A57)+SUMIFS(Xero!$F:$F,Xero!$B:$B,Heron!AK$9,Xero!$A:$A,Heron!$A$5,Xero!$E:$E,Heron!$A57)</f>
        <v/>
      </c>
      <c r="AL57" s="117">
        <f>SUMIFS(Xero!$F:$F,Xero!$B:$B,Heron!AL$9,Xero!$A:$A,Heron!$A$4,Xero!$E:$E,Heron!$A57)+SUMIFS(Xero!$F:$F,Xero!$B:$B,Heron!AL$9,Xero!$A:$A,Heron!$A$5,Xero!$E:$E,Heron!$A57)</f>
        <v/>
      </c>
      <c r="AM57" s="117">
        <f>SUMIFS(Xero!$F:$F,Xero!$B:$B,Heron!AM$9,Xero!$A:$A,Heron!$A$4,Xero!$E:$E,Heron!$A57)+SUMIFS(Xero!$F:$F,Xero!$B:$B,Heron!AM$9,Xero!$A:$A,Heron!$A$5,Xero!$E:$E,Heron!$A57)</f>
        <v/>
      </c>
      <c r="AN57" s="117">
        <f>SUMIFS(Xero!$F:$F,Xero!$B:$B,Heron!AN$9,Xero!$A:$A,Heron!$A$4,Xero!$E:$E,Heron!$A57)+SUMIFS(Xero!$F:$F,Xero!$B:$B,Heron!AN$9,Xero!$A:$A,Heron!$A$5,Xero!$E:$E,Heron!$A57)</f>
        <v/>
      </c>
      <c r="AO57" s="117">
        <f>SUMIFS(Xero!$F:$F,Xero!$B:$B,Heron!AO$9,Xero!$A:$A,Heron!$A$4,Xero!$E:$E,Heron!$A57)+SUMIFS(Xero!$F:$F,Xero!$B:$B,Heron!AO$9,Xero!$A:$A,Heron!$A$5,Xero!$E:$E,Heron!$A57)</f>
        <v/>
      </c>
      <c r="AP57" s="117">
        <f>SUMIFS(Xero!$F:$F,Xero!$B:$B,Heron!AP$9,Xero!$A:$A,Heron!$A$4,Xero!$E:$E,Heron!$A57)+SUMIFS(Xero!$F:$F,Xero!$B:$B,Heron!AP$9,Xero!$A:$A,Heron!$A$5,Xero!$E:$E,Heron!$A57)</f>
        <v/>
      </c>
      <c r="AQ57" s="117">
        <f>SUMIFS(Xero!$F:$F,Xero!$B:$B,Heron!AQ$9,Xero!$A:$A,Heron!$A$4,Xero!$E:$E,Heron!$A57)+SUMIFS(Xero!$F:$F,Xero!$B:$B,Heron!AQ$9,Xero!$A:$A,Heron!$A$5,Xero!$E:$E,Heron!$A57)</f>
        <v/>
      </c>
      <c r="AR57" s="117">
        <f>SUMIFS(Xero!$F:$F,Xero!$B:$B,Heron!AR$9,Xero!$A:$A,Heron!$A$4,Xero!$E:$E,Heron!$A57)+SUMIFS(Xero!$F:$F,Xero!$B:$B,Heron!AR$9,Xero!$A:$A,Heron!$A$5,Xero!$E:$E,Heron!$A57)</f>
        <v/>
      </c>
      <c r="AS57" s="117">
        <f>SUMIFS(Xero!$F:$F,Xero!$B:$B,Heron!AS$9,Xero!$A:$A,Heron!$A$4,Xero!$E:$E,Heron!$A57)+SUMIFS(Xero!$F:$F,Xero!$B:$B,Heron!AS$9,Xero!$A:$A,Heron!$A$5,Xero!$E:$E,Heron!$A57)</f>
        <v/>
      </c>
      <c r="AT57" s="117">
        <f>SUMIFS(Xero!$F:$F,Xero!$B:$B,Heron!AT$9,Xero!$A:$A,Heron!$A$4,Xero!$E:$E,Heron!$A57)+SUMIFS(Xero!$F:$F,Xero!$B:$B,Heron!AT$9,Xero!$A:$A,Heron!$A$5,Xero!$E:$E,Heron!$A57)</f>
        <v/>
      </c>
      <c r="AU57" s="117">
        <f>SUMIFS(Xero!$F:$F,Xero!$B:$B,Heron!AU$9,Xero!$A:$A,Heron!$A$4,Xero!$E:$E,Heron!$A57)+SUMIFS(Xero!$F:$F,Xero!$B:$B,Heron!AU$9,Xero!$A:$A,Heron!$A$5,Xero!$E:$E,Heron!$A57)</f>
        <v/>
      </c>
      <c r="AV57" s="117">
        <f>SUMIFS(Xero!$F:$F,Xero!$B:$B,Heron!AV$9,Xero!$A:$A,Heron!$A$4,Xero!$E:$E,Heron!$A57)+SUMIFS(Xero!$F:$F,Xero!$B:$B,Heron!AV$9,Xero!$A:$A,Heron!$A$5,Xero!$E:$E,Heron!$A57)</f>
        <v/>
      </c>
      <c r="AW57" s="117">
        <f>SUMIFS(Xero!$F:$F,Xero!$B:$B,Heron!AW$9,Xero!$A:$A,Heron!$A$4,Xero!$E:$E,Heron!$A57)+SUMIFS(Xero!$F:$F,Xero!$B:$B,Heron!AW$9,Xero!$A:$A,Heron!$A$5,Xero!$E:$E,Heron!$A57)</f>
        <v/>
      </c>
      <c r="AX57" s="117">
        <f>SUMIFS(Xero!$F:$F,Xero!$B:$B,Heron!AX$9,Xero!$A:$A,Heron!$A$4,Xero!$E:$E,Heron!$A57)+SUMIFS(Xero!$F:$F,Xero!$B:$B,Heron!AX$9,Xero!$A:$A,Heron!$A$5,Xero!$E:$E,Heron!$A57)</f>
        <v/>
      </c>
      <c r="AY57" s="117">
        <f>SUMIFS(Xero!$F:$F,Xero!$B:$B,Heron!AY$9,Xero!$A:$A,Heron!$A$4,Xero!$E:$E,Heron!$A57)+SUMIFS(Xero!$F:$F,Xero!$B:$B,Heron!AY$9,Xero!$A:$A,Heron!$A$5,Xero!$E:$E,Heron!$A57)</f>
        <v/>
      </c>
      <c r="AZ57" s="117">
        <f>SUMIFS(Xero!$F:$F,Xero!$B:$B,Heron!AZ$9,Xero!$A:$A,Heron!$A$4,Xero!$E:$E,Heron!$A57)+SUMIFS(Xero!$F:$F,Xero!$B:$B,Heron!AZ$9,Xero!$A:$A,Heron!$A$5,Xero!$E:$E,Heron!$A57)</f>
        <v/>
      </c>
      <c r="BA57" s="117">
        <f>SUMIFS(Xero!$F:$F,Xero!$B:$B,Heron!BA$9,Xero!$A:$A,Heron!$A$4,Xero!$E:$E,Heron!$A57)+SUMIFS(Xero!$F:$F,Xero!$B:$B,Heron!BA$9,Xero!$A:$A,Heron!$A$5,Xero!$E:$E,Heron!$A57)</f>
        <v/>
      </c>
      <c r="BB57" s="117">
        <f>SUMIFS(Xero!$F:$F,Xero!$B:$B,Heron!BB$9,Xero!$A:$A,Heron!$A$4,Xero!$E:$E,Heron!$A57)+SUMIFS(Xero!$F:$F,Xero!$B:$B,Heron!BB$9,Xero!$A:$A,Heron!$A$5,Xero!$E:$E,Heron!$A57)</f>
        <v/>
      </c>
      <c r="BC57" s="117">
        <f>SUMIFS(Xero!$F:$F,Xero!$B:$B,Heron!BC$9,Xero!$A:$A,Heron!$A$4,Xero!$E:$E,Heron!$A57)+SUMIFS(Xero!$F:$F,Xero!$B:$B,Heron!BC$9,Xero!$A:$A,Heron!$A$5,Xero!$E:$E,Heron!$A57)</f>
        <v/>
      </c>
      <c r="BD57" s="117">
        <f>SUMIFS(Xero!$F:$F,Xero!$B:$B,Heron!BD$9,Xero!$A:$A,Heron!$A$4,Xero!$E:$E,Heron!$A57)+SUMIFS(Xero!$F:$F,Xero!$B:$B,Heron!BD$9,Xero!$A:$A,Heron!$A$5,Xero!$E:$E,Heron!$A57)</f>
        <v/>
      </c>
      <c r="BE57" s="117">
        <f>SUMIFS(Xero!$F:$F,Xero!$B:$B,Heron!BE$9,Xero!$A:$A,Heron!$A$4,Xero!$E:$E,Heron!$A57)+SUMIFS(Xero!$F:$F,Xero!$B:$B,Heron!BE$9,Xero!$A:$A,Heron!$A$5,Xero!$E:$E,Heron!$A57)</f>
        <v/>
      </c>
      <c r="BF57" s="117">
        <f>SUMIFS(Xero!$F:$F,Xero!$B:$B,Heron!BF$9,Xero!$A:$A,Heron!$A$4,Xero!$E:$E,Heron!$A57)+SUMIFS(Xero!$F:$F,Xero!$B:$B,Heron!BF$9,Xero!$A:$A,Heron!$A$5,Xero!$E:$E,Heron!$A57)</f>
        <v/>
      </c>
      <c r="BG57" s="117">
        <f>SUMIFS(Xero!$F:$F,Xero!$B:$B,Heron!BG$9,Xero!$A:$A,Heron!$A$4,Xero!$E:$E,Heron!$A57)+SUMIFS(Xero!$F:$F,Xero!$B:$B,Heron!BG$9,Xero!$A:$A,Heron!$A$5,Xero!$E:$E,Heron!$A57)</f>
        <v/>
      </c>
      <c r="BH57" s="117">
        <f>SUMIFS(Xero!$F:$F,Xero!$B:$B,Heron!BH$9,Xero!$A:$A,Heron!$A$4,Xero!$E:$E,Heron!$A57)+SUMIFS(Xero!$F:$F,Xero!$B:$B,Heron!BH$9,Xero!$A:$A,Heron!$A$5,Xero!$E:$E,Heron!$A57)</f>
        <v/>
      </c>
      <c r="BI57" s="117">
        <f>SUMIFS(Xero!$F:$F,Xero!$B:$B,Heron!BI$9,Xero!$A:$A,Heron!$A$4,Xero!$E:$E,Heron!$A57)+SUMIFS(Xero!$F:$F,Xero!$B:$B,Heron!BI$9,Xero!$A:$A,Heron!$A$5,Xero!$E:$E,Heron!$A57)</f>
        <v/>
      </c>
      <c r="BJ57" s="117">
        <f>SUMIFS(Xero!$F:$F,Xero!$B:$B,Heron!BJ$9,Xero!$A:$A,Heron!$A$4,Xero!$E:$E,Heron!$A57)+SUMIFS(Xero!$F:$F,Xero!$B:$B,Heron!BJ$9,Xero!$A:$A,Heron!$A$5,Xero!$E:$E,Heron!$A57)</f>
        <v/>
      </c>
      <c r="BK57" s="117">
        <f>sum(D57:BJ57)</f>
        <v/>
      </c>
    </row>
    <row r="58">
      <c r="A58" s="116" t="inlineStr">
        <is>
          <t>COS - Rates clearance</t>
        </is>
      </c>
      <c r="D58" s="117">
        <f>SUMIFS(Xero!$F:$F,Xero!$B:$B,Heron!D$9,Xero!$A:$A,Heron!$A$4,Xero!$E:$E,Heron!$A58)+SUMIFS(Xero!$F:$F,Xero!$B:$B,Heron!D$9,Xero!$A:$A,Heron!$A$5,Xero!$E:$E,Heron!$A58)</f>
        <v/>
      </c>
      <c r="E58" s="117">
        <f>SUMIFS(Xero!$F:$F,Xero!$B:$B,Heron!E$9,Xero!$A:$A,Heron!$A$4,Xero!$E:$E,Heron!$A58)+SUMIFS(Xero!$F:$F,Xero!$B:$B,Heron!E$9,Xero!$A:$A,Heron!$A$5,Xero!$E:$E,Heron!$A58)</f>
        <v/>
      </c>
      <c r="F58" s="117">
        <f>SUMIFS(Xero!$F:$F,Xero!$B:$B,Heron!F$9,Xero!$A:$A,Heron!$A$4,Xero!$E:$E,Heron!$A58)+SUMIFS(Xero!$F:$F,Xero!$B:$B,Heron!F$9,Xero!$A:$A,Heron!$A$5,Xero!$E:$E,Heron!$A58)</f>
        <v/>
      </c>
      <c r="G58" s="117">
        <f>SUMIFS(Xero!$F:$F,Xero!$B:$B,Heron!G$9,Xero!$A:$A,Heron!$A$4,Xero!$E:$E,Heron!$A58)+SUMIFS(Xero!$F:$F,Xero!$B:$B,Heron!G$9,Xero!$A:$A,Heron!$A$5,Xero!$E:$E,Heron!$A58)</f>
        <v/>
      </c>
      <c r="H58" s="117">
        <f>SUMIFS(Xero!$F:$F,Xero!$B:$B,Heron!H$9,Xero!$A:$A,Heron!$A$4,Xero!$E:$E,Heron!$A58)+SUMIFS(Xero!$F:$F,Xero!$B:$B,Heron!H$9,Xero!$A:$A,Heron!$A$5,Xero!$E:$E,Heron!$A58)</f>
        <v/>
      </c>
      <c r="I58" s="117">
        <f>SUMIFS(Xero!$F:$F,Xero!$B:$B,Heron!I$9,Xero!$A:$A,Heron!$A$4,Xero!$E:$E,Heron!$A58)+SUMIFS(Xero!$F:$F,Xero!$B:$B,Heron!I$9,Xero!$A:$A,Heron!$A$5,Xero!$E:$E,Heron!$A58)</f>
        <v/>
      </c>
      <c r="J58" s="117">
        <f>SUMIFS(Xero!$F:$F,Xero!$B:$B,Heron!J$9,Xero!$A:$A,Heron!$A$4,Xero!$E:$E,Heron!$A58)+SUMIFS(Xero!$F:$F,Xero!$B:$B,Heron!J$9,Xero!$A:$A,Heron!$A$5,Xero!$E:$E,Heron!$A58)</f>
        <v/>
      </c>
      <c r="K58" s="117">
        <f>SUMIFS(Xero!$F:$F,Xero!$B:$B,Heron!K$9,Xero!$A:$A,Heron!$A$4,Xero!$E:$E,Heron!$A58)+SUMIFS(Xero!$F:$F,Xero!$B:$B,Heron!K$9,Xero!$A:$A,Heron!$A$5,Xero!$E:$E,Heron!$A58)</f>
        <v/>
      </c>
      <c r="L58" s="117">
        <f>SUMIFS(Xero!$F:$F,Xero!$B:$B,Heron!L$9,Xero!$A:$A,Heron!$A$4,Xero!$E:$E,Heron!$A58)+SUMIFS(Xero!$F:$F,Xero!$B:$B,Heron!L$9,Xero!$A:$A,Heron!$A$5,Xero!$E:$E,Heron!$A58)</f>
        <v/>
      </c>
      <c r="M58" s="117">
        <f>SUMIFS(Xero!$F:$F,Xero!$B:$B,Heron!M$9,Xero!$A:$A,Heron!$A$4,Xero!$E:$E,Heron!$A58)+SUMIFS(Xero!$F:$F,Xero!$B:$B,Heron!M$9,Xero!$A:$A,Heron!$A$5,Xero!$E:$E,Heron!$A58)</f>
        <v/>
      </c>
      <c r="N58" s="117">
        <f>SUMIFS(Xero!$F:$F,Xero!$B:$B,Heron!N$9,Xero!$A:$A,Heron!$A$4,Xero!$E:$E,Heron!$A58)+SUMIFS(Xero!$F:$F,Xero!$B:$B,Heron!N$9,Xero!$A:$A,Heron!$A$5,Xero!$E:$E,Heron!$A58)</f>
        <v/>
      </c>
      <c r="O58" s="117">
        <f>SUMIFS(Xero!$F:$F,Xero!$B:$B,Heron!O$9,Xero!$A:$A,Heron!$A$4,Xero!$E:$E,Heron!$A58)+SUMIFS(Xero!$F:$F,Xero!$B:$B,Heron!O$9,Xero!$A:$A,Heron!$A$5,Xero!$E:$E,Heron!$A58)</f>
        <v/>
      </c>
      <c r="P58" s="117">
        <f>SUMIFS(Xero!$F:$F,Xero!$B:$B,Heron!P$9,Xero!$A:$A,Heron!$A$4,Xero!$E:$E,Heron!$A58)+SUMIFS(Xero!$F:$F,Xero!$B:$B,Heron!P$9,Xero!$A:$A,Heron!$A$5,Xero!$E:$E,Heron!$A58)</f>
        <v/>
      </c>
      <c r="Q58" s="117">
        <f>SUMIFS(Xero!$F:$F,Xero!$B:$B,Heron!Q$9,Xero!$A:$A,Heron!$A$4,Xero!$E:$E,Heron!$A58)+SUMIFS(Xero!$F:$F,Xero!$B:$B,Heron!Q$9,Xero!$A:$A,Heron!$A$5,Xero!$E:$E,Heron!$A58)</f>
        <v/>
      </c>
      <c r="R58" s="117">
        <f>SUMIFS(Xero!$F:$F,Xero!$B:$B,Heron!R$9,Xero!$A:$A,Heron!$A$4,Xero!$E:$E,Heron!$A58)+SUMIFS(Xero!$F:$F,Xero!$B:$B,Heron!R$9,Xero!$A:$A,Heron!$A$5,Xero!$E:$E,Heron!$A58)</f>
        <v/>
      </c>
      <c r="S58" s="117">
        <f>SUMIFS(Xero!$F:$F,Xero!$B:$B,Heron!S$9,Xero!$A:$A,Heron!$A$4,Xero!$E:$E,Heron!$A58)+SUMIFS(Xero!$F:$F,Xero!$B:$B,Heron!S$9,Xero!$A:$A,Heron!$A$5,Xero!$E:$E,Heron!$A58)</f>
        <v/>
      </c>
      <c r="T58" s="117">
        <f>SUMIFS(Xero!$F:$F,Xero!$B:$B,Heron!T$9,Xero!$A:$A,Heron!$A$4,Xero!$E:$E,Heron!$A58)+SUMIFS(Xero!$F:$F,Xero!$B:$B,Heron!T$9,Xero!$A:$A,Heron!$A$5,Xero!$E:$E,Heron!$A58)</f>
        <v/>
      </c>
      <c r="U58" s="117">
        <f>SUMIFS(Xero!$F:$F,Xero!$B:$B,Heron!U$9,Xero!$A:$A,Heron!$A$4,Xero!$E:$E,Heron!$A58)+SUMIFS(Xero!$F:$F,Xero!$B:$B,Heron!U$9,Xero!$A:$A,Heron!$A$5,Xero!$E:$E,Heron!$A58)</f>
        <v/>
      </c>
      <c r="V58" s="117">
        <f>SUMIFS(Xero!$F:$F,Xero!$B:$B,Heron!V$9,Xero!$A:$A,Heron!$A$4,Xero!$E:$E,Heron!$A58)+SUMIFS(Xero!$F:$F,Xero!$B:$B,Heron!V$9,Xero!$A:$A,Heron!$A$5,Xero!$E:$E,Heron!$A58)</f>
        <v/>
      </c>
      <c r="W58" s="117">
        <f>SUMIFS(Xero!$F:$F,Xero!$B:$B,Heron!W$9,Xero!$A:$A,Heron!$A$4,Xero!$E:$E,Heron!$A58)+SUMIFS(Xero!$F:$F,Xero!$B:$B,Heron!W$9,Xero!$A:$A,Heron!$A$5,Xero!$E:$E,Heron!$A58)</f>
        <v/>
      </c>
      <c r="X58" s="117">
        <f>SUMIFS(Xero!$F:$F,Xero!$B:$B,Heron!X$9,Xero!$A:$A,Heron!$A$4,Xero!$E:$E,Heron!$A58)+SUMIFS(Xero!$F:$F,Xero!$B:$B,Heron!X$9,Xero!$A:$A,Heron!$A$5,Xero!$E:$E,Heron!$A58)</f>
        <v/>
      </c>
      <c r="Y58" s="117">
        <f>SUMIFS(Xero!$F:$F,Xero!$B:$B,Heron!Y$9,Xero!$A:$A,Heron!$A$4,Xero!$E:$E,Heron!$A58)+SUMIFS(Xero!$F:$F,Xero!$B:$B,Heron!Y$9,Xero!$A:$A,Heron!$A$5,Xero!$E:$E,Heron!$A58)</f>
        <v/>
      </c>
      <c r="Z58" s="117">
        <f>SUMIFS(Xero!$F:$F,Xero!$B:$B,Heron!Z$9,Xero!$A:$A,Heron!$A$4,Xero!$E:$E,Heron!$A58)+SUMIFS(Xero!$F:$F,Xero!$B:$B,Heron!Z$9,Xero!$A:$A,Heron!$A$5,Xero!$E:$E,Heron!$A58)</f>
        <v/>
      </c>
      <c r="AA58" s="117">
        <f>SUMIFS(Xero!$F:$F,Xero!$B:$B,Heron!AA$9,Xero!$A:$A,Heron!$A$4,Xero!$E:$E,Heron!$A58)+SUMIFS(Xero!$F:$F,Xero!$B:$B,Heron!AA$9,Xero!$A:$A,Heron!$A$5,Xero!$E:$E,Heron!$A58)</f>
        <v/>
      </c>
      <c r="AB58" s="117">
        <f>SUMIFS(Xero!$F:$F,Xero!$B:$B,Heron!AB$9,Xero!$A:$A,Heron!$A$4,Xero!$E:$E,Heron!$A58)+SUMIFS(Xero!$F:$F,Xero!$B:$B,Heron!AB$9,Xero!$A:$A,Heron!$A$5,Xero!$E:$E,Heron!$A58)</f>
        <v/>
      </c>
      <c r="AC58" s="117">
        <f>SUMIFS(Xero!$F:$F,Xero!$B:$B,Heron!AC$9,Xero!$A:$A,Heron!$A$4,Xero!$E:$E,Heron!$A58)+SUMIFS(Xero!$F:$F,Xero!$B:$B,Heron!AC$9,Xero!$A:$A,Heron!$A$5,Xero!$E:$E,Heron!$A58)</f>
        <v/>
      </c>
      <c r="AD58" s="117">
        <f>SUMIFS(Xero!$F:$F,Xero!$B:$B,Heron!AD$9,Xero!$A:$A,Heron!$A$4,Xero!$E:$E,Heron!$A58)+SUMIFS(Xero!$F:$F,Xero!$B:$B,Heron!AD$9,Xero!$A:$A,Heron!$A$5,Xero!$E:$E,Heron!$A58)</f>
        <v/>
      </c>
      <c r="AE58" s="117">
        <f>SUMIFS(Xero!$F:$F,Xero!$B:$B,Heron!AE$9,Xero!$A:$A,Heron!$A$4,Xero!$E:$E,Heron!$A58)+SUMIFS(Xero!$F:$F,Xero!$B:$B,Heron!AE$9,Xero!$A:$A,Heron!$A$5,Xero!$E:$E,Heron!$A58)</f>
        <v/>
      </c>
      <c r="AF58" s="117">
        <f>SUMIFS(Xero!$F:$F,Xero!$B:$B,Heron!AF$9,Xero!$A:$A,Heron!$A$4,Xero!$E:$E,Heron!$A58)+SUMIFS(Xero!$F:$F,Xero!$B:$B,Heron!AF$9,Xero!$A:$A,Heron!$A$5,Xero!$E:$E,Heron!$A58)</f>
        <v/>
      </c>
      <c r="AG58" s="117">
        <f>SUMIFS(Xero!$F:$F,Xero!$B:$B,Heron!AG$9,Xero!$A:$A,Heron!$A$4,Xero!$E:$E,Heron!$A58)+SUMIFS(Xero!$F:$F,Xero!$B:$B,Heron!AG$9,Xero!$A:$A,Heron!$A$5,Xero!$E:$E,Heron!$A58)</f>
        <v/>
      </c>
      <c r="AH58" s="117">
        <f>SUMIFS(Xero!$F:$F,Xero!$B:$B,Heron!AH$9,Xero!$A:$A,Heron!$A$4,Xero!$E:$E,Heron!$A58)+SUMIFS(Xero!$F:$F,Xero!$B:$B,Heron!AH$9,Xero!$A:$A,Heron!$A$5,Xero!$E:$E,Heron!$A58)</f>
        <v/>
      </c>
      <c r="AI58" s="117">
        <f>SUMIFS(Xero!$F:$F,Xero!$B:$B,Heron!AI$9,Xero!$A:$A,Heron!$A$4,Xero!$E:$E,Heron!$A58)+SUMIFS(Xero!$F:$F,Xero!$B:$B,Heron!AI$9,Xero!$A:$A,Heron!$A$5,Xero!$E:$E,Heron!$A58)</f>
        <v/>
      </c>
      <c r="AJ58" s="117">
        <f>SUMIFS(Xero!$F:$F,Xero!$B:$B,Heron!AJ$9,Xero!$A:$A,Heron!$A$4,Xero!$E:$E,Heron!$A58)+SUMIFS(Xero!$F:$F,Xero!$B:$B,Heron!AJ$9,Xero!$A:$A,Heron!$A$5,Xero!$E:$E,Heron!$A58)</f>
        <v/>
      </c>
      <c r="AK58" s="117">
        <f>SUMIFS(Xero!$F:$F,Xero!$B:$B,Heron!AK$9,Xero!$A:$A,Heron!$A$4,Xero!$E:$E,Heron!$A58)+SUMIFS(Xero!$F:$F,Xero!$B:$B,Heron!AK$9,Xero!$A:$A,Heron!$A$5,Xero!$E:$E,Heron!$A58)</f>
        <v/>
      </c>
      <c r="AL58" s="117">
        <f>SUMIFS(Xero!$F:$F,Xero!$B:$B,Heron!AL$9,Xero!$A:$A,Heron!$A$4,Xero!$E:$E,Heron!$A58)+SUMIFS(Xero!$F:$F,Xero!$B:$B,Heron!AL$9,Xero!$A:$A,Heron!$A$5,Xero!$E:$E,Heron!$A58)</f>
        <v/>
      </c>
      <c r="AM58" s="117">
        <f>SUMIFS(Xero!$F:$F,Xero!$B:$B,Heron!AM$9,Xero!$A:$A,Heron!$A$4,Xero!$E:$E,Heron!$A58)+SUMIFS(Xero!$F:$F,Xero!$B:$B,Heron!AM$9,Xero!$A:$A,Heron!$A$5,Xero!$E:$E,Heron!$A58)</f>
        <v/>
      </c>
      <c r="AN58" s="117">
        <f>SUMIFS(Xero!$F:$F,Xero!$B:$B,Heron!AN$9,Xero!$A:$A,Heron!$A$4,Xero!$E:$E,Heron!$A58)+SUMIFS(Xero!$F:$F,Xero!$B:$B,Heron!AN$9,Xero!$A:$A,Heron!$A$5,Xero!$E:$E,Heron!$A58)</f>
        <v/>
      </c>
      <c r="AO58" s="117">
        <f>SUMIFS(Xero!$F:$F,Xero!$B:$B,Heron!AO$9,Xero!$A:$A,Heron!$A$4,Xero!$E:$E,Heron!$A58)+SUMIFS(Xero!$F:$F,Xero!$B:$B,Heron!AO$9,Xero!$A:$A,Heron!$A$5,Xero!$E:$E,Heron!$A58)</f>
        <v/>
      </c>
      <c r="AP58" s="117">
        <f>SUMIFS(Xero!$F:$F,Xero!$B:$B,Heron!AP$9,Xero!$A:$A,Heron!$A$4,Xero!$E:$E,Heron!$A58)+SUMIFS(Xero!$F:$F,Xero!$B:$B,Heron!AP$9,Xero!$A:$A,Heron!$A$5,Xero!$E:$E,Heron!$A58)</f>
        <v/>
      </c>
      <c r="AQ58" s="117">
        <f>SUMIFS(Xero!$F:$F,Xero!$B:$B,Heron!AQ$9,Xero!$A:$A,Heron!$A$4,Xero!$E:$E,Heron!$A58)+SUMIFS(Xero!$F:$F,Xero!$B:$B,Heron!AQ$9,Xero!$A:$A,Heron!$A$5,Xero!$E:$E,Heron!$A58)</f>
        <v/>
      </c>
      <c r="AR58" s="117">
        <f>SUMIFS(Xero!$F:$F,Xero!$B:$B,Heron!AR$9,Xero!$A:$A,Heron!$A$4,Xero!$E:$E,Heron!$A58)+SUMIFS(Xero!$F:$F,Xero!$B:$B,Heron!AR$9,Xero!$A:$A,Heron!$A$5,Xero!$E:$E,Heron!$A58)</f>
        <v/>
      </c>
      <c r="AS58" s="117">
        <f>SUMIFS(Xero!$F:$F,Xero!$B:$B,Heron!AS$9,Xero!$A:$A,Heron!$A$4,Xero!$E:$E,Heron!$A58)+SUMIFS(Xero!$F:$F,Xero!$B:$B,Heron!AS$9,Xero!$A:$A,Heron!$A$5,Xero!$E:$E,Heron!$A58)</f>
        <v/>
      </c>
      <c r="AT58" s="117">
        <f>SUMIFS(Xero!$F:$F,Xero!$B:$B,Heron!AT$9,Xero!$A:$A,Heron!$A$4,Xero!$E:$E,Heron!$A58)+SUMIFS(Xero!$F:$F,Xero!$B:$B,Heron!AT$9,Xero!$A:$A,Heron!$A$5,Xero!$E:$E,Heron!$A58)</f>
        <v/>
      </c>
      <c r="AU58" s="117">
        <f>SUMIFS(Xero!$F:$F,Xero!$B:$B,Heron!AU$9,Xero!$A:$A,Heron!$A$4,Xero!$E:$E,Heron!$A58)+SUMIFS(Xero!$F:$F,Xero!$B:$B,Heron!AU$9,Xero!$A:$A,Heron!$A$5,Xero!$E:$E,Heron!$A58)</f>
        <v/>
      </c>
      <c r="AV58" s="117">
        <f>SUMIFS(Xero!$F:$F,Xero!$B:$B,Heron!AV$9,Xero!$A:$A,Heron!$A$4,Xero!$E:$E,Heron!$A58)+SUMIFS(Xero!$F:$F,Xero!$B:$B,Heron!AV$9,Xero!$A:$A,Heron!$A$5,Xero!$E:$E,Heron!$A58)</f>
        <v/>
      </c>
      <c r="AW58" s="117">
        <f>SUMIFS(Xero!$F:$F,Xero!$B:$B,Heron!AW$9,Xero!$A:$A,Heron!$A$4,Xero!$E:$E,Heron!$A58)+SUMIFS(Xero!$F:$F,Xero!$B:$B,Heron!AW$9,Xero!$A:$A,Heron!$A$5,Xero!$E:$E,Heron!$A58)</f>
        <v/>
      </c>
      <c r="AX58" s="117">
        <f>SUMIFS(Xero!$F:$F,Xero!$B:$B,Heron!AX$9,Xero!$A:$A,Heron!$A$4,Xero!$E:$E,Heron!$A58)+SUMIFS(Xero!$F:$F,Xero!$B:$B,Heron!AX$9,Xero!$A:$A,Heron!$A$5,Xero!$E:$E,Heron!$A58)</f>
        <v/>
      </c>
      <c r="AY58" s="117">
        <f>SUMIFS(Xero!$F:$F,Xero!$B:$B,Heron!AY$9,Xero!$A:$A,Heron!$A$4,Xero!$E:$E,Heron!$A58)+SUMIFS(Xero!$F:$F,Xero!$B:$B,Heron!AY$9,Xero!$A:$A,Heron!$A$5,Xero!$E:$E,Heron!$A58)</f>
        <v/>
      </c>
      <c r="AZ58" s="117">
        <f>SUMIFS(Xero!$F:$F,Xero!$B:$B,Heron!AZ$9,Xero!$A:$A,Heron!$A$4,Xero!$E:$E,Heron!$A58)+SUMIFS(Xero!$F:$F,Xero!$B:$B,Heron!AZ$9,Xero!$A:$A,Heron!$A$5,Xero!$E:$E,Heron!$A58)</f>
        <v/>
      </c>
      <c r="BA58" s="117">
        <f>SUMIFS(Xero!$F:$F,Xero!$B:$B,Heron!BA$9,Xero!$A:$A,Heron!$A$4,Xero!$E:$E,Heron!$A58)+SUMIFS(Xero!$F:$F,Xero!$B:$B,Heron!BA$9,Xero!$A:$A,Heron!$A$5,Xero!$E:$E,Heron!$A58)</f>
        <v/>
      </c>
      <c r="BB58" s="117">
        <f>SUMIFS(Xero!$F:$F,Xero!$B:$B,Heron!BB$9,Xero!$A:$A,Heron!$A$4,Xero!$E:$E,Heron!$A58)+SUMIFS(Xero!$F:$F,Xero!$B:$B,Heron!BB$9,Xero!$A:$A,Heron!$A$5,Xero!$E:$E,Heron!$A58)</f>
        <v/>
      </c>
      <c r="BC58" s="117">
        <f>SUMIFS(Xero!$F:$F,Xero!$B:$B,Heron!BC$9,Xero!$A:$A,Heron!$A$4,Xero!$E:$E,Heron!$A58)+SUMIFS(Xero!$F:$F,Xero!$B:$B,Heron!BC$9,Xero!$A:$A,Heron!$A$5,Xero!$E:$E,Heron!$A58)</f>
        <v/>
      </c>
      <c r="BD58" s="117">
        <f>SUMIFS(Xero!$F:$F,Xero!$B:$B,Heron!BD$9,Xero!$A:$A,Heron!$A$4,Xero!$E:$E,Heron!$A58)+SUMIFS(Xero!$F:$F,Xero!$B:$B,Heron!BD$9,Xero!$A:$A,Heron!$A$5,Xero!$E:$E,Heron!$A58)</f>
        <v/>
      </c>
      <c r="BE58" s="117">
        <f>SUMIFS(Xero!$F:$F,Xero!$B:$B,Heron!BE$9,Xero!$A:$A,Heron!$A$4,Xero!$E:$E,Heron!$A58)+SUMIFS(Xero!$F:$F,Xero!$B:$B,Heron!BE$9,Xero!$A:$A,Heron!$A$5,Xero!$E:$E,Heron!$A58)</f>
        <v/>
      </c>
      <c r="BF58" s="117">
        <f>SUMIFS(Xero!$F:$F,Xero!$B:$B,Heron!BF$9,Xero!$A:$A,Heron!$A$4,Xero!$E:$E,Heron!$A58)+SUMIFS(Xero!$F:$F,Xero!$B:$B,Heron!BF$9,Xero!$A:$A,Heron!$A$5,Xero!$E:$E,Heron!$A58)</f>
        <v/>
      </c>
      <c r="BG58" s="117">
        <f>SUMIFS(Xero!$F:$F,Xero!$B:$B,Heron!BG$9,Xero!$A:$A,Heron!$A$4,Xero!$E:$E,Heron!$A58)+SUMIFS(Xero!$F:$F,Xero!$B:$B,Heron!BG$9,Xero!$A:$A,Heron!$A$5,Xero!$E:$E,Heron!$A58)</f>
        <v/>
      </c>
      <c r="BH58" s="117">
        <f>SUMIFS(Xero!$F:$F,Xero!$B:$B,Heron!BH$9,Xero!$A:$A,Heron!$A$4,Xero!$E:$E,Heron!$A58)+SUMIFS(Xero!$F:$F,Xero!$B:$B,Heron!BH$9,Xero!$A:$A,Heron!$A$5,Xero!$E:$E,Heron!$A58)</f>
        <v/>
      </c>
      <c r="BI58" s="117">
        <f>SUMIFS(Xero!$F:$F,Xero!$B:$B,Heron!BI$9,Xero!$A:$A,Heron!$A$4,Xero!$E:$E,Heron!$A58)+SUMIFS(Xero!$F:$F,Xero!$B:$B,Heron!BI$9,Xero!$A:$A,Heron!$A$5,Xero!$E:$E,Heron!$A58)</f>
        <v/>
      </c>
      <c r="BJ58" s="117">
        <f>SUMIFS(Xero!$F:$F,Xero!$B:$B,Heron!BJ$9,Xero!$A:$A,Heron!$A$4,Xero!$E:$E,Heron!$A58)+SUMIFS(Xero!$F:$F,Xero!$B:$B,Heron!BJ$9,Xero!$A:$A,Heron!$A$5,Xero!$E:$E,Heron!$A58)</f>
        <v/>
      </c>
      <c r="BK58" s="117">
        <f>sum(D58:BJ58)</f>
        <v/>
      </c>
    </row>
    <row r="59">
      <c r="A59" s="116" t="inlineStr">
        <is>
          <t>COS - Showhouse - HF</t>
        </is>
      </c>
      <c r="D59" s="117">
        <f>SUMIFS(Xero!$F:$F,Xero!$B:$B,Heron!D$9,Xero!$A:$A,Heron!$A$4,Xero!$E:$E,Heron!$A59)+SUMIFS(Xero!$F:$F,Xero!$B:$B,Heron!D$9,Xero!$A:$A,Heron!$A$5,Xero!$E:$E,Heron!$A59)</f>
        <v/>
      </c>
      <c r="E59" s="117">
        <f>SUMIFS(Xero!$F:$F,Xero!$B:$B,Heron!E$9,Xero!$A:$A,Heron!$A$4,Xero!$E:$E,Heron!$A59)+SUMIFS(Xero!$F:$F,Xero!$B:$B,Heron!E$9,Xero!$A:$A,Heron!$A$5,Xero!$E:$E,Heron!$A59)</f>
        <v/>
      </c>
      <c r="F59" s="117">
        <f>SUMIFS(Xero!$F:$F,Xero!$B:$B,Heron!F$9,Xero!$A:$A,Heron!$A$4,Xero!$E:$E,Heron!$A59)+SUMIFS(Xero!$F:$F,Xero!$B:$B,Heron!F$9,Xero!$A:$A,Heron!$A$5,Xero!$E:$E,Heron!$A59)</f>
        <v/>
      </c>
      <c r="G59" s="117">
        <f>SUMIFS(Xero!$F:$F,Xero!$B:$B,Heron!G$9,Xero!$A:$A,Heron!$A$4,Xero!$E:$E,Heron!$A59)+SUMIFS(Xero!$F:$F,Xero!$B:$B,Heron!G$9,Xero!$A:$A,Heron!$A$5,Xero!$E:$E,Heron!$A59)</f>
        <v/>
      </c>
      <c r="H59" s="117">
        <f>SUMIFS(Xero!$F:$F,Xero!$B:$B,Heron!H$9,Xero!$A:$A,Heron!$A$4,Xero!$E:$E,Heron!$A59)+SUMIFS(Xero!$F:$F,Xero!$B:$B,Heron!H$9,Xero!$A:$A,Heron!$A$5,Xero!$E:$E,Heron!$A59)</f>
        <v/>
      </c>
      <c r="I59" s="117">
        <f>SUMIFS(Xero!$F:$F,Xero!$B:$B,Heron!I$9,Xero!$A:$A,Heron!$A$4,Xero!$E:$E,Heron!$A59)+SUMIFS(Xero!$F:$F,Xero!$B:$B,Heron!I$9,Xero!$A:$A,Heron!$A$5,Xero!$E:$E,Heron!$A59)</f>
        <v/>
      </c>
      <c r="J59" s="117">
        <f>SUMIFS(Xero!$F:$F,Xero!$B:$B,Heron!J$9,Xero!$A:$A,Heron!$A$4,Xero!$E:$E,Heron!$A59)+SUMIFS(Xero!$F:$F,Xero!$B:$B,Heron!J$9,Xero!$A:$A,Heron!$A$5,Xero!$E:$E,Heron!$A59)</f>
        <v/>
      </c>
      <c r="K59" s="117">
        <f>SUMIFS(Xero!$F:$F,Xero!$B:$B,Heron!K$9,Xero!$A:$A,Heron!$A$4,Xero!$E:$E,Heron!$A59)+SUMIFS(Xero!$F:$F,Xero!$B:$B,Heron!K$9,Xero!$A:$A,Heron!$A$5,Xero!$E:$E,Heron!$A59)</f>
        <v/>
      </c>
      <c r="L59" s="117">
        <f>SUMIFS(Xero!$F:$F,Xero!$B:$B,Heron!L$9,Xero!$A:$A,Heron!$A$4,Xero!$E:$E,Heron!$A59)+SUMIFS(Xero!$F:$F,Xero!$B:$B,Heron!L$9,Xero!$A:$A,Heron!$A$5,Xero!$E:$E,Heron!$A59)</f>
        <v/>
      </c>
      <c r="M59" s="117">
        <f>SUMIFS(Xero!$F:$F,Xero!$B:$B,Heron!M$9,Xero!$A:$A,Heron!$A$4,Xero!$E:$E,Heron!$A59)+SUMIFS(Xero!$F:$F,Xero!$B:$B,Heron!M$9,Xero!$A:$A,Heron!$A$5,Xero!$E:$E,Heron!$A59)</f>
        <v/>
      </c>
      <c r="N59" s="117">
        <f>SUMIFS(Xero!$F:$F,Xero!$B:$B,Heron!N$9,Xero!$A:$A,Heron!$A$4,Xero!$E:$E,Heron!$A59)+SUMIFS(Xero!$F:$F,Xero!$B:$B,Heron!N$9,Xero!$A:$A,Heron!$A$5,Xero!$E:$E,Heron!$A59)</f>
        <v/>
      </c>
      <c r="O59" s="117">
        <f>SUMIFS(Xero!$F:$F,Xero!$B:$B,Heron!O$9,Xero!$A:$A,Heron!$A$4,Xero!$E:$E,Heron!$A59)+SUMIFS(Xero!$F:$F,Xero!$B:$B,Heron!O$9,Xero!$A:$A,Heron!$A$5,Xero!$E:$E,Heron!$A59)</f>
        <v/>
      </c>
      <c r="P59" s="117">
        <f>SUMIFS(Xero!$F:$F,Xero!$B:$B,Heron!P$9,Xero!$A:$A,Heron!$A$4,Xero!$E:$E,Heron!$A59)+SUMIFS(Xero!$F:$F,Xero!$B:$B,Heron!P$9,Xero!$A:$A,Heron!$A$5,Xero!$E:$E,Heron!$A59)</f>
        <v/>
      </c>
      <c r="Q59" s="117">
        <f>SUMIFS(Xero!$F:$F,Xero!$B:$B,Heron!Q$9,Xero!$A:$A,Heron!$A$4,Xero!$E:$E,Heron!$A59)+SUMIFS(Xero!$F:$F,Xero!$B:$B,Heron!Q$9,Xero!$A:$A,Heron!$A$5,Xero!$E:$E,Heron!$A59)</f>
        <v/>
      </c>
      <c r="R59" s="117">
        <f>SUMIFS(Xero!$F:$F,Xero!$B:$B,Heron!R$9,Xero!$A:$A,Heron!$A$4,Xero!$E:$E,Heron!$A59)+SUMIFS(Xero!$F:$F,Xero!$B:$B,Heron!R$9,Xero!$A:$A,Heron!$A$5,Xero!$E:$E,Heron!$A59)</f>
        <v/>
      </c>
      <c r="S59" s="117">
        <f>SUMIFS(Xero!$F:$F,Xero!$B:$B,Heron!S$9,Xero!$A:$A,Heron!$A$4,Xero!$E:$E,Heron!$A59)+SUMIFS(Xero!$F:$F,Xero!$B:$B,Heron!S$9,Xero!$A:$A,Heron!$A$5,Xero!$E:$E,Heron!$A59)</f>
        <v/>
      </c>
      <c r="T59" s="117">
        <f>SUMIFS(Xero!$F:$F,Xero!$B:$B,Heron!T$9,Xero!$A:$A,Heron!$A$4,Xero!$E:$E,Heron!$A59)+SUMIFS(Xero!$F:$F,Xero!$B:$B,Heron!T$9,Xero!$A:$A,Heron!$A$5,Xero!$E:$E,Heron!$A59)</f>
        <v/>
      </c>
      <c r="U59" s="117">
        <f>SUMIFS(Xero!$F:$F,Xero!$B:$B,Heron!U$9,Xero!$A:$A,Heron!$A$4,Xero!$E:$E,Heron!$A59)+SUMIFS(Xero!$F:$F,Xero!$B:$B,Heron!U$9,Xero!$A:$A,Heron!$A$5,Xero!$E:$E,Heron!$A59)</f>
        <v/>
      </c>
      <c r="V59" s="117">
        <f>SUMIFS(Xero!$F:$F,Xero!$B:$B,Heron!V$9,Xero!$A:$A,Heron!$A$4,Xero!$E:$E,Heron!$A59)+SUMIFS(Xero!$F:$F,Xero!$B:$B,Heron!V$9,Xero!$A:$A,Heron!$A$5,Xero!$E:$E,Heron!$A59)</f>
        <v/>
      </c>
      <c r="W59" s="117">
        <f>SUMIFS(Xero!$F:$F,Xero!$B:$B,Heron!W$9,Xero!$A:$A,Heron!$A$4,Xero!$E:$E,Heron!$A59)+SUMIFS(Xero!$F:$F,Xero!$B:$B,Heron!W$9,Xero!$A:$A,Heron!$A$5,Xero!$E:$E,Heron!$A59)</f>
        <v/>
      </c>
      <c r="X59" s="117">
        <f>SUMIFS(Xero!$F:$F,Xero!$B:$B,Heron!X$9,Xero!$A:$A,Heron!$A$4,Xero!$E:$E,Heron!$A59)+SUMIFS(Xero!$F:$F,Xero!$B:$B,Heron!X$9,Xero!$A:$A,Heron!$A$5,Xero!$E:$E,Heron!$A59)</f>
        <v/>
      </c>
      <c r="Y59" s="117">
        <f>SUMIFS(Xero!$F:$F,Xero!$B:$B,Heron!Y$9,Xero!$A:$A,Heron!$A$4,Xero!$E:$E,Heron!$A59)+SUMIFS(Xero!$F:$F,Xero!$B:$B,Heron!Y$9,Xero!$A:$A,Heron!$A$5,Xero!$E:$E,Heron!$A59)</f>
        <v/>
      </c>
      <c r="Z59" s="117">
        <f>SUMIFS(Xero!$F:$F,Xero!$B:$B,Heron!Z$9,Xero!$A:$A,Heron!$A$4,Xero!$E:$E,Heron!$A59)+SUMIFS(Xero!$F:$F,Xero!$B:$B,Heron!Z$9,Xero!$A:$A,Heron!$A$5,Xero!$E:$E,Heron!$A59)</f>
        <v/>
      </c>
      <c r="AA59" s="117">
        <f>SUMIFS(Xero!$F:$F,Xero!$B:$B,Heron!AA$9,Xero!$A:$A,Heron!$A$4,Xero!$E:$E,Heron!$A59)+SUMIFS(Xero!$F:$F,Xero!$B:$B,Heron!AA$9,Xero!$A:$A,Heron!$A$5,Xero!$E:$E,Heron!$A59)</f>
        <v/>
      </c>
      <c r="AB59" s="117">
        <f>SUMIFS(Xero!$F:$F,Xero!$B:$B,Heron!AB$9,Xero!$A:$A,Heron!$A$4,Xero!$E:$E,Heron!$A59)+SUMIFS(Xero!$F:$F,Xero!$B:$B,Heron!AB$9,Xero!$A:$A,Heron!$A$5,Xero!$E:$E,Heron!$A59)</f>
        <v/>
      </c>
      <c r="AC59" s="117">
        <f>SUMIFS(Xero!$F:$F,Xero!$B:$B,Heron!AC$9,Xero!$A:$A,Heron!$A$4,Xero!$E:$E,Heron!$A59)+SUMIFS(Xero!$F:$F,Xero!$B:$B,Heron!AC$9,Xero!$A:$A,Heron!$A$5,Xero!$E:$E,Heron!$A59)</f>
        <v/>
      </c>
      <c r="AD59" s="117">
        <f>SUMIFS(Xero!$F:$F,Xero!$B:$B,Heron!AD$9,Xero!$A:$A,Heron!$A$4,Xero!$E:$E,Heron!$A59)+SUMIFS(Xero!$F:$F,Xero!$B:$B,Heron!AD$9,Xero!$A:$A,Heron!$A$5,Xero!$E:$E,Heron!$A59)</f>
        <v/>
      </c>
      <c r="AE59" s="117">
        <f>SUMIFS(Xero!$F:$F,Xero!$B:$B,Heron!AE$9,Xero!$A:$A,Heron!$A$4,Xero!$E:$E,Heron!$A59)+SUMIFS(Xero!$F:$F,Xero!$B:$B,Heron!AE$9,Xero!$A:$A,Heron!$A$5,Xero!$E:$E,Heron!$A59)</f>
        <v/>
      </c>
      <c r="AF59" s="117">
        <f>SUMIFS(Xero!$F:$F,Xero!$B:$B,Heron!AF$9,Xero!$A:$A,Heron!$A$4,Xero!$E:$E,Heron!$A59)+SUMIFS(Xero!$F:$F,Xero!$B:$B,Heron!AF$9,Xero!$A:$A,Heron!$A$5,Xero!$E:$E,Heron!$A59)</f>
        <v/>
      </c>
      <c r="AG59" s="117">
        <f>SUMIFS(Xero!$F:$F,Xero!$B:$B,Heron!AG$9,Xero!$A:$A,Heron!$A$4,Xero!$E:$E,Heron!$A59)+SUMIFS(Xero!$F:$F,Xero!$B:$B,Heron!AG$9,Xero!$A:$A,Heron!$A$5,Xero!$E:$E,Heron!$A59)</f>
        <v/>
      </c>
      <c r="AH59" s="117">
        <f>SUMIFS(Xero!$F:$F,Xero!$B:$B,Heron!AH$9,Xero!$A:$A,Heron!$A$4,Xero!$E:$E,Heron!$A59)+SUMIFS(Xero!$F:$F,Xero!$B:$B,Heron!AH$9,Xero!$A:$A,Heron!$A$5,Xero!$E:$E,Heron!$A59)</f>
        <v/>
      </c>
      <c r="AI59" s="117">
        <f>SUMIFS(Xero!$F:$F,Xero!$B:$B,Heron!AI$9,Xero!$A:$A,Heron!$A$4,Xero!$E:$E,Heron!$A59)+SUMIFS(Xero!$F:$F,Xero!$B:$B,Heron!AI$9,Xero!$A:$A,Heron!$A$5,Xero!$E:$E,Heron!$A59)</f>
        <v/>
      </c>
      <c r="AJ59" s="117">
        <f>SUMIFS(Xero!$F:$F,Xero!$B:$B,Heron!AJ$9,Xero!$A:$A,Heron!$A$4,Xero!$E:$E,Heron!$A59)+SUMIFS(Xero!$F:$F,Xero!$B:$B,Heron!AJ$9,Xero!$A:$A,Heron!$A$5,Xero!$E:$E,Heron!$A59)</f>
        <v/>
      </c>
      <c r="AK59" s="117">
        <f>SUMIFS(Xero!$F:$F,Xero!$B:$B,Heron!AK$9,Xero!$A:$A,Heron!$A$4,Xero!$E:$E,Heron!$A59)+SUMIFS(Xero!$F:$F,Xero!$B:$B,Heron!AK$9,Xero!$A:$A,Heron!$A$5,Xero!$E:$E,Heron!$A59)</f>
        <v/>
      </c>
      <c r="AL59" s="117">
        <f>SUMIFS(Xero!$F:$F,Xero!$B:$B,Heron!AL$9,Xero!$A:$A,Heron!$A$4,Xero!$E:$E,Heron!$A59)+SUMIFS(Xero!$F:$F,Xero!$B:$B,Heron!AL$9,Xero!$A:$A,Heron!$A$5,Xero!$E:$E,Heron!$A59)</f>
        <v/>
      </c>
      <c r="AM59" s="117">
        <f>SUMIFS(Xero!$F:$F,Xero!$B:$B,Heron!AM$9,Xero!$A:$A,Heron!$A$4,Xero!$E:$E,Heron!$A59)+SUMIFS(Xero!$F:$F,Xero!$B:$B,Heron!AM$9,Xero!$A:$A,Heron!$A$5,Xero!$E:$E,Heron!$A59)</f>
        <v/>
      </c>
      <c r="AN59" s="117">
        <f>SUMIFS(Xero!$F:$F,Xero!$B:$B,Heron!AN$9,Xero!$A:$A,Heron!$A$4,Xero!$E:$E,Heron!$A59)+SUMIFS(Xero!$F:$F,Xero!$B:$B,Heron!AN$9,Xero!$A:$A,Heron!$A$5,Xero!$E:$E,Heron!$A59)</f>
        <v/>
      </c>
      <c r="AO59" s="117">
        <f>SUMIFS(Xero!$F:$F,Xero!$B:$B,Heron!AO$9,Xero!$A:$A,Heron!$A$4,Xero!$E:$E,Heron!$A59)+SUMIFS(Xero!$F:$F,Xero!$B:$B,Heron!AO$9,Xero!$A:$A,Heron!$A$5,Xero!$E:$E,Heron!$A59)</f>
        <v/>
      </c>
      <c r="AP59" s="117">
        <f>SUMIFS(Xero!$F:$F,Xero!$B:$B,Heron!AP$9,Xero!$A:$A,Heron!$A$4,Xero!$E:$E,Heron!$A59)+SUMIFS(Xero!$F:$F,Xero!$B:$B,Heron!AP$9,Xero!$A:$A,Heron!$A$5,Xero!$E:$E,Heron!$A59)</f>
        <v/>
      </c>
      <c r="AQ59" s="117">
        <f>SUMIFS(Xero!$F:$F,Xero!$B:$B,Heron!AQ$9,Xero!$A:$A,Heron!$A$4,Xero!$E:$E,Heron!$A59)+SUMIFS(Xero!$F:$F,Xero!$B:$B,Heron!AQ$9,Xero!$A:$A,Heron!$A$5,Xero!$E:$E,Heron!$A59)</f>
        <v/>
      </c>
      <c r="AR59" s="117">
        <f>SUMIFS(Xero!$F:$F,Xero!$B:$B,Heron!AR$9,Xero!$A:$A,Heron!$A$4,Xero!$E:$E,Heron!$A59)+SUMIFS(Xero!$F:$F,Xero!$B:$B,Heron!AR$9,Xero!$A:$A,Heron!$A$5,Xero!$E:$E,Heron!$A59)</f>
        <v/>
      </c>
      <c r="AS59" s="117">
        <f>SUMIFS(Xero!$F:$F,Xero!$B:$B,Heron!AS$9,Xero!$A:$A,Heron!$A$4,Xero!$E:$E,Heron!$A59)+SUMIFS(Xero!$F:$F,Xero!$B:$B,Heron!AS$9,Xero!$A:$A,Heron!$A$5,Xero!$E:$E,Heron!$A59)</f>
        <v/>
      </c>
      <c r="AT59" s="117">
        <f>SUMIFS(Xero!$F:$F,Xero!$B:$B,Heron!AT$9,Xero!$A:$A,Heron!$A$4,Xero!$E:$E,Heron!$A59)+SUMIFS(Xero!$F:$F,Xero!$B:$B,Heron!AT$9,Xero!$A:$A,Heron!$A$5,Xero!$E:$E,Heron!$A59)</f>
        <v/>
      </c>
      <c r="AU59" s="117">
        <f>SUMIFS(Xero!$F:$F,Xero!$B:$B,Heron!AU$9,Xero!$A:$A,Heron!$A$4,Xero!$E:$E,Heron!$A59)+SUMIFS(Xero!$F:$F,Xero!$B:$B,Heron!AU$9,Xero!$A:$A,Heron!$A$5,Xero!$E:$E,Heron!$A59)</f>
        <v/>
      </c>
      <c r="AV59" s="117">
        <f>SUMIFS(Xero!$F:$F,Xero!$B:$B,Heron!AV$9,Xero!$A:$A,Heron!$A$4,Xero!$E:$E,Heron!$A59)+SUMIFS(Xero!$F:$F,Xero!$B:$B,Heron!AV$9,Xero!$A:$A,Heron!$A$5,Xero!$E:$E,Heron!$A59)</f>
        <v/>
      </c>
      <c r="AW59" s="117">
        <f>SUMIFS(Xero!$F:$F,Xero!$B:$B,Heron!AW$9,Xero!$A:$A,Heron!$A$4,Xero!$E:$E,Heron!$A59)+SUMIFS(Xero!$F:$F,Xero!$B:$B,Heron!AW$9,Xero!$A:$A,Heron!$A$5,Xero!$E:$E,Heron!$A59)</f>
        <v/>
      </c>
      <c r="AX59" s="117">
        <f>SUMIFS(Xero!$F:$F,Xero!$B:$B,Heron!AX$9,Xero!$A:$A,Heron!$A$4,Xero!$E:$E,Heron!$A59)+SUMIFS(Xero!$F:$F,Xero!$B:$B,Heron!AX$9,Xero!$A:$A,Heron!$A$5,Xero!$E:$E,Heron!$A59)</f>
        <v/>
      </c>
      <c r="AY59" s="117">
        <f>SUMIFS(Xero!$F:$F,Xero!$B:$B,Heron!AY$9,Xero!$A:$A,Heron!$A$4,Xero!$E:$E,Heron!$A59)+SUMIFS(Xero!$F:$F,Xero!$B:$B,Heron!AY$9,Xero!$A:$A,Heron!$A$5,Xero!$E:$E,Heron!$A59)</f>
        <v/>
      </c>
      <c r="AZ59" s="117">
        <f>SUMIFS(Xero!$F:$F,Xero!$B:$B,Heron!AZ$9,Xero!$A:$A,Heron!$A$4,Xero!$E:$E,Heron!$A59)+SUMIFS(Xero!$F:$F,Xero!$B:$B,Heron!AZ$9,Xero!$A:$A,Heron!$A$5,Xero!$E:$E,Heron!$A59)</f>
        <v/>
      </c>
      <c r="BA59" s="117">
        <f>SUMIFS(Xero!$F:$F,Xero!$B:$B,Heron!BA$9,Xero!$A:$A,Heron!$A$4,Xero!$E:$E,Heron!$A59)+SUMIFS(Xero!$F:$F,Xero!$B:$B,Heron!BA$9,Xero!$A:$A,Heron!$A$5,Xero!$E:$E,Heron!$A59)</f>
        <v/>
      </c>
      <c r="BB59" s="117">
        <f>SUMIFS(Xero!$F:$F,Xero!$B:$B,Heron!BB$9,Xero!$A:$A,Heron!$A$4,Xero!$E:$E,Heron!$A59)+SUMIFS(Xero!$F:$F,Xero!$B:$B,Heron!BB$9,Xero!$A:$A,Heron!$A$5,Xero!$E:$E,Heron!$A59)</f>
        <v/>
      </c>
      <c r="BC59" s="117">
        <f>SUMIFS(Xero!$F:$F,Xero!$B:$B,Heron!BC$9,Xero!$A:$A,Heron!$A$4,Xero!$E:$E,Heron!$A59)+SUMIFS(Xero!$F:$F,Xero!$B:$B,Heron!BC$9,Xero!$A:$A,Heron!$A$5,Xero!$E:$E,Heron!$A59)</f>
        <v/>
      </c>
      <c r="BD59" s="117">
        <f>SUMIFS(Xero!$F:$F,Xero!$B:$B,Heron!BD$9,Xero!$A:$A,Heron!$A$4,Xero!$E:$E,Heron!$A59)+SUMIFS(Xero!$F:$F,Xero!$B:$B,Heron!BD$9,Xero!$A:$A,Heron!$A$5,Xero!$E:$E,Heron!$A59)</f>
        <v/>
      </c>
      <c r="BE59" s="117">
        <f>SUMIFS(Xero!$F:$F,Xero!$B:$B,Heron!BE$9,Xero!$A:$A,Heron!$A$4,Xero!$E:$E,Heron!$A59)+SUMIFS(Xero!$F:$F,Xero!$B:$B,Heron!BE$9,Xero!$A:$A,Heron!$A$5,Xero!$E:$E,Heron!$A59)</f>
        <v/>
      </c>
      <c r="BF59" s="117">
        <f>SUMIFS(Xero!$F:$F,Xero!$B:$B,Heron!BF$9,Xero!$A:$A,Heron!$A$4,Xero!$E:$E,Heron!$A59)+SUMIFS(Xero!$F:$F,Xero!$B:$B,Heron!BF$9,Xero!$A:$A,Heron!$A$5,Xero!$E:$E,Heron!$A59)</f>
        <v/>
      </c>
      <c r="BG59" s="117">
        <f>SUMIFS(Xero!$F:$F,Xero!$B:$B,Heron!BG$9,Xero!$A:$A,Heron!$A$4,Xero!$E:$E,Heron!$A59)+SUMIFS(Xero!$F:$F,Xero!$B:$B,Heron!BG$9,Xero!$A:$A,Heron!$A$5,Xero!$E:$E,Heron!$A59)</f>
        <v/>
      </c>
      <c r="BH59" s="117">
        <f>SUMIFS(Xero!$F:$F,Xero!$B:$B,Heron!BH$9,Xero!$A:$A,Heron!$A$4,Xero!$E:$E,Heron!$A59)+SUMIFS(Xero!$F:$F,Xero!$B:$B,Heron!BH$9,Xero!$A:$A,Heron!$A$5,Xero!$E:$E,Heron!$A59)</f>
        <v/>
      </c>
      <c r="BI59" s="117">
        <f>SUMIFS(Xero!$F:$F,Xero!$B:$B,Heron!BI$9,Xero!$A:$A,Heron!$A$4,Xero!$E:$E,Heron!$A59)+SUMIFS(Xero!$F:$F,Xero!$B:$B,Heron!BI$9,Xero!$A:$A,Heron!$A$5,Xero!$E:$E,Heron!$A59)</f>
        <v/>
      </c>
      <c r="BJ59" s="117">
        <f>SUMIFS(Xero!$F:$F,Xero!$B:$B,Heron!BJ$9,Xero!$A:$A,Heron!$A$4,Xero!$E:$E,Heron!$A59)+SUMIFS(Xero!$F:$F,Xero!$B:$B,Heron!BJ$9,Xero!$A:$A,Heron!$A$5,Xero!$E:$E,Heron!$A59)</f>
        <v/>
      </c>
      <c r="BK59" s="117">
        <f>sum(D59:BJ59)</f>
        <v/>
      </c>
    </row>
    <row r="60">
      <c r="A60" s="116" t="inlineStr">
        <is>
          <t>COS - Showhouse - HV</t>
        </is>
      </c>
      <c r="D60" s="117">
        <f>SUMIFS(Xero!$F:$F,Xero!$B:$B,Heron!D$9,Xero!$A:$A,Heron!$A$4,Xero!$E:$E,Heron!$A60)+SUMIFS(Xero!$F:$F,Xero!$B:$B,Heron!D$9,Xero!$A:$A,Heron!$A$5,Xero!$E:$E,Heron!$A60)</f>
        <v/>
      </c>
      <c r="E60" s="117">
        <f>SUMIFS(Xero!$F:$F,Xero!$B:$B,Heron!E$9,Xero!$A:$A,Heron!$A$4,Xero!$E:$E,Heron!$A60)+SUMIFS(Xero!$F:$F,Xero!$B:$B,Heron!E$9,Xero!$A:$A,Heron!$A$5,Xero!$E:$E,Heron!$A60)</f>
        <v/>
      </c>
      <c r="F60" s="117">
        <f>SUMIFS(Xero!$F:$F,Xero!$B:$B,Heron!F$9,Xero!$A:$A,Heron!$A$4,Xero!$E:$E,Heron!$A60)+SUMIFS(Xero!$F:$F,Xero!$B:$B,Heron!F$9,Xero!$A:$A,Heron!$A$5,Xero!$E:$E,Heron!$A60)</f>
        <v/>
      </c>
      <c r="G60" s="117">
        <f>SUMIFS(Xero!$F:$F,Xero!$B:$B,Heron!G$9,Xero!$A:$A,Heron!$A$4,Xero!$E:$E,Heron!$A60)+SUMIFS(Xero!$F:$F,Xero!$B:$B,Heron!G$9,Xero!$A:$A,Heron!$A$5,Xero!$E:$E,Heron!$A60)</f>
        <v/>
      </c>
      <c r="H60" s="117">
        <f>SUMIFS(Xero!$F:$F,Xero!$B:$B,Heron!H$9,Xero!$A:$A,Heron!$A$4,Xero!$E:$E,Heron!$A60)+SUMIFS(Xero!$F:$F,Xero!$B:$B,Heron!H$9,Xero!$A:$A,Heron!$A$5,Xero!$E:$E,Heron!$A60)</f>
        <v/>
      </c>
      <c r="I60" s="117">
        <f>SUMIFS(Xero!$F:$F,Xero!$B:$B,Heron!I$9,Xero!$A:$A,Heron!$A$4,Xero!$E:$E,Heron!$A60)+SUMIFS(Xero!$F:$F,Xero!$B:$B,Heron!I$9,Xero!$A:$A,Heron!$A$5,Xero!$E:$E,Heron!$A60)</f>
        <v/>
      </c>
      <c r="J60" s="117">
        <f>SUMIFS(Xero!$F:$F,Xero!$B:$B,Heron!J$9,Xero!$A:$A,Heron!$A$4,Xero!$E:$E,Heron!$A60)+SUMIFS(Xero!$F:$F,Xero!$B:$B,Heron!J$9,Xero!$A:$A,Heron!$A$5,Xero!$E:$E,Heron!$A60)</f>
        <v/>
      </c>
      <c r="K60" s="117">
        <f>SUMIFS(Xero!$F:$F,Xero!$B:$B,Heron!K$9,Xero!$A:$A,Heron!$A$4,Xero!$E:$E,Heron!$A60)+SUMIFS(Xero!$F:$F,Xero!$B:$B,Heron!K$9,Xero!$A:$A,Heron!$A$5,Xero!$E:$E,Heron!$A60)</f>
        <v/>
      </c>
      <c r="L60" s="117">
        <f>SUMIFS(Xero!$F:$F,Xero!$B:$B,Heron!L$9,Xero!$A:$A,Heron!$A$4,Xero!$E:$E,Heron!$A60)+SUMIFS(Xero!$F:$F,Xero!$B:$B,Heron!L$9,Xero!$A:$A,Heron!$A$5,Xero!$E:$E,Heron!$A60)</f>
        <v/>
      </c>
      <c r="M60" s="117">
        <f>SUMIFS(Xero!$F:$F,Xero!$B:$B,Heron!M$9,Xero!$A:$A,Heron!$A$4,Xero!$E:$E,Heron!$A60)+SUMIFS(Xero!$F:$F,Xero!$B:$B,Heron!M$9,Xero!$A:$A,Heron!$A$5,Xero!$E:$E,Heron!$A60)</f>
        <v/>
      </c>
      <c r="N60" s="117">
        <f>SUMIFS(Xero!$F:$F,Xero!$B:$B,Heron!N$9,Xero!$A:$A,Heron!$A$4,Xero!$E:$E,Heron!$A60)+SUMIFS(Xero!$F:$F,Xero!$B:$B,Heron!N$9,Xero!$A:$A,Heron!$A$5,Xero!$E:$E,Heron!$A60)</f>
        <v/>
      </c>
      <c r="O60" s="117">
        <f>SUMIFS(Xero!$F:$F,Xero!$B:$B,Heron!O$9,Xero!$A:$A,Heron!$A$4,Xero!$E:$E,Heron!$A60)+SUMIFS(Xero!$F:$F,Xero!$B:$B,Heron!O$9,Xero!$A:$A,Heron!$A$5,Xero!$E:$E,Heron!$A60)</f>
        <v/>
      </c>
      <c r="P60" s="117">
        <f>SUMIFS(Xero!$F:$F,Xero!$B:$B,Heron!P$9,Xero!$A:$A,Heron!$A$4,Xero!$E:$E,Heron!$A60)+SUMIFS(Xero!$F:$F,Xero!$B:$B,Heron!P$9,Xero!$A:$A,Heron!$A$5,Xero!$E:$E,Heron!$A60)</f>
        <v/>
      </c>
      <c r="Q60" s="117">
        <f>SUMIFS(Xero!$F:$F,Xero!$B:$B,Heron!Q$9,Xero!$A:$A,Heron!$A$4,Xero!$E:$E,Heron!$A60)+SUMIFS(Xero!$F:$F,Xero!$B:$B,Heron!Q$9,Xero!$A:$A,Heron!$A$5,Xero!$E:$E,Heron!$A60)</f>
        <v/>
      </c>
      <c r="R60" s="117">
        <f>SUMIFS(Xero!$F:$F,Xero!$B:$B,Heron!R$9,Xero!$A:$A,Heron!$A$4,Xero!$E:$E,Heron!$A60)+SUMIFS(Xero!$F:$F,Xero!$B:$B,Heron!R$9,Xero!$A:$A,Heron!$A$5,Xero!$E:$E,Heron!$A60)</f>
        <v/>
      </c>
      <c r="S60" s="117">
        <f>SUMIFS(Xero!$F:$F,Xero!$B:$B,Heron!S$9,Xero!$A:$A,Heron!$A$4,Xero!$E:$E,Heron!$A60)+SUMIFS(Xero!$F:$F,Xero!$B:$B,Heron!S$9,Xero!$A:$A,Heron!$A$5,Xero!$E:$E,Heron!$A60)</f>
        <v/>
      </c>
      <c r="T60" s="117">
        <f>SUMIFS(Xero!$F:$F,Xero!$B:$B,Heron!T$9,Xero!$A:$A,Heron!$A$4,Xero!$E:$E,Heron!$A60)+SUMIFS(Xero!$F:$F,Xero!$B:$B,Heron!T$9,Xero!$A:$A,Heron!$A$5,Xero!$E:$E,Heron!$A60)</f>
        <v/>
      </c>
      <c r="U60" s="117">
        <f>SUMIFS(Xero!$F:$F,Xero!$B:$B,Heron!U$9,Xero!$A:$A,Heron!$A$4,Xero!$E:$E,Heron!$A60)+SUMIFS(Xero!$F:$F,Xero!$B:$B,Heron!U$9,Xero!$A:$A,Heron!$A$5,Xero!$E:$E,Heron!$A60)</f>
        <v/>
      </c>
      <c r="V60" s="117">
        <f>SUMIFS(Xero!$F:$F,Xero!$B:$B,Heron!V$9,Xero!$A:$A,Heron!$A$4,Xero!$E:$E,Heron!$A60)+SUMIFS(Xero!$F:$F,Xero!$B:$B,Heron!V$9,Xero!$A:$A,Heron!$A$5,Xero!$E:$E,Heron!$A60)</f>
        <v/>
      </c>
      <c r="W60" s="117">
        <f>SUMIFS(Xero!$F:$F,Xero!$B:$B,Heron!W$9,Xero!$A:$A,Heron!$A$4,Xero!$E:$E,Heron!$A60)+SUMIFS(Xero!$F:$F,Xero!$B:$B,Heron!W$9,Xero!$A:$A,Heron!$A$5,Xero!$E:$E,Heron!$A60)</f>
        <v/>
      </c>
      <c r="X60" s="117">
        <f>SUMIFS(Xero!$F:$F,Xero!$B:$B,Heron!X$9,Xero!$A:$A,Heron!$A$4,Xero!$E:$E,Heron!$A60)+SUMIFS(Xero!$F:$F,Xero!$B:$B,Heron!X$9,Xero!$A:$A,Heron!$A$5,Xero!$E:$E,Heron!$A60)</f>
        <v/>
      </c>
      <c r="Y60" s="117">
        <f>SUMIFS(Xero!$F:$F,Xero!$B:$B,Heron!Y$9,Xero!$A:$A,Heron!$A$4,Xero!$E:$E,Heron!$A60)+SUMIFS(Xero!$F:$F,Xero!$B:$B,Heron!Y$9,Xero!$A:$A,Heron!$A$5,Xero!$E:$E,Heron!$A60)</f>
        <v/>
      </c>
      <c r="Z60" s="117">
        <f>SUMIFS(Xero!$F:$F,Xero!$B:$B,Heron!Z$9,Xero!$A:$A,Heron!$A$4,Xero!$E:$E,Heron!$A60)+SUMIFS(Xero!$F:$F,Xero!$B:$B,Heron!Z$9,Xero!$A:$A,Heron!$A$5,Xero!$E:$E,Heron!$A60)</f>
        <v/>
      </c>
      <c r="AA60" s="117">
        <f>SUMIFS(Xero!$F:$F,Xero!$B:$B,Heron!AA$9,Xero!$A:$A,Heron!$A$4,Xero!$E:$E,Heron!$A60)+SUMIFS(Xero!$F:$F,Xero!$B:$B,Heron!AA$9,Xero!$A:$A,Heron!$A$5,Xero!$E:$E,Heron!$A60)</f>
        <v/>
      </c>
      <c r="AB60" s="117">
        <f>SUMIFS(Xero!$F:$F,Xero!$B:$B,Heron!AB$9,Xero!$A:$A,Heron!$A$4,Xero!$E:$E,Heron!$A60)+SUMIFS(Xero!$F:$F,Xero!$B:$B,Heron!AB$9,Xero!$A:$A,Heron!$A$5,Xero!$E:$E,Heron!$A60)</f>
        <v/>
      </c>
      <c r="AC60" s="117">
        <f>SUMIFS(Xero!$F:$F,Xero!$B:$B,Heron!AC$9,Xero!$A:$A,Heron!$A$4,Xero!$E:$E,Heron!$A60)+SUMIFS(Xero!$F:$F,Xero!$B:$B,Heron!AC$9,Xero!$A:$A,Heron!$A$5,Xero!$E:$E,Heron!$A60)</f>
        <v/>
      </c>
      <c r="AD60" s="117">
        <f>SUMIFS(Xero!$F:$F,Xero!$B:$B,Heron!AD$9,Xero!$A:$A,Heron!$A$4,Xero!$E:$E,Heron!$A60)+SUMIFS(Xero!$F:$F,Xero!$B:$B,Heron!AD$9,Xero!$A:$A,Heron!$A$5,Xero!$E:$E,Heron!$A60)</f>
        <v/>
      </c>
      <c r="AE60" s="117">
        <f>SUMIFS(Xero!$F:$F,Xero!$B:$B,Heron!AE$9,Xero!$A:$A,Heron!$A$4,Xero!$E:$E,Heron!$A60)+SUMIFS(Xero!$F:$F,Xero!$B:$B,Heron!AE$9,Xero!$A:$A,Heron!$A$5,Xero!$E:$E,Heron!$A60)</f>
        <v/>
      </c>
      <c r="AF60" s="117">
        <f>SUMIFS(Xero!$F:$F,Xero!$B:$B,Heron!AF$9,Xero!$A:$A,Heron!$A$4,Xero!$E:$E,Heron!$A60)+SUMIFS(Xero!$F:$F,Xero!$B:$B,Heron!AF$9,Xero!$A:$A,Heron!$A$5,Xero!$E:$E,Heron!$A60)</f>
        <v/>
      </c>
      <c r="AG60" s="117">
        <f>SUMIFS(Xero!$F:$F,Xero!$B:$B,Heron!AG$9,Xero!$A:$A,Heron!$A$4,Xero!$E:$E,Heron!$A60)+SUMIFS(Xero!$F:$F,Xero!$B:$B,Heron!AG$9,Xero!$A:$A,Heron!$A$5,Xero!$E:$E,Heron!$A60)</f>
        <v/>
      </c>
      <c r="AH60" s="117">
        <f>SUMIFS(Xero!$F:$F,Xero!$B:$B,Heron!AH$9,Xero!$A:$A,Heron!$A$4,Xero!$E:$E,Heron!$A60)+SUMIFS(Xero!$F:$F,Xero!$B:$B,Heron!AH$9,Xero!$A:$A,Heron!$A$5,Xero!$E:$E,Heron!$A60)</f>
        <v/>
      </c>
      <c r="AI60" s="117">
        <f>SUMIFS(Xero!$F:$F,Xero!$B:$B,Heron!AI$9,Xero!$A:$A,Heron!$A$4,Xero!$E:$E,Heron!$A60)+SUMIFS(Xero!$F:$F,Xero!$B:$B,Heron!AI$9,Xero!$A:$A,Heron!$A$5,Xero!$E:$E,Heron!$A60)</f>
        <v/>
      </c>
      <c r="AJ60" s="117">
        <f>SUMIFS(Xero!$F:$F,Xero!$B:$B,Heron!AJ$9,Xero!$A:$A,Heron!$A$4,Xero!$E:$E,Heron!$A60)+SUMIFS(Xero!$F:$F,Xero!$B:$B,Heron!AJ$9,Xero!$A:$A,Heron!$A$5,Xero!$E:$E,Heron!$A60)</f>
        <v/>
      </c>
      <c r="AK60" s="117">
        <f>SUMIFS(Xero!$F:$F,Xero!$B:$B,Heron!AK$9,Xero!$A:$A,Heron!$A$4,Xero!$E:$E,Heron!$A60)+SUMIFS(Xero!$F:$F,Xero!$B:$B,Heron!AK$9,Xero!$A:$A,Heron!$A$5,Xero!$E:$E,Heron!$A60)</f>
        <v/>
      </c>
      <c r="AL60" s="117">
        <f>SUMIFS(Xero!$F:$F,Xero!$B:$B,Heron!AL$9,Xero!$A:$A,Heron!$A$4,Xero!$E:$E,Heron!$A60)+SUMIFS(Xero!$F:$F,Xero!$B:$B,Heron!AL$9,Xero!$A:$A,Heron!$A$5,Xero!$E:$E,Heron!$A60)</f>
        <v/>
      </c>
      <c r="AM60" s="117">
        <f>SUMIFS(Xero!$F:$F,Xero!$B:$B,Heron!AM$9,Xero!$A:$A,Heron!$A$4,Xero!$E:$E,Heron!$A60)+SUMIFS(Xero!$F:$F,Xero!$B:$B,Heron!AM$9,Xero!$A:$A,Heron!$A$5,Xero!$E:$E,Heron!$A60)</f>
        <v/>
      </c>
      <c r="AN60" s="117">
        <f>SUMIFS(Xero!$F:$F,Xero!$B:$B,Heron!AN$9,Xero!$A:$A,Heron!$A$4,Xero!$E:$E,Heron!$A60)+SUMIFS(Xero!$F:$F,Xero!$B:$B,Heron!AN$9,Xero!$A:$A,Heron!$A$5,Xero!$E:$E,Heron!$A60)</f>
        <v/>
      </c>
      <c r="AO60" s="117">
        <f>SUMIFS(Xero!$F:$F,Xero!$B:$B,Heron!AO$9,Xero!$A:$A,Heron!$A$4,Xero!$E:$E,Heron!$A60)+SUMIFS(Xero!$F:$F,Xero!$B:$B,Heron!AO$9,Xero!$A:$A,Heron!$A$5,Xero!$E:$E,Heron!$A60)</f>
        <v/>
      </c>
      <c r="AP60" s="117">
        <f>SUMIFS(Xero!$F:$F,Xero!$B:$B,Heron!AP$9,Xero!$A:$A,Heron!$A$4,Xero!$E:$E,Heron!$A60)+SUMIFS(Xero!$F:$F,Xero!$B:$B,Heron!AP$9,Xero!$A:$A,Heron!$A$5,Xero!$E:$E,Heron!$A60)</f>
        <v/>
      </c>
      <c r="AQ60" s="117">
        <f>SUMIFS(Xero!$F:$F,Xero!$B:$B,Heron!AQ$9,Xero!$A:$A,Heron!$A$4,Xero!$E:$E,Heron!$A60)+SUMIFS(Xero!$F:$F,Xero!$B:$B,Heron!AQ$9,Xero!$A:$A,Heron!$A$5,Xero!$E:$E,Heron!$A60)</f>
        <v/>
      </c>
      <c r="AR60" s="117">
        <f>SUMIFS(Xero!$F:$F,Xero!$B:$B,Heron!AR$9,Xero!$A:$A,Heron!$A$4,Xero!$E:$E,Heron!$A60)+SUMIFS(Xero!$F:$F,Xero!$B:$B,Heron!AR$9,Xero!$A:$A,Heron!$A$5,Xero!$E:$E,Heron!$A60)</f>
        <v/>
      </c>
      <c r="AS60" s="117">
        <f>SUMIFS(Xero!$F:$F,Xero!$B:$B,Heron!AS$9,Xero!$A:$A,Heron!$A$4,Xero!$E:$E,Heron!$A60)+SUMIFS(Xero!$F:$F,Xero!$B:$B,Heron!AS$9,Xero!$A:$A,Heron!$A$5,Xero!$E:$E,Heron!$A60)</f>
        <v/>
      </c>
      <c r="AT60" s="117">
        <f>SUMIFS(Xero!$F:$F,Xero!$B:$B,Heron!AT$9,Xero!$A:$A,Heron!$A$4,Xero!$E:$E,Heron!$A60)+SUMIFS(Xero!$F:$F,Xero!$B:$B,Heron!AT$9,Xero!$A:$A,Heron!$A$5,Xero!$E:$E,Heron!$A60)</f>
        <v/>
      </c>
      <c r="AU60" s="117">
        <f>SUMIFS(Xero!$F:$F,Xero!$B:$B,Heron!AU$9,Xero!$A:$A,Heron!$A$4,Xero!$E:$E,Heron!$A60)+SUMIFS(Xero!$F:$F,Xero!$B:$B,Heron!AU$9,Xero!$A:$A,Heron!$A$5,Xero!$E:$E,Heron!$A60)</f>
        <v/>
      </c>
      <c r="AV60" s="117">
        <f>SUMIFS(Xero!$F:$F,Xero!$B:$B,Heron!AV$9,Xero!$A:$A,Heron!$A$4,Xero!$E:$E,Heron!$A60)+SUMIFS(Xero!$F:$F,Xero!$B:$B,Heron!AV$9,Xero!$A:$A,Heron!$A$5,Xero!$E:$E,Heron!$A60)</f>
        <v/>
      </c>
      <c r="AW60" s="117">
        <f>SUMIFS(Xero!$F:$F,Xero!$B:$B,Heron!AW$9,Xero!$A:$A,Heron!$A$4,Xero!$E:$E,Heron!$A60)+SUMIFS(Xero!$F:$F,Xero!$B:$B,Heron!AW$9,Xero!$A:$A,Heron!$A$5,Xero!$E:$E,Heron!$A60)</f>
        <v/>
      </c>
      <c r="AX60" s="117">
        <f>SUMIFS(Xero!$F:$F,Xero!$B:$B,Heron!AX$9,Xero!$A:$A,Heron!$A$4,Xero!$E:$E,Heron!$A60)+SUMIFS(Xero!$F:$F,Xero!$B:$B,Heron!AX$9,Xero!$A:$A,Heron!$A$5,Xero!$E:$E,Heron!$A60)</f>
        <v/>
      </c>
      <c r="AY60" s="117">
        <f>SUMIFS(Xero!$F:$F,Xero!$B:$B,Heron!AY$9,Xero!$A:$A,Heron!$A$4,Xero!$E:$E,Heron!$A60)+SUMIFS(Xero!$F:$F,Xero!$B:$B,Heron!AY$9,Xero!$A:$A,Heron!$A$5,Xero!$E:$E,Heron!$A60)</f>
        <v/>
      </c>
      <c r="AZ60" s="117">
        <f>SUMIFS(Xero!$F:$F,Xero!$B:$B,Heron!AZ$9,Xero!$A:$A,Heron!$A$4,Xero!$E:$E,Heron!$A60)+SUMIFS(Xero!$F:$F,Xero!$B:$B,Heron!AZ$9,Xero!$A:$A,Heron!$A$5,Xero!$E:$E,Heron!$A60)</f>
        <v/>
      </c>
      <c r="BA60" s="117">
        <f>SUMIFS(Xero!$F:$F,Xero!$B:$B,Heron!BA$9,Xero!$A:$A,Heron!$A$4,Xero!$E:$E,Heron!$A60)+SUMIFS(Xero!$F:$F,Xero!$B:$B,Heron!BA$9,Xero!$A:$A,Heron!$A$5,Xero!$E:$E,Heron!$A60)</f>
        <v/>
      </c>
      <c r="BB60" s="117">
        <f>SUMIFS(Xero!$F:$F,Xero!$B:$B,Heron!BB$9,Xero!$A:$A,Heron!$A$4,Xero!$E:$E,Heron!$A60)+SUMIFS(Xero!$F:$F,Xero!$B:$B,Heron!BB$9,Xero!$A:$A,Heron!$A$5,Xero!$E:$E,Heron!$A60)</f>
        <v/>
      </c>
      <c r="BC60" s="117">
        <f>SUMIFS(Xero!$F:$F,Xero!$B:$B,Heron!BC$9,Xero!$A:$A,Heron!$A$4,Xero!$E:$E,Heron!$A60)+SUMIFS(Xero!$F:$F,Xero!$B:$B,Heron!BC$9,Xero!$A:$A,Heron!$A$5,Xero!$E:$E,Heron!$A60)</f>
        <v/>
      </c>
      <c r="BD60" s="117">
        <f>SUMIFS(Xero!$F:$F,Xero!$B:$B,Heron!BD$9,Xero!$A:$A,Heron!$A$4,Xero!$E:$E,Heron!$A60)+SUMIFS(Xero!$F:$F,Xero!$B:$B,Heron!BD$9,Xero!$A:$A,Heron!$A$5,Xero!$E:$E,Heron!$A60)</f>
        <v/>
      </c>
      <c r="BE60" s="117">
        <f>SUMIFS(Xero!$F:$F,Xero!$B:$B,Heron!BE$9,Xero!$A:$A,Heron!$A$4,Xero!$E:$E,Heron!$A60)+SUMIFS(Xero!$F:$F,Xero!$B:$B,Heron!BE$9,Xero!$A:$A,Heron!$A$5,Xero!$E:$E,Heron!$A60)</f>
        <v/>
      </c>
      <c r="BF60" s="117">
        <f>SUMIFS(Xero!$F:$F,Xero!$B:$B,Heron!BF$9,Xero!$A:$A,Heron!$A$4,Xero!$E:$E,Heron!$A60)+SUMIFS(Xero!$F:$F,Xero!$B:$B,Heron!BF$9,Xero!$A:$A,Heron!$A$5,Xero!$E:$E,Heron!$A60)</f>
        <v/>
      </c>
      <c r="BG60" s="117">
        <f>SUMIFS(Xero!$F:$F,Xero!$B:$B,Heron!BG$9,Xero!$A:$A,Heron!$A$4,Xero!$E:$E,Heron!$A60)+SUMIFS(Xero!$F:$F,Xero!$B:$B,Heron!BG$9,Xero!$A:$A,Heron!$A$5,Xero!$E:$E,Heron!$A60)</f>
        <v/>
      </c>
      <c r="BH60" s="117">
        <f>SUMIFS(Xero!$F:$F,Xero!$B:$B,Heron!BH$9,Xero!$A:$A,Heron!$A$4,Xero!$E:$E,Heron!$A60)+SUMIFS(Xero!$F:$F,Xero!$B:$B,Heron!BH$9,Xero!$A:$A,Heron!$A$5,Xero!$E:$E,Heron!$A60)</f>
        <v/>
      </c>
      <c r="BI60" s="117">
        <f>SUMIFS(Xero!$F:$F,Xero!$B:$B,Heron!BI$9,Xero!$A:$A,Heron!$A$4,Xero!$E:$E,Heron!$A60)+SUMIFS(Xero!$F:$F,Xero!$B:$B,Heron!BI$9,Xero!$A:$A,Heron!$A$5,Xero!$E:$E,Heron!$A60)</f>
        <v/>
      </c>
      <c r="BJ60" s="117">
        <f>SUMIFS(Xero!$F:$F,Xero!$B:$B,Heron!BJ$9,Xero!$A:$A,Heron!$A$4,Xero!$E:$E,Heron!$A60)+SUMIFS(Xero!$F:$F,Xero!$B:$B,Heron!BJ$9,Xero!$A:$A,Heron!$A$5,Xero!$E:$E,Heron!$A60)</f>
        <v/>
      </c>
      <c r="BK60" s="117">
        <f>sum(D60:BJ60)</f>
        <v/>
      </c>
    </row>
    <row r="61">
      <c r="A61" s="116" t="inlineStr">
        <is>
          <t>CoCT - Electricity</t>
        </is>
      </c>
      <c r="D61" s="117">
        <f>SUMIFS(Xero!$F:$F,Xero!$B:$B,Heron!D$9,Xero!$A:$A,Heron!$A$4,Xero!$E:$E,Heron!$A61)+SUMIFS(Xero!$F:$F,Xero!$B:$B,Heron!D$9,Xero!$A:$A,Heron!$A$5,Xero!$E:$E,Heron!$A61)</f>
        <v/>
      </c>
      <c r="E61" s="117">
        <f>SUMIFS(Xero!$F:$F,Xero!$B:$B,Heron!E$9,Xero!$A:$A,Heron!$A$4,Xero!$E:$E,Heron!$A61)+SUMIFS(Xero!$F:$F,Xero!$B:$B,Heron!E$9,Xero!$A:$A,Heron!$A$5,Xero!$E:$E,Heron!$A61)</f>
        <v/>
      </c>
      <c r="F61" s="117">
        <f>SUMIFS(Xero!$F:$F,Xero!$B:$B,Heron!F$9,Xero!$A:$A,Heron!$A$4,Xero!$E:$E,Heron!$A61)+SUMIFS(Xero!$F:$F,Xero!$B:$B,Heron!F$9,Xero!$A:$A,Heron!$A$5,Xero!$E:$E,Heron!$A61)</f>
        <v/>
      </c>
      <c r="G61" s="117">
        <f>SUMIFS(Xero!$F:$F,Xero!$B:$B,Heron!G$9,Xero!$A:$A,Heron!$A$4,Xero!$E:$E,Heron!$A61)+SUMIFS(Xero!$F:$F,Xero!$B:$B,Heron!G$9,Xero!$A:$A,Heron!$A$5,Xero!$E:$E,Heron!$A61)</f>
        <v/>
      </c>
      <c r="H61" s="117">
        <f>SUMIFS(Xero!$F:$F,Xero!$B:$B,Heron!H$9,Xero!$A:$A,Heron!$A$4,Xero!$E:$E,Heron!$A61)+SUMIFS(Xero!$F:$F,Xero!$B:$B,Heron!H$9,Xero!$A:$A,Heron!$A$5,Xero!$E:$E,Heron!$A61)</f>
        <v/>
      </c>
      <c r="I61" s="117">
        <f>SUMIFS(Xero!$F:$F,Xero!$B:$B,Heron!I$9,Xero!$A:$A,Heron!$A$4,Xero!$E:$E,Heron!$A61)+SUMIFS(Xero!$F:$F,Xero!$B:$B,Heron!I$9,Xero!$A:$A,Heron!$A$5,Xero!$E:$E,Heron!$A61)</f>
        <v/>
      </c>
      <c r="J61" s="117">
        <f>SUMIFS(Xero!$F:$F,Xero!$B:$B,Heron!J$9,Xero!$A:$A,Heron!$A$4,Xero!$E:$E,Heron!$A61)+SUMIFS(Xero!$F:$F,Xero!$B:$B,Heron!J$9,Xero!$A:$A,Heron!$A$5,Xero!$E:$E,Heron!$A61)</f>
        <v/>
      </c>
      <c r="K61" s="117">
        <f>SUMIFS(Xero!$F:$F,Xero!$B:$B,Heron!K$9,Xero!$A:$A,Heron!$A$4,Xero!$E:$E,Heron!$A61)+SUMIFS(Xero!$F:$F,Xero!$B:$B,Heron!K$9,Xero!$A:$A,Heron!$A$5,Xero!$E:$E,Heron!$A61)</f>
        <v/>
      </c>
      <c r="L61" s="117">
        <f>SUMIFS(Xero!$F:$F,Xero!$B:$B,Heron!L$9,Xero!$A:$A,Heron!$A$4,Xero!$E:$E,Heron!$A61)+SUMIFS(Xero!$F:$F,Xero!$B:$B,Heron!L$9,Xero!$A:$A,Heron!$A$5,Xero!$E:$E,Heron!$A61)</f>
        <v/>
      </c>
      <c r="M61" s="117">
        <f>SUMIFS(Xero!$F:$F,Xero!$B:$B,Heron!M$9,Xero!$A:$A,Heron!$A$4,Xero!$E:$E,Heron!$A61)+SUMIFS(Xero!$F:$F,Xero!$B:$B,Heron!M$9,Xero!$A:$A,Heron!$A$5,Xero!$E:$E,Heron!$A61)</f>
        <v/>
      </c>
      <c r="N61" s="117">
        <f>SUMIFS(Xero!$F:$F,Xero!$B:$B,Heron!N$9,Xero!$A:$A,Heron!$A$4,Xero!$E:$E,Heron!$A61)+SUMIFS(Xero!$F:$F,Xero!$B:$B,Heron!N$9,Xero!$A:$A,Heron!$A$5,Xero!$E:$E,Heron!$A61)</f>
        <v/>
      </c>
      <c r="O61" s="117">
        <f>SUMIFS(Xero!$F:$F,Xero!$B:$B,Heron!O$9,Xero!$A:$A,Heron!$A$4,Xero!$E:$E,Heron!$A61)+SUMIFS(Xero!$F:$F,Xero!$B:$B,Heron!O$9,Xero!$A:$A,Heron!$A$5,Xero!$E:$E,Heron!$A61)</f>
        <v/>
      </c>
      <c r="P61" s="117">
        <f>SUMIFS(Xero!$F:$F,Xero!$B:$B,Heron!P$9,Xero!$A:$A,Heron!$A$4,Xero!$E:$E,Heron!$A61)+SUMIFS(Xero!$F:$F,Xero!$B:$B,Heron!P$9,Xero!$A:$A,Heron!$A$5,Xero!$E:$E,Heron!$A61)</f>
        <v/>
      </c>
      <c r="Q61" s="117">
        <f>SUMIFS(Xero!$F:$F,Xero!$B:$B,Heron!Q$9,Xero!$A:$A,Heron!$A$4,Xero!$E:$E,Heron!$A61)+SUMIFS(Xero!$F:$F,Xero!$B:$B,Heron!Q$9,Xero!$A:$A,Heron!$A$5,Xero!$E:$E,Heron!$A61)</f>
        <v/>
      </c>
      <c r="R61" s="117">
        <f>SUMIFS(Xero!$F:$F,Xero!$B:$B,Heron!R$9,Xero!$A:$A,Heron!$A$4,Xero!$E:$E,Heron!$A61)+SUMIFS(Xero!$F:$F,Xero!$B:$B,Heron!R$9,Xero!$A:$A,Heron!$A$5,Xero!$E:$E,Heron!$A61)</f>
        <v/>
      </c>
      <c r="S61" s="117">
        <f>SUMIFS(Xero!$F:$F,Xero!$B:$B,Heron!S$9,Xero!$A:$A,Heron!$A$4,Xero!$E:$E,Heron!$A61)+SUMIFS(Xero!$F:$F,Xero!$B:$B,Heron!S$9,Xero!$A:$A,Heron!$A$5,Xero!$E:$E,Heron!$A61)</f>
        <v/>
      </c>
      <c r="T61" s="117">
        <f>SUMIFS(Xero!$F:$F,Xero!$B:$B,Heron!T$9,Xero!$A:$A,Heron!$A$4,Xero!$E:$E,Heron!$A61)+SUMIFS(Xero!$F:$F,Xero!$B:$B,Heron!T$9,Xero!$A:$A,Heron!$A$5,Xero!$E:$E,Heron!$A61)</f>
        <v/>
      </c>
      <c r="U61" s="117">
        <f>SUMIFS(Xero!$F:$F,Xero!$B:$B,Heron!U$9,Xero!$A:$A,Heron!$A$4,Xero!$E:$E,Heron!$A61)+SUMIFS(Xero!$F:$F,Xero!$B:$B,Heron!U$9,Xero!$A:$A,Heron!$A$5,Xero!$E:$E,Heron!$A61)</f>
        <v/>
      </c>
      <c r="V61" s="117">
        <f>SUMIFS(Xero!$F:$F,Xero!$B:$B,Heron!V$9,Xero!$A:$A,Heron!$A$4,Xero!$E:$E,Heron!$A61)+SUMIFS(Xero!$F:$F,Xero!$B:$B,Heron!V$9,Xero!$A:$A,Heron!$A$5,Xero!$E:$E,Heron!$A61)</f>
        <v/>
      </c>
      <c r="W61" s="117">
        <f>SUMIFS(Xero!$F:$F,Xero!$B:$B,Heron!W$9,Xero!$A:$A,Heron!$A$4,Xero!$E:$E,Heron!$A61)+SUMIFS(Xero!$F:$F,Xero!$B:$B,Heron!W$9,Xero!$A:$A,Heron!$A$5,Xero!$E:$E,Heron!$A61)</f>
        <v/>
      </c>
      <c r="X61" s="117">
        <f>SUMIFS(Xero!$F:$F,Xero!$B:$B,Heron!X$9,Xero!$A:$A,Heron!$A$4,Xero!$E:$E,Heron!$A61)+SUMIFS(Xero!$F:$F,Xero!$B:$B,Heron!X$9,Xero!$A:$A,Heron!$A$5,Xero!$E:$E,Heron!$A61)</f>
        <v/>
      </c>
      <c r="Y61" s="117">
        <f>SUMIFS(Xero!$F:$F,Xero!$B:$B,Heron!Y$9,Xero!$A:$A,Heron!$A$4,Xero!$E:$E,Heron!$A61)+SUMIFS(Xero!$F:$F,Xero!$B:$B,Heron!Y$9,Xero!$A:$A,Heron!$A$5,Xero!$E:$E,Heron!$A61)</f>
        <v/>
      </c>
      <c r="Z61" s="117">
        <f>SUMIFS(Xero!$F:$F,Xero!$B:$B,Heron!Z$9,Xero!$A:$A,Heron!$A$4,Xero!$E:$E,Heron!$A61)+SUMIFS(Xero!$F:$F,Xero!$B:$B,Heron!Z$9,Xero!$A:$A,Heron!$A$5,Xero!$E:$E,Heron!$A61)</f>
        <v/>
      </c>
      <c r="AA61" s="117">
        <f>SUMIFS(Xero!$F:$F,Xero!$B:$B,Heron!AA$9,Xero!$A:$A,Heron!$A$4,Xero!$E:$E,Heron!$A61)+SUMIFS(Xero!$F:$F,Xero!$B:$B,Heron!AA$9,Xero!$A:$A,Heron!$A$5,Xero!$E:$E,Heron!$A61)</f>
        <v/>
      </c>
      <c r="AB61" s="117">
        <f>SUMIFS(Xero!$F:$F,Xero!$B:$B,Heron!AB$9,Xero!$A:$A,Heron!$A$4,Xero!$E:$E,Heron!$A61)+SUMIFS(Xero!$F:$F,Xero!$B:$B,Heron!AB$9,Xero!$A:$A,Heron!$A$5,Xero!$E:$E,Heron!$A61)</f>
        <v/>
      </c>
      <c r="AC61" s="117">
        <f>SUMIFS(Xero!$F:$F,Xero!$B:$B,Heron!AC$9,Xero!$A:$A,Heron!$A$4,Xero!$E:$E,Heron!$A61)+SUMIFS(Xero!$F:$F,Xero!$B:$B,Heron!AC$9,Xero!$A:$A,Heron!$A$5,Xero!$E:$E,Heron!$A61)</f>
        <v/>
      </c>
      <c r="AD61" s="117">
        <f>SUMIFS(Xero!$F:$F,Xero!$B:$B,Heron!AD$9,Xero!$A:$A,Heron!$A$4,Xero!$E:$E,Heron!$A61)+SUMIFS(Xero!$F:$F,Xero!$B:$B,Heron!AD$9,Xero!$A:$A,Heron!$A$5,Xero!$E:$E,Heron!$A61)</f>
        <v/>
      </c>
      <c r="AE61" s="117">
        <f>SUMIFS(Xero!$F:$F,Xero!$B:$B,Heron!AE$9,Xero!$A:$A,Heron!$A$4,Xero!$E:$E,Heron!$A61)+SUMIFS(Xero!$F:$F,Xero!$B:$B,Heron!AE$9,Xero!$A:$A,Heron!$A$5,Xero!$E:$E,Heron!$A61)</f>
        <v/>
      </c>
      <c r="AF61" s="117">
        <f>SUMIFS(Xero!$F:$F,Xero!$B:$B,Heron!AF$9,Xero!$A:$A,Heron!$A$4,Xero!$E:$E,Heron!$A61)+SUMIFS(Xero!$F:$F,Xero!$B:$B,Heron!AF$9,Xero!$A:$A,Heron!$A$5,Xero!$E:$E,Heron!$A61)</f>
        <v/>
      </c>
      <c r="AG61" s="117">
        <f>SUMIFS(Xero!$F:$F,Xero!$B:$B,Heron!AG$9,Xero!$A:$A,Heron!$A$4,Xero!$E:$E,Heron!$A61)+SUMIFS(Xero!$F:$F,Xero!$B:$B,Heron!AG$9,Xero!$A:$A,Heron!$A$5,Xero!$E:$E,Heron!$A61)</f>
        <v/>
      </c>
      <c r="AH61" s="117">
        <f>SUMIFS(Xero!$F:$F,Xero!$B:$B,Heron!AH$9,Xero!$A:$A,Heron!$A$4,Xero!$E:$E,Heron!$A61)+SUMIFS(Xero!$F:$F,Xero!$B:$B,Heron!AH$9,Xero!$A:$A,Heron!$A$5,Xero!$E:$E,Heron!$A61)</f>
        <v/>
      </c>
      <c r="AI61" s="117">
        <f>SUMIFS(Xero!$F:$F,Xero!$B:$B,Heron!AI$9,Xero!$A:$A,Heron!$A$4,Xero!$E:$E,Heron!$A61)+SUMIFS(Xero!$F:$F,Xero!$B:$B,Heron!AI$9,Xero!$A:$A,Heron!$A$5,Xero!$E:$E,Heron!$A61)</f>
        <v/>
      </c>
      <c r="AJ61" s="117">
        <f>SUMIFS(Xero!$F:$F,Xero!$B:$B,Heron!AJ$9,Xero!$A:$A,Heron!$A$4,Xero!$E:$E,Heron!$A61)+SUMIFS(Xero!$F:$F,Xero!$B:$B,Heron!AJ$9,Xero!$A:$A,Heron!$A$5,Xero!$E:$E,Heron!$A61)</f>
        <v/>
      </c>
      <c r="AK61" s="117">
        <f>SUMIFS(Xero!$F:$F,Xero!$B:$B,Heron!AK$9,Xero!$A:$A,Heron!$A$4,Xero!$E:$E,Heron!$A61)+SUMIFS(Xero!$F:$F,Xero!$B:$B,Heron!AK$9,Xero!$A:$A,Heron!$A$5,Xero!$E:$E,Heron!$A61)</f>
        <v/>
      </c>
      <c r="AL61" s="117">
        <f>SUMIFS(Xero!$F:$F,Xero!$B:$B,Heron!AL$9,Xero!$A:$A,Heron!$A$4,Xero!$E:$E,Heron!$A61)+SUMIFS(Xero!$F:$F,Xero!$B:$B,Heron!AL$9,Xero!$A:$A,Heron!$A$5,Xero!$E:$E,Heron!$A61)</f>
        <v/>
      </c>
      <c r="AM61" s="117">
        <f>SUMIFS(Xero!$F:$F,Xero!$B:$B,Heron!AM$9,Xero!$A:$A,Heron!$A$4,Xero!$E:$E,Heron!$A61)+SUMIFS(Xero!$F:$F,Xero!$B:$B,Heron!AM$9,Xero!$A:$A,Heron!$A$5,Xero!$E:$E,Heron!$A61)</f>
        <v/>
      </c>
      <c r="AN61" s="117">
        <f>SUMIFS(Xero!$F:$F,Xero!$B:$B,Heron!AN$9,Xero!$A:$A,Heron!$A$4,Xero!$E:$E,Heron!$A61)+SUMIFS(Xero!$F:$F,Xero!$B:$B,Heron!AN$9,Xero!$A:$A,Heron!$A$5,Xero!$E:$E,Heron!$A61)</f>
        <v/>
      </c>
      <c r="AO61" s="117">
        <f>SUMIFS(Xero!$F:$F,Xero!$B:$B,Heron!AO$9,Xero!$A:$A,Heron!$A$4,Xero!$E:$E,Heron!$A61)+SUMIFS(Xero!$F:$F,Xero!$B:$B,Heron!AO$9,Xero!$A:$A,Heron!$A$5,Xero!$E:$E,Heron!$A61)</f>
        <v/>
      </c>
      <c r="AP61" s="117">
        <f>SUMIFS(Xero!$F:$F,Xero!$B:$B,Heron!AP$9,Xero!$A:$A,Heron!$A$4,Xero!$E:$E,Heron!$A61)+SUMIFS(Xero!$F:$F,Xero!$B:$B,Heron!AP$9,Xero!$A:$A,Heron!$A$5,Xero!$E:$E,Heron!$A61)</f>
        <v/>
      </c>
      <c r="AQ61" s="117">
        <f>SUMIFS(Xero!$F:$F,Xero!$B:$B,Heron!AQ$9,Xero!$A:$A,Heron!$A$4,Xero!$E:$E,Heron!$A61)+SUMIFS(Xero!$F:$F,Xero!$B:$B,Heron!AQ$9,Xero!$A:$A,Heron!$A$5,Xero!$E:$E,Heron!$A61)</f>
        <v/>
      </c>
      <c r="AR61" s="117">
        <f>SUMIFS(Xero!$F:$F,Xero!$B:$B,Heron!AR$9,Xero!$A:$A,Heron!$A$4,Xero!$E:$E,Heron!$A61)+SUMIFS(Xero!$F:$F,Xero!$B:$B,Heron!AR$9,Xero!$A:$A,Heron!$A$5,Xero!$E:$E,Heron!$A61)</f>
        <v/>
      </c>
      <c r="AS61" s="117">
        <f>SUMIFS(Xero!$F:$F,Xero!$B:$B,Heron!AS$9,Xero!$A:$A,Heron!$A$4,Xero!$E:$E,Heron!$A61)+SUMIFS(Xero!$F:$F,Xero!$B:$B,Heron!AS$9,Xero!$A:$A,Heron!$A$5,Xero!$E:$E,Heron!$A61)</f>
        <v/>
      </c>
      <c r="AT61" s="117">
        <f>SUMIFS(Xero!$F:$F,Xero!$B:$B,Heron!AT$9,Xero!$A:$A,Heron!$A$4,Xero!$E:$E,Heron!$A61)+SUMIFS(Xero!$F:$F,Xero!$B:$B,Heron!AT$9,Xero!$A:$A,Heron!$A$5,Xero!$E:$E,Heron!$A61)</f>
        <v/>
      </c>
      <c r="AU61" s="117">
        <f>SUMIFS(Xero!$F:$F,Xero!$B:$B,Heron!AU$9,Xero!$A:$A,Heron!$A$4,Xero!$E:$E,Heron!$A61)+SUMIFS(Xero!$F:$F,Xero!$B:$B,Heron!AU$9,Xero!$A:$A,Heron!$A$5,Xero!$E:$E,Heron!$A61)</f>
        <v/>
      </c>
      <c r="AV61" s="117">
        <f>SUMIFS(Xero!$F:$F,Xero!$B:$B,Heron!AV$9,Xero!$A:$A,Heron!$A$4,Xero!$E:$E,Heron!$A61)+SUMIFS(Xero!$F:$F,Xero!$B:$B,Heron!AV$9,Xero!$A:$A,Heron!$A$5,Xero!$E:$E,Heron!$A61)</f>
        <v/>
      </c>
      <c r="AW61" s="117">
        <f>SUMIFS(Xero!$F:$F,Xero!$B:$B,Heron!AW$9,Xero!$A:$A,Heron!$A$4,Xero!$E:$E,Heron!$A61)+SUMIFS(Xero!$F:$F,Xero!$B:$B,Heron!AW$9,Xero!$A:$A,Heron!$A$5,Xero!$E:$E,Heron!$A61)</f>
        <v/>
      </c>
      <c r="AX61" s="117">
        <f>SUMIFS(Xero!$F:$F,Xero!$B:$B,Heron!AX$9,Xero!$A:$A,Heron!$A$4,Xero!$E:$E,Heron!$A61)+SUMIFS(Xero!$F:$F,Xero!$B:$B,Heron!AX$9,Xero!$A:$A,Heron!$A$5,Xero!$E:$E,Heron!$A61)</f>
        <v/>
      </c>
      <c r="AY61" s="117">
        <f>SUMIFS(Xero!$F:$F,Xero!$B:$B,Heron!AY$9,Xero!$A:$A,Heron!$A$4,Xero!$E:$E,Heron!$A61)+SUMIFS(Xero!$F:$F,Xero!$B:$B,Heron!AY$9,Xero!$A:$A,Heron!$A$5,Xero!$E:$E,Heron!$A61)</f>
        <v/>
      </c>
      <c r="AZ61" s="117">
        <f>SUMIFS(Xero!$F:$F,Xero!$B:$B,Heron!AZ$9,Xero!$A:$A,Heron!$A$4,Xero!$E:$E,Heron!$A61)+SUMIFS(Xero!$F:$F,Xero!$B:$B,Heron!AZ$9,Xero!$A:$A,Heron!$A$5,Xero!$E:$E,Heron!$A61)</f>
        <v/>
      </c>
      <c r="BA61" s="117">
        <f>SUMIFS(Xero!$F:$F,Xero!$B:$B,Heron!BA$9,Xero!$A:$A,Heron!$A$4,Xero!$E:$E,Heron!$A61)+SUMIFS(Xero!$F:$F,Xero!$B:$B,Heron!BA$9,Xero!$A:$A,Heron!$A$5,Xero!$E:$E,Heron!$A61)</f>
        <v/>
      </c>
      <c r="BB61" s="117">
        <f>SUMIFS(Xero!$F:$F,Xero!$B:$B,Heron!BB$9,Xero!$A:$A,Heron!$A$4,Xero!$E:$E,Heron!$A61)+SUMIFS(Xero!$F:$F,Xero!$B:$B,Heron!BB$9,Xero!$A:$A,Heron!$A$5,Xero!$E:$E,Heron!$A61)</f>
        <v/>
      </c>
      <c r="BC61" s="117">
        <f>SUMIFS(Xero!$F:$F,Xero!$B:$B,Heron!BC$9,Xero!$A:$A,Heron!$A$4,Xero!$E:$E,Heron!$A61)+SUMIFS(Xero!$F:$F,Xero!$B:$B,Heron!BC$9,Xero!$A:$A,Heron!$A$5,Xero!$E:$E,Heron!$A61)</f>
        <v/>
      </c>
      <c r="BD61" s="117">
        <f>SUMIFS(Xero!$F:$F,Xero!$B:$B,Heron!BD$9,Xero!$A:$A,Heron!$A$4,Xero!$E:$E,Heron!$A61)+SUMIFS(Xero!$F:$F,Xero!$B:$B,Heron!BD$9,Xero!$A:$A,Heron!$A$5,Xero!$E:$E,Heron!$A61)</f>
        <v/>
      </c>
      <c r="BE61" s="117">
        <f>SUMIFS(Xero!$F:$F,Xero!$B:$B,Heron!BE$9,Xero!$A:$A,Heron!$A$4,Xero!$E:$E,Heron!$A61)+SUMIFS(Xero!$F:$F,Xero!$B:$B,Heron!BE$9,Xero!$A:$A,Heron!$A$5,Xero!$E:$E,Heron!$A61)</f>
        <v/>
      </c>
      <c r="BF61" s="117">
        <f>SUMIFS(Xero!$F:$F,Xero!$B:$B,Heron!BF$9,Xero!$A:$A,Heron!$A$4,Xero!$E:$E,Heron!$A61)+SUMIFS(Xero!$F:$F,Xero!$B:$B,Heron!BF$9,Xero!$A:$A,Heron!$A$5,Xero!$E:$E,Heron!$A61)</f>
        <v/>
      </c>
      <c r="BG61" s="117">
        <f>SUMIFS(Xero!$F:$F,Xero!$B:$B,Heron!BG$9,Xero!$A:$A,Heron!$A$4,Xero!$E:$E,Heron!$A61)+SUMIFS(Xero!$F:$F,Xero!$B:$B,Heron!BG$9,Xero!$A:$A,Heron!$A$5,Xero!$E:$E,Heron!$A61)</f>
        <v/>
      </c>
      <c r="BH61" s="117">
        <f>SUMIFS(Xero!$F:$F,Xero!$B:$B,Heron!BH$9,Xero!$A:$A,Heron!$A$4,Xero!$E:$E,Heron!$A61)+SUMIFS(Xero!$F:$F,Xero!$B:$B,Heron!BH$9,Xero!$A:$A,Heron!$A$5,Xero!$E:$E,Heron!$A61)</f>
        <v/>
      </c>
      <c r="BI61" s="117">
        <f>SUMIFS(Xero!$F:$F,Xero!$B:$B,Heron!BI$9,Xero!$A:$A,Heron!$A$4,Xero!$E:$E,Heron!$A61)+SUMIFS(Xero!$F:$F,Xero!$B:$B,Heron!BI$9,Xero!$A:$A,Heron!$A$5,Xero!$E:$E,Heron!$A61)</f>
        <v/>
      </c>
      <c r="BJ61" s="117">
        <f>SUMIFS(Xero!$F:$F,Xero!$B:$B,Heron!BJ$9,Xero!$A:$A,Heron!$A$4,Xero!$E:$E,Heron!$A61)+SUMIFS(Xero!$F:$F,Xero!$B:$B,Heron!BJ$9,Xero!$A:$A,Heron!$A$5,Xero!$E:$E,Heron!$A61)</f>
        <v/>
      </c>
      <c r="BK61" s="117">
        <f>sum(D61:BJ61)</f>
        <v/>
      </c>
    </row>
    <row r="62">
      <c r="A62" s="116" t="inlineStr">
        <is>
          <t>CoCT - Refuse</t>
        </is>
      </c>
      <c r="D62" s="117">
        <f>SUMIFS(Xero!$F:$F,Xero!$B:$B,Heron!D$9,Xero!$A:$A,Heron!$A$4,Xero!$E:$E,Heron!$A62)+SUMIFS(Xero!$F:$F,Xero!$B:$B,Heron!D$9,Xero!$A:$A,Heron!$A$5,Xero!$E:$E,Heron!$A62)</f>
        <v/>
      </c>
      <c r="E62" s="117">
        <f>SUMIFS(Xero!$F:$F,Xero!$B:$B,Heron!E$9,Xero!$A:$A,Heron!$A$4,Xero!$E:$E,Heron!$A62)+SUMIFS(Xero!$F:$F,Xero!$B:$B,Heron!E$9,Xero!$A:$A,Heron!$A$5,Xero!$E:$E,Heron!$A62)</f>
        <v/>
      </c>
      <c r="F62" s="117">
        <f>SUMIFS(Xero!$F:$F,Xero!$B:$B,Heron!F$9,Xero!$A:$A,Heron!$A$4,Xero!$E:$E,Heron!$A62)+SUMIFS(Xero!$F:$F,Xero!$B:$B,Heron!F$9,Xero!$A:$A,Heron!$A$5,Xero!$E:$E,Heron!$A62)</f>
        <v/>
      </c>
      <c r="G62" s="117">
        <f>SUMIFS(Xero!$F:$F,Xero!$B:$B,Heron!G$9,Xero!$A:$A,Heron!$A$4,Xero!$E:$E,Heron!$A62)+SUMIFS(Xero!$F:$F,Xero!$B:$B,Heron!G$9,Xero!$A:$A,Heron!$A$5,Xero!$E:$E,Heron!$A62)</f>
        <v/>
      </c>
      <c r="H62" s="117">
        <f>SUMIFS(Xero!$F:$F,Xero!$B:$B,Heron!H$9,Xero!$A:$A,Heron!$A$4,Xero!$E:$E,Heron!$A62)+SUMIFS(Xero!$F:$F,Xero!$B:$B,Heron!H$9,Xero!$A:$A,Heron!$A$5,Xero!$E:$E,Heron!$A62)</f>
        <v/>
      </c>
      <c r="I62" s="117">
        <f>SUMIFS(Xero!$F:$F,Xero!$B:$B,Heron!I$9,Xero!$A:$A,Heron!$A$4,Xero!$E:$E,Heron!$A62)+SUMIFS(Xero!$F:$F,Xero!$B:$B,Heron!I$9,Xero!$A:$A,Heron!$A$5,Xero!$E:$E,Heron!$A62)</f>
        <v/>
      </c>
      <c r="J62" s="117">
        <f>SUMIFS(Xero!$F:$F,Xero!$B:$B,Heron!J$9,Xero!$A:$A,Heron!$A$4,Xero!$E:$E,Heron!$A62)+SUMIFS(Xero!$F:$F,Xero!$B:$B,Heron!J$9,Xero!$A:$A,Heron!$A$5,Xero!$E:$E,Heron!$A62)</f>
        <v/>
      </c>
      <c r="K62" s="117">
        <f>SUMIFS(Xero!$F:$F,Xero!$B:$B,Heron!K$9,Xero!$A:$A,Heron!$A$4,Xero!$E:$E,Heron!$A62)+SUMIFS(Xero!$F:$F,Xero!$B:$B,Heron!K$9,Xero!$A:$A,Heron!$A$5,Xero!$E:$E,Heron!$A62)</f>
        <v/>
      </c>
      <c r="L62" s="117">
        <f>SUMIFS(Xero!$F:$F,Xero!$B:$B,Heron!L$9,Xero!$A:$A,Heron!$A$4,Xero!$E:$E,Heron!$A62)+SUMIFS(Xero!$F:$F,Xero!$B:$B,Heron!L$9,Xero!$A:$A,Heron!$A$5,Xero!$E:$E,Heron!$A62)</f>
        <v/>
      </c>
      <c r="M62" s="117">
        <f>SUMIFS(Xero!$F:$F,Xero!$B:$B,Heron!M$9,Xero!$A:$A,Heron!$A$4,Xero!$E:$E,Heron!$A62)+SUMIFS(Xero!$F:$F,Xero!$B:$B,Heron!M$9,Xero!$A:$A,Heron!$A$5,Xero!$E:$E,Heron!$A62)</f>
        <v/>
      </c>
      <c r="N62" s="117">
        <f>SUMIFS(Xero!$F:$F,Xero!$B:$B,Heron!N$9,Xero!$A:$A,Heron!$A$4,Xero!$E:$E,Heron!$A62)+SUMIFS(Xero!$F:$F,Xero!$B:$B,Heron!N$9,Xero!$A:$A,Heron!$A$5,Xero!$E:$E,Heron!$A62)</f>
        <v/>
      </c>
      <c r="O62" s="117">
        <f>SUMIFS(Xero!$F:$F,Xero!$B:$B,Heron!O$9,Xero!$A:$A,Heron!$A$4,Xero!$E:$E,Heron!$A62)+SUMIFS(Xero!$F:$F,Xero!$B:$B,Heron!O$9,Xero!$A:$A,Heron!$A$5,Xero!$E:$E,Heron!$A62)</f>
        <v/>
      </c>
      <c r="P62" s="117">
        <f>SUMIFS(Xero!$F:$F,Xero!$B:$B,Heron!P$9,Xero!$A:$A,Heron!$A$4,Xero!$E:$E,Heron!$A62)+SUMIFS(Xero!$F:$F,Xero!$B:$B,Heron!P$9,Xero!$A:$A,Heron!$A$5,Xero!$E:$E,Heron!$A62)</f>
        <v/>
      </c>
      <c r="Q62" s="117">
        <f>SUMIFS(Xero!$F:$F,Xero!$B:$B,Heron!Q$9,Xero!$A:$A,Heron!$A$4,Xero!$E:$E,Heron!$A62)+SUMIFS(Xero!$F:$F,Xero!$B:$B,Heron!Q$9,Xero!$A:$A,Heron!$A$5,Xero!$E:$E,Heron!$A62)</f>
        <v/>
      </c>
      <c r="R62" s="117">
        <f>SUMIFS(Xero!$F:$F,Xero!$B:$B,Heron!R$9,Xero!$A:$A,Heron!$A$4,Xero!$E:$E,Heron!$A62)+SUMIFS(Xero!$F:$F,Xero!$B:$B,Heron!R$9,Xero!$A:$A,Heron!$A$5,Xero!$E:$E,Heron!$A62)</f>
        <v/>
      </c>
      <c r="S62" s="117">
        <f>SUMIFS(Xero!$F:$F,Xero!$B:$B,Heron!S$9,Xero!$A:$A,Heron!$A$4,Xero!$E:$E,Heron!$A62)+SUMIFS(Xero!$F:$F,Xero!$B:$B,Heron!S$9,Xero!$A:$A,Heron!$A$5,Xero!$E:$E,Heron!$A62)</f>
        <v/>
      </c>
      <c r="T62" s="117">
        <f>SUMIFS(Xero!$F:$F,Xero!$B:$B,Heron!T$9,Xero!$A:$A,Heron!$A$4,Xero!$E:$E,Heron!$A62)+SUMIFS(Xero!$F:$F,Xero!$B:$B,Heron!T$9,Xero!$A:$A,Heron!$A$5,Xero!$E:$E,Heron!$A62)</f>
        <v/>
      </c>
      <c r="U62" s="117">
        <f>SUMIFS(Xero!$F:$F,Xero!$B:$B,Heron!U$9,Xero!$A:$A,Heron!$A$4,Xero!$E:$E,Heron!$A62)+SUMIFS(Xero!$F:$F,Xero!$B:$B,Heron!U$9,Xero!$A:$A,Heron!$A$5,Xero!$E:$E,Heron!$A62)</f>
        <v/>
      </c>
      <c r="V62" s="117">
        <f>SUMIFS(Xero!$F:$F,Xero!$B:$B,Heron!V$9,Xero!$A:$A,Heron!$A$4,Xero!$E:$E,Heron!$A62)+SUMIFS(Xero!$F:$F,Xero!$B:$B,Heron!V$9,Xero!$A:$A,Heron!$A$5,Xero!$E:$E,Heron!$A62)</f>
        <v/>
      </c>
      <c r="W62" s="117">
        <f>SUMIFS(Xero!$F:$F,Xero!$B:$B,Heron!W$9,Xero!$A:$A,Heron!$A$4,Xero!$E:$E,Heron!$A62)+SUMIFS(Xero!$F:$F,Xero!$B:$B,Heron!W$9,Xero!$A:$A,Heron!$A$5,Xero!$E:$E,Heron!$A62)</f>
        <v/>
      </c>
      <c r="X62" s="117">
        <f>SUMIFS(Xero!$F:$F,Xero!$B:$B,Heron!X$9,Xero!$A:$A,Heron!$A$4,Xero!$E:$E,Heron!$A62)+SUMIFS(Xero!$F:$F,Xero!$B:$B,Heron!X$9,Xero!$A:$A,Heron!$A$5,Xero!$E:$E,Heron!$A62)</f>
        <v/>
      </c>
      <c r="Y62" s="117">
        <f>SUMIFS(Xero!$F:$F,Xero!$B:$B,Heron!Y$9,Xero!$A:$A,Heron!$A$4,Xero!$E:$E,Heron!$A62)+SUMIFS(Xero!$F:$F,Xero!$B:$B,Heron!Y$9,Xero!$A:$A,Heron!$A$5,Xero!$E:$E,Heron!$A62)</f>
        <v/>
      </c>
      <c r="Z62" s="117">
        <f>SUMIFS(Xero!$F:$F,Xero!$B:$B,Heron!Z$9,Xero!$A:$A,Heron!$A$4,Xero!$E:$E,Heron!$A62)+SUMIFS(Xero!$F:$F,Xero!$B:$B,Heron!Z$9,Xero!$A:$A,Heron!$A$5,Xero!$E:$E,Heron!$A62)</f>
        <v/>
      </c>
      <c r="AA62" s="117">
        <f>SUMIFS(Xero!$F:$F,Xero!$B:$B,Heron!AA$9,Xero!$A:$A,Heron!$A$4,Xero!$E:$E,Heron!$A62)+SUMIFS(Xero!$F:$F,Xero!$B:$B,Heron!AA$9,Xero!$A:$A,Heron!$A$5,Xero!$E:$E,Heron!$A62)</f>
        <v/>
      </c>
      <c r="AB62" s="117">
        <f>SUMIFS(Xero!$F:$F,Xero!$B:$B,Heron!AB$9,Xero!$A:$A,Heron!$A$4,Xero!$E:$E,Heron!$A62)+SUMIFS(Xero!$F:$F,Xero!$B:$B,Heron!AB$9,Xero!$A:$A,Heron!$A$5,Xero!$E:$E,Heron!$A62)</f>
        <v/>
      </c>
      <c r="AC62" s="117">
        <f>SUMIFS(Xero!$F:$F,Xero!$B:$B,Heron!AC$9,Xero!$A:$A,Heron!$A$4,Xero!$E:$E,Heron!$A62)+SUMIFS(Xero!$F:$F,Xero!$B:$B,Heron!AC$9,Xero!$A:$A,Heron!$A$5,Xero!$E:$E,Heron!$A62)</f>
        <v/>
      </c>
      <c r="AD62" s="117">
        <f>SUMIFS(Xero!$F:$F,Xero!$B:$B,Heron!AD$9,Xero!$A:$A,Heron!$A$4,Xero!$E:$E,Heron!$A62)+SUMIFS(Xero!$F:$F,Xero!$B:$B,Heron!AD$9,Xero!$A:$A,Heron!$A$5,Xero!$E:$E,Heron!$A62)</f>
        <v/>
      </c>
      <c r="AE62" s="117">
        <f>SUMIFS(Xero!$F:$F,Xero!$B:$B,Heron!AE$9,Xero!$A:$A,Heron!$A$4,Xero!$E:$E,Heron!$A62)+SUMIFS(Xero!$F:$F,Xero!$B:$B,Heron!AE$9,Xero!$A:$A,Heron!$A$5,Xero!$E:$E,Heron!$A62)</f>
        <v/>
      </c>
      <c r="AF62" s="117">
        <f>SUMIFS(Xero!$F:$F,Xero!$B:$B,Heron!AF$9,Xero!$A:$A,Heron!$A$4,Xero!$E:$E,Heron!$A62)+SUMIFS(Xero!$F:$F,Xero!$B:$B,Heron!AF$9,Xero!$A:$A,Heron!$A$5,Xero!$E:$E,Heron!$A62)</f>
        <v/>
      </c>
      <c r="AG62" s="117">
        <f>SUMIFS(Xero!$F:$F,Xero!$B:$B,Heron!AG$9,Xero!$A:$A,Heron!$A$4,Xero!$E:$E,Heron!$A62)+SUMIFS(Xero!$F:$F,Xero!$B:$B,Heron!AG$9,Xero!$A:$A,Heron!$A$5,Xero!$E:$E,Heron!$A62)</f>
        <v/>
      </c>
      <c r="AH62" s="117">
        <f>SUMIFS(Xero!$F:$F,Xero!$B:$B,Heron!AH$9,Xero!$A:$A,Heron!$A$4,Xero!$E:$E,Heron!$A62)+SUMIFS(Xero!$F:$F,Xero!$B:$B,Heron!AH$9,Xero!$A:$A,Heron!$A$5,Xero!$E:$E,Heron!$A62)</f>
        <v/>
      </c>
      <c r="AI62" s="117">
        <f>SUMIFS(Xero!$F:$F,Xero!$B:$B,Heron!AI$9,Xero!$A:$A,Heron!$A$4,Xero!$E:$E,Heron!$A62)+SUMIFS(Xero!$F:$F,Xero!$B:$B,Heron!AI$9,Xero!$A:$A,Heron!$A$5,Xero!$E:$E,Heron!$A62)</f>
        <v/>
      </c>
      <c r="AJ62" s="117">
        <f>SUMIFS(Xero!$F:$F,Xero!$B:$B,Heron!AJ$9,Xero!$A:$A,Heron!$A$4,Xero!$E:$E,Heron!$A62)+SUMIFS(Xero!$F:$F,Xero!$B:$B,Heron!AJ$9,Xero!$A:$A,Heron!$A$5,Xero!$E:$E,Heron!$A62)</f>
        <v/>
      </c>
      <c r="AK62" s="117">
        <f>SUMIFS(Xero!$F:$F,Xero!$B:$B,Heron!AK$9,Xero!$A:$A,Heron!$A$4,Xero!$E:$E,Heron!$A62)+SUMIFS(Xero!$F:$F,Xero!$B:$B,Heron!AK$9,Xero!$A:$A,Heron!$A$5,Xero!$E:$E,Heron!$A62)</f>
        <v/>
      </c>
      <c r="AL62" s="117">
        <f>SUMIFS(Xero!$F:$F,Xero!$B:$B,Heron!AL$9,Xero!$A:$A,Heron!$A$4,Xero!$E:$E,Heron!$A62)+SUMIFS(Xero!$F:$F,Xero!$B:$B,Heron!AL$9,Xero!$A:$A,Heron!$A$5,Xero!$E:$E,Heron!$A62)</f>
        <v/>
      </c>
      <c r="AM62" s="117">
        <f>SUMIFS(Xero!$F:$F,Xero!$B:$B,Heron!AM$9,Xero!$A:$A,Heron!$A$4,Xero!$E:$E,Heron!$A62)+SUMIFS(Xero!$F:$F,Xero!$B:$B,Heron!AM$9,Xero!$A:$A,Heron!$A$5,Xero!$E:$E,Heron!$A62)</f>
        <v/>
      </c>
      <c r="AN62" s="117">
        <f>SUMIFS(Xero!$F:$F,Xero!$B:$B,Heron!AN$9,Xero!$A:$A,Heron!$A$4,Xero!$E:$E,Heron!$A62)+SUMIFS(Xero!$F:$F,Xero!$B:$B,Heron!AN$9,Xero!$A:$A,Heron!$A$5,Xero!$E:$E,Heron!$A62)</f>
        <v/>
      </c>
      <c r="AO62" s="117">
        <f>SUMIFS(Xero!$F:$F,Xero!$B:$B,Heron!AO$9,Xero!$A:$A,Heron!$A$4,Xero!$E:$E,Heron!$A62)+SUMIFS(Xero!$F:$F,Xero!$B:$B,Heron!AO$9,Xero!$A:$A,Heron!$A$5,Xero!$E:$E,Heron!$A62)</f>
        <v/>
      </c>
      <c r="AP62" s="117">
        <f>SUMIFS(Xero!$F:$F,Xero!$B:$B,Heron!AP$9,Xero!$A:$A,Heron!$A$4,Xero!$E:$E,Heron!$A62)+SUMIFS(Xero!$F:$F,Xero!$B:$B,Heron!AP$9,Xero!$A:$A,Heron!$A$5,Xero!$E:$E,Heron!$A62)</f>
        <v/>
      </c>
      <c r="AQ62" s="117">
        <f>SUMIFS(Xero!$F:$F,Xero!$B:$B,Heron!AQ$9,Xero!$A:$A,Heron!$A$4,Xero!$E:$E,Heron!$A62)+SUMIFS(Xero!$F:$F,Xero!$B:$B,Heron!AQ$9,Xero!$A:$A,Heron!$A$5,Xero!$E:$E,Heron!$A62)</f>
        <v/>
      </c>
      <c r="AR62" s="117">
        <f>SUMIFS(Xero!$F:$F,Xero!$B:$B,Heron!AR$9,Xero!$A:$A,Heron!$A$4,Xero!$E:$E,Heron!$A62)+SUMIFS(Xero!$F:$F,Xero!$B:$B,Heron!AR$9,Xero!$A:$A,Heron!$A$5,Xero!$E:$E,Heron!$A62)</f>
        <v/>
      </c>
      <c r="AS62" s="117">
        <f>SUMIFS(Xero!$F:$F,Xero!$B:$B,Heron!AS$9,Xero!$A:$A,Heron!$A$4,Xero!$E:$E,Heron!$A62)+SUMIFS(Xero!$F:$F,Xero!$B:$B,Heron!AS$9,Xero!$A:$A,Heron!$A$5,Xero!$E:$E,Heron!$A62)</f>
        <v/>
      </c>
      <c r="AT62" s="117">
        <f>SUMIFS(Xero!$F:$F,Xero!$B:$B,Heron!AT$9,Xero!$A:$A,Heron!$A$4,Xero!$E:$E,Heron!$A62)+SUMIFS(Xero!$F:$F,Xero!$B:$B,Heron!AT$9,Xero!$A:$A,Heron!$A$5,Xero!$E:$E,Heron!$A62)</f>
        <v/>
      </c>
      <c r="AU62" s="117">
        <f>SUMIFS(Xero!$F:$F,Xero!$B:$B,Heron!AU$9,Xero!$A:$A,Heron!$A$4,Xero!$E:$E,Heron!$A62)+SUMIFS(Xero!$F:$F,Xero!$B:$B,Heron!AU$9,Xero!$A:$A,Heron!$A$5,Xero!$E:$E,Heron!$A62)</f>
        <v/>
      </c>
      <c r="AV62" s="117">
        <f>SUMIFS(Xero!$F:$F,Xero!$B:$B,Heron!AV$9,Xero!$A:$A,Heron!$A$4,Xero!$E:$E,Heron!$A62)+SUMIFS(Xero!$F:$F,Xero!$B:$B,Heron!AV$9,Xero!$A:$A,Heron!$A$5,Xero!$E:$E,Heron!$A62)</f>
        <v/>
      </c>
      <c r="AW62" s="117">
        <f>SUMIFS(Xero!$F:$F,Xero!$B:$B,Heron!AW$9,Xero!$A:$A,Heron!$A$4,Xero!$E:$E,Heron!$A62)+SUMIFS(Xero!$F:$F,Xero!$B:$B,Heron!AW$9,Xero!$A:$A,Heron!$A$5,Xero!$E:$E,Heron!$A62)</f>
        <v/>
      </c>
      <c r="AX62" s="117">
        <f>SUMIFS(Xero!$F:$F,Xero!$B:$B,Heron!AX$9,Xero!$A:$A,Heron!$A$4,Xero!$E:$E,Heron!$A62)+SUMIFS(Xero!$F:$F,Xero!$B:$B,Heron!AX$9,Xero!$A:$A,Heron!$A$5,Xero!$E:$E,Heron!$A62)</f>
        <v/>
      </c>
      <c r="AY62" s="117">
        <f>SUMIFS(Xero!$F:$F,Xero!$B:$B,Heron!AY$9,Xero!$A:$A,Heron!$A$4,Xero!$E:$E,Heron!$A62)+SUMIFS(Xero!$F:$F,Xero!$B:$B,Heron!AY$9,Xero!$A:$A,Heron!$A$5,Xero!$E:$E,Heron!$A62)</f>
        <v/>
      </c>
      <c r="AZ62" s="117">
        <f>SUMIFS(Xero!$F:$F,Xero!$B:$B,Heron!AZ$9,Xero!$A:$A,Heron!$A$4,Xero!$E:$E,Heron!$A62)+SUMIFS(Xero!$F:$F,Xero!$B:$B,Heron!AZ$9,Xero!$A:$A,Heron!$A$5,Xero!$E:$E,Heron!$A62)</f>
        <v/>
      </c>
      <c r="BA62" s="117">
        <f>SUMIFS(Xero!$F:$F,Xero!$B:$B,Heron!BA$9,Xero!$A:$A,Heron!$A$4,Xero!$E:$E,Heron!$A62)+SUMIFS(Xero!$F:$F,Xero!$B:$B,Heron!BA$9,Xero!$A:$A,Heron!$A$5,Xero!$E:$E,Heron!$A62)</f>
        <v/>
      </c>
      <c r="BB62" s="117">
        <f>SUMIFS(Xero!$F:$F,Xero!$B:$B,Heron!BB$9,Xero!$A:$A,Heron!$A$4,Xero!$E:$E,Heron!$A62)+SUMIFS(Xero!$F:$F,Xero!$B:$B,Heron!BB$9,Xero!$A:$A,Heron!$A$5,Xero!$E:$E,Heron!$A62)</f>
        <v/>
      </c>
      <c r="BC62" s="117">
        <f>SUMIFS(Xero!$F:$F,Xero!$B:$B,Heron!BC$9,Xero!$A:$A,Heron!$A$4,Xero!$E:$E,Heron!$A62)+SUMIFS(Xero!$F:$F,Xero!$B:$B,Heron!BC$9,Xero!$A:$A,Heron!$A$5,Xero!$E:$E,Heron!$A62)</f>
        <v/>
      </c>
      <c r="BD62" s="117">
        <f>SUMIFS(Xero!$F:$F,Xero!$B:$B,Heron!BD$9,Xero!$A:$A,Heron!$A$4,Xero!$E:$E,Heron!$A62)+SUMIFS(Xero!$F:$F,Xero!$B:$B,Heron!BD$9,Xero!$A:$A,Heron!$A$5,Xero!$E:$E,Heron!$A62)</f>
        <v/>
      </c>
      <c r="BE62" s="117">
        <f>SUMIFS(Xero!$F:$F,Xero!$B:$B,Heron!BE$9,Xero!$A:$A,Heron!$A$4,Xero!$E:$E,Heron!$A62)+SUMIFS(Xero!$F:$F,Xero!$B:$B,Heron!BE$9,Xero!$A:$A,Heron!$A$5,Xero!$E:$E,Heron!$A62)</f>
        <v/>
      </c>
      <c r="BF62" s="117">
        <f>SUMIFS(Xero!$F:$F,Xero!$B:$B,Heron!BF$9,Xero!$A:$A,Heron!$A$4,Xero!$E:$E,Heron!$A62)+SUMIFS(Xero!$F:$F,Xero!$B:$B,Heron!BF$9,Xero!$A:$A,Heron!$A$5,Xero!$E:$E,Heron!$A62)</f>
        <v/>
      </c>
      <c r="BG62" s="117">
        <f>SUMIFS(Xero!$F:$F,Xero!$B:$B,Heron!BG$9,Xero!$A:$A,Heron!$A$4,Xero!$E:$E,Heron!$A62)+SUMIFS(Xero!$F:$F,Xero!$B:$B,Heron!BG$9,Xero!$A:$A,Heron!$A$5,Xero!$E:$E,Heron!$A62)</f>
        <v/>
      </c>
      <c r="BH62" s="117">
        <f>SUMIFS(Xero!$F:$F,Xero!$B:$B,Heron!BH$9,Xero!$A:$A,Heron!$A$4,Xero!$E:$E,Heron!$A62)+SUMIFS(Xero!$F:$F,Xero!$B:$B,Heron!BH$9,Xero!$A:$A,Heron!$A$5,Xero!$E:$E,Heron!$A62)</f>
        <v/>
      </c>
      <c r="BI62" s="117">
        <f>SUMIFS(Xero!$F:$F,Xero!$B:$B,Heron!BI$9,Xero!$A:$A,Heron!$A$4,Xero!$E:$E,Heron!$A62)+SUMIFS(Xero!$F:$F,Xero!$B:$B,Heron!BI$9,Xero!$A:$A,Heron!$A$5,Xero!$E:$E,Heron!$A62)</f>
        <v/>
      </c>
      <c r="BJ62" s="117">
        <f>SUMIFS(Xero!$F:$F,Xero!$B:$B,Heron!BJ$9,Xero!$A:$A,Heron!$A$4,Xero!$E:$E,Heron!$A62)+SUMIFS(Xero!$F:$F,Xero!$B:$B,Heron!BJ$9,Xero!$A:$A,Heron!$A$5,Xero!$E:$E,Heron!$A62)</f>
        <v/>
      </c>
      <c r="BK62" s="117">
        <f>sum(D62:BJ62)</f>
        <v/>
      </c>
    </row>
    <row r="63">
      <c r="A63" s="116" t="inlineStr">
        <is>
          <t>CoCT - Water</t>
        </is>
      </c>
      <c r="D63" s="117">
        <f>SUMIFS(Xero!$F:$F,Xero!$B:$B,Heron!D$9,Xero!$A:$A,Heron!$A$4,Xero!$E:$E,Heron!$A63)+SUMIFS(Xero!$F:$F,Xero!$B:$B,Heron!D$9,Xero!$A:$A,Heron!$A$5,Xero!$E:$E,Heron!$A63)</f>
        <v/>
      </c>
      <c r="E63" s="117">
        <f>SUMIFS(Xero!$F:$F,Xero!$B:$B,Heron!E$9,Xero!$A:$A,Heron!$A$4,Xero!$E:$E,Heron!$A63)+SUMIFS(Xero!$F:$F,Xero!$B:$B,Heron!E$9,Xero!$A:$A,Heron!$A$5,Xero!$E:$E,Heron!$A63)</f>
        <v/>
      </c>
      <c r="F63" s="117">
        <f>SUMIFS(Xero!$F:$F,Xero!$B:$B,Heron!F$9,Xero!$A:$A,Heron!$A$4,Xero!$E:$E,Heron!$A63)+SUMIFS(Xero!$F:$F,Xero!$B:$B,Heron!F$9,Xero!$A:$A,Heron!$A$5,Xero!$E:$E,Heron!$A63)</f>
        <v/>
      </c>
      <c r="G63" s="117">
        <f>SUMIFS(Xero!$F:$F,Xero!$B:$B,Heron!G$9,Xero!$A:$A,Heron!$A$4,Xero!$E:$E,Heron!$A63)+SUMIFS(Xero!$F:$F,Xero!$B:$B,Heron!G$9,Xero!$A:$A,Heron!$A$5,Xero!$E:$E,Heron!$A63)</f>
        <v/>
      </c>
      <c r="H63" s="117">
        <f>SUMIFS(Xero!$F:$F,Xero!$B:$B,Heron!H$9,Xero!$A:$A,Heron!$A$4,Xero!$E:$E,Heron!$A63)+SUMIFS(Xero!$F:$F,Xero!$B:$B,Heron!H$9,Xero!$A:$A,Heron!$A$5,Xero!$E:$E,Heron!$A63)</f>
        <v/>
      </c>
      <c r="I63" s="117">
        <f>SUMIFS(Xero!$F:$F,Xero!$B:$B,Heron!I$9,Xero!$A:$A,Heron!$A$4,Xero!$E:$E,Heron!$A63)+SUMIFS(Xero!$F:$F,Xero!$B:$B,Heron!I$9,Xero!$A:$A,Heron!$A$5,Xero!$E:$E,Heron!$A63)</f>
        <v/>
      </c>
      <c r="J63" s="117">
        <f>SUMIFS(Xero!$F:$F,Xero!$B:$B,Heron!J$9,Xero!$A:$A,Heron!$A$4,Xero!$E:$E,Heron!$A63)+SUMIFS(Xero!$F:$F,Xero!$B:$B,Heron!J$9,Xero!$A:$A,Heron!$A$5,Xero!$E:$E,Heron!$A63)</f>
        <v/>
      </c>
      <c r="K63" s="117">
        <f>SUMIFS(Xero!$F:$F,Xero!$B:$B,Heron!K$9,Xero!$A:$A,Heron!$A$4,Xero!$E:$E,Heron!$A63)+SUMIFS(Xero!$F:$F,Xero!$B:$B,Heron!K$9,Xero!$A:$A,Heron!$A$5,Xero!$E:$E,Heron!$A63)</f>
        <v/>
      </c>
      <c r="L63" s="117">
        <f>SUMIFS(Xero!$F:$F,Xero!$B:$B,Heron!L$9,Xero!$A:$A,Heron!$A$4,Xero!$E:$E,Heron!$A63)+SUMIFS(Xero!$F:$F,Xero!$B:$B,Heron!L$9,Xero!$A:$A,Heron!$A$5,Xero!$E:$E,Heron!$A63)</f>
        <v/>
      </c>
      <c r="M63" s="117">
        <f>SUMIFS(Xero!$F:$F,Xero!$B:$B,Heron!M$9,Xero!$A:$A,Heron!$A$4,Xero!$E:$E,Heron!$A63)+SUMIFS(Xero!$F:$F,Xero!$B:$B,Heron!M$9,Xero!$A:$A,Heron!$A$5,Xero!$E:$E,Heron!$A63)</f>
        <v/>
      </c>
      <c r="N63" s="117">
        <f>SUMIFS(Xero!$F:$F,Xero!$B:$B,Heron!N$9,Xero!$A:$A,Heron!$A$4,Xero!$E:$E,Heron!$A63)+SUMIFS(Xero!$F:$F,Xero!$B:$B,Heron!N$9,Xero!$A:$A,Heron!$A$5,Xero!$E:$E,Heron!$A63)</f>
        <v/>
      </c>
      <c r="O63" s="117">
        <f>SUMIFS(Xero!$F:$F,Xero!$B:$B,Heron!O$9,Xero!$A:$A,Heron!$A$4,Xero!$E:$E,Heron!$A63)+SUMIFS(Xero!$F:$F,Xero!$B:$B,Heron!O$9,Xero!$A:$A,Heron!$A$5,Xero!$E:$E,Heron!$A63)</f>
        <v/>
      </c>
      <c r="P63" s="117">
        <f>SUMIFS(Xero!$F:$F,Xero!$B:$B,Heron!P$9,Xero!$A:$A,Heron!$A$4,Xero!$E:$E,Heron!$A63)+SUMIFS(Xero!$F:$F,Xero!$B:$B,Heron!P$9,Xero!$A:$A,Heron!$A$5,Xero!$E:$E,Heron!$A63)</f>
        <v/>
      </c>
      <c r="Q63" s="117">
        <f>SUMIFS(Xero!$F:$F,Xero!$B:$B,Heron!Q$9,Xero!$A:$A,Heron!$A$4,Xero!$E:$E,Heron!$A63)+SUMIFS(Xero!$F:$F,Xero!$B:$B,Heron!Q$9,Xero!$A:$A,Heron!$A$5,Xero!$E:$E,Heron!$A63)</f>
        <v/>
      </c>
      <c r="R63" s="117">
        <f>SUMIFS(Xero!$F:$F,Xero!$B:$B,Heron!R$9,Xero!$A:$A,Heron!$A$4,Xero!$E:$E,Heron!$A63)+SUMIFS(Xero!$F:$F,Xero!$B:$B,Heron!R$9,Xero!$A:$A,Heron!$A$5,Xero!$E:$E,Heron!$A63)</f>
        <v/>
      </c>
      <c r="S63" s="117">
        <f>SUMIFS(Xero!$F:$F,Xero!$B:$B,Heron!S$9,Xero!$A:$A,Heron!$A$4,Xero!$E:$E,Heron!$A63)+SUMIFS(Xero!$F:$F,Xero!$B:$B,Heron!S$9,Xero!$A:$A,Heron!$A$5,Xero!$E:$E,Heron!$A63)</f>
        <v/>
      </c>
      <c r="T63" s="117">
        <f>SUMIFS(Xero!$F:$F,Xero!$B:$B,Heron!T$9,Xero!$A:$A,Heron!$A$4,Xero!$E:$E,Heron!$A63)+SUMIFS(Xero!$F:$F,Xero!$B:$B,Heron!T$9,Xero!$A:$A,Heron!$A$5,Xero!$E:$E,Heron!$A63)</f>
        <v/>
      </c>
      <c r="U63" s="117">
        <f>SUMIFS(Xero!$F:$F,Xero!$B:$B,Heron!U$9,Xero!$A:$A,Heron!$A$4,Xero!$E:$E,Heron!$A63)+SUMIFS(Xero!$F:$F,Xero!$B:$B,Heron!U$9,Xero!$A:$A,Heron!$A$5,Xero!$E:$E,Heron!$A63)</f>
        <v/>
      </c>
      <c r="V63" s="117">
        <f>SUMIFS(Xero!$F:$F,Xero!$B:$B,Heron!V$9,Xero!$A:$A,Heron!$A$4,Xero!$E:$E,Heron!$A63)+SUMIFS(Xero!$F:$F,Xero!$B:$B,Heron!V$9,Xero!$A:$A,Heron!$A$5,Xero!$E:$E,Heron!$A63)</f>
        <v/>
      </c>
      <c r="W63" s="117">
        <f>SUMIFS(Xero!$F:$F,Xero!$B:$B,Heron!W$9,Xero!$A:$A,Heron!$A$4,Xero!$E:$E,Heron!$A63)+SUMIFS(Xero!$F:$F,Xero!$B:$B,Heron!W$9,Xero!$A:$A,Heron!$A$5,Xero!$E:$E,Heron!$A63)</f>
        <v/>
      </c>
      <c r="X63" s="117">
        <f>SUMIFS(Xero!$F:$F,Xero!$B:$B,Heron!X$9,Xero!$A:$A,Heron!$A$4,Xero!$E:$E,Heron!$A63)+SUMIFS(Xero!$F:$F,Xero!$B:$B,Heron!X$9,Xero!$A:$A,Heron!$A$5,Xero!$E:$E,Heron!$A63)</f>
        <v/>
      </c>
      <c r="Y63" s="117">
        <f>SUMIFS(Xero!$F:$F,Xero!$B:$B,Heron!Y$9,Xero!$A:$A,Heron!$A$4,Xero!$E:$E,Heron!$A63)+SUMIFS(Xero!$F:$F,Xero!$B:$B,Heron!Y$9,Xero!$A:$A,Heron!$A$5,Xero!$E:$E,Heron!$A63)</f>
        <v/>
      </c>
      <c r="Z63" s="117">
        <f>SUMIFS(Xero!$F:$F,Xero!$B:$B,Heron!Z$9,Xero!$A:$A,Heron!$A$4,Xero!$E:$E,Heron!$A63)+SUMIFS(Xero!$F:$F,Xero!$B:$B,Heron!Z$9,Xero!$A:$A,Heron!$A$5,Xero!$E:$E,Heron!$A63)</f>
        <v/>
      </c>
      <c r="AA63" s="117">
        <f>SUMIFS(Xero!$F:$F,Xero!$B:$B,Heron!AA$9,Xero!$A:$A,Heron!$A$4,Xero!$E:$E,Heron!$A63)+SUMIFS(Xero!$F:$F,Xero!$B:$B,Heron!AA$9,Xero!$A:$A,Heron!$A$5,Xero!$E:$E,Heron!$A63)</f>
        <v/>
      </c>
      <c r="AB63" s="117">
        <f>SUMIFS(Xero!$F:$F,Xero!$B:$B,Heron!AB$9,Xero!$A:$A,Heron!$A$4,Xero!$E:$E,Heron!$A63)+SUMIFS(Xero!$F:$F,Xero!$B:$B,Heron!AB$9,Xero!$A:$A,Heron!$A$5,Xero!$E:$E,Heron!$A63)</f>
        <v/>
      </c>
      <c r="AC63" s="117">
        <f>SUMIFS(Xero!$F:$F,Xero!$B:$B,Heron!AC$9,Xero!$A:$A,Heron!$A$4,Xero!$E:$E,Heron!$A63)+SUMIFS(Xero!$F:$F,Xero!$B:$B,Heron!AC$9,Xero!$A:$A,Heron!$A$5,Xero!$E:$E,Heron!$A63)</f>
        <v/>
      </c>
      <c r="AD63" s="117">
        <f>SUMIFS(Xero!$F:$F,Xero!$B:$B,Heron!AD$9,Xero!$A:$A,Heron!$A$4,Xero!$E:$E,Heron!$A63)+SUMIFS(Xero!$F:$F,Xero!$B:$B,Heron!AD$9,Xero!$A:$A,Heron!$A$5,Xero!$E:$E,Heron!$A63)</f>
        <v/>
      </c>
      <c r="AE63" s="117">
        <f>SUMIFS(Xero!$F:$F,Xero!$B:$B,Heron!AE$9,Xero!$A:$A,Heron!$A$4,Xero!$E:$E,Heron!$A63)+SUMIFS(Xero!$F:$F,Xero!$B:$B,Heron!AE$9,Xero!$A:$A,Heron!$A$5,Xero!$E:$E,Heron!$A63)</f>
        <v/>
      </c>
      <c r="AF63" s="117">
        <f>SUMIFS(Xero!$F:$F,Xero!$B:$B,Heron!AF$9,Xero!$A:$A,Heron!$A$4,Xero!$E:$E,Heron!$A63)+SUMIFS(Xero!$F:$F,Xero!$B:$B,Heron!AF$9,Xero!$A:$A,Heron!$A$5,Xero!$E:$E,Heron!$A63)</f>
        <v/>
      </c>
      <c r="AG63" s="117">
        <f>SUMIFS(Xero!$F:$F,Xero!$B:$B,Heron!AG$9,Xero!$A:$A,Heron!$A$4,Xero!$E:$E,Heron!$A63)+SUMIFS(Xero!$F:$F,Xero!$B:$B,Heron!AG$9,Xero!$A:$A,Heron!$A$5,Xero!$E:$E,Heron!$A63)</f>
        <v/>
      </c>
      <c r="AH63" s="117">
        <f>SUMIFS(Xero!$F:$F,Xero!$B:$B,Heron!AH$9,Xero!$A:$A,Heron!$A$4,Xero!$E:$E,Heron!$A63)+SUMIFS(Xero!$F:$F,Xero!$B:$B,Heron!AH$9,Xero!$A:$A,Heron!$A$5,Xero!$E:$E,Heron!$A63)</f>
        <v/>
      </c>
      <c r="AI63" s="117">
        <f>SUMIFS(Xero!$F:$F,Xero!$B:$B,Heron!AI$9,Xero!$A:$A,Heron!$A$4,Xero!$E:$E,Heron!$A63)+SUMIFS(Xero!$F:$F,Xero!$B:$B,Heron!AI$9,Xero!$A:$A,Heron!$A$5,Xero!$E:$E,Heron!$A63)</f>
        <v/>
      </c>
      <c r="AJ63" s="117">
        <f>SUMIFS(Xero!$F:$F,Xero!$B:$B,Heron!AJ$9,Xero!$A:$A,Heron!$A$4,Xero!$E:$E,Heron!$A63)+SUMIFS(Xero!$F:$F,Xero!$B:$B,Heron!AJ$9,Xero!$A:$A,Heron!$A$5,Xero!$E:$E,Heron!$A63)</f>
        <v/>
      </c>
      <c r="AK63" s="117">
        <f>SUMIFS(Xero!$F:$F,Xero!$B:$B,Heron!AK$9,Xero!$A:$A,Heron!$A$4,Xero!$E:$E,Heron!$A63)+SUMIFS(Xero!$F:$F,Xero!$B:$B,Heron!AK$9,Xero!$A:$A,Heron!$A$5,Xero!$E:$E,Heron!$A63)</f>
        <v/>
      </c>
      <c r="AL63" s="117">
        <f>SUMIFS(Xero!$F:$F,Xero!$B:$B,Heron!AL$9,Xero!$A:$A,Heron!$A$4,Xero!$E:$E,Heron!$A63)+SUMIFS(Xero!$F:$F,Xero!$B:$B,Heron!AL$9,Xero!$A:$A,Heron!$A$5,Xero!$E:$E,Heron!$A63)</f>
        <v/>
      </c>
      <c r="AM63" s="117">
        <f>SUMIFS(Xero!$F:$F,Xero!$B:$B,Heron!AM$9,Xero!$A:$A,Heron!$A$4,Xero!$E:$E,Heron!$A63)+SUMIFS(Xero!$F:$F,Xero!$B:$B,Heron!AM$9,Xero!$A:$A,Heron!$A$5,Xero!$E:$E,Heron!$A63)</f>
        <v/>
      </c>
      <c r="AN63" s="117">
        <f>SUMIFS(Xero!$F:$F,Xero!$B:$B,Heron!AN$9,Xero!$A:$A,Heron!$A$4,Xero!$E:$E,Heron!$A63)+SUMIFS(Xero!$F:$F,Xero!$B:$B,Heron!AN$9,Xero!$A:$A,Heron!$A$5,Xero!$E:$E,Heron!$A63)</f>
        <v/>
      </c>
      <c r="AO63" s="117">
        <f>SUMIFS(Xero!$F:$F,Xero!$B:$B,Heron!AO$9,Xero!$A:$A,Heron!$A$4,Xero!$E:$E,Heron!$A63)+SUMIFS(Xero!$F:$F,Xero!$B:$B,Heron!AO$9,Xero!$A:$A,Heron!$A$5,Xero!$E:$E,Heron!$A63)</f>
        <v/>
      </c>
      <c r="AP63" s="117">
        <f>SUMIFS(Xero!$F:$F,Xero!$B:$B,Heron!AP$9,Xero!$A:$A,Heron!$A$4,Xero!$E:$E,Heron!$A63)+SUMIFS(Xero!$F:$F,Xero!$B:$B,Heron!AP$9,Xero!$A:$A,Heron!$A$5,Xero!$E:$E,Heron!$A63)</f>
        <v/>
      </c>
      <c r="AQ63" s="117">
        <f>SUMIFS(Xero!$F:$F,Xero!$B:$B,Heron!AQ$9,Xero!$A:$A,Heron!$A$4,Xero!$E:$E,Heron!$A63)+SUMIFS(Xero!$F:$F,Xero!$B:$B,Heron!AQ$9,Xero!$A:$A,Heron!$A$5,Xero!$E:$E,Heron!$A63)</f>
        <v/>
      </c>
      <c r="AR63" s="117">
        <f>SUMIFS(Xero!$F:$F,Xero!$B:$B,Heron!AR$9,Xero!$A:$A,Heron!$A$4,Xero!$E:$E,Heron!$A63)+SUMIFS(Xero!$F:$F,Xero!$B:$B,Heron!AR$9,Xero!$A:$A,Heron!$A$5,Xero!$E:$E,Heron!$A63)</f>
        <v/>
      </c>
      <c r="AS63" s="117">
        <f>SUMIFS(Xero!$F:$F,Xero!$B:$B,Heron!AS$9,Xero!$A:$A,Heron!$A$4,Xero!$E:$E,Heron!$A63)+SUMIFS(Xero!$F:$F,Xero!$B:$B,Heron!AS$9,Xero!$A:$A,Heron!$A$5,Xero!$E:$E,Heron!$A63)</f>
        <v/>
      </c>
      <c r="AT63" s="117">
        <f>SUMIFS(Xero!$F:$F,Xero!$B:$B,Heron!AT$9,Xero!$A:$A,Heron!$A$4,Xero!$E:$E,Heron!$A63)+SUMIFS(Xero!$F:$F,Xero!$B:$B,Heron!AT$9,Xero!$A:$A,Heron!$A$5,Xero!$E:$E,Heron!$A63)</f>
        <v/>
      </c>
      <c r="AU63" s="117">
        <f>SUMIFS(Xero!$F:$F,Xero!$B:$B,Heron!AU$9,Xero!$A:$A,Heron!$A$4,Xero!$E:$E,Heron!$A63)+SUMIFS(Xero!$F:$F,Xero!$B:$B,Heron!AU$9,Xero!$A:$A,Heron!$A$5,Xero!$E:$E,Heron!$A63)</f>
        <v/>
      </c>
      <c r="AV63" s="117">
        <f>SUMIFS(Xero!$F:$F,Xero!$B:$B,Heron!AV$9,Xero!$A:$A,Heron!$A$4,Xero!$E:$E,Heron!$A63)+SUMIFS(Xero!$F:$F,Xero!$B:$B,Heron!AV$9,Xero!$A:$A,Heron!$A$5,Xero!$E:$E,Heron!$A63)</f>
        <v/>
      </c>
      <c r="AW63" s="117">
        <f>SUMIFS(Xero!$F:$F,Xero!$B:$B,Heron!AW$9,Xero!$A:$A,Heron!$A$4,Xero!$E:$E,Heron!$A63)+SUMIFS(Xero!$F:$F,Xero!$B:$B,Heron!AW$9,Xero!$A:$A,Heron!$A$5,Xero!$E:$E,Heron!$A63)</f>
        <v/>
      </c>
      <c r="AX63" s="117">
        <f>SUMIFS(Xero!$F:$F,Xero!$B:$B,Heron!AX$9,Xero!$A:$A,Heron!$A$4,Xero!$E:$E,Heron!$A63)+SUMIFS(Xero!$F:$F,Xero!$B:$B,Heron!AX$9,Xero!$A:$A,Heron!$A$5,Xero!$E:$E,Heron!$A63)</f>
        <v/>
      </c>
      <c r="AY63" s="117">
        <f>SUMIFS(Xero!$F:$F,Xero!$B:$B,Heron!AY$9,Xero!$A:$A,Heron!$A$4,Xero!$E:$E,Heron!$A63)+SUMIFS(Xero!$F:$F,Xero!$B:$B,Heron!AY$9,Xero!$A:$A,Heron!$A$5,Xero!$E:$E,Heron!$A63)</f>
        <v/>
      </c>
      <c r="AZ63" s="117">
        <f>SUMIFS(Xero!$F:$F,Xero!$B:$B,Heron!AZ$9,Xero!$A:$A,Heron!$A$4,Xero!$E:$E,Heron!$A63)+SUMIFS(Xero!$F:$F,Xero!$B:$B,Heron!AZ$9,Xero!$A:$A,Heron!$A$5,Xero!$E:$E,Heron!$A63)</f>
        <v/>
      </c>
      <c r="BA63" s="117">
        <f>SUMIFS(Xero!$F:$F,Xero!$B:$B,Heron!BA$9,Xero!$A:$A,Heron!$A$4,Xero!$E:$E,Heron!$A63)+SUMIFS(Xero!$F:$F,Xero!$B:$B,Heron!BA$9,Xero!$A:$A,Heron!$A$5,Xero!$E:$E,Heron!$A63)</f>
        <v/>
      </c>
      <c r="BB63" s="117">
        <f>SUMIFS(Xero!$F:$F,Xero!$B:$B,Heron!BB$9,Xero!$A:$A,Heron!$A$4,Xero!$E:$E,Heron!$A63)+SUMIFS(Xero!$F:$F,Xero!$B:$B,Heron!BB$9,Xero!$A:$A,Heron!$A$5,Xero!$E:$E,Heron!$A63)</f>
        <v/>
      </c>
      <c r="BC63" s="117">
        <f>SUMIFS(Xero!$F:$F,Xero!$B:$B,Heron!BC$9,Xero!$A:$A,Heron!$A$4,Xero!$E:$E,Heron!$A63)+SUMIFS(Xero!$F:$F,Xero!$B:$B,Heron!BC$9,Xero!$A:$A,Heron!$A$5,Xero!$E:$E,Heron!$A63)</f>
        <v/>
      </c>
      <c r="BD63" s="117">
        <f>SUMIFS(Xero!$F:$F,Xero!$B:$B,Heron!BD$9,Xero!$A:$A,Heron!$A$4,Xero!$E:$E,Heron!$A63)+SUMIFS(Xero!$F:$F,Xero!$B:$B,Heron!BD$9,Xero!$A:$A,Heron!$A$5,Xero!$E:$E,Heron!$A63)</f>
        <v/>
      </c>
      <c r="BE63" s="117">
        <f>SUMIFS(Xero!$F:$F,Xero!$B:$B,Heron!BE$9,Xero!$A:$A,Heron!$A$4,Xero!$E:$E,Heron!$A63)+SUMIFS(Xero!$F:$F,Xero!$B:$B,Heron!BE$9,Xero!$A:$A,Heron!$A$5,Xero!$E:$E,Heron!$A63)</f>
        <v/>
      </c>
      <c r="BF63" s="117">
        <f>SUMIFS(Xero!$F:$F,Xero!$B:$B,Heron!BF$9,Xero!$A:$A,Heron!$A$4,Xero!$E:$E,Heron!$A63)+SUMIFS(Xero!$F:$F,Xero!$B:$B,Heron!BF$9,Xero!$A:$A,Heron!$A$5,Xero!$E:$E,Heron!$A63)</f>
        <v/>
      </c>
      <c r="BG63" s="117">
        <f>SUMIFS(Xero!$F:$F,Xero!$B:$B,Heron!BG$9,Xero!$A:$A,Heron!$A$4,Xero!$E:$E,Heron!$A63)+SUMIFS(Xero!$F:$F,Xero!$B:$B,Heron!BG$9,Xero!$A:$A,Heron!$A$5,Xero!$E:$E,Heron!$A63)</f>
        <v/>
      </c>
      <c r="BH63" s="117">
        <f>SUMIFS(Xero!$F:$F,Xero!$B:$B,Heron!BH$9,Xero!$A:$A,Heron!$A$4,Xero!$E:$E,Heron!$A63)+SUMIFS(Xero!$F:$F,Xero!$B:$B,Heron!BH$9,Xero!$A:$A,Heron!$A$5,Xero!$E:$E,Heron!$A63)</f>
        <v/>
      </c>
      <c r="BI63" s="117">
        <f>SUMIFS(Xero!$F:$F,Xero!$B:$B,Heron!BI$9,Xero!$A:$A,Heron!$A$4,Xero!$E:$E,Heron!$A63)+SUMIFS(Xero!$F:$F,Xero!$B:$B,Heron!BI$9,Xero!$A:$A,Heron!$A$5,Xero!$E:$E,Heron!$A63)</f>
        <v/>
      </c>
      <c r="BJ63" s="117">
        <f>SUMIFS(Xero!$F:$F,Xero!$B:$B,Heron!BJ$9,Xero!$A:$A,Heron!$A$4,Xero!$E:$E,Heron!$A63)+SUMIFS(Xero!$F:$F,Xero!$B:$B,Heron!BJ$9,Xero!$A:$A,Heron!$A$5,Xero!$E:$E,Heron!$A63)</f>
        <v/>
      </c>
      <c r="BK63" s="117">
        <f>sum(D63:BJ63)</f>
        <v/>
      </c>
    </row>
    <row r="64">
      <c r="A64" s="116" t="inlineStr">
        <is>
          <t>Computer Expenses - Xero</t>
        </is>
      </c>
      <c r="D64" s="117">
        <f>SUMIFS(Xero!$F:$F,Xero!$B:$B,Heron!D$9,Xero!$A:$A,Heron!$A$4,Xero!$E:$E,Heron!$A64)+SUMIFS(Xero!$F:$F,Xero!$B:$B,Heron!D$9,Xero!$A:$A,Heron!$A$5,Xero!$E:$E,Heron!$A64)</f>
        <v/>
      </c>
      <c r="E64" s="117">
        <f>SUMIFS(Xero!$F:$F,Xero!$B:$B,Heron!E$9,Xero!$A:$A,Heron!$A$4,Xero!$E:$E,Heron!$A64)+SUMIFS(Xero!$F:$F,Xero!$B:$B,Heron!E$9,Xero!$A:$A,Heron!$A$5,Xero!$E:$E,Heron!$A64)</f>
        <v/>
      </c>
      <c r="F64" s="117">
        <f>SUMIFS(Xero!$F:$F,Xero!$B:$B,Heron!F$9,Xero!$A:$A,Heron!$A$4,Xero!$E:$E,Heron!$A64)+SUMIFS(Xero!$F:$F,Xero!$B:$B,Heron!F$9,Xero!$A:$A,Heron!$A$5,Xero!$E:$E,Heron!$A64)</f>
        <v/>
      </c>
      <c r="G64" s="117">
        <f>SUMIFS(Xero!$F:$F,Xero!$B:$B,Heron!G$9,Xero!$A:$A,Heron!$A$4,Xero!$E:$E,Heron!$A64)+SUMIFS(Xero!$F:$F,Xero!$B:$B,Heron!G$9,Xero!$A:$A,Heron!$A$5,Xero!$E:$E,Heron!$A64)</f>
        <v/>
      </c>
      <c r="H64" s="117">
        <f>SUMIFS(Xero!$F:$F,Xero!$B:$B,Heron!H$9,Xero!$A:$A,Heron!$A$4,Xero!$E:$E,Heron!$A64)+SUMIFS(Xero!$F:$F,Xero!$B:$B,Heron!H$9,Xero!$A:$A,Heron!$A$5,Xero!$E:$E,Heron!$A64)</f>
        <v/>
      </c>
      <c r="I64" s="117">
        <f>SUMIFS(Xero!$F:$F,Xero!$B:$B,Heron!I$9,Xero!$A:$A,Heron!$A$4,Xero!$E:$E,Heron!$A64)+SUMIFS(Xero!$F:$F,Xero!$B:$B,Heron!I$9,Xero!$A:$A,Heron!$A$5,Xero!$E:$E,Heron!$A64)</f>
        <v/>
      </c>
      <c r="J64" s="117">
        <f>SUMIFS(Xero!$F:$F,Xero!$B:$B,Heron!J$9,Xero!$A:$A,Heron!$A$4,Xero!$E:$E,Heron!$A64)+SUMIFS(Xero!$F:$F,Xero!$B:$B,Heron!J$9,Xero!$A:$A,Heron!$A$5,Xero!$E:$E,Heron!$A64)</f>
        <v/>
      </c>
      <c r="K64" s="117">
        <f>SUMIFS(Xero!$F:$F,Xero!$B:$B,Heron!K$9,Xero!$A:$A,Heron!$A$4,Xero!$E:$E,Heron!$A64)+SUMIFS(Xero!$F:$F,Xero!$B:$B,Heron!K$9,Xero!$A:$A,Heron!$A$5,Xero!$E:$E,Heron!$A64)</f>
        <v/>
      </c>
      <c r="L64" s="117">
        <f>SUMIFS(Xero!$F:$F,Xero!$B:$B,Heron!L$9,Xero!$A:$A,Heron!$A$4,Xero!$E:$E,Heron!$A64)+SUMIFS(Xero!$F:$F,Xero!$B:$B,Heron!L$9,Xero!$A:$A,Heron!$A$5,Xero!$E:$E,Heron!$A64)</f>
        <v/>
      </c>
      <c r="M64" s="117">
        <f>SUMIFS(Xero!$F:$F,Xero!$B:$B,Heron!M$9,Xero!$A:$A,Heron!$A$4,Xero!$E:$E,Heron!$A64)+SUMIFS(Xero!$F:$F,Xero!$B:$B,Heron!M$9,Xero!$A:$A,Heron!$A$5,Xero!$E:$E,Heron!$A64)</f>
        <v/>
      </c>
      <c r="N64" s="117">
        <f>SUMIFS(Xero!$F:$F,Xero!$B:$B,Heron!N$9,Xero!$A:$A,Heron!$A$4,Xero!$E:$E,Heron!$A64)+SUMIFS(Xero!$F:$F,Xero!$B:$B,Heron!N$9,Xero!$A:$A,Heron!$A$5,Xero!$E:$E,Heron!$A64)</f>
        <v/>
      </c>
      <c r="O64" s="117">
        <f>SUMIFS(Xero!$F:$F,Xero!$B:$B,Heron!O$9,Xero!$A:$A,Heron!$A$4,Xero!$E:$E,Heron!$A64)+SUMIFS(Xero!$F:$F,Xero!$B:$B,Heron!O$9,Xero!$A:$A,Heron!$A$5,Xero!$E:$E,Heron!$A64)</f>
        <v/>
      </c>
      <c r="P64" s="117">
        <f>SUMIFS(Xero!$F:$F,Xero!$B:$B,Heron!P$9,Xero!$A:$A,Heron!$A$4,Xero!$E:$E,Heron!$A64)+SUMIFS(Xero!$F:$F,Xero!$B:$B,Heron!P$9,Xero!$A:$A,Heron!$A$5,Xero!$E:$E,Heron!$A64)</f>
        <v/>
      </c>
      <c r="Q64" s="117">
        <f>SUMIFS(Xero!$F:$F,Xero!$B:$B,Heron!Q$9,Xero!$A:$A,Heron!$A$4,Xero!$E:$E,Heron!$A64)+SUMIFS(Xero!$F:$F,Xero!$B:$B,Heron!Q$9,Xero!$A:$A,Heron!$A$5,Xero!$E:$E,Heron!$A64)</f>
        <v/>
      </c>
      <c r="R64" s="117">
        <f>SUMIFS(Xero!$F:$F,Xero!$B:$B,Heron!R$9,Xero!$A:$A,Heron!$A$4,Xero!$E:$E,Heron!$A64)+SUMIFS(Xero!$F:$F,Xero!$B:$B,Heron!R$9,Xero!$A:$A,Heron!$A$5,Xero!$E:$E,Heron!$A64)</f>
        <v/>
      </c>
      <c r="S64" s="117">
        <f>SUMIFS(Xero!$F:$F,Xero!$B:$B,Heron!S$9,Xero!$A:$A,Heron!$A$4,Xero!$E:$E,Heron!$A64)+SUMIFS(Xero!$F:$F,Xero!$B:$B,Heron!S$9,Xero!$A:$A,Heron!$A$5,Xero!$E:$E,Heron!$A64)</f>
        <v/>
      </c>
      <c r="T64" s="117">
        <f>SUMIFS(Xero!$F:$F,Xero!$B:$B,Heron!T$9,Xero!$A:$A,Heron!$A$4,Xero!$E:$E,Heron!$A64)+SUMIFS(Xero!$F:$F,Xero!$B:$B,Heron!T$9,Xero!$A:$A,Heron!$A$5,Xero!$E:$E,Heron!$A64)</f>
        <v/>
      </c>
      <c r="U64" s="117">
        <f>SUMIFS(Xero!$F:$F,Xero!$B:$B,Heron!U$9,Xero!$A:$A,Heron!$A$4,Xero!$E:$E,Heron!$A64)+SUMIFS(Xero!$F:$F,Xero!$B:$B,Heron!U$9,Xero!$A:$A,Heron!$A$5,Xero!$E:$E,Heron!$A64)</f>
        <v/>
      </c>
      <c r="V64" s="117">
        <f>SUMIFS(Xero!$F:$F,Xero!$B:$B,Heron!V$9,Xero!$A:$A,Heron!$A$4,Xero!$E:$E,Heron!$A64)+SUMIFS(Xero!$F:$F,Xero!$B:$B,Heron!V$9,Xero!$A:$A,Heron!$A$5,Xero!$E:$E,Heron!$A64)</f>
        <v/>
      </c>
      <c r="W64" s="117">
        <f>SUMIFS(Xero!$F:$F,Xero!$B:$B,Heron!W$9,Xero!$A:$A,Heron!$A$4,Xero!$E:$E,Heron!$A64)+SUMIFS(Xero!$F:$F,Xero!$B:$B,Heron!W$9,Xero!$A:$A,Heron!$A$5,Xero!$E:$E,Heron!$A64)</f>
        <v/>
      </c>
      <c r="X64" s="117">
        <f>SUMIFS(Xero!$F:$F,Xero!$B:$B,Heron!X$9,Xero!$A:$A,Heron!$A$4,Xero!$E:$E,Heron!$A64)+SUMIFS(Xero!$F:$F,Xero!$B:$B,Heron!X$9,Xero!$A:$A,Heron!$A$5,Xero!$E:$E,Heron!$A64)</f>
        <v/>
      </c>
      <c r="Y64" s="117">
        <f>SUMIFS(Xero!$F:$F,Xero!$B:$B,Heron!Y$9,Xero!$A:$A,Heron!$A$4,Xero!$E:$E,Heron!$A64)+SUMIFS(Xero!$F:$F,Xero!$B:$B,Heron!Y$9,Xero!$A:$A,Heron!$A$5,Xero!$E:$E,Heron!$A64)</f>
        <v/>
      </c>
      <c r="Z64" s="117">
        <f>SUMIFS(Xero!$F:$F,Xero!$B:$B,Heron!Z$9,Xero!$A:$A,Heron!$A$4,Xero!$E:$E,Heron!$A64)+SUMIFS(Xero!$F:$F,Xero!$B:$B,Heron!Z$9,Xero!$A:$A,Heron!$A$5,Xero!$E:$E,Heron!$A64)</f>
        <v/>
      </c>
      <c r="AA64" s="117">
        <f>SUMIFS(Xero!$F:$F,Xero!$B:$B,Heron!AA$9,Xero!$A:$A,Heron!$A$4,Xero!$E:$E,Heron!$A64)+SUMIFS(Xero!$F:$F,Xero!$B:$B,Heron!AA$9,Xero!$A:$A,Heron!$A$5,Xero!$E:$E,Heron!$A64)</f>
        <v/>
      </c>
      <c r="AB64" s="117">
        <f>SUMIFS(Xero!$F:$F,Xero!$B:$B,Heron!AB$9,Xero!$A:$A,Heron!$A$4,Xero!$E:$E,Heron!$A64)+SUMIFS(Xero!$F:$F,Xero!$B:$B,Heron!AB$9,Xero!$A:$A,Heron!$A$5,Xero!$E:$E,Heron!$A64)</f>
        <v/>
      </c>
      <c r="AC64" s="117">
        <f>SUMIFS(Xero!$F:$F,Xero!$B:$B,Heron!AC$9,Xero!$A:$A,Heron!$A$4,Xero!$E:$E,Heron!$A64)+SUMIFS(Xero!$F:$F,Xero!$B:$B,Heron!AC$9,Xero!$A:$A,Heron!$A$5,Xero!$E:$E,Heron!$A64)</f>
        <v/>
      </c>
      <c r="AD64" s="117">
        <f>SUMIFS(Xero!$F:$F,Xero!$B:$B,Heron!AD$9,Xero!$A:$A,Heron!$A$4,Xero!$E:$E,Heron!$A64)+SUMIFS(Xero!$F:$F,Xero!$B:$B,Heron!AD$9,Xero!$A:$A,Heron!$A$5,Xero!$E:$E,Heron!$A64)</f>
        <v/>
      </c>
      <c r="AE64" s="117">
        <f>SUMIFS(Xero!$F:$F,Xero!$B:$B,Heron!AE$9,Xero!$A:$A,Heron!$A$4,Xero!$E:$E,Heron!$A64)+SUMIFS(Xero!$F:$F,Xero!$B:$B,Heron!AE$9,Xero!$A:$A,Heron!$A$5,Xero!$E:$E,Heron!$A64)</f>
        <v/>
      </c>
      <c r="AF64" s="117">
        <f>SUMIFS(Xero!$F:$F,Xero!$B:$B,Heron!AF$9,Xero!$A:$A,Heron!$A$4,Xero!$E:$E,Heron!$A64)+SUMIFS(Xero!$F:$F,Xero!$B:$B,Heron!AF$9,Xero!$A:$A,Heron!$A$5,Xero!$E:$E,Heron!$A64)</f>
        <v/>
      </c>
      <c r="AG64" s="117">
        <f>SUMIFS(Xero!$F:$F,Xero!$B:$B,Heron!AG$9,Xero!$A:$A,Heron!$A$4,Xero!$E:$E,Heron!$A64)+SUMIFS(Xero!$F:$F,Xero!$B:$B,Heron!AG$9,Xero!$A:$A,Heron!$A$5,Xero!$E:$E,Heron!$A64)</f>
        <v/>
      </c>
      <c r="AH64" s="117">
        <f>SUMIFS(Xero!$F:$F,Xero!$B:$B,Heron!AH$9,Xero!$A:$A,Heron!$A$4,Xero!$E:$E,Heron!$A64)+SUMIFS(Xero!$F:$F,Xero!$B:$B,Heron!AH$9,Xero!$A:$A,Heron!$A$5,Xero!$E:$E,Heron!$A64)</f>
        <v/>
      </c>
      <c r="AI64" s="117">
        <f>SUMIFS(Xero!$F:$F,Xero!$B:$B,Heron!AI$9,Xero!$A:$A,Heron!$A$4,Xero!$E:$E,Heron!$A64)+SUMIFS(Xero!$F:$F,Xero!$B:$B,Heron!AI$9,Xero!$A:$A,Heron!$A$5,Xero!$E:$E,Heron!$A64)</f>
        <v/>
      </c>
      <c r="AJ64" s="117">
        <f>SUMIFS(Xero!$F:$F,Xero!$B:$B,Heron!AJ$9,Xero!$A:$A,Heron!$A$4,Xero!$E:$E,Heron!$A64)+SUMIFS(Xero!$F:$F,Xero!$B:$B,Heron!AJ$9,Xero!$A:$A,Heron!$A$5,Xero!$E:$E,Heron!$A64)</f>
        <v/>
      </c>
      <c r="AK64" s="117">
        <f>SUMIFS(Xero!$F:$F,Xero!$B:$B,Heron!AK$9,Xero!$A:$A,Heron!$A$4,Xero!$E:$E,Heron!$A64)+SUMIFS(Xero!$F:$F,Xero!$B:$B,Heron!AK$9,Xero!$A:$A,Heron!$A$5,Xero!$E:$E,Heron!$A64)</f>
        <v/>
      </c>
      <c r="AL64" s="117">
        <f>SUMIFS(Xero!$F:$F,Xero!$B:$B,Heron!AL$9,Xero!$A:$A,Heron!$A$4,Xero!$E:$E,Heron!$A64)+SUMIFS(Xero!$F:$F,Xero!$B:$B,Heron!AL$9,Xero!$A:$A,Heron!$A$5,Xero!$E:$E,Heron!$A64)</f>
        <v/>
      </c>
      <c r="AM64" s="117">
        <f>SUMIFS(Xero!$F:$F,Xero!$B:$B,Heron!AM$9,Xero!$A:$A,Heron!$A$4,Xero!$E:$E,Heron!$A64)+SUMIFS(Xero!$F:$F,Xero!$B:$B,Heron!AM$9,Xero!$A:$A,Heron!$A$5,Xero!$E:$E,Heron!$A64)</f>
        <v/>
      </c>
      <c r="AN64" s="117">
        <f>SUMIFS(Xero!$F:$F,Xero!$B:$B,Heron!AN$9,Xero!$A:$A,Heron!$A$4,Xero!$E:$E,Heron!$A64)+SUMIFS(Xero!$F:$F,Xero!$B:$B,Heron!AN$9,Xero!$A:$A,Heron!$A$5,Xero!$E:$E,Heron!$A64)</f>
        <v/>
      </c>
      <c r="AO64" s="117">
        <f>SUMIFS(Xero!$F:$F,Xero!$B:$B,Heron!AO$9,Xero!$A:$A,Heron!$A$4,Xero!$E:$E,Heron!$A64)+SUMIFS(Xero!$F:$F,Xero!$B:$B,Heron!AO$9,Xero!$A:$A,Heron!$A$5,Xero!$E:$E,Heron!$A64)</f>
        <v/>
      </c>
      <c r="AP64" s="117">
        <f>SUMIFS(Xero!$F:$F,Xero!$B:$B,Heron!AP$9,Xero!$A:$A,Heron!$A$4,Xero!$E:$E,Heron!$A64)+SUMIFS(Xero!$F:$F,Xero!$B:$B,Heron!AP$9,Xero!$A:$A,Heron!$A$5,Xero!$E:$E,Heron!$A64)</f>
        <v/>
      </c>
      <c r="AQ64" s="117">
        <f>SUMIFS(Xero!$F:$F,Xero!$B:$B,Heron!AQ$9,Xero!$A:$A,Heron!$A$4,Xero!$E:$E,Heron!$A64)+SUMIFS(Xero!$F:$F,Xero!$B:$B,Heron!AQ$9,Xero!$A:$A,Heron!$A$5,Xero!$E:$E,Heron!$A64)</f>
        <v/>
      </c>
      <c r="AR64" s="117">
        <f>SUMIFS(Xero!$F:$F,Xero!$B:$B,Heron!AR$9,Xero!$A:$A,Heron!$A$4,Xero!$E:$E,Heron!$A64)+SUMIFS(Xero!$F:$F,Xero!$B:$B,Heron!AR$9,Xero!$A:$A,Heron!$A$5,Xero!$E:$E,Heron!$A64)</f>
        <v/>
      </c>
      <c r="AS64" s="117">
        <f>SUMIFS(Xero!$F:$F,Xero!$B:$B,Heron!AS$9,Xero!$A:$A,Heron!$A$4,Xero!$E:$E,Heron!$A64)+SUMIFS(Xero!$F:$F,Xero!$B:$B,Heron!AS$9,Xero!$A:$A,Heron!$A$5,Xero!$E:$E,Heron!$A64)</f>
        <v/>
      </c>
      <c r="AT64" s="117">
        <f>SUMIFS(Xero!$F:$F,Xero!$B:$B,Heron!AT$9,Xero!$A:$A,Heron!$A$4,Xero!$E:$E,Heron!$A64)+SUMIFS(Xero!$F:$F,Xero!$B:$B,Heron!AT$9,Xero!$A:$A,Heron!$A$5,Xero!$E:$E,Heron!$A64)</f>
        <v/>
      </c>
      <c r="AU64" s="117">
        <f>SUMIFS(Xero!$F:$F,Xero!$B:$B,Heron!AU$9,Xero!$A:$A,Heron!$A$4,Xero!$E:$E,Heron!$A64)+SUMIFS(Xero!$F:$F,Xero!$B:$B,Heron!AU$9,Xero!$A:$A,Heron!$A$5,Xero!$E:$E,Heron!$A64)</f>
        <v/>
      </c>
      <c r="AV64" s="117">
        <f>SUMIFS(Xero!$F:$F,Xero!$B:$B,Heron!AV$9,Xero!$A:$A,Heron!$A$4,Xero!$E:$E,Heron!$A64)+SUMIFS(Xero!$F:$F,Xero!$B:$B,Heron!AV$9,Xero!$A:$A,Heron!$A$5,Xero!$E:$E,Heron!$A64)</f>
        <v/>
      </c>
      <c r="AW64" s="117">
        <f>SUMIFS(Xero!$F:$F,Xero!$B:$B,Heron!AW$9,Xero!$A:$A,Heron!$A$4,Xero!$E:$E,Heron!$A64)+SUMIFS(Xero!$F:$F,Xero!$B:$B,Heron!AW$9,Xero!$A:$A,Heron!$A$5,Xero!$E:$E,Heron!$A64)</f>
        <v/>
      </c>
      <c r="AX64" s="117">
        <f>SUMIFS(Xero!$F:$F,Xero!$B:$B,Heron!AX$9,Xero!$A:$A,Heron!$A$4,Xero!$E:$E,Heron!$A64)+SUMIFS(Xero!$F:$F,Xero!$B:$B,Heron!AX$9,Xero!$A:$A,Heron!$A$5,Xero!$E:$E,Heron!$A64)</f>
        <v/>
      </c>
      <c r="AY64" s="117">
        <f>SUMIFS(Xero!$F:$F,Xero!$B:$B,Heron!AY$9,Xero!$A:$A,Heron!$A$4,Xero!$E:$E,Heron!$A64)+SUMIFS(Xero!$F:$F,Xero!$B:$B,Heron!AY$9,Xero!$A:$A,Heron!$A$5,Xero!$E:$E,Heron!$A64)</f>
        <v/>
      </c>
      <c r="AZ64" s="117">
        <f>SUMIFS(Xero!$F:$F,Xero!$B:$B,Heron!AZ$9,Xero!$A:$A,Heron!$A$4,Xero!$E:$E,Heron!$A64)+SUMIFS(Xero!$F:$F,Xero!$B:$B,Heron!AZ$9,Xero!$A:$A,Heron!$A$5,Xero!$E:$E,Heron!$A64)</f>
        <v/>
      </c>
      <c r="BA64" s="117">
        <f>SUMIFS(Xero!$F:$F,Xero!$B:$B,Heron!BA$9,Xero!$A:$A,Heron!$A$4,Xero!$E:$E,Heron!$A64)+SUMIFS(Xero!$F:$F,Xero!$B:$B,Heron!BA$9,Xero!$A:$A,Heron!$A$5,Xero!$E:$E,Heron!$A64)</f>
        <v/>
      </c>
      <c r="BB64" s="117">
        <f>SUMIFS(Xero!$F:$F,Xero!$B:$B,Heron!BB$9,Xero!$A:$A,Heron!$A$4,Xero!$E:$E,Heron!$A64)+SUMIFS(Xero!$F:$F,Xero!$B:$B,Heron!BB$9,Xero!$A:$A,Heron!$A$5,Xero!$E:$E,Heron!$A64)</f>
        <v/>
      </c>
      <c r="BC64" s="117">
        <f>SUMIFS(Xero!$F:$F,Xero!$B:$B,Heron!BC$9,Xero!$A:$A,Heron!$A$4,Xero!$E:$E,Heron!$A64)+SUMIFS(Xero!$F:$F,Xero!$B:$B,Heron!BC$9,Xero!$A:$A,Heron!$A$5,Xero!$E:$E,Heron!$A64)</f>
        <v/>
      </c>
      <c r="BD64" s="117">
        <f>SUMIFS(Xero!$F:$F,Xero!$B:$B,Heron!BD$9,Xero!$A:$A,Heron!$A$4,Xero!$E:$E,Heron!$A64)+SUMIFS(Xero!$F:$F,Xero!$B:$B,Heron!BD$9,Xero!$A:$A,Heron!$A$5,Xero!$E:$E,Heron!$A64)</f>
        <v/>
      </c>
      <c r="BE64" s="117">
        <f>SUMIFS(Xero!$F:$F,Xero!$B:$B,Heron!BE$9,Xero!$A:$A,Heron!$A$4,Xero!$E:$E,Heron!$A64)+SUMIFS(Xero!$F:$F,Xero!$B:$B,Heron!BE$9,Xero!$A:$A,Heron!$A$5,Xero!$E:$E,Heron!$A64)</f>
        <v/>
      </c>
      <c r="BF64" s="117">
        <f>SUMIFS(Xero!$F:$F,Xero!$B:$B,Heron!BF$9,Xero!$A:$A,Heron!$A$4,Xero!$E:$E,Heron!$A64)+SUMIFS(Xero!$F:$F,Xero!$B:$B,Heron!BF$9,Xero!$A:$A,Heron!$A$5,Xero!$E:$E,Heron!$A64)</f>
        <v/>
      </c>
      <c r="BG64" s="117">
        <f>SUMIFS(Xero!$F:$F,Xero!$B:$B,Heron!BG$9,Xero!$A:$A,Heron!$A$4,Xero!$E:$E,Heron!$A64)+SUMIFS(Xero!$F:$F,Xero!$B:$B,Heron!BG$9,Xero!$A:$A,Heron!$A$5,Xero!$E:$E,Heron!$A64)</f>
        <v/>
      </c>
      <c r="BH64" s="117">
        <f>SUMIFS(Xero!$F:$F,Xero!$B:$B,Heron!BH$9,Xero!$A:$A,Heron!$A$4,Xero!$E:$E,Heron!$A64)+SUMIFS(Xero!$F:$F,Xero!$B:$B,Heron!BH$9,Xero!$A:$A,Heron!$A$5,Xero!$E:$E,Heron!$A64)</f>
        <v/>
      </c>
      <c r="BI64" s="117">
        <f>SUMIFS(Xero!$F:$F,Xero!$B:$B,Heron!BI$9,Xero!$A:$A,Heron!$A$4,Xero!$E:$E,Heron!$A64)+SUMIFS(Xero!$F:$F,Xero!$B:$B,Heron!BI$9,Xero!$A:$A,Heron!$A$5,Xero!$E:$E,Heron!$A64)</f>
        <v/>
      </c>
      <c r="BJ64" s="117">
        <f>SUMIFS(Xero!$F:$F,Xero!$B:$B,Heron!BJ$9,Xero!$A:$A,Heron!$A$4,Xero!$E:$E,Heron!$A64)+SUMIFS(Xero!$F:$F,Xero!$B:$B,Heron!BJ$9,Xero!$A:$A,Heron!$A$5,Xero!$E:$E,Heron!$A64)</f>
        <v/>
      </c>
      <c r="BK64" s="117">
        <f>sum(D64:BJ64)</f>
        <v/>
      </c>
    </row>
    <row r="65">
      <c r="A65" s="116" t="inlineStr">
        <is>
          <t>Consulting Fees - Admin and Finance</t>
        </is>
      </c>
      <c r="D65" s="117">
        <f>SUMIFS(Xero!$F:$F,Xero!$B:$B,Heron!D$9,Xero!$A:$A,Heron!$A$4,Xero!$E:$E,Heron!$A65)+SUMIFS(Xero!$F:$F,Xero!$B:$B,Heron!D$9,Xero!$A:$A,Heron!$A$5,Xero!$E:$E,Heron!$A65)</f>
        <v/>
      </c>
      <c r="E65" s="117">
        <f>SUMIFS(Xero!$F:$F,Xero!$B:$B,Heron!E$9,Xero!$A:$A,Heron!$A$4,Xero!$E:$E,Heron!$A65)+SUMIFS(Xero!$F:$F,Xero!$B:$B,Heron!E$9,Xero!$A:$A,Heron!$A$5,Xero!$E:$E,Heron!$A65)</f>
        <v/>
      </c>
      <c r="F65" s="117">
        <f>SUMIFS(Xero!$F:$F,Xero!$B:$B,Heron!F$9,Xero!$A:$A,Heron!$A$4,Xero!$E:$E,Heron!$A65)+SUMIFS(Xero!$F:$F,Xero!$B:$B,Heron!F$9,Xero!$A:$A,Heron!$A$5,Xero!$E:$E,Heron!$A65)</f>
        <v/>
      </c>
      <c r="G65" s="117">
        <f>SUMIFS(Xero!$F:$F,Xero!$B:$B,Heron!G$9,Xero!$A:$A,Heron!$A$4,Xero!$E:$E,Heron!$A65)+SUMIFS(Xero!$F:$F,Xero!$B:$B,Heron!G$9,Xero!$A:$A,Heron!$A$5,Xero!$E:$E,Heron!$A65)</f>
        <v/>
      </c>
      <c r="H65" s="117">
        <f>SUMIFS(Xero!$F:$F,Xero!$B:$B,Heron!H$9,Xero!$A:$A,Heron!$A$4,Xero!$E:$E,Heron!$A65)+SUMIFS(Xero!$F:$F,Xero!$B:$B,Heron!H$9,Xero!$A:$A,Heron!$A$5,Xero!$E:$E,Heron!$A65)</f>
        <v/>
      </c>
      <c r="I65" s="117">
        <f>SUMIFS(Xero!$F:$F,Xero!$B:$B,Heron!I$9,Xero!$A:$A,Heron!$A$4,Xero!$E:$E,Heron!$A65)+SUMIFS(Xero!$F:$F,Xero!$B:$B,Heron!I$9,Xero!$A:$A,Heron!$A$5,Xero!$E:$E,Heron!$A65)</f>
        <v/>
      </c>
      <c r="J65" s="117">
        <f>SUMIFS(Xero!$F:$F,Xero!$B:$B,Heron!J$9,Xero!$A:$A,Heron!$A$4,Xero!$E:$E,Heron!$A65)+SUMIFS(Xero!$F:$F,Xero!$B:$B,Heron!J$9,Xero!$A:$A,Heron!$A$5,Xero!$E:$E,Heron!$A65)</f>
        <v/>
      </c>
      <c r="K65" s="117">
        <f>SUMIFS(Xero!$F:$F,Xero!$B:$B,Heron!K$9,Xero!$A:$A,Heron!$A$4,Xero!$E:$E,Heron!$A65)+SUMIFS(Xero!$F:$F,Xero!$B:$B,Heron!K$9,Xero!$A:$A,Heron!$A$5,Xero!$E:$E,Heron!$A65)</f>
        <v/>
      </c>
      <c r="L65" s="117">
        <f>SUMIFS(Xero!$F:$F,Xero!$B:$B,Heron!L$9,Xero!$A:$A,Heron!$A$4,Xero!$E:$E,Heron!$A65)+SUMIFS(Xero!$F:$F,Xero!$B:$B,Heron!L$9,Xero!$A:$A,Heron!$A$5,Xero!$E:$E,Heron!$A65)</f>
        <v/>
      </c>
      <c r="M65" s="117">
        <f>SUMIFS(Xero!$F:$F,Xero!$B:$B,Heron!M$9,Xero!$A:$A,Heron!$A$4,Xero!$E:$E,Heron!$A65)+SUMIFS(Xero!$F:$F,Xero!$B:$B,Heron!M$9,Xero!$A:$A,Heron!$A$5,Xero!$E:$E,Heron!$A65)</f>
        <v/>
      </c>
      <c r="N65" s="117">
        <f>SUMIFS(Xero!$F:$F,Xero!$B:$B,Heron!N$9,Xero!$A:$A,Heron!$A$4,Xero!$E:$E,Heron!$A65)+SUMIFS(Xero!$F:$F,Xero!$B:$B,Heron!N$9,Xero!$A:$A,Heron!$A$5,Xero!$E:$E,Heron!$A65)</f>
        <v/>
      </c>
      <c r="O65" s="117">
        <f>SUMIFS(Xero!$F:$F,Xero!$B:$B,Heron!O$9,Xero!$A:$A,Heron!$A$4,Xero!$E:$E,Heron!$A65)+SUMIFS(Xero!$F:$F,Xero!$B:$B,Heron!O$9,Xero!$A:$A,Heron!$A$5,Xero!$E:$E,Heron!$A65)</f>
        <v/>
      </c>
      <c r="P65" s="117">
        <f>SUMIFS(Xero!$F:$F,Xero!$B:$B,Heron!P$9,Xero!$A:$A,Heron!$A$4,Xero!$E:$E,Heron!$A65)+SUMIFS(Xero!$F:$F,Xero!$B:$B,Heron!P$9,Xero!$A:$A,Heron!$A$5,Xero!$E:$E,Heron!$A65)</f>
        <v/>
      </c>
      <c r="Q65" s="117">
        <f>SUMIFS(Xero!$F:$F,Xero!$B:$B,Heron!Q$9,Xero!$A:$A,Heron!$A$4,Xero!$E:$E,Heron!$A65)+SUMIFS(Xero!$F:$F,Xero!$B:$B,Heron!Q$9,Xero!$A:$A,Heron!$A$5,Xero!$E:$E,Heron!$A65)</f>
        <v/>
      </c>
      <c r="R65" s="117">
        <f>SUMIFS(Xero!$F:$F,Xero!$B:$B,Heron!R$9,Xero!$A:$A,Heron!$A$4,Xero!$E:$E,Heron!$A65)+SUMIFS(Xero!$F:$F,Xero!$B:$B,Heron!R$9,Xero!$A:$A,Heron!$A$5,Xero!$E:$E,Heron!$A65)</f>
        <v/>
      </c>
      <c r="S65" s="117">
        <f>SUMIFS(Xero!$F:$F,Xero!$B:$B,Heron!S$9,Xero!$A:$A,Heron!$A$4,Xero!$E:$E,Heron!$A65)+SUMIFS(Xero!$F:$F,Xero!$B:$B,Heron!S$9,Xero!$A:$A,Heron!$A$5,Xero!$E:$E,Heron!$A65)</f>
        <v/>
      </c>
      <c r="T65" s="117">
        <f>SUMIFS(Xero!$F:$F,Xero!$B:$B,Heron!T$9,Xero!$A:$A,Heron!$A$4,Xero!$E:$E,Heron!$A65)+SUMIFS(Xero!$F:$F,Xero!$B:$B,Heron!T$9,Xero!$A:$A,Heron!$A$5,Xero!$E:$E,Heron!$A65)</f>
        <v/>
      </c>
      <c r="U65" s="117">
        <f>SUMIFS(Xero!$F:$F,Xero!$B:$B,Heron!U$9,Xero!$A:$A,Heron!$A$4,Xero!$E:$E,Heron!$A65)+SUMIFS(Xero!$F:$F,Xero!$B:$B,Heron!U$9,Xero!$A:$A,Heron!$A$5,Xero!$E:$E,Heron!$A65)</f>
        <v/>
      </c>
      <c r="V65" s="117">
        <f>SUMIFS(Xero!$F:$F,Xero!$B:$B,Heron!V$9,Xero!$A:$A,Heron!$A$4,Xero!$E:$E,Heron!$A65)+SUMIFS(Xero!$F:$F,Xero!$B:$B,Heron!V$9,Xero!$A:$A,Heron!$A$5,Xero!$E:$E,Heron!$A65)</f>
        <v/>
      </c>
      <c r="W65" s="117">
        <f>SUMIFS(Xero!$F:$F,Xero!$B:$B,Heron!W$9,Xero!$A:$A,Heron!$A$4,Xero!$E:$E,Heron!$A65)+SUMIFS(Xero!$F:$F,Xero!$B:$B,Heron!W$9,Xero!$A:$A,Heron!$A$5,Xero!$E:$E,Heron!$A65)</f>
        <v/>
      </c>
      <c r="X65" s="117">
        <f>SUMIFS(Xero!$F:$F,Xero!$B:$B,Heron!X$9,Xero!$A:$A,Heron!$A$4,Xero!$E:$E,Heron!$A65)+SUMIFS(Xero!$F:$F,Xero!$B:$B,Heron!X$9,Xero!$A:$A,Heron!$A$5,Xero!$E:$E,Heron!$A65)</f>
        <v/>
      </c>
      <c r="Y65" s="117">
        <f>SUMIFS(Xero!$F:$F,Xero!$B:$B,Heron!Y$9,Xero!$A:$A,Heron!$A$4,Xero!$E:$E,Heron!$A65)+SUMIFS(Xero!$F:$F,Xero!$B:$B,Heron!Y$9,Xero!$A:$A,Heron!$A$5,Xero!$E:$E,Heron!$A65)</f>
        <v/>
      </c>
      <c r="Z65" s="117">
        <f>SUMIFS(Xero!$F:$F,Xero!$B:$B,Heron!Z$9,Xero!$A:$A,Heron!$A$4,Xero!$E:$E,Heron!$A65)+SUMIFS(Xero!$F:$F,Xero!$B:$B,Heron!Z$9,Xero!$A:$A,Heron!$A$5,Xero!$E:$E,Heron!$A65)</f>
        <v/>
      </c>
      <c r="AA65" s="117">
        <f>SUMIFS(Xero!$F:$F,Xero!$B:$B,Heron!AA$9,Xero!$A:$A,Heron!$A$4,Xero!$E:$E,Heron!$A65)+SUMIFS(Xero!$F:$F,Xero!$B:$B,Heron!AA$9,Xero!$A:$A,Heron!$A$5,Xero!$E:$E,Heron!$A65)</f>
        <v/>
      </c>
      <c r="AB65" s="117">
        <f>SUMIFS(Xero!$F:$F,Xero!$B:$B,Heron!AB$9,Xero!$A:$A,Heron!$A$4,Xero!$E:$E,Heron!$A65)+SUMIFS(Xero!$F:$F,Xero!$B:$B,Heron!AB$9,Xero!$A:$A,Heron!$A$5,Xero!$E:$E,Heron!$A65)</f>
        <v/>
      </c>
      <c r="AC65" s="117">
        <f>SUMIFS(Xero!$F:$F,Xero!$B:$B,Heron!AC$9,Xero!$A:$A,Heron!$A$4,Xero!$E:$E,Heron!$A65)+SUMIFS(Xero!$F:$F,Xero!$B:$B,Heron!AC$9,Xero!$A:$A,Heron!$A$5,Xero!$E:$E,Heron!$A65)</f>
        <v/>
      </c>
      <c r="AD65" s="117">
        <f>SUMIFS(Xero!$F:$F,Xero!$B:$B,Heron!AD$9,Xero!$A:$A,Heron!$A$4,Xero!$E:$E,Heron!$A65)+SUMIFS(Xero!$F:$F,Xero!$B:$B,Heron!AD$9,Xero!$A:$A,Heron!$A$5,Xero!$E:$E,Heron!$A65)</f>
        <v/>
      </c>
      <c r="AE65" s="117">
        <f>SUMIFS(Xero!$F:$F,Xero!$B:$B,Heron!AE$9,Xero!$A:$A,Heron!$A$4,Xero!$E:$E,Heron!$A65)+SUMIFS(Xero!$F:$F,Xero!$B:$B,Heron!AE$9,Xero!$A:$A,Heron!$A$5,Xero!$E:$E,Heron!$A65)</f>
        <v/>
      </c>
      <c r="AF65" s="117">
        <f>SUMIFS(Xero!$F:$F,Xero!$B:$B,Heron!AF$9,Xero!$A:$A,Heron!$A$4,Xero!$E:$E,Heron!$A65)+SUMIFS(Xero!$F:$F,Xero!$B:$B,Heron!AF$9,Xero!$A:$A,Heron!$A$5,Xero!$E:$E,Heron!$A65)</f>
        <v/>
      </c>
      <c r="AG65" s="117">
        <f>SUMIFS(Xero!$F:$F,Xero!$B:$B,Heron!AG$9,Xero!$A:$A,Heron!$A$4,Xero!$E:$E,Heron!$A65)+SUMIFS(Xero!$F:$F,Xero!$B:$B,Heron!AG$9,Xero!$A:$A,Heron!$A$5,Xero!$E:$E,Heron!$A65)</f>
        <v/>
      </c>
      <c r="AH65" s="117">
        <f>SUMIFS(Xero!$F:$F,Xero!$B:$B,Heron!AH$9,Xero!$A:$A,Heron!$A$4,Xero!$E:$E,Heron!$A65)+SUMIFS(Xero!$F:$F,Xero!$B:$B,Heron!AH$9,Xero!$A:$A,Heron!$A$5,Xero!$E:$E,Heron!$A65)</f>
        <v/>
      </c>
      <c r="AI65" s="117">
        <f>SUMIFS(Xero!$F:$F,Xero!$B:$B,Heron!AI$9,Xero!$A:$A,Heron!$A$4,Xero!$E:$E,Heron!$A65)+SUMIFS(Xero!$F:$F,Xero!$B:$B,Heron!AI$9,Xero!$A:$A,Heron!$A$5,Xero!$E:$E,Heron!$A65)</f>
        <v/>
      </c>
      <c r="AJ65" s="117">
        <f>SUMIFS(Xero!$F:$F,Xero!$B:$B,Heron!AJ$9,Xero!$A:$A,Heron!$A$4,Xero!$E:$E,Heron!$A65)+SUMIFS(Xero!$F:$F,Xero!$B:$B,Heron!AJ$9,Xero!$A:$A,Heron!$A$5,Xero!$E:$E,Heron!$A65)</f>
        <v/>
      </c>
      <c r="AK65" s="117">
        <f>SUMIFS(Xero!$F:$F,Xero!$B:$B,Heron!AK$9,Xero!$A:$A,Heron!$A$4,Xero!$E:$E,Heron!$A65)+SUMIFS(Xero!$F:$F,Xero!$B:$B,Heron!AK$9,Xero!$A:$A,Heron!$A$5,Xero!$E:$E,Heron!$A65)</f>
        <v/>
      </c>
      <c r="AL65" s="117">
        <f>SUMIFS(Xero!$F:$F,Xero!$B:$B,Heron!AL$9,Xero!$A:$A,Heron!$A$4,Xero!$E:$E,Heron!$A65)+SUMIFS(Xero!$F:$F,Xero!$B:$B,Heron!AL$9,Xero!$A:$A,Heron!$A$5,Xero!$E:$E,Heron!$A65)</f>
        <v/>
      </c>
      <c r="AM65" s="117">
        <f>SUMIFS(Xero!$F:$F,Xero!$B:$B,Heron!AM$9,Xero!$A:$A,Heron!$A$4,Xero!$E:$E,Heron!$A65)+SUMIFS(Xero!$F:$F,Xero!$B:$B,Heron!AM$9,Xero!$A:$A,Heron!$A$5,Xero!$E:$E,Heron!$A65)</f>
        <v/>
      </c>
      <c r="AN65" s="117">
        <f>SUMIFS(Xero!$F:$F,Xero!$B:$B,Heron!AN$9,Xero!$A:$A,Heron!$A$4,Xero!$E:$E,Heron!$A65)+SUMIFS(Xero!$F:$F,Xero!$B:$B,Heron!AN$9,Xero!$A:$A,Heron!$A$5,Xero!$E:$E,Heron!$A65)</f>
        <v/>
      </c>
      <c r="AO65" s="117">
        <f>SUMIFS(Xero!$F:$F,Xero!$B:$B,Heron!AO$9,Xero!$A:$A,Heron!$A$4,Xero!$E:$E,Heron!$A65)+SUMIFS(Xero!$F:$F,Xero!$B:$B,Heron!AO$9,Xero!$A:$A,Heron!$A$5,Xero!$E:$E,Heron!$A65)</f>
        <v/>
      </c>
      <c r="AP65" s="117">
        <f>SUMIFS(Xero!$F:$F,Xero!$B:$B,Heron!AP$9,Xero!$A:$A,Heron!$A$4,Xero!$E:$E,Heron!$A65)+SUMIFS(Xero!$F:$F,Xero!$B:$B,Heron!AP$9,Xero!$A:$A,Heron!$A$5,Xero!$E:$E,Heron!$A65)</f>
        <v/>
      </c>
      <c r="AQ65" s="117">
        <f>SUMIFS(Xero!$F:$F,Xero!$B:$B,Heron!AQ$9,Xero!$A:$A,Heron!$A$4,Xero!$E:$E,Heron!$A65)+SUMIFS(Xero!$F:$F,Xero!$B:$B,Heron!AQ$9,Xero!$A:$A,Heron!$A$5,Xero!$E:$E,Heron!$A65)</f>
        <v/>
      </c>
      <c r="AR65" s="117">
        <f>SUMIFS(Xero!$F:$F,Xero!$B:$B,Heron!AR$9,Xero!$A:$A,Heron!$A$4,Xero!$E:$E,Heron!$A65)+SUMIFS(Xero!$F:$F,Xero!$B:$B,Heron!AR$9,Xero!$A:$A,Heron!$A$5,Xero!$E:$E,Heron!$A65)</f>
        <v/>
      </c>
      <c r="AS65" s="117">
        <f>SUMIFS(Xero!$F:$F,Xero!$B:$B,Heron!AS$9,Xero!$A:$A,Heron!$A$4,Xero!$E:$E,Heron!$A65)+SUMIFS(Xero!$F:$F,Xero!$B:$B,Heron!AS$9,Xero!$A:$A,Heron!$A$5,Xero!$E:$E,Heron!$A65)</f>
        <v/>
      </c>
      <c r="AT65" s="117">
        <f>SUMIFS(Xero!$F:$F,Xero!$B:$B,Heron!AT$9,Xero!$A:$A,Heron!$A$4,Xero!$E:$E,Heron!$A65)+SUMIFS(Xero!$F:$F,Xero!$B:$B,Heron!AT$9,Xero!$A:$A,Heron!$A$5,Xero!$E:$E,Heron!$A65)</f>
        <v/>
      </c>
      <c r="AU65" s="117">
        <f>SUMIFS(Xero!$F:$F,Xero!$B:$B,Heron!AU$9,Xero!$A:$A,Heron!$A$4,Xero!$E:$E,Heron!$A65)+SUMIFS(Xero!$F:$F,Xero!$B:$B,Heron!AU$9,Xero!$A:$A,Heron!$A$5,Xero!$E:$E,Heron!$A65)</f>
        <v/>
      </c>
      <c r="AV65" s="117">
        <f>SUMIFS(Xero!$F:$F,Xero!$B:$B,Heron!AV$9,Xero!$A:$A,Heron!$A$4,Xero!$E:$E,Heron!$A65)+SUMIFS(Xero!$F:$F,Xero!$B:$B,Heron!AV$9,Xero!$A:$A,Heron!$A$5,Xero!$E:$E,Heron!$A65)</f>
        <v/>
      </c>
      <c r="AW65" s="117">
        <f>SUMIFS(Xero!$F:$F,Xero!$B:$B,Heron!AW$9,Xero!$A:$A,Heron!$A$4,Xero!$E:$E,Heron!$A65)+SUMIFS(Xero!$F:$F,Xero!$B:$B,Heron!AW$9,Xero!$A:$A,Heron!$A$5,Xero!$E:$E,Heron!$A65)</f>
        <v/>
      </c>
      <c r="AX65" s="117">
        <f>SUMIFS(Xero!$F:$F,Xero!$B:$B,Heron!AX$9,Xero!$A:$A,Heron!$A$4,Xero!$E:$E,Heron!$A65)+SUMIFS(Xero!$F:$F,Xero!$B:$B,Heron!AX$9,Xero!$A:$A,Heron!$A$5,Xero!$E:$E,Heron!$A65)</f>
        <v/>
      </c>
      <c r="AY65" s="117">
        <f>SUMIFS(Xero!$F:$F,Xero!$B:$B,Heron!AY$9,Xero!$A:$A,Heron!$A$4,Xero!$E:$E,Heron!$A65)+SUMIFS(Xero!$F:$F,Xero!$B:$B,Heron!AY$9,Xero!$A:$A,Heron!$A$5,Xero!$E:$E,Heron!$A65)</f>
        <v/>
      </c>
      <c r="AZ65" s="117">
        <f>SUMIFS(Xero!$F:$F,Xero!$B:$B,Heron!AZ$9,Xero!$A:$A,Heron!$A$4,Xero!$E:$E,Heron!$A65)+SUMIFS(Xero!$F:$F,Xero!$B:$B,Heron!AZ$9,Xero!$A:$A,Heron!$A$5,Xero!$E:$E,Heron!$A65)</f>
        <v/>
      </c>
      <c r="BA65" s="117">
        <f>SUMIFS(Xero!$F:$F,Xero!$B:$B,Heron!BA$9,Xero!$A:$A,Heron!$A$4,Xero!$E:$E,Heron!$A65)+SUMIFS(Xero!$F:$F,Xero!$B:$B,Heron!BA$9,Xero!$A:$A,Heron!$A$5,Xero!$E:$E,Heron!$A65)</f>
        <v/>
      </c>
      <c r="BB65" s="117">
        <f>SUMIFS(Xero!$F:$F,Xero!$B:$B,Heron!BB$9,Xero!$A:$A,Heron!$A$4,Xero!$E:$E,Heron!$A65)+SUMIFS(Xero!$F:$F,Xero!$B:$B,Heron!BB$9,Xero!$A:$A,Heron!$A$5,Xero!$E:$E,Heron!$A65)</f>
        <v/>
      </c>
      <c r="BC65" s="117">
        <f>SUMIFS(Xero!$F:$F,Xero!$B:$B,Heron!BC$9,Xero!$A:$A,Heron!$A$4,Xero!$E:$E,Heron!$A65)+SUMIFS(Xero!$F:$F,Xero!$B:$B,Heron!BC$9,Xero!$A:$A,Heron!$A$5,Xero!$E:$E,Heron!$A65)</f>
        <v/>
      </c>
      <c r="BD65" s="117">
        <f>SUMIFS(Xero!$F:$F,Xero!$B:$B,Heron!BD$9,Xero!$A:$A,Heron!$A$4,Xero!$E:$E,Heron!$A65)+SUMIFS(Xero!$F:$F,Xero!$B:$B,Heron!BD$9,Xero!$A:$A,Heron!$A$5,Xero!$E:$E,Heron!$A65)</f>
        <v/>
      </c>
      <c r="BE65" s="117">
        <f>SUMIFS(Xero!$F:$F,Xero!$B:$B,Heron!BE$9,Xero!$A:$A,Heron!$A$4,Xero!$E:$E,Heron!$A65)+SUMIFS(Xero!$F:$F,Xero!$B:$B,Heron!BE$9,Xero!$A:$A,Heron!$A$5,Xero!$E:$E,Heron!$A65)</f>
        <v/>
      </c>
      <c r="BF65" s="117">
        <f>SUMIFS(Xero!$F:$F,Xero!$B:$B,Heron!BF$9,Xero!$A:$A,Heron!$A$4,Xero!$E:$E,Heron!$A65)+SUMIFS(Xero!$F:$F,Xero!$B:$B,Heron!BF$9,Xero!$A:$A,Heron!$A$5,Xero!$E:$E,Heron!$A65)</f>
        <v/>
      </c>
      <c r="BG65" s="117">
        <f>SUMIFS(Xero!$F:$F,Xero!$B:$B,Heron!BG$9,Xero!$A:$A,Heron!$A$4,Xero!$E:$E,Heron!$A65)+SUMIFS(Xero!$F:$F,Xero!$B:$B,Heron!BG$9,Xero!$A:$A,Heron!$A$5,Xero!$E:$E,Heron!$A65)</f>
        <v/>
      </c>
      <c r="BH65" s="117">
        <f>SUMIFS(Xero!$F:$F,Xero!$B:$B,Heron!BH$9,Xero!$A:$A,Heron!$A$4,Xero!$E:$E,Heron!$A65)+SUMIFS(Xero!$F:$F,Xero!$B:$B,Heron!BH$9,Xero!$A:$A,Heron!$A$5,Xero!$E:$E,Heron!$A65)</f>
        <v/>
      </c>
      <c r="BI65" s="117">
        <f>SUMIFS(Xero!$F:$F,Xero!$B:$B,Heron!BI$9,Xero!$A:$A,Heron!$A$4,Xero!$E:$E,Heron!$A65)+SUMIFS(Xero!$F:$F,Xero!$B:$B,Heron!BI$9,Xero!$A:$A,Heron!$A$5,Xero!$E:$E,Heron!$A65)</f>
        <v/>
      </c>
      <c r="BJ65" s="117">
        <f>SUMIFS(Xero!$F:$F,Xero!$B:$B,Heron!BJ$9,Xero!$A:$A,Heron!$A$4,Xero!$E:$E,Heron!$A65)+SUMIFS(Xero!$F:$F,Xero!$B:$B,Heron!BJ$9,Xero!$A:$A,Heron!$A$5,Xero!$E:$E,Heron!$A65)</f>
        <v/>
      </c>
      <c r="BK65" s="117">
        <f>sum(D65:BJ65)</f>
        <v/>
      </c>
    </row>
    <row r="66">
      <c r="A66" s="116" t="inlineStr">
        <is>
          <t>Consulting fees - Trustee</t>
        </is>
      </c>
      <c r="D66" s="117">
        <f>SUMIFS(Xero!$F:$F,Xero!$B:$B,Heron!D$9,Xero!$A:$A,Heron!$A$4,Xero!$E:$E,Heron!$A66)+SUMIFS(Xero!$F:$F,Xero!$B:$B,Heron!D$9,Xero!$A:$A,Heron!$A$5,Xero!$E:$E,Heron!$A66)</f>
        <v/>
      </c>
      <c r="E66" s="117">
        <f>SUMIFS(Xero!$F:$F,Xero!$B:$B,Heron!E$9,Xero!$A:$A,Heron!$A$4,Xero!$E:$E,Heron!$A66)+SUMIFS(Xero!$F:$F,Xero!$B:$B,Heron!E$9,Xero!$A:$A,Heron!$A$5,Xero!$E:$E,Heron!$A66)</f>
        <v/>
      </c>
      <c r="F66" s="117">
        <f>SUMIFS(Xero!$F:$F,Xero!$B:$B,Heron!F$9,Xero!$A:$A,Heron!$A$4,Xero!$E:$E,Heron!$A66)+SUMIFS(Xero!$F:$F,Xero!$B:$B,Heron!F$9,Xero!$A:$A,Heron!$A$5,Xero!$E:$E,Heron!$A66)</f>
        <v/>
      </c>
      <c r="G66" s="117">
        <f>SUMIFS(Xero!$F:$F,Xero!$B:$B,Heron!G$9,Xero!$A:$A,Heron!$A$4,Xero!$E:$E,Heron!$A66)+SUMIFS(Xero!$F:$F,Xero!$B:$B,Heron!G$9,Xero!$A:$A,Heron!$A$5,Xero!$E:$E,Heron!$A66)</f>
        <v/>
      </c>
      <c r="H66" s="117">
        <f>SUMIFS(Xero!$F:$F,Xero!$B:$B,Heron!H$9,Xero!$A:$A,Heron!$A$4,Xero!$E:$E,Heron!$A66)+SUMIFS(Xero!$F:$F,Xero!$B:$B,Heron!H$9,Xero!$A:$A,Heron!$A$5,Xero!$E:$E,Heron!$A66)</f>
        <v/>
      </c>
      <c r="I66" s="117">
        <f>SUMIFS(Xero!$F:$F,Xero!$B:$B,Heron!I$9,Xero!$A:$A,Heron!$A$4,Xero!$E:$E,Heron!$A66)+SUMIFS(Xero!$F:$F,Xero!$B:$B,Heron!I$9,Xero!$A:$A,Heron!$A$5,Xero!$E:$E,Heron!$A66)</f>
        <v/>
      </c>
      <c r="J66" s="117">
        <f>SUMIFS(Xero!$F:$F,Xero!$B:$B,Heron!J$9,Xero!$A:$A,Heron!$A$4,Xero!$E:$E,Heron!$A66)+SUMIFS(Xero!$F:$F,Xero!$B:$B,Heron!J$9,Xero!$A:$A,Heron!$A$5,Xero!$E:$E,Heron!$A66)</f>
        <v/>
      </c>
      <c r="K66" s="117">
        <f>SUMIFS(Xero!$F:$F,Xero!$B:$B,Heron!K$9,Xero!$A:$A,Heron!$A$4,Xero!$E:$E,Heron!$A66)+SUMIFS(Xero!$F:$F,Xero!$B:$B,Heron!K$9,Xero!$A:$A,Heron!$A$5,Xero!$E:$E,Heron!$A66)</f>
        <v/>
      </c>
      <c r="L66" s="117">
        <f>SUMIFS(Xero!$F:$F,Xero!$B:$B,Heron!L$9,Xero!$A:$A,Heron!$A$4,Xero!$E:$E,Heron!$A66)+SUMIFS(Xero!$F:$F,Xero!$B:$B,Heron!L$9,Xero!$A:$A,Heron!$A$5,Xero!$E:$E,Heron!$A66)</f>
        <v/>
      </c>
      <c r="M66" s="117">
        <f>SUMIFS(Xero!$F:$F,Xero!$B:$B,Heron!M$9,Xero!$A:$A,Heron!$A$4,Xero!$E:$E,Heron!$A66)+SUMIFS(Xero!$F:$F,Xero!$B:$B,Heron!M$9,Xero!$A:$A,Heron!$A$5,Xero!$E:$E,Heron!$A66)</f>
        <v/>
      </c>
      <c r="N66" s="117">
        <f>SUMIFS(Xero!$F:$F,Xero!$B:$B,Heron!N$9,Xero!$A:$A,Heron!$A$4,Xero!$E:$E,Heron!$A66)+SUMIFS(Xero!$F:$F,Xero!$B:$B,Heron!N$9,Xero!$A:$A,Heron!$A$5,Xero!$E:$E,Heron!$A66)</f>
        <v/>
      </c>
      <c r="O66" s="117">
        <f>SUMIFS(Xero!$F:$F,Xero!$B:$B,Heron!O$9,Xero!$A:$A,Heron!$A$4,Xero!$E:$E,Heron!$A66)+SUMIFS(Xero!$F:$F,Xero!$B:$B,Heron!O$9,Xero!$A:$A,Heron!$A$5,Xero!$E:$E,Heron!$A66)</f>
        <v/>
      </c>
      <c r="P66" s="117">
        <f>SUMIFS(Xero!$F:$F,Xero!$B:$B,Heron!P$9,Xero!$A:$A,Heron!$A$4,Xero!$E:$E,Heron!$A66)+SUMIFS(Xero!$F:$F,Xero!$B:$B,Heron!P$9,Xero!$A:$A,Heron!$A$5,Xero!$E:$E,Heron!$A66)</f>
        <v/>
      </c>
      <c r="Q66" s="117">
        <f>SUMIFS(Xero!$F:$F,Xero!$B:$B,Heron!Q$9,Xero!$A:$A,Heron!$A$4,Xero!$E:$E,Heron!$A66)+SUMIFS(Xero!$F:$F,Xero!$B:$B,Heron!Q$9,Xero!$A:$A,Heron!$A$5,Xero!$E:$E,Heron!$A66)</f>
        <v/>
      </c>
      <c r="R66" s="117">
        <f>SUMIFS(Xero!$F:$F,Xero!$B:$B,Heron!R$9,Xero!$A:$A,Heron!$A$4,Xero!$E:$E,Heron!$A66)+SUMIFS(Xero!$F:$F,Xero!$B:$B,Heron!R$9,Xero!$A:$A,Heron!$A$5,Xero!$E:$E,Heron!$A66)</f>
        <v/>
      </c>
      <c r="S66" s="117">
        <f>SUMIFS(Xero!$F:$F,Xero!$B:$B,Heron!S$9,Xero!$A:$A,Heron!$A$4,Xero!$E:$E,Heron!$A66)+SUMIFS(Xero!$F:$F,Xero!$B:$B,Heron!S$9,Xero!$A:$A,Heron!$A$5,Xero!$E:$E,Heron!$A66)</f>
        <v/>
      </c>
      <c r="T66" s="117">
        <f>SUMIFS(Xero!$F:$F,Xero!$B:$B,Heron!T$9,Xero!$A:$A,Heron!$A$4,Xero!$E:$E,Heron!$A66)+SUMIFS(Xero!$F:$F,Xero!$B:$B,Heron!T$9,Xero!$A:$A,Heron!$A$5,Xero!$E:$E,Heron!$A66)</f>
        <v/>
      </c>
      <c r="U66" s="117">
        <f>SUMIFS(Xero!$F:$F,Xero!$B:$B,Heron!U$9,Xero!$A:$A,Heron!$A$4,Xero!$E:$E,Heron!$A66)+SUMIFS(Xero!$F:$F,Xero!$B:$B,Heron!U$9,Xero!$A:$A,Heron!$A$5,Xero!$E:$E,Heron!$A66)</f>
        <v/>
      </c>
      <c r="V66" s="117">
        <f>SUMIFS(Xero!$F:$F,Xero!$B:$B,Heron!V$9,Xero!$A:$A,Heron!$A$4,Xero!$E:$E,Heron!$A66)+SUMIFS(Xero!$F:$F,Xero!$B:$B,Heron!V$9,Xero!$A:$A,Heron!$A$5,Xero!$E:$E,Heron!$A66)</f>
        <v/>
      </c>
      <c r="W66" s="117">
        <f>SUMIFS(Xero!$F:$F,Xero!$B:$B,Heron!W$9,Xero!$A:$A,Heron!$A$4,Xero!$E:$E,Heron!$A66)+SUMIFS(Xero!$F:$F,Xero!$B:$B,Heron!W$9,Xero!$A:$A,Heron!$A$5,Xero!$E:$E,Heron!$A66)</f>
        <v/>
      </c>
      <c r="X66" s="117">
        <f>SUMIFS(Xero!$F:$F,Xero!$B:$B,Heron!X$9,Xero!$A:$A,Heron!$A$4,Xero!$E:$E,Heron!$A66)+SUMIFS(Xero!$F:$F,Xero!$B:$B,Heron!X$9,Xero!$A:$A,Heron!$A$5,Xero!$E:$E,Heron!$A66)</f>
        <v/>
      </c>
      <c r="Y66" s="117">
        <f>SUMIFS(Xero!$F:$F,Xero!$B:$B,Heron!Y$9,Xero!$A:$A,Heron!$A$4,Xero!$E:$E,Heron!$A66)+SUMIFS(Xero!$F:$F,Xero!$B:$B,Heron!Y$9,Xero!$A:$A,Heron!$A$5,Xero!$E:$E,Heron!$A66)</f>
        <v/>
      </c>
      <c r="Z66" s="117">
        <f>SUMIFS(Xero!$F:$F,Xero!$B:$B,Heron!Z$9,Xero!$A:$A,Heron!$A$4,Xero!$E:$E,Heron!$A66)+SUMIFS(Xero!$F:$F,Xero!$B:$B,Heron!Z$9,Xero!$A:$A,Heron!$A$5,Xero!$E:$E,Heron!$A66)</f>
        <v/>
      </c>
      <c r="AA66" s="117">
        <f>SUMIFS(Xero!$F:$F,Xero!$B:$B,Heron!AA$9,Xero!$A:$A,Heron!$A$4,Xero!$E:$E,Heron!$A66)+SUMIFS(Xero!$F:$F,Xero!$B:$B,Heron!AA$9,Xero!$A:$A,Heron!$A$5,Xero!$E:$E,Heron!$A66)</f>
        <v/>
      </c>
      <c r="AB66" s="117">
        <f>SUMIFS(Xero!$F:$F,Xero!$B:$B,Heron!AB$9,Xero!$A:$A,Heron!$A$4,Xero!$E:$E,Heron!$A66)+SUMIFS(Xero!$F:$F,Xero!$B:$B,Heron!AB$9,Xero!$A:$A,Heron!$A$5,Xero!$E:$E,Heron!$A66)</f>
        <v/>
      </c>
      <c r="AC66" s="117">
        <f>SUMIFS(Xero!$F:$F,Xero!$B:$B,Heron!AC$9,Xero!$A:$A,Heron!$A$4,Xero!$E:$E,Heron!$A66)+SUMIFS(Xero!$F:$F,Xero!$B:$B,Heron!AC$9,Xero!$A:$A,Heron!$A$5,Xero!$E:$E,Heron!$A66)</f>
        <v/>
      </c>
      <c r="AD66" s="117">
        <f>SUMIFS(Xero!$F:$F,Xero!$B:$B,Heron!AD$9,Xero!$A:$A,Heron!$A$4,Xero!$E:$E,Heron!$A66)+SUMIFS(Xero!$F:$F,Xero!$B:$B,Heron!AD$9,Xero!$A:$A,Heron!$A$5,Xero!$E:$E,Heron!$A66)</f>
        <v/>
      </c>
      <c r="AE66" s="117">
        <f>SUMIFS(Xero!$F:$F,Xero!$B:$B,Heron!AE$9,Xero!$A:$A,Heron!$A$4,Xero!$E:$E,Heron!$A66)+SUMIFS(Xero!$F:$F,Xero!$B:$B,Heron!AE$9,Xero!$A:$A,Heron!$A$5,Xero!$E:$E,Heron!$A66)</f>
        <v/>
      </c>
      <c r="AF66" s="117">
        <f>SUMIFS(Xero!$F:$F,Xero!$B:$B,Heron!AF$9,Xero!$A:$A,Heron!$A$4,Xero!$E:$E,Heron!$A66)+SUMIFS(Xero!$F:$F,Xero!$B:$B,Heron!AF$9,Xero!$A:$A,Heron!$A$5,Xero!$E:$E,Heron!$A66)</f>
        <v/>
      </c>
      <c r="AG66" s="117">
        <f>SUMIFS(Xero!$F:$F,Xero!$B:$B,Heron!AG$9,Xero!$A:$A,Heron!$A$4,Xero!$E:$E,Heron!$A66)+SUMIFS(Xero!$F:$F,Xero!$B:$B,Heron!AG$9,Xero!$A:$A,Heron!$A$5,Xero!$E:$E,Heron!$A66)</f>
        <v/>
      </c>
      <c r="AH66" s="117">
        <f>SUMIFS(Xero!$F:$F,Xero!$B:$B,Heron!AH$9,Xero!$A:$A,Heron!$A$4,Xero!$E:$E,Heron!$A66)+SUMIFS(Xero!$F:$F,Xero!$B:$B,Heron!AH$9,Xero!$A:$A,Heron!$A$5,Xero!$E:$E,Heron!$A66)</f>
        <v/>
      </c>
      <c r="AI66" s="117">
        <f>SUMIFS(Xero!$F:$F,Xero!$B:$B,Heron!AI$9,Xero!$A:$A,Heron!$A$4,Xero!$E:$E,Heron!$A66)+SUMIFS(Xero!$F:$F,Xero!$B:$B,Heron!AI$9,Xero!$A:$A,Heron!$A$5,Xero!$E:$E,Heron!$A66)</f>
        <v/>
      </c>
      <c r="AJ66" s="117">
        <f>SUMIFS(Xero!$F:$F,Xero!$B:$B,Heron!AJ$9,Xero!$A:$A,Heron!$A$4,Xero!$E:$E,Heron!$A66)+SUMIFS(Xero!$F:$F,Xero!$B:$B,Heron!AJ$9,Xero!$A:$A,Heron!$A$5,Xero!$E:$E,Heron!$A66)</f>
        <v/>
      </c>
      <c r="AK66" s="117">
        <f>SUMIFS(Xero!$F:$F,Xero!$B:$B,Heron!AK$9,Xero!$A:$A,Heron!$A$4,Xero!$E:$E,Heron!$A66)+SUMIFS(Xero!$F:$F,Xero!$B:$B,Heron!AK$9,Xero!$A:$A,Heron!$A$5,Xero!$E:$E,Heron!$A66)</f>
        <v/>
      </c>
      <c r="AL66" s="117">
        <f>SUMIFS(Xero!$F:$F,Xero!$B:$B,Heron!AL$9,Xero!$A:$A,Heron!$A$4,Xero!$E:$E,Heron!$A66)+SUMIFS(Xero!$F:$F,Xero!$B:$B,Heron!AL$9,Xero!$A:$A,Heron!$A$5,Xero!$E:$E,Heron!$A66)</f>
        <v/>
      </c>
      <c r="AM66" s="117">
        <f>SUMIFS(Xero!$F:$F,Xero!$B:$B,Heron!AM$9,Xero!$A:$A,Heron!$A$4,Xero!$E:$E,Heron!$A66)+SUMIFS(Xero!$F:$F,Xero!$B:$B,Heron!AM$9,Xero!$A:$A,Heron!$A$5,Xero!$E:$E,Heron!$A66)</f>
        <v/>
      </c>
      <c r="AN66" s="117">
        <f>SUMIFS(Xero!$F:$F,Xero!$B:$B,Heron!AN$9,Xero!$A:$A,Heron!$A$4,Xero!$E:$E,Heron!$A66)+SUMIFS(Xero!$F:$F,Xero!$B:$B,Heron!AN$9,Xero!$A:$A,Heron!$A$5,Xero!$E:$E,Heron!$A66)</f>
        <v/>
      </c>
      <c r="AO66" s="117">
        <f>SUMIFS(Xero!$F:$F,Xero!$B:$B,Heron!AO$9,Xero!$A:$A,Heron!$A$4,Xero!$E:$E,Heron!$A66)+SUMIFS(Xero!$F:$F,Xero!$B:$B,Heron!AO$9,Xero!$A:$A,Heron!$A$5,Xero!$E:$E,Heron!$A66)</f>
        <v/>
      </c>
      <c r="AP66" s="117">
        <f>SUMIFS(Xero!$F:$F,Xero!$B:$B,Heron!AP$9,Xero!$A:$A,Heron!$A$4,Xero!$E:$E,Heron!$A66)+SUMIFS(Xero!$F:$F,Xero!$B:$B,Heron!AP$9,Xero!$A:$A,Heron!$A$5,Xero!$E:$E,Heron!$A66)</f>
        <v/>
      </c>
      <c r="AQ66" s="117">
        <f>SUMIFS(Xero!$F:$F,Xero!$B:$B,Heron!AQ$9,Xero!$A:$A,Heron!$A$4,Xero!$E:$E,Heron!$A66)+SUMIFS(Xero!$F:$F,Xero!$B:$B,Heron!AQ$9,Xero!$A:$A,Heron!$A$5,Xero!$E:$E,Heron!$A66)</f>
        <v/>
      </c>
      <c r="AR66" s="117">
        <f>SUMIFS(Xero!$F:$F,Xero!$B:$B,Heron!AR$9,Xero!$A:$A,Heron!$A$4,Xero!$E:$E,Heron!$A66)+SUMIFS(Xero!$F:$F,Xero!$B:$B,Heron!AR$9,Xero!$A:$A,Heron!$A$5,Xero!$E:$E,Heron!$A66)</f>
        <v/>
      </c>
      <c r="AS66" s="117">
        <f>SUMIFS(Xero!$F:$F,Xero!$B:$B,Heron!AS$9,Xero!$A:$A,Heron!$A$4,Xero!$E:$E,Heron!$A66)+SUMIFS(Xero!$F:$F,Xero!$B:$B,Heron!AS$9,Xero!$A:$A,Heron!$A$5,Xero!$E:$E,Heron!$A66)</f>
        <v/>
      </c>
      <c r="AT66" s="117">
        <f>SUMIFS(Xero!$F:$F,Xero!$B:$B,Heron!AT$9,Xero!$A:$A,Heron!$A$4,Xero!$E:$E,Heron!$A66)+SUMIFS(Xero!$F:$F,Xero!$B:$B,Heron!AT$9,Xero!$A:$A,Heron!$A$5,Xero!$E:$E,Heron!$A66)</f>
        <v/>
      </c>
      <c r="AU66" s="117">
        <f>SUMIFS(Xero!$F:$F,Xero!$B:$B,Heron!AU$9,Xero!$A:$A,Heron!$A$4,Xero!$E:$E,Heron!$A66)+SUMIFS(Xero!$F:$F,Xero!$B:$B,Heron!AU$9,Xero!$A:$A,Heron!$A$5,Xero!$E:$E,Heron!$A66)</f>
        <v/>
      </c>
      <c r="AV66" s="117">
        <f>SUMIFS(Xero!$F:$F,Xero!$B:$B,Heron!AV$9,Xero!$A:$A,Heron!$A$4,Xero!$E:$E,Heron!$A66)+SUMIFS(Xero!$F:$F,Xero!$B:$B,Heron!AV$9,Xero!$A:$A,Heron!$A$5,Xero!$E:$E,Heron!$A66)</f>
        <v/>
      </c>
      <c r="AW66" s="117">
        <f>SUMIFS(Xero!$F:$F,Xero!$B:$B,Heron!AW$9,Xero!$A:$A,Heron!$A$4,Xero!$E:$E,Heron!$A66)+SUMIFS(Xero!$F:$F,Xero!$B:$B,Heron!AW$9,Xero!$A:$A,Heron!$A$5,Xero!$E:$E,Heron!$A66)</f>
        <v/>
      </c>
      <c r="AX66" s="117">
        <f>SUMIFS(Xero!$F:$F,Xero!$B:$B,Heron!AX$9,Xero!$A:$A,Heron!$A$4,Xero!$E:$E,Heron!$A66)+SUMIFS(Xero!$F:$F,Xero!$B:$B,Heron!AX$9,Xero!$A:$A,Heron!$A$5,Xero!$E:$E,Heron!$A66)</f>
        <v/>
      </c>
      <c r="AY66" s="117">
        <f>SUMIFS(Xero!$F:$F,Xero!$B:$B,Heron!AY$9,Xero!$A:$A,Heron!$A$4,Xero!$E:$E,Heron!$A66)+SUMIFS(Xero!$F:$F,Xero!$B:$B,Heron!AY$9,Xero!$A:$A,Heron!$A$5,Xero!$E:$E,Heron!$A66)</f>
        <v/>
      </c>
      <c r="AZ66" s="117">
        <f>SUMIFS(Xero!$F:$F,Xero!$B:$B,Heron!AZ$9,Xero!$A:$A,Heron!$A$4,Xero!$E:$E,Heron!$A66)+SUMIFS(Xero!$F:$F,Xero!$B:$B,Heron!AZ$9,Xero!$A:$A,Heron!$A$5,Xero!$E:$E,Heron!$A66)</f>
        <v/>
      </c>
      <c r="BA66" s="117">
        <f>SUMIFS(Xero!$F:$F,Xero!$B:$B,Heron!BA$9,Xero!$A:$A,Heron!$A$4,Xero!$E:$E,Heron!$A66)+SUMIFS(Xero!$F:$F,Xero!$B:$B,Heron!BA$9,Xero!$A:$A,Heron!$A$5,Xero!$E:$E,Heron!$A66)</f>
        <v/>
      </c>
      <c r="BB66" s="117">
        <f>SUMIFS(Xero!$F:$F,Xero!$B:$B,Heron!BB$9,Xero!$A:$A,Heron!$A$4,Xero!$E:$E,Heron!$A66)+SUMIFS(Xero!$F:$F,Xero!$B:$B,Heron!BB$9,Xero!$A:$A,Heron!$A$5,Xero!$E:$E,Heron!$A66)</f>
        <v/>
      </c>
      <c r="BC66" s="117">
        <f>SUMIFS(Xero!$F:$F,Xero!$B:$B,Heron!BC$9,Xero!$A:$A,Heron!$A$4,Xero!$E:$E,Heron!$A66)+SUMIFS(Xero!$F:$F,Xero!$B:$B,Heron!BC$9,Xero!$A:$A,Heron!$A$5,Xero!$E:$E,Heron!$A66)</f>
        <v/>
      </c>
      <c r="BD66" s="117">
        <f>SUMIFS(Xero!$F:$F,Xero!$B:$B,Heron!BD$9,Xero!$A:$A,Heron!$A$4,Xero!$E:$E,Heron!$A66)+SUMIFS(Xero!$F:$F,Xero!$B:$B,Heron!BD$9,Xero!$A:$A,Heron!$A$5,Xero!$E:$E,Heron!$A66)</f>
        <v/>
      </c>
      <c r="BE66" s="117">
        <f>SUMIFS(Xero!$F:$F,Xero!$B:$B,Heron!BE$9,Xero!$A:$A,Heron!$A$4,Xero!$E:$E,Heron!$A66)+SUMIFS(Xero!$F:$F,Xero!$B:$B,Heron!BE$9,Xero!$A:$A,Heron!$A$5,Xero!$E:$E,Heron!$A66)</f>
        <v/>
      </c>
      <c r="BF66" s="117">
        <f>SUMIFS(Xero!$F:$F,Xero!$B:$B,Heron!BF$9,Xero!$A:$A,Heron!$A$4,Xero!$E:$E,Heron!$A66)+SUMIFS(Xero!$F:$F,Xero!$B:$B,Heron!BF$9,Xero!$A:$A,Heron!$A$5,Xero!$E:$E,Heron!$A66)</f>
        <v/>
      </c>
      <c r="BG66" s="117">
        <f>SUMIFS(Xero!$F:$F,Xero!$B:$B,Heron!BG$9,Xero!$A:$A,Heron!$A$4,Xero!$E:$E,Heron!$A66)+SUMIFS(Xero!$F:$F,Xero!$B:$B,Heron!BG$9,Xero!$A:$A,Heron!$A$5,Xero!$E:$E,Heron!$A66)</f>
        <v/>
      </c>
      <c r="BH66" s="117">
        <f>SUMIFS(Xero!$F:$F,Xero!$B:$B,Heron!BH$9,Xero!$A:$A,Heron!$A$4,Xero!$E:$E,Heron!$A66)+SUMIFS(Xero!$F:$F,Xero!$B:$B,Heron!BH$9,Xero!$A:$A,Heron!$A$5,Xero!$E:$E,Heron!$A66)</f>
        <v/>
      </c>
      <c r="BI66" s="117">
        <f>SUMIFS(Xero!$F:$F,Xero!$B:$B,Heron!BI$9,Xero!$A:$A,Heron!$A$4,Xero!$E:$E,Heron!$A66)+SUMIFS(Xero!$F:$F,Xero!$B:$B,Heron!BI$9,Xero!$A:$A,Heron!$A$5,Xero!$E:$E,Heron!$A66)</f>
        <v/>
      </c>
      <c r="BJ66" s="117">
        <f>SUMIFS(Xero!$F:$F,Xero!$B:$B,Heron!BJ$9,Xero!$A:$A,Heron!$A$4,Xero!$E:$E,Heron!$A66)+SUMIFS(Xero!$F:$F,Xero!$B:$B,Heron!BJ$9,Xero!$A:$A,Heron!$A$5,Xero!$E:$E,Heron!$A66)</f>
        <v/>
      </c>
      <c r="BK66" s="117">
        <f>sum(D66:BJ66)</f>
        <v/>
      </c>
    </row>
    <row r="67">
      <c r="A67" s="116" t="inlineStr">
        <is>
          <t>Developers Levies</t>
        </is>
      </c>
      <c r="D67" s="117">
        <f>SUMIFS(Xero!$F:$F,Xero!$B:$B,Heron!D$9,Xero!$A:$A,Heron!$A$4,Xero!$E:$E,Heron!$A67)+SUMIFS(Xero!$F:$F,Xero!$B:$B,Heron!D$9,Xero!$A:$A,Heron!$A$5,Xero!$E:$E,Heron!$A67)</f>
        <v/>
      </c>
      <c r="E67" s="117">
        <f>SUMIFS(Xero!$F:$F,Xero!$B:$B,Heron!E$9,Xero!$A:$A,Heron!$A$4,Xero!$E:$E,Heron!$A67)+SUMIFS(Xero!$F:$F,Xero!$B:$B,Heron!E$9,Xero!$A:$A,Heron!$A$5,Xero!$E:$E,Heron!$A67)</f>
        <v/>
      </c>
      <c r="F67" s="117">
        <f>SUMIFS(Xero!$F:$F,Xero!$B:$B,Heron!F$9,Xero!$A:$A,Heron!$A$4,Xero!$E:$E,Heron!$A67)+SUMIFS(Xero!$F:$F,Xero!$B:$B,Heron!F$9,Xero!$A:$A,Heron!$A$5,Xero!$E:$E,Heron!$A67)</f>
        <v/>
      </c>
      <c r="G67" s="117">
        <f>SUMIFS(Xero!$F:$F,Xero!$B:$B,Heron!G$9,Xero!$A:$A,Heron!$A$4,Xero!$E:$E,Heron!$A67)+SUMIFS(Xero!$F:$F,Xero!$B:$B,Heron!G$9,Xero!$A:$A,Heron!$A$5,Xero!$E:$E,Heron!$A67)</f>
        <v/>
      </c>
      <c r="H67" s="117">
        <f>SUMIFS(Xero!$F:$F,Xero!$B:$B,Heron!H$9,Xero!$A:$A,Heron!$A$4,Xero!$E:$E,Heron!$A67)+SUMIFS(Xero!$F:$F,Xero!$B:$B,Heron!H$9,Xero!$A:$A,Heron!$A$5,Xero!$E:$E,Heron!$A67)</f>
        <v/>
      </c>
      <c r="I67" s="117">
        <f>SUMIFS(Xero!$F:$F,Xero!$B:$B,Heron!I$9,Xero!$A:$A,Heron!$A$4,Xero!$E:$E,Heron!$A67)+SUMIFS(Xero!$F:$F,Xero!$B:$B,Heron!I$9,Xero!$A:$A,Heron!$A$5,Xero!$E:$E,Heron!$A67)</f>
        <v/>
      </c>
      <c r="J67" s="117">
        <f>SUMIFS(Xero!$F:$F,Xero!$B:$B,Heron!J$9,Xero!$A:$A,Heron!$A$4,Xero!$E:$E,Heron!$A67)+SUMIFS(Xero!$F:$F,Xero!$B:$B,Heron!J$9,Xero!$A:$A,Heron!$A$5,Xero!$E:$E,Heron!$A67)</f>
        <v/>
      </c>
      <c r="K67" s="117">
        <f>SUMIFS(Xero!$F:$F,Xero!$B:$B,Heron!K$9,Xero!$A:$A,Heron!$A$4,Xero!$E:$E,Heron!$A67)+SUMIFS(Xero!$F:$F,Xero!$B:$B,Heron!K$9,Xero!$A:$A,Heron!$A$5,Xero!$E:$E,Heron!$A67)</f>
        <v/>
      </c>
      <c r="L67" s="117">
        <f>SUMIFS(Xero!$F:$F,Xero!$B:$B,Heron!L$9,Xero!$A:$A,Heron!$A$4,Xero!$E:$E,Heron!$A67)+SUMIFS(Xero!$F:$F,Xero!$B:$B,Heron!L$9,Xero!$A:$A,Heron!$A$5,Xero!$E:$E,Heron!$A67)</f>
        <v/>
      </c>
      <c r="M67" s="117">
        <f>SUMIFS(Xero!$F:$F,Xero!$B:$B,Heron!M$9,Xero!$A:$A,Heron!$A$4,Xero!$E:$E,Heron!$A67)+SUMIFS(Xero!$F:$F,Xero!$B:$B,Heron!M$9,Xero!$A:$A,Heron!$A$5,Xero!$E:$E,Heron!$A67)</f>
        <v/>
      </c>
      <c r="N67" s="117">
        <f>SUMIFS(Xero!$F:$F,Xero!$B:$B,Heron!N$9,Xero!$A:$A,Heron!$A$4,Xero!$E:$E,Heron!$A67)+SUMIFS(Xero!$F:$F,Xero!$B:$B,Heron!N$9,Xero!$A:$A,Heron!$A$5,Xero!$E:$E,Heron!$A67)</f>
        <v/>
      </c>
      <c r="O67" s="117">
        <f>SUMIFS(Xero!$F:$F,Xero!$B:$B,Heron!O$9,Xero!$A:$A,Heron!$A$4,Xero!$E:$E,Heron!$A67)+SUMIFS(Xero!$F:$F,Xero!$B:$B,Heron!O$9,Xero!$A:$A,Heron!$A$5,Xero!$E:$E,Heron!$A67)</f>
        <v/>
      </c>
      <c r="P67" s="117">
        <f>SUMIFS(Xero!$F:$F,Xero!$B:$B,Heron!P$9,Xero!$A:$A,Heron!$A$4,Xero!$E:$E,Heron!$A67)+SUMIFS(Xero!$F:$F,Xero!$B:$B,Heron!P$9,Xero!$A:$A,Heron!$A$5,Xero!$E:$E,Heron!$A67)</f>
        <v/>
      </c>
      <c r="Q67" s="117">
        <f>SUMIFS(Xero!$F:$F,Xero!$B:$B,Heron!Q$9,Xero!$A:$A,Heron!$A$4,Xero!$E:$E,Heron!$A67)+SUMIFS(Xero!$F:$F,Xero!$B:$B,Heron!Q$9,Xero!$A:$A,Heron!$A$5,Xero!$E:$E,Heron!$A67)</f>
        <v/>
      </c>
      <c r="R67" s="117">
        <f>SUMIFS(Xero!$F:$F,Xero!$B:$B,Heron!R$9,Xero!$A:$A,Heron!$A$4,Xero!$E:$E,Heron!$A67)+SUMIFS(Xero!$F:$F,Xero!$B:$B,Heron!R$9,Xero!$A:$A,Heron!$A$5,Xero!$E:$E,Heron!$A67)</f>
        <v/>
      </c>
      <c r="S67" s="117">
        <f>SUMIFS(Xero!$F:$F,Xero!$B:$B,Heron!S$9,Xero!$A:$A,Heron!$A$4,Xero!$E:$E,Heron!$A67)+SUMIFS(Xero!$F:$F,Xero!$B:$B,Heron!S$9,Xero!$A:$A,Heron!$A$5,Xero!$E:$E,Heron!$A67)</f>
        <v/>
      </c>
      <c r="T67" s="117">
        <f>SUMIFS(Xero!$F:$F,Xero!$B:$B,Heron!T$9,Xero!$A:$A,Heron!$A$4,Xero!$E:$E,Heron!$A67)+SUMIFS(Xero!$F:$F,Xero!$B:$B,Heron!T$9,Xero!$A:$A,Heron!$A$5,Xero!$E:$E,Heron!$A67)</f>
        <v/>
      </c>
      <c r="U67" s="117">
        <f>SUMIFS(Xero!$F:$F,Xero!$B:$B,Heron!U$9,Xero!$A:$A,Heron!$A$4,Xero!$E:$E,Heron!$A67)+SUMIFS(Xero!$F:$F,Xero!$B:$B,Heron!U$9,Xero!$A:$A,Heron!$A$5,Xero!$E:$E,Heron!$A67)</f>
        <v/>
      </c>
      <c r="V67" s="117">
        <f>SUMIFS(Xero!$F:$F,Xero!$B:$B,Heron!V$9,Xero!$A:$A,Heron!$A$4,Xero!$E:$E,Heron!$A67)+SUMIFS(Xero!$F:$F,Xero!$B:$B,Heron!V$9,Xero!$A:$A,Heron!$A$5,Xero!$E:$E,Heron!$A67)</f>
        <v/>
      </c>
      <c r="W67" s="117">
        <f>SUMIFS(Xero!$F:$F,Xero!$B:$B,Heron!W$9,Xero!$A:$A,Heron!$A$4,Xero!$E:$E,Heron!$A67)+SUMIFS(Xero!$F:$F,Xero!$B:$B,Heron!W$9,Xero!$A:$A,Heron!$A$5,Xero!$E:$E,Heron!$A67)</f>
        <v/>
      </c>
      <c r="X67" s="117">
        <f>SUMIFS(Xero!$F:$F,Xero!$B:$B,Heron!X$9,Xero!$A:$A,Heron!$A$4,Xero!$E:$E,Heron!$A67)+SUMIFS(Xero!$F:$F,Xero!$B:$B,Heron!X$9,Xero!$A:$A,Heron!$A$5,Xero!$E:$E,Heron!$A67)</f>
        <v/>
      </c>
      <c r="Y67" s="117">
        <f>SUMIFS(Xero!$F:$F,Xero!$B:$B,Heron!Y$9,Xero!$A:$A,Heron!$A$4,Xero!$E:$E,Heron!$A67)+SUMIFS(Xero!$F:$F,Xero!$B:$B,Heron!Y$9,Xero!$A:$A,Heron!$A$5,Xero!$E:$E,Heron!$A67)</f>
        <v/>
      </c>
      <c r="Z67" s="117">
        <f>SUMIFS(Xero!$F:$F,Xero!$B:$B,Heron!Z$9,Xero!$A:$A,Heron!$A$4,Xero!$E:$E,Heron!$A67)+SUMIFS(Xero!$F:$F,Xero!$B:$B,Heron!Z$9,Xero!$A:$A,Heron!$A$5,Xero!$E:$E,Heron!$A67)</f>
        <v/>
      </c>
      <c r="AA67" s="117">
        <f>SUMIFS(Xero!$F:$F,Xero!$B:$B,Heron!AA$9,Xero!$A:$A,Heron!$A$4,Xero!$E:$E,Heron!$A67)+SUMIFS(Xero!$F:$F,Xero!$B:$B,Heron!AA$9,Xero!$A:$A,Heron!$A$5,Xero!$E:$E,Heron!$A67)</f>
        <v/>
      </c>
      <c r="AB67" s="117">
        <f>SUMIFS(Xero!$F:$F,Xero!$B:$B,Heron!AB$9,Xero!$A:$A,Heron!$A$4,Xero!$E:$E,Heron!$A67)+SUMIFS(Xero!$F:$F,Xero!$B:$B,Heron!AB$9,Xero!$A:$A,Heron!$A$5,Xero!$E:$E,Heron!$A67)</f>
        <v/>
      </c>
      <c r="AC67" s="117">
        <f>SUMIFS(Xero!$F:$F,Xero!$B:$B,Heron!AC$9,Xero!$A:$A,Heron!$A$4,Xero!$E:$E,Heron!$A67)+SUMIFS(Xero!$F:$F,Xero!$B:$B,Heron!AC$9,Xero!$A:$A,Heron!$A$5,Xero!$E:$E,Heron!$A67)</f>
        <v/>
      </c>
      <c r="AD67" s="117">
        <f>SUMIFS(Xero!$F:$F,Xero!$B:$B,Heron!AD$9,Xero!$A:$A,Heron!$A$4,Xero!$E:$E,Heron!$A67)+SUMIFS(Xero!$F:$F,Xero!$B:$B,Heron!AD$9,Xero!$A:$A,Heron!$A$5,Xero!$E:$E,Heron!$A67)</f>
        <v/>
      </c>
      <c r="AE67" s="117">
        <f>SUMIFS(Xero!$F:$F,Xero!$B:$B,Heron!AE$9,Xero!$A:$A,Heron!$A$4,Xero!$E:$E,Heron!$A67)+SUMIFS(Xero!$F:$F,Xero!$B:$B,Heron!AE$9,Xero!$A:$A,Heron!$A$5,Xero!$E:$E,Heron!$A67)</f>
        <v/>
      </c>
      <c r="AF67" s="117">
        <f>SUMIFS(Xero!$F:$F,Xero!$B:$B,Heron!AF$9,Xero!$A:$A,Heron!$A$4,Xero!$E:$E,Heron!$A67)+SUMIFS(Xero!$F:$F,Xero!$B:$B,Heron!AF$9,Xero!$A:$A,Heron!$A$5,Xero!$E:$E,Heron!$A67)</f>
        <v/>
      </c>
      <c r="AG67" s="117">
        <f>SUMIFS(Xero!$F:$F,Xero!$B:$B,Heron!AG$9,Xero!$A:$A,Heron!$A$4,Xero!$E:$E,Heron!$A67)+SUMIFS(Xero!$F:$F,Xero!$B:$B,Heron!AG$9,Xero!$A:$A,Heron!$A$5,Xero!$E:$E,Heron!$A67)</f>
        <v/>
      </c>
      <c r="AH67" s="117">
        <f>SUMIFS(Xero!$F:$F,Xero!$B:$B,Heron!AH$9,Xero!$A:$A,Heron!$A$4,Xero!$E:$E,Heron!$A67)+SUMIFS(Xero!$F:$F,Xero!$B:$B,Heron!AH$9,Xero!$A:$A,Heron!$A$5,Xero!$E:$E,Heron!$A67)</f>
        <v/>
      </c>
      <c r="AI67" s="117">
        <f>SUMIFS(Xero!$F:$F,Xero!$B:$B,Heron!AI$9,Xero!$A:$A,Heron!$A$4,Xero!$E:$E,Heron!$A67)+SUMIFS(Xero!$F:$F,Xero!$B:$B,Heron!AI$9,Xero!$A:$A,Heron!$A$5,Xero!$E:$E,Heron!$A67)</f>
        <v/>
      </c>
      <c r="AJ67" s="117">
        <f>SUMIFS(Xero!$F:$F,Xero!$B:$B,Heron!AJ$9,Xero!$A:$A,Heron!$A$4,Xero!$E:$E,Heron!$A67)+SUMIFS(Xero!$F:$F,Xero!$B:$B,Heron!AJ$9,Xero!$A:$A,Heron!$A$5,Xero!$E:$E,Heron!$A67)</f>
        <v/>
      </c>
      <c r="AK67" s="117">
        <f>SUMIFS(Xero!$F:$F,Xero!$B:$B,Heron!AK$9,Xero!$A:$A,Heron!$A$4,Xero!$E:$E,Heron!$A67)+SUMIFS(Xero!$F:$F,Xero!$B:$B,Heron!AK$9,Xero!$A:$A,Heron!$A$5,Xero!$E:$E,Heron!$A67)</f>
        <v/>
      </c>
      <c r="AL67" s="117">
        <f>SUMIFS(Xero!$F:$F,Xero!$B:$B,Heron!AL$9,Xero!$A:$A,Heron!$A$4,Xero!$E:$E,Heron!$A67)+SUMIFS(Xero!$F:$F,Xero!$B:$B,Heron!AL$9,Xero!$A:$A,Heron!$A$5,Xero!$E:$E,Heron!$A67)</f>
        <v/>
      </c>
      <c r="AM67" s="117">
        <f>SUMIFS(Xero!$F:$F,Xero!$B:$B,Heron!AM$9,Xero!$A:$A,Heron!$A$4,Xero!$E:$E,Heron!$A67)+SUMIFS(Xero!$F:$F,Xero!$B:$B,Heron!AM$9,Xero!$A:$A,Heron!$A$5,Xero!$E:$E,Heron!$A67)</f>
        <v/>
      </c>
      <c r="AN67" s="117">
        <f>SUMIFS(Xero!$F:$F,Xero!$B:$B,Heron!AN$9,Xero!$A:$A,Heron!$A$4,Xero!$E:$E,Heron!$A67)+SUMIFS(Xero!$F:$F,Xero!$B:$B,Heron!AN$9,Xero!$A:$A,Heron!$A$5,Xero!$E:$E,Heron!$A67)</f>
        <v/>
      </c>
      <c r="AO67" s="117">
        <f>SUMIFS(Xero!$F:$F,Xero!$B:$B,Heron!AO$9,Xero!$A:$A,Heron!$A$4,Xero!$E:$E,Heron!$A67)+SUMIFS(Xero!$F:$F,Xero!$B:$B,Heron!AO$9,Xero!$A:$A,Heron!$A$5,Xero!$E:$E,Heron!$A67)</f>
        <v/>
      </c>
      <c r="AP67" s="117">
        <f>SUMIFS(Xero!$F:$F,Xero!$B:$B,Heron!AP$9,Xero!$A:$A,Heron!$A$4,Xero!$E:$E,Heron!$A67)+SUMIFS(Xero!$F:$F,Xero!$B:$B,Heron!AP$9,Xero!$A:$A,Heron!$A$5,Xero!$E:$E,Heron!$A67)</f>
        <v/>
      </c>
      <c r="AQ67" s="117">
        <f>SUMIFS(Xero!$F:$F,Xero!$B:$B,Heron!AQ$9,Xero!$A:$A,Heron!$A$4,Xero!$E:$E,Heron!$A67)+SUMIFS(Xero!$F:$F,Xero!$B:$B,Heron!AQ$9,Xero!$A:$A,Heron!$A$5,Xero!$E:$E,Heron!$A67)</f>
        <v/>
      </c>
      <c r="AR67" s="117">
        <f>SUMIFS(Xero!$F:$F,Xero!$B:$B,Heron!AR$9,Xero!$A:$A,Heron!$A$4,Xero!$E:$E,Heron!$A67)+SUMIFS(Xero!$F:$F,Xero!$B:$B,Heron!AR$9,Xero!$A:$A,Heron!$A$5,Xero!$E:$E,Heron!$A67)</f>
        <v/>
      </c>
      <c r="AS67" s="117">
        <f>SUMIFS(Xero!$F:$F,Xero!$B:$B,Heron!AS$9,Xero!$A:$A,Heron!$A$4,Xero!$E:$E,Heron!$A67)+SUMIFS(Xero!$F:$F,Xero!$B:$B,Heron!AS$9,Xero!$A:$A,Heron!$A$5,Xero!$E:$E,Heron!$A67)</f>
        <v/>
      </c>
      <c r="AT67" s="117">
        <f>SUMIFS(Xero!$F:$F,Xero!$B:$B,Heron!AT$9,Xero!$A:$A,Heron!$A$4,Xero!$E:$E,Heron!$A67)+SUMIFS(Xero!$F:$F,Xero!$B:$B,Heron!AT$9,Xero!$A:$A,Heron!$A$5,Xero!$E:$E,Heron!$A67)</f>
        <v/>
      </c>
      <c r="AU67" s="117">
        <f>SUMIFS(Xero!$F:$F,Xero!$B:$B,Heron!AU$9,Xero!$A:$A,Heron!$A$4,Xero!$E:$E,Heron!$A67)+SUMIFS(Xero!$F:$F,Xero!$B:$B,Heron!AU$9,Xero!$A:$A,Heron!$A$5,Xero!$E:$E,Heron!$A67)</f>
        <v/>
      </c>
      <c r="AV67" s="117">
        <f>SUMIFS(Xero!$F:$F,Xero!$B:$B,Heron!AV$9,Xero!$A:$A,Heron!$A$4,Xero!$E:$E,Heron!$A67)+SUMIFS(Xero!$F:$F,Xero!$B:$B,Heron!AV$9,Xero!$A:$A,Heron!$A$5,Xero!$E:$E,Heron!$A67)</f>
        <v/>
      </c>
      <c r="AW67" s="117">
        <f>SUMIFS(Xero!$F:$F,Xero!$B:$B,Heron!AW$9,Xero!$A:$A,Heron!$A$4,Xero!$E:$E,Heron!$A67)+SUMIFS(Xero!$F:$F,Xero!$B:$B,Heron!AW$9,Xero!$A:$A,Heron!$A$5,Xero!$E:$E,Heron!$A67)</f>
        <v/>
      </c>
      <c r="AX67" s="117">
        <f>SUMIFS(Xero!$F:$F,Xero!$B:$B,Heron!AX$9,Xero!$A:$A,Heron!$A$4,Xero!$E:$E,Heron!$A67)+SUMIFS(Xero!$F:$F,Xero!$B:$B,Heron!AX$9,Xero!$A:$A,Heron!$A$5,Xero!$E:$E,Heron!$A67)</f>
        <v/>
      </c>
      <c r="AY67" s="117">
        <f>SUMIFS(Xero!$F:$F,Xero!$B:$B,Heron!AY$9,Xero!$A:$A,Heron!$A$4,Xero!$E:$E,Heron!$A67)+SUMIFS(Xero!$F:$F,Xero!$B:$B,Heron!AY$9,Xero!$A:$A,Heron!$A$5,Xero!$E:$E,Heron!$A67)</f>
        <v/>
      </c>
      <c r="AZ67" s="117">
        <f>SUMIFS(Xero!$F:$F,Xero!$B:$B,Heron!AZ$9,Xero!$A:$A,Heron!$A$4,Xero!$E:$E,Heron!$A67)+SUMIFS(Xero!$F:$F,Xero!$B:$B,Heron!AZ$9,Xero!$A:$A,Heron!$A$5,Xero!$E:$E,Heron!$A67)</f>
        <v/>
      </c>
      <c r="BA67" s="117">
        <f>SUMIFS(Xero!$F:$F,Xero!$B:$B,Heron!BA$9,Xero!$A:$A,Heron!$A$4,Xero!$E:$E,Heron!$A67)+SUMIFS(Xero!$F:$F,Xero!$B:$B,Heron!BA$9,Xero!$A:$A,Heron!$A$5,Xero!$E:$E,Heron!$A67)</f>
        <v/>
      </c>
      <c r="BB67" s="117">
        <f>SUMIFS(Xero!$F:$F,Xero!$B:$B,Heron!BB$9,Xero!$A:$A,Heron!$A$4,Xero!$E:$E,Heron!$A67)+SUMIFS(Xero!$F:$F,Xero!$B:$B,Heron!BB$9,Xero!$A:$A,Heron!$A$5,Xero!$E:$E,Heron!$A67)</f>
        <v/>
      </c>
      <c r="BC67" s="117">
        <f>SUMIFS(Xero!$F:$F,Xero!$B:$B,Heron!BC$9,Xero!$A:$A,Heron!$A$4,Xero!$E:$E,Heron!$A67)+SUMIFS(Xero!$F:$F,Xero!$B:$B,Heron!BC$9,Xero!$A:$A,Heron!$A$5,Xero!$E:$E,Heron!$A67)</f>
        <v/>
      </c>
      <c r="BD67" s="117">
        <f>SUMIFS(Xero!$F:$F,Xero!$B:$B,Heron!BD$9,Xero!$A:$A,Heron!$A$4,Xero!$E:$E,Heron!$A67)+SUMIFS(Xero!$F:$F,Xero!$B:$B,Heron!BD$9,Xero!$A:$A,Heron!$A$5,Xero!$E:$E,Heron!$A67)</f>
        <v/>
      </c>
      <c r="BE67" s="117">
        <f>SUMIFS(Xero!$F:$F,Xero!$B:$B,Heron!BE$9,Xero!$A:$A,Heron!$A$4,Xero!$E:$E,Heron!$A67)+SUMIFS(Xero!$F:$F,Xero!$B:$B,Heron!BE$9,Xero!$A:$A,Heron!$A$5,Xero!$E:$E,Heron!$A67)</f>
        <v/>
      </c>
      <c r="BF67" s="117">
        <f>SUMIFS(Xero!$F:$F,Xero!$B:$B,Heron!BF$9,Xero!$A:$A,Heron!$A$4,Xero!$E:$E,Heron!$A67)+SUMIFS(Xero!$F:$F,Xero!$B:$B,Heron!BF$9,Xero!$A:$A,Heron!$A$5,Xero!$E:$E,Heron!$A67)</f>
        <v/>
      </c>
      <c r="BG67" s="117">
        <f>SUMIFS(Xero!$F:$F,Xero!$B:$B,Heron!BG$9,Xero!$A:$A,Heron!$A$4,Xero!$E:$E,Heron!$A67)+SUMIFS(Xero!$F:$F,Xero!$B:$B,Heron!BG$9,Xero!$A:$A,Heron!$A$5,Xero!$E:$E,Heron!$A67)</f>
        <v/>
      </c>
      <c r="BH67" s="117">
        <f>SUMIFS(Xero!$F:$F,Xero!$B:$B,Heron!BH$9,Xero!$A:$A,Heron!$A$4,Xero!$E:$E,Heron!$A67)+SUMIFS(Xero!$F:$F,Xero!$B:$B,Heron!BH$9,Xero!$A:$A,Heron!$A$5,Xero!$E:$E,Heron!$A67)</f>
        <v/>
      </c>
      <c r="BI67" s="117">
        <f>SUMIFS(Xero!$F:$F,Xero!$B:$B,Heron!BI$9,Xero!$A:$A,Heron!$A$4,Xero!$E:$E,Heron!$A67)+SUMIFS(Xero!$F:$F,Xero!$B:$B,Heron!BI$9,Xero!$A:$A,Heron!$A$5,Xero!$E:$E,Heron!$A67)</f>
        <v/>
      </c>
      <c r="BJ67" s="117">
        <f>SUMIFS(Xero!$F:$F,Xero!$B:$B,Heron!BJ$9,Xero!$A:$A,Heron!$A$4,Xero!$E:$E,Heron!$A67)+SUMIFS(Xero!$F:$F,Xero!$B:$B,Heron!BJ$9,Xero!$A:$A,Heron!$A$5,Xero!$E:$E,Heron!$A67)</f>
        <v/>
      </c>
      <c r="BK67" s="117">
        <f>sum(D67:BJ67)</f>
        <v/>
      </c>
    </row>
    <row r="68">
      <c r="A68" s="116" t="inlineStr">
        <is>
          <t>Electricity</t>
        </is>
      </c>
      <c r="D68" s="117">
        <f>SUMIFS(Xero!$F:$F,Xero!$B:$B,Heron!D$9,Xero!$A:$A,Heron!$A$4,Xero!$E:$E,Heron!$A68)+SUMIFS(Xero!$F:$F,Xero!$B:$B,Heron!D$9,Xero!$A:$A,Heron!$A$5,Xero!$E:$E,Heron!$A68)</f>
        <v/>
      </c>
      <c r="E68" s="117">
        <f>SUMIFS(Xero!$F:$F,Xero!$B:$B,Heron!E$9,Xero!$A:$A,Heron!$A$4,Xero!$E:$E,Heron!$A68)+SUMIFS(Xero!$F:$F,Xero!$B:$B,Heron!E$9,Xero!$A:$A,Heron!$A$5,Xero!$E:$E,Heron!$A68)</f>
        <v/>
      </c>
      <c r="F68" s="117">
        <f>SUMIFS(Xero!$F:$F,Xero!$B:$B,Heron!F$9,Xero!$A:$A,Heron!$A$4,Xero!$E:$E,Heron!$A68)+SUMIFS(Xero!$F:$F,Xero!$B:$B,Heron!F$9,Xero!$A:$A,Heron!$A$5,Xero!$E:$E,Heron!$A68)</f>
        <v/>
      </c>
      <c r="G68" s="117">
        <f>SUMIFS(Xero!$F:$F,Xero!$B:$B,Heron!G$9,Xero!$A:$A,Heron!$A$4,Xero!$E:$E,Heron!$A68)+SUMIFS(Xero!$F:$F,Xero!$B:$B,Heron!G$9,Xero!$A:$A,Heron!$A$5,Xero!$E:$E,Heron!$A68)</f>
        <v/>
      </c>
      <c r="H68" s="117">
        <f>SUMIFS(Xero!$F:$F,Xero!$B:$B,Heron!H$9,Xero!$A:$A,Heron!$A$4,Xero!$E:$E,Heron!$A68)+SUMIFS(Xero!$F:$F,Xero!$B:$B,Heron!H$9,Xero!$A:$A,Heron!$A$5,Xero!$E:$E,Heron!$A68)</f>
        <v/>
      </c>
      <c r="I68" s="117">
        <f>SUMIFS(Xero!$F:$F,Xero!$B:$B,Heron!I$9,Xero!$A:$A,Heron!$A$4,Xero!$E:$E,Heron!$A68)+SUMIFS(Xero!$F:$F,Xero!$B:$B,Heron!I$9,Xero!$A:$A,Heron!$A$5,Xero!$E:$E,Heron!$A68)</f>
        <v/>
      </c>
      <c r="J68" s="117">
        <f>SUMIFS(Xero!$F:$F,Xero!$B:$B,Heron!J$9,Xero!$A:$A,Heron!$A$4,Xero!$E:$E,Heron!$A68)+SUMIFS(Xero!$F:$F,Xero!$B:$B,Heron!J$9,Xero!$A:$A,Heron!$A$5,Xero!$E:$E,Heron!$A68)</f>
        <v/>
      </c>
      <c r="K68" s="117">
        <f>SUMIFS(Xero!$F:$F,Xero!$B:$B,Heron!K$9,Xero!$A:$A,Heron!$A$4,Xero!$E:$E,Heron!$A68)+SUMIFS(Xero!$F:$F,Xero!$B:$B,Heron!K$9,Xero!$A:$A,Heron!$A$5,Xero!$E:$E,Heron!$A68)</f>
        <v/>
      </c>
      <c r="L68" s="117">
        <f>SUMIFS(Xero!$F:$F,Xero!$B:$B,Heron!L$9,Xero!$A:$A,Heron!$A$4,Xero!$E:$E,Heron!$A68)+SUMIFS(Xero!$F:$F,Xero!$B:$B,Heron!L$9,Xero!$A:$A,Heron!$A$5,Xero!$E:$E,Heron!$A68)</f>
        <v/>
      </c>
      <c r="M68" s="117">
        <f>SUMIFS(Xero!$F:$F,Xero!$B:$B,Heron!M$9,Xero!$A:$A,Heron!$A$4,Xero!$E:$E,Heron!$A68)+SUMIFS(Xero!$F:$F,Xero!$B:$B,Heron!M$9,Xero!$A:$A,Heron!$A$5,Xero!$E:$E,Heron!$A68)</f>
        <v/>
      </c>
      <c r="N68" s="117">
        <f>SUMIFS(Xero!$F:$F,Xero!$B:$B,Heron!N$9,Xero!$A:$A,Heron!$A$4,Xero!$E:$E,Heron!$A68)+SUMIFS(Xero!$F:$F,Xero!$B:$B,Heron!N$9,Xero!$A:$A,Heron!$A$5,Xero!$E:$E,Heron!$A68)</f>
        <v/>
      </c>
      <c r="O68" s="117">
        <f>SUMIFS(Xero!$F:$F,Xero!$B:$B,Heron!O$9,Xero!$A:$A,Heron!$A$4,Xero!$E:$E,Heron!$A68)+SUMIFS(Xero!$F:$F,Xero!$B:$B,Heron!O$9,Xero!$A:$A,Heron!$A$5,Xero!$E:$E,Heron!$A68)</f>
        <v/>
      </c>
      <c r="P68" s="117">
        <f>SUMIFS(Xero!$F:$F,Xero!$B:$B,Heron!P$9,Xero!$A:$A,Heron!$A$4,Xero!$E:$E,Heron!$A68)+SUMIFS(Xero!$F:$F,Xero!$B:$B,Heron!P$9,Xero!$A:$A,Heron!$A$5,Xero!$E:$E,Heron!$A68)</f>
        <v/>
      </c>
      <c r="Q68" s="117">
        <f>SUMIFS(Xero!$F:$F,Xero!$B:$B,Heron!Q$9,Xero!$A:$A,Heron!$A$4,Xero!$E:$E,Heron!$A68)+SUMIFS(Xero!$F:$F,Xero!$B:$B,Heron!Q$9,Xero!$A:$A,Heron!$A$5,Xero!$E:$E,Heron!$A68)</f>
        <v/>
      </c>
      <c r="R68" s="117">
        <f>SUMIFS(Xero!$F:$F,Xero!$B:$B,Heron!R$9,Xero!$A:$A,Heron!$A$4,Xero!$E:$E,Heron!$A68)+SUMIFS(Xero!$F:$F,Xero!$B:$B,Heron!R$9,Xero!$A:$A,Heron!$A$5,Xero!$E:$E,Heron!$A68)</f>
        <v/>
      </c>
      <c r="S68" s="117">
        <f>SUMIFS(Xero!$F:$F,Xero!$B:$B,Heron!S$9,Xero!$A:$A,Heron!$A$4,Xero!$E:$E,Heron!$A68)+SUMIFS(Xero!$F:$F,Xero!$B:$B,Heron!S$9,Xero!$A:$A,Heron!$A$5,Xero!$E:$E,Heron!$A68)</f>
        <v/>
      </c>
      <c r="T68" s="117">
        <f>SUMIFS(Xero!$F:$F,Xero!$B:$B,Heron!T$9,Xero!$A:$A,Heron!$A$4,Xero!$E:$E,Heron!$A68)+SUMIFS(Xero!$F:$F,Xero!$B:$B,Heron!T$9,Xero!$A:$A,Heron!$A$5,Xero!$E:$E,Heron!$A68)</f>
        <v/>
      </c>
      <c r="U68" s="117">
        <f>SUMIFS(Xero!$F:$F,Xero!$B:$B,Heron!U$9,Xero!$A:$A,Heron!$A$4,Xero!$E:$E,Heron!$A68)+SUMIFS(Xero!$F:$F,Xero!$B:$B,Heron!U$9,Xero!$A:$A,Heron!$A$5,Xero!$E:$E,Heron!$A68)</f>
        <v/>
      </c>
      <c r="V68" s="117">
        <f>SUMIFS(Xero!$F:$F,Xero!$B:$B,Heron!V$9,Xero!$A:$A,Heron!$A$4,Xero!$E:$E,Heron!$A68)+SUMIFS(Xero!$F:$F,Xero!$B:$B,Heron!V$9,Xero!$A:$A,Heron!$A$5,Xero!$E:$E,Heron!$A68)</f>
        <v/>
      </c>
      <c r="W68" s="117">
        <f>SUMIFS(Xero!$F:$F,Xero!$B:$B,Heron!W$9,Xero!$A:$A,Heron!$A$4,Xero!$E:$E,Heron!$A68)+SUMIFS(Xero!$F:$F,Xero!$B:$B,Heron!W$9,Xero!$A:$A,Heron!$A$5,Xero!$E:$E,Heron!$A68)</f>
        <v/>
      </c>
      <c r="X68" s="117">
        <f>SUMIFS(Xero!$F:$F,Xero!$B:$B,Heron!X$9,Xero!$A:$A,Heron!$A$4,Xero!$E:$E,Heron!$A68)+SUMIFS(Xero!$F:$F,Xero!$B:$B,Heron!X$9,Xero!$A:$A,Heron!$A$5,Xero!$E:$E,Heron!$A68)</f>
        <v/>
      </c>
      <c r="Y68" s="117">
        <f>SUMIFS(Xero!$F:$F,Xero!$B:$B,Heron!Y$9,Xero!$A:$A,Heron!$A$4,Xero!$E:$E,Heron!$A68)+SUMIFS(Xero!$F:$F,Xero!$B:$B,Heron!Y$9,Xero!$A:$A,Heron!$A$5,Xero!$E:$E,Heron!$A68)</f>
        <v/>
      </c>
      <c r="Z68" s="117">
        <f>SUMIFS(Xero!$F:$F,Xero!$B:$B,Heron!Z$9,Xero!$A:$A,Heron!$A$4,Xero!$E:$E,Heron!$A68)+SUMIFS(Xero!$F:$F,Xero!$B:$B,Heron!Z$9,Xero!$A:$A,Heron!$A$5,Xero!$E:$E,Heron!$A68)</f>
        <v/>
      </c>
      <c r="AA68" s="117">
        <f>SUMIFS(Xero!$F:$F,Xero!$B:$B,Heron!AA$9,Xero!$A:$A,Heron!$A$4,Xero!$E:$E,Heron!$A68)+SUMIFS(Xero!$F:$F,Xero!$B:$B,Heron!AA$9,Xero!$A:$A,Heron!$A$5,Xero!$E:$E,Heron!$A68)</f>
        <v/>
      </c>
      <c r="AB68" s="117">
        <f>SUMIFS(Xero!$F:$F,Xero!$B:$B,Heron!AB$9,Xero!$A:$A,Heron!$A$4,Xero!$E:$E,Heron!$A68)+SUMIFS(Xero!$F:$F,Xero!$B:$B,Heron!AB$9,Xero!$A:$A,Heron!$A$5,Xero!$E:$E,Heron!$A68)</f>
        <v/>
      </c>
      <c r="AC68" s="117">
        <f>SUMIFS(Xero!$F:$F,Xero!$B:$B,Heron!AC$9,Xero!$A:$A,Heron!$A$4,Xero!$E:$E,Heron!$A68)+SUMIFS(Xero!$F:$F,Xero!$B:$B,Heron!AC$9,Xero!$A:$A,Heron!$A$5,Xero!$E:$E,Heron!$A68)</f>
        <v/>
      </c>
      <c r="AD68" s="117">
        <f>SUMIFS(Xero!$F:$F,Xero!$B:$B,Heron!AD$9,Xero!$A:$A,Heron!$A$4,Xero!$E:$E,Heron!$A68)+SUMIFS(Xero!$F:$F,Xero!$B:$B,Heron!AD$9,Xero!$A:$A,Heron!$A$5,Xero!$E:$E,Heron!$A68)</f>
        <v/>
      </c>
      <c r="AE68" s="117">
        <f>SUMIFS(Xero!$F:$F,Xero!$B:$B,Heron!AE$9,Xero!$A:$A,Heron!$A$4,Xero!$E:$E,Heron!$A68)+SUMIFS(Xero!$F:$F,Xero!$B:$B,Heron!AE$9,Xero!$A:$A,Heron!$A$5,Xero!$E:$E,Heron!$A68)</f>
        <v/>
      </c>
      <c r="AF68" s="117">
        <f>SUMIFS(Xero!$F:$F,Xero!$B:$B,Heron!AF$9,Xero!$A:$A,Heron!$A$4,Xero!$E:$E,Heron!$A68)+SUMIFS(Xero!$F:$F,Xero!$B:$B,Heron!AF$9,Xero!$A:$A,Heron!$A$5,Xero!$E:$E,Heron!$A68)</f>
        <v/>
      </c>
      <c r="AG68" s="117">
        <f>SUMIFS(Xero!$F:$F,Xero!$B:$B,Heron!AG$9,Xero!$A:$A,Heron!$A$4,Xero!$E:$E,Heron!$A68)+SUMIFS(Xero!$F:$F,Xero!$B:$B,Heron!AG$9,Xero!$A:$A,Heron!$A$5,Xero!$E:$E,Heron!$A68)</f>
        <v/>
      </c>
      <c r="AH68" s="117">
        <f>SUMIFS(Xero!$F:$F,Xero!$B:$B,Heron!AH$9,Xero!$A:$A,Heron!$A$4,Xero!$E:$E,Heron!$A68)+SUMIFS(Xero!$F:$F,Xero!$B:$B,Heron!AH$9,Xero!$A:$A,Heron!$A$5,Xero!$E:$E,Heron!$A68)</f>
        <v/>
      </c>
      <c r="AI68" s="117">
        <f>SUMIFS(Xero!$F:$F,Xero!$B:$B,Heron!AI$9,Xero!$A:$A,Heron!$A$4,Xero!$E:$E,Heron!$A68)+SUMIFS(Xero!$F:$F,Xero!$B:$B,Heron!AI$9,Xero!$A:$A,Heron!$A$5,Xero!$E:$E,Heron!$A68)</f>
        <v/>
      </c>
      <c r="AJ68" s="117">
        <f>SUMIFS(Xero!$F:$F,Xero!$B:$B,Heron!AJ$9,Xero!$A:$A,Heron!$A$4,Xero!$E:$E,Heron!$A68)+SUMIFS(Xero!$F:$F,Xero!$B:$B,Heron!AJ$9,Xero!$A:$A,Heron!$A$5,Xero!$E:$E,Heron!$A68)</f>
        <v/>
      </c>
      <c r="AK68" s="117">
        <f>SUMIFS(Xero!$F:$F,Xero!$B:$B,Heron!AK$9,Xero!$A:$A,Heron!$A$4,Xero!$E:$E,Heron!$A68)+SUMIFS(Xero!$F:$F,Xero!$B:$B,Heron!AK$9,Xero!$A:$A,Heron!$A$5,Xero!$E:$E,Heron!$A68)</f>
        <v/>
      </c>
      <c r="AL68" s="117">
        <f>SUMIFS(Xero!$F:$F,Xero!$B:$B,Heron!AL$9,Xero!$A:$A,Heron!$A$4,Xero!$E:$E,Heron!$A68)+SUMIFS(Xero!$F:$F,Xero!$B:$B,Heron!AL$9,Xero!$A:$A,Heron!$A$5,Xero!$E:$E,Heron!$A68)</f>
        <v/>
      </c>
      <c r="AM68" s="117">
        <f>SUMIFS(Xero!$F:$F,Xero!$B:$B,Heron!AM$9,Xero!$A:$A,Heron!$A$4,Xero!$E:$E,Heron!$A68)+SUMIFS(Xero!$F:$F,Xero!$B:$B,Heron!AM$9,Xero!$A:$A,Heron!$A$5,Xero!$E:$E,Heron!$A68)</f>
        <v/>
      </c>
      <c r="AN68" s="117">
        <f>SUMIFS(Xero!$F:$F,Xero!$B:$B,Heron!AN$9,Xero!$A:$A,Heron!$A$4,Xero!$E:$E,Heron!$A68)+SUMIFS(Xero!$F:$F,Xero!$B:$B,Heron!AN$9,Xero!$A:$A,Heron!$A$5,Xero!$E:$E,Heron!$A68)</f>
        <v/>
      </c>
      <c r="AO68" s="117">
        <f>SUMIFS(Xero!$F:$F,Xero!$B:$B,Heron!AO$9,Xero!$A:$A,Heron!$A$4,Xero!$E:$E,Heron!$A68)+SUMIFS(Xero!$F:$F,Xero!$B:$B,Heron!AO$9,Xero!$A:$A,Heron!$A$5,Xero!$E:$E,Heron!$A68)</f>
        <v/>
      </c>
      <c r="AP68" s="117">
        <f>SUMIFS(Xero!$F:$F,Xero!$B:$B,Heron!AP$9,Xero!$A:$A,Heron!$A$4,Xero!$E:$E,Heron!$A68)+SUMIFS(Xero!$F:$F,Xero!$B:$B,Heron!AP$9,Xero!$A:$A,Heron!$A$5,Xero!$E:$E,Heron!$A68)</f>
        <v/>
      </c>
      <c r="AQ68" s="117">
        <f>SUMIFS(Xero!$F:$F,Xero!$B:$B,Heron!AQ$9,Xero!$A:$A,Heron!$A$4,Xero!$E:$E,Heron!$A68)+SUMIFS(Xero!$F:$F,Xero!$B:$B,Heron!AQ$9,Xero!$A:$A,Heron!$A$5,Xero!$E:$E,Heron!$A68)</f>
        <v/>
      </c>
      <c r="AR68" s="117">
        <f>SUMIFS(Xero!$F:$F,Xero!$B:$B,Heron!AR$9,Xero!$A:$A,Heron!$A$4,Xero!$E:$E,Heron!$A68)+SUMIFS(Xero!$F:$F,Xero!$B:$B,Heron!AR$9,Xero!$A:$A,Heron!$A$5,Xero!$E:$E,Heron!$A68)</f>
        <v/>
      </c>
      <c r="AS68" s="117">
        <f>SUMIFS(Xero!$F:$F,Xero!$B:$B,Heron!AS$9,Xero!$A:$A,Heron!$A$4,Xero!$E:$E,Heron!$A68)+SUMIFS(Xero!$F:$F,Xero!$B:$B,Heron!AS$9,Xero!$A:$A,Heron!$A$5,Xero!$E:$E,Heron!$A68)</f>
        <v/>
      </c>
      <c r="AT68" s="117">
        <f>SUMIFS(Xero!$F:$F,Xero!$B:$B,Heron!AT$9,Xero!$A:$A,Heron!$A$4,Xero!$E:$E,Heron!$A68)+SUMIFS(Xero!$F:$F,Xero!$B:$B,Heron!AT$9,Xero!$A:$A,Heron!$A$5,Xero!$E:$E,Heron!$A68)</f>
        <v/>
      </c>
      <c r="AU68" s="117">
        <f>SUMIFS(Xero!$F:$F,Xero!$B:$B,Heron!AU$9,Xero!$A:$A,Heron!$A$4,Xero!$E:$E,Heron!$A68)+SUMIFS(Xero!$F:$F,Xero!$B:$B,Heron!AU$9,Xero!$A:$A,Heron!$A$5,Xero!$E:$E,Heron!$A68)</f>
        <v/>
      </c>
      <c r="AV68" s="117">
        <f>SUMIFS(Xero!$F:$F,Xero!$B:$B,Heron!AV$9,Xero!$A:$A,Heron!$A$4,Xero!$E:$E,Heron!$A68)+SUMIFS(Xero!$F:$F,Xero!$B:$B,Heron!AV$9,Xero!$A:$A,Heron!$A$5,Xero!$E:$E,Heron!$A68)</f>
        <v/>
      </c>
      <c r="AW68" s="117">
        <f>SUMIFS(Xero!$F:$F,Xero!$B:$B,Heron!AW$9,Xero!$A:$A,Heron!$A$4,Xero!$E:$E,Heron!$A68)+SUMIFS(Xero!$F:$F,Xero!$B:$B,Heron!AW$9,Xero!$A:$A,Heron!$A$5,Xero!$E:$E,Heron!$A68)</f>
        <v/>
      </c>
      <c r="AX68" s="117">
        <f>SUMIFS(Xero!$F:$F,Xero!$B:$B,Heron!AX$9,Xero!$A:$A,Heron!$A$4,Xero!$E:$E,Heron!$A68)+SUMIFS(Xero!$F:$F,Xero!$B:$B,Heron!AX$9,Xero!$A:$A,Heron!$A$5,Xero!$E:$E,Heron!$A68)</f>
        <v/>
      </c>
      <c r="AY68" s="117">
        <f>SUMIFS(Xero!$F:$F,Xero!$B:$B,Heron!AY$9,Xero!$A:$A,Heron!$A$4,Xero!$E:$E,Heron!$A68)+SUMIFS(Xero!$F:$F,Xero!$B:$B,Heron!AY$9,Xero!$A:$A,Heron!$A$5,Xero!$E:$E,Heron!$A68)</f>
        <v/>
      </c>
      <c r="AZ68" s="117">
        <f>SUMIFS(Xero!$F:$F,Xero!$B:$B,Heron!AZ$9,Xero!$A:$A,Heron!$A$4,Xero!$E:$E,Heron!$A68)+SUMIFS(Xero!$F:$F,Xero!$B:$B,Heron!AZ$9,Xero!$A:$A,Heron!$A$5,Xero!$E:$E,Heron!$A68)</f>
        <v/>
      </c>
      <c r="BA68" s="117">
        <f>SUMIFS(Xero!$F:$F,Xero!$B:$B,Heron!BA$9,Xero!$A:$A,Heron!$A$4,Xero!$E:$E,Heron!$A68)+SUMIFS(Xero!$F:$F,Xero!$B:$B,Heron!BA$9,Xero!$A:$A,Heron!$A$5,Xero!$E:$E,Heron!$A68)</f>
        <v/>
      </c>
      <c r="BB68" s="117">
        <f>SUMIFS(Xero!$F:$F,Xero!$B:$B,Heron!BB$9,Xero!$A:$A,Heron!$A$4,Xero!$E:$E,Heron!$A68)+SUMIFS(Xero!$F:$F,Xero!$B:$B,Heron!BB$9,Xero!$A:$A,Heron!$A$5,Xero!$E:$E,Heron!$A68)</f>
        <v/>
      </c>
      <c r="BC68" s="117">
        <f>SUMIFS(Xero!$F:$F,Xero!$B:$B,Heron!BC$9,Xero!$A:$A,Heron!$A$4,Xero!$E:$E,Heron!$A68)+SUMIFS(Xero!$F:$F,Xero!$B:$B,Heron!BC$9,Xero!$A:$A,Heron!$A$5,Xero!$E:$E,Heron!$A68)</f>
        <v/>
      </c>
      <c r="BD68" s="117">
        <f>SUMIFS(Xero!$F:$F,Xero!$B:$B,Heron!BD$9,Xero!$A:$A,Heron!$A$4,Xero!$E:$E,Heron!$A68)+SUMIFS(Xero!$F:$F,Xero!$B:$B,Heron!BD$9,Xero!$A:$A,Heron!$A$5,Xero!$E:$E,Heron!$A68)</f>
        <v/>
      </c>
      <c r="BE68" s="117">
        <f>SUMIFS(Xero!$F:$F,Xero!$B:$B,Heron!BE$9,Xero!$A:$A,Heron!$A$4,Xero!$E:$E,Heron!$A68)+SUMIFS(Xero!$F:$F,Xero!$B:$B,Heron!BE$9,Xero!$A:$A,Heron!$A$5,Xero!$E:$E,Heron!$A68)</f>
        <v/>
      </c>
      <c r="BF68" s="117">
        <f>SUMIFS(Xero!$F:$F,Xero!$B:$B,Heron!BF$9,Xero!$A:$A,Heron!$A$4,Xero!$E:$E,Heron!$A68)+SUMIFS(Xero!$F:$F,Xero!$B:$B,Heron!BF$9,Xero!$A:$A,Heron!$A$5,Xero!$E:$E,Heron!$A68)</f>
        <v/>
      </c>
      <c r="BG68" s="117">
        <f>SUMIFS(Xero!$F:$F,Xero!$B:$B,Heron!BG$9,Xero!$A:$A,Heron!$A$4,Xero!$E:$E,Heron!$A68)+SUMIFS(Xero!$F:$F,Xero!$B:$B,Heron!BG$9,Xero!$A:$A,Heron!$A$5,Xero!$E:$E,Heron!$A68)</f>
        <v/>
      </c>
      <c r="BH68" s="117">
        <f>SUMIFS(Xero!$F:$F,Xero!$B:$B,Heron!BH$9,Xero!$A:$A,Heron!$A$4,Xero!$E:$E,Heron!$A68)+SUMIFS(Xero!$F:$F,Xero!$B:$B,Heron!BH$9,Xero!$A:$A,Heron!$A$5,Xero!$E:$E,Heron!$A68)</f>
        <v/>
      </c>
      <c r="BI68" s="117">
        <f>SUMIFS(Xero!$F:$F,Xero!$B:$B,Heron!BI$9,Xero!$A:$A,Heron!$A$4,Xero!$E:$E,Heron!$A68)+SUMIFS(Xero!$F:$F,Xero!$B:$B,Heron!BI$9,Xero!$A:$A,Heron!$A$5,Xero!$E:$E,Heron!$A68)</f>
        <v/>
      </c>
      <c r="BJ68" s="117">
        <f>SUMIFS(Xero!$F:$F,Xero!$B:$B,Heron!BJ$9,Xero!$A:$A,Heron!$A$4,Xero!$E:$E,Heron!$A68)+SUMIFS(Xero!$F:$F,Xero!$B:$B,Heron!BJ$9,Xero!$A:$A,Heron!$A$5,Xero!$E:$E,Heron!$A68)</f>
        <v/>
      </c>
      <c r="BK68" s="117">
        <f>sum(D68:BJ68)</f>
        <v/>
      </c>
    </row>
    <row r="69">
      <c r="A69" s="116" t="inlineStr">
        <is>
          <t>Entertainment Expenses</t>
        </is>
      </c>
      <c r="D69" s="117">
        <f>SUMIFS(Xero!$F:$F,Xero!$B:$B,Heron!D$9,Xero!$A:$A,Heron!$A$4,Xero!$E:$E,Heron!$A69)+SUMIFS(Xero!$F:$F,Xero!$B:$B,Heron!D$9,Xero!$A:$A,Heron!$A$5,Xero!$E:$E,Heron!$A69)</f>
        <v/>
      </c>
      <c r="E69" s="117">
        <f>SUMIFS(Xero!$F:$F,Xero!$B:$B,Heron!E$9,Xero!$A:$A,Heron!$A$4,Xero!$E:$E,Heron!$A69)+SUMIFS(Xero!$F:$F,Xero!$B:$B,Heron!E$9,Xero!$A:$A,Heron!$A$5,Xero!$E:$E,Heron!$A69)</f>
        <v/>
      </c>
      <c r="F69" s="117">
        <f>SUMIFS(Xero!$F:$F,Xero!$B:$B,Heron!F$9,Xero!$A:$A,Heron!$A$4,Xero!$E:$E,Heron!$A69)+SUMIFS(Xero!$F:$F,Xero!$B:$B,Heron!F$9,Xero!$A:$A,Heron!$A$5,Xero!$E:$E,Heron!$A69)</f>
        <v/>
      </c>
      <c r="G69" s="117">
        <f>SUMIFS(Xero!$F:$F,Xero!$B:$B,Heron!G$9,Xero!$A:$A,Heron!$A$4,Xero!$E:$E,Heron!$A69)+SUMIFS(Xero!$F:$F,Xero!$B:$B,Heron!G$9,Xero!$A:$A,Heron!$A$5,Xero!$E:$E,Heron!$A69)</f>
        <v/>
      </c>
      <c r="H69" s="117">
        <f>SUMIFS(Xero!$F:$F,Xero!$B:$B,Heron!H$9,Xero!$A:$A,Heron!$A$4,Xero!$E:$E,Heron!$A69)+SUMIFS(Xero!$F:$F,Xero!$B:$B,Heron!H$9,Xero!$A:$A,Heron!$A$5,Xero!$E:$E,Heron!$A69)</f>
        <v/>
      </c>
      <c r="I69" s="117">
        <f>SUMIFS(Xero!$F:$F,Xero!$B:$B,Heron!I$9,Xero!$A:$A,Heron!$A$4,Xero!$E:$E,Heron!$A69)+SUMIFS(Xero!$F:$F,Xero!$B:$B,Heron!I$9,Xero!$A:$A,Heron!$A$5,Xero!$E:$E,Heron!$A69)</f>
        <v/>
      </c>
      <c r="J69" s="117">
        <f>SUMIFS(Xero!$F:$F,Xero!$B:$B,Heron!J$9,Xero!$A:$A,Heron!$A$4,Xero!$E:$E,Heron!$A69)+SUMIFS(Xero!$F:$F,Xero!$B:$B,Heron!J$9,Xero!$A:$A,Heron!$A$5,Xero!$E:$E,Heron!$A69)</f>
        <v/>
      </c>
      <c r="K69" s="117">
        <f>SUMIFS(Xero!$F:$F,Xero!$B:$B,Heron!K$9,Xero!$A:$A,Heron!$A$4,Xero!$E:$E,Heron!$A69)+SUMIFS(Xero!$F:$F,Xero!$B:$B,Heron!K$9,Xero!$A:$A,Heron!$A$5,Xero!$E:$E,Heron!$A69)</f>
        <v/>
      </c>
      <c r="L69" s="117">
        <f>SUMIFS(Xero!$F:$F,Xero!$B:$B,Heron!L$9,Xero!$A:$A,Heron!$A$4,Xero!$E:$E,Heron!$A69)+SUMIFS(Xero!$F:$F,Xero!$B:$B,Heron!L$9,Xero!$A:$A,Heron!$A$5,Xero!$E:$E,Heron!$A69)</f>
        <v/>
      </c>
      <c r="M69" s="117">
        <f>SUMIFS(Xero!$F:$F,Xero!$B:$B,Heron!M$9,Xero!$A:$A,Heron!$A$4,Xero!$E:$E,Heron!$A69)+SUMIFS(Xero!$F:$F,Xero!$B:$B,Heron!M$9,Xero!$A:$A,Heron!$A$5,Xero!$E:$E,Heron!$A69)</f>
        <v/>
      </c>
      <c r="N69" s="117">
        <f>SUMIFS(Xero!$F:$F,Xero!$B:$B,Heron!N$9,Xero!$A:$A,Heron!$A$4,Xero!$E:$E,Heron!$A69)+SUMIFS(Xero!$F:$F,Xero!$B:$B,Heron!N$9,Xero!$A:$A,Heron!$A$5,Xero!$E:$E,Heron!$A69)</f>
        <v/>
      </c>
      <c r="O69" s="117">
        <f>SUMIFS(Xero!$F:$F,Xero!$B:$B,Heron!O$9,Xero!$A:$A,Heron!$A$4,Xero!$E:$E,Heron!$A69)+SUMIFS(Xero!$F:$F,Xero!$B:$B,Heron!O$9,Xero!$A:$A,Heron!$A$5,Xero!$E:$E,Heron!$A69)</f>
        <v/>
      </c>
      <c r="P69" s="117">
        <f>SUMIFS(Xero!$F:$F,Xero!$B:$B,Heron!P$9,Xero!$A:$A,Heron!$A$4,Xero!$E:$E,Heron!$A69)+SUMIFS(Xero!$F:$F,Xero!$B:$B,Heron!P$9,Xero!$A:$A,Heron!$A$5,Xero!$E:$E,Heron!$A69)</f>
        <v/>
      </c>
      <c r="Q69" s="117">
        <f>SUMIFS(Xero!$F:$F,Xero!$B:$B,Heron!Q$9,Xero!$A:$A,Heron!$A$4,Xero!$E:$E,Heron!$A69)+SUMIFS(Xero!$F:$F,Xero!$B:$B,Heron!Q$9,Xero!$A:$A,Heron!$A$5,Xero!$E:$E,Heron!$A69)</f>
        <v/>
      </c>
      <c r="R69" s="117">
        <f>SUMIFS(Xero!$F:$F,Xero!$B:$B,Heron!R$9,Xero!$A:$A,Heron!$A$4,Xero!$E:$E,Heron!$A69)+SUMIFS(Xero!$F:$F,Xero!$B:$B,Heron!R$9,Xero!$A:$A,Heron!$A$5,Xero!$E:$E,Heron!$A69)</f>
        <v/>
      </c>
      <c r="S69" s="117">
        <f>SUMIFS(Xero!$F:$F,Xero!$B:$B,Heron!S$9,Xero!$A:$A,Heron!$A$4,Xero!$E:$E,Heron!$A69)+SUMIFS(Xero!$F:$F,Xero!$B:$B,Heron!S$9,Xero!$A:$A,Heron!$A$5,Xero!$E:$E,Heron!$A69)</f>
        <v/>
      </c>
      <c r="T69" s="117">
        <f>SUMIFS(Xero!$F:$F,Xero!$B:$B,Heron!T$9,Xero!$A:$A,Heron!$A$4,Xero!$E:$E,Heron!$A69)+SUMIFS(Xero!$F:$F,Xero!$B:$B,Heron!T$9,Xero!$A:$A,Heron!$A$5,Xero!$E:$E,Heron!$A69)</f>
        <v/>
      </c>
      <c r="U69" s="117">
        <f>SUMIFS(Xero!$F:$F,Xero!$B:$B,Heron!U$9,Xero!$A:$A,Heron!$A$4,Xero!$E:$E,Heron!$A69)+SUMIFS(Xero!$F:$F,Xero!$B:$B,Heron!U$9,Xero!$A:$A,Heron!$A$5,Xero!$E:$E,Heron!$A69)</f>
        <v/>
      </c>
      <c r="V69" s="117">
        <f>SUMIFS(Xero!$F:$F,Xero!$B:$B,Heron!V$9,Xero!$A:$A,Heron!$A$4,Xero!$E:$E,Heron!$A69)+SUMIFS(Xero!$F:$F,Xero!$B:$B,Heron!V$9,Xero!$A:$A,Heron!$A$5,Xero!$E:$E,Heron!$A69)</f>
        <v/>
      </c>
      <c r="W69" s="117">
        <f>SUMIFS(Xero!$F:$F,Xero!$B:$B,Heron!W$9,Xero!$A:$A,Heron!$A$4,Xero!$E:$E,Heron!$A69)+SUMIFS(Xero!$F:$F,Xero!$B:$B,Heron!W$9,Xero!$A:$A,Heron!$A$5,Xero!$E:$E,Heron!$A69)</f>
        <v/>
      </c>
      <c r="X69" s="117">
        <f>SUMIFS(Xero!$F:$F,Xero!$B:$B,Heron!X$9,Xero!$A:$A,Heron!$A$4,Xero!$E:$E,Heron!$A69)+SUMIFS(Xero!$F:$F,Xero!$B:$B,Heron!X$9,Xero!$A:$A,Heron!$A$5,Xero!$E:$E,Heron!$A69)</f>
        <v/>
      </c>
      <c r="Y69" s="117">
        <f>SUMIFS(Xero!$F:$F,Xero!$B:$B,Heron!Y$9,Xero!$A:$A,Heron!$A$4,Xero!$E:$E,Heron!$A69)+SUMIFS(Xero!$F:$F,Xero!$B:$B,Heron!Y$9,Xero!$A:$A,Heron!$A$5,Xero!$E:$E,Heron!$A69)</f>
        <v/>
      </c>
      <c r="Z69" s="117">
        <f>SUMIFS(Xero!$F:$F,Xero!$B:$B,Heron!Z$9,Xero!$A:$A,Heron!$A$4,Xero!$E:$E,Heron!$A69)+SUMIFS(Xero!$F:$F,Xero!$B:$B,Heron!Z$9,Xero!$A:$A,Heron!$A$5,Xero!$E:$E,Heron!$A69)</f>
        <v/>
      </c>
      <c r="AA69" s="117">
        <f>SUMIFS(Xero!$F:$F,Xero!$B:$B,Heron!AA$9,Xero!$A:$A,Heron!$A$4,Xero!$E:$E,Heron!$A69)+SUMIFS(Xero!$F:$F,Xero!$B:$B,Heron!AA$9,Xero!$A:$A,Heron!$A$5,Xero!$E:$E,Heron!$A69)</f>
        <v/>
      </c>
      <c r="AB69" s="117">
        <f>SUMIFS(Xero!$F:$F,Xero!$B:$B,Heron!AB$9,Xero!$A:$A,Heron!$A$4,Xero!$E:$E,Heron!$A69)+SUMIFS(Xero!$F:$F,Xero!$B:$B,Heron!AB$9,Xero!$A:$A,Heron!$A$5,Xero!$E:$E,Heron!$A69)</f>
        <v/>
      </c>
      <c r="AC69" s="117">
        <f>SUMIFS(Xero!$F:$F,Xero!$B:$B,Heron!AC$9,Xero!$A:$A,Heron!$A$4,Xero!$E:$E,Heron!$A69)+SUMIFS(Xero!$F:$F,Xero!$B:$B,Heron!AC$9,Xero!$A:$A,Heron!$A$5,Xero!$E:$E,Heron!$A69)</f>
        <v/>
      </c>
      <c r="AD69" s="117">
        <f>SUMIFS(Xero!$F:$F,Xero!$B:$B,Heron!AD$9,Xero!$A:$A,Heron!$A$4,Xero!$E:$E,Heron!$A69)+SUMIFS(Xero!$F:$F,Xero!$B:$B,Heron!AD$9,Xero!$A:$A,Heron!$A$5,Xero!$E:$E,Heron!$A69)</f>
        <v/>
      </c>
      <c r="AE69" s="117">
        <f>SUMIFS(Xero!$F:$F,Xero!$B:$B,Heron!AE$9,Xero!$A:$A,Heron!$A$4,Xero!$E:$E,Heron!$A69)+SUMIFS(Xero!$F:$F,Xero!$B:$B,Heron!AE$9,Xero!$A:$A,Heron!$A$5,Xero!$E:$E,Heron!$A69)</f>
        <v/>
      </c>
      <c r="AF69" s="117">
        <f>SUMIFS(Xero!$F:$F,Xero!$B:$B,Heron!AF$9,Xero!$A:$A,Heron!$A$4,Xero!$E:$E,Heron!$A69)+SUMIFS(Xero!$F:$F,Xero!$B:$B,Heron!AF$9,Xero!$A:$A,Heron!$A$5,Xero!$E:$E,Heron!$A69)</f>
        <v/>
      </c>
      <c r="AG69" s="117">
        <f>SUMIFS(Xero!$F:$F,Xero!$B:$B,Heron!AG$9,Xero!$A:$A,Heron!$A$4,Xero!$E:$E,Heron!$A69)+SUMIFS(Xero!$F:$F,Xero!$B:$B,Heron!AG$9,Xero!$A:$A,Heron!$A$5,Xero!$E:$E,Heron!$A69)</f>
        <v/>
      </c>
      <c r="AH69" s="117">
        <f>SUMIFS(Xero!$F:$F,Xero!$B:$B,Heron!AH$9,Xero!$A:$A,Heron!$A$4,Xero!$E:$E,Heron!$A69)+SUMIFS(Xero!$F:$F,Xero!$B:$B,Heron!AH$9,Xero!$A:$A,Heron!$A$5,Xero!$E:$E,Heron!$A69)</f>
        <v/>
      </c>
      <c r="AI69" s="117">
        <f>SUMIFS(Xero!$F:$F,Xero!$B:$B,Heron!AI$9,Xero!$A:$A,Heron!$A$4,Xero!$E:$E,Heron!$A69)+SUMIFS(Xero!$F:$F,Xero!$B:$B,Heron!AI$9,Xero!$A:$A,Heron!$A$5,Xero!$E:$E,Heron!$A69)</f>
        <v/>
      </c>
      <c r="AJ69" s="117">
        <f>SUMIFS(Xero!$F:$F,Xero!$B:$B,Heron!AJ$9,Xero!$A:$A,Heron!$A$4,Xero!$E:$E,Heron!$A69)+SUMIFS(Xero!$F:$F,Xero!$B:$B,Heron!AJ$9,Xero!$A:$A,Heron!$A$5,Xero!$E:$E,Heron!$A69)</f>
        <v/>
      </c>
      <c r="AK69" s="117">
        <f>SUMIFS(Xero!$F:$F,Xero!$B:$B,Heron!AK$9,Xero!$A:$A,Heron!$A$4,Xero!$E:$E,Heron!$A69)+SUMIFS(Xero!$F:$F,Xero!$B:$B,Heron!AK$9,Xero!$A:$A,Heron!$A$5,Xero!$E:$E,Heron!$A69)</f>
        <v/>
      </c>
      <c r="AL69" s="117">
        <f>SUMIFS(Xero!$F:$F,Xero!$B:$B,Heron!AL$9,Xero!$A:$A,Heron!$A$4,Xero!$E:$E,Heron!$A69)+SUMIFS(Xero!$F:$F,Xero!$B:$B,Heron!AL$9,Xero!$A:$A,Heron!$A$5,Xero!$E:$E,Heron!$A69)</f>
        <v/>
      </c>
      <c r="AM69" s="117">
        <f>SUMIFS(Xero!$F:$F,Xero!$B:$B,Heron!AM$9,Xero!$A:$A,Heron!$A$4,Xero!$E:$E,Heron!$A69)+SUMIFS(Xero!$F:$F,Xero!$B:$B,Heron!AM$9,Xero!$A:$A,Heron!$A$5,Xero!$E:$E,Heron!$A69)</f>
        <v/>
      </c>
      <c r="AN69" s="117">
        <f>SUMIFS(Xero!$F:$F,Xero!$B:$B,Heron!AN$9,Xero!$A:$A,Heron!$A$4,Xero!$E:$E,Heron!$A69)+SUMIFS(Xero!$F:$F,Xero!$B:$B,Heron!AN$9,Xero!$A:$A,Heron!$A$5,Xero!$E:$E,Heron!$A69)</f>
        <v/>
      </c>
      <c r="AO69" s="117">
        <f>SUMIFS(Xero!$F:$F,Xero!$B:$B,Heron!AO$9,Xero!$A:$A,Heron!$A$4,Xero!$E:$E,Heron!$A69)+SUMIFS(Xero!$F:$F,Xero!$B:$B,Heron!AO$9,Xero!$A:$A,Heron!$A$5,Xero!$E:$E,Heron!$A69)</f>
        <v/>
      </c>
      <c r="AP69" s="117">
        <f>SUMIFS(Xero!$F:$F,Xero!$B:$B,Heron!AP$9,Xero!$A:$A,Heron!$A$4,Xero!$E:$E,Heron!$A69)+SUMIFS(Xero!$F:$F,Xero!$B:$B,Heron!AP$9,Xero!$A:$A,Heron!$A$5,Xero!$E:$E,Heron!$A69)</f>
        <v/>
      </c>
      <c r="AQ69" s="117">
        <f>SUMIFS(Xero!$F:$F,Xero!$B:$B,Heron!AQ$9,Xero!$A:$A,Heron!$A$4,Xero!$E:$E,Heron!$A69)+SUMIFS(Xero!$F:$F,Xero!$B:$B,Heron!AQ$9,Xero!$A:$A,Heron!$A$5,Xero!$E:$E,Heron!$A69)</f>
        <v/>
      </c>
      <c r="AR69" s="117">
        <f>SUMIFS(Xero!$F:$F,Xero!$B:$B,Heron!AR$9,Xero!$A:$A,Heron!$A$4,Xero!$E:$E,Heron!$A69)+SUMIFS(Xero!$F:$F,Xero!$B:$B,Heron!AR$9,Xero!$A:$A,Heron!$A$5,Xero!$E:$E,Heron!$A69)</f>
        <v/>
      </c>
      <c r="AS69" s="117">
        <f>SUMIFS(Xero!$F:$F,Xero!$B:$B,Heron!AS$9,Xero!$A:$A,Heron!$A$4,Xero!$E:$E,Heron!$A69)+SUMIFS(Xero!$F:$F,Xero!$B:$B,Heron!AS$9,Xero!$A:$A,Heron!$A$5,Xero!$E:$E,Heron!$A69)</f>
        <v/>
      </c>
      <c r="AT69" s="117">
        <f>SUMIFS(Xero!$F:$F,Xero!$B:$B,Heron!AT$9,Xero!$A:$A,Heron!$A$4,Xero!$E:$E,Heron!$A69)+SUMIFS(Xero!$F:$F,Xero!$B:$B,Heron!AT$9,Xero!$A:$A,Heron!$A$5,Xero!$E:$E,Heron!$A69)</f>
        <v/>
      </c>
      <c r="AU69" s="117">
        <f>SUMIFS(Xero!$F:$F,Xero!$B:$B,Heron!AU$9,Xero!$A:$A,Heron!$A$4,Xero!$E:$E,Heron!$A69)+SUMIFS(Xero!$F:$F,Xero!$B:$B,Heron!AU$9,Xero!$A:$A,Heron!$A$5,Xero!$E:$E,Heron!$A69)</f>
        <v/>
      </c>
      <c r="AV69" s="117">
        <f>SUMIFS(Xero!$F:$F,Xero!$B:$B,Heron!AV$9,Xero!$A:$A,Heron!$A$4,Xero!$E:$E,Heron!$A69)+SUMIFS(Xero!$F:$F,Xero!$B:$B,Heron!AV$9,Xero!$A:$A,Heron!$A$5,Xero!$E:$E,Heron!$A69)</f>
        <v/>
      </c>
      <c r="AW69" s="117">
        <f>SUMIFS(Xero!$F:$F,Xero!$B:$B,Heron!AW$9,Xero!$A:$A,Heron!$A$4,Xero!$E:$E,Heron!$A69)+SUMIFS(Xero!$F:$F,Xero!$B:$B,Heron!AW$9,Xero!$A:$A,Heron!$A$5,Xero!$E:$E,Heron!$A69)</f>
        <v/>
      </c>
      <c r="AX69" s="117">
        <f>SUMIFS(Xero!$F:$F,Xero!$B:$B,Heron!AX$9,Xero!$A:$A,Heron!$A$4,Xero!$E:$E,Heron!$A69)+SUMIFS(Xero!$F:$F,Xero!$B:$B,Heron!AX$9,Xero!$A:$A,Heron!$A$5,Xero!$E:$E,Heron!$A69)</f>
        <v/>
      </c>
      <c r="AY69" s="117">
        <f>SUMIFS(Xero!$F:$F,Xero!$B:$B,Heron!AY$9,Xero!$A:$A,Heron!$A$4,Xero!$E:$E,Heron!$A69)+SUMIFS(Xero!$F:$F,Xero!$B:$B,Heron!AY$9,Xero!$A:$A,Heron!$A$5,Xero!$E:$E,Heron!$A69)</f>
        <v/>
      </c>
      <c r="AZ69" s="117">
        <f>SUMIFS(Xero!$F:$F,Xero!$B:$B,Heron!AZ$9,Xero!$A:$A,Heron!$A$4,Xero!$E:$E,Heron!$A69)+SUMIFS(Xero!$F:$F,Xero!$B:$B,Heron!AZ$9,Xero!$A:$A,Heron!$A$5,Xero!$E:$E,Heron!$A69)</f>
        <v/>
      </c>
      <c r="BA69" s="117">
        <f>SUMIFS(Xero!$F:$F,Xero!$B:$B,Heron!BA$9,Xero!$A:$A,Heron!$A$4,Xero!$E:$E,Heron!$A69)+SUMIFS(Xero!$F:$F,Xero!$B:$B,Heron!BA$9,Xero!$A:$A,Heron!$A$5,Xero!$E:$E,Heron!$A69)</f>
        <v/>
      </c>
      <c r="BB69" s="117">
        <f>SUMIFS(Xero!$F:$F,Xero!$B:$B,Heron!BB$9,Xero!$A:$A,Heron!$A$4,Xero!$E:$E,Heron!$A69)+SUMIFS(Xero!$F:$F,Xero!$B:$B,Heron!BB$9,Xero!$A:$A,Heron!$A$5,Xero!$E:$E,Heron!$A69)</f>
        <v/>
      </c>
      <c r="BC69" s="117">
        <f>SUMIFS(Xero!$F:$F,Xero!$B:$B,Heron!BC$9,Xero!$A:$A,Heron!$A$4,Xero!$E:$E,Heron!$A69)+SUMIFS(Xero!$F:$F,Xero!$B:$B,Heron!BC$9,Xero!$A:$A,Heron!$A$5,Xero!$E:$E,Heron!$A69)</f>
        <v/>
      </c>
      <c r="BD69" s="117">
        <f>SUMIFS(Xero!$F:$F,Xero!$B:$B,Heron!BD$9,Xero!$A:$A,Heron!$A$4,Xero!$E:$E,Heron!$A69)+SUMIFS(Xero!$F:$F,Xero!$B:$B,Heron!BD$9,Xero!$A:$A,Heron!$A$5,Xero!$E:$E,Heron!$A69)</f>
        <v/>
      </c>
      <c r="BE69" s="117">
        <f>SUMIFS(Xero!$F:$F,Xero!$B:$B,Heron!BE$9,Xero!$A:$A,Heron!$A$4,Xero!$E:$E,Heron!$A69)+SUMIFS(Xero!$F:$F,Xero!$B:$B,Heron!BE$9,Xero!$A:$A,Heron!$A$5,Xero!$E:$E,Heron!$A69)</f>
        <v/>
      </c>
      <c r="BF69" s="117">
        <f>SUMIFS(Xero!$F:$F,Xero!$B:$B,Heron!BF$9,Xero!$A:$A,Heron!$A$4,Xero!$E:$E,Heron!$A69)+SUMIFS(Xero!$F:$F,Xero!$B:$B,Heron!BF$9,Xero!$A:$A,Heron!$A$5,Xero!$E:$E,Heron!$A69)</f>
        <v/>
      </c>
      <c r="BG69" s="117">
        <f>SUMIFS(Xero!$F:$F,Xero!$B:$B,Heron!BG$9,Xero!$A:$A,Heron!$A$4,Xero!$E:$E,Heron!$A69)+SUMIFS(Xero!$F:$F,Xero!$B:$B,Heron!BG$9,Xero!$A:$A,Heron!$A$5,Xero!$E:$E,Heron!$A69)</f>
        <v/>
      </c>
      <c r="BH69" s="117">
        <f>SUMIFS(Xero!$F:$F,Xero!$B:$B,Heron!BH$9,Xero!$A:$A,Heron!$A$4,Xero!$E:$E,Heron!$A69)+SUMIFS(Xero!$F:$F,Xero!$B:$B,Heron!BH$9,Xero!$A:$A,Heron!$A$5,Xero!$E:$E,Heron!$A69)</f>
        <v/>
      </c>
      <c r="BI69" s="117">
        <f>SUMIFS(Xero!$F:$F,Xero!$B:$B,Heron!BI$9,Xero!$A:$A,Heron!$A$4,Xero!$E:$E,Heron!$A69)+SUMIFS(Xero!$F:$F,Xero!$B:$B,Heron!BI$9,Xero!$A:$A,Heron!$A$5,Xero!$E:$E,Heron!$A69)</f>
        <v/>
      </c>
      <c r="BJ69" s="117">
        <f>SUMIFS(Xero!$F:$F,Xero!$B:$B,Heron!BJ$9,Xero!$A:$A,Heron!$A$4,Xero!$E:$E,Heron!$A69)+SUMIFS(Xero!$F:$F,Xero!$B:$B,Heron!BJ$9,Xero!$A:$A,Heron!$A$5,Xero!$E:$E,Heron!$A69)</f>
        <v/>
      </c>
      <c r="BK69" s="117">
        <f>sum(D69:BJ69)</f>
        <v/>
      </c>
    </row>
    <row r="70">
      <c r="A70" s="116" t="inlineStr">
        <is>
          <t>General Expenses</t>
        </is>
      </c>
      <c r="D70" s="117">
        <f>SUMIFS(Xero!$F:$F,Xero!$B:$B,Heron!D$9,Xero!$A:$A,Heron!$A$4,Xero!$E:$E,Heron!$A70)+SUMIFS(Xero!$F:$F,Xero!$B:$B,Heron!D$9,Xero!$A:$A,Heron!$A$5,Xero!$E:$E,Heron!$A70)</f>
        <v/>
      </c>
      <c r="E70" s="117">
        <f>SUMIFS(Xero!$F:$F,Xero!$B:$B,Heron!E$9,Xero!$A:$A,Heron!$A$4,Xero!$E:$E,Heron!$A70)+SUMIFS(Xero!$F:$F,Xero!$B:$B,Heron!E$9,Xero!$A:$A,Heron!$A$5,Xero!$E:$E,Heron!$A70)</f>
        <v/>
      </c>
      <c r="F70" s="117">
        <f>SUMIFS(Xero!$F:$F,Xero!$B:$B,Heron!F$9,Xero!$A:$A,Heron!$A$4,Xero!$E:$E,Heron!$A70)+SUMIFS(Xero!$F:$F,Xero!$B:$B,Heron!F$9,Xero!$A:$A,Heron!$A$5,Xero!$E:$E,Heron!$A70)</f>
        <v/>
      </c>
      <c r="G70" s="117">
        <f>SUMIFS(Xero!$F:$F,Xero!$B:$B,Heron!G$9,Xero!$A:$A,Heron!$A$4,Xero!$E:$E,Heron!$A70)+SUMIFS(Xero!$F:$F,Xero!$B:$B,Heron!G$9,Xero!$A:$A,Heron!$A$5,Xero!$E:$E,Heron!$A70)</f>
        <v/>
      </c>
      <c r="H70" s="117">
        <f>SUMIFS(Xero!$F:$F,Xero!$B:$B,Heron!H$9,Xero!$A:$A,Heron!$A$4,Xero!$E:$E,Heron!$A70)+SUMIFS(Xero!$F:$F,Xero!$B:$B,Heron!H$9,Xero!$A:$A,Heron!$A$5,Xero!$E:$E,Heron!$A70)</f>
        <v/>
      </c>
      <c r="I70" s="117">
        <f>SUMIFS(Xero!$F:$F,Xero!$B:$B,Heron!I$9,Xero!$A:$A,Heron!$A$4,Xero!$E:$E,Heron!$A70)+SUMIFS(Xero!$F:$F,Xero!$B:$B,Heron!I$9,Xero!$A:$A,Heron!$A$5,Xero!$E:$E,Heron!$A70)</f>
        <v/>
      </c>
      <c r="J70" s="117">
        <f>SUMIFS(Xero!$F:$F,Xero!$B:$B,Heron!J$9,Xero!$A:$A,Heron!$A$4,Xero!$E:$E,Heron!$A70)+SUMIFS(Xero!$F:$F,Xero!$B:$B,Heron!J$9,Xero!$A:$A,Heron!$A$5,Xero!$E:$E,Heron!$A70)</f>
        <v/>
      </c>
      <c r="K70" s="117">
        <f>SUMIFS(Xero!$F:$F,Xero!$B:$B,Heron!K$9,Xero!$A:$A,Heron!$A$4,Xero!$E:$E,Heron!$A70)+SUMIFS(Xero!$F:$F,Xero!$B:$B,Heron!K$9,Xero!$A:$A,Heron!$A$5,Xero!$E:$E,Heron!$A70)</f>
        <v/>
      </c>
      <c r="L70" s="117">
        <f>SUMIFS(Xero!$F:$F,Xero!$B:$B,Heron!L$9,Xero!$A:$A,Heron!$A$4,Xero!$E:$E,Heron!$A70)+SUMIFS(Xero!$F:$F,Xero!$B:$B,Heron!L$9,Xero!$A:$A,Heron!$A$5,Xero!$E:$E,Heron!$A70)</f>
        <v/>
      </c>
      <c r="M70" s="117">
        <f>SUMIFS(Xero!$F:$F,Xero!$B:$B,Heron!M$9,Xero!$A:$A,Heron!$A$4,Xero!$E:$E,Heron!$A70)+SUMIFS(Xero!$F:$F,Xero!$B:$B,Heron!M$9,Xero!$A:$A,Heron!$A$5,Xero!$E:$E,Heron!$A70)</f>
        <v/>
      </c>
      <c r="N70" s="117">
        <f>SUMIFS(Xero!$F:$F,Xero!$B:$B,Heron!N$9,Xero!$A:$A,Heron!$A$4,Xero!$E:$E,Heron!$A70)+SUMIFS(Xero!$F:$F,Xero!$B:$B,Heron!N$9,Xero!$A:$A,Heron!$A$5,Xero!$E:$E,Heron!$A70)</f>
        <v/>
      </c>
      <c r="O70" s="117">
        <f>SUMIFS(Xero!$F:$F,Xero!$B:$B,Heron!O$9,Xero!$A:$A,Heron!$A$4,Xero!$E:$E,Heron!$A70)+SUMIFS(Xero!$F:$F,Xero!$B:$B,Heron!O$9,Xero!$A:$A,Heron!$A$5,Xero!$E:$E,Heron!$A70)</f>
        <v/>
      </c>
      <c r="P70" s="117">
        <f>SUMIFS(Xero!$F:$F,Xero!$B:$B,Heron!P$9,Xero!$A:$A,Heron!$A$4,Xero!$E:$E,Heron!$A70)+SUMIFS(Xero!$F:$F,Xero!$B:$B,Heron!P$9,Xero!$A:$A,Heron!$A$5,Xero!$E:$E,Heron!$A70)</f>
        <v/>
      </c>
      <c r="Q70" s="117">
        <f>SUMIFS(Xero!$F:$F,Xero!$B:$B,Heron!Q$9,Xero!$A:$A,Heron!$A$4,Xero!$E:$E,Heron!$A70)+SUMIFS(Xero!$F:$F,Xero!$B:$B,Heron!Q$9,Xero!$A:$A,Heron!$A$5,Xero!$E:$E,Heron!$A70)</f>
        <v/>
      </c>
      <c r="R70" s="117">
        <f>SUMIFS(Xero!$F:$F,Xero!$B:$B,Heron!R$9,Xero!$A:$A,Heron!$A$4,Xero!$E:$E,Heron!$A70)+SUMIFS(Xero!$F:$F,Xero!$B:$B,Heron!R$9,Xero!$A:$A,Heron!$A$5,Xero!$E:$E,Heron!$A70)</f>
        <v/>
      </c>
      <c r="S70" s="117">
        <f>SUMIFS(Xero!$F:$F,Xero!$B:$B,Heron!S$9,Xero!$A:$A,Heron!$A$4,Xero!$E:$E,Heron!$A70)+SUMIFS(Xero!$F:$F,Xero!$B:$B,Heron!S$9,Xero!$A:$A,Heron!$A$5,Xero!$E:$E,Heron!$A70)</f>
        <v/>
      </c>
      <c r="T70" s="117">
        <f>SUMIFS(Xero!$F:$F,Xero!$B:$B,Heron!T$9,Xero!$A:$A,Heron!$A$4,Xero!$E:$E,Heron!$A70)+SUMIFS(Xero!$F:$F,Xero!$B:$B,Heron!T$9,Xero!$A:$A,Heron!$A$5,Xero!$E:$E,Heron!$A70)</f>
        <v/>
      </c>
      <c r="U70" s="117">
        <f>SUMIFS(Xero!$F:$F,Xero!$B:$B,Heron!U$9,Xero!$A:$A,Heron!$A$4,Xero!$E:$E,Heron!$A70)+SUMIFS(Xero!$F:$F,Xero!$B:$B,Heron!U$9,Xero!$A:$A,Heron!$A$5,Xero!$E:$E,Heron!$A70)</f>
        <v/>
      </c>
      <c r="V70" s="117">
        <f>SUMIFS(Xero!$F:$F,Xero!$B:$B,Heron!V$9,Xero!$A:$A,Heron!$A$4,Xero!$E:$E,Heron!$A70)+SUMIFS(Xero!$F:$F,Xero!$B:$B,Heron!V$9,Xero!$A:$A,Heron!$A$5,Xero!$E:$E,Heron!$A70)</f>
        <v/>
      </c>
      <c r="W70" s="117">
        <f>SUMIFS(Xero!$F:$F,Xero!$B:$B,Heron!W$9,Xero!$A:$A,Heron!$A$4,Xero!$E:$E,Heron!$A70)+SUMIFS(Xero!$F:$F,Xero!$B:$B,Heron!W$9,Xero!$A:$A,Heron!$A$5,Xero!$E:$E,Heron!$A70)</f>
        <v/>
      </c>
      <c r="X70" s="117">
        <f>SUMIFS(Xero!$F:$F,Xero!$B:$B,Heron!X$9,Xero!$A:$A,Heron!$A$4,Xero!$E:$E,Heron!$A70)+SUMIFS(Xero!$F:$F,Xero!$B:$B,Heron!X$9,Xero!$A:$A,Heron!$A$5,Xero!$E:$E,Heron!$A70)</f>
        <v/>
      </c>
      <c r="Y70" s="117">
        <f>SUMIFS(Xero!$F:$F,Xero!$B:$B,Heron!Y$9,Xero!$A:$A,Heron!$A$4,Xero!$E:$E,Heron!$A70)+SUMIFS(Xero!$F:$F,Xero!$B:$B,Heron!Y$9,Xero!$A:$A,Heron!$A$5,Xero!$E:$E,Heron!$A70)</f>
        <v/>
      </c>
      <c r="Z70" s="117">
        <f>SUMIFS(Xero!$F:$F,Xero!$B:$B,Heron!Z$9,Xero!$A:$A,Heron!$A$4,Xero!$E:$E,Heron!$A70)+SUMIFS(Xero!$F:$F,Xero!$B:$B,Heron!Z$9,Xero!$A:$A,Heron!$A$5,Xero!$E:$E,Heron!$A70)</f>
        <v/>
      </c>
      <c r="AA70" s="117">
        <f>SUMIFS(Xero!$F:$F,Xero!$B:$B,Heron!AA$9,Xero!$A:$A,Heron!$A$4,Xero!$E:$E,Heron!$A70)+SUMIFS(Xero!$F:$F,Xero!$B:$B,Heron!AA$9,Xero!$A:$A,Heron!$A$5,Xero!$E:$E,Heron!$A70)</f>
        <v/>
      </c>
      <c r="AB70" s="117">
        <f>SUMIFS(Xero!$F:$F,Xero!$B:$B,Heron!AB$9,Xero!$A:$A,Heron!$A$4,Xero!$E:$E,Heron!$A70)+SUMIFS(Xero!$F:$F,Xero!$B:$B,Heron!AB$9,Xero!$A:$A,Heron!$A$5,Xero!$E:$E,Heron!$A70)</f>
        <v/>
      </c>
      <c r="AC70" s="117">
        <f>SUMIFS(Xero!$F:$F,Xero!$B:$B,Heron!AC$9,Xero!$A:$A,Heron!$A$4,Xero!$E:$E,Heron!$A70)+SUMIFS(Xero!$F:$F,Xero!$B:$B,Heron!AC$9,Xero!$A:$A,Heron!$A$5,Xero!$E:$E,Heron!$A70)</f>
        <v/>
      </c>
      <c r="AD70" s="117">
        <f>SUMIFS(Xero!$F:$F,Xero!$B:$B,Heron!AD$9,Xero!$A:$A,Heron!$A$4,Xero!$E:$E,Heron!$A70)+SUMIFS(Xero!$F:$F,Xero!$B:$B,Heron!AD$9,Xero!$A:$A,Heron!$A$5,Xero!$E:$E,Heron!$A70)</f>
        <v/>
      </c>
      <c r="AE70" s="117">
        <f>SUMIFS(Xero!$F:$F,Xero!$B:$B,Heron!AE$9,Xero!$A:$A,Heron!$A$4,Xero!$E:$E,Heron!$A70)+SUMIFS(Xero!$F:$F,Xero!$B:$B,Heron!AE$9,Xero!$A:$A,Heron!$A$5,Xero!$E:$E,Heron!$A70)</f>
        <v/>
      </c>
      <c r="AF70" s="117">
        <f>SUMIFS(Xero!$F:$F,Xero!$B:$B,Heron!AF$9,Xero!$A:$A,Heron!$A$4,Xero!$E:$E,Heron!$A70)+SUMIFS(Xero!$F:$F,Xero!$B:$B,Heron!AF$9,Xero!$A:$A,Heron!$A$5,Xero!$E:$E,Heron!$A70)</f>
        <v/>
      </c>
      <c r="AG70" s="117">
        <f>SUMIFS(Xero!$F:$F,Xero!$B:$B,Heron!AG$9,Xero!$A:$A,Heron!$A$4,Xero!$E:$E,Heron!$A70)+SUMIFS(Xero!$F:$F,Xero!$B:$B,Heron!AG$9,Xero!$A:$A,Heron!$A$5,Xero!$E:$E,Heron!$A70)</f>
        <v/>
      </c>
      <c r="AH70" s="117">
        <f>SUMIFS(Xero!$F:$F,Xero!$B:$B,Heron!AH$9,Xero!$A:$A,Heron!$A$4,Xero!$E:$E,Heron!$A70)+SUMIFS(Xero!$F:$F,Xero!$B:$B,Heron!AH$9,Xero!$A:$A,Heron!$A$5,Xero!$E:$E,Heron!$A70)</f>
        <v/>
      </c>
      <c r="AI70" s="117">
        <f>SUMIFS(Xero!$F:$F,Xero!$B:$B,Heron!AI$9,Xero!$A:$A,Heron!$A$4,Xero!$E:$E,Heron!$A70)+SUMIFS(Xero!$F:$F,Xero!$B:$B,Heron!AI$9,Xero!$A:$A,Heron!$A$5,Xero!$E:$E,Heron!$A70)</f>
        <v/>
      </c>
      <c r="AJ70" s="117">
        <f>SUMIFS(Xero!$F:$F,Xero!$B:$B,Heron!AJ$9,Xero!$A:$A,Heron!$A$4,Xero!$E:$E,Heron!$A70)+SUMIFS(Xero!$F:$F,Xero!$B:$B,Heron!AJ$9,Xero!$A:$A,Heron!$A$5,Xero!$E:$E,Heron!$A70)</f>
        <v/>
      </c>
      <c r="AK70" s="117">
        <f>SUMIFS(Xero!$F:$F,Xero!$B:$B,Heron!AK$9,Xero!$A:$A,Heron!$A$4,Xero!$E:$E,Heron!$A70)+SUMIFS(Xero!$F:$F,Xero!$B:$B,Heron!AK$9,Xero!$A:$A,Heron!$A$5,Xero!$E:$E,Heron!$A70)</f>
        <v/>
      </c>
      <c r="AL70" s="117">
        <f>SUMIFS(Xero!$F:$F,Xero!$B:$B,Heron!AL$9,Xero!$A:$A,Heron!$A$4,Xero!$E:$E,Heron!$A70)+SUMIFS(Xero!$F:$F,Xero!$B:$B,Heron!AL$9,Xero!$A:$A,Heron!$A$5,Xero!$E:$E,Heron!$A70)</f>
        <v/>
      </c>
      <c r="AM70" s="117">
        <f>SUMIFS(Xero!$F:$F,Xero!$B:$B,Heron!AM$9,Xero!$A:$A,Heron!$A$4,Xero!$E:$E,Heron!$A70)+SUMIFS(Xero!$F:$F,Xero!$B:$B,Heron!AM$9,Xero!$A:$A,Heron!$A$5,Xero!$E:$E,Heron!$A70)</f>
        <v/>
      </c>
      <c r="AN70" s="117">
        <f>SUMIFS(Xero!$F:$F,Xero!$B:$B,Heron!AN$9,Xero!$A:$A,Heron!$A$4,Xero!$E:$E,Heron!$A70)+SUMIFS(Xero!$F:$F,Xero!$B:$B,Heron!AN$9,Xero!$A:$A,Heron!$A$5,Xero!$E:$E,Heron!$A70)</f>
        <v/>
      </c>
      <c r="AO70" s="117">
        <f>SUMIFS(Xero!$F:$F,Xero!$B:$B,Heron!AO$9,Xero!$A:$A,Heron!$A$4,Xero!$E:$E,Heron!$A70)+SUMIFS(Xero!$F:$F,Xero!$B:$B,Heron!AO$9,Xero!$A:$A,Heron!$A$5,Xero!$E:$E,Heron!$A70)</f>
        <v/>
      </c>
      <c r="AP70" s="117">
        <f>SUMIFS(Xero!$F:$F,Xero!$B:$B,Heron!AP$9,Xero!$A:$A,Heron!$A$4,Xero!$E:$E,Heron!$A70)+SUMIFS(Xero!$F:$F,Xero!$B:$B,Heron!AP$9,Xero!$A:$A,Heron!$A$5,Xero!$E:$E,Heron!$A70)</f>
        <v/>
      </c>
      <c r="AQ70" s="117">
        <f>SUMIFS(Xero!$F:$F,Xero!$B:$B,Heron!AQ$9,Xero!$A:$A,Heron!$A$4,Xero!$E:$E,Heron!$A70)+SUMIFS(Xero!$F:$F,Xero!$B:$B,Heron!AQ$9,Xero!$A:$A,Heron!$A$5,Xero!$E:$E,Heron!$A70)</f>
        <v/>
      </c>
      <c r="AR70" s="117">
        <f>SUMIFS(Xero!$F:$F,Xero!$B:$B,Heron!AR$9,Xero!$A:$A,Heron!$A$4,Xero!$E:$E,Heron!$A70)+SUMIFS(Xero!$F:$F,Xero!$B:$B,Heron!AR$9,Xero!$A:$A,Heron!$A$5,Xero!$E:$E,Heron!$A70)</f>
        <v/>
      </c>
      <c r="AS70" s="117">
        <f>SUMIFS(Xero!$F:$F,Xero!$B:$B,Heron!AS$9,Xero!$A:$A,Heron!$A$4,Xero!$E:$E,Heron!$A70)+SUMIFS(Xero!$F:$F,Xero!$B:$B,Heron!AS$9,Xero!$A:$A,Heron!$A$5,Xero!$E:$E,Heron!$A70)</f>
        <v/>
      </c>
      <c r="AT70" s="117">
        <f>SUMIFS(Xero!$F:$F,Xero!$B:$B,Heron!AT$9,Xero!$A:$A,Heron!$A$4,Xero!$E:$E,Heron!$A70)+SUMIFS(Xero!$F:$F,Xero!$B:$B,Heron!AT$9,Xero!$A:$A,Heron!$A$5,Xero!$E:$E,Heron!$A70)</f>
        <v/>
      </c>
      <c r="AU70" s="117">
        <f>SUMIFS(Xero!$F:$F,Xero!$B:$B,Heron!AU$9,Xero!$A:$A,Heron!$A$4,Xero!$E:$E,Heron!$A70)+SUMIFS(Xero!$F:$F,Xero!$B:$B,Heron!AU$9,Xero!$A:$A,Heron!$A$5,Xero!$E:$E,Heron!$A70)</f>
        <v/>
      </c>
      <c r="AV70" s="117">
        <f>SUMIFS(Xero!$F:$F,Xero!$B:$B,Heron!AV$9,Xero!$A:$A,Heron!$A$4,Xero!$E:$E,Heron!$A70)+SUMIFS(Xero!$F:$F,Xero!$B:$B,Heron!AV$9,Xero!$A:$A,Heron!$A$5,Xero!$E:$E,Heron!$A70)</f>
        <v/>
      </c>
      <c r="AW70" s="117">
        <f>SUMIFS(Xero!$F:$F,Xero!$B:$B,Heron!AW$9,Xero!$A:$A,Heron!$A$4,Xero!$E:$E,Heron!$A70)+SUMIFS(Xero!$F:$F,Xero!$B:$B,Heron!AW$9,Xero!$A:$A,Heron!$A$5,Xero!$E:$E,Heron!$A70)</f>
        <v/>
      </c>
      <c r="AX70" s="117">
        <f>SUMIFS(Xero!$F:$F,Xero!$B:$B,Heron!AX$9,Xero!$A:$A,Heron!$A$4,Xero!$E:$E,Heron!$A70)+SUMIFS(Xero!$F:$F,Xero!$B:$B,Heron!AX$9,Xero!$A:$A,Heron!$A$5,Xero!$E:$E,Heron!$A70)</f>
        <v/>
      </c>
      <c r="AY70" s="117">
        <f>SUMIFS(Xero!$F:$F,Xero!$B:$B,Heron!AY$9,Xero!$A:$A,Heron!$A$4,Xero!$E:$E,Heron!$A70)+SUMIFS(Xero!$F:$F,Xero!$B:$B,Heron!AY$9,Xero!$A:$A,Heron!$A$5,Xero!$E:$E,Heron!$A70)</f>
        <v/>
      </c>
      <c r="AZ70" s="117">
        <f>SUMIFS(Xero!$F:$F,Xero!$B:$B,Heron!AZ$9,Xero!$A:$A,Heron!$A$4,Xero!$E:$E,Heron!$A70)+SUMIFS(Xero!$F:$F,Xero!$B:$B,Heron!AZ$9,Xero!$A:$A,Heron!$A$5,Xero!$E:$E,Heron!$A70)</f>
        <v/>
      </c>
      <c r="BA70" s="117">
        <f>SUMIFS(Xero!$F:$F,Xero!$B:$B,Heron!BA$9,Xero!$A:$A,Heron!$A$4,Xero!$E:$E,Heron!$A70)+SUMIFS(Xero!$F:$F,Xero!$B:$B,Heron!BA$9,Xero!$A:$A,Heron!$A$5,Xero!$E:$E,Heron!$A70)</f>
        <v/>
      </c>
      <c r="BB70" s="117">
        <f>SUMIFS(Xero!$F:$F,Xero!$B:$B,Heron!BB$9,Xero!$A:$A,Heron!$A$4,Xero!$E:$E,Heron!$A70)+SUMIFS(Xero!$F:$F,Xero!$B:$B,Heron!BB$9,Xero!$A:$A,Heron!$A$5,Xero!$E:$E,Heron!$A70)</f>
        <v/>
      </c>
      <c r="BC70" s="117">
        <f>SUMIFS(Xero!$F:$F,Xero!$B:$B,Heron!BC$9,Xero!$A:$A,Heron!$A$4,Xero!$E:$E,Heron!$A70)+SUMIFS(Xero!$F:$F,Xero!$B:$B,Heron!BC$9,Xero!$A:$A,Heron!$A$5,Xero!$E:$E,Heron!$A70)</f>
        <v/>
      </c>
      <c r="BD70" s="117">
        <f>SUMIFS(Xero!$F:$F,Xero!$B:$B,Heron!BD$9,Xero!$A:$A,Heron!$A$4,Xero!$E:$E,Heron!$A70)+SUMIFS(Xero!$F:$F,Xero!$B:$B,Heron!BD$9,Xero!$A:$A,Heron!$A$5,Xero!$E:$E,Heron!$A70)</f>
        <v/>
      </c>
      <c r="BE70" s="117">
        <f>SUMIFS(Xero!$F:$F,Xero!$B:$B,Heron!BE$9,Xero!$A:$A,Heron!$A$4,Xero!$E:$E,Heron!$A70)+SUMIFS(Xero!$F:$F,Xero!$B:$B,Heron!BE$9,Xero!$A:$A,Heron!$A$5,Xero!$E:$E,Heron!$A70)</f>
        <v/>
      </c>
      <c r="BF70" s="117">
        <f>SUMIFS(Xero!$F:$F,Xero!$B:$B,Heron!BF$9,Xero!$A:$A,Heron!$A$4,Xero!$E:$E,Heron!$A70)+SUMIFS(Xero!$F:$F,Xero!$B:$B,Heron!BF$9,Xero!$A:$A,Heron!$A$5,Xero!$E:$E,Heron!$A70)</f>
        <v/>
      </c>
      <c r="BG70" s="117">
        <f>SUMIFS(Xero!$F:$F,Xero!$B:$B,Heron!BG$9,Xero!$A:$A,Heron!$A$4,Xero!$E:$E,Heron!$A70)+SUMIFS(Xero!$F:$F,Xero!$B:$B,Heron!BG$9,Xero!$A:$A,Heron!$A$5,Xero!$E:$E,Heron!$A70)</f>
        <v/>
      </c>
      <c r="BH70" s="117">
        <f>SUMIFS(Xero!$F:$F,Xero!$B:$B,Heron!BH$9,Xero!$A:$A,Heron!$A$4,Xero!$E:$E,Heron!$A70)+SUMIFS(Xero!$F:$F,Xero!$B:$B,Heron!BH$9,Xero!$A:$A,Heron!$A$5,Xero!$E:$E,Heron!$A70)</f>
        <v/>
      </c>
      <c r="BI70" s="117">
        <f>SUMIFS(Xero!$F:$F,Xero!$B:$B,Heron!BI$9,Xero!$A:$A,Heron!$A$4,Xero!$E:$E,Heron!$A70)+SUMIFS(Xero!$F:$F,Xero!$B:$B,Heron!BI$9,Xero!$A:$A,Heron!$A$5,Xero!$E:$E,Heron!$A70)</f>
        <v/>
      </c>
      <c r="BJ70" s="117">
        <f>SUMIFS(Xero!$F:$F,Xero!$B:$B,Heron!BJ$9,Xero!$A:$A,Heron!$A$4,Xero!$E:$E,Heron!$A70)+SUMIFS(Xero!$F:$F,Xero!$B:$B,Heron!BJ$9,Xero!$A:$A,Heron!$A$5,Xero!$E:$E,Heron!$A70)</f>
        <v/>
      </c>
      <c r="BK70" s="117">
        <f>sum(D70:BJ70)</f>
        <v/>
      </c>
    </row>
    <row r="71">
      <c r="A71" s="116" t="inlineStr">
        <is>
          <t>Insurance</t>
        </is>
      </c>
      <c r="D71" s="117">
        <f>SUMIFS(Xero!$F:$F,Xero!$B:$B,Heron!D$9,Xero!$A:$A,Heron!$A$4,Xero!$E:$E,Heron!$A71)+SUMIFS(Xero!$F:$F,Xero!$B:$B,Heron!D$9,Xero!$A:$A,Heron!$A$5,Xero!$E:$E,Heron!$A71)</f>
        <v/>
      </c>
      <c r="E71" s="117">
        <f>SUMIFS(Xero!$F:$F,Xero!$B:$B,Heron!E$9,Xero!$A:$A,Heron!$A$4,Xero!$E:$E,Heron!$A71)+SUMIFS(Xero!$F:$F,Xero!$B:$B,Heron!E$9,Xero!$A:$A,Heron!$A$5,Xero!$E:$E,Heron!$A71)</f>
        <v/>
      </c>
      <c r="F71" s="117">
        <f>SUMIFS(Xero!$F:$F,Xero!$B:$B,Heron!F$9,Xero!$A:$A,Heron!$A$4,Xero!$E:$E,Heron!$A71)+SUMIFS(Xero!$F:$F,Xero!$B:$B,Heron!F$9,Xero!$A:$A,Heron!$A$5,Xero!$E:$E,Heron!$A71)</f>
        <v/>
      </c>
      <c r="G71" s="117">
        <f>SUMIFS(Xero!$F:$F,Xero!$B:$B,Heron!G$9,Xero!$A:$A,Heron!$A$4,Xero!$E:$E,Heron!$A71)+SUMIFS(Xero!$F:$F,Xero!$B:$B,Heron!G$9,Xero!$A:$A,Heron!$A$5,Xero!$E:$E,Heron!$A71)</f>
        <v/>
      </c>
      <c r="H71" s="117">
        <f>SUMIFS(Xero!$F:$F,Xero!$B:$B,Heron!H$9,Xero!$A:$A,Heron!$A$4,Xero!$E:$E,Heron!$A71)+SUMIFS(Xero!$F:$F,Xero!$B:$B,Heron!H$9,Xero!$A:$A,Heron!$A$5,Xero!$E:$E,Heron!$A71)</f>
        <v/>
      </c>
      <c r="I71" s="117">
        <f>SUMIFS(Xero!$F:$F,Xero!$B:$B,Heron!I$9,Xero!$A:$A,Heron!$A$4,Xero!$E:$E,Heron!$A71)+SUMIFS(Xero!$F:$F,Xero!$B:$B,Heron!I$9,Xero!$A:$A,Heron!$A$5,Xero!$E:$E,Heron!$A71)</f>
        <v/>
      </c>
      <c r="J71" s="117">
        <f>SUMIFS(Xero!$F:$F,Xero!$B:$B,Heron!J$9,Xero!$A:$A,Heron!$A$4,Xero!$E:$E,Heron!$A71)+SUMIFS(Xero!$F:$F,Xero!$B:$B,Heron!J$9,Xero!$A:$A,Heron!$A$5,Xero!$E:$E,Heron!$A71)</f>
        <v/>
      </c>
      <c r="K71" s="117">
        <f>SUMIFS(Xero!$F:$F,Xero!$B:$B,Heron!K$9,Xero!$A:$A,Heron!$A$4,Xero!$E:$E,Heron!$A71)+SUMIFS(Xero!$F:$F,Xero!$B:$B,Heron!K$9,Xero!$A:$A,Heron!$A$5,Xero!$E:$E,Heron!$A71)</f>
        <v/>
      </c>
      <c r="L71" s="117">
        <f>SUMIFS(Xero!$F:$F,Xero!$B:$B,Heron!L$9,Xero!$A:$A,Heron!$A$4,Xero!$E:$E,Heron!$A71)+SUMIFS(Xero!$F:$F,Xero!$B:$B,Heron!L$9,Xero!$A:$A,Heron!$A$5,Xero!$E:$E,Heron!$A71)</f>
        <v/>
      </c>
      <c r="M71" s="117">
        <f>SUMIFS(Xero!$F:$F,Xero!$B:$B,Heron!M$9,Xero!$A:$A,Heron!$A$4,Xero!$E:$E,Heron!$A71)+SUMIFS(Xero!$F:$F,Xero!$B:$B,Heron!M$9,Xero!$A:$A,Heron!$A$5,Xero!$E:$E,Heron!$A71)</f>
        <v/>
      </c>
      <c r="N71" s="117">
        <f>SUMIFS(Xero!$F:$F,Xero!$B:$B,Heron!N$9,Xero!$A:$A,Heron!$A$4,Xero!$E:$E,Heron!$A71)+SUMIFS(Xero!$F:$F,Xero!$B:$B,Heron!N$9,Xero!$A:$A,Heron!$A$5,Xero!$E:$E,Heron!$A71)</f>
        <v/>
      </c>
      <c r="O71" s="117">
        <f>SUMIFS(Xero!$F:$F,Xero!$B:$B,Heron!O$9,Xero!$A:$A,Heron!$A$4,Xero!$E:$E,Heron!$A71)+SUMIFS(Xero!$F:$F,Xero!$B:$B,Heron!O$9,Xero!$A:$A,Heron!$A$5,Xero!$E:$E,Heron!$A71)</f>
        <v/>
      </c>
      <c r="P71" s="117">
        <f>SUMIFS(Xero!$F:$F,Xero!$B:$B,Heron!P$9,Xero!$A:$A,Heron!$A$4,Xero!$E:$E,Heron!$A71)+SUMIFS(Xero!$F:$F,Xero!$B:$B,Heron!P$9,Xero!$A:$A,Heron!$A$5,Xero!$E:$E,Heron!$A71)</f>
        <v/>
      </c>
      <c r="Q71" s="117">
        <f>SUMIFS(Xero!$F:$F,Xero!$B:$B,Heron!Q$9,Xero!$A:$A,Heron!$A$4,Xero!$E:$E,Heron!$A71)+SUMIFS(Xero!$F:$F,Xero!$B:$B,Heron!Q$9,Xero!$A:$A,Heron!$A$5,Xero!$E:$E,Heron!$A71)</f>
        <v/>
      </c>
      <c r="R71" s="117">
        <f>SUMIFS(Xero!$F:$F,Xero!$B:$B,Heron!R$9,Xero!$A:$A,Heron!$A$4,Xero!$E:$E,Heron!$A71)+SUMIFS(Xero!$F:$F,Xero!$B:$B,Heron!R$9,Xero!$A:$A,Heron!$A$5,Xero!$E:$E,Heron!$A71)</f>
        <v/>
      </c>
      <c r="S71" s="117">
        <f>SUMIFS(Xero!$F:$F,Xero!$B:$B,Heron!S$9,Xero!$A:$A,Heron!$A$4,Xero!$E:$E,Heron!$A71)+SUMIFS(Xero!$F:$F,Xero!$B:$B,Heron!S$9,Xero!$A:$A,Heron!$A$5,Xero!$E:$E,Heron!$A71)</f>
        <v/>
      </c>
      <c r="T71" s="117">
        <f>SUMIFS(Xero!$F:$F,Xero!$B:$B,Heron!T$9,Xero!$A:$A,Heron!$A$4,Xero!$E:$E,Heron!$A71)+SUMIFS(Xero!$F:$F,Xero!$B:$B,Heron!T$9,Xero!$A:$A,Heron!$A$5,Xero!$E:$E,Heron!$A71)</f>
        <v/>
      </c>
      <c r="U71" s="117">
        <f>SUMIFS(Xero!$F:$F,Xero!$B:$B,Heron!U$9,Xero!$A:$A,Heron!$A$4,Xero!$E:$E,Heron!$A71)+SUMIFS(Xero!$F:$F,Xero!$B:$B,Heron!U$9,Xero!$A:$A,Heron!$A$5,Xero!$E:$E,Heron!$A71)</f>
        <v/>
      </c>
      <c r="V71" s="117">
        <f>SUMIFS(Xero!$F:$F,Xero!$B:$B,Heron!V$9,Xero!$A:$A,Heron!$A$4,Xero!$E:$E,Heron!$A71)+SUMIFS(Xero!$F:$F,Xero!$B:$B,Heron!V$9,Xero!$A:$A,Heron!$A$5,Xero!$E:$E,Heron!$A71)</f>
        <v/>
      </c>
      <c r="W71" s="117">
        <f>SUMIFS(Xero!$F:$F,Xero!$B:$B,Heron!W$9,Xero!$A:$A,Heron!$A$4,Xero!$E:$E,Heron!$A71)+SUMIFS(Xero!$F:$F,Xero!$B:$B,Heron!W$9,Xero!$A:$A,Heron!$A$5,Xero!$E:$E,Heron!$A71)</f>
        <v/>
      </c>
      <c r="X71" s="117">
        <f>SUMIFS(Xero!$F:$F,Xero!$B:$B,Heron!X$9,Xero!$A:$A,Heron!$A$4,Xero!$E:$E,Heron!$A71)+SUMIFS(Xero!$F:$F,Xero!$B:$B,Heron!X$9,Xero!$A:$A,Heron!$A$5,Xero!$E:$E,Heron!$A71)</f>
        <v/>
      </c>
      <c r="Y71" s="117">
        <f>SUMIFS(Xero!$F:$F,Xero!$B:$B,Heron!Y$9,Xero!$A:$A,Heron!$A$4,Xero!$E:$E,Heron!$A71)+SUMIFS(Xero!$F:$F,Xero!$B:$B,Heron!Y$9,Xero!$A:$A,Heron!$A$5,Xero!$E:$E,Heron!$A71)</f>
        <v/>
      </c>
      <c r="Z71" s="117">
        <f>SUMIFS(Xero!$F:$F,Xero!$B:$B,Heron!Z$9,Xero!$A:$A,Heron!$A$4,Xero!$E:$E,Heron!$A71)+SUMIFS(Xero!$F:$F,Xero!$B:$B,Heron!Z$9,Xero!$A:$A,Heron!$A$5,Xero!$E:$E,Heron!$A71)</f>
        <v/>
      </c>
      <c r="AA71" s="117">
        <f>SUMIFS(Xero!$F:$F,Xero!$B:$B,Heron!AA$9,Xero!$A:$A,Heron!$A$4,Xero!$E:$E,Heron!$A71)+SUMIFS(Xero!$F:$F,Xero!$B:$B,Heron!AA$9,Xero!$A:$A,Heron!$A$5,Xero!$E:$E,Heron!$A71)</f>
        <v/>
      </c>
      <c r="AB71" s="117">
        <f>SUMIFS(Xero!$F:$F,Xero!$B:$B,Heron!AB$9,Xero!$A:$A,Heron!$A$4,Xero!$E:$E,Heron!$A71)+SUMIFS(Xero!$F:$F,Xero!$B:$B,Heron!AB$9,Xero!$A:$A,Heron!$A$5,Xero!$E:$E,Heron!$A71)</f>
        <v/>
      </c>
      <c r="AC71" s="117">
        <f>SUMIFS(Xero!$F:$F,Xero!$B:$B,Heron!AC$9,Xero!$A:$A,Heron!$A$4,Xero!$E:$E,Heron!$A71)+SUMIFS(Xero!$F:$F,Xero!$B:$B,Heron!AC$9,Xero!$A:$A,Heron!$A$5,Xero!$E:$E,Heron!$A71)</f>
        <v/>
      </c>
      <c r="AD71" s="117">
        <f>SUMIFS(Xero!$F:$F,Xero!$B:$B,Heron!AD$9,Xero!$A:$A,Heron!$A$4,Xero!$E:$E,Heron!$A71)+SUMIFS(Xero!$F:$F,Xero!$B:$B,Heron!AD$9,Xero!$A:$A,Heron!$A$5,Xero!$E:$E,Heron!$A71)</f>
        <v/>
      </c>
      <c r="AE71" s="117">
        <f>SUMIFS(Xero!$F:$F,Xero!$B:$B,Heron!AE$9,Xero!$A:$A,Heron!$A$4,Xero!$E:$E,Heron!$A71)+SUMIFS(Xero!$F:$F,Xero!$B:$B,Heron!AE$9,Xero!$A:$A,Heron!$A$5,Xero!$E:$E,Heron!$A71)</f>
        <v/>
      </c>
      <c r="AF71" s="117">
        <f>SUMIFS(Xero!$F:$F,Xero!$B:$B,Heron!AF$9,Xero!$A:$A,Heron!$A$4,Xero!$E:$E,Heron!$A71)+SUMIFS(Xero!$F:$F,Xero!$B:$B,Heron!AF$9,Xero!$A:$A,Heron!$A$5,Xero!$E:$E,Heron!$A71)</f>
        <v/>
      </c>
      <c r="AG71" s="117">
        <f>SUMIFS(Xero!$F:$F,Xero!$B:$B,Heron!AG$9,Xero!$A:$A,Heron!$A$4,Xero!$E:$E,Heron!$A71)+SUMIFS(Xero!$F:$F,Xero!$B:$B,Heron!AG$9,Xero!$A:$A,Heron!$A$5,Xero!$E:$E,Heron!$A71)</f>
        <v/>
      </c>
      <c r="AH71" s="117">
        <f>SUMIFS(Xero!$F:$F,Xero!$B:$B,Heron!AH$9,Xero!$A:$A,Heron!$A$4,Xero!$E:$E,Heron!$A71)+SUMIFS(Xero!$F:$F,Xero!$B:$B,Heron!AH$9,Xero!$A:$A,Heron!$A$5,Xero!$E:$E,Heron!$A71)</f>
        <v/>
      </c>
      <c r="AI71" s="117">
        <f>SUMIFS(Xero!$F:$F,Xero!$B:$B,Heron!AI$9,Xero!$A:$A,Heron!$A$4,Xero!$E:$E,Heron!$A71)+SUMIFS(Xero!$F:$F,Xero!$B:$B,Heron!AI$9,Xero!$A:$A,Heron!$A$5,Xero!$E:$E,Heron!$A71)</f>
        <v/>
      </c>
      <c r="AJ71" s="117">
        <f>SUMIFS(Xero!$F:$F,Xero!$B:$B,Heron!AJ$9,Xero!$A:$A,Heron!$A$4,Xero!$E:$E,Heron!$A71)+SUMIFS(Xero!$F:$F,Xero!$B:$B,Heron!AJ$9,Xero!$A:$A,Heron!$A$5,Xero!$E:$E,Heron!$A71)</f>
        <v/>
      </c>
      <c r="AK71" s="117">
        <f>SUMIFS(Xero!$F:$F,Xero!$B:$B,Heron!AK$9,Xero!$A:$A,Heron!$A$4,Xero!$E:$E,Heron!$A71)+SUMIFS(Xero!$F:$F,Xero!$B:$B,Heron!AK$9,Xero!$A:$A,Heron!$A$5,Xero!$E:$E,Heron!$A71)</f>
        <v/>
      </c>
      <c r="AL71" s="117">
        <f>SUMIFS(Xero!$F:$F,Xero!$B:$B,Heron!AL$9,Xero!$A:$A,Heron!$A$4,Xero!$E:$E,Heron!$A71)+SUMIFS(Xero!$F:$F,Xero!$B:$B,Heron!AL$9,Xero!$A:$A,Heron!$A$5,Xero!$E:$E,Heron!$A71)</f>
        <v/>
      </c>
      <c r="AM71" s="117">
        <f>SUMIFS(Xero!$F:$F,Xero!$B:$B,Heron!AM$9,Xero!$A:$A,Heron!$A$4,Xero!$E:$E,Heron!$A71)+SUMIFS(Xero!$F:$F,Xero!$B:$B,Heron!AM$9,Xero!$A:$A,Heron!$A$5,Xero!$E:$E,Heron!$A71)</f>
        <v/>
      </c>
      <c r="AN71" s="117">
        <f>SUMIFS(Xero!$F:$F,Xero!$B:$B,Heron!AN$9,Xero!$A:$A,Heron!$A$4,Xero!$E:$E,Heron!$A71)+SUMIFS(Xero!$F:$F,Xero!$B:$B,Heron!AN$9,Xero!$A:$A,Heron!$A$5,Xero!$E:$E,Heron!$A71)</f>
        <v/>
      </c>
      <c r="AO71" s="117">
        <f>SUMIFS(Xero!$F:$F,Xero!$B:$B,Heron!AO$9,Xero!$A:$A,Heron!$A$4,Xero!$E:$E,Heron!$A71)+SUMIFS(Xero!$F:$F,Xero!$B:$B,Heron!AO$9,Xero!$A:$A,Heron!$A$5,Xero!$E:$E,Heron!$A71)</f>
        <v/>
      </c>
      <c r="AP71" s="117">
        <f>SUMIFS(Xero!$F:$F,Xero!$B:$B,Heron!AP$9,Xero!$A:$A,Heron!$A$4,Xero!$E:$E,Heron!$A71)+SUMIFS(Xero!$F:$F,Xero!$B:$B,Heron!AP$9,Xero!$A:$A,Heron!$A$5,Xero!$E:$E,Heron!$A71)</f>
        <v/>
      </c>
      <c r="AQ71" s="117">
        <f>SUMIFS(Xero!$F:$F,Xero!$B:$B,Heron!AQ$9,Xero!$A:$A,Heron!$A$4,Xero!$E:$E,Heron!$A71)+SUMIFS(Xero!$F:$F,Xero!$B:$B,Heron!AQ$9,Xero!$A:$A,Heron!$A$5,Xero!$E:$E,Heron!$A71)</f>
        <v/>
      </c>
      <c r="AR71" s="117">
        <f>SUMIFS(Xero!$F:$F,Xero!$B:$B,Heron!AR$9,Xero!$A:$A,Heron!$A$4,Xero!$E:$E,Heron!$A71)+SUMIFS(Xero!$F:$F,Xero!$B:$B,Heron!AR$9,Xero!$A:$A,Heron!$A$5,Xero!$E:$E,Heron!$A71)</f>
        <v/>
      </c>
      <c r="AS71" s="117">
        <f>SUMIFS(Xero!$F:$F,Xero!$B:$B,Heron!AS$9,Xero!$A:$A,Heron!$A$4,Xero!$E:$E,Heron!$A71)+SUMIFS(Xero!$F:$F,Xero!$B:$B,Heron!AS$9,Xero!$A:$A,Heron!$A$5,Xero!$E:$E,Heron!$A71)</f>
        <v/>
      </c>
      <c r="AT71" s="117">
        <f>SUMIFS(Xero!$F:$F,Xero!$B:$B,Heron!AT$9,Xero!$A:$A,Heron!$A$4,Xero!$E:$E,Heron!$A71)+SUMIFS(Xero!$F:$F,Xero!$B:$B,Heron!AT$9,Xero!$A:$A,Heron!$A$5,Xero!$E:$E,Heron!$A71)</f>
        <v/>
      </c>
      <c r="AU71" s="117">
        <f>SUMIFS(Xero!$F:$F,Xero!$B:$B,Heron!AU$9,Xero!$A:$A,Heron!$A$4,Xero!$E:$E,Heron!$A71)+SUMIFS(Xero!$F:$F,Xero!$B:$B,Heron!AU$9,Xero!$A:$A,Heron!$A$5,Xero!$E:$E,Heron!$A71)</f>
        <v/>
      </c>
      <c r="AV71" s="117">
        <f>SUMIFS(Xero!$F:$F,Xero!$B:$B,Heron!AV$9,Xero!$A:$A,Heron!$A$4,Xero!$E:$E,Heron!$A71)+SUMIFS(Xero!$F:$F,Xero!$B:$B,Heron!AV$9,Xero!$A:$A,Heron!$A$5,Xero!$E:$E,Heron!$A71)</f>
        <v/>
      </c>
      <c r="AW71" s="117">
        <f>SUMIFS(Xero!$F:$F,Xero!$B:$B,Heron!AW$9,Xero!$A:$A,Heron!$A$4,Xero!$E:$E,Heron!$A71)+SUMIFS(Xero!$F:$F,Xero!$B:$B,Heron!AW$9,Xero!$A:$A,Heron!$A$5,Xero!$E:$E,Heron!$A71)</f>
        <v/>
      </c>
      <c r="AX71" s="117">
        <f>SUMIFS(Xero!$F:$F,Xero!$B:$B,Heron!AX$9,Xero!$A:$A,Heron!$A$4,Xero!$E:$E,Heron!$A71)+SUMIFS(Xero!$F:$F,Xero!$B:$B,Heron!AX$9,Xero!$A:$A,Heron!$A$5,Xero!$E:$E,Heron!$A71)</f>
        <v/>
      </c>
      <c r="AY71" s="117">
        <f>SUMIFS(Xero!$F:$F,Xero!$B:$B,Heron!AY$9,Xero!$A:$A,Heron!$A$4,Xero!$E:$E,Heron!$A71)+SUMIFS(Xero!$F:$F,Xero!$B:$B,Heron!AY$9,Xero!$A:$A,Heron!$A$5,Xero!$E:$E,Heron!$A71)</f>
        <v/>
      </c>
      <c r="AZ71" s="117">
        <f>SUMIFS(Xero!$F:$F,Xero!$B:$B,Heron!AZ$9,Xero!$A:$A,Heron!$A$4,Xero!$E:$E,Heron!$A71)+SUMIFS(Xero!$F:$F,Xero!$B:$B,Heron!AZ$9,Xero!$A:$A,Heron!$A$5,Xero!$E:$E,Heron!$A71)</f>
        <v/>
      </c>
      <c r="BA71" s="117">
        <f>SUMIFS(Xero!$F:$F,Xero!$B:$B,Heron!BA$9,Xero!$A:$A,Heron!$A$4,Xero!$E:$E,Heron!$A71)+SUMIFS(Xero!$F:$F,Xero!$B:$B,Heron!BA$9,Xero!$A:$A,Heron!$A$5,Xero!$E:$E,Heron!$A71)</f>
        <v/>
      </c>
      <c r="BB71" s="117">
        <f>SUMIFS(Xero!$F:$F,Xero!$B:$B,Heron!BB$9,Xero!$A:$A,Heron!$A$4,Xero!$E:$E,Heron!$A71)+SUMIFS(Xero!$F:$F,Xero!$B:$B,Heron!BB$9,Xero!$A:$A,Heron!$A$5,Xero!$E:$E,Heron!$A71)</f>
        <v/>
      </c>
      <c r="BC71" s="117">
        <f>SUMIFS(Xero!$F:$F,Xero!$B:$B,Heron!BC$9,Xero!$A:$A,Heron!$A$4,Xero!$E:$E,Heron!$A71)+SUMIFS(Xero!$F:$F,Xero!$B:$B,Heron!BC$9,Xero!$A:$A,Heron!$A$5,Xero!$E:$E,Heron!$A71)</f>
        <v/>
      </c>
      <c r="BD71" s="117">
        <f>SUMIFS(Xero!$F:$F,Xero!$B:$B,Heron!BD$9,Xero!$A:$A,Heron!$A$4,Xero!$E:$E,Heron!$A71)+SUMIFS(Xero!$F:$F,Xero!$B:$B,Heron!BD$9,Xero!$A:$A,Heron!$A$5,Xero!$E:$E,Heron!$A71)</f>
        <v/>
      </c>
      <c r="BE71" s="117">
        <f>SUMIFS(Xero!$F:$F,Xero!$B:$B,Heron!BE$9,Xero!$A:$A,Heron!$A$4,Xero!$E:$E,Heron!$A71)+SUMIFS(Xero!$F:$F,Xero!$B:$B,Heron!BE$9,Xero!$A:$A,Heron!$A$5,Xero!$E:$E,Heron!$A71)</f>
        <v/>
      </c>
      <c r="BF71" s="117">
        <f>SUMIFS(Xero!$F:$F,Xero!$B:$B,Heron!BF$9,Xero!$A:$A,Heron!$A$4,Xero!$E:$E,Heron!$A71)+SUMIFS(Xero!$F:$F,Xero!$B:$B,Heron!BF$9,Xero!$A:$A,Heron!$A$5,Xero!$E:$E,Heron!$A71)</f>
        <v/>
      </c>
      <c r="BG71" s="117">
        <f>SUMIFS(Xero!$F:$F,Xero!$B:$B,Heron!BG$9,Xero!$A:$A,Heron!$A$4,Xero!$E:$E,Heron!$A71)+SUMIFS(Xero!$F:$F,Xero!$B:$B,Heron!BG$9,Xero!$A:$A,Heron!$A$5,Xero!$E:$E,Heron!$A71)</f>
        <v/>
      </c>
      <c r="BH71" s="117">
        <f>SUMIFS(Xero!$F:$F,Xero!$B:$B,Heron!BH$9,Xero!$A:$A,Heron!$A$4,Xero!$E:$E,Heron!$A71)+SUMIFS(Xero!$F:$F,Xero!$B:$B,Heron!BH$9,Xero!$A:$A,Heron!$A$5,Xero!$E:$E,Heron!$A71)</f>
        <v/>
      </c>
      <c r="BI71" s="117">
        <f>SUMIFS(Xero!$F:$F,Xero!$B:$B,Heron!BI$9,Xero!$A:$A,Heron!$A$4,Xero!$E:$E,Heron!$A71)+SUMIFS(Xero!$F:$F,Xero!$B:$B,Heron!BI$9,Xero!$A:$A,Heron!$A$5,Xero!$E:$E,Heron!$A71)</f>
        <v/>
      </c>
      <c r="BJ71" s="117">
        <f>SUMIFS(Xero!$F:$F,Xero!$B:$B,Heron!BJ$9,Xero!$A:$A,Heron!$A$4,Xero!$E:$E,Heron!$A71)+SUMIFS(Xero!$F:$F,Xero!$B:$B,Heron!BJ$9,Xero!$A:$A,Heron!$A$5,Xero!$E:$E,Heron!$A71)</f>
        <v/>
      </c>
      <c r="BK71" s="117">
        <f>sum(D71:BJ71)</f>
        <v/>
      </c>
    </row>
    <row r="72">
      <c r="A72" s="116" t="inlineStr">
        <is>
          <t>Interest Paid</t>
        </is>
      </c>
      <c r="D72" s="117">
        <f>SUMIFS(Xero!$F:$F,Xero!$B:$B,Heron!D$9,Xero!$A:$A,Heron!$A$4,Xero!$E:$E,Heron!$A72)+SUMIFS(Xero!$F:$F,Xero!$B:$B,Heron!D$9,Xero!$A:$A,Heron!$A$5,Xero!$E:$E,Heron!$A72)</f>
        <v/>
      </c>
      <c r="E72" s="117">
        <f>SUMIFS(Xero!$F:$F,Xero!$B:$B,Heron!E$9,Xero!$A:$A,Heron!$A$4,Xero!$E:$E,Heron!$A72)+SUMIFS(Xero!$F:$F,Xero!$B:$B,Heron!E$9,Xero!$A:$A,Heron!$A$5,Xero!$E:$E,Heron!$A72)</f>
        <v/>
      </c>
      <c r="F72" s="117">
        <f>SUMIFS(Xero!$F:$F,Xero!$B:$B,Heron!F$9,Xero!$A:$A,Heron!$A$4,Xero!$E:$E,Heron!$A72)+SUMIFS(Xero!$F:$F,Xero!$B:$B,Heron!F$9,Xero!$A:$A,Heron!$A$5,Xero!$E:$E,Heron!$A72)</f>
        <v/>
      </c>
      <c r="G72" s="117">
        <f>SUMIFS(Xero!$F:$F,Xero!$B:$B,Heron!G$9,Xero!$A:$A,Heron!$A$4,Xero!$E:$E,Heron!$A72)+SUMIFS(Xero!$F:$F,Xero!$B:$B,Heron!G$9,Xero!$A:$A,Heron!$A$5,Xero!$E:$E,Heron!$A72)</f>
        <v/>
      </c>
      <c r="H72" s="117">
        <f>SUMIFS(Xero!$F:$F,Xero!$B:$B,Heron!H$9,Xero!$A:$A,Heron!$A$4,Xero!$E:$E,Heron!$A72)+SUMIFS(Xero!$F:$F,Xero!$B:$B,Heron!H$9,Xero!$A:$A,Heron!$A$5,Xero!$E:$E,Heron!$A72)</f>
        <v/>
      </c>
      <c r="I72" s="117">
        <f>SUMIFS(Xero!$F:$F,Xero!$B:$B,Heron!I$9,Xero!$A:$A,Heron!$A$4,Xero!$E:$E,Heron!$A72)+SUMIFS(Xero!$F:$F,Xero!$B:$B,Heron!I$9,Xero!$A:$A,Heron!$A$5,Xero!$E:$E,Heron!$A72)</f>
        <v/>
      </c>
      <c r="J72" s="117">
        <f>SUMIFS(Xero!$F:$F,Xero!$B:$B,Heron!J$9,Xero!$A:$A,Heron!$A$4,Xero!$E:$E,Heron!$A72)+SUMIFS(Xero!$F:$F,Xero!$B:$B,Heron!J$9,Xero!$A:$A,Heron!$A$5,Xero!$E:$E,Heron!$A72)</f>
        <v/>
      </c>
      <c r="K72" s="117">
        <f>SUMIFS(Xero!$F:$F,Xero!$B:$B,Heron!K$9,Xero!$A:$A,Heron!$A$4,Xero!$E:$E,Heron!$A72)+SUMIFS(Xero!$F:$F,Xero!$B:$B,Heron!K$9,Xero!$A:$A,Heron!$A$5,Xero!$E:$E,Heron!$A72)</f>
        <v/>
      </c>
      <c r="L72" s="117">
        <f>SUMIFS(Xero!$F:$F,Xero!$B:$B,Heron!L$9,Xero!$A:$A,Heron!$A$4,Xero!$E:$E,Heron!$A72)+SUMIFS(Xero!$F:$F,Xero!$B:$B,Heron!L$9,Xero!$A:$A,Heron!$A$5,Xero!$E:$E,Heron!$A72)</f>
        <v/>
      </c>
      <c r="M72" s="117">
        <f>SUMIFS(Xero!$F:$F,Xero!$B:$B,Heron!M$9,Xero!$A:$A,Heron!$A$4,Xero!$E:$E,Heron!$A72)+SUMIFS(Xero!$F:$F,Xero!$B:$B,Heron!M$9,Xero!$A:$A,Heron!$A$5,Xero!$E:$E,Heron!$A72)</f>
        <v/>
      </c>
      <c r="N72" s="117">
        <f>SUMIFS(Xero!$F:$F,Xero!$B:$B,Heron!N$9,Xero!$A:$A,Heron!$A$4,Xero!$E:$E,Heron!$A72)+SUMIFS(Xero!$F:$F,Xero!$B:$B,Heron!N$9,Xero!$A:$A,Heron!$A$5,Xero!$E:$E,Heron!$A72)</f>
        <v/>
      </c>
      <c r="O72" s="117">
        <f>SUMIFS(Xero!$F:$F,Xero!$B:$B,Heron!O$9,Xero!$A:$A,Heron!$A$4,Xero!$E:$E,Heron!$A72)+SUMIFS(Xero!$F:$F,Xero!$B:$B,Heron!O$9,Xero!$A:$A,Heron!$A$5,Xero!$E:$E,Heron!$A72)</f>
        <v/>
      </c>
      <c r="P72" s="117">
        <f>SUMIFS(Xero!$F:$F,Xero!$B:$B,Heron!P$9,Xero!$A:$A,Heron!$A$4,Xero!$E:$E,Heron!$A72)+SUMIFS(Xero!$F:$F,Xero!$B:$B,Heron!P$9,Xero!$A:$A,Heron!$A$5,Xero!$E:$E,Heron!$A72)</f>
        <v/>
      </c>
      <c r="Q72" s="117">
        <f>SUMIFS(Xero!$F:$F,Xero!$B:$B,Heron!Q$9,Xero!$A:$A,Heron!$A$4,Xero!$E:$E,Heron!$A72)+SUMIFS(Xero!$F:$F,Xero!$B:$B,Heron!Q$9,Xero!$A:$A,Heron!$A$5,Xero!$E:$E,Heron!$A72)</f>
        <v/>
      </c>
      <c r="R72" s="117">
        <f>SUMIFS(Xero!$F:$F,Xero!$B:$B,Heron!R$9,Xero!$A:$A,Heron!$A$4,Xero!$E:$E,Heron!$A72)+SUMIFS(Xero!$F:$F,Xero!$B:$B,Heron!R$9,Xero!$A:$A,Heron!$A$5,Xero!$E:$E,Heron!$A72)</f>
        <v/>
      </c>
      <c r="S72" s="117">
        <f>SUMIFS(Xero!$F:$F,Xero!$B:$B,Heron!S$9,Xero!$A:$A,Heron!$A$4,Xero!$E:$E,Heron!$A72)+SUMIFS(Xero!$F:$F,Xero!$B:$B,Heron!S$9,Xero!$A:$A,Heron!$A$5,Xero!$E:$E,Heron!$A72)</f>
        <v/>
      </c>
      <c r="T72" s="117">
        <f>SUMIFS(Xero!$F:$F,Xero!$B:$B,Heron!T$9,Xero!$A:$A,Heron!$A$4,Xero!$E:$E,Heron!$A72)+SUMIFS(Xero!$F:$F,Xero!$B:$B,Heron!T$9,Xero!$A:$A,Heron!$A$5,Xero!$E:$E,Heron!$A72)</f>
        <v/>
      </c>
      <c r="U72" s="117">
        <f>SUMIFS(Xero!$F:$F,Xero!$B:$B,Heron!U$9,Xero!$A:$A,Heron!$A$4,Xero!$E:$E,Heron!$A72)+SUMIFS(Xero!$F:$F,Xero!$B:$B,Heron!U$9,Xero!$A:$A,Heron!$A$5,Xero!$E:$E,Heron!$A72)</f>
        <v/>
      </c>
      <c r="V72" s="117">
        <f>SUMIFS(Xero!$F:$F,Xero!$B:$B,Heron!V$9,Xero!$A:$A,Heron!$A$4,Xero!$E:$E,Heron!$A72)+SUMIFS(Xero!$F:$F,Xero!$B:$B,Heron!V$9,Xero!$A:$A,Heron!$A$5,Xero!$E:$E,Heron!$A72)</f>
        <v/>
      </c>
      <c r="W72" s="117">
        <f>SUMIFS(Xero!$F:$F,Xero!$B:$B,Heron!W$9,Xero!$A:$A,Heron!$A$4,Xero!$E:$E,Heron!$A72)+SUMIFS(Xero!$F:$F,Xero!$B:$B,Heron!W$9,Xero!$A:$A,Heron!$A$5,Xero!$E:$E,Heron!$A72)</f>
        <v/>
      </c>
      <c r="X72" s="117">
        <f>SUMIFS(Xero!$F:$F,Xero!$B:$B,Heron!X$9,Xero!$A:$A,Heron!$A$4,Xero!$E:$E,Heron!$A72)+SUMIFS(Xero!$F:$F,Xero!$B:$B,Heron!X$9,Xero!$A:$A,Heron!$A$5,Xero!$E:$E,Heron!$A72)</f>
        <v/>
      </c>
      <c r="Y72" s="117">
        <f>SUMIFS(Xero!$F:$F,Xero!$B:$B,Heron!Y$9,Xero!$A:$A,Heron!$A$4,Xero!$E:$E,Heron!$A72)+SUMIFS(Xero!$F:$F,Xero!$B:$B,Heron!Y$9,Xero!$A:$A,Heron!$A$5,Xero!$E:$E,Heron!$A72)</f>
        <v/>
      </c>
      <c r="Z72" s="117">
        <f>SUMIFS(Xero!$F:$F,Xero!$B:$B,Heron!Z$9,Xero!$A:$A,Heron!$A$4,Xero!$E:$E,Heron!$A72)+SUMIFS(Xero!$F:$F,Xero!$B:$B,Heron!Z$9,Xero!$A:$A,Heron!$A$5,Xero!$E:$E,Heron!$A72)</f>
        <v/>
      </c>
      <c r="AA72" s="117">
        <f>SUMIFS(Xero!$F:$F,Xero!$B:$B,Heron!AA$9,Xero!$A:$A,Heron!$A$4,Xero!$E:$E,Heron!$A72)+SUMIFS(Xero!$F:$F,Xero!$B:$B,Heron!AA$9,Xero!$A:$A,Heron!$A$5,Xero!$E:$E,Heron!$A72)</f>
        <v/>
      </c>
      <c r="AB72" s="117">
        <f>SUMIFS(Xero!$F:$F,Xero!$B:$B,Heron!AB$9,Xero!$A:$A,Heron!$A$4,Xero!$E:$E,Heron!$A72)+SUMIFS(Xero!$F:$F,Xero!$B:$B,Heron!AB$9,Xero!$A:$A,Heron!$A$5,Xero!$E:$E,Heron!$A72)</f>
        <v/>
      </c>
      <c r="AC72" s="117">
        <f>SUMIFS(Xero!$F:$F,Xero!$B:$B,Heron!AC$9,Xero!$A:$A,Heron!$A$4,Xero!$E:$E,Heron!$A72)+SUMIFS(Xero!$F:$F,Xero!$B:$B,Heron!AC$9,Xero!$A:$A,Heron!$A$5,Xero!$E:$E,Heron!$A72)</f>
        <v/>
      </c>
      <c r="AD72" s="117">
        <f>SUMIFS(Xero!$F:$F,Xero!$B:$B,Heron!AD$9,Xero!$A:$A,Heron!$A$4,Xero!$E:$E,Heron!$A72)+SUMIFS(Xero!$F:$F,Xero!$B:$B,Heron!AD$9,Xero!$A:$A,Heron!$A$5,Xero!$E:$E,Heron!$A72)</f>
        <v/>
      </c>
      <c r="AE72" s="117">
        <f>SUMIFS(Xero!$F:$F,Xero!$B:$B,Heron!AE$9,Xero!$A:$A,Heron!$A$4,Xero!$E:$E,Heron!$A72)+SUMIFS(Xero!$F:$F,Xero!$B:$B,Heron!AE$9,Xero!$A:$A,Heron!$A$5,Xero!$E:$E,Heron!$A72)</f>
        <v/>
      </c>
      <c r="AF72" s="117">
        <f>SUMIFS(Xero!$F:$F,Xero!$B:$B,Heron!AF$9,Xero!$A:$A,Heron!$A$4,Xero!$E:$E,Heron!$A72)+SUMIFS(Xero!$F:$F,Xero!$B:$B,Heron!AF$9,Xero!$A:$A,Heron!$A$5,Xero!$E:$E,Heron!$A72)</f>
        <v/>
      </c>
      <c r="AG72" s="117">
        <f>SUMIFS(Xero!$F:$F,Xero!$B:$B,Heron!AG$9,Xero!$A:$A,Heron!$A$4,Xero!$E:$E,Heron!$A72)+SUMIFS(Xero!$F:$F,Xero!$B:$B,Heron!AG$9,Xero!$A:$A,Heron!$A$5,Xero!$E:$E,Heron!$A72)</f>
        <v/>
      </c>
      <c r="AH72" s="117">
        <f>SUMIFS(Xero!$F:$F,Xero!$B:$B,Heron!AH$9,Xero!$A:$A,Heron!$A$4,Xero!$E:$E,Heron!$A72)+SUMIFS(Xero!$F:$F,Xero!$B:$B,Heron!AH$9,Xero!$A:$A,Heron!$A$5,Xero!$E:$E,Heron!$A72)</f>
        <v/>
      </c>
      <c r="AI72" s="117">
        <f>SUMIFS(Xero!$F:$F,Xero!$B:$B,Heron!AI$9,Xero!$A:$A,Heron!$A$4,Xero!$E:$E,Heron!$A72)+SUMIFS(Xero!$F:$F,Xero!$B:$B,Heron!AI$9,Xero!$A:$A,Heron!$A$5,Xero!$E:$E,Heron!$A72)</f>
        <v/>
      </c>
      <c r="AJ72" s="117">
        <f>SUMIFS(Xero!$F:$F,Xero!$B:$B,Heron!AJ$9,Xero!$A:$A,Heron!$A$4,Xero!$E:$E,Heron!$A72)+SUMIFS(Xero!$F:$F,Xero!$B:$B,Heron!AJ$9,Xero!$A:$A,Heron!$A$5,Xero!$E:$E,Heron!$A72)</f>
        <v/>
      </c>
      <c r="AK72" s="117">
        <f>SUMIFS(Xero!$F:$F,Xero!$B:$B,Heron!AK$9,Xero!$A:$A,Heron!$A$4,Xero!$E:$E,Heron!$A72)+SUMIFS(Xero!$F:$F,Xero!$B:$B,Heron!AK$9,Xero!$A:$A,Heron!$A$5,Xero!$E:$E,Heron!$A72)</f>
        <v/>
      </c>
      <c r="AL72" s="117">
        <f>SUMIFS(Xero!$F:$F,Xero!$B:$B,Heron!AL$9,Xero!$A:$A,Heron!$A$4,Xero!$E:$E,Heron!$A72)+SUMIFS(Xero!$F:$F,Xero!$B:$B,Heron!AL$9,Xero!$A:$A,Heron!$A$5,Xero!$E:$E,Heron!$A72)</f>
        <v/>
      </c>
      <c r="AM72" s="117">
        <f>SUMIFS(Xero!$F:$F,Xero!$B:$B,Heron!AM$9,Xero!$A:$A,Heron!$A$4,Xero!$E:$E,Heron!$A72)+SUMIFS(Xero!$F:$F,Xero!$B:$B,Heron!AM$9,Xero!$A:$A,Heron!$A$5,Xero!$E:$E,Heron!$A72)</f>
        <v/>
      </c>
      <c r="AN72" s="117">
        <f>SUMIFS(Xero!$F:$F,Xero!$B:$B,Heron!AN$9,Xero!$A:$A,Heron!$A$4,Xero!$E:$E,Heron!$A72)+SUMIFS(Xero!$F:$F,Xero!$B:$B,Heron!AN$9,Xero!$A:$A,Heron!$A$5,Xero!$E:$E,Heron!$A72)</f>
        <v/>
      </c>
      <c r="AO72" s="117">
        <f>SUMIFS(Xero!$F:$F,Xero!$B:$B,Heron!AO$9,Xero!$A:$A,Heron!$A$4,Xero!$E:$E,Heron!$A72)+SUMIFS(Xero!$F:$F,Xero!$B:$B,Heron!AO$9,Xero!$A:$A,Heron!$A$5,Xero!$E:$E,Heron!$A72)</f>
        <v/>
      </c>
      <c r="AP72" s="117">
        <f>SUMIFS(Xero!$F:$F,Xero!$B:$B,Heron!AP$9,Xero!$A:$A,Heron!$A$4,Xero!$E:$E,Heron!$A72)+SUMIFS(Xero!$F:$F,Xero!$B:$B,Heron!AP$9,Xero!$A:$A,Heron!$A$5,Xero!$E:$E,Heron!$A72)</f>
        <v/>
      </c>
      <c r="AQ72" s="117">
        <f>SUMIFS(Xero!$F:$F,Xero!$B:$B,Heron!AQ$9,Xero!$A:$A,Heron!$A$4,Xero!$E:$E,Heron!$A72)+SUMIFS(Xero!$F:$F,Xero!$B:$B,Heron!AQ$9,Xero!$A:$A,Heron!$A$5,Xero!$E:$E,Heron!$A72)</f>
        <v/>
      </c>
      <c r="AR72" s="117">
        <f>SUMIFS(Xero!$F:$F,Xero!$B:$B,Heron!AR$9,Xero!$A:$A,Heron!$A$4,Xero!$E:$E,Heron!$A72)+SUMIFS(Xero!$F:$F,Xero!$B:$B,Heron!AR$9,Xero!$A:$A,Heron!$A$5,Xero!$E:$E,Heron!$A72)</f>
        <v/>
      </c>
      <c r="AS72" s="117">
        <f>SUMIFS(Xero!$F:$F,Xero!$B:$B,Heron!AS$9,Xero!$A:$A,Heron!$A$4,Xero!$E:$E,Heron!$A72)+SUMIFS(Xero!$F:$F,Xero!$B:$B,Heron!AS$9,Xero!$A:$A,Heron!$A$5,Xero!$E:$E,Heron!$A72)</f>
        <v/>
      </c>
      <c r="AT72" s="117">
        <f>SUMIFS(Xero!$F:$F,Xero!$B:$B,Heron!AT$9,Xero!$A:$A,Heron!$A$4,Xero!$E:$E,Heron!$A72)+SUMIFS(Xero!$F:$F,Xero!$B:$B,Heron!AT$9,Xero!$A:$A,Heron!$A$5,Xero!$E:$E,Heron!$A72)</f>
        <v/>
      </c>
      <c r="AU72" s="117">
        <f>SUMIFS(Xero!$F:$F,Xero!$B:$B,Heron!AU$9,Xero!$A:$A,Heron!$A$4,Xero!$E:$E,Heron!$A72)+SUMIFS(Xero!$F:$F,Xero!$B:$B,Heron!AU$9,Xero!$A:$A,Heron!$A$5,Xero!$E:$E,Heron!$A72)</f>
        <v/>
      </c>
      <c r="AV72" s="117">
        <f>SUMIFS(Xero!$F:$F,Xero!$B:$B,Heron!AV$9,Xero!$A:$A,Heron!$A$4,Xero!$E:$E,Heron!$A72)+SUMIFS(Xero!$F:$F,Xero!$B:$B,Heron!AV$9,Xero!$A:$A,Heron!$A$5,Xero!$E:$E,Heron!$A72)</f>
        <v/>
      </c>
      <c r="AW72" s="117">
        <f>SUMIFS(Xero!$F:$F,Xero!$B:$B,Heron!AW$9,Xero!$A:$A,Heron!$A$4,Xero!$E:$E,Heron!$A72)+SUMIFS(Xero!$F:$F,Xero!$B:$B,Heron!AW$9,Xero!$A:$A,Heron!$A$5,Xero!$E:$E,Heron!$A72)</f>
        <v/>
      </c>
      <c r="AX72" s="117">
        <f>SUMIFS(Xero!$F:$F,Xero!$B:$B,Heron!AX$9,Xero!$A:$A,Heron!$A$4,Xero!$E:$E,Heron!$A72)+SUMIFS(Xero!$F:$F,Xero!$B:$B,Heron!AX$9,Xero!$A:$A,Heron!$A$5,Xero!$E:$E,Heron!$A72)</f>
        <v/>
      </c>
      <c r="AY72" s="117">
        <f>SUMIFS(Xero!$F:$F,Xero!$B:$B,Heron!AY$9,Xero!$A:$A,Heron!$A$4,Xero!$E:$E,Heron!$A72)+SUMIFS(Xero!$F:$F,Xero!$B:$B,Heron!AY$9,Xero!$A:$A,Heron!$A$5,Xero!$E:$E,Heron!$A72)</f>
        <v/>
      </c>
      <c r="AZ72" s="117">
        <f>SUMIFS(Xero!$F:$F,Xero!$B:$B,Heron!AZ$9,Xero!$A:$A,Heron!$A$4,Xero!$E:$E,Heron!$A72)+SUMIFS(Xero!$F:$F,Xero!$B:$B,Heron!AZ$9,Xero!$A:$A,Heron!$A$5,Xero!$E:$E,Heron!$A72)</f>
        <v/>
      </c>
      <c r="BA72" s="117">
        <f>SUMIFS(Xero!$F:$F,Xero!$B:$B,Heron!BA$9,Xero!$A:$A,Heron!$A$4,Xero!$E:$E,Heron!$A72)+SUMIFS(Xero!$F:$F,Xero!$B:$B,Heron!BA$9,Xero!$A:$A,Heron!$A$5,Xero!$E:$E,Heron!$A72)</f>
        <v/>
      </c>
      <c r="BB72" s="117">
        <f>SUMIFS(Xero!$F:$F,Xero!$B:$B,Heron!BB$9,Xero!$A:$A,Heron!$A$4,Xero!$E:$E,Heron!$A72)+SUMIFS(Xero!$F:$F,Xero!$B:$B,Heron!BB$9,Xero!$A:$A,Heron!$A$5,Xero!$E:$E,Heron!$A72)</f>
        <v/>
      </c>
      <c r="BC72" s="117">
        <f>SUMIFS(Xero!$F:$F,Xero!$B:$B,Heron!BC$9,Xero!$A:$A,Heron!$A$4,Xero!$E:$E,Heron!$A72)+SUMIFS(Xero!$F:$F,Xero!$B:$B,Heron!BC$9,Xero!$A:$A,Heron!$A$5,Xero!$E:$E,Heron!$A72)</f>
        <v/>
      </c>
      <c r="BD72" s="117">
        <f>SUMIFS(Xero!$F:$F,Xero!$B:$B,Heron!BD$9,Xero!$A:$A,Heron!$A$4,Xero!$E:$E,Heron!$A72)+SUMIFS(Xero!$F:$F,Xero!$B:$B,Heron!BD$9,Xero!$A:$A,Heron!$A$5,Xero!$E:$E,Heron!$A72)</f>
        <v/>
      </c>
      <c r="BE72" s="117">
        <f>SUMIFS(Xero!$F:$F,Xero!$B:$B,Heron!BE$9,Xero!$A:$A,Heron!$A$4,Xero!$E:$E,Heron!$A72)+SUMIFS(Xero!$F:$F,Xero!$B:$B,Heron!BE$9,Xero!$A:$A,Heron!$A$5,Xero!$E:$E,Heron!$A72)</f>
        <v/>
      </c>
      <c r="BF72" s="117">
        <f>SUMIFS(Xero!$F:$F,Xero!$B:$B,Heron!BF$9,Xero!$A:$A,Heron!$A$4,Xero!$E:$E,Heron!$A72)+SUMIFS(Xero!$F:$F,Xero!$B:$B,Heron!BF$9,Xero!$A:$A,Heron!$A$5,Xero!$E:$E,Heron!$A72)</f>
        <v/>
      </c>
      <c r="BG72" s="117">
        <f>SUMIFS(Xero!$F:$F,Xero!$B:$B,Heron!BG$9,Xero!$A:$A,Heron!$A$4,Xero!$E:$E,Heron!$A72)+SUMIFS(Xero!$F:$F,Xero!$B:$B,Heron!BG$9,Xero!$A:$A,Heron!$A$5,Xero!$E:$E,Heron!$A72)</f>
        <v/>
      </c>
      <c r="BH72" s="117">
        <f>SUMIFS(Xero!$F:$F,Xero!$B:$B,Heron!BH$9,Xero!$A:$A,Heron!$A$4,Xero!$E:$E,Heron!$A72)+SUMIFS(Xero!$F:$F,Xero!$B:$B,Heron!BH$9,Xero!$A:$A,Heron!$A$5,Xero!$E:$E,Heron!$A72)</f>
        <v/>
      </c>
      <c r="BI72" s="117">
        <f>SUMIFS(Xero!$F:$F,Xero!$B:$B,Heron!BI$9,Xero!$A:$A,Heron!$A$4,Xero!$E:$E,Heron!$A72)+SUMIFS(Xero!$F:$F,Xero!$B:$B,Heron!BI$9,Xero!$A:$A,Heron!$A$5,Xero!$E:$E,Heron!$A72)</f>
        <v/>
      </c>
      <c r="BJ72" s="117">
        <f>SUMIFS(Xero!$F:$F,Xero!$B:$B,Heron!BJ$9,Xero!$A:$A,Heron!$A$4,Xero!$E:$E,Heron!$A72)+SUMIFS(Xero!$F:$F,Xero!$B:$B,Heron!BJ$9,Xero!$A:$A,Heron!$A$5,Xero!$E:$E,Heron!$A72)</f>
        <v/>
      </c>
      <c r="BK72" s="117">
        <f>sum(D72:BJ72)</f>
        <v/>
      </c>
    </row>
    <row r="73">
      <c r="A73" s="116" t="inlineStr">
        <is>
          <t>Interest Paid - Investors @ 10%</t>
        </is>
      </c>
      <c r="D73" s="117">
        <f>SUMIFS(Xero!$F:$F,Xero!$B:$B,Heron!D$9,Xero!$A:$A,Heron!$A$4,Xero!$E:$E,Heron!$A73)+SUMIFS(Xero!$F:$F,Xero!$B:$B,Heron!D$9,Xero!$A:$A,Heron!$A$5,Xero!$E:$E,Heron!$A73)</f>
        <v/>
      </c>
      <c r="E73" s="117">
        <f>SUMIFS(Xero!$F:$F,Xero!$B:$B,Heron!E$9,Xero!$A:$A,Heron!$A$4,Xero!$E:$E,Heron!$A73)+SUMIFS(Xero!$F:$F,Xero!$B:$B,Heron!E$9,Xero!$A:$A,Heron!$A$5,Xero!$E:$E,Heron!$A73)</f>
        <v/>
      </c>
      <c r="F73" s="117">
        <f>SUMIFS(Xero!$F:$F,Xero!$B:$B,Heron!F$9,Xero!$A:$A,Heron!$A$4,Xero!$E:$E,Heron!$A73)+SUMIFS(Xero!$F:$F,Xero!$B:$B,Heron!F$9,Xero!$A:$A,Heron!$A$5,Xero!$E:$E,Heron!$A73)</f>
        <v/>
      </c>
      <c r="G73" s="117">
        <f>SUMIFS(Xero!$F:$F,Xero!$B:$B,Heron!G$9,Xero!$A:$A,Heron!$A$4,Xero!$E:$E,Heron!$A73)+SUMIFS(Xero!$F:$F,Xero!$B:$B,Heron!G$9,Xero!$A:$A,Heron!$A$5,Xero!$E:$E,Heron!$A73)</f>
        <v/>
      </c>
      <c r="H73" s="117">
        <f>SUMIFS(Xero!$F:$F,Xero!$B:$B,Heron!H$9,Xero!$A:$A,Heron!$A$4,Xero!$E:$E,Heron!$A73)+SUMIFS(Xero!$F:$F,Xero!$B:$B,Heron!H$9,Xero!$A:$A,Heron!$A$5,Xero!$E:$E,Heron!$A73)</f>
        <v/>
      </c>
      <c r="I73" s="117">
        <f>SUMIFS(Xero!$F:$F,Xero!$B:$B,Heron!I$9,Xero!$A:$A,Heron!$A$4,Xero!$E:$E,Heron!$A73)+SUMIFS(Xero!$F:$F,Xero!$B:$B,Heron!I$9,Xero!$A:$A,Heron!$A$5,Xero!$E:$E,Heron!$A73)</f>
        <v/>
      </c>
      <c r="J73" s="117">
        <f>SUMIFS(Xero!$F:$F,Xero!$B:$B,Heron!J$9,Xero!$A:$A,Heron!$A$4,Xero!$E:$E,Heron!$A73)+SUMIFS(Xero!$F:$F,Xero!$B:$B,Heron!J$9,Xero!$A:$A,Heron!$A$5,Xero!$E:$E,Heron!$A73)</f>
        <v/>
      </c>
      <c r="K73" s="117">
        <f>SUMIFS(Xero!$F:$F,Xero!$B:$B,Heron!K$9,Xero!$A:$A,Heron!$A$4,Xero!$E:$E,Heron!$A73)+SUMIFS(Xero!$F:$F,Xero!$B:$B,Heron!K$9,Xero!$A:$A,Heron!$A$5,Xero!$E:$E,Heron!$A73)</f>
        <v/>
      </c>
      <c r="L73" s="117">
        <f>SUMIFS(Xero!$F:$F,Xero!$B:$B,Heron!L$9,Xero!$A:$A,Heron!$A$4,Xero!$E:$E,Heron!$A73)+SUMIFS(Xero!$F:$F,Xero!$B:$B,Heron!L$9,Xero!$A:$A,Heron!$A$5,Xero!$E:$E,Heron!$A73)</f>
        <v/>
      </c>
      <c r="M73" s="117">
        <f>SUMIFS(Xero!$F:$F,Xero!$B:$B,Heron!M$9,Xero!$A:$A,Heron!$A$4,Xero!$E:$E,Heron!$A73)+SUMIFS(Xero!$F:$F,Xero!$B:$B,Heron!M$9,Xero!$A:$A,Heron!$A$5,Xero!$E:$E,Heron!$A73)</f>
        <v/>
      </c>
      <c r="N73" s="117">
        <f>SUMIFS(Xero!$F:$F,Xero!$B:$B,Heron!N$9,Xero!$A:$A,Heron!$A$4,Xero!$E:$E,Heron!$A73)+SUMIFS(Xero!$F:$F,Xero!$B:$B,Heron!N$9,Xero!$A:$A,Heron!$A$5,Xero!$E:$E,Heron!$A73)</f>
        <v/>
      </c>
      <c r="O73" s="117">
        <f>SUMIFS(Xero!$F:$F,Xero!$B:$B,Heron!O$9,Xero!$A:$A,Heron!$A$4,Xero!$E:$E,Heron!$A73)+SUMIFS(Xero!$F:$F,Xero!$B:$B,Heron!O$9,Xero!$A:$A,Heron!$A$5,Xero!$E:$E,Heron!$A73)</f>
        <v/>
      </c>
      <c r="P73" s="117">
        <f>SUMIFS(Xero!$F:$F,Xero!$B:$B,Heron!P$9,Xero!$A:$A,Heron!$A$4,Xero!$E:$E,Heron!$A73)+SUMIFS(Xero!$F:$F,Xero!$B:$B,Heron!P$9,Xero!$A:$A,Heron!$A$5,Xero!$E:$E,Heron!$A73)</f>
        <v/>
      </c>
      <c r="Q73" s="117">
        <f>SUMIFS(Xero!$F:$F,Xero!$B:$B,Heron!Q$9,Xero!$A:$A,Heron!$A$4,Xero!$E:$E,Heron!$A73)+SUMIFS(Xero!$F:$F,Xero!$B:$B,Heron!Q$9,Xero!$A:$A,Heron!$A$5,Xero!$E:$E,Heron!$A73)</f>
        <v/>
      </c>
      <c r="R73" s="117">
        <f>SUMIFS(Xero!$F:$F,Xero!$B:$B,Heron!R$9,Xero!$A:$A,Heron!$A$4,Xero!$E:$E,Heron!$A73)+SUMIFS(Xero!$F:$F,Xero!$B:$B,Heron!R$9,Xero!$A:$A,Heron!$A$5,Xero!$E:$E,Heron!$A73)</f>
        <v/>
      </c>
      <c r="S73" s="117">
        <f>SUMIFS(Xero!$F:$F,Xero!$B:$B,Heron!S$9,Xero!$A:$A,Heron!$A$4,Xero!$E:$E,Heron!$A73)+SUMIFS(Xero!$F:$F,Xero!$B:$B,Heron!S$9,Xero!$A:$A,Heron!$A$5,Xero!$E:$E,Heron!$A73)</f>
        <v/>
      </c>
      <c r="T73" s="117">
        <f>SUMIFS(Xero!$F:$F,Xero!$B:$B,Heron!T$9,Xero!$A:$A,Heron!$A$4,Xero!$E:$E,Heron!$A73)+SUMIFS(Xero!$F:$F,Xero!$B:$B,Heron!T$9,Xero!$A:$A,Heron!$A$5,Xero!$E:$E,Heron!$A73)</f>
        <v/>
      </c>
      <c r="U73" s="117">
        <f>SUMIFS(Xero!$F:$F,Xero!$B:$B,Heron!U$9,Xero!$A:$A,Heron!$A$4,Xero!$E:$E,Heron!$A73)+SUMIFS(Xero!$F:$F,Xero!$B:$B,Heron!U$9,Xero!$A:$A,Heron!$A$5,Xero!$E:$E,Heron!$A73)</f>
        <v/>
      </c>
      <c r="V73" s="117">
        <f>SUMIFS(Xero!$F:$F,Xero!$B:$B,Heron!V$9,Xero!$A:$A,Heron!$A$4,Xero!$E:$E,Heron!$A73)+SUMIFS(Xero!$F:$F,Xero!$B:$B,Heron!V$9,Xero!$A:$A,Heron!$A$5,Xero!$E:$E,Heron!$A73)</f>
        <v/>
      </c>
      <c r="W73" s="117">
        <f>SUMIFS(Xero!$F:$F,Xero!$B:$B,Heron!W$9,Xero!$A:$A,Heron!$A$4,Xero!$E:$E,Heron!$A73)+SUMIFS(Xero!$F:$F,Xero!$B:$B,Heron!W$9,Xero!$A:$A,Heron!$A$5,Xero!$E:$E,Heron!$A73)</f>
        <v/>
      </c>
      <c r="X73" s="117">
        <f>SUMIFS(Xero!$F:$F,Xero!$B:$B,Heron!X$9,Xero!$A:$A,Heron!$A$4,Xero!$E:$E,Heron!$A73)+SUMIFS(Xero!$F:$F,Xero!$B:$B,Heron!X$9,Xero!$A:$A,Heron!$A$5,Xero!$E:$E,Heron!$A73)</f>
        <v/>
      </c>
      <c r="Y73" s="117">
        <f>SUMIFS(Xero!$F:$F,Xero!$B:$B,Heron!Y$9,Xero!$A:$A,Heron!$A$4,Xero!$E:$E,Heron!$A73)+SUMIFS(Xero!$F:$F,Xero!$B:$B,Heron!Y$9,Xero!$A:$A,Heron!$A$5,Xero!$E:$E,Heron!$A73)</f>
        <v/>
      </c>
      <c r="Z73" s="117">
        <f>SUMIFS(Xero!$F:$F,Xero!$B:$B,Heron!Z$9,Xero!$A:$A,Heron!$A$4,Xero!$E:$E,Heron!$A73)+SUMIFS(Xero!$F:$F,Xero!$B:$B,Heron!Z$9,Xero!$A:$A,Heron!$A$5,Xero!$E:$E,Heron!$A73)</f>
        <v/>
      </c>
      <c r="AA73" s="117">
        <f>SUMIFS(Xero!$F:$F,Xero!$B:$B,Heron!AA$9,Xero!$A:$A,Heron!$A$4,Xero!$E:$E,Heron!$A73)+SUMIFS(Xero!$F:$F,Xero!$B:$B,Heron!AA$9,Xero!$A:$A,Heron!$A$5,Xero!$E:$E,Heron!$A73)</f>
        <v/>
      </c>
      <c r="AB73" s="117">
        <f>SUMIFS(Xero!$F:$F,Xero!$B:$B,Heron!AB$9,Xero!$A:$A,Heron!$A$4,Xero!$E:$E,Heron!$A73)+SUMIFS(Xero!$F:$F,Xero!$B:$B,Heron!AB$9,Xero!$A:$A,Heron!$A$5,Xero!$E:$E,Heron!$A73)</f>
        <v/>
      </c>
      <c r="AC73" s="117">
        <f>SUMIFS(Xero!$F:$F,Xero!$B:$B,Heron!AC$9,Xero!$A:$A,Heron!$A$4,Xero!$E:$E,Heron!$A73)+SUMIFS(Xero!$F:$F,Xero!$B:$B,Heron!AC$9,Xero!$A:$A,Heron!$A$5,Xero!$E:$E,Heron!$A73)</f>
        <v/>
      </c>
      <c r="AD73" s="117">
        <f>SUMIFS(Xero!$F:$F,Xero!$B:$B,Heron!AD$9,Xero!$A:$A,Heron!$A$4,Xero!$E:$E,Heron!$A73)+SUMIFS(Xero!$F:$F,Xero!$B:$B,Heron!AD$9,Xero!$A:$A,Heron!$A$5,Xero!$E:$E,Heron!$A73)</f>
        <v/>
      </c>
      <c r="AE73" s="117">
        <f>SUMIFS(Xero!$F:$F,Xero!$B:$B,Heron!AE$9,Xero!$A:$A,Heron!$A$4,Xero!$E:$E,Heron!$A73)+SUMIFS(Xero!$F:$F,Xero!$B:$B,Heron!AE$9,Xero!$A:$A,Heron!$A$5,Xero!$E:$E,Heron!$A73)</f>
        <v/>
      </c>
      <c r="AF73" s="117">
        <f>SUMIFS(Xero!$F:$F,Xero!$B:$B,Heron!AF$9,Xero!$A:$A,Heron!$A$4,Xero!$E:$E,Heron!$A73)+SUMIFS(Xero!$F:$F,Xero!$B:$B,Heron!AF$9,Xero!$A:$A,Heron!$A$5,Xero!$E:$E,Heron!$A73)</f>
        <v/>
      </c>
      <c r="AG73" s="117">
        <f>SUMIFS(Xero!$F:$F,Xero!$B:$B,Heron!AG$9,Xero!$A:$A,Heron!$A$4,Xero!$E:$E,Heron!$A73)+SUMIFS(Xero!$F:$F,Xero!$B:$B,Heron!AG$9,Xero!$A:$A,Heron!$A$5,Xero!$E:$E,Heron!$A73)</f>
        <v/>
      </c>
      <c r="AH73" s="117">
        <f>SUMIFS(Xero!$F:$F,Xero!$B:$B,Heron!AH$9,Xero!$A:$A,Heron!$A$4,Xero!$E:$E,Heron!$A73)+SUMIFS(Xero!$F:$F,Xero!$B:$B,Heron!AH$9,Xero!$A:$A,Heron!$A$5,Xero!$E:$E,Heron!$A73)</f>
        <v/>
      </c>
      <c r="AI73" s="117">
        <f>SUMIFS(Xero!$F:$F,Xero!$B:$B,Heron!AI$9,Xero!$A:$A,Heron!$A$4,Xero!$E:$E,Heron!$A73)+SUMIFS(Xero!$F:$F,Xero!$B:$B,Heron!AI$9,Xero!$A:$A,Heron!$A$5,Xero!$E:$E,Heron!$A73)</f>
        <v/>
      </c>
      <c r="AJ73" s="117">
        <f>SUMIFS(Xero!$F:$F,Xero!$B:$B,Heron!AJ$9,Xero!$A:$A,Heron!$A$4,Xero!$E:$E,Heron!$A73)+SUMIFS(Xero!$F:$F,Xero!$B:$B,Heron!AJ$9,Xero!$A:$A,Heron!$A$5,Xero!$E:$E,Heron!$A73)</f>
        <v/>
      </c>
      <c r="AK73" s="117">
        <f>SUMIFS(Xero!$F:$F,Xero!$B:$B,Heron!AK$9,Xero!$A:$A,Heron!$A$4,Xero!$E:$E,Heron!$A73)+SUMIFS(Xero!$F:$F,Xero!$B:$B,Heron!AK$9,Xero!$A:$A,Heron!$A$5,Xero!$E:$E,Heron!$A73)</f>
        <v/>
      </c>
      <c r="AL73" s="117">
        <f>SUMIFS(Xero!$F:$F,Xero!$B:$B,Heron!AL$9,Xero!$A:$A,Heron!$A$4,Xero!$E:$E,Heron!$A73)+SUMIFS(Xero!$F:$F,Xero!$B:$B,Heron!AL$9,Xero!$A:$A,Heron!$A$5,Xero!$E:$E,Heron!$A73)</f>
        <v/>
      </c>
      <c r="AM73" s="117">
        <f>SUMIFS(Xero!$F:$F,Xero!$B:$B,Heron!AM$9,Xero!$A:$A,Heron!$A$4,Xero!$E:$E,Heron!$A73)+SUMIFS(Xero!$F:$F,Xero!$B:$B,Heron!AM$9,Xero!$A:$A,Heron!$A$5,Xero!$E:$E,Heron!$A73)</f>
        <v/>
      </c>
      <c r="AN73" s="117">
        <f>SUMIFS(Xero!$F:$F,Xero!$B:$B,Heron!AN$9,Xero!$A:$A,Heron!$A$4,Xero!$E:$E,Heron!$A73)+SUMIFS(Xero!$F:$F,Xero!$B:$B,Heron!AN$9,Xero!$A:$A,Heron!$A$5,Xero!$E:$E,Heron!$A73)</f>
        <v/>
      </c>
      <c r="AO73" s="117">
        <f>SUMIFS(Xero!$F:$F,Xero!$B:$B,Heron!AO$9,Xero!$A:$A,Heron!$A$4,Xero!$E:$E,Heron!$A73)+SUMIFS(Xero!$F:$F,Xero!$B:$B,Heron!AO$9,Xero!$A:$A,Heron!$A$5,Xero!$E:$E,Heron!$A73)</f>
        <v/>
      </c>
      <c r="AP73" s="117">
        <f>SUMIFS(Xero!$F:$F,Xero!$B:$B,Heron!AP$9,Xero!$A:$A,Heron!$A$4,Xero!$E:$E,Heron!$A73)+SUMIFS(Xero!$F:$F,Xero!$B:$B,Heron!AP$9,Xero!$A:$A,Heron!$A$5,Xero!$E:$E,Heron!$A73)</f>
        <v/>
      </c>
      <c r="AQ73" s="117">
        <f>SUMIFS(Xero!$F:$F,Xero!$B:$B,Heron!AQ$9,Xero!$A:$A,Heron!$A$4,Xero!$E:$E,Heron!$A73)+SUMIFS(Xero!$F:$F,Xero!$B:$B,Heron!AQ$9,Xero!$A:$A,Heron!$A$5,Xero!$E:$E,Heron!$A73)</f>
        <v/>
      </c>
      <c r="AR73" s="117">
        <f>SUMIFS(Xero!$F:$F,Xero!$B:$B,Heron!AR$9,Xero!$A:$A,Heron!$A$4,Xero!$E:$E,Heron!$A73)+SUMIFS(Xero!$F:$F,Xero!$B:$B,Heron!AR$9,Xero!$A:$A,Heron!$A$5,Xero!$E:$E,Heron!$A73)</f>
        <v/>
      </c>
      <c r="AS73" s="117">
        <f>SUMIFS(Xero!$F:$F,Xero!$B:$B,Heron!AS$9,Xero!$A:$A,Heron!$A$4,Xero!$E:$E,Heron!$A73)+SUMIFS(Xero!$F:$F,Xero!$B:$B,Heron!AS$9,Xero!$A:$A,Heron!$A$5,Xero!$E:$E,Heron!$A73)</f>
        <v/>
      </c>
      <c r="AT73" s="117">
        <f>SUMIFS(Xero!$F:$F,Xero!$B:$B,Heron!AT$9,Xero!$A:$A,Heron!$A$4,Xero!$E:$E,Heron!$A73)+SUMIFS(Xero!$F:$F,Xero!$B:$B,Heron!AT$9,Xero!$A:$A,Heron!$A$5,Xero!$E:$E,Heron!$A73)</f>
        <v/>
      </c>
      <c r="AU73" s="117">
        <f>SUMIFS(Xero!$F:$F,Xero!$B:$B,Heron!AU$9,Xero!$A:$A,Heron!$A$4,Xero!$E:$E,Heron!$A73)+SUMIFS(Xero!$F:$F,Xero!$B:$B,Heron!AU$9,Xero!$A:$A,Heron!$A$5,Xero!$E:$E,Heron!$A73)</f>
        <v/>
      </c>
      <c r="AV73" s="117">
        <f>SUMIFS(Xero!$F:$F,Xero!$B:$B,Heron!AV$9,Xero!$A:$A,Heron!$A$4,Xero!$E:$E,Heron!$A73)+SUMIFS(Xero!$F:$F,Xero!$B:$B,Heron!AV$9,Xero!$A:$A,Heron!$A$5,Xero!$E:$E,Heron!$A73)</f>
        <v/>
      </c>
      <c r="AW73" s="117">
        <f>SUMIFS(Xero!$F:$F,Xero!$B:$B,Heron!AW$9,Xero!$A:$A,Heron!$A$4,Xero!$E:$E,Heron!$A73)+SUMIFS(Xero!$F:$F,Xero!$B:$B,Heron!AW$9,Xero!$A:$A,Heron!$A$5,Xero!$E:$E,Heron!$A73)</f>
        <v/>
      </c>
      <c r="AX73" s="117">
        <f>SUMIFS(Xero!$F:$F,Xero!$B:$B,Heron!AX$9,Xero!$A:$A,Heron!$A$4,Xero!$E:$E,Heron!$A73)+SUMIFS(Xero!$F:$F,Xero!$B:$B,Heron!AX$9,Xero!$A:$A,Heron!$A$5,Xero!$E:$E,Heron!$A73)</f>
        <v/>
      </c>
      <c r="AY73" s="117">
        <f>SUMIFS(Xero!$F:$F,Xero!$B:$B,Heron!AY$9,Xero!$A:$A,Heron!$A$4,Xero!$E:$E,Heron!$A73)+SUMIFS(Xero!$F:$F,Xero!$B:$B,Heron!AY$9,Xero!$A:$A,Heron!$A$5,Xero!$E:$E,Heron!$A73)</f>
        <v/>
      </c>
      <c r="AZ73" s="117">
        <f>SUMIFS(Xero!$F:$F,Xero!$B:$B,Heron!AZ$9,Xero!$A:$A,Heron!$A$4,Xero!$E:$E,Heron!$A73)+SUMIFS(Xero!$F:$F,Xero!$B:$B,Heron!AZ$9,Xero!$A:$A,Heron!$A$5,Xero!$E:$E,Heron!$A73)</f>
        <v/>
      </c>
      <c r="BA73" s="117">
        <f>SUMIFS(Xero!$F:$F,Xero!$B:$B,Heron!BA$9,Xero!$A:$A,Heron!$A$4,Xero!$E:$E,Heron!$A73)+SUMIFS(Xero!$F:$F,Xero!$B:$B,Heron!BA$9,Xero!$A:$A,Heron!$A$5,Xero!$E:$E,Heron!$A73)</f>
        <v/>
      </c>
      <c r="BB73" s="117">
        <f>SUMIFS(Xero!$F:$F,Xero!$B:$B,Heron!BB$9,Xero!$A:$A,Heron!$A$4,Xero!$E:$E,Heron!$A73)+SUMIFS(Xero!$F:$F,Xero!$B:$B,Heron!BB$9,Xero!$A:$A,Heron!$A$5,Xero!$E:$E,Heron!$A73)</f>
        <v/>
      </c>
      <c r="BC73" s="117">
        <f>SUMIFS(Xero!$F:$F,Xero!$B:$B,Heron!BC$9,Xero!$A:$A,Heron!$A$4,Xero!$E:$E,Heron!$A73)+SUMIFS(Xero!$F:$F,Xero!$B:$B,Heron!BC$9,Xero!$A:$A,Heron!$A$5,Xero!$E:$E,Heron!$A73)</f>
        <v/>
      </c>
      <c r="BD73" s="117">
        <f>SUMIFS(Xero!$F:$F,Xero!$B:$B,Heron!BD$9,Xero!$A:$A,Heron!$A$4,Xero!$E:$E,Heron!$A73)+SUMIFS(Xero!$F:$F,Xero!$B:$B,Heron!BD$9,Xero!$A:$A,Heron!$A$5,Xero!$E:$E,Heron!$A73)</f>
        <v/>
      </c>
      <c r="BE73" s="117">
        <f>SUMIFS(Xero!$F:$F,Xero!$B:$B,Heron!BE$9,Xero!$A:$A,Heron!$A$4,Xero!$E:$E,Heron!$A73)+SUMIFS(Xero!$F:$F,Xero!$B:$B,Heron!BE$9,Xero!$A:$A,Heron!$A$5,Xero!$E:$E,Heron!$A73)</f>
        <v/>
      </c>
      <c r="BF73" s="117">
        <f>SUMIFS(Xero!$F:$F,Xero!$B:$B,Heron!BF$9,Xero!$A:$A,Heron!$A$4,Xero!$E:$E,Heron!$A73)+SUMIFS(Xero!$F:$F,Xero!$B:$B,Heron!BF$9,Xero!$A:$A,Heron!$A$5,Xero!$E:$E,Heron!$A73)</f>
        <v/>
      </c>
      <c r="BG73" s="117">
        <f>SUMIFS(Xero!$F:$F,Xero!$B:$B,Heron!BG$9,Xero!$A:$A,Heron!$A$4,Xero!$E:$E,Heron!$A73)+SUMIFS(Xero!$F:$F,Xero!$B:$B,Heron!BG$9,Xero!$A:$A,Heron!$A$5,Xero!$E:$E,Heron!$A73)</f>
        <v/>
      </c>
      <c r="BH73" s="117">
        <f>SUMIFS(Xero!$F:$F,Xero!$B:$B,Heron!BH$9,Xero!$A:$A,Heron!$A$4,Xero!$E:$E,Heron!$A73)+SUMIFS(Xero!$F:$F,Xero!$B:$B,Heron!BH$9,Xero!$A:$A,Heron!$A$5,Xero!$E:$E,Heron!$A73)</f>
        <v/>
      </c>
      <c r="BI73" s="117">
        <f>SUMIFS(Xero!$F:$F,Xero!$B:$B,Heron!BI$9,Xero!$A:$A,Heron!$A$4,Xero!$E:$E,Heron!$A73)+SUMIFS(Xero!$F:$F,Xero!$B:$B,Heron!BI$9,Xero!$A:$A,Heron!$A$5,Xero!$E:$E,Heron!$A73)</f>
        <v/>
      </c>
      <c r="BJ73" s="117">
        <f>SUMIFS(Xero!$F:$F,Xero!$B:$B,Heron!BJ$9,Xero!$A:$A,Heron!$A$4,Xero!$E:$E,Heron!$A73)+SUMIFS(Xero!$F:$F,Xero!$B:$B,Heron!BJ$9,Xero!$A:$A,Heron!$A$5,Xero!$E:$E,Heron!$A73)</f>
        <v/>
      </c>
      <c r="BK73" s="117">
        <f>sum(D73:BJ73)</f>
        <v/>
      </c>
    </row>
    <row r="74">
      <c r="A74" s="116" t="inlineStr">
        <is>
          <t>Interest Paid - Investors @ 10.5%</t>
        </is>
      </c>
      <c r="D74" s="117">
        <f>SUMIFS(Xero!$F:$F,Xero!$B:$B,Heron!D$9,Xero!$A:$A,Heron!$A$4,Xero!$E:$E,Heron!$A74)+SUMIFS(Xero!$F:$F,Xero!$B:$B,Heron!D$9,Xero!$A:$A,Heron!$A$5,Xero!$E:$E,Heron!$A74)</f>
        <v/>
      </c>
      <c r="E74" s="117">
        <f>SUMIFS(Xero!$F:$F,Xero!$B:$B,Heron!E$9,Xero!$A:$A,Heron!$A$4,Xero!$E:$E,Heron!$A74)+SUMIFS(Xero!$F:$F,Xero!$B:$B,Heron!E$9,Xero!$A:$A,Heron!$A$5,Xero!$E:$E,Heron!$A74)</f>
        <v/>
      </c>
      <c r="F74" s="117">
        <f>SUMIFS(Xero!$F:$F,Xero!$B:$B,Heron!F$9,Xero!$A:$A,Heron!$A$4,Xero!$E:$E,Heron!$A74)+SUMIFS(Xero!$F:$F,Xero!$B:$B,Heron!F$9,Xero!$A:$A,Heron!$A$5,Xero!$E:$E,Heron!$A74)</f>
        <v/>
      </c>
      <c r="G74" s="117">
        <f>SUMIFS(Xero!$F:$F,Xero!$B:$B,Heron!G$9,Xero!$A:$A,Heron!$A$4,Xero!$E:$E,Heron!$A74)+SUMIFS(Xero!$F:$F,Xero!$B:$B,Heron!G$9,Xero!$A:$A,Heron!$A$5,Xero!$E:$E,Heron!$A74)</f>
        <v/>
      </c>
      <c r="H74" s="117">
        <f>SUMIFS(Xero!$F:$F,Xero!$B:$B,Heron!H$9,Xero!$A:$A,Heron!$A$4,Xero!$E:$E,Heron!$A74)+SUMIFS(Xero!$F:$F,Xero!$B:$B,Heron!H$9,Xero!$A:$A,Heron!$A$5,Xero!$E:$E,Heron!$A74)</f>
        <v/>
      </c>
      <c r="I74" s="117">
        <f>SUMIFS(Xero!$F:$F,Xero!$B:$B,Heron!I$9,Xero!$A:$A,Heron!$A$4,Xero!$E:$E,Heron!$A74)+SUMIFS(Xero!$F:$F,Xero!$B:$B,Heron!I$9,Xero!$A:$A,Heron!$A$5,Xero!$E:$E,Heron!$A74)</f>
        <v/>
      </c>
      <c r="J74" s="117">
        <f>SUMIFS(Xero!$F:$F,Xero!$B:$B,Heron!J$9,Xero!$A:$A,Heron!$A$4,Xero!$E:$E,Heron!$A74)+SUMIFS(Xero!$F:$F,Xero!$B:$B,Heron!J$9,Xero!$A:$A,Heron!$A$5,Xero!$E:$E,Heron!$A74)</f>
        <v/>
      </c>
      <c r="K74" s="117">
        <f>SUMIFS(Xero!$F:$F,Xero!$B:$B,Heron!K$9,Xero!$A:$A,Heron!$A$4,Xero!$E:$E,Heron!$A74)+SUMIFS(Xero!$F:$F,Xero!$B:$B,Heron!K$9,Xero!$A:$A,Heron!$A$5,Xero!$E:$E,Heron!$A74)</f>
        <v/>
      </c>
      <c r="L74" s="117">
        <f>SUMIFS(Xero!$F:$F,Xero!$B:$B,Heron!L$9,Xero!$A:$A,Heron!$A$4,Xero!$E:$E,Heron!$A74)+SUMIFS(Xero!$F:$F,Xero!$B:$B,Heron!L$9,Xero!$A:$A,Heron!$A$5,Xero!$E:$E,Heron!$A74)</f>
        <v/>
      </c>
      <c r="M74" s="117">
        <f>SUMIFS(Xero!$F:$F,Xero!$B:$B,Heron!M$9,Xero!$A:$A,Heron!$A$4,Xero!$E:$E,Heron!$A74)+SUMIFS(Xero!$F:$F,Xero!$B:$B,Heron!M$9,Xero!$A:$A,Heron!$A$5,Xero!$E:$E,Heron!$A74)</f>
        <v/>
      </c>
      <c r="N74" s="117">
        <f>SUMIFS(Xero!$F:$F,Xero!$B:$B,Heron!N$9,Xero!$A:$A,Heron!$A$4,Xero!$E:$E,Heron!$A74)+SUMIFS(Xero!$F:$F,Xero!$B:$B,Heron!N$9,Xero!$A:$A,Heron!$A$5,Xero!$E:$E,Heron!$A74)</f>
        <v/>
      </c>
      <c r="O74" s="117">
        <f>SUMIFS(Xero!$F:$F,Xero!$B:$B,Heron!O$9,Xero!$A:$A,Heron!$A$4,Xero!$E:$E,Heron!$A74)+SUMIFS(Xero!$F:$F,Xero!$B:$B,Heron!O$9,Xero!$A:$A,Heron!$A$5,Xero!$E:$E,Heron!$A74)</f>
        <v/>
      </c>
      <c r="P74" s="117">
        <f>SUMIFS(Xero!$F:$F,Xero!$B:$B,Heron!P$9,Xero!$A:$A,Heron!$A$4,Xero!$E:$E,Heron!$A74)+SUMIFS(Xero!$F:$F,Xero!$B:$B,Heron!P$9,Xero!$A:$A,Heron!$A$5,Xero!$E:$E,Heron!$A74)</f>
        <v/>
      </c>
      <c r="Q74" s="117">
        <f>SUMIFS(Xero!$F:$F,Xero!$B:$B,Heron!Q$9,Xero!$A:$A,Heron!$A$4,Xero!$E:$E,Heron!$A74)+SUMIFS(Xero!$F:$F,Xero!$B:$B,Heron!Q$9,Xero!$A:$A,Heron!$A$5,Xero!$E:$E,Heron!$A74)</f>
        <v/>
      </c>
      <c r="R74" s="117">
        <f>SUMIFS(Xero!$F:$F,Xero!$B:$B,Heron!R$9,Xero!$A:$A,Heron!$A$4,Xero!$E:$E,Heron!$A74)+SUMIFS(Xero!$F:$F,Xero!$B:$B,Heron!R$9,Xero!$A:$A,Heron!$A$5,Xero!$E:$E,Heron!$A74)</f>
        <v/>
      </c>
      <c r="S74" s="117">
        <f>SUMIFS(Xero!$F:$F,Xero!$B:$B,Heron!S$9,Xero!$A:$A,Heron!$A$4,Xero!$E:$E,Heron!$A74)+SUMIFS(Xero!$F:$F,Xero!$B:$B,Heron!S$9,Xero!$A:$A,Heron!$A$5,Xero!$E:$E,Heron!$A74)</f>
        <v/>
      </c>
      <c r="T74" s="117">
        <f>SUMIFS(Xero!$F:$F,Xero!$B:$B,Heron!T$9,Xero!$A:$A,Heron!$A$4,Xero!$E:$E,Heron!$A74)+SUMIFS(Xero!$F:$F,Xero!$B:$B,Heron!T$9,Xero!$A:$A,Heron!$A$5,Xero!$E:$E,Heron!$A74)</f>
        <v/>
      </c>
      <c r="U74" s="117">
        <f>SUMIFS(Xero!$F:$F,Xero!$B:$B,Heron!U$9,Xero!$A:$A,Heron!$A$4,Xero!$E:$E,Heron!$A74)+SUMIFS(Xero!$F:$F,Xero!$B:$B,Heron!U$9,Xero!$A:$A,Heron!$A$5,Xero!$E:$E,Heron!$A74)</f>
        <v/>
      </c>
      <c r="V74" s="117">
        <f>SUMIFS(Xero!$F:$F,Xero!$B:$B,Heron!V$9,Xero!$A:$A,Heron!$A$4,Xero!$E:$E,Heron!$A74)+SUMIFS(Xero!$F:$F,Xero!$B:$B,Heron!V$9,Xero!$A:$A,Heron!$A$5,Xero!$E:$E,Heron!$A74)</f>
        <v/>
      </c>
      <c r="W74" s="117">
        <f>SUMIFS(Xero!$F:$F,Xero!$B:$B,Heron!W$9,Xero!$A:$A,Heron!$A$4,Xero!$E:$E,Heron!$A74)+SUMIFS(Xero!$F:$F,Xero!$B:$B,Heron!W$9,Xero!$A:$A,Heron!$A$5,Xero!$E:$E,Heron!$A74)</f>
        <v/>
      </c>
      <c r="X74" s="117">
        <f>SUMIFS(Xero!$F:$F,Xero!$B:$B,Heron!X$9,Xero!$A:$A,Heron!$A$4,Xero!$E:$E,Heron!$A74)+SUMIFS(Xero!$F:$F,Xero!$B:$B,Heron!X$9,Xero!$A:$A,Heron!$A$5,Xero!$E:$E,Heron!$A74)</f>
        <v/>
      </c>
      <c r="Y74" s="117">
        <f>SUMIFS(Xero!$F:$F,Xero!$B:$B,Heron!Y$9,Xero!$A:$A,Heron!$A$4,Xero!$E:$E,Heron!$A74)+SUMIFS(Xero!$F:$F,Xero!$B:$B,Heron!Y$9,Xero!$A:$A,Heron!$A$5,Xero!$E:$E,Heron!$A74)</f>
        <v/>
      </c>
      <c r="Z74" s="117">
        <f>SUMIFS(Xero!$F:$F,Xero!$B:$B,Heron!Z$9,Xero!$A:$A,Heron!$A$4,Xero!$E:$E,Heron!$A74)+SUMIFS(Xero!$F:$F,Xero!$B:$B,Heron!Z$9,Xero!$A:$A,Heron!$A$5,Xero!$E:$E,Heron!$A74)</f>
        <v/>
      </c>
      <c r="AA74" s="117">
        <f>SUMIFS(Xero!$F:$F,Xero!$B:$B,Heron!AA$9,Xero!$A:$A,Heron!$A$4,Xero!$E:$E,Heron!$A74)+SUMIFS(Xero!$F:$F,Xero!$B:$B,Heron!AA$9,Xero!$A:$A,Heron!$A$5,Xero!$E:$E,Heron!$A74)</f>
        <v/>
      </c>
      <c r="AB74" s="117">
        <f>SUMIFS(Xero!$F:$F,Xero!$B:$B,Heron!AB$9,Xero!$A:$A,Heron!$A$4,Xero!$E:$E,Heron!$A74)+SUMIFS(Xero!$F:$F,Xero!$B:$B,Heron!AB$9,Xero!$A:$A,Heron!$A$5,Xero!$E:$E,Heron!$A74)</f>
        <v/>
      </c>
      <c r="AC74" s="117">
        <f>SUMIFS(Xero!$F:$F,Xero!$B:$B,Heron!AC$9,Xero!$A:$A,Heron!$A$4,Xero!$E:$E,Heron!$A74)+SUMIFS(Xero!$F:$F,Xero!$B:$B,Heron!AC$9,Xero!$A:$A,Heron!$A$5,Xero!$E:$E,Heron!$A74)</f>
        <v/>
      </c>
      <c r="AD74" s="117">
        <f>SUMIFS(Xero!$F:$F,Xero!$B:$B,Heron!AD$9,Xero!$A:$A,Heron!$A$4,Xero!$E:$E,Heron!$A74)+SUMIFS(Xero!$F:$F,Xero!$B:$B,Heron!AD$9,Xero!$A:$A,Heron!$A$5,Xero!$E:$E,Heron!$A74)</f>
        <v/>
      </c>
      <c r="AE74" s="117">
        <f>SUMIFS(Xero!$F:$F,Xero!$B:$B,Heron!AE$9,Xero!$A:$A,Heron!$A$4,Xero!$E:$E,Heron!$A74)+SUMIFS(Xero!$F:$F,Xero!$B:$B,Heron!AE$9,Xero!$A:$A,Heron!$A$5,Xero!$E:$E,Heron!$A74)</f>
        <v/>
      </c>
      <c r="AF74" s="117">
        <f>SUMIFS(Xero!$F:$F,Xero!$B:$B,Heron!AF$9,Xero!$A:$A,Heron!$A$4,Xero!$E:$E,Heron!$A74)+SUMIFS(Xero!$F:$F,Xero!$B:$B,Heron!AF$9,Xero!$A:$A,Heron!$A$5,Xero!$E:$E,Heron!$A74)</f>
        <v/>
      </c>
      <c r="AG74" s="117">
        <f>SUMIFS(Xero!$F:$F,Xero!$B:$B,Heron!AG$9,Xero!$A:$A,Heron!$A$4,Xero!$E:$E,Heron!$A74)+SUMIFS(Xero!$F:$F,Xero!$B:$B,Heron!AG$9,Xero!$A:$A,Heron!$A$5,Xero!$E:$E,Heron!$A74)</f>
        <v/>
      </c>
      <c r="AH74" s="117">
        <f>SUMIFS(Xero!$F:$F,Xero!$B:$B,Heron!AH$9,Xero!$A:$A,Heron!$A$4,Xero!$E:$E,Heron!$A74)+SUMIFS(Xero!$F:$F,Xero!$B:$B,Heron!AH$9,Xero!$A:$A,Heron!$A$5,Xero!$E:$E,Heron!$A74)</f>
        <v/>
      </c>
      <c r="AI74" s="117">
        <f>SUMIFS(Xero!$F:$F,Xero!$B:$B,Heron!AI$9,Xero!$A:$A,Heron!$A$4,Xero!$E:$E,Heron!$A74)+SUMIFS(Xero!$F:$F,Xero!$B:$B,Heron!AI$9,Xero!$A:$A,Heron!$A$5,Xero!$E:$E,Heron!$A74)</f>
        <v/>
      </c>
      <c r="AJ74" s="117">
        <f>SUMIFS(Xero!$F:$F,Xero!$B:$B,Heron!AJ$9,Xero!$A:$A,Heron!$A$4,Xero!$E:$E,Heron!$A74)+SUMIFS(Xero!$F:$F,Xero!$B:$B,Heron!AJ$9,Xero!$A:$A,Heron!$A$5,Xero!$E:$E,Heron!$A74)</f>
        <v/>
      </c>
      <c r="AK74" s="117">
        <f>SUMIFS(Xero!$F:$F,Xero!$B:$B,Heron!AK$9,Xero!$A:$A,Heron!$A$4,Xero!$E:$E,Heron!$A74)+SUMIFS(Xero!$F:$F,Xero!$B:$B,Heron!AK$9,Xero!$A:$A,Heron!$A$5,Xero!$E:$E,Heron!$A74)</f>
        <v/>
      </c>
      <c r="AL74" s="117">
        <f>SUMIFS(Xero!$F:$F,Xero!$B:$B,Heron!AL$9,Xero!$A:$A,Heron!$A$4,Xero!$E:$E,Heron!$A74)+SUMIFS(Xero!$F:$F,Xero!$B:$B,Heron!AL$9,Xero!$A:$A,Heron!$A$5,Xero!$E:$E,Heron!$A74)</f>
        <v/>
      </c>
      <c r="AM74" s="117">
        <f>SUMIFS(Xero!$F:$F,Xero!$B:$B,Heron!AM$9,Xero!$A:$A,Heron!$A$4,Xero!$E:$E,Heron!$A74)+SUMIFS(Xero!$F:$F,Xero!$B:$B,Heron!AM$9,Xero!$A:$A,Heron!$A$5,Xero!$E:$E,Heron!$A74)</f>
        <v/>
      </c>
      <c r="AN74" s="117">
        <f>SUMIFS(Xero!$F:$F,Xero!$B:$B,Heron!AN$9,Xero!$A:$A,Heron!$A$4,Xero!$E:$E,Heron!$A74)+SUMIFS(Xero!$F:$F,Xero!$B:$B,Heron!AN$9,Xero!$A:$A,Heron!$A$5,Xero!$E:$E,Heron!$A74)</f>
        <v/>
      </c>
      <c r="AO74" s="117">
        <f>SUMIFS(Xero!$F:$F,Xero!$B:$B,Heron!AO$9,Xero!$A:$A,Heron!$A$4,Xero!$E:$E,Heron!$A74)+SUMIFS(Xero!$F:$F,Xero!$B:$B,Heron!AO$9,Xero!$A:$A,Heron!$A$5,Xero!$E:$E,Heron!$A74)</f>
        <v/>
      </c>
      <c r="AP74" s="117">
        <f>SUMIFS(Xero!$F:$F,Xero!$B:$B,Heron!AP$9,Xero!$A:$A,Heron!$A$4,Xero!$E:$E,Heron!$A74)+SUMIFS(Xero!$F:$F,Xero!$B:$B,Heron!AP$9,Xero!$A:$A,Heron!$A$5,Xero!$E:$E,Heron!$A74)</f>
        <v/>
      </c>
      <c r="AQ74" s="117">
        <f>SUMIFS(Xero!$F:$F,Xero!$B:$B,Heron!AQ$9,Xero!$A:$A,Heron!$A$4,Xero!$E:$E,Heron!$A74)+SUMIFS(Xero!$F:$F,Xero!$B:$B,Heron!AQ$9,Xero!$A:$A,Heron!$A$5,Xero!$E:$E,Heron!$A74)</f>
        <v/>
      </c>
      <c r="AR74" s="117">
        <f>SUMIFS(Xero!$F:$F,Xero!$B:$B,Heron!AR$9,Xero!$A:$A,Heron!$A$4,Xero!$E:$E,Heron!$A74)+SUMIFS(Xero!$F:$F,Xero!$B:$B,Heron!AR$9,Xero!$A:$A,Heron!$A$5,Xero!$E:$E,Heron!$A74)</f>
        <v/>
      </c>
      <c r="AS74" s="117">
        <f>SUMIFS(Xero!$F:$F,Xero!$B:$B,Heron!AS$9,Xero!$A:$A,Heron!$A$4,Xero!$E:$E,Heron!$A74)+SUMIFS(Xero!$F:$F,Xero!$B:$B,Heron!AS$9,Xero!$A:$A,Heron!$A$5,Xero!$E:$E,Heron!$A74)</f>
        <v/>
      </c>
      <c r="AT74" s="117">
        <f>SUMIFS(Xero!$F:$F,Xero!$B:$B,Heron!AT$9,Xero!$A:$A,Heron!$A$4,Xero!$E:$E,Heron!$A74)+SUMIFS(Xero!$F:$F,Xero!$B:$B,Heron!AT$9,Xero!$A:$A,Heron!$A$5,Xero!$E:$E,Heron!$A74)</f>
        <v/>
      </c>
      <c r="AU74" s="117">
        <f>SUMIFS(Xero!$F:$F,Xero!$B:$B,Heron!AU$9,Xero!$A:$A,Heron!$A$4,Xero!$E:$E,Heron!$A74)+SUMIFS(Xero!$F:$F,Xero!$B:$B,Heron!AU$9,Xero!$A:$A,Heron!$A$5,Xero!$E:$E,Heron!$A74)</f>
        <v/>
      </c>
      <c r="AV74" s="117">
        <f>SUMIFS(Xero!$F:$F,Xero!$B:$B,Heron!AV$9,Xero!$A:$A,Heron!$A$4,Xero!$E:$E,Heron!$A74)+SUMIFS(Xero!$F:$F,Xero!$B:$B,Heron!AV$9,Xero!$A:$A,Heron!$A$5,Xero!$E:$E,Heron!$A74)</f>
        <v/>
      </c>
      <c r="AW74" s="117">
        <f>SUMIFS(Xero!$F:$F,Xero!$B:$B,Heron!AW$9,Xero!$A:$A,Heron!$A$4,Xero!$E:$E,Heron!$A74)+SUMIFS(Xero!$F:$F,Xero!$B:$B,Heron!AW$9,Xero!$A:$A,Heron!$A$5,Xero!$E:$E,Heron!$A74)</f>
        <v/>
      </c>
      <c r="AX74" s="117">
        <f>SUMIFS(Xero!$F:$F,Xero!$B:$B,Heron!AX$9,Xero!$A:$A,Heron!$A$4,Xero!$E:$E,Heron!$A74)+SUMIFS(Xero!$F:$F,Xero!$B:$B,Heron!AX$9,Xero!$A:$A,Heron!$A$5,Xero!$E:$E,Heron!$A74)</f>
        <v/>
      </c>
      <c r="AY74" s="117">
        <f>SUMIFS(Xero!$F:$F,Xero!$B:$B,Heron!AY$9,Xero!$A:$A,Heron!$A$4,Xero!$E:$E,Heron!$A74)+SUMIFS(Xero!$F:$F,Xero!$B:$B,Heron!AY$9,Xero!$A:$A,Heron!$A$5,Xero!$E:$E,Heron!$A74)</f>
        <v/>
      </c>
      <c r="AZ74" s="117">
        <f>SUMIFS(Xero!$F:$F,Xero!$B:$B,Heron!AZ$9,Xero!$A:$A,Heron!$A$4,Xero!$E:$E,Heron!$A74)+SUMIFS(Xero!$F:$F,Xero!$B:$B,Heron!AZ$9,Xero!$A:$A,Heron!$A$5,Xero!$E:$E,Heron!$A74)</f>
        <v/>
      </c>
      <c r="BA74" s="117">
        <f>SUMIFS(Xero!$F:$F,Xero!$B:$B,Heron!BA$9,Xero!$A:$A,Heron!$A$4,Xero!$E:$E,Heron!$A74)+SUMIFS(Xero!$F:$F,Xero!$B:$B,Heron!BA$9,Xero!$A:$A,Heron!$A$5,Xero!$E:$E,Heron!$A74)</f>
        <v/>
      </c>
      <c r="BB74" s="117">
        <f>SUMIFS(Xero!$F:$F,Xero!$B:$B,Heron!BB$9,Xero!$A:$A,Heron!$A$4,Xero!$E:$E,Heron!$A74)+SUMIFS(Xero!$F:$F,Xero!$B:$B,Heron!BB$9,Xero!$A:$A,Heron!$A$5,Xero!$E:$E,Heron!$A74)</f>
        <v/>
      </c>
      <c r="BC74" s="117">
        <f>SUMIFS(Xero!$F:$F,Xero!$B:$B,Heron!BC$9,Xero!$A:$A,Heron!$A$4,Xero!$E:$E,Heron!$A74)+SUMIFS(Xero!$F:$F,Xero!$B:$B,Heron!BC$9,Xero!$A:$A,Heron!$A$5,Xero!$E:$E,Heron!$A74)</f>
        <v/>
      </c>
      <c r="BD74" s="117">
        <f>SUMIFS(Xero!$F:$F,Xero!$B:$B,Heron!BD$9,Xero!$A:$A,Heron!$A$4,Xero!$E:$E,Heron!$A74)+SUMIFS(Xero!$F:$F,Xero!$B:$B,Heron!BD$9,Xero!$A:$A,Heron!$A$5,Xero!$E:$E,Heron!$A74)</f>
        <v/>
      </c>
      <c r="BE74" s="117">
        <f>SUMIFS(Xero!$F:$F,Xero!$B:$B,Heron!BE$9,Xero!$A:$A,Heron!$A$4,Xero!$E:$E,Heron!$A74)+SUMIFS(Xero!$F:$F,Xero!$B:$B,Heron!BE$9,Xero!$A:$A,Heron!$A$5,Xero!$E:$E,Heron!$A74)</f>
        <v/>
      </c>
      <c r="BF74" s="117">
        <f>SUMIFS(Xero!$F:$F,Xero!$B:$B,Heron!BF$9,Xero!$A:$A,Heron!$A$4,Xero!$E:$E,Heron!$A74)+SUMIFS(Xero!$F:$F,Xero!$B:$B,Heron!BF$9,Xero!$A:$A,Heron!$A$5,Xero!$E:$E,Heron!$A74)</f>
        <v/>
      </c>
      <c r="BG74" s="117">
        <f>SUMIFS(Xero!$F:$F,Xero!$B:$B,Heron!BG$9,Xero!$A:$A,Heron!$A$4,Xero!$E:$E,Heron!$A74)+SUMIFS(Xero!$F:$F,Xero!$B:$B,Heron!BG$9,Xero!$A:$A,Heron!$A$5,Xero!$E:$E,Heron!$A74)</f>
        <v/>
      </c>
      <c r="BH74" s="117">
        <f>SUMIFS(Xero!$F:$F,Xero!$B:$B,Heron!BH$9,Xero!$A:$A,Heron!$A$4,Xero!$E:$E,Heron!$A74)+SUMIFS(Xero!$F:$F,Xero!$B:$B,Heron!BH$9,Xero!$A:$A,Heron!$A$5,Xero!$E:$E,Heron!$A74)</f>
        <v/>
      </c>
      <c r="BI74" s="117">
        <f>SUMIFS(Xero!$F:$F,Xero!$B:$B,Heron!BI$9,Xero!$A:$A,Heron!$A$4,Xero!$E:$E,Heron!$A74)+SUMIFS(Xero!$F:$F,Xero!$B:$B,Heron!BI$9,Xero!$A:$A,Heron!$A$5,Xero!$E:$E,Heron!$A74)</f>
        <v/>
      </c>
      <c r="BJ74" s="117">
        <f>SUMIFS(Xero!$F:$F,Xero!$B:$B,Heron!BJ$9,Xero!$A:$A,Heron!$A$4,Xero!$E:$E,Heron!$A74)+SUMIFS(Xero!$F:$F,Xero!$B:$B,Heron!BJ$9,Xero!$A:$A,Heron!$A$5,Xero!$E:$E,Heron!$A74)</f>
        <v/>
      </c>
      <c r="BK74" s="117">
        <f>sum(D74:BJ74)</f>
        <v/>
      </c>
    </row>
    <row r="75">
      <c r="A75" s="116" t="inlineStr">
        <is>
          <t>Interest Paid - Investors @ 11%</t>
        </is>
      </c>
      <c r="D75" s="117">
        <f>SUMIFS(Xero!$F:$F,Xero!$B:$B,Heron!D$9,Xero!$A:$A,Heron!$A$4,Xero!$E:$E,Heron!$A75)+SUMIFS(Xero!$F:$F,Xero!$B:$B,Heron!D$9,Xero!$A:$A,Heron!$A$5,Xero!$E:$E,Heron!$A75)</f>
        <v/>
      </c>
      <c r="E75" s="117">
        <f>SUMIFS(Xero!$F:$F,Xero!$B:$B,Heron!E$9,Xero!$A:$A,Heron!$A$4,Xero!$E:$E,Heron!$A75)+SUMIFS(Xero!$F:$F,Xero!$B:$B,Heron!E$9,Xero!$A:$A,Heron!$A$5,Xero!$E:$E,Heron!$A75)</f>
        <v/>
      </c>
      <c r="F75" s="117">
        <f>SUMIFS(Xero!$F:$F,Xero!$B:$B,Heron!F$9,Xero!$A:$A,Heron!$A$4,Xero!$E:$E,Heron!$A75)+SUMIFS(Xero!$F:$F,Xero!$B:$B,Heron!F$9,Xero!$A:$A,Heron!$A$5,Xero!$E:$E,Heron!$A75)</f>
        <v/>
      </c>
      <c r="G75" s="117">
        <f>SUMIFS(Xero!$F:$F,Xero!$B:$B,Heron!G$9,Xero!$A:$A,Heron!$A$4,Xero!$E:$E,Heron!$A75)+SUMIFS(Xero!$F:$F,Xero!$B:$B,Heron!G$9,Xero!$A:$A,Heron!$A$5,Xero!$E:$E,Heron!$A75)</f>
        <v/>
      </c>
      <c r="H75" s="117">
        <f>SUMIFS(Xero!$F:$F,Xero!$B:$B,Heron!H$9,Xero!$A:$A,Heron!$A$4,Xero!$E:$E,Heron!$A75)+SUMIFS(Xero!$F:$F,Xero!$B:$B,Heron!H$9,Xero!$A:$A,Heron!$A$5,Xero!$E:$E,Heron!$A75)</f>
        <v/>
      </c>
      <c r="I75" s="117">
        <f>SUMIFS(Xero!$F:$F,Xero!$B:$B,Heron!I$9,Xero!$A:$A,Heron!$A$4,Xero!$E:$E,Heron!$A75)+SUMIFS(Xero!$F:$F,Xero!$B:$B,Heron!I$9,Xero!$A:$A,Heron!$A$5,Xero!$E:$E,Heron!$A75)</f>
        <v/>
      </c>
      <c r="J75" s="117">
        <f>SUMIFS(Xero!$F:$F,Xero!$B:$B,Heron!J$9,Xero!$A:$A,Heron!$A$4,Xero!$E:$E,Heron!$A75)+SUMIFS(Xero!$F:$F,Xero!$B:$B,Heron!J$9,Xero!$A:$A,Heron!$A$5,Xero!$E:$E,Heron!$A75)</f>
        <v/>
      </c>
      <c r="K75" s="117">
        <f>SUMIFS(Xero!$F:$F,Xero!$B:$B,Heron!K$9,Xero!$A:$A,Heron!$A$4,Xero!$E:$E,Heron!$A75)+SUMIFS(Xero!$F:$F,Xero!$B:$B,Heron!K$9,Xero!$A:$A,Heron!$A$5,Xero!$E:$E,Heron!$A75)</f>
        <v/>
      </c>
      <c r="L75" s="117">
        <f>SUMIFS(Xero!$F:$F,Xero!$B:$B,Heron!L$9,Xero!$A:$A,Heron!$A$4,Xero!$E:$E,Heron!$A75)+SUMIFS(Xero!$F:$F,Xero!$B:$B,Heron!L$9,Xero!$A:$A,Heron!$A$5,Xero!$E:$E,Heron!$A75)</f>
        <v/>
      </c>
      <c r="M75" s="117">
        <f>SUMIFS(Xero!$F:$F,Xero!$B:$B,Heron!M$9,Xero!$A:$A,Heron!$A$4,Xero!$E:$E,Heron!$A75)+SUMIFS(Xero!$F:$F,Xero!$B:$B,Heron!M$9,Xero!$A:$A,Heron!$A$5,Xero!$E:$E,Heron!$A75)</f>
        <v/>
      </c>
      <c r="N75" s="117">
        <f>SUMIFS(Xero!$F:$F,Xero!$B:$B,Heron!N$9,Xero!$A:$A,Heron!$A$4,Xero!$E:$E,Heron!$A75)+SUMIFS(Xero!$F:$F,Xero!$B:$B,Heron!N$9,Xero!$A:$A,Heron!$A$5,Xero!$E:$E,Heron!$A75)</f>
        <v/>
      </c>
      <c r="O75" s="117">
        <f>SUMIFS(Xero!$F:$F,Xero!$B:$B,Heron!O$9,Xero!$A:$A,Heron!$A$4,Xero!$E:$E,Heron!$A75)+SUMIFS(Xero!$F:$F,Xero!$B:$B,Heron!O$9,Xero!$A:$A,Heron!$A$5,Xero!$E:$E,Heron!$A75)</f>
        <v/>
      </c>
      <c r="P75" s="117">
        <f>SUMIFS(Xero!$F:$F,Xero!$B:$B,Heron!P$9,Xero!$A:$A,Heron!$A$4,Xero!$E:$E,Heron!$A75)+SUMIFS(Xero!$F:$F,Xero!$B:$B,Heron!P$9,Xero!$A:$A,Heron!$A$5,Xero!$E:$E,Heron!$A75)</f>
        <v/>
      </c>
      <c r="Q75" s="117">
        <f>SUMIFS(Xero!$F:$F,Xero!$B:$B,Heron!Q$9,Xero!$A:$A,Heron!$A$4,Xero!$E:$E,Heron!$A75)+SUMIFS(Xero!$F:$F,Xero!$B:$B,Heron!Q$9,Xero!$A:$A,Heron!$A$5,Xero!$E:$E,Heron!$A75)</f>
        <v/>
      </c>
      <c r="R75" s="117">
        <f>SUMIFS(Xero!$F:$F,Xero!$B:$B,Heron!R$9,Xero!$A:$A,Heron!$A$4,Xero!$E:$E,Heron!$A75)+SUMIFS(Xero!$F:$F,Xero!$B:$B,Heron!R$9,Xero!$A:$A,Heron!$A$5,Xero!$E:$E,Heron!$A75)</f>
        <v/>
      </c>
      <c r="S75" s="117">
        <f>SUMIFS(Xero!$F:$F,Xero!$B:$B,Heron!S$9,Xero!$A:$A,Heron!$A$4,Xero!$E:$E,Heron!$A75)+SUMIFS(Xero!$F:$F,Xero!$B:$B,Heron!S$9,Xero!$A:$A,Heron!$A$5,Xero!$E:$E,Heron!$A75)</f>
        <v/>
      </c>
      <c r="T75" s="117">
        <f>SUMIFS(Xero!$F:$F,Xero!$B:$B,Heron!T$9,Xero!$A:$A,Heron!$A$4,Xero!$E:$E,Heron!$A75)+SUMIFS(Xero!$F:$F,Xero!$B:$B,Heron!T$9,Xero!$A:$A,Heron!$A$5,Xero!$E:$E,Heron!$A75)</f>
        <v/>
      </c>
      <c r="U75" s="117">
        <f>SUMIFS(Xero!$F:$F,Xero!$B:$B,Heron!U$9,Xero!$A:$A,Heron!$A$4,Xero!$E:$E,Heron!$A75)+SUMIFS(Xero!$F:$F,Xero!$B:$B,Heron!U$9,Xero!$A:$A,Heron!$A$5,Xero!$E:$E,Heron!$A75)</f>
        <v/>
      </c>
      <c r="V75" s="117">
        <f>SUMIFS(Xero!$F:$F,Xero!$B:$B,Heron!V$9,Xero!$A:$A,Heron!$A$4,Xero!$E:$E,Heron!$A75)+SUMIFS(Xero!$F:$F,Xero!$B:$B,Heron!V$9,Xero!$A:$A,Heron!$A$5,Xero!$E:$E,Heron!$A75)</f>
        <v/>
      </c>
      <c r="W75" s="117">
        <f>SUMIFS(Xero!$F:$F,Xero!$B:$B,Heron!W$9,Xero!$A:$A,Heron!$A$4,Xero!$E:$E,Heron!$A75)+SUMIFS(Xero!$F:$F,Xero!$B:$B,Heron!W$9,Xero!$A:$A,Heron!$A$5,Xero!$E:$E,Heron!$A75)</f>
        <v/>
      </c>
      <c r="X75" s="117">
        <f>SUMIFS(Xero!$F:$F,Xero!$B:$B,Heron!X$9,Xero!$A:$A,Heron!$A$4,Xero!$E:$E,Heron!$A75)+SUMIFS(Xero!$F:$F,Xero!$B:$B,Heron!X$9,Xero!$A:$A,Heron!$A$5,Xero!$E:$E,Heron!$A75)</f>
        <v/>
      </c>
      <c r="Y75" s="117">
        <f>SUMIFS(Xero!$F:$F,Xero!$B:$B,Heron!Y$9,Xero!$A:$A,Heron!$A$4,Xero!$E:$E,Heron!$A75)+SUMIFS(Xero!$F:$F,Xero!$B:$B,Heron!Y$9,Xero!$A:$A,Heron!$A$5,Xero!$E:$E,Heron!$A75)</f>
        <v/>
      </c>
      <c r="Z75" s="117">
        <f>SUMIFS(Xero!$F:$F,Xero!$B:$B,Heron!Z$9,Xero!$A:$A,Heron!$A$4,Xero!$E:$E,Heron!$A75)+SUMIFS(Xero!$F:$F,Xero!$B:$B,Heron!Z$9,Xero!$A:$A,Heron!$A$5,Xero!$E:$E,Heron!$A75)</f>
        <v/>
      </c>
      <c r="AA75" s="117">
        <f>SUMIFS(Xero!$F:$F,Xero!$B:$B,Heron!AA$9,Xero!$A:$A,Heron!$A$4,Xero!$E:$E,Heron!$A75)+SUMIFS(Xero!$F:$F,Xero!$B:$B,Heron!AA$9,Xero!$A:$A,Heron!$A$5,Xero!$E:$E,Heron!$A75)</f>
        <v/>
      </c>
      <c r="AB75" s="117">
        <f>SUMIFS(Xero!$F:$F,Xero!$B:$B,Heron!AB$9,Xero!$A:$A,Heron!$A$4,Xero!$E:$E,Heron!$A75)+SUMIFS(Xero!$F:$F,Xero!$B:$B,Heron!AB$9,Xero!$A:$A,Heron!$A$5,Xero!$E:$E,Heron!$A75)</f>
        <v/>
      </c>
      <c r="AC75" s="117">
        <f>SUMIFS(Xero!$F:$F,Xero!$B:$B,Heron!AC$9,Xero!$A:$A,Heron!$A$4,Xero!$E:$E,Heron!$A75)+SUMIFS(Xero!$F:$F,Xero!$B:$B,Heron!AC$9,Xero!$A:$A,Heron!$A$5,Xero!$E:$E,Heron!$A75)</f>
        <v/>
      </c>
      <c r="AD75" s="117">
        <f>SUMIFS(Xero!$F:$F,Xero!$B:$B,Heron!AD$9,Xero!$A:$A,Heron!$A$4,Xero!$E:$E,Heron!$A75)+SUMIFS(Xero!$F:$F,Xero!$B:$B,Heron!AD$9,Xero!$A:$A,Heron!$A$5,Xero!$E:$E,Heron!$A75)</f>
        <v/>
      </c>
      <c r="AE75" s="117">
        <f>SUMIFS(Xero!$F:$F,Xero!$B:$B,Heron!AE$9,Xero!$A:$A,Heron!$A$4,Xero!$E:$E,Heron!$A75)+SUMIFS(Xero!$F:$F,Xero!$B:$B,Heron!AE$9,Xero!$A:$A,Heron!$A$5,Xero!$E:$E,Heron!$A75)</f>
        <v/>
      </c>
      <c r="AF75" s="117">
        <f>SUMIFS(Xero!$F:$F,Xero!$B:$B,Heron!AF$9,Xero!$A:$A,Heron!$A$4,Xero!$E:$E,Heron!$A75)+SUMIFS(Xero!$F:$F,Xero!$B:$B,Heron!AF$9,Xero!$A:$A,Heron!$A$5,Xero!$E:$E,Heron!$A75)</f>
        <v/>
      </c>
      <c r="AG75" s="117">
        <f>SUMIFS(Xero!$F:$F,Xero!$B:$B,Heron!AG$9,Xero!$A:$A,Heron!$A$4,Xero!$E:$E,Heron!$A75)+SUMIFS(Xero!$F:$F,Xero!$B:$B,Heron!AG$9,Xero!$A:$A,Heron!$A$5,Xero!$E:$E,Heron!$A75)</f>
        <v/>
      </c>
      <c r="AH75" s="117">
        <f>SUMIFS(Xero!$F:$F,Xero!$B:$B,Heron!AH$9,Xero!$A:$A,Heron!$A$4,Xero!$E:$E,Heron!$A75)+SUMIFS(Xero!$F:$F,Xero!$B:$B,Heron!AH$9,Xero!$A:$A,Heron!$A$5,Xero!$E:$E,Heron!$A75)</f>
        <v/>
      </c>
      <c r="AI75" s="117">
        <f>SUMIFS(Xero!$F:$F,Xero!$B:$B,Heron!AI$9,Xero!$A:$A,Heron!$A$4,Xero!$E:$E,Heron!$A75)+SUMIFS(Xero!$F:$F,Xero!$B:$B,Heron!AI$9,Xero!$A:$A,Heron!$A$5,Xero!$E:$E,Heron!$A75)</f>
        <v/>
      </c>
      <c r="AJ75" s="117">
        <f>SUMIFS(Xero!$F:$F,Xero!$B:$B,Heron!AJ$9,Xero!$A:$A,Heron!$A$4,Xero!$E:$E,Heron!$A75)+SUMIFS(Xero!$F:$F,Xero!$B:$B,Heron!AJ$9,Xero!$A:$A,Heron!$A$5,Xero!$E:$E,Heron!$A75)</f>
        <v/>
      </c>
      <c r="AK75" s="117">
        <f>SUMIFS(Xero!$F:$F,Xero!$B:$B,Heron!AK$9,Xero!$A:$A,Heron!$A$4,Xero!$E:$E,Heron!$A75)+SUMIFS(Xero!$F:$F,Xero!$B:$B,Heron!AK$9,Xero!$A:$A,Heron!$A$5,Xero!$E:$E,Heron!$A75)</f>
        <v/>
      </c>
      <c r="AL75" s="117">
        <f>SUMIFS(Xero!$F:$F,Xero!$B:$B,Heron!AL$9,Xero!$A:$A,Heron!$A$4,Xero!$E:$E,Heron!$A75)+SUMIFS(Xero!$F:$F,Xero!$B:$B,Heron!AL$9,Xero!$A:$A,Heron!$A$5,Xero!$E:$E,Heron!$A75)</f>
        <v/>
      </c>
      <c r="AM75" s="117">
        <f>SUMIFS(Xero!$F:$F,Xero!$B:$B,Heron!AM$9,Xero!$A:$A,Heron!$A$4,Xero!$E:$E,Heron!$A75)+SUMIFS(Xero!$F:$F,Xero!$B:$B,Heron!AM$9,Xero!$A:$A,Heron!$A$5,Xero!$E:$E,Heron!$A75)</f>
        <v/>
      </c>
      <c r="AN75" s="117">
        <f>SUMIFS(Xero!$F:$F,Xero!$B:$B,Heron!AN$9,Xero!$A:$A,Heron!$A$4,Xero!$E:$E,Heron!$A75)+SUMIFS(Xero!$F:$F,Xero!$B:$B,Heron!AN$9,Xero!$A:$A,Heron!$A$5,Xero!$E:$E,Heron!$A75)</f>
        <v/>
      </c>
      <c r="AO75" s="117">
        <f>SUMIFS(Xero!$F:$F,Xero!$B:$B,Heron!AO$9,Xero!$A:$A,Heron!$A$4,Xero!$E:$E,Heron!$A75)+SUMIFS(Xero!$F:$F,Xero!$B:$B,Heron!AO$9,Xero!$A:$A,Heron!$A$5,Xero!$E:$E,Heron!$A75)</f>
        <v/>
      </c>
      <c r="AP75" s="117">
        <f>SUMIFS(Xero!$F:$F,Xero!$B:$B,Heron!AP$9,Xero!$A:$A,Heron!$A$4,Xero!$E:$E,Heron!$A75)+SUMIFS(Xero!$F:$F,Xero!$B:$B,Heron!AP$9,Xero!$A:$A,Heron!$A$5,Xero!$E:$E,Heron!$A75)</f>
        <v/>
      </c>
      <c r="AQ75" s="117">
        <f>SUMIFS(Xero!$F:$F,Xero!$B:$B,Heron!AQ$9,Xero!$A:$A,Heron!$A$4,Xero!$E:$E,Heron!$A75)+SUMIFS(Xero!$F:$F,Xero!$B:$B,Heron!AQ$9,Xero!$A:$A,Heron!$A$5,Xero!$E:$E,Heron!$A75)</f>
        <v/>
      </c>
      <c r="AR75" s="117">
        <f>SUMIFS(Xero!$F:$F,Xero!$B:$B,Heron!AR$9,Xero!$A:$A,Heron!$A$4,Xero!$E:$E,Heron!$A75)+SUMIFS(Xero!$F:$F,Xero!$B:$B,Heron!AR$9,Xero!$A:$A,Heron!$A$5,Xero!$E:$E,Heron!$A75)</f>
        <v/>
      </c>
      <c r="AS75" s="117">
        <f>SUMIFS(Xero!$F:$F,Xero!$B:$B,Heron!AS$9,Xero!$A:$A,Heron!$A$4,Xero!$E:$E,Heron!$A75)+SUMIFS(Xero!$F:$F,Xero!$B:$B,Heron!AS$9,Xero!$A:$A,Heron!$A$5,Xero!$E:$E,Heron!$A75)</f>
        <v/>
      </c>
      <c r="AT75" s="117">
        <f>SUMIFS(Xero!$F:$F,Xero!$B:$B,Heron!AT$9,Xero!$A:$A,Heron!$A$4,Xero!$E:$E,Heron!$A75)+SUMIFS(Xero!$F:$F,Xero!$B:$B,Heron!AT$9,Xero!$A:$A,Heron!$A$5,Xero!$E:$E,Heron!$A75)</f>
        <v/>
      </c>
      <c r="AU75" s="117">
        <f>SUMIFS(Xero!$F:$F,Xero!$B:$B,Heron!AU$9,Xero!$A:$A,Heron!$A$4,Xero!$E:$E,Heron!$A75)+SUMIFS(Xero!$F:$F,Xero!$B:$B,Heron!AU$9,Xero!$A:$A,Heron!$A$5,Xero!$E:$E,Heron!$A75)</f>
        <v/>
      </c>
      <c r="AV75" s="117">
        <f>SUMIFS(Xero!$F:$F,Xero!$B:$B,Heron!AV$9,Xero!$A:$A,Heron!$A$4,Xero!$E:$E,Heron!$A75)+SUMIFS(Xero!$F:$F,Xero!$B:$B,Heron!AV$9,Xero!$A:$A,Heron!$A$5,Xero!$E:$E,Heron!$A75)</f>
        <v/>
      </c>
      <c r="AW75" s="117">
        <f>SUMIFS(Xero!$F:$F,Xero!$B:$B,Heron!AW$9,Xero!$A:$A,Heron!$A$4,Xero!$E:$E,Heron!$A75)+SUMIFS(Xero!$F:$F,Xero!$B:$B,Heron!AW$9,Xero!$A:$A,Heron!$A$5,Xero!$E:$E,Heron!$A75)</f>
        <v/>
      </c>
      <c r="AX75" s="117">
        <f>SUMIFS(Xero!$F:$F,Xero!$B:$B,Heron!AX$9,Xero!$A:$A,Heron!$A$4,Xero!$E:$E,Heron!$A75)+SUMIFS(Xero!$F:$F,Xero!$B:$B,Heron!AX$9,Xero!$A:$A,Heron!$A$5,Xero!$E:$E,Heron!$A75)</f>
        <v/>
      </c>
      <c r="AY75" s="117">
        <f>SUMIFS(Xero!$F:$F,Xero!$B:$B,Heron!AY$9,Xero!$A:$A,Heron!$A$4,Xero!$E:$E,Heron!$A75)+SUMIFS(Xero!$F:$F,Xero!$B:$B,Heron!AY$9,Xero!$A:$A,Heron!$A$5,Xero!$E:$E,Heron!$A75)</f>
        <v/>
      </c>
      <c r="AZ75" s="117">
        <f>SUMIFS(Xero!$F:$F,Xero!$B:$B,Heron!AZ$9,Xero!$A:$A,Heron!$A$4,Xero!$E:$E,Heron!$A75)+SUMIFS(Xero!$F:$F,Xero!$B:$B,Heron!AZ$9,Xero!$A:$A,Heron!$A$5,Xero!$E:$E,Heron!$A75)</f>
        <v/>
      </c>
      <c r="BA75" s="117">
        <f>SUMIFS(Xero!$F:$F,Xero!$B:$B,Heron!BA$9,Xero!$A:$A,Heron!$A$4,Xero!$E:$E,Heron!$A75)+SUMIFS(Xero!$F:$F,Xero!$B:$B,Heron!BA$9,Xero!$A:$A,Heron!$A$5,Xero!$E:$E,Heron!$A75)</f>
        <v/>
      </c>
      <c r="BB75" s="117">
        <f>SUMIFS(Xero!$F:$F,Xero!$B:$B,Heron!BB$9,Xero!$A:$A,Heron!$A$4,Xero!$E:$E,Heron!$A75)+SUMIFS(Xero!$F:$F,Xero!$B:$B,Heron!BB$9,Xero!$A:$A,Heron!$A$5,Xero!$E:$E,Heron!$A75)</f>
        <v/>
      </c>
      <c r="BC75" s="117">
        <f>SUMIFS(Xero!$F:$F,Xero!$B:$B,Heron!BC$9,Xero!$A:$A,Heron!$A$4,Xero!$E:$E,Heron!$A75)+SUMIFS(Xero!$F:$F,Xero!$B:$B,Heron!BC$9,Xero!$A:$A,Heron!$A$5,Xero!$E:$E,Heron!$A75)</f>
        <v/>
      </c>
      <c r="BD75" s="117">
        <f>SUMIFS(Xero!$F:$F,Xero!$B:$B,Heron!BD$9,Xero!$A:$A,Heron!$A$4,Xero!$E:$E,Heron!$A75)+SUMIFS(Xero!$F:$F,Xero!$B:$B,Heron!BD$9,Xero!$A:$A,Heron!$A$5,Xero!$E:$E,Heron!$A75)</f>
        <v/>
      </c>
      <c r="BE75" s="117">
        <f>SUMIFS(Xero!$F:$F,Xero!$B:$B,Heron!BE$9,Xero!$A:$A,Heron!$A$4,Xero!$E:$E,Heron!$A75)+SUMIFS(Xero!$F:$F,Xero!$B:$B,Heron!BE$9,Xero!$A:$A,Heron!$A$5,Xero!$E:$E,Heron!$A75)</f>
        <v/>
      </c>
      <c r="BF75" s="117">
        <f>SUMIFS(Xero!$F:$F,Xero!$B:$B,Heron!BF$9,Xero!$A:$A,Heron!$A$4,Xero!$E:$E,Heron!$A75)+SUMIFS(Xero!$F:$F,Xero!$B:$B,Heron!BF$9,Xero!$A:$A,Heron!$A$5,Xero!$E:$E,Heron!$A75)</f>
        <v/>
      </c>
      <c r="BG75" s="117">
        <f>SUMIFS(Xero!$F:$F,Xero!$B:$B,Heron!BG$9,Xero!$A:$A,Heron!$A$4,Xero!$E:$E,Heron!$A75)+SUMIFS(Xero!$F:$F,Xero!$B:$B,Heron!BG$9,Xero!$A:$A,Heron!$A$5,Xero!$E:$E,Heron!$A75)</f>
        <v/>
      </c>
      <c r="BH75" s="117">
        <f>SUMIFS(Xero!$F:$F,Xero!$B:$B,Heron!BH$9,Xero!$A:$A,Heron!$A$4,Xero!$E:$E,Heron!$A75)+SUMIFS(Xero!$F:$F,Xero!$B:$B,Heron!BH$9,Xero!$A:$A,Heron!$A$5,Xero!$E:$E,Heron!$A75)</f>
        <v/>
      </c>
      <c r="BI75" s="117">
        <f>SUMIFS(Xero!$F:$F,Xero!$B:$B,Heron!BI$9,Xero!$A:$A,Heron!$A$4,Xero!$E:$E,Heron!$A75)+SUMIFS(Xero!$F:$F,Xero!$B:$B,Heron!BI$9,Xero!$A:$A,Heron!$A$5,Xero!$E:$E,Heron!$A75)</f>
        <v/>
      </c>
      <c r="BJ75" s="117">
        <f>SUMIFS(Xero!$F:$F,Xero!$B:$B,Heron!BJ$9,Xero!$A:$A,Heron!$A$4,Xero!$E:$E,Heron!$A75)+SUMIFS(Xero!$F:$F,Xero!$B:$B,Heron!BJ$9,Xero!$A:$A,Heron!$A$5,Xero!$E:$E,Heron!$A75)</f>
        <v/>
      </c>
      <c r="BK75" s="117">
        <f>sum(D75:BJ75)</f>
        <v/>
      </c>
    </row>
    <row r="76">
      <c r="A76" s="116" t="inlineStr">
        <is>
          <t>Interest Paid - Investors @ 14%</t>
        </is>
      </c>
      <c r="D76" s="117">
        <f>SUMIFS(Xero!$F:$F,Xero!$B:$B,Heron!D$9,Xero!$A:$A,Heron!$A$4,Xero!$E:$E,Heron!$A76)+SUMIFS(Xero!$F:$F,Xero!$B:$B,Heron!D$9,Xero!$A:$A,Heron!$A$5,Xero!$E:$E,Heron!$A76)</f>
        <v/>
      </c>
      <c r="E76" s="117">
        <f>SUMIFS(Xero!$F:$F,Xero!$B:$B,Heron!E$9,Xero!$A:$A,Heron!$A$4,Xero!$E:$E,Heron!$A76)+SUMIFS(Xero!$F:$F,Xero!$B:$B,Heron!E$9,Xero!$A:$A,Heron!$A$5,Xero!$E:$E,Heron!$A76)</f>
        <v/>
      </c>
      <c r="F76" s="117">
        <f>SUMIFS(Xero!$F:$F,Xero!$B:$B,Heron!F$9,Xero!$A:$A,Heron!$A$4,Xero!$E:$E,Heron!$A76)+SUMIFS(Xero!$F:$F,Xero!$B:$B,Heron!F$9,Xero!$A:$A,Heron!$A$5,Xero!$E:$E,Heron!$A76)</f>
        <v/>
      </c>
      <c r="G76" s="117">
        <f>SUMIFS(Xero!$F:$F,Xero!$B:$B,Heron!G$9,Xero!$A:$A,Heron!$A$4,Xero!$E:$E,Heron!$A76)+SUMIFS(Xero!$F:$F,Xero!$B:$B,Heron!G$9,Xero!$A:$A,Heron!$A$5,Xero!$E:$E,Heron!$A76)</f>
        <v/>
      </c>
      <c r="H76" s="117">
        <f>SUMIFS(Xero!$F:$F,Xero!$B:$B,Heron!H$9,Xero!$A:$A,Heron!$A$4,Xero!$E:$E,Heron!$A76)+SUMIFS(Xero!$F:$F,Xero!$B:$B,Heron!H$9,Xero!$A:$A,Heron!$A$5,Xero!$E:$E,Heron!$A76)</f>
        <v/>
      </c>
      <c r="I76" s="117">
        <f>SUMIFS(Xero!$F:$F,Xero!$B:$B,Heron!I$9,Xero!$A:$A,Heron!$A$4,Xero!$E:$E,Heron!$A76)+SUMIFS(Xero!$F:$F,Xero!$B:$B,Heron!I$9,Xero!$A:$A,Heron!$A$5,Xero!$E:$E,Heron!$A76)</f>
        <v/>
      </c>
      <c r="J76" s="117">
        <f>SUMIFS(Xero!$F:$F,Xero!$B:$B,Heron!J$9,Xero!$A:$A,Heron!$A$4,Xero!$E:$E,Heron!$A76)+SUMIFS(Xero!$F:$F,Xero!$B:$B,Heron!J$9,Xero!$A:$A,Heron!$A$5,Xero!$E:$E,Heron!$A76)</f>
        <v/>
      </c>
      <c r="K76" s="117">
        <f>SUMIFS(Xero!$F:$F,Xero!$B:$B,Heron!K$9,Xero!$A:$A,Heron!$A$4,Xero!$E:$E,Heron!$A76)+SUMIFS(Xero!$F:$F,Xero!$B:$B,Heron!K$9,Xero!$A:$A,Heron!$A$5,Xero!$E:$E,Heron!$A76)</f>
        <v/>
      </c>
      <c r="L76" s="117">
        <f>SUMIFS(Xero!$F:$F,Xero!$B:$B,Heron!L$9,Xero!$A:$A,Heron!$A$4,Xero!$E:$E,Heron!$A76)+SUMIFS(Xero!$F:$F,Xero!$B:$B,Heron!L$9,Xero!$A:$A,Heron!$A$5,Xero!$E:$E,Heron!$A76)</f>
        <v/>
      </c>
      <c r="M76" s="117">
        <f>SUMIFS(Xero!$F:$F,Xero!$B:$B,Heron!M$9,Xero!$A:$A,Heron!$A$4,Xero!$E:$E,Heron!$A76)+SUMIFS(Xero!$F:$F,Xero!$B:$B,Heron!M$9,Xero!$A:$A,Heron!$A$5,Xero!$E:$E,Heron!$A76)</f>
        <v/>
      </c>
      <c r="N76" s="117">
        <f>SUMIFS(Xero!$F:$F,Xero!$B:$B,Heron!N$9,Xero!$A:$A,Heron!$A$4,Xero!$E:$E,Heron!$A76)+SUMIFS(Xero!$F:$F,Xero!$B:$B,Heron!N$9,Xero!$A:$A,Heron!$A$5,Xero!$E:$E,Heron!$A76)</f>
        <v/>
      </c>
      <c r="O76" s="117">
        <f>SUMIFS(Xero!$F:$F,Xero!$B:$B,Heron!O$9,Xero!$A:$A,Heron!$A$4,Xero!$E:$E,Heron!$A76)+SUMIFS(Xero!$F:$F,Xero!$B:$B,Heron!O$9,Xero!$A:$A,Heron!$A$5,Xero!$E:$E,Heron!$A76)</f>
        <v/>
      </c>
      <c r="P76" s="117">
        <f>SUMIFS(Xero!$F:$F,Xero!$B:$B,Heron!P$9,Xero!$A:$A,Heron!$A$4,Xero!$E:$E,Heron!$A76)+SUMIFS(Xero!$F:$F,Xero!$B:$B,Heron!P$9,Xero!$A:$A,Heron!$A$5,Xero!$E:$E,Heron!$A76)</f>
        <v/>
      </c>
      <c r="Q76" s="117">
        <f>SUMIFS(Xero!$F:$F,Xero!$B:$B,Heron!Q$9,Xero!$A:$A,Heron!$A$4,Xero!$E:$E,Heron!$A76)+SUMIFS(Xero!$F:$F,Xero!$B:$B,Heron!Q$9,Xero!$A:$A,Heron!$A$5,Xero!$E:$E,Heron!$A76)</f>
        <v/>
      </c>
      <c r="R76" s="117">
        <f>SUMIFS(Xero!$F:$F,Xero!$B:$B,Heron!R$9,Xero!$A:$A,Heron!$A$4,Xero!$E:$E,Heron!$A76)+SUMIFS(Xero!$F:$F,Xero!$B:$B,Heron!R$9,Xero!$A:$A,Heron!$A$5,Xero!$E:$E,Heron!$A76)</f>
        <v/>
      </c>
      <c r="S76" s="117">
        <f>SUMIFS(Xero!$F:$F,Xero!$B:$B,Heron!S$9,Xero!$A:$A,Heron!$A$4,Xero!$E:$E,Heron!$A76)+SUMIFS(Xero!$F:$F,Xero!$B:$B,Heron!S$9,Xero!$A:$A,Heron!$A$5,Xero!$E:$E,Heron!$A76)</f>
        <v/>
      </c>
      <c r="T76" s="117">
        <f>SUMIFS(Xero!$F:$F,Xero!$B:$B,Heron!T$9,Xero!$A:$A,Heron!$A$4,Xero!$E:$E,Heron!$A76)+SUMIFS(Xero!$F:$F,Xero!$B:$B,Heron!T$9,Xero!$A:$A,Heron!$A$5,Xero!$E:$E,Heron!$A76)</f>
        <v/>
      </c>
      <c r="U76" s="117">
        <f>SUMIFS(Xero!$F:$F,Xero!$B:$B,Heron!U$9,Xero!$A:$A,Heron!$A$4,Xero!$E:$E,Heron!$A76)+SUMIFS(Xero!$F:$F,Xero!$B:$B,Heron!U$9,Xero!$A:$A,Heron!$A$5,Xero!$E:$E,Heron!$A76)</f>
        <v/>
      </c>
      <c r="V76" s="117">
        <f>SUMIFS(Xero!$F:$F,Xero!$B:$B,Heron!V$9,Xero!$A:$A,Heron!$A$4,Xero!$E:$E,Heron!$A76)+SUMIFS(Xero!$F:$F,Xero!$B:$B,Heron!V$9,Xero!$A:$A,Heron!$A$5,Xero!$E:$E,Heron!$A76)</f>
        <v/>
      </c>
      <c r="W76" s="117">
        <f>SUMIFS(Xero!$F:$F,Xero!$B:$B,Heron!W$9,Xero!$A:$A,Heron!$A$4,Xero!$E:$E,Heron!$A76)+SUMIFS(Xero!$F:$F,Xero!$B:$B,Heron!W$9,Xero!$A:$A,Heron!$A$5,Xero!$E:$E,Heron!$A76)</f>
        <v/>
      </c>
      <c r="X76" s="117">
        <f>SUMIFS(Xero!$F:$F,Xero!$B:$B,Heron!X$9,Xero!$A:$A,Heron!$A$4,Xero!$E:$E,Heron!$A76)+SUMIFS(Xero!$F:$F,Xero!$B:$B,Heron!X$9,Xero!$A:$A,Heron!$A$5,Xero!$E:$E,Heron!$A76)</f>
        <v/>
      </c>
      <c r="Y76" s="117">
        <f>SUMIFS(Xero!$F:$F,Xero!$B:$B,Heron!Y$9,Xero!$A:$A,Heron!$A$4,Xero!$E:$E,Heron!$A76)+SUMIFS(Xero!$F:$F,Xero!$B:$B,Heron!Y$9,Xero!$A:$A,Heron!$A$5,Xero!$E:$E,Heron!$A76)</f>
        <v/>
      </c>
      <c r="Z76" s="117">
        <f>SUMIFS(Xero!$F:$F,Xero!$B:$B,Heron!Z$9,Xero!$A:$A,Heron!$A$4,Xero!$E:$E,Heron!$A76)+SUMIFS(Xero!$F:$F,Xero!$B:$B,Heron!Z$9,Xero!$A:$A,Heron!$A$5,Xero!$E:$E,Heron!$A76)</f>
        <v/>
      </c>
      <c r="AA76" s="117">
        <f>SUMIFS(Xero!$F:$F,Xero!$B:$B,Heron!AA$9,Xero!$A:$A,Heron!$A$4,Xero!$E:$E,Heron!$A76)+SUMIFS(Xero!$F:$F,Xero!$B:$B,Heron!AA$9,Xero!$A:$A,Heron!$A$5,Xero!$E:$E,Heron!$A76)</f>
        <v/>
      </c>
      <c r="AB76" s="117">
        <f>SUMIFS(Xero!$F:$F,Xero!$B:$B,Heron!AB$9,Xero!$A:$A,Heron!$A$4,Xero!$E:$E,Heron!$A76)+SUMIFS(Xero!$F:$F,Xero!$B:$B,Heron!AB$9,Xero!$A:$A,Heron!$A$5,Xero!$E:$E,Heron!$A76)</f>
        <v/>
      </c>
      <c r="AC76" s="117">
        <f>SUMIFS(Xero!$F:$F,Xero!$B:$B,Heron!AC$9,Xero!$A:$A,Heron!$A$4,Xero!$E:$E,Heron!$A76)+SUMIFS(Xero!$F:$F,Xero!$B:$B,Heron!AC$9,Xero!$A:$A,Heron!$A$5,Xero!$E:$E,Heron!$A76)</f>
        <v/>
      </c>
      <c r="AD76" s="117">
        <f>SUMIFS(Xero!$F:$F,Xero!$B:$B,Heron!AD$9,Xero!$A:$A,Heron!$A$4,Xero!$E:$E,Heron!$A76)+SUMIFS(Xero!$F:$F,Xero!$B:$B,Heron!AD$9,Xero!$A:$A,Heron!$A$5,Xero!$E:$E,Heron!$A76)</f>
        <v/>
      </c>
      <c r="AE76" s="117">
        <f>SUMIFS(Xero!$F:$F,Xero!$B:$B,Heron!AE$9,Xero!$A:$A,Heron!$A$4,Xero!$E:$E,Heron!$A76)+SUMIFS(Xero!$F:$F,Xero!$B:$B,Heron!AE$9,Xero!$A:$A,Heron!$A$5,Xero!$E:$E,Heron!$A76)</f>
        <v/>
      </c>
      <c r="AF76" s="117">
        <f>SUMIFS(Xero!$F:$F,Xero!$B:$B,Heron!AF$9,Xero!$A:$A,Heron!$A$4,Xero!$E:$E,Heron!$A76)+SUMIFS(Xero!$F:$F,Xero!$B:$B,Heron!AF$9,Xero!$A:$A,Heron!$A$5,Xero!$E:$E,Heron!$A76)</f>
        <v/>
      </c>
      <c r="AG76" s="117">
        <f>SUMIFS(Xero!$F:$F,Xero!$B:$B,Heron!AG$9,Xero!$A:$A,Heron!$A$4,Xero!$E:$E,Heron!$A76)+SUMIFS(Xero!$F:$F,Xero!$B:$B,Heron!AG$9,Xero!$A:$A,Heron!$A$5,Xero!$E:$E,Heron!$A76)</f>
        <v/>
      </c>
      <c r="AH76" s="117">
        <f>SUMIFS(Xero!$F:$F,Xero!$B:$B,Heron!AH$9,Xero!$A:$A,Heron!$A$4,Xero!$E:$E,Heron!$A76)+SUMIFS(Xero!$F:$F,Xero!$B:$B,Heron!AH$9,Xero!$A:$A,Heron!$A$5,Xero!$E:$E,Heron!$A76)</f>
        <v/>
      </c>
      <c r="AI76" s="117">
        <f>SUMIFS(Xero!$F:$F,Xero!$B:$B,Heron!AI$9,Xero!$A:$A,Heron!$A$4,Xero!$E:$E,Heron!$A76)+SUMIFS(Xero!$F:$F,Xero!$B:$B,Heron!AI$9,Xero!$A:$A,Heron!$A$5,Xero!$E:$E,Heron!$A76)</f>
        <v/>
      </c>
      <c r="AJ76" s="117">
        <f>SUMIFS(Xero!$F:$F,Xero!$B:$B,Heron!AJ$9,Xero!$A:$A,Heron!$A$4,Xero!$E:$E,Heron!$A76)+SUMIFS(Xero!$F:$F,Xero!$B:$B,Heron!AJ$9,Xero!$A:$A,Heron!$A$5,Xero!$E:$E,Heron!$A76)</f>
        <v/>
      </c>
      <c r="AK76" s="117">
        <f>SUMIFS(Xero!$F:$F,Xero!$B:$B,Heron!AK$9,Xero!$A:$A,Heron!$A$4,Xero!$E:$E,Heron!$A76)+SUMIFS(Xero!$F:$F,Xero!$B:$B,Heron!AK$9,Xero!$A:$A,Heron!$A$5,Xero!$E:$E,Heron!$A76)</f>
        <v/>
      </c>
      <c r="AL76" s="117">
        <f>SUMIFS(Xero!$F:$F,Xero!$B:$B,Heron!AL$9,Xero!$A:$A,Heron!$A$4,Xero!$E:$E,Heron!$A76)+SUMIFS(Xero!$F:$F,Xero!$B:$B,Heron!AL$9,Xero!$A:$A,Heron!$A$5,Xero!$E:$E,Heron!$A76)</f>
        <v/>
      </c>
      <c r="AM76" s="117">
        <f>SUMIFS(Xero!$F:$F,Xero!$B:$B,Heron!AM$9,Xero!$A:$A,Heron!$A$4,Xero!$E:$E,Heron!$A76)+SUMIFS(Xero!$F:$F,Xero!$B:$B,Heron!AM$9,Xero!$A:$A,Heron!$A$5,Xero!$E:$E,Heron!$A76)</f>
        <v/>
      </c>
      <c r="AN76" s="117">
        <f>SUMIFS(Xero!$F:$F,Xero!$B:$B,Heron!AN$9,Xero!$A:$A,Heron!$A$4,Xero!$E:$E,Heron!$A76)+SUMIFS(Xero!$F:$F,Xero!$B:$B,Heron!AN$9,Xero!$A:$A,Heron!$A$5,Xero!$E:$E,Heron!$A76)</f>
        <v/>
      </c>
      <c r="AO76" s="117">
        <f>SUMIFS(Xero!$F:$F,Xero!$B:$B,Heron!AO$9,Xero!$A:$A,Heron!$A$4,Xero!$E:$E,Heron!$A76)+SUMIFS(Xero!$F:$F,Xero!$B:$B,Heron!AO$9,Xero!$A:$A,Heron!$A$5,Xero!$E:$E,Heron!$A76)</f>
        <v/>
      </c>
      <c r="AP76" s="117">
        <f>SUMIFS(Xero!$F:$F,Xero!$B:$B,Heron!AP$9,Xero!$A:$A,Heron!$A$4,Xero!$E:$E,Heron!$A76)+SUMIFS(Xero!$F:$F,Xero!$B:$B,Heron!AP$9,Xero!$A:$A,Heron!$A$5,Xero!$E:$E,Heron!$A76)</f>
        <v/>
      </c>
      <c r="AQ76" s="117">
        <f>SUMIFS(Xero!$F:$F,Xero!$B:$B,Heron!AQ$9,Xero!$A:$A,Heron!$A$4,Xero!$E:$E,Heron!$A76)+SUMIFS(Xero!$F:$F,Xero!$B:$B,Heron!AQ$9,Xero!$A:$A,Heron!$A$5,Xero!$E:$E,Heron!$A76)</f>
        <v/>
      </c>
      <c r="AR76" s="117">
        <f>SUMIFS(Xero!$F:$F,Xero!$B:$B,Heron!AR$9,Xero!$A:$A,Heron!$A$4,Xero!$E:$E,Heron!$A76)+SUMIFS(Xero!$F:$F,Xero!$B:$B,Heron!AR$9,Xero!$A:$A,Heron!$A$5,Xero!$E:$E,Heron!$A76)</f>
        <v/>
      </c>
      <c r="AS76" s="117">
        <f>SUMIFS(Xero!$F:$F,Xero!$B:$B,Heron!AS$9,Xero!$A:$A,Heron!$A$4,Xero!$E:$E,Heron!$A76)+SUMIFS(Xero!$F:$F,Xero!$B:$B,Heron!AS$9,Xero!$A:$A,Heron!$A$5,Xero!$E:$E,Heron!$A76)</f>
        <v/>
      </c>
      <c r="AT76" s="117">
        <f>SUMIFS(Xero!$F:$F,Xero!$B:$B,Heron!AT$9,Xero!$A:$A,Heron!$A$4,Xero!$E:$E,Heron!$A76)+SUMIFS(Xero!$F:$F,Xero!$B:$B,Heron!AT$9,Xero!$A:$A,Heron!$A$5,Xero!$E:$E,Heron!$A76)</f>
        <v/>
      </c>
      <c r="AU76" s="117">
        <f>SUMIFS(Xero!$F:$F,Xero!$B:$B,Heron!AU$9,Xero!$A:$A,Heron!$A$4,Xero!$E:$E,Heron!$A76)+SUMIFS(Xero!$F:$F,Xero!$B:$B,Heron!AU$9,Xero!$A:$A,Heron!$A$5,Xero!$E:$E,Heron!$A76)</f>
        <v/>
      </c>
      <c r="AV76" s="117">
        <f>SUMIFS(Xero!$F:$F,Xero!$B:$B,Heron!AV$9,Xero!$A:$A,Heron!$A$4,Xero!$E:$E,Heron!$A76)+SUMIFS(Xero!$F:$F,Xero!$B:$B,Heron!AV$9,Xero!$A:$A,Heron!$A$5,Xero!$E:$E,Heron!$A76)</f>
        <v/>
      </c>
      <c r="AW76" s="117">
        <f>SUMIFS(Xero!$F:$F,Xero!$B:$B,Heron!AW$9,Xero!$A:$A,Heron!$A$4,Xero!$E:$E,Heron!$A76)+SUMIFS(Xero!$F:$F,Xero!$B:$B,Heron!AW$9,Xero!$A:$A,Heron!$A$5,Xero!$E:$E,Heron!$A76)</f>
        <v/>
      </c>
      <c r="AX76" s="117">
        <f>SUMIFS(Xero!$F:$F,Xero!$B:$B,Heron!AX$9,Xero!$A:$A,Heron!$A$4,Xero!$E:$E,Heron!$A76)+SUMIFS(Xero!$F:$F,Xero!$B:$B,Heron!AX$9,Xero!$A:$A,Heron!$A$5,Xero!$E:$E,Heron!$A76)</f>
        <v/>
      </c>
      <c r="AY76" s="117">
        <f>SUMIFS(Xero!$F:$F,Xero!$B:$B,Heron!AY$9,Xero!$A:$A,Heron!$A$4,Xero!$E:$E,Heron!$A76)+SUMIFS(Xero!$F:$F,Xero!$B:$B,Heron!AY$9,Xero!$A:$A,Heron!$A$5,Xero!$E:$E,Heron!$A76)</f>
        <v/>
      </c>
      <c r="AZ76" s="117">
        <f>SUMIFS(Xero!$F:$F,Xero!$B:$B,Heron!AZ$9,Xero!$A:$A,Heron!$A$4,Xero!$E:$E,Heron!$A76)+SUMIFS(Xero!$F:$F,Xero!$B:$B,Heron!AZ$9,Xero!$A:$A,Heron!$A$5,Xero!$E:$E,Heron!$A76)</f>
        <v/>
      </c>
      <c r="BA76" s="117">
        <f>SUMIFS(Xero!$F:$F,Xero!$B:$B,Heron!BA$9,Xero!$A:$A,Heron!$A$4,Xero!$E:$E,Heron!$A76)+SUMIFS(Xero!$F:$F,Xero!$B:$B,Heron!BA$9,Xero!$A:$A,Heron!$A$5,Xero!$E:$E,Heron!$A76)</f>
        <v/>
      </c>
      <c r="BB76" s="117">
        <f>SUMIFS(Xero!$F:$F,Xero!$B:$B,Heron!BB$9,Xero!$A:$A,Heron!$A$4,Xero!$E:$E,Heron!$A76)+SUMIFS(Xero!$F:$F,Xero!$B:$B,Heron!BB$9,Xero!$A:$A,Heron!$A$5,Xero!$E:$E,Heron!$A76)</f>
        <v/>
      </c>
      <c r="BC76" s="117">
        <f>SUMIFS(Xero!$F:$F,Xero!$B:$B,Heron!BC$9,Xero!$A:$A,Heron!$A$4,Xero!$E:$E,Heron!$A76)+SUMIFS(Xero!$F:$F,Xero!$B:$B,Heron!BC$9,Xero!$A:$A,Heron!$A$5,Xero!$E:$E,Heron!$A76)</f>
        <v/>
      </c>
      <c r="BD76" s="117">
        <f>SUMIFS(Xero!$F:$F,Xero!$B:$B,Heron!BD$9,Xero!$A:$A,Heron!$A$4,Xero!$E:$E,Heron!$A76)+SUMIFS(Xero!$F:$F,Xero!$B:$B,Heron!BD$9,Xero!$A:$A,Heron!$A$5,Xero!$E:$E,Heron!$A76)</f>
        <v/>
      </c>
      <c r="BE76" s="117">
        <f>SUMIFS(Xero!$F:$F,Xero!$B:$B,Heron!BE$9,Xero!$A:$A,Heron!$A$4,Xero!$E:$E,Heron!$A76)+SUMIFS(Xero!$F:$F,Xero!$B:$B,Heron!BE$9,Xero!$A:$A,Heron!$A$5,Xero!$E:$E,Heron!$A76)</f>
        <v/>
      </c>
      <c r="BF76" s="117">
        <f>SUMIFS(Xero!$F:$F,Xero!$B:$B,Heron!BF$9,Xero!$A:$A,Heron!$A$4,Xero!$E:$E,Heron!$A76)+SUMIFS(Xero!$F:$F,Xero!$B:$B,Heron!BF$9,Xero!$A:$A,Heron!$A$5,Xero!$E:$E,Heron!$A76)</f>
        <v/>
      </c>
      <c r="BG76" s="117">
        <f>SUMIFS(Xero!$F:$F,Xero!$B:$B,Heron!BG$9,Xero!$A:$A,Heron!$A$4,Xero!$E:$E,Heron!$A76)+SUMIFS(Xero!$F:$F,Xero!$B:$B,Heron!BG$9,Xero!$A:$A,Heron!$A$5,Xero!$E:$E,Heron!$A76)</f>
        <v/>
      </c>
      <c r="BH76" s="117">
        <f>SUMIFS(Xero!$F:$F,Xero!$B:$B,Heron!BH$9,Xero!$A:$A,Heron!$A$4,Xero!$E:$E,Heron!$A76)+SUMIFS(Xero!$F:$F,Xero!$B:$B,Heron!BH$9,Xero!$A:$A,Heron!$A$5,Xero!$E:$E,Heron!$A76)</f>
        <v/>
      </c>
      <c r="BI76" s="117">
        <f>SUMIFS(Xero!$F:$F,Xero!$B:$B,Heron!BI$9,Xero!$A:$A,Heron!$A$4,Xero!$E:$E,Heron!$A76)+SUMIFS(Xero!$F:$F,Xero!$B:$B,Heron!BI$9,Xero!$A:$A,Heron!$A$5,Xero!$E:$E,Heron!$A76)</f>
        <v/>
      </c>
      <c r="BJ76" s="117">
        <f>SUMIFS(Xero!$F:$F,Xero!$B:$B,Heron!BJ$9,Xero!$A:$A,Heron!$A$4,Xero!$E:$E,Heron!$A76)+SUMIFS(Xero!$F:$F,Xero!$B:$B,Heron!BJ$9,Xero!$A:$A,Heron!$A$5,Xero!$E:$E,Heron!$A76)</f>
        <v/>
      </c>
      <c r="BK76" s="117">
        <f>sum(D76:BJ76)</f>
        <v/>
      </c>
    </row>
    <row r="77">
      <c r="A77" s="116" t="inlineStr">
        <is>
          <t>Interest Paid - Investors @ 15%</t>
        </is>
      </c>
      <c r="D77" s="117">
        <f>SUMIFS(Xero!$F:$F,Xero!$B:$B,Heron!D$9,Xero!$A:$A,Heron!$A$4,Xero!$E:$E,Heron!$A77)+SUMIFS(Xero!$F:$F,Xero!$B:$B,Heron!D$9,Xero!$A:$A,Heron!$A$5,Xero!$E:$E,Heron!$A77)</f>
        <v/>
      </c>
      <c r="E77" s="117">
        <f>SUMIFS(Xero!$F:$F,Xero!$B:$B,Heron!E$9,Xero!$A:$A,Heron!$A$4,Xero!$E:$E,Heron!$A77)+SUMIFS(Xero!$F:$F,Xero!$B:$B,Heron!E$9,Xero!$A:$A,Heron!$A$5,Xero!$E:$E,Heron!$A77)</f>
        <v/>
      </c>
      <c r="F77" s="117">
        <f>SUMIFS(Xero!$F:$F,Xero!$B:$B,Heron!F$9,Xero!$A:$A,Heron!$A$4,Xero!$E:$E,Heron!$A77)+SUMIFS(Xero!$F:$F,Xero!$B:$B,Heron!F$9,Xero!$A:$A,Heron!$A$5,Xero!$E:$E,Heron!$A77)</f>
        <v/>
      </c>
      <c r="G77" s="117">
        <f>SUMIFS(Xero!$F:$F,Xero!$B:$B,Heron!G$9,Xero!$A:$A,Heron!$A$4,Xero!$E:$E,Heron!$A77)+SUMIFS(Xero!$F:$F,Xero!$B:$B,Heron!G$9,Xero!$A:$A,Heron!$A$5,Xero!$E:$E,Heron!$A77)</f>
        <v/>
      </c>
      <c r="H77" s="117">
        <f>SUMIFS(Xero!$F:$F,Xero!$B:$B,Heron!H$9,Xero!$A:$A,Heron!$A$4,Xero!$E:$E,Heron!$A77)+SUMIFS(Xero!$F:$F,Xero!$B:$B,Heron!H$9,Xero!$A:$A,Heron!$A$5,Xero!$E:$E,Heron!$A77)</f>
        <v/>
      </c>
      <c r="I77" s="117">
        <f>SUMIFS(Xero!$F:$F,Xero!$B:$B,Heron!I$9,Xero!$A:$A,Heron!$A$4,Xero!$E:$E,Heron!$A77)+SUMIFS(Xero!$F:$F,Xero!$B:$B,Heron!I$9,Xero!$A:$A,Heron!$A$5,Xero!$E:$E,Heron!$A77)</f>
        <v/>
      </c>
      <c r="J77" s="117">
        <f>SUMIFS(Xero!$F:$F,Xero!$B:$B,Heron!J$9,Xero!$A:$A,Heron!$A$4,Xero!$E:$E,Heron!$A77)+SUMIFS(Xero!$F:$F,Xero!$B:$B,Heron!J$9,Xero!$A:$A,Heron!$A$5,Xero!$E:$E,Heron!$A77)</f>
        <v/>
      </c>
      <c r="K77" s="117">
        <f>SUMIFS(Xero!$F:$F,Xero!$B:$B,Heron!K$9,Xero!$A:$A,Heron!$A$4,Xero!$E:$E,Heron!$A77)+SUMIFS(Xero!$F:$F,Xero!$B:$B,Heron!K$9,Xero!$A:$A,Heron!$A$5,Xero!$E:$E,Heron!$A77)</f>
        <v/>
      </c>
      <c r="L77" s="117">
        <f>SUMIFS(Xero!$F:$F,Xero!$B:$B,Heron!L$9,Xero!$A:$A,Heron!$A$4,Xero!$E:$E,Heron!$A77)+SUMIFS(Xero!$F:$F,Xero!$B:$B,Heron!L$9,Xero!$A:$A,Heron!$A$5,Xero!$E:$E,Heron!$A77)</f>
        <v/>
      </c>
      <c r="M77" s="117">
        <f>SUMIFS(Xero!$F:$F,Xero!$B:$B,Heron!M$9,Xero!$A:$A,Heron!$A$4,Xero!$E:$E,Heron!$A77)+SUMIFS(Xero!$F:$F,Xero!$B:$B,Heron!M$9,Xero!$A:$A,Heron!$A$5,Xero!$E:$E,Heron!$A77)</f>
        <v/>
      </c>
      <c r="N77" s="117">
        <f>SUMIFS(Xero!$F:$F,Xero!$B:$B,Heron!N$9,Xero!$A:$A,Heron!$A$4,Xero!$E:$E,Heron!$A77)+SUMIFS(Xero!$F:$F,Xero!$B:$B,Heron!N$9,Xero!$A:$A,Heron!$A$5,Xero!$E:$E,Heron!$A77)</f>
        <v/>
      </c>
      <c r="O77" s="117">
        <f>SUMIFS(Xero!$F:$F,Xero!$B:$B,Heron!O$9,Xero!$A:$A,Heron!$A$4,Xero!$E:$E,Heron!$A77)+SUMIFS(Xero!$F:$F,Xero!$B:$B,Heron!O$9,Xero!$A:$A,Heron!$A$5,Xero!$E:$E,Heron!$A77)</f>
        <v/>
      </c>
      <c r="P77" s="117">
        <f>SUMIFS(Xero!$F:$F,Xero!$B:$B,Heron!P$9,Xero!$A:$A,Heron!$A$4,Xero!$E:$E,Heron!$A77)+SUMIFS(Xero!$F:$F,Xero!$B:$B,Heron!P$9,Xero!$A:$A,Heron!$A$5,Xero!$E:$E,Heron!$A77)</f>
        <v/>
      </c>
      <c r="Q77" s="117">
        <f>SUMIFS(Xero!$F:$F,Xero!$B:$B,Heron!Q$9,Xero!$A:$A,Heron!$A$4,Xero!$E:$E,Heron!$A77)+SUMIFS(Xero!$F:$F,Xero!$B:$B,Heron!Q$9,Xero!$A:$A,Heron!$A$5,Xero!$E:$E,Heron!$A77)</f>
        <v/>
      </c>
      <c r="R77" s="117">
        <f>SUMIFS(Xero!$F:$F,Xero!$B:$B,Heron!R$9,Xero!$A:$A,Heron!$A$4,Xero!$E:$E,Heron!$A77)+SUMIFS(Xero!$F:$F,Xero!$B:$B,Heron!R$9,Xero!$A:$A,Heron!$A$5,Xero!$E:$E,Heron!$A77)</f>
        <v/>
      </c>
      <c r="S77" s="117">
        <f>SUMIFS(Xero!$F:$F,Xero!$B:$B,Heron!S$9,Xero!$A:$A,Heron!$A$4,Xero!$E:$E,Heron!$A77)+SUMIFS(Xero!$F:$F,Xero!$B:$B,Heron!S$9,Xero!$A:$A,Heron!$A$5,Xero!$E:$E,Heron!$A77)</f>
        <v/>
      </c>
      <c r="T77" s="117">
        <f>SUMIFS(Xero!$F:$F,Xero!$B:$B,Heron!T$9,Xero!$A:$A,Heron!$A$4,Xero!$E:$E,Heron!$A77)+SUMIFS(Xero!$F:$F,Xero!$B:$B,Heron!T$9,Xero!$A:$A,Heron!$A$5,Xero!$E:$E,Heron!$A77)</f>
        <v/>
      </c>
      <c r="U77" s="117">
        <f>SUMIFS(Xero!$F:$F,Xero!$B:$B,Heron!U$9,Xero!$A:$A,Heron!$A$4,Xero!$E:$E,Heron!$A77)+SUMIFS(Xero!$F:$F,Xero!$B:$B,Heron!U$9,Xero!$A:$A,Heron!$A$5,Xero!$E:$E,Heron!$A77)</f>
        <v/>
      </c>
      <c r="V77" s="117">
        <f>SUMIFS(Xero!$F:$F,Xero!$B:$B,Heron!V$9,Xero!$A:$A,Heron!$A$4,Xero!$E:$E,Heron!$A77)+SUMIFS(Xero!$F:$F,Xero!$B:$B,Heron!V$9,Xero!$A:$A,Heron!$A$5,Xero!$E:$E,Heron!$A77)</f>
        <v/>
      </c>
      <c r="W77" s="117">
        <f>SUMIFS(Xero!$F:$F,Xero!$B:$B,Heron!W$9,Xero!$A:$A,Heron!$A$4,Xero!$E:$E,Heron!$A77)+SUMIFS(Xero!$F:$F,Xero!$B:$B,Heron!W$9,Xero!$A:$A,Heron!$A$5,Xero!$E:$E,Heron!$A77)</f>
        <v/>
      </c>
      <c r="X77" s="117">
        <f>SUMIFS(Xero!$F:$F,Xero!$B:$B,Heron!X$9,Xero!$A:$A,Heron!$A$4,Xero!$E:$E,Heron!$A77)+SUMIFS(Xero!$F:$F,Xero!$B:$B,Heron!X$9,Xero!$A:$A,Heron!$A$5,Xero!$E:$E,Heron!$A77)</f>
        <v/>
      </c>
      <c r="Y77" s="117">
        <f>SUMIFS(Xero!$F:$F,Xero!$B:$B,Heron!Y$9,Xero!$A:$A,Heron!$A$4,Xero!$E:$E,Heron!$A77)+SUMIFS(Xero!$F:$F,Xero!$B:$B,Heron!Y$9,Xero!$A:$A,Heron!$A$5,Xero!$E:$E,Heron!$A77)</f>
        <v/>
      </c>
      <c r="Z77" s="117">
        <f>SUMIFS(Xero!$F:$F,Xero!$B:$B,Heron!Z$9,Xero!$A:$A,Heron!$A$4,Xero!$E:$E,Heron!$A77)+SUMIFS(Xero!$F:$F,Xero!$B:$B,Heron!Z$9,Xero!$A:$A,Heron!$A$5,Xero!$E:$E,Heron!$A77)</f>
        <v/>
      </c>
      <c r="AA77" s="117">
        <f>SUMIFS(Xero!$F:$F,Xero!$B:$B,Heron!AA$9,Xero!$A:$A,Heron!$A$4,Xero!$E:$E,Heron!$A77)+SUMIFS(Xero!$F:$F,Xero!$B:$B,Heron!AA$9,Xero!$A:$A,Heron!$A$5,Xero!$E:$E,Heron!$A77)</f>
        <v/>
      </c>
      <c r="AB77" s="117">
        <f>SUMIFS(Xero!$F:$F,Xero!$B:$B,Heron!AB$9,Xero!$A:$A,Heron!$A$4,Xero!$E:$E,Heron!$A77)+SUMIFS(Xero!$F:$F,Xero!$B:$B,Heron!AB$9,Xero!$A:$A,Heron!$A$5,Xero!$E:$E,Heron!$A77)</f>
        <v/>
      </c>
      <c r="AC77" s="117">
        <f>SUMIFS(Xero!$F:$F,Xero!$B:$B,Heron!AC$9,Xero!$A:$A,Heron!$A$4,Xero!$E:$E,Heron!$A77)+SUMIFS(Xero!$F:$F,Xero!$B:$B,Heron!AC$9,Xero!$A:$A,Heron!$A$5,Xero!$E:$E,Heron!$A77)</f>
        <v/>
      </c>
      <c r="AD77" s="117">
        <f>SUMIFS(Xero!$F:$F,Xero!$B:$B,Heron!AD$9,Xero!$A:$A,Heron!$A$4,Xero!$E:$E,Heron!$A77)+SUMIFS(Xero!$F:$F,Xero!$B:$B,Heron!AD$9,Xero!$A:$A,Heron!$A$5,Xero!$E:$E,Heron!$A77)</f>
        <v/>
      </c>
      <c r="AE77" s="117">
        <f>SUMIFS(Xero!$F:$F,Xero!$B:$B,Heron!AE$9,Xero!$A:$A,Heron!$A$4,Xero!$E:$E,Heron!$A77)+SUMIFS(Xero!$F:$F,Xero!$B:$B,Heron!AE$9,Xero!$A:$A,Heron!$A$5,Xero!$E:$E,Heron!$A77)</f>
        <v/>
      </c>
      <c r="AF77" s="117">
        <f>SUMIFS(Xero!$F:$F,Xero!$B:$B,Heron!AF$9,Xero!$A:$A,Heron!$A$4,Xero!$E:$E,Heron!$A77)+SUMIFS(Xero!$F:$F,Xero!$B:$B,Heron!AF$9,Xero!$A:$A,Heron!$A$5,Xero!$E:$E,Heron!$A77)</f>
        <v/>
      </c>
      <c r="AG77" s="117">
        <f>SUMIFS(Xero!$F:$F,Xero!$B:$B,Heron!AG$9,Xero!$A:$A,Heron!$A$4,Xero!$E:$E,Heron!$A77)+SUMIFS(Xero!$F:$F,Xero!$B:$B,Heron!AG$9,Xero!$A:$A,Heron!$A$5,Xero!$E:$E,Heron!$A77)</f>
        <v/>
      </c>
      <c r="AH77" s="117">
        <f>SUMIFS(Xero!$F:$F,Xero!$B:$B,Heron!AH$9,Xero!$A:$A,Heron!$A$4,Xero!$E:$E,Heron!$A77)+SUMIFS(Xero!$F:$F,Xero!$B:$B,Heron!AH$9,Xero!$A:$A,Heron!$A$5,Xero!$E:$E,Heron!$A77)</f>
        <v/>
      </c>
      <c r="AI77" s="117">
        <f>SUMIFS(Xero!$F:$F,Xero!$B:$B,Heron!AI$9,Xero!$A:$A,Heron!$A$4,Xero!$E:$E,Heron!$A77)+SUMIFS(Xero!$F:$F,Xero!$B:$B,Heron!AI$9,Xero!$A:$A,Heron!$A$5,Xero!$E:$E,Heron!$A77)</f>
        <v/>
      </c>
      <c r="AJ77" s="117">
        <f>SUMIFS(Xero!$F:$F,Xero!$B:$B,Heron!AJ$9,Xero!$A:$A,Heron!$A$4,Xero!$E:$E,Heron!$A77)+SUMIFS(Xero!$F:$F,Xero!$B:$B,Heron!AJ$9,Xero!$A:$A,Heron!$A$5,Xero!$E:$E,Heron!$A77)</f>
        <v/>
      </c>
      <c r="AK77" s="117">
        <f>SUMIFS(Xero!$F:$F,Xero!$B:$B,Heron!AK$9,Xero!$A:$A,Heron!$A$4,Xero!$E:$E,Heron!$A77)+SUMIFS(Xero!$F:$F,Xero!$B:$B,Heron!AK$9,Xero!$A:$A,Heron!$A$5,Xero!$E:$E,Heron!$A77)</f>
        <v/>
      </c>
      <c r="AL77" s="117">
        <f>SUMIFS(Xero!$F:$F,Xero!$B:$B,Heron!AL$9,Xero!$A:$A,Heron!$A$4,Xero!$E:$E,Heron!$A77)+SUMIFS(Xero!$F:$F,Xero!$B:$B,Heron!AL$9,Xero!$A:$A,Heron!$A$5,Xero!$E:$E,Heron!$A77)</f>
        <v/>
      </c>
      <c r="AM77" s="117">
        <f>SUMIFS(Xero!$F:$F,Xero!$B:$B,Heron!AM$9,Xero!$A:$A,Heron!$A$4,Xero!$E:$E,Heron!$A77)+SUMIFS(Xero!$F:$F,Xero!$B:$B,Heron!AM$9,Xero!$A:$A,Heron!$A$5,Xero!$E:$E,Heron!$A77)</f>
        <v/>
      </c>
      <c r="AN77" s="117">
        <f>SUMIFS(Xero!$F:$F,Xero!$B:$B,Heron!AN$9,Xero!$A:$A,Heron!$A$4,Xero!$E:$E,Heron!$A77)+SUMIFS(Xero!$F:$F,Xero!$B:$B,Heron!AN$9,Xero!$A:$A,Heron!$A$5,Xero!$E:$E,Heron!$A77)</f>
        <v/>
      </c>
      <c r="AO77" s="117">
        <f>SUMIFS(Xero!$F:$F,Xero!$B:$B,Heron!AO$9,Xero!$A:$A,Heron!$A$4,Xero!$E:$E,Heron!$A77)+SUMIFS(Xero!$F:$F,Xero!$B:$B,Heron!AO$9,Xero!$A:$A,Heron!$A$5,Xero!$E:$E,Heron!$A77)</f>
        <v/>
      </c>
      <c r="AP77" s="117">
        <f>SUMIFS(Xero!$F:$F,Xero!$B:$B,Heron!AP$9,Xero!$A:$A,Heron!$A$4,Xero!$E:$E,Heron!$A77)+SUMIFS(Xero!$F:$F,Xero!$B:$B,Heron!AP$9,Xero!$A:$A,Heron!$A$5,Xero!$E:$E,Heron!$A77)</f>
        <v/>
      </c>
      <c r="AQ77" s="117">
        <f>SUMIFS(Xero!$F:$F,Xero!$B:$B,Heron!AQ$9,Xero!$A:$A,Heron!$A$4,Xero!$E:$E,Heron!$A77)+SUMIFS(Xero!$F:$F,Xero!$B:$B,Heron!AQ$9,Xero!$A:$A,Heron!$A$5,Xero!$E:$E,Heron!$A77)</f>
        <v/>
      </c>
      <c r="AR77" s="117">
        <f>SUMIFS(Xero!$F:$F,Xero!$B:$B,Heron!AR$9,Xero!$A:$A,Heron!$A$4,Xero!$E:$E,Heron!$A77)+SUMIFS(Xero!$F:$F,Xero!$B:$B,Heron!AR$9,Xero!$A:$A,Heron!$A$5,Xero!$E:$E,Heron!$A77)</f>
        <v/>
      </c>
      <c r="AS77" s="117">
        <f>SUMIFS(Xero!$F:$F,Xero!$B:$B,Heron!AS$9,Xero!$A:$A,Heron!$A$4,Xero!$E:$E,Heron!$A77)+SUMIFS(Xero!$F:$F,Xero!$B:$B,Heron!AS$9,Xero!$A:$A,Heron!$A$5,Xero!$E:$E,Heron!$A77)</f>
        <v/>
      </c>
      <c r="AT77" s="117">
        <f>SUMIFS(Xero!$F:$F,Xero!$B:$B,Heron!AT$9,Xero!$A:$A,Heron!$A$4,Xero!$E:$E,Heron!$A77)+SUMIFS(Xero!$F:$F,Xero!$B:$B,Heron!AT$9,Xero!$A:$A,Heron!$A$5,Xero!$E:$E,Heron!$A77)</f>
        <v/>
      </c>
      <c r="AU77" s="117">
        <f>SUMIFS(Xero!$F:$F,Xero!$B:$B,Heron!AU$9,Xero!$A:$A,Heron!$A$4,Xero!$E:$E,Heron!$A77)+SUMIFS(Xero!$F:$F,Xero!$B:$B,Heron!AU$9,Xero!$A:$A,Heron!$A$5,Xero!$E:$E,Heron!$A77)</f>
        <v/>
      </c>
      <c r="AV77" s="117">
        <f>SUMIFS(Xero!$F:$F,Xero!$B:$B,Heron!AV$9,Xero!$A:$A,Heron!$A$4,Xero!$E:$E,Heron!$A77)+SUMIFS(Xero!$F:$F,Xero!$B:$B,Heron!AV$9,Xero!$A:$A,Heron!$A$5,Xero!$E:$E,Heron!$A77)</f>
        <v/>
      </c>
      <c r="AW77" s="117">
        <f>SUMIFS(Xero!$F:$F,Xero!$B:$B,Heron!AW$9,Xero!$A:$A,Heron!$A$4,Xero!$E:$E,Heron!$A77)+SUMIFS(Xero!$F:$F,Xero!$B:$B,Heron!AW$9,Xero!$A:$A,Heron!$A$5,Xero!$E:$E,Heron!$A77)</f>
        <v/>
      </c>
      <c r="AX77" s="117">
        <f>SUMIFS(Xero!$F:$F,Xero!$B:$B,Heron!AX$9,Xero!$A:$A,Heron!$A$4,Xero!$E:$E,Heron!$A77)+SUMIFS(Xero!$F:$F,Xero!$B:$B,Heron!AX$9,Xero!$A:$A,Heron!$A$5,Xero!$E:$E,Heron!$A77)</f>
        <v/>
      </c>
      <c r="AY77" s="117">
        <f>SUMIFS(Xero!$F:$F,Xero!$B:$B,Heron!AY$9,Xero!$A:$A,Heron!$A$4,Xero!$E:$E,Heron!$A77)+SUMIFS(Xero!$F:$F,Xero!$B:$B,Heron!AY$9,Xero!$A:$A,Heron!$A$5,Xero!$E:$E,Heron!$A77)</f>
        <v/>
      </c>
      <c r="AZ77" s="117">
        <f>SUMIFS(Xero!$F:$F,Xero!$B:$B,Heron!AZ$9,Xero!$A:$A,Heron!$A$4,Xero!$E:$E,Heron!$A77)+SUMIFS(Xero!$F:$F,Xero!$B:$B,Heron!AZ$9,Xero!$A:$A,Heron!$A$5,Xero!$E:$E,Heron!$A77)</f>
        <v/>
      </c>
      <c r="BA77" s="117">
        <f>SUMIFS(Xero!$F:$F,Xero!$B:$B,Heron!BA$9,Xero!$A:$A,Heron!$A$4,Xero!$E:$E,Heron!$A77)+SUMIFS(Xero!$F:$F,Xero!$B:$B,Heron!BA$9,Xero!$A:$A,Heron!$A$5,Xero!$E:$E,Heron!$A77)</f>
        <v/>
      </c>
      <c r="BB77" s="117">
        <f>SUMIFS(Xero!$F:$F,Xero!$B:$B,Heron!BB$9,Xero!$A:$A,Heron!$A$4,Xero!$E:$E,Heron!$A77)+SUMIFS(Xero!$F:$F,Xero!$B:$B,Heron!BB$9,Xero!$A:$A,Heron!$A$5,Xero!$E:$E,Heron!$A77)</f>
        <v/>
      </c>
      <c r="BC77" s="117">
        <f>SUMIFS(Xero!$F:$F,Xero!$B:$B,Heron!BC$9,Xero!$A:$A,Heron!$A$4,Xero!$E:$E,Heron!$A77)+SUMIFS(Xero!$F:$F,Xero!$B:$B,Heron!BC$9,Xero!$A:$A,Heron!$A$5,Xero!$E:$E,Heron!$A77)</f>
        <v/>
      </c>
      <c r="BD77" s="117">
        <f>SUMIFS(Xero!$F:$F,Xero!$B:$B,Heron!BD$9,Xero!$A:$A,Heron!$A$4,Xero!$E:$E,Heron!$A77)+SUMIFS(Xero!$F:$F,Xero!$B:$B,Heron!BD$9,Xero!$A:$A,Heron!$A$5,Xero!$E:$E,Heron!$A77)</f>
        <v/>
      </c>
      <c r="BE77" s="117">
        <f>SUMIFS(Xero!$F:$F,Xero!$B:$B,Heron!BE$9,Xero!$A:$A,Heron!$A$4,Xero!$E:$E,Heron!$A77)+SUMIFS(Xero!$F:$F,Xero!$B:$B,Heron!BE$9,Xero!$A:$A,Heron!$A$5,Xero!$E:$E,Heron!$A77)</f>
        <v/>
      </c>
      <c r="BF77" s="117">
        <f>SUMIFS(Xero!$F:$F,Xero!$B:$B,Heron!BF$9,Xero!$A:$A,Heron!$A$4,Xero!$E:$E,Heron!$A77)+SUMIFS(Xero!$F:$F,Xero!$B:$B,Heron!BF$9,Xero!$A:$A,Heron!$A$5,Xero!$E:$E,Heron!$A77)</f>
        <v/>
      </c>
      <c r="BG77" s="117">
        <f>SUMIFS(Xero!$F:$F,Xero!$B:$B,Heron!BG$9,Xero!$A:$A,Heron!$A$4,Xero!$E:$E,Heron!$A77)+SUMIFS(Xero!$F:$F,Xero!$B:$B,Heron!BG$9,Xero!$A:$A,Heron!$A$5,Xero!$E:$E,Heron!$A77)</f>
        <v/>
      </c>
      <c r="BH77" s="117">
        <f>SUMIFS(Xero!$F:$F,Xero!$B:$B,Heron!BH$9,Xero!$A:$A,Heron!$A$4,Xero!$E:$E,Heron!$A77)+SUMIFS(Xero!$F:$F,Xero!$B:$B,Heron!BH$9,Xero!$A:$A,Heron!$A$5,Xero!$E:$E,Heron!$A77)</f>
        <v/>
      </c>
      <c r="BI77" s="117">
        <f>SUMIFS(Xero!$F:$F,Xero!$B:$B,Heron!BI$9,Xero!$A:$A,Heron!$A$4,Xero!$E:$E,Heron!$A77)+SUMIFS(Xero!$F:$F,Xero!$B:$B,Heron!BI$9,Xero!$A:$A,Heron!$A$5,Xero!$E:$E,Heron!$A77)</f>
        <v/>
      </c>
      <c r="BJ77" s="117">
        <f>SUMIFS(Xero!$F:$F,Xero!$B:$B,Heron!BJ$9,Xero!$A:$A,Heron!$A$4,Xero!$E:$E,Heron!$A77)+SUMIFS(Xero!$F:$F,Xero!$B:$B,Heron!BJ$9,Xero!$A:$A,Heron!$A$5,Xero!$E:$E,Heron!$A77)</f>
        <v/>
      </c>
      <c r="BK77" s="117">
        <f>sum(D77:BJ77)</f>
        <v/>
      </c>
    </row>
    <row r="78">
      <c r="A78" s="116" t="inlineStr">
        <is>
          <t>Interest Paid - Investors @ 16%</t>
        </is>
      </c>
      <c r="D78" s="117">
        <f>SUMIFS(Xero!$F:$F,Xero!$B:$B,Heron!D$9,Xero!$A:$A,Heron!$A$4,Xero!$E:$E,Heron!$A78)+SUMIFS(Xero!$F:$F,Xero!$B:$B,Heron!D$9,Xero!$A:$A,Heron!$A$5,Xero!$E:$E,Heron!$A78)</f>
        <v/>
      </c>
      <c r="E78" s="117">
        <f>SUMIFS(Xero!$F:$F,Xero!$B:$B,Heron!E$9,Xero!$A:$A,Heron!$A$4,Xero!$E:$E,Heron!$A78)+SUMIFS(Xero!$F:$F,Xero!$B:$B,Heron!E$9,Xero!$A:$A,Heron!$A$5,Xero!$E:$E,Heron!$A78)</f>
        <v/>
      </c>
      <c r="F78" s="117">
        <f>SUMIFS(Xero!$F:$F,Xero!$B:$B,Heron!F$9,Xero!$A:$A,Heron!$A$4,Xero!$E:$E,Heron!$A78)+SUMIFS(Xero!$F:$F,Xero!$B:$B,Heron!F$9,Xero!$A:$A,Heron!$A$5,Xero!$E:$E,Heron!$A78)</f>
        <v/>
      </c>
      <c r="G78" s="117">
        <f>SUMIFS(Xero!$F:$F,Xero!$B:$B,Heron!G$9,Xero!$A:$A,Heron!$A$4,Xero!$E:$E,Heron!$A78)+SUMIFS(Xero!$F:$F,Xero!$B:$B,Heron!G$9,Xero!$A:$A,Heron!$A$5,Xero!$E:$E,Heron!$A78)</f>
        <v/>
      </c>
      <c r="H78" s="117">
        <f>SUMIFS(Xero!$F:$F,Xero!$B:$B,Heron!H$9,Xero!$A:$A,Heron!$A$4,Xero!$E:$E,Heron!$A78)+SUMIFS(Xero!$F:$F,Xero!$B:$B,Heron!H$9,Xero!$A:$A,Heron!$A$5,Xero!$E:$E,Heron!$A78)</f>
        <v/>
      </c>
      <c r="I78" s="117">
        <f>SUMIFS(Xero!$F:$F,Xero!$B:$B,Heron!I$9,Xero!$A:$A,Heron!$A$4,Xero!$E:$E,Heron!$A78)+SUMIFS(Xero!$F:$F,Xero!$B:$B,Heron!I$9,Xero!$A:$A,Heron!$A$5,Xero!$E:$E,Heron!$A78)</f>
        <v/>
      </c>
      <c r="J78" s="117">
        <f>SUMIFS(Xero!$F:$F,Xero!$B:$B,Heron!J$9,Xero!$A:$A,Heron!$A$4,Xero!$E:$E,Heron!$A78)+SUMIFS(Xero!$F:$F,Xero!$B:$B,Heron!J$9,Xero!$A:$A,Heron!$A$5,Xero!$E:$E,Heron!$A78)</f>
        <v/>
      </c>
      <c r="K78" s="117">
        <f>SUMIFS(Xero!$F:$F,Xero!$B:$B,Heron!K$9,Xero!$A:$A,Heron!$A$4,Xero!$E:$E,Heron!$A78)+SUMIFS(Xero!$F:$F,Xero!$B:$B,Heron!K$9,Xero!$A:$A,Heron!$A$5,Xero!$E:$E,Heron!$A78)</f>
        <v/>
      </c>
      <c r="L78" s="117">
        <f>SUMIFS(Xero!$F:$F,Xero!$B:$B,Heron!L$9,Xero!$A:$A,Heron!$A$4,Xero!$E:$E,Heron!$A78)+SUMIFS(Xero!$F:$F,Xero!$B:$B,Heron!L$9,Xero!$A:$A,Heron!$A$5,Xero!$E:$E,Heron!$A78)</f>
        <v/>
      </c>
      <c r="M78" s="117">
        <f>SUMIFS(Xero!$F:$F,Xero!$B:$B,Heron!M$9,Xero!$A:$A,Heron!$A$4,Xero!$E:$E,Heron!$A78)+SUMIFS(Xero!$F:$F,Xero!$B:$B,Heron!M$9,Xero!$A:$A,Heron!$A$5,Xero!$E:$E,Heron!$A78)</f>
        <v/>
      </c>
      <c r="N78" s="117">
        <f>SUMIFS(Xero!$F:$F,Xero!$B:$B,Heron!N$9,Xero!$A:$A,Heron!$A$4,Xero!$E:$E,Heron!$A78)+SUMIFS(Xero!$F:$F,Xero!$B:$B,Heron!N$9,Xero!$A:$A,Heron!$A$5,Xero!$E:$E,Heron!$A78)</f>
        <v/>
      </c>
      <c r="O78" s="117">
        <f>SUMIFS(Xero!$F:$F,Xero!$B:$B,Heron!O$9,Xero!$A:$A,Heron!$A$4,Xero!$E:$E,Heron!$A78)+SUMIFS(Xero!$F:$F,Xero!$B:$B,Heron!O$9,Xero!$A:$A,Heron!$A$5,Xero!$E:$E,Heron!$A78)</f>
        <v/>
      </c>
      <c r="P78" s="117">
        <f>SUMIFS(Xero!$F:$F,Xero!$B:$B,Heron!P$9,Xero!$A:$A,Heron!$A$4,Xero!$E:$E,Heron!$A78)+SUMIFS(Xero!$F:$F,Xero!$B:$B,Heron!P$9,Xero!$A:$A,Heron!$A$5,Xero!$E:$E,Heron!$A78)</f>
        <v/>
      </c>
      <c r="Q78" s="117">
        <f>SUMIFS(Xero!$F:$F,Xero!$B:$B,Heron!Q$9,Xero!$A:$A,Heron!$A$4,Xero!$E:$E,Heron!$A78)+SUMIFS(Xero!$F:$F,Xero!$B:$B,Heron!Q$9,Xero!$A:$A,Heron!$A$5,Xero!$E:$E,Heron!$A78)</f>
        <v/>
      </c>
      <c r="R78" s="117">
        <f>SUMIFS(Xero!$F:$F,Xero!$B:$B,Heron!R$9,Xero!$A:$A,Heron!$A$4,Xero!$E:$E,Heron!$A78)+SUMIFS(Xero!$F:$F,Xero!$B:$B,Heron!R$9,Xero!$A:$A,Heron!$A$5,Xero!$E:$E,Heron!$A78)</f>
        <v/>
      </c>
      <c r="S78" s="117">
        <f>SUMIFS(Xero!$F:$F,Xero!$B:$B,Heron!S$9,Xero!$A:$A,Heron!$A$4,Xero!$E:$E,Heron!$A78)+SUMIFS(Xero!$F:$F,Xero!$B:$B,Heron!S$9,Xero!$A:$A,Heron!$A$5,Xero!$E:$E,Heron!$A78)</f>
        <v/>
      </c>
      <c r="T78" s="117">
        <f>SUMIFS(Xero!$F:$F,Xero!$B:$B,Heron!T$9,Xero!$A:$A,Heron!$A$4,Xero!$E:$E,Heron!$A78)+SUMIFS(Xero!$F:$F,Xero!$B:$B,Heron!T$9,Xero!$A:$A,Heron!$A$5,Xero!$E:$E,Heron!$A78)</f>
        <v/>
      </c>
      <c r="U78" s="117">
        <f>SUMIFS(Xero!$F:$F,Xero!$B:$B,Heron!U$9,Xero!$A:$A,Heron!$A$4,Xero!$E:$E,Heron!$A78)+SUMIFS(Xero!$F:$F,Xero!$B:$B,Heron!U$9,Xero!$A:$A,Heron!$A$5,Xero!$E:$E,Heron!$A78)</f>
        <v/>
      </c>
      <c r="V78" s="117">
        <f>SUMIFS(Xero!$F:$F,Xero!$B:$B,Heron!V$9,Xero!$A:$A,Heron!$A$4,Xero!$E:$E,Heron!$A78)+SUMIFS(Xero!$F:$F,Xero!$B:$B,Heron!V$9,Xero!$A:$A,Heron!$A$5,Xero!$E:$E,Heron!$A78)</f>
        <v/>
      </c>
      <c r="W78" s="117">
        <f>SUMIFS(Xero!$F:$F,Xero!$B:$B,Heron!W$9,Xero!$A:$A,Heron!$A$4,Xero!$E:$E,Heron!$A78)+SUMIFS(Xero!$F:$F,Xero!$B:$B,Heron!W$9,Xero!$A:$A,Heron!$A$5,Xero!$E:$E,Heron!$A78)</f>
        <v/>
      </c>
      <c r="X78" s="117">
        <f>SUMIFS(Xero!$F:$F,Xero!$B:$B,Heron!X$9,Xero!$A:$A,Heron!$A$4,Xero!$E:$E,Heron!$A78)+SUMIFS(Xero!$F:$F,Xero!$B:$B,Heron!X$9,Xero!$A:$A,Heron!$A$5,Xero!$E:$E,Heron!$A78)</f>
        <v/>
      </c>
      <c r="Y78" s="117">
        <f>SUMIFS(Xero!$F:$F,Xero!$B:$B,Heron!Y$9,Xero!$A:$A,Heron!$A$4,Xero!$E:$E,Heron!$A78)+SUMIFS(Xero!$F:$F,Xero!$B:$B,Heron!Y$9,Xero!$A:$A,Heron!$A$5,Xero!$E:$E,Heron!$A78)</f>
        <v/>
      </c>
      <c r="Z78" s="117">
        <f>SUMIFS(Xero!$F:$F,Xero!$B:$B,Heron!Z$9,Xero!$A:$A,Heron!$A$4,Xero!$E:$E,Heron!$A78)+SUMIFS(Xero!$F:$F,Xero!$B:$B,Heron!Z$9,Xero!$A:$A,Heron!$A$5,Xero!$E:$E,Heron!$A78)</f>
        <v/>
      </c>
      <c r="AA78" s="117">
        <f>SUMIFS(Xero!$F:$F,Xero!$B:$B,Heron!AA$9,Xero!$A:$A,Heron!$A$4,Xero!$E:$E,Heron!$A78)+SUMIFS(Xero!$F:$F,Xero!$B:$B,Heron!AA$9,Xero!$A:$A,Heron!$A$5,Xero!$E:$E,Heron!$A78)</f>
        <v/>
      </c>
      <c r="AB78" s="117">
        <f>SUMIFS(Xero!$F:$F,Xero!$B:$B,Heron!AB$9,Xero!$A:$A,Heron!$A$4,Xero!$E:$E,Heron!$A78)+SUMIFS(Xero!$F:$F,Xero!$B:$B,Heron!AB$9,Xero!$A:$A,Heron!$A$5,Xero!$E:$E,Heron!$A78)</f>
        <v/>
      </c>
      <c r="AC78" s="117">
        <f>SUMIFS(Xero!$F:$F,Xero!$B:$B,Heron!AC$9,Xero!$A:$A,Heron!$A$4,Xero!$E:$E,Heron!$A78)+SUMIFS(Xero!$F:$F,Xero!$B:$B,Heron!AC$9,Xero!$A:$A,Heron!$A$5,Xero!$E:$E,Heron!$A78)</f>
        <v/>
      </c>
      <c r="AD78" s="117">
        <f>SUMIFS(Xero!$F:$F,Xero!$B:$B,Heron!AD$9,Xero!$A:$A,Heron!$A$4,Xero!$E:$E,Heron!$A78)+SUMIFS(Xero!$F:$F,Xero!$B:$B,Heron!AD$9,Xero!$A:$A,Heron!$A$5,Xero!$E:$E,Heron!$A78)</f>
        <v/>
      </c>
      <c r="AE78" s="117">
        <f>SUMIFS(Xero!$F:$F,Xero!$B:$B,Heron!AE$9,Xero!$A:$A,Heron!$A$4,Xero!$E:$E,Heron!$A78)+SUMIFS(Xero!$F:$F,Xero!$B:$B,Heron!AE$9,Xero!$A:$A,Heron!$A$5,Xero!$E:$E,Heron!$A78)</f>
        <v/>
      </c>
      <c r="AF78" s="117">
        <f>SUMIFS(Xero!$F:$F,Xero!$B:$B,Heron!AF$9,Xero!$A:$A,Heron!$A$4,Xero!$E:$E,Heron!$A78)+SUMIFS(Xero!$F:$F,Xero!$B:$B,Heron!AF$9,Xero!$A:$A,Heron!$A$5,Xero!$E:$E,Heron!$A78)</f>
        <v/>
      </c>
      <c r="AG78" s="117">
        <f>SUMIFS(Xero!$F:$F,Xero!$B:$B,Heron!AG$9,Xero!$A:$A,Heron!$A$4,Xero!$E:$E,Heron!$A78)+SUMIFS(Xero!$F:$F,Xero!$B:$B,Heron!AG$9,Xero!$A:$A,Heron!$A$5,Xero!$E:$E,Heron!$A78)</f>
        <v/>
      </c>
      <c r="AH78" s="117">
        <f>SUMIFS(Xero!$F:$F,Xero!$B:$B,Heron!AH$9,Xero!$A:$A,Heron!$A$4,Xero!$E:$E,Heron!$A78)+SUMIFS(Xero!$F:$F,Xero!$B:$B,Heron!AH$9,Xero!$A:$A,Heron!$A$5,Xero!$E:$E,Heron!$A78)</f>
        <v/>
      </c>
      <c r="AI78" s="117">
        <f>SUMIFS(Xero!$F:$F,Xero!$B:$B,Heron!AI$9,Xero!$A:$A,Heron!$A$4,Xero!$E:$E,Heron!$A78)+SUMIFS(Xero!$F:$F,Xero!$B:$B,Heron!AI$9,Xero!$A:$A,Heron!$A$5,Xero!$E:$E,Heron!$A78)</f>
        <v/>
      </c>
      <c r="AJ78" s="117">
        <f>SUMIFS(Xero!$F:$F,Xero!$B:$B,Heron!AJ$9,Xero!$A:$A,Heron!$A$4,Xero!$E:$E,Heron!$A78)+SUMIFS(Xero!$F:$F,Xero!$B:$B,Heron!AJ$9,Xero!$A:$A,Heron!$A$5,Xero!$E:$E,Heron!$A78)</f>
        <v/>
      </c>
      <c r="AK78" s="117">
        <f>SUMIFS(Xero!$F:$F,Xero!$B:$B,Heron!AK$9,Xero!$A:$A,Heron!$A$4,Xero!$E:$E,Heron!$A78)+SUMIFS(Xero!$F:$F,Xero!$B:$B,Heron!AK$9,Xero!$A:$A,Heron!$A$5,Xero!$E:$E,Heron!$A78)</f>
        <v/>
      </c>
      <c r="AL78" s="117">
        <f>SUMIFS(Xero!$F:$F,Xero!$B:$B,Heron!AL$9,Xero!$A:$A,Heron!$A$4,Xero!$E:$E,Heron!$A78)+SUMIFS(Xero!$F:$F,Xero!$B:$B,Heron!AL$9,Xero!$A:$A,Heron!$A$5,Xero!$E:$E,Heron!$A78)</f>
        <v/>
      </c>
      <c r="AM78" s="117">
        <f>SUMIFS(Xero!$F:$F,Xero!$B:$B,Heron!AM$9,Xero!$A:$A,Heron!$A$4,Xero!$E:$E,Heron!$A78)+SUMIFS(Xero!$F:$F,Xero!$B:$B,Heron!AM$9,Xero!$A:$A,Heron!$A$5,Xero!$E:$E,Heron!$A78)</f>
        <v/>
      </c>
      <c r="AN78" s="117">
        <f>SUMIFS(Xero!$F:$F,Xero!$B:$B,Heron!AN$9,Xero!$A:$A,Heron!$A$4,Xero!$E:$E,Heron!$A78)+SUMIFS(Xero!$F:$F,Xero!$B:$B,Heron!AN$9,Xero!$A:$A,Heron!$A$5,Xero!$E:$E,Heron!$A78)</f>
        <v/>
      </c>
      <c r="AO78" s="117">
        <f>SUMIFS(Xero!$F:$F,Xero!$B:$B,Heron!AO$9,Xero!$A:$A,Heron!$A$4,Xero!$E:$E,Heron!$A78)+SUMIFS(Xero!$F:$F,Xero!$B:$B,Heron!AO$9,Xero!$A:$A,Heron!$A$5,Xero!$E:$E,Heron!$A78)</f>
        <v/>
      </c>
      <c r="AP78" s="117">
        <f>SUMIFS(Xero!$F:$F,Xero!$B:$B,Heron!AP$9,Xero!$A:$A,Heron!$A$4,Xero!$E:$E,Heron!$A78)+SUMIFS(Xero!$F:$F,Xero!$B:$B,Heron!AP$9,Xero!$A:$A,Heron!$A$5,Xero!$E:$E,Heron!$A78)</f>
        <v/>
      </c>
      <c r="AQ78" s="117">
        <f>SUMIFS(Xero!$F:$F,Xero!$B:$B,Heron!AQ$9,Xero!$A:$A,Heron!$A$4,Xero!$E:$E,Heron!$A78)+SUMIFS(Xero!$F:$F,Xero!$B:$B,Heron!AQ$9,Xero!$A:$A,Heron!$A$5,Xero!$E:$E,Heron!$A78)</f>
        <v/>
      </c>
      <c r="AR78" s="117">
        <f>SUMIFS(Xero!$F:$F,Xero!$B:$B,Heron!AR$9,Xero!$A:$A,Heron!$A$4,Xero!$E:$E,Heron!$A78)+SUMIFS(Xero!$F:$F,Xero!$B:$B,Heron!AR$9,Xero!$A:$A,Heron!$A$5,Xero!$E:$E,Heron!$A78)</f>
        <v/>
      </c>
      <c r="AS78" s="117">
        <f>SUMIFS(Xero!$F:$F,Xero!$B:$B,Heron!AS$9,Xero!$A:$A,Heron!$A$4,Xero!$E:$E,Heron!$A78)+SUMIFS(Xero!$F:$F,Xero!$B:$B,Heron!AS$9,Xero!$A:$A,Heron!$A$5,Xero!$E:$E,Heron!$A78)</f>
        <v/>
      </c>
      <c r="AT78" s="117">
        <f>SUMIFS(Xero!$F:$F,Xero!$B:$B,Heron!AT$9,Xero!$A:$A,Heron!$A$4,Xero!$E:$E,Heron!$A78)+SUMIFS(Xero!$F:$F,Xero!$B:$B,Heron!AT$9,Xero!$A:$A,Heron!$A$5,Xero!$E:$E,Heron!$A78)</f>
        <v/>
      </c>
      <c r="AU78" s="117">
        <f>SUMIFS(Xero!$F:$F,Xero!$B:$B,Heron!AU$9,Xero!$A:$A,Heron!$A$4,Xero!$E:$E,Heron!$A78)+SUMIFS(Xero!$F:$F,Xero!$B:$B,Heron!AU$9,Xero!$A:$A,Heron!$A$5,Xero!$E:$E,Heron!$A78)</f>
        <v/>
      </c>
      <c r="AV78" s="117">
        <f>SUMIFS(Xero!$F:$F,Xero!$B:$B,Heron!AV$9,Xero!$A:$A,Heron!$A$4,Xero!$E:$E,Heron!$A78)+SUMIFS(Xero!$F:$F,Xero!$B:$B,Heron!AV$9,Xero!$A:$A,Heron!$A$5,Xero!$E:$E,Heron!$A78)</f>
        <v/>
      </c>
      <c r="AW78" s="117">
        <f>SUMIFS(Xero!$F:$F,Xero!$B:$B,Heron!AW$9,Xero!$A:$A,Heron!$A$4,Xero!$E:$E,Heron!$A78)+SUMIFS(Xero!$F:$F,Xero!$B:$B,Heron!AW$9,Xero!$A:$A,Heron!$A$5,Xero!$E:$E,Heron!$A78)</f>
        <v/>
      </c>
      <c r="AX78" s="117">
        <f>SUMIFS(Xero!$F:$F,Xero!$B:$B,Heron!AX$9,Xero!$A:$A,Heron!$A$4,Xero!$E:$E,Heron!$A78)+SUMIFS(Xero!$F:$F,Xero!$B:$B,Heron!AX$9,Xero!$A:$A,Heron!$A$5,Xero!$E:$E,Heron!$A78)</f>
        <v/>
      </c>
      <c r="AY78" s="117">
        <f>SUMIFS(Xero!$F:$F,Xero!$B:$B,Heron!AY$9,Xero!$A:$A,Heron!$A$4,Xero!$E:$E,Heron!$A78)+SUMIFS(Xero!$F:$F,Xero!$B:$B,Heron!AY$9,Xero!$A:$A,Heron!$A$5,Xero!$E:$E,Heron!$A78)</f>
        <v/>
      </c>
      <c r="AZ78" s="117">
        <f>SUMIFS(Xero!$F:$F,Xero!$B:$B,Heron!AZ$9,Xero!$A:$A,Heron!$A$4,Xero!$E:$E,Heron!$A78)+SUMIFS(Xero!$F:$F,Xero!$B:$B,Heron!AZ$9,Xero!$A:$A,Heron!$A$5,Xero!$E:$E,Heron!$A78)</f>
        <v/>
      </c>
      <c r="BA78" s="117">
        <f>SUMIFS(Xero!$F:$F,Xero!$B:$B,Heron!BA$9,Xero!$A:$A,Heron!$A$4,Xero!$E:$E,Heron!$A78)+SUMIFS(Xero!$F:$F,Xero!$B:$B,Heron!BA$9,Xero!$A:$A,Heron!$A$5,Xero!$E:$E,Heron!$A78)</f>
        <v/>
      </c>
      <c r="BB78" s="117">
        <f>SUMIFS(Xero!$F:$F,Xero!$B:$B,Heron!BB$9,Xero!$A:$A,Heron!$A$4,Xero!$E:$E,Heron!$A78)+SUMIFS(Xero!$F:$F,Xero!$B:$B,Heron!BB$9,Xero!$A:$A,Heron!$A$5,Xero!$E:$E,Heron!$A78)</f>
        <v/>
      </c>
      <c r="BC78" s="117">
        <f>SUMIFS(Xero!$F:$F,Xero!$B:$B,Heron!BC$9,Xero!$A:$A,Heron!$A$4,Xero!$E:$E,Heron!$A78)+SUMIFS(Xero!$F:$F,Xero!$B:$B,Heron!BC$9,Xero!$A:$A,Heron!$A$5,Xero!$E:$E,Heron!$A78)</f>
        <v/>
      </c>
      <c r="BD78" s="117">
        <f>SUMIFS(Xero!$F:$F,Xero!$B:$B,Heron!BD$9,Xero!$A:$A,Heron!$A$4,Xero!$E:$E,Heron!$A78)+SUMIFS(Xero!$F:$F,Xero!$B:$B,Heron!BD$9,Xero!$A:$A,Heron!$A$5,Xero!$E:$E,Heron!$A78)</f>
        <v/>
      </c>
      <c r="BE78" s="117">
        <f>SUMIFS(Xero!$F:$F,Xero!$B:$B,Heron!BE$9,Xero!$A:$A,Heron!$A$4,Xero!$E:$E,Heron!$A78)+SUMIFS(Xero!$F:$F,Xero!$B:$B,Heron!BE$9,Xero!$A:$A,Heron!$A$5,Xero!$E:$E,Heron!$A78)</f>
        <v/>
      </c>
      <c r="BF78" s="117">
        <f>SUMIFS(Xero!$F:$F,Xero!$B:$B,Heron!BF$9,Xero!$A:$A,Heron!$A$4,Xero!$E:$E,Heron!$A78)+SUMIFS(Xero!$F:$F,Xero!$B:$B,Heron!BF$9,Xero!$A:$A,Heron!$A$5,Xero!$E:$E,Heron!$A78)</f>
        <v/>
      </c>
      <c r="BG78" s="117">
        <f>SUMIFS(Xero!$F:$F,Xero!$B:$B,Heron!BG$9,Xero!$A:$A,Heron!$A$4,Xero!$E:$E,Heron!$A78)+SUMIFS(Xero!$F:$F,Xero!$B:$B,Heron!BG$9,Xero!$A:$A,Heron!$A$5,Xero!$E:$E,Heron!$A78)</f>
        <v/>
      </c>
      <c r="BH78" s="117">
        <f>SUMIFS(Xero!$F:$F,Xero!$B:$B,Heron!BH$9,Xero!$A:$A,Heron!$A$4,Xero!$E:$E,Heron!$A78)+SUMIFS(Xero!$F:$F,Xero!$B:$B,Heron!BH$9,Xero!$A:$A,Heron!$A$5,Xero!$E:$E,Heron!$A78)</f>
        <v/>
      </c>
      <c r="BI78" s="117">
        <f>SUMIFS(Xero!$F:$F,Xero!$B:$B,Heron!BI$9,Xero!$A:$A,Heron!$A$4,Xero!$E:$E,Heron!$A78)+SUMIFS(Xero!$F:$F,Xero!$B:$B,Heron!BI$9,Xero!$A:$A,Heron!$A$5,Xero!$E:$E,Heron!$A78)</f>
        <v/>
      </c>
      <c r="BJ78" s="117">
        <f>SUMIFS(Xero!$F:$F,Xero!$B:$B,Heron!BJ$9,Xero!$A:$A,Heron!$A$4,Xero!$E:$E,Heron!$A78)+SUMIFS(Xero!$F:$F,Xero!$B:$B,Heron!BJ$9,Xero!$A:$A,Heron!$A$5,Xero!$E:$E,Heron!$A78)</f>
        <v/>
      </c>
      <c r="BK78" s="117">
        <f>sum(D78:BJ78)</f>
        <v/>
      </c>
    </row>
    <row r="79">
      <c r="A79" s="116" t="inlineStr">
        <is>
          <t>Interest Paid - Investors @ 18%</t>
        </is>
      </c>
      <c r="D79" s="117">
        <f>SUMIFS(Xero!$F:$F,Xero!$B:$B,Heron!D$9,Xero!$A:$A,Heron!$A$4,Xero!$E:$E,Heron!$A79)+SUMIFS(Xero!$F:$F,Xero!$B:$B,Heron!D$9,Xero!$A:$A,Heron!$A$5,Xero!$E:$E,Heron!$A79)+SUMIFS(Investors!$S:$S,Investors!$G:$G,FALSE,Investors!$O:$O,FALSE,Investors!$P:$P,FALSE,Investors!$K:$K,"&lt;="&amp;Heron!D$9,Investors!$K:$K,"&gt;"&amp;Heron!C$9)</f>
        <v/>
      </c>
      <c r="E79" s="117">
        <f>SUMIFS(Xero!$F:$F,Xero!$B:$B,Heron!E$9,Xero!$A:$A,Heron!$A$4,Xero!$E:$E,Heron!$A79)+SUMIFS(Xero!$F:$F,Xero!$B:$B,Heron!E$9,Xero!$A:$A,Heron!$A$5,Xero!$E:$E,Heron!$A79)+SUMIFS(Investors!$S:$S,Investors!$G:$G,FALSE,Investors!$O:$O,FALSE,Investors!$P:$P,FALSE,Investors!$K:$K,"&lt;="&amp;Heron!E$9,Investors!$K:$K,"&gt;"&amp;Heron!D$9)</f>
        <v/>
      </c>
      <c r="F79" s="117">
        <f>SUMIFS(Xero!$F:$F,Xero!$B:$B,Heron!F$9,Xero!$A:$A,Heron!$A$4,Xero!$E:$E,Heron!$A79)+SUMIFS(Xero!$F:$F,Xero!$B:$B,Heron!F$9,Xero!$A:$A,Heron!$A$5,Xero!$E:$E,Heron!$A79)+SUMIFS(Investors!$S:$S,Investors!$G:$G,FALSE,Investors!$O:$O,FALSE,Investors!$P:$P,FALSE,Investors!$K:$K,"&lt;="&amp;Heron!F$9,Investors!$K:$K,"&gt;"&amp;Heron!E$9)</f>
        <v/>
      </c>
      <c r="G79" s="117">
        <f>SUMIFS(Xero!$F:$F,Xero!$B:$B,Heron!G$9,Xero!$A:$A,Heron!$A$4,Xero!$E:$E,Heron!$A79)+SUMIFS(Xero!$F:$F,Xero!$B:$B,Heron!G$9,Xero!$A:$A,Heron!$A$5,Xero!$E:$E,Heron!$A79)+SUMIFS(Investors!$S:$S,Investors!$G:$G,FALSE,Investors!$O:$O,FALSE,Investors!$P:$P,FALSE,Investors!$K:$K,"&lt;="&amp;Heron!G$9,Investors!$K:$K,"&gt;"&amp;Heron!F$9)</f>
        <v/>
      </c>
      <c r="H79" s="117">
        <f>SUMIFS(Xero!$F:$F,Xero!$B:$B,Heron!H$9,Xero!$A:$A,Heron!$A$4,Xero!$E:$E,Heron!$A79)+SUMIFS(Xero!$F:$F,Xero!$B:$B,Heron!H$9,Xero!$A:$A,Heron!$A$5,Xero!$E:$E,Heron!$A79)+SUMIFS(Investors!$S:$S,Investors!$G:$G,FALSE,Investors!$O:$O,FALSE,Investors!$P:$P,FALSE,Investors!$K:$K,"&lt;="&amp;Heron!H$9,Investors!$K:$K,"&gt;"&amp;Heron!G$9)</f>
        <v/>
      </c>
      <c r="I79" s="117">
        <f>SUMIFS(Xero!$F:$F,Xero!$B:$B,Heron!I$9,Xero!$A:$A,Heron!$A$4,Xero!$E:$E,Heron!$A79)+SUMIFS(Xero!$F:$F,Xero!$B:$B,Heron!I$9,Xero!$A:$A,Heron!$A$5,Xero!$E:$E,Heron!$A79)+SUMIFS(Investors!$S:$S,Investors!$G:$G,FALSE,Investors!$O:$O,FALSE,Investors!$P:$P,FALSE,Investors!$K:$K,"&lt;="&amp;Heron!I$9,Investors!$K:$K,"&gt;"&amp;Heron!H$9)</f>
        <v/>
      </c>
      <c r="J79" s="117">
        <f>SUMIFS(Xero!$F:$F,Xero!$B:$B,Heron!J$9,Xero!$A:$A,Heron!$A$4,Xero!$E:$E,Heron!$A79)+SUMIFS(Xero!$F:$F,Xero!$B:$B,Heron!J$9,Xero!$A:$A,Heron!$A$5,Xero!$E:$E,Heron!$A79)+SUMIFS(Investors!$S:$S,Investors!$G:$G,FALSE,Investors!$O:$O,FALSE,Investors!$P:$P,FALSE,Investors!$K:$K,"&lt;="&amp;Heron!J$9,Investors!$K:$K,"&gt;"&amp;Heron!I$9)</f>
        <v/>
      </c>
      <c r="K79" s="117">
        <f>SUMIFS(Xero!$F:$F,Xero!$B:$B,Heron!K$9,Xero!$A:$A,Heron!$A$4,Xero!$E:$E,Heron!$A79)+SUMIFS(Xero!$F:$F,Xero!$B:$B,Heron!K$9,Xero!$A:$A,Heron!$A$5,Xero!$E:$E,Heron!$A79)+SUMIFS(Investors!$S:$S,Investors!$G:$G,FALSE,Investors!$O:$O,FALSE,Investors!$P:$P,FALSE,Investors!$K:$K,"&lt;="&amp;Heron!K$9,Investors!$K:$K,"&gt;"&amp;Heron!J$9)</f>
        <v/>
      </c>
      <c r="L79" s="117">
        <f>SUMIFS(Xero!$F:$F,Xero!$B:$B,Heron!L$9,Xero!$A:$A,Heron!$A$4,Xero!$E:$E,Heron!$A79)+SUMIFS(Xero!$F:$F,Xero!$B:$B,Heron!L$9,Xero!$A:$A,Heron!$A$5,Xero!$E:$E,Heron!$A79)+SUMIFS(Investors!$S:$S,Investors!$G:$G,FALSE,Investors!$O:$O,FALSE,Investors!$P:$P,FALSE,Investors!$K:$K,"&lt;="&amp;Heron!L$9,Investors!$K:$K,"&gt;"&amp;Heron!K$9)</f>
        <v/>
      </c>
      <c r="M79" s="117">
        <f>SUMIFS(Xero!$F:$F,Xero!$B:$B,Heron!M$9,Xero!$A:$A,Heron!$A$4,Xero!$E:$E,Heron!$A79)+SUMIFS(Xero!$F:$F,Xero!$B:$B,Heron!M$9,Xero!$A:$A,Heron!$A$5,Xero!$E:$E,Heron!$A79)+SUMIFS(Investors!$S:$S,Investors!$G:$G,FALSE,Investors!$O:$O,FALSE,Investors!$P:$P,FALSE,Investors!$K:$K,"&lt;="&amp;Heron!M$9,Investors!$K:$K,"&gt;"&amp;Heron!L$9)</f>
        <v/>
      </c>
      <c r="N79" s="117">
        <f>SUMIFS(Xero!$F:$F,Xero!$B:$B,Heron!N$9,Xero!$A:$A,Heron!$A$4,Xero!$E:$E,Heron!$A79)+SUMIFS(Xero!$F:$F,Xero!$B:$B,Heron!N$9,Xero!$A:$A,Heron!$A$5,Xero!$E:$E,Heron!$A79)+SUMIFS(Investors!$S:$S,Investors!$G:$G,FALSE,Investors!$O:$O,FALSE,Investors!$P:$P,FALSE,Investors!$K:$K,"&lt;="&amp;Heron!N$9,Investors!$K:$K,"&gt;"&amp;Heron!M$9)</f>
        <v/>
      </c>
      <c r="O79" s="117">
        <f>SUMIFS(Xero!$F:$F,Xero!$B:$B,Heron!O$9,Xero!$A:$A,Heron!$A$4,Xero!$E:$E,Heron!$A79)+SUMIFS(Xero!$F:$F,Xero!$B:$B,Heron!O$9,Xero!$A:$A,Heron!$A$5,Xero!$E:$E,Heron!$A79)+SUMIFS(Investors!$S:$S,Investors!$G:$G,FALSE,Investors!$O:$O,FALSE,Investors!$P:$P,FALSE,Investors!$K:$K,"&lt;="&amp;Heron!O$9,Investors!$K:$K,"&gt;"&amp;Heron!N$9)</f>
        <v/>
      </c>
      <c r="P79" s="117">
        <f>SUMIFS(Xero!$F:$F,Xero!$B:$B,Heron!P$9,Xero!$A:$A,Heron!$A$4,Xero!$E:$E,Heron!$A79)+SUMIFS(Xero!$F:$F,Xero!$B:$B,Heron!P$9,Xero!$A:$A,Heron!$A$5,Xero!$E:$E,Heron!$A79)+SUMIFS(Investors!$S:$S,Investors!$G:$G,FALSE,Investors!$O:$O,FALSE,Investors!$P:$P,FALSE,Investors!$K:$K,"&lt;="&amp;Heron!P$9,Investors!$K:$K,"&gt;"&amp;Heron!O$9)</f>
        <v/>
      </c>
      <c r="Q79" s="117">
        <f>SUMIFS(Xero!$F:$F,Xero!$B:$B,Heron!Q$9,Xero!$A:$A,Heron!$A$4,Xero!$E:$E,Heron!$A79)+SUMIFS(Xero!$F:$F,Xero!$B:$B,Heron!Q$9,Xero!$A:$A,Heron!$A$5,Xero!$E:$E,Heron!$A79)+SUMIFS(Investors!$S:$S,Investors!$G:$G,FALSE,Investors!$O:$O,FALSE,Investors!$P:$P,FALSE,Investors!$K:$K,"&lt;="&amp;Heron!Q$9,Investors!$K:$K,"&gt;"&amp;Heron!P$9)</f>
        <v/>
      </c>
      <c r="R79" s="117">
        <f>SUMIFS(Xero!$F:$F,Xero!$B:$B,Heron!R$9,Xero!$A:$A,Heron!$A$4,Xero!$E:$E,Heron!$A79)+SUMIFS(Xero!$F:$F,Xero!$B:$B,Heron!R$9,Xero!$A:$A,Heron!$A$5,Xero!$E:$E,Heron!$A79)+SUMIFS(Investors!$S:$S,Investors!$G:$G,FALSE,Investors!$O:$O,FALSE,Investors!$P:$P,FALSE,Investors!$K:$K,"&lt;="&amp;Heron!R$9,Investors!$K:$K,"&gt;"&amp;Heron!Q$9)</f>
        <v/>
      </c>
      <c r="S79" s="117">
        <f>SUMIFS(Xero!$F:$F,Xero!$B:$B,Heron!S$9,Xero!$A:$A,Heron!$A$4,Xero!$E:$E,Heron!$A79)+SUMIFS(Xero!$F:$F,Xero!$B:$B,Heron!S$9,Xero!$A:$A,Heron!$A$5,Xero!$E:$E,Heron!$A79)+SUMIFS(Investors!$S:$S,Investors!$G:$G,FALSE,Investors!$O:$O,FALSE,Investors!$P:$P,FALSE,Investors!$K:$K,"&lt;="&amp;Heron!S$9,Investors!$K:$K,"&gt;"&amp;Heron!R$9)</f>
        <v/>
      </c>
      <c r="T79" s="117">
        <f>SUMIFS(Xero!$F:$F,Xero!$B:$B,Heron!T$9,Xero!$A:$A,Heron!$A$4,Xero!$E:$E,Heron!$A79)+SUMIFS(Xero!$F:$F,Xero!$B:$B,Heron!T$9,Xero!$A:$A,Heron!$A$5,Xero!$E:$E,Heron!$A79)+SUMIFS(Investors!$S:$S,Investors!$G:$G,FALSE,Investors!$O:$O,FALSE,Investors!$P:$P,FALSE,Investors!$K:$K,"&lt;="&amp;Heron!T$9,Investors!$K:$K,"&gt;"&amp;Heron!S$9)</f>
        <v/>
      </c>
      <c r="U79" s="117">
        <f>SUMIFS(Xero!$F:$F,Xero!$B:$B,Heron!U$9,Xero!$A:$A,Heron!$A$4,Xero!$E:$E,Heron!$A79)+SUMIFS(Xero!$F:$F,Xero!$B:$B,Heron!U$9,Xero!$A:$A,Heron!$A$5,Xero!$E:$E,Heron!$A79)+SUMIFS(Investors!$S:$S,Investors!$G:$G,FALSE,Investors!$O:$O,FALSE,Investors!$P:$P,FALSE,Investors!$K:$K,"&lt;="&amp;Heron!U$9,Investors!$K:$K,"&gt;"&amp;Heron!T$9)</f>
        <v/>
      </c>
      <c r="V79" s="117">
        <f>SUMIFS(Xero!$F:$F,Xero!$B:$B,Heron!V$9,Xero!$A:$A,Heron!$A$4,Xero!$E:$E,Heron!$A79)+SUMIFS(Xero!$F:$F,Xero!$B:$B,Heron!V$9,Xero!$A:$A,Heron!$A$5,Xero!$E:$E,Heron!$A79)+SUMIFS(Investors!$S:$S,Investors!$G:$G,FALSE,Investors!$O:$O,FALSE,Investors!$P:$P,FALSE,Investors!$K:$K,"&lt;="&amp;Heron!V$9,Investors!$K:$K,"&gt;"&amp;Heron!U$9)</f>
        <v/>
      </c>
      <c r="W79" s="117">
        <f>SUMIFS(Xero!$F:$F,Xero!$B:$B,Heron!W$9,Xero!$A:$A,Heron!$A$4,Xero!$E:$E,Heron!$A79)+SUMIFS(Xero!$F:$F,Xero!$B:$B,Heron!W$9,Xero!$A:$A,Heron!$A$5,Xero!$E:$E,Heron!$A79)+SUMIFS(Investors!$S:$S,Investors!$G:$G,FALSE,Investors!$O:$O,FALSE,Investors!$P:$P,FALSE,Investors!$K:$K,"&lt;="&amp;Heron!W$9,Investors!$K:$K,"&gt;"&amp;Heron!V$9)</f>
        <v/>
      </c>
      <c r="X79" s="117">
        <f>SUMIFS(Xero!$F:$F,Xero!$B:$B,Heron!X$9,Xero!$A:$A,Heron!$A$4,Xero!$E:$E,Heron!$A79)+SUMIFS(Xero!$F:$F,Xero!$B:$B,Heron!X$9,Xero!$A:$A,Heron!$A$5,Xero!$E:$E,Heron!$A79)+SUMIFS(Investors!$S:$S,Investors!$G:$G,FALSE,Investors!$O:$O,FALSE,Investors!$P:$P,FALSE,Investors!$K:$K,"&lt;="&amp;Heron!X$9,Investors!$K:$K,"&gt;"&amp;Heron!W$9)</f>
        <v/>
      </c>
      <c r="Y79" s="117">
        <f>SUMIFS(Xero!$F:$F,Xero!$B:$B,Heron!Y$9,Xero!$A:$A,Heron!$A$4,Xero!$E:$E,Heron!$A79)+SUMIFS(Xero!$F:$F,Xero!$B:$B,Heron!Y$9,Xero!$A:$A,Heron!$A$5,Xero!$E:$E,Heron!$A79)+SUMIFS(Investors!$S:$S,Investors!$G:$G,FALSE,Investors!$O:$O,FALSE,Investors!$P:$P,FALSE,Investors!$K:$K,"&lt;="&amp;Heron!Y$9,Investors!$K:$K,"&gt;"&amp;Heron!X$9)</f>
        <v/>
      </c>
      <c r="Z79" s="117">
        <f>SUMIFS(Xero!$F:$F,Xero!$B:$B,Heron!Z$9,Xero!$A:$A,Heron!$A$4,Xero!$E:$E,Heron!$A79)+SUMIFS(Xero!$F:$F,Xero!$B:$B,Heron!Z$9,Xero!$A:$A,Heron!$A$5,Xero!$E:$E,Heron!$A79)+SUMIFS(Investors!$S:$S,Investors!$G:$G,FALSE,Investors!$O:$O,FALSE,Investors!$P:$P,FALSE,Investors!$K:$K,"&lt;="&amp;Heron!Z$9,Investors!$K:$K,"&gt;"&amp;Heron!Y$9)</f>
        <v/>
      </c>
      <c r="AA79" s="117">
        <f>SUMIFS(Xero!$F:$F,Xero!$B:$B,Heron!AA$9,Xero!$A:$A,Heron!$A$4,Xero!$E:$E,Heron!$A79)+SUMIFS(Xero!$F:$F,Xero!$B:$B,Heron!AA$9,Xero!$A:$A,Heron!$A$5,Xero!$E:$E,Heron!$A79)+SUMIFS(Investors!$S:$S,Investors!$G:$G,FALSE,Investors!$O:$O,FALSE,Investors!$P:$P,FALSE,Investors!$K:$K,"&lt;="&amp;Heron!AA$9,Investors!$K:$K,"&gt;"&amp;Heron!Z$9)</f>
        <v/>
      </c>
      <c r="AB79" s="117">
        <f>SUMIFS(Xero!$F:$F,Xero!$B:$B,Heron!AB$9,Xero!$A:$A,Heron!$A$4,Xero!$E:$E,Heron!$A79)+SUMIFS(Xero!$F:$F,Xero!$B:$B,Heron!AB$9,Xero!$A:$A,Heron!$A$5,Xero!$E:$E,Heron!$A79)+SUMIFS(Investors!$S:$S,Investors!$G:$G,FALSE,Investors!$O:$O,FALSE,Investors!$P:$P,FALSE,Investors!$K:$K,"&lt;="&amp;Heron!AB$9,Investors!$K:$K,"&gt;"&amp;Heron!AA$9)</f>
        <v/>
      </c>
      <c r="AC79" s="117">
        <f>SUMIFS(Xero!$F:$F,Xero!$B:$B,Heron!AC$9,Xero!$A:$A,Heron!$A$4,Xero!$E:$E,Heron!$A79)+SUMIFS(Xero!$F:$F,Xero!$B:$B,Heron!AC$9,Xero!$A:$A,Heron!$A$5,Xero!$E:$E,Heron!$A79)+SUMIFS(Investors!$S:$S,Investors!$G:$G,FALSE,Investors!$O:$O,FALSE,Investors!$P:$P,FALSE,Investors!$K:$K,"&lt;="&amp;Heron!AC$9,Investors!$K:$K,"&gt;"&amp;Heron!AB$9)</f>
        <v/>
      </c>
      <c r="AD79" s="117">
        <f>SUMIFS(Xero!$F:$F,Xero!$B:$B,Heron!AD$9,Xero!$A:$A,Heron!$A$4,Xero!$E:$E,Heron!$A79)+SUMIFS(Xero!$F:$F,Xero!$B:$B,Heron!AD$9,Xero!$A:$A,Heron!$A$5,Xero!$E:$E,Heron!$A79)+SUMIFS(Investors!$S:$S,Investors!$G:$G,FALSE,Investors!$O:$O,FALSE,Investors!$P:$P,FALSE,Investors!$K:$K,"&lt;="&amp;Heron!AD$9,Investors!$K:$K,"&gt;"&amp;Heron!AC$9)</f>
        <v/>
      </c>
      <c r="AE79" s="117">
        <f>SUMIFS(Xero!$F:$F,Xero!$B:$B,Heron!AE$9,Xero!$A:$A,Heron!$A$4,Xero!$E:$E,Heron!$A79)+SUMIFS(Xero!$F:$F,Xero!$B:$B,Heron!AE$9,Xero!$A:$A,Heron!$A$5,Xero!$E:$E,Heron!$A79)+SUMIFS(Investors!$S:$S,Investors!$G:$G,FALSE,Investors!$O:$O,FALSE,Investors!$P:$P,FALSE,Investors!$K:$K,"&lt;="&amp;Heron!AE$9,Investors!$K:$K,"&gt;"&amp;Heron!AD$9)</f>
        <v/>
      </c>
      <c r="AF79" s="117">
        <f>SUMIFS(Xero!$F:$F,Xero!$B:$B,Heron!AF$9,Xero!$A:$A,Heron!$A$4,Xero!$E:$E,Heron!$A79)+SUMIFS(Xero!$F:$F,Xero!$B:$B,Heron!AF$9,Xero!$A:$A,Heron!$A$5,Xero!$E:$E,Heron!$A79)+SUMIFS(Investors!$S:$S,Investors!$G:$G,FALSE,Investors!$O:$O,FALSE,Investors!$P:$P,FALSE,Investors!$K:$K,"&lt;="&amp;Heron!AF$9,Investors!$K:$K,"&gt;"&amp;Heron!AE$9)</f>
        <v/>
      </c>
      <c r="AG79" s="117">
        <f>SUMIFS(Xero!$F:$F,Xero!$B:$B,Heron!AG$9,Xero!$A:$A,Heron!$A$4,Xero!$E:$E,Heron!$A79)+SUMIFS(Xero!$F:$F,Xero!$B:$B,Heron!AG$9,Xero!$A:$A,Heron!$A$5,Xero!$E:$E,Heron!$A79)+SUMIFS(Investors!$S:$S,Investors!$G:$G,FALSE,Investors!$O:$O,FALSE,Investors!$P:$P,FALSE,Investors!$K:$K,"&lt;="&amp;Heron!AG$9,Investors!$K:$K,"&gt;"&amp;Heron!AF$9)</f>
        <v/>
      </c>
      <c r="AH79" s="117">
        <f>SUMIFS(Xero!$F:$F,Xero!$B:$B,Heron!AH$9,Xero!$A:$A,Heron!$A$4,Xero!$E:$E,Heron!$A79)+SUMIFS(Xero!$F:$F,Xero!$B:$B,Heron!AH$9,Xero!$A:$A,Heron!$A$5,Xero!$E:$E,Heron!$A79)+SUMIFS(Investors!$S:$S,Investors!$G:$G,FALSE,Investors!$O:$O,FALSE,Investors!$P:$P,FALSE,Investors!$K:$K,"&lt;="&amp;Heron!AH$9,Investors!$K:$K,"&gt;"&amp;Heron!AG$9)</f>
        <v/>
      </c>
      <c r="AI79" s="117">
        <f>SUMIFS(Xero!$F:$F,Xero!$B:$B,Heron!AI$9,Xero!$A:$A,Heron!$A$4,Xero!$E:$E,Heron!$A79)+SUMIFS(Xero!$F:$F,Xero!$B:$B,Heron!AI$9,Xero!$A:$A,Heron!$A$5,Xero!$E:$E,Heron!$A79)+SUMIFS(Investors!$S:$S,Investors!$G:$G,FALSE,Investors!$O:$O,FALSE,Investors!$P:$P,FALSE,Investors!$K:$K,"&lt;="&amp;Heron!AI$9,Investors!$K:$K,"&gt;"&amp;Heron!AH$9)</f>
        <v/>
      </c>
      <c r="AJ79" s="117">
        <f>SUMIFS(Xero!$F:$F,Xero!$B:$B,Heron!AJ$9,Xero!$A:$A,Heron!$A$4,Xero!$E:$E,Heron!$A79)+SUMIFS(Xero!$F:$F,Xero!$B:$B,Heron!AJ$9,Xero!$A:$A,Heron!$A$5,Xero!$E:$E,Heron!$A79)+SUMIFS(Investors!$S:$S,Investors!$G:$G,FALSE,Investors!$O:$O,FALSE,Investors!$P:$P,FALSE,Investors!$K:$K,"&lt;="&amp;Heron!AJ$9,Investors!$K:$K,"&gt;"&amp;Heron!AI$9)</f>
        <v/>
      </c>
      <c r="AK79" s="117">
        <f>SUMIFS(Xero!$F:$F,Xero!$B:$B,Heron!AK$9,Xero!$A:$A,Heron!$A$4,Xero!$E:$E,Heron!$A79)+SUMIFS(Xero!$F:$F,Xero!$B:$B,Heron!AK$9,Xero!$A:$A,Heron!$A$5,Xero!$E:$E,Heron!$A79)+SUMIFS(Investors!$S:$S,Investors!$G:$G,FALSE,Investors!$O:$O,FALSE,Investors!$P:$P,FALSE,Investors!$K:$K,"&lt;="&amp;Heron!AK$9,Investors!$K:$K,"&gt;"&amp;Heron!AJ$9)</f>
        <v/>
      </c>
      <c r="AL79" s="117">
        <f>SUMIFS(Xero!$F:$F,Xero!$B:$B,Heron!AL$9,Xero!$A:$A,Heron!$A$4,Xero!$E:$E,Heron!$A79)+SUMIFS(Xero!$F:$F,Xero!$B:$B,Heron!AL$9,Xero!$A:$A,Heron!$A$5,Xero!$E:$E,Heron!$A79)+SUMIFS(Investors!$S:$S,Investors!$G:$G,FALSE,Investors!$O:$O,FALSE,Investors!$P:$P,FALSE,Investors!$K:$K,"&lt;="&amp;Heron!AL$9,Investors!$K:$K,"&gt;"&amp;Heron!AK$9)</f>
        <v/>
      </c>
      <c r="AM79" s="117">
        <f>SUMIFS(Xero!$F:$F,Xero!$B:$B,Heron!AM$9,Xero!$A:$A,Heron!$A$4,Xero!$E:$E,Heron!$A79)+SUMIFS(Xero!$F:$F,Xero!$B:$B,Heron!AM$9,Xero!$A:$A,Heron!$A$5,Xero!$E:$E,Heron!$A79)+SUMIFS(Investors!$S:$S,Investors!$G:$G,FALSE,Investors!$O:$O,FALSE,Investors!$P:$P,FALSE,Investors!$K:$K,"&lt;="&amp;Heron!AM$9,Investors!$K:$K,"&gt;"&amp;Heron!AL$9)</f>
        <v/>
      </c>
      <c r="AN79" s="117">
        <f>SUMIFS(Xero!$F:$F,Xero!$B:$B,Heron!AN$9,Xero!$A:$A,Heron!$A$4,Xero!$E:$E,Heron!$A79)+SUMIFS(Xero!$F:$F,Xero!$B:$B,Heron!AN$9,Xero!$A:$A,Heron!$A$5,Xero!$E:$E,Heron!$A79)+SUMIFS(Investors!$S:$S,Investors!$G:$G,FALSE,Investors!$O:$O,FALSE,Investors!$P:$P,FALSE,Investors!$K:$K,"&lt;="&amp;Heron!AN$9,Investors!$K:$K,"&gt;"&amp;Heron!AM$9)</f>
        <v/>
      </c>
      <c r="AO79" s="117">
        <f>SUMIFS(Xero!$F:$F,Xero!$B:$B,Heron!AO$9,Xero!$A:$A,Heron!$A$4,Xero!$E:$E,Heron!$A79)+SUMIFS(Xero!$F:$F,Xero!$B:$B,Heron!AO$9,Xero!$A:$A,Heron!$A$5,Xero!$E:$E,Heron!$A79)+SUMIFS(Investors!$S:$S,Investors!$G:$G,FALSE,Investors!$O:$O,FALSE,Investors!$P:$P,FALSE,Investors!$K:$K,"&lt;="&amp;Heron!AO$9,Investors!$K:$K,"&gt;"&amp;Heron!AN$9)</f>
        <v/>
      </c>
      <c r="AP79" s="117">
        <f>SUMIFS(Xero!$F:$F,Xero!$B:$B,Heron!AP$9,Xero!$A:$A,Heron!$A$4,Xero!$E:$E,Heron!$A79)+SUMIFS(Xero!$F:$F,Xero!$B:$B,Heron!AP$9,Xero!$A:$A,Heron!$A$5,Xero!$E:$E,Heron!$A79)+SUMIFS(Investors!$S:$S,Investors!$G:$G,FALSE,Investors!$O:$O,FALSE,Investors!$P:$P,FALSE,Investors!$K:$K,"&lt;="&amp;Heron!AP$9,Investors!$K:$K,"&gt;"&amp;Heron!AO$9)</f>
        <v/>
      </c>
      <c r="AQ79" s="117">
        <f>SUMIFS(Xero!$F:$F,Xero!$B:$B,Heron!AQ$9,Xero!$A:$A,Heron!$A$4,Xero!$E:$E,Heron!$A79)+SUMIFS(Xero!$F:$F,Xero!$B:$B,Heron!AQ$9,Xero!$A:$A,Heron!$A$5,Xero!$E:$E,Heron!$A79)+SUMIFS(Investors!$S:$S,Investors!$G:$G,FALSE,Investors!$O:$O,FALSE,Investors!$P:$P,FALSE,Investors!$K:$K,"&lt;="&amp;Heron!AQ$9,Investors!$K:$K,"&gt;"&amp;Heron!AP$9)</f>
        <v/>
      </c>
      <c r="AR79" s="117">
        <f>SUMIFS(Xero!$F:$F,Xero!$B:$B,Heron!AR$9,Xero!$A:$A,Heron!$A$4,Xero!$E:$E,Heron!$A79)+SUMIFS(Xero!$F:$F,Xero!$B:$B,Heron!AR$9,Xero!$A:$A,Heron!$A$5,Xero!$E:$E,Heron!$A79)+SUMIFS(Investors!$S:$S,Investors!$G:$G,FALSE,Investors!$O:$O,FALSE,Investors!$P:$P,FALSE,Investors!$K:$K,"&lt;="&amp;Heron!AR$9,Investors!$K:$K,"&gt;"&amp;Heron!AQ$9)</f>
        <v/>
      </c>
      <c r="AS79" s="117">
        <f>SUMIFS(Xero!$F:$F,Xero!$B:$B,Heron!AS$9,Xero!$A:$A,Heron!$A$4,Xero!$E:$E,Heron!$A79)+SUMIFS(Xero!$F:$F,Xero!$B:$B,Heron!AS$9,Xero!$A:$A,Heron!$A$5,Xero!$E:$E,Heron!$A79)+SUMIFS(Investors!$S:$S,Investors!$G:$G,FALSE,Investors!$O:$O,FALSE,Investors!$P:$P,FALSE,Investors!$K:$K,"&lt;="&amp;Heron!AS$9,Investors!$K:$K,"&gt;"&amp;Heron!AR$9)</f>
        <v/>
      </c>
      <c r="AT79" s="117">
        <f>SUMIFS(Xero!$F:$F,Xero!$B:$B,Heron!AT$9,Xero!$A:$A,Heron!$A$4,Xero!$E:$E,Heron!$A79)+SUMIFS(Xero!$F:$F,Xero!$B:$B,Heron!AT$9,Xero!$A:$A,Heron!$A$5,Xero!$E:$E,Heron!$A79)+SUMIFS(Investors!$S:$S,Investors!$G:$G,FALSE,Investors!$O:$O,FALSE,Investors!$P:$P,FALSE,Investors!$K:$K,"&lt;="&amp;Heron!AT$9,Investors!$K:$K,"&gt;"&amp;Heron!AS$9)</f>
        <v/>
      </c>
      <c r="AU79" s="117">
        <f>SUMIFS(Xero!$F:$F,Xero!$B:$B,Heron!AU$9,Xero!$A:$A,Heron!$A$4,Xero!$E:$E,Heron!$A79)+SUMIFS(Xero!$F:$F,Xero!$B:$B,Heron!AU$9,Xero!$A:$A,Heron!$A$5,Xero!$E:$E,Heron!$A79)+SUMIFS(Investors!$S:$S,Investors!$G:$G,FALSE,Investors!$O:$O,FALSE,Investors!$P:$P,FALSE,Investors!$K:$K,"&lt;="&amp;Heron!AU$9,Investors!$K:$K,"&gt;"&amp;Heron!AT$9)</f>
        <v/>
      </c>
      <c r="AV79" s="117">
        <f>SUMIFS(Xero!$F:$F,Xero!$B:$B,Heron!AV$9,Xero!$A:$A,Heron!$A$4,Xero!$E:$E,Heron!$A79)+SUMIFS(Xero!$F:$F,Xero!$B:$B,Heron!AV$9,Xero!$A:$A,Heron!$A$5,Xero!$E:$E,Heron!$A79)+SUMIFS(Investors!$S:$S,Investors!$G:$G,FALSE,Investors!$O:$O,FALSE,Investors!$P:$P,FALSE,Investors!$K:$K,"&lt;="&amp;Heron!AV$9,Investors!$K:$K,"&gt;"&amp;Heron!AU$9)</f>
        <v/>
      </c>
      <c r="AW79" s="117">
        <f>SUMIFS(Xero!$F:$F,Xero!$B:$B,Heron!AW$9,Xero!$A:$A,Heron!$A$4,Xero!$E:$E,Heron!$A79)+SUMIFS(Xero!$F:$F,Xero!$B:$B,Heron!AW$9,Xero!$A:$A,Heron!$A$5,Xero!$E:$E,Heron!$A79)+SUMIFS(Investors!$S:$S,Investors!$G:$G,FALSE,Investors!$O:$O,FALSE,Investors!$P:$P,FALSE,Investors!$K:$K,"&lt;="&amp;Heron!AW$9,Investors!$K:$K,"&gt;"&amp;Heron!AV$9)</f>
        <v/>
      </c>
      <c r="AX79" s="117">
        <f>SUMIFS(Xero!$F:$F,Xero!$B:$B,Heron!AX$9,Xero!$A:$A,Heron!$A$4,Xero!$E:$E,Heron!$A79)+SUMIFS(Xero!$F:$F,Xero!$B:$B,Heron!AX$9,Xero!$A:$A,Heron!$A$5,Xero!$E:$E,Heron!$A79)+SUMIFS(Investors!$S:$S,Investors!$G:$G,FALSE,Investors!$O:$O,FALSE,Investors!$P:$P,FALSE,Investors!$K:$K,"&lt;="&amp;Heron!AX$9,Investors!$K:$K,"&gt;"&amp;Heron!AW$9)</f>
        <v/>
      </c>
      <c r="AY79" s="117">
        <f>SUMIFS(Xero!$F:$F,Xero!$B:$B,Heron!AY$9,Xero!$A:$A,Heron!$A$4,Xero!$E:$E,Heron!$A79)+SUMIFS(Xero!$F:$F,Xero!$B:$B,Heron!AY$9,Xero!$A:$A,Heron!$A$5,Xero!$E:$E,Heron!$A79)+SUMIFS(Investors!$S:$S,Investors!$G:$G,FALSE,Investors!$O:$O,FALSE,Investors!$P:$P,FALSE,Investors!$K:$K,"&lt;="&amp;Heron!AY$9,Investors!$K:$K,"&gt;"&amp;Heron!AX$9)</f>
        <v/>
      </c>
      <c r="AZ79" s="117">
        <f>SUMIFS(Xero!$F:$F,Xero!$B:$B,Heron!AZ$9,Xero!$A:$A,Heron!$A$4,Xero!$E:$E,Heron!$A79)+SUMIFS(Xero!$F:$F,Xero!$B:$B,Heron!AZ$9,Xero!$A:$A,Heron!$A$5,Xero!$E:$E,Heron!$A79)+SUMIFS(Investors!$S:$S,Investors!$G:$G,FALSE,Investors!$O:$O,FALSE,Investors!$P:$P,FALSE,Investors!$K:$K,"&lt;="&amp;Heron!AZ$9,Investors!$K:$K,"&gt;"&amp;Heron!AY$9)</f>
        <v/>
      </c>
      <c r="BA79" s="117">
        <f>SUMIFS(Xero!$F:$F,Xero!$B:$B,Heron!BA$9,Xero!$A:$A,Heron!$A$4,Xero!$E:$E,Heron!$A79)+SUMIFS(Xero!$F:$F,Xero!$B:$B,Heron!BA$9,Xero!$A:$A,Heron!$A$5,Xero!$E:$E,Heron!$A79)+SUMIFS(Investors!$S:$S,Investors!$G:$G,FALSE,Investors!$O:$O,FALSE,Investors!$P:$P,FALSE,Investors!$K:$K,"&lt;="&amp;Heron!BA$9,Investors!$K:$K,"&gt;"&amp;Heron!AZ$9)</f>
        <v/>
      </c>
      <c r="BB79" s="117">
        <f>SUMIFS(Xero!$F:$F,Xero!$B:$B,Heron!BB$9,Xero!$A:$A,Heron!$A$4,Xero!$E:$E,Heron!$A79)+SUMIFS(Xero!$F:$F,Xero!$B:$B,Heron!BB$9,Xero!$A:$A,Heron!$A$5,Xero!$E:$E,Heron!$A79)+SUMIFS(Investors!$S:$S,Investors!$G:$G,FALSE,Investors!$O:$O,FALSE,Investors!$P:$P,FALSE,Investors!$K:$K,"&lt;="&amp;Heron!BB$9,Investors!$K:$K,"&gt;"&amp;Heron!BA$9)</f>
        <v/>
      </c>
      <c r="BC79" s="117">
        <f>SUMIFS(Xero!$F:$F,Xero!$B:$B,Heron!BC$9,Xero!$A:$A,Heron!$A$4,Xero!$E:$E,Heron!$A79)+SUMIFS(Xero!$F:$F,Xero!$B:$B,Heron!BC$9,Xero!$A:$A,Heron!$A$5,Xero!$E:$E,Heron!$A79)+SUMIFS(Investors!$S:$S,Investors!$G:$G,FALSE,Investors!$O:$O,FALSE,Investors!$P:$P,FALSE,Investors!$K:$K,"&lt;="&amp;Heron!BC$9,Investors!$K:$K,"&gt;"&amp;Heron!BB$9)</f>
        <v/>
      </c>
      <c r="BD79" s="117">
        <f>SUMIFS(Xero!$F:$F,Xero!$B:$B,Heron!BD$9,Xero!$A:$A,Heron!$A$4,Xero!$E:$E,Heron!$A79)+SUMIFS(Xero!$F:$F,Xero!$B:$B,Heron!BD$9,Xero!$A:$A,Heron!$A$5,Xero!$E:$E,Heron!$A79)+SUMIFS(Investors!$S:$S,Investors!$G:$G,FALSE,Investors!$O:$O,FALSE,Investors!$P:$P,FALSE,Investors!$K:$K,"&lt;="&amp;Heron!BD$9,Investors!$K:$K,"&gt;"&amp;Heron!BC$9)</f>
        <v/>
      </c>
      <c r="BE79" s="117">
        <f>SUMIFS(Xero!$F:$F,Xero!$B:$B,Heron!BE$9,Xero!$A:$A,Heron!$A$4,Xero!$E:$E,Heron!$A79)+SUMIFS(Xero!$F:$F,Xero!$B:$B,Heron!BE$9,Xero!$A:$A,Heron!$A$5,Xero!$E:$E,Heron!$A79)+SUMIFS(Investors!$S:$S,Investors!$G:$G,FALSE,Investors!$O:$O,FALSE,Investors!$P:$P,FALSE,Investors!$K:$K,"&lt;="&amp;Heron!BE$9,Investors!$K:$K,"&gt;"&amp;Heron!BD$9)</f>
        <v/>
      </c>
      <c r="BF79" s="117">
        <f>SUMIFS(Xero!$F:$F,Xero!$B:$B,Heron!BF$9,Xero!$A:$A,Heron!$A$4,Xero!$E:$E,Heron!$A79)+SUMIFS(Xero!$F:$F,Xero!$B:$B,Heron!BF$9,Xero!$A:$A,Heron!$A$5,Xero!$E:$E,Heron!$A79)+SUMIFS(Investors!$S:$S,Investors!$G:$G,FALSE,Investors!$O:$O,FALSE,Investors!$P:$P,FALSE,Investors!$K:$K,"&lt;="&amp;Heron!BF$9,Investors!$K:$K,"&gt;"&amp;Heron!BE$9)</f>
        <v/>
      </c>
      <c r="BG79" s="117">
        <f>SUMIFS(Xero!$F:$F,Xero!$B:$B,Heron!BG$9,Xero!$A:$A,Heron!$A$4,Xero!$E:$E,Heron!$A79)+SUMIFS(Xero!$F:$F,Xero!$B:$B,Heron!BG$9,Xero!$A:$A,Heron!$A$5,Xero!$E:$E,Heron!$A79)+SUMIFS(Investors!$S:$S,Investors!$G:$G,FALSE,Investors!$O:$O,FALSE,Investors!$P:$P,FALSE,Investors!$K:$K,"&lt;="&amp;Heron!BG$9,Investors!$K:$K,"&gt;"&amp;Heron!BF$9)</f>
        <v/>
      </c>
      <c r="BH79" s="117">
        <f>SUMIFS(Xero!$F:$F,Xero!$B:$B,Heron!BH$9,Xero!$A:$A,Heron!$A$4,Xero!$E:$E,Heron!$A79)+SUMIFS(Xero!$F:$F,Xero!$B:$B,Heron!BH$9,Xero!$A:$A,Heron!$A$5,Xero!$E:$E,Heron!$A79)+SUMIFS(Investors!$S:$S,Investors!$G:$G,FALSE,Investors!$O:$O,FALSE,Investors!$P:$P,FALSE,Investors!$K:$K,"&lt;="&amp;Heron!BH$9,Investors!$K:$K,"&gt;"&amp;Heron!BG$9)</f>
        <v/>
      </c>
      <c r="BI79" s="117">
        <f>SUMIFS(Xero!$F:$F,Xero!$B:$B,Heron!BI$9,Xero!$A:$A,Heron!$A$4,Xero!$E:$E,Heron!$A79)+SUMIFS(Xero!$F:$F,Xero!$B:$B,Heron!BI$9,Xero!$A:$A,Heron!$A$5,Xero!$E:$E,Heron!$A79)+SUMIFS(Investors!$S:$S,Investors!$G:$G,FALSE,Investors!$O:$O,FALSE,Investors!$P:$P,FALSE,Investors!$K:$K,"&lt;="&amp;Heron!BI$9,Investors!$K:$K,"&gt;"&amp;Heron!BH$9)</f>
        <v/>
      </c>
      <c r="BJ79" s="117">
        <f>SUMIFS(Xero!$F:$F,Xero!$B:$B,Heron!BJ$9,Xero!$A:$A,Heron!$A$4,Xero!$E:$E,Heron!$A79)+SUMIFS(Xero!$F:$F,Xero!$B:$B,Heron!BJ$9,Xero!$A:$A,Heron!$A$5,Xero!$E:$E,Heron!$A79)+SUMIFS(Investors!$S:$S,Investors!$G:$G,FALSE,Investors!$O:$O,FALSE,Investors!$P:$P,FALSE,Investors!$K:$K,"&lt;="&amp;Heron!BJ$9,Investors!$K:$K,"&gt;"&amp;Heron!BI$9)</f>
        <v/>
      </c>
      <c r="BK79" s="117">
        <f>sum(D79:BJ79)</f>
        <v/>
      </c>
    </row>
    <row r="80">
      <c r="A80" s="116" t="inlineStr">
        <is>
          <t>Interest Paid - Investors @ 6.25%</t>
        </is>
      </c>
      <c r="D80" s="117">
        <f>SUMIFS(Xero!$F:$F,Xero!$B:$B,Heron!D$9,Xero!$A:$A,Heron!$A$4,Xero!$E:$E,Heron!$A80)+SUMIFS(Xero!$F:$F,Xero!$B:$B,Heron!D$9,Xero!$A:$A,Heron!$A$5,Xero!$E:$E,Heron!$A80)</f>
        <v/>
      </c>
      <c r="E80" s="117">
        <f>SUMIFS(Xero!$F:$F,Xero!$B:$B,Heron!E$9,Xero!$A:$A,Heron!$A$4,Xero!$E:$E,Heron!$A80)+SUMIFS(Xero!$F:$F,Xero!$B:$B,Heron!E$9,Xero!$A:$A,Heron!$A$5,Xero!$E:$E,Heron!$A80)</f>
        <v/>
      </c>
      <c r="F80" s="117">
        <f>SUMIFS(Xero!$F:$F,Xero!$B:$B,Heron!F$9,Xero!$A:$A,Heron!$A$4,Xero!$E:$E,Heron!$A80)+SUMIFS(Xero!$F:$F,Xero!$B:$B,Heron!F$9,Xero!$A:$A,Heron!$A$5,Xero!$E:$E,Heron!$A80)</f>
        <v/>
      </c>
      <c r="G80" s="117">
        <f>SUMIFS(Xero!$F:$F,Xero!$B:$B,Heron!G$9,Xero!$A:$A,Heron!$A$4,Xero!$E:$E,Heron!$A80)+SUMIFS(Xero!$F:$F,Xero!$B:$B,Heron!G$9,Xero!$A:$A,Heron!$A$5,Xero!$E:$E,Heron!$A80)</f>
        <v/>
      </c>
      <c r="H80" s="117">
        <f>SUMIFS(Xero!$F:$F,Xero!$B:$B,Heron!H$9,Xero!$A:$A,Heron!$A$4,Xero!$E:$E,Heron!$A80)+SUMIFS(Xero!$F:$F,Xero!$B:$B,Heron!H$9,Xero!$A:$A,Heron!$A$5,Xero!$E:$E,Heron!$A80)</f>
        <v/>
      </c>
      <c r="I80" s="117">
        <f>SUMIFS(Xero!$F:$F,Xero!$B:$B,Heron!I$9,Xero!$A:$A,Heron!$A$4,Xero!$E:$E,Heron!$A80)+SUMIFS(Xero!$F:$F,Xero!$B:$B,Heron!I$9,Xero!$A:$A,Heron!$A$5,Xero!$E:$E,Heron!$A80)</f>
        <v/>
      </c>
      <c r="J80" s="117">
        <f>SUMIFS(Xero!$F:$F,Xero!$B:$B,Heron!J$9,Xero!$A:$A,Heron!$A$4,Xero!$E:$E,Heron!$A80)+SUMIFS(Xero!$F:$F,Xero!$B:$B,Heron!J$9,Xero!$A:$A,Heron!$A$5,Xero!$E:$E,Heron!$A80)</f>
        <v/>
      </c>
      <c r="K80" s="117">
        <f>SUMIFS(Xero!$F:$F,Xero!$B:$B,Heron!K$9,Xero!$A:$A,Heron!$A$4,Xero!$E:$E,Heron!$A80)+SUMIFS(Xero!$F:$F,Xero!$B:$B,Heron!K$9,Xero!$A:$A,Heron!$A$5,Xero!$E:$E,Heron!$A80)</f>
        <v/>
      </c>
      <c r="L80" s="117">
        <f>SUMIFS(Xero!$F:$F,Xero!$B:$B,Heron!L$9,Xero!$A:$A,Heron!$A$4,Xero!$E:$E,Heron!$A80)+SUMIFS(Xero!$F:$F,Xero!$B:$B,Heron!L$9,Xero!$A:$A,Heron!$A$5,Xero!$E:$E,Heron!$A80)</f>
        <v/>
      </c>
      <c r="M80" s="117">
        <f>SUMIFS(Xero!$F:$F,Xero!$B:$B,Heron!M$9,Xero!$A:$A,Heron!$A$4,Xero!$E:$E,Heron!$A80)+SUMIFS(Xero!$F:$F,Xero!$B:$B,Heron!M$9,Xero!$A:$A,Heron!$A$5,Xero!$E:$E,Heron!$A80)</f>
        <v/>
      </c>
      <c r="N80" s="117">
        <f>SUMIFS(Xero!$F:$F,Xero!$B:$B,Heron!N$9,Xero!$A:$A,Heron!$A$4,Xero!$E:$E,Heron!$A80)+SUMIFS(Xero!$F:$F,Xero!$B:$B,Heron!N$9,Xero!$A:$A,Heron!$A$5,Xero!$E:$E,Heron!$A80)</f>
        <v/>
      </c>
      <c r="O80" s="117">
        <f>SUMIFS(Xero!$F:$F,Xero!$B:$B,Heron!O$9,Xero!$A:$A,Heron!$A$4,Xero!$E:$E,Heron!$A80)+SUMIFS(Xero!$F:$F,Xero!$B:$B,Heron!O$9,Xero!$A:$A,Heron!$A$5,Xero!$E:$E,Heron!$A80)</f>
        <v/>
      </c>
      <c r="P80" s="117">
        <f>SUMIFS(Xero!$F:$F,Xero!$B:$B,Heron!P$9,Xero!$A:$A,Heron!$A$4,Xero!$E:$E,Heron!$A80)+SUMIFS(Xero!$F:$F,Xero!$B:$B,Heron!P$9,Xero!$A:$A,Heron!$A$5,Xero!$E:$E,Heron!$A80)</f>
        <v/>
      </c>
      <c r="Q80" s="117">
        <f>SUMIFS(Xero!$F:$F,Xero!$B:$B,Heron!Q$9,Xero!$A:$A,Heron!$A$4,Xero!$E:$E,Heron!$A80)+SUMIFS(Xero!$F:$F,Xero!$B:$B,Heron!Q$9,Xero!$A:$A,Heron!$A$5,Xero!$E:$E,Heron!$A80)</f>
        <v/>
      </c>
      <c r="R80" s="117">
        <f>SUMIFS(Xero!$F:$F,Xero!$B:$B,Heron!R$9,Xero!$A:$A,Heron!$A$4,Xero!$E:$E,Heron!$A80)+SUMIFS(Xero!$F:$F,Xero!$B:$B,Heron!R$9,Xero!$A:$A,Heron!$A$5,Xero!$E:$E,Heron!$A80)</f>
        <v/>
      </c>
      <c r="S80" s="117">
        <f>SUMIFS(Xero!$F:$F,Xero!$B:$B,Heron!S$9,Xero!$A:$A,Heron!$A$4,Xero!$E:$E,Heron!$A80)+SUMIFS(Xero!$F:$F,Xero!$B:$B,Heron!S$9,Xero!$A:$A,Heron!$A$5,Xero!$E:$E,Heron!$A80)</f>
        <v/>
      </c>
      <c r="T80" s="117">
        <f>SUMIFS(Xero!$F:$F,Xero!$B:$B,Heron!T$9,Xero!$A:$A,Heron!$A$4,Xero!$E:$E,Heron!$A80)+SUMIFS(Xero!$F:$F,Xero!$B:$B,Heron!T$9,Xero!$A:$A,Heron!$A$5,Xero!$E:$E,Heron!$A80)</f>
        <v/>
      </c>
      <c r="U80" s="117">
        <f>SUMIFS(Xero!$F:$F,Xero!$B:$B,Heron!U$9,Xero!$A:$A,Heron!$A$4,Xero!$E:$E,Heron!$A80)+SUMIFS(Xero!$F:$F,Xero!$B:$B,Heron!U$9,Xero!$A:$A,Heron!$A$5,Xero!$E:$E,Heron!$A80)</f>
        <v/>
      </c>
      <c r="V80" s="117">
        <f>SUMIFS(Xero!$F:$F,Xero!$B:$B,Heron!V$9,Xero!$A:$A,Heron!$A$4,Xero!$E:$E,Heron!$A80)+SUMIFS(Xero!$F:$F,Xero!$B:$B,Heron!V$9,Xero!$A:$A,Heron!$A$5,Xero!$E:$E,Heron!$A80)</f>
        <v/>
      </c>
      <c r="W80" s="117">
        <f>SUMIFS(Xero!$F:$F,Xero!$B:$B,Heron!W$9,Xero!$A:$A,Heron!$A$4,Xero!$E:$E,Heron!$A80)+SUMIFS(Xero!$F:$F,Xero!$B:$B,Heron!W$9,Xero!$A:$A,Heron!$A$5,Xero!$E:$E,Heron!$A80)</f>
        <v/>
      </c>
      <c r="X80" s="117">
        <f>SUMIFS(Xero!$F:$F,Xero!$B:$B,Heron!X$9,Xero!$A:$A,Heron!$A$4,Xero!$E:$E,Heron!$A80)+SUMIFS(Xero!$F:$F,Xero!$B:$B,Heron!X$9,Xero!$A:$A,Heron!$A$5,Xero!$E:$E,Heron!$A80)</f>
        <v/>
      </c>
      <c r="Y80" s="117">
        <f>SUMIFS(Xero!$F:$F,Xero!$B:$B,Heron!Y$9,Xero!$A:$A,Heron!$A$4,Xero!$E:$E,Heron!$A80)+SUMIFS(Xero!$F:$F,Xero!$B:$B,Heron!Y$9,Xero!$A:$A,Heron!$A$5,Xero!$E:$E,Heron!$A80)</f>
        <v/>
      </c>
      <c r="Z80" s="117">
        <f>SUMIFS(Xero!$F:$F,Xero!$B:$B,Heron!Z$9,Xero!$A:$A,Heron!$A$4,Xero!$E:$E,Heron!$A80)+SUMIFS(Xero!$F:$F,Xero!$B:$B,Heron!Z$9,Xero!$A:$A,Heron!$A$5,Xero!$E:$E,Heron!$A80)</f>
        <v/>
      </c>
      <c r="AA80" s="117">
        <f>SUMIFS(Xero!$F:$F,Xero!$B:$B,Heron!AA$9,Xero!$A:$A,Heron!$A$4,Xero!$E:$E,Heron!$A80)+SUMIFS(Xero!$F:$F,Xero!$B:$B,Heron!AA$9,Xero!$A:$A,Heron!$A$5,Xero!$E:$E,Heron!$A80)</f>
        <v/>
      </c>
      <c r="AB80" s="117">
        <f>SUMIFS(Xero!$F:$F,Xero!$B:$B,Heron!AB$9,Xero!$A:$A,Heron!$A$4,Xero!$E:$E,Heron!$A80)+SUMIFS(Xero!$F:$F,Xero!$B:$B,Heron!AB$9,Xero!$A:$A,Heron!$A$5,Xero!$E:$E,Heron!$A80)</f>
        <v/>
      </c>
      <c r="AC80" s="117">
        <f>SUMIFS(Xero!$F:$F,Xero!$B:$B,Heron!AC$9,Xero!$A:$A,Heron!$A$4,Xero!$E:$E,Heron!$A80)+SUMIFS(Xero!$F:$F,Xero!$B:$B,Heron!AC$9,Xero!$A:$A,Heron!$A$5,Xero!$E:$E,Heron!$A80)</f>
        <v/>
      </c>
      <c r="AD80" s="117">
        <f>SUMIFS(Xero!$F:$F,Xero!$B:$B,Heron!AD$9,Xero!$A:$A,Heron!$A$4,Xero!$E:$E,Heron!$A80)+SUMIFS(Xero!$F:$F,Xero!$B:$B,Heron!AD$9,Xero!$A:$A,Heron!$A$5,Xero!$E:$E,Heron!$A80)</f>
        <v/>
      </c>
      <c r="AE80" s="117">
        <f>SUMIFS(Xero!$F:$F,Xero!$B:$B,Heron!AE$9,Xero!$A:$A,Heron!$A$4,Xero!$E:$E,Heron!$A80)+SUMIFS(Xero!$F:$F,Xero!$B:$B,Heron!AE$9,Xero!$A:$A,Heron!$A$5,Xero!$E:$E,Heron!$A80)</f>
        <v/>
      </c>
      <c r="AF80" s="117">
        <f>SUMIFS(Xero!$F:$F,Xero!$B:$B,Heron!AF$9,Xero!$A:$A,Heron!$A$4,Xero!$E:$E,Heron!$A80)+SUMIFS(Xero!$F:$F,Xero!$B:$B,Heron!AF$9,Xero!$A:$A,Heron!$A$5,Xero!$E:$E,Heron!$A80)</f>
        <v/>
      </c>
      <c r="AG80" s="117">
        <f>SUMIFS(Xero!$F:$F,Xero!$B:$B,Heron!AG$9,Xero!$A:$A,Heron!$A$4,Xero!$E:$E,Heron!$A80)+SUMIFS(Xero!$F:$F,Xero!$B:$B,Heron!AG$9,Xero!$A:$A,Heron!$A$5,Xero!$E:$E,Heron!$A80)</f>
        <v/>
      </c>
      <c r="AH80" s="117">
        <f>SUMIFS(Xero!$F:$F,Xero!$B:$B,Heron!AH$9,Xero!$A:$A,Heron!$A$4,Xero!$E:$E,Heron!$A80)+SUMIFS(Xero!$F:$F,Xero!$B:$B,Heron!AH$9,Xero!$A:$A,Heron!$A$5,Xero!$E:$E,Heron!$A80)</f>
        <v/>
      </c>
      <c r="AI80" s="117">
        <f>SUMIFS(Xero!$F:$F,Xero!$B:$B,Heron!AI$9,Xero!$A:$A,Heron!$A$4,Xero!$E:$E,Heron!$A80)+SUMIFS(Xero!$F:$F,Xero!$B:$B,Heron!AI$9,Xero!$A:$A,Heron!$A$5,Xero!$E:$E,Heron!$A80)</f>
        <v/>
      </c>
      <c r="AJ80" s="117">
        <f>SUMIFS(Xero!$F:$F,Xero!$B:$B,Heron!AJ$9,Xero!$A:$A,Heron!$A$4,Xero!$E:$E,Heron!$A80)+SUMIFS(Xero!$F:$F,Xero!$B:$B,Heron!AJ$9,Xero!$A:$A,Heron!$A$5,Xero!$E:$E,Heron!$A80)</f>
        <v/>
      </c>
      <c r="AK80" s="117">
        <f>SUMIFS(Xero!$F:$F,Xero!$B:$B,Heron!AK$9,Xero!$A:$A,Heron!$A$4,Xero!$E:$E,Heron!$A80)+SUMIFS(Xero!$F:$F,Xero!$B:$B,Heron!AK$9,Xero!$A:$A,Heron!$A$5,Xero!$E:$E,Heron!$A80)</f>
        <v/>
      </c>
      <c r="AL80" s="117">
        <f>SUMIFS(Xero!$F:$F,Xero!$B:$B,Heron!AL$9,Xero!$A:$A,Heron!$A$4,Xero!$E:$E,Heron!$A80)+SUMIFS(Xero!$F:$F,Xero!$B:$B,Heron!AL$9,Xero!$A:$A,Heron!$A$5,Xero!$E:$E,Heron!$A80)</f>
        <v/>
      </c>
      <c r="AM80" s="117">
        <f>SUMIFS(Xero!$F:$F,Xero!$B:$B,Heron!AM$9,Xero!$A:$A,Heron!$A$4,Xero!$E:$E,Heron!$A80)+SUMIFS(Xero!$F:$F,Xero!$B:$B,Heron!AM$9,Xero!$A:$A,Heron!$A$5,Xero!$E:$E,Heron!$A80)</f>
        <v/>
      </c>
      <c r="AN80" s="117">
        <f>SUMIFS(Xero!$F:$F,Xero!$B:$B,Heron!AN$9,Xero!$A:$A,Heron!$A$4,Xero!$E:$E,Heron!$A80)+SUMIFS(Xero!$F:$F,Xero!$B:$B,Heron!AN$9,Xero!$A:$A,Heron!$A$5,Xero!$E:$E,Heron!$A80)</f>
        <v/>
      </c>
      <c r="AO80" s="117">
        <f>SUMIFS(Xero!$F:$F,Xero!$B:$B,Heron!AO$9,Xero!$A:$A,Heron!$A$4,Xero!$E:$E,Heron!$A80)+SUMIFS(Xero!$F:$F,Xero!$B:$B,Heron!AO$9,Xero!$A:$A,Heron!$A$5,Xero!$E:$E,Heron!$A80)</f>
        <v/>
      </c>
      <c r="AP80" s="117">
        <f>SUMIFS(Xero!$F:$F,Xero!$B:$B,Heron!AP$9,Xero!$A:$A,Heron!$A$4,Xero!$E:$E,Heron!$A80)+SUMIFS(Xero!$F:$F,Xero!$B:$B,Heron!AP$9,Xero!$A:$A,Heron!$A$5,Xero!$E:$E,Heron!$A80)</f>
        <v/>
      </c>
      <c r="AQ80" s="117">
        <f>SUMIFS(Xero!$F:$F,Xero!$B:$B,Heron!AQ$9,Xero!$A:$A,Heron!$A$4,Xero!$E:$E,Heron!$A80)+SUMIFS(Xero!$F:$F,Xero!$B:$B,Heron!AQ$9,Xero!$A:$A,Heron!$A$5,Xero!$E:$E,Heron!$A80)</f>
        <v/>
      </c>
      <c r="AR80" s="117">
        <f>SUMIFS(Xero!$F:$F,Xero!$B:$B,Heron!AR$9,Xero!$A:$A,Heron!$A$4,Xero!$E:$E,Heron!$A80)+SUMIFS(Xero!$F:$F,Xero!$B:$B,Heron!AR$9,Xero!$A:$A,Heron!$A$5,Xero!$E:$E,Heron!$A80)</f>
        <v/>
      </c>
      <c r="AS80" s="117">
        <f>SUMIFS(Xero!$F:$F,Xero!$B:$B,Heron!AS$9,Xero!$A:$A,Heron!$A$4,Xero!$E:$E,Heron!$A80)+SUMIFS(Xero!$F:$F,Xero!$B:$B,Heron!AS$9,Xero!$A:$A,Heron!$A$5,Xero!$E:$E,Heron!$A80)</f>
        <v/>
      </c>
      <c r="AT80" s="117">
        <f>SUMIFS(Xero!$F:$F,Xero!$B:$B,Heron!AT$9,Xero!$A:$A,Heron!$A$4,Xero!$E:$E,Heron!$A80)+SUMIFS(Xero!$F:$F,Xero!$B:$B,Heron!AT$9,Xero!$A:$A,Heron!$A$5,Xero!$E:$E,Heron!$A80)</f>
        <v/>
      </c>
      <c r="AU80" s="117">
        <f>SUMIFS(Xero!$F:$F,Xero!$B:$B,Heron!AU$9,Xero!$A:$A,Heron!$A$4,Xero!$E:$E,Heron!$A80)+SUMIFS(Xero!$F:$F,Xero!$B:$B,Heron!AU$9,Xero!$A:$A,Heron!$A$5,Xero!$E:$E,Heron!$A80)</f>
        <v/>
      </c>
      <c r="AV80" s="117">
        <f>SUMIFS(Xero!$F:$F,Xero!$B:$B,Heron!AV$9,Xero!$A:$A,Heron!$A$4,Xero!$E:$E,Heron!$A80)+SUMIFS(Xero!$F:$F,Xero!$B:$B,Heron!AV$9,Xero!$A:$A,Heron!$A$5,Xero!$E:$E,Heron!$A80)</f>
        <v/>
      </c>
      <c r="AW80" s="117">
        <f>SUMIFS(Xero!$F:$F,Xero!$B:$B,Heron!AW$9,Xero!$A:$A,Heron!$A$4,Xero!$E:$E,Heron!$A80)+SUMIFS(Xero!$F:$F,Xero!$B:$B,Heron!AW$9,Xero!$A:$A,Heron!$A$5,Xero!$E:$E,Heron!$A80)</f>
        <v/>
      </c>
      <c r="AX80" s="117">
        <f>SUMIFS(Xero!$F:$F,Xero!$B:$B,Heron!AX$9,Xero!$A:$A,Heron!$A$4,Xero!$E:$E,Heron!$A80)+SUMIFS(Xero!$F:$F,Xero!$B:$B,Heron!AX$9,Xero!$A:$A,Heron!$A$5,Xero!$E:$E,Heron!$A80)</f>
        <v/>
      </c>
      <c r="AY80" s="117">
        <f>SUMIFS(Xero!$F:$F,Xero!$B:$B,Heron!AY$9,Xero!$A:$A,Heron!$A$4,Xero!$E:$E,Heron!$A80)+SUMIFS(Xero!$F:$F,Xero!$B:$B,Heron!AY$9,Xero!$A:$A,Heron!$A$5,Xero!$E:$E,Heron!$A80)</f>
        <v/>
      </c>
      <c r="AZ80" s="117">
        <f>SUMIFS(Xero!$F:$F,Xero!$B:$B,Heron!AZ$9,Xero!$A:$A,Heron!$A$4,Xero!$E:$E,Heron!$A80)+SUMIFS(Xero!$F:$F,Xero!$B:$B,Heron!AZ$9,Xero!$A:$A,Heron!$A$5,Xero!$E:$E,Heron!$A80)</f>
        <v/>
      </c>
      <c r="BA80" s="117">
        <f>SUMIFS(Xero!$F:$F,Xero!$B:$B,Heron!BA$9,Xero!$A:$A,Heron!$A$4,Xero!$E:$E,Heron!$A80)+SUMIFS(Xero!$F:$F,Xero!$B:$B,Heron!BA$9,Xero!$A:$A,Heron!$A$5,Xero!$E:$E,Heron!$A80)</f>
        <v/>
      </c>
      <c r="BB80" s="117">
        <f>SUMIFS(Xero!$F:$F,Xero!$B:$B,Heron!BB$9,Xero!$A:$A,Heron!$A$4,Xero!$E:$E,Heron!$A80)+SUMIFS(Xero!$F:$F,Xero!$B:$B,Heron!BB$9,Xero!$A:$A,Heron!$A$5,Xero!$E:$E,Heron!$A80)</f>
        <v/>
      </c>
      <c r="BC80" s="117">
        <f>SUMIFS(Xero!$F:$F,Xero!$B:$B,Heron!BC$9,Xero!$A:$A,Heron!$A$4,Xero!$E:$E,Heron!$A80)+SUMIFS(Xero!$F:$F,Xero!$B:$B,Heron!BC$9,Xero!$A:$A,Heron!$A$5,Xero!$E:$E,Heron!$A80)</f>
        <v/>
      </c>
      <c r="BD80" s="117">
        <f>SUMIFS(Xero!$F:$F,Xero!$B:$B,Heron!BD$9,Xero!$A:$A,Heron!$A$4,Xero!$E:$E,Heron!$A80)+SUMIFS(Xero!$F:$F,Xero!$B:$B,Heron!BD$9,Xero!$A:$A,Heron!$A$5,Xero!$E:$E,Heron!$A80)</f>
        <v/>
      </c>
      <c r="BE80" s="117">
        <f>SUMIFS(Xero!$F:$F,Xero!$B:$B,Heron!BE$9,Xero!$A:$A,Heron!$A$4,Xero!$E:$E,Heron!$A80)+SUMIFS(Xero!$F:$F,Xero!$B:$B,Heron!BE$9,Xero!$A:$A,Heron!$A$5,Xero!$E:$E,Heron!$A80)</f>
        <v/>
      </c>
      <c r="BF80" s="117">
        <f>SUMIFS(Xero!$F:$F,Xero!$B:$B,Heron!BF$9,Xero!$A:$A,Heron!$A$4,Xero!$E:$E,Heron!$A80)+SUMIFS(Xero!$F:$F,Xero!$B:$B,Heron!BF$9,Xero!$A:$A,Heron!$A$5,Xero!$E:$E,Heron!$A80)</f>
        <v/>
      </c>
      <c r="BG80" s="117">
        <f>SUMIFS(Xero!$F:$F,Xero!$B:$B,Heron!BG$9,Xero!$A:$A,Heron!$A$4,Xero!$E:$E,Heron!$A80)+SUMIFS(Xero!$F:$F,Xero!$B:$B,Heron!BG$9,Xero!$A:$A,Heron!$A$5,Xero!$E:$E,Heron!$A80)</f>
        <v/>
      </c>
      <c r="BH80" s="117">
        <f>SUMIFS(Xero!$F:$F,Xero!$B:$B,Heron!BH$9,Xero!$A:$A,Heron!$A$4,Xero!$E:$E,Heron!$A80)+SUMIFS(Xero!$F:$F,Xero!$B:$B,Heron!BH$9,Xero!$A:$A,Heron!$A$5,Xero!$E:$E,Heron!$A80)</f>
        <v/>
      </c>
      <c r="BI80" s="117">
        <f>SUMIFS(Xero!$F:$F,Xero!$B:$B,Heron!BI$9,Xero!$A:$A,Heron!$A$4,Xero!$E:$E,Heron!$A80)+SUMIFS(Xero!$F:$F,Xero!$B:$B,Heron!BI$9,Xero!$A:$A,Heron!$A$5,Xero!$E:$E,Heron!$A80)</f>
        <v/>
      </c>
      <c r="BJ80" s="117">
        <f>SUMIFS(Xero!$F:$F,Xero!$B:$B,Heron!BJ$9,Xero!$A:$A,Heron!$A$4,Xero!$E:$E,Heron!$A80)+SUMIFS(Xero!$F:$F,Xero!$B:$B,Heron!BJ$9,Xero!$A:$A,Heron!$A$5,Xero!$E:$E,Heron!$A80)</f>
        <v/>
      </c>
      <c r="BK80" s="117">
        <f>sum(D80:BJ80)</f>
        <v/>
      </c>
    </row>
    <row r="81">
      <c r="A81" s="116" t="inlineStr">
        <is>
          <t>Interest Paid - Investors @ 6.5%</t>
        </is>
      </c>
      <c r="D81" s="117">
        <f>SUMIFS(Xero!$F:$F,Xero!$B:$B,Heron!D$9,Xero!$A:$A,Heron!$A$4,Xero!$E:$E,Heron!$A81)+SUMIFS(Xero!$F:$F,Xero!$B:$B,Heron!D$9,Xero!$A:$A,Heron!$A$5,Xero!$E:$E,Heron!$A81)</f>
        <v/>
      </c>
      <c r="E81" s="117">
        <f>SUMIFS(Xero!$F:$F,Xero!$B:$B,Heron!E$9,Xero!$A:$A,Heron!$A$4,Xero!$E:$E,Heron!$A81)+SUMIFS(Xero!$F:$F,Xero!$B:$B,Heron!E$9,Xero!$A:$A,Heron!$A$5,Xero!$E:$E,Heron!$A81)</f>
        <v/>
      </c>
      <c r="F81" s="117">
        <f>SUMIFS(Xero!$F:$F,Xero!$B:$B,Heron!F$9,Xero!$A:$A,Heron!$A$4,Xero!$E:$E,Heron!$A81)+SUMIFS(Xero!$F:$F,Xero!$B:$B,Heron!F$9,Xero!$A:$A,Heron!$A$5,Xero!$E:$E,Heron!$A81)</f>
        <v/>
      </c>
      <c r="G81" s="117">
        <f>SUMIFS(Xero!$F:$F,Xero!$B:$B,Heron!G$9,Xero!$A:$A,Heron!$A$4,Xero!$E:$E,Heron!$A81)+SUMIFS(Xero!$F:$F,Xero!$B:$B,Heron!G$9,Xero!$A:$A,Heron!$A$5,Xero!$E:$E,Heron!$A81)</f>
        <v/>
      </c>
      <c r="H81" s="117">
        <f>SUMIFS(Xero!$F:$F,Xero!$B:$B,Heron!H$9,Xero!$A:$A,Heron!$A$4,Xero!$E:$E,Heron!$A81)+SUMIFS(Xero!$F:$F,Xero!$B:$B,Heron!H$9,Xero!$A:$A,Heron!$A$5,Xero!$E:$E,Heron!$A81)</f>
        <v/>
      </c>
      <c r="I81" s="117">
        <f>SUMIFS(Xero!$F:$F,Xero!$B:$B,Heron!I$9,Xero!$A:$A,Heron!$A$4,Xero!$E:$E,Heron!$A81)+SUMIFS(Xero!$F:$F,Xero!$B:$B,Heron!I$9,Xero!$A:$A,Heron!$A$5,Xero!$E:$E,Heron!$A81)</f>
        <v/>
      </c>
      <c r="J81" s="117">
        <f>SUMIFS(Xero!$F:$F,Xero!$B:$B,Heron!J$9,Xero!$A:$A,Heron!$A$4,Xero!$E:$E,Heron!$A81)+SUMIFS(Xero!$F:$F,Xero!$B:$B,Heron!J$9,Xero!$A:$A,Heron!$A$5,Xero!$E:$E,Heron!$A81)</f>
        <v/>
      </c>
      <c r="K81" s="117">
        <f>SUMIFS(Xero!$F:$F,Xero!$B:$B,Heron!K$9,Xero!$A:$A,Heron!$A$4,Xero!$E:$E,Heron!$A81)+SUMIFS(Xero!$F:$F,Xero!$B:$B,Heron!K$9,Xero!$A:$A,Heron!$A$5,Xero!$E:$E,Heron!$A81)</f>
        <v/>
      </c>
      <c r="L81" s="117">
        <f>SUMIFS(Xero!$F:$F,Xero!$B:$B,Heron!L$9,Xero!$A:$A,Heron!$A$4,Xero!$E:$E,Heron!$A81)+SUMIFS(Xero!$F:$F,Xero!$B:$B,Heron!L$9,Xero!$A:$A,Heron!$A$5,Xero!$E:$E,Heron!$A81)</f>
        <v/>
      </c>
      <c r="M81" s="117">
        <f>SUMIFS(Xero!$F:$F,Xero!$B:$B,Heron!M$9,Xero!$A:$A,Heron!$A$4,Xero!$E:$E,Heron!$A81)+SUMIFS(Xero!$F:$F,Xero!$B:$B,Heron!M$9,Xero!$A:$A,Heron!$A$5,Xero!$E:$E,Heron!$A81)</f>
        <v/>
      </c>
      <c r="N81" s="117">
        <f>SUMIFS(Xero!$F:$F,Xero!$B:$B,Heron!N$9,Xero!$A:$A,Heron!$A$4,Xero!$E:$E,Heron!$A81)+SUMIFS(Xero!$F:$F,Xero!$B:$B,Heron!N$9,Xero!$A:$A,Heron!$A$5,Xero!$E:$E,Heron!$A81)</f>
        <v/>
      </c>
      <c r="O81" s="117">
        <f>SUMIFS(Xero!$F:$F,Xero!$B:$B,Heron!O$9,Xero!$A:$A,Heron!$A$4,Xero!$E:$E,Heron!$A81)+SUMIFS(Xero!$F:$F,Xero!$B:$B,Heron!O$9,Xero!$A:$A,Heron!$A$5,Xero!$E:$E,Heron!$A81)</f>
        <v/>
      </c>
      <c r="P81" s="117">
        <f>SUMIFS(Xero!$F:$F,Xero!$B:$B,Heron!P$9,Xero!$A:$A,Heron!$A$4,Xero!$E:$E,Heron!$A81)+SUMIFS(Xero!$F:$F,Xero!$B:$B,Heron!P$9,Xero!$A:$A,Heron!$A$5,Xero!$E:$E,Heron!$A81)</f>
        <v/>
      </c>
      <c r="Q81" s="117">
        <f>SUMIFS(Xero!$F:$F,Xero!$B:$B,Heron!Q$9,Xero!$A:$A,Heron!$A$4,Xero!$E:$E,Heron!$A81)+SUMIFS(Xero!$F:$F,Xero!$B:$B,Heron!Q$9,Xero!$A:$A,Heron!$A$5,Xero!$E:$E,Heron!$A81)</f>
        <v/>
      </c>
      <c r="R81" s="117">
        <f>SUMIFS(Xero!$F:$F,Xero!$B:$B,Heron!R$9,Xero!$A:$A,Heron!$A$4,Xero!$E:$E,Heron!$A81)+SUMIFS(Xero!$F:$F,Xero!$B:$B,Heron!R$9,Xero!$A:$A,Heron!$A$5,Xero!$E:$E,Heron!$A81)</f>
        <v/>
      </c>
      <c r="S81" s="117">
        <f>SUMIFS(Xero!$F:$F,Xero!$B:$B,Heron!S$9,Xero!$A:$A,Heron!$A$4,Xero!$E:$E,Heron!$A81)+SUMIFS(Xero!$F:$F,Xero!$B:$B,Heron!S$9,Xero!$A:$A,Heron!$A$5,Xero!$E:$E,Heron!$A81)</f>
        <v/>
      </c>
      <c r="T81" s="117">
        <f>SUMIFS(Xero!$F:$F,Xero!$B:$B,Heron!T$9,Xero!$A:$A,Heron!$A$4,Xero!$E:$E,Heron!$A81)+SUMIFS(Xero!$F:$F,Xero!$B:$B,Heron!T$9,Xero!$A:$A,Heron!$A$5,Xero!$E:$E,Heron!$A81)</f>
        <v/>
      </c>
      <c r="U81" s="117">
        <f>SUMIFS(Xero!$F:$F,Xero!$B:$B,Heron!U$9,Xero!$A:$A,Heron!$A$4,Xero!$E:$E,Heron!$A81)+SUMIFS(Xero!$F:$F,Xero!$B:$B,Heron!U$9,Xero!$A:$A,Heron!$A$5,Xero!$E:$E,Heron!$A81)</f>
        <v/>
      </c>
      <c r="V81" s="117">
        <f>SUMIFS(Xero!$F:$F,Xero!$B:$B,Heron!V$9,Xero!$A:$A,Heron!$A$4,Xero!$E:$E,Heron!$A81)+SUMIFS(Xero!$F:$F,Xero!$B:$B,Heron!V$9,Xero!$A:$A,Heron!$A$5,Xero!$E:$E,Heron!$A81)</f>
        <v/>
      </c>
      <c r="W81" s="117">
        <f>SUMIFS(Xero!$F:$F,Xero!$B:$B,Heron!W$9,Xero!$A:$A,Heron!$A$4,Xero!$E:$E,Heron!$A81)+SUMIFS(Xero!$F:$F,Xero!$B:$B,Heron!W$9,Xero!$A:$A,Heron!$A$5,Xero!$E:$E,Heron!$A81)</f>
        <v/>
      </c>
      <c r="X81" s="117">
        <f>SUMIFS(Xero!$F:$F,Xero!$B:$B,Heron!X$9,Xero!$A:$A,Heron!$A$4,Xero!$E:$E,Heron!$A81)+SUMIFS(Xero!$F:$F,Xero!$B:$B,Heron!X$9,Xero!$A:$A,Heron!$A$5,Xero!$E:$E,Heron!$A81)</f>
        <v/>
      </c>
      <c r="Y81" s="117">
        <f>SUMIFS(Xero!$F:$F,Xero!$B:$B,Heron!Y$9,Xero!$A:$A,Heron!$A$4,Xero!$E:$E,Heron!$A81)+SUMIFS(Xero!$F:$F,Xero!$B:$B,Heron!Y$9,Xero!$A:$A,Heron!$A$5,Xero!$E:$E,Heron!$A81)</f>
        <v/>
      </c>
      <c r="Z81" s="117">
        <f>SUMIFS(Xero!$F:$F,Xero!$B:$B,Heron!Z$9,Xero!$A:$A,Heron!$A$4,Xero!$E:$E,Heron!$A81)+SUMIFS(Xero!$F:$F,Xero!$B:$B,Heron!Z$9,Xero!$A:$A,Heron!$A$5,Xero!$E:$E,Heron!$A81)</f>
        <v/>
      </c>
      <c r="AA81" s="117">
        <f>SUMIFS(Xero!$F:$F,Xero!$B:$B,Heron!AA$9,Xero!$A:$A,Heron!$A$4,Xero!$E:$E,Heron!$A81)+SUMIFS(Xero!$F:$F,Xero!$B:$B,Heron!AA$9,Xero!$A:$A,Heron!$A$5,Xero!$E:$E,Heron!$A81)</f>
        <v/>
      </c>
      <c r="AB81" s="117">
        <f>SUMIFS(Xero!$F:$F,Xero!$B:$B,Heron!AB$9,Xero!$A:$A,Heron!$A$4,Xero!$E:$E,Heron!$A81)+SUMIFS(Xero!$F:$F,Xero!$B:$B,Heron!AB$9,Xero!$A:$A,Heron!$A$5,Xero!$E:$E,Heron!$A81)</f>
        <v/>
      </c>
      <c r="AC81" s="117">
        <f>SUMIFS(Xero!$F:$F,Xero!$B:$B,Heron!AC$9,Xero!$A:$A,Heron!$A$4,Xero!$E:$E,Heron!$A81)+SUMIFS(Xero!$F:$F,Xero!$B:$B,Heron!AC$9,Xero!$A:$A,Heron!$A$5,Xero!$E:$E,Heron!$A81)</f>
        <v/>
      </c>
      <c r="AD81" s="117">
        <f>SUMIFS(Xero!$F:$F,Xero!$B:$B,Heron!AD$9,Xero!$A:$A,Heron!$A$4,Xero!$E:$E,Heron!$A81)+SUMIFS(Xero!$F:$F,Xero!$B:$B,Heron!AD$9,Xero!$A:$A,Heron!$A$5,Xero!$E:$E,Heron!$A81)</f>
        <v/>
      </c>
      <c r="AE81" s="117">
        <f>SUMIFS(Xero!$F:$F,Xero!$B:$B,Heron!AE$9,Xero!$A:$A,Heron!$A$4,Xero!$E:$E,Heron!$A81)+SUMIFS(Xero!$F:$F,Xero!$B:$B,Heron!AE$9,Xero!$A:$A,Heron!$A$5,Xero!$E:$E,Heron!$A81)</f>
        <v/>
      </c>
      <c r="AF81" s="117">
        <f>SUMIFS(Xero!$F:$F,Xero!$B:$B,Heron!AF$9,Xero!$A:$A,Heron!$A$4,Xero!$E:$E,Heron!$A81)+SUMIFS(Xero!$F:$F,Xero!$B:$B,Heron!AF$9,Xero!$A:$A,Heron!$A$5,Xero!$E:$E,Heron!$A81)</f>
        <v/>
      </c>
      <c r="AG81" s="117">
        <f>SUMIFS(Xero!$F:$F,Xero!$B:$B,Heron!AG$9,Xero!$A:$A,Heron!$A$4,Xero!$E:$E,Heron!$A81)+SUMIFS(Xero!$F:$F,Xero!$B:$B,Heron!AG$9,Xero!$A:$A,Heron!$A$5,Xero!$E:$E,Heron!$A81)</f>
        <v/>
      </c>
      <c r="AH81" s="117">
        <f>SUMIFS(Xero!$F:$F,Xero!$B:$B,Heron!AH$9,Xero!$A:$A,Heron!$A$4,Xero!$E:$E,Heron!$A81)+SUMIFS(Xero!$F:$F,Xero!$B:$B,Heron!AH$9,Xero!$A:$A,Heron!$A$5,Xero!$E:$E,Heron!$A81)</f>
        <v/>
      </c>
      <c r="AI81" s="117">
        <f>SUMIFS(Xero!$F:$F,Xero!$B:$B,Heron!AI$9,Xero!$A:$A,Heron!$A$4,Xero!$E:$E,Heron!$A81)+SUMIFS(Xero!$F:$F,Xero!$B:$B,Heron!AI$9,Xero!$A:$A,Heron!$A$5,Xero!$E:$E,Heron!$A81)</f>
        <v/>
      </c>
      <c r="AJ81" s="117">
        <f>SUMIFS(Xero!$F:$F,Xero!$B:$B,Heron!AJ$9,Xero!$A:$A,Heron!$A$4,Xero!$E:$E,Heron!$A81)+SUMIFS(Xero!$F:$F,Xero!$B:$B,Heron!AJ$9,Xero!$A:$A,Heron!$A$5,Xero!$E:$E,Heron!$A81)</f>
        <v/>
      </c>
      <c r="AK81" s="117">
        <f>SUMIFS(Xero!$F:$F,Xero!$B:$B,Heron!AK$9,Xero!$A:$A,Heron!$A$4,Xero!$E:$E,Heron!$A81)+SUMIFS(Xero!$F:$F,Xero!$B:$B,Heron!AK$9,Xero!$A:$A,Heron!$A$5,Xero!$E:$E,Heron!$A81)</f>
        <v/>
      </c>
      <c r="AL81" s="117">
        <f>SUMIFS(Xero!$F:$F,Xero!$B:$B,Heron!AL$9,Xero!$A:$A,Heron!$A$4,Xero!$E:$E,Heron!$A81)+SUMIFS(Xero!$F:$F,Xero!$B:$B,Heron!AL$9,Xero!$A:$A,Heron!$A$5,Xero!$E:$E,Heron!$A81)</f>
        <v/>
      </c>
      <c r="AM81" s="117">
        <f>SUMIFS(Xero!$F:$F,Xero!$B:$B,Heron!AM$9,Xero!$A:$A,Heron!$A$4,Xero!$E:$E,Heron!$A81)+SUMIFS(Xero!$F:$F,Xero!$B:$B,Heron!AM$9,Xero!$A:$A,Heron!$A$5,Xero!$E:$E,Heron!$A81)</f>
        <v/>
      </c>
      <c r="AN81" s="117">
        <f>SUMIFS(Xero!$F:$F,Xero!$B:$B,Heron!AN$9,Xero!$A:$A,Heron!$A$4,Xero!$E:$E,Heron!$A81)+SUMIFS(Xero!$F:$F,Xero!$B:$B,Heron!AN$9,Xero!$A:$A,Heron!$A$5,Xero!$E:$E,Heron!$A81)</f>
        <v/>
      </c>
      <c r="AO81" s="117">
        <f>SUMIFS(Xero!$F:$F,Xero!$B:$B,Heron!AO$9,Xero!$A:$A,Heron!$A$4,Xero!$E:$E,Heron!$A81)+SUMIFS(Xero!$F:$F,Xero!$B:$B,Heron!AO$9,Xero!$A:$A,Heron!$A$5,Xero!$E:$E,Heron!$A81)</f>
        <v/>
      </c>
      <c r="AP81" s="117">
        <f>SUMIFS(Xero!$F:$F,Xero!$B:$B,Heron!AP$9,Xero!$A:$A,Heron!$A$4,Xero!$E:$E,Heron!$A81)+SUMIFS(Xero!$F:$F,Xero!$B:$B,Heron!AP$9,Xero!$A:$A,Heron!$A$5,Xero!$E:$E,Heron!$A81)</f>
        <v/>
      </c>
      <c r="AQ81" s="117">
        <f>SUMIFS(Xero!$F:$F,Xero!$B:$B,Heron!AQ$9,Xero!$A:$A,Heron!$A$4,Xero!$E:$E,Heron!$A81)+SUMIFS(Xero!$F:$F,Xero!$B:$B,Heron!AQ$9,Xero!$A:$A,Heron!$A$5,Xero!$E:$E,Heron!$A81)</f>
        <v/>
      </c>
      <c r="AR81" s="117">
        <f>SUMIFS(Xero!$F:$F,Xero!$B:$B,Heron!AR$9,Xero!$A:$A,Heron!$A$4,Xero!$E:$E,Heron!$A81)+SUMIFS(Xero!$F:$F,Xero!$B:$B,Heron!AR$9,Xero!$A:$A,Heron!$A$5,Xero!$E:$E,Heron!$A81)</f>
        <v/>
      </c>
      <c r="AS81" s="117">
        <f>SUMIFS(Xero!$F:$F,Xero!$B:$B,Heron!AS$9,Xero!$A:$A,Heron!$A$4,Xero!$E:$E,Heron!$A81)+SUMIFS(Xero!$F:$F,Xero!$B:$B,Heron!AS$9,Xero!$A:$A,Heron!$A$5,Xero!$E:$E,Heron!$A81)</f>
        <v/>
      </c>
      <c r="AT81" s="117">
        <f>SUMIFS(Xero!$F:$F,Xero!$B:$B,Heron!AT$9,Xero!$A:$A,Heron!$A$4,Xero!$E:$E,Heron!$A81)+SUMIFS(Xero!$F:$F,Xero!$B:$B,Heron!AT$9,Xero!$A:$A,Heron!$A$5,Xero!$E:$E,Heron!$A81)</f>
        <v/>
      </c>
      <c r="AU81" s="117">
        <f>SUMIFS(Xero!$F:$F,Xero!$B:$B,Heron!AU$9,Xero!$A:$A,Heron!$A$4,Xero!$E:$E,Heron!$A81)+SUMIFS(Xero!$F:$F,Xero!$B:$B,Heron!AU$9,Xero!$A:$A,Heron!$A$5,Xero!$E:$E,Heron!$A81)</f>
        <v/>
      </c>
      <c r="AV81" s="117">
        <f>SUMIFS(Xero!$F:$F,Xero!$B:$B,Heron!AV$9,Xero!$A:$A,Heron!$A$4,Xero!$E:$E,Heron!$A81)+SUMIFS(Xero!$F:$F,Xero!$B:$B,Heron!AV$9,Xero!$A:$A,Heron!$A$5,Xero!$E:$E,Heron!$A81)</f>
        <v/>
      </c>
      <c r="AW81" s="117">
        <f>SUMIFS(Xero!$F:$F,Xero!$B:$B,Heron!AW$9,Xero!$A:$A,Heron!$A$4,Xero!$E:$E,Heron!$A81)+SUMIFS(Xero!$F:$F,Xero!$B:$B,Heron!AW$9,Xero!$A:$A,Heron!$A$5,Xero!$E:$E,Heron!$A81)</f>
        <v/>
      </c>
      <c r="AX81" s="117">
        <f>SUMIFS(Xero!$F:$F,Xero!$B:$B,Heron!AX$9,Xero!$A:$A,Heron!$A$4,Xero!$E:$E,Heron!$A81)+SUMIFS(Xero!$F:$F,Xero!$B:$B,Heron!AX$9,Xero!$A:$A,Heron!$A$5,Xero!$E:$E,Heron!$A81)</f>
        <v/>
      </c>
      <c r="AY81" s="117">
        <f>SUMIFS(Xero!$F:$F,Xero!$B:$B,Heron!AY$9,Xero!$A:$A,Heron!$A$4,Xero!$E:$E,Heron!$A81)+SUMIFS(Xero!$F:$F,Xero!$B:$B,Heron!AY$9,Xero!$A:$A,Heron!$A$5,Xero!$E:$E,Heron!$A81)</f>
        <v/>
      </c>
      <c r="AZ81" s="117">
        <f>SUMIFS(Xero!$F:$F,Xero!$B:$B,Heron!AZ$9,Xero!$A:$A,Heron!$A$4,Xero!$E:$E,Heron!$A81)+SUMIFS(Xero!$F:$F,Xero!$B:$B,Heron!AZ$9,Xero!$A:$A,Heron!$A$5,Xero!$E:$E,Heron!$A81)</f>
        <v/>
      </c>
      <c r="BA81" s="117">
        <f>SUMIFS(Xero!$F:$F,Xero!$B:$B,Heron!BA$9,Xero!$A:$A,Heron!$A$4,Xero!$E:$E,Heron!$A81)+SUMIFS(Xero!$F:$F,Xero!$B:$B,Heron!BA$9,Xero!$A:$A,Heron!$A$5,Xero!$E:$E,Heron!$A81)</f>
        <v/>
      </c>
      <c r="BB81" s="117">
        <f>SUMIFS(Xero!$F:$F,Xero!$B:$B,Heron!BB$9,Xero!$A:$A,Heron!$A$4,Xero!$E:$E,Heron!$A81)+SUMIFS(Xero!$F:$F,Xero!$B:$B,Heron!BB$9,Xero!$A:$A,Heron!$A$5,Xero!$E:$E,Heron!$A81)</f>
        <v/>
      </c>
      <c r="BC81" s="117">
        <f>SUMIFS(Xero!$F:$F,Xero!$B:$B,Heron!BC$9,Xero!$A:$A,Heron!$A$4,Xero!$E:$E,Heron!$A81)+SUMIFS(Xero!$F:$F,Xero!$B:$B,Heron!BC$9,Xero!$A:$A,Heron!$A$5,Xero!$E:$E,Heron!$A81)</f>
        <v/>
      </c>
      <c r="BD81" s="117">
        <f>SUMIFS(Xero!$F:$F,Xero!$B:$B,Heron!BD$9,Xero!$A:$A,Heron!$A$4,Xero!$E:$E,Heron!$A81)+SUMIFS(Xero!$F:$F,Xero!$B:$B,Heron!BD$9,Xero!$A:$A,Heron!$A$5,Xero!$E:$E,Heron!$A81)</f>
        <v/>
      </c>
      <c r="BE81" s="117">
        <f>SUMIFS(Xero!$F:$F,Xero!$B:$B,Heron!BE$9,Xero!$A:$A,Heron!$A$4,Xero!$E:$E,Heron!$A81)+SUMIFS(Xero!$F:$F,Xero!$B:$B,Heron!BE$9,Xero!$A:$A,Heron!$A$5,Xero!$E:$E,Heron!$A81)</f>
        <v/>
      </c>
      <c r="BF81" s="117">
        <f>SUMIFS(Xero!$F:$F,Xero!$B:$B,Heron!BF$9,Xero!$A:$A,Heron!$A$4,Xero!$E:$E,Heron!$A81)+SUMIFS(Xero!$F:$F,Xero!$B:$B,Heron!BF$9,Xero!$A:$A,Heron!$A$5,Xero!$E:$E,Heron!$A81)</f>
        <v/>
      </c>
      <c r="BG81" s="117">
        <f>SUMIFS(Xero!$F:$F,Xero!$B:$B,Heron!BG$9,Xero!$A:$A,Heron!$A$4,Xero!$E:$E,Heron!$A81)+SUMIFS(Xero!$F:$F,Xero!$B:$B,Heron!BG$9,Xero!$A:$A,Heron!$A$5,Xero!$E:$E,Heron!$A81)</f>
        <v/>
      </c>
      <c r="BH81" s="117">
        <f>SUMIFS(Xero!$F:$F,Xero!$B:$B,Heron!BH$9,Xero!$A:$A,Heron!$A$4,Xero!$E:$E,Heron!$A81)+SUMIFS(Xero!$F:$F,Xero!$B:$B,Heron!BH$9,Xero!$A:$A,Heron!$A$5,Xero!$E:$E,Heron!$A81)</f>
        <v/>
      </c>
      <c r="BI81" s="117">
        <f>SUMIFS(Xero!$F:$F,Xero!$B:$B,Heron!BI$9,Xero!$A:$A,Heron!$A$4,Xero!$E:$E,Heron!$A81)+SUMIFS(Xero!$F:$F,Xero!$B:$B,Heron!BI$9,Xero!$A:$A,Heron!$A$5,Xero!$E:$E,Heron!$A81)</f>
        <v/>
      </c>
      <c r="BJ81" s="117">
        <f>SUMIFS(Xero!$F:$F,Xero!$B:$B,Heron!BJ$9,Xero!$A:$A,Heron!$A$4,Xero!$E:$E,Heron!$A81)+SUMIFS(Xero!$F:$F,Xero!$B:$B,Heron!BJ$9,Xero!$A:$A,Heron!$A$5,Xero!$E:$E,Heron!$A81)</f>
        <v/>
      </c>
      <c r="BK81" s="117">
        <f>sum(D81:BJ81)</f>
        <v/>
      </c>
    </row>
    <row r="82">
      <c r="A82" s="116" t="inlineStr">
        <is>
          <t>Interest Paid - Investors @ 6.75%</t>
        </is>
      </c>
      <c r="D82" s="117">
        <f>SUMIFS(Xero!$F:$F,Xero!$B:$B,Heron!D$9,Xero!$A:$A,Heron!$A$4,Xero!$E:$E,Heron!$A82)+SUMIFS(Xero!$F:$F,Xero!$B:$B,Heron!D$9,Xero!$A:$A,Heron!$A$5,Xero!$E:$E,Heron!$A82)</f>
        <v/>
      </c>
      <c r="E82" s="117">
        <f>SUMIFS(Xero!$F:$F,Xero!$B:$B,Heron!E$9,Xero!$A:$A,Heron!$A$4,Xero!$E:$E,Heron!$A82)+SUMIFS(Xero!$F:$F,Xero!$B:$B,Heron!E$9,Xero!$A:$A,Heron!$A$5,Xero!$E:$E,Heron!$A82)</f>
        <v/>
      </c>
      <c r="F82" s="117">
        <f>SUMIFS(Xero!$F:$F,Xero!$B:$B,Heron!F$9,Xero!$A:$A,Heron!$A$4,Xero!$E:$E,Heron!$A82)+SUMIFS(Xero!$F:$F,Xero!$B:$B,Heron!F$9,Xero!$A:$A,Heron!$A$5,Xero!$E:$E,Heron!$A82)</f>
        <v/>
      </c>
      <c r="G82" s="117">
        <f>SUMIFS(Xero!$F:$F,Xero!$B:$B,Heron!G$9,Xero!$A:$A,Heron!$A$4,Xero!$E:$E,Heron!$A82)+SUMIFS(Xero!$F:$F,Xero!$B:$B,Heron!G$9,Xero!$A:$A,Heron!$A$5,Xero!$E:$E,Heron!$A82)</f>
        <v/>
      </c>
      <c r="H82" s="117">
        <f>SUMIFS(Xero!$F:$F,Xero!$B:$B,Heron!H$9,Xero!$A:$A,Heron!$A$4,Xero!$E:$E,Heron!$A82)+SUMIFS(Xero!$F:$F,Xero!$B:$B,Heron!H$9,Xero!$A:$A,Heron!$A$5,Xero!$E:$E,Heron!$A82)</f>
        <v/>
      </c>
      <c r="I82" s="117">
        <f>SUMIFS(Xero!$F:$F,Xero!$B:$B,Heron!I$9,Xero!$A:$A,Heron!$A$4,Xero!$E:$E,Heron!$A82)+SUMIFS(Xero!$F:$F,Xero!$B:$B,Heron!I$9,Xero!$A:$A,Heron!$A$5,Xero!$E:$E,Heron!$A82)</f>
        <v/>
      </c>
      <c r="J82" s="117">
        <f>SUMIFS(Xero!$F:$F,Xero!$B:$B,Heron!J$9,Xero!$A:$A,Heron!$A$4,Xero!$E:$E,Heron!$A82)+SUMIFS(Xero!$F:$F,Xero!$B:$B,Heron!J$9,Xero!$A:$A,Heron!$A$5,Xero!$E:$E,Heron!$A82)</f>
        <v/>
      </c>
      <c r="K82" s="117">
        <f>SUMIFS(Xero!$F:$F,Xero!$B:$B,Heron!K$9,Xero!$A:$A,Heron!$A$4,Xero!$E:$E,Heron!$A82)+SUMIFS(Xero!$F:$F,Xero!$B:$B,Heron!K$9,Xero!$A:$A,Heron!$A$5,Xero!$E:$E,Heron!$A82)</f>
        <v/>
      </c>
      <c r="L82" s="117">
        <f>SUMIFS(Xero!$F:$F,Xero!$B:$B,Heron!L$9,Xero!$A:$A,Heron!$A$4,Xero!$E:$E,Heron!$A82)+SUMIFS(Xero!$F:$F,Xero!$B:$B,Heron!L$9,Xero!$A:$A,Heron!$A$5,Xero!$E:$E,Heron!$A82)</f>
        <v/>
      </c>
      <c r="M82" s="117">
        <f>SUMIFS(Xero!$F:$F,Xero!$B:$B,Heron!M$9,Xero!$A:$A,Heron!$A$4,Xero!$E:$E,Heron!$A82)+SUMIFS(Xero!$F:$F,Xero!$B:$B,Heron!M$9,Xero!$A:$A,Heron!$A$5,Xero!$E:$E,Heron!$A82)</f>
        <v/>
      </c>
      <c r="N82" s="117">
        <f>SUMIFS(Xero!$F:$F,Xero!$B:$B,Heron!N$9,Xero!$A:$A,Heron!$A$4,Xero!$E:$E,Heron!$A82)+SUMIFS(Xero!$F:$F,Xero!$B:$B,Heron!N$9,Xero!$A:$A,Heron!$A$5,Xero!$E:$E,Heron!$A82)</f>
        <v/>
      </c>
      <c r="O82" s="117">
        <f>SUMIFS(Xero!$F:$F,Xero!$B:$B,Heron!O$9,Xero!$A:$A,Heron!$A$4,Xero!$E:$E,Heron!$A82)+SUMIFS(Xero!$F:$F,Xero!$B:$B,Heron!O$9,Xero!$A:$A,Heron!$A$5,Xero!$E:$E,Heron!$A82)</f>
        <v/>
      </c>
      <c r="P82" s="117">
        <f>SUMIFS(Xero!$F:$F,Xero!$B:$B,Heron!P$9,Xero!$A:$A,Heron!$A$4,Xero!$E:$E,Heron!$A82)+SUMIFS(Xero!$F:$F,Xero!$B:$B,Heron!P$9,Xero!$A:$A,Heron!$A$5,Xero!$E:$E,Heron!$A82)</f>
        <v/>
      </c>
      <c r="Q82" s="117">
        <f>SUMIFS(Xero!$F:$F,Xero!$B:$B,Heron!Q$9,Xero!$A:$A,Heron!$A$4,Xero!$E:$E,Heron!$A82)+SUMIFS(Xero!$F:$F,Xero!$B:$B,Heron!Q$9,Xero!$A:$A,Heron!$A$5,Xero!$E:$E,Heron!$A82)</f>
        <v/>
      </c>
      <c r="R82" s="117">
        <f>SUMIFS(Xero!$F:$F,Xero!$B:$B,Heron!R$9,Xero!$A:$A,Heron!$A$4,Xero!$E:$E,Heron!$A82)+SUMIFS(Xero!$F:$F,Xero!$B:$B,Heron!R$9,Xero!$A:$A,Heron!$A$5,Xero!$E:$E,Heron!$A82)</f>
        <v/>
      </c>
      <c r="S82" s="117">
        <f>SUMIFS(Xero!$F:$F,Xero!$B:$B,Heron!S$9,Xero!$A:$A,Heron!$A$4,Xero!$E:$E,Heron!$A82)+SUMIFS(Xero!$F:$F,Xero!$B:$B,Heron!S$9,Xero!$A:$A,Heron!$A$5,Xero!$E:$E,Heron!$A82)</f>
        <v/>
      </c>
      <c r="T82" s="117">
        <f>SUMIFS(Xero!$F:$F,Xero!$B:$B,Heron!T$9,Xero!$A:$A,Heron!$A$4,Xero!$E:$E,Heron!$A82)+SUMIFS(Xero!$F:$F,Xero!$B:$B,Heron!T$9,Xero!$A:$A,Heron!$A$5,Xero!$E:$E,Heron!$A82)</f>
        <v/>
      </c>
      <c r="U82" s="117">
        <f>SUMIFS(Xero!$F:$F,Xero!$B:$B,Heron!U$9,Xero!$A:$A,Heron!$A$4,Xero!$E:$E,Heron!$A82)+SUMIFS(Xero!$F:$F,Xero!$B:$B,Heron!U$9,Xero!$A:$A,Heron!$A$5,Xero!$E:$E,Heron!$A82)</f>
        <v/>
      </c>
      <c r="V82" s="117">
        <f>SUMIFS(Xero!$F:$F,Xero!$B:$B,Heron!V$9,Xero!$A:$A,Heron!$A$4,Xero!$E:$E,Heron!$A82)+SUMIFS(Xero!$F:$F,Xero!$B:$B,Heron!V$9,Xero!$A:$A,Heron!$A$5,Xero!$E:$E,Heron!$A82)</f>
        <v/>
      </c>
      <c r="W82" s="117">
        <f>SUMIFS(Xero!$F:$F,Xero!$B:$B,Heron!W$9,Xero!$A:$A,Heron!$A$4,Xero!$E:$E,Heron!$A82)+SUMIFS(Xero!$F:$F,Xero!$B:$B,Heron!W$9,Xero!$A:$A,Heron!$A$5,Xero!$E:$E,Heron!$A82)</f>
        <v/>
      </c>
      <c r="X82" s="117">
        <f>SUMIFS(Xero!$F:$F,Xero!$B:$B,Heron!X$9,Xero!$A:$A,Heron!$A$4,Xero!$E:$E,Heron!$A82)+SUMIFS(Xero!$F:$F,Xero!$B:$B,Heron!X$9,Xero!$A:$A,Heron!$A$5,Xero!$E:$E,Heron!$A82)</f>
        <v/>
      </c>
      <c r="Y82" s="117">
        <f>SUMIFS(Xero!$F:$F,Xero!$B:$B,Heron!Y$9,Xero!$A:$A,Heron!$A$4,Xero!$E:$E,Heron!$A82)+SUMIFS(Xero!$F:$F,Xero!$B:$B,Heron!Y$9,Xero!$A:$A,Heron!$A$5,Xero!$E:$E,Heron!$A82)</f>
        <v/>
      </c>
      <c r="Z82" s="117">
        <f>SUMIFS(Xero!$F:$F,Xero!$B:$B,Heron!Z$9,Xero!$A:$A,Heron!$A$4,Xero!$E:$E,Heron!$A82)+SUMIFS(Xero!$F:$F,Xero!$B:$B,Heron!Z$9,Xero!$A:$A,Heron!$A$5,Xero!$E:$E,Heron!$A82)</f>
        <v/>
      </c>
      <c r="AA82" s="117">
        <f>SUMIFS(Xero!$F:$F,Xero!$B:$B,Heron!AA$9,Xero!$A:$A,Heron!$A$4,Xero!$E:$E,Heron!$A82)+SUMIFS(Xero!$F:$F,Xero!$B:$B,Heron!AA$9,Xero!$A:$A,Heron!$A$5,Xero!$E:$E,Heron!$A82)</f>
        <v/>
      </c>
      <c r="AB82" s="117">
        <f>SUMIFS(Xero!$F:$F,Xero!$B:$B,Heron!AB$9,Xero!$A:$A,Heron!$A$4,Xero!$E:$E,Heron!$A82)+SUMIFS(Xero!$F:$F,Xero!$B:$B,Heron!AB$9,Xero!$A:$A,Heron!$A$5,Xero!$E:$E,Heron!$A82)</f>
        <v/>
      </c>
      <c r="AC82" s="117">
        <f>SUMIFS(Xero!$F:$F,Xero!$B:$B,Heron!AC$9,Xero!$A:$A,Heron!$A$4,Xero!$E:$E,Heron!$A82)+SUMIFS(Xero!$F:$F,Xero!$B:$B,Heron!AC$9,Xero!$A:$A,Heron!$A$5,Xero!$E:$E,Heron!$A82)</f>
        <v/>
      </c>
      <c r="AD82" s="117">
        <f>SUMIFS(Xero!$F:$F,Xero!$B:$B,Heron!AD$9,Xero!$A:$A,Heron!$A$4,Xero!$E:$E,Heron!$A82)+SUMIFS(Xero!$F:$F,Xero!$B:$B,Heron!AD$9,Xero!$A:$A,Heron!$A$5,Xero!$E:$E,Heron!$A82)</f>
        <v/>
      </c>
      <c r="AE82" s="117">
        <f>SUMIFS(Xero!$F:$F,Xero!$B:$B,Heron!AE$9,Xero!$A:$A,Heron!$A$4,Xero!$E:$E,Heron!$A82)+SUMIFS(Xero!$F:$F,Xero!$B:$B,Heron!AE$9,Xero!$A:$A,Heron!$A$5,Xero!$E:$E,Heron!$A82)</f>
        <v/>
      </c>
      <c r="AF82" s="117">
        <f>SUMIFS(Xero!$F:$F,Xero!$B:$B,Heron!AF$9,Xero!$A:$A,Heron!$A$4,Xero!$E:$E,Heron!$A82)+SUMIFS(Xero!$F:$F,Xero!$B:$B,Heron!AF$9,Xero!$A:$A,Heron!$A$5,Xero!$E:$E,Heron!$A82)</f>
        <v/>
      </c>
      <c r="AG82" s="117">
        <f>SUMIFS(Xero!$F:$F,Xero!$B:$B,Heron!AG$9,Xero!$A:$A,Heron!$A$4,Xero!$E:$E,Heron!$A82)+SUMIFS(Xero!$F:$F,Xero!$B:$B,Heron!AG$9,Xero!$A:$A,Heron!$A$5,Xero!$E:$E,Heron!$A82)</f>
        <v/>
      </c>
      <c r="AH82" s="117">
        <f>SUMIFS(Xero!$F:$F,Xero!$B:$B,Heron!AH$9,Xero!$A:$A,Heron!$A$4,Xero!$E:$E,Heron!$A82)+SUMIFS(Xero!$F:$F,Xero!$B:$B,Heron!AH$9,Xero!$A:$A,Heron!$A$5,Xero!$E:$E,Heron!$A82)</f>
        <v/>
      </c>
      <c r="AI82" s="117">
        <f>SUMIFS(Xero!$F:$F,Xero!$B:$B,Heron!AI$9,Xero!$A:$A,Heron!$A$4,Xero!$E:$E,Heron!$A82)+SUMIFS(Xero!$F:$F,Xero!$B:$B,Heron!AI$9,Xero!$A:$A,Heron!$A$5,Xero!$E:$E,Heron!$A82)</f>
        <v/>
      </c>
      <c r="AJ82" s="117">
        <f>SUMIFS(Xero!$F:$F,Xero!$B:$B,Heron!AJ$9,Xero!$A:$A,Heron!$A$4,Xero!$E:$E,Heron!$A82)+SUMIFS(Xero!$F:$F,Xero!$B:$B,Heron!AJ$9,Xero!$A:$A,Heron!$A$5,Xero!$E:$E,Heron!$A82)</f>
        <v/>
      </c>
      <c r="AK82" s="117">
        <f>SUMIFS(Xero!$F:$F,Xero!$B:$B,Heron!AK$9,Xero!$A:$A,Heron!$A$4,Xero!$E:$E,Heron!$A82)+SUMIFS(Xero!$F:$F,Xero!$B:$B,Heron!AK$9,Xero!$A:$A,Heron!$A$5,Xero!$E:$E,Heron!$A82)</f>
        <v/>
      </c>
      <c r="AL82" s="117">
        <f>SUMIFS(Xero!$F:$F,Xero!$B:$B,Heron!AL$9,Xero!$A:$A,Heron!$A$4,Xero!$E:$E,Heron!$A82)+SUMIFS(Xero!$F:$F,Xero!$B:$B,Heron!AL$9,Xero!$A:$A,Heron!$A$5,Xero!$E:$E,Heron!$A82)</f>
        <v/>
      </c>
      <c r="AM82" s="117">
        <f>SUMIFS(Xero!$F:$F,Xero!$B:$B,Heron!AM$9,Xero!$A:$A,Heron!$A$4,Xero!$E:$E,Heron!$A82)+SUMIFS(Xero!$F:$F,Xero!$B:$B,Heron!AM$9,Xero!$A:$A,Heron!$A$5,Xero!$E:$E,Heron!$A82)</f>
        <v/>
      </c>
      <c r="AN82" s="117">
        <f>SUMIFS(Xero!$F:$F,Xero!$B:$B,Heron!AN$9,Xero!$A:$A,Heron!$A$4,Xero!$E:$E,Heron!$A82)+SUMIFS(Xero!$F:$F,Xero!$B:$B,Heron!AN$9,Xero!$A:$A,Heron!$A$5,Xero!$E:$E,Heron!$A82)</f>
        <v/>
      </c>
      <c r="AO82" s="117">
        <f>SUMIFS(Xero!$F:$F,Xero!$B:$B,Heron!AO$9,Xero!$A:$A,Heron!$A$4,Xero!$E:$E,Heron!$A82)+SUMIFS(Xero!$F:$F,Xero!$B:$B,Heron!AO$9,Xero!$A:$A,Heron!$A$5,Xero!$E:$E,Heron!$A82)</f>
        <v/>
      </c>
      <c r="AP82" s="117">
        <f>SUMIFS(Xero!$F:$F,Xero!$B:$B,Heron!AP$9,Xero!$A:$A,Heron!$A$4,Xero!$E:$E,Heron!$A82)+SUMIFS(Xero!$F:$F,Xero!$B:$B,Heron!AP$9,Xero!$A:$A,Heron!$A$5,Xero!$E:$E,Heron!$A82)</f>
        <v/>
      </c>
      <c r="AQ82" s="117">
        <f>SUMIFS(Xero!$F:$F,Xero!$B:$B,Heron!AQ$9,Xero!$A:$A,Heron!$A$4,Xero!$E:$E,Heron!$A82)+SUMIFS(Xero!$F:$F,Xero!$B:$B,Heron!AQ$9,Xero!$A:$A,Heron!$A$5,Xero!$E:$E,Heron!$A82)</f>
        <v/>
      </c>
      <c r="AR82" s="117">
        <f>SUMIFS(Xero!$F:$F,Xero!$B:$B,Heron!AR$9,Xero!$A:$A,Heron!$A$4,Xero!$E:$E,Heron!$A82)+SUMIFS(Xero!$F:$F,Xero!$B:$B,Heron!AR$9,Xero!$A:$A,Heron!$A$5,Xero!$E:$E,Heron!$A82)</f>
        <v/>
      </c>
      <c r="AS82" s="117">
        <f>SUMIFS(Xero!$F:$F,Xero!$B:$B,Heron!AS$9,Xero!$A:$A,Heron!$A$4,Xero!$E:$E,Heron!$A82)+SUMIFS(Xero!$F:$F,Xero!$B:$B,Heron!AS$9,Xero!$A:$A,Heron!$A$5,Xero!$E:$E,Heron!$A82)</f>
        <v/>
      </c>
      <c r="AT82" s="117">
        <f>SUMIFS(Xero!$F:$F,Xero!$B:$B,Heron!AT$9,Xero!$A:$A,Heron!$A$4,Xero!$E:$E,Heron!$A82)+SUMIFS(Xero!$F:$F,Xero!$B:$B,Heron!AT$9,Xero!$A:$A,Heron!$A$5,Xero!$E:$E,Heron!$A82)</f>
        <v/>
      </c>
      <c r="AU82" s="117">
        <f>SUMIFS(Xero!$F:$F,Xero!$B:$B,Heron!AU$9,Xero!$A:$A,Heron!$A$4,Xero!$E:$E,Heron!$A82)+SUMIFS(Xero!$F:$F,Xero!$B:$B,Heron!AU$9,Xero!$A:$A,Heron!$A$5,Xero!$E:$E,Heron!$A82)</f>
        <v/>
      </c>
      <c r="AV82" s="117">
        <f>SUMIFS(Xero!$F:$F,Xero!$B:$B,Heron!AV$9,Xero!$A:$A,Heron!$A$4,Xero!$E:$E,Heron!$A82)+SUMIFS(Xero!$F:$F,Xero!$B:$B,Heron!AV$9,Xero!$A:$A,Heron!$A$5,Xero!$E:$E,Heron!$A82)</f>
        <v/>
      </c>
      <c r="AW82" s="117">
        <f>SUMIFS(Xero!$F:$F,Xero!$B:$B,Heron!AW$9,Xero!$A:$A,Heron!$A$4,Xero!$E:$E,Heron!$A82)+SUMIFS(Xero!$F:$F,Xero!$B:$B,Heron!AW$9,Xero!$A:$A,Heron!$A$5,Xero!$E:$E,Heron!$A82)</f>
        <v/>
      </c>
      <c r="AX82" s="117">
        <f>SUMIFS(Xero!$F:$F,Xero!$B:$B,Heron!AX$9,Xero!$A:$A,Heron!$A$4,Xero!$E:$E,Heron!$A82)+SUMIFS(Xero!$F:$F,Xero!$B:$B,Heron!AX$9,Xero!$A:$A,Heron!$A$5,Xero!$E:$E,Heron!$A82)</f>
        <v/>
      </c>
      <c r="AY82" s="117">
        <f>SUMIFS(Xero!$F:$F,Xero!$B:$B,Heron!AY$9,Xero!$A:$A,Heron!$A$4,Xero!$E:$E,Heron!$A82)+SUMIFS(Xero!$F:$F,Xero!$B:$B,Heron!AY$9,Xero!$A:$A,Heron!$A$5,Xero!$E:$E,Heron!$A82)</f>
        <v/>
      </c>
      <c r="AZ82" s="117">
        <f>SUMIFS(Xero!$F:$F,Xero!$B:$B,Heron!AZ$9,Xero!$A:$A,Heron!$A$4,Xero!$E:$E,Heron!$A82)+SUMIFS(Xero!$F:$F,Xero!$B:$B,Heron!AZ$9,Xero!$A:$A,Heron!$A$5,Xero!$E:$E,Heron!$A82)</f>
        <v/>
      </c>
      <c r="BA82" s="117">
        <f>SUMIFS(Xero!$F:$F,Xero!$B:$B,Heron!BA$9,Xero!$A:$A,Heron!$A$4,Xero!$E:$E,Heron!$A82)+SUMIFS(Xero!$F:$F,Xero!$B:$B,Heron!BA$9,Xero!$A:$A,Heron!$A$5,Xero!$E:$E,Heron!$A82)</f>
        <v/>
      </c>
      <c r="BB82" s="117">
        <f>SUMIFS(Xero!$F:$F,Xero!$B:$B,Heron!BB$9,Xero!$A:$A,Heron!$A$4,Xero!$E:$E,Heron!$A82)+SUMIFS(Xero!$F:$F,Xero!$B:$B,Heron!BB$9,Xero!$A:$A,Heron!$A$5,Xero!$E:$E,Heron!$A82)</f>
        <v/>
      </c>
      <c r="BC82" s="117">
        <f>SUMIFS(Xero!$F:$F,Xero!$B:$B,Heron!BC$9,Xero!$A:$A,Heron!$A$4,Xero!$E:$E,Heron!$A82)+SUMIFS(Xero!$F:$F,Xero!$B:$B,Heron!BC$9,Xero!$A:$A,Heron!$A$5,Xero!$E:$E,Heron!$A82)</f>
        <v/>
      </c>
      <c r="BD82" s="117">
        <f>SUMIFS(Xero!$F:$F,Xero!$B:$B,Heron!BD$9,Xero!$A:$A,Heron!$A$4,Xero!$E:$E,Heron!$A82)+SUMIFS(Xero!$F:$F,Xero!$B:$B,Heron!BD$9,Xero!$A:$A,Heron!$A$5,Xero!$E:$E,Heron!$A82)</f>
        <v/>
      </c>
      <c r="BE82" s="117">
        <f>SUMIFS(Xero!$F:$F,Xero!$B:$B,Heron!BE$9,Xero!$A:$A,Heron!$A$4,Xero!$E:$E,Heron!$A82)+SUMIFS(Xero!$F:$F,Xero!$B:$B,Heron!BE$9,Xero!$A:$A,Heron!$A$5,Xero!$E:$E,Heron!$A82)</f>
        <v/>
      </c>
      <c r="BF82" s="117">
        <f>SUMIFS(Xero!$F:$F,Xero!$B:$B,Heron!BF$9,Xero!$A:$A,Heron!$A$4,Xero!$E:$E,Heron!$A82)+SUMIFS(Xero!$F:$F,Xero!$B:$B,Heron!BF$9,Xero!$A:$A,Heron!$A$5,Xero!$E:$E,Heron!$A82)</f>
        <v/>
      </c>
      <c r="BG82" s="117">
        <f>SUMIFS(Xero!$F:$F,Xero!$B:$B,Heron!BG$9,Xero!$A:$A,Heron!$A$4,Xero!$E:$E,Heron!$A82)+SUMIFS(Xero!$F:$F,Xero!$B:$B,Heron!BG$9,Xero!$A:$A,Heron!$A$5,Xero!$E:$E,Heron!$A82)</f>
        <v/>
      </c>
      <c r="BH82" s="117">
        <f>SUMIFS(Xero!$F:$F,Xero!$B:$B,Heron!BH$9,Xero!$A:$A,Heron!$A$4,Xero!$E:$E,Heron!$A82)+SUMIFS(Xero!$F:$F,Xero!$B:$B,Heron!BH$9,Xero!$A:$A,Heron!$A$5,Xero!$E:$E,Heron!$A82)</f>
        <v/>
      </c>
      <c r="BI82" s="117">
        <f>SUMIFS(Xero!$F:$F,Xero!$B:$B,Heron!BI$9,Xero!$A:$A,Heron!$A$4,Xero!$E:$E,Heron!$A82)+SUMIFS(Xero!$F:$F,Xero!$B:$B,Heron!BI$9,Xero!$A:$A,Heron!$A$5,Xero!$E:$E,Heron!$A82)</f>
        <v/>
      </c>
      <c r="BJ82" s="117">
        <f>SUMIFS(Xero!$F:$F,Xero!$B:$B,Heron!BJ$9,Xero!$A:$A,Heron!$A$4,Xero!$E:$E,Heron!$A82)+SUMIFS(Xero!$F:$F,Xero!$B:$B,Heron!BJ$9,Xero!$A:$A,Heron!$A$5,Xero!$E:$E,Heron!$A82)</f>
        <v/>
      </c>
      <c r="BK82" s="117">
        <f>sum(D82:BJ82)</f>
        <v/>
      </c>
    </row>
    <row r="83">
      <c r="A83" s="116" t="inlineStr">
        <is>
          <t>Interest Paid - Investors @ 7%</t>
        </is>
      </c>
      <c r="D83" s="117">
        <f>SUMIFS(Xero!$F:$F,Xero!$B:$B,Heron!D$9,Xero!$A:$A,Heron!$A$4,Xero!$E:$E,Heron!$A83)+SUMIFS(Xero!$F:$F,Xero!$B:$B,Heron!D$9,Xero!$A:$A,Heron!$A$5,Xero!$E:$E,Heron!$A83)</f>
        <v/>
      </c>
      <c r="E83" s="117">
        <f>SUMIFS(Xero!$F:$F,Xero!$B:$B,Heron!E$9,Xero!$A:$A,Heron!$A$4,Xero!$E:$E,Heron!$A83)+SUMIFS(Xero!$F:$F,Xero!$B:$B,Heron!E$9,Xero!$A:$A,Heron!$A$5,Xero!$E:$E,Heron!$A83)</f>
        <v/>
      </c>
      <c r="F83" s="117">
        <f>SUMIFS(Xero!$F:$F,Xero!$B:$B,Heron!F$9,Xero!$A:$A,Heron!$A$4,Xero!$E:$E,Heron!$A83)+SUMIFS(Xero!$F:$F,Xero!$B:$B,Heron!F$9,Xero!$A:$A,Heron!$A$5,Xero!$E:$E,Heron!$A83)</f>
        <v/>
      </c>
      <c r="G83" s="117">
        <f>SUMIFS(Xero!$F:$F,Xero!$B:$B,Heron!G$9,Xero!$A:$A,Heron!$A$4,Xero!$E:$E,Heron!$A83)+SUMIFS(Xero!$F:$F,Xero!$B:$B,Heron!G$9,Xero!$A:$A,Heron!$A$5,Xero!$E:$E,Heron!$A83)</f>
        <v/>
      </c>
      <c r="H83" s="117">
        <f>SUMIFS(Xero!$F:$F,Xero!$B:$B,Heron!H$9,Xero!$A:$A,Heron!$A$4,Xero!$E:$E,Heron!$A83)+SUMIFS(Xero!$F:$F,Xero!$B:$B,Heron!H$9,Xero!$A:$A,Heron!$A$5,Xero!$E:$E,Heron!$A83)</f>
        <v/>
      </c>
      <c r="I83" s="117">
        <f>SUMIFS(Xero!$F:$F,Xero!$B:$B,Heron!I$9,Xero!$A:$A,Heron!$A$4,Xero!$E:$E,Heron!$A83)+SUMIFS(Xero!$F:$F,Xero!$B:$B,Heron!I$9,Xero!$A:$A,Heron!$A$5,Xero!$E:$E,Heron!$A83)</f>
        <v/>
      </c>
      <c r="J83" s="117">
        <f>SUMIFS(Xero!$F:$F,Xero!$B:$B,Heron!J$9,Xero!$A:$A,Heron!$A$4,Xero!$E:$E,Heron!$A83)+SUMIFS(Xero!$F:$F,Xero!$B:$B,Heron!J$9,Xero!$A:$A,Heron!$A$5,Xero!$E:$E,Heron!$A83)</f>
        <v/>
      </c>
      <c r="K83" s="117">
        <f>SUMIFS(Xero!$F:$F,Xero!$B:$B,Heron!K$9,Xero!$A:$A,Heron!$A$4,Xero!$E:$E,Heron!$A83)+SUMIFS(Xero!$F:$F,Xero!$B:$B,Heron!K$9,Xero!$A:$A,Heron!$A$5,Xero!$E:$E,Heron!$A83)</f>
        <v/>
      </c>
      <c r="L83" s="117">
        <f>SUMIFS(Xero!$F:$F,Xero!$B:$B,Heron!L$9,Xero!$A:$A,Heron!$A$4,Xero!$E:$E,Heron!$A83)+SUMIFS(Xero!$F:$F,Xero!$B:$B,Heron!L$9,Xero!$A:$A,Heron!$A$5,Xero!$E:$E,Heron!$A83)</f>
        <v/>
      </c>
      <c r="M83" s="117">
        <f>SUMIFS(Xero!$F:$F,Xero!$B:$B,Heron!M$9,Xero!$A:$A,Heron!$A$4,Xero!$E:$E,Heron!$A83)+SUMIFS(Xero!$F:$F,Xero!$B:$B,Heron!M$9,Xero!$A:$A,Heron!$A$5,Xero!$E:$E,Heron!$A83)</f>
        <v/>
      </c>
      <c r="N83" s="117">
        <f>SUMIFS(Xero!$F:$F,Xero!$B:$B,Heron!N$9,Xero!$A:$A,Heron!$A$4,Xero!$E:$E,Heron!$A83)+SUMIFS(Xero!$F:$F,Xero!$B:$B,Heron!N$9,Xero!$A:$A,Heron!$A$5,Xero!$E:$E,Heron!$A83)</f>
        <v/>
      </c>
      <c r="O83" s="117">
        <f>SUMIFS(Xero!$F:$F,Xero!$B:$B,Heron!O$9,Xero!$A:$A,Heron!$A$4,Xero!$E:$E,Heron!$A83)+SUMIFS(Xero!$F:$F,Xero!$B:$B,Heron!O$9,Xero!$A:$A,Heron!$A$5,Xero!$E:$E,Heron!$A83)</f>
        <v/>
      </c>
      <c r="P83" s="117">
        <f>SUMIFS(Xero!$F:$F,Xero!$B:$B,Heron!P$9,Xero!$A:$A,Heron!$A$4,Xero!$E:$E,Heron!$A83)+SUMIFS(Xero!$F:$F,Xero!$B:$B,Heron!P$9,Xero!$A:$A,Heron!$A$5,Xero!$E:$E,Heron!$A83)</f>
        <v/>
      </c>
      <c r="Q83" s="117">
        <f>SUMIFS(Xero!$F:$F,Xero!$B:$B,Heron!Q$9,Xero!$A:$A,Heron!$A$4,Xero!$E:$E,Heron!$A83)+SUMIFS(Xero!$F:$F,Xero!$B:$B,Heron!Q$9,Xero!$A:$A,Heron!$A$5,Xero!$E:$E,Heron!$A83)</f>
        <v/>
      </c>
      <c r="R83" s="117">
        <f>SUMIFS(Xero!$F:$F,Xero!$B:$B,Heron!R$9,Xero!$A:$A,Heron!$A$4,Xero!$E:$E,Heron!$A83)+SUMIFS(Xero!$F:$F,Xero!$B:$B,Heron!R$9,Xero!$A:$A,Heron!$A$5,Xero!$E:$E,Heron!$A83)</f>
        <v/>
      </c>
      <c r="S83" s="117">
        <f>SUMIFS(Xero!$F:$F,Xero!$B:$B,Heron!S$9,Xero!$A:$A,Heron!$A$4,Xero!$E:$E,Heron!$A83)+SUMIFS(Xero!$F:$F,Xero!$B:$B,Heron!S$9,Xero!$A:$A,Heron!$A$5,Xero!$E:$E,Heron!$A83)</f>
        <v/>
      </c>
      <c r="T83" s="117">
        <f>SUMIFS(Xero!$F:$F,Xero!$B:$B,Heron!T$9,Xero!$A:$A,Heron!$A$4,Xero!$E:$E,Heron!$A83)+SUMIFS(Xero!$F:$F,Xero!$B:$B,Heron!T$9,Xero!$A:$A,Heron!$A$5,Xero!$E:$E,Heron!$A83)</f>
        <v/>
      </c>
      <c r="U83" s="117">
        <f>SUMIFS(Xero!$F:$F,Xero!$B:$B,Heron!U$9,Xero!$A:$A,Heron!$A$4,Xero!$E:$E,Heron!$A83)+SUMIFS(Xero!$F:$F,Xero!$B:$B,Heron!U$9,Xero!$A:$A,Heron!$A$5,Xero!$E:$E,Heron!$A83)</f>
        <v/>
      </c>
      <c r="V83" s="117">
        <f>SUMIFS(Xero!$F:$F,Xero!$B:$B,Heron!V$9,Xero!$A:$A,Heron!$A$4,Xero!$E:$E,Heron!$A83)+SUMIFS(Xero!$F:$F,Xero!$B:$B,Heron!V$9,Xero!$A:$A,Heron!$A$5,Xero!$E:$E,Heron!$A83)</f>
        <v/>
      </c>
      <c r="W83" s="117">
        <f>SUMIFS(Xero!$F:$F,Xero!$B:$B,Heron!W$9,Xero!$A:$A,Heron!$A$4,Xero!$E:$E,Heron!$A83)+SUMIFS(Xero!$F:$F,Xero!$B:$B,Heron!W$9,Xero!$A:$A,Heron!$A$5,Xero!$E:$E,Heron!$A83)</f>
        <v/>
      </c>
      <c r="X83" s="117">
        <f>SUMIFS(Xero!$F:$F,Xero!$B:$B,Heron!X$9,Xero!$A:$A,Heron!$A$4,Xero!$E:$E,Heron!$A83)+SUMIFS(Xero!$F:$F,Xero!$B:$B,Heron!X$9,Xero!$A:$A,Heron!$A$5,Xero!$E:$E,Heron!$A83)</f>
        <v/>
      </c>
      <c r="Y83" s="117">
        <f>SUMIFS(Xero!$F:$F,Xero!$B:$B,Heron!Y$9,Xero!$A:$A,Heron!$A$4,Xero!$E:$E,Heron!$A83)+SUMIFS(Xero!$F:$F,Xero!$B:$B,Heron!Y$9,Xero!$A:$A,Heron!$A$5,Xero!$E:$E,Heron!$A83)</f>
        <v/>
      </c>
      <c r="Z83" s="117">
        <f>SUMIFS(Xero!$F:$F,Xero!$B:$B,Heron!Z$9,Xero!$A:$A,Heron!$A$4,Xero!$E:$E,Heron!$A83)+SUMIFS(Xero!$F:$F,Xero!$B:$B,Heron!Z$9,Xero!$A:$A,Heron!$A$5,Xero!$E:$E,Heron!$A83)</f>
        <v/>
      </c>
      <c r="AA83" s="117">
        <f>SUMIFS(Xero!$F:$F,Xero!$B:$B,Heron!AA$9,Xero!$A:$A,Heron!$A$4,Xero!$E:$E,Heron!$A83)+SUMIFS(Xero!$F:$F,Xero!$B:$B,Heron!AA$9,Xero!$A:$A,Heron!$A$5,Xero!$E:$E,Heron!$A83)</f>
        <v/>
      </c>
      <c r="AB83" s="117">
        <f>SUMIFS(Xero!$F:$F,Xero!$B:$B,Heron!AB$9,Xero!$A:$A,Heron!$A$4,Xero!$E:$E,Heron!$A83)+SUMIFS(Xero!$F:$F,Xero!$B:$B,Heron!AB$9,Xero!$A:$A,Heron!$A$5,Xero!$E:$E,Heron!$A83)</f>
        <v/>
      </c>
      <c r="AC83" s="117">
        <f>SUMIFS(Xero!$F:$F,Xero!$B:$B,Heron!AC$9,Xero!$A:$A,Heron!$A$4,Xero!$E:$E,Heron!$A83)+SUMIFS(Xero!$F:$F,Xero!$B:$B,Heron!AC$9,Xero!$A:$A,Heron!$A$5,Xero!$E:$E,Heron!$A83)</f>
        <v/>
      </c>
      <c r="AD83" s="117">
        <f>SUMIFS(Xero!$F:$F,Xero!$B:$B,Heron!AD$9,Xero!$A:$A,Heron!$A$4,Xero!$E:$E,Heron!$A83)+SUMIFS(Xero!$F:$F,Xero!$B:$B,Heron!AD$9,Xero!$A:$A,Heron!$A$5,Xero!$E:$E,Heron!$A83)</f>
        <v/>
      </c>
      <c r="AE83" s="117">
        <f>SUMIFS(Xero!$F:$F,Xero!$B:$B,Heron!AE$9,Xero!$A:$A,Heron!$A$4,Xero!$E:$E,Heron!$A83)+SUMIFS(Xero!$F:$F,Xero!$B:$B,Heron!AE$9,Xero!$A:$A,Heron!$A$5,Xero!$E:$E,Heron!$A83)</f>
        <v/>
      </c>
      <c r="AF83" s="117">
        <f>SUMIFS(Xero!$F:$F,Xero!$B:$B,Heron!AF$9,Xero!$A:$A,Heron!$A$4,Xero!$E:$E,Heron!$A83)+SUMIFS(Xero!$F:$F,Xero!$B:$B,Heron!AF$9,Xero!$A:$A,Heron!$A$5,Xero!$E:$E,Heron!$A83)</f>
        <v/>
      </c>
      <c r="AG83" s="117">
        <f>SUMIFS(Xero!$F:$F,Xero!$B:$B,Heron!AG$9,Xero!$A:$A,Heron!$A$4,Xero!$E:$E,Heron!$A83)+SUMIFS(Xero!$F:$F,Xero!$B:$B,Heron!AG$9,Xero!$A:$A,Heron!$A$5,Xero!$E:$E,Heron!$A83)</f>
        <v/>
      </c>
      <c r="AH83" s="117">
        <f>SUMIFS(Xero!$F:$F,Xero!$B:$B,Heron!AH$9,Xero!$A:$A,Heron!$A$4,Xero!$E:$E,Heron!$A83)+SUMIFS(Xero!$F:$F,Xero!$B:$B,Heron!AH$9,Xero!$A:$A,Heron!$A$5,Xero!$E:$E,Heron!$A83)</f>
        <v/>
      </c>
      <c r="AI83" s="117">
        <f>SUMIFS(Xero!$F:$F,Xero!$B:$B,Heron!AI$9,Xero!$A:$A,Heron!$A$4,Xero!$E:$E,Heron!$A83)+SUMIFS(Xero!$F:$F,Xero!$B:$B,Heron!AI$9,Xero!$A:$A,Heron!$A$5,Xero!$E:$E,Heron!$A83)</f>
        <v/>
      </c>
      <c r="AJ83" s="117">
        <f>SUMIFS(Xero!$F:$F,Xero!$B:$B,Heron!AJ$9,Xero!$A:$A,Heron!$A$4,Xero!$E:$E,Heron!$A83)+SUMIFS(Xero!$F:$F,Xero!$B:$B,Heron!AJ$9,Xero!$A:$A,Heron!$A$5,Xero!$E:$E,Heron!$A83)</f>
        <v/>
      </c>
      <c r="AK83" s="117">
        <f>SUMIFS(Xero!$F:$F,Xero!$B:$B,Heron!AK$9,Xero!$A:$A,Heron!$A$4,Xero!$E:$E,Heron!$A83)+SUMIFS(Xero!$F:$F,Xero!$B:$B,Heron!AK$9,Xero!$A:$A,Heron!$A$5,Xero!$E:$E,Heron!$A83)</f>
        <v/>
      </c>
      <c r="AL83" s="117">
        <f>SUMIFS(Xero!$F:$F,Xero!$B:$B,Heron!AL$9,Xero!$A:$A,Heron!$A$4,Xero!$E:$E,Heron!$A83)+SUMIFS(Xero!$F:$F,Xero!$B:$B,Heron!AL$9,Xero!$A:$A,Heron!$A$5,Xero!$E:$E,Heron!$A83)</f>
        <v/>
      </c>
      <c r="AM83" s="117">
        <f>SUMIFS(Xero!$F:$F,Xero!$B:$B,Heron!AM$9,Xero!$A:$A,Heron!$A$4,Xero!$E:$E,Heron!$A83)+SUMIFS(Xero!$F:$F,Xero!$B:$B,Heron!AM$9,Xero!$A:$A,Heron!$A$5,Xero!$E:$E,Heron!$A83)</f>
        <v/>
      </c>
      <c r="AN83" s="117">
        <f>SUMIFS(Xero!$F:$F,Xero!$B:$B,Heron!AN$9,Xero!$A:$A,Heron!$A$4,Xero!$E:$E,Heron!$A83)+SUMIFS(Xero!$F:$F,Xero!$B:$B,Heron!AN$9,Xero!$A:$A,Heron!$A$5,Xero!$E:$E,Heron!$A83)</f>
        <v/>
      </c>
      <c r="AO83" s="117">
        <f>SUMIFS(Xero!$F:$F,Xero!$B:$B,Heron!AO$9,Xero!$A:$A,Heron!$A$4,Xero!$E:$E,Heron!$A83)+SUMIFS(Xero!$F:$F,Xero!$B:$B,Heron!AO$9,Xero!$A:$A,Heron!$A$5,Xero!$E:$E,Heron!$A83)</f>
        <v/>
      </c>
      <c r="AP83" s="117">
        <f>SUMIFS(Xero!$F:$F,Xero!$B:$B,Heron!AP$9,Xero!$A:$A,Heron!$A$4,Xero!$E:$E,Heron!$A83)+SUMIFS(Xero!$F:$F,Xero!$B:$B,Heron!AP$9,Xero!$A:$A,Heron!$A$5,Xero!$E:$E,Heron!$A83)</f>
        <v/>
      </c>
      <c r="AQ83" s="117">
        <f>SUMIFS(Xero!$F:$F,Xero!$B:$B,Heron!AQ$9,Xero!$A:$A,Heron!$A$4,Xero!$E:$E,Heron!$A83)+SUMIFS(Xero!$F:$F,Xero!$B:$B,Heron!AQ$9,Xero!$A:$A,Heron!$A$5,Xero!$E:$E,Heron!$A83)</f>
        <v/>
      </c>
      <c r="AR83" s="117">
        <f>SUMIFS(Xero!$F:$F,Xero!$B:$B,Heron!AR$9,Xero!$A:$A,Heron!$A$4,Xero!$E:$E,Heron!$A83)+SUMIFS(Xero!$F:$F,Xero!$B:$B,Heron!AR$9,Xero!$A:$A,Heron!$A$5,Xero!$E:$E,Heron!$A83)</f>
        <v/>
      </c>
      <c r="AS83" s="117">
        <f>SUMIFS(Xero!$F:$F,Xero!$B:$B,Heron!AS$9,Xero!$A:$A,Heron!$A$4,Xero!$E:$E,Heron!$A83)+SUMIFS(Xero!$F:$F,Xero!$B:$B,Heron!AS$9,Xero!$A:$A,Heron!$A$5,Xero!$E:$E,Heron!$A83)</f>
        <v/>
      </c>
      <c r="AT83" s="117">
        <f>SUMIFS(Xero!$F:$F,Xero!$B:$B,Heron!AT$9,Xero!$A:$A,Heron!$A$4,Xero!$E:$E,Heron!$A83)+SUMIFS(Xero!$F:$F,Xero!$B:$B,Heron!AT$9,Xero!$A:$A,Heron!$A$5,Xero!$E:$E,Heron!$A83)</f>
        <v/>
      </c>
      <c r="AU83" s="117">
        <f>SUMIFS(Xero!$F:$F,Xero!$B:$B,Heron!AU$9,Xero!$A:$A,Heron!$A$4,Xero!$E:$E,Heron!$A83)+SUMIFS(Xero!$F:$F,Xero!$B:$B,Heron!AU$9,Xero!$A:$A,Heron!$A$5,Xero!$E:$E,Heron!$A83)</f>
        <v/>
      </c>
      <c r="AV83" s="117">
        <f>SUMIFS(Xero!$F:$F,Xero!$B:$B,Heron!AV$9,Xero!$A:$A,Heron!$A$4,Xero!$E:$E,Heron!$A83)+SUMIFS(Xero!$F:$F,Xero!$B:$B,Heron!AV$9,Xero!$A:$A,Heron!$A$5,Xero!$E:$E,Heron!$A83)</f>
        <v/>
      </c>
      <c r="AW83" s="117">
        <f>SUMIFS(Xero!$F:$F,Xero!$B:$B,Heron!AW$9,Xero!$A:$A,Heron!$A$4,Xero!$E:$E,Heron!$A83)+SUMIFS(Xero!$F:$F,Xero!$B:$B,Heron!AW$9,Xero!$A:$A,Heron!$A$5,Xero!$E:$E,Heron!$A83)</f>
        <v/>
      </c>
      <c r="AX83" s="117">
        <f>SUMIFS(Xero!$F:$F,Xero!$B:$B,Heron!AX$9,Xero!$A:$A,Heron!$A$4,Xero!$E:$E,Heron!$A83)+SUMIFS(Xero!$F:$F,Xero!$B:$B,Heron!AX$9,Xero!$A:$A,Heron!$A$5,Xero!$E:$E,Heron!$A83)</f>
        <v/>
      </c>
      <c r="AY83" s="117">
        <f>SUMIFS(Xero!$F:$F,Xero!$B:$B,Heron!AY$9,Xero!$A:$A,Heron!$A$4,Xero!$E:$E,Heron!$A83)+SUMIFS(Xero!$F:$F,Xero!$B:$B,Heron!AY$9,Xero!$A:$A,Heron!$A$5,Xero!$E:$E,Heron!$A83)</f>
        <v/>
      </c>
      <c r="AZ83" s="117">
        <f>SUMIFS(Xero!$F:$F,Xero!$B:$B,Heron!AZ$9,Xero!$A:$A,Heron!$A$4,Xero!$E:$E,Heron!$A83)+SUMIFS(Xero!$F:$F,Xero!$B:$B,Heron!AZ$9,Xero!$A:$A,Heron!$A$5,Xero!$E:$E,Heron!$A83)</f>
        <v/>
      </c>
      <c r="BA83" s="117">
        <f>SUMIFS(Xero!$F:$F,Xero!$B:$B,Heron!BA$9,Xero!$A:$A,Heron!$A$4,Xero!$E:$E,Heron!$A83)+SUMIFS(Xero!$F:$F,Xero!$B:$B,Heron!BA$9,Xero!$A:$A,Heron!$A$5,Xero!$E:$E,Heron!$A83)</f>
        <v/>
      </c>
      <c r="BB83" s="117">
        <f>SUMIFS(Xero!$F:$F,Xero!$B:$B,Heron!BB$9,Xero!$A:$A,Heron!$A$4,Xero!$E:$E,Heron!$A83)+SUMIFS(Xero!$F:$F,Xero!$B:$B,Heron!BB$9,Xero!$A:$A,Heron!$A$5,Xero!$E:$E,Heron!$A83)</f>
        <v/>
      </c>
      <c r="BC83" s="117">
        <f>SUMIFS(Xero!$F:$F,Xero!$B:$B,Heron!BC$9,Xero!$A:$A,Heron!$A$4,Xero!$E:$E,Heron!$A83)+SUMIFS(Xero!$F:$F,Xero!$B:$B,Heron!BC$9,Xero!$A:$A,Heron!$A$5,Xero!$E:$E,Heron!$A83)</f>
        <v/>
      </c>
      <c r="BD83" s="117">
        <f>SUMIFS(Xero!$F:$F,Xero!$B:$B,Heron!BD$9,Xero!$A:$A,Heron!$A$4,Xero!$E:$E,Heron!$A83)+SUMIFS(Xero!$F:$F,Xero!$B:$B,Heron!BD$9,Xero!$A:$A,Heron!$A$5,Xero!$E:$E,Heron!$A83)</f>
        <v/>
      </c>
      <c r="BE83" s="117">
        <f>SUMIFS(Xero!$F:$F,Xero!$B:$B,Heron!BE$9,Xero!$A:$A,Heron!$A$4,Xero!$E:$E,Heron!$A83)+SUMIFS(Xero!$F:$F,Xero!$B:$B,Heron!BE$9,Xero!$A:$A,Heron!$A$5,Xero!$E:$E,Heron!$A83)</f>
        <v/>
      </c>
      <c r="BF83" s="117">
        <f>SUMIFS(Xero!$F:$F,Xero!$B:$B,Heron!BF$9,Xero!$A:$A,Heron!$A$4,Xero!$E:$E,Heron!$A83)+SUMIFS(Xero!$F:$F,Xero!$B:$B,Heron!BF$9,Xero!$A:$A,Heron!$A$5,Xero!$E:$E,Heron!$A83)</f>
        <v/>
      </c>
      <c r="BG83" s="117">
        <f>SUMIFS(Xero!$F:$F,Xero!$B:$B,Heron!BG$9,Xero!$A:$A,Heron!$A$4,Xero!$E:$E,Heron!$A83)+SUMIFS(Xero!$F:$F,Xero!$B:$B,Heron!BG$9,Xero!$A:$A,Heron!$A$5,Xero!$E:$E,Heron!$A83)</f>
        <v/>
      </c>
      <c r="BH83" s="117">
        <f>SUMIFS(Xero!$F:$F,Xero!$B:$B,Heron!BH$9,Xero!$A:$A,Heron!$A$4,Xero!$E:$E,Heron!$A83)+SUMIFS(Xero!$F:$F,Xero!$B:$B,Heron!BH$9,Xero!$A:$A,Heron!$A$5,Xero!$E:$E,Heron!$A83)</f>
        <v/>
      </c>
      <c r="BI83" s="117">
        <f>SUMIFS(Xero!$F:$F,Xero!$B:$B,Heron!BI$9,Xero!$A:$A,Heron!$A$4,Xero!$E:$E,Heron!$A83)+SUMIFS(Xero!$F:$F,Xero!$B:$B,Heron!BI$9,Xero!$A:$A,Heron!$A$5,Xero!$E:$E,Heron!$A83)</f>
        <v/>
      </c>
      <c r="BJ83" s="117">
        <f>SUMIFS(Xero!$F:$F,Xero!$B:$B,Heron!BJ$9,Xero!$A:$A,Heron!$A$4,Xero!$E:$E,Heron!$A83)+SUMIFS(Xero!$F:$F,Xero!$B:$B,Heron!BJ$9,Xero!$A:$A,Heron!$A$5,Xero!$E:$E,Heron!$A83)</f>
        <v/>
      </c>
      <c r="BK83" s="117">
        <f>sum(D83:BJ83)</f>
        <v/>
      </c>
    </row>
    <row r="84">
      <c r="A84" s="116" t="inlineStr">
        <is>
          <t>Interest Paid - Investors @ 7.5%</t>
        </is>
      </c>
      <c r="D84" s="117">
        <f>SUMIFS(Xero!$F:$F,Xero!$B:$B,Heron!D$9,Xero!$A:$A,Heron!$A$4,Xero!$E:$E,Heron!$A84)+SUMIFS(Xero!$F:$F,Xero!$B:$B,Heron!D$9,Xero!$A:$A,Heron!$A$5,Xero!$E:$E,Heron!$A84)</f>
        <v/>
      </c>
      <c r="E84" s="117">
        <f>SUMIFS(Xero!$F:$F,Xero!$B:$B,Heron!E$9,Xero!$A:$A,Heron!$A$4,Xero!$E:$E,Heron!$A84)+SUMIFS(Xero!$F:$F,Xero!$B:$B,Heron!E$9,Xero!$A:$A,Heron!$A$5,Xero!$E:$E,Heron!$A84)</f>
        <v/>
      </c>
      <c r="F84" s="117">
        <f>SUMIFS(Xero!$F:$F,Xero!$B:$B,Heron!F$9,Xero!$A:$A,Heron!$A$4,Xero!$E:$E,Heron!$A84)+SUMIFS(Xero!$F:$F,Xero!$B:$B,Heron!F$9,Xero!$A:$A,Heron!$A$5,Xero!$E:$E,Heron!$A84)</f>
        <v/>
      </c>
      <c r="G84" s="117">
        <f>SUMIFS(Xero!$F:$F,Xero!$B:$B,Heron!G$9,Xero!$A:$A,Heron!$A$4,Xero!$E:$E,Heron!$A84)+SUMIFS(Xero!$F:$F,Xero!$B:$B,Heron!G$9,Xero!$A:$A,Heron!$A$5,Xero!$E:$E,Heron!$A84)</f>
        <v/>
      </c>
      <c r="H84" s="117">
        <f>SUMIFS(Xero!$F:$F,Xero!$B:$B,Heron!H$9,Xero!$A:$A,Heron!$A$4,Xero!$E:$E,Heron!$A84)+SUMIFS(Xero!$F:$F,Xero!$B:$B,Heron!H$9,Xero!$A:$A,Heron!$A$5,Xero!$E:$E,Heron!$A84)</f>
        <v/>
      </c>
      <c r="I84" s="117">
        <f>SUMIFS(Xero!$F:$F,Xero!$B:$B,Heron!I$9,Xero!$A:$A,Heron!$A$4,Xero!$E:$E,Heron!$A84)+SUMIFS(Xero!$F:$F,Xero!$B:$B,Heron!I$9,Xero!$A:$A,Heron!$A$5,Xero!$E:$E,Heron!$A84)</f>
        <v/>
      </c>
      <c r="J84" s="117">
        <f>SUMIFS(Xero!$F:$F,Xero!$B:$B,Heron!J$9,Xero!$A:$A,Heron!$A$4,Xero!$E:$E,Heron!$A84)+SUMIFS(Xero!$F:$F,Xero!$B:$B,Heron!J$9,Xero!$A:$A,Heron!$A$5,Xero!$E:$E,Heron!$A84)</f>
        <v/>
      </c>
      <c r="K84" s="117">
        <f>SUMIFS(Xero!$F:$F,Xero!$B:$B,Heron!K$9,Xero!$A:$A,Heron!$A$4,Xero!$E:$E,Heron!$A84)+SUMIFS(Xero!$F:$F,Xero!$B:$B,Heron!K$9,Xero!$A:$A,Heron!$A$5,Xero!$E:$E,Heron!$A84)</f>
        <v/>
      </c>
      <c r="L84" s="117">
        <f>SUMIFS(Xero!$F:$F,Xero!$B:$B,Heron!L$9,Xero!$A:$A,Heron!$A$4,Xero!$E:$E,Heron!$A84)+SUMIFS(Xero!$F:$F,Xero!$B:$B,Heron!L$9,Xero!$A:$A,Heron!$A$5,Xero!$E:$E,Heron!$A84)</f>
        <v/>
      </c>
      <c r="M84" s="117">
        <f>SUMIFS(Xero!$F:$F,Xero!$B:$B,Heron!M$9,Xero!$A:$A,Heron!$A$4,Xero!$E:$E,Heron!$A84)+SUMIFS(Xero!$F:$F,Xero!$B:$B,Heron!M$9,Xero!$A:$A,Heron!$A$5,Xero!$E:$E,Heron!$A84)</f>
        <v/>
      </c>
      <c r="N84" s="117">
        <f>SUMIFS(Xero!$F:$F,Xero!$B:$B,Heron!N$9,Xero!$A:$A,Heron!$A$4,Xero!$E:$E,Heron!$A84)+SUMIFS(Xero!$F:$F,Xero!$B:$B,Heron!N$9,Xero!$A:$A,Heron!$A$5,Xero!$E:$E,Heron!$A84)</f>
        <v/>
      </c>
      <c r="O84" s="117">
        <f>SUMIFS(Xero!$F:$F,Xero!$B:$B,Heron!O$9,Xero!$A:$A,Heron!$A$4,Xero!$E:$E,Heron!$A84)+SUMIFS(Xero!$F:$F,Xero!$B:$B,Heron!O$9,Xero!$A:$A,Heron!$A$5,Xero!$E:$E,Heron!$A84)</f>
        <v/>
      </c>
      <c r="P84" s="117">
        <f>SUMIFS(Xero!$F:$F,Xero!$B:$B,Heron!P$9,Xero!$A:$A,Heron!$A$4,Xero!$E:$E,Heron!$A84)+SUMIFS(Xero!$F:$F,Xero!$B:$B,Heron!P$9,Xero!$A:$A,Heron!$A$5,Xero!$E:$E,Heron!$A84)</f>
        <v/>
      </c>
      <c r="Q84" s="117">
        <f>SUMIFS(Xero!$F:$F,Xero!$B:$B,Heron!Q$9,Xero!$A:$A,Heron!$A$4,Xero!$E:$E,Heron!$A84)+SUMIFS(Xero!$F:$F,Xero!$B:$B,Heron!Q$9,Xero!$A:$A,Heron!$A$5,Xero!$E:$E,Heron!$A84)</f>
        <v/>
      </c>
      <c r="R84" s="117">
        <f>SUMIFS(Xero!$F:$F,Xero!$B:$B,Heron!R$9,Xero!$A:$A,Heron!$A$4,Xero!$E:$E,Heron!$A84)+SUMIFS(Xero!$F:$F,Xero!$B:$B,Heron!R$9,Xero!$A:$A,Heron!$A$5,Xero!$E:$E,Heron!$A84)</f>
        <v/>
      </c>
      <c r="S84" s="117">
        <f>SUMIFS(Xero!$F:$F,Xero!$B:$B,Heron!S$9,Xero!$A:$A,Heron!$A$4,Xero!$E:$E,Heron!$A84)+SUMIFS(Xero!$F:$F,Xero!$B:$B,Heron!S$9,Xero!$A:$A,Heron!$A$5,Xero!$E:$E,Heron!$A84)</f>
        <v/>
      </c>
      <c r="T84" s="117">
        <f>SUMIFS(Xero!$F:$F,Xero!$B:$B,Heron!T$9,Xero!$A:$A,Heron!$A$4,Xero!$E:$E,Heron!$A84)+SUMIFS(Xero!$F:$F,Xero!$B:$B,Heron!T$9,Xero!$A:$A,Heron!$A$5,Xero!$E:$E,Heron!$A84)</f>
        <v/>
      </c>
      <c r="U84" s="117">
        <f>SUMIFS(Xero!$F:$F,Xero!$B:$B,Heron!U$9,Xero!$A:$A,Heron!$A$4,Xero!$E:$E,Heron!$A84)+SUMIFS(Xero!$F:$F,Xero!$B:$B,Heron!U$9,Xero!$A:$A,Heron!$A$5,Xero!$E:$E,Heron!$A84)</f>
        <v/>
      </c>
      <c r="V84" s="117">
        <f>SUMIFS(Xero!$F:$F,Xero!$B:$B,Heron!V$9,Xero!$A:$A,Heron!$A$4,Xero!$E:$E,Heron!$A84)+SUMIFS(Xero!$F:$F,Xero!$B:$B,Heron!V$9,Xero!$A:$A,Heron!$A$5,Xero!$E:$E,Heron!$A84)</f>
        <v/>
      </c>
      <c r="W84" s="117">
        <f>SUMIFS(Xero!$F:$F,Xero!$B:$B,Heron!W$9,Xero!$A:$A,Heron!$A$4,Xero!$E:$E,Heron!$A84)+SUMIFS(Xero!$F:$F,Xero!$B:$B,Heron!W$9,Xero!$A:$A,Heron!$A$5,Xero!$E:$E,Heron!$A84)</f>
        <v/>
      </c>
      <c r="X84" s="117">
        <f>SUMIFS(Xero!$F:$F,Xero!$B:$B,Heron!X$9,Xero!$A:$A,Heron!$A$4,Xero!$E:$E,Heron!$A84)+SUMIFS(Xero!$F:$F,Xero!$B:$B,Heron!X$9,Xero!$A:$A,Heron!$A$5,Xero!$E:$E,Heron!$A84)</f>
        <v/>
      </c>
      <c r="Y84" s="117">
        <f>SUMIFS(Xero!$F:$F,Xero!$B:$B,Heron!Y$9,Xero!$A:$A,Heron!$A$4,Xero!$E:$E,Heron!$A84)+SUMIFS(Xero!$F:$F,Xero!$B:$B,Heron!Y$9,Xero!$A:$A,Heron!$A$5,Xero!$E:$E,Heron!$A84)</f>
        <v/>
      </c>
      <c r="Z84" s="117">
        <f>SUMIFS(Xero!$F:$F,Xero!$B:$B,Heron!Z$9,Xero!$A:$A,Heron!$A$4,Xero!$E:$E,Heron!$A84)+SUMIFS(Xero!$F:$F,Xero!$B:$B,Heron!Z$9,Xero!$A:$A,Heron!$A$5,Xero!$E:$E,Heron!$A84)</f>
        <v/>
      </c>
      <c r="AA84" s="117">
        <f>SUMIFS(Xero!$F:$F,Xero!$B:$B,Heron!AA$9,Xero!$A:$A,Heron!$A$4,Xero!$E:$E,Heron!$A84)+SUMIFS(Xero!$F:$F,Xero!$B:$B,Heron!AA$9,Xero!$A:$A,Heron!$A$5,Xero!$E:$E,Heron!$A84)</f>
        <v/>
      </c>
      <c r="AB84" s="117">
        <f>SUMIFS(Xero!$F:$F,Xero!$B:$B,Heron!AB$9,Xero!$A:$A,Heron!$A$4,Xero!$E:$E,Heron!$A84)+SUMIFS(Xero!$F:$F,Xero!$B:$B,Heron!AB$9,Xero!$A:$A,Heron!$A$5,Xero!$E:$E,Heron!$A84)</f>
        <v/>
      </c>
      <c r="AC84" s="117">
        <f>SUMIFS(Xero!$F:$F,Xero!$B:$B,Heron!AC$9,Xero!$A:$A,Heron!$A$4,Xero!$E:$E,Heron!$A84)+SUMIFS(Xero!$F:$F,Xero!$B:$B,Heron!AC$9,Xero!$A:$A,Heron!$A$5,Xero!$E:$E,Heron!$A84)</f>
        <v/>
      </c>
      <c r="AD84" s="117">
        <f>SUMIFS(Xero!$F:$F,Xero!$B:$B,Heron!AD$9,Xero!$A:$A,Heron!$A$4,Xero!$E:$E,Heron!$A84)+SUMIFS(Xero!$F:$F,Xero!$B:$B,Heron!AD$9,Xero!$A:$A,Heron!$A$5,Xero!$E:$E,Heron!$A84)</f>
        <v/>
      </c>
      <c r="AE84" s="117">
        <f>SUMIFS(Xero!$F:$F,Xero!$B:$B,Heron!AE$9,Xero!$A:$A,Heron!$A$4,Xero!$E:$E,Heron!$A84)+SUMIFS(Xero!$F:$F,Xero!$B:$B,Heron!AE$9,Xero!$A:$A,Heron!$A$5,Xero!$E:$E,Heron!$A84)</f>
        <v/>
      </c>
      <c r="AF84" s="117">
        <f>SUMIFS(Xero!$F:$F,Xero!$B:$B,Heron!AF$9,Xero!$A:$A,Heron!$A$4,Xero!$E:$E,Heron!$A84)+SUMIFS(Xero!$F:$F,Xero!$B:$B,Heron!AF$9,Xero!$A:$A,Heron!$A$5,Xero!$E:$E,Heron!$A84)</f>
        <v/>
      </c>
      <c r="AG84" s="117">
        <f>SUMIFS(Xero!$F:$F,Xero!$B:$B,Heron!AG$9,Xero!$A:$A,Heron!$A$4,Xero!$E:$E,Heron!$A84)+SUMIFS(Xero!$F:$F,Xero!$B:$B,Heron!AG$9,Xero!$A:$A,Heron!$A$5,Xero!$E:$E,Heron!$A84)</f>
        <v/>
      </c>
      <c r="AH84" s="117">
        <f>SUMIFS(Xero!$F:$F,Xero!$B:$B,Heron!AH$9,Xero!$A:$A,Heron!$A$4,Xero!$E:$E,Heron!$A84)+SUMIFS(Xero!$F:$F,Xero!$B:$B,Heron!AH$9,Xero!$A:$A,Heron!$A$5,Xero!$E:$E,Heron!$A84)</f>
        <v/>
      </c>
      <c r="AI84" s="117">
        <f>SUMIFS(Xero!$F:$F,Xero!$B:$B,Heron!AI$9,Xero!$A:$A,Heron!$A$4,Xero!$E:$E,Heron!$A84)+SUMIFS(Xero!$F:$F,Xero!$B:$B,Heron!AI$9,Xero!$A:$A,Heron!$A$5,Xero!$E:$E,Heron!$A84)</f>
        <v/>
      </c>
      <c r="AJ84" s="117">
        <f>SUMIFS(Xero!$F:$F,Xero!$B:$B,Heron!AJ$9,Xero!$A:$A,Heron!$A$4,Xero!$E:$E,Heron!$A84)+SUMIFS(Xero!$F:$F,Xero!$B:$B,Heron!AJ$9,Xero!$A:$A,Heron!$A$5,Xero!$E:$E,Heron!$A84)</f>
        <v/>
      </c>
      <c r="AK84" s="117">
        <f>SUMIFS(Xero!$F:$F,Xero!$B:$B,Heron!AK$9,Xero!$A:$A,Heron!$A$4,Xero!$E:$E,Heron!$A84)+SUMIFS(Xero!$F:$F,Xero!$B:$B,Heron!AK$9,Xero!$A:$A,Heron!$A$5,Xero!$E:$E,Heron!$A84)</f>
        <v/>
      </c>
      <c r="AL84" s="117">
        <f>SUMIFS(Xero!$F:$F,Xero!$B:$B,Heron!AL$9,Xero!$A:$A,Heron!$A$4,Xero!$E:$E,Heron!$A84)+SUMIFS(Xero!$F:$F,Xero!$B:$B,Heron!AL$9,Xero!$A:$A,Heron!$A$5,Xero!$E:$E,Heron!$A84)</f>
        <v/>
      </c>
      <c r="AM84" s="117">
        <f>SUMIFS(Xero!$F:$F,Xero!$B:$B,Heron!AM$9,Xero!$A:$A,Heron!$A$4,Xero!$E:$E,Heron!$A84)+SUMIFS(Xero!$F:$F,Xero!$B:$B,Heron!AM$9,Xero!$A:$A,Heron!$A$5,Xero!$E:$E,Heron!$A84)</f>
        <v/>
      </c>
      <c r="AN84" s="117">
        <f>SUMIFS(Xero!$F:$F,Xero!$B:$B,Heron!AN$9,Xero!$A:$A,Heron!$A$4,Xero!$E:$E,Heron!$A84)+SUMIFS(Xero!$F:$F,Xero!$B:$B,Heron!AN$9,Xero!$A:$A,Heron!$A$5,Xero!$E:$E,Heron!$A84)</f>
        <v/>
      </c>
      <c r="AO84" s="117">
        <f>SUMIFS(Xero!$F:$F,Xero!$B:$B,Heron!AO$9,Xero!$A:$A,Heron!$A$4,Xero!$E:$E,Heron!$A84)+SUMIFS(Xero!$F:$F,Xero!$B:$B,Heron!AO$9,Xero!$A:$A,Heron!$A$5,Xero!$E:$E,Heron!$A84)</f>
        <v/>
      </c>
      <c r="AP84" s="117">
        <f>SUMIFS(Xero!$F:$F,Xero!$B:$B,Heron!AP$9,Xero!$A:$A,Heron!$A$4,Xero!$E:$E,Heron!$A84)+SUMIFS(Xero!$F:$F,Xero!$B:$B,Heron!AP$9,Xero!$A:$A,Heron!$A$5,Xero!$E:$E,Heron!$A84)</f>
        <v/>
      </c>
      <c r="AQ84" s="117">
        <f>SUMIFS(Xero!$F:$F,Xero!$B:$B,Heron!AQ$9,Xero!$A:$A,Heron!$A$4,Xero!$E:$E,Heron!$A84)+SUMIFS(Xero!$F:$F,Xero!$B:$B,Heron!AQ$9,Xero!$A:$A,Heron!$A$5,Xero!$E:$E,Heron!$A84)</f>
        <v/>
      </c>
      <c r="AR84" s="117">
        <f>SUMIFS(Xero!$F:$F,Xero!$B:$B,Heron!AR$9,Xero!$A:$A,Heron!$A$4,Xero!$E:$E,Heron!$A84)+SUMIFS(Xero!$F:$F,Xero!$B:$B,Heron!AR$9,Xero!$A:$A,Heron!$A$5,Xero!$E:$E,Heron!$A84)</f>
        <v/>
      </c>
      <c r="AS84" s="117">
        <f>SUMIFS(Xero!$F:$F,Xero!$B:$B,Heron!AS$9,Xero!$A:$A,Heron!$A$4,Xero!$E:$E,Heron!$A84)+SUMIFS(Xero!$F:$F,Xero!$B:$B,Heron!AS$9,Xero!$A:$A,Heron!$A$5,Xero!$E:$E,Heron!$A84)</f>
        <v/>
      </c>
      <c r="AT84" s="117">
        <f>SUMIFS(Xero!$F:$F,Xero!$B:$B,Heron!AT$9,Xero!$A:$A,Heron!$A$4,Xero!$E:$E,Heron!$A84)+SUMIFS(Xero!$F:$F,Xero!$B:$B,Heron!AT$9,Xero!$A:$A,Heron!$A$5,Xero!$E:$E,Heron!$A84)</f>
        <v/>
      </c>
      <c r="AU84" s="117">
        <f>SUMIFS(Xero!$F:$F,Xero!$B:$B,Heron!AU$9,Xero!$A:$A,Heron!$A$4,Xero!$E:$E,Heron!$A84)+SUMIFS(Xero!$F:$F,Xero!$B:$B,Heron!AU$9,Xero!$A:$A,Heron!$A$5,Xero!$E:$E,Heron!$A84)</f>
        <v/>
      </c>
      <c r="AV84" s="117">
        <f>SUMIFS(Xero!$F:$F,Xero!$B:$B,Heron!AV$9,Xero!$A:$A,Heron!$A$4,Xero!$E:$E,Heron!$A84)+SUMIFS(Xero!$F:$F,Xero!$B:$B,Heron!AV$9,Xero!$A:$A,Heron!$A$5,Xero!$E:$E,Heron!$A84)</f>
        <v/>
      </c>
      <c r="AW84" s="117">
        <f>SUMIFS(Xero!$F:$F,Xero!$B:$B,Heron!AW$9,Xero!$A:$A,Heron!$A$4,Xero!$E:$E,Heron!$A84)+SUMIFS(Xero!$F:$F,Xero!$B:$B,Heron!AW$9,Xero!$A:$A,Heron!$A$5,Xero!$E:$E,Heron!$A84)</f>
        <v/>
      </c>
      <c r="AX84" s="117">
        <f>SUMIFS(Xero!$F:$F,Xero!$B:$B,Heron!AX$9,Xero!$A:$A,Heron!$A$4,Xero!$E:$E,Heron!$A84)+SUMIFS(Xero!$F:$F,Xero!$B:$B,Heron!AX$9,Xero!$A:$A,Heron!$A$5,Xero!$E:$E,Heron!$A84)</f>
        <v/>
      </c>
      <c r="AY84" s="117">
        <f>SUMIFS(Xero!$F:$F,Xero!$B:$B,Heron!AY$9,Xero!$A:$A,Heron!$A$4,Xero!$E:$E,Heron!$A84)+SUMIFS(Xero!$F:$F,Xero!$B:$B,Heron!AY$9,Xero!$A:$A,Heron!$A$5,Xero!$E:$E,Heron!$A84)</f>
        <v/>
      </c>
      <c r="AZ84" s="117">
        <f>SUMIFS(Xero!$F:$F,Xero!$B:$B,Heron!AZ$9,Xero!$A:$A,Heron!$A$4,Xero!$E:$E,Heron!$A84)+SUMIFS(Xero!$F:$F,Xero!$B:$B,Heron!AZ$9,Xero!$A:$A,Heron!$A$5,Xero!$E:$E,Heron!$A84)</f>
        <v/>
      </c>
      <c r="BA84" s="117">
        <f>SUMIFS(Xero!$F:$F,Xero!$B:$B,Heron!BA$9,Xero!$A:$A,Heron!$A$4,Xero!$E:$E,Heron!$A84)+SUMIFS(Xero!$F:$F,Xero!$B:$B,Heron!BA$9,Xero!$A:$A,Heron!$A$5,Xero!$E:$E,Heron!$A84)</f>
        <v/>
      </c>
      <c r="BB84" s="117">
        <f>SUMIFS(Xero!$F:$F,Xero!$B:$B,Heron!BB$9,Xero!$A:$A,Heron!$A$4,Xero!$E:$E,Heron!$A84)+SUMIFS(Xero!$F:$F,Xero!$B:$B,Heron!BB$9,Xero!$A:$A,Heron!$A$5,Xero!$E:$E,Heron!$A84)</f>
        <v/>
      </c>
      <c r="BC84" s="117">
        <f>SUMIFS(Xero!$F:$F,Xero!$B:$B,Heron!BC$9,Xero!$A:$A,Heron!$A$4,Xero!$E:$E,Heron!$A84)+SUMIFS(Xero!$F:$F,Xero!$B:$B,Heron!BC$9,Xero!$A:$A,Heron!$A$5,Xero!$E:$E,Heron!$A84)</f>
        <v/>
      </c>
      <c r="BD84" s="117">
        <f>SUMIFS(Xero!$F:$F,Xero!$B:$B,Heron!BD$9,Xero!$A:$A,Heron!$A$4,Xero!$E:$E,Heron!$A84)+SUMIFS(Xero!$F:$F,Xero!$B:$B,Heron!BD$9,Xero!$A:$A,Heron!$A$5,Xero!$E:$E,Heron!$A84)</f>
        <v/>
      </c>
      <c r="BE84" s="117">
        <f>SUMIFS(Xero!$F:$F,Xero!$B:$B,Heron!BE$9,Xero!$A:$A,Heron!$A$4,Xero!$E:$E,Heron!$A84)+SUMIFS(Xero!$F:$F,Xero!$B:$B,Heron!BE$9,Xero!$A:$A,Heron!$A$5,Xero!$E:$E,Heron!$A84)</f>
        <v/>
      </c>
      <c r="BF84" s="117">
        <f>SUMIFS(Xero!$F:$F,Xero!$B:$B,Heron!BF$9,Xero!$A:$A,Heron!$A$4,Xero!$E:$E,Heron!$A84)+SUMIFS(Xero!$F:$F,Xero!$B:$B,Heron!BF$9,Xero!$A:$A,Heron!$A$5,Xero!$E:$E,Heron!$A84)</f>
        <v/>
      </c>
      <c r="BG84" s="117">
        <f>SUMIFS(Xero!$F:$F,Xero!$B:$B,Heron!BG$9,Xero!$A:$A,Heron!$A$4,Xero!$E:$E,Heron!$A84)+SUMIFS(Xero!$F:$F,Xero!$B:$B,Heron!BG$9,Xero!$A:$A,Heron!$A$5,Xero!$E:$E,Heron!$A84)</f>
        <v/>
      </c>
      <c r="BH84" s="117">
        <f>SUMIFS(Xero!$F:$F,Xero!$B:$B,Heron!BH$9,Xero!$A:$A,Heron!$A$4,Xero!$E:$E,Heron!$A84)+SUMIFS(Xero!$F:$F,Xero!$B:$B,Heron!BH$9,Xero!$A:$A,Heron!$A$5,Xero!$E:$E,Heron!$A84)</f>
        <v/>
      </c>
      <c r="BI84" s="117">
        <f>SUMIFS(Xero!$F:$F,Xero!$B:$B,Heron!BI$9,Xero!$A:$A,Heron!$A$4,Xero!$E:$E,Heron!$A84)+SUMIFS(Xero!$F:$F,Xero!$B:$B,Heron!BI$9,Xero!$A:$A,Heron!$A$5,Xero!$E:$E,Heron!$A84)</f>
        <v/>
      </c>
      <c r="BJ84" s="117">
        <f>SUMIFS(Xero!$F:$F,Xero!$B:$B,Heron!BJ$9,Xero!$A:$A,Heron!$A$4,Xero!$E:$E,Heron!$A84)+SUMIFS(Xero!$F:$F,Xero!$B:$B,Heron!BJ$9,Xero!$A:$A,Heron!$A$5,Xero!$E:$E,Heron!$A84)</f>
        <v/>
      </c>
      <c r="BK84" s="117">
        <f>sum(D84:BJ84)</f>
        <v/>
      </c>
    </row>
    <row r="85">
      <c r="A85" s="116" t="inlineStr">
        <is>
          <t>Interest Paid - Investors @ 8.25%</t>
        </is>
      </c>
      <c r="D85" s="117">
        <f>SUMIFS(Xero!$F:$F,Xero!$B:$B,Heron!D$9,Xero!$A:$A,Heron!$A$4,Xero!$E:$E,Heron!$A85)+SUMIFS(Xero!$F:$F,Xero!$B:$B,Heron!D$9,Xero!$A:$A,Heron!$A$5,Xero!$E:$E,Heron!$A85)</f>
        <v/>
      </c>
      <c r="E85" s="117">
        <f>SUMIFS(Xero!$F:$F,Xero!$B:$B,Heron!E$9,Xero!$A:$A,Heron!$A$4,Xero!$E:$E,Heron!$A85)+SUMIFS(Xero!$F:$F,Xero!$B:$B,Heron!E$9,Xero!$A:$A,Heron!$A$5,Xero!$E:$E,Heron!$A85)</f>
        <v/>
      </c>
      <c r="F85" s="117">
        <f>SUMIFS(Xero!$F:$F,Xero!$B:$B,Heron!F$9,Xero!$A:$A,Heron!$A$4,Xero!$E:$E,Heron!$A85)+SUMIFS(Xero!$F:$F,Xero!$B:$B,Heron!F$9,Xero!$A:$A,Heron!$A$5,Xero!$E:$E,Heron!$A85)</f>
        <v/>
      </c>
      <c r="G85" s="117">
        <f>SUMIFS(Xero!$F:$F,Xero!$B:$B,Heron!G$9,Xero!$A:$A,Heron!$A$4,Xero!$E:$E,Heron!$A85)+SUMIFS(Xero!$F:$F,Xero!$B:$B,Heron!G$9,Xero!$A:$A,Heron!$A$5,Xero!$E:$E,Heron!$A85)</f>
        <v/>
      </c>
      <c r="H85" s="117">
        <f>SUMIFS(Xero!$F:$F,Xero!$B:$B,Heron!H$9,Xero!$A:$A,Heron!$A$4,Xero!$E:$E,Heron!$A85)+SUMIFS(Xero!$F:$F,Xero!$B:$B,Heron!H$9,Xero!$A:$A,Heron!$A$5,Xero!$E:$E,Heron!$A85)</f>
        <v/>
      </c>
      <c r="I85" s="117">
        <f>SUMIFS(Xero!$F:$F,Xero!$B:$B,Heron!I$9,Xero!$A:$A,Heron!$A$4,Xero!$E:$E,Heron!$A85)+SUMIFS(Xero!$F:$F,Xero!$B:$B,Heron!I$9,Xero!$A:$A,Heron!$A$5,Xero!$E:$E,Heron!$A85)</f>
        <v/>
      </c>
      <c r="J85" s="117">
        <f>SUMIFS(Xero!$F:$F,Xero!$B:$B,Heron!J$9,Xero!$A:$A,Heron!$A$4,Xero!$E:$E,Heron!$A85)+SUMIFS(Xero!$F:$F,Xero!$B:$B,Heron!J$9,Xero!$A:$A,Heron!$A$5,Xero!$E:$E,Heron!$A85)</f>
        <v/>
      </c>
      <c r="K85" s="117">
        <f>SUMIFS(Xero!$F:$F,Xero!$B:$B,Heron!K$9,Xero!$A:$A,Heron!$A$4,Xero!$E:$E,Heron!$A85)+SUMIFS(Xero!$F:$F,Xero!$B:$B,Heron!K$9,Xero!$A:$A,Heron!$A$5,Xero!$E:$E,Heron!$A85)</f>
        <v/>
      </c>
      <c r="L85" s="117">
        <f>SUMIFS(Xero!$F:$F,Xero!$B:$B,Heron!L$9,Xero!$A:$A,Heron!$A$4,Xero!$E:$E,Heron!$A85)+SUMIFS(Xero!$F:$F,Xero!$B:$B,Heron!L$9,Xero!$A:$A,Heron!$A$5,Xero!$E:$E,Heron!$A85)</f>
        <v/>
      </c>
      <c r="M85" s="117">
        <f>SUMIFS(Xero!$F:$F,Xero!$B:$B,Heron!M$9,Xero!$A:$A,Heron!$A$4,Xero!$E:$E,Heron!$A85)+SUMIFS(Xero!$F:$F,Xero!$B:$B,Heron!M$9,Xero!$A:$A,Heron!$A$5,Xero!$E:$E,Heron!$A85)</f>
        <v/>
      </c>
      <c r="N85" s="117">
        <f>SUMIFS(Xero!$F:$F,Xero!$B:$B,Heron!N$9,Xero!$A:$A,Heron!$A$4,Xero!$E:$E,Heron!$A85)+SUMIFS(Xero!$F:$F,Xero!$B:$B,Heron!N$9,Xero!$A:$A,Heron!$A$5,Xero!$E:$E,Heron!$A85)</f>
        <v/>
      </c>
      <c r="O85" s="117">
        <f>SUMIFS(Xero!$F:$F,Xero!$B:$B,Heron!O$9,Xero!$A:$A,Heron!$A$4,Xero!$E:$E,Heron!$A85)+SUMIFS(Xero!$F:$F,Xero!$B:$B,Heron!O$9,Xero!$A:$A,Heron!$A$5,Xero!$E:$E,Heron!$A85)</f>
        <v/>
      </c>
      <c r="P85" s="117">
        <f>SUMIFS(Xero!$F:$F,Xero!$B:$B,Heron!P$9,Xero!$A:$A,Heron!$A$4,Xero!$E:$E,Heron!$A85)+SUMIFS(Xero!$F:$F,Xero!$B:$B,Heron!P$9,Xero!$A:$A,Heron!$A$5,Xero!$E:$E,Heron!$A85)</f>
        <v/>
      </c>
      <c r="Q85" s="117">
        <f>SUMIFS(Xero!$F:$F,Xero!$B:$B,Heron!Q$9,Xero!$A:$A,Heron!$A$4,Xero!$E:$E,Heron!$A85)+SUMIFS(Xero!$F:$F,Xero!$B:$B,Heron!Q$9,Xero!$A:$A,Heron!$A$5,Xero!$E:$E,Heron!$A85)</f>
        <v/>
      </c>
      <c r="R85" s="117">
        <f>SUMIFS(Xero!$F:$F,Xero!$B:$B,Heron!R$9,Xero!$A:$A,Heron!$A$4,Xero!$E:$E,Heron!$A85)+SUMIFS(Xero!$F:$F,Xero!$B:$B,Heron!R$9,Xero!$A:$A,Heron!$A$5,Xero!$E:$E,Heron!$A85)</f>
        <v/>
      </c>
      <c r="S85" s="117">
        <f>SUMIFS(Xero!$F:$F,Xero!$B:$B,Heron!S$9,Xero!$A:$A,Heron!$A$4,Xero!$E:$E,Heron!$A85)+SUMIFS(Xero!$F:$F,Xero!$B:$B,Heron!S$9,Xero!$A:$A,Heron!$A$5,Xero!$E:$E,Heron!$A85)</f>
        <v/>
      </c>
      <c r="T85" s="117">
        <f>SUMIFS(Xero!$F:$F,Xero!$B:$B,Heron!T$9,Xero!$A:$A,Heron!$A$4,Xero!$E:$E,Heron!$A85)+SUMIFS(Xero!$F:$F,Xero!$B:$B,Heron!T$9,Xero!$A:$A,Heron!$A$5,Xero!$E:$E,Heron!$A85)</f>
        <v/>
      </c>
      <c r="U85" s="117">
        <f>SUMIFS(Xero!$F:$F,Xero!$B:$B,Heron!U$9,Xero!$A:$A,Heron!$A$4,Xero!$E:$E,Heron!$A85)+SUMIFS(Xero!$F:$F,Xero!$B:$B,Heron!U$9,Xero!$A:$A,Heron!$A$5,Xero!$E:$E,Heron!$A85)</f>
        <v/>
      </c>
      <c r="V85" s="117">
        <f>SUMIFS(Xero!$F:$F,Xero!$B:$B,Heron!V$9,Xero!$A:$A,Heron!$A$4,Xero!$E:$E,Heron!$A85)+SUMIFS(Xero!$F:$F,Xero!$B:$B,Heron!V$9,Xero!$A:$A,Heron!$A$5,Xero!$E:$E,Heron!$A85)</f>
        <v/>
      </c>
      <c r="W85" s="117">
        <f>SUMIFS(Xero!$F:$F,Xero!$B:$B,Heron!W$9,Xero!$A:$A,Heron!$A$4,Xero!$E:$E,Heron!$A85)+SUMIFS(Xero!$F:$F,Xero!$B:$B,Heron!W$9,Xero!$A:$A,Heron!$A$5,Xero!$E:$E,Heron!$A85)</f>
        <v/>
      </c>
      <c r="X85" s="117">
        <f>SUMIFS(Xero!$F:$F,Xero!$B:$B,Heron!X$9,Xero!$A:$A,Heron!$A$4,Xero!$E:$E,Heron!$A85)+SUMIFS(Xero!$F:$F,Xero!$B:$B,Heron!X$9,Xero!$A:$A,Heron!$A$5,Xero!$E:$E,Heron!$A85)</f>
        <v/>
      </c>
      <c r="Y85" s="117">
        <f>SUMIFS(Xero!$F:$F,Xero!$B:$B,Heron!Y$9,Xero!$A:$A,Heron!$A$4,Xero!$E:$E,Heron!$A85)+SUMIFS(Xero!$F:$F,Xero!$B:$B,Heron!Y$9,Xero!$A:$A,Heron!$A$5,Xero!$E:$E,Heron!$A85)</f>
        <v/>
      </c>
      <c r="Z85" s="117">
        <f>SUMIFS(Xero!$F:$F,Xero!$B:$B,Heron!Z$9,Xero!$A:$A,Heron!$A$4,Xero!$E:$E,Heron!$A85)+SUMIFS(Xero!$F:$F,Xero!$B:$B,Heron!Z$9,Xero!$A:$A,Heron!$A$5,Xero!$E:$E,Heron!$A85)</f>
        <v/>
      </c>
      <c r="AA85" s="117">
        <f>SUMIFS(Xero!$F:$F,Xero!$B:$B,Heron!AA$9,Xero!$A:$A,Heron!$A$4,Xero!$E:$E,Heron!$A85)+SUMIFS(Xero!$F:$F,Xero!$B:$B,Heron!AA$9,Xero!$A:$A,Heron!$A$5,Xero!$E:$E,Heron!$A85)</f>
        <v/>
      </c>
      <c r="AB85" s="117">
        <f>SUMIFS(Xero!$F:$F,Xero!$B:$B,Heron!AB$9,Xero!$A:$A,Heron!$A$4,Xero!$E:$E,Heron!$A85)+SUMIFS(Xero!$F:$F,Xero!$B:$B,Heron!AB$9,Xero!$A:$A,Heron!$A$5,Xero!$E:$E,Heron!$A85)</f>
        <v/>
      </c>
      <c r="AC85" s="117">
        <f>SUMIFS(Xero!$F:$F,Xero!$B:$B,Heron!AC$9,Xero!$A:$A,Heron!$A$4,Xero!$E:$E,Heron!$A85)+SUMIFS(Xero!$F:$F,Xero!$B:$B,Heron!AC$9,Xero!$A:$A,Heron!$A$5,Xero!$E:$E,Heron!$A85)</f>
        <v/>
      </c>
      <c r="AD85" s="117">
        <f>SUMIFS(Xero!$F:$F,Xero!$B:$B,Heron!AD$9,Xero!$A:$A,Heron!$A$4,Xero!$E:$E,Heron!$A85)+SUMIFS(Xero!$F:$F,Xero!$B:$B,Heron!AD$9,Xero!$A:$A,Heron!$A$5,Xero!$E:$E,Heron!$A85)</f>
        <v/>
      </c>
      <c r="AE85" s="117">
        <f>SUMIFS(Xero!$F:$F,Xero!$B:$B,Heron!AE$9,Xero!$A:$A,Heron!$A$4,Xero!$E:$E,Heron!$A85)+SUMIFS(Xero!$F:$F,Xero!$B:$B,Heron!AE$9,Xero!$A:$A,Heron!$A$5,Xero!$E:$E,Heron!$A85)</f>
        <v/>
      </c>
      <c r="AF85" s="117">
        <f>SUMIFS(Xero!$F:$F,Xero!$B:$B,Heron!AF$9,Xero!$A:$A,Heron!$A$4,Xero!$E:$E,Heron!$A85)+SUMIFS(Xero!$F:$F,Xero!$B:$B,Heron!AF$9,Xero!$A:$A,Heron!$A$5,Xero!$E:$E,Heron!$A85)</f>
        <v/>
      </c>
      <c r="AG85" s="117">
        <f>SUMIFS(Xero!$F:$F,Xero!$B:$B,Heron!AG$9,Xero!$A:$A,Heron!$A$4,Xero!$E:$E,Heron!$A85)+SUMIFS(Xero!$F:$F,Xero!$B:$B,Heron!AG$9,Xero!$A:$A,Heron!$A$5,Xero!$E:$E,Heron!$A85)</f>
        <v/>
      </c>
      <c r="AH85" s="117">
        <f>SUMIFS(Xero!$F:$F,Xero!$B:$B,Heron!AH$9,Xero!$A:$A,Heron!$A$4,Xero!$E:$E,Heron!$A85)+SUMIFS(Xero!$F:$F,Xero!$B:$B,Heron!AH$9,Xero!$A:$A,Heron!$A$5,Xero!$E:$E,Heron!$A85)</f>
        <v/>
      </c>
      <c r="AI85" s="117">
        <f>SUMIFS(Xero!$F:$F,Xero!$B:$B,Heron!AI$9,Xero!$A:$A,Heron!$A$4,Xero!$E:$E,Heron!$A85)+SUMIFS(Xero!$F:$F,Xero!$B:$B,Heron!AI$9,Xero!$A:$A,Heron!$A$5,Xero!$E:$E,Heron!$A85)</f>
        <v/>
      </c>
      <c r="AJ85" s="117">
        <f>SUMIFS(Xero!$F:$F,Xero!$B:$B,Heron!AJ$9,Xero!$A:$A,Heron!$A$4,Xero!$E:$E,Heron!$A85)+SUMIFS(Xero!$F:$F,Xero!$B:$B,Heron!AJ$9,Xero!$A:$A,Heron!$A$5,Xero!$E:$E,Heron!$A85)</f>
        <v/>
      </c>
      <c r="AK85" s="117">
        <f>SUMIFS(Xero!$F:$F,Xero!$B:$B,Heron!AK$9,Xero!$A:$A,Heron!$A$4,Xero!$E:$E,Heron!$A85)+SUMIFS(Xero!$F:$F,Xero!$B:$B,Heron!AK$9,Xero!$A:$A,Heron!$A$5,Xero!$E:$E,Heron!$A85)</f>
        <v/>
      </c>
      <c r="AL85" s="117">
        <f>SUMIFS(Xero!$F:$F,Xero!$B:$B,Heron!AL$9,Xero!$A:$A,Heron!$A$4,Xero!$E:$E,Heron!$A85)+SUMIFS(Xero!$F:$F,Xero!$B:$B,Heron!AL$9,Xero!$A:$A,Heron!$A$5,Xero!$E:$E,Heron!$A85)</f>
        <v/>
      </c>
      <c r="AM85" s="117">
        <f>SUMIFS(Xero!$F:$F,Xero!$B:$B,Heron!AM$9,Xero!$A:$A,Heron!$A$4,Xero!$E:$E,Heron!$A85)+SUMIFS(Xero!$F:$F,Xero!$B:$B,Heron!AM$9,Xero!$A:$A,Heron!$A$5,Xero!$E:$E,Heron!$A85)</f>
        <v/>
      </c>
      <c r="AN85" s="117">
        <f>SUMIFS(Xero!$F:$F,Xero!$B:$B,Heron!AN$9,Xero!$A:$A,Heron!$A$4,Xero!$E:$E,Heron!$A85)+SUMIFS(Xero!$F:$F,Xero!$B:$B,Heron!AN$9,Xero!$A:$A,Heron!$A$5,Xero!$E:$E,Heron!$A85)</f>
        <v/>
      </c>
      <c r="AO85" s="117">
        <f>SUMIFS(Xero!$F:$F,Xero!$B:$B,Heron!AO$9,Xero!$A:$A,Heron!$A$4,Xero!$E:$E,Heron!$A85)+SUMIFS(Xero!$F:$F,Xero!$B:$B,Heron!AO$9,Xero!$A:$A,Heron!$A$5,Xero!$E:$E,Heron!$A85)</f>
        <v/>
      </c>
      <c r="AP85" s="117">
        <f>SUMIFS(Xero!$F:$F,Xero!$B:$B,Heron!AP$9,Xero!$A:$A,Heron!$A$4,Xero!$E:$E,Heron!$A85)+SUMIFS(Xero!$F:$F,Xero!$B:$B,Heron!AP$9,Xero!$A:$A,Heron!$A$5,Xero!$E:$E,Heron!$A85)</f>
        <v/>
      </c>
      <c r="AQ85" s="117">
        <f>SUMIFS(Xero!$F:$F,Xero!$B:$B,Heron!AQ$9,Xero!$A:$A,Heron!$A$4,Xero!$E:$E,Heron!$A85)+SUMIFS(Xero!$F:$F,Xero!$B:$B,Heron!AQ$9,Xero!$A:$A,Heron!$A$5,Xero!$E:$E,Heron!$A85)</f>
        <v/>
      </c>
      <c r="AR85" s="117">
        <f>SUMIFS(Xero!$F:$F,Xero!$B:$B,Heron!AR$9,Xero!$A:$A,Heron!$A$4,Xero!$E:$E,Heron!$A85)+SUMIFS(Xero!$F:$F,Xero!$B:$B,Heron!AR$9,Xero!$A:$A,Heron!$A$5,Xero!$E:$E,Heron!$A85)</f>
        <v/>
      </c>
      <c r="AS85" s="117">
        <f>SUMIFS(Xero!$F:$F,Xero!$B:$B,Heron!AS$9,Xero!$A:$A,Heron!$A$4,Xero!$E:$E,Heron!$A85)+SUMIFS(Xero!$F:$F,Xero!$B:$B,Heron!AS$9,Xero!$A:$A,Heron!$A$5,Xero!$E:$E,Heron!$A85)</f>
        <v/>
      </c>
      <c r="AT85" s="117">
        <f>SUMIFS(Xero!$F:$F,Xero!$B:$B,Heron!AT$9,Xero!$A:$A,Heron!$A$4,Xero!$E:$E,Heron!$A85)+SUMIFS(Xero!$F:$F,Xero!$B:$B,Heron!AT$9,Xero!$A:$A,Heron!$A$5,Xero!$E:$E,Heron!$A85)</f>
        <v/>
      </c>
      <c r="AU85" s="117">
        <f>SUMIFS(Xero!$F:$F,Xero!$B:$B,Heron!AU$9,Xero!$A:$A,Heron!$A$4,Xero!$E:$E,Heron!$A85)+SUMIFS(Xero!$F:$F,Xero!$B:$B,Heron!AU$9,Xero!$A:$A,Heron!$A$5,Xero!$E:$E,Heron!$A85)</f>
        <v/>
      </c>
      <c r="AV85" s="117">
        <f>SUMIFS(Xero!$F:$F,Xero!$B:$B,Heron!AV$9,Xero!$A:$A,Heron!$A$4,Xero!$E:$E,Heron!$A85)+SUMIFS(Xero!$F:$F,Xero!$B:$B,Heron!AV$9,Xero!$A:$A,Heron!$A$5,Xero!$E:$E,Heron!$A85)</f>
        <v/>
      </c>
      <c r="AW85" s="117">
        <f>SUMIFS(Xero!$F:$F,Xero!$B:$B,Heron!AW$9,Xero!$A:$A,Heron!$A$4,Xero!$E:$E,Heron!$A85)+SUMIFS(Xero!$F:$F,Xero!$B:$B,Heron!AW$9,Xero!$A:$A,Heron!$A$5,Xero!$E:$E,Heron!$A85)</f>
        <v/>
      </c>
      <c r="AX85" s="117">
        <f>SUMIFS(Xero!$F:$F,Xero!$B:$B,Heron!AX$9,Xero!$A:$A,Heron!$A$4,Xero!$E:$E,Heron!$A85)+SUMIFS(Xero!$F:$F,Xero!$B:$B,Heron!AX$9,Xero!$A:$A,Heron!$A$5,Xero!$E:$E,Heron!$A85)</f>
        <v/>
      </c>
      <c r="AY85" s="117">
        <f>SUMIFS(Xero!$F:$F,Xero!$B:$B,Heron!AY$9,Xero!$A:$A,Heron!$A$4,Xero!$E:$E,Heron!$A85)+SUMIFS(Xero!$F:$F,Xero!$B:$B,Heron!AY$9,Xero!$A:$A,Heron!$A$5,Xero!$E:$E,Heron!$A85)</f>
        <v/>
      </c>
      <c r="AZ85" s="117">
        <f>SUMIFS(Xero!$F:$F,Xero!$B:$B,Heron!AZ$9,Xero!$A:$A,Heron!$A$4,Xero!$E:$E,Heron!$A85)+SUMIFS(Xero!$F:$F,Xero!$B:$B,Heron!AZ$9,Xero!$A:$A,Heron!$A$5,Xero!$E:$E,Heron!$A85)</f>
        <v/>
      </c>
      <c r="BA85" s="117">
        <f>SUMIFS(Xero!$F:$F,Xero!$B:$B,Heron!BA$9,Xero!$A:$A,Heron!$A$4,Xero!$E:$E,Heron!$A85)+SUMIFS(Xero!$F:$F,Xero!$B:$B,Heron!BA$9,Xero!$A:$A,Heron!$A$5,Xero!$E:$E,Heron!$A85)</f>
        <v/>
      </c>
      <c r="BB85" s="117">
        <f>SUMIFS(Xero!$F:$F,Xero!$B:$B,Heron!BB$9,Xero!$A:$A,Heron!$A$4,Xero!$E:$E,Heron!$A85)+SUMIFS(Xero!$F:$F,Xero!$B:$B,Heron!BB$9,Xero!$A:$A,Heron!$A$5,Xero!$E:$E,Heron!$A85)</f>
        <v/>
      </c>
      <c r="BC85" s="117">
        <f>SUMIFS(Xero!$F:$F,Xero!$B:$B,Heron!BC$9,Xero!$A:$A,Heron!$A$4,Xero!$E:$E,Heron!$A85)+SUMIFS(Xero!$F:$F,Xero!$B:$B,Heron!BC$9,Xero!$A:$A,Heron!$A$5,Xero!$E:$E,Heron!$A85)</f>
        <v/>
      </c>
      <c r="BD85" s="117">
        <f>SUMIFS(Xero!$F:$F,Xero!$B:$B,Heron!BD$9,Xero!$A:$A,Heron!$A$4,Xero!$E:$E,Heron!$A85)+SUMIFS(Xero!$F:$F,Xero!$B:$B,Heron!BD$9,Xero!$A:$A,Heron!$A$5,Xero!$E:$E,Heron!$A85)</f>
        <v/>
      </c>
      <c r="BE85" s="117">
        <f>SUMIFS(Xero!$F:$F,Xero!$B:$B,Heron!BE$9,Xero!$A:$A,Heron!$A$4,Xero!$E:$E,Heron!$A85)+SUMIFS(Xero!$F:$F,Xero!$B:$B,Heron!BE$9,Xero!$A:$A,Heron!$A$5,Xero!$E:$E,Heron!$A85)</f>
        <v/>
      </c>
      <c r="BF85" s="117">
        <f>SUMIFS(Xero!$F:$F,Xero!$B:$B,Heron!BF$9,Xero!$A:$A,Heron!$A$4,Xero!$E:$E,Heron!$A85)+SUMIFS(Xero!$F:$F,Xero!$B:$B,Heron!BF$9,Xero!$A:$A,Heron!$A$5,Xero!$E:$E,Heron!$A85)</f>
        <v/>
      </c>
      <c r="BG85" s="117">
        <f>SUMIFS(Xero!$F:$F,Xero!$B:$B,Heron!BG$9,Xero!$A:$A,Heron!$A$4,Xero!$E:$E,Heron!$A85)+SUMIFS(Xero!$F:$F,Xero!$B:$B,Heron!BG$9,Xero!$A:$A,Heron!$A$5,Xero!$E:$E,Heron!$A85)</f>
        <v/>
      </c>
      <c r="BH85" s="117">
        <f>SUMIFS(Xero!$F:$F,Xero!$B:$B,Heron!BH$9,Xero!$A:$A,Heron!$A$4,Xero!$E:$E,Heron!$A85)+SUMIFS(Xero!$F:$F,Xero!$B:$B,Heron!BH$9,Xero!$A:$A,Heron!$A$5,Xero!$E:$E,Heron!$A85)</f>
        <v/>
      </c>
      <c r="BI85" s="117">
        <f>SUMIFS(Xero!$F:$F,Xero!$B:$B,Heron!BI$9,Xero!$A:$A,Heron!$A$4,Xero!$E:$E,Heron!$A85)+SUMIFS(Xero!$F:$F,Xero!$B:$B,Heron!BI$9,Xero!$A:$A,Heron!$A$5,Xero!$E:$E,Heron!$A85)</f>
        <v/>
      </c>
      <c r="BJ85" s="117">
        <f>SUMIFS(Xero!$F:$F,Xero!$B:$B,Heron!BJ$9,Xero!$A:$A,Heron!$A$4,Xero!$E:$E,Heron!$A85)+SUMIFS(Xero!$F:$F,Xero!$B:$B,Heron!BJ$9,Xero!$A:$A,Heron!$A$5,Xero!$E:$E,Heron!$A85)</f>
        <v/>
      </c>
      <c r="BK85" s="117">
        <f>sum(D85:BJ85)</f>
        <v/>
      </c>
    </row>
    <row r="86">
      <c r="A86" s="116" t="inlineStr">
        <is>
          <t>Interest Paid - Investors @ 9%</t>
        </is>
      </c>
      <c r="D86" s="117">
        <f>SUMIFS(Xero!$F:$F,Xero!$B:$B,Heron!D$9,Xero!$A:$A,Heron!$A$4,Xero!$E:$E,Heron!$A86)+SUMIFS(Xero!$F:$F,Xero!$B:$B,Heron!D$9,Xero!$A:$A,Heron!$A$5,Xero!$E:$E,Heron!$A86)</f>
        <v/>
      </c>
      <c r="E86" s="117">
        <f>SUMIFS(Xero!$F:$F,Xero!$B:$B,Heron!E$9,Xero!$A:$A,Heron!$A$4,Xero!$E:$E,Heron!$A86)+SUMIFS(Xero!$F:$F,Xero!$B:$B,Heron!E$9,Xero!$A:$A,Heron!$A$5,Xero!$E:$E,Heron!$A86)</f>
        <v/>
      </c>
      <c r="F86" s="117">
        <f>SUMIFS(Xero!$F:$F,Xero!$B:$B,Heron!F$9,Xero!$A:$A,Heron!$A$4,Xero!$E:$E,Heron!$A86)+SUMIFS(Xero!$F:$F,Xero!$B:$B,Heron!F$9,Xero!$A:$A,Heron!$A$5,Xero!$E:$E,Heron!$A86)</f>
        <v/>
      </c>
      <c r="G86" s="117">
        <f>SUMIFS(Xero!$F:$F,Xero!$B:$B,Heron!G$9,Xero!$A:$A,Heron!$A$4,Xero!$E:$E,Heron!$A86)+SUMIFS(Xero!$F:$F,Xero!$B:$B,Heron!G$9,Xero!$A:$A,Heron!$A$5,Xero!$E:$E,Heron!$A86)</f>
        <v/>
      </c>
      <c r="H86" s="117">
        <f>SUMIFS(Xero!$F:$F,Xero!$B:$B,Heron!H$9,Xero!$A:$A,Heron!$A$4,Xero!$E:$E,Heron!$A86)+SUMIFS(Xero!$F:$F,Xero!$B:$B,Heron!H$9,Xero!$A:$A,Heron!$A$5,Xero!$E:$E,Heron!$A86)</f>
        <v/>
      </c>
      <c r="I86" s="117">
        <f>SUMIFS(Xero!$F:$F,Xero!$B:$B,Heron!I$9,Xero!$A:$A,Heron!$A$4,Xero!$E:$E,Heron!$A86)+SUMIFS(Xero!$F:$F,Xero!$B:$B,Heron!I$9,Xero!$A:$A,Heron!$A$5,Xero!$E:$E,Heron!$A86)</f>
        <v/>
      </c>
      <c r="J86" s="117">
        <f>SUMIFS(Xero!$F:$F,Xero!$B:$B,Heron!J$9,Xero!$A:$A,Heron!$A$4,Xero!$E:$E,Heron!$A86)+SUMIFS(Xero!$F:$F,Xero!$B:$B,Heron!J$9,Xero!$A:$A,Heron!$A$5,Xero!$E:$E,Heron!$A86)</f>
        <v/>
      </c>
      <c r="K86" s="117">
        <f>SUMIFS(Xero!$F:$F,Xero!$B:$B,Heron!K$9,Xero!$A:$A,Heron!$A$4,Xero!$E:$E,Heron!$A86)+SUMIFS(Xero!$F:$F,Xero!$B:$B,Heron!K$9,Xero!$A:$A,Heron!$A$5,Xero!$E:$E,Heron!$A86)</f>
        <v/>
      </c>
      <c r="L86" s="117">
        <f>SUMIFS(Xero!$F:$F,Xero!$B:$B,Heron!L$9,Xero!$A:$A,Heron!$A$4,Xero!$E:$E,Heron!$A86)+SUMIFS(Xero!$F:$F,Xero!$B:$B,Heron!L$9,Xero!$A:$A,Heron!$A$5,Xero!$E:$E,Heron!$A86)</f>
        <v/>
      </c>
      <c r="M86" s="117">
        <f>SUMIFS(Xero!$F:$F,Xero!$B:$B,Heron!M$9,Xero!$A:$A,Heron!$A$4,Xero!$E:$E,Heron!$A86)+SUMIFS(Xero!$F:$F,Xero!$B:$B,Heron!M$9,Xero!$A:$A,Heron!$A$5,Xero!$E:$E,Heron!$A86)</f>
        <v/>
      </c>
      <c r="N86" s="117">
        <f>SUMIFS(Xero!$F:$F,Xero!$B:$B,Heron!N$9,Xero!$A:$A,Heron!$A$4,Xero!$E:$E,Heron!$A86)+SUMIFS(Xero!$F:$F,Xero!$B:$B,Heron!N$9,Xero!$A:$A,Heron!$A$5,Xero!$E:$E,Heron!$A86)</f>
        <v/>
      </c>
      <c r="O86" s="117">
        <f>SUMIFS(Xero!$F:$F,Xero!$B:$B,Heron!O$9,Xero!$A:$A,Heron!$A$4,Xero!$E:$E,Heron!$A86)+SUMIFS(Xero!$F:$F,Xero!$B:$B,Heron!O$9,Xero!$A:$A,Heron!$A$5,Xero!$E:$E,Heron!$A86)</f>
        <v/>
      </c>
      <c r="P86" s="117">
        <f>SUMIFS(Xero!$F:$F,Xero!$B:$B,Heron!P$9,Xero!$A:$A,Heron!$A$4,Xero!$E:$E,Heron!$A86)+SUMIFS(Xero!$F:$F,Xero!$B:$B,Heron!P$9,Xero!$A:$A,Heron!$A$5,Xero!$E:$E,Heron!$A86)</f>
        <v/>
      </c>
      <c r="Q86" s="117">
        <f>SUMIFS(Xero!$F:$F,Xero!$B:$B,Heron!Q$9,Xero!$A:$A,Heron!$A$4,Xero!$E:$E,Heron!$A86)+SUMIFS(Xero!$F:$F,Xero!$B:$B,Heron!Q$9,Xero!$A:$A,Heron!$A$5,Xero!$E:$E,Heron!$A86)</f>
        <v/>
      </c>
      <c r="R86" s="117">
        <f>SUMIFS(Xero!$F:$F,Xero!$B:$B,Heron!R$9,Xero!$A:$A,Heron!$A$4,Xero!$E:$E,Heron!$A86)+SUMIFS(Xero!$F:$F,Xero!$B:$B,Heron!R$9,Xero!$A:$A,Heron!$A$5,Xero!$E:$E,Heron!$A86)</f>
        <v/>
      </c>
      <c r="S86" s="117">
        <f>SUMIFS(Xero!$F:$F,Xero!$B:$B,Heron!S$9,Xero!$A:$A,Heron!$A$4,Xero!$E:$E,Heron!$A86)+SUMIFS(Xero!$F:$F,Xero!$B:$B,Heron!S$9,Xero!$A:$A,Heron!$A$5,Xero!$E:$E,Heron!$A86)</f>
        <v/>
      </c>
      <c r="T86" s="117">
        <f>SUMIFS(Xero!$F:$F,Xero!$B:$B,Heron!T$9,Xero!$A:$A,Heron!$A$4,Xero!$E:$E,Heron!$A86)+SUMIFS(Xero!$F:$F,Xero!$B:$B,Heron!T$9,Xero!$A:$A,Heron!$A$5,Xero!$E:$E,Heron!$A86)</f>
        <v/>
      </c>
      <c r="U86" s="117">
        <f>SUMIFS(Xero!$F:$F,Xero!$B:$B,Heron!U$9,Xero!$A:$A,Heron!$A$4,Xero!$E:$E,Heron!$A86)+SUMIFS(Xero!$F:$F,Xero!$B:$B,Heron!U$9,Xero!$A:$A,Heron!$A$5,Xero!$E:$E,Heron!$A86)</f>
        <v/>
      </c>
      <c r="V86" s="117">
        <f>SUMIFS(Xero!$F:$F,Xero!$B:$B,Heron!V$9,Xero!$A:$A,Heron!$A$4,Xero!$E:$E,Heron!$A86)+SUMIFS(Xero!$F:$F,Xero!$B:$B,Heron!V$9,Xero!$A:$A,Heron!$A$5,Xero!$E:$E,Heron!$A86)</f>
        <v/>
      </c>
      <c r="W86" s="117">
        <f>SUMIFS(Xero!$F:$F,Xero!$B:$B,Heron!W$9,Xero!$A:$A,Heron!$A$4,Xero!$E:$E,Heron!$A86)+SUMIFS(Xero!$F:$F,Xero!$B:$B,Heron!W$9,Xero!$A:$A,Heron!$A$5,Xero!$E:$E,Heron!$A86)</f>
        <v/>
      </c>
      <c r="X86" s="117">
        <f>SUMIFS(Xero!$F:$F,Xero!$B:$B,Heron!X$9,Xero!$A:$A,Heron!$A$4,Xero!$E:$E,Heron!$A86)+SUMIFS(Xero!$F:$F,Xero!$B:$B,Heron!X$9,Xero!$A:$A,Heron!$A$5,Xero!$E:$E,Heron!$A86)</f>
        <v/>
      </c>
      <c r="Y86" s="117">
        <f>SUMIFS(Xero!$F:$F,Xero!$B:$B,Heron!Y$9,Xero!$A:$A,Heron!$A$4,Xero!$E:$E,Heron!$A86)+SUMIFS(Xero!$F:$F,Xero!$B:$B,Heron!Y$9,Xero!$A:$A,Heron!$A$5,Xero!$E:$E,Heron!$A86)</f>
        <v/>
      </c>
      <c r="Z86" s="117">
        <f>SUMIFS(Xero!$F:$F,Xero!$B:$B,Heron!Z$9,Xero!$A:$A,Heron!$A$4,Xero!$E:$E,Heron!$A86)+SUMIFS(Xero!$F:$F,Xero!$B:$B,Heron!Z$9,Xero!$A:$A,Heron!$A$5,Xero!$E:$E,Heron!$A86)</f>
        <v/>
      </c>
      <c r="AA86" s="117">
        <f>SUMIFS(Xero!$F:$F,Xero!$B:$B,Heron!AA$9,Xero!$A:$A,Heron!$A$4,Xero!$E:$E,Heron!$A86)+SUMIFS(Xero!$F:$F,Xero!$B:$B,Heron!AA$9,Xero!$A:$A,Heron!$A$5,Xero!$E:$E,Heron!$A86)</f>
        <v/>
      </c>
      <c r="AB86" s="117">
        <f>SUMIFS(Xero!$F:$F,Xero!$B:$B,Heron!AB$9,Xero!$A:$A,Heron!$A$4,Xero!$E:$E,Heron!$A86)+SUMIFS(Xero!$F:$F,Xero!$B:$B,Heron!AB$9,Xero!$A:$A,Heron!$A$5,Xero!$E:$E,Heron!$A86)</f>
        <v/>
      </c>
      <c r="AC86" s="117">
        <f>SUMIFS(Xero!$F:$F,Xero!$B:$B,Heron!AC$9,Xero!$A:$A,Heron!$A$4,Xero!$E:$E,Heron!$A86)+SUMIFS(Xero!$F:$F,Xero!$B:$B,Heron!AC$9,Xero!$A:$A,Heron!$A$5,Xero!$E:$E,Heron!$A86)</f>
        <v/>
      </c>
      <c r="AD86" s="117">
        <f>SUMIFS(Xero!$F:$F,Xero!$B:$B,Heron!AD$9,Xero!$A:$A,Heron!$A$4,Xero!$E:$E,Heron!$A86)+SUMIFS(Xero!$F:$F,Xero!$B:$B,Heron!AD$9,Xero!$A:$A,Heron!$A$5,Xero!$E:$E,Heron!$A86)</f>
        <v/>
      </c>
      <c r="AE86" s="117">
        <f>SUMIFS(Xero!$F:$F,Xero!$B:$B,Heron!AE$9,Xero!$A:$A,Heron!$A$4,Xero!$E:$E,Heron!$A86)+SUMIFS(Xero!$F:$F,Xero!$B:$B,Heron!AE$9,Xero!$A:$A,Heron!$A$5,Xero!$E:$E,Heron!$A86)</f>
        <v/>
      </c>
      <c r="AF86" s="117">
        <f>SUMIFS(Xero!$F:$F,Xero!$B:$B,Heron!AF$9,Xero!$A:$A,Heron!$A$4,Xero!$E:$E,Heron!$A86)+SUMIFS(Xero!$F:$F,Xero!$B:$B,Heron!AF$9,Xero!$A:$A,Heron!$A$5,Xero!$E:$E,Heron!$A86)</f>
        <v/>
      </c>
      <c r="AG86" s="117">
        <f>SUMIFS(Xero!$F:$F,Xero!$B:$B,Heron!AG$9,Xero!$A:$A,Heron!$A$4,Xero!$E:$E,Heron!$A86)+SUMIFS(Xero!$F:$F,Xero!$B:$B,Heron!AG$9,Xero!$A:$A,Heron!$A$5,Xero!$E:$E,Heron!$A86)</f>
        <v/>
      </c>
      <c r="AH86" s="117">
        <f>SUMIFS(Xero!$F:$F,Xero!$B:$B,Heron!AH$9,Xero!$A:$A,Heron!$A$4,Xero!$E:$E,Heron!$A86)+SUMIFS(Xero!$F:$F,Xero!$B:$B,Heron!AH$9,Xero!$A:$A,Heron!$A$5,Xero!$E:$E,Heron!$A86)</f>
        <v/>
      </c>
      <c r="AI86" s="117">
        <f>SUMIFS(Xero!$F:$F,Xero!$B:$B,Heron!AI$9,Xero!$A:$A,Heron!$A$4,Xero!$E:$E,Heron!$A86)+SUMIFS(Xero!$F:$F,Xero!$B:$B,Heron!AI$9,Xero!$A:$A,Heron!$A$5,Xero!$E:$E,Heron!$A86)</f>
        <v/>
      </c>
      <c r="AJ86" s="117">
        <f>SUMIFS(Xero!$F:$F,Xero!$B:$B,Heron!AJ$9,Xero!$A:$A,Heron!$A$4,Xero!$E:$E,Heron!$A86)+SUMIFS(Xero!$F:$F,Xero!$B:$B,Heron!AJ$9,Xero!$A:$A,Heron!$A$5,Xero!$E:$E,Heron!$A86)</f>
        <v/>
      </c>
      <c r="AK86" s="117">
        <f>SUMIFS(Xero!$F:$F,Xero!$B:$B,Heron!AK$9,Xero!$A:$A,Heron!$A$4,Xero!$E:$E,Heron!$A86)+SUMIFS(Xero!$F:$F,Xero!$B:$B,Heron!AK$9,Xero!$A:$A,Heron!$A$5,Xero!$E:$E,Heron!$A86)</f>
        <v/>
      </c>
      <c r="AL86" s="117">
        <f>SUMIFS(Xero!$F:$F,Xero!$B:$B,Heron!AL$9,Xero!$A:$A,Heron!$A$4,Xero!$E:$E,Heron!$A86)+SUMIFS(Xero!$F:$F,Xero!$B:$B,Heron!AL$9,Xero!$A:$A,Heron!$A$5,Xero!$E:$E,Heron!$A86)</f>
        <v/>
      </c>
      <c r="AM86" s="117">
        <f>SUMIFS(Xero!$F:$F,Xero!$B:$B,Heron!AM$9,Xero!$A:$A,Heron!$A$4,Xero!$E:$E,Heron!$A86)+SUMIFS(Xero!$F:$F,Xero!$B:$B,Heron!AM$9,Xero!$A:$A,Heron!$A$5,Xero!$E:$E,Heron!$A86)</f>
        <v/>
      </c>
      <c r="AN86" s="117">
        <f>SUMIFS(Xero!$F:$F,Xero!$B:$B,Heron!AN$9,Xero!$A:$A,Heron!$A$4,Xero!$E:$E,Heron!$A86)+SUMIFS(Xero!$F:$F,Xero!$B:$B,Heron!AN$9,Xero!$A:$A,Heron!$A$5,Xero!$E:$E,Heron!$A86)</f>
        <v/>
      </c>
      <c r="AO86" s="117">
        <f>SUMIFS(Xero!$F:$F,Xero!$B:$B,Heron!AO$9,Xero!$A:$A,Heron!$A$4,Xero!$E:$E,Heron!$A86)+SUMIFS(Xero!$F:$F,Xero!$B:$B,Heron!AO$9,Xero!$A:$A,Heron!$A$5,Xero!$E:$E,Heron!$A86)</f>
        <v/>
      </c>
      <c r="AP86" s="117">
        <f>SUMIFS(Xero!$F:$F,Xero!$B:$B,Heron!AP$9,Xero!$A:$A,Heron!$A$4,Xero!$E:$E,Heron!$A86)+SUMIFS(Xero!$F:$F,Xero!$B:$B,Heron!AP$9,Xero!$A:$A,Heron!$A$5,Xero!$E:$E,Heron!$A86)</f>
        <v/>
      </c>
      <c r="AQ86" s="117">
        <f>SUMIFS(Xero!$F:$F,Xero!$B:$B,Heron!AQ$9,Xero!$A:$A,Heron!$A$4,Xero!$E:$E,Heron!$A86)+SUMIFS(Xero!$F:$F,Xero!$B:$B,Heron!AQ$9,Xero!$A:$A,Heron!$A$5,Xero!$E:$E,Heron!$A86)</f>
        <v/>
      </c>
      <c r="AR86" s="117">
        <f>SUMIFS(Xero!$F:$F,Xero!$B:$B,Heron!AR$9,Xero!$A:$A,Heron!$A$4,Xero!$E:$E,Heron!$A86)+SUMIFS(Xero!$F:$F,Xero!$B:$B,Heron!AR$9,Xero!$A:$A,Heron!$A$5,Xero!$E:$E,Heron!$A86)</f>
        <v/>
      </c>
      <c r="AS86" s="117">
        <f>SUMIFS(Xero!$F:$F,Xero!$B:$B,Heron!AS$9,Xero!$A:$A,Heron!$A$4,Xero!$E:$E,Heron!$A86)+SUMIFS(Xero!$F:$F,Xero!$B:$B,Heron!AS$9,Xero!$A:$A,Heron!$A$5,Xero!$E:$E,Heron!$A86)</f>
        <v/>
      </c>
      <c r="AT86" s="117">
        <f>SUMIFS(Xero!$F:$F,Xero!$B:$B,Heron!AT$9,Xero!$A:$A,Heron!$A$4,Xero!$E:$E,Heron!$A86)+SUMIFS(Xero!$F:$F,Xero!$B:$B,Heron!AT$9,Xero!$A:$A,Heron!$A$5,Xero!$E:$E,Heron!$A86)</f>
        <v/>
      </c>
      <c r="AU86" s="117">
        <f>SUMIFS(Xero!$F:$F,Xero!$B:$B,Heron!AU$9,Xero!$A:$A,Heron!$A$4,Xero!$E:$E,Heron!$A86)+SUMIFS(Xero!$F:$F,Xero!$B:$B,Heron!AU$9,Xero!$A:$A,Heron!$A$5,Xero!$E:$E,Heron!$A86)</f>
        <v/>
      </c>
      <c r="AV86" s="117">
        <f>SUMIFS(Xero!$F:$F,Xero!$B:$B,Heron!AV$9,Xero!$A:$A,Heron!$A$4,Xero!$E:$E,Heron!$A86)+SUMIFS(Xero!$F:$F,Xero!$B:$B,Heron!AV$9,Xero!$A:$A,Heron!$A$5,Xero!$E:$E,Heron!$A86)</f>
        <v/>
      </c>
      <c r="AW86" s="117">
        <f>SUMIFS(Xero!$F:$F,Xero!$B:$B,Heron!AW$9,Xero!$A:$A,Heron!$A$4,Xero!$E:$E,Heron!$A86)+SUMIFS(Xero!$F:$F,Xero!$B:$B,Heron!AW$9,Xero!$A:$A,Heron!$A$5,Xero!$E:$E,Heron!$A86)</f>
        <v/>
      </c>
      <c r="AX86" s="117">
        <f>SUMIFS(Xero!$F:$F,Xero!$B:$B,Heron!AX$9,Xero!$A:$A,Heron!$A$4,Xero!$E:$E,Heron!$A86)+SUMIFS(Xero!$F:$F,Xero!$B:$B,Heron!AX$9,Xero!$A:$A,Heron!$A$5,Xero!$E:$E,Heron!$A86)</f>
        <v/>
      </c>
      <c r="AY86" s="117">
        <f>SUMIFS(Xero!$F:$F,Xero!$B:$B,Heron!AY$9,Xero!$A:$A,Heron!$A$4,Xero!$E:$E,Heron!$A86)+SUMIFS(Xero!$F:$F,Xero!$B:$B,Heron!AY$9,Xero!$A:$A,Heron!$A$5,Xero!$E:$E,Heron!$A86)</f>
        <v/>
      </c>
      <c r="AZ86" s="117">
        <f>SUMIFS(Xero!$F:$F,Xero!$B:$B,Heron!AZ$9,Xero!$A:$A,Heron!$A$4,Xero!$E:$E,Heron!$A86)+SUMIFS(Xero!$F:$F,Xero!$B:$B,Heron!AZ$9,Xero!$A:$A,Heron!$A$5,Xero!$E:$E,Heron!$A86)</f>
        <v/>
      </c>
      <c r="BA86" s="117">
        <f>SUMIFS(Xero!$F:$F,Xero!$B:$B,Heron!BA$9,Xero!$A:$A,Heron!$A$4,Xero!$E:$E,Heron!$A86)+SUMIFS(Xero!$F:$F,Xero!$B:$B,Heron!BA$9,Xero!$A:$A,Heron!$A$5,Xero!$E:$E,Heron!$A86)</f>
        <v/>
      </c>
      <c r="BB86" s="117">
        <f>SUMIFS(Xero!$F:$F,Xero!$B:$B,Heron!BB$9,Xero!$A:$A,Heron!$A$4,Xero!$E:$E,Heron!$A86)+SUMIFS(Xero!$F:$F,Xero!$B:$B,Heron!BB$9,Xero!$A:$A,Heron!$A$5,Xero!$E:$E,Heron!$A86)</f>
        <v/>
      </c>
      <c r="BC86" s="117">
        <f>SUMIFS(Xero!$F:$F,Xero!$B:$B,Heron!BC$9,Xero!$A:$A,Heron!$A$4,Xero!$E:$E,Heron!$A86)+SUMIFS(Xero!$F:$F,Xero!$B:$B,Heron!BC$9,Xero!$A:$A,Heron!$A$5,Xero!$E:$E,Heron!$A86)</f>
        <v/>
      </c>
      <c r="BD86" s="117">
        <f>SUMIFS(Xero!$F:$F,Xero!$B:$B,Heron!BD$9,Xero!$A:$A,Heron!$A$4,Xero!$E:$E,Heron!$A86)+SUMIFS(Xero!$F:$F,Xero!$B:$B,Heron!BD$9,Xero!$A:$A,Heron!$A$5,Xero!$E:$E,Heron!$A86)</f>
        <v/>
      </c>
      <c r="BE86" s="117">
        <f>SUMIFS(Xero!$F:$F,Xero!$B:$B,Heron!BE$9,Xero!$A:$A,Heron!$A$4,Xero!$E:$E,Heron!$A86)+SUMIFS(Xero!$F:$F,Xero!$B:$B,Heron!BE$9,Xero!$A:$A,Heron!$A$5,Xero!$E:$E,Heron!$A86)</f>
        <v/>
      </c>
      <c r="BF86" s="117">
        <f>SUMIFS(Xero!$F:$F,Xero!$B:$B,Heron!BF$9,Xero!$A:$A,Heron!$A$4,Xero!$E:$E,Heron!$A86)+SUMIFS(Xero!$F:$F,Xero!$B:$B,Heron!BF$9,Xero!$A:$A,Heron!$A$5,Xero!$E:$E,Heron!$A86)</f>
        <v/>
      </c>
      <c r="BG86" s="117">
        <f>SUMIFS(Xero!$F:$F,Xero!$B:$B,Heron!BG$9,Xero!$A:$A,Heron!$A$4,Xero!$E:$E,Heron!$A86)+SUMIFS(Xero!$F:$F,Xero!$B:$B,Heron!BG$9,Xero!$A:$A,Heron!$A$5,Xero!$E:$E,Heron!$A86)</f>
        <v/>
      </c>
      <c r="BH86" s="117">
        <f>SUMIFS(Xero!$F:$F,Xero!$B:$B,Heron!BH$9,Xero!$A:$A,Heron!$A$4,Xero!$E:$E,Heron!$A86)+SUMIFS(Xero!$F:$F,Xero!$B:$B,Heron!BH$9,Xero!$A:$A,Heron!$A$5,Xero!$E:$E,Heron!$A86)</f>
        <v/>
      </c>
      <c r="BI86" s="117">
        <f>SUMIFS(Xero!$F:$F,Xero!$B:$B,Heron!BI$9,Xero!$A:$A,Heron!$A$4,Xero!$E:$E,Heron!$A86)+SUMIFS(Xero!$F:$F,Xero!$B:$B,Heron!BI$9,Xero!$A:$A,Heron!$A$5,Xero!$E:$E,Heron!$A86)</f>
        <v/>
      </c>
      <c r="BJ86" s="117">
        <f>SUMIFS(Xero!$F:$F,Xero!$B:$B,Heron!BJ$9,Xero!$A:$A,Heron!$A$4,Xero!$E:$E,Heron!$A86)+SUMIFS(Xero!$F:$F,Xero!$B:$B,Heron!BJ$9,Xero!$A:$A,Heron!$A$5,Xero!$E:$E,Heron!$A86)</f>
        <v/>
      </c>
      <c r="BK86" s="117">
        <f>sum(D86:BJ86)</f>
        <v/>
      </c>
    </row>
    <row r="87">
      <c r="A87" s="116" t="inlineStr">
        <is>
          <t>Interest Paid - Investors @ 9.75%</t>
        </is>
      </c>
      <c r="D87" s="117">
        <f>SUMIFS(Xero!$F:$F,Xero!$B:$B,Heron!D$9,Xero!$A:$A,Heron!$A$4,Xero!$E:$E,Heron!$A87)+SUMIFS(Xero!$F:$F,Xero!$B:$B,Heron!D$9,Xero!$A:$A,Heron!$A$5,Xero!$E:$E,Heron!$A87)</f>
        <v/>
      </c>
      <c r="E87" s="117">
        <f>SUMIFS(Xero!$F:$F,Xero!$B:$B,Heron!E$9,Xero!$A:$A,Heron!$A$4,Xero!$E:$E,Heron!$A87)+SUMIFS(Xero!$F:$F,Xero!$B:$B,Heron!E$9,Xero!$A:$A,Heron!$A$5,Xero!$E:$E,Heron!$A87)</f>
        <v/>
      </c>
      <c r="F87" s="117">
        <f>SUMIFS(Xero!$F:$F,Xero!$B:$B,Heron!F$9,Xero!$A:$A,Heron!$A$4,Xero!$E:$E,Heron!$A87)+SUMIFS(Xero!$F:$F,Xero!$B:$B,Heron!F$9,Xero!$A:$A,Heron!$A$5,Xero!$E:$E,Heron!$A87)</f>
        <v/>
      </c>
      <c r="G87" s="117">
        <f>SUMIFS(Xero!$F:$F,Xero!$B:$B,Heron!G$9,Xero!$A:$A,Heron!$A$4,Xero!$E:$E,Heron!$A87)+SUMIFS(Xero!$F:$F,Xero!$B:$B,Heron!G$9,Xero!$A:$A,Heron!$A$5,Xero!$E:$E,Heron!$A87)</f>
        <v/>
      </c>
      <c r="H87" s="117">
        <f>SUMIFS(Xero!$F:$F,Xero!$B:$B,Heron!H$9,Xero!$A:$A,Heron!$A$4,Xero!$E:$E,Heron!$A87)+SUMIFS(Xero!$F:$F,Xero!$B:$B,Heron!H$9,Xero!$A:$A,Heron!$A$5,Xero!$E:$E,Heron!$A87)</f>
        <v/>
      </c>
      <c r="I87" s="117">
        <f>SUMIFS(Xero!$F:$F,Xero!$B:$B,Heron!I$9,Xero!$A:$A,Heron!$A$4,Xero!$E:$E,Heron!$A87)+SUMIFS(Xero!$F:$F,Xero!$B:$B,Heron!I$9,Xero!$A:$A,Heron!$A$5,Xero!$E:$E,Heron!$A87)</f>
        <v/>
      </c>
      <c r="J87" s="117">
        <f>SUMIFS(Xero!$F:$F,Xero!$B:$B,Heron!J$9,Xero!$A:$A,Heron!$A$4,Xero!$E:$E,Heron!$A87)+SUMIFS(Xero!$F:$F,Xero!$B:$B,Heron!J$9,Xero!$A:$A,Heron!$A$5,Xero!$E:$E,Heron!$A87)</f>
        <v/>
      </c>
      <c r="K87" s="117">
        <f>SUMIFS(Xero!$F:$F,Xero!$B:$B,Heron!K$9,Xero!$A:$A,Heron!$A$4,Xero!$E:$E,Heron!$A87)+SUMIFS(Xero!$F:$F,Xero!$B:$B,Heron!K$9,Xero!$A:$A,Heron!$A$5,Xero!$E:$E,Heron!$A87)</f>
        <v/>
      </c>
      <c r="L87" s="117">
        <f>SUMIFS(Xero!$F:$F,Xero!$B:$B,Heron!L$9,Xero!$A:$A,Heron!$A$4,Xero!$E:$E,Heron!$A87)+SUMIFS(Xero!$F:$F,Xero!$B:$B,Heron!L$9,Xero!$A:$A,Heron!$A$5,Xero!$E:$E,Heron!$A87)</f>
        <v/>
      </c>
      <c r="M87" s="117">
        <f>SUMIFS(Xero!$F:$F,Xero!$B:$B,Heron!M$9,Xero!$A:$A,Heron!$A$4,Xero!$E:$E,Heron!$A87)+SUMIFS(Xero!$F:$F,Xero!$B:$B,Heron!M$9,Xero!$A:$A,Heron!$A$5,Xero!$E:$E,Heron!$A87)</f>
        <v/>
      </c>
      <c r="N87" s="117">
        <f>SUMIFS(Xero!$F:$F,Xero!$B:$B,Heron!N$9,Xero!$A:$A,Heron!$A$4,Xero!$E:$E,Heron!$A87)+SUMIFS(Xero!$F:$F,Xero!$B:$B,Heron!N$9,Xero!$A:$A,Heron!$A$5,Xero!$E:$E,Heron!$A87)</f>
        <v/>
      </c>
      <c r="O87" s="117">
        <f>SUMIFS(Xero!$F:$F,Xero!$B:$B,Heron!O$9,Xero!$A:$A,Heron!$A$4,Xero!$E:$E,Heron!$A87)+SUMIFS(Xero!$F:$F,Xero!$B:$B,Heron!O$9,Xero!$A:$A,Heron!$A$5,Xero!$E:$E,Heron!$A87)</f>
        <v/>
      </c>
      <c r="P87" s="117">
        <f>SUMIFS(Xero!$F:$F,Xero!$B:$B,Heron!P$9,Xero!$A:$A,Heron!$A$4,Xero!$E:$E,Heron!$A87)+SUMIFS(Xero!$F:$F,Xero!$B:$B,Heron!P$9,Xero!$A:$A,Heron!$A$5,Xero!$E:$E,Heron!$A87)</f>
        <v/>
      </c>
      <c r="Q87" s="117">
        <f>SUMIFS(Xero!$F:$F,Xero!$B:$B,Heron!Q$9,Xero!$A:$A,Heron!$A$4,Xero!$E:$E,Heron!$A87)+SUMIFS(Xero!$F:$F,Xero!$B:$B,Heron!Q$9,Xero!$A:$A,Heron!$A$5,Xero!$E:$E,Heron!$A87)</f>
        <v/>
      </c>
      <c r="R87" s="117">
        <f>SUMIFS(Xero!$F:$F,Xero!$B:$B,Heron!R$9,Xero!$A:$A,Heron!$A$4,Xero!$E:$E,Heron!$A87)+SUMIFS(Xero!$F:$F,Xero!$B:$B,Heron!R$9,Xero!$A:$A,Heron!$A$5,Xero!$E:$E,Heron!$A87)</f>
        <v/>
      </c>
      <c r="S87" s="117">
        <f>SUMIFS(Xero!$F:$F,Xero!$B:$B,Heron!S$9,Xero!$A:$A,Heron!$A$4,Xero!$E:$E,Heron!$A87)+SUMIFS(Xero!$F:$F,Xero!$B:$B,Heron!S$9,Xero!$A:$A,Heron!$A$5,Xero!$E:$E,Heron!$A87)</f>
        <v/>
      </c>
      <c r="T87" s="117">
        <f>SUMIFS(Xero!$F:$F,Xero!$B:$B,Heron!T$9,Xero!$A:$A,Heron!$A$4,Xero!$E:$E,Heron!$A87)+SUMIFS(Xero!$F:$F,Xero!$B:$B,Heron!T$9,Xero!$A:$A,Heron!$A$5,Xero!$E:$E,Heron!$A87)</f>
        <v/>
      </c>
      <c r="U87" s="117">
        <f>SUMIFS(Xero!$F:$F,Xero!$B:$B,Heron!U$9,Xero!$A:$A,Heron!$A$4,Xero!$E:$E,Heron!$A87)+SUMIFS(Xero!$F:$F,Xero!$B:$B,Heron!U$9,Xero!$A:$A,Heron!$A$5,Xero!$E:$E,Heron!$A87)</f>
        <v/>
      </c>
      <c r="V87" s="117">
        <f>SUMIFS(Xero!$F:$F,Xero!$B:$B,Heron!V$9,Xero!$A:$A,Heron!$A$4,Xero!$E:$E,Heron!$A87)+SUMIFS(Xero!$F:$F,Xero!$B:$B,Heron!V$9,Xero!$A:$A,Heron!$A$5,Xero!$E:$E,Heron!$A87)</f>
        <v/>
      </c>
      <c r="W87" s="117">
        <f>SUMIFS(Xero!$F:$F,Xero!$B:$B,Heron!W$9,Xero!$A:$A,Heron!$A$4,Xero!$E:$E,Heron!$A87)+SUMIFS(Xero!$F:$F,Xero!$B:$B,Heron!W$9,Xero!$A:$A,Heron!$A$5,Xero!$E:$E,Heron!$A87)</f>
        <v/>
      </c>
      <c r="X87" s="117">
        <f>SUMIFS(Xero!$F:$F,Xero!$B:$B,Heron!X$9,Xero!$A:$A,Heron!$A$4,Xero!$E:$E,Heron!$A87)+SUMIFS(Xero!$F:$F,Xero!$B:$B,Heron!X$9,Xero!$A:$A,Heron!$A$5,Xero!$E:$E,Heron!$A87)</f>
        <v/>
      </c>
      <c r="Y87" s="117">
        <f>SUMIFS(Xero!$F:$F,Xero!$B:$B,Heron!Y$9,Xero!$A:$A,Heron!$A$4,Xero!$E:$E,Heron!$A87)+SUMIFS(Xero!$F:$F,Xero!$B:$B,Heron!Y$9,Xero!$A:$A,Heron!$A$5,Xero!$E:$E,Heron!$A87)</f>
        <v/>
      </c>
      <c r="Z87" s="117">
        <f>SUMIFS(Xero!$F:$F,Xero!$B:$B,Heron!Z$9,Xero!$A:$A,Heron!$A$4,Xero!$E:$E,Heron!$A87)+SUMIFS(Xero!$F:$F,Xero!$B:$B,Heron!Z$9,Xero!$A:$A,Heron!$A$5,Xero!$E:$E,Heron!$A87)</f>
        <v/>
      </c>
      <c r="AA87" s="117">
        <f>SUMIFS(Xero!$F:$F,Xero!$B:$B,Heron!AA$9,Xero!$A:$A,Heron!$A$4,Xero!$E:$E,Heron!$A87)+SUMIFS(Xero!$F:$F,Xero!$B:$B,Heron!AA$9,Xero!$A:$A,Heron!$A$5,Xero!$E:$E,Heron!$A87)</f>
        <v/>
      </c>
      <c r="AB87" s="117">
        <f>SUMIFS(Xero!$F:$F,Xero!$B:$B,Heron!AB$9,Xero!$A:$A,Heron!$A$4,Xero!$E:$E,Heron!$A87)+SUMIFS(Xero!$F:$F,Xero!$B:$B,Heron!AB$9,Xero!$A:$A,Heron!$A$5,Xero!$E:$E,Heron!$A87)</f>
        <v/>
      </c>
      <c r="AC87" s="117">
        <f>SUMIFS(Xero!$F:$F,Xero!$B:$B,Heron!AC$9,Xero!$A:$A,Heron!$A$4,Xero!$E:$E,Heron!$A87)+SUMIFS(Xero!$F:$F,Xero!$B:$B,Heron!AC$9,Xero!$A:$A,Heron!$A$5,Xero!$E:$E,Heron!$A87)</f>
        <v/>
      </c>
      <c r="AD87" s="117">
        <f>SUMIFS(Xero!$F:$F,Xero!$B:$B,Heron!AD$9,Xero!$A:$A,Heron!$A$4,Xero!$E:$E,Heron!$A87)+SUMIFS(Xero!$F:$F,Xero!$B:$B,Heron!AD$9,Xero!$A:$A,Heron!$A$5,Xero!$E:$E,Heron!$A87)</f>
        <v/>
      </c>
      <c r="AE87" s="117">
        <f>SUMIFS(Xero!$F:$F,Xero!$B:$B,Heron!AE$9,Xero!$A:$A,Heron!$A$4,Xero!$E:$E,Heron!$A87)+SUMIFS(Xero!$F:$F,Xero!$B:$B,Heron!AE$9,Xero!$A:$A,Heron!$A$5,Xero!$E:$E,Heron!$A87)</f>
        <v/>
      </c>
      <c r="AF87" s="117">
        <f>SUMIFS(Xero!$F:$F,Xero!$B:$B,Heron!AF$9,Xero!$A:$A,Heron!$A$4,Xero!$E:$E,Heron!$A87)+SUMIFS(Xero!$F:$F,Xero!$B:$B,Heron!AF$9,Xero!$A:$A,Heron!$A$5,Xero!$E:$E,Heron!$A87)</f>
        <v/>
      </c>
      <c r="AG87" s="117">
        <f>SUMIFS(Xero!$F:$F,Xero!$B:$B,Heron!AG$9,Xero!$A:$A,Heron!$A$4,Xero!$E:$E,Heron!$A87)+SUMIFS(Xero!$F:$F,Xero!$B:$B,Heron!AG$9,Xero!$A:$A,Heron!$A$5,Xero!$E:$E,Heron!$A87)</f>
        <v/>
      </c>
      <c r="AH87" s="117">
        <f>SUMIFS(Xero!$F:$F,Xero!$B:$B,Heron!AH$9,Xero!$A:$A,Heron!$A$4,Xero!$E:$E,Heron!$A87)+SUMIFS(Xero!$F:$F,Xero!$B:$B,Heron!AH$9,Xero!$A:$A,Heron!$A$5,Xero!$E:$E,Heron!$A87)</f>
        <v/>
      </c>
      <c r="AI87" s="117">
        <f>SUMIFS(Xero!$F:$F,Xero!$B:$B,Heron!AI$9,Xero!$A:$A,Heron!$A$4,Xero!$E:$E,Heron!$A87)+SUMIFS(Xero!$F:$F,Xero!$B:$B,Heron!AI$9,Xero!$A:$A,Heron!$A$5,Xero!$E:$E,Heron!$A87)</f>
        <v/>
      </c>
      <c r="AJ87" s="117">
        <f>SUMIFS(Xero!$F:$F,Xero!$B:$B,Heron!AJ$9,Xero!$A:$A,Heron!$A$4,Xero!$E:$E,Heron!$A87)+SUMIFS(Xero!$F:$F,Xero!$B:$B,Heron!AJ$9,Xero!$A:$A,Heron!$A$5,Xero!$E:$E,Heron!$A87)</f>
        <v/>
      </c>
      <c r="AK87" s="117">
        <f>SUMIFS(Xero!$F:$F,Xero!$B:$B,Heron!AK$9,Xero!$A:$A,Heron!$A$4,Xero!$E:$E,Heron!$A87)+SUMIFS(Xero!$F:$F,Xero!$B:$B,Heron!AK$9,Xero!$A:$A,Heron!$A$5,Xero!$E:$E,Heron!$A87)</f>
        <v/>
      </c>
      <c r="AL87" s="117">
        <f>SUMIFS(Xero!$F:$F,Xero!$B:$B,Heron!AL$9,Xero!$A:$A,Heron!$A$4,Xero!$E:$E,Heron!$A87)+SUMIFS(Xero!$F:$F,Xero!$B:$B,Heron!AL$9,Xero!$A:$A,Heron!$A$5,Xero!$E:$E,Heron!$A87)</f>
        <v/>
      </c>
      <c r="AM87" s="117">
        <f>SUMIFS(Xero!$F:$F,Xero!$B:$B,Heron!AM$9,Xero!$A:$A,Heron!$A$4,Xero!$E:$E,Heron!$A87)+SUMIFS(Xero!$F:$F,Xero!$B:$B,Heron!AM$9,Xero!$A:$A,Heron!$A$5,Xero!$E:$E,Heron!$A87)</f>
        <v/>
      </c>
      <c r="AN87" s="117">
        <f>SUMIFS(Xero!$F:$F,Xero!$B:$B,Heron!AN$9,Xero!$A:$A,Heron!$A$4,Xero!$E:$E,Heron!$A87)+SUMIFS(Xero!$F:$F,Xero!$B:$B,Heron!AN$9,Xero!$A:$A,Heron!$A$5,Xero!$E:$E,Heron!$A87)</f>
        <v/>
      </c>
      <c r="AO87" s="117">
        <f>SUMIFS(Xero!$F:$F,Xero!$B:$B,Heron!AO$9,Xero!$A:$A,Heron!$A$4,Xero!$E:$E,Heron!$A87)+SUMIFS(Xero!$F:$F,Xero!$B:$B,Heron!AO$9,Xero!$A:$A,Heron!$A$5,Xero!$E:$E,Heron!$A87)</f>
        <v/>
      </c>
      <c r="AP87" s="117">
        <f>SUMIFS(Xero!$F:$F,Xero!$B:$B,Heron!AP$9,Xero!$A:$A,Heron!$A$4,Xero!$E:$E,Heron!$A87)+SUMIFS(Xero!$F:$F,Xero!$B:$B,Heron!AP$9,Xero!$A:$A,Heron!$A$5,Xero!$E:$E,Heron!$A87)</f>
        <v/>
      </c>
      <c r="AQ87" s="117">
        <f>SUMIFS(Xero!$F:$F,Xero!$B:$B,Heron!AQ$9,Xero!$A:$A,Heron!$A$4,Xero!$E:$E,Heron!$A87)+SUMIFS(Xero!$F:$F,Xero!$B:$B,Heron!AQ$9,Xero!$A:$A,Heron!$A$5,Xero!$E:$E,Heron!$A87)</f>
        <v/>
      </c>
      <c r="AR87" s="117">
        <f>SUMIFS(Xero!$F:$F,Xero!$B:$B,Heron!AR$9,Xero!$A:$A,Heron!$A$4,Xero!$E:$E,Heron!$A87)+SUMIFS(Xero!$F:$F,Xero!$B:$B,Heron!AR$9,Xero!$A:$A,Heron!$A$5,Xero!$E:$E,Heron!$A87)</f>
        <v/>
      </c>
      <c r="AS87" s="117">
        <f>SUMIFS(Xero!$F:$F,Xero!$B:$B,Heron!AS$9,Xero!$A:$A,Heron!$A$4,Xero!$E:$E,Heron!$A87)+SUMIFS(Xero!$F:$F,Xero!$B:$B,Heron!AS$9,Xero!$A:$A,Heron!$A$5,Xero!$E:$E,Heron!$A87)</f>
        <v/>
      </c>
      <c r="AT87" s="117">
        <f>SUMIFS(Xero!$F:$F,Xero!$B:$B,Heron!AT$9,Xero!$A:$A,Heron!$A$4,Xero!$E:$E,Heron!$A87)+SUMIFS(Xero!$F:$F,Xero!$B:$B,Heron!AT$9,Xero!$A:$A,Heron!$A$5,Xero!$E:$E,Heron!$A87)</f>
        <v/>
      </c>
      <c r="AU87" s="117">
        <f>SUMIFS(Xero!$F:$F,Xero!$B:$B,Heron!AU$9,Xero!$A:$A,Heron!$A$4,Xero!$E:$E,Heron!$A87)+SUMIFS(Xero!$F:$F,Xero!$B:$B,Heron!AU$9,Xero!$A:$A,Heron!$A$5,Xero!$E:$E,Heron!$A87)</f>
        <v/>
      </c>
      <c r="AV87" s="117">
        <f>SUMIFS(Xero!$F:$F,Xero!$B:$B,Heron!AV$9,Xero!$A:$A,Heron!$A$4,Xero!$E:$E,Heron!$A87)+SUMIFS(Xero!$F:$F,Xero!$B:$B,Heron!AV$9,Xero!$A:$A,Heron!$A$5,Xero!$E:$E,Heron!$A87)</f>
        <v/>
      </c>
      <c r="AW87" s="117">
        <f>SUMIFS(Xero!$F:$F,Xero!$B:$B,Heron!AW$9,Xero!$A:$A,Heron!$A$4,Xero!$E:$E,Heron!$A87)+SUMIFS(Xero!$F:$F,Xero!$B:$B,Heron!AW$9,Xero!$A:$A,Heron!$A$5,Xero!$E:$E,Heron!$A87)</f>
        <v/>
      </c>
      <c r="AX87" s="117">
        <f>SUMIFS(Xero!$F:$F,Xero!$B:$B,Heron!AX$9,Xero!$A:$A,Heron!$A$4,Xero!$E:$E,Heron!$A87)+SUMIFS(Xero!$F:$F,Xero!$B:$B,Heron!AX$9,Xero!$A:$A,Heron!$A$5,Xero!$E:$E,Heron!$A87)</f>
        <v/>
      </c>
      <c r="AY87" s="117">
        <f>SUMIFS(Xero!$F:$F,Xero!$B:$B,Heron!AY$9,Xero!$A:$A,Heron!$A$4,Xero!$E:$E,Heron!$A87)+SUMIFS(Xero!$F:$F,Xero!$B:$B,Heron!AY$9,Xero!$A:$A,Heron!$A$5,Xero!$E:$E,Heron!$A87)</f>
        <v/>
      </c>
      <c r="AZ87" s="117">
        <f>SUMIFS(Xero!$F:$F,Xero!$B:$B,Heron!AZ$9,Xero!$A:$A,Heron!$A$4,Xero!$E:$E,Heron!$A87)+SUMIFS(Xero!$F:$F,Xero!$B:$B,Heron!AZ$9,Xero!$A:$A,Heron!$A$5,Xero!$E:$E,Heron!$A87)</f>
        <v/>
      </c>
      <c r="BA87" s="117">
        <f>SUMIFS(Xero!$F:$F,Xero!$B:$B,Heron!BA$9,Xero!$A:$A,Heron!$A$4,Xero!$E:$E,Heron!$A87)+SUMIFS(Xero!$F:$F,Xero!$B:$B,Heron!BA$9,Xero!$A:$A,Heron!$A$5,Xero!$E:$E,Heron!$A87)</f>
        <v/>
      </c>
      <c r="BB87" s="117">
        <f>SUMIFS(Xero!$F:$F,Xero!$B:$B,Heron!BB$9,Xero!$A:$A,Heron!$A$4,Xero!$E:$E,Heron!$A87)+SUMIFS(Xero!$F:$F,Xero!$B:$B,Heron!BB$9,Xero!$A:$A,Heron!$A$5,Xero!$E:$E,Heron!$A87)</f>
        <v/>
      </c>
      <c r="BC87" s="117">
        <f>SUMIFS(Xero!$F:$F,Xero!$B:$B,Heron!BC$9,Xero!$A:$A,Heron!$A$4,Xero!$E:$E,Heron!$A87)+SUMIFS(Xero!$F:$F,Xero!$B:$B,Heron!BC$9,Xero!$A:$A,Heron!$A$5,Xero!$E:$E,Heron!$A87)</f>
        <v/>
      </c>
      <c r="BD87" s="117">
        <f>SUMIFS(Xero!$F:$F,Xero!$B:$B,Heron!BD$9,Xero!$A:$A,Heron!$A$4,Xero!$E:$E,Heron!$A87)+SUMIFS(Xero!$F:$F,Xero!$B:$B,Heron!BD$9,Xero!$A:$A,Heron!$A$5,Xero!$E:$E,Heron!$A87)</f>
        <v/>
      </c>
      <c r="BE87" s="117">
        <f>SUMIFS(Xero!$F:$F,Xero!$B:$B,Heron!BE$9,Xero!$A:$A,Heron!$A$4,Xero!$E:$E,Heron!$A87)+SUMIFS(Xero!$F:$F,Xero!$B:$B,Heron!BE$9,Xero!$A:$A,Heron!$A$5,Xero!$E:$E,Heron!$A87)</f>
        <v/>
      </c>
      <c r="BF87" s="117">
        <f>SUMIFS(Xero!$F:$F,Xero!$B:$B,Heron!BF$9,Xero!$A:$A,Heron!$A$4,Xero!$E:$E,Heron!$A87)+SUMIFS(Xero!$F:$F,Xero!$B:$B,Heron!BF$9,Xero!$A:$A,Heron!$A$5,Xero!$E:$E,Heron!$A87)</f>
        <v/>
      </c>
      <c r="BG87" s="117">
        <f>SUMIFS(Xero!$F:$F,Xero!$B:$B,Heron!BG$9,Xero!$A:$A,Heron!$A$4,Xero!$E:$E,Heron!$A87)+SUMIFS(Xero!$F:$F,Xero!$B:$B,Heron!BG$9,Xero!$A:$A,Heron!$A$5,Xero!$E:$E,Heron!$A87)</f>
        <v/>
      </c>
      <c r="BH87" s="117">
        <f>SUMIFS(Xero!$F:$F,Xero!$B:$B,Heron!BH$9,Xero!$A:$A,Heron!$A$4,Xero!$E:$E,Heron!$A87)+SUMIFS(Xero!$F:$F,Xero!$B:$B,Heron!BH$9,Xero!$A:$A,Heron!$A$5,Xero!$E:$E,Heron!$A87)</f>
        <v/>
      </c>
      <c r="BI87" s="117">
        <f>SUMIFS(Xero!$F:$F,Xero!$B:$B,Heron!BI$9,Xero!$A:$A,Heron!$A$4,Xero!$E:$E,Heron!$A87)+SUMIFS(Xero!$F:$F,Xero!$B:$B,Heron!BI$9,Xero!$A:$A,Heron!$A$5,Xero!$E:$E,Heron!$A87)</f>
        <v/>
      </c>
      <c r="BJ87" s="117">
        <f>SUMIFS(Xero!$F:$F,Xero!$B:$B,Heron!BJ$9,Xero!$A:$A,Heron!$A$4,Xero!$E:$E,Heron!$A87)+SUMIFS(Xero!$F:$F,Xero!$B:$B,Heron!BJ$9,Xero!$A:$A,Heron!$A$5,Xero!$E:$E,Heron!$A87)</f>
        <v/>
      </c>
      <c r="BK87" s="117">
        <f>sum(D87:BJ87)</f>
        <v/>
      </c>
    </row>
    <row r="88">
      <c r="A88" s="116" t="inlineStr">
        <is>
          <t>Levies</t>
        </is>
      </c>
      <c r="D88" s="117">
        <f>SUMIFS(Xero!$F:$F,Xero!$B:$B,Heron!D$9,Xero!$A:$A,Heron!$A$4,Xero!$E:$E,Heron!$A88)+SUMIFS(Xero!$F:$F,Xero!$B:$B,Heron!D$9,Xero!$A:$A,Heron!$A$5,Xero!$E:$E,Heron!$A88)</f>
        <v/>
      </c>
      <c r="E88" s="117">
        <f>SUMIFS(Xero!$F:$F,Xero!$B:$B,Heron!E$9,Xero!$A:$A,Heron!$A$4,Xero!$E:$E,Heron!$A88)+SUMIFS(Xero!$F:$F,Xero!$B:$B,Heron!E$9,Xero!$A:$A,Heron!$A$5,Xero!$E:$E,Heron!$A88)</f>
        <v/>
      </c>
      <c r="F88" s="117">
        <f>SUMIFS(Xero!$F:$F,Xero!$B:$B,Heron!F$9,Xero!$A:$A,Heron!$A$4,Xero!$E:$E,Heron!$A88)+SUMIFS(Xero!$F:$F,Xero!$B:$B,Heron!F$9,Xero!$A:$A,Heron!$A$5,Xero!$E:$E,Heron!$A88)</f>
        <v/>
      </c>
      <c r="G88" s="117">
        <f>SUMIFS(Xero!$F:$F,Xero!$B:$B,Heron!G$9,Xero!$A:$A,Heron!$A$4,Xero!$E:$E,Heron!$A88)+SUMIFS(Xero!$F:$F,Xero!$B:$B,Heron!G$9,Xero!$A:$A,Heron!$A$5,Xero!$E:$E,Heron!$A88)</f>
        <v/>
      </c>
      <c r="H88" s="117">
        <f>SUMIFS(Xero!$F:$F,Xero!$B:$B,Heron!H$9,Xero!$A:$A,Heron!$A$4,Xero!$E:$E,Heron!$A88)+SUMIFS(Xero!$F:$F,Xero!$B:$B,Heron!H$9,Xero!$A:$A,Heron!$A$5,Xero!$E:$E,Heron!$A88)</f>
        <v/>
      </c>
      <c r="I88" s="117">
        <f>SUMIFS(Xero!$F:$F,Xero!$B:$B,Heron!I$9,Xero!$A:$A,Heron!$A$4,Xero!$E:$E,Heron!$A88)+SUMIFS(Xero!$F:$F,Xero!$B:$B,Heron!I$9,Xero!$A:$A,Heron!$A$5,Xero!$E:$E,Heron!$A88)</f>
        <v/>
      </c>
      <c r="J88" s="117">
        <f>SUMIFS(Xero!$F:$F,Xero!$B:$B,Heron!J$9,Xero!$A:$A,Heron!$A$4,Xero!$E:$E,Heron!$A88)+SUMIFS(Xero!$F:$F,Xero!$B:$B,Heron!J$9,Xero!$A:$A,Heron!$A$5,Xero!$E:$E,Heron!$A88)</f>
        <v/>
      </c>
      <c r="K88" s="117">
        <f>SUMIFS(Xero!$F:$F,Xero!$B:$B,Heron!K$9,Xero!$A:$A,Heron!$A$4,Xero!$E:$E,Heron!$A88)+SUMIFS(Xero!$F:$F,Xero!$B:$B,Heron!K$9,Xero!$A:$A,Heron!$A$5,Xero!$E:$E,Heron!$A88)</f>
        <v/>
      </c>
      <c r="L88" s="117">
        <f>SUMIFS(Xero!$F:$F,Xero!$B:$B,Heron!L$9,Xero!$A:$A,Heron!$A$4,Xero!$E:$E,Heron!$A88)+SUMIFS(Xero!$F:$F,Xero!$B:$B,Heron!L$9,Xero!$A:$A,Heron!$A$5,Xero!$E:$E,Heron!$A88)</f>
        <v/>
      </c>
      <c r="M88" s="117">
        <f>SUMIFS(Xero!$F:$F,Xero!$B:$B,Heron!M$9,Xero!$A:$A,Heron!$A$4,Xero!$E:$E,Heron!$A88)+SUMIFS(Xero!$F:$F,Xero!$B:$B,Heron!M$9,Xero!$A:$A,Heron!$A$5,Xero!$E:$E,Heron!$A88)</f>
        <v/>
      </c>
      <c r="N88" s="117">
        <f>SUMIFS(Xero!$F:$F,Xero!$B:$B,Heron!N$9,Xero!$A:$A,Heron!$A$4,Xero!$E:$E,Heron!$A88)+SUMIFS(Xero!$F:$F,Xero!$B:$B,Heron!N$9,Xero!$A:$A,Heron!$A$5,Xero!$E:$E,Heron!$A88)</f>
        <v/>
      </c>
      <c r="O88" s="117">
        <f>SUMIFS(Xero!$F:$F,Xero!$B:$B,Heron!O$9,Xero!$A:$A,Heron!$A$4,Xero!$E:$E,Heron!$A88)+SUMIFS(Xero!$F:$F,Xero!$B:$B,Heron!O$9,Xero!$A:$A,Heron!$A$5,Xero!$E:$E,Heron!$A88)</f>
        <v/>
      </c>
      <c r="P88" s="117">
        <f>SUMIFS(Xero!$F:$F,Xero!$B:$B,Heron!P$9,Xero!$A:$A,Heron!$A$4,Xero!$E:$E,Heron!$A88)+SUMIFS(Xero!$F:$F,Xero!$B:$B,Heron!P$9,Xero!$A:$A,Heron!$A$5,Xero!$E:$E,Heron!$A88)</f>
        <v/>
      </c>
      <c r="Q88" s="117">
        <f>SUMIFS(Xero!$F:$F,Xero!$B:$B,Heron!Q$9,Xero!$A:$A,Heron!$A$4,Xero!$E:$E,Heron!$A88)+SUMIFS(Xero!$F:$F,Xero!$B:$B,Heron!Q$9,Xero!$A:$A,Heron!$A$5,Xero!$E:$E,Heron!$A88)</f>
        <v/>
      </c>
      <c r="R88" s="117">
        <f>SUMIFS(Xero!$F:$F,Xero!$B:$B,Heron!R$9,Xero!$A:$A,Heron!$A$4,Xero!$E:$E,Heron!$A88)+SUMIFS(Xero!$F:$F,Xero!$B:$B,Heron!R$9,Xero!$A:$A,Heron!$A$5,Xero!$E:$E,Heron!$A88)</f>
        <v/>
      </c>
      <c r="S88" s="117">
        <f>SUMIFS(Xero!$F:$F,Xero!$B:$B,Heron!S$9,Xero!$A:$A,Heron!$A$4,Xero!$E:$E,Heron!$A88)+SUMIFS(Xero!$F:$F,Xero!$B:$B,Heron!S$9,Xero!$A:$A,Heron!$A$5,Xero!$E:$E,Heron!$A88)</f>
        <v/>
      </c>
      <c r="T88" s="117">
        <f>SUMIFS(Xero!$F:$F,Xero!$B:$B,Heron!T$9,Xero!$A:$A,Heron!$A$4,Xero!$E:$E,Heron!$A88)+SUMIFS(Xero!$F:$F,Xero!$B:$B,Heron!T$9,Xero!$A:$A,Heron!$A$5,Xero!$E:$E,Heron!$A88)</f>
        <v/>
      </c>
      <c r="U88" s="117">
        <f>SUMIFS(Xero!$F:$F,Xero!$B:$B,Heron!U$9,Xero!$A:$A,Heron!$A$4,Xero!$E:$E,Heron!$A88)+SUMIFS(Xero!$F:$F,Xero!$B:$B,Heron!U$9,Xero!$A:$A,Heron!$A$5,Xero!$E:$E,Heron!$A88)</f>
        <v/>
      </c>
      <c r="V88" s="117">
        <f>SUMIFS(Xero!$F:$F,Xero!$B:$B,Heron!V$9,Xero!$A:$A,Heron!$A$4,Xero!$E:$E,Heron!$A88)+SUMIFS(Xero!$F:$F,Xero!$B:$B,Heron!V$9,Xero!$A:$A,Heron!$A$5,Xero!$E:$E,Heron!$A88)</f>
        <v/>
      </c>
      <c r="W88" s="117">
        <f>SUMIFS(Xero!$F:$F,Xero!$B:$B,Heron!W$9,Xero!$A:$A,Heron!$A$4,Xero!$E:$E,Heron!$A88)+SUMIFS(Xero!$F:$F,Xero!$B:$B,Heron!W$9,Xero!$A:$A,Heron!$A$5,Xero!$E:$E,Heron!$A88)</f>
        <v/>
      </c>
      <c r="X88" s="117">
        <f>SUMIFS(Xero!$F:$F,Xero!$B:$B,Heron!X$9,Xero!$A:$A,Heron!$A$4,Xero!$E:$E,Heron!$A88)+SUMIFS(Xero!$F:$F,Xero!$B:$B,Heron!X$9,Xero!$A:$A,Heron!$A$5,Xero!$E:$E,Heron!$A88)</f>
        <v/>
      </c>
      <c r="Y88" s="117">
        <f>SUMIFS(Xero!$F:$F,Xero!$B:$B,Heron!Y$9,Xero!$A:$A,Heron!$A$4,Xero!$E:$E,Heron!$A88)+SUMIFS(Xero!$F:$F,Xero!$B:$B,Heron!Y$9,Xero!$A:$A,Heron!$A$5,Xero!$E:$E,Heron!$A88)</f>
        <v/>
      </c>
      <c r="Z88" s="117">
        <f>SUMIFS(Xero!$F:$F,Xero!$B:$B,Heron!Z$9,Xero!$A:$A,Heron!$A$4,Xero!$E:$E,Heron!$A88)+SUMIFS(Xero!$F:$F,Xero!$B:$B,Heron!Z$9,Xero!$A:$A,Heron!$A$5,Xero!$E:$E,Heron!$A88)</f>
        <v/>
      </c>
      <c r="AA88" s="117">
        <f>SUMIFS(Xero!$F:$F,Xero!$B:$B,Heron!AA$9,Xero!$A:$A,Heron!$A$4,Xero!$E:$E,Heron!$A88)+SUMIFS(Xero!$F:$F,Xero!$B:$B,Heron!AA$9,Xero!$A:$A,Heron!$A$5,Xero!$E:$E,Heron!$A88)</f>
        <v/>
      </c>
      <c r="AB88" s="117">
        <f>SUMIFS(Xero!$F:$F,Xero!$B:$B,Heron!AB$9,Xero!$A:$A,Heron!$A$4,Xero!$E:$E,Heron!$A88)+SUMIFS(Xero!$F:$F,Xero!$B:$B,Heron!AB$9,Xero!$A:$A,Heron!$A$5,Xero!$E:$E,Heron!$A88)</f>
        <v/>
      </c>
      <c r="AC88" s="117">
        <f>SUMIFS(Xero!$F:$F,Xero!$B:$B,Heron!AC$9,Xero!$A:$A,Heron!$A$4,Xero!$E:$E,Heron!$A88)+SUMIFS(Xero!$F:$F,Xero!$B:$B,Heron!AC$9,Xero!$A:$A,Heron!$A$5,Xero!$E:$E,Heron!$A88)</f>
        <v/>
      </c>
      <c r="AD88" s="117">
        <f>SUMIFS(Xero!$F:$F,Xero!$B:$B,Heron!AD$9,Xero!$A:$A,Heron!$A$4,Xero!$E:$E,Heron!$A88)+SUMIFS(Xero!$F:$F,Xero!$B:$B,Heron!AD$9,Xero!$A:$A,Heron!$A$5,Xero!$E:$E,Heron!$A88)</f>
        <v/>
      </c>
      <c r="AE88" s="117">
        <f>SUMIFS(Xero!$F:$F,Xero!$B:$B,Heron!AE$9,Xero!$A:$A,Heron!$A$4,Xero!$E:$E,Heron!$A88)+SUMIFS(Xero!$F:$F,Xero!$B:$B,Heron!AE$9,Xero!$A:$A,Heron!$A$5,Xero!$E:$E,Heron!$A88)</f>
        <v/>
      </c>
      <c r="AF88" s="117">
        <f>SUMIFS(Xero!$F:$F,Xero!$B:$B,Heron!AF$9,Xero!$A:$A,Heron!$A$4,Xero!$E:$E,Heron!$A88)+SUMIFS(Xero!$F:$F,Xero!$B:$B,Heron!AF$9,Xero!$A:$A,Heron!$A$5,Xero!$E:$E,Heron!$A88)</f>
        <v/>
      </c>
      <c r="AG88" s="117">
        <f>SUMIFS(Xero!$F:$F,Xero!$B:$B,Heron!AG$9,Xero!$A:$A,Heron!$A$4,Xero!$E:$E,Heron!$A88)+SUMIFS(Xero!$F:$F,Xero!$B:$B,Heron!AG$9,Xero!$A:$A,Heron!$A$5,Xero!$E:$E,Heron!$A88)</f>
        <v/>
      </c>
      <c r="AH88" s="117">
        <f>SUMIFS(Xero!$F:$F,Xero!$B:$B,Heron!AH$9,Xero!$A:$A,Heron!$A$4,Xero!$E:$E,Heron!$A88)+SUMIFS(Xero!$F:$F,Xero!$B:$B,Heron!AH$9,Xero!$A:$A,Heron!$A$5,Xero!$E:$E,Heron!$A88)</f>
        <v/>
      </c>
      <c r="AI88" s="117">
        <f>SUMIFS(Xero!$F:$F,Xero!$B:$B,Heron!AI$9,Xero!$A:$A,Heron!$A$4,Xero!$E:$E,Heron!$A88)+SUMIFS(Xero!$F:$F,Xero!$B:$B,Heron!AI$9,Xero!$A:$A,Heron!$A$5,Xero!$E:$E,Heron!$A88)</f>
        <v/>
      </c>
      <c r="AJ88" s="117">
        <f>SUMIFS(Xero!$F:$F,Xero!$B:$B,Heron!AJ$9,Xero!$A:$A,Heron!$A$4,Xero!$E:$E,Heron!$A88)+SUMIFS(Xero!$F:$F,Xero!$B:$B,Heron!AJ$9,Xero!$A:$A,Heron!$A$5,Xero!$E:$E,Heron!$A88)</f>
        <v/>
      </c>
      <c r="AK88" s="117">
        <f>SUMIFS(Xero!$F:$F,Xero!$B:$B,Heron!AK$9,Xero!$A:$A,Heron!$A$4,Xero!$E:$E,Heron!$A88)+SUMIFS(Xero!$F:$F,Xero!$B:$B,Heron!AK$9,Xero!$A:$A,Heron!$A$5,Xero!$E:$E,Heron!$A88)</f>
        <v/>
      </c>
      <c r="AL88" s="117">
        <f>SUMIFS(Xero!$F:$F,Xero!$B:$B,Heron!AL$9,Xero!$A:$A,Heron!$A$4,Xero!$E:$E,Heron!$A88)+SUMIFS(Xero!$F:$F,Xero!$B:$B,Heron!AL$9,Xero!$A:$A,Heron!$A$5,Xero!$E:$E,Heron!$A88)</f>
        <v/>
      </c>
      <c r="AM88" s="117">
        <f>SUMIFS(Xero!$F:$F,Xero!$B:$B,Heron!AM$9,Xero!$A:$A,Heron!$A$4,Xero!$E:$E,Heron!$A88)+SUMIFS(Xero!$F:$F,Xero!$B:$B,Heron!AM$9,Xero!$A:$A,Heron!$A$5,Xero!$E:$E,Heron!$A88)</f>
        <v/>
      </c>
      <c r="AN88" s="117">
        <f>SUMIFS(Xero!$F:$F,Xero!$B:$B,Heron!AN$9,Xero!$A:$A,Heron!$A$4,Xero!$E:$E,Heron!$A88)+SUMIFS(Xero!$F:$F,Xero!$B:$B,Heron!AN$9,Xero!$A:$A,Heron!$A$5,Xero!$E:$E,Heron!$A88)</f>
        <v/>
      </c>
      <c r="AO88" s="117">
        <f>SUMIFS(Xero!$F:$F,Xero!$B:$B,Heron!AO$9,Xero!$A:$A,Heron!$A$4,Xero!$E:$E,Heron!$A88)+SUMIFS(Xero!$F:$F,Xero!$B:$B,Heron!AO$9,Xero!$A:$A,Heron!$A$5,Xero!$E:$E,Heron!$A88)</f>
        <v/>
      </c>
      <c r="AP88" s="117">
        <f>SUMIFS(Xero!$F:$F,Xero!$B:$B,Heron!AP$9,Xero!$A:$A,Heron!$A$4,Xero!$E:$E,Heron!$A88)+SUMIFS(Xero!$F:$F,Xero!$B:$B,Heron!AP$9,Xero!$A:$A,Heron!$A$5,Xero!$E:$E,Heron!$A88)</f>
        <v/>
      </c>
      <c r="AQ88" s="117">
        <f>SUMIFS(Xero!$F:$F,Xero!$B:$B,Heron!AQ$9,Xero!$A:$A,Heron!$A$4,Xero!$E:$E,Heron!$A88)+SUMIFS(Xero!$F:$F,Xero!$B:$B,Heron!AQ$9,Xero!$A:$A,Heron!$A$5,Xero!$E:$E,Heron!$A88)</f>
        <v/>
      </c>
      <c r="AR88" s="117">
        <f>SUMIFS(Xero!$F:$F,Xero!$B:$B,Heron!AR$9,Xero!$A:$A,Heron!$A$4,Xero!$E:$E,Heron!$A88)+SUMIFS(Xero!$F:$F,Xero!$B:$B,Heron!AR$9,Xero!$A:$A,Heron!$A$5,Xero!$E:$E,Heron!$A88)</f>
        <v/>
      </c>
      <c r="AS88" s="117">
        <f>SUMIFS(Xero!$F:$F,Xero!$B:$B,Heron!AS$9,Xero!$A:$A,Heron!$A$4,Xero!$E:$E,Heron!$A88)+SUMIFS(Xero!$F:$F,Xero!$B:$B,Heron!AS$9,Xero!$A:$A,Heron!$A$5,Xero!$E:$E,Heron!$A88)</f>
        <v/>
      </c>
      <c r="AT88" s="117">
        <f>SUMIFS(Xero!$F:$F,Xero!$B:$B,Heron!AT$9,Xero!$A:$A,Heron!$A$4,Xero!$E:$E,Heron!$A88)+SUMIFS(Xero!$F:$F,Xero!$B:$B,Heron!AT$9,Xero!$A:$A,Heron!$A$5,Xero!$E:$E,Heron!$A88)</f>
        <v/>
      </c>
      <c r="AU88" s="117">
        <f>SUMIFS(Xero!$F:$F,Xero!$B:$B,Heron!AU$9,Xero!$A:$A,Heron!$A$4,Xero!$E:$E,Heron!$A88)+SUMIFS(Xero!$F:$F,Xero!$B:$B,Heron!AU$9,Xero!$A:$A,Heron!$A$5,Xero!$E:$E,Heron!$A88)</f>
        <v/>
      </c>
      <c r="AV88" s="117">
        <f>SUMIFS(Xero!$F:$F,Xero!$B:$B,Heron!AV$9,Xero!$A:$A,Heron!$A$4,Xero!$E:$E,Heron!$A88)+SUMIFS(Xero!$F:$F,Xero!$B:$B,Heron!AV$9,Xero!$A:$A,Heron!$A$5,Xero!$E:$E,Heron!$A88)</f>
        <v/>
      </c>
      <c r="AW88" s="117">
        <f>SUMIFS(Xero!$F:$F,Xero!$B:$B,Heron!AW$9,Xero!$A:$A,Heron!$A$4,Xero!$E:$E,Heron!$A88)+SUMIFS(Xero!$F:$F,Xero!$B:$B,Heron!AW$9,Xero!$A:$A,Heron!$A$5,Xero!$E:$E,Heron!$A88)</f>
        <v/>
      </c>
      <c r="AX88" s="117">
        <f>SUMIFS(Xero!$F:$F,Xero!$B:$B,Heron!AX$9,Xero!$A:$A,Heron!$A$4,Xero!$E:$E,Heron!$A88)+SUMIFS(Xero!$F:$F,Xero!$B:$B,Heron!AX$9,Xero!$A:$A,Heron!$A$5,Xero!$E:$E,Heron!$A88)</f>
        <v/>
      </c>
      <c r="AY88" s="117">
        <f>SUMIFS(Xero!$F:$F,Xero!$B:$B,Heron!AY$9,Xero!$A:$A,Heron!$A$4,Xero!$E:$E,Heron!$A88)+SUMIFS(Xero!$F:$F,Xero!$B:$B,Heron!AY$9,Xero!$A:$A,Heron!$A$5,Xero!$E:$E,Heron!$A88)</f>
        <v/>
      </c>
      <c r="AZ88" s="117">
        <f>SUMIFS(Xero!$F:$F,Xero!$B:$B,Heron!AZ$9,Xero!$A:$A,Heron!$A$4,Xero!$E:$E,Heron!$A88)+SUMIFS(Xero!$F:$F,Xero!$B:$B,Heron!AZ$9,Xero!$A:$A,Heron!$A$5,Xero!$E:$E,Heron!$A88)</f>
        <v/>
      </c>
      <c r="BA88" s="117">
        <f>SUMIFS(Xero!$F:$F,Xero!$B:$B,Heron!BA$9,Xero!$A:$A,Heron!$A$4,Xero!$E:$E,Heron!$A88)+SUMIFS(Xero!$F:$F,Xero!$B:$B,Heron!BA$9,Xero!$A:$A,Heron!$A$5,Xero!$E:$E,Heron!$A88)</f>
        <v/>
      </c>
      <c r="BB88" s="117">
        <f>SUMIFS(Xero!$F:$F,Xero!$B:$B,Heron!BB$9,Xero!$A:$A,Heron!$A$4,Xero!$E:$E,Heron!$A88)+SUMIFS(Xero!$F:$F,Xero!$B:$B,Heron!BB$9,Xero!$A:$A,Heron!$A$5,Xero!$E:$E,Heron!$A88)</f>
        <v/>
      </c>
      <c r="BC88" s="117">
        <f>SUMIFS(Xero!$F:$F,Xero!$B:$B,Heron!BC$9,Xero!$A:$A,Heron!$A$4,Xero!$E:$E,Heron!$A88)+SUMIFS(Xero!$F:$F,Xero!$B:$B,Heron!BC$9,Xero!$A:$A,Heron!$A$5,Xero!$E:$E,Heron!$A88)</f>
        <v/>
      </c>
      <c r="BD88" s="117">
        <f>SUMIFS(Xero!$F:$F,Xero!$B:$B,Heron!BD$9,Xero!$A:$A,Heron!$A$4,Xero!$E:$E,Heron!$A88)+SUMIFS(Xero!$F:$F,Xero!$B:$B,Heron!BD$9,Xero!$A:$A,Heron!$A$5,Xero!$E:$E,Heron!$A88)</f>
        <v/>
      </c>
      <c r="BE88" s="117">
        <f>SUMIFS(Xero!$F:$F,Xero!$B:$B,Heron!BE$9,Xero!$A:$A,Heron!$A$4,Xero!$E:$E,Heron!$A88)+SUMIFS(Xero!$F:$F,Xero!$B:$B,Heron!BE$9,Xero!$A:$A,Heron!$A$5,Xero!$E:$E,Heron!$A88)</f>
        <v/>
      </c>
      <c r="BF88" s="117">
        <f>SUMIFS(Xero!$F:$F,Xero!$B:$B,Heron!BF$9,Xero!$A:$A,Heron!$A$4,Xero!$E:$E,Heron!$A88)+SUMIFS(Xero!$F:$F,Xero!$B:$B,Heron!BF$9,Xero!$A:$A,Heron!$A$5,Xero!$E:$E,Heron!$A88)</f>
        <v/>
      </c>
      <c r="BG88" s="117">
        <f>SUMIFS(Xero!$F:$F,Xero!$B:$B,Heron!BG$9,Xero!$A:$A,Heron!$A$4,Xero!$E:$E,Heron!$A88)+SUMIFS(Xero!$F:$F,Xero!$B:$B,Heron!BG$9,Xero!$A:$A,Heron!$A$5,Xero!$E:$E,Heron!$A88)</f>
        <v/>
      </c>
      <c r="BH88" s="117">
        <f>SUMIFS(Xero!$F:$F,Xero!$B:$B,Heron!BH$9,Xero!$A:$A,Heron!$A$4,Xero!$E:$E,Heron!$A88)+SUMIFS(Xero!$F:$F,Xero!$B:$B,Heron!BH$9,Xero!$A:$A,Heron!$A$5,Xero!$E:$E,Heron!$A88)</f>
        <v/>
      </c>
      <c r="BI88" s="117">
        <f>SUMIFS(Xero!$F:$F,Xero!$B:$B,Heron!BI$9,Xero!$A:$A,Heron!$A$4,Xero!$E:$E,Heron!$A88)+SUMIFS(Xero!$F:$F,Xero!$B:$B,Heron!BI$9,Xero!$A:$A,Heron!$A$5,Xero!$E:$E,Heron!$A88)</f>
        <v/>
      </c>
      <c r="BJ88" s="117">
        <f>SUMIFS(Xero!$F:$F,Xero!$B:$B,Heron!BJ$9,Xero!$A:$A,Heron!$A$4,Xero!$E:$E,Heron!$A88)+SUMIFS(Xero!$F:$F,Xero!$B:$B,Heron!BJ$9,Xero!$A:$A,Heron!$A$5,Xero!$E:$E,Heron!$A88)</f>
        <v/>
      </c>
      <c r="BK88" s="117">
        <f>sum(D88:BJ88)</f>
        <v/>
      </c>
    </row>
    <row r="89">
      <c r="A89" s="116" t="inlineStr">
        <is>
          <t>Levies - Amari</t>
        </is>
      </c>
      <c r="D89" s="117">
        <f>SUMIFS(Xero!$F:$F,Xero!$B:$B,Heron!D$9,Xero!$A:$A,Heron!$A$4,Xero!$E:$E,Heron!$A89)+SUMIFS(Xero!$F:$F,Xero!$B:$B,Heron!D$9,Xero!$A:$A,Heron!$A$5,Xero!$E:$E,Heron!$A89)</f>
        <v/>
      </c>
      <c r="E89" s="117">
        <f>SUMIFS(Xero!$F:$F,Xero!$B:$B,Heron!E$9,Xero!$A:$A,Heron!$A$4,Xero!$E:$E,Heron!$A89)+SUMIFS(Xero!$F:$F,Xero!$B:$B,Heron!E$9,Xero!$A:$A,Heron!$A$5,Xero!$E:$E,Heron!$A89)</f>
        <v/>
      </c>
      <c r="F89" s="117">
        <f>SUMIFS(Xero!$F:$F,Xero!$B:$B,Heron!F$9,Xero!$A:$A,Heron!$A$4,Xero!$E:$E,Heron!$A89)+SUMIFS(Xero!$F:$F,Xero!$B:$B,Heron!F$9,Xero!$A:$A,Heron!$A$5,Xero!$E:$E,Heron!$A89)</f>
        <v/>
      </c>
      <c r="G89" s="117">
        <f>SUMIFS(Xero!$F:$F,Xero!$B:$B,Heron!G$9,Xero!$A:$A,Heron!$A$4,Xero!$E:$E,Heron!$A89)+SUMIFS(Xero!$F:$F,Xero!$B:$B,Heron!G$9,Xero!$A:$A,Heron!$A$5,Xero!$E:$E,Heron!$A89)</f>
        <v/>
      </c>
      <c r="H89" s="117">
        <f>SUMIFS(Xero!$F:$F,Xero!$B:$B,Heron!H$9,Xero!$A:$A,Heron!$A$4,Xero!$E:$E,Heron!$A89)+SUMIFS(Xero!$F:$F,Xero!$B:$B,Heron!H$9,Xero!$A:$A,Heron!$A$5,Xero!$E:$E,Heron!$A89)</f>
        <v/>
      </c>
      <c r="I89" s="117">
        <f>SUMIFS(Xero!$F:$F,Xero!$B:$B,Heron!I$9,Xero!$A:$A,Heron!$A$4,Xero!$E:$E,Heron!$A89)+SUMIFS(Xero!$F:$F,Xero!$B:$B,Heron!I$9,Xero!$A:$A,Heron!$A$5,Xero!$E:$E,Heron!$A89)</f>
        <v/>
      </c>
      <c r="J89" s="117">
        <f>SUMIFS(Xero!$F:$F,Xero!$B:$B,Heron!J$9,Xero!$A:$A,Heron!$A$4,Xero!$E:$E,Heron!$A89)+SUMIFS(Xero!$F:$F,Xero!$B:$B,Heron!J$9,Xero!$A:$A,Heron!$A$5,Xero!$E:$E,Heron!$A89)</f>
        <v/>
      </c>
      <c r="K89" s="117">
        <f>SUMIFS(Xero!$F:$F,Xero!$B:$B,Heron!K$9,Xero!$A:$A,Heron!$A$4,Xero!$E:$E,Heron!$A89)+SUMIFS(Xero!$F:$F,Xero!$B:$B,Heron!K$9,Xero!$A:$A,Heron!$A$5,Xero!$E:$E,Heron!$A89)</f>
        <v/>
      </c>
      <c r="L89" s="117">
        <f>SUMIFS(Xero!$F:$F,Xero!$B:$B,Heron!L$9,Xero!$A:$A,Heron!$A$4,Xero!$E:$E,Heron!$A89)+SUMIFS(Xero!$F:$F,Xero!$B:$B,Heron!L$9,Xero!$A:$A,Heron!$A$5,Xero!$E:$E,Heron!$A89)</f>
        <v/>
      </c>
      <c r="M89" s="117">
        <f>SUMIFS(Xero!$F:$F,Xero!$B:$B,Heron!M$9,Xero!$A:$A,Heron!$A$4,Xero!$E:$E,Heron!$A89)+SUMIFS(Xero!$F:$F,Xero!$B:$B,Heron!M$9,Xero!$A:$A,Heron!$A$5,Xero!$E:$E,Heron!$A89)</f>
        <v/>
      </c>
      <c r="N89" s="117">
        <f>SUMIFS(Xero!$F:$F,Xero!$B:$B,Heron!N$9,Xero!$A:$A,Heron!$A$4,Xero!$E:$E,Heron!$A89)+SUMIFS(Xero!$F:$F,Xero!$B:$B,Heron!N$9,Xero!$A:$A,Heron!$A$5,Xero!$E:$E,Heron!$A89)</f>
        <v/>
      </c>
      <c r="O89" s="117">
        <f>SUMIFS(Xero!$F:$F,Xero!$B:$B,Heron!O$9,Xero!$A:$A,Heron!$A$4,Xero!$E:$E,Heron!$A89)+SUMIFS(Xero!$F:$F,Xero!$B:$B,Heron!O$9,Xero!$A:$A,Heron!$A$5,Xero!$E:$E,Heron!$A89)</f>
        <v/>
      </c>
      <c r="P89" s="117">
        <f>SUMIFS(Xero!$F:$F,Xero!$B:$B,Heron!P$9,Xero!$A:$A,Heron!$A$4,Xero!$E:$E,Heron!$A89)+SUMIFS(Xero!$F:$F,Xero!$B:$B,Heron!P$9,Xero!$A:$A,Heron!$A$5,Xero!$E:$E,Heron!$A89)</f>
        <v/>
      </c>
      <c r="Q89" s="117">
        <f>SUMIFS(Xero!$F:$F,Xero!$B:$B,Heron!Q$9,Xero!$A:$A,Heron!$A$4,Xero!$E:$E,Heron!$A89)+SUMIFS(Xero!$F:$F,Xero!$B:$B,Heron!Q$9,Xero!$A:$A,Heron!$A$5,Xero!$E:$E,Heron!$A89)</f>
        <v/>
      </c>
      <c r="R89" s="117">
        <f>SUMIFS(Xero!$F:$F,Xero!$B:$B,Heron!R$9,Xero!$A:$A,Heron!$A$4,Xero!$E:$E,Heron!$A89)+SUMIFS(Xero!$F:$F,Xero!$B:$B,Heron!R$9,Xero!$A:$A,Heron!$A$5,Xero!$E:$E,Heron!$A89)</f>
        <v/>
      </c>
      <c r="S89" s="117">
        <f>SUMIFS(Xero!$F:$F,Xero!$B:$B,Heron!S$9,Xero!$A:$A,Heron!$A$4,Xero!$E:$E,Heron!$A89)+SUMIFS(Xero!$F:$F,Xero!$B:$B,Heron!S$9,Xero!$A:$A,Heron!$A$5,Xero!$E:$E,Heron!$A89)</f>
        <v/>
      </c>
      <c r="T89" s="117">
        <f>SUMIFS(Xero!$F:$F,Xero!$B:$B,Heron!T$9,Xero!$A:$A,Heron!$A$4,Xero!$E:$E,Heron!$A89)+SUMIFS(Xero!$F:$F,Xero!$B:$B,Heron!T$9,Xero!$A:$A,Heron!$A$5,Xero!$E:$E,Heron!$A89)</f>
        <v/>
      </c>
      <c r="U89" s="117">
        <f>SUMIFS(Xero!$F:$F,Xero!$B:$B,Heron!U$9,Xero!$A:$A,Heron!$A$4,Xero!$E:$E,Heron!$A89)+SUMIFS(Xero!$F:$F,Xero!$B:$B,Heron!U$9,Xero!$A:$A,Heron!$A$5,Xero!$E:$E,Heron!$A89)</f>
        <v/>
      </c>
      <c r="V89" s="117">
        <f>SUMIFS(Xero!$F:$F,Xero!$B:$B,Heron!V$9,Xero!$A:$A,Heron!$A$4,Xero!$E:$E,Heron!$A89)+SUMIFS(Xero!$F:$F,Xero!$B:$B,Heron!V$9,Xero!$A:$A,Heron!$A$5,Xero!$E:$E,Heron!$A89)</f>
        <v/>
      </c>
      <c r="W89" s="117">
        <f>SUMIFS(Xero!$F:$F,Xero!$B:$B,Heron!W$9,Xero!$A:$A,Heron!$A$4,Xero!$E:$E,Heron!$A89)+SUMIFS(Xero!$F:$F,Xero!$B:$B,Heron!W$9,Xero!$A:$A,Heron!$A$5,Xero!$E:$E,Heron!$A89)</f>
        <v/>
      </c>
      <c r="X89" s="117">
        <f>SUMIFS(Xero!$F:$F,Xero!$B:$B,Heron!X$9,Xero!$A:$A,Heron!$A$4,Xero!$E:$E,Heron!$A89)+SUMIFS(Xero!$F:$F,Xero!$B:$B,Heron!X$9,Xero!$A:$A,Heron!$A$5,Xero!$E:$E,Heron!$A89)</f>
        <v/>
      </c>
      <c r="Y89" s="117">
        <f>SUMIFS(Xero!$F:$F,Xero!$B:$B,Heron!Y$9,Xero!$A:$A,Heron!$A$4,Xero!$E:$E,Heron!$A89)+SUMIFS(Xero!$F:$F,Xero!$B:$B,Heron!Y$9,Xero!$A:$A,Heron!$A$5,Xero!$E:$E,Heron!$A89)</f>
        <v/>
      </c>
      <c r="Z89" s="117">
        <f>SUMIFS(Xero!$F:$F,Xero!$B:$B,Heron!Z$9,Xero!$A:$A,Heron!$A$4,Xero!$E:$E,Heron!$A89)+SUMIFS(Xero!$F:$F,Xero!$B:$B,Heron!Z$9,Xero!$A:$A,Heron!$A$5,Xero!$E:$E,Heron!$A89)</f>
        <v/>
      </c>
      <c r="AA89" s="117">
        <f>SUMIFS(Xero!$F:$F,Xero!$B:$B,Heron!AA$9,Xero!$A:$A,Heron!$A$4,Xero!$E:$E,Heron!$A89)+SUMIFS(Xero!$F:$F,Xero!$B:$B,Heron!AA$9,Xero!$A:$A,Heron!$A$5,Xero!$E:$E,Heron!$A89)</f>
        <v/>
      </c>
      <c r="AB89" s="117">
        <f>SUMIFS(Xero!$F:$F,Xero!$B:$B,Heron!AB$9,Xero!$A:$A,Heron!$A$4,Xero!$E:$E,Heron!$A89)+SUMIFS(Xero!$F:$F,Xero!$B:$B,Heron!AB$9,Xero!$A:$A,Heron!$A$5,Xero!$E:$E,Heron!$A89)</f>
        <v/>
      </c>
      <c r="AC89" s="117">
        <f>SUMIFS(Xero!$F:$F,Xero!$B:$B,Heron!AC$9,Xero!$A:$A,Heron!$A$4,Xero!$E:$E,Heron!$A89)+SUMIFS(Xero!$F:$F,Xero!$B:$B,Heron!AC$9,Xero!$A:$A,Heron!$A$5,Xero!$E:$E,Heron!$A89)</f>
        <v/>
      </c>
      <c r="AD89" s="117">
        <f>SUMIFS(Xero!$F:$F,Xero!$B:$B,Heron!AD$9,Xero!$A:$A,Heron!$A$4,Xero!$E:$E,Heron!$A89)+SUMIFS(Xero!$F:$F,Xero!$B:$B,Heron!AD$9,Xero!$A:$A,Heron!$A$5,Xero!$E:$E,Heron!$A89)</f>
        <v/>
      </c>
      <c r="AE89" s="117">
        <f>SUMIFS(Xero!$F:$F,Xero!$B:$B,Heron!AE$9,Xero!$A:$A,Heron!$A$4,Xero!$E:$E,Heron!$A89)+SUMIFS(Xero!$F:$F,Xero!$B:$B,Heron!AE$9,Xero!$A:$A,Heron!$A$5,Xero!$E:$E,Heron!$A89)</f>
        <v/>
      </c>
      <c r="AF89" s="117">
        <f>SUMIFS(Xero!$F:$F,Xero!$B:$B,Heron!AF$9,Xero!$A:$A,Heron!$A$4,Xero!$E:$E,Heron!$A89)+SUMIFS(Xero!$F:$F,Xero!$B:$B,Heron!AF$9,Xero!$A:$A,Heron!$A$5,Xero!$E:$E,Heron!$A89)</f>
        <v/>
      </c>
      <c r="AG89" s="117">
        <f>SUMIFS(Xero!$F:$F,Xero!$B:$B,Heron!AG$9,Xero!$A:$A,Heron!$A$4,Xero!$E:$E,Heron!$A89)+SUMIFS(Xero!$F:$F,Xero!$B:$B,Heron!AG$9,Xero!$A:$A,Heron!$A$5,Xero!$E:$E,Heron!$A89)</f>
        <v/>
      </c>
      <c r="AH89" s="117">
        <f>SUMIFS(Xero!$F:$F,Xero!$B:$B,Heron!AH$9,Xero!$A:$A,Heron!$A$4,Xero!$E:$E,Heron!$A89)+SUMIFS(Xero!$F:$F,Xero!$B:$B,Heron!AH$9,Xero!$A:$A,Heron!$A$5,Xero!$E:$E,Heron!$A89)</f>
        <v/>
      </c>
      <c r="AI89" s="117">
        <f>SUMIFS(Xero!$F:$F,Xero!$B:$B,Heron!AI$9,Xero!$A:$A,Heron!$A$4,Xero!$E:$E,Heron!$A89)+SUMIFS(Xero!$F:$F,Xero!$B:$B,Heron!AI$9,Xero!$A:$A,Heron!$A$5,Xero!$E:$E,Heron!$A89)</f>
        <v/>
      </c>
      <c r="AJ89" s="117">
        <f>SUMIFS(Xero!$F:$F,Xero!$B:$B,Heron!AJ$9,Xero!$A:$A,Heron!$A$4,Xero!$E:$E,Heron!$A89)+SUMIFS(Xero!$F:$F,Xero!$B:$B,Heron!AJ$9,Xero!$A:$A,Heron!$A$5,Xero!$E:$E,Heron!$A89)</f>
        <v/>
      </c>
      <c r="AK89" s="117">
        <f>SUMIFS(Xero!$F:$F,Xero!$B:$B,Heron!AK$9,Xero!$A:$A,Heron!$A$4,Xero!$E:$E,Heron!$A89)+SUMIFS(Xero!$F:$F,Xero!$B:$B,Heron!AK$9,Xero!$A:$A,Heron!$A$5,Xero!$E:$E,Heron!$A89)</f>
        <v/>
      </c>
      <c r="AL89" s="117">
        <f>SUMIFS(Xero!$F:$F,Xero!$B:$B,Heron!AL$9,Xero!$A:$A,Heron!$A$4,Xero!$E:$E,Heron!$A89)+SUMIFS(Xero!$F:$F,Xero!$B:$B,Heron!AL$9,Xero!$A:$A,Heron!$A$5,Xero!$E:$E,Heron!$A89)</f>
        <v/>
      </c>
      <c r="AM89" s="117">
        <f>SUMIFS(Xero!$F:$F,Xero!$B:$B,Heron!AM$9,Xero!$A:$A,Heron!$A$4,Xero!$E:$E,Heron!$A89)+SUMIFS(Xero!$F:$F,Xero!$B:$B,Heron!AM$9,Xero!$A:$A,Heron!$A$5,Xero!$E:$E,Heron!$A89)</f>
        <v/>
      </c>
      <c r="AN89" s="117">
        <f>SUMIFS(Xero!$F:$F,Xero!$B:$B,Heron!AN$9,Xero!$A:$A,Heron!$A$4,Xero!$E:$E,Heron!$A89)+SUMIFS(Xero!$F:$F,Xero!$B:$B,Heron!AN$9,Xero!$A:$A,Heron!$A$5,Xero!$E:$E,Heron!$A89)</f>
        <v/>
      </c>
      <c r="AO89" s="117">
        <f>SUMIFS(Xero!$F:$F,Xero!$B:$B,Heron!AO$9,Xero!$A:$A,Heron!$A$4,Xero!$E:$E,Heron!$A89)+SUMIFS(Xero!$F:$F,Xero!$B:$B,Heron!AO$9,Xero!$A:$A,Heron!$A$5,Xero!$E:$E,Heron!$A89)</f>
        <v/>
      </c>
      <c r="AP89" s="117">
        <f>SUMIFS(Xero!$F:$F,Xero!$B:$B,Heron!AP$9,Xero!$A:$A,Heron!$A$4,Xero!$E:$E,Heron!$A89)+SUMIFS(Xero!$F:$F,Xero!$B:$B,Heron!AP$9,Xero!$A:$A,Heron!$A$5,Xero!$E:$E,Heron!$A89)</f>
        <v/>
      </c>
      <c r="AQ89" s="117">
        <f>SUMIFS(Xero!$F:$F,Xero!$B:$B,Heron!AQ$9,Xero!$A:$A,Heron!$A$4,Xero!$E:$E,Heron!$A89)+SUMIFS(Xero!$F:$F,Xero!$B:$B,Heron!AQ$9,Xero!$A:$A,Heron!$A$5,Xero!$E:$E,Heron!$A89)</f>
        <v/>
      </c>
      <c r="AR89" s="117">
        <f>SUMIFS(Xero!$F:$F,Xero!$B:$B,Heron!AR$9,Xero!$A:$A,Heron!$A$4,Xero!$E:$E,Heron!$A89)+SUMIFS(Xero!$F:$F,Xero!$B:$B,Heron!AR$9,Xero!$A:$A,Heron!$A$5,Xero!$E:$E,Heron!$A89)</f>
        <v/>
      </c>
      <c r="AS89" s="117">
        <f>SUMIFS(Xero!$F:$F,Xero!$B:$B,Heron!AS$9,Xero!$A:$A,Heron!$A$4,Xero!$E:$E,Heron!$A89)+SUMIFS(Xero!$F:$F,Xero!$B:$B,Heron!AS$9,Xero!$A:$A,Heron!$A$5,Xero!$E:$E,Heron!$A89)</f>
        <v/>
      </c>
      <c r="AT89" s="117">
        <f>SUMIFS(Xero!$F:$F,Xero!$B:$B,Heron!AT$9,Xero!$A:$A,Heron!$A$4,Xero!$E:$E,Heron!$A89)+SUMIFS(Xero!$F:$F,Xero!$B:$B,Heron!AT$9,Xero!$A:$A,Heron!$A$5,Xero!$E:$E,Heron!$A89)</f>
        <v/>
      </c>
      <c r="AU89" s="117">
        <f>SUMIFS(Xero!$F:$F,Xero!$B:$B,Heron!AU$9,Xero!$A:$A,Heron!$A$4,Xero!$E:$E,Heron!$A89)+SUMIFS(Xero!$F:$F,Xero!$B:$B,Heron!AU$9,Xero!$A:$A,Heron!$A$5,Xero!$E:$E,Heron!$A89)</f>
        <v/>
      </c>
      <c r="AV89" s="117">
        <f>SUMIFS(Xero!$F:$F,Xero!$B:$B,Heron!AV$9,Xero!$A:$A,Heron!$A$4,Xero!$E:$E,Heron!$A89)+SUMIFS(Xero!$F:$F,Xero!$B:$B,Heron!AV$9,Xero!$A:$A,Heron!$A$5,Xero!$E:$E,Heron!$A89)</f>
        <v/>
      </c>
      <c r="AW89" s="117">
        <f>SUMIFS(Xero!$F:$F,Xero!$B:$B,Heron!AW$9,Xero!$A:$A,Heron!$A$4,Xero!$E:$E,Heron!$A89)+SUMIFS(Xero!$F:$F,Xero!$B:$B,Heron!AW$9,Xero!$A:$A,Heron!$A$5,Xero!$E:$E,Heron!$A89)</f>
        <v/>
      </c>
      <c r="AX89" s="117">
        <f>SUMIFS(Xero!$F:$F,Xero!$B:$B,Heron!AX$9,Xero!$A:$A,Heron!$A$4,Xero!$E:$E,Heron!$A89)+SUMIFS(Xero!$F:$F,Xero!$B:$B,Heron!AX$9,Xero!$A:$A,Heron!$A$5,Xero!$E:$E,Heron!$A89)</f>
        <v/>
      </c>
      <c r="AY89" s="117">
        <f>SUMIFS(Xero!$F:$F,Xero!$B:$B,Heron!AY$9,Xero!$A:$A,Heron!$A$4,Xero!$E:$E,Heron!$A89)+SUMIFS(Xero!$F:$F,Xero!$B:$B,Heron!AY$9,Xero!$A:$A,Heron!$A$5,Xero!$E:$E,Heron!$A89)</f>
        <v/>
      </c>
      <c r="AZ89" s="117">
        <f>SUMIFS(Xero!$F:$F,Xero!$B:$B,Heron!AZ$9,Xero!$A:$A,Heron!$A$4,Xero!$E:$E,Heron!$A89)+SUMIFS(Xero!$F:$F,Xero!$B:$B,Heron!AZ$9,Xero!$A:$A,Heron!$A$5,Xero!$E:$E,Heron!$A89)</f>
        <v/>
      </c>
      <c r="BA89" s="117">
        <f>SUMIFS(Xero!$F:$F,Xero!$B:$B,Heron!BA$9,Xero!$A:$A,Heron!$A$4,Xero!$E:$E,Heron!$A89)+SUMIFS(Xero!$F:$F,Xero!$B:$B,Heron!BA$9,Xero!$A:$A,Heron!$A$5,Xero!$E:$E,Heron!$A89)</f>
        <v/>
      </c>
      <c r="BB89" s="117">
        <f>SUMIFS(Xero!$F:$F,Xero!$B:$B,Heron!BB$9,Xero!$A:$A,Heron!$A$4,Xero!$E:$E,Heron!$A89)+SUMIFS(Xero!$F:$F,Xero!$B:$B,Heron!BB$9,Xero!$A:$A,Heron!$A$5,Xero!$E:$E,Heron!$A89)</f>
        <v/>
      </c>
      <c r="BC89" s="117">
        <f>SUMIFS(Xero!$F:$F,Xero!$B:$B,Heron!BC$9,Xero!$A:$A,Heron!$A$4,Xero!$E:$E,Heron!$A89)+SUMIFS(Xero!$F:$F,Xero!$B:$B,Heron!BC$9,Xero!$A:$A,Heron!$A$5,Xero!$E:$E,Heron!$A89)</f>
        <v/>
      </c>
      <c r="BD89" s="117">
        <f>SUMIFS(Xero!$F:$F,Xero!$B:$B,Heron!BD$9,Xero!$A:$A,Heron!$A$4,Xero!$E:$E,Heron!$A89)+SUMIFS(Xero!$F:$F,Xero!$B:$B,Heron!BD$9,Xero!$A:$A,Heron!$A$5,Xero!$E:$E,Heron!$A89)</f>
        <v/>
      </c>
      <c r="BE89" s="117">
        <f>SUMIFS(Xero!$F:$F,Xero!$B:$B,Heron!BE$9,Xero!$A:$A,Heron!$A$4,Xero!$E:$E,Heron!$A89)+SUMIFS(Xero!$F:$F,Xero!$B:$B,Heron!BE$9,Xero!$A:$A,Heron!$A$5,Xero!$E:$E,Heron!$A89)</f>
        <v/>
      </c>
      <c r="BF89" s="117">
        <f>SUMIFS(Xero!$F:$F,Xero!$B:$B,Heron!BF$9,Xero!$A:$A,Heron!$A$4,Xero!$E:$E,Heron!$A89)+SUMIFS(Xero!$F:$F,Xero!$B:$B,Heron!BF$9,Xero!$A:$A,Heron!$A$5,Xero!$E:$E,Heron!$A89)</f>
        <v/>
      </c>
      <c r="BG89" s="117">
        <f>SUMIFS(Xero!$F:$F,Xero!$B:$B,Heron!BG$9,Xero!$A:$A,Heron!$A$4,Xero!$E:$E,Heron!$A89)+SUMIFS(Xero!$F:$F,Xero!$B:$B,Heron!BG$9,Xero!$A:$A,Heron!$A$5,Xero!$E:$E,Heron!$A89)</f>
        <v/>
      </c>
      <c r="BH89" s="117">
        <f>SUMIFS(Xero!$F:$F,Xero!$B:$B,Heron!BH$9,Xero!$A:$A,Heron!$A$4,Xero!$E:$E,Heron!$A89)+SUMIFS(Xero!$F:$F,Xero!$B:$B,Heron!BH$9,Xero!$A:$A,Heron!$A$5,Xero!$E:$E,Heron!$A89)</f>
        <v/>
      </c>
      <c r="BI89" s="117">
        <f>SUMIFS(Xero!$F:$F,Xero!$B:$B,Heron!BI$9,Xero!$A:$A,Heron!$A$4,Xero!$E:$E,Heron!$A89)+SUMIFS(Xero!$F:$F,Xero!$B:$B,Heron!BI$9,Xero!$A:$A,Heron!$A$5,Xero!$E:$E,Heron!$A89)</f>
        <v/>
      </c>
      <c r="BJ89" s="117">
        <f>SUMIFS(Xero!$F:$F,Xero!$B:$B,Heron!BJ$9,Xero!$A:$A,Heron!$A$4,Xero!$E:$E,Heron!$A89)+SUMIFS(Xero!$F:$F,Xero!$B:$B,Heron!BJ$9,Xero!$A:$A,Heron!$A$5,Xero!$E:$E,Heron!$A89)</f>
        <v/>
      </c>
      <c r="BK89" s="117">
        <f>sum(D89:BJ89)</f>
        <v/>
      </c>
    </row>
    <row r="90">
      <c r="A90" s="116" t="inlineStr">
        <is>
          <t>Levies - Developer</t>
        </is>
      </c>
      <c r="D90" s="117">
        <f>SUMIFS(Xero!$F:$F,Xero!$B:$B,Heron!D$9,Xero!$A:$A,Heron!$A$4,Xero!$E:$E,Heron!$A90)+SUMIFS(Xero!$F:$F,Xero!$B:$B,Heron!D$9,Xero!$A:$A,Heron!$A$5,Xero!$E:$E,Heron!$A90)</f>
        <v/>
      </c>
      <c r="E90" s="117">
        <f>SUMIFS(Xero!$F:$F,Xero!$B:$B,Heron!E$9,Xero!$A:$A,Heron!$A$4,Xero!$E:$E,Heron!$A90)+SUMIFS(Xero!$F:$F,Xero!$B:$B,Heron!E$9,Xero!$A:$A,Heron!$A$5,Xero!$E:$E,Heron!$A90)</f>
        <v/>
      </c>
      <c r="F90" s="117">
        <f>SUMIFS(Xero!$F:$F,Xero!$B:$B,Heron!F$9,Xero!$A:$A,Heron!$A$4,Xero!$E:$E,Heron!$A90)+SUMIFS(Xero!$F:$F,Xero!$B:$B,Heron!F$9,Xero!$A:$A,Heron!$A$5,Xero!$E:$E,Heron!$A90)</f>
        <v/>
      </c>
      <c r="G90" s="117">
        <f>SUMIFS(Xero!$F:$F,Xero!$B:$B,Heron!G$9,Xero!$A:$A,Heron!$A$4,Xero!$E:$E,Heron!$A90)+SUMIFS(Xero!$F:$F,Xero!$B:$B,Heron!G$9,Xero!$A:$A,Heron!$A$5,Xero!$E:$E,Heron!$A90)</f>
        <v/>
      </c>
      <c r="H90" s="117">
        <f>SUMIFS(Xero!$F:$F,Xero!$B:$B,Heron!H$9,Xero!$A:$A,Heron!$A$4,Xero!$E:$E,Heron!$A90)+SUMIFS(Xero!$F:$F,Xero!$B:$B,Heron!H$9,Xero!$A:$A,Heron!$A$5,Xero!$E:$E,Heron!$A90)</f>
        <v/>
      </c>
      <c r="I90" s="117">
        <f>SUMIFS(Xero!$F:$F,Xero!$B:$B,Heron!I$9,Xero!$A:$A,Heron!$A$4,Xero!$E:$E,Heron!$A90)+SUMIFS(Xero!$F:$F,Xero!$B:$B,Heron!I$9,Xero!$A:$A,Heron!$A$5,Xero!$E:$E,Heron!$A90)</f>
        <v/>
      </c>
      <c r="J90" s="117">
        <f>SUMIFS(Xero!$F:$F,Xero!$B:$B,Heron!J$9,Xero!$A:$A,Heron!$A$4,Xero!$E:$E,Heron!$A90)+SUMIFS(Xero!$F:$F,Xero!$B:$B,Heron!J$9,Xero!$A:$A,Heron!$A$5,Xero!$E:$E,Heron!$A90)</f>
        <v/>
      </c>
      <c r="K90" s="117">
        <f>SUMIFS(Xero!$F:$F,Xero!$B:$B,Heron!K$9,Xero!$A:$A,Heron!$A$4,Xero!$E:$E,Heron!$A90)+SUMIFS(Xero!$F:$F,Xero!$B:$B,Heron!K$9,Xero!$A:$A,Heron!$A$5,Xero!$E:$E,Heron!$A90)</f>
        <v/>
      </c>
      <c r="L90" s="117">
        <f>SUMIFS(Xero!$F:$F,Xero!$B:$B,Heron!L$9,Xero!$A:$A,Heron!$A$4,Xero!$E:$E,Heron!$A90)+SUMIFS(Xero!$F:$F,Xero!$B:$B,Heron!L$9,Xero!$A:$A,Heron!$A$5,Xero!$E:$E,Heron!$A90)</f>
        <v/>
      </c>
      <c r="M90" s="117">
        <f>SUMIFS(Xero!$F:$F,Xero!$B:$B,Heron!M$9,Xero!$A:$A,Heron!$A$4,Xero!$E:$E,Heron!$A90)+SUMIFS(Xero!$F:$F,Xero!$B:$B,Heron!M$9,Xero!$A:$A,Heron!$A$5,Xero!$E:$E,Heron!$A90)</f>
        <v/>
      </c>
      <c r="N90" s="117">
        <f>SUMIFS(Xero!$F:$F,Xero!$B:$B,Heron!N$9,Xero!$A:$A,Heron!$A$4,Xero!$E:$E,Heron!$A90)+SUMIFS(Xero!$F:$F,Xero!$B:$B,Heron!N$9,Xero!$A:$A,Heron!$A$5,Xero!$E:$E,Heron!$A90)</f>
        <v/>
      </c>
      <c r="O90" s="117">
        <f>SUMIFS(Xero!$F:$F,Xero!$B:$B,Heron!O$9,Xero!$A:$A,Heron!$A$4,Xero!$E:$E,Heron!$A90)+SUMIFS(Xero!$F:$F,Xero!$B:$B,Heron!O$9,Xero!$A:$A,Heron!$A$5,Xero!$E:$E,Heron!$A90)</f>
        <v/>
      </c>
      <c r="P90" s="117">
        <f>SUMIFS(Xero!$F:$F,Xero!$B:$B,Heron!P$9,Xero!$A:$A,Heron!$A$4,Xero!$E:$E,Heron!$A90)+SUMIFS(Xero!$F:$F,Xero!$B:$B,Heron!P$9,Xero!$A:$A,Heron!$A$5,Xero!$E:$E,Heron!$A90)</f>
        <v/>
      </c>
      <c r="Q90" s="117">
        <f>SUMIFS(Xero!$F:$F,Xero!$B:$B,Heron!Q$9,Xero!$A:$A,Heron!$A$4,Xero!$E:$E,Heron!$A90)+SUMIFS(Xero!$F:$F,Xero!$B:$B,Heron!Q$9,Xero!$A:$A,Heron!$A$5,Xero!$E:$E,Heron!$A90)</f>
        <v/>
      </c>
      <c r="R90" s="117">
        <f>SUMIFS(Xero!$F:$F,Xero!$B:$B,Heron!R$9,Xero!$A:$A,Heron!$A$4,Xero!$E:$E,Heron!$A90)+SUMIFS(Xero!$F:$F,Xero!$B:$B,Heron!R$9,Xero!$A:$A,Heron!$A$5,Xero!$E:$E,Heron!$A90)</f>
        <v/>
      </c>
      <c r="S90" s="117">
        <f>SUMIFS(Xero!$F:$F,Xero!$B:$B,Heron!S$9,Xero!$A:$A,Heron!$A$4,Xero!$E:$E,Heron!$A90)+SUMIFS(Xero!$F:$F,Xero!$B:$B,Heron!S$9,Xero!$A:$A,Heron!$A$5,Xero!$E:$E,Heron!$A90)</f>
        <v/>
      </c>
      <c r="T90" s="117">
        <f>SUMIFS(Xero!$F:$F,Xero!$B:$B,Heron!T$9,Xero!$A:$A,Heron!$A$4,Xero!$E:$E,Heron!$A90)+SUMIFS(Xero!$F:$F,Xero!$B:$B,Heron!T$9,Xero!$A:$A,Heron!$A$5,Xero!$E:$E,Heron!$A90)</f>
        <v/>
      </c>
      <c r="U90" s="117">
        <f>SUMIFS(Xero!$F:$F,Xero!$B:$B,Heron!U$9,Xero!$A:$A,Heron!$A$4,Xero!$E:$E,Heron!$A90)+SUMIFS(Xero!$F:$F,Xero!$B:$B,Heron!U$9,Xero!$A:$A,Heron!$A$5,Xero!$E:$E,Heron!$A90)</f>
        <v/>
      </c>
      <c r="V90" s="117">
        <f>SUMIFS(Xero!$F:$F,Xero!$B:$B,Heron!V$9,Xero!$A:$A,Heron!$A$4,Xero!$E:$E,Heron!$A90)+SUMIFS(Xero!$F:$F,Xero!$B:$B,Heron!V$9,Xero!$A:$A,Heron!$A$5,Xero!$E:$E,Heron!$A90)</f>
        <v/>
      </c>
      <c r="W90" s="117">
        <f>SUMIFS(Xero!$F:$F,Xero!$B:$B,Heron!W$9,Xero!$A:$A,Heron!$A$4,Xero!$E:$E,Heron!$A90)+SUMIFS(Xero!$F:$F,Xero!$B:$B,Heron!W$9,Xero!$A:$A,Heron!$A$5,Xero!$E:$E,Heron!$A90)</f>
        <v/>
      </c>
      <c r="X90" s="117">
        <f>SUMIFS(Xero!$F:$F,Xero!$B:$B,Heron!X$9,Xero!$A:$A,Heron!$A$4,Xero!$E:$E,Heron!$A90)+SUMIFS(Xero!$F:$F,Xero!$B:$B,Heron!X$9,Xero!$A:$A,Heron!$A$5,Xero!$E:$E,Heron!$A90)</f>
        <v/>
      </c>
      <c r="Y90" s="117">
        <f>SUMIFS(Xero!$F:$F,Xero!$B:$B,Heron!Y$9,Xero!$A:$A,Heron!$A$4,Xero!$E:$E,Heron!$A90)+SUMIFS(Xero!$F:$F,Xero!$B:$B,Heron!Y$9,Xero!$A:$A,Heron!$A$5,Xero!$E:$E,Heron!$A90)</f>
        <v/>
      </c>
      <c r="Z90" s="117">
        <f>SUMIFS(Xero!$F:$F,Xero!$B:$B,Heron!Z$9,Xero!$A:$A,Heron!$A$4,Xero!$E:$E,Heron!$A90)+SUMIFS(Xero!$F:$F,Xero!$B:$B,Heron!Z$9,Xero!$A:$A,Heron!$A$5,Xero!$E:$E,Heron!$A90)</f>
        <v/>
      </c>
      <c r="AA90" s="117">
        <f>SUMIFS(Xero!$F:$F,Xero!$B:$B,Heron!AA$9,Xero!$A:$A,Heron!$A$4,Xero!$E:$E,Heron!$A90)+SUMIFS(Xero!$F:$F,Xero!$B:$B,Heron!AA$9,Xero!$A:$A,Heron!$A$5,Xero!$E:$E,Heron!$A90)</f>
        <v/>
      </c>
      <c r="AB90" s="117">
        <f>SUMIFS(Xero!$F:$F,Xero!$B:$B,Heron!AB$9,Xero!$A:$A,Heron!$A$4,Xero!$E:$E,Heron!$A90)+SUMIFS(Xero!$F:$F,Xero!$B:$B,Heron!AB$9,Xero!$A:$A,Heron!$A$5,Xero!$E:$E,Heron!$A90)</f>
        <v/>
      </c>
      <c r="AC90" s="117">
        <f>SUMIFS(Xero!$F:$F,Xero!$B:$B,Heron!AC$9,Xero!$A:$A,Heron!$A$4,Xero!$E:$E,Heron!$A90)+SUMIFS(Xero!$F:$F,Xero!$B:$B,Heron!AC$9,Xero!$A:$A,Heron!$A$5,Xero!$E:$E,Heron!$A90)</f>
        <v/>
      </c>
      <c r="AD90" s="117">
        <f>SUMIFS(Xero!$F:$F,Xero!$B:$B,Heron!AD$9,Xero!$A:$A,Heron!$A$4,Xero!$E:$E,Heron!$A90)+SUMIFS(Xero!$F:$F,Xero!$B:$B,Heron!AD$9,Xero!$A:$A,Heron!$A$5,Xero!$E:$E,Heron!$A90)</f>
        <v/>
      </c>
      <c r="AE90" s="117">
        <f>SUMIFS(Xero!$F:$F,Xero!$B:$B,Heron!AE$9,Xero!$A:$A,Heron!$A$4,Xero!$E:$E,Heron!$A90)+SUMIFS(Xero!$F:$F,Xero!$B:$B,Heron!AE$9,Xero!$A:$A,Heron!$A$5,Xero!$E:$E,Heron!$A90)</f>
        <v/>
      </c>
      <c r="AF90" s="117">
        <f>SUMIFS(Xero!$F:$F,Xero!$B:$B,Heron!AF$9,Xero!$A:$A,Heron!$A$4,Xero!$E:$E,Heron!$A90)+SUMIFS(Xero!$F:$F,Xero!$B:$B,Heron!AF$9,Xero!$A:$A,Heron!$A$5,Xero!$E:$E,Heron!$A90)</f>
        <v/>
      </c>
      <c r="AG90" s="117">
        <f>SUMIFS(Xero!$F:$F,Xero!$B:$B,Heron!AG$9,Xero!$A:$A,Heron!$A$4,Xero!$E:$E,Heron!$A90)+SUMIFS(Xero!$F:$F,Xero!$B:$B,Heron!AG$9,Xero!$A:$A,Heron!$A$5,Xero!$E:$E,Heron!$A90)</f>
        <v/>
      </c>
      <c r="AH90" s="117">
        <f>SUMIFS(Xero!$F:$F,Xero!$B:$B,Heron!AH$9,Xero!$A:$A,Heron!$A$4,Xero!$E:$E,Heron!$A90)+SUMIFS(Xero!$F:$F,Xero!$B:$B,Heron!AH$9,Xero!$A:$A,Heron!$A$5,Xero!$E:$E,Heron!$A90)</f>
        <v/>
      </c>
      <c r="AI90" s="117">
        <f>SUMIFS(Xero!$F:$F,Xero!$B:$B,Heron!AI$9,Xero!$A:$A,Heron!$A$4,Xero!$E:$E,Heron!$A90)+SUMIFS(Xero!$F:$F,Xero!$B:$B,Heron!AI$9,Xero!$A:$A,Heron!$A$5,Xero!$E:$E,Heron!$A90)</f>
        <v/>
      </c>
      <c r="AJ90" s="117">
        <f>SUMIFS(Xero!$F:$F,Xero!$B:$B,Heron!AJ$9,Xero!$A:$A,Heron!$A$4,Xero!$E:$E,Heron!$A90)+SUMIFS(Xero!$F:$F,Xero!$B:$B,Heron!AJ$9,Xero!$A:$A,Heron!$A$5,Xero!$E:$E,Heron!$A90)</f>
        <v/>
      </c>
      <c r="AK90" s="117">
        <f>SUMIFS(Xero!$F:$F,Xero!$B:$B,Heron!AK$9,Xero!$A:$A,Heron!$A$4,Xero!$E:$E,Heron!$A90)+SUMIFS(Xero!$F:$F,Xero!$B:$B,Heron!AK$9,Xero!$A:$A,Heron!$A$5,Xero!$E:$E,Heron!$A90)</f>
        <v/>
      </c>
      <c r="AL90" s="117">
        <f>SUMIFS(Xero!$F:$F,Xero!$B:$B,Heron!AL$9,Xero!$A:$A,Heron!$A$4,Xero!$E:$E,Heron!$A90)+SUMIFS(Xero!$F:$F,Xero!$B:$B,Heron!AL$9,Xero!$A:$A,Heron!$A$5,Xero!$E:$E,Heron!$A90)</f>
        <v/>
      </c>
      <c r="AM90" s="117">
        <f>SUMIFS(Xero!$F:$F,Xero!$B:$B,Heron!AM$9,Xero!$A:$A,Heron!$A$4,Xero!$E:$E,Heron!$A90)+SUMIFS(Xero!$F:$F,Xero!$B:$B,Heron!AM$9,Xero!$A:$A,Heron!$A$5,Xero!$E:$E,Heron!$A90)</f>
        <v/>
      </c>
      <c r="AN90" s="117">
        <f>SUMIFS(Xero!$F:$F,Xero!$B:$B,Heron!AN$9,Xero!$A:$A,Heron!$A$4,Xero!$E:$E,Heron!$A90)+SUMIFS(Xero!$F:$F,Xero!$B:$B,Heron!AN$9,Xero!$A:$A,Heron!$A$5,Xero!$E:$E,Heron!$A90)</f>
        <v/>
      </c>
      <c r="AO90" s="117">
        <f>SUMIFS(Xero!$F:$F,Xero!$B:$B,Heron!AO$9,Xero!$A:$A,Heron!$A$4,Xero!$E:$E,Heron!$A90)+SUMIFS(Xero!$F:$F,Xero!$B:$B,Heron!AO$9,Xero!$A:$A,Heron!$A$5,Xero!$E:$E,Heron!$A90)</f>
        <v/>
      </c>
      <c r="AP90" s="117">
        <f>SUMIFS(Xero!$F:$F,Xero!$B:$B,Heron!AP$9,Xero!$A:$A,Heron!$A$4,Xero!$E:$E,Heron!$A90)+SUMIFS(Xero!$F:$F,Xero!$B:$B,Heron!AP$9,Xero!$A:$A,Heron!$A$5,Xero!$E:$E,Heron!$A90)</f>
        <v/>
      </c>
      <c r="AQ90" s="117">
        <f>SUMIFS(Xero!$F:$F,Xero!$B:$B,Heron!AQ$9,Xero!$A:$A,Heron!$A$4,Xero!$E:$E,Heron!$A90)+SUMIFS(Xero!$F:$F,Xero!$B:$B,Heron!AQ$9,Xero!$A:$A,Heron!$A$5,Xero!$E:$E,Heron!$A90)</f>
        <v/>
      </c>
      <c r="AR90" s="117">
        <f>SUMIFS(Xero!$F:$F,Xero!$B:$B,Heron!AR$9,Xero!$A:$A,Heron!$A$4,Xero!$E:$E,Heron!$A90)+SUMIFS(Xero!$F:$F,Xero!$B:$B,Heron!AR$9,Xero!$A:$A,Heron!$A$5,Xero!$E:$E,Heron!$A90)</f>
        <v/>
      </c>
      <c r="AS90" s="117">
        <f>SUMIFS(Xero!$F:$F,Xero!$B:$B,Heron!AS$9,Xero!$A:$A,Heron!$A$4,Xero!$E:$E,Heron!$A90)+SUMIFS(Xero!$F:$F,Xero!$B:$B,Heron!AS$9,Xero!$A:$A,Heron!$A$5,Xero!$E:$E,Heron!$A90)</f>
        <v/>
      </c>
      <c r="AT90" s="117">
        <f>SUMIFS(Xero!$F:$F,Xero!$B:$B,Heron!AT$9,Xero!$A:$A,Heron!$A$4,Xero!$E:$E,Heron!$A90)+SUMIFS(Xero!$F:$F,Xero!$B:$B,Heron!AT$9,Xero!$A:$A,Heron!$A$5,Xero!$E:$E,Heron!$A90)</f>
        <v/>
      </c>
      <c r="AU90" s="117">
        <f>SUMIFS(Xero!$F:$F,Xero!$B:$B,Heron!AU$9,Xero!$A:$A,Heron!$A$4,Xero!$E:$E,Heron!$A90)+SUMIFS(Xero!$F:$F,Xero!$B:$B,Heron!AU$9,Xero!$A:$A,Heron!$A$5,Xero!$E:$E,Heron!$A90)</f>
        <v/>
      </c>
      <c r="AV90" s="117">
        <f>SUMIFS(Xero!$F:$F,Xero!$B:$B,Heron!AV$9,Xero!$A:$A,Heron!$A$4,Xero!$E:$E,Heron!$A90)+SUMIFS(Xero!$F:$F,Xero!$B:$B,Heron!AV$9,Xero!$A:$A,Heron!$A$5,Xero!$E:$E,Heron!$A90)</f>
        <v/>
      </c>
      <c r="AW90" s="117">
        <f>SUMIFS(Xero!$F:$F,Xero!$B:$B,Heron!AW$9,Xero!$A:$A,Heron!$A$4,Xero!$E:$E,Heron!$A90)+SUMIFS(Xero!$F:$F,Xero!$B:$B,Heron!AW$9,Xero!$A:$A,Heron!$A$5,Xero!$E:$E,Heron!$A90)</f>
        <v/>
      </c>
      <c r="AX90" s="117">
        <f>SUMIFS(Xero!$F:$F,Xero!$B:$B,Heron!AX$9,Xero!$A:$A,Heron!$A$4,Xero!$E:$E,Heron!$A90)+SUMIFS(Xero!$F:$F,Xero!$B:$B,Heron!AX$9,Xero!$A:$A,Heron!$A$5,Xero!$E:$E,Heron!$A90)</f>
        <v/>
      </c>
      <c r="AY90" s="117">
        <f>SUMIFS(Xero!$F:$F,Xero!$B:$B,Heron!AY$9,Xero!$A:$A,Heron!$A$4,Xero!$E:$E,Heron!$A90)+SUMIFS(Xero!$F:$F,Xero!$B:$B,Heron!AY$9,Xero!$A:$A,Heron!$A$5,Xero!$E:$E,Heron!$A90)</f>
        <v/>
      </c>
      <c r="AZ90" s="117">
        <f>SUMIFS(Xero!$F:$F,Xero!$B:$B,Heron!AZ$9,Xero!$A:$A,Heron!$A$4,Xero!$E:$E,Heron!$A90)+SUMIFS(Xero!$F:$F,Xero!$B:$B,Heron!AZ$9,Xero!$A:$A,Heron!$A$5,Xero!$E:$E,Heron!$A90)</f>
        <v/>
      </c>
      <c r="BA90" s="117">
        <f>SUMIFS(Xero!$F:$F,Xero!$B:$B,Heron!BA$9,Xero!$A:$A,Heron!$A$4,Xero!$E:$E,Heron!$A90)+SUMIFS(Xero!$F:$F,Xero!$B:$B,Heron!BA$9,Xero!$A:$A,Heron!$A$5,Xero!$E:$E,Heron!$A90)</f>
        <v/>
      </c>
      <c r="BB90" s="117">
        <f>SUMIFS(Xero!$F:$F,Xero!$B:$B,Heron!BB$9,Xero!$A:$A,Heron!$A$4,Xero!$E:$E,Heron!$A90)+SUMIFS(Xero!$F:$F,Xero!$B:$B,Heron!BB$9,Xero!$A:$A,Heron!$A$5,Xero!$E:$E,Heron!$A90)</f>
        <v/>
      </c>
      <c r="BC90" s="117">
        <f>SUMIFS(Xero!$F:$F,Xero!$B:$B,Heron!BC$9,Xero!$A:$A,Heron!$A$4,Xero!$E:$E,Heron!$A90)+SUMIFS(Xero!$F:$F,Xero!$B:$B,Heron!BC$9,Xero!$A:$A,Heron!$A$5,Xero!$E:$E,Heron!$A90)</f>
        <v/>
      </c>
      <c r="BD90" s="117">
        <f>SUMIFS(Xero!$F:$F,Xero!$B:$B,Heron!BD$9,Xero!$A:$A,Heron!$A$4,Xero!$E:$E,Heron!$A90)+SUMIFS(Xero!$F:$F,Xero!$B:$B,Heron!BD$9,Xero!$A:$A,Heron!$A$5,Xero!$E:$E,Heron!$A90)</f>
        <v/>
      </c>
      <c r="BE90" s="117">
        <f>SUMIFS(Xero!$F:$F,Xero!$B:$B,Heron!BE$9,Xero!$A:$A,Heron!$A$4,Xero!$E:$E,Heron!$A90)+SUMIFS(Xero!$F:$F,Xero!$B:$B,Heron!BE$9,Xero!$A:$A,Heron!$A$5,Xero!$E:$E,Heron!$A90)</f>
        <v/>
      </c>
      <c r="BF90" s="117">
        <f>SUMIFS(Xero!$F:$F,Xero!$B:$B,Heron!BF$9,Xero!$A:$A,Heron!$A$4,Xero!$E:$E,Heron!$A90)+SUMIFS(Xero!$F:$F,Xero!$B:$B,Heron!BF$9,Xero!$A:$A,Heron!$A$5,Xero!$E:$E,Heron!$A90)</f>
        <v/>
      </c>
      <c r="BG90" s="117">
        <f>SUMIFS(Xero!$F:$F,Xero!$B:$B,Heron!BG$9,Xero!$A:$A,Heron!$A$4,Xero!$E:$E,Heron!$A90)+SUMIFS(Xero!$F:$F,Xero!$B:$B,Heron!BG$9,Xero!$A:$A,Heron!$A$5,Xero!$E:$E,Heron!$A90)</f>
        <v/>
      </c>
      <c r="BH90" s="117">
        <f>SUMIFS(Xero!$F:$F,Xero!$B:$B,Heron!BH$9,Xero!$A:$A,Heron!$A$4,Xero!$E:$E,Heron!$A90)+SUMIFS(Xero!$F:$F,Xero!$B:$B,Heron!BH$9,Xero!$A:$A,Heron!$A$5,Xero!$E:$E,Heron!$A90)</f>
        <v/>
      </c>
      <c r="BI90" s="117">
        <f>SUMIFS(Xero!$F:$F,Xero!$B:$B,Heron!BI$9,Xero!$A:$A,Heron!$A$4,Xero!$E:$E,Heron!$A90)+SUMIFS(Xero!$F:$F,Xero!$B:$B,Heron!BI$9,Xero!$A:$A,Heron!$A$5,Xero!$E:$E,Heron!$A90)</f>
        <v/>
      </c>
      <c r="BJ90" s="117">
        <f>SUMIFS(Xero!$F:$F,Xero!$B:$B,Heron!BJ$9,Xero!$A:$A,Heron!$A$4,Xero!$E:$E,Heron!$A90)+SUMIFS(Xero!$F:$F,Xero!$B:$B,Heron!BJ$9,Xero!$A:$A,Heron!$A$5,Xero!$E:$E,Heron!$A90)</f>
        <v/>
      </c>
      <c r="BK90" s="117">
        <f>sum(D90:BJ90)</f>
        <v/>
      </c>
    </row>
    <row r="91">
      <c r="A91" s="116" t="inlineStr">
        <is>
          <t>Levies - Special Levies</t>
        </is>
      </c>
      <c r="D91" s="117">
        <f>SUMIFS(Xero!$F:$F,Xero!$B:$B,Heron!D$9,Xero!$A:$A,Heron!$A$4,Xero!$E:$E,Heron!$A91)+SUMIFS(Xero!$F:$F,Xero!$B:$B,Heron!D$9,Xero!$A:$A,Heron!$A$5,Xero!$E:$E,Heron!$A91)</f>
        <v/>
      </c>
      <c r="E91" s="117">
        <f>SUMIFS(Xero!$F:$F,Xero!$B:$B,Heron!E$9,Xero!$A:$A,Heron!$A$4,Xero!$E:$E,Heron!$A91)+SUMIFS(Xero!$F:$F,Xero!$B:$B,Heron!E$9,Xero!$A:$A,Heron!$A$5,Xero!$E:$E,Heron!$A91)</f>
        <v/>
      </c>
      <c r="F91" s="117">
        <f>SUMIFS(Xero!$F:$F,Xero!$B:$B,Heron!F$9,Xero!$A:$A,Heron!$A$4,Xero!$E:$E,Heron!$A91)+SUMIFS(Xero!$F:$F,Xero!$B:$B,Heron!F$9,Xero!$A:$A,Heron!$A$5,Xero!$E:$E,Heron!$A91)</f>
        <v/>
      </c>
      <c r="G91" s="117">
        <f>SUMIFS(Xero!$F:$F,Xero!$B:$B,Heron!G$9,Xero!$A:$A,Heron!$A$4,Xero!$E:$E,Heron!$A91)+SUMIFS(Xero!$F:$F,Xero!$B:$B,Heron!G$9,Xero!$A:$A,Heron!$A$5,Xero!$E:$E,Heron!$A91)</f>
        <v/>
      </c>
      <c r="H91" s="117">
        <f>SUMIFS(Xero!$F:$F,Xero!$B:$B,Heron!H$9,Xero!$A:$A,Heron!$A$4,Xero!$E:$E,Heron!$A91)+SUMIFS(Xero!$F:$F,Xero!$B:$B,Heron!H$9,Xero!$A:$A,Heron!$A$5,Xero!$E:$E,Heron!$A91)</f>
        <v/>
      </c>
      <c r="I91" s="117">
        <f>SUMIFS(Xero!$F:$F,Xero!$B:$B,Heron!I$9,Xero!$A:$A,Heron!$A$4,Xero!$E:$E,Heron!$A91)+SUMIFS(Xero!$F:$F,Xero!$B:$B,Heron!I$9,Xero!$A:$A,Heron!$A$5,Xero!$E:$E,Heron!$A91)</f>
        <v/>
      </c>
      <c r="J91" s="117">
        <f>SUMIFS(Xero!$F:$F,Xero!$B:$B,Heron!J$9,Xero!$A:$A,Heron!$A$4,Xero!$E:$E,Heron!$A91)+SUMIFS(Xero!$F:$F,Xero!$B:$B,Heron!J$9,Xero!$A:$A,Heron!$A$5,Xero!$E:$E,Heron!$A91)</f>
        <v/>
      </c>
      <c r="K91" s="117">
        <f>SUMIFS(Xero!$F:$F,Xero!$B:$B,Heron!K$9,Xero!$A:$A,Heron!$A$4,Xero!$E:$E,Heron!$A91)+SUMIFS(Xero!$F:$F,Xero!$B:$B,Heron!K$9,Xero!$A:$A,Heron!$A$5,Xero!$E:$E,Heron!$A91)</f>
        <v/>
      </c>
      <c r="L91" s="117">
        <f>SUMIFS(Xero!$F:$F,Xero!$B:$B,Heron!L$9,Xero!$A:$A,Heron!$A$4,Xero!$E:$E,Heron!$A91)+SUMIFS(Xero!$F:$F,Xero!$B:$B,Heron!L$9,Xero!$A:$A,Heron!$A$5,Xero!$E:$E,Heron!$A91)</f>
        <v/>
      </c>
      <c r="M91" s="117">
        <f>SUMIFS(Xero!$F:$F,Xero!$B:$B,Heron!M$9,Xero!$A:$A,Heron!$A$4,Xero!$E:$E,Heron!$A91)+SUMIFS(Xero!$F:$F,Xero!$B:$B,Heron!M$9,Xero!$A:$A,Heron!$A$5,Xero!$E:$E,Heron!$A91)</f>
        <v/>
      </c>
      <c r="N91" s="117">
        <f>SUMIFS(Xero!$F:$F,Xero!$B:$B,Heron!N$9,Xero!$A:$A,Heron!$A$4,Xero!$E:$E,Heron!$A91)+SUMIFS(Xero!$F:$F,Xero!$B:$B,Heron!N$9,Xero!$A:$A,Heron!$A$5,Xero!$E:$E,Heron!$A91)</f>
        <v/>
      </c>
      <c r="O91" s="117">
        <f>SUMIFS(Xero!$F:$F,Xero!$B:$B,Heron!O$9,Xero!$A:$A,Heron!$A$4,Xero!$E:$E,Heron!$A91)+SUMIFS(Xero!$F:$F,Xero!$B:$B,Heron!O$9,Xero!$A:$A,Heron!$A$5,Xero!$E:$E,Heron!$A91)</f>
        <v/>
      </c>
      <c r="P91" s="117">
        <f>SUMIFS(Xero!$F:$F,Xero!$B:$B,Heron!P$9,Xero!$A:$A,Heron!$A$4,Xero!$E:$E,Heron!$A91)+SUMIFS(Xero!$F:$F,Xero!$B:$B,Heron!P$9,Xero!$A:$A,Heron!$A$5,Xero!$E:$E,Heron!$A91)</f>
        <v/>
      </c>
      <c r="Q91" s="117">
        <f>SUMIFS(Xero!$F:$F,Xero!$B:$B,Heron!Q$9,Xero!$A:$A,Heron!$A$4,Xero!$E:$E,Heron!$A91)+SUMIFS(Xero!$F:$F,Xero!$B:$B,Heron!Q$9,Xero!$A:$A,Heron!$A$5,Xero!$E:$E,Heron!$A91)</f>
        <v/>
      </c>
      <c r="R91" s="117">
        <f>SUMIFS(Xero!$F:$F,Xero!$B:$B,Heron!R$9,Xero!$A:$A,Heron!$A$4,Xero!$E:$E,Heron!$A91)+SUMIFS(Xero!$F:$F,Xero!$B:$B,Heron!R$9,Xero!$A:$A,Heron!$A$5,Xero!$E:$E,Heron!$A91)</f>
        <v/>
      </c>
      <c r="S91" s="117">
        <f>SUMIFS(Xero!$F:$F,Xero!$B:$B,Heron!S$9,Xero!$A:$A,Heron!$A$4,Xero!$E:$E,Heron!$A91)+SUMIFS(Xero!$F:$F,Xero!$B:$B,Heron!S$9,Xero!$A:$A,Heron!$A$5,Xero!$E:$E,Heron!$A91)</f>
        <v/>
      </c>
      <c r="T91" s="117">
        <f>SUMIFS(Xero!$F:$F,Xero!$B:$B,Heron!T$9,Xero!$A:$A,Heron!$A$4,Xero!$E:$E,Heron!$A91)+SUMIFS(Xero!$F:$F,Xero!$B:$B,Heron!T$9,Xero!$A:$A,Heron!$A$5,Xero!$E:$E,Heron!$A91)</f>
        <v/>
      </c>
      <c r="U91" s="117">
        <f>SUMIFS(Xero!$F:$F,Xero!$B:$B,Heron!U$9,Xero!$A:$A,Heron!$A$4,Xero!$E:$E,Heron!$A91)+SUMIFS(Xero!$F:$F,Xero!$B:$B,Heron!U$9,Xero!$A:$A,Heron!$A$5,Xero!$E:$E,Heron!$A91)</f>
        <v/>
      </c>
      <c r="V91" s="117">
        <f>SUMIFS(Xero!$F:$F,Xero!$B:$B,Heron!V$9,Xero!$A:$A,Heron!$A$4,Xero!$E:$E,Heron!$A91)+SUMIFS(Xero!$F:$F,Xero!$B:$B,Heron!V$9,Xero!$A:$A,Heron!$A$5,Xero!$E:$E,Heron!$A91)</f>
        <v/>
      </c>
      <c r="W91" s="117">
        <f>SUMIFS(Xero!$F:$F,Xero!$B:$B,Heron!W$9,Xero!$A:$A,Heron!$A$4,Xero!$E:$E,Heron!$A91)+SUMIFS(Xero!$F:$F,Xero!$B:$B,Heron!W$9,Xero!$A:$A,Heron!$A$5,Xero!$E:$E,Heron!$A91)</f>
        <v/>
      </c>
      <c r="X91" s="117">
        <f>SUMIFS(Xero!$F:$F,Xero!$B:$B,Heron!X$9,Xero!$A:$A,Heron!$A$4,Xero!$E:$E,Heron!$A91)+SUMIFS(Xero!$F:$F,Xero!$B:$B,Heron!X$9,Xero!$A:$A,Heron!$A$5,Xero!$E:$E,Heron!$A91)</f>
        <v/>
      </c>
      <c r="Y91" s="117">
        <f>SUMIFS(Xero!$F:$F,Xero!$B:$B,Heron!Y$9,Xero!$A:$A,Heron!$A$4,Xero!$E:$E,Heron!$A91)+SUMIFS(Xero!$F:$F,Xero!$B:$B,Heron!Y$9,Xero!$A:$A,Heron!$A$5,Xero!$E:$E,Heron!$A91)</f>
        <v/>
      </c>
      <c r="Z91" s="117">
        <f>SUMIFS(Xero!$F:$F,Xero!$B:$B,Heron!Z$9,Xero!$A:$A,Heron!$A$4,Xero!$E:$E,Heron!$A91)+SUMIFS(Xero!$F:$F,Xero!$B:$B,Heron!Z$9,Xero!$A:$A,Heron!$A$5,Xero!$E:$E,Heron!$A91)</f>
        <v/>
      </c>
      <c r="AA91" s="117">
        <f>SUMIFS(Xero!$F:$F,Xero!$B:$B,Heron!AA$9,Xero!$A:$A,Heron!$A$4,Xero!$E:$E,Heron!$A91)+SUMIFS(Xero!$F:$F,Xero!$B:$B,Heron!AA$9,Xero!$A:$A,Heron!$A$5,Xero!$E:$E,Heron!$A91)</f>
        <v/>
      </c>
      <c r="AB91" s="117">
        <f>SUMIFS(Xero!$F:$F,Xero!$B:$B,Heron!AB$9,Xero!$A:$A,Heron!$A$4,Xero!$E:$E,Heron!$A91)+SUMIFS(Xero!$F:$F,Xero!$B:$B,Heron!AB$9,Xero!$A:$A,Heron!$A$5,Xero!$E:$E,Heron!$A91)</f>
        <v/>
      </c>
      <c r="AC91" s="117">
        <f>SUMIFS(Xero!$F:$F,Xero!$B:$B,Heron!AC$9,Xero!$A:$A,Heron!$A$4,Xero!$E:$E,Heron!$A91)+SUMIFS(Xero!$F:$F,Xero!$B:$B,Heron!AC$9,Xero!$A:$A,Heron!$A$5,Xero!$E:$E,Heron!$A91)</f>
        <v/>
      </c>
      <c r="AD91" s="117">
        <f>SUMIFS(Xero!$F:$F,Xero!$B:$B,Heron!AD$9,Xero!$A:$A,Heron!$A$4,Xero!$E:$E,Heron!$A91)+SUMIFS(Xero!$F:$F,Xero!$B:$B,Heron!AD$9,Xero!$A:$A,Heron!$A$5,Xero!$E:$E,Heron!$A91)</f>
        <v/>
      </c>
      <c r="AE91" s="117">
        <f>SUMIFS(Xero!$F:$F,Xero!$B:$B,Heron!AE$9,Xero!$A:$A,Heron!$A$4,Xero!$E:$E,Heron!$A91)+SUMIFS(Xero!$F:$F,Xero!$B:$B,Heron!AE$9,Xero!$A:$A,Heron!$A$5,Xero!$E:$E,Heron!$A91)</f>
        <v/>
      </c>
      <c r="AF91" s="117">
        <f>SUMIFS(Xero!$F:$F,Xero!$B:$B,Heron!AF$9,Xero!$A:$A,Heron!$A$4,Xero!$E:$E,Heron!$A91)+SUMIFS(Xero!$F:$F,Xero!$B:$B,Heron!AF$9,Xero!$A:$A,Heron!$A$5,Xero!$E:$E,Heron!$A91)</f>
        <v/>
      </c>
      <c r="AG91" s="117">
        <f>SUMIFS(Xero!$F:$F,Xero!$B:$B,Heron!AG$9,Xero!$A:$A,Heron!$A$4,Xero!$E:$E,Heron!$A91)+SUMIFS(Xero!$F:$F,Xero!$B:$B,Heron!AG$9,Xero!$A:$A,Heron!$A$5,Xero!$E:$E,Heron!$A91)</f>
        <v/>
      </c>
      <c r="AH91" s="117">
        <f>SUMIFS(Xero!$F:$F,Xero!$B:$B,Heron!AH$9,Xero!$A:$A,Heron!$A$4,Xero!$E:$E,Heron!$A91)+SUMIFS(Xero!$F:$F,Xero!$B:$B,Heron!AH$9,Xero!$A:$A,Heron!$A$5,Xero!$E:$E,Heron!$A91)</f>
        <v/>
      </c>
      <c r="AI91" s="117">
        <f>SUMIFS(Xero!$F:$F,Xero!$B:$B,Heron!AI$9,Xero!$A:$A,Heron!$A$4,Xero!$E:$E,Heron!$A91)+SUMIFS(Xero!$F:$F,Xero!$B:$B,Heron!AI$9,Xero!$A:$A,Heron!$A$5,Xero!$E:$E,Heron!$A91)</f>
        <v/>
      </c>
      <c r="AJ91" s="117">
        <f>SUMIFS(Xero!$F:$F,Xero!$B:$B,Heron!AJ$9,Xero!$A:$A,Heron!$A$4,Xero!$E:$E,Heron!$A91)+SUMIFS(Xero!$F:$F,Xero!$B:$B,Heron!AJ$9,Xero!$A:$A,Heron!$A$5,Xero!$E:$E,Heron!$A91)</f>
        <v/>
      </c>
      <c r="AK91" s="117">
        <f>SUMIFS(Xero!$F:$F,Xero!$B:$B,Heron!AK$9,Xero!$A:$A,Heron!$A$4,Xero!$E:$E,Heron!$A91)+SUMIFS(Xero!$F:$F,Xero!$B:$B,Heron!AK$9,Xero!$A:$A,Heron!$A$5,Xero!$E:$E,Heron!$A91)</f>
        <v/>
      </c>
      <c r="AL91" s="117">
        <f>SUMIFS(Xero!$F:$F,Xero!$B:$B,Heron!AL$9,Xero!$A:$A,Heron!$A$4,Xero!$E:$E,Heron!$A91)+SUMIFS(Xero!$F:$F,Xero!$B:$B,Heron!AL$9,Xero!$A:$A,Heron!$A$5,Xero!$E:$E,Heron!$A91)</f>
        <v/>
      </c>
      <c r="AM91" s="117">
        <f>SUMIFS(Xero!$F:$F,Xero!$B:$B,Heron!AM$9,Xero!$A:$A,Heron!$A$4,Xero!$E:$E,Heron!$A91)+SUMIFS(Xero!$F:$F,Xero!$B:$B,Heron!AM$9,Xero!$A:$A,Heron!$A$5,Xero!$E:$E,Heron!$A91)</f>
        <v/>
      </c>
      <c r="AN91" s="117">
        <f>SUMIFS(Xero!$F:$F,Xero!$B:$B,Heron!AN$9,Xero!$A:$A,Heron!$A$4,Xero!$E:$E,Heron!$A91)+SUMIFS(Xero!$F:$F,Xero!$B:$B,Heron!AN$9,Xero!$A:$A,Heron!$A$5,Xero!$E:$E,Heron!$A91)</f>
        <v/>
      </c>
      <c r="AO91" s="117">
        <f>SUMIFS(Xero!$F:$F,Xero!$B:$B,Heron!AO$9,Xero!$A:$A,Heron!$A$4,Xero!$E:$E,Heron!$A91)+SUMIFS(Xero!$F:$F,Xero!$B:$B,Heron!AO$9,Xero!$A:$A,Heron!$A$5,Xero!$E:$E,Heron!$A91)</f>
        <v/>
      </c>
      <c r="AP91" s="117">
        <f>SUMIFS(Xero!$F:$F,Xero!$B:$B,Heron!AP$9,Xero!$A:$A,Heron!$A$4,Xero!$E:$E,Heron!$A91)+SUMIFS(Xero!$F:$F,Xero!$B:$B,Heron!AP$9,Xero!$A:$A,Heron!$A$5,Xero!$E:$E,Heron!$A91)</f>
        <v/>
      </c>
      <c r="AQ91" s="117">
        <f>SUMIFS(Xero!$F:$F,Xero!$B:$B,Heron!AQ$9,Xero!$A:$A,Heron!$A$4,Xero!$E:$E,Heron!$A91)+SUMIFS(Xero!$F:$F,Xero!$B:$B,Heron!AQ$9,Xero!$A:$A,Heron!$A$5,Xero!$E:$E,Heron!$A91)</f>
        <v/>
      </c>
      <c r="AR91" s="117">
        <f>SUMIFS(Xero!$F:$F,Xero!$B:$B,Heron!AR$9,Xero!$A:$A,Heron!$A$4,Xero!$E:$E,Heron!$A91)+SUMIFS(Xero!$F:$F,Xero!$B:$B,Heron!AR$9,Xero!$A:$A,Heron!$A$5,Xero!$E:$E,Heron!$A91)</f>
        <v/>
      </c>
      <c r="AS91" s="117">
        <f>SUMIFS(Xero!$F:$F,Xero!$B:$B,Heron!AS$9,Xero!$A:$A,Heron!$A$4,Xero!$E:$E,Heron!$A91)+SUMIFS(Xero!$F:$F,Xero!$B:$B,Heron!AS$9,Xero!$A:$A,Heron!$A$5,Xero!$E:$E,Heron!$A91)</f>
        <v/>
      </c>
      <c r="AT91" s="117">
        <f>SUMIFS(Xero!$F:$F,Xero!$B:$B,Heron!AT$9,Xero!$A:$A,Heron!$A$4,Xero!$E:$E,Heron!$A91)+SUMIFS(Xero!$F:$F,Xero!$B:$B,Heron!AT$9,Xero!$A:$A,Heron!$A$5,Xero!$E:$E,Heron!$A91)</f>
        <v/>
      </c>
      <c r="AU91" s="117">
        <f>SUMIFS(Xero!$F:$F,Xero!$B:$B,Heron!AU$9,Xero!$A:$A,Heron!$A$4,Xero!$E:$E,Heron!$A91)+SUMIFS(Xero!$F:$F,Xero!$B:$B,Heron!AU$9,Xero!$A:$A,Heron!$A$5,Xero!$E:$E,Heron!$A91)</f>
        <v/>
      </c>
      <c r="AV91" s="117">
        <f>SUMIFS(Xero!$F:$F,Xero!$B:$B,Heron!AV$9,Xero!$A:$A,Heron!$A$4,Xero!$E:$E,Heron!$A91)+SUMIFS(Xero!$F:$F,Xero!$B:$B,Heron!AV$9,Xero!$A:$A,Heron!$A$5,Xero!$E:$E,Heron!$A91)</f>
        <v/>
      </c>
      <c r="AW91" s="117">
        <f>SUMIFS(Xero!$F:$F,Xero!$B:$B,Heron!AW$9,Xero!$A:$A,Heron!$A$4,Xero!$E:$E,Heron!$A91)+SUMIFS(Xero!$F:$F,Xero!$B:$B,Heron!AW$9,Xero!$A:$A,Heron!$A$5,Xero!$E:$E,Heron!$A91)</f>
        <v/>
      </c>
      <c r="AX91" s="117">
        <f>SUMIFS(Xero!$F:$F,Xero!$B:$B,Heron!AX$9,Xero!$A:$A,Heron!$A$4,Xero!$E:$E,Heron!$A91)+SUMIFS(Xero!$F:$F,Xero!$B:$B,Heron!AX$9,Xero!$A:$A,Heron!$A$5,Xero!$E:$E,Heron!$A91)</f>
        <v/>
      </c>
      <c r="AY91" s="117">
        <f>SUMIFS(Xero!$F:$F,Xero!$B:$B,Heron!AY$9,Xero!$A:$A,Heron!$A$4,Xero!$E:$E,Heron!$A91)+SUMIFS(Xero!$F:$F,Xero!$B:$B,Heron!AY$9,Xero!$A:$A,Heron!$A$5,Xero!$E:$E,Heron!$A91)</f>
        <v/>
      </c>
      <c r="AZ91" s="117">
        <f>SUMIFS(Xero!$F:$F,Xero!$B:$B,Heron!AZ$9,Xero!$A:$A,Heron!$A$4,Xero!$E:$E,Heron!$A91)+SUMIFS(Xero!$F:$F,Xero!$B:$B,Heron!AZ$9,Xero!$A:$A,Heron!$A$5,Xero!$E:$E,Heron!$A91)</f>
        <v/>
      </c>
      <c r="BA91" s="117">
        <f>SUMIFS(Xero!$F:$F,Xero!$B:$B,Heron!BA$9,Xero!$A:$A,Heron!$A$4,Xero!$E:$E,Heron!$A91)+SUMIFS(Xero!$F:$F,Xero!$B:$B,Heron!BA$9,Xero!$A:$A,Heron!$A$5,Xero!$E:$E,Heron!$A91)</f>
        <v/>
      </c>
      <c r="BB91" s="117">
        <f>SUMIFS(Xero!$F:$F,Xero!$B:$B,Heron!BB$9,Xero!$A:$A,Heron!$A$4,Xero!$E:$E,Heron!$A91)+SUMIFS(Xero!$F:$F,Xero!$B:$B,Heron!BB$9,Xero!$A:$A,Heron!$A$5,Xero!$E:$E,Heron!$A91)</f>
        <v/>
      </c>
      <c r="BC91" s="117">
        <f>SUMIFS(Xero!$F:$F,Xero!$B:$B,Heron!BC$9,Xero!$A:$A,Heron!$A$4,Xero!$E:$E,Heron!$A91)+SUMIFS(Xero!$F:$F,Xero!$B:$B,Heron!BC$9,Xero!$A:$A,Heron!$A$5,Xero!$E:$E,Heron!$A91)</f>
        <v/>
      </c>
      <c r="BD91" s="117">
        <f>SUMIFS(Xero!$F:$F,Xero!$B:$B,Heron!BD$9,Xero!$A:$A,Heron!$A$4,Xero!$E:$E,Heron!$A91)+SUMIFS(Xero!$F:$F,Xero!$B:$B,Heron!BD$9,Xero!$A:$A,Heron!$A$5,Xero!$E:$E,Heron!$A91)</f>
        <v/>
      </c>
      <c r="BE91" s="117">
        <f>SUMIFS(Xero!$F:$F,Xero!$B:$B,Heron!BE$9,Xero!$A:$A,Heron!$A$4,Xero!$E:$E,Heron!$A91)+SUMIFS(Xero!$F:$F,Xero!$B:$B,Heron!BE$9,Xero!$A:$A,Heron!$A$5,Xero!$E:$E,Heron!$A91)</f>
        <v/>
      </c>
      <c r="BF91" s="117">
        <f>SUMIFS(Xero!$F:$F,Xero!$B:$B,Heron!BF$9,Xero!$A:$A,Heron!$A$4,Xero!$E:$E,Heron!$A91)+SUMIFS(Xero!$F:$F,Xero!$B:$B,Heron!BF$9,Xero!$A:$A,Heron!$A$5,Xero!$E:$E,Heron!$A91)</f>
        <v/>
      </c>
      <c r="BG91" s="117">
        <f>SUMIFS(Xero!$F:$F,Xero!$B:$B,Heron!BG$9,Xero!$A:$A,Heron!$A$4,Xero!$E:$E,Heron!$A91)+SUMIFS(Xero!$F:$F,Xero!$B:$B,Heron!BG$9,Xero!$A:$A,Heron!$A$5,Xero!$E:$E,Heron!$A91)</f>
        <v/>
      </c>
      <c r="BH91" s="117">
        <f>SUMIFS(Xero!$F:$F,Xero!$B:$B,Heron!BH$9,Xero!$A:$A,Heron!$A$4,Xero!$E:$E,Heron!$A91)+SUMIFS(Xero!$F:$F,Xero!$B:$B,Heron!BH$9,Xero!$A:$A,Heron!$A$5,Xero!$E:$E,Heron!$A91)</f>
        <v/>
      </c>
      <c r="BI91" s="117">
        <f>SUMIFS(Xero!$F:$F,Xero!$B:$B,Heron!BI$9,Xero!$A:$A,Heron!$A$4,Xero!$E:$E,Heron!$A91)+SUMIFS(Xero!$F:$F,Xero!$B:$B,Heron!BI$9,Xero!$A:$A,Heron!$A$5,Xero!$E:$E,Heron!$A91)</f>
        <v/>
      </c>
      <c r="BJ91" s="117">
        <f>SUMIFS(Xero!$F:$F,Xero!$B:$B,Heron!BJ$9,Xero!$A:$A,Heron!$A$4,Xero!$E:$E,Heron!$A91)+SUMIFS(Xero!$F:$F,Xero!$B:$B,Heron!BJ$9,Xero!$A:$A,Heron!$A$5,Xero!$E:$E,Heron!$A91)</f>
        <v/>
      </c>
      <c r="BK91" s="117">
        <f>sum(D91:BJ91)</f>
        <v/>
      </c>
    </row>
    <row r="92">
      <c r="A92" s="116" t="inlineStr">
        <is>
          <t>Management fees - OMH</t>
        </is>
      </c>
      <c r="D92" s="117">
        <f>SUMIFS(Xero!$F:$F,Xero!$B:$B,Heron!D$9,Xero!$A:$A,Heron!$A$4,Xero!$E:$E,Heron!$A92)+SUMIFS(Xero!$F:$F,Xero!$B:$B,Heron!D$9,Xero!$A:$A,Heron!$A$5,Xero!$E:$E,Heron!$A92)</f>
        <v/>
      </c>
      <c r="E92" s="117">
        <f>SUMIFS(Xero!$F:$F,Xero!$B:$B,Heron!E$9,Xero!$A:$A,Heron!$A$4,Xero!$E:$E,Heron!$A92)+SUMIFS(Xero!$F:$F,Xero!$B:$B,Heron!E$9,Xero!$A:$A,Heron!$A$5,Xero!$E:$E,Heron!$A92)</f>
        <v/>
      </c>
      <c r="F92" s="117">
        <f>SUMIFS(Xero!$F:$F,Xero!$B:$B,Heron!F$9,Xero!$A:$A,Heron!$A$4,Xero!$E:$E,Heron!$A92)+SUMIFS(Xero!$F:$F,Xero!$B:$B,Heron!F$9,Xero!$A:$A,Heron!$A$5,Xero!$E:$E,Heron!$A92)</f>
        <v/>
      </c>
      <c r="G92" s="117">
        <f>SUMIFS(Xero!$F:$F,Xero!$B:$B,Heron!G$9,Xero!$A:$A,Heron!$A$4,Xero!$E:$E,Heron!$A92)+SUMIFS(Xero!$F:$F,Xero!$B:$B,Heron!G$9,Xero!$A:$A,Heron!$A$5,Xero!$E:$E,Heron!$A92)</f>
        <v/>
      </c>
      <c r="H92" s="117">
        <f>SUMIFS(Xero!$F:$F,Xero!$B:$B,Heron!H$9,Xero!$A:$A,Heron!$A$4,Xero!$E:$E,Heron!$A92)+SUMIFS(Xero!$F:$F,Xero!$B:$B,Heron!H$9,Xero!$A:$A,Heron!$A$5,Xero!$E:$E,Heron!$A92)</f>
        <v/>
      </c>
      <c r="I92" s="117">
        <f>SUMIFS(Xero!$F:$F,Xero!$B:$B,Heron!I$9,Xero!$A:$A,Heron!$A$4,Xero!$E:$E,Heron!$A92)+SUMIFS(Xero!$F:$F,Xero!$B:$B,Heron!I$9,Xero!$A:$A,Heron!$A$5,Xero!$E:$E,Heron!$A92)</f>
        <v/>
      </c>
      <c r="J92" s="117">
        <f>SUMIFS(Xero!$F:$F,Xero!$B:$B,Heron!J$9,Xero!$A:$A,Heron!$A$4,Xero!$E:$E,Heron!$A92)+SUMIFS(Xero!$F:$F,Xero!$B:$B,Heron!J$9,Xero!$A:$A,Heron!$A$5,Xero!$E:$E,Heron!$A92)</f>
        <v/>
      </c>
      <c r="K92" s="117">
        <f>SUMIFS(Xero!$F:$F,Xero!$B:$B,Heron!K$9,Xero!$A:$A,Heron!$A$4,Xero!$E:$E,Heron!$A92)+SUMIFS(Xero!$F:$F,Xero!$B:$B,Heron!K$9,Xero!$A:$A,Heron!$A$5,Xero!$E:$E,Heron!$A92)</f>
        <v/>
      </c>
      <c r="L92" s="117">
        <f>SUMIFS(Xero!$F:$F,Xero!$B:$B,Heron!L$9,Xero!$A:$A,Heron!$A$4,Xero!$E:$E,Heron!$A92)+SUMIFS(Xero!$F:$F,Xero!$B:$B,Heron!L$9,Xero!$A:$A,Heron!$A$5,Xero!$E:$E,Heron!$A92)</f>
        <v/>
      </c>
      <c r="M92" s="117">
        <f>SUMIFS(Xero!$F:$F,Xero!$B:$B,Heron!M$9,Xero!$A:$A,Heron!$A$4,Xero!$E:$E,Heron!$A92)+SUMIFS(Xero!$F:$F,Xero!$B:$B,Heron!M$9,Xero!$A:$A,Heron!$A$5,Xero!$E:$E,Heron!$A92)</f>
        <v/>
      </c>
      <c r="N92" s="117">
        <f>SUMIFS(Xero!$F:$F,Xero!$B:$B,Heron!N$9,Xero!$A:$A,Heron!$A$4,Xero!$E:$E,Heron!$A92)+SUMIFS(Xero!$F:$F,Xero!$B:$B,Heron!N$9,Xero!$A:$A,Heron!$A$5,Xero!$E:$E,Heron!$A92)</f>
        <v/>
      </c>
      <c r="O92" s="117">
        <f>SUMIFS(Xero!$F:$F,Xero!$B:$B,Heron!O$9,Xero!$A:$A,Heron!$A$4,Xero!$E:$E,Heron!$A92)+SUMIFS(Xero!$F:$F,Xero!$B:$B,Heron!O$9,Xero!$A:$A,Heron!$A$5,Xero!$E:$E,Heron!$A92)</f>
        <v/>
      </c>
      <c r="P92" s="117">
        <f>SUMIFS(Xero!$F:$F,Xero!$B:$B,Heron!P$9,Xero!$A:$A,Heron!$A$4,Xero!$E:$E,Heron!$A92)+SUMIFS(Xero!$F:$F,Xero!$B:$B,Heron!P$9,Xero!$A:$A,Heron!$A$5,Xero!$E:$E,Heron!$A92)</f>
        <v/>
      </c>
      <c r="Q92" s="117">
        <f>SUMIFS(Xero!$F:$F,Xero!$B:$B,Heron!Q$9,Xero!$A:$A,Heron!$A$4,Xero!$E:$E,Heron!$A92)+SUMIFS(Xero!$F:$F,Xero!$B:$B,Heron!Q$9,Xero!$A:$A,Heron!$A$5,Xero!$E:$E,Heron!$A92)</f>
        <v/>
      </c>
      <c r="R92" s="117">
        <f>SUMIFS(Xero!$F:$F,Xero!$B:$B,Heron!R$9,Xero!$A:$A,Heron!$A$4,Xero!$E:$E,Heron!$A92)+SUMIFS(Xero!$F:$F,Xero!$B:$B,Heron!R$9,Xero!$A:$A,Heron!$A$5,Xero!$E:$E,Heron!$A92)</f>
        <v/>
      </c>
      <c r="S92" s="117">
        <f>SUMIFS(Xero!$F:$F,Xero!$B:$B,Heron!S$9,Xero!$A:$A,Heron!$A$4,Xero!$E:$E,Heron!$A92)+SUMIFS(Xero!$F:$F,Xero!$B:$B,Heron!S$9,Xero!$A:$A,Heron!$A$5,Xero!$E:$E,Heron!$A92)</f>
        <v/>
      </c>
      <c r="T92" s="117">
        <f>SUMIFS(Xero!$F:$F,Xero!$B:$B,Heron!T$9,Xero!$A:$A,Heron!$A$4,Xero!$E:$E,Heron!$A92)+SUMIFS(Xero!$F:$F,Xero!$B:$B,Heron!T$9,Xero!$A:$A,Heron!$A$5,Xero!$E:$E,Heron!$A92)</f>
        <v/>
      </c>
      <c r="U92" s="117">
        <f>SUMIFS(Xero!$F:$F,Xero!$B:$B,Heron!U$9,Xero!$A:$A,Heron!$A$4,Xero!$E:$E,Heron!$A92)+SUMIFS(Xero!$F:$F,Xero!$B:$B,Heron!U$9,Xero!$A:$A,Heron!$A$5,Xero!$E:$E,Heron!$A92)</f>
        <v/>
      </c>
      <c r="V92" s="117">
        <f>SUMIFS(Xero!$F:$F,Xero!$B:$B,Heron!V$9,Xero!$A:$A,Heron!$A$4,Xero!$E:$E,Heron!$A92)+SUMIFS(Xero!$F:$F,Xero!$B:$B,Heron!V$9,Xero!$A:$A,Heron!$A$5,Xero!$E:$E,Heron!$A92)</f>
        <v/>
      </c>
      <c r="W92" s="117">
        <f>SUMIFS(Xero!$F:$F,Xero!$B:$B,Heron!W$9,Xero!$A:$A,Heron!$A$4,Xero!$E:$E,Heron!$A92)+SUMIFS(Xero!$F:$F,Xero!$B:$B,Heron!W$9,Xero!$A:$A,Heron!$A$5,Xero!$E:$E,Heron!$A92)</f>
        <v/>
      </c>
      <c r="X92" s="117">
        <f>SUMIFS(Xero!$F:$F,Xero!$B:$B,Heron!X$9,Xero!$A:$A,Heron!$A$4,Xero!$E:$E,Heron!$A92)+SUMIFS(Xero!$F:$F,Xero!$B:$B,Heron!X$9,Xero!$A:$A,Heron!$A$5,Xero!$E:$E,Heron!$A92)</f>
        <v/>
      </c>
      <c r="Y92" s="117">
        <f>SUMIFS(Xero!$F:$F,Xero!$B:$B,Heron!Y$9,Xero!$A:$A,Heron!$A$4,Xero!$E:$E,Heron!$A92)+SUMIFS(Xero!$F:$F,Xero!$B:$B,Heron!Y$9,Xero!$A:$A,Heron!$A$5,Xero!$E:$E,Heron!$A92)</f>
        <v/>
      </c>
      <c r="Z92" s="117">
        <f>SUMIFS(Xero!$F:$F,Xero!$B:$B,Heron!Z$9,Xero!$A:$A,Heron!$A$4,Xero!$E:$E,Heron!$A92)+SUMIFS(Xero!$F:$F,Xero!$B:$B,Heron!Z$9,Xero!$A:$A,Heron!$A$5,Xero!$E:$E,Heron!$A92)</f>
        <v/>
      </c>
      <c r="AA92" s="117">
        <f>SUMIFS(Xero!$F:$F,Xero!$B:$B,Heron!AA$9,Xero!$A:$A,Heron!$A$4,Xero!$E:$E,Heron!$A92)+SUMIFS(Xero!$F:$F,Xero!$B:$B,Heron!AA$9,Xero!$A:$A,Heron!$A$5,Xero!$E:$E,Heron!$A92)</f>
        <v/>
      </c>
      <c r="AB92" s="117">
        <f>SUMIFS(Xero!$F:$F,Xero!$B:$B,Heron!AB$9,Xero!$A:$A,Heron!$A$4,Xero!$E:$E,Heron!$A92)+SUMIFS(Xero!$F:$F,Xero!$B:$B,Heron!AB$9,Xero!$A:$A,Heron!$A$5,Xero!$E:$E,Heron!$A92)</f>
        <v/>
      </c>
      <c r="AC92" s="117">
        <f>SUMIFS(Xero!$F:$F,Xero!$B:$B,Heron!AC$9,Xero!$A:$A,Heron!$A$4,Xero!$E:$E,Heron!$A92)+SUMIFS(Xero!$F:$F,Xero!$B:$B,Heron!AC$9,Xero!$A:$A,Heron!$A$5,Xero!$E:$E,Heron!$A92)</f>
        <v/>
      </c>
      <c r="AD92" s="117">
        <f>SUMIFS(Xero!$F:$F,Xero!$B:$B,Heron!AD$9,Xero!$A:$A,Heron!$A$4,Xero!$E:$E,Heron!$A92)+SUMIFS(Xero!$F:$F,Xero!$B:$B,Heron!AD$9,Xero!$A:$A,Heron!$A$5,Xero!$E:$E,Heron!$A92)</f>
        <v/>
      </c>
      <c r="AE92" s="117">
        <f>SUMIFS(Xero!$F:$F,Xero!$B:$B,Heron!AE$9,Xero!$A:$A,Heron!$A$4,Xero!$E:$E,Heron!$A92)+SUMIFS(Xero!$F:$F,Xero!$B:$B,Heron!AE$9,Xero!$A:$A,Heron!$A$5,Xero!$E:$E,Heron!$A92)</f>
        <v/>
      </c>
      <c r="AF92" s="117">
        <f>SUMIFS(Xero!$F:$F,Xero!$B:$B,Heron!AF$9,Xero!$A:$A,Heron!$A$4,Xero!$E:$E,Heron!$A92)+SUMIFS(Xero!$F:$F,Xero!$B:$B,Heron!AF$9,Xero!$A:$A,Heron!$A$5,Xero!$E:$E,Heron!$A92)</f>
        <v/>
      </c>
      <c r="AG92" s="117">
        <f>SUMIFS(Xero!$F:$F,Xero!$B:$B,Heron!AG$9,Xero!$A:$A,Heron!$A$4,Xero!$E:$E,Heron!$A92)+SUMIFS(Xero!$F:$F,Xero!$B:$B,Heron!AG$9,Xero!$A:$A,Heron!$A$5,Xero!$E:$E,Heron!$A92)</f>
        <v/>
      </c>
      <c r="AH92" s="117">
        <f>SUMIFS(Xero!$F:$F,Xero!$B:$B,Heron!AH$9,Xero!$A:$A,Heron!$A$4,Xero!$E:$E,Heron!$A92)+SUMIFS(Xero!$F:$F,Xero!$B:$B,Heron!AH$9,Xero!$A:$A,Heron!$A$5,Xero!$E:$E,Heron!$A92)</f>
        <v/>
      </c>
      <c r="AI92" s="117">
        <f>SUMIFS(Xero!$F:$F,Xero!$B:$B,Heron!AI$9,Xero!$A:$A,Heron!$A$4,Xero!$E:$E,Heron!$A92)+SUMIFS(Xero!$F:$F,Xero!$B:$B,Heron!AI$9,Xero!$A:$A,Heron!$A$5,Xero!$E:$E,Heron!$A92)</f>
        <v/>
      </c>
      <c r="AJ92" s="117">
        <f>SUMIFS(Xero!$F:$F,Xero!$B:$B,Heron!AJ$9,Xero!$A:$A,Heron!$A$4,Xero!$E:$E,Heron!$A92)+SUMIFS(Xero!$F:$F,Xero!$B:$B,Heron!AJ$9,Xero!$A:$A,Heron!$A$5,Xero!$E:$E,Heron!$A92)</f>
        <v/>
      </c>
      <c r="AK92" s="117">
        <f>SUMIFS(Xero!$F:$F,Xero!$B:$B,Heron!AK$9,Xero!$A:$A,Heron!$A$4,Xero!$E:$E,Heron!$A92)+SUMIFS(Xero!$F:$F,Xero!$B:$B,Heron!AK$9,Xero!$A:$A,Heron!$A$5,Xero!$E:$E,Heron!$A92)</f>
        <v/>
      </c>
      <c r="AL92" s="117">
        <f>SUMIFS(Xero!$F:$F,Xero!$B:$B,Heron!AL$9,Xero!$A:$A,Heron!$A$4,Xero!$E:$E,Heron!$A92)+SUMIFS(Xero!$F:$F,Xero!$B:$B,Heron!AL$9,Xero!$A:$A,Heron!$A$5,Xero!$E:$E,Heron!$A92)</f>
        <v/>
      </c>
      <c r="AM92" s="117">
        <f>SUMIFS(Xero!$F:$F,Xero!$B:$B,Heron!AM$9,Xero!$A:$A,Heron!$A$4,Xero!$E:$E,Heron!$A92)+SUMIFS(Xero!$F:$F,Xero!$B:$B,Heron!AM$9,Xero!$A:$A,Heron!$A$5,Xero!$E:$E,Heron!$A92)</f>
        <v/>
      </c>
      <c r="AN92" s="117">
        <f>SUMIFS(Xero!$F:$F,Xero!$B:$B,Heron!AN$9,Xero!$A:$A,Heron!$A$4,Xero!$E:$E,Heron!$A92)+SUMIFS(Xero!$F:$F,Xero!$B:$B,Heron!AN$9,Xero!$A:$A,Heron!$A$5,Xero!$E:$E,Heron!$A92)</f>
        <v/>
      </c>
      <c r="AO92" s="117">
        <f>SUMIFS(Xero!$F:$F,Xero!$B:$B,Heron!AO$9,Xero!$A:$A,Heron!$A$4,Xero!$E:$E,Heron!$A92)+SUMIFS(Xero!$F:$F,Xero!$B:$B,Heron!AO$9,Xero!$A:$A,Heron!$A$5,Xero!$E:$E,Heron!$A92)</f>
        <v/>
      </c>
      <c r="AP92" s="117">
        <f>SUMIFS(Xero!$F:$F,Xero!$B:$B,Heron!AP$9,Xero!$A:$A,Heron!$A$4,Xero!$E:$E,Heron!$A92)+SUMIFS(Xero!$F:$F,Xero!$B:$B,Heron!AP$9,Xero!$A:$A,Heron!$A$5,Xero!$E:$E,Heron!$A92)</f>
        <v/>
      </c>
      <c r="AQ92" s="117">
        <f>SUMIFS(Xero!$F:$F,Xero!$B:$B,Heron!AQ$9,Xero!$A:$A,Heron!$A$4,Xero!$E:$E,Heron!$A92)+SUMIFS(Xero!$F:$F,Xero!$B:$B,Heron!AQ$9,Xero!$A:$A,Heron!$A$5,Xero!$E:$E,Heron!$A92)</f>
        <v/>
      </c>
      <c r="AR92" s="117">
        <f>SUMIFS(Xero!$F:$F,Xero!$B:$B,Heron!AR$9,Xero!$A:$A,Heron!$A$4,Xero!$E:$E,Heron!$A92)+SUMIFS(Xero!$F:$F,Xero!$B:$B,Heron!AR$9,Xero!$A:$A,Heron!$A$5,Xero!$E:$E,Heron!$A92)</f>
        <v/>
      </c>
      <c r="AS92" s="117">
        <f>SUMIFS(Xero!$F:$F,Xero!$B:$B,Heron!AS$9,Xero!$A:$A,Heron!$A$4,Xero!$E:$E,Heron!$A92)+SUMIFS(Xero!$F:$F,Xero!$B:$B,Heron!AS$9,Xero!$A:$A,Heron!$A$5,Xero!$E:$E,Heron!$A92)</f>
        <v/>
      </c>
      <c r="AT92" s="117">
        <f>SUMIFS(Xero!$F:$F,Xero!$B:$B,Heron!AT$9,Xero!$A:$A,Heron!$A$4,Xero!$E:$E,Heron!$A92)+SUMIFS(Xero!$F:$F,Xero!$B:$B,Heron!AT$9,Xero!$A:$A,Heron!$A$5,Xero!$E:$E,Heron!$A92)</f>
        <v/>
      </c>
      <c r="AU92" s="117">
        <f>SUMIFS(Xero!$F:$F,Xero!$B:$B,Heron!AU$9,Xero!$A:$A,Heron!$A$4,Xero!$E:$E,Heron!$A92)+SUMIFS(Xero!$F:$F,Xero!$B:$B,Heron!AU$9,Xero!$A:$A,Heron!$A$5,Xero!$E:$E,Heron!$A92)</f>
        <v/>
      </c>
      <c r="AV92" s="117">
        <f>SUMIFS(Xero!$F:$F,Xero!$B:$B,Heron!AV$9,Xero!$A:$A,Heron!$A$4,Xero!$E:$E,Heron!$A92)+SUMIFS(Xero!$F:$F,Xero!$B:$B,Heron!AV$9,Xero!$A:$A,Heron!$A$5,Xero!$E:$E,Heron!$A92)</f>
        <v/>
      </c>
      <c r="AW92" s="117">
        <f>SUMIFS(Xero!$F:$F,Xero!$B:$B,Heron!AW$9,Xero!$A:$A,Heron!$A$4,Xero!$E:$E,Heron!$A92)+SUMIFS(Xero!$F:$F,Xero!$B:$B,Heron!AW$9,Xero!$A:$A,Heron!$A$5,Xero!$E:$E,Heron!$A92)</f>
        <v/>
      </c>
      <c r="AX92" s="117">
        <f>SUMIFS(Xero!$F:$F,Xero!$B:$B,Heron!AX$9,Xero!$A:$A,Heron!$A$4,Xero!$E:$E,Heron!$A92)+SUMIFS(Xero!$F:$F,Xero!$B:$B,Heron!AX$9,Xero!$A:$A,Heron!$A$5,Xero!$E:$E,Heron!$A92)</f>
        <v/>
      </c>
      <c r="AY92" s="117">
        <f>SUMIFS(Xero!$F:$F,Xero!$B:$B,Heron!AY$9,Xero!$A:$A,Heron!$A$4,Xero!$E:$E,Heron!$A92)+SUMIFS(Xero!$F:$F,Xero!$B:$B,Heron!AY$9,Xero!$A:$A,Heron!$A$5,Xero!$E:$E,Heron!$A92)</f>
        <v/>
      </c>
      <c r="AZ92" s="117">
        <f>SUMIFS(Xero!$F:$F,Xero!$B:$B,Heron!AZ$9,Xero!$A:$A,Heron!$A$4,Xero!$E:$E,Heron!$A92)+SUMIFS(Xero!$F:$F,Xero!$B:$B,Heron!AZ$9,Xero!$A:$A,Heron!$A$5,Xero!$E:$E,Heron!$A92)</f>
        <v/>
      </c>
      <c r="BA92" s="117">
        <f>SUMIFS(Xero!$F:$F,Xero!$B:$B,Heron!BA$9,Xero!$A:$A,Heron!$A$4,Xero!$E:$E,Heron!$A92)+SUMIFS(Xero!$F:$F,Xero!$B:$B,Heron!BA$9,Xero!$A:$A,Heron!$A$5,Xero!$E:$E,Heron!$A92)</f>
        <v/>
      </c>
      <c r="BB92" s="117">
        <f>SUMIFS(Xero!$F:$F,Xero!$B:$B,Heron!BB$9,Xero!$A:$A,Heron!$A$4,Xero!$E:$E,Heron!$A92)+SUMIFS(Xero!$F:$F,Xero!$B:$B,Heron!BB$9,Xero!$A:$A,Heron!$A$5,Xero!$E:$E,Heron!$A92)</f>
        <v/>
      </c>
      <c r="BC92" s="117">
        <f>SUMIFS(Xero!$F:$F,Xero!$B:$B,Heron!BC$9,Xero!$A:$A,Heron!$A$4,Xero!$E:$E,Heron!$A92)+SUMIFS(Xero!$F:$F,Xero!$B:$B,Heron!BC$9,Xero!$A:$A,Heron!$A$5,Xero!$E:$E,Heron!$A92)</f>
        <v/>
      </c>
      <c r="BD92" s="117">
        <f>SUMIFS(Xero!$F:$F,Xero!$B:$B,Heron!BD$9,Xero!$A:$A,Heron!$A$4,Xero!$E:$E,Heron!$A92)+SUMIFS(Xero!$F:$F,Xero!$B:$B,Heron!BD$9,Xero!$A:$A,Heron!$A$5,Xero!$E:$E,Heron!$A92)</f>
        <v/>
      </c>
      <c r="BE92" s="117">
        <f>SUMIFS(Xero!$F:$F,Xero!$B:$B,Heron!BE$9,Xero!$A:$A,Heron!$A$4,Xero!$E:$E,Heron!$A92)+SUMIFS(Xero!$F:$F,Xero!$B:$B,Heron!BE$9,Xero!$A:$A,Heron!$A$5,Xero!$E:$E,Heron!$A92)</f>
        <v/>
      </c>
      <c r="BF92" s="117">
        <f>SUMIFS(Xero!$F:$F,Xero!$B:$B,Heron!BF$9,Xero!$A:$A,Heron!$A$4,Xero!$E:$E,Heron!$A92)+SUMIFS(Xero!$F:$F,Xero!$B:$B,Heron!BF$9,Xero!$A:$A,Heron!$A$5,Xero!$E:$E,Heron!$A92)</f>
        <v/>
      </c>
      <c r="BG92" s="117">
        <f>SUMIFS(Xero!$F:$F,Xero!$B:$B,Heron!BG$9,Xero!$A:$A,Heron!$A$4,Xero!$E:$E,Heron!$A92)+SUMIFS(Xero!$F:$F,Xero!$B:$B,Heron!BG$9,Xero!$A:$A,Heron!$A$5,Xero!$E:$E,Heron!$A92)</f>
        <v/>
      </c>
      <c r="BH92" s="117">
        <f>SUMIFS(Xero!$F:$F,Xero!$B:$B,Heron!BH$9,Xero!$A:$A,Heron!$A$4,Xero!$E:$E,Heron!$A92)+SUMIFS(Xero!$F:$F,Xero!$B:$B,Heron!BH$9,Xero!$A:$A,Heron!$A$5,Xero!$E:$E,Heron!$A92)</f>
        <v/>
      </c>
      <c r="BI92" s="117">
        <f>SUMIFS(Xero!$F:$F,Xero!$B:$B,Heron!BI$9,Xero!$A:$A,Heron!$A$4,Xero!$E:$E,Heron!$A92)+SUMIFS(Xero!$F:$F,Xero!$B:$B,Heron!BI$9,Xero!$A:$A,Heron!$A$5,Xero!$E:$E,Heron!$A92)</f>
        <v/>
      </c>
      <c r="BJ92" s="117">
        <f>SUMIFS(Xero!$F:$F,Xero!$B:$B,Heron!BJ$9,Xero!$A:$A,Heron!$A$4,Xero!$E:$E,Heron!$A92)+SUMIFS(Xero!$F:$F,Xero!$B:$B,Heron!BJ$9,Xero!$A:$A,Heron!$A$5,Xero!$E:$E,Heron!$A92)</f>
        <v/>
      </c>
      <c r="BK92" s="117">
        <f>sum(D92:BJ92)</f>
        <v/>
      </c>
    </row>
    <row r="93">
      <c r="A93" s="116" t="inlineStr">
        <is>
          <t>Momentum Admin Fee</t>
        </is>
      </c>
      <c r="D93" s="117">
        <f>SUMIFS(Xero!$F:$F,Xero!$B:$B,Heron!D$9,Xero!$A:$A,Heron!$A$4,Xero!$E:$E,Heron!$A93)+SUMIFS(Xero!$F:$F,Xero!$B:$B,Heron!D$9,Xero!$A:$A,Heron!$A$5,Xero!$E:$E,Heron!$A93)</f>
        <v/>
      </c>
      <c r="E93" s="117">
        <f>SUMIFS(Xero!$F:$F,Xero!$B:$B,Heron!E$9,Xero!$A:$A,Heron!$A$4,Xero!$E:$E,Heron!$A93)+SUMIFS(Xero!$F:$F,Xero!$B:$B,Heron!E$9,Xero!$A:$A,Heron!$A$5,Xero!$E:$E,Heron!$A93)</f>
        <v/>
      </c>
      <c r="F93" s="117">
        <f>SUMIFS(Xero!$F:$F,Xero!$B:$B,Heron!F$9,Xero!$A:$A,Heron!$A$4,Xero!$E:$E,Heron!$A93)+SUMIFS(Xero!$F:$F,Xero!$B:$B,Heron!F$9,Xero!$A:$A,Heron!$A$5,Xero!$E:$E,Heron!$A93)</f>
        <v/>
      </c>
      <c r="G93" s="117">
        <f>SUMIFS(Xero!$F:$F,Xero!$B:$B,Heron!G$9,Xero!$A:$A,Heron!$A$4,Xero!$E:$E,Heron!$A93)+SUMIFS(Xero!$F:$F,Xero!$B:$B,Heron!G$9,Xero!$A:$A,Heron!$A$5,Xero!$E:$E,Heron!$A93)</f>
        <v/>
      </c>
      <c r="H93" s="117">
        <f>SUMIFS(Xero!$F:$F,Xero!$B:$B,Heron!H$9,Xero!$A:$A,Heron!$A$4,Xero!$E:$E,Heron!$A93)+SUMIFS(Xero!$F:$F,Xero!$B:$B,Heron!H$9,Xero!$A:$A,Heron!$A$5,Xero!$E:$E,Heron!$A93)</f>
        <v/>
      </c>
      <c r="I93" s="117">
        <f>SUMIFS(Xero!$F:$F,Xero!$B:$B,Heron!I$9,Xero!$A:$A,Heron!$A$4,Xero!$E:$E,Heron!$A93)+SUMIFS(Xero!$F:$F,Xero!$B:$B,Heron!I$9,Xero!$A:$A,Heron!$A$5,Xero!$E:$E,Heron!$A93)</f>
        <v/>
      </c>
      <c r="J93" s="117">
        <f>SUMIFS(Xero!$F:$F,Xero!$B:$B,Heron!J$9,Xero!$A:$A,Heron!$A$4,Xero!$E:$E,Heron!$A93)+SUMIFS(Xero!$F:$F,Xero!$B:$B,Heron!J$9,Xero!$A:$A,Heron!$A$5,Xero!$E:$E,Heron!$A93)</f>
        <v/>
      </c>
      <c r="K93" s="117">
        <f>SUMIFS(Xero!$F:$F,Xero!$B:$B,Heron!K$9,Xero!$A:$A,Heron!$A$4,Xero!$E:$E,Heron!$A93)+SUMIFS(Xero!$F:$F,Xero!$B:$B,Heron!K$9,Xero!$A:$A,Heron!$A$5,Xero!$E:$E,Heron!$A93)</f>
        <v/>
      </c>
      <c r="L93" s="117">
        <f>SUMIFS(Xero!$F:$F,Xero!$B:$B,Heron!L$9,Xero!$A:$A,Heron!$A$4,Xero!$E:$E,Heron!$A93)+SUMIFS(Xero!$F:$F,Xero!$B:$B,Heron!L$9,Xero!$A:$A,Heron!$A$5,Xero!$E:$E,Heron!$A93)</f>
        <v/>
      </c>
      <c r="M93" s="117">
        <f>SUMIFS(Xero!$F:$F,Xero!$B:$B,Heron!M$9,Xero!$A:$A,Heron!$A$4,Xero!$E:$E,Heron!$A93)+SUMIFS(Xero!$F:$F,Xero!$B:$B,Heron!M$9,Xero!$A:$A,Heron!$A$5,Xero!$E:$E,Heron!$A93)</f>
        <v/>
      </c>
      <c r="N93" s="117">
        <f>SUMIFS(Xero!$F:$F,Xero!$B:$B,Heron!N$9,Xero!$A:$A,Heron!$A$4,Xero!$E:$E,Heron!$A93)+SUMIFS(Xero!$F:$F,Xero!$B:$B,Heron!N$9,Xero!$A:$A,Heron!$A$5,Xero!$E:$E,Heron!$A93)</f>
        <v/>
      </c>
      <c r="O93" s="117">
        <f>SUMIFS(Xero!$F:$F,Xero!$B:$B,Heron!O$9,Xero!$A:$A,Heron!$A$4,Xero!$E:$E,Heron!$A93)+SUMIFS(Xero!$F:$F,Xero!$B:$B,Heron!O$9,Xero!$A:$A,Heron!$A$5,Xero!$E:$E,Heron!$A93)</f>
        <v/>
      </c>
      <c r="P93" s="117">
        <f>SUMIFS(Xero!$F:$F,Xero!$B:$B,Heron!P$9,Xero!$A:$A,Heron!$A$4,Xero!$E:$E,Heron!$A93)+SUMIFS(Xero!$F:$F,Xero!$B:$B,Heron!P$9,Xero!$A:$A,Heron!$A$5,Xero!$E:$E,Heron!$A93)</f>
        <v/>
      </c>
      <c r="Q93" s="117">
        <f>SUMIFS(Xero!$F:$F,Xero!$B:$B,Heron!Q$9,Xero!$A:$A,Heron!$A$4,Xero!$E:$E,Heron!$A93)+SUMIFS(Xero!$F:$F,Xero!$B:$B,Heron!Q$9,Xero!$A:$A,Heron!$A$5,Xero!$E:$E,Heron!$A93)</f>
        <v/>
      </c>
      <c r="R93" s="117">
        <f>SUMIFS(Xero!$F:$F,Xero!$B:$B,Heron!R$9,Xero!$A:$A,Heron!$A$4,Xero!$E:$E,Heron!$A93)+SUMIFS(Xero!$F:$F,Xero!$B:$B,Heron!R$9,Xero!$A:$A,Heron!$A$5,Xero!$E:$E,Heron!$A93)</f>
        <v/>
      </c>
      <c r="S93" s="117">
        <f>SUMIFS(Xero!$F:$F,Xero!$B:$B,Heron!S$9,Xero!$A:$A,Heron!$A$4,Xero!$E:$E,Heron!$A93)+SUMIFS(Xero!$F:$F,Xero!$B:$B,Heron!S$9,Xero!$A:$A,Heron!$A$5,Xero!$E:$E,Heron!$A93)</f>
        <v/>
      </c>
      <c r="T93" s="117">
        <f>SUMIFS(Xero!$F:$F,Xero!$B:$B,Heron!T$9,Xero!$A:$A,Heron!$A$4,Xero!$E:$E,Heron!$A93)+SUMIFS(Xero!$F:$F,Xero!$B:$B,Heron!T$9,Xero!$A:$A,Heron!$A$5,Xero!$E:$E,Heron!$A93)</f>
        <v/>
      </c>
      <c r="U93" s="117">
        <f>SUMIFS(Xero!$F:$F,Xero!$B:$B,Heron!U$9,Xero!$A:$A,Heron!$A$4,Xero!$E:$E,Heron!$A93)+SUMIFS(Xero!$F:$F,Xero!$B:$B,Heron!U$9,Xero!$A:$A,Heron!$A$5,Xero!$E:$E,Heron!$A93)</f>
        <v/>
      </c>
      <c r="V93" s="117">
        <f>SUMIFS(Xero!$F:$F,Xero!$B:$B,Heron!V$9,Xero!$A:$A,Heron!$A$4,Xero!$E:$E,Heron!$A93)+SUMIFS(Xero!$F:$F,Xero!$B:$B,Heron!V$9,Xero!$A:$A,Heron!$A$5,Xero!$E:$E,Heron!$A93)</f>
        <v/>
      </c>
      <c r="W93" s="117">
        <f>SUMIFS(Xero!$F:$F,Xero!$B:$B,Heron!W$9,Xero!$A:$A,Heron!$A$4,Xero!$E:$E,Heron!$A93)+SUMIFS(Xero!$F:$F,Xero!$B:$B,Heron!W$9,Xero!$A:$A,Heron!$A$5,Xero!$E:$E,Heron!$A93)</f>
        <v/>
      </c>
      <c r="X93" s="117">
        <f>SUMIFS(Xero!$F:$F,Xero!$B:$B,Heron!X$9,Xero!$A:$A,Heron!$A$4,Xero!$E:$E,Heron!$A93)+SUMIFS(Xero!$F:$F,Xero!$B:$B,Heron!X$9,Xero!$A:$A,Heron!$A$5,Xero!$E:$E,Heron!$A93)</f>
        <v/>
      </c>
      <c r="Y93" s="117">
        <f>SUMIFS(Xero!$F:$F,Xero!$B:$B,Heron!Y$9,Xero!$A:$A,Heron!$A$4,Xero!$E:$E,Heron!$A93)+SUMIFS(Xero!$F:$F,Xero!$B:$B,Heron!Y$9,Xero!$A:$A,Heron!$A$5,Xero!$E:$E,Heron!$A93)</f>
        <v/>
      </c>
      <c r="Z93" s="117">
        <f>SUMIFS(Xero!$F:$F,Xero!$B:$B,Heron!Z$9,Xero!$A:$A,Heron!$A$4,Xero!$E:$E,Heron!$A93)+SUMIFS(Xero!$F:$F,Xero!$B:$B,Heron!Z$9,Xero!$A:$A,Heron!$A$5,Xero!$E:$E,Heron!$A93)</f>
        <v/>
      </c>
      <c r="AA93" s="117">
        <f>SUMIFS(Xero!$F:$F,Xero!$B:$B,Heron!AA$9,Xero!$A:$A,Heron!$A$4,Xero!$E:$E,Heron!$A93)+SUMIFS(Xero!$F:$F,Xero!$B:$B,Heron!AA$9,Xero!$A:$A,Heron!$A$5,Xero!$E:$E,Heron!$A93)</f>
        <v/>
      </c>
      <c r="AB93" s="117">
        <f>SUMIFS(Xero!$F:$F,Xero!$B:$B,Heron!AB$9,Xero!$A:$A,Heron!$A$4,Xero!$E:$E,Heron!$A93)+SUMIFS(Xero!$F:$F,Xero!$B:$B,Heron!AB$9,Xero!$A:$A,Heron!$A$5,Xero!$E:$E,Heron!$A93)</f>
        <v/>
      </c>
      <c r="AC93" s="117">
        <f>SUMIFS(Xero!$F:$F,Xero!$B:$B,Heron!AC$9,Xero!$A:$A,Heron!$A$4,Xero!$E:$E,Heron!$A93)+SUMIFS(Xero!$F:$F,Xero!$B:$B,Heron!AC$9,Xero!$A:$A,Heron!$A$5,Xero!$E:$E,Heron!$A93)</f>
        <v/>
      </c>
      <c r="AD93" s="117">
        <f>SUMIFS(Xero!$F:$F,Xero!$B:$B,Heron!AD$9,Xero!$A:$A,Heron!$A$4,Xero!$E:$E,Heron!$A93)+SUMIFS(Xero!$F:$F,Xero!$B:$B,Heron!AD$9,Xero!$A:$A,Heron!$A$5,Xero!$E:$E,Heron!$A93)</f>
        <v/>
      </c>
      <c r="AE93" s="117">
        <f>SUMIFS(Xero!$F:$F,Xero!$B:$B,Heron!AE$9,Xero!$A:$A,Heron!$A$4,Xero!$E:$E,Heron!$A93)+SUMIFS(Xero!$F:$F,Xero!$B:$B,Heron!AE$9,Xero!$A:$A,Heron!$A$5,Xero!$E:$E,Heron!$A93)</f>
        <v/>
      </c>
      <c r="AF93" s="117">
        <f>SUMIFS(Xero!$F:$F,Xero!$B:$B,Heron!AF$9,Xero!$A:$A,Heron!$A$4,Xero!$E:$E,Heron!$A93)+SUMIFS(Xero!$F:$F,Xero!$B:$B,Heron!AF$9,Xero!$A:$A,Heron!$A$5,Xero!$E:$E,Heron!$A93)</f>
        <v/>
      </c>
      <c r="AG93" s="117">
        <f>SUMIFS(Xero!$F:$F,Xero!$B:$B,Heron!AG$9,Xero!$A:$A,Heron!$A$4,Xero!$E:$E,Heron!$A93)+SUMIFS(Xero!$F:$F,Xero!$B:$B,Heron!AG$9,Xero!$A:$A,Heron!$A$5,Xero!$E:$E,Heron!$A93)</f>
        <v/>
      </c>
      <c r="AH93" s="117">
        <f>SUMIFS(Xero!$F:$F,Xero!$B:$B,Heron!AH$9,Xero!$A:$A,Heron!$A$4,Xero!$E:$E,Heron!$A93)+SUMIFS(Xero!$F:$F,Xero!$B:$B,Heron!AH$9,Xero!$A:$A,Heron!$A$5,Xero!$E:$E,Heron!$A93)</f>
        <v/>
      </c>
      <c r="AI93" s="117">
        <f>SUMIFS(Xero!$F:$F,Xero!$B:$B,Heron!AI$9,Xero!$A:$A,Heron!$A$4,Xero!$E:$E,Heron!$A93)+SUMIFS(Xero!$F:$F,Xero!$B:$B,Heron!AI$9,Xero!$A:$A,Heron!$A$5,Xero!$E:$E,Heron!$A93)</f>
        <v/>
      </c>
      <c r="AJ93" s="117">
        <f>SUMIFS(Xero!$F:$F,Xero!$B:$B,Heron!AJ$9,Xero!$A:$A,Heron!$A$4,Xero!$E:$E,Heron!$A93)+SUMIFS(Xero!$F:$F,Xero!$B:$B,Heron!AJ$9,Xero!$A:$A,Heron!$A$5,Xero!$E:$E,Heron!$A93)</f>
        <v/>
      </c>
      <c r="AK93" s="117">
        <f>SUMIFS(Xero!$F:$F,Xero!$B:$B,Heron!AK$9,Xero!$A:$A,Heron!$A$4,Xero!$E:$E,Heron!$A93)+SUMIFS(Xero!$F:$F,Xero!$B:$B,Heron!AK$9,Xero!$A:$A,Heron!$A$5,Xero!$E:$E,Heron!$A93)</f>
        <v/>
      </c>
      <c r="AL93" s="117">
        <f>SUMIFS(Xero!$F:$F,Xero!$B:$B,Heron!AL$9,Xero!$A:$A,Heron!$A$4,Xero!$E:$E,Heron!$A93)+SUMIFS(Xero!$F:$F,Xero!$B:$B,Heron!AL$9,Xero!$A:$A,Heron!$A$5,Xero!$E:$E,Heron!$A93)</f>
        <v/>
      </c>
      <c r="AM93" s="117">
        <f>SUMIFS(Xero!$F:$F,Xero!$B:$B,Heron!AM$9,Xero!$A:$A,Heron!$A$4,Xero!$E:$E,Heron!$A93)+SUMIFS(Xero!$F:$F,Xero!$B:$B,Heron!AM$9,Xero!$A:$A,Heron!$A$5,Xero!$E:$E,Heron!$A93)</f>
        <v/>
      </c>
      <c r="AN93" s="117">
        <f>SUMIFS(Xero!$F:$F,Xero!$B:$B,Heron!AN$9,Xero!$A:$A,Heron!$A$4,Xero!$E:$E,Heron!$A93)+SUMIFS(Xero!$F:$F,Xero!$B:$B,Heron!AN$9,Xero!$A:$A,Heron!$A$5,Xero!$E:$E,Heron!$A93)</f>
        <v/>
      </c>
      <c r="AO93" s="117">
        <f>SUMIFS(Xero!$F:$F,Xero!$B:$B,Heron!AO$9,Xero!$A:$A,Heron!$A$4,Xero!$E:$E,Heron!$A93)+SUMIFS(Xero!$F:$F,Xero!$B:$B,Heron!AO$9,Xero!$A:$A,Heron!$A$5,Xero!$E:$E,Heron!$A93)</f>
        <v/>
      </c>
      <c r="AP93" s="117">
        <f>SUMIFS(Xero!$F:$F,Xero!$B:$B,Heron!AP$9,Xero!$A:$A,Heron!$A$4,Xero!$E:$E,Heron!$A93)+SUMIFS(Xero!$F:$F,Xero!$B:$B,Heron!AP$9,Xero!$A:$A,Heron!$A$5,Xero!$E:$E,Heron!$A93)</f>
        <v/>
      </c>
      <c r="AQ93" s="117">
        <f>SUMIFS(Xero!$F:$F,Xero!$B:$B,Heron!AQ$9,Xero!$A:$A,Heron!$A$4,Xero!$E:$E,Heron!$A93)+SUMIFS(Xero!$F:$F,Xero!$B:$B,Heron!AQ$9,Xero!$A:$A,Heron!$A$5,Xero!$E:$E,Heron!$A93)</f>
        <v/>
      </c>
      <c r="AR93" s="117">
        <f>SUMIFS(Xero!$F:$F,Xero!$B:$B,Heron!AR$9,Xero!$A:$A,Heron!$A$4,Xero!$E:$E,Heron!$A93)+SUMIFS(Xero!$F:$F,Xero!$B:$B,Heron!AR$9,Xero!$A:$A,Heron!$A$5,Xero!$E:$E,Heron!$A93)</f>
        <v/>
      </c>
      <c r="AS93" s="117">
        <f>SUMIFS(Xero!$F:$F,Xero!$B:$B,Heron!AS$9,Xero!$A:$A,Heron!$A$4,Xero!$E:$E,Heron!$A93)+SUMIFS(Xero!$F:$F,Xero!$B:$B,Heron!AS$9,Xero!$A:$A,Heron!$A$5,Xero!$E:$E,Heron!$A93)</f>
        <v/>
      </c>
      <c r="AT93" s="117">
        <f>SUMIFS(Xero!$F:$F,Xero!$B:$B,Heron!AT$9,Xero!$A:$A,Heron!$A$4,Xero!$E:$E,Heron!$A93)+SUMIFS(Xero!$F:$F,Xero!$B:$B,Heron!AT$9,Xero!$A:$A,Heron!$A$5,Xero!$E:$E,Heron!$A93)</f>
        <v/>
      </c>
      <c r="AU93" s="117">
        <f>SUMIFS(Xero!$F:$F,Xero!$B:$B,Heron!AU$9,Xero!$A:$A,Heron!$A$4,Xero!$E:$E,Heron!$A93)+SUMIFS(Xero!$F:$F,Xero!$B:$B,Heron!AU$9,Xero!$A:$A,Heron!$A$5,Xero!$E:$E,Heron!$A93)</f>
        <v/>
      </c>
      <c r="AV93" s="117">
        <f>SUMIFS(Xero!$F:$F,Xero!$B:$B,Heron!AV$9,Xero!$A:$A,Heron!$A$4,Xero!$E:$E,Heron!$A93)+SUMIFS(Xero!$F:$F,Xero!$B:$B,Heron!AV$9,Xero!$A:$A,Heron!$A$5,Xero!$E:$E,Heron!$A93)</f>
        <v/>
      </c>
      <c r="AW93" s="117">
        <f>SUMIFS(Xero!$F:$F,Xero!$B:$B,Heron!AW$9,Xero!$A:$A,Heron!$A$4,Xero!$E:$E,Heron!$A93)+SUMIFS(Xero!$F:$F,Xero!$B:$B,Heron!AW$9,Xero!$A:$A,Heron!$A$5,Xero!$E:$E,Heron!$A93)</f>
        <v/>
      </c>
      <c r="AX93" s="117">
        <f>SUMIFS(Xero!$F:$F,Xero!$B:$B,Heron!AX$9,Xero!$A:$A,Heron!$A$4,Xero!$E:$E,Heron!$A93)+SUMIFS(Xero!$F:$F,Xero!$B:$B,Heron!AX$9,Xero!$A:$A,Heron!$A$5,Xero!$E:$E,Heron!$A93)</f>
        <v/>
      </c>
      <c r="AY93" s="117">
        <f>SUMIFS(Xero!$F:$F,Xero!$B:$B,Heron!AY$9,Xero!$A:$A,Heron!$A$4,Xero!$E:$E,Heron!$A93)+SUMIFS(Xero!$F:$F,Xero!$B:$B,Heron!AY$9,Xero!$A:$A,Heron!$A$5,Xero!$E:$E,Heron!$A93)</f>
        <v/>
      </c>
      <c r="AZ93" s="117">
        <f>SUMIFS(Xero!$F:$F,Xero!$B:$B,Heron!AZ$9,Xero!$A:$A,Heron!$A$4,Xero!$E:$E,Heron!$A93)+SUMIFS(Xero!$F:$F,Xero!$B:$B,Heron!AZ$9,Xero!$A:$A,Heron!$A$5,Xero!$E:$E,Heron!$A93)</f>
        <v/>
      </c>
      <c r="BA93" s="117">
        <f>SUMIFS(Xero!$F:$F,Xero!$B:$B,Heron!BA$9,Xero!$A:$A,Heron!$A$4,Xero!$E:$E,Heron!$A93)+SUMIFS(Xero!$F:$F,Xero!$B:$B,Heron!BA$9,Xero!$A:$A,Heron!$A$5,Xero!$E:$E,Heron!$A93)</f>
        <v/>
      </c>
      <c r="BB93" s="117">
        <f>SUMIFS(Xero!$F:$F,Xero!$B:$B,Heron!BB$9,Xero!$A:$A,Heron!$A$4,Xero!$E:$E,Heron!$A93)+SUMIFS(Xero!$F:$F,Xero!$B:$B,Heron!BB$9,Xero!$A:$A,Heron!$A$5,Xero!$E:$E,Heron!$A93)</f>
        <v/>
      </c>
      <c r="BC93" s="117">
        <f>SUMIFS(Xero!$F:$F,Xero!$B:$B,Heron!BC$9,Xero!$A:$A,Heron!$A$4,Xero!$E:$E,Heron!$A93)+SUMIFS(Xero!$F:$F,Xero!$B:$B,Heron!BC$9,Xero!$A:$A,Heron!$A$5,Xero!$E:$E,Heron!$A93)</f>
        <v/>
      </c>
      <c r="BD93" s="117">
        <f>SUMIFS(Xero!$F:$F,Xero!$B:$B,Heron!BD$9,Xero!$A:$A,Heron!$A$4,Xero!$E:$E,Heron!$A93)+SUMIFS(Xero!$F:$F,Xero!$B:$B,Heron!BD$9,Xero!$A:$A,Heron!$A$5,Xero!$E:$E,Heron!$A93)</f>
        <v/>
      </c>
      <c r="BE93" s="117">
        <f>SUMIFS(Xero!$F:$F,Xero!$B:$B,Heron!BE$9,Xero!$A:$A,Heron!$A$4,Xero!$E:$E,Heron!$A93)+SUMIFS(Xero!$F:$F,Xero!$B:$B,Heron!BE$9,Xero!$A:$A,Heron!$A$5,Xero!$E:$E,Heron!$A93)</f>
        <v/>
      </c>
      <c r="BF93" s="117">
        <f>SUMIFS(Xero!$F:$F,Xero!$B:$B,Heron!BF$9,Xero!$A:$A,Heron!$A$4,Xero!$E:$E,Heron!$A93)+SUMIFS(Xero!$F:$F,Xero!$B:$B,Heron!BF$9,Xero!$A:$A,Heron!$A$5,Xero!$E:$E,Heron!$A93)</f>
        <v/>
      </c>
      <c r="BG93" s="117">
        <f>SUMIFS(Xero!$F:$F,Xero!$B:$B,Heron!BG$9,Xero!$A:$A,Heron!$A$4,Xero!$E:$E,Heron!$A93)+SUMIFS(Xero!$F:$F,Xero!$B:$B,Heron!BG$9,Xero!$A:$A,Heron!$A$5,Xero!$E:$E,Heron!$A93)</f>
        <v/>
      </c>
      <c r="BH93" s="117">
        <f>SUMIFS(Xero!$F:$F,Xero!$B:$B,Heron!BH$9,Xero!$A:$A,Heron!$A$4,Xero!$E:$E,Heron!$A93)+SUMIFS(Xero!$F:$F,Xero!$B:$B,Heron!BH$9,Xero!$A:$A,Heron!$A$5,Xero!$E:$E,Heron!$A93)</f>
        <v/>
      </c>
      <c r="BI93" s="117">
        <f>SUMIFS(Xero!$F:$F,Xero!$B:$B,Heron!BI$9,Xero!$A:$A,Heron!$A$4,Xero!$E:$E,Heron!$A93)+SUMIFS(Xero!$F:$F,Xero!$B:$B,Heron!BI$9,Xero!$A:$A,Heron!$A$5,Xero!$E:$E,Heron!$A93)</f>
        <v/>
      </c>
      <c r="BJ93" s="117">
        <f>SUMIFS(Xero!$F:$F,Xero!$B:$B,Heron!BJ$9,Xero!$A:$A,Heron!$A$4,Xero!$E:$E,Heron!$A93)+SUMIFS(Xero!$F:$F,Xero!$B:$B,Heron!BJ$9,Xero!$A:$A,Heron!$A$5,Xero!$E:$E,Heron!$A93)</f>
        <v/>
      </c>
      <c r="BK93" s="117">
        <f>sum(D93:BJ93)</f>
        <v/>
      </c>
    </row>
    <row r="94">
      <c r="A94" s="116" t="inlineStr">
        <is>
          <t>Motor Vehicle Expenses</t>
        </is>
      </c>
      <c r="D94" s="117">
        <f>SUMIFS(Xero!$F:$F,Xero!$B:$B,Heron!D$9,Xero!$A:$A,Heron!$A$4,Xero!$E:$E,Heron!$A94)+SUMIFS(Xero!$F:$F,Xero!$B:$B,Heron!D$9,Xero!$A:$A,Heron!$A$5,Xero!$E:$E,Heron!$A94)</f>
        <v/>
      </c>
      <c r="E94" s="117">
        <f>SUMIFS(Xero!$F:$F,Xero!$B:$B,Heron!E$9,Xero!$A:$A,Heron!$A$4,Xero!$E:$E,Heron!$A94)+SUMIFS(Xero!$F:$F,Xero!$B:$B,Heron!E$9,Xero!$A:$A,Heron!$A$5,Xero!$E:$E,Heron!$A94)</f>
        <v/>
      </c>
      <c r="F94" s="117">
        <f>SUMIFS(Xero!$F:$F,Xero!$B:$B,Heron!F$9,Xero!$A:$A,Heron!$A$4,Xero!$E:$E,Heron!$A94)+SUMIFS(Xero!$F:$F,Xero!$B:$B,Heron!F$9,Xero!$A:$A,Heron!$A$5,Xero!$E:$E,Heron!$A94)</f>
        <v/>
      </c>
      <c r="G94" s="117">
        <f>SUMIFS(Xero!$F:$F,Xero!$B:$B,Heron!G$9,Xero!$A:$A,Heron!$A$4,Xero!$E:$E,Heron!$A94)+SUMIFS(Xero!$F:$F,Xero!$B:$B,Heron!G$9,Xero!$A:$A,Heron!$A$5,Xero!$E:$E,Heron!$A94)</f>
        <v/>
      </c>
      <c r="H94" s="117">
        <f>SUMIFS(Xero!$F:$F,Xero!$B:$B,Heron!H$9,Xero!$A:$A,Heron!$A$4,Xero!$E:$E,Heron!$A94)+SUMIFS(Xero!$F:$F,Xero!$B:$B,Heron!H$9,Xero!$A:$A,Heron!$A$5,Xero!$E:$E,Heron!$A94)</f>
        <v/>
      </c>
      <c r="I94" s="117">
        <f>SUMIFS(Xero!$F:$F,Xero!$B:$B,Heron!I$9,Xero!$A:$A,Heron!$A$4,Xero!$E:$E,Heron!$A94)+SUMIFS(Xero!$F:$F,Xero!$B:$B,Heron!I$9,Xero!$A:$A,Heron!$A$5,Xero!$E:$E,Heron!$A94)</f>
        <v/>
      </c>
      <c r="J94" s="117">
        <f>SUMIFS(Xero!$F:$F,Xero!$B:$B,Heron!J$9,Xero!$A:$A,Heron!$A$4,Xero!$E:$E,Heron!$A94)+SUMIFS(Xero!$F:$F,Xero!$B:$B,Heron!J$9,Xero!$A:$A,Heron!$A$5,Xero!$E:$E,Heron!$A94)</f>
        <v/>
      </c>
      <c r="K94" s="117">
        <f>SUMIFS(Xero!$F:$F,Xero!$B:$B,Heron!K$9,Xero!$A:$A,Heron!$A$4,Xero!$E:$E,Heron!$A94)+SUMIFS(Xero!$F:$F,Xero!$B:$B,Heron!K$9,Xero!$A:$A,Heron!$A$5,Xero!$E:$E,Heron!$A94)</f>
        <v/>
      </c>
      <c r="L94" s="117">
        <f>SUMIFS(Xero!$F:$F,Xero!$B:$B,Heron!L$9,Xero!$A:$A,Heron!$A$4,Xero!$E:$E,Heron!$A94)+SUMIFS(Xero!$F:$F,Xero!$B:$B,Heron!L$9,Xero!$A:$A,Heron!$A$5,Xero!$E:$E,Heron!$A94)</f>
        <v/>
      </c>
      <c r="M94" s="117">
        <f>SUMIFS(Xero!$F:$F,Xero!$B:$B,Heron!M$9,Xero!$A:$A,Heron!$A$4,Xero!$E:$E,Heron!$A94)+SUMIFS(Xero!$F:$F,Xero!$B:$B,Heron!M$9,Xero!$A:$A,Heron!$A$5,Xero!$E:$E,Heron!$A94)</f>
        <v/>
      </c>
      <c r="N94" s="117">
        <f>SUMIFS(Xero!$F:$F,Xero!$B:$B,Heron!N$9,Xero!$A:$A,Heron!$A$4,Xero!$E:$E,Heron!$A94)+SUMIFS(Xero!$F:$F,Xero!$B:$B,Heron!N$9,Xero!$A:$A,Heron!$A$5,Xero!$E:$E,Heron!$A94)</f>
        <v/>
      </c>
      <c r="O94" s="117">
        <f>SUMIFS(Xero!$F:$F,Xero!$B:$B,Heron!O$9,Xero!$A:$A,Heron!$A$4,Xero!$E:$E,Heron!$A94)+SUMIFS(Xero!$F:$F,Xero!$B:$B,Heron!O$9,Xero!$A:$A,Heron!$A$5,Xero!$E:$E,Heron!$A94)</f>
        <v/>
      </c>
      <c r="P94" s="117">
        <f>SUMIFS(Xero!$F:$F,Xero!$B:$B,Heron!P$9,Xero!$A:$A,Heron!$A$4,Xero!$E:$E,Heron!$A94)+SUMIFS(Xero!$F:$F,Xero!$B:$B,Heron!P$9,Xero!$A:$A,Heron!$A$5,Xero!$E:$E,Heron!$A94)</f>
        <v/>
      </c>
      <c r="Q94" s="117">
        <f>SUMIFS(Xero!$F:$F,Xero!$B:$B,Heron!Q$9,Xero!$A:$A,Heron!$A$4,Xero!$E:$E,Heron!$A94)+SUMIFS(Xero!$F:$F,Xero!$B:$B,Heron!Q$9,Xero!$A:$A,Heron!$A$5,Xero!$E:$E,Heron!$A94)</f>
        <v/>
      </c>
      <c r="R94" s="117">
        <f>SUMIFS(Xero!$F:$F,Xero!$B:$B,Heron!R$9,Xero!$A:$A,Heron!$A$4,Xero!$E:$E,Heron!$A94)+SUMIFS(Xero!$F:$F,Xero!$B:$B,Heron!R$9,Xero!$A:$A,Heron!$A$5,Xero!$E:$E,Heron!$A94)</f>
        <v/>
      </c>
      <c r="S94" s="117">
        <f>SUMIFS(Xero!$F:$F,Xero!$B:$B,Heron!S$9,Xero!$A:$A,Heron!$A$4,Xero!$E:$E,Heron!$A94)+SUMIFS(Xero!$F:$F,Xero!$B:$B,Heron!S$9,Xero!$A:$A,Heron!$A$5,Xero!$E:$E,Heron!$A94)</f>
        <v/>
      </c>
      <c r="T94" s="117">
        <f>SUMIFS(Xero!$F:$F,Xero!$B:$B,Heron!T$9,Xero!$A:$A,Heron!$A$4,Xero!$E:$E,Heron!$A94)+SUMIFS(Xero!$F:$F,Xero!$B:$B,Heron!T$9,Xero!$A:$A,Heron!$A$5,Xero!$E:$E,Heron!$A94)</f>
        <v/>
      </c>
      <c r="U94" s="117">
        <f>SUMIFS(Xero!$F:$F,Xero!$B:$B,Heron!U$9,Xero!$A:$A,Heron!$A$4,Xero!$E:$E,Heron!$A94)+SUMIFS(Xero!$F:$F,Xero!$B:$B,Heron!U$9,Xero!$A:$A,Heron!$A$5,Xero!$E:$E,Heron!$A94)</f>
        <v/>
      </c>
      <c r="V94" s="117">
        <f>SUMIFS(Xero!$F:$F,Xero!$B:$B,Heron!V$9,Xero!$A:$A,Heron!$A$4,Xero!$E:$E,Heron!$A94)+SUMIFS(Xero!$F:$F,Xero!$B:$B,Heron!V$9,Xero!$A:$A,Heron!$A$5,Xero!$E:$E,Heron!$A94)</f>
        <v/>
      </c>
      <c r="W94" s="117">
        <f>SUMIFS(Xero!$F:$F,Xero!$B:$B,Heron!W$9,Xero!$A:$A,Heron!$A$4,Xero!$E:$E,Heron!$A94)+SUMIFS(Xero!$F:$F,Xero!$B:$B,Heron!W$9,Xero!$A:$A,Heron!$A$5,Xero!$E:$E,Heron!$A94)</f>
        <v/>
      </c>
      <c r="X94" s="117">
        <f>SUMIFS(Xero!$F:$F,Xero!$B:$B,Heron!X$9,Xero!$A:$A,Heron!$A$4,Xero!$E:$E,Heron!$A94)+SUMIFS(Xero!$F:$F,Xero!$B:$B,Heron!X$9,Xero!$A:$A,Heron!$A$5,Xero!$E:$E,Heron!$A94)</f>
        <v/>
      </c>
      <c r="Y94" s="117">
        <f>SUMIFS(Xero!$F:$F,Xero!$B:$B,Heron!Y$9,Xero!$A:$A,Heron!$A$4,Xero!$E:$E,Heron!$A94)+SUMIFS(Xero!$F:$F,Xero!$B:$B,Heron!Y$9,Xero!$A:$A,Heron!$A$5,Xero!$E:$E,Heron!$A94)</f>
        <v/>
      </c>
      <c r="Z94" s="117">
        <f>SUMIFS(Xero!$F:$F,Xero!$B:$B,Heron!Z$9,Xero!$A:$A,Heron!$A$4,Xero!$E:$E,Heron!$A94)+SUMIFS(Xero!$F:$F,Xero!$B:$B,Heron!Z$9,Xero!$A:$A,Heron!$A$5,Xero!$E:$E,Heron!$A94)</f>
        <v/>
      </c>
      <c r="AA94" s="117">
        <f>SUMIFS(Xero!$F:$F,Xero!$B:$B,Heron!AA$9,Xero!$A:$A,Heron!$A$4,Xero!$E:$E,Heron!$A94)+SUMIFS(Xero!$F:$F,Xero!$B:$B,Heron!AA$9,Xero!$A:$A,Heron!$A$5,Xero!$E:$E,Heron!$A94)</f>
        <v/>
      </c>
      <c r="AB94" s="117">
        <f>SUMIFS(Xero!$F:$F,Xero!$B:$B,Heron!AB$9,Xero!$A:$A,Heron!$A$4,Xero!$E:$E,Heron!$A94)+SUMIFS(Xero!$F:$F,Xero!$B:$B,Heron!AB$9,Xero!$A:$A,Heron!$A$5,Xero!$E:$E,Heron!$A94)</f>
        <v/>
      </c>
      <c r="AC94" s="117">
        <f>SUMIFS(Xero!$F:$F,Xero!$B:$B,Heron!AC$9,Xero!$A:$A,Heron!$A$4,Xero!$E:$E,Heron!$A94)+SUMIFS(Xero!$F:$F,Xero!$B:$B,Heron!AC$9,Xero!$A:$A,Heron!$A$5,Xero!$E:$E,Heron!$A94)</f>
        <v/>
      </c>
      <c r="AD94" s="117">
        <f>SUMIFS(Xero!$F:$F,Xero!$B:$B,Heron!AD$9,Xero!$A:$A,Heron!$A$4,Xero!$E:$E,Heron!$A94)+SUMIFS(Xero!$F:$F,Xero!$B:$B,Heron!AD$9,Xero!$A:$A,Heron!$A$5,Xero!$E:$E,Heron!$A94)</f>
        <v/>
      </c>
      <c r="AE94" s="117">
        <f>SUMIFS(Xero!$F:$F,Xero!$B:$B,Heron!AE$9,Xero!$A:$A,Heron!$A$4,Xero!$E:$E,Heron!$A94)+SUMIFS(Xero!$F:$F,Xero!$B:$B,Heron!AE$9,Xero!$A:$A,Heron!$A$5,Xero!$E:$E,Heron!$A94)</f>
        <v/>
      </c>
      <c r="AF94" s="117">
        <f>SUMIFS(Xero!$F:$F,Xero!$B:$B,Heron!AF$9,Xero!$A:$A,Heron!$A$4,Xero!$E:$E,Heron!$A94)+SUMIFS(Xero!$F:$F,Xero!$B:$B,Heron!AF$9,Xero!$A:$A,Heron!$A$5,Xero!$E:$E,Heron!$A94)</f>
        <v/>
      </c>
      <c r="AG94" s="117">
        <f>SUMIFS(Xero!$F:$F,Xero!$B:$B,Heron!AG$9,Xero!$A:$A,Heron!$A$4,Xero!$E:$E,Heron!$A94)+SUMIFS(Xero!$F:$F,Xero!$B:$B,Heron!AG$9,Xero!$A:$A,Heron!$A$5,Xero!$E:$E,Heron!$A94)</f>
        <v/>
      </c>
      <c r="AH94" s="117">
        <f>SUMIFS(Xero!$F:$F,Xero!$B:$B,Heron!AH$9,Xero!$A:$A,Heron!$A$4,Xero!$E:$E,Heron!$A94)+SUMIFS(Xero!$F:$F,Xero!$B:$B,Heron!AH$9,Xero!$A:$A,Heron!$A$5,Xero!$E:$E,Heron!$A94)</f>
        <v/>
      </c>
      <c r="AI94" s="117">
        <f>SUMIFS(Xero!$F:$F,Xero!$B:$B,Heron!AI$9,Xero!$A:$A,Heron!$A$4,Xero!$E:$E,Heron!$A94)+SUMIFS(Xero!$F:$F,Xero!$B:$B,Heron!AI$9,Xero!$A:$A,Heron!$A$5,Xero!$E:$E,Heron!$A94)</f>
        <v/>
      </c>
      <c r="AJ94" s="117">
        <f>SUMIFS(Xero!$F:$F,Xero!$B:$B,Heron!AJ$9,Xero!$A:$A,Heron!$A$4,Xero!$E:$E,Heron!$A94)+SUMIFS(Xero!$F:$F,Xero!$B:$B,Heron!AJ$9,Xero!$A:$A,Heron!$A$5,Xero!$E:$E,Heron!$A94)</f>
        <v/>
      </c>
      <c r="AK94" s="117">
        <f>SUMIFS(Xero!$F:$F,Xero!$B:$B,Heron!AK$9,Xero!$A:$A,Heron!$A$4,Xero!$E:$E,Heron!$A94)+SUMIFS(Xero!$F:$F,Xero!$B:$B,Heron!AK$9,Xero!$A:$A,Heron!$A$5,Xero!$E:$E,Heron!$A94)</f>
        <v/>
      </c>
      <c r="AL94" s="117">
        <f>SUMIFS(Xero!$F:$F,Xero!$B:$B,Heron!AL$9,Xero!$A:$A,Heron!$A$4,Xero!$E:$E,Heron!$A94)+SUMIFS(Xero!$F:$F,Xero!$B:$B,Heron!AL$9,Xero!$A:$A,Heron!$A$5,Xero!$E:$E,Heron!$A94)</f>
        <v/>
      </c>
      <c r="AM94" s="117">
        <f>SUMIFS(Xero!$F:$F,Xero!$B:$B,Heron!AM$9,Xero!$A:$A,Heron!$A$4,Xero!$E:$E,Heron!$A94)+SUMIFS(Xero!$F:$F,Xero!$B:$B,Heron!AM$9,Xero!$A:$A,Heron!$A$5,Xero!$E:$E,Heron!$A94)</f>
        <v/>
      </c>
      <c r="AN94" s="117">
        <f>SUMIFS(Xero!$F:$F,Xero!$B:$B,Heron!AN$9,Xero!$A:$A,Heron!$A$4,Xero!$E:$E,Heron!$A94)+SUMIFS(Xero!$F:$F,Xero!$B:$B,Heron!AN$9,Xero!$A:$A,Heron!$A$5,Xero!$E:$E,Heron!$A94)</f>
        <v/>
      </c>
      <c r="AO94" s="117">
        <f>SUMIFS(Xero!$F:$F,Xero!$B:$B,Heron!AO$9,Xero!$A:$A,Heron!$A$4,Xero!$E:$E,Heron!$A94)+SUMIFS(Xero!$F:$F,Xero!$B:$B,Heron!AO$9,Xero!$A:$A,Heron!$A$5,Xero!$E:$E,Heron!$A94)</f>
        <v/>
      </c>
      <c r="AP94" s="117">
        <f>SUMIFS(Xero!$F:$F,Xero!$B:$B,Heron!AP$9,Xero!$A:$A,Heron!$A$4,Xero!$E:$E,Heron!$A94)+SUMIFS(Xero!$F:$F,Xero!$B:$B,Heron!AP$9,Xero!$A:$A,Heron!$A$5,Xero!$E:$E,Heron!$A94)</f>
        <v/>
      </c>
      <c r="AQ94" s="117">
        <f>SUMIFS(Xero!$F:$F,Xero!$B:$B,Heron!AQ$9,Xero!$A:$A,Heron!$A$4,Xero!$E:$E,Heron!$A94)+SUMIFS(Xero!$F:$F,Xero!$B:$B,Heron!AQ$9,Xero!$A:$A,Heron!$A$5,Xero!$E:$E,Heron!$A94)</f>
        <v/>
      </c>
      <c r="AR94" s="117">
        <f>SUMIFS(Xero!$F:$F,Xero!$B:$B,Heron!AR$9,Xero!$A:$A,Heron!$A$4,Xero!$E:$E,Heron!$A94)+SUMIFS(Xero!$F:$F,Xero!$B:$B,Heron!AR$9,Xero!$A:$A,Heron!$A$5,Xero!$E:$E,Heron!$A94)</f>
        <v/>
      </c>
      <c r="AS94" s="117">
        <f>SUMIFS(Xero!$F:$F,Xero!$B:$B,Heron!AS$9,Xero!$A:$A,Heron!$A$4,Xero!$E:$E,Heron!$A94)+SUMIFS(Xero!$F:$F,Xero!$B:$B,Heron!AS$9,Xero!$A:$A,Heron!$A$5,Xero!$E:$E,Heron!$A94)</f>
        <v/>
      </c>
      <c r="AT94" s="117">
        <f>SUMIFS(Xero!$F:$F,Xero!$B:$B,Heron!AT$9,Xero!$A:$A,Heron!$A$4,Xero!$E:$E,Heron!$A94)+SUMIFS(Xero!$F:$F,Xero!$B:$B,Heron!AT$9,Xero!$A:$A,Heron!$A$5,Xero!$E:$E,Heron!$A94)</f>
        <v/>
      </c>
      <c r="AU94" s="117">
        <f>SUMIFS(Xero!$F:$F,Xero!$B:$B,Heron!AU$9,Xero!$A:$A,Heron!$A$4,Xero!$E:$E,Heron!$A94)+SUMIFS(Xero!$F:$F,Xero!$B:$B,Heron!AU$9,Xero!$A:$A,Heron!$A$5,Xero!$E:$E,Heron!$A94)</f>
        <v/>
      </c>
      <c r="AV94" s="117">
        <f>SUMIFS(Xero!$F:$F,Xero!$B:$B,Heron!AV$9,Xero!$A:$A,Heron!$A$4,Xero!$E:$E,Heron!$A94)+SUMIFS(Xero!$F:$F,Xero!$B:$B,Heron!AV$9,Xero!$A:$A,Heron!$A$5,Xero!$E:$E,Heron!$A94)</f>
        <v/>
      </c>
      <c r="AW94" s="117">
        <f>SUMIFS(Xero!$F:$F,Xero!$B:$B,Heron!AW$9,Xero!$A:$A,Heron!$A$4,Xero!$E:$E,Heron!$A94)+SUMIFS(Xero!$F:$F,Xero!$B:$B,Heron!AW$9,Xero!$A:$A,Heron!$A$5,Xero!$E:$E,Heron!$A94)</f>
        <v/>
      </c>
      <c r="AX94" s="117">
        <f>SUMIFS(Xero!$F:$F,Xero!$B:$B,Heron!AX$9,Xero!$A:$A,Heron!$A$4,Xero!$E:$E,Heron!$A94)+SUMIFS(Xero!$F:$F,Xero!$B:$B,Heron!AX$9,Xero!$A:$A,Heron!$A$5,Xero!$E:$E,Heron!$A94)</f>
        <v/>
      </c>
      <c r="AY94" s="117">
        <f>SUMIFS(Xero!$F:$F,Xero!$B:$B,Heron!AY$9,Xero!$A:$A,Heron!$A$4,Xero!$E:$E,Heron!$A94)+SUMIFS(Xero!$F:$F,Xero!$B:$B,Heron!AY$9,Xero!$A:$A,Heron!$A$5,Xero!$E:$E,Heron!$A94)</f>
        <v/>
      </c>
      <c r="AZ94" s="117">
        <f>SUMIFS(Xero!$F:$F,Xero!$B:$B,Heron!AZ$9,Xero!$A:$A,Heron!$A$4,Xero!$E:$E,Heron!$A94)+SUMIFS(Xero!$F:$F,Xero!$B:$B,Heron!AZ$9,Xero!$A:$A,Heron!$A$5,Xero!$E:$E,Heron!$A94)</f>
        <v/>
      </c>
      <c r="BA94" s="117">
        <f>SUMIFS(Xero!$F:$F,Xero!$B:$B,Heron!BA$9,Xero!$A:$A,Heron!$A$4,Xero!$E:$E,Heron!$A94)+SUMIFS(Xero!$F:$F,Xero!$B:$B,Heron!BA$9,Xero!$A:$A,Heron!$A$5,Xero!$E:$E,Heron!$A94)</f>
        <v/>
      </c>
      <c r="BB94" s="117">
        <f>SUMIFS(Xero!$F:$F,Xero!$B:$B,Heron!BB$9,Xero!$A:$A,Heron!$A$4,Xero!$E:$E,Heron!$A94)+SUMIFS(Xero!$F:$F,Xero!$B:$B,Heron!BB$9,Xero!$A:$A,Heron!$A$5,Xero!$E:$E,Heron!$A94)</f>
        <v/>
      </c>
      <c r="BC94" s="117">
        <f>SUMIFS(Xero!$F:$F,Xero!$B:$B,Heron!BC$9,Xero!$A:$A,Heron!$A$4,Xero!$E:$E,Heron!$A94)+SUMIFS(Xero!$F:$F,Xero!$B:$B,Heron!BC$9,Xero!$A:$A,Heron!$A$5,Xero!$E:$E,Heron!$A94)</f>
        <v/>
      </c>
      <c r="BD94" s="117">
        <f>SUMIFS(Xero!$F:$F,Xero!$B:$B,Heron!BD$9,Xero!$A:$A,Heron!$A$4,Xero!$E:$E,Heron!$A94)+SUMIFS(Xero!$F:$F,Xero!$B:$B,Heron!BD$9,Xero!$A:$A,Heron!$A$5,Xero!$E:$E,Heron!$A94)</f>
        <v/>
      </c>
      <c r="BE94" s="117">
        <f>SUMIFS(Xero!$F:$F,Xero!$B:$B,Heron!BE$9,Xero!$A:$A,Heron!$A$4,Xero!$E:$E,Heron!$A94)+SUMIFS(Xero!$F:$F,Xero!$B:$B,Heron!BE$9,Xero!$A:$A,Heron!$A$5,Xero!$E:$E,Heron!$A94)</f>
        <v/>
      </c>
      <c r="BF94" s="117">
        <f>SUMIFS(Xero!$F:$F,Xero!$B:$B,Heron!BF$9,Xero!$A:$A,Heron!$A$4,Xero!$E:$E,Heron!$A94)+SUMIFS(Xero!$F:$F,Xero!$B:$B,Heron!BF$9,Xero!$A:$A,Heron!$A$5,Xero!$E:$E,Heron!$A94)</f>
        <v/>
      </c>
      <c r="BG94" s="117">
        <f>SUMIFS(Xero!$F:$F,Xero!$B:$B,Heron!BG$9,Xero!$A:$A,Heron!$A$4,Xero!$E:$E,Heron!$A94)+SUMIFS(Xero!$F:$F,Xero!$B:$B,Heron!BG$9,Xero!$A:$A,Heron!$A$5,Xero!$E:$E,Heron!$A94)</f>
        <v/>
      </c>
      <c r="BH94" s="117">
        <f>SUMIFS(Xero!$F:$F,Xero!$B:$B,Heron!BH$9,Xero!$A:$A,Heron!$A$4,Xero!$E:$E,Heron!$A94)+SUMIFS(Xero!$F:$F,Xero!$B:$B,Heron!BH$9,Xero!$A:$A,Heron!$A$5,Xero!$E:$E,Heron!$A94)</f>
        <v/>
      </c>
      <c r="BI94" s="117">
        <f>SUMIFS(Xero!$F:$F,Xero!$B:$B,Heron!BI$9,Xero!$A:$A,Heron!$A$4,Xero!$E:$E,Heron!$A94)+SUMIFS(Xero!$F:$F,Xero!$B:$B,Heron!BI$9,Xero!$A:$A,Heron!$A$5,Xero!$E:$E,Heron!$A94)</f>
        <v/>
      </c>
      <c r="BJ94" s="117">
        <f>SUMIFS(Xero!$F:$F,Xero!$B:$B,Heron!BJ$9,Xero!$A:$A,Heron!$A$4,Xero!$E:$E,Heron!$A94)+SUMIFS(Xero!$F:$F,Xero!$B:$B,Heron!BJ$9,Xero!$A:$A,Heron!$A$5,Xero!$E:$E,Heron!$A94)</f>
        <v/>
      </c>
      <c r="BK94" s="117">
        <f>sum(D94:BJ94)</f>
        <v/>
      </c>
    </row>
    <row r="95">
      <c r="A95" s="116" t="inlineStr">
        <is>
          <t>Printing _AND_ Stationery</t>
        </is>
      </c>
      <c r="D95" s="117">
        <f>SUMIFS(Xero!$F:$F,Xero!$B:$B,Heron!D$9,Xero!$A:$A,Heron!$A$4,Xero!$E:$E,Heron!$A95)+SUMIFS(Xero!$F:$F,Xero!$B:$B,Heron!D$9,Xero!$A:$A,Heron!$A$5,Xero!$E:$E,Heron!$A95)</f>
        <v/>
      </c>
      <c r="E95" s="117">
        <f>SUMIFS(Xero!$F:$F,Xero!$B:$B,Heron!E$9,Xero!$A:$A,Heron!$A$4,Xero!$E:$E,Heron!$A95)+SUMIFS(Xero!$F:$F,Xero!$B:$B,Heron!E$9,Xero!$A:$A,Heron!$A$5,Xero!$E:$E,Heron!$A95)</f>
        <v/>
      </c>
      <c r="F95" s="117">
        <f>SUMIFS(Xero!$F:$F,Xero!$B:$B,Heron!F$9,Xero!$A:$A,Heron!$A$4,Xero!$E:$E,Heron!$A95)+SUMIFS(Xero!$F:$F,Xero!$B:$B,Heron!F$9,Xero!$A:$A,Heron!$A$5,Xero!$E:$E,Heron!$A95)</f>
        <v/>
      </c>
      <c r="G95" s="117">
        <f>SUMIFS(Xero!$F:$F,Xero!$B:$B,Heron!G$9,Xero!$A:$A,Heron!$A$4,Xero!$E:$E,Heron!$A95)+SUMIFS(Xero!$F:$F,Xero!$B:$B,Heron!G$9,Xero!$A:$A,Heron!$A$5,Xero!$E:$E,Heron!$A95)</f>
        <v/>
      </c>
      <c r="H95" s="117">
        <f>SUMIFS(Xero!$F:$F,Xero!$B:$B,Heron!H$9,Xero!$A:$A,Heron!$A$4,Xero!$E:$E,Heron!$A95)+SUMIFS(Xero!$F:$F,Xero!$B:$B,Heron!H$9,Xero!$A:$A,Heron!$A$5,Xero!$E:$E,Heron!$A95)</f>
        <v/>
      </c>
      <c r="I95" s="117">
        <f>SUMIFS(Xero!$F:$F,Xero!$B:$B,Heron!I$9,Xero!$A:$A,Heron!$A$4,Xero!$E:$E,Heron!$A95)+SUMIFS(Xero!$F:$F,Xero!$B:$B,Heron!I$9,Xero!$A:$A,Heron!$A$5,Xero!$E:$E,Heron!$A95)</f>
        <v/>
      </c>
      <c r="J95" s="117">
        <f>SUMIFS(Xero!$F:$F,Xero!$B:$B,Heron!J$9,Xero!$A:$A,Heron!$A$4,Xero!$E:$E,Heron!$A95)+SUMIFS(Xero!$F:$F,Xero!$B:$B,Heron!J$9,Xero!$A:$A,Heron!$A$5,Xero!$E:$E,Heron!$A95)</f>
        <v/>
      </c>
      <c r="K95" s="117">
        <f>SUMIFS(Xero!$F:$F,Xero!$B:$B,Heron!K$9,Xero!$A:$A,Heron!$A$4,Xero!$E:$E,Heron!$A95)+SUMIFS(Xero!$F:$F,Xero!$B:$B,Heron!K$9,Xero!$A:$A,Heron!$A$5,Xero!$E:$E,Heron!$A95)</f>
        <v/>
      </c>
      <c r="L95" s="117">
        <f>SUMIFS(Xero!$F:$F,Xero!$B:$B,Heron!L$9,Xero!$A:$A,Heron!$A$4,Xero!$E:$E,Heron!$A95)+SUMIFS(Xero!$F:$F,Xero!$B:$B,Heron!L$9,Xero!$A:$A,Heron!$A$5,Xero!$E:$E,Heron!$A95)</f>
        <v/>
      </c>
      <c r="M95" s="117">
        <f>SUMIFS(Xero!$F:$F,Xero!$B:$B,Heron!M$9,Xero!$A:$A,Heron!$A$4,Xero!$E:$E,Heron!$A95)+SUMIFS(Xero!$F:$F,Xero!$B:$B,Heron!M$9,Xero!$A:$A,Heron!$A$5,Xero!$E:$E,Heron!$A95)</f>
        <v/>
      </c>
      <c r="N95" s="117">
        <f>SUMIFS(Xero!$F:$F,Xero!$B:$B,Heron!N$9,Xero!$A:$A,Heron!$A$4,Xero!$E:$E,Heron!$A95)+SUMIFS(Xero!$F:$F,Xero!$B:$B,Heron!N$9,Xero!$A:$A,Heron!$A$5,Xero!$E:$E,Heron!$A95)</f>
        <v/>
      </c>
      <c r="O95" s="117">
        <f>SUMIFS(Xero!$F:$F,Xero!$B:$B,Heron!O$9,Xero!$A:$A,Heron!$A$4,Xero!$E:$E,Heron!$A95)+SUMIFS(Xero!$F:$F,Xero!$B:$B,Heron!O$9,Xero!$A:$A,Heron!$A$5,Xero!$E:$E,Heron!$A95)</f>
        <v/>
      </c>
      <c r="P95" s="117">
        <f>SUMIFS(Xero!$F:$F,Xero!$B:$B,Heron!P$9,Xero!$A:$A,Heron!$A$4,Xero!$E:$E,Heron!$A95)+SUMIFS(Xero!$F:$F,Xero!$B:$B,Heron!P$9,Xero!$A:$A,Heron!$A$5,Xero!$E:$E,Heron!$A95)</f>
        <v/>
      </c>
      <c r="Q95" s="117">
        <f>SUMIFS(Xero!$F:$F,Xero!$B:$B,Heron!Q$9,Xero!$A:$A,Heron!$A$4,Xero!$E:$E,Heron!$A95)+SUMIFS(Xero!$F:$F,Xero!$B:$B,Heron!Q$9,Xero!$A:$A,Heron!$A$5,Xero!$E:$E,Heron!$A95)</f>
        <v/>
      </c>
      <c r="R95" s="117">
        <f>SUMIFS(Xero!$F:$F,Xero!$B:$B,Heron!R$9,Xero!$A:$A,Heron!$A$4,Xero!$E:$E,Heron!$A95)+SUMIFS(Xero!$F:$F,Xero!$B:$B,Heron!R$9,Xero!$A:$A,Heron!$A$5,Xero!$E:$E,Heron!$A95)</f>
        <v/>
      </c>
      <c r="S95" s="117">
        <f>SUMIFS(Xero!$F:$F,Xero!$B:$B,Heron!S$9,Xero!$A:$A,Heron!$A$4,Xero!$E:$E,Heron!$A95)+SUMIFS(Xero!$F:$F,Xero!$B:$B,Heron!S$9,Xero!$A:$A,Heron!$A$5,Xero!$E:$E,Heron!$A95)</f>
        <v/>
      </c>
      <c r="T95" s="117">
        <f>SUMIFS(Xero!$F:$F,Xero!$B:$B,Heron!T$9,Xero!$A:$A,Heron!$A$4,Xero!$E:$E,Heron!$A95)+SUMIFS(Xero!$F:$F,Xero!$B:$B,Heron!T$9,Xero!$A:$A,Heron!$A$5,Xero!$E:$E,Heron!$A95)</f>
        <v/>
      </c>
      <c r="U95" s="117">
        <f>SUMIFS(Xero!$F:$F,Xero!$B:$B,Heron!U$9,Xero!$A:$A,Heron!$A$4,Xero!$E:$E,Heron!$A95)+SUMIFS(Xero!$F:$F,Xero!$B:$B,Heron!U$9,Xero!$A:$A,Heron!$A$5,Xero!$E:$E,Heron!$A95)</f>
        <v/>
      </c>
      <c r="V95" s="117">
        <f>SUMIFS(Xero!$F:$F,Xero!$B:$B,Heron!V$9,Xero!$A:$A,Heron!$A$4,Xero!$E:$E,Heron!$A95)+SUMIFS(Xero!$F:$F,Xero!$B:$B,Heron!V$9,Xero!$A:$A,Heron!$A$5,Xero!$E:$E,Heron!$A95)</f>
        <v/>
      </c>
      <c r="W95" s="117">
        <f>SUMIFS(Xero!$F:$F,Xero!$B:$B,Heron!W$9,Xero!$A:$A,Heron!$A$4,Xero!$E:$E,Heron!$A95)+SUMIFS(Xero!$F:$F,Xero!$B:$B,Heron!W$9,Xero!$A:$A,Heron!$A$5,Xero!$E:$E,Heron!$A95)</f>
        <v/>
      </c>
      <c r="X95" s="117">
        <f>SUMIFS(Xero!$F:$F,Xero!$B:$B,Heron!X$9,Xero!$A:$A,Heron!$A$4,Xero!$E:$E,Heron!$A95)+SUMIFS(Xero!$F:$F,Xero!$B:$B,Heron!X$9,Xero!$A:$A,Heron!$A$5,Xero!$E:$E,Heron!$A95)</f>
        <v/>
      </c>
      <c r="Y95" s="117">
        <f>SUMIFS(Xero!$F:$F,Xero!$B:$B,Heron!Y$9,Xero!$A:$A,Heron!$A$4,Xero!$E:$E,Heron!$A95)+SUMIFS(Xero!$F:$F,Xero!$B:$B,Heron!Y$9,Xero!$A:$A,Heron!$A$5,Xero!$E:$E,Heron!$A95)</f>
        <v/>
      </c>
      <c r="Z95" s="117">
        <f>SUMIFS(Xero!$F:$F,Xero!$B:$B,Heron!Z$9,Xero!$A:$A,Heron!$A$4,Xero!$E:$E,Heron!$A95)+SUMIFS(Xero!$F:$F,Xero!$B:$B,Heron!Z$9,Xero!$A:$A,Heron!$A$5,Xero!$E:$E,Heron!$A95)</f>
        <v/>
      </c>
      <c r="AA95" s="117">
        <f>SUMIFS(Xero!$F:$F,Xero!$B:$B,Heron!AA$9,Xero!$A:$A,Heron!$A$4,Xero!$E:$E,Heron!$A95)+SUMIFS(Xero!$F:$F,Xero!$B:$B,Heron!AA$9,Xero!$A:$A,Heron!$A$5,Xero!$E:$E,Heron!$A95)</f>
        <v/>
      </c>
      <c r="AB95" s="117">
        <f>SUMIFS(Xero!$F:$F,Xero!$B:$B,Heron!AB$9,Xero!$A:$A,Heron!$A$4,Xero!$E:$E,Heron!$A95)+SUMIFS(Xero!$F:$F,Xero!$B:$B,Heron!AB$9,Xero!$A:$A,Heron!$A$5,Xero!$E:$E,Heron!$A95)</f>
        <v/>
      </c>
      <c r="AC95" s="117">
        <f>SUMIFS(Xero!$F:$F,Xero!$B:$B,Heron!AC$9,Xero!$A:$A,Heron!$A$4,Xero!$E:$E,Heron!$A95)+SUMIFS(Xero!$F:$F,Xero!$B:$B,Heron!AC$9,Xero!$A:$A,Heron!$A$5,Xero!$E:$E,Heron!$A95)</f>
        <v/>
      </c>
      <c r="AD95" s="117">
        <f>SUMIFS(Xero!$F:$F,Xero!$B:$B,Heron!AD$9,Xero!$A:$A,Heron!$A$4,Xero!$E:$E,Heron!$A95)+SUMIFS(Xero!$F:$F,Xero!$B:$B,Heron!AD$9,Xero!$A:$A,Heron!$A$5,Xero!$E:$E,Heron!$A95)</f>
        <v/>
      </c>
      <c r="AE95" s="117">
        <f>SUMIFS(Xero!$F:$F,Xero!$B:$B,Heron!AE$9,Xero!$A:$A,Heron!$A$4,Xero!$E:$E,Heron!$A95)+SUMIFS(Xero!$F:$F,Xero!$B:$B,Heron!AE$9,Xero!$A:$A,Heron!$A$5,Xero!$E:$E,Heron!$A95)</f>
        <v/>
      </c>
      <c r="AF95" s="117">
        <f>SUMIFS(Xero!$F:$F,Xero!$B:$B,Heron!AF$9,Xero!$A:$A,Heron!$A$4,Xero!$E:$E,Heron!$A95)+SUMIFS(Xero!$F:$F,Xero!$B:$B,Heron!AF$9,Xero!$A:$A,Heron!$A$5,Xero!$E:$E,Heron!$A95)</f>
        <v/>
      </c>
      <c r="AG95" s="117">
        <f>SUMIFS(Xero!$F:$F,Xero!$B:$B,Heron!AG$9,Xero!$A:$A,Heron!$A$4,Xero!$E:$E,Heron!$A95)+SUMIFS(Xero!$F:$F,Xero!$B:$B,Heron!AG$9,Xero!$A:$A,Heron!$A$5,Xero!$E:$E,Heron!$A95)</f>
        <v/>
      </c>
      <c r="AH95" s="117">
        <f>SUMIFS(Xero!$F:$F,Xero!$B:$B,Heron!AH$9,Xero!$A:$A,Heron!$A$4,Xero!$E:$E,Heron!$A95)+SUMIFS(Xero!$F:$F,Xero!$B:$B,Heron!AH$9,Xero!$A:$A,Heron!$A$5,Xero!$E:$E,Heron!$A95)</f>
        <v/>
      </c>
      <c r="AI95" s="117">
        <f>SUMIFS(Xero!$F:$F,Xero!$B:$B,Heron!AI$9,Xero!$A:$A,Heron!$A$4,Xero!$E:$E,Heron!$A95)+SUMIFS(Xero!$F:$F,Xero!$B:$B,Heron!AI$9,Xero!$A:$A,Heron!$A$5,Xero!$E:$E,Heron!$A95)</f>
        <v/>
      </c>
      <c r="AJ95" s="117">
        <f>SUMIFS(Xero!$F:$F,Xero!$B:$B,Heron!AJ$9,Xero!$A:$A,Heron!$A$4,Xero!$E:$E,Heron!$A95)+SUMIFS(Xero!$F:$F,Xero!$B:$B,Heron!AJ$9,Xero!$A:$A,Heron!$A$5,Xero!$E:$E,Heron!$A95)</f>
        <v/>
      </c>
      <c r="AK95" s="117">
        <f>SUMIFS(Xero!$F:$F,Xero!$B:$B,Heron!AK$9,Xero!$A:$A,Heron!$A$4,Xero!$E:$E,Heron!$A95)+SUMIFS(Xero!$F:$F,Xero!$B:$B,Heron!AK$9,Xero!$A:$A,Heron!$A$5,Xero!$E:$E,Heron!$A95)</f>
        <v/>
      </c>
      <c r="AL95" s="117">
        <f>SUMIFS(Xero!$F:$F,Xero!$B:$B,Heron!AL$9,Xero!$A:$A,Heron!$A$4,Xero!$E:$E,Heron!$A95)+SUMIFS(Xero!$F:$F,Xero!$B:$B,Heron!AL$9,Xero!$A:$A,Heron!$A$5,Xero!$E:$E,Heron!$A95)</f>
        <v/>
      </c>
      <c r="AM95" s="117">
        <f>SUMIFS(Xero!$F:$F,Xero!$B:$B,Heron!AM$9,Xero!$A:$A,Heron!$A$4,Xero!$E:$E,Heron!$A95)+SUMIFS(Xero!$F:$F,Xero!$B:$B,Heron!AM$9,Xero!$A:$A,Heron!$A$5,Xero!$E:$E,Heron!$A95)</f>
        <v/>
      </c>
      <c r="AN95" s="117">
        <f>SUMIFS(Xero!$F:$F,Xero!$B:$B,Heron!AN$9,Xero!$A:$A,Heron!$A$4,Xero!$E:$E,Heron!$A95)+SUMIFS(Xero!$F:$F,Xero!$B:$B,Heron!AN$9,Xero!$A:$A,Heron!$A$5,Xero!$E:$E,Heron!$A95)</f>
        <v/>
      </c>
      <c r="AO95" s="117">
        <f>SUMIFS(Xero!$F:$F,Xero!$B:$B,Heron!AO$9,Xero!$A:$A,Heron!$A$4,Xero!$E:$E,Heron!$A95)+SUMIFS(Xero!$F:$F,Xero!$B:$B,Heron!AO$9,Xero!$A:$A,Heron!$A$5,Xero!$E:$E,Heron!$A95)</f>
        <v/>
      </c>
      <c r="AP95" s="117">
        <f>SUMIFS(Xero!$F:$F,Xero!$B:$B,Heron!AP$9,Xero!$A:$A,Heron!$A$4,Xero!$E:$E,Heron!$A95)+SUMIFS(Xero!$F:$F,Xero!$B:$B,Heron!AP$9,Xero!$A:$A,Heron!$A$5,Xero!$E:$E,Heron!$A95)</f>
        <v/>
      </c>
      <c r="AQ95" s="117">
        <f>SUMIFS(Xero!$F:$F,Xero!$B:$B,Heron!AQ$9,Xero!$A:$A,Heron!$A$4,Xero!$E:$E,Heron!$A95)+SUMIFS(Xero!$F:$F,Xero!$B:$B,Heron!AQ$9,Xero!$A:$A,Heron!$A$5,Xero!$E:$E,Heron!$A95)</f>
        <v/>
      </c>
      <c r="AR95" s="117">
        <f>SUMIFS(Xero!$F:$F,Xero!$B:$B,Heron!AR$9,Xero!$A:$A,Heron!$A$4,Xero!$E:$E,Heron!$A95)+SUMIFS(Xero!$F:$F,Xero!$B:$B,Heron!AR$9,Xero!$A:$A,Heron!$A$5,Xero!$E:$E,Heron!$A95)</f>
        <v/>
      </c>
      <c r="AS95" s="117">
        <f>SUMIFS(Xero!$F:$F,Xero!$B:$B,Heron!AS$9,Xero!$A:$A,Heron!$A$4,Xero!$E:$E,Heron!$A95)+SUMIFS(Xero!$F:$F,Xero!$B:$B,Heron!AS$9,Xero!$A:$A,Heron!$A$5,Xero!$E:$E,Heron!$A95)</f>
        <v/>
      </c>
      <c r="AT95" s="117">
        <f>SUMIFS(Xero!$F:$F,Xero!$B:$B,Heron!AT$9,Xero!$A:$A,Heron!$A$4,Xero!$E:$E,Heron!$A95)+SUMIFS(Xero!$F:$F,Xero!$B:$B,Heron!AT$9,Xero!$A:$A,Heron!$A$5,Xero!$E:$E,Heron!$A95)</f>
        <v/>
      </c>
      <c r="AU95" s="117">
        <f>SUMIFS(Xero!$F:$F,Xero!$B:$B,Heron!AU$9,Xero!$A:$A,Heron!$A$4,Xero!$E:$E,Heron!$A95)+SUMIFS(Xero!$F:$F,Xero!$B:$B,Heron!AU$9,Xero!$A:$A,Heron!$A$5,Xero!$E:$E,Heron!$A95)</f>
        <v/>
      </c>
      <c r="AV95" s="117">
        <f>SUMIFS(Xero!$F:$F,Xero!$B:$B,Heron!AV$9,Xero!$A:$A,Heron!$A$4,Xero!$E:$E,Heron!$A95)+SUMIFS(Xero!$F:$F,Xero!$B:$B,Heron!AV$9,Xero!$A:$A,Heron!$A$5,Xero!$E:$E,Heron!$A95)</f>
        <v/>
      </c>
      <c r="AW95" s="117">
        <f>SUMIFS(Xero!$F:$F,Xero!$B:$B,Heron!AW$9,Xero!$A:$A,Heron!$A$4,Xero!$E:$E,Heron!$A95)+SUMIFS(Xero!$F:$F,Xero!$B:$B,Heron!AW$9,Xero!$A:$A,Heron!$A$5,Xero!$E:$E,Heron!$A95)</f>
        <v/>
      </c>
      <c r="AX95" s="117">
        <f>SUMIFS(Xero!$F:$F,Xero!$B:$B,Heron!AX$9,Xero!$A:$A,Heron!$A$4,Xero!$E:$E,Heron!$A95)+SUMIFS(Xero!$F:$F,Xero!$B:$B,Heron!AX$9,Xero!$A:$A,Heron!$A$5,Xero!$E:$E,Heron!$A95)</f>
        <v/>
      </c>
      <c r="AY95" s="117">
        <f>SUMIFS(Xero!$F:$F,Xero!$B:$B,Heron!AY$9,Xero!$A:$A,Heron!$A$4,Xero!$E:$E,Heron!$A95)+SUMIFS(Xero!$F:$F,Xero!$B:$B,Heron!AY$9,Xero!$A:$A,Heron!$A$5,Xero!$E:$E,Heron!$A95)</f>
        <v/>
      </c>
      <c r="AZ95" s="117">
        <f>SUMIFS(Xero!$F:$F,Xero!$B:$B,Heron!AZ$9,Xero!$A:$A,Heron!$A$4,Xero!$E:$E,Heron!$A95)+SUMIFS(Xero!$F:$F,Xero!$B:$B,Heron!AZ$9,Xero!$A:$A,Heron!$A$5,Xero!$E:$E,Heron!$A95)</f>
        <v/>
      </c>
      <c r="BA95" s="117">
        <f>SUMIFS(Xero!$F:$F,Xero!$B:$B,Heron!BA$9,Xero!$A:$A,Heron!$A$4,Xero!$E:$E,Heron!$A95)+SUMIFS(Xero!$F:$F,Xero!$B:$B,Heron!BA$9,Xero!$A:$A,Heron!$A$5,Xero!$E:$E,Heron!$A95)</f>
        <v/>
      </c>
      <c r="BB95" s="117">
        <f>SUMIFS(Xero!$F:$F,Xero!$B:$B,Heron!BB$9,Xero!$A:$A,Heron!$A$4,Xero!$E:$E,Heron!$A95)+SUMIFS(Xero!$F:$F,Xero!$B:$B,Heron!BB$9,Xero!$A:$A,Heron!$A$5,Xero!$E:$E,Heron!$A95)</f>
        <v/>
      </c>
      <c r="BC95" s="117">
        <f>SUMIFS(Xero!$F:$F,Xero!$B:$B,Heron!BC$9,Xero!$A:$A,Heron!$A$4,Xero!$E:$E,Heron!$A95)+SUMIFS(Xero!$F:$F,Xero!$B:$B,Heron!BC$9,Xero!$A:$A,Heron!$A$5,Xero!$E:$E,Heron!$A95)</f>
        <v/>
      </c>
      <c r="BD95" s="117">
        <f>SUMIFS(Xero!$F:$F,Xero!$B:$B,Heron!BD$9,Xero!$A:$A,Heron!$A$4,Xero!$E:$E,Heron!$A95)+SUMIFS(Xero!$F:$F,Xero!$B:$B,Heron!BD$9,Xero!$A:$A,Heron!$A$5,Xero!$E:$E,Heron!$A95)</f>
        <v/>
      </c>
      <c r="BE95" s="117">
        <f>SUMIFS(Xero!$F:$F,Xero!$B:$B,Heron!BE$9,Xero!$A:$A,Heron!$A$4,Xero!$E:$E,Heron!$A95)+SUMIFS(Xero!$F:$F,Xero!$B:$B,Heron!BE$9,Xero!$A:$A,Heron!$A$5,Xero!$E:$E,Heron!$A95)</f>
        <v/>
      </c>
      <c r="BF95" s="117">
        <f>SUMIFS(Xero!$F:$F,Xero!$B:$B,Heron!BF$9,Xero!$A:$A,Heron!$A$4,Xero!$E:$E,Heron!$A95)+SUMIFS(Xero!$F:$F,Xero!$B:$B,Heron!BF$9,Xero!$A:$A,Heron!$A$5,Xero!$E:$E,Heron!$A95)</f>
        <v/>
      </c>
      <c r="BG95" s="117">
        <f>SUMIFS(Xero!$F:$F,Xero!$B:$B,Heron!BG$9,Xero!$A:$A,Heron!$A$4,Xero!$E:$E,Heron!$A95)+SUMIFS(Xero!$F:$F,Xero!$B:$B,Heron!BG$9,Xero!$A:$A,Heron!$A$5,Xero!$E:$E,Heron!$A95)</f>
        <v/>
      </c>
      <c r="BH95" s="117">
        <f>SUMIFS(Xero!$F:$F,Xero!$B:$B,Heron!BH$9,Xero!$A:$A,Heron!$A$4,Xero!$E:$E,Heron!$A95)+SUMIFS(Xero!$F:$F,Xero!$B:$B,Heron!BH$9,Xero!$A:$A,Heron!$A$5,Xero!$E:$E,Heron!$A95)</f>
        <v/>
      </c>
      <c r="BI95" s="117">
        <f>SUMIFS(Xero!$F:$F,Xero!$B:$B,Heron!BI$9,Xero!$A:$A,Heron!$A$4,Xero!$E:$E,Heron!$A95)+SUMIFS(Xero!$F:$F,Xero!$B:$B,Heron!BI$9,Xero!$A:$A,Heron!$A$5,Xero!$E:$E,Heron!$A95)</f>
        <v/>
      </c>
      <c r="BJ95" s="117">
        <f>SUMIFS(Xero!$F:$F,Xero!$B:$B,Heron!BJ$9,Xero!$A:$A,Heron!$A$4,Xero!$E:$E,Heron!$A95)+SUMIFS(Xero!$F:$F,Xero!$B:$B,Heron!BJ$9,Xero!$A:$A,Heron!$A$5,Xero!$E:$E,Heron!$A95)</f>
        <v/>
      </c>
      <c r="BK95" s="117">
        <f>sum(D95:BJ95)</f>
        <v/>
      </c>
    </row>
    <row r="96">
      <c r="A96" s="116" t="inlineStr">
        <is>
          <t>Rates - Heron</t>
        </is>
      </c>
      <c r="D96" s="117">
        <f>SUMIFS(Xero!$F:$F,Xero!$B:$B,Heron!D$9,Xero!$A:$A,Heron!$A$4,Xero!$E:$E,Heron!$A96)+SUMIFS(Xero!$F:$F,Xero!$B:$B,Heron!D$9,Xero!$A:$A,Heron!$A$5,Xero!$E:$E,Heron!$A96)</f>
        <v/>
      </c>
      <c r="E96" s="117">
        <f>SUMIFS(Xero!$F:$F,Xero!$B:$B,Heron!E$9,Xero!$A:$A,Heron!$A$4,Xero!$E:$E,Heron!$A96)+SUMIFS(Xero!$F:$F,Xero!$B:$B,Heron!E$9,Xero!$A:$A,Heron!$A$5,Xero!$E:$E,Heron!$A96)</f>
        <v/>
      </c>
      <c r="F96" s="117">
        <f>SUMIFS(Xero!$F:$F,Xero!$B:$B,Heron!F$9,Xero!$A:$A,Heron!$A$4,Xero!$E:$E,Heron!$A96)+SUMIFS(Xero!$F:$F,Xero!$B:$B,Heron!F$9,Xero!$A:$A,Heron!$A$5,Xero!$E:$E,Heron!$A96)</f>
        <v/>
      </c>
      <c r="G96" s="117">
        <f>SUMIFS(Xero!$F:$F,Xero!$B:$B,Heron!G$9,Xero!$A:$A,Heron!$A$4,Xero!$E:$E,Heron!$A96)+SUMIFS(Xero!$F:$F,Xero!$B:$B,Heron!G$9,Xero!$A:$A,Heron!$A$5,Xero!$E:$E,Heron!$A96)</f>
        <v/>
      </c>
      <c r="H96" s="117">
        <f>SUMIFS(Xero!$F:$F,Xero!$B:$B,Heron!H$9,Xero!$A:$A,Heron!$A$4,Xero!$E:$E,Heron!$A96)+SUMIFS(Xero!$F:$F,Xero!$B:$B,Heron!H$9,Xero!$A:$A,Heron!$A$5,Xero!$E:$E,Heron!$A96)</f>
        <v/>
      </c>
      <c r="I96" s="117">
        <f>SUMIFS(Xero!$F:$F,Xero!$B:$B,Heron!I$9,Xero!$A:$A,Heron!$A$4,Xero!$E:$E,Heron!$A96)+SUMIFS(Xero!$F:$F,Xero!$B:$B,Heron!I$9,Xero!$A:$A,Heron!$A$5,Xero!$E:$E,Heron!$A96)</f>
        <v/>
      </c>
      <c r="J96" s="117">
        <f>SUMIFS(Xero!$F:$F,Xero!$B:$B,Heron!J$9,Xero!$A:$A,Heron!$A$4,Xero!$E:$E,Heron!$A96)+SUMIFS(Xero!$F:$F,Xero!$B:$B,Heron!J$9,Xero!$A:$A,Heron!$A$5,Xero!$E:$E,Heron!$A96)</f>
        <v/>
      </c>
      <c r="K96" s="117">
        <f>SUMIFS(Xero!$F:$F,Xero!$B:$B,Heron!K$9,Xero!$A:$A,Heron!$A$4,Xero!$E:$E,Heron!$A96)+SUMIFS(Xero!$F:$F,Xero!$B:$B,Heron!K$9,Xero!$A:$A,Heron!$A$5,Xero!$E:$E,Heron!$A96)</f>
        <v/>
      </c>
      <c r="L96" s="117">
        <f>SUMIFS(Xero!$F:$F,Xero!$B:$B,Heron!L$9,Xero!$A:$A,Heron!$A$4,Xero!$E:$E,Heron!$A96)+SUMIFS(Xero!$F:$F,Xero!$B:$B,Heron!L$9,Xero!$A:$A,Heron!$A$5,Xero!$E:$E,Heron!$A96)</f>
        <v/>
      </c>
      <c r="M96" s="117">
        <f>SUMIFS(Xero!$F:$F,Xero!$B:$B,Heron!M$9,Xero!$A:$A,Heron!$A$4,Xero!$E:$E,Heron!$A96)+SUMIFS(Xero!$F:$F,Xero!$B:$B,Heron!M$9,Xero!$A:$A,Heron!$A$5,Xero!$E:$E,Heron!$A96)</f>
        <v/>
      </c>
      <c r="N96" s="117">
        <f>SUMIFS(Xero!$F:$F,Xero!$B:$B,Heron!N$9,Xero!$A:$A,Heron!$A$4,Xero!$E:$E,Heron!$A96)+SUMIFS(Xero!$F:$F,Xero!$B:$B,Heron!N$9,Xero!$A:$A,Heron!$A$5,Xero!$E:$E,Heron!$A96)</f>
        <v/>
      </c>
      <c r="O96" s="117">
        <f>SUMIFS(Xero!$F:$F,Xero!$B:$B,Heron!O$9,Xero!$A:$A,Heron!$A$4,Xero!$E:$E,Heron!$A96)+SUMIFS(Xero!$F:$F,Xero!$B:$B,Heron!O$9,Xero!$A:$A,Heron!$A$5,Xero!$E:$E,Heron!$A96)</f>
        <v/>
      </c>
      <c r="P96" s="117">
        <f>SUMIFS(Xero!$F:$F,Xero!$B:$B,Heron!P$9,Xero!$A:$A,Heron!$A$4,Xero!$E:$E,Heron!$A96)+SUMIFS(Xero!$F:$F,Xero!$B:$B,Heron!P$9,Xero!$A:$A,Heron!$A$5,Xero!$E:$E,Heron!$A96)</f>
        <v/>
      </c>
      <c r="Q96" s="117">
        <f>SUMIFS(Xero!$F:$F,Xero!$B:$B,Heron!Q$9,Xero!$A:$A,Heron!$A$4,Xero!$E:$E,Heron!$A96)+SUMIFS(Xero!$F:$F,Xero!$B:$B,Heron!Q$9,Xero!$A:$A,Heron!$A$5,Xero!$E:$E,Heron!$A96)</f>
        <v/>
      </c>
      <c r="R96" s="117">
        <f>SUMIFS(Xero!$F:$F,Xero!$B:$B,Heron!R$9,Xero!$A:$A,Heron!$A$4,Xero!$E:$E,Heron!$A96)+SUMIFS(Xero!$F:$F,Xero!$B:$B,Heron!R$9,Xero!$A:$A,Heron!$A$5,Xero!$E:$E,Heron!$A96)</f>
        <v/>
      </c>
      <c r="S96" s="117">
        <f>SUMIFS(Xero!$F:$F,Xero!$B:$B,Heron!S$9,Xero!$A:$A,Heron!$A$4,Xero!$E:$E,Heron!$A96)+SUMIFS(Xero!$F:$F,Xero!$B:$B,Heron!S$9,Xero!$A:$A,Heron!$A$5,Xero!$E:$E,Heron!$A96)</f>
        <v/>
      </c>
      <c r="T96" s="117">
        <f>SUMIFS(Xero!$F:$F,Xero!$B:$B,Heron!T$9,Xero!$A:$A,Heron!$A$4,Xero!$E:$E,Heron!$A96)+SUMIFS(Xero!$F:$F,Xero!$B:$B,Heron!T$9,Xero!$A:$A,Heron!$A$5,Xero!$E:$E,Heron!$A96)</f>
        <v/>
      </c>
      <c r="U96" s="117">
        <f>SUMIFS(Xero!$F:$F,Xero!$B:$B,Heron!U$9,Xero!$A:$A,Heron!$A$4,Xero!$E:$E,Heron!$A96)+SUMIFS(Xero!$F:$F,Xero!$B:$B,Heron!U$9,Xero!$A:$A,Heron!$A$5,Xero!$E:$E,Heron!$A96)</f>
        <v/>
      </c>
      <c r="V96" s="117">
        <f>SUMIFS(Xero!$F:$F,Xero!$B:$B,Heron!V$9,Xero!$A:$A,Heron!$A$4,Xero!$E:$E,Heron!$A96)+SUMIFS(Xero!$F:$F,Xero!$B:$B,Heron!V$9,Xero!$A:$A,Heron!$A$5,Xero!$E:$E,Heron!$A96)</f>
        <v/>
      </c>
      <c r="W96" s="117">
        <f>SUMIFS(Xero!$F:$F,Xero!$B:$B,Heron!W$9,Xero!$A:$A,Heron!$A$4,Xero!$E:$E,Heron!$A96)+SUMIFS(Xero!$F:$F,Xero!$B:$B,Heron!W$9,Xero!$A:$A,Heron!$A$5,Xero!$E:$E,Heron!$A96)</f>
        <v/>
      </c>
      <c r="X96" s="117">
        <f>SUMIFS(Xero!$F:$F,Xero!$B:$B,Heron!X$9,Xero!$A:$A,Heron!$A$4,Xero!$E:$E,Heron!$A96)+SUMIFS(Xero!$F:$F,Xero!$B:$B,Heron!X$9,Xero!$A:$A,Heron!$A$5,Xero!$E:$E,Heron!$A96)</f>
        <v/>
      </c>
      <c r="Y96" s="117">
        <f>SUMIFS(Xero!$F:$F,Xero!$B:$B,Heron!Y$9,Xero!$A:$A,Heron!$A$4,Xero!$E:$E,Heron!$A96)+SUMIFS(Xero!$F:$F,Xero!$B:$B,Heron!Y$9,Xero!$A:$A,Heron!$A$5,Xero!$E:$E,Heron!$A96)</f>
        <v/>
      </c>
      <c r="Z96" s="117">
        <f>SUMIFS(Xero!$F:$F,Xero!$B:$B,Heron!Z$9,Xero!$A:$A,Heron!$A$4,Xero!$E:$E,Heron!$A96)+SUMIFS(Xero!$F:$F,Xero!$B:$B,Heron!Z$9,Xero!$A:$A,Heron!$A$5,Xero!$E:$E,Heron!$A96)</f>
        <v/>
      </c>
      <c r="AA96" s="117">
        <f>SUMIFS(Xero!$F:$F,Xero!$B:$B,Heron!AA$9,Xero!$A:$A,Heron!$A$4,Xero!$E:$E,Heron!$A96)+SUMIFS(Xero!$F:$F,Xero!$B:$B,Heron!AA$9,Xero!$A:$A,Heron!$A$5,Xero!$E:$E,Heron!$A96)</f>
        <v/>
      </c>
      <c r="AB96" s="117">
        <f>SUMIFS(Xero!$F:$F,Xero!$B:$B,Heron!AB$9,Xero!$A:$A,Heron!$A$4,Xero!$E:$E,Heron!$A96)+SUMIFS(Xero!$F:$F,Xero!$B:$B,Heron!AB$9,Xero!$A:$A,Heron!$A$5,Xero!$E:$E,Heron!$A96)</f>
        <v/>
      </c>
      <c r="AC96" s="117">
        <f>SUMIFS(Xero!$F:$F,Xero!$B:$B,Heron!AC$9,Xero!$A:$A,Heron!$A$4,Xero!$E:$E,Heron!$A96)+SUMIFS(Xero!$F:$F,Xero!$B:$B,Heron!AC$9,Xero!$A:$A,Heron!$A$5,Xero!$E:$E,Heron!$A96)</f>
        <v/>
      </c>
      <c r="AD96" s="117">
        <f>SUMIFS(Xero!$F:$F,Xero!$B:$B,Heron!AD$9,Xero!$A:$A,Heron!$A$4,Xero!$E:$E,Heron!$A96)+SUMIFS(Xero!$F:$F,Xero!$B:$B,Heron!AD$9,Xero!$A:$A,Heron!$A$5,Xero!$E:$E,Heron!$A96)</f>
        <v/>
      </c>
      <c r="AE96" s="117">
        <f>SUMIFS(Xero!$F:$F,Xero!$B:$B,Heron!AE$9,Xero!$A:$A,Heron!$A$4,Xero!$E:$E,Heron!$A96)+SUMIFS(Xero!$F:$F,Xero!$B:$B,Heron!AE$9,Xero!$A:$A,Heron!$A$5,Xero!$E:$E,Heron!$A96)</f>
        <v/>
      </c>
      <c r="AF96" s="117">
        <f>SUMIFS(Xero!$F:$F,Xero!$B:$B,Heron!AF$9,Xero!$A:$A,Heron!$A$4,Xero!$E:$E,Heron!$A96)+SUMIFS(Xero!$F:$F,Xero!$B:$B,Heron!AF$9,Xero!$A:$A,Heron!$A$5,Xero!$E:$E,Heron!$A96)</f>
        <v/>
      </c>
      <c r="AG96" s="117">
        <f>SUMIFS(Xero!$F:$F,Xero!$B:$B,Heron!AG$9,Xero!$A:$A,Heron!$A$4,Xero!$E:$E,Heron!$A96)+SUMIFS(Xero!$F:$F,Xero!$B:$B,Heron!AG$9,Xero!$A:$A,Heron!$A$5,Xero!$E:$E,Heron!$A96)</f>
        <v/>
      </c>
      <c r="AH96" s="117">
        <f>SUMIFS(Xero!$F:$F,Xero!$B:$B,Heron!AH$9,Xero!$A:$A,Heron!$A$4,Xero!$E:$E,Heron!$A96)+SUMIFS(Xero!$F:$F,Xero!$B:$B,Heron!AH$9,Xero!$A:$A,Heron!$A$5,Xero!$E:$E,Heron!$A96)</f>
        <v/>
      </c>
      <c r="AI96" s="117">
        <f>SUMIFS(Xero!$F:$F,Xero!$B:$B,Heron!AI$9,Xero!$A:$A,Heron!$A$4,Xero!$E:$E,Heron!$A96)+SUMIFS(Xero!$F:$F,Xero!$B:$B,Heron!AI$9,Xero!$A:$A,Heron!$A$5,Xero!$E:$E,Heron!$A96)</f>
        <v/>
      </c>
      <c r="AJ96" s="117">
        <f>SUMIFS(Xero!$F:$F,Xero!$B:$B,Heron!AJ$9,Xero!$A:$A,Heron!$A$4,Xero!$E:$E,Heron!$A96)+SUMIFS(Xero!$F:$F,Xero!$B:$B,Heron!AJ$9,Xero!$A:$A,Heron!$A$5,Xero!$E:$E,Heron!$A96)</f>
        <v/>
      </c>
      <c r="AK96" s="117">
        <f>SUMIFS(Xero!$F:$F,Xero!$B:$B,Heron!AK$9,Xero!$A:$A,Heron!$A$4,Xero!$E:$E,Heron!$A96)+SUMIFS(Xero!$F:$F,Xero!$B:$B,Heron!AK$9,Xero!$A:$A,Heron!$A$5,Xero!$E:$E,Heron!$A96)</f>
        <v/>
      </c>
      <c r="AL96" s="117">
        <f>SUMIFS(Xero!$F:$F,Xero!$B:$B,Heron!AL$9,Xero!$A:$A,Heron!$A$4,Xero!$E:$E,Heron!$A96)+SUMIFS(Xero!$F:$F,Xero!$B:$B,Heron!AL$9,Xero!$A:$A,Heron!$A$5,Xero!$E:$E,Heron!$A96)</f>
        <v/>
      </c>
      <c r="AM96" s="117">
        <f>SUMIFS(Xero!$F:$F,Xero!$B:$B,Heron!AM$9,Xero!$A:$A,Heron!$A$4,Xero!$E:$E,Heron!$A96)+SUMIFS(Xero!$F:$F,Xero!$B:$B,Heron!AM$9,Xero!$A:$A,Heron!$A$5,Xero!$E:$E,Heron!$A96)</f>
        <v/>
      </c>
      <c r="AN96" s="117">
        <f>SUMIFS(Xero!$F:$F,Xero!$B:$B,Heron!AN$9,Xero!$A:$A,Heron!$A$4,Xero!$E:$E,Heron!$A96)+SUMIFS(Xero!$F:$F,Xero!$B:$B,Heron!AN$9,Xero!$A:$A,Heron!$A$5,Xero!$E:$E,Heron!$A96)</f>
        <v/>
      </c>
      <c r="AO96" s="117">
        <f>SUMIFS(Xero!$F:$F,Xero!$B:$B,Heron!AO$9,Xero!$A:$A,Heron!$A$4,Xero!$E:$E,Heron!$A96)+SUMIFS(Xero!$F:$F,Xero!$B:$B,Heron!AO$9,Xero!$A:$A,Heron!$A$5,Xero!$E:$E,Heron!$A96)</f>
        <v/>
      </c>
      <c r="AP96" s="117">
        <f>SUMIFS(Xero!$F:$F,Xero!$B:$B,Heron!AP$9,Xero!$A:$A,Heron!$A$4,Xero!$E:$E,Heron!$A96)+SUMIFS(Xero!$F:$F,Xero!$B:$B,Heron!AP$9,Xero!$A:$A,Heron!$A$5,Xero!$E:$E,Heron!$A96)</f>
        <v/>
      </c>
      <c r="AQ96" s="117">
        <f>SUMIFS(Xero!$F:$F,Xero!$B:$B,Heron!AQ$9,Xero!$A:$A,Heron!$A$4,Xero!$E:$E,Heron!$A96)+SUMIFS(Xero!$F:$F,Xero!$B:$B,Heron!AQ$9,Xero!$A:$A,Heron!$A$5,Xero!$E:$E,Heron!$A96)</f>
        <v/>
      </c>
      <c r="AR96" s="117">
        <f>SUMIFS(Xero!$F:$F,Xero!$B:$B,Heron!AR$9,Xero!$A:$A,Heron!$A$4,Xero!$E:$E,Heron!$A96)+SUMIFS(Xero!$F:$F,Xero!$B:$B,Heron!AR$9,Xero!$A:$A,Heron!$A$5,Xero!$E:$E,Heron!$A96)</f>
        <v/>
      </c>
      <c r="AS96" s="117">
        <f>SUMIFS(Xero!$F:$F,Xero!$B:$B,Heron!AS$9,Xero!$A:$A,Heron!$A$4,Xero!$E:$E,Heron!$A96)+SUMIFS(Xero!$F:$F,Xero!$B:$B,Heron!AS$9,Xero!$A:$A,Heron!$A$5,Xero!$E:$E,Heron!$A96)</f>
        <v/>
      </c>
      <c r="AT96" s="117">
        <f>SUMIFS(Xero!$F:$F,Xero!$B:$B,Heron!AT$9,Xero!$A:$A,Heron!$A$4,Xero!$E:$E,Heron!$A96)+SUMIFS(Xero!$F:$F,Xero!$B:$B,Heron!AT$9,Xero!$A:$A,Heron!$A$5,Xero!$E:$E,Heron!$A96)</f>
        <v/>
      </c>
      <c r="AU96" s="117">
        <f>SUMIFS(Xero!$F:$F,Xero!$B:$B,Heron!AU$9,Xero!$A:$A,Heron!$A$4,Xero!$E:$E,Heron!$A96)+SUMIFS(Xero!$F:$F,Xero!$B:$B,Heron!AU$9,Xero!$A:$A,Heron!$A$5,Xero!$E:$E,Heron!$A96)</f>
        <v/>
      </c>
      <c r="AV96" s="117">
        <f>SUMIFS(Xero!$F:$F,Xero!$B:$B,Heron!AV$9,Xero!$A:$A,Heron!$A$4,Xero!$E:$E,Heron!$A96)+SUMIFS(Xero!$F:$F,Xero!$B:$B,Heron!AV$9,Xero!$A:$A,Heron!$A$5,Xero!$E:$E,Heron!$A96)</f>
        <v/>
      </c>
      <c r="AW96" s="117">
        <f>SUMIFS(Xero!$F:$F,Xero!$B:$B,Heron!AW$9,Xero!$A:$A,Heron!$A$4,Xero!$E:$E,Heron!$A96)+SUMIFS(Xero!$F:$F,Xero!$B:$B,Heron!AW$9,Xero!$A:$A,Heron!$A$5,Xero!$E:$E,Heron!$A96)</f>
        <v/>
      </c>
      <c r="AX96" s="117">
        <f>SUMIFS(Xero!$F:$F,Xero!$B:$B,Heron!AX$9,Xero!$A:$A,Heron!$A$4,Xero!$E:$E,Heron!$A96)+SUMIFS(Xero!$F:$F,Xero!$B:$B,Heron!AX$9,Xero!$A:$A,Heron!$A$5,Xero!$E:$E,Heron!$A96)</f>
        <v/>
      </c>
      <c r="AY96" s="117">
        <f>SUMIFS(Xero!$F:$F,Xero!$B:$B,Heron!AY$9,Xero!$A:$A,Heron!$A$4,Xero!$E:$E,Heron!$A96)+SUMIFS(Xero!$F:$F,Xero!$B:$B,Heron!AY$9,Xero!$A:$A,Heron!$A$5,Xero!$E:$E,Heron!$A96)</f>
        <v/>
      </c>
      <c r="AZ96" s="117">
        <f>SUMIFS(Xero!$F:$F,Xero!$B:$B,Heron!AZ$9,Xero!$A:$A,Heron!$A$4,Xero!$E:$E,Heron!$A96)+SUMIFS(Xero!$F:$F,Xero!$B:$B,Heron!AZ$9,Xero!$A:$A,Heron!$A$5,Xero!$E:$E,Heron!$A96)</f>
        <v/>
      </c>
      <c r="BA96" s="117">
        <f>SUMIFS(Xero!$F:$F,Xero!$B:$B,Heron!BA$9,Xero!$A:$A,Heron!$A$4,Xero!$E:$E,Heron!$A96)+SUMIFS(Xero!$F:$F,Xero!$B:$B,Heron!BA$9,Xero!$A:$A,Heron!$A$5,Xero!$E:$E,Heron!$A96)</f>
        <v/>
      </c>
      <c r="BB96" s="117">
        <f>SUMIFS(Xero!$F:$F,Xero!$B:$B,Heron!BB$9,Xero!$A:$A,Heron!$A$4,Xero!$E:$E,Heron!$A96)+SUMIFS(Xero!$F:$F,Xero!$B:$B,Heron!BB$9,Xero!$A:$A,Heron!$A$5,Xero!$E:$E,Heron!$A96)</f>
        <v/>
      </c>
      <c r="BC96" s="117">
        <f>SUMIFS(Xero!$F:$F,Xero!$B:$B,Heron!BC$9,Xero!$A:$A,Heron!$A$4,Xero!$E:$E,Heron!$A96)+SUMIFS(Xero!$F:$F,Xero!$B:$B,Heron!BC$9,Xero!$A:$A,Heron!$A$5,Xero!$E:$E,Heron!$A96)</f>
        <v/>
      </c>
      <c r="BD96" s="117">
        <f>SUMIFS(Xero!$F:$F,Xero!$B:$B,Heron!BD$9,Xero!$A:$A,Heron!$A$4,Xero!$E:$E,Heron!$A96)+SUMIFS(Xero!$F:$F,Xero!$B:$B,Heron!BD$9,Xero!$A:$A,Heron!$A$5,Xero!$E:$E,Heron!$A96)</f>
        <v/>
      </c>
      <c r="BE96" s="117">
        <f>SUMIFS(Xero!$F:$F,Xero!$B:$B,Heron!BE$9,Xero!$A:$A,Heron!$A$4,Xero!$E:$E,Heron!$A96)+SUMIFS(Xero!$F:$F,Xero!$B:$B,Heron!BE$9,Xero!$A:$A,Heron!$A$5,Xero!$E:$E,Heron!$A96)</f>
        <v/>
      </c>
      <c r="BF96" s="117">
        <f>SUMIFS(Xero!$F:$F,Xero!$B:$B,Heron!BF$9,Xero!$A:$A,Heron!$A$4,Xero!$E:$E,Heron!$A96)+SUMIFS(Xero!$F:$F,Xero!$B:$B,Heron!BF$9,Xero!$A:$A,Heron!$A$5,Xero!$E:$E,Heron!$A96)</f>
        <v/>
      </c>
      <c r="BG96" s="117">
        <f>SUMIFS(Xero!$F:$F,Xero!$B:$B,Heron!BG$9,Xero!$A:$A,Heron!$A$4,Xero!$E:$E,Heron!$A96)+SUMIFS(Xero!$F:$F,Xero!$B:$B,Heron!BG$9,Xero!$A:$A,Heron!$A$5,Xero!$E:$E,Heron!$A96)</f>
        <v/>
      </c>
      <c r="BH96" s="117">
        <f>SUMIFS(Xero!$F:$F,Xero!$B:$B,Heron!BH$9,Xero!$A:$A,Heron!$A$4,Xero!$E:$E,Heron!$A96)+SUMIFS(Xero!$F:$F,Xero!$B:$B,Heron!BH$9,Xero!$A:$A,Heron!$A$5,Xero!$E:$E,Heron!$A96)</f>
        <v/>
      </c>
      <c r="BI96" s="117">
        <f>SUMIFS(Xero!$F:$F,Xero!$B:$B,Heron!BI$9,Xero!$A:$A,Heron!$A$4,Xero!$E:$E,Heron!$A96)+SUMIFS(Xero!$F:$F,Xero!$B:$B,Heron!BI$9,Xero!$A:$A,Heron!$A$5,Xero!$E:$E,Heron!$A96)</f>
        <v/>
      </c>
      <c r="BJ96" s="117">
        <f>SUMIFS(Xero!$F:$F,Xero!$B:$B,Heron!BJ$9,Xero!$A:$A,Heron!$A$4,Xero!$E:$E,Heron!$A96)+SUMIFS(Xero!$F:$F,Xero!$B:$B,Heron!BJ$9,Xero!$A:$A,Heron!$A$5,Xero!$E:$E,Heron!$A96)</f>
        <v/>
      </c>
      <c r="BK96" s="117">
        <f>sum(D96:BJ96)</f>
        <v/>
      </c>
    </row>
    <row r="97">
      <c r="A97" s="116" t="inlineStr">
        <is>
          <t>Repairs _AND_ Maintenance</t>
        </is>
      </c>
      <c r="D97" s="117">
        <f>SUMIFS(Xero!$F:$F,Xero!$B:$B,Heron!D$9,Xero!$A:$A,Heron!$A$4,Xero!$E:$E,Heron!$A97)+SUMIFS(Xero!$F:$F,Xero!$B:$B,Heron!D$9,Xero!$A:$A,Heron!$A$5,Xero!$E:$E,Heron!$A97)</f>
        <v/>
      </c>
      <c r="E97" s="117">
        <f>SUMIFS(Xero!$F:$F,Xero!$B:$B,Heron!E$9,Xero!$A:$A,Heron!$A$4,Xero!$E:$E,Heron!$A97)+SUMIFS(Xero!$F:$F,Xero!$B:$B,Heron!E$9,Xero!$A:$A,Heron!$A$5,Xero!$E:$E,Heron!$A97)</f>
        <v/>
      </c>
      <c r="F97" s="117">
        <f>SUMIFS(Xero!$F:$F,Xero!$B:$B,Heron!F$9,Xero!$A:$A,Heron!$A$4,Xero!$E:$E,Heron!$A97)+SUMIFS(Xero!$F:$F,Xero!$B:$B,Heron!F$9,Xero!$A:$A,Heron!$A$5,Xero!$E:$E,Heron!$A97)</f>
        <v/>
      </c>
      <c r="G97" s="117">
        <f>SUMIFS(Xero!$F:$F,Xero!$B:$B,Heron!G$9,Xero!$A:$A,Heron!$A$4,Xero!$E:$E,Heron!$A97)+SUMIFS(Xero!$F:$F,Xero!$B:$B,Heron!G$9,Xero!$A:$A,Heron!$A$5,Xero!$E:$E,Heron!$A97)</f>
        <v/>
      </c>
      <c r="H97" s="117">
        <f>SUMIFS(Xero!$F:$F,Xero!$B:$B,Heron!H$9,Xero!$A:$A,Heron!$A$4,Xero!$E:$E,Heron!$A97)+SUMIFS(Xero!$F:$F,Xero!$B:$B,Heron!H$9,Xero!$A:$A,Heron!$A$5,Xero!$E:$E,Heron!$A97)</f>
        <v/>
      </c>
      <c r="I97" s="117">
        <f>SUMIFS(Xero!$F:$F,Xero!$B:$B,Heron!I$9,Xero!$A:$A,Heron!$A$4,Xero!$E:$E,Heron!$A97)+SUMIFS(Xero!$F:$F,Xero!$B:$B,Heron!I$9,Xero!$A:$A,Heron!$A$5,Xero!$E:$E,Heron!$A97)</f>
        <v/>
      </c>
      <c r="J97" s="117">
        <f>SUMIFS(Xero!$F:$F,Xero!$B:$B,Heron!J$9,Xero!$A:$A,Heron!$A$4,Xero!$E:$E,Heron!$A97)+SUMIFS(Xero!$F:$F,Xero!$B:$B,Heron!J$9,Xero!$A:$A,Heron!$A$5,Xero!$E:$E,Heron!$A97)</f>
        <v/>
      </c>
      <c r="K97" s="117">
        <f>SUMIFS(Xero!$F:$F,Xero!$B:$B,Heron!K$9,Xero!$A:$A,Heron!$A$4,Xero!$E:$E,Heron!$A97)+SUMIFS(Xero!$F:$F,Xero!$B:$B,Heron!K$9,Xero!$A:$A,Heron!$A$5,Xero!$E:$E,Heron!$A97)</f>
        <v/>
      </c>
      <c r="L97" s="117">
        <f>SUMIFS(Xero!$F:$F,Xero!$B:$B,Heron!L$9,Xero!$A:$A,Heron!$A$4,Xero!$E:$E,Heron!$A97)+SUMIFS(Xero!$F:$F,Xero!$B:$B,Heron!L$9,Xero!$A:$A,Heron!$A$5,Xero!$E:$E,Heron!$A97)</f>
        <v/>
      </c>
      <c r="M97" s="117">
        <f>SUMIFS(Xero!$F:$F,Xero!$B:$B,Heron!M$9,Xero!$A:$A,Heron!$A$4,Xero!$E:$E,Heron!$A97)+SUMIFS(Xero!$F:$F,Xero!$B:$B,Heron!M$9,Xero!$A:$A,Heron!$A$5,Xero!$E:$E,Heron!$A97)</f>
        <v/>
      </c>
      <c r="N97" s="117">
        <f>SUMIFS(Xero!$F:$F,Xero!$B:$B,Heron!N$9,Xero!$A:$A,Heron!$A$4,Xero!$E:$E,Heron!$A97)+SUMIFS(Xero!$F:$F,Xero!$B:$B,Heron!N$9,Xero!$A:$A,Heron!$A$5,Xero!$E:$E,Heron!$A97)</f>
        <v/>
      </c>
      <c r="O97" s="117">
        <f>SUMIFS(Xero!$F:$F,Xero!$B:$B,Heron!O$9,Xero!$A:$A,Heron!$A$4,Xero!$E:$E,Heron!$A97)+SUMIFS(Xero!$F:$F,Xero!$B:$B,Heron!O$9,Xero!$A:$A,Heron!$A$5,Xero!$E:$E,Heron!$A97)</f>
        <v/>
      </c>
      <c r="P97" s="117">
        <f>SUMIFS(Xero!$F:$F,Xero!$B:$B,Heron!P$9,Xero!$A:$A,Heron!$A$4,Xero!$E:$E,Heron!$A97)+SUMIFS(Xero!$F:$F,Xero!$B:$B,Heron!P$9,Xero!$A:$A,Heron!$A$5,Xero!$E:$E,Heron!$A97)</f>
        <v/>
      </c>
      <c r="Q97" s="117">
        <f>SUMIFS(Xero!$F:$F,Xero!$B:$B,Heron!Q$9,Xero!$A:$A,Heron!$A$4,Xero!$E:$E,Heron!$A97)+SUMIFS(Xero!$F:$F,Xero!$B:$B,Heron!Q$9,Xero!$A:$A,Heron!$A$5,Xero!$E:$E,Heron!$A97)</f>
        <v/>
      </c>
      <c r="R97" s="117">
        <f>SUMIFS(Xero!$F:$F,Xero!$B:$B,Heron!R$9,Xero!$A:$A,Heron!$A$4,Xero!$E:$E,Heron!$A97)+SUMIFS(Xero!$F:$F,Xero!$B:$B,Heron!R$9,Xero!$A:$A,Heron!$A$5,Xero!$E:$E,Heron!$A97)</f>
        <v/>
      </c>
      <c r="S97" s="117">
        <f>SUMIFS(Xero!$F:$F,Xero!$B:$B,Heron!S$9,Xero!$A:$A,Heron!$A$4,Xero!$E:$E,Heron!$A97)+SUMIFS(Xero!$F:$F,Xero!$B:$B,Heron!S$9,Xero!$A:$A,Heron!$A$5,Xero!$E:$E,Heron!$A97)</f>
        <v/>
      </c>
      <c r="T97" s="117">
        <f>SUMIFS(Xero!$F:$F,Xero!$B:$B,Heron!T$9,Xero!$A:$A,Heron!$A$4,Xero!$E:$E,Heron!$A97)+SUMIFS(Xero!$F:$F,Xero!$B:$B,Heron!T$9,Xero!$A:$A,Heron!$A$5,Xero!$E:$E,Heron!$A97)</f>
        <v/>
      </c>
      <c r="U97" s="117">
        <f>SUMIFS(Xero!$F:$F,Xero!$B:$B,Heron!U$9,Xero!$A:$A,Heron!$A$4,Xero!$E:$E,Heron!$A97)+SUMIFS(Xero!$F:$F,Xero!$B:$B,Heron!U$9,Xero!$A:$A,Heron!$A$5,Xero!$E:$E,Heron!$A97)</f>
        <v/>
      </c>
      <c r="V97" s="117">
        <f>SUMIFS(Xero!$F:$F,Xero!$B:$B,Heron!V$9,Xero!$A:$A,Heron!$A$4,Xero!$E:$E,Heron!$A97)+SUMIFS(Xero!$F:$F,Xero!$B:$B,Heron!V$9,Xero!$A:$A,Heron!$A$5,Xero!$E:$E,Heron!$A97)</f>
        <v/>
      </c>
      <c r="W97" s="117">
        <f>SUMIFS(Xero!$F:$F,Xero!$B:$B,Heron!W$9,Xero!$A:$A,Heron!$A$4,Xero!$E:$E,Heron!$A97)+SUMIFS(Xero!$F:$F,Xero!$B:$B,Heron!W$9,Xero!$A:$A,Heron!$A$5,Xero!$E:$E,Heron!$A97)</f>
        <v/>
      </c>
      <c r="X97" s="117">
        <f>SUMIFS(Xero!$F:$F,Xero!$B:$B,Heron!X$9,Xero!$A:$A,Heron!$A$4,Xero!$E:$E,Heron!$A97)+SUMIFS(Xero!$F:$F,Xero!$B:$B,Heron!X$9,Xero!$A:$A,Heron!$A$5,Xero!$E:$E,Heron!$A97)</f>
        <v/>
      </c>
      <c r="Y97" s="117">
        <f>SUMIFS(Xero!$F:$F,Xero!$B:$B,Heron!Y$9,Xero!$A:$A,Heron!$A$4,Xero!$E:$E,Heron!$A97)+SUMIFS(Xero!$F:$F,Xero!$B:$B,Heron!Y$9,Xero!$A:$A,Heron!$A$5,Xero!$E:$E,Heron!$A97)</f>
        <v/>
      </c>
      <c r="Z97" s="117">
        <f>SUMIFS(Xero!$F:$F,Xero!$B:$B,Heron!Z$9,Xero!$A:$A,Heron!$A$4,Xero!$E:$E,Heron!$A97)+SUMIFS(Xero!$F:$F,Xero!$B:$B,Heron!Z$9,Xero!$A:$A,Heron!$A$5,Xero!$E:$E,Heron!$A97)</f>
        <v/>
      </c>
      <c r="AA97" s="117">
        <f>SUMIFS(Xero!$F:$F,Xero!$B:$B,Heron!AA$9,Xero!$A:$A,Heron!$A$4,Xero!$E:$E,Heron!$A97)+SUMIFS(Xero!$F:$F,Xero!$B:$B,Heron!AA$9,Xero!$A:$A,Heron!$A$5,Xero!$E:$E,Heron!$A97)</f>
        <v/>
      </c>
      <c r="AB97" s="117">
        <f>SUMIFS(Xero!$F:$F,Xero!$B:$B,Heron!AB$9,Xero!$A:$A,Heron!$A$4,Xero!$E:$E,Heron!$A97)+SUMIFS(Xero!$F:$F,Xero!$B:$B,Heron!AB$9,Xero!$A:$A,Heron!$A$5,Xero!$E:$E,Heron!$A97)</f>
        <v/>
      </c>
      <c r="AC97" s="117">
        <f>SUMIFS(Xero!$F:$F,Xero!$B:$B,Heron!AC$9,Xero!$A:$A,Heron!$A$4,Xero!$E:$E,Heron!$A97)+SUMIFS(Xero!$F:$F,Xero!$B:$B,Heron!AC$9,Xero!$A:$A,Heron!$A$5,Xero!$E:$E,Heron!$A97)</f>
        <v/>
      </c>
      <c r="AD97" s="117">
        <f>SUMIFS(Xero!$F:$F,Xero!$B:$B,Heron!AD$9,Xero!$A:$A,Heron!$A$4,Xero!$E:$E,Heron!$A97)+SUMIFS(Xero!$F:$F,Xero!$B:$B,Heron!AD$9,Xero!$A:$A,Heron!$A$5,Xero!$E:$E,Heron!$A97)</f>
        <v/>
      </c>
      <c r="AE97" s="117">
        <f>SUMIFS(Xero!$F:$F,Xero!$B:$B,Heron!AE$9,Xero!$A:$A,Heron!$A$4,Xero!$E:$E,Heron!$A97)+SUMIFS(Xero!$F:$F,Xero!$B:$B,Heron!AE$9,Xero!$A:$A,Heron!$A$5,Xero!$E:$E,Heron!$A97)</f>
        <v/>
      </c>
      <c r="AF97" s="117">
        <f>SUMIFS(Xero!$F:$F,Xero!$B:$B,Heron!AF$9,Xero!$A:$A,Heron!$A$4,Xero!$E:$E,Heron!$A97)+SUMIFS(Xero!$F:$F,Xero!$B:$B,Heron!AF$9,Xero!$A:$A,Heron!$A$5,Xero!$E:$E,Heron!$A97)</f>
        <v/>
      </c>
      <c r="AG97" s="117">
        <f>SUMIFS(Xero!$F:$F,Xero!$B:$B,Heron!AG$9,Xero!$A:$A,Heron!$A$4,Xero!$E:$E,Heron!$A97)+SUMIFS(Xero!$F:$F,Xero!$B:$B,Heron!AG$9,Xero!$A:$A,Heron!$A$5,Xero!$E:$E,Heron!$A97)</f>
        <v/>
      </c>
      <c r="AH97" s="117">
        <f>SUMIFS(Xero!$F:$F,Xero!$B:$B,Heron!AH$9,Xero!$A:$A,Heron!$A$4,Xero!$E:$E,Heron!$A97)+SUMIFS(Xero!$F:$F,Xero!$B:$B,Heron!AH$9,Xero!$A:$A,Heron!$A$5,Xero!$E:$E,Heron!$A97)</f>
        <v/>
      </c>
      <c r="AI97" s="117">
        <f>SUMIFS(Xero!$F:$F,Xero!$B:$B,Heron!AI$9,Xero!$A:$A,Heron!$A$4,Xero!$E:$E,Heron!$A97)+SUMIFS(Xero!$F:$F,Xero!$B:$B,Heron!AI$9,Xero!$A:$A,Heron!$A$5,Xero!$E:$E,Heron!$A97)</f>
        <v/>
      </c>
      <c r="AJ97" s="117">
        <f>SUMIFS(Xero!$F:$F,Xero!$B:$B,Heron!AJ$9,Xero!$A:$A,Heron!$A$4,Xero!$E:$E,Heron!$A97)+SUMIFS(Xero!$F:$F,Xero!$B:$B,Heron!AJ$9,Xero!$A:$A,Heron!$A$5,Xero!$E:$E,Heron!$A97)</f>
        <v/>
      </c>
      <c r="AK97" s="117">
        <f>SUMIFS(Xero!$F:$F,Xero!$B:$B,Heron!AK$9,Xero!$A:$A,Heron!$A$4,Xero!$E:$E,Heron!$A97)+SUMIFS(Xero!$F:$F,Xero!$B:$B,Heron!AK$9,Xero!$A:$A,Heron!$A$5,Xero!$E:$E,Heron!$A97)</f>
        <v/>
      </c>
      <c r="AL97" s="117">
        <f>SUMIFS(Xero!$F:$F,Xero!$B:$B,Heron!AL$9,Xero!$A:$A,Heron!$A$4,Xero!$E:$E,Heron!$A97)+SUMIFS(Xero!$F:$F,Xero!$B:$B,Heron!AL$9,Xero!$A:$A,Heron!$A$5,Xero!$E:$E,Heron!$A97)</f>
        <v/>
      </c>
      <c r="AM97" s="117">
        <f>SUMIFS(Xero!$F:$F,Xero!$B:$B,Heron!AM$9,Xero!$A:$A,Heron!$A$4,Xero!$E:$E,Heron!$A97)+SUMIFS(Xero!$F:$F,Xero!$B:$B,Heron!AM$9,Xero!$A:$A,Heron!$A$5,Xero!$E:$E,Heron!$A97)</f>
        <v/>
      </c>
      <c r="AN97" s="117">
        <f>SUMIFS(Xero!$F:$F,Xero!$B:$B,Heron!AN$9,Xero!$A:$A,Heron!$A$4,Xero!$E:$E,Heron!$A97)+SUMIFS(Xero!$F:$F,Xero!$B:$B,Heron!AN$9,Xero!$A:$A,Heron!$A$5,Xero!$E:$E,Heron!$A97)</f>
        <v/>
      </c>
      <c r="AO97" s="117">
        <f>SUMIFS(Xero!$F:$F,Xero!$B:$B,Heron!AO$9,Xero!$A:$A,Heron!$A$4,Xero!$E:$E,Heron!$A97)+SUMIFS(Xero!$F:$F,Xero!$B:$B,Heron!AO$9,Xero!$A:$A,Heron!$A$5,Xero!$E:$E,Heron!$A97)</f>
        <v/>
      </c>
      <c r="AP97" s="117">
        <f>SUMIFS(Xero!$F:$F,Xero!$B:$B,Heron!AP$9,Xero!$A:$A,Heron!$A$4,Xero!$E:$E,Heron!$A97)+SUMIFS(Xero!$F:$F,Xero!$B:$B,Heron!AP$9,Xero!$A:$A,Heron!$A$5,Xero!$E:$E,Heron!$A97)</f>
        <v/>
      </c>
      <c r="AQ97" s="117">
        <f>SUMIFS(Xero!$F:$F,Xero!$B:$B,Heron!AQ$9,Xero!$A:$A,Heron!$A$4,Xero!$E:$E,Heron!$A97)+SUMIFS(Xero!$F:$F,Xero!$B:$B,Heron!AQ$9,Xero!$A:$A,Heron!$A$5,Xero!$E:$E,Heron!$A97)</f>
        <v/>
      </c>
      <c r="AR97" s="117">
        <f>SUMIFS(Xero!$F:$F,Xero!$B:$B,Heron!AR$9,Xero!$A:$A,Heron!$A$4,Xero!$E:$E,Heron!$A97)+SUMIFS(Xero!$F:$F,Xero!$B:$B,Heron!AR$9,Xero!$A:$A,Heron!$A$5,Xero!$E:$E,Heron!$A97)</f>
        <v/>
      </c>
      <c r="AS97" s="117">
        <f>SUMIFS(Xero!$F:$F,Xero!$B:$B,Heron!AS$9,Xero!$A:$A,Heron!$A$4,Xero!$E:$E,Heron!$A97)+SUMIFS(Xero!$F:$F,Xero!$B:$B,Heron!AS$9,Xero!$A:$A,Heron!$A$5,Xero!$E:$E,Heron!$A97)</f>
        <v/>
      </c>
      <c r="AT97" s="117">
        <f>SUMIFS(Xero!$F:$F,Xero!$B:$B,Heron!AT$9,Xero!$A:$A,Heron!$A$4,Xero!$E:$E,Heron!$A97)+SUMIFS(Xero!$F:$F,Xero!$B:$B,Heron!AT$9,Xero!$A:$A,Heron!$A$5,Xero!$E:$E,Heron!$A97)</f>
        <v/>
      </c>
      <c r="AU97" s="117">
        <f>SUMIFS(Xero!$F:$F,Xero!$B:$B,Heron!AU$9,Xero!$A:$A,Heron!$A$4,Xero!$E:$E,Heron!$A97)+SUMIFS(Xero!$F:$F,Xero!$B:$B,Heron!AU$9,Xero!$A:$A,Heron!$A$5,Xero!$E:$E,Heron!$A97)</f>
        <v/>
      </c>
      <c r="AV97" s="117">
        <f>SUMIFS(Xero!$F:$F,Xero!$B:$B,Heron!AV$9,Xero!$A:$A,Heron!$A$4,Xero!$E:$E,Heron!$A97)+SUMIFS(Xero!$F:$F,Xero!$B:$B,Heron!AV$9,Xero!$A:$A,Heron!$A$5,Xero!$E:$E,Heron!$A97)</f>
        <v/>
      </c>
      <c r="AW97" s="117">
        <f>SUMIFS(Xero!$F:$F,Xero!$B:$B,Heron!AW$9,Xero!$A:$A,Heron!$A$4,Xero!$E:$E,Heron!$A97)+SUMIFS(Xero!$F:$F,Xero!$B:$B,Heron!AW$9,Xero!$A:$A,Heron!$A$5,Xero!$E:$E,Heron!$A97)</f>
        <v/>
      </c>
      <c r="AX97" s="117">
        <f>SUMIFS(Xero!$F:$F,Xero!$B:$B,Heron!AX$9,Xero!$A:$A,Heron!$A$4,Xero!$E:$E,Heron!$A97)+SUMIFS(Xero!$F:$F,Xero!$B:$B,Heron!AX$9,Xero!$A:$A,Heron!$A$5,Xero!$E:$E,Heron!$A97)</f>
        <v/>
      </c>
      <c r="AY97" s="117">
        <f>SUMIFS(Xero!$F:$F,Xero!$B:$B,Heron!AY$9,Xero!$A:$A,Heron!$A$4,Xero!$E:$E,Heron!$A97)+SUMIFS(Xero!$F:$F,Xero!$B:$B,Heron!AY$9,Xero!$A:$A,Heron!$A$5,Xero!$E:$E,Heron!$A97)</f>
        <v/>
      </c>
      <c r="AZ97" s="117">
        <f>SUMIFS(Xero!$F:$F,Xero!$B:$B,Heron!AZ$9,Xero!$A:$A,Heron!$A$4,Xero!$E:$E,Heron!$A97)+SUMIFS(Xero!$F:$F,Xero!$B:$B,Heron!AZ$9,Xero!$A:$A,Heron!$A$5,Xero!$E:$E,Heron!$A97)</f>
        <v/>
      </c>
      <c r="BA97" s="117">
        <f>SUMIFS(Xero!$F:$F,Xero!$B:$B,Heron!BA$9,Xero!$A:$A,Heron!$A$4,Xero!$E:$E,Heron!$A97)+SUMIFS(Xero!$F:$F,Xero!$B:$B,Heron!BA$9,Xero!$A:$A,Heron!$A$5,Xero!$E:$E,Heron!$A97)</f>
        <v/>
      </c>
      <c r="BB97" s="117">
        <f>SUMIFS(Xero!$F:$F,Xero!$B:$B,Heron!BB$9,Xero!$A:$A,Heron!$A$4,Xero!$E:$E,Heron!$A97)+SUMIFS(Xero!$F:$F,Xero!$B:$B,Heron!BB$9,Xero!$A:$A,Heron!$A$5,Xero!$E:$E,Heron!$A97)</f>
        <v/>
      </c>
      <c r="BC97" s="117">
        <f>SUMIFS(Xero!$F:$F,Xero!$B:$B,Heron!BC$9,Xero!$A:$A,Heron!$A$4,Xero!$E:$E,Heron!$A97)+SUMIFS(Xero!$F:$F,Xero!$B:$B,Heron!BC$9,Xero!$A:$A,Heron!$A$5,Xero!$E:$E,Heron!$A97)</f>
        <v/>
      </c>
      <c r="BD97" s="117">
        <f>SUMIFS(Xero!$F:$F,Xero!$B:$B,Heron!BD$9,Xero!$A:$A,Heron!$A$4,Xero!$E:$E,Heron!$A97)+SUMIFS(Xero!$F:$F,Xero!$B:$B,Heron!BD$9,Xero!$A:$A,Heron!$A$5,Xero!$E:$E,Heron!$A97)</f>
        <v/>
      </c>
      <c r="BE97" s="117">
        <f>SUMIFS(Xero!$F:$F,Xero!$B:$B,Heron!BE$9,Xero!$A:$A,Heron!$A$4,Xero!$E:$E,Heron!$A97)+SUMIFS(Xero!$F:$F,Xero!$B:$B,Heron!BE$9,Xero!$A:$A,Heron!$A$5,Xero!$E:$E,Heron!$A97)</f>
        <v/>
      </c>
      <c r="BF97" s="117">
        <f>SUMIFS(Xero!$F:$F,Xero!$B:$B,Heron!BF$9,Xero!$A:$A,Heron!$A$4,Xero!$E:$E,Heron!$A97)+SUMIFS(Xero!$F:$F,Xero!$B:$B,Heron!BF$9,Xero!$A:$A,Heron!$A$5,Xero!$E:$E,Heron!$A97)</f>
        <v/>
      </c>
      <c r="BG97" s="117">
        <f>SUMIFS(Xero!$F:$F,Xero!$B:$B,Heron!BG$9,Xero!$A:$A,Heron!$A$4,Xero!$E:$E,Heron!$A97)+SUMIFS(Xero!$F:$F,Xero!$B:$B,Heron!BG$9,Xero!$A:$A,Heron!$A$5,Xero!$E:$E,Heron!$A97)</f>
        <v/>
      </c>
      <c r="BH97" s="117">
        <f>SUMIFS(Xero!$F:$F,Xero!$B:$B,Heron!BH$9,Xero!$A:$A,Heron!$A$4,Xero!$E:$E,Heron!$A97)+SUMIFS(Xero!$F:$F,Xero!$B:$B,Heron!BH$9,Xero!$A:$A,Heron!$A$5,Xero!$E:$E,Heron!$A97)</f>
        <v/>
      </c>
      <c r="BI97" s="117">
        <f>SUMIFS(Xero!$F:$F,Xero!$B:$B,Heron!BI$9,Xero!$A:$A,Heron!$A$4,Xero!$E:$E,Heron!$A97)+SUMIFS(Xero!$F:$F,Xero!$B:$B,Heron!BI$9,Xero!$A:$A,Heron!$A$5,Xero!$E:$E,Heron!$A97)</f>
        <v/>
      </c>
      <c r="BJ97" s="117">
        <f>SUMIFS(Xero!$F:$F,Xero!$B:$B,Heron!BJ$9,Xero!$A:$A,Heron!$A$4,Xero!$E:$E,Heron!$A97)+SUMIFS(Xero!$F:$F,Xero!$B:$B,Heron!BJ$9,Xero!$A:$A,Heron!$A$5,Xero!$E:$E,Heron!$A97)</f>
        <v/>
      </c>
      <c r="BK97" s="117">
        <f>sum(D97:BJ97)</f>
        <v/>
      </c>
    </row>
    <row r="98">
      <c r="A98" s="116" t="inlineStr">
        <is>
          <t>Secretarial fees</t>
        </is>
      </c>
      <c r="D98" s="117">
        <f>SUMIFS(Xero!$F:$F,Xero!$B:$B,Heron!D$9,Xero!$A:$A,Heron!$A$4,Xero!$E:$E,Heron!$A98)+SUMIFS(Xero!$F:$F,Xero!$B:$B,Heron!D$9,Xero!$A:$A,Heron!$A$5,Xero!$E:$E,Heron!$A98)</f>
        <v/>
      </c>
      <c r="E98" s="117">
        <f>SUMIFS(Xero!$F:$F,Xero!$B:$B,Heron!E$9,Xero!$A:$A,Heron!$A$4,Xero!$E:$E,Heron!$A98)+SUMIFS(Xero!$F:$F,Xero!$B:$B,Heron!E$9,Xero!$A:$A,Heron!$A$5,Xero!$E:$E,Heron!$A98)</f>
        <v/>
      </c>
      <c r="F98" s="117">
        <f>SUMIFS(Xero!$F:$F,Xero!$B:$B,Heron!F$9,Xero!$A:$A,Heron!$A$4,Xero!$E:$E,Heron!$A98)+SUMIFS(Xero!$F:$F,Xero!$B:$B,Heron!F$9,Xero!$A:$A,Heron!$A$5,Xero!$E:$E,Heron!$A98)</f>
        <v/>
      </c>
      <c r="G98" s="117">
        <f>SUMIFS(Xero!$F:$F,Xero!$B:$B,Heron!G$9,Xero!$A:$A,Heron!$A$4,Xero!$E:$E,Heron!$A98)+SUMIFS(Xero!$F:$F,Xero!$B:$B,Heron!G$9,Xero!$A:$A,Heron!$A$5,Xero!$E:$E,Heron!$A98)</f>
        <v/>
      </c>
      <c r="H98" s="117">
        <f>SUMIFS(Xero!$F:$F,Xero!$B:$B,Heron!H$9,Xero!$A:$A,Heron!$A$4,Xero!$E:$E,Heron!$A98)+SUMIFS(Xero!$F:$F,Xero!$B:$B,Heron!H$9,Xero!$A:$A,Heron!$A$5,Xero!$E:$E,Heron!$A98)</f>
        <v/>
      </c>
      <c r="I98" s="117">
        <f>SUMIFS(Xero!$F:$F,Xero!$B:$B,Heron!I$9,Xero!$A:$A,Heron!$A$4,Xero!$E:$E,Heron!$A98)+SUMIFS(Xero!$F:$F,Xero!$B:$B,Heron!I$9,Xero!$A:$A,Heron!$A$5,Xero!$E:$E,Heron!$A98)</f>
        <v/>
      </c>
      <c r="J98" s="117">
        <f>SUMIFS(Xero!$F:$F,Xero!$B:$B,Heron!J$9,Xero!$A:$A,Heron!$A$4,Xero!$E:$E,Heron!$A98)+SUMIFS(Xero!$F:$F,Xero!$B:$B,Heron!J$9,Xero!$A:$A,Heron!$A$5,Xero!$E:$E,Heron!$A98)</f>
        <v/>
      </c>
      <c r="K98" s="117">
        <f>SUMIFS(Xero!$F:$F,Xero!$B:$B,Heron!K$9,Xero!$A:$A,Heron!$A$4,Xero!$E:$E,Heron!$A98)+SUMIFS(Xero!$F:$F,Xero!$B:$B,Heron!K$9,Xero!$A:$A,Heron!$A$5,Xero!$E:$E,Heron!$A98)</f>
        <v/>
      </c>
      <c r="L98" s="117">
        <f>SUMIFS(Xero!$F:$F,Xero!$B:$B,Heron!L$9,Xero!$A:$A,Heron!$A$4,Xero!$E:$E,Heron!$A98)+SUMIFS(Xero!$F:$F,Xero!$B:$B,Heron!L$9,Xero!$A:$A,Heron!$A$5,Xero!$E:$E,Heron!$A98)</f>
        <v/>
      </c>
      <c r="M98" s="117">
        <f>SUMIFS(Xero!$F:$F,Xero!$B:$B,Heron!M$9,Xero!$A:$A,Heron!$A$4,Xero!$E:$E,Heron!$A98)+SUMIFS(Xero!$F:$F,Xero!$B:$B,Heron!M$9,Xero!$A:$A,Heron!$A$5,Xero!$E:$E,Heron!$A98)</f>
        <v/>
      </c>
      <c r="N98" s="117">
        <f>SUMIFS(Xero!$F:$F,Xero!$B:$B,Heron!N$9,Xero!$A:$A,Heron!$A$4,Xero!$E:$E,Heron!$A98)+SUMIFS(Xero!$F:$F,Xero!$B:$B,Heron!N$9,Xero!$A:$A,Heron!$A$5,Xero!$E:$E,Heron!$A98)</f>
        <v/>
      </c>
      <c r="O98" s="117">
        <f>SUMIFS(Xero!$F:$F,Xero!$B:$B,Heron!O$9,Xero!$A:$A,Heron!$A$4,Xero!$E:$E,Heron!$A98)+SUMIFS(Xero!$F:$F,Xero!$B:$B,Heron!O$9,Xero!$A:$A,Heron!$A$5,Xero!$E:$E,Heron!$A98)</f>
        <v/>
      </c>
      <c r="P98" s="117">
        <f>SUMIFS(Xero!$F:$F,Xero!$B:$B,Heron!P$9,Xero!$A:$A,Heron!$A$4,Xero!$E:$E,Heron!$A98)+SUMIFS(Xero!$F:$F,Xero!$B:$B,Heron!P$9,Xero!$A:$A,Heron!$A$5,Xero!$E:$E,Heron!$A98)</f>
        <v/>
      </c>
      <c r="Q98" s="117">
        <f>SUMIFS(Xero!$F:$F,Xero!$B:$B,Heron!Q$9,Xero!$A:$A,Heron!$A$4,Xero!$E:$E,Heron!$A98)+SUMIFS(Xero!$F:$F,Xero!$B:$B,Heron!Q$9,Xero!$A:$A,Heron!$A$5,Xero!$E:$E,Heron!$A98)</f>
        <v/>
      </c>
      <c r="R98" s="117">
        <f>SUMIFS(Xero!$F:$F,Xero!$B:$B,Heron!R$9,Xero!$A:$A,Heron!$A$4,Xero!$E:$E,Heron!$A98)+SUMIFS(Xero!$F:$F,Xero!$B:$B,Heron!R$9,Xero!$A:$A,Heron!$A$5,Xero!$E:$E,Heron!$A98)</f>
        <v/>
      </c>
      <c r="S98" s="117">
        <f>SUMIFS(Xero!$F:$F,Xero!$B:$B,Heron!S$9,Xero!$A:$A,Heron!$A$4,Xero!$E:$E,Heron!$A98)+SUMIFS(Xero!$F:$F,Xero!$B:$B,Heron!S$9,Xero!$A:$A,Heron!$A$5,Xero!$E:$E,Heron!$A98)</f>
        <v/>
      </c>
      <c r="T98" s="117">
        <f>SUMIFS(Xero!$F:$F,Xero!$B:$B,Heron!T$9,Xero!$A:$A,Heron!$A$4,Xero!$E:$E,Heron!$A98)+SUMIFS(Xero!$F:$F,Xero!$B:$B,Heron!T$9,Xero!$A:$A,Heron!$A$5,Xero!$E:$E,Heron!$A98)</f>
        <v/>
      </c>
      <c r="U98" s="117">
        <f>SUMIFS(Xero!$F:$F,Xero!$B:$B,Heron!U$9,Xero!$A:$A,Heron!$A$4,Xero!$E:$E,Heron!$A98)+SUMIFS(Xero!$F:$F,Xero!$B:$B,Heron!U$9,Xero!$A:$A,Heron!$A$5,Xero!$E:$E,Heron!$A98)</f>
        <v/>
      </c>
      <c r="V98" s="117">
        <f>SUMIFS(Xero!$F:$F,Xero!$B:$B,Heron!V$9,Xero!$A:$A,Heron!$A$4,Xero!$E:$E,Heron!$A98)+SUMIFS(Xero!$F:$F,Xero!$B:$B,Heron!V$9,Xero!$A:$A,Heron!$A$5,Xero!$E:$E,Heron!$A98)</f>
        <v/>
      </c>
      <c r="W98" s="117">
        <f>SUMIFS(Xero!$F:$F,Xero!$B:$B,Heron!W$9,Xero!$A:$A,Heron!$A$4,Xero!$E:$E,Heron!$A98)+SUMIFS(Xero!$F:$F,Xero!$B:$B,Heron!W$9,Xero!$A:$A,Heron!$A$5,Xero!$E:$E,Heron!$A98)</f>
        <v/>
      </c>
      <c r="X98" s="117">
        <f>SUMIFS(Xero!$F:$F,Xero!$B:$B,Heron!X$9,Xero!$A:$A,Heron!$A$4,Xero!$E:$E,Heron!$A98)+SUMIFS(Xero!$F:$F,Xero!$B:$B,Heron!X$9,Xero!$A:$A,Heron!$A$5,Xero!$E:$E,Heron!$A98)</f>
        <v/>
      </c>
      <c r="Y98" s="117">
        <f>SUMIFS(Xero!$F:$F,Xero!$B:$B,Heron!Y$9,Xero!$A:$A,Heron!$A$4,Xero!$E:$E,Heron!$A98)+SUMIFS(Xero!$F:$F,Xero!$B:$B,Heron!Y$9,Xero!$A:$A,Heron!$A$5,Xero!$E:$E,Heron!$A98)</f>
        <v/>
      </c>
      <c r="Z98" s="117">
        <f>SUMIFS(Xero!$F:$F,Xero!$B:$B,Heron!Z$9,Xero!$A:$A,Heron!$A$4,Xero!$E:$E,Heron!$A98)+SUMIFS(Xero!$F:$F,Xero!$B:$B,Heron!Z$9,Xero!$A:$A,Heron!$A$5,Xero!$E:$E,Heron!$A98)</f>
        <v/>
      </c>
      <c r="AA98" s="117">
        <f>SUMIFS(Xero!$F:$F,Xero!$B:$B,Heron!AA$9,Xero!$A:$A,Heron!$A$4,Xero!$E:$E,Heron!$A98)+SUMIFS(Xero!$F:$F,Xero!$B:$B,Heron!AA$9,Xero!$A:$A,Heron!$A$5,Xero!$E:$E,Heron!$A98)</f>
        <v/>
      </c>
      <c r="AB98" s="117">
        <f>SUMIFS(Xero!$F:$F,Xero!$B:$B,Heron!AB$9,Xero!$A:$A,Heron!$A$4,Xero!$E:$E,Heron!$A98)+SUMIFS(Xero!$F:$F,Xero!$B:$B,Heron!AB$9,Xero!$A:$A,Heron!$A$5,Xero!$E:$E,Heron!$A98)</f>
        <v/>
      </c>
      <c r="AC98" s="117">
        <f>SUMIFS(Xero!$F:$F,Xero!$B:$B,Heron!AC$9,Xero!$A:$A,Heron!$A$4,Xero!$E:$E,Heron!$A98)+SUMIFS(Xero!$F:$F,Xero!$B:$B,Heron!AC$9,Xero!$A:$A,Heron!$A$5,Xero!$E:$E,Heron!$A98)</f>
        <v/>
      </c>
      <c r="AD98" s="117">
        <f>SUMIFS(Xero!$F:$F,Xero!$B:$B,Heron!AD$9,Xero!$A:$A,Heron!$A$4,Xero!$E:$E,Heron!$A98)+SUMIFS(Xero!$F:$F,Xero!$B:$B,Heron!AD$9,Xero!$A:$A,Heron!$A$5,Xero!$E:$E,Heron!$A98)</f>
        <v/>
      </c>
      <c r="AE98" s="117">
        <f>SUMIFS(Xero!$F:$F,Xero!$B:$B,Heron!AE$9,Xero!$A:$A,Heron!$A$4,Xero!$E:$E,Heron!$A98)+SUMIFS(Xero!$F:$F,Xero!$B:$B,Heron!AE$9,Xero!$A:$A,Heron!$A$5,Xero!$E:$E,Heron!$A98)</f>
        <v/>
      </c>
      <c r="AF98" s="117">
        <f>SUMIFS(Xero!$F:$F,Xero!$B:$B,Heron!AF$9,Xero!$A:$A,Heron!$A$4,Xero!$E:$E,Heron!$A98)+SUMIFS(Xero!$F:$F,Xero!$B:$B,Heron!AF$9,Xero!$A:$A,Heron!$A$5,Xero!$E:$E,Heron!$A98)</f>
        <v/>
      </c>
      <c r="AG98" s="117">
        <f>SUMIFS(Xero!$F:$F,Xero!$B:$B,Heron!AG$9,Xero!$A:$A,Heron!$A$4,Xero!$E:$E,Heron!$A98)+SUMIFS(Xero!$F:$F,Xero!$B:$B,Heron!AG$9,Xero!$A:$A,Heron!$A$5,Xero!$E:$E,Heron!$A98)</f>
        <v/>
      </c>
      <c r="AH98" s="117">
        <f>SUMIFS(Xero!$F:$F,Xero!$B:$B,Heron!AH$9,Xero!$A:$A,Heron!$A$4,Xero!$E:$E,Heron!$A98)+SUMIFS(Xero!$F:$F,Xero!$B:$B,Heron!AH$9,Xero!$A:$A,Heron!$A$5,Xero!$E:$E,Heron!$A98)</f>
        <v/>
      </c>
      <c r="AI98" s="117">
        <f>SUMIFS(Xero!$F:$F,Xero!$B:$B,Heron!AI$9,Xero!$A:$A,Heron!$A$4,Xero!$E:$E,Heron!$A98)+SUMIFS(Xero!$F:$F,Xero!$B:$B,Heron!AI$9,Xero!$A:$A,Heron!$A$5,Xero!$E:$E,Heron!$A98)</f>
        <v/>
      </c>
      <c r="AJ98" s="117">
        <f>SUMIFS(Xero!$F:$F,Xero!$B:$B,Heron!AJ$9,Xero!$A:$A,Heron!$A$4,Xero!$E:$E,Heron!$A98)+SUMIFS(Xero!$F:$F,Xero!$B:$B,Heron!AJ$9,Xero!$A:$A,Heron!$A$5,Xero!$E:$E,Heron!$A98)</f>
        <v/>
      </c>
      <c r="AK98" s="117">
        <f>SUMIFS(Xero!$F:$F,Xero!$B:$B,Heron!AK$9,Xero!$A:$A,Heron!$A$4,Xero!$E:$E,Heron!$A98)+SUMIFS(Xero!$F:$F,Xero!$B:$B,Heron!AK$9,Xero!$A:$A,Heron!$A$5,Xero!$E:$E,Heron!$A98)</f>
        <v/>
      </c>
      <c r="AL98" s="117">
        <f>SUMIFS(Xero!$F:$F,Xero!$B:$B,Heron!AL$9,Xero!$A:$A,Heron!$A$4,Xero!$E:$E,Heron!$A98)+SUMIFS(Xero!$F:$F,Xero!$B:$B,Heron!AL$9,Xero!$A:$A,Heron!$A$5,Xero!$E:$E,Heron!$A98)</f>
        <v/>
      </c>
      <c r="AM98" s="117">
        <f>SUMIFS(Xero!$F:$F,Xero!$B:$B,Heron!AM$9,Xero!$A:$A,Heron!$A$4,Xero!$E:$E,Heron!$A98)+SUMIFS(Xero!$F:$F,Xero!$B:$B,Heron!AM$9,Xero!$A:$A,Heron!$A$5,Xero!$E:$E,Heron!$A98)</f>
        <v/>
      </c>
      <c r="AN98" s="117">
        <f>SUMIFS(Xero!$F:$F,Xero!$B:$B,Heron!AN$9,Xero!$A:$A,Heron!$A$4,Xero!$E:$E,Heron!$A98)+SUMIFS(Xero!$F:$F,Xero!$B:$B,Heron!AN$9,Xero!$A:$A,Heron!$A$5,Xero!$E:$E,Heron!$A98)</f>
        <v/>
      </c>
      <c r="AO98" s="117">
        <f>SUMIFS(Xero!$F:$F,Xero!$B:$B,Heron!AO$9,Xero!$A:$A,Heron!$A$4,Xero!$E:$E,Heron!$A98)+SUMIFS(Xero!$F:$F,Xero!$B:$B,Heron!AO$9,Xero!$A:$A,Heron!$A$5,Xero!$E:$E,Heron!$A98)</f>
        <v/>
      </c>
      <c r="AP98" s="117">
        <f>SUMIFS(Xero!$F:$F,Xero!$B:$B,Heron!AP$9,Xero!$A:$A,Heron!$A$4,Xero!$E:$E,Heron!$A98)+SUMIFS(Xero!$F:$F,Xero!$B:$B,Heron!AP$9,Xero!$A:$A,Heron!$A$5,Xero!$E:$E,Heron!$A98)</f>
        <v/>
      </c>
      <c r="AQ98" s="117">
        <f>SUMIFS(Xero!$F:$F,Xero!$B:$B,Heron!AQ$9,Xero!$A:$A,Heron!$A$4,Xero!$E:$E,Heron!$A98)+SUMIFS(Xero!$F:$F,Xero!$B:$B,Heron!AQ$9,Xero!$A:$A,Heron!$A$5,Xero!$E:$E,Heron!$A98)</f>
        <v/>
      </c>
      <c r="AR98" s="117">
        <f>SUMIFS(Xero!$F:$F,Xero!$B:$B,Heron!AR$9,Xero!$A:$A,Heron!$A$4,Xero!$E:$E,Heron!$A98)+SUMIFS(Xero!$F:$F,Xero!$B:$B,Heron!AR$9,Xero!$A:$A,Heron!$A$5,Xero!$E:$E,Heron!$A98)</f>
        <v/>
      </c>
      <c r="AS98" s="117">
        <f>SUMIFS(Xero!$F:$F,Xero!$B:$B,Heron!AS$9,Xero!$A:$A,Heron!$A$4,Xero!$E:$E,Heron!$A98)+SUMIFS(Xero!$F:$F,Xero!$B:$B,Heron!AS$9,Xero!$A:$A,Heron!$A$5,Xero!$E:$E,Heron!$A98)</f>
        <v/>
      </c>
      <c r="AT98" s="117">
        <f>SUMIFS(Xero!$F:$F,Xero!$B:$B,Heron!AT$9,Xero!$A:$A,Heron!$A$4,Xero!$E:$E,Heron!$A98)+SUMIFS(Xero!$F:$F,Xero!$B:$B,Heron!AT$9,Xero!$A:$A,Heron!$A$5,Xero!$E:$E,Heron!$A98)</f>
        <v/>
      </c>
      <c r="AU98" s="117">
        <f>SUMIFS(Xero!$F:$F,Xero!$B:$B,Heron!AU$9,Xero!$A:$A,Heron!$A$4,Xero!$E:$E,Heron!$A98)+SUMIFS(Xero!$F:$F,Xero!$B:$B,Heron!AU$9,Xero!$A:$A,Heron!$A$5,Xero!$E:$E,Heron!$A98)</f>
        <v/>
      </c>
      <c r="AV98" s="117">
        <f>SUMIFS(Xero!$F:$F,Xero!$B:$B,Heron!AV$9,Xero!$A:$A,Heron!$A$4,Xero!$E:$E,Heron!$A98)+SUMIFS(Xero!$F:$F,Xero!$B:$B,Heron!AV$9,Xero!$A:$A,Heron!$A$5,Xero!$E:$E,Heron!$A98)</f>
        <v/>
      </c>
      <c r="AW98" s="117">
        <f>SUMIFS(Xero!$F:$F,Xero!$B:$B,Heron!AW$9,Xero!$A:$A,Heron!$A$4,Xero!$E:$E,Heron!$A98)+SUMIFS(Xero!$F:$F,Xero!$B:$B,Heron!AW$9,Xero!$A:$A,Heron!$A$5,Xero!$E:$E,Heron!$A98)</f>
        <v/>
      </c>
      <c r="AX98" s="117">
        <f>SUMIFS(Xero!$F:$F,Xero!$B:$B,Heron!AX$9,Xero!$A:$A,Heron!$A$4,Xero!$E:$E,Heron!$A98)+SUMIFS(Xero!$F:$F,Xero!$B:$B,Heron!AX$9,Xero!$A:$A,Heron!$A$5,Xero!$E:$E,Heron!$A98)</f>
        <v/>
      </c>
      <c r="AY98" s="117">
        <f>SUMIFS(Xero!$F:$F,Xero!$B:$B,Heron!AY$9,Xero!$A:$A,Heron!$A$4,Xero!$E:$E,Heron!$A98)+SUMIFS(Xero!$F:$F,Xero!$B:$B,Heron!AY$9,Xero!$A:$A,Heron!$A$5,Xero!$E:$E,Heron!$A98)</f>
        <v/>
      </c>
      <c r="AZ98" s="117">
        <f>SUMIFS(Xero!$F:$F,Xero!$B:$B,Heron!AZ$9,Xero!$A:$A,Heron!$A$4,Xero!$E:$E,Heron!$A98)+SUMIFS(Xero!$F:$F,Xero!$B:$B,Heron!AZ$9,Xero!$A:$A,Heron!$A$5,Xero!$E:$E,Heron!$A98)</f>
        <v/>
      </c>
      <c r="BA98" s="117">
        <f>SUMIFS(Xero!$F:$F,Xero!$B:$B,Heron!BA$9,Xero!$A:$A,Heron!$A$4,Xero!$E:$E,Heron!$A98)+SUMIFS(Xero!$F:$F,Xero!$B:$B,Heron!BA$9,Xero!$A:$A,Heron!$A$5,Xero!$E:$E,Heron!$A98)</f>
        <v/>
      </c>
      <c r="BB98" s="117">
        <f>SUMIFS(Xero!$F:$F,Xero!$B:$B,Heron!BB$9,Xero!$A:$A,Heron!$A$4,Xero!$E:$E,Heron!$A98)+SUMIFS(Xero!$F:$F,Xero!$B:$B,Heron!BB$9,Xero!$A:$A,Heron!$A$5,Xero!$E:$E,Heron!$A98)</f>
        <v/>
      </c>
      <c r="BC98" s="117">
        <f>SUMIFS(Xero!$F:$F,Xero!$B:$B,Heron!BC$9,Xero!$A:$A,Heron!$A$4,Xero!$E:$E,Heron!$A98)+SUMIFS(Xero!$F:$F,Xero!$B:$B,Heron!BC$9,Xero!$A:$A,Heron!$A$5,Xero!$E:$E,Heron!$A98)</f>
        <v/>
      </c>
      <c r="BD98" s="117">
        <f>SUMIFS(Xero!$F:$F,Xero!$B:$B,Heron!BD$9,Xero!$A:$A,Heron!$A$4,Xero!$E:$E,Heron!$A98)+SUMIFS(Xero!$F:$F,Xero!$B:$B,Heron!BD$9,Xero!$A:$A,Heron!$A$5,Xero!$E:$E,Heron!$A98)</f>
        <v/>
      </c>
      <c r="BE98" s="117">
        <f>SUMIFS(Xero!$F:$F,Xero!$B:$B,Heron!BE$9,Xero!$A:$A,Heron!$A$4,Xero!$E:$E,Heron!$A98)+SUMIFS(Xero!$F:$F,Xero!$B:$B,Heron!BE$9,Xero!$A:$A,Heron!$A$5,Xero!$E:$E,Heron!$A98)</f>
        <v/>
      </c>
      <c r="BF98" s="117">
        <f>SUMIFS(Xero!$F:$F,Xero!$B:$B,Heron!BF$9,Xero!$A:$A,Heron!$A$4,Xero!$E:$E,Heron!$A98)+SUMIFS(Xero!$F:$F,Xero!$B:$B,Heron!BF$9,Xero!$A:$A,Heron!$A$5,Xero!$E:$E,Heron!$A98)</f>
        <v/>
      </c>
      <c r="BG98" s="117">
        <f>SUMIFS(Xero!$F:$F,Xero!$B:$B,Heron!BG$9,Xero!$A:$A,Heron!$A$4,Xero!$E:$E,Heron!$A98)+SUMIFS(Xero!$F:$F,Xero!$B:$B,Heron!BG$9,Xero!$A:$A,Heron!$A$5,Xero!$E:$E,Heron!$A98)</f>
        <v/>
      </c>
      <c r="BH98" s="117">
        <f>SUMIFS(Xero!$F:$F,Xero!$B:$B,Heron!BH$9,Xero!$A:$A,Heron!$A$4,Xero!$E:$E,Heron!$A98)+SUMIFS(Xero!$F:$F,Xero!$B:$B,Heron!BH$9,Xero!$A:$A,Heron!$A$5,Xero!$E:$E,Heron!$A98)</f>
        <v/>
      </c>
      <c r="BI98" s="117">
        <f>SUMIFS(Xero!$F:$F,Xero!$B:$B,Heron!BI$9,Xero!$A:$A,Heron!$A$4,Xero!$E:$E,Heron!$A98)+SUMIFS(Xero!$F:$F,Xero!$B:$B,Heron!BI$9,Xero!$A:$A,Heron!$A$5,Xero!$E:$E,Heron!$A98)</f>
        <v/>
      </c>
      <c r="BJ98" s="117">
        <f>SUMIFS(Xero!$F:$F,Xero!$B:$B,Heron!BJ$9,Xero!$A:$A,Heron!$A$4,Xero!$E:$E,Heron!$A98)+SUMIFS(Xero!$F:$F,Xero!$B:$B,Heron!BJ$9,Xero!$A:$A,Heron!$A$5,Xero!$E:$E,Heron!$A98)</f>
        <v/>
      </c>
      <c r="BK98" s="117">
        <f>sum(D98:BJ98)</f>
        <v/>
      </c>
    </row>
    <row r="99">
      <c r="A99" s="116" t="inlineStr">
        <is>
          <t>Security</t>
        </is>
      </c>
      <c r="D99" s="117">
        <f>SUMIFS(Xero!$F:$F,Xero!$B:$B,Heron!D$9,Xero!$A:$A,Heron!$A$4,Xero!$E:$E,Heron!$A99)+SUMIFS(Xero!$F:$F,Xero!$B:$B,Heron!D$9,Xero!$A:$A,Heron!$A$5,Xero!$E:$E,Heron!$A99)</f>
        <v/>
      </c>
      <c r="E99" s="117">
        <f>SUMIFS(Xero!$F:$F,Xero!$B:$B,Heron!E$9,Xero!$A:$A,Heron!$A$4,Xero!$E:$E,Heron!$A99)+SUMIFS(Xero!$F:$F,Xero!$B:$B,Heron!E$9,Xero!$A:$A,Heron!$A$5,Xero!$E:$E,Heron!$A99)</f>
        <v/>
      </c>
      <c r="F99" s="117">
        <f>SUMIFS(Xero!$F:$F,Xero!$B:$B,Heron!F$9,Xero!$A:$A,Heron!$A$4,Xero!$E:$E,Heron!$A99)+SUMIFS(Xero!$F:$F,Xero!$B:$B,Heron!F$9,Xero!$A:$A,Heron!$A$5,Xero!$E:$E,Heron!$A99)</f>
        <v/>
      </c>
      <c r="G99" s="117">
        <f>SUMIFS(Xero!$F:$F,Xero!$B:$B,Heron!G$9,Xero!$A:$A,Heron!$A$4,Xero!$E:$E,Heron!$A99)+SUMIFS(Xero!$F:$F,Xero!$B:$B,Heron!G$9,Xero!$A:$A,Heron!$A$5,Xero!$E:$E,Heron!$A99)</f>
        <v/>
      </c>
      <c r="H99" s="117">
        <f>SUMIFS(Xero!$F:$F,Xero!$B:$B,Heron!H$9,Xero!$A:$A,Heron!$A$4,Xero!$E:$E,Heron!$A99)+SUMIFS(Xero!$F:$F,Xero!$B:$B,Heron!H$9,Xero!$A:$A,Heron!$A$5,Xero!$E:$E,Heron!$A99)</f>
        <v/>
      </c>
      <c r="I99" s="117">
        <f>SUMIFS(Xero!$F:$F,Xero!$B:$B,Heron!I$9,Xero!$A:$A,Heron!$A$4,Xero!$E:$E,Heron!$A99)+SUMIFS(Xero!$F:$F,Xero!$B:$B,Heron!I$9,Xero!$A:$A,Heron!$A$5,Xero!$E:$E,Heron!$A99)</f>
        <v/>
      </c>
      <c r="J99" s="117">
        <f>SUMIFS(Xero!$F:$F,Xero!$B:$B,Heron!J$9,Xero!$A:$A,Heron!$A$4,Xero!$E:$E,Heron!$A99)+SUMIFS(Xero!$F:$F,Xero!$B:$B,Heron!J$9,Xero!$A:$A,Heron!$A$5,Xero!$E:$E,Heron!$A99)</f>
        <v/>
      </c>
      <c r="K99" s="117">
        <f>SUMIFS(Xero!$F:$F,Xero!$B:$B,Heron!K$9,Xero!$A:$A,Heron!$A$4,Xero!$E:$E,Heron!$A99)+SUMIFS(Xero!$F:$F,Xero!$B:$B,Heron!K$9,Xero!$A:$A,Heron!$A$5,Xero!$E:$E,Heron!$A99)</f>
        <v/>
      </c>
      <c r="L99" s="117">
        <f>SUMIFS(Xero!$F:$F,Xero!$B:$B,Heron!L$9,Xero!$A:$A,Heron!$A$4,Xero!$E:$E,Heron!$A99)+SUMIFS(Xero!$F:$F,Xero!$B:$B,Heron!L$9,Xero!$A:$A,Heron!$A$5,Xero!$E:$E,Heron!$A99)</f>
        <v/>
      </c>
      <c r="M99" s="117">
        <f>SUMIFS(Xero!$F:$F,Xero!$B:$B,Heron!M$9,Xero!$A:$A,Heron!$A$4,Xero!$E:$E,Heron!$A99)+SUMIFS(Xero!$F:$F,Xero!$B:$B,Heron!M$9,Xero!$A:$A,Heron!$A$5,Xero!$E:$E,Heron!$A99)</f>
        <v/>
      </c>
      <c r="N99" s="117">
        <f>SUMIFS(Xero!$F:$F,Xero!$B:$B,Heron!N$9,Xero!$A:$A,Heron!$A$4,Xero!$E:$E,Heron!$A99)+SUMIFS(Xero!$F:$F,Xero!$B:$B,Heron!N$9,Xero!$A:$A,Heron!$A$5,Xero!$E:$E,Heron!$A99)</f>
        <v/>
      </c>
      <c r="O99" s="117">
        <f>SUMIFS(Xero!$F:$F,Xero!$B:$B,Heron!O$9,Xero!$A:$A,Heron!$A$4,Xero!$E:$E,Heron!$A99)+SUMIFS(Xero!$F:$F,Xero!$B:$B,Heron!O$9,Xero!$A:$A,Heron!$A$5,Xero!$E:$E,Heron!$A99)</f>
        <v/>
      </c>
      <c r="P99" s="117">
        <f>SUMIFS(Xero!$F:$F,Xero!$B:$B,Heron!P$9,Xero!$A:$A,Heron!$A$4,Xero!$E:$E,Heron!$A99)+SUMIFS(Xero!$F:$F,Xero!$B:$B,Heron!P$9,Xero!$A:$A,Heron!$A$5,Xero!$E:$E,Heron!$A99)</f>
        <v/>
      </c>
      <c r="Q99" s="117">
        <f>SUMIFS(Xero!$F:$F,Xero!$B:$B,Heron!Q$9,Xero!$A:$A,Heron!$A$4,Xero!$E:$E,Heron!$A99)+SUMIFS(Xero!$F:$F,Xero!$B:$B,Heron!Q$9,Xero!$A:$A,Heron!$A$5,Xero!$E:$E,Heron!$A99)</f>
        <v/>
      </c>
      <c r="R99" s="117">
        <f>SUMIFS(Xero!$F:$F,Xero!$B:$B,Heron!R$9,Xero!$A:$A,Heron!$A$4,Xero!$E:$E,Heron!$A99)+SUMIFS(Xero!$F:$F,Xero!$B:$B,Heron!R$9,Xero!$A:$A,Heron!$A$5,Xero!$E:$E,Heron!$A99)</f>
        <v/>
      </c>
      <c r="S99" s="117">
        <f>SUMIFS(Xero!$F:$F,Xero!$B:$B,Heron!S$9,Xero!$A:$A,Heron!$A$4,Xero!$E:$E,Heron!$A99)+SUMIFS(Xero!$F:$F,Xero!$B:$B,Heron!S$9,Xero!$A:$A,Heron!$A$5,Xero!$E:$E,Heron!$A99)</f>
        <v/>
      </c>
      <c r="T99" s="117">
        <f>SUMIFS(Xero!$F:$F,Xero!$B:$B,Heron!T$9,Xero!$A:$A,Heron!$A$4,Xero!$E:$E,Heron!$A99)+SUMIFS(Xero!$F:$F,Xero!$B:$B,Heron!T$9,Xero!$A:$A,Heron!$A$5,Xero!$E:$E,Heron!$A99)</f>
        <v/>
      </c>
      <c r="U99" s="117">
        <f>SUMIFS(Xero!$F:$F,Xero!$B:$B,Heron!U$9,Xero!$A:$A,Heron!$A$4,Xero!$E:$E,Heron!$A99)+SUMIFS(Xero!$F:$F,Xero!$B:$B,Heron!U$9,Xero!$A:$A,Heron!$A$5,Xero!$E:$E,Heron!$A99)</f>
        <v/>
      </c>
      <c r="V99" s="117">
        <f>SUMIFS(Xero!$F:$F,Xero!$B:$B,Heron!V$9,Xero!$A:$A,Heron!$A$4,Xero!$E:$E,Heron!$A99)+SUMIFS(Xero!$F:$F,Xero!$B:$B,Heron!V$9,Xero!$A:$A,Heron!$A$5,Xero!$E:$E,Heron!$A99)</f>
        <v/>
      </c>
      <c r="W99" s="117">
        <f>SUMIFS(Xero!$F:$F,Xero!$B:$B,Heron!W$9,Xero!$A:$A,Heron!$A$4,Xero!$E:$E,Heron!$A99)+SUMIFS(Xero!$F:$F,Xero!$B:$B,Heron!W$9,Xero!$A:$A,Heron!$A$5,Xero!$E:$E,Heron!$A99)</f>
        <v/>
      </c>
      <c r="X99" s="117">
        <f>SUMIFS(Xero!$F:$F,Xero!$B:$B,Heron!X$9,Xero!$A:$A,Heron!$A$4,Xero!$E:$E,Heron!$A99)+SUMIFS(Xero!$F:$F,Xero!$B:$B,Heron!X$9,Xero!$A:$A,Heron!$A$5,Xero!$E:$E,Heron!$A99)</f>
        <v/>
      </c>
      <c r="Y99" s="117">
        <f>SUMIFS(Xero!$F:$F,Xero!$B:$B,Heron!Y$9,Xero!$A:$A,Heron!$A$4,Xero!$E:$E,Heron!$A99)+SUMIFS(Xero!$F:$F,Xero!$B:$B,Heron!Y$9,Xero!$A:$A,Heron!$A$5,Xero!$E:$E,Heron!$A99)</f>
        <v/>
      </c>
      <c r="Z99" s="117">
        <f>SUMIFS(Xero!$F:$F,Xero!$B:$B,Heron!Z$9,Xero!$A:$A,Heron!$A$4,Xero!$E:$E,Heron!$A99)+SUMIFS(Xero!$F:$F,Xero!$B:$B,Heron!Z$9,Xero!$A:$A,Heron!$A$5,Xero!$E:$E,Heron!$A99)</f>
        <v/>
      </c>
      <c r="AA99" s="117">
        <f>SUMIFS(Xero!$F:$F,Xero!$B:$B,Heron!AA$9,Xero!$A:$A,Heron!$A$4,Xero!$E:$E,Heron!$A99)+SUMIFS(Xero!$F:$F,Xero!$B:$B,Heron!AA$9,Xero!$A:$A,Heron!$A$5,Xero!$E:$E,Heron!$A99)</f>
        <v/>
      </c>
      <c r="AB99" s="117">
        <f>SUMIFS(Xero!$F:$F,Xero!$B:$B,Heron!AB$9,Xero!$A:$A,Heron!$A$4,Xero!$E:$E,Heron!$A99)+SUMIFS(Xero!$F:$F,Xero!$B:$B,Heron!AB$9,Xero!$A:$A,Heron!$A$5,Xero!$E:$E,Heron!$A99)</f>
        <v/>
      </c>
      <c r="AC99" s="117">
        <f>SUMIFS(Xero!$F:$F,Xero!$B:$B,Heron!AC$9,Xero!$A:$A,Heron!$A$4,Xero!$E:$E,Heron!$A99)+SUMIFS(Xero!$F:$F,Xero!$B:$B,Heron!AC$9,Xero!$A:$A,Heron!$A$5,Xero!$E:$E,Heron!$A99)</f>
        <v/>
      </c>
      <c r="AD99" s="117">
        <f>SUMIFS(Xero!$F:$F,Xero!$B:$B,Heron!AD$9,Xero!$A:$A,Heron!$A$4,Xero!$E:$E,Heron!$A99)+SUMIFS(Xero!$F:$F,Xero!$B:$B,Heron!AD$9,Xero!$A:$A,Heron!$A$5,Xero!$E:$E,Heron!$A99)</f>
        <v/>
      </c>
      <c r="AE99" s="117">
        <f>SUMIFS(Xero!$F:$F,Xero!$B:$B,Heron!AE$9,Xero!$A:$A,Heron!$A$4,Xero!$E:$E,Heron!$A99)+SUMIFS(Xero!$F:$F,Xero!$B:$B,Heron!AE$9,Xero!$A:$A,Heron!$A$5,Xero!$E:$E,Heron!$A99)</f>
        <v/>
      </c>
      <c r="AF99" s="117">
        <f>SUMIFS(Xero!$F:$F,Xero!$B:$B,Heron!AF$9,Xero!$A:$A,Heron!$A$4,Xero!$E:$E,Heron!$A99)+SUMIFS(Xero!$F:$F,Xero!$B:$B,Heron!AF$9,Xero!$A:$A,Heron!$A$5,Xero!$E:$E,Heron!$A99)</f>
        <v/>
      </c>
      <c r="AG99" s="117">
        <f>SUMIFS(Xero!$F:$F,Xero!$B:$B,Heron!AG$9,Xero!$A:$A,Heron!$A$4,Xero!$E:$E,Heron!$A99)+SUMIFS(Xero!$F:$F,Xero!$B:$B,Heron!AG$9,Xero!$A:$A,Heron!$A$5,Xero!$E:$E,Heron!$A99)</f>
        <v/>
      </c>
      <c r="AH99" s="117">
        <f>SUMIFS(Xero!$F:$F,Xero!$B:$B,Heron!AH$9,Xero!$A:$A,Heron!$A$4,Xero!$E:$E,Heron!$A99)+SUMIFS(Xero!$F:$F,Xero!$B:$B,Heron!AH$9,Xero!$A:$A,Heron!$A$5,Xero!$E:$E,Heron!$A99)</f>
        <v/>
      </c>
      <c r="AI99" s="117">
        <f>SUMIFS(Xero!$F:$F,Xero!$B:$B,Heron!AI$9,Xero!$A:$A,Heron!$A$4,Xero!$E:$E,Heron!$A99)+SUMIFS(Xero!$F:$F,Xero!$B:$B,Heron!AI$9,Xero!$A:$A,Heron!$A$5,Xero!$E:$E,Heron!$A99)</f>
        <v/>
      </c>
      <c r="AJ99" s="117">
        <f>SUMIFS(Xero!$F:$F,Xero!$B:$B,Heron!AJ$9,Xero!$A:$A,Heron!$A$4,Xero!$E:$E,Heron!$A99)+SUMIFS(Xero!$F:$F,Xero!$B:$B,Heron!AJ$9,Xero!$A:$A,Heron!$A$5,Xero!$E:$E,Heron!$A99)</f>
        <v/>
      </c>
      <c r="AK99" s="117">
        <f>SUMIFS(Xero!$F:$F,Xero!$B:$B,Heron!AK$9,Xero!$A:$A,Heron!$A$4,Xero!$E:$E,Heron!$A99)+SUMIFS(Xero!$F:$F,Xero!$B:$B,Heron!AK$9,Xero!$A:$A,Heron!$A$5,Xero!$E:$E,Heron!$A99)</f>
        <v/>
      </c>
      <c r="AL99" s="117">
        <f>SUMIFS(Xero!$F:$F,Xero!$B:$B,Heron!AL$9,Xero!$A:$A,Heron!$A$4,Xero!$E:$E,Heron!$A99)+SUMIFS(Xero!$F:$F,Xero!$B:$B,Heron!AL$9,Xero!$A:$A,Heron!$A$5,Xero!$E:$E,Heron!$A99)</f>
        <v/>
      </c>
      <c r="AM99" s="117">
        <f>SUMIFS(Xero!$F:$F,Xero!$B:$B,Heron!AM$9,Xero!$A:$A,Heron!$A$4,Xero!$E:$E,Heron!$A99)+SUMIFS(Xero!$F:$F,Xero!$B:$B,Heron!AM$9,Xero!$A:$A,Heron!$A$5,Xero!$E:$E,Heron!$A99)</f>
        <v/>
      </c>
      <c r="AN99" s="117">
        <f>SUMIFS(Xero!$F:$F,Xero!$B:$B,Heron!AN$9,Xero!$A:$A,Heron!$A$4,Xero!$E:$E,Heron!$A99)+SUMIFS(Xero!$F:$F,Xero!$B:$B,Heron!AN$9,Xero!$A:$A,Heron!$A$5,Xero!$E:$E,Heron!$A99)</f>
        <v/>
      </c>
      <c r="AO99" s="117">
        <f>SUMIFS(Xero!$F:$F,Xero!$B:$B,Heron!AO$9,Xero!$A:$A,Heron!$A$4,Xero!$E:$E,Heron!$A99)+SUMIFS(Xero!$F:$F,Xero!$B:$B,Heron!AO$9,Xero!$A:$A,Heron!$A$5,Xero!$E:$E,Heron!$A99)</f>
        <v/>
      </c>
      <c r="AP99" s="117">
        <f>SUMIFS(Xero!$F:$F,Xero!$B:$B,Heron!AP$9,Xero!$A:$A,Heron!$A$4,Xero!$E:$E,Heron!$A99)+SUMIFS(Xero!$F:$F,Xero!$B:$B,Heron!AP$9,Xero!$A:$A,Heron!$A$5,Xero!$E:$E,Heron!$A99)</f>
        <v/>
      </c>
      <c r="AQ99" s="117">
        <f>SUMIFS(Xero!$F:$F,Xero!$B:$B,Heron!AQ$9,Xero!$A:$A,Heron!$A$4,Xero!$E:$E,Heron!$A99)+SUMIFS(Xero!$F:$F,Xero!$B:$B,Heron!AQ$9,Xero!$A:$A,Heron!$A$5,Xero!$E:$E,Heron!$A99)</f>
        <v/>
      </c>
      <c r="AR99" s="117">
        <f>SUMIFS(Xero!$F:$F,Xero!$B:$B,Heron!AR$9,Xero!$A:$A,Heron!$A$4,Xero!$E:$E,Heron!$A99)+SUMIFS(Xero!$F:$F,Xero!$B:$B,Heron!AR$9,Xero!$A:$A,Heron!$A$5,Xero!$E:$E,Heron!$A99)</f>
        <v/>
      </c>
      <c r="AS99" s="117">
        <f>SUMIFS(Xero!$F:$F,Xero!$B:$B,Heron!AS$9,Xero!$A:$A,Heron!$A$4,Xero!$E:$E,Heron!$A99)+SUMIFS(Xero!$F:$F,Xero!$B:$B,Heron!AS$9,Xero!$A:$A,Heron!$A$5,Xero!$E:$E,Heron!$A99)</f>
        <v/>
      </c>
      <c r="AT99" s="117">
        <f>SUMIFS(Xero!$F:$F,Xero!$B:$B,Heron!AT$9,Xero!$A:$A,Heron!$A$4,Xero!$E:$E,Heron!$A99)+SUMIFS(Xero!$F:$F,Xero!$B:$B,Heron!AT$9,Xero!$A:$A,Heron!$A$5,Xero!$E:$E,Heron!$A99)</f>
        <v/>
      </c>
      <c r="AU99" s="117">
        <f>SUMIFS(Xero!$F:$F,Xero!$B:$B,Heron!AU$9,Xero!$A:$A,Heron!$A$4,Xero!$E:$E,Heron!$A99)+SUMIFS(Xero!$F:$F,Xero!$B:$B,Heron!AU$9,Xero!$A:$A,Heron!$A$5,Xero!$E:$E,Heron!$A99)</f>
        <v/>
      </c>
      <c r="AV99" s="117">
        <f>SUMIFS(Xero!$F:$F,Xero!$B:$B,Heron!AV$9,Xero!$A:$A,Heron!$A$4,Xero!$E:$E,Heron!$A99)+SUMIFS(Xero!$F:$F,Xero!$B:$B,Heron!AV$9,Xero!$A:$A,Heron!$A$5,Xero!$E:$E,Heron!$A99)</f>
        <v/>
      </c>
      <c r="AW99" s="117">
        <f>SUMIFS(Xero!$F:$F,Xero!$B:$B,Heron!AW$9,Xero!$A:$A,Heron!$A$4,Xero!$E:$E,Heron!$A99)+SUMIFS(Xero!$F:$F,Xero!$B:$B,Heron!AW$9,Xero!$A:$A,Heron!$A$5,Xero!$E:$E,Heron!$A99)</f>
        <v/>
      </c>
      <c r="AX99" s="117">
        <f>SUMIFS(Xero!$F:$F,Xero!$B:$B,Heron!AX$9,Xero!$A:$A,Heron!$A$4,Xero!$E:$E,Heron!$A99)+SUMIFS(Xero!$F:$F,Xero!$B:$B,Heron!AX$9,Xero!$A:$A,Heron!$A$5,Xero!$E:$E,Heron!$A99)</f>
        <v/>
      </c>
      <c r="AY99" s="117">
        <f>SUMIFS(Xero!$F:$F,Xero!$B:$B,Heron!AY$9,Xero!$A:$A,Heron!$A$4,Xero!$E:$E,Heron!$A99)+SUMIFS(Xero!$F:$F,Xero!$B:$B,Heron!AY$9,Xero!$A:$A,Heron!$A$5,Xero!$E:$E,Heron!$A99)</f>
        <v/>
      </c>
      <c r="AZ99" s="117">
        <f>SUMIFS(Xero!$F:$F,Xero!$B:$B,Heron!AZ$9,Xero!$A:$A,Heron!$A$4,Xero!$E:$E,Heron!$A99)+SUMIFS(Xero!$F:$F,Xero!$B:$B,Heron!AZ$9,Xero!$A:$A,Heron!$A$5,Xero!$E:$E,Heron!$A99)</f>
        <v/>
      </c>
      <c r="BA99" s="117">
        <f>SUMIFS(Xero!$F:$F,Xero!$B:$B,Heron!BA$9,Xero!$A:$A,Heron!$A$4,Xero!$E:$E,Heron!$A99)+SUMIFS(Xero!$F:$F,Xero!$B:$B,Heron!BA$9,Xero!$A:$A,Heron!$A$5,Xero!$E:$E,Heron!$A99)</f>
        <v/>
      </c>
      <c r="BB99" s="117">
        <f>SUMIFS(Xero!$F:$F,Xero!$B:$B,Heron!BB$9,Xero!$A:$A,Heron!$A$4,Xero!$E:$E,Heron!$A99)+SUMIFS(Xero!$F:$F,Xero!$B:$B,Heron!BB$9,Xero!$A:$A,Heron!$A$5,Xero!$E:$E,Heron!$A99)</f>
        <v/>
      </c>
      <c r="BC99" s="117">
        <f>SUMIFS(Xero!$F:$F,Xero!$B:$B,Heron!BC$9,Xero!$A:$A,Heron!$A$4,Xero!$E:$E,Heron!$A99)+SUMIFS(Xero!$F:$F,Xero!$B:$B,Heron!BC$9,Xero!$A:$A,Heron!$A$5,Xero!$E:$E,Heron!$A99)</f>
        <v/>
      </c>
      <c r="BD99" s="117">
        <f>SUMIFS(Xero!$F:$F,Xero!$B:$B,Heron!BD$9,Xero!$A:$A,Heron!$A$4,Xero!$E:$E,Heron!$A99)+SUMIFS(Xero!$F:$F,Xero!$B:$B,Heron!BD$9,Xero!$A:$A,Heron!$A$5,Xero!$E:$E,Heron!$A99)</f>
        <v/>
      </c>
      <c r="BE99" s="117">
        <f>SUMIFS(Xero!$F:$F,Xero!$B:$B,Heron!BE$9,Xero!$A:$A,Heron!$A$4,Xero!$E:$E,Heron!$A99)+SUMIFS(Xero!$F:$F,Xero!$B:$B,Heron!BE$9,Xero!$A:$A,Heron!$A$5,Xero!$E:$E,Heron!$A99)</f>
        <v/>
      </c>
      <c r="BF99" s="117">
        <f>SUMIFS(Xero!$F:$F,Xero!$B:$B,Heron!BF$9,Xero!$A:$A,Heron!$A$4,Xero!$E:$E,Heron!$A99)+SUMIFS(Xero!$F:$F,Xero!$B:$B,Heron!BF$9,Xero!$A:$A,Heron!$A$5,Xero!$E:$E,Heron!$A99)</f>
        <v/>
      </c>
      <c r="BG99" s="117">
        <f>SUMIFS(Xero!$F:$F,Xero!$B:$B,Heron!BG$9,Xero!$A:$A,Heron!$A$4,Xero!$E:$E,Heron!$A99)+SUMIFS(Xero!$F:$F,Xero!$B:$B,Heron!BG$9,Xero!$A:$A,Heron!$A$5,Xero!$E:$E,Heron!$A99)</f>
        <v/>
      </c>
      <c r="BH99" s="117">
        <f>SUMIFS(Xero!$F:$F,Xero!$B:$B,Heron!BH$9,Xero!$A:$A,Heron!$A$4,Xero!$E:$E,Heron!$A99)+SUMIFS(Xero!$F:$F,Xero!$B:$B,Heron!BH$9,Xero!$A:$A,Heron!$A$5,Xero!$E:$E,Heron!$A99)</f>
        <v/>
      </c>
      <c r="BI99" s="117">
        <f>SUMIFS(Xero!$F:$F,Xero!$B:$B,Heron!BI$9,Xero!$A:$A,Heron!$A$4,Xero!$E:$E,Heron!$A99)+SUMIFS(Xero!$F:$F,Xero!$B:$B,Heron!BI$9,Xero!$A:$A,Heron!$A$5,Xero!$E:$E,Heron!$A99)</f>
        <v/>
      </c>
      <c r="BJ99" s="117">
        <f>SUMIFS(Xero!$F:$F,Xero!$B:$B,Heron!BJ$9,Xero!$A:$A,Heron!$A$4,Xero!$E:$E,Heron!$A99)+SUMIFS(Xero!$F:$F,Xero!$B:$B,Heron!BJ$9,Xero!$A:$A,Heron!$A$5,Xero!$E:$E,Heron!$A99)</f>
        <v/>
      </c>
      <c r="BK99" s="117">
        <f>sum(D99:BJ99)</f>
        <v/>
      </c>
    </row>
    <row r="100">
      <c r="A100" s="116" t="inlineStr">
        <is>
          <t>Security - ADT</t>
        </is>
      </c>
      <c r="D100" s="117">
        <f>SUMIFS(Xero!$F:$F,Xero!$B:$B,Heron!D$9,Xero!$A:$A,Heron!$A$4,Xero!$E:$E,Heron!$A100)+SUMIFS(Xero!$F:$F,Xero!$B:$B,Heron!D$9,Xero!$A:$A,Heron!$A$5,Xero!$E:$E,Heron!$A100)</f>
        <v/>
      </c>
      <c r="E100" s="117">
        <f>SUMIFS(Xero!$F:$F,Xero!$B:$B,Heron!E$9,Xero!$A:$A,Heron!$A$4,Xero!$E:$E,Heron!$A100)+SUMIFS(Xero!$F:$F,Xero!$B:$B,Heron!E$9,Xero!$A:$A,Heron!$A$5,Xero!$E:$E,Heron!$A100)</f>
        <v/>
      </c>
      <c r="F100" s="117">
        <f>SUMIFS(Xero!$F:$F,Xero!$B:$B,Heron!F$9,Xero!$A:$A,Heron!$A$4,Xero!$E:$E,Heron!$A100)+SUMIFS(Xero!$F:$F,Xero!$B:$B,Heron!F$9,Xero!$A:$A,Heron!$A$5,Xero!$E:$E,Heron!$A100)</f>
        <v/>
      </c>
      <c r="G100" s="117">
        <f>SUMIFS(Xero!$F:$F,Xero!$B:$B,Heron!G$9,Xero!$A:$A,Heron!$A$4,Xero!$E:$E,Heron!$A100)+SUMIFS(Xero!$F:$F,Xero!$B:$B,Heron!G$9,Xero!$A:$A,Heron!$A$5,Xero!$E:$E,Heron!$A100)</f>
        <v/>
      </c>
      <c r="H100" s="117">
        <f>SUMIFS(Xero!$F:$F,Xero!$B:$B,Heron!H$9,Xero!$A:$A,Heron!$A$4,Xero!$E:$E,Heron!$A100)+SUMIFS(Xero!$F:$F,Xero!$B:$B,Heron!H$9,Xero!$A:$A,Heron!$A$5,Xero!$E:$E,Heron!$A100)</f>
        <v/>
      </c>
      <c r="I100" s="117">
        <f>SUMIFS(Xero!$F:$F,Xero!$B:$B,Heron!I$9,Xero!$A:$A,Heron!$A$4,Xero!$E:$E,Heron!$A100)+SUMIFS(Xero!$F:$F,Xero!$B:$B,Heron!I$9,Xero!$A:$A,Heron!$A$5,Xero!$E:$E,Heron!$A100)</f>
        <v/>
      </c>
      <c r="J100" s="117">
        <f>SUMIFS(Xero!$F:$F,Xero!$B:$B,Heron!J$9,Xero!$A:$A,Heron!$A$4,Xero!$E:$E,Heron!$A100)+SUMIFS(Xero!$F:$F,Xero!$B:$B,Heron!J$9,Xero!$A:$A,Heron!$A$5,Xero!$E:$E,Heron!$A100)</f>
        <v/>
      </c>
      <c r="K100" s="117">
        <f>SUMIFS(Xero!$F:$F,Xero!$B:$B,Heron!K$9,Xero!$A:$A,Heron!$A$4,Xero!$E:$E,Heron!$A100)+SUMIFS(Xero!$F:$F,Xero!$B:$B,Heron!K$9,Xero!$A:$A,Heron!$A$5,Xero!$E:$E,Heron!$A100)</f>
        <v/>
      </c>
      <c r="L100" s="117">
        <f>SUMIFS(Xero!$F:$F,Xero!$B:$B,Heron!L$9,Xero!$A:$A,Heron!$A$4,Xero!$E:$E,Heron!$A100)+SUMIFS(Xero!$F:$F,Xero!$B:$B,Heron!L$9,Xero!$A:$A,Heron!$A$5,Xero!$E:$E,Heron!$A100)</f>
        <v/>
      </c>
      <c r="M100" s="117">
        <f>SUMIFS(Xero!$F:$F,Xero!$B:$B,Heron!M$9,Xero!$A:$A,Heron!$A$4,Xero!$E:$E,Heron!$A100)+SUMIFS(Xero!$F:$F,Xero!$B:$B,Heron!M$9,Xero!$A:$A,Heron!$A$5,Xero!$E:$E,Heron!$A100)</f>
        <v/>
      </c>
      <c r="N100" s="117">
        <f>SUMIFS(Xero!$F:$F,Xero!$B:$B,Heron!N$9,Xero!$A:$A,Heron!$A$4,Xero!$E:$E,Heron!$A100)+SUMIFS(Xero!$F:$F,Xero!$B:$B,Heron!N$9,Xero!$A:$A,Heron!$A$5,Xero!$E:$E,Heron!$A100)</f>
        <v/>
      </c>
      <c r="O100" s="117">
        <f>SUMIFS(Xero!$F:$F,Xero!$B:$B,Heron!O$9,Xero!$A:$A,Heron!$A$4,Xero!$E:$E,Heron!$A100)+SUMIFS(Xero!$F:$F,Xero!$B:$B,Heron!O$9,Xero!$A:$A,Heron!$A$5,Xero!$E:$E,Heron!$A100)</f>
        <v/>
      </c>
      <c r="P100" s="117">
        <f>SUMIFS(Xero!$F:$F,Xero!$B:$B,Heron!P$9,Xero!$A:$A,Heron!$A$4,Xero!$E:$E,Heron!$A100)+SUMIFS(Xero!$F:$F,Xero!$B:$B,Heron!P$9,Xero!$A:$A,Heron!$A$5,Xero!$E:$E,Heron!$A100)</f>
        <v/>
      </c>
      <c r="Q100" s="117">
        <f>SUMIFS(Xero!$F:$F,Xero!$B:$B,Heron!Q$9,Xero!$A:$A,Heron!$A$4,Xero!$E:$E,Heron!$A100)+SUMIFS(Xero!$F:$F,Xero!$B:$B,Heron!Q$9,Xero!$A:$A,Heron!$A$5,Xero!$E:$E,Heron!$A100)</f>
        <v/>
      </c>
      <c r="R100" s="117">
        <f>SUMIFS(Xero!$F:$F,Xero!$B:$B,Heron!R$9,Xero!$A:$A,Heron!$A$4,Xero!$E:$E,Heron!$A100)+SUMIFS(Xero!$F:$F,Xero!$B:$B,Heron!R$9,Xero!$A:$A,Heron!$A$5,Xero!$E:$E,Heron!$A100)</f>
        <v/>
      </c>
      <c r="S100" s="117">
        <f>SUMIFS(Xero!$F:$F,Xero!$B:$B,Heron!S$9,Xero!$A:$A,Heron!$A$4,Xero!$E:$E,Heron!$A100)+SUMIFS(Xero!$F:$F,Xero!$B:$B,Heron!S$9,Xero!$A:$A,Heron!$A$5,Xero!$E:$E,Heron!$A100)</f>
        <v/>
      </c>
      <c r="T100" s="117">
        <f>SUMIFS(Xero!$F:$F,Xero!$B:$B,Heron!T$9,Xero!$A:$A,Heron!$A$4,Xero!$E:$E,Heron!$A100)+SUMIFS(Xero!$F:$F,Xero!$B:$B,Heron!T$9,Xero!$A:$A,Heron!$A$5,Xero!$E:$E,Heron!$A100)</f>
        <v/>
      </c>
      <c r="U100" s="117">
        <f>SUMIFS(Xero!$F:$F,Xero!$B:$B,Heron!U$9,Xero!$A:$A,Heron!$A$4,Xero!$E:$E,Heron!$A100)+SUMIFS(Xero!$F:$F,Xero!$B:$B,Heron!U$9,Xero!$A:$A,Heron!$A$5,Xero!$E:$E,Heron!$A100)</f>
        <v/>
      </c>
      <c r="V100" s="117">
        <f>SUMIFS(Xero!$F:$F,Xero!$B:$B,Heron!V$9,Xero!$A:$A,Heron!$A$4,Xero!$E:$E,Heron!$A100)+SUMIFS(Xero!$F:$F,Xero!$B:$B,Heron!V$9,Xero!$A:$A,Heron!$A$5,Xero!$E:$E,Heron!$A100)</f>
        <v/>
      </c>
      <c r="W100" s="117">
        <f>SUMIFS(Xero!$F:$F,Xero!$B:$B,Heron!W$9,Xero!$A:$A,Heron!$A$4,Xero!$E:$E,Heron!$A100)+SUMIFS(Xero!$F:$F,Xero!$B:$B,Heron!W$9,Xero!$A:$A,Heron!$A$5,Xero!$E:$E,Heron!$A100)</f>
        <v/>
      </c>
      <c r="X100" s="117">
        <f>SUMIFS(Xero!$F:$F,Xero!$B:$B,Heron!X$9,Xero!$A:$A,Heron!$A$4,Xero!$E:$E,Heron!$A100)+SUMIFS(Xero!$F:$F,Xero!$B:$B,Heron!X$9,Xero!$A:$A,Heron!$A$5,Xero!$E:$E,Heron!$A100)</f>
        <v/>
      </c>
      <c r="Y100" s="117">
        <f>SUMIFS(Xero!$F:$F,Xero!$B:$B,Heron!Y$9,Xero!$A:$A,Heron!$A$4,Xero!$E:$E,Heron!$A100)+SUMIFS(Xero!$F:$F,Xero!$B:$B,Heron!Y$9,Xero!$A:$A,Heron!$A$5,Xero!$E:$E,Heron!$A100)</f>
        <v/>
      </c>
      <c r="Z100" s="117">
        <f>SUMIFS(Xero!$F:$F,Xero!$B:$B,Heron!Z$9,Xero!$A:$A,Heron!$A$4,Xero!$E:$E,Heron!$A100)+SUMIFS(Xero!$F:$F,Xero!$B:$B,Heron!Z$9,Xero!$A:$A,Heron!$A$5,Xero!$E:$E,Heron!$A100)</f>
        <v/>
      </c>
      <c r="AA100" s="117">
        <f>SUMIFS(Xero!$F:$F,Xero!$B:$B,Heron!AA$9,Xero!$A:$A,Heron!$A$4,Xero!$E:$E,Heron!$A100)+SUMIFS(Xero!$F:$F,Xero!$B:$B,Heron!AA$9,Xero!$A:$A,Heron!$A$5,Xero!$E:$E,Heron!$A100)</f>
        <v/>
      </c>
      <c r="AB100" s="117">
        <f>SUMIFS(Xero!$F:$F,Xero!$B:$B,Heron!AB$9,Xero!$A:$A,Heron!$A$4,Xero!$E:$E,Heron!$A100)+SUMIFS(Xero!$F:$F,Xero!$B:$B,Heron!AB$9,Xero!$A:$A,Heron!$A$5,Xero!$E:$E,Heron!$A100)</f>
        <v/>
      </c>
      <c r="AC100" s="117">
        <f>SUMIFS(Xero!$F:$F,Xero!$B:$B,Heron!AC$9,Xero!$A:$A,Heron!$A$4,Xero!$E:$E,Heron!$A100)+SUMIFS(Xero!$F:$F,Xero!$B:$B,Heron!AC$9,Xero!$A:$A,Heron!$A$5,Xero!$E:$E,Heron!$A100)</f>
        <v/>
      </c>
      <c r="AD100" s="117">
        <f>SUMIFS(Xero!$F:$F,Xero!$B:$B,Heron!AD$9,Xero!$A:$A,Heron!$A$4,Xero!$E:$E,Heron!$A100)+SUMIFS(Xero!$F:$F,Xero!$B:$B,Heron!AD$9,Xero!$A:$A,Heron!$A$5,Xero!$E:$E,Heron!$A100)</f>
        <v/>
      </c>
      <c r="AE100" s="117">
        <f>SUMIFS(Xero!$F:$F,Xero!$B:$B,Heron!AE$9,Xero!$A:$A,Heron!$A$4,Xero!$E:$E,Heron!$A100)+SUMIFS(Xero!$F:$F,Xero!$B:$B,Heron!AE$9,Xero!$A:$A,Heron!$A$5,Xero!$E:$E,Heron!$A100)</f>
        <v/>
      </c>
      <c r="AF100" s="117">
        <f>SUMIFS(Xero!$F:$F,Xero!$B:$B,Heron!AF$9,Xero!$A:$A,Heron!$A$4,Xero!$E:$E,Heron!$A100)+SUMIFS(Xero!$F:$F,Xero!$B:$B,Heron!AF$9,Xero!$A:$A,Heron!$A$5,Xero!$E:$E,Heron!$A100)</f>
        <v/>
      </c>
      <c r="AG100" s="117">
        <f>SUMIFS(Xero!$F:$F,Xero!$B:$B,Heron!AG$9,Xero!$A:$A,Heron!$A$4,Xero!$E:$E,Heron!$A100)+SUMIFS(Xero!$F:$F,Xero!$B:$B,Heron!AG$9,Xero!$A:$A,Heron!$A$5,Xero!$E:$E,Heron!$A100)</f>
        <v/>
      </c>
      <c r="AH100" s="117">
        <f>SUMIFS(Xero!$F:$F,Xero!$B:$B,Heron!AH$9,Xero!$A:$A,Heron!$A$4,Xero!$E:$E,Heron!$A100)+SUMIFS(Xero!$F:$F,Xero!$B:$B,Heron!AH$9,Xero!$A:$A,Heron!$A$5,Xero!$E:$E,Heron!$A100)</f>
        <v/>
      </c>
      <c r="AI100" s="117">
        <f>SUMIFS(Xero!$F:$F,Xero!$B:$B,Heron!AI$9,Xero!$A:$A,Heron!$A$4,Xero!$E:$E,Heron!$A100)+SUMIFS(Xero!$F:$F,Xero!$B:$B,Heron!AI$9,Xero!$A:$A,Heron!$A$5,Xero!$E:$E,Heron!$A100)</f>
        <v/>
      </c>
      <c r="AJ100" s="117">
        <f>SUMIFS(Xero!$F:$F,Xero!$B:$B,Heron!AJ$9,Xero!$A:$A,Heron!$A$4,Xero!$E:$E,Heron!$A100)+SUMIFS(Xero!$F:$F,Xero!$B:$B,Heron!AJ$9,Xero!$A:$A,Heron!$A$5,Xero!$E:$E,Heron!$A100)</f>
        <v/>
      </c>
      <c r="AK100" s="117">
        <f>SUMIFS(Xero!$F:$F,Xero!$B:$B,Heron!AK$9,Xero!$A:$A,Heron!$A$4,Xero!$E:$E,Heron!$A100)+SUMIFS(Xero!$F:$F,Xero!$B:$B,Heron!AK$9,Xero!$A:$A,Heron!$A$5,Xero!$E:$E,Heron!$A100)</f>
        <v/>
      </c>
      <c r="AL100" s="117">
        <f>SUMIFS(Xero!$F:$F,Xero!$B:$B,Heron!AL$9,Xero!$A:$A,Heron!$A$4,Xero!$E:$E,Heron!$A100)+SUMIFS(Xero!$F:$F,Xero!$B:$B,Heron!AL$9,Xero!$A:$A,Heron!$A$5,Xero!$E:$E,Heron!$A100)</f>
        <v/>
      </c>
      <c r="AM100" s="117">
        <f>SUMIFS(Xero!$F:$F,Xero!$B:$B,Heron!AM$9,Xero!$A:$A,Heron!$A$4,Xero!$E:$E,Heron!$A100)+SUMIFS(Xero!$F:$F,Xero!$B:$B,Heron!AM$9,Xero!$A:$A,Heron!$A$5,Xero!$E:$E,Heron!$A100)</f>
        <v/>
      </c>
      <c r="AN100" s="117">
        <f>SUMIFS(Xero!$F:$F,Xero!$B:$B,Heron!AN$9,Xero!$A:$A,Heron!$A$4,Xero!$E:$E,Heron!$A100)+SUMIFS(Xero!$F:$F,Xero!$B:$B,Heron!AN$9,Xero!$A:$A,Heron!$A$5,Xero!$E:$E,Heron!$A100)</f>
        <v/>
      </c>
      <c r="AO100" s="117">
        <f>SUMIFS(Xero!$F:$F,Xero!$B:$B,Heron!AO$9,Xero!$A:$A,Heron!$A$4,Xero!$E:$E,Heron!$A100)+SUMIFS(Xero!$F:$F,Xero!$B:$B,Heron!AO$9,Xero!$A:$A,Heron!$A$5,Xero!$E:$E,Heron!$A100)</f>
        <v/>
      </c>
      <c r="AP100" s="117">
        <f>SUMIFS(Xero!$F:$F,Xero!$B:$B,Heron!AP$9,Xero!$A:$A,Heron!$A$4,Xero!$E:$E,Heron!$A100)+SUMIFS(Xero!$F:$F,Xero!$B:$B,Heron!AP$9,Xero!$A:$A,Heron!$A$5,Xero!$E:$E,Heron!$A100)</f>
        <v/>
      </c>
      <c r="AQ100" s="117">
        <f>SUMIFS(Xero!$F:$F,Xero!$B:$B,Heron!AQ$9,Xero!$A:$A,Heron!$A$4,Xero!$E:$E,Heron!$A100)+SUMIFS(Xero!$F:$F,Xero!$B:$B,Heron!AQ$9,Xero!$A:$A,Heron!$A$5,Xero!$E:$E,Heron!$A100)</f>
        <v/>
      </c>
      <c r="AR100" s="117">
        <f>SUMIFS(Xero!$F:$F,Xero!$B:$B,Heron!AR$9,Xero!$A:$A,Heron!$A$4,Xero!$E:$E,Heron!$A100)+SUMIFS(Xero!$F:$F,Xero!$B:$B,Heron!AR$9,Xero!$A:$A,Heron!$A$5,Xero!$E:$E,Heron!$A100)</f>
        <v/>
      </c>
      <c r="AS100" s="117">
        <f>SUMIFS(Xero!$F:$F,Xero!$B:$B,Heron!AS$9,Xero!$A:$A,Heron!$A$4,Xero!$E:$E,Heron!$A100)+SUMIFS(Xero!$F:$F,Xero!$B:$B,Heron!AS$9,Xero!$A:$A,Heron!$A$5,Xero!$E:$E,Heron!$A100)</f>
        <v/>
      </c>
      <c r="AT100" s="117">
        <f>SUMIFS(Xero!$F:$F,Xero!$B:$B,Heron!AT$9,Xero!$A:$A,Heron!$A$4,Xero!$E:$E,Heron!$A100)+SUMIFS(Xero!$F:$F,Xero!$B:$B,Heron!AT$9,Xero!$A:$A,Heron!$A$5,Xero!$E:$E,Heron!$A100)</f>
        <v/>
      </c>
      <c r="AU100" s="117">
        <f>SUMIFS(Xero!$F:$F,Xero!$B:$B,Heron!AU$9,Xero!$A:$A,Heron!$A$4,Xero!$E:$E,Heron!$A100)+SUMIFS(Xero!$F:$F,Xero!$B:$B,Heron!AU$9,Xero!$A:$A,Heron!$A$5,Xero!$E:$E,Heron!$A100)</f>
        <v/>
      </c>
      <c r="AV100" s="117">
        <f>SUMIFS(Xero!$F:$F,Xero!$B:$B,Heron!AV$9,Xero!$A:$A,Heron!$A$4,Xero!$E:$E,Heron!$A100)+SUMIFS(Xero!$F:$F,Xero!$B:$B,Heron!AV$9,Xero!$A:$A,Heron!$A$5,Xero!$E:$E,Heron!$A100)</f>
        <v/>
      </c>
      <c r="AW100" s="117">
        <f>SUMIFS(Xero!$F:$F,Xero!$B:$B,Heron!AW$9,Xero!$A:$A,Heron!$A$4,Xero!$E:$E,Heron!$A100)+SUMIFS(Xero!$F:$F,Xero!$B:$B,Heron!AW$9,Xero!$A:$A,Heron!$A$5,Xero!$E:$E,Heron!$A100)</f>
        <v/>
      </c>
      <c r="AX100" s="117">
        <f>SUMIFS(Xero!$F:$F,Xero!$B:$B,Heron!AX$9,Xero!$A:$A,Heron!$A$4,Xero!$E:$E,Heron!$A100)+SUMIFS(Xero!$F:$F,Xero!$B:$B,Heron!AX$9,Xero!$A:$A,Heron!$A$5,Xero!$E:$E,Heron!$A100)</f>
        <v/>
      </c>
      <c r="AY100" s="117">
        <f>SUMIFS(Xero!$F:$F,Xero!$B:$B,Heron!AY$9,Xero!$A:$A,Heron!$A$4,Xero!$E:$E,Heron!$A100)+SUMIFS(Xero!$F:$F,Xero!$B:$B,Heron!AY$9,Xero!$A:$A,Heron!$A$5,Xero!$E:$E,Heron!$A100)</f>
        <v/>
      </c>
      <c r="AZ100" s="117">
        <f>SUMIFS(Xero!$F:$F,Xero!$B:$B,Heron!AZ$9,Xero!$A:$A,Heron!$A$4,Xero!$E:$E,Heron!$A100)+SUMIFS(Xero!$F:$F,Xero!$B:$B,Heron!AZ$9,Xero!$A:$A,Heron!$A$5,Xero!$E:$E,Heron!$A100)</f>
        <v/>
      </c>
      <c r="BA100" s="117">
        <f>SUMIFS(Xero!$F:$F,Xero!$B:$B,Heron!BA$9,Xero!$A:$A,Heron!$A$4,Xero!$E:$E,Heron!$A100)+SUMIFS(Xero!$F:$F,Xero!$B:$B,Heron!BA$9,Xero!$A:$A,Heron!$A$5,Xero!$E:$E,Heron!$A100)</f>
        <v/>
      </c>
      <c r="BB100" s="117">
        <f>SUMIFS(Xero!$F:$F,Xero!$B:$B,Heron!BB$9,Xero!$A:$A,Heron!$A$4,Xero!$E:$E,Heron!$A100)+SUMIFS(Xero!$F:$F,Xero!$B:$B,Heron!BB$9,Xero!$A:$A,Heron!$A$5,Xero!$E:$E,Heron!$A100)</f>
        <v/>
      </c>
      <c r="BC100" s="117">
        <f>SUMIFS(Xero!$F:$F,Xero!$B:$B,Heron!BC$9,Xero!$A:$A,Heron!$A$4,Xero!$E:$E,Heron!$A100)+SUMIFS(Xero!$F:$F,Xero!$B:$B,Heron!BC$9,Xero!$A:$A,Heron!$A$5,Xero!$E:$E,Heron!$A100)</f>
        <v/>
      </c>
      <c r="BD100" s="117">
        <f>SUMIFS(Xero!$F:$F,Xero!$B:$B,Heron!BD$9,Xero!$A:$A,Heron!$A$4,Xero!$E:$E,Heron!$A100)+SUMIFS(Xero!$F:$F,Xero!$B:$B,Heron!BD$9,Xero!$A:$A,Heron!$A$5,Xero!$E:$E,Heron!$A100)</f>
        <v/>
      </c>
      <c r="BE100" s="117">
        <f>SUMIFS(Xero!$F:$F,Xero!$B:$B,Heron!BE$9,Xero!$A:$A,Heron!$A$4,Xero!$E:$E,Heron!$A100)+SUMIFS(Xero!$F:$F,Xero!$B:$B,Heron!BE$9,Xero!$A:$A,Heron!$A$5,Xero!$E:$E,Heron!$A100)</f>
        <v/>
      </c>
      <c r="BF100" s="117">
        <f>SUMIFS(Xero!$F:$F,Xero!$B:$B,Heron!BF$9,Xero!$A:$A,Heron!$A$4,Xero!$E:$E,Heron!$A100)+SUMIFS(Xero!$F:$F,Xero!$B:$B,Heron!BF$9,Xero!$A:$A,Heron!$A$5,Xero!$E:$E,Heron!$A100)</f>
        <v/>
      </c>
      <c r="BG100" s="117">
        <f>SUMIFS(Xero!$F:$F,Xero!$B:$B,Heron!BG$9,Xero!$A:$A,Heron!$A$4,Xero!$E:$E,Heron!$A100)+SUMIFS(Xero!$F:$F,Xero!$B:$B,Heron!BG$9,Xero!$A:$A,Heron!$A$5,Xero!$E:$E,Heron!$A100)</f>
        <v/>
      </c>
      <c r="BH100" s="117">
        <f>SUMIFS(Xero!$F:$F,Xero!$B:$B,Heron!BH$9,Xero!$A:$A,Heron!$A$4,Xero!$E:$E,Heron!$A100)+SUMIFS(Xero!$F:$F,Xero!$B:$B,Heron!BH$9,Xero!$A:$A,Heron!$A$5,Xero!$E:$E,Heron!$A100)</f>
        <v/>
      </c>
      <c r="BI100" s="117">
        <f>SUMIFS(Xero!$F:$F,Xero!$B:$B,Heron!BI$9,Xero!$A:$A,Heron!$A$4,Xero!$E:$E,Heron!$A100)+SUMIFS(Xero!$F:$F,Xero!$B:$B,Heron!BI$9,Xero!$A:$A,Heron!$A$5,Xero!$E:$E,Heron!$A100)</f>
        <v/>
      </c>
      <c r="BJ100" s="117">
        <f>SUMIFS(Xero!$F:$F,Xero!$B:$B,Heron!BJ$9,Xero!$A:$A,Heron!$A$4,Xero!$E:$E,Heron!$A100)+SUMIFS(Xero!$F:$F,Xero!$B:$B,Heron!BJ$9,Xero!$A:$A,Heron!$A$5,Xero!$E:$E,Heron!$A100)</f>
        <v/>
      </c>
      <c r="BK100" s="117">
        <f>sum(D100:BJ100)</f>
        <v/>
      </c>
    </row>
    <row r="101">
      <c r="A101" s="116" t="inlineStr">
        <is>
          <t>Staff Welfare</t>
        </is>
      </c>
      <c r="D101" s="117">
        <f>SUMIFS(Xero!$F:$F,Xero!$B:$B,Heron!D$9,Xero!$A:$A,Heron!$A$4,Xero!$E:$E,Heron!$A101)+SUMIFS(Xero!$F:$F,Xero!$B:$B,Heron!D$9,Xero!$A:$A,Heron!$A$5,Xero!$E:$E,Heron!$A101)</f>
        <v/>
      </c>
      <c r="E101" s="117">
        <f>SUMIFS(Xero!$F:$F,Xero!$B:$B,Heron!E$9,Xero!$A:$A,Heron!$A$4,Xero!$E:$E,Heron!$A101)+SUMIFS(Xero!$F:$F,Xero!$B:$B,Heron!E$9,Xero!$A:$A,Heron!$A$5,Xero!$E:$E,Heron!$A101)</f>
        <v/>
      </c>
      <c r="F101" s="117">
        <f>SUMIFS(Xero!$F:$F,Xero!$B:$B,Heron!F$9,Xero!$A:$A,Heron!$A$4,Xero!$E:$E,Heron!$A101)+SUMIFS(Xero!$F:$F,Xero!$B:$B,Heron!F$9,Xero!$A:$A,Heron!$A$5,Xero!$E:$E,Heron!$A101)</f>
        <v/>
      </c>
      <c r="G101" s="117">
        <f>SUMIFS(Xero!$F:$F,Xero!$B:$B,Heron!G$9,Xero!$A:$A,Heron!$A$4,Xero!$E:$E,Heron!$A101)+SUMIFS(Xero!$F:$F,Xero!$B:$B,Heron!G$9,Xero!$A:$A,Heron!$A$5,Xero!$E:$E,Heron!$A101)</f>
        <v/>
      </c>
      <c r="H101" s="117">
        <f>SUMIFS(Xero!$F:$F,Xero!$B:$B,Heron!H$9,Xero!$A:$A,Heron!$A$4,Xero!$E:$E,Heron!$A101)+SUMIFS(Xero!$F:$F,Xero!$B:$B,Heron!H$9,Xero!$A:$A,Heron!$A$5,Xero!$E:$E,Heron!$A101)</f>
        <v/>
      </c>
      <c r="I101" s="117">
        <f>SUMIFS(Xero!$F:$F,Xero!$B:$B,Heron!I$9,Xero!$A:$A,Heron!$A$4,Xero!$E:$E,Heron!$A101)+SUMIFS(Xero!$F:$F,Xero!$B:$B,Heron!I$9,Xero!$A:$A,Heron!$A$5,Xero!$E:$E,Heron!$A101)</f>
        <v/>
      </c>
      <c r="J101" s="117">
        <f>SUMIFS(Xero!$F:$F,Xero!$B:$B,Heron!J$9,Xero!$A:$A,Heron!$A$4,Xero!$E:$E,Heron!$A101)+SUMIFS(Xero!$F:$F,Xero!$B:$B,Heron!J$9,Xero!$A:$A,Heron!$A$5,Xero!$E:$E,Heron!$A101)</f>
        <v/>
      </c>
      <c r="K101" s="117">
        <f>SUMIFS(Xero!$F:$F,Xero!$B:$B,Heron!K$9,Xero!$A:$A,Heron!$A$4,Xero!$E:$E,Heron!$A101)+SUMIFS(Xero!$F:$F,Xero!$B:$B,Heron!K$9,Xero!$A:$A,Heron!$A$5,Xero!$E:$E,Heron!$A101)</f>
        <v/>
      </c>
      <c r="L101" s="117">
        <f>SUMIFS(Xero!$F:$F,Xero!$B:$B,Heron!L$9,Xero!$A:$A,Heron!$A$4,Xero!$E:$E,Heron!$A101)+SUMIFS(Xero!$F:$F,Xero!$B:$B,Heron!L$9,Xero!$A:$A,Heron!$A$5,Xero!$E:$E,Heron!$A101)</f>
        <v/>
      </c>
      <c r="M101" s="117">
        <f>SUMIFS(Xero!$F:$F,Xero!$B:$B,Heron!M$9,Xero!$A:$A,Heron!$A$4,Xero!$E:$E,Heron!$A101)+SUMIFS(Xero!$F:$F,Xero!$B:$B,Heron!M$9,Xero!$A:$A,Heron!$A$5,Xero!$E:$E,Heron!$A101)</f>
        <v/>
      </c>
      <c r="N101" s="117">
        <f>SUMIFS(Xero!$F:$F,Xero!$B:$B,Heron!N$9,Xero!$A:$A,Heron!$A$4,Xero!$E:$E,Heron!$A101)+SUMIFS(Xero!$F:$F,Xero!$B:$B,Heron!N$9,Xero!$A:$A,Heron!$A$5,Xero!$E:$E,Heron!$A101)</f>
        <v/>
      </c>
      <c r="O101" s="117">
        <f>SUMIFS(Xero!$F:$F,Xero!$B:$B,Heron!O$9,Xero!$A:$A,Heron!$A$4,Xero!$E:$E,Heron!$A101)+SUMIFS(Xero!$F:$F,Xero!$B:$B,Heron!O$9,Xero!$A:$A,Heron!$A$5,Xero!$E:$E,Heron!$A101)</f>
        <v/>
      </c>
      <c r="P101" s="117">
        <f>SUMIFS(Xero!$F:$F,Xero!$B:$B,Heron!P$9,Xero!$A:$A,Heron!$A$4,Xero!$E:$E,Heron!$A101)+SUMIFS(Xero!$F:$F,Xero!$B:$B,Heron!P$9,Xero!$A:$A,Heron!$A$5,Xero!$E:$E,Heron!$A101)</f>
        <v/>
      </c>
      <c r="Q101" s="117">
        <f>SUMIFS(Xero!$F:$F,Xero!$B:$B,Heron!Q$9,Xero!$A:$A,Heron!$A$4,Xero!$E:$E,Heron!$A101)+SUMIFS(Xero!$F:$F,Xero!$B:$B,Heron!Q$9,Xero!$A:$A,Heron!$A$5,Xero!$E:$E,Heron!$A101)</f>
        <v/>
      </c>
      <c r="R101" s="117">
        <f>SUMIFS(Xero!$F:$F,Xero!$B:$B,Heron!R$9,Xero!$A:$A,Heron!$A$4,Xero!$E:$E,Heron!$A101)+SUMIFS(Xero!$F:$F,Xero!$B:$B,Heron!R$9,Xero!$A:$A,Heron!$A$5,Xero!$E:$E,Heron!$A101)</f>
        <v/>
      </c>
      <c r="S101" s="117">
        <f>SUMIFS(Xero!$F:$F,Xero!$B:$B,Heron!S$9,Xero!$A:$A,Heron!$A$4,Xero!$E:$E,Heron!$A101)+SUMIFS(Xero!$F:$F,Xero!$B:$B,Heron!S$9,Xero!$A:$A,Heron!$A$5,Xero!$E:$E,Heron!$A101)</f>
        <v/>
      </c>
      <c r="T101" s="117">
        <f>SUMIFS(Xero!$F:$F,Xero!$B:$B,Heron!T$9,Xero!$A:$A,Heron!$A$4,Xero!$E:$E,Heron!$A101)+SUMIFS(Xero!$F:$F,Xero!$B:$B,Heron!T$9,Xero!$A:$A,Heron!$A$5,Xero!$E:$E,Heron!$A101)</f>
        <v/>
      </c>
      <c r="U101" s="117">
        <f>SUMIFS(Xero!$F:$F,Xero!$B:$B,Heron!U$9,Xero!$A:$A,Heron!$A$4,Xero!$E:$E,Heron!$A101)+SUMIFS(Xero!$F:$F,Xero!$B:$B,Heron!U$9,Xero!$A:$A,Heron!$A$5,Xero!$E:$E,Heron!$A101)</f>
        <v/>
      </c>
      <c r="V101" s="117">
        <f>SUMIFS(Xero!$F:$F,Xero!$B:$B,Heron!V$9,Xero!$A:$A,Heron!$A$4,Xero!$E:$E,Heron!$A101)+SUMIFS(Xero!$F:$F,Xero!$B:$B,Heron!V$9,Xero!$A:$A,Heron!$A$5,Xero!$E:$E,Heron!$A101)</f>
        <v/>
      </c>
      <c r="W101" s="117">
        <f>SUMIFS(Xero!$F:$F,Xero!$B:$B,Heron!W$9,Xero!$A:$A,Heron!$A$4,Xero!$E:$E,Heron!$A101)+SUMIFS(Xero!$F:$F,Xero!$B:$B,Heron!W$9,Xero!$A:$A,Heron!$A$5,Xero!$E:$E,Heron!$A101)</f>
        <v/>
      </c>
      <c r="X101" s="117">
        <f>SUMIFS(Xero!$F:$F,Xero!$B:$B,Heron!X$9,Xero!$A:$A,Heron!$A$4,Xero!$E:$E,Heron!$A101)+SUMIFS(Xero!$F:$F,Xero!$B:$B,Heron!X$9,Xero!$A:$A,Heron!$A$5,Xero!$E:$E,Heron!$A101)</f>
        <v/>
      </c>
      <c r="Y101" s="117">
        <f>SUMIFS(Xero!$F:$F,Xero!$B:$B,Heron!Y$9,Xero!$A:$A,Heron!$A$4,Xero!$E:$E,Heron!$A101)+SUMIFS(Xero!$F:$F,Xero!$B:$B,Heron!Y$9,Xero!$A:$A,Heron!$A$5,Xero!$E:$E,Heron!$A101)</f>
        <v/>
      </c>
      <c r="Z101" s="117">
        <f>SUMIFS(Xero!$F:$F,Xero!$B:$B,Heron!Z$9,Xero!$A:$A,Heron!$A$4,Xero!$E:$E,Heron!$A101)+SUMIFS(Xero!$F:$F,Xero!$B:$B,Heron!Z$9,Xero!$A:$A,Heron!$A$5,Xero!$E:$E,Heron!$A101)</f>
        <v/>
      </c>
      <c r="AA101" s="117">
        <f>SUMIFS(Xero!$F:$F,Xero!$B:$B,Heron!AA$9,Xero!$A:$A,Heron!$A$4,Xero!$E:$E,Heron!$A101)+SUMIFS(Xero!$F:$F,Xero!$B:$B,Heron!AA$9,Xero!$A:$A,Heron!$A$5,Xero!$E:$E,Heron!$A101)</f>
        <v/>
      </c>
      <c r="AB101" s="117">
        <f>SUMIFS(Xero!$F:$F,Xero!$B:$B,Heron!AB$9,Xero!$A:$A,Heron!$A$4,Xero!$E:$E,Heron!$A101)+SUMIFS(Xero!$F:$F,Xero!$B:$B,Heron!AB$9,Xero!$A:$A,Heron!$A$5,Xero!$E:$E,Heron!$A101)</f>
        <v/>
      </c>
      <c r="AC101" s="117">
        <f>SUMIFS(Xero!$F:$F,Xero!$B:$B,Heron!AC$9,Xero!$A:$A,Heron!$A$4,Xero!$E:$E,Heron!$A101)+SUMIFS(Xero!$F:$F,Xero!$B:$B,Heron!AC$9,Xero!$A:$A,Heron!$A$5,Xero!$E:$E,Heron!$A101)</f>
        <v/>
      </c>
      <c r="AD101" s="117">
        <f>SUMIFS(Xero!$F:$F,Xero!$B:$B,Heron!AD$9,Xero!$A:$A,Heron!$A$4,Xero!$E:$E,Heron!$A101)+SUMIFS(Xero!$F:$F,Xero!$B:$B,Heron!AD$9,Xero!$A:$A,Heron!$A$5,Xero!$E:$E,Heron!$A101)</f>
        <v/>
      </c>
      <c r="AE101" s="117">
        <f>SUMIFS(Xero!$F:$F,Xero!$B:$B,Heron!AE$9,Xero!$A:$A,Heron!$A$4,Xero!$E:$E,Heron!$A101)+SUMIFS(Xero!$F:$F,Xero!$B:$B,Heron!AE$9,Xero!$A:$A,Heron!$A$5,Xero!$E:$E,Heron!$A101)</f>
        <v/>
      </c>
      <c r="AF101" s="117">
        <f>SUMIFS(Xero!$F:$F,Xero!$B:$B,Heron!AF$9,Xero!$A:$A,Heron!$A$4,Xero!$E:$E,Heron!$A101)+SUMIFS(Xero!$F:$F,Xero!$B:$B,Heron!AF$9,Xero!$A:$A,Heron!$A$5,Xero!$E:$E,Heron!$A101)</f>
        <v/>
      </c>
      <c r="AG101" s="117">
        <f>SUMIFS(Xero!$F:$F,Xero!$B:$B,Heron!AG$9,Xero!$A:$A,Heron!$A$4,Xero!$E:$E,Heron!$A101)+SUMIFS(Xero!$F:$F,Xero!$B:$B,Heron!AG$9,Xero!$A:$A,Heron!$A$5,Xero!$E:$E,Heron!$A101)</f>
        <v/>
      </c>
      <c r="AH101" s="117">
        <f>SUMIFS(Xero!$F:$F,Xero!$B:$B,Heron!AH$9,Xero!$A:$A,Heron!$A$4,Xero!$E:$E,Heron!$A101)+SUMIFS(Xero!$F:$F,Xero!$B:$B,Heron!AH$9,Xero!$A:$A,Heron!$A$5,Xero!$E:$E,Heron!$A101)</f>
        <v/>
      </c>
      <c r="AI101" s="117">
        <f>SUMIFS(Xero!$F:$F,Xero!$B:$B,Heron!AI$9,Xero!$A:$A,Heron!$A$4,Xero!$E:$E,Heron!$A101)+SUMIFS(Xero!$F:$F,Xero!$B:$B,Heron!AI$9,Xero!$A:$A,Heron!$A$5,Xero!$E:$E,Heron!$A101)</f>
        <v/>
      </c>
      <c r="AJ101" s="117">
        <f>SUMIFS(Xero!$F:$F,Xero!$B:$B,Heron!AJ$9,Xero!$A:$A,Heron!$A$4,Xero!$E:$E,Heron!$A101)+SUMIFS(Xero!$F:$F,Xero!$B:$B,Heron!AJ$9,Xero!$A:$A,Heron!$A$5,Xero!$E:$E,Heron!$A101)</f>
        <v/>
      </c>
      <c r="AK101" s="117">
        <f>SUMIFS(Xero!$F:$F,Xero!$B:$B,Heron!AK$9,Xero!$A:$A,Heron!$A$4,Xero!$E:$E,Heron!$A101)+SUMIFS(Xero!$F:$F,Xero!$B:$B,Heron!AK$9,Xero!$A:$A,Heron!$A$5,Xero!$E:$E,Heron!$A101)</f>
        <v/>
      </c>
      <c r="AL101" s="117">
        <f>SUMIFS(Xero!$F:$F,Xero!$B:$B,Heron!AL$9,Xero!$A:$A,Heron!$A$4,Xero!$E:$E,Heron!$A101)+SUMIFS(Xero!$F:$F,Xero!$B:$B,Heron!AL$9,Xero!$A:$A,Heron!$A$5,Xero!$E:$E,Heron!$A101)</f>
        <v/>
      </c>
      <c r="AM101" s="117">
        <f>SUMIFS(Xero!$F:$F,Xero!$B:$B,Heron!AM$9,Xero!$A:$A,Heron!$A$4,Xero!$E:$E,Heron!$A101)+SUMIFS(Xero!$F:$F,Xero!$B:$B,Heron!AM$9,Xero!$A:$A,Heron!$A$5,Xero!$E:$E,Heron!$A101)</f>
        <v/>
      </c>
      <c r="AN101" s="117">
        <f>SUMIFS(Xero!$F:$F,Xero!$B:$B,Heron!AN$9,Xero!$A:$A,Heron!$A$4,Xero!$E:$E,Heron!$A101)+SUMIFS(Xero!$F:$F,Xero!$B:$B,Heron!AN$9,Xero!$A:$A,Heron!$A$5,Xero!$E:$E,Heron!$A101)</f>
        <v/>
      </c>
      <c r="AO101" s="117">
        <f>SUMIFS(Xero!$F:$F,Xero!$B:$B,Heron!AO$9,Xero!$A:$A,Heron!$A$4,Xero!$E:$E,Heron!$A101)+SUMIFS(Xero!$F:$F,Xero!$B:$B,Heron!AO$9,Xero!$A:$A,Heron!$A$5,Xero!$E:$E,Heron!$A101)</f>
        <v/>
      </c>
      <c r="AP101" s="117">
        <f>SUMIFS(Xero!$F:$F,Xero!$B:$B,Heron!AP$9,Xero!$A:$A,Heron!$A$4,Xero!$E:$E,Heron!$A101)+SUMIFS(Xero!$F:$F,Xero!$B:$B,Heron!AP$9,Xero!$A:$A,Heron!$A$5,Xero!$E:$E,Heron!$A101)</f>
        <v/>
      </c>
      <c r="AQ101" s="117">
        <f>SUMIFS(Xero!$F:$F,Xero!$B:$B,Heron!AQ$9,Xero!$A:$A,Heron!$A$4,Xero!$E:$E,Heron!$A101)+SUMIFS(Xero!$F:$F,Xero!$B:$B,Heron!AQ$9,Xero!$A:$A,Heron!$A$5,Xero!$E:$E,Heron!$A101)</f>
        <v/>
      </c>
      <c r="AR101" s="117">
        <f>SUMIFS(Xero!$F:$F,Xero!$B:$B,Heron!AR$9,Xero!$A:$A,Heron!$A$4,Xero!$E:$E,Heron!$A101)+SUMIFS(Xero!$F:$F,Xero!$B:$B,Heron!AR$9,Xero!$A:$A,Heron!$A$5,Xero!$E:$E,Heron!$A101)</f>
        <v/>
      </c>
      <c r="AS101" s="117">
        <f>SUMIFS(Xero!$F:$F,Xero!$B:$B,Heron!AS$9,Xero!$A:$A,Heron!$A$4,Xero!$E:$E,Heron!$A101)+SUMIFS(Xero!$F:$F,Xero!$B:$B,Heron!AS$9,Xero!$A:$A,Heron!$A$5,Xero!$E:$E,Heron!$A101)</f>
        <v/>
      </c>
      <c r="AT101" s="117">
        <f>SUMIFS(Xero!$F:$F,Xero!$B:$B,Heron!AT$9,Xero!$A:$A,Heron!$A$4,Xero!$E:$E,Heron!$A101)+SUMIFS(Xero!$F:$F,Xero!$B:$B,Heron!AT$9,Xero!$A:$A,Heron!$A$5,Xero!$E:$E,Heron!$A101)</f>
        <v/>
      </c>
      <c r="AU101" s="117">
        <f>SUMIFS(Xero!$F:$F,Xero!$B:$B,Heron!AU$9,Xero!$A:$A,Heron!$A$4,Xero!$E:$E,Heron!$A101)+SUMIFS(Xero!$F:$F,Xero!$B:$B,Heron!AU$9,Xero!$A:$A,Heron!$A$5,Xero!$E:$E,Heron!$A101)</f>
        <v/>
      </c>
      <c r="AV101" s="117">
        <f>SUMIFS(Xero!$F:$F,Xero!$B:$B,Heron!AV$9,Xero!$A:$A,Heron!$A$4,Xero!$E:$E,Heron!$A101)+SUMIFS(Xero!$F:$F,Xero!$B:$B,Heron!AV$9,Xero!$A:$A,Heron!$A$5,Xero!$E:$E,Heron!$A101)</f>
        <v/>
      </c>
      <c r="AW101" s="117">
        <f>SUMIFS(Xero!$F:$F,Xero!$B:$B,Heron!AW$9,Xero!$A:$A,Heron!$A$4,Xero!$E:$E,Heron!$A101)+SUMIFS(Xero!$F:$F,Xero!$B:$B,Heron!AW$9,Xero!$A:$A,Heron!$A$5,Xero!$E:$E,Heron!$A101)</f>
        <v/>
      </c>
      <c r="AX101" s="117">
        <f>SUMIFS(Xero!$F:$F,Xero!$B:$B,Heron!AX$9,Xero!$A:$A,Heron!$A$4,Xero!$E:$E,Heron!$A101)+SUMIFS(Xero!$F:$F,Xero!$B:$B,Heron!AX$9,Xero!$A:$A,Heron!$A$5,Xero!$E:$E,Heron!$A101)</f>
        <v/>
      </c>
      <c r="AY101" s="117">
        <f>SUMIFS(Xero!$F:$F,Xero!$B:$B,Heron!AY$9,Xero!$A:$A,Heron!$A$4,Xero!$E:$E,Heron!$A101)+SUMIFS(Xero!$F:$F,Xero!$B:$B,Heron!AY$9,Xero!$A:$A,Heron!$A$5,Xero!$E:$E,Heron!$A101)</f>
        <v/>
      </c>
      <c r="AZ101" s="117">
        <f>SUMIFS(Xero!$F:$F,Xero!$B:$B,Heron!AZ$9,Xero!$A:$A,Heron!$A$4,Xero!$E:$E,Heron!$A101)+SUMIFS(Xero!$F:$F,Xero!$B:$B,Heron!AZ$9,Xero!$A:$A,Heron!$A$5,Xero!$E:$E,Heron!$A101)</f>
        <v/>
      </c>
      <c r="BA101" s="117">
        <f>SUMIFS(Xero!$F:$F,Xero!$B:$B,Heron!BA$9,Xero!$A:$A,Heron!$A$4,Xero!$E:$E,Heron!$A101)+SUMIFS(Xero!$F:$F,Xero!$B:$B,Heron!BA$9,Xero!$A:$A,Heron!$A$5,Xero!$E:$E,Heron!$A101)</f>
        <v/>
      </c>
      <c r="BB101" s="117">
        <f>SUMIFS(Xero!$F:$F,Xero!$B:$B,Heron!BB$9,Xero!$A:$A,Heron!$A$4,Xero!$E:$E,Heron!$A101)+SUMIFS(Xero!$F:$F,Xero!$B:$B,Heron!BB$9,Xero!$A:$A,Heron!$A$5,Xero!$E:$E,Heron!$A101)</f>
        <v/>
      </c>
      <c r="BC101" s="117">
        <f>SUMIFS(Xero!$F:$F,Xero!$B:$B,Heron!BC$9,Xero!$A:$A,Heron!$A$4,Xero!$E:$E,Heron!$A101)+SUMIFS(Xero!$F:$F,Xero!$B:$B,Heron!BC$9,Xero!$A:$A,Heron!$A$5,Xero!$E:$E,Heron!$A101)</f>
        <v/>
      </c>
      <c r="BD101" s="117">
        <f>SUMIFS(Xero!$F:$F,Xero!$B:$B,Heron!BD$9,Xero!$A:$A,Heron!$A$4,Xero!$E:$E,Heron!$A101)+SUMIFS(Xero!$F:$F,Xero!$B:$B,Heron!BD$9,Xero!$A:$A,Heron!$A$5,Xero!$E:$E,Heron!$A101)</f>
        <v/>
      </c>
      <c r="BE101" s="117">
        <f>SUMIFS(Xero!$F:$F,Xero!$B:$B,Heron!BE$9,Xero!$A:$A,Heron!$A$4,Xero!$E:$E,Heron!$A101)+SUMIFS(Xero!$F:$F,Xero!$B:$B,Heron!BE$9,Xero!$A:$A,Heron!$A$5,Xero!$E:$E,Heron!$A101)</f>
        <v/>
      </c>
      <c r="BF101" s="117">
        <f>SUMIFS(Xero!$F:$F,Xero!$B:$B,Heron!BF$9,Xero!$A:$A,Heron!$A$4,Xero!$E:$E,Heron!$A101)+SUMIFS(Xero!$F:$F,Xero!$B:$B,Heron!BF$9,Xero!$A:$A,Heron!$A$5,Xero!$E:$E,Heron!$A101)</f>
        <v/>
      </c>
      <c r="BG101" s="117">
        <f>SUMIFS(Xero!$F:$F,Xero!$B:$B,Heron!BG$9,Xero!$A:$A,Heron!$A$4,Xero!$E:$E,Heron!$A101)+SUMIFS(Xero!$F:$F,Xero!$B:$B,Heron!BG$9,Xero!$A:$A,Heron!$A$5,Xero!$E:$E,Heron!$A101)</f>
        <v/>
      </c>
      <c r="BH101" s="117">
        <f>SUMIFS(Xero!$F:$F,Xero!$B:$B,Heron!BH$9,Xero!$A:$A,Heron!$A$4,Xero!$E:$E,Heron!$A101)+SUMIFS(Xero!$F:$F,Xero!$B:$B,Heron!BH$9,Xero!$A:$A,Heron!$A$5,Xero!$E:$E,Heron!$A101)</f>
        <v/>
      </c>
      <c r="BI101" s="117">
        <f>SUMIFS(Xero!$F:$F,Xero!$B:$B,Heron!BI$9,Xero!$A:$A,Heron!$A$4,Xero!$E:$E,Heron!$A101)+SUMIFS(Xero!$F:$F,Xero!$B:$B,Heron!BI$9,Xero!$A:$A,Heron!$A$5,Xero!$E:$E,Heron!$A101)</f>
        <v/>
      </c>
      <c r="BJ101" s="117">
        <f>SUMIFS(Xero!$F:$F,Xero!$B:$B,Heron!BJ$9,Xero!$A:$A,Heron!$A$4,Xero!$E:$E,Heron!$A101)+SUMIFS(Xero!$F:$F,Xero!$B:$B,Heron!BJ$9,Xero!$A:$A,Heron!$A$5,Xero!$E:$E,Heron!$A101)</f>
        <v/>
      </c>
      <c r="BK101" s="117">
        <f>sum(D101:BJ101)</f>
        <v/>
      </c>
    </row>
    <row r="102">
      <c r="A102" s="116" t="inlineStr">
        <is>
          <t>Subscription - NHBRC</t>
        </is>
      </c>
      <c r="D102" s="117">
        <f>SUMIFS(Xero!$F:$F,Xero!$B:$B,Heron!D$9,Xero!$A:$A,Heron!$A$4,Xero!$E:$E,Heron!$A102)+SUMIFS(Xero!$F:$F,Xero!$B:$B,Heron!D$9,Xero!$A:$A,Heron!$A$5,Xero!$E:$E,Heron!$A102)</f>
        <v/>
      </c>
      <c r="E102" s="117">
        <f>SUMIFS(Xero!$F:$F,Xero!$B:$B,Heron!E$9,Xero!$A:$A,Heron!$A$4,Xero!$E:$E,Heron!$A102)+SUMIFS(Xero!$F:$F,Xero!$B:$B,Heron!E$9,Xero!$A:$A,Heron!$A$5,Xero!$E:$E,Heron!$A102)</f>
        <v/>
      </c>
      <c r="F102" s="117">
        <f>SUMIFS(Xero!$F:$F,Xero!$B:$B,Heron!F$9,Xero!$A:$A,Heron!$A$4,Xero!$E:$E,Heron!$A102)+SUMIFS(Xero!$F:$F,Xero!$B:$B,Heron!F$9,Xero!$A:$A,Heron!$A$5,Xero!$E:$E,Heron!$A102)</f>
        <v/>
      </c>
      <c r="G102" s="117">
        <f>SUMIFS(Xero!$F:$F,Xero!$B:$B,Heron!G$9,Xero!$A:$A,Heron!$A$4,Xero!$E:$E,Heron!$A102)+SUMIFS(Xero!$F:$F,Xero!$B:$B,Heron!G$9,Xero!$A:$A,Heron!$A$5,Xero!$E:$E,Heron!$A102)</f>
        <v/>
      </c>
      <c r="H102" s="117">
        <f>SUMIFS(Xero!$F:$F,Xero!$B:$B,Heron!H$9,Xero!$A:$A,Heron!$A$4,Xero!$E:$E,Heron!$A102)+SUMIFS(Xero!$F:$F,Xero!$B:$B,Heron!H$9,Xero!$A:$A,Heron!$A$5,Xero!$E:$E,Heron!$A102)</f>
        <v/>
      </c>
      <c r="I102" s="117">
        <f>SUMIFS(Xero!$F:$F,Xero!$B:$B,Heron!I$9,Xero!$A:$A,Heron!$A$4,Xero!$E:$E,Heron!$A102)+SUMIFS(Xero!$F:$F,Xero!$B:$B,Heron!I$9,Xero!$A:$A,Heron!$A$5,Xero!$E:$E,Heron!$A102)</f>
        <v/>
      </c>
      <c r="J102" s="117">
        <f>SUMIFS(Xero!$F:$F,Xero!$B:$B,Heron!J$9,Xero!$A:$A,Heron!$A$4,Xero!$E:$E,Heron!$A102)+SUMIFS(Xero!$F:$F,Xero!$B:$B,Heron!J$9,Xero!$A:$A,Heron!$A$5,Xero!$E:$E,Heron!$A102)</f>
        <v/>
      </c>
      <c r="K102" s="117">
        <f>SUMIFS(Xero!$F:$F,Xero!$B:$B,Heron!K$9,Xero!$A:$A,Heron!$A$4,Xero!$E:$E,Heron!$A102)+SUMIFS(Xero!$F:$F,Xero!$B:$B,Heron!K$9,Xero!$A:$A,Heron!$A$5,Xero!$E:$E,Heron!$A102)</f>
        <v/>
      </c>
      <c r="L102" s="117">
        <f>SUMIFS(Xero!$F:$F,Xero!$B:$B,Heron!L$9,Xero!$A:$A,Heron!$A$4,Xero!$E:$E,Heron!$A102)+SUMIFS(Xero!$F:$F,Xero!$B:$B,Heron!L$9,Xero!$A:$A,Heron!$A$5,Xero!$E:$E,Heron!$A102)</f>
        <v/>
      </c>
      <c r="M102" s="117">
        <f>SUMIFS(Xero!$F:$F,Xero!$B:$B,Heron!M$9,Xero!$A:$A,Heron!$A$4,Xero!$E:$E,Heron!$A102)+SUMIFS(Xero!$F:$F,Xero!$B:$B,Heron!M$9,Xero!$A:$A,Heron!$A$5,Xero!$E:$E,Heron!$A102)</f>
        <v/>
      </c>
      <c r="N102" s="117">
        <f>SUMIFS(Xero!$F:$F,Xero!$B:$B,Heron!N$9,Xero!$A:$A,Heron!$A$4,Xero!$E:$E,Heron!$A102)+SUMIFS(Xero!$F:$F,Xero!$B:$B,Heron!N$9,Xero!$A:$A,Heron!$A$5,Xero!$E:$E,Heron!$A102)</f>
        <v/>
      </c>
      <c r="O102" s="117">
        <f>SUMIFS(Xero!$F:$F,Xero!$B:$B,Heron!O$9,Xero!$A:$A,Heron!$A$4,Xero!$E:$E,Heron!$A102)+SUMIFS(Xero!$F:$F,Xero!$B:$B,Heron!O$9,Xero!$A:$A,Heron!$A$5,Xero!$E:$E,Heron!$A102)</f>
        <v/>
      </c>
      <c r="P102" s="117">
        <f>SUMIFS(Xero!$F:$F,Xero!$B:$B,Heron!P$9,Xero!$A:$A,Heron!$A$4,Xero!$E:$E,Heron!$A102)+SUMIFS(Xero!$F:$F,Xero!$B:$B,Heron!P$9,Xero!$A:$A,Heron!$A$5,Xero!$E:$E,Heron!$A102)</f>
        <v/>
      </c>
      <c r="Q102" s="117">
        <f>SUMIFS(Xero!$F:$F,Xero!$B:$B,Heron!Q$9,Xero!$A:$A,Heron!$A$4,Xero!$E:$E,Heron!$A102)+SUMIFS(Xero!$F:$F,Xero!$B:$B,Heron!Q$9,Xero!$A:$A,Heron!$A$5,Xero!$E:$E,Heron!$A102)</f>
        <v/>
      </c>
      <c r="R102" s="117">
        <f>SUMIFS(Xero!$F:$F,Xero!$B:$B,Heron!R$9,Xero!$A:$A,Heron!$A$4,Xero!$E:$E,Heron!$A102)+SUMIFS(Xero!$F:$F,Xero!$B:$B,Heron!R$9,Xero!$A:$A,Heron!$A$5,Xero!$E:$E,Heron!$A102)</f>
        <v/>
      </c>
      <c r="S102" s="117">
        <f>SUMIFS(Xero!$F:$F,Xero!$B:$B,Heron!S$9,Xero!$A:$A,Heron!$A$4,Xero!$E:$E,Heron!$A102)+SUMIFS(Xero!$F:$F,Xero!$B:$B,Heron!S$9,Xero!$A:$A,Heron!$A$5,Xero!$E:$E,Heron!$A102)</f>
        <v/>
      </c>
      <c r="T102" s="117">
        <f>SUMIFS(Xero!$F:$F,Xero!$B:$B,Heron!T$9,Xero!$A:$A,Heron!$A$4,Xero!$E:$E,Heron!$A102)+SUMIFS(Xero!$F:$F,Xero!$B:$B,Heron!T$9,Xero!$A:$A,Heron!$A$5,Xero!$E:$E,Heron!$A102)</f>
        <v/>
      </c>
      <c r="U102" s="117">
        <f>SUMIFS(Xero!$F:$F,Xero!$B:$B,Heron!U$9,Xero!$A:$A,Heron!$A$4,Xero!$E:$E,Heron!$A102)+SUMIFS(Xero!$F:$F,Xero!$B:$B,Heron!U$9,Xero!$A:$A,Heron!$A$5,Xero!$E:$E,Heron!$A102)</f>
        <v/>
      </c>
      <c r="V102" s="117">
        <f>SUMIFS(Xero!$F:$F,Xero!$B:$B,Heron!V$9,Xero!$A:$A,Heron!$A$4,Xero!$E:$E,Heron!$A102)+SUMIFS(Xero!$F:$F,Xero!$B:$B,Heron!V$9,Xero!$A:$A,Heron!$A$5,Xero!$E:$E,Heron!$A102)</f>
        <v/>
      </c>
      <c r="W102" s="117">
        <f>SUMIFS(Xero!$F:$F,Xero!$B:$B,Heron!W$9,Xero!$A:$A,Heron!$A$4,Xero!$E:$E,Heron!$A102)+SUMIFS(Xero!$F:$F,Xero!$B:$B,Heron!W$9,Xero!$A:$A,Heron!$A$5,Xero!$E:$E,Heron!$A102)</f>
        <v/>
      </c>
      <c r="X102" s="117">
        <f>SUMIFS(Xero!$F:$F,Xero!$B:$B,Heron!X$9,Xero!$A:$A,Heron!$A$4,Xero!$E:$E,Heron!$A102)+SUMIFS(Xero!$F:$F,Xero!$B:$B,Heron!X$9,Xero!$A:$A,Heron!$A$5,Xero!$E:$E,Heron!$A102)</f>
        <v/>
      </c>
      <c r="Y102" s="117">
        <f>SUMIFS(Xero!$F:$F,Xero!$B:$B,Heron!Y$9,Xero!$A:$A,Heron!$A$4,Xero!$E:$E,Heron!$A102)+SUMIFS(Xero!$F:$F,Xero!$B:$B,Heron!Y$9,Xero!$A:$A,Heron!$A$5,Xero!$E:$E,Heron!$A102)</f>
        <v/>
      </c>
      <c r="Z102" s="117">
        <f>SUMIFS(Xero!$F:$F,Xero!$B:$B,Heron!Z$9,Xero!$A:$A,Heron!$A$4,Xero!$E:$E,Heron!$A102)+SUMIFS(Xero!$F:$F,Xero!$B:$B,Heron!Z$9,Xero!$A:$A,Heron!$A$5,Xero!$E:$E,Heron!$A102)</f>
        <v/>
      </c>
      <c r="AA102" s="117">
        <f>SUMIFS(Xero!$F:$F,Xero!$B:$B,Heron!AA$9,Xero!$A:$A,Heron!$A$4,Xero!$E:$E,Heron!$A102)+SUMIFS(Xero!$F:$F,Xero!$B:$B,Heron!AA$9,Xero!$A:$A,Heron!$A$5,Xero!$E:$E,Heron!$A102)</f>
        <v/>
      </c>
      <c r="AB102" s="117">
        <f>SUMIFS(Xero!$F:$F,Xero!$B:$B,Heron!AB$9,Xero!$A:$A,Heron!$A$4,Xero!$E:$E,Heron!$A102)+SUMIFS(Xero!$F:$F,Xero!$B:$B,Heron!AB$9,Xero!$A:$A,Heron!$A$5,Xero!$E:$E,Heron!$A102)</f>
        <v/>
      </c>
      <c r="AC102" s="117">
        <f>SUMIFS(Xero!$F:$F,Xero!$B:$B,Heron!AC$9,Xero!$A:$A,Heron!$A$4,Xero!$E:$E,Heron!$A102)+SUMIFS(Xero!$F:$F,Xero!$B:$B,Heron!AC$9,Xero!$A:$A,Heron!$A$5,Xero!$E:$E,Heron!$A102)</f>
        <v/>
      </c>
      <c r="AD102" s="117">
        <f>SUMIFS(Xero!$F:$F,Xero!$B:$B,Heron!AD$9,Xero!$A:$A,Heron!$A$4,Xero!$E:$E,Heron!$A102)+SUMIFS(Xero!$F:$F,Xero!$B:$B,Heron!AD$9,Xero!$A:$A,Heron!$A$5,Xero!$E:$E,Heron!$A102)</f>
        <v/>
      </c>
      <c r="AE102" s="117">
        <f>SUMIFS(Xero!$F:$F,Xero!$B:$B,Heron!AE$9,Xero!$A:$A,Heron!$A$4,Xero!$E:$E,Heron!$A102)+SUMIFS(Xero!$F:$F,Xero!$B:$B,Heron!AE$9,Xero!$A:$A,Heron!$A$5,Xero!$E:$E,Heron!$A102)</f>
        <v/>
      </c>
      <c r="AF102" s="117">
        <f>SUMIFS(Xero!$F:$F,Xero!$B:$B,Heron!AF$9,Xero!$A:$A,Heron!$A$4,Xero!$E:$E,Heron!$A102)+SUMIFS(Xero!$F:$F,Xero!$B:$B,Heron!AF$9,Xero!$A:$A,Heron!$A$5,Xero!$E:$E,Heron!$A102)</f>
        <v/>
      </c>
      <c r="AG102" s="117">
        <f>SUMIFS(Xero!$F:$F,Xero!$B:$B,Heron!AG$9,Xero!$A:$A,Heron!$A$4,Xero!$E:$E,Heron!$A102)+SUMIFS(Xero!$F:$F,Xero!$B:$B,Heron!AG$9,Xero!$A:$A,Heron!$A$5,Xero!$E:$E,Heron!$A102)</f>
        <v/>
      </c>
      <c r="AH102" s="117">
        <f>SUMIFS(Xero!$F:$F,Xero!$B:$B,Heron!AH$9,Xero!$A:$A,Heron!$A$4,Xero!$E:$E,Heron!$A102)+SUMIFS(Xero!$F:$F,Xero!$B:$B,Heron!AH$9,Xero!$A:$A,Heron!$A$5,Xero!$E:$E,Heron!$A102)</f>
        <v/>
      </c>
      <c r="AI102" s="117">
        <f>SUMIFS(Xero!$F:$F,Xero!$B:$B,Heron!AI$9,Xero!$A:$A,Heron!$A$4,Xero!$E:$E,Heron!$A102)+SUMIFS(Xero!$F:$F,Xero!$B:$B,Heron!AI$9,Xero!$A:$A,Heron!$A$5,Xero!$E:$E,Heron!$A102)</f>
        <v/>
      </c>
      <c r="AJ102" s="117">
        <f>SUMIFS(Xero!$F:$F,Xero!$B:$B,Heron!AJ$9,Xero!$A:$A,Heron!$A$4,Xero!$E:$E,Heron!$A102)+SUMIFS(Xero!$F:$F,Xero!$B:$B,Heron!AJ$9,Xero!$A:$A,Heron!$A$5,Xero!$E:$E,Heron!$A102)</f>
        <v/>
      </c>
      <c r="AK102" s="117">
        <f>SUMIFS(Xero!$F:$F,Xero!$B:$B,Heron!AK$9,Xero!$A:$A,Heron!$A$4,Xero!$E:$E,Heron!$A102)+SUMIFS(Xero!$F:$F,Xero!$B:$B,Heron!AK$9,Xero!$A:$A,Heron!$A$5,Xero!$E:$E,Heron!$A102)</f>
        <v/>
      </c>
      <c r="AL102" s="117">
        <f>SUMIFS(Xero!$F:$F,Xero!$B:$B,Heron!AL$9,Xero!$A:$A,Heron!$A$4,Xero!$E:$E,Heron!$A102)+SUMIFS(Xero!$F:$F,Xero!$B:$B,Heron!AL$9,Xero!$A:$A,Heron!$A$5,Xero!$E:$E,Heron!$A102)</f>
        <v/>
      </c>
      <c r="AM102" s="117">
        <f>SUMIFS(Xero!$F:$F,Xero!$B:$B,Heron!AM$9,Xero!$A:$A,Heron!$A$4,Xero!$E:$E,Heron!$A102)+SUMIFS(Xero!$F:$F,Xero!$B:$B,Heron!AM$9,Xero!$A:$A,Heron!$A$5,Xero!$E:$E,Heron!$A102)</f>
        <v/>
      </c>
      <c r="AN102" s="117">
        <f>SUMIFS(Xero!$F:$F,Xero!$B:$B,Heron!AN$9,Xero!$A:$A,Heron!$A$4,Xero!$E:$E,Heron!$A102)+SUMIFS(Xero!$F:$F,Xero!$B:$B,Heron!AN$9,Xero!$A:$A,Heron!$A$5,Xero!$E:$E,Heron!$A102)</f>
        <v/>
      </c>
      <c r="AO102" s="117">
        <f>SUMIFS(Xero!$F:$F,Xero!$B:$B,Heron!AO$9,Xero!$A:$A,Heron!$A$4,Xero!$E:$E,Heron!$A102)+SUMIFS(Xero!$F:$F,Xero!$B:$B,Heron!AO$9,Xero!$A:$A,Heron!$A$5,Xero!$E:$E,Heron!$A102)</f>
        <v/>
      </c>
      <c r="AP102" s="117">
        <f>SUMIFS(Xero!$F:$F,Xero!$B:$B,Heron!AP$9,Xero!$A:$A,Heron!$A$4,Xero!$E:$E,Heron!$A102)+SUMIFS(Xero!$F:$F,Xero!$B:$B,Heron!AP$9,Xero!$A:$A,Heron!$A$5,Xero!$E:$E,Heron!$A102)</f>
        <v/>
      </c>
      <c r="AQ102" s="117">
        <f>SUMIFS(Xero!$F:$F,Xero!$B:$B,Heron!AQ$9,Xero!$A:$A,Heron!$A$4,Xero!$E:$E,Heron!$A102)+SUMIFS(Xero!$F:$F,Xero!$B:$B,Heron!AQ$9,Xero!$A:$A,Heron!$A$5,Xero!$E:$E,Heron!$A102)</f>
        <v/>
      </c>
      <c r="AR102" s="117">
        <f>SUMIFS(Xero!$F:$F,Xero!$B:$B,Heron!AR$9,Xero!$A:$A,Heron!$A$4,Xero!$E:$E,Heron!$A102)+SUMIFS(Xero!$F:$F,Xero!$B:$B,Heron!AR$9,Xero!$A:$A,Heron!$A$5,Xero!$E:$E,Heron!$A102)</f>
        <v/>
      </c>
      <c r="AS102" s="117">
        <f>SUMIFS(Xero!$F:$F,Xero!$B:$B,Heron!AS$9,Xero!$A:$A,Heron!$A$4,Xero!$E:$E,Heron!$A102)+SUMIFS(Xero!$F:$F,Xero!$B:$B,Heron!AS$9,Xero!$A:$A,Heron!$A$5,Xero!$E:$E,Heron!$A102)</f>
        <v/>
      </c>
      <c r="AT102" s="117">
        <f>SUMIFS(Xero!$F:$F,Xero!$B:$B,Heron!AT$9,Xero!$A:$A,Heron!$A$4,Xero!$E:$E,Heron!$A102)+SUMIFS(Xero!$F:$F,Xero!$B:$B,Heron!AT$9,Xero!$A:$A,Heron!$A$5,Xero!$E:$E,Heron!$A102)</f>
        <v/>
      </c>
      <c r="AU102" s="117">
        <f>SUMIFS(Xero!$F:$F,Xero!$B:$B,Heron!AU$9,Xero!$A:$A,Heron!$A$4,Xero!$E:$E,Heron!$A102)+SUMIFS(Xero!$F:$F,Xero!$B:$B,Heron!AU$9,Xero!$A:$A,Heron!$A$5,Xero!$E:$E,Heron!$A102)</f>
        <v/>
      </c>
      <c r="AV102" s="117">
        <f>SUMIFS(Xero!$F:$F,Xero!$B:$B,Heron!AV$9,Xero!$A:$A,Heron!$A$4,Xero!$E:$E,Heron!$A102)+SUMIFS(Xero!$F:$F,Xero!$B:$B,Heron!AV$9,Xero!$A:$A,Heron!$A$5,Xero!$E:$E,Heron!$A102)</f>
        <v/>
      </c>
      <c r="AW102" s="117">
        <f>SUMIFS(Xero!$F:$F,Xero!$B:$B,Heron!AW$9,Xero!$A:$A,Heron!$A$4,Xero!$E:$E,Heron!$A102)+SUMIFS(Xero!$F:$F,Xero!$B:$B,Heron!AW$9,Xero!$A:$A,Heron!$A$5,Xero!$E:$E,Heron!$A102)</f>
        <v/>
      </c>
      <c r="AX102" s="117">
        <f>SUMIFS(Xero!$F:$F,Xero!$B:$B,Heron!AX$9,Xero!$A:$A,Heron!$A$4,Xero!$E:$E,Heron!$A102)+SUMIFS(Xero!$F:$F,Xero!$B:$B,Heron!AX$9,Xero!$A:$A,Heron!$A$5,Xero!$E:$E,Heron!$A102)</f>
        <v/>
      </c>
      <c r="AY102" s="117">
        <f>SUMIFS(Xero!$F:$F,Xero!$B:$B,Heron!AY$9,Xero!$A:$A,Heron!$A$4,Xero!$E:$E,Heron!$A102)+SUMIFS(Xero!$F:$F,Xero!$B:$B,Heron!AY$9,Xero!$A:$A,Heron!$A$5,Xero!$E:$E,Heron!$A102)</f>
        <v/>
      </c>
      <c r="AZ102" s="117">
        <f>SUMIFS(Xero!$F:$F,Xero!$B:$B,Heron!AZ$9,Xero!$A:$A,Heron!$A$4,Xero!$E:$E,Heron!$A102)+SUMIFS(Xero!$F:$F,Xero!$B:$B,Heron!AZ$9,Xero!$A:$A,Heron!$A$5,Xero!$E:$E,Heron!$A102)</f>
        <v/>
      </c>
      <c r="BA102" s="117">
        <f>SUMIFS(Xero!$F:$F,Xero!$B:$B,Heron!BA$9,Xero!$A:$A,Heron!$A$4,Xero!$E:$E,Heron!$A102)+SUMIFS(Xero!$F:$F,Xero!$B:$B,Heron!BA$9,Xero!$A:$A,Heron!$A$5,Xero!$E:$E,Heron!$A102)</f>
        <v/>
      </c>
      <c r="BB102" s="117">
        <f>SUMIFS(Xero!$F:$F,Xero!$B:$B,Heron!BB$9,Xero!$A:$A,Heron!$A$4,Xero!$E:$E,Heron!$A102)+SUMIFS(Xero!$F:$F,Xero!$B:$B,Heron!BB$9,Xero!$A:$A,Heron!$A$5,Xero!$E:$E,Heron!$A102)</f>
        <v/>
      </c>
      <c r="BC102" s="117">
        <f>SUMIFS(Xero!$F:$F,Xero!$B:$B,Heron!BC$9,Xero!$A:$A,Heron!$A$4,Xero!$E:$E,Heron!$A102)+SUMIFS(Xero!$F:$F,Xero!$B:$B,Heron!BC$9,Xero!$A:$A,Heron!$A$5,Xero!$E:$E,Heron!$A102)</f>
        <v/>
      </c>
      <c r="BD102" s="117">
        <f>SUMIFS(Xero!$F:$F,Xero!$B:$B,Heron!BD$9,Xero!$A:$A,Heron!$A$4,Xero!$E:$E,Heron!$A102)+SUMIFS(Xero!$F:$F,Xero!$B:$B,Heron!BD$9,Xero!$A:$A,Heron!$A$5,Xero!$E:$E,Heron!$A102)</f>
        <v/>
      </c>
      <c r="BE102" s="117">
        <f>SUMIFS(Xero!$F:$F,Xero!$B:$B,Heron!BE$9,Xero!$A:$A,Heron!$A$4,Xero!$E:$E,Heron!$A102)+SUMIFS(Xero!$F:$F,Xero!$B:$B,Heron!BE$9,Xero!$A:$A,Heron!$A$5,Xero!$E:$E,Heron!$A102)</f>
        <v/>
      </c>
      <c r="BF102" s="117">
        <f>SUMIFS(Xero!$F:$F,Xero!$B:$B,Heron!BF$9,Xero!$A:$A,Heron!$A$4,Xero!$E:$E,Heron!$A102)+SUMIFS(Xero!$F:$F,Xero!$B:$B,Heron!BF$9,Xero!$A:$A,Heron!$A$5,Xero!$E:$E,Heron!$A102)</f>
        <v/>
      </c>
      <c r="BG102" s="117">
        <f>SUMIFS(Xero!$F:$F,Xero!$B:$B,Heron!BG$9,Xero!$A:$A,Heron!$A$4,Xero!$E:$E,Heron!$A102)+SUMIFS(Xero!$F:$F,Xero!$B:$B,Heron!BG$9,Xero!$A:$A,Heron!$A$5,Xero!$E:$E,Heron!$A102)</f>
        <v/>
      </c>
      <c r="BH102" s="117">
        <f>SUMIFS(Xero!$F:$F,Xero!$B:$B,Heron!BH$9,Xero!$A:$A,Heron!$A$4,Xero!$E:$E,Heron!$A102)+SUMIFS(Xero!$F:$F,Xero!$B:$B,Heron!BH$9,Xero!$A:$A,Heron!$A$5,Xero!$E:$E,Heron!$A102)</f>
        <v/>
      </c>
      <c r="BI102" s="117">
        <f>SUMIFS(Xero!$F:$F,Xero!$B:$B,Heron!BI$9,Xero!$A:$A,Heron!$A$4,Xero!$E:$E,Heron!$A102)+SUMIFS(Xero!$F:$F,Xero!$B:$B,Heron!BI$9,Xero!$A:$A,Heron!$A$5,Xero!$E:$E,Heron!$A102)</f>
        <v/>
      </c>
      <c r="BJ102" s="117">
        <f>SUMIFS(Xero!$F:$F,Xero!$B:$B,Heron!BJ$9,Xero!$A:$A,Heron!$A$4,Xero!$E:$E,Heron!$A102)+SUMIFS(Xero!$F:$F,Xero!$B:$B,Heron!BJ$9,Xero!$A:$A,Heron!$A$5,Xero!$E:$E,Heron!$A102)</f>
        <v/>
      </c>
      <c r="BK102" s="117">
        <f>sum(D102:BJ102)</f>
        <v/>
      </c>
    </row>
    <row r="103">
      <c r="A103" s="116" t="inlineStr">
        <is>
          <t>Subscriptions - Xero</t>
        </is>
      </c>
      <c r="D103" s="117">
        <f>SUMIFS(Xero!$F:$F,Xero!$B:$B,Heron!D$9,Xero!$A:$A,Heron!$A$4,Xero!$E:$E,Heron!$A103)+SUMIFS(Xero!$F:$F,Xero!$B:$B,Heron!D$9,Xero!$A:$A,Heron!$A$5,Xero!$E:$E,Heron!$A103)</f>
        <v/>
      </c>
      <c r="E103" s="117">
        <f>SUMIFS(Xero!$F:$F,Xero!$B:$B,Heron!E$9,Xero!$A:$A,Heron!$A$4,Xero!$E:$E,Heron!$A103)+SUMIFS(Xero!$F:$F,Xero!$B:$B,Heron!E$9,Xero!$A:$A,Heron!$A$5,Xero!$E:$E,Heron!$A103)</f>
        <v/>
      </c>
      <c r="F103" s="117">
        <f>SUMIFS(Xero!$F:$F,Xero!$B:$B,Heron!F$9,Xero!$A:$A,Heron!$A$4,Xero!$E:$E,Heron!$A103)+SUMIFS(Xero!$F:$F,Xero!$B:$B,Heron!F$9,Xero!$A:$A,Heron!$A$5,Xero!$E:$E,Heron!$A103)</f>
        <v/>
      </c>
      <c r="G103" s="117">
        <f>SUMIFS(Xero!$F:$F,Xero!$B:$B,Heron!G$9,Xero!$A:$A,Heron!$A$4,Xero!$E:$E,Heron!$A103)+SUMIFS(Xero!$F:$F,Xero!$B:$B,Heron!G$9,Xero!$A:$A,Heron!$A$5,Xero!$E:$E,Heron!$A103)</f>
        <v/>
      </c>
      <c r="H103" s="117">
        <f>SUMIFS(Xero!$F:$F,Xero!$B:$B,Heron!H$9,Xero!$A:$A,Heron!$A$4,Xero!$E:$E,Heron!$A103)+SUMIFS(Xero!$F:$F,Xero!$B:$B,Heron!H$9,Xero!$A:$A,Heron!$A$5,Xero!$E:$E,Heron!$A103)</f>
        <v/>
      </c>
      <c r="I103" s="117">
        <f>SUMIFS(Xero!$F:$F,Xero!$B:$B,Heron!I$9,Xero!$A:$A,Heron!$A$4,Xero!$E:$E,Heron!$A103)+SUMIFS(Xero!$F:$F,Xero!$B:$B,Heron!I$9,Xero!$A:$A,Heron!$A$5,Xero!$E:$E,Heron!$A103)</f>
        <v/>
      </c>
      <c r="J103" s="117">
        <f>SUMIFS(Xero!$F:$F,Xero!$B:$B,Heron!J$9,Xero!$A:$A,Heron!$A$4,Xero!$E:$E,Heron!$A103)+SUMIFS(Xero!$F:$F,Xero!$B:$B,Heron!J$9,Xero!$A:$A,Heron!$A$5,Xero!$E:$E,Heron!$A103)</f>
        <v/>
      </c>
      <c r="K103" s="117">
        <f>SUMIFS(Xero!$F:$F,Xero!$B:$B,Heron!K$9,Xero!$A:$A,Heron!$A$4,Xero!$E:$E,Heron!$A103)+SUMIFS(Xero!$F:$F,Xero!$B:$B,Heron!K$9,Xero!$A:$A,Heron!$A$5,Xero!$E:$E,Heron!$A103)</f>
        <v/>
      </c>
      <c r="L103" s="117">
        <f>SUMIFS(Xero!$F:$F,Xero!$B:$B,Heron!L$9,Xero!$A:$A,Heron!$A$4,Xero!$E:$E,Heron!$A103)+SUMIFS(Xero!$F:$F,Xero!$B:$B,Heron!L$9,Xero!$A:$A,Heron!$A$5,Xero!$E:$E,Heron!$A103)</f>
        <v/>
      </c>
      <c r="M103" s="117">
        <f>SUMIFS(Xero!$F:$F,Xero!$B:$B,Heron!M$9,Xero!$A:$A,Heron!$A$4,Xero!$E:$E,Heron!$A103)+SUMIFS(Xero!$F:$F,Xero!$B:$B,Heron!M$9,Xero!$A:$A,Heron!$A$5,Xero!$E:$E,Heron!$A103)</f>
        <v/>
      </c>
      <c r="N103" s="117">
        <f>SUMIFS(Xero!$F:$F,Xero!$B:$B,Heron!N$9,Xero!$A:$A,Heron!$A$4,Xero!$E:$E,Heron!$A103)+SUMIFS(Xero!$F:$F,Xero!$B:$B,Heron!N$9,Xero!$A:$A,Heron!$A$5,Xero!$E:$E,Heron!$A103)</f>
        <v/>
      </c>
      <c r="O103" s="117">
        <f>SUMIFS(Xero!$F:$F,Xero!$B:$B,Heron!O$9,Xero!$A:$A,Heron!$A$4,Xero!$E:$E,Heron!$A103)+SUMIFS(Xero!$F:$F,Xero!$B:$B,Heron!O$9,Xero!$A:$A,Heron!$A$5,Xero!$E:$E,Heron!$A103)</f>
        <v/>
      </c>
      <c r="P103" s="117">
        <f>SUMIFS(Xero!$F:$F,Xero!$B:$B,Heron!P$9,Xero!$A:$A,Heron!$A$4,Xero!$E:$E,Heron!$A103)+SUMIFS(Xero!$F:$F,Xero!$B:$B,Heron!P$9,Xero!$A:$A,Heron!$A$5,Xero!$E:$E,Heron!$A103)</f>
        <v/>
      </c>
      <c r="Q103" s="117">
        <f>SUMIFS(Xero!$F:$F,Xero!$B:$B,Heron!Q$9,Xero!$A:$A,Heron!$A$4,Xero!$E:$E,Heron!$A103)+SUMIFS(Xero!$F:$F,Xero!$B:$B,Heron!Q$9,Xero!$A:$A,Heron!$A$5,Xero!$E:$E,Heron!$A103)</f>
        <v/>
      </c>
      <c r="R103" s="117">
        <f>SUMIFS(Xero!$F:$F,Xero!$B:$B,Heron!R$9,Xero!$A:$A,Heron!$A$4,Xero!$E:$E,Heron!$A103)+SUMIFS(Xero!$F:$F,Xero!$B:$B,Heron!R$9,Xero!$A:$A,Heron!$A$5,Xero!$E:$E,Heron!$A103)</f>
        <v/>
      </c>
      <c r="S103" s="117">
        <f>SUMIFS(Xero!$F:$F,Xero!$B:$B,Heron!S$9,Xero!$A:$A,Heron!$A$4,Xero!$E:$E,Heron!$A103)+SUMIFS(Xero!$F:$F,Xero!$B:$B,Heron!S$9,Xero!$A:$A,Heron!$A$5,Xero!$E:$E,Heron!$A103)</f>
        <v/>
      </c>
      <c r="T103" s="117">
        <f>SUMIFS(Xero!$F:$F,Xero!$B:$B,Heron!T$9,Xero!$A:$A,Heron!$A$4,Xero!$E:$E,Heron!$A103)+SUMIFS(Xero!$F:$F,Xero!$B:$B,Heron!T$9,Xero!$A:$A,Heron!$A$5,Xero!$E:$E,Heron!$A103)</f>
        <v/>
      </c>
      <c r="U103" s="117">
        <f>SUMIFS(Xero!$F:$F,Xero!$B:$B,Heron!U$9,Xero!$A:$A,Heron!$A$4,Xero!$E:$E,Heron!$A103)+SUMIFS(Xero!$F:$F,Xero!$B:$B,Heron!U$9,Xero!$A:$A,Heron!$A$5,Xero!$E:$E,Heron!$A103)</f>
        <v/>
      </c>
      <c r="V103" s="117">
        <f>SUMIFS(Xero!$F:$F,Xero!$B:$B,Heron!V$9,Xero!$A:$A,Heron!$A$4,Xero!$E:$E,Heron!$A103)+SUMIFS(Xero!$F:$F,Xero!$B:$B,Heron!V$9,Xero!$A:$A,Heron!$A$5,Xero!$E:$E,Heron!$A103)</f>
        <v/>
      </c>
      <c r="W103" s="117">
        <f>SUMIFS(Xero!$F:$F,Xero!$B:$B,Heron!W$9,Xero!$A:$A,Heron!$A$4,Xero!$E:$E,Heron!$A103)+SUMIFS(Xero!$F:$F,Xero!$B:$B,Heron!W$9,Xero!$A:$A,Heron!$A$5,Xero!$E:$E,Heron!$A103)</f>
        <v/>
      </c>
      <c r="X103" s="117">
        <f>SUMIFS(Xero!$F:$F,Xero!$B:$B,Heron!X$9,Xero!$A:$A,Heron!$A$4,Xero!$E:$E,Heron!$A103)+SUMIFS(Xero!$F:$F,Xero!$B:$B,Heron!X$9,Xero!$A:$A,Heron!$A$5,Xero!$E:$E,Heron!$A103)</f>
        <v/>
      </c>
      <c r="Y103" s="117">
        <f>SUMIFS(Xero!$F:$F,Xero!$B:$B,Heron!Y$9,Xero!$A:$A,Heron!$A$4,Xero!$E:$E,Heron!$A103)+SUMIFS(Xero!$F:$F,Xero!$B:$B,Heron!Y$9,Xero!$A:$A,Heron!$A$5,Xero!$E:$E,Heron!$A103)</f>
        <v/>
      </c>
      <c r="Z103" s="117">
        <f>SUMIFS(Xero!$F:$F,Xero!$B:$B,Heron!Z$9,Xero!$A:$A,Heron!$A$4,Xero!$E:$E,Heron!$A103)+SUMIFS(Xero!$F:$F,Xero!$B:$B,Heron!Z$9,Xero!$A:$A,Heron!$A$5,Xero!$E:$E,Heron!$A103)</f>
        <v/>
      </c>
      <c r="AA103" s="117">
        <f>SUMIFS(Xero!$F:$F,Xero!$B:$B,Heron!AA$9,Xero!$A:$A,Heron!$A$4,Xero!$E:$E,Heron!$A103)+SUMIFS(Xero!$F:$F,Xero!$B:$B,Heron!AA$9,Xero!$A:$A,Heron!$A$5,Xero!$E:$E,Heron!$A103)</f>
        <v/>
      </c>
      <c r="AB103" s="117">
        <f>SUMIFS(Xero!$F:$F,Xero!$B:$B,Heron!AB$9,Xero!$A:$A,Heron!$A$4,Xero!$E:$E,Heron!$A103)+SUMIFS(Xero!$F:$F,Xero!$B:$B,Heron!AB$9,Xero!$A:$A,Heron!$A$5,Xero!$E:$E,Heron!$A103)</f>
        <v/>
      </c>
      <c r="AC103" s="117">
        <f>SUMIFS(Xero!$F:$F,Xero!$B:$B,Heron!AC$9,Xero!$A:$A,Heron!$A$4,Xero!$E:$E,Heron!$A103)+SUMIFS(Xero!$F:$F,Xero!$B:$B,Heron!AC$9,Xero!$A:$A,Heron!$A$5,Xero!$E:$E,Heron!$A103)</f>
        <v/>
      </c>
      <c r="AD103" s="117">
        <f>SUMIFS(Xero!$F:$F,Xero!$B:$B,Heron!AD$9,Xero!$A:$A,Heron!$A$4,Xero!$E:$E,Heron!$A103)+SUMIFS(Xero!$F:$F,Xero!$B:$B,Heron!AD$9,Xero!$A:$A,Heron!$A$5,Xero!$E:$E,Heron!$A103)</f>
        <v/>
      </c>
      <c r="AE103" s="117">
        <f>SUMIFS(Xero!$F:$F,Xero!$B:$B,Heron!AE$9,Xero!$A:$A,Heron!$A$4,Xero!$E:$E,Heron!$A103)+SUMIFS(Xero!$F:$F,Xero!$B:$B,Heron!AE$9,Xero!$A:$A,Heron!$A$5,Xero!$E:$E,Heron!$A103)</f>
        <v/>
      </c>
      <c r="AF103" s="117">
        <f>SUMIFS(Xero!$F:$F,Xero!$B:$B,Heron!AF$9,Xero!$A:$A,Heron!$A$4,Xero!$E:$E,Heron!$A103)+SUMIFS(Xero!$F:$F,Xero!$B:$B,Heron!AF$9,Xero!$A:$A,Heron!$A$5,Xero!$E:$E,Heron!$A103)</f>
        <v/>
      </c>
      <c r="AG103" s="117">
        <f>SUMIFS(Xero!$F:$F,Xero!$B:$B,Heron!AG$9,Xero!$A:$A,Heron!$A$4,Xero!$E:$E,Heron!$A103)+SUMIFS(Xero!$F:$F,Xero!$B:$B,Heron!AG$9,Xero!$A:$A,Heron!$A$5,Xero!$E:$E,Heron!$A103)</f>
        <v/>
      </c>
      <c r="AH103" s="117">
        <f>SUMIFS(Xero!$F:$F,Xero!$B:$B,Heron!AH$9,Xero!$A:$A,Heron!$A$4,Xero!$E:$E,Heron!$A103)+SUMIFS(Xero!$F:$F,Xero!$B:$B,Heron!AH$9,Xero!$A:$A,Heron!$A$5,Xero!$E:$E,Heron!$A103)</f>
        <v/>
      </c>
      <c r="AI103" s="117">
        <f>SUMIFS(Xero!$F:$F,Xero!$B:$B,Heron!AI$9,Xero!$A:$A,Heron!$A$4,Xero!$E:$E,Heron!$A103)+SUMIFS(Xero!$F:$F,Xero!$B:$B,Heron!AI$9,Xero!$A:$A,Heron!$A$5,Xero!$E:$E,Heron!$A103)</f>
        <v/>
      </c>
      <c r="AJ103" s="117">
        <f>SUMIFS(Xero!$F:$F,Xero!$B:$B,Heron!AJ$9,Xero!$A:$A,Heron!$A$4,Xero!$E:$E,Heron!$A103)+SUMIFS(Xero!$F:$F,Xero!$B:$B,Heron!AJ$9,Xero!$A:$A,Heron!$A$5,Xero!$E:$E,Heron!$A103)</f>
        <v/>
      </c>
      <c r="AK103" s="117">
        <f>SUMIFS(Xero!$F:$F,Xero!$B:$B,Heron!AK$9,Xero!$A:$A,Heron!$A$4,Xero!$E:$E,Heron!$A103)+SUMIFS(Xero!$F:$F,Xero!$B:$B,Heron!AK$9,Xero!$A:$A,Heron!$A$5,Xero!$E:$E,Heron!$A103)</f>
        <v/>
      </c>
      <c r="AL103" s="117">
        <f>SUMIFS(Xero!$F:$F,Xero!$B:$B,Heron!AL$9,Xero!$A:$A,Heron!$A$4,Xero!$E:$E,Heron!$A103)+SUMIFS(Xero!$F:$F,Xero!$B:$B,Heron!AL$9,Xero!$A:$A,Heron!$A$5,Xero!$E:$E,Heron!$A103)</f>
        <v/>
      </c>
      <c r="AM103" s="117">
        <f>SUMIFS(Xero!$F:$F,Xero!$B:$B,Heron!AM$9,Xero!$A:$A,Heron!$A$4,Xero!$E:$E,Heron!$A103)+SUMIFS(Xero!$F:$F,Xero!$B:$B,Heron!AM$9,Xero!$A:$A,Heron!$A$5,Xero!$E:$E,Heron!$A103)</f>
        <v/>
      </c>
      <c r="AN103" s="117">
        <f>SUMIFS(Xero!$F:$F,Xero!$B:$B,Heron!AN$9,Xero!$A:$A,Heron!$A$4,Xero!$E:$E,Heron!$A103)+SUMIFS(Xero!$F:$F,Xero!$B:$B,Heron!AN$9,Xero!$A:$A,Heron!$A$5,Xero!$E:$E,Heron!$A103)</f>
        <v/>
      </c>
      <c r="AO103" s="117">
        <f>SUMIFS(Xero!$F:$F,Xero!$B:$B,Heron!AO$9,Xero!$A:$A,Heron!$A$4,Xero!$E:$E,Heron!$A103)+SUMIFS(Xero!$F:$F,Xero!$B:$B,Heron!AO$9,Xero!$A:$A,Heron!$A$5,Xero!$E:$E,Heron!$A103)</f>
        <v/>
      </c>
      <c r="AP103" s="117">
        <f>SUMIFS(Xero!$F:$F,Xero!$B:$B,Heron!AP$9,Xero!$A:$A,Heron!$A$4,Xero!$E:$E,Heron!$A103)+SUMIFS(Xero!$F:$F,Xero!$B:$B,Heron!AP$9,Xero!$A:$A,Heron!$A$5,Xero!$E:$E,Heron!$A103)</f>
        <v/>
      </c>
      <c r="AQ103" s="117">
        <f>SUMIFS(Xero!$F:$F,Xero!$B:$B,Heron!AQ$9,Xero!$A:$A,Heron!$A$4,Xero!$E:$E,Heron!$A103)+SUMIFS(Xero!$F:$F,Xero!$B:$B,Heron!AQ$9,Xero!$A:$A,Heron!$A$5,Xero!$E:$E,Heron!$A103)</f>
        <v/>
      </c>
      <c r="AR103" s="117">
        <f>SUMIFS(Xero!$F:$F,Xero!$B:$B,Heron!AR$9,Xero!$A:$A,Heron!$A$4,Xero!$E:$E,Heron!$A103)+SUMIFS(Xero!$F:$F,Xero!$B:$B,Heron!AR$9,Xero!$A:$A,Heron!$A$5,Xero!$E:$E,Heron!$A103)</f>
        <v/>
      </c>
      <c r="AS103" s="117">
        <f>SUMIFS(Xero!$F:$F,Xero!$B:$B,Heron!AS$9,Xero!$A:$A,Heron!$A$4,Xero!$E:$E,Heron!$A103)+SUMIFS(Xero!$F:$F,Xero!$B:$B,Heron!AS$9,Xero!$A:$A,Heron!$A$5,Xero!$E:$E,Heron!$A103)</f>
        <v/>
      </c>
      <c r="AT103" s="117">
        <f>SUMIFS(Xero!$F:$F,Xero!$B:$B,Heron!AT$9,Xero!$A:$A,Heron!$A$4,Xero!$E:$E,Heron!$A103)+SUMIFS(Xero!$F:$F,Xero!$B:$B,Heron!AT$9,Xero!$A:$A,Heron!$A$5,Xero!$E:$E,Heron!$A103)</f>
        <v/>
      </c>
      <c r="AU103" s="117">
        <f>SUMIFS(Xero!$F:$F,Xero!$B:$B,Heron!AU$9,Xero!$A:$A,Heron!$A$4,Xero!$E:$E,Heron!$A103)+SUMIFS(Xero!$F:$F,Xero!$B:$B,Heron!AU$9,Xero!$A:$A,Heron!$A$5,Xero!$E:$E,Heron!$A103)</f>
        <v/>
      </c>
      <c r="AV103" s="117">
        <f>SUMIFS(Xero!$F:$F,Xero!$B:$B,Heron!AV$9,Xero!$A:$A,Heron!$A$4,Xero!$E:$E,Heron!$A103)+SUMIFS(Xero!$F:$F,Xero!$B:$B,Heron!AV$9,Xero!$A:$A,Heron!$A$5,Xero!$E:$E,Heron!$A103)</f>
        <v/>
      </c>
      <c r="AW103" s="117">
        <f>SUMIFS(Xero!$F:$F,Xero!$B:$B,Heron!AW$9,Xero!$A:$A,Heron!$A$4,Xero!$E:$E,Heron!$A103)+SUMIFS(Xero!$F:$F,Xero!$B:$B,Heron!AW$9,Xero!$A:$A,Heron!$A$5,Xero!$E:$E,Heron!$A103)</f>
        <v/>
      </c>
      <c r="AX103" s="117">
        <f>SUMIFS(Xero!$F:$F,Xero!$B:$B,Heron!AX$9,Xero!$A:$A,Heron!$A$4,Xero!$E:$E,Heron!$A103)+SUMIFS(Xero!$F:$F,Xero!$B:$B,Heron!AX$9,Xero!$A:$A,Heron!$A$5,Xero!$E:$E,Heron!$A103)</f>
        <v/>
      </c>
      <c r="AY103" s="117">
        <f>SUMIFS(Xero!$F:$F,Xero!$B:$B,Heron!AY$9,Xero!$A:$A,Heron!$A$4,Xero!$E:$E,Heron!$A103)+SUMIFS(Xero!$F:$F,Xero!$B:$B,Heron!AY$9,Xero!$A:$A,Heron!$A$5,Xero!$E:$E,Heron!$A103)</f>
        <v/>
      </c>
      <c r="AZ103" s="117">
        <f>SUMIFS(Xero!$F:$F,Xero!$B:$B,Heron!AZ$9,Xero!$A:$A,Heron!$A$4,Xero!$E:$E,Heron!$A103)+SUMIFS(Xero!$F:$F,Xero!$B:$B,Heron!AZ$9,Xero!$A:$A,Heron!$A$5,Xero!$E:$E,Heron!$A103)</f>
        <v/>
      </c>
      <c r="BA103" s="117">
        <f>SUMIFS(Xero!$F:$F,Xero!$B:$B,Heron!BA$9,Xero!$A:$A,Heron!$A$4,Xero!$E:$E,Heron!$A103)+SUMIFS(Xero!$F:$F,Xero!$B:$B,Heron!BA$9,Xero!$A:$A,Heron!$A$5,Xero!$E:$E,Heron!$A103)</f>
        <v/>
      </c>
      <c r="BB103" s="117">
        <f>SUMIFS(Xero!$F:$F,Xero!$B:$B,Heron!BB$9,Xero!$A:$A,Heron!$A$4,Xero!$E:$E,Heron!$A103)+SUMIFS(Xero!$F:$F,Xero!$B:$B,Heron!BB$9,Xero!$A:$A,Heron!$A$5,Xero!$E:$E,Heron!$A103)</f>
        <v/>
      </c>
      <c r="BC103" s="117">
        <f>SUMIFS(Xero!$F:$F,Xero!$B:$B,Heron!BC$9,Xero!$A:$A,Heron!$A$4,Xero!$E:$E,Heron!$A103)+SUMIFS(Xero!$F:$F,Xero!$B:$B,Heron!BC$9,Xero!$A:$A,Heron!$A$5,Xero!$E:$E,Heron!$A103)</f>
        <v/>
      </c>
      <c r="BD103" s="117">
        <f>SUMIFS(Xero!$F:$F,Xero!$B:$B,Heron!BD$9,Xero!$A:$A,Heron!$A$4,Xero!$E:$E,Heron!$A103)+SUMIFS(Xero!$F:$F,Xero!$B:$B,Heron!BD$9,Xero!$A:$A,Heron!$A$5,Xero!$E:$E,Heron!$A103)</f>
        <v/>
      </c>
      <c r="BE103" s="117">
        <f>SUMIFS(Xero!$F:$F,Xero!$B:$B,Heron!BE$9,Xero!$A:$A,Heron!$A$4,Xero!$E:$E,Heron!$A103)+SUMIFS(Xero!$F:$F,Xero!$B:$B,Heron!BE$9,Xero!$A:$A,Heron!$A$5,Xero!$E:$E,Heron!$A103)</f>
        <v/>
      </c>
      <c r="BF103" s="117">
        <f>SUMIFS(Xero!$F:$F,Xero!$B:$B,Heron!BF$9,Xero!$A:$A,Heron!$A$4,Xero!$E:$E,Heron!$A103)+SUMIFS(Xero!$F:$F,Xero!$B:$B,Heron!BF$9,Xero!$A:$A,Heron!$A$5,Xero!$E:$E,Heron!$A103)</f>
        <v/>
      </c>
      <c r="BG103" s="117">
        <f>SUMIFS(Xero!$F:$F,Xero!$B:$B,Heron!BG$9,Xero!$A:$A,Heron!$A$4,Xero!$E:$E,Heron!$A103)+SUMIFS(Xero!$F:$F,Xero!$B:$B,Heron!BG$9,Xero!$A:$A,Heron!$A$5,Xero!$E:$E,Heron!$A103)</f>
        <v/>
      </c>
      <c r="BH103" s="117">
        <f>SUMIFS(Xero!$F:$F,Xero!$B:$B,Heron!BH$9,Xero!$A:$A,Heron!$A$4,Xero!$E:$E,Heron!$A103)+SUMIFS(Xero!$F:$F,Xero!$B:$B,Heron!BH$9,Xero!$A:$A,Heron!$A$5,Xero!$E:$E,Heron!$A103)</f>
        <v/>
      </c>
      <c r="BI103" s="117">
        <f>SUMIFS(Xero!$F:$F,Xero!$B:$B,Heron!BI$9,Xero!$A:$A,Heron!$A$4,Xero!$E:$E,Heron!$A103)+SUMIFS(Xero!$F:$F,Xero!$B:$B,Heron!BI$9,Xero!$A:$A,Heron!$A$5,Xero!$E:$E,Heron!$A103)</f>
        <v/>
      </c>
      <c r="BJ103" s="117">
        <f>SUMIFS(Xero!$F:$F,Xero!$B:$B,Heron!BJ$9,Xero!$A:$A,Heron!$A$4,Xero!$E:$E,Heron!$A103)+SUMIFS(Xero!$F:$F,Xero!$B:$B,Heron!BJ$9,Xero!$A:$A,Heron!$A$5,Xero!$E:$E,Heron!$A103)</f>
        <v/>
      </c>
      <c r="BK103" s="117">
        <f>sum(D103:BJ103)</f>
        <v/>
      </c>
    </row>
    <row r="104">
      <c r="A104" s="116" t="inlineStr">
        <is>
          <t>Water</t>
        </is>
      </c>
      <c r="D104" s="117">
        <f>SUMIFS(Xero!$F:$F,Xero!$B:$B,Heron!D$9,Xero!$A:$A,Heron!$A$4,Xero!$E:$E,Heron!$A104)+SUMIFS(Xero!$F:$F,Xero!$B:$B,Heron!D$9,Xero!$A:$A,Heron!$A$5,Xero!$E:$E,Heron!$A104)</f>
        <v/>
      </c>
      <c r="E104" s="117">
        <f>SUMIFS(Xero!$F:$F,Xero!$B:$B,Heron!E$9,Xero!$A:$A,Heron!$A$4,Xero!$E:$E,Heron!$A104)+SUMIFS(Xero!$F:$F,Xero!$B:$B,Heron!E$9,Xero!$A:$A,Heron!$A$5,Xero!$E:$E,Heron!$A104)</f>
        <v/>
      </c>
      <c r="F104" s="117">
        <f>SUMIFS(Xero!$F:$F,Xero!$B:$B,Heron!F$9,Xero!$A:$A,Heron!$A$4,Xero!$E:$E,Heron!$A104)+SUMIFS(Xero!$F:$F,Xero!$B:$B,Heron!F$9,Xero!$A:$A,Heron!$A$5,Xero!$E:$E,Heron!$A104)</f>
        <v/>
      </c>
      <c r="G104" s="117">
        <f>SUMIFS(Xero!$F:$F,Xero!$B:$B,Heron!G$9,Xero!$A:$A,Heron!$A$4,Xero!$E:$E,Heron!$A104)+SUMIFS(Xero!$F:$F,Xero!$B:$B,Heron!G$9,Xero!$A:$A,Heron!$A$5,Xero!$E:$E,Heron!$A104)</f>
        <v/>
      </c>
      <c r="H104" s="117">
        <f>SUMIFS(Xero!$F:$F,Xero!$B:$B,Heron!H$9,Xero!$A:$A,Heron!$A$4,Xero!$E:$E,Heron!$A104)+SUMIFS(Xero!$F:$F,Xero!$B:$B,Heron!H$9,Xero!$A:$A,Heron!$A$5,Xero!$E:$E,Heron!$A104)</f>
        <v/>
      </c>
      <c r="I104" s="117">
        <f>SUMIFS(Xero!$F:$F,Xero!$B:$B,Heron!I$9,Xero!$A:$A,Heron!$A$4,Xero!$E:$E,Heron!$A104)+SUMIFS(Xero!$F:$F,Xero!$B:$B,Heron!I$9,Xero!$A:$A,Heron!$A$5,Xero!$E:$E,Heron!$A104)</f>
        <v/>
      </c>
      <c r="J104" s="117">
        <f>SUMIFS(Xero!$F:$F,Xero!$B:$B,Heron!J$9,Xero!$A:$A,Heron!$A$4,Xero!$E:$E,Heron!$A104)+SUMIFS(Xero!$F:$F,Xero!$B:$B,Heron!J$9,Xero!$A:$A,Heron!$A$5,Xero!$E:$E,Heron!$A104)</f>
        <v/>
      </c>
      <c r="K104" s="117">
        <f>SUMIFS(Xero!$F:$F,Xero!$B:$B,Heron!K$9,Xero!$A:$A,Heron!$A$4,Xero!$E:$E,Heron!$A104)+SUMIFS(Xero!$F:$F,Xero!$B:$B,Heron!K$9,Xero!$A:$A,Heron!$A$5,Xero!$E:$E,Heron!$A104)</f>
        <v/>
      </c>
      <c r="L104" s="117">
        <f>SUMIFS(Xero!$F:$F,Xero!$B:$B,Heron!L$9,Xero!$A:$A,Heron!$A$4,Xero!$E:$E,Heron!$A104)+SUMIFS(Xero!$F:$F,Xero!$B:$B,Heron!L$9,Xero!$A:$A,Heron!$A$5,Xero!$E:$E,Heron!$A104)</f>
        <v/>
      </c>
      <c r="M104" s="117">
        <f>SUMIFS(Xero!$F:$F,Xero!$B:$B,Heron!M$9,Xero!$A:$A,Heron!$A$4,Xero!$E:$E,Heron!$A104)+SUMIFS(Xero!$F:$F,Xero!$B:$B,Heron!M$9,Xero!$A:$A,Heron!$A$5,Xero!$E:$E,Heron!$A104)</f>
        <v/>
      </c>
      <c r="N104" s="117">
        <f>SUMIFS(Xero!$F:$F,Xero!$B:$B,Heron!N$9,Xero!$A:$A,Heron!$A$4,Xero!$E:$E,Heron!$A104)+SUMIFS(Xero!$F:$F,Xero!$B:$B,Heron!N$9,Xero!$A:$A,Heron!$A$5,Xero!$E:$E,Heron!$A104)</f>
        <v/>
      </c>
      <c r="O104" s="117">
        <f>SUMIFS(Xero!$F:$F,Xero!$B:$B,Heron!O$9,Xero!$A:$A,Heron!$A$4,Xero!$E:$E,Heron!$A104)+SUMIFS(Xero!$F:$F,Xero!$B:$B,Heron!O$9,Xero!$A:$A,Heron!$A$5,Xero!$E:$E,Heron!$A104)</f>
        <v/>
      </c>
      <c r="P104" s="117">
        <f>SUMIFS(Xero!$F:$F,Xero!$B:$B,Heron!P$9,Xero!$A:$A,Heron!$A$4,Xero!$E:$E,Heron!$A104)+SUMIFS(Xero!$F:$F,Xero!$B:$B,Heron!P$9,Xero!$A:$A,Heron!$A$5,Xero!$E:$E,Heron!$A104)</f>
        <v/>
      </c>
      <c r="Q104" s="117">
        <f>SUMIFS(Xero!$F:$F,Xero!$B:$B,Heron!Q$9,Xero!$A:$A,Heron!$A$4,Xero!$E:$E,Heron!$A104)+SUMIFS(Xero!$F:$F,Xero!$B:$B,Heron!Q$9,Xero!$A:$A,Heron!$A$5,Xero!$E:$E,Heron!$A104)</f>
        <v/>
      </c>
      <c r="R104" s="117">
        <f>SUMIFS(Xero!$F:$F,Xero!$B:$B,Heron!R$9,Xero!$A:$A,Heron!$A$4,Xero!$E:$E,Heron!$A104)+SUMIFS(Xero!$F:$F,Xero!$B:$B,Heron!R$9,Xero!$A:$A,Heron!$A$5,Xero!$E:$E,Heron!$A104)</f>
        <v/>
      </c>
      <c r="S104" s="117">
        <f>SUMIFS(Xero!$F:$F,Xero!$B:$B,Heron!S$9,Xero!$A:$A,Heron!$A$4,Xero!$E:$E,Heron!$A104)+SUMIFS(Xero!$F:$F,Xero!$B:$B,Heron!S$9,Xero!$A:$A,Heron!$A$5,Xero!$E:$E,Heron!$A104)</f>
        <v/>
      </c>
      <c r="T104" s="117">
        <f>SUMIFS(Xero!$F:$F,Xero!$B:$B,Heron!T$9,Xero!$A:$A,Heron!$A$4,Xero!$E:$E,Heron!$A104)+SUMIFS(Xero!$F:$F,Xero!$B:$B,Heron!T$9,Xero!$A:$A,Heron!$A$5,Xero!$E:$E,Heron!$A104)</f>
        <v/>
      </c>
      <c r="U104" s="117">
        <f>SUMIFS(Xero!$F:$F,Xero!$B:$B,Heron!U$9,Xero!$A:$A,Heron!$A$4,Xero!$E:$E,Heron!$A104)+SUMIFS(Xero!$F:$F,Xero!$B:$B,Heron!U$9,Xero!$A:$A,Heron!$A$5,Xero!$E:$E,Heron!$A104)</f>
        <v/>
      </c>
      <c r="V104" s="117">
        <f>SUMIFS(Xero!$F:$F,Xero!$B:$B,Heron!V$9,Xero!$A:$A,Heron!$A$4,Xero!$E:$E,Heron!$A104)+SUMIFS(Xero!$F:$F,Xero!$B:$B,Heron!V$9,Xero!$A:$A,Heron!$A$5,Xero!$E:$E,Heron!$A104)</f>
        <v/>
      </c>
      <c r="W104" s="117">
        <f>SUMIFS(Xero!$F:$F,Xero!$B:$B,Heron!W$9,Xero!$A:$A,Heron!$A$4,Xero!$E:$E,Heron!$A104)+SUMIFS(Xero!$F:$F,Xero!$B:$B,Heron!W$9,Xero!$A:$A,Heron!$A$5,Xero!$E:$E,Heron!$A104)</f>
        <v/>
      </c>
      <c r="X104" s="117">
        <f>SUMIFS(Xero!$F:$F,Xero!$B:$B,Heron!X$9,Xero!$A:$A,Heron!$A$4,Xero!$E:$E,Heron!$A104)+SUMIFS(Xero!$F:$F,Xero!$B:$B,Heron!X$9,Xero!$A:$A,Heron!$A$5,Xero!$E:$E,Heron!$A104)</f>
        <v/>
      </c>
      <c r="Y104" s="117">
        <f>SUMIFS(Xero!$F:$F,Xero!$B:$B,Heron!Y$9,Xero!$A:$A,Heron!$A$4,Xero!$E:$E,Heron!$A104)+SUMIFS(Xero!$F:$F,Xero!$B:$B,Heron!Y$9,Xero!$A:$A,Heron!$A$5,Xero!$E:$E,Heron!$A104)</f>
        <v/>
      </c>
      <c r="Z104" s="117">
        <f>SUMIFS(Xero!$F:$F,Xero!$B:$B,Heron!Z$9,Xero!$A:$A,Heron!$A$4,Xero!$E:$E,Heron!$A104)+SUMIFS(Xero!$F:$F,Xero!$B:$B,Heron!Z$9,Xero!$A:$A,Heron!$A$5,Xero!$E:$E,Heron!$A104)</f>
        <v/>
      </c>
      <c r="AA104" s="117">
        <f>SUMIFS(Xero!$F:$F,Xero!$B:$B,Heron!AA$9,Xero!$A:$A,Heron!$A$4,Xero!$E:$E,Heron!$A104)+SUMIFS(Xero!$F:$F,Xero!$B:$B,Heron!AA$9,Xero!$A:$A,Heron!$A$5,Xero!$E:$E,Heron!$A104)</f>
        <v/>
      </c>
      <c r="AB104" s="117">
        <f>SUMIFS(Xero!$F:$F,Xero!$B:$B,Heron!AB$9,Xero!$A:$A,Heron!$A$4,Xero!$E:$E,Heron!$A104)+SUMIFS(Xero!$F:$F,Xero!$B:$B,Heron!AB$9,Xero!$A:$A,Heron!$A$5,Xero!$E:$E,Heron!$A104)</f>
        <v/>
      </c>
      <c r="AC104" s="117">
        <f>SUMIFS(Xero!$F:$F,Xero!$B:$B,Heron!AC$9,Xero!$A:$A,Heron!$A$4,Xero!$E:$E,Heron!$A104)+SUMIFS(Xero!$F:$F,Xero!$B:$B,Heron!AC$9,Xero!$A:$A,Heron!$A$5,Xero!$E:$E,Heron!$A104)</f>
        <v/>
      </c>
      <c r="AD104" s="117">
        <f>SUMIFS(Xero!$F:$F,Xero!$B:$B,Heron!AD$9,Xero!$A:$A,Heron!$A$4,Xero!$E:$E,Heron!$A104)+SUMIFS(Xero!$F:$F,Xero!$B:$B,Heron!AD$9,Xero!$A:$A,Heron!$A$5,Xero!$E:$E,Heron!$A104)</f>
        <v/>
      </c>
      <c r="AE104" s="117">
        <f>SUMIFS(Xero!$F:$F,Xero!$B:$B,Heron!AE$9,Xero!$A:$A,Heron!$A$4,Xero!$E:$E,Heron!$A104)+SUMIFS(Xero!$F:$F,Xero!$B:$B,Heron!AE$9,Xero!$A:$A,Heron!$A$5,Xero!$E:$E,Heron!$A104)</f>
        <v/>
      </c>
      <c r="AF104" s="117">
        <f>SUMIFS(Xero!$F:$F,Xero!$B:$B,Heron!AF$9,Xero!$A:$A,Heron!$A$4,Xero!$E:$E,Heron!$A104)+SUMIFS(Xero!$F:$F,Xero!$B:$B,Heron!AF$9,Xero!$A:$A,Heron!$A$5,Xero!$E:$E,Heron!$A104)</f>
        <v/>
      </c>
      <c r="AG104" s="117">
        <f>SUMIFS(Xero!$F:$F,Xero!$B:$B,Heron!AG$9,Xero!$A:$A,Heron!$A$4,Xero!$E:$E,Heron!$A104)+SUMIFS(Xero!$F:$F,Xero!$B:$B,Heron!AG$9,Xero!$A:$A,Heron!$A$5,Xero!$E:$E,Heron!$A104)</f>
        <v/>
      </c>
      <c r="AH104" s="117">
        <f>SUMIFS(Xero!$F:$F,Xero!$B:$B,Heron!AH$9,Xero!$A:$A,Heron!$A$4,Xero!$E:$E,Heron!$A104)+SUMIFS(Xero!$F:$F,Xero!$B:$B,Heron!AH$9,Xero!$A:$A,Heron!$A$5,Xero!$E:$E,Heron!$A104)</f>
        <v/>
      </c>
      <c r="AI104" s="117">
        <f>SUMIFS(Xero!$F:$F,Xero!$B:$B,Heron!AI$9,Xero!$A:$A,Heron!$A$4,Xero!$E:$E,Heron!$A104)+SUMIFS(Xero!$F:$F,Xero!$B:$B,Heron!AI$9,Xero!$A:$A,Heron!$A$5,Xero!$E:$E,Heron!$A104)</f>
        <v/>
      </c>
      <c r="AJ104" s="117">
        <f>SUMIFS(Xero!$F:$F,Xero!$B:$B,Heron!AJ$9,Xero!$A:$A,Heron!$A$4,Xero!$E:$E,Heron!$A104)+SUMIFS(Xero!$F:$F,Xero!$B:$B,Heron!AJ$9,Xero!$A:$A,Heron!$A$5,Xero!$E:$E,Heron!$A104)</f>
        <v/>
      </c>
      <c r="AK104" s="117">
        <f>SUMIFS(Xero!$F:$F,Xero!$B:$B,Heron!AK$9,Xero!$A:$A,Heron!$A$4,Xero!$E:$E,Heron!$A104)+SUMIFS(Xero!$F:$F,Xero!$B:$B,Heron!AK$9,Xero!$A:$A,Heron!$A$5,Xero!$E:$E,Heron!$A104)</f>
        <v/>
      </c>
      <c r="AL104" s="117">
        <f>SUMIFS(Xero!$F:$F,Xero!$B:$B,Heron!AL$9,Xero!$A:$A,Heron!$A$4,Xero!$E:$E,Heron!$A104)+SUMIFS(Xero!$F:$F,Xero!$B:$B,Heron!AL$9,Xero!$A:$A,Heron!$A$5,Xero!$E:$E,Heron!$A104)</f>
        <v/>
      </c>
      <c r="AM104" s="117">
        <f>SUMIFS(Xero!$F:$F,Xero!$B:$B,Heron!AM$9,Xero!$A:$A,Heron!$A$4,Xero!$E:$E,Heron!$A104)+SUMIFS(Xero!$F:$F,Xero!$B:$B,Heron!AM$9,Xero!$A:$A,Heron!$A$5,Xero!$E:$E,Heron!$A104)</f>
        <v/>
      </c>
      <c r="AN104" s="117">
        <f>SUMIFS(Xero!$F:$F,Xero!$B:$B,Heron!AN$9,Xero!$A:$A,Heron!$A$4,Xero!$E:$E,Heron!$A104)+SUMIFS(Xero!$F:$F,Xero!$B:$B,Heron!AN$9,Xero!$A:$A,Heron!$A$5,Xero!$E:$E,Heron!$A104)</f>
        <v/>
      </c>
      <c r="AO104" s="117">
        <f>SUMIFS(Xero!$F:$F,Xero!$B:$B,Heron!AO$9,Xero!$A:$A,Heron!$A$4,Xero!$E:$E,Heron!$A104)+SUMIFS(Xero!$F:$F,Xero!$B:$B,Heron!AO$9,Xero!$A:$A,Heron!$A$5,Xero!$E:$E,Heron!$A104)</f>
        <v/>
      </c>
      <c r="AP104" s="117">
        <f>SUMIFS(Xero!$F:$F,Xero!$B:$B,Heron!AP$9,Xero!$A:$A,Heron!$A$4,Xero!$E:$E,Heron!$A104)+SUMIFS(Xero!$F:$F,Xero!$B:$B,Heron!AP$9,Xero!$A:$A,Heron!$A$5,Xero!$E:$E,Heron!$A104)</f>
        <v/>
      </c>
      <c r="AQ104" s="117">
        <f>SUMIFS(Xero!$F:$F,Xero!$B:$B,Heron!AQ$9,Xero!$A:$A,Heron!$A$4,Xero!$E:$E,Heron!$A104)+SUMIFS(Xero!$F:$F,Xero!$B:$B,Heron!AQ$9,Xero!$A:$A,Heron!$A$5,Xero!$E:$E,Heron!$A104)</f>
        <v/>
      </c>
      <c r="AR104" s="117">
        <f>SUMIFS(Xero!$F:$F,Xero!$B:$B,Heron!AR$9,Xero!$A:$A,Heron!$A$4,Xero!$E:$E,Heron!$A104)+SUMIFS(Xero!$F:$F,Xero!$B:$B,Heron!AR$9,Xero!$A:$A,Heron!$A$5,Xero!$E:$E,Heron!$A104)</f>
        <v/>
      </c>
      <c r="AS104" s="117">
        <f>SUMIFS(Xero!$F:$F,Xero!$B:$B,Heron!AS$9,Xero!$A:$A,Heron!$A$4,Xero!$E:$E,Heron!$A104)+SUMIFS(Xero!$F:$F,Xero!$B:$B,Heron!AS$9,Xero!$A:$A,Heron!$A$5,Xero!$E:$E,Heron!$A104)</f>
        <v/>
      </c>
      <c r="AT104" s="117">
        <f>SUMIFS(Xero!$F:$F,Xero!$B:$B,Heron!AT$9,Xero!$A:$A,Heron!$A$4,Xero!$E:$E,Heron!$A104)+SUMIFS(Xero!$F:$F,Xero!$B:$B,Heron!AT$9,Xero!$A:$A,Heron!$A$5,Xero!$E:$E,Heron!$A104)</f>
        <v/>
      </c>
      <c r="AU104" s="117">
        <f>SUMIFS(Xero!$F:$F,Xero!$B:$B,Heron!AU$9,Xero!$A:$A,Heron!$A$4,Xero!$E:$E,Heron!$A104)+SUMIFS(Xero!$F:$F,Xero!$B:$B,Heron!AU$9,Xero!$A:$A,Heron!$A$5,Xero!$E:$E,Heron!$A104)</f>
        <v/>
      </c>
      <c r="AV104" s="117">
        <f>SUMIFS(Xero!$F:$F,Xero!$B:$B,Heron!AV$9,Xero!$A:$A,Heron!$A$4,Xero!$E:$E,Heron!$A104)+SUMIFS(Xero!$F:$F,Xero!$B:$B,Heron!AV$9,Xero!$A:$A,Heron!$A$5,Xero!$E:$E,Heron!$A104)</f>
        <v/>
      </c>
      <c r="AW104" s="117">
        <f>SUMIFS(Xero!$F:$F,Xero!$B:$B,Heron!AW$9,Xero!$A:$A,Heron!$A$4,Xero!$E:$E,Heron!$A104)+SUMIFS(Xero!$F:$F,Xero!$B:$B,Heron!AW$9,Xero!$A:$A,Heron!$A$5,Xero!$E:$E,Heron!$A104)</f>
        <v/>
      </c>
      <c r="AX104" s="117">
        <f>SUMIFS(Xero!$F:$F,Xero!$B:$B,Heron!AX$9,Xero!$A:$A,Heron!$A$4,Xero!$E:$E,Heron!$A104)+SUMIFS(Xero!$F:$F,Xero!$B:$B,Heron!AX$9,Xero!$A:$A,Heron!$A$5,Xero!$E:$E,Heron!$A104)</f>
        <v/>
      </c>
      <c r="AY104" s="117">
        <f>SUMIFS(Xero!$F:$F,Xero!$B:$B,Heron!AY$9,Xero!$A:$A,Heron!$A$4,Xero!$E:$E,Heron!$A104)+SUMIFS(Xero!$F:$F,Xero!$B:$B,Heron!AY$9,Xero!$A:$A,Heron!$A$5,Xero!$E:$E,Heron!$A104)</f>
        <v/>
      </c>
      <c r="AZ104" s="117">
        <f>SUMIFS(Xero!$F:$F,Xero!$B:$B,Heron!AZ$9,Xero!$A:$A,Heron!$A$4,Xero!$E:$E,Heron!$A104)+SUMIFS(Xero!$F:$F,Xero!$B:$B,Heron!AZ$9,Xero!$A:$A,Heron!$A$5,Xero!$E:$E,Heron!$A104)</f>
        <v/>
      </c>
      <c r="BA104" s="117">
        <f>SUMIFS(Xero!$F:$F,Xero!$B:$B,Heron!BA$9,Xero!$A:$A,Heron!$A$4,Xero!$E:$E,Heron!$A104)+SUMIFS(Xero!$F:$F,Xero!$B:$B,Heron!BA$9,Xero!$A:$A,Heron!$A$5,Xero!$E:$E,Heron!$A104)</f>
        <v/>
      </c>
      <c r="BB104" s="117">
        <f>SUMIFS(Xero!$F:$F,Xero!$B:$B,Heron!BB$9,Xero!$A:$A,Heron!$A$4,Xero!$E:$E,Heron!$A104)+SUMIFS(Xero!$F:$F,Xero!$B:$B,Heron!BB$9,Xero!$A:$A,Heron!$A$5,Xero!$E:$E,Heron!$A104)</f>
        <v/>
      </c>
      <c r="BC104" s="117">
        <f>SUMIFS(Xero!$F:$F,Xero!$B:$B,Heron!BC$9,Xero!$A:$A,Heron!$A$4,Xero!$E:$E,Heron!$A104)+SUMIFS(Xero!$F:$F,Xero!$B:$B,Heron!BC$9,Xero!$A:$A,Heron!$A$5,Xero!$E:$E,Heron!$A104)</f>
        <v/>
      </c>
      <c r="BD104" s="117">
        <f>SUMIFS(Xero!$F:$F,Xero!$B:$B,Heron!BD$9,Xero!$A:$A,Heron!$A$4,Xero!$E:$E,Heron!$A104)+SUMIFS(Xero!$F:$F,Xero!$B:$B,Heron!BD$9,Xero!$A:$A,Heron!$A$5,Xero!$E:$E,Heron!$A104)</f>
        <v/>
      </c>
      <c r="BE104" s="117">
        <f>SUMIFS(Xero!$F:$F,Xero!$B:$B,Heron!BE$9,Xero!$A:$A,Heron!$A$4,Xero!$E:$E,Heron!$A104)+SUMIFS(Xero!$F:$F,Xero!$B:$B,Heron!BE$9,Xero!$A:$A,Heron!$A$5,Xero!$E:$E,Heron!$A104)</f>
        <v/>
      </c>
      <c r="BF104" s="117">
        <f>SUMIFS(Xero!$F:$F,Xero!$B:$B,Heron!BF$9,Xero!$A:$A,Heron!$A$4,Xero!$E:$E,Heron!$A104)+SUMIFS(Xero!$F:$F,Xero!$B:$B,Heron!BF$9,Xero!$A:$A,Heron!$A$5,Xero!$E:$E,Heron!$A104)</f>
        <v/>
      </c>
      <c r="BG104" s="117">
        <f>SUMIFS(Xero!$F:$F,Xero!$B:$B,Heron!BG$9,Xero!$A:$A,Heron!$A$4,Xero!$E:$E,Heron!$A104)+SUMIFS(Xero!$F:$F,Xero!$B:$B,Heron!BG$9,Xero!$A:$A,Heron!$A$5,Xero!$E:$E,Heron!$A104)</f>
        <v/>
      </c>
      <c r="BH104" s="117">
        <f>SUMIFS(Xero!$F:$F,Xero!$B:$B,Heron!BH$9,Xero!$A:$A,Heron!$A$4,Xero!$E:$E,Heron!$A104)+SUMIFS(Xero!$F:$F,Xero!$B:$B,Heron!BH$9,Xero!$A:$A,Heron!$A$5,Xero!$E:$E,Heron!$A104)</f>
        <v/>
      </c>
      <c r="BI104" s="117">
        <f>SUMIFS(Xero!$F:$F,Xero!$B:$B,Heron!BI$9,Xero!$A:$A,Heron!$A$4,Xero!$E:$E,Heron!$A104)+SUMIFS(Xero!$F:$F,Xero!$B:$B,Heron!BI$9,Xero!$A:$A,Heron!$A$5,Xero!$E:$E,Heron!$A104)</f>
        <v/>
      </c>
      <c r="BJ104" s="117">
        <f>SUMIFS(Xero!$F:$F,Xero!$B:$B,Heron!BJ$9,Xero!$A:$A,Heron!$A$4,Xero!$E:$E,Heron!$A104)+SUMIFS(Xero!$F:$F,Xero!$B:$B,Heron!BJ$9,Xero!$A:$A,Heron!$A$5,Xero!$E:$E,Heron!$A104)</f>
        <v/>
      </c>
      <c r="BK104" s="117">
        <f>sum(D104:BJ104)</f>
        <v/>
      </c>
    </row>
    <row r="105">
      <c r="A105" s="116" t="inlineStr">
        <is>
          <t>Heron View Land</t>
        </is>
      </c>
      <c r="D105" s="117">
        <f>SUMIFS(Xero!$F:$F,Xero!$B:$B,Heron!D$9,Xero!$A:$A,Heron!$A$4,Xero!$E:$E,Heron!$A105)+SUMIFS(Xero!$F:$F,Xero!$B:$B,Heron!D$9,Xero!$A:$A,Heron!$A$5,Xero!$E:$E,Heron!$A105)</f>
        <v/>
      </c>
      <c r="E105" s="117">
        <f>SUMIFS(Xero!$F:$F,Xero!$B:$B,Heron!E$9,Xero!$A:$A,Heron!$A$4,Xero!$E:$E,Heron!$A105)+SUMIFS(Xero!$F:$F,Xero!$B:$B,Heron!E$9,Xero!$A:$A,Heron!$A$5,Xero!$E:$E,Heron!$A105)</f>
        <v/>
      </c>
      <c r="F105" s="117">
        <f>SUMIFS(Xero!$F:$F,Xero!$B:$B,Heron!F$9,Xero!$A:$A,Heron!$A$4,Xero!$E:$E,Heron!$A105)+SUMIFS(Xero!$F:$F,Xero!$B:$B,Heron!F$9,Xero!$A:$A,Heron!$A$5,Xero!$E:$E,Heron!$A105)</f>
        <v/>
      </c>
      <c r="G105" s="117">
        <f>SUMIFS(Xero!$F:$F,Xero!$B:$B,Heron!G$9,Xero!$A:$A,Heron!$A$4,Xero!$E:$E,Heron!$A105)+SUMIFS(Xero!$F:$F,Xero!$B:$B,Heron!G$9,Xero!$A:$A,Heron!$A$5,Xero!$E:$E,Heron!$A105)</f>
        <v/>
      </c>
      <c r="H105" s="117">
        <f>SUMIFS(Xero!$F:$F,Xero!$B:$B,Heron!H$9,Xero!$A:$A,Heron!$A$4,Xero!$E:$E,Heron!$A105)+SUMIFS(Xero!$F:$F,Xero!$B:$B,Heron!H$9,Xero!$A:$A,Heron!$A$5,Xero!$E:$E,Heron!$A105)</f>
        <v/>
      </c>
      <c r="I105" s="117">
        <f>SUMIFS(Xero!$F:$F,Xero!$B:$B,Heron!I$9,Xero!$A:$A,Heron!$A$4,Xero!$E:$E,Heron!$A105)+SUMIFS(Xero!$F:$F,Xero!$B:$B,Heron!I$9,Xero!$A:$A,Heron!$A$5,Xero!$E:$E,Heron!$A105)</f>
        <v/>
      </c>
      <c r="J105" s="117">
        <f>SUMIFS(Xero!$F:$F,Xero!$B:$B,Heron!J$9,Xero!$A:$A,Heron!$A$4,Xero!$E:$E,Heron!$A105)+SUMIFS(Xero!$F:$F,Xero!$B:$B,Heron!J$9,Xero!$A:$A,Heron!$A$5,Xero!$E:$E,Heron!$A105)</f>
        <v/>
      </c>
      <c r="K105" s="117">
        <f>SUMIFS(Xero!$F:$F,Xero!$B:$B,Heron!K$9,Xero!$A:$A,Heron!$A$4,Xero!$E:$E,Heron!$A105)+SUMIFS(Xero!$F:$F,Xero!$B:$B,Heron!K$9,Xero!$A:$A,Heron!$A$5,Xero!$E:$E,Heron!$A105)</f>
        <v/>
      </c>
      <c r="L105" s="117">
        <f>SUMIFS(Xero!$F:$F,Xero!$B:$B,Heron!L$9,Xero!$A:$A,Heron!$A$4,Xero!$E:$E,Heron!$A105)+SUMIFS(Xero!$F:$F,Xero!$B:$B,Heron!L$9,Xero!$A:$A,Heron!$A$5,Xero!$E:$E,Heron!$A105)</f>
        <v/>
      </c>
      <c r="M105" s="117">
        <f>SUMIFS(Xero!$F:$F,Xero!$B:$B,Heron!M$9,Xero!$A:$A,Heron!$A$4,Xero!$E:$E,Heron!$A105)+SUMIFS(Xero!$F:$F,Xero!$B:$B,Heron!M$9,Xero!$A:$A,Heron!$A$5,Xero!$E:$E,Heron!$A105)</f>
        <v/>
      </c>
      <c r="N105" s="117">
        <f>SUMIFS(Xero!$F:$F,Xero!$B:$B,Heron!N$9,Xero!$A:$A,Heron!$A$4,Xero!$E:$E,Heron!$A105)+SUMIFS(Xero!$F:$F,Xero!$B:$B,Heron!N$9,Xero!$A:$A,Heron!$A$5,Xero!$E:$E,Heron!$A105)</f>
        <v/>
      </c>
      <c r="O105" s="117">
        <f>SUMIFS(Xero!$F:$F,Xero!$B:$B,Heron!O$9,Xero!$A:$A,Heron!$A$4,Xero!$E:$E,Heron!$A105)+SUMIFS(Xero!$F:$F,Xero!$B:$B,Heron!O$9,Xero!$A:$A,Heron!$A$5,Xero!$E:$E,Heron!$A105)</f>
        <v/>
      </c>
      <c r="P105" s="117">
        <f>SUMIFS(Xero!$F:$F,Xero!$B:$B,Heron!P$9,Xero!$A:$A,Heron!$A$4,Xero!$E:$E,Heron!$A105)+SUMIFS(Xero!$F:$F,Xero!$B:$B,Heron!P$9,Xero!$A:$A,Heron!$A$5,Xero!$E:$E,Heron!$A105)</f>
        <v/>
      </c>
      <c r="Q105" s="117">
        <f>SUMIFS(Xero!$F:$F,Xero!$B:$B,Heron!Q$9,Xero!$A:$A,Heron!$A$4,Xero!$E:$E,Heron!$A105)+SUMIFS(Xero!$F:$F,Xero!$B:$B,Heron!Q$9,Xero!$A:$A,Heron!$A$5,Xero!$E:$E,Heron!$A105)</f>
        <v/>
      </c>
      <c r="R105" s="117">
        <f>SUMIFS(Xero!$F:$F,Xero!$B:$B,Heron!R$9,Xero!$A:$A,Heron!$A$4,Xero!$E:$E,Heron!$A105)+SUMIFS(Xero!$F:$F,Xero!$B:$B,Heron!R$9,Xero!$A:$A,Heron!$A$5,Xero!$E:$E,Heron!$A105)</f>
        <v/>
      </c>
      <c r="S105" s="117">
        <f>SUMIFS(Xero!$F:$F,Xero!$B:$B,Heron!S$9,Xero!$A:$A,Heron!$A$4,Xero!$E:$E,Heron!$A105)+SUMIFS(Xero!$F:$F,Xero!$B:$B,Heron!S$9,Xero!$A:$A,Heron!$A$5,Xero!$E:$E,Heron!$A105)</f>
        <v/>
      </c>
      <c r="T105" s="117">
        <f>SUMIFS(Xero!$F:$F,Xero!$B:$B,Heron!T$9,Xero!$A:$A,Heron!$A$4,Xero!$E:$E,Heron!$A105)+SUMIFS(Xero!$F:$F,Xero!$B:$B,Heron!T$9,Xero!$A:$A,Heron!$A$5,Xero!$E:$E,Heron!$A105)</f>
        <v/>
      </c>
      <c r="U105" s="117">
        <f>SUMIFS(Xero!$F:$F,Xero!$B:$B,Heron!U$9,Xero!$A:$A,Heron!$A$4,Xero!$E:$E,Heron!$A105)+SUMIFS(Xero!$F:$F,Xero!$B:$B,Heron!U$9,Xero!$A:$A,Heron!$A$5,Xero!$E:$E,Heron!$A105)</f>
        <v/>
      </c>
      <c r="V105" s="117">
        <f>SUMIFS(Xero!$F:$F,Xero!$B:$B,Heron!V$9,Xero!$A:$A,Heron!$A$4,Xero!$E:$E,Heron!$A105)+SUMIFS(Xero!$F:$F,Xero!$B:$B,Heron!V$9,Xero!$A:$A,Heron!$A$5,Xero!$E:$E,Heron!$A105)</f>
        <v/>
      </c>
      <c r="W105" s="117">
        <f>SUMIFS(Xero!$F:$F,Xero!$B:$B,Heron!W$9,Xero!$A:$A,Heron!$A$4,Xero!$E:$E,Heron!$A105)+SUMIFS(Xero!$F:$F,Xero!$B:$B,Heron!W$9,Xero!$A:$A,Heron!$A$5,Xero!$E:$E,Heron!$A105)</f>
        <v/>
      </c>
      <c r="X105" s="117">
        <f>SUMIFS(Xero!$F:$F,Xero!$B:$B,Heron!X$9,Xero!$A:$A,Heron!$A$4,Xero!$E:$E,Heron!$A105)+SUMIFS(Xero!$F:$F,Xero!$B:$B,Heron!X$9,Xero!$A:$A,Heron!$A$5,Xero!$E:$E,Heron!$A105)</f>
        <v/>
      </c>
      <c r="Y105" s="117">
        <f>SUMIFS(Xero!$F:$F,Xero!$B:$B,Heron!Y$9,Xero!$A:$A,Heron!$A$4,Xero!$E:$E,Heron!$A105)+SUMIFS(Xero!$F:$F,Xero!$B:$B,Heron!Y$9,Xero!$A:$A,Heron!$A$5,Xero!$E:$E,Heron!$A105)</f>
        <v/>
      </c>
      <c r="Z105" s="117">
        <f>SUMIFS(Xero!$F:$F,Xero!$B:$B,Heron!Z$9,Xero!$A:$A,Heron!$A$4,Xero!$E:$E,Heron!$A105)+SUMIFS(Xero!$F:$F,Xero!$B:$B,Heron!Z$9,Xero!$A:$A,Heron!$A$5,Xero!$E:$E,Heron!$A105)</f>
        <v/>
      </c>
      <c r="AA105" s="117">
        <f>SUMIFS(Xero!$F:$F,Xero!$B:$B,Heron!AA$9,Xero!$A:$A,Heron!$A$4,Xero!$E:$E,Heron!$A105)+SUMIFS(Xero!$F:$F,Xero!$B:$B,Heron!AA$9,Xero!$A:$A,Heron!$A$5,Xero!$E:$E,Heron!$A105)</f>
        <v/>
      </c>
      <c r="AB105" s="117">
        <f>SUMIFS(Xero!$F:$F,Xero!$B:$B,Heron!AB$9,Xero!$A:$A,Heron!$A$4,Xero!$E:$E,Heron!$A105)+SUMIFS(Xero!$F:$F,Xero!$B:$B,Heron!AB$9,Xero!$A:$A,Heron!$A$5,Xero!$E:$E,Heron!$A105)</f>
        <v/>
      </c>
      <c r="AC105" s="117">
        <f>SUMIFS(Xero!$F:$F,Xero!$B:$B,Heron!AC$9,Xero!$A:$A,Heron!$A$4,Xero!$E:$E,Heron!$A105)+SUMIFS(Xero!$F:$F,Xero!$B:$B,Heron!AC$9,Xero!$A:$A,Heron!$A$5,Xero!$E:$E,Heron!$A105)</f>
        <v/>
      </c>
      <c r="AD105" s="117">
        <f>SUMIFS(Xero!$F:$F,Xero!$B:$B,Heron!AD$9,Xero!$A:$A,Heron!$A$4,Xero!$E:$E,Heron!$A105)+SUMIFS(Xero!$F:$F,Xero!$B:$B,Heron!AD$9,Xero!$A:$A,Heron!$A$5,Xero!$E:$E,Heron!$A105)</f>
        <v/>
      </c>
      <c r="AE105" s="117">
        <f>SUMIFS(Xero!$F:$F,Xero!$B:$B,Heron!AE$9,Xero!$A:$A,Heron!$A$4,Xero!$E:$E,Heron!$A105)+SUMIFS(Xero!$F:$F,Xero!$B:$B,Heron!AE$9,Xero!$A:$A,Heron!$A$5,Xero!$E:$E,Heron!$A105)</f>
        <v/>
      </c>
      <c r="AF105" s="117">
        <f>SUMIFS(Xero!$F:$F,Xero!$B:$B,Heron!AF$9,Xero!$A:$A,Heron!$A$4,Xero!$E:$E,Heron!$A105)+SUMIFS(Xero!$F:$F,Xero!$B:$B,Heron!AF$9,Xero!$A:$A,Heron!$A$5,Xero!$E:$E,Heron!$A105)</f>
        <v/>
      </c>
      <c r="AG105" s="117">
        <f>SUMIFS(Xero!$F:$F,Xero!$B:$B,Heron!AG$9,Xero!$A:$A,Heron!$A$4,Xero!$E:$E,Heron!$A105)+SUMIFS(Xero!$F:$F,Xero!$B:$B,Heron!AG$9,Xero!$A:$A,Heron!$A$5,Xero!$E:$E,Heron!$A105)</f>
        <v/>
      </c>
      <c r="AH105" s="117">
        <f>SUMIFS(Xero!$F:$F,Xero!$B:$B,Heron!AH$9,Xero!$A:$A,Heron!$A$4,Xero!$E:$E,Heron!$A105)+SUMIFS(Xero!$F:$F,Xero!$B:$B,Heron!AH$9,Xero!$A:$A,Heron!$A$5,Xero!$E:$E,Heron!$A105)</f>
        <v/>
      </c>
      <c r="AI105" s="117">
        <f>SUMIFS(Xero!$F:$F,Xero!$B:$B,Heron!AI$9,Xero!$A:$A,Heron!$A$4,Xero!$E:$E,Heron!$A105)+SUMIFS(Xero!$F:$F,Xero!$B:$B,Heron!AI$9,Xero!$A:$A,Heron!$A$5,Xero!$E:$E,Heron!$A105)</f>
        <v/>
      </c>
      <c r="AJ105" s="117">
        <f>SUMIFS(Xero!$F:$F,Xero!$B:$B,Heron!AJ$9,Xero!$A:$A,Heron!$A$4,Xero!$E:$E,Heron!$A105)+SUMIFS(Xero!$F:$F,Xero!$B:$B,Heron!AJ$9,Xero!$A:$A,Heron!$A$5,Xero!$E:$E,Heron!$A105)</f>
        <v/>
      </c>
      <c r="AK105" s="117">
        <f>SUMIFS(Xero!$F:$F,Xero!$B:$B,Heron!AK$9,Xero!$A:$A,Heron!$A$4,Xero!$E:$E,Heron!$A105)+SUMIFS(Xero!$F:$F,Xero!$B:$B,Heron!AK$9,Xero!$A:$A,Heron!$A$5,Xero!$E:$E,Heron!$A105)</f>
        <v/>
      </c>
      <c r="AL105" s="117">
        <f>SUMIFS(Xero!$F:$F,Xero!$B:$B,Heron!AL$9,Xero!$A:$A,Heron!$A$4,Xero!$E:$E,Heron!$A105)+SUMIFS(Xero!$F:$F,Xero!$B:$B,Heron!AL$9,Xero!$A:$A,Heron!$A$5,Xero!$E:$E,Heron!$A105)</f>
        <v/>
      </c>
      <c r="AM105" s="117">
        <f>SUMIFS(Xero!$F:$F,Xero!$B:$B,Heron!AM$9,Xero!$A:$A,Heron!$A$4,Xero!$E:$E,Heron!$A105)+SUMIFS(Xero!$F:$F,Xero!$B:$B,Heron!AM$9,Xero!$A:$A,Heron!$A$5,Xero!$E:$E,Heron!$A105)</f>
        <v/>
      </c>
      <c r="AN105" s="117">
        <f>SUMIFS(Xero!$F:$F,Xero!$B:$B,Heron!AN$9,Xero!$A:$A,Heron!$A$4,Xero!$E:$E,Heron!$A105)+SUMIFS(Xero!$F:$F,Xero!$B:$B,Heron!AN$9,Xero!$A:$A,Heron!$A$5,Xero!$E:$E,Heron!$A105)</f>
        <v/>
      </c>
      <c r="AO105" s="117">
        <f>SUMIFS(Xero!$F:$F,Xero!$B:$B,Heron!AO$9,Xero!$A:$A,Heron!$A$4,Xero!$E:$E,Heron!$A105)+SUMIFS(Xero!$F:$F,Xero!$B:$B,Heron!AO$9,Xero!$A:$A,Heron!$A$5,Xero!$E:$E,Heron!$A105)</f>
        <v/>
      </c>
      <c r="AP105" s="117">
        <f>SUMIFS(Xero!$F:$F,Xero!$B:$B,Heron!AP$9,Xero!$A:$A,Heron!$A$4,Xero!$E:$E,Heron!$A105)+SUMIFS(Xero!$F:$F,Xero!$B:$B,Heron!AP$9,Xero!$A:$A,Heron!$A$5,Xero!$E:$E,Heron!$A105)</f>
        <v/>
      </c>
      <c r="AQ105" s="117">
        <f>SUMIFS(Xero!$F:$F,Xero!$B:$B,Heron!AQ$9,Xero!$A:$A,Heron!$A$4,Xero!$E:$E,Heron!$A105)+SUMIFS(Xero!$F:$F,Xero!$B:$B,Heron!AQ$9,Xero!$A:$A,Heron!$A$5,Xero!$E:$E,Heron!$A105)</f>
        <v/>
      </c>
      <c r="AR105" s="117">
        <f>SUMIFS(Xero!$F:$F,Xero!$B:$B,Heron!AR$9,Xero!$A:$A,Heron!$A$4,Xero!$E:$E,Heron!$A105)+SUMIFS(Xero!$F:$F,Xero!$B:$B,Heron!AR$9,Xero!$A:$A,Heron!$A$5,Xero!$E:$E,Heron!$A105)</f>
        <v/>
      </c>
      <c r="AS105" s="117">
        <f>SUMIFS(Xero!$F:$F,Xero!$B:$B,Heron!AS$9,Xero!$A:$A,Heron!$A$4,Xero!$E:$E,Heron!$A105)+SUMIFS(Xero!$F:$F,Xero!$B:$B,Heron!AS$9,Xero!$A:$A,Heron!$A$5,Xero!$E:$E,Heron!$A105)</f>
        <v/>
      </c>
      <c r="AT105" s="117">
        <f>SUMIFS(Xero!$F:$F,Xero!$B:$B,Heron!AT$9,Xero!$A:$A,Heron!$A$4,Xero!$E:$E,Heron!$A105)+SUMIFS(Xero!$F:$F,Xero!$B:$B,Heron!AT$9,Xero!$A:$A,Heron!$A$5,Xero!$E:$E,Heron!$A105)</f>
        <v/>
      </c>
      <c r="AU105" s="117">
        <f>SUMIFS(Xero!$F:$F,Xero!$B:$B,Heron!AU$9,Xero!$A:$A,Heron!$A$4,Xero!$E:$E,Heron!$A105)+SUMIFS(Xero!$F:$F,Xero!$B:$B,Heron!AU$9,Xero!$A:$A,Heron!$A$5,Xero!$E:$E,Heron!$A105)</f>
        <v/>
      </c>
      <c r="AV105" s="117">
        <f>SUMIFS(Xero!$F:$F,Xero!$B:$B,Heron!AV$9,Xero!$A:$A,Heron!$A$4,Xero!$E:$E,Heron!$A105)+SUMIFS(Xero!$F:$F,Xero!$B:$B,Heron!AV$9,Xero!$A:$A,Heron!$A$5,Xero!$E:$E,Heron!$A105)</f>
        <v/>
      </c>
      <c r="AW105" s="117">
        <f>SUMIFS(Xero!$F:$F,Xero!$B:$B,Heron!AW$9,Xero!$A:$A,Heron!$A$4,Xero!$E:$E,Heron!$A105)+SUMIFS(Xero!$F:$F,Xero!$B:$B,Heron!AW$9,Xero!$A:$A,Heron!$A$5,Xero!$E:$E,Heron!$A105)</f>
        <v/>
      </c>
      <c r="AX105" s="117">
        <f>SUMIFS(Xero!$F:$F,Xero!$B:$B,Heron!AX$9,Xero!$A:$A,Heron!$A$4,Xero!$E:$E,Heron!$A105)+SUMIFS(Xero!$F:$F,Xero!$B:$B,Heron!AX$9,Xero!$A:$A,Heron!$A$5,Xero!$E:$E,Heron!$A105)</f>
        <v/>
      </c>
      <c r="AY105" s="117">
        <f>SUMIFS(Xero!$F:$F,Xero!$B:$B,Heron!AY$9,Xero!$A:$A,Heron!$A$4,Xero!$E:$E,Heron!$A105)+SUMIFS(Xero!$F:$F,Xero!$B:$B,Heron!AY$9,Xero!$A:$A,Heron!$A$5,Xero!$E:$E,Heron!$A105)</f>
        <v/>
      </c>
      <c r="AZ105" s="117">
        <f>SUMIFS(Xero!$F:$F,Xero!$B:$B,Heron!AZ$9,Xero!$A:$A,Heron!$A$4,Xero!$E:$E,Heron!$A105)+SUMIFS(Xero!$F:$F,Xero!$B:$B,Heron!AZ$9,Xero!$A:$A,Heron!$A$5,Xero!$E:$E,Heron!$A105)</f>
        <v/>
      </c>
      <c r="BA105" s="117">
        <f>SUMIFS(Xero!$F:$F,Xero!$B:$B,Heron!BA$9,Xero!$A:$A,Heron!$A$4,Xero!$E:$E,Heron!$A105)+SUMIFS(Xero!$F:$F,Xero!$B:$B,Heron!BA$9,Xero!$A:$A,Heron!$A$5,Xero!$E:$E,Heron!$A105)</f>
        <v/>
      </c>
      <c r="BB105" s="117">
        <f>SUMIFS(Xero!$F:$F,Xero!$B:$B,Heron!BB$9,Xero!$A:$A,Heron!$A$4,Xero!$E:$E,Heron!$A105)+SUMIFS(Xero!$F:$F,Xero!$B:$B,Heron!BB$9,Xero!$A:$A,Heron!$A$5,Xero!$E:$E,Heron!$A105)</f>
        <v/>
      </c>
      <c r="BC105" s="117">
        <f>SUMIFS(Xero!$F:$F,Xero!$B:$B,Heron!BC$9,Xero!$A:$A,Heron!$A$4,Xero!$E:$E,Heron!$A105)+SUMIFS(Xero!$F:$F,Xero!$B:$B,Heron!BC$9,Xero!$A:$A,Heron!$A$5,Xero!$E:$E,Heron!$A105)</f>
        <v/>
      </c>
      <c r="BD105" s="117">
        <f>SUMIFS(Xero!$F:$F,Xero!$B:$B,Heron!BD$9,Xero!$A:$A,Heron!$A$4,Xero!$E:$E,Heron!$A105)+SUMIFS(Xero!$F:$F,Xero!$B:$B,Heron!BD$9,Xero!$A:$A,Heron!$A$5,Xero!$E:$E,Heron!$A105)</f>
        <v/>
      </c>
      <c r="BE105" s="117">
        <f>SUMIFS(Xero!$F:$F,Xero!$B:$B,Heron!BE$9,Xero!$A:$A,Heron!$A$4,Xero!$E:$E,Heron!$A105)+SUMIFS(Xero!$F:$F,Xero!$B:$B,Heron!BE$9,Xero!$A:$A,Heron!$A$5,Xero!$E:$E,Heron!$A105)</f>
        <v/>
      </c>
      <c r="BF105" s="117">
        <f>SUMIFS(Xero!$F:$F,Xero!$B:$B,Heron!BF$9,Xero!$A:$A,Heron!$A$4,Xero!$E:$E,Heron!$A105)+SUMIFS(Xero!$F:$F,Xero!$B:$B,Heron!BF$9,Xero!$A:$A,Heron!$A$5,Xero!$E:$E,Heron!$A105)</f>
        <v/>
      </c>
      <c r="BG105" s="117">
        <f>SUMIFS(Xero!$F:$F,Xero!$B:$B,Heron!BG$9,Xero!$A:$A,Heron!$A$4,Xero!$E:$E,Heron!$A105)+SUMIFS(Xero!$F:$F,Xero!$B:$B,Heron!BG$9,Xero!$A:$A,Heron!$A$5,Xero!$E:$E,Heron!$A105)</f>
        <v/>
      </c>
      <c r="BH105" s="117">
        <f>SUMIFS(Xero!$F:$F,Xero!$B:$B,Heron!BH$9,Xero!$A:$A,Heron!$A$4,Xero!$E:$E,Heron!$A105)+SUMIFS(Xero!$F:$F,Xero!$B:$B,Heron!BH$9,Xero!$A:$A,Heron!$A$5,Xero!$E:$E,Heron!$A105)</f>
        <v/>
      </c>
      <c r="BI105" s="117">
        <f>SUMIFS(Xero!$F:$F,Xero!$B:$B,Heron!BI$9,Xero!$A:$A,Heron!$A$4,Xero!$E:$E,Heron!$A105)+SUMIFS(Xero!$F:$F,Xero!$B:$B,Heron!BI$9,Xero!$A:$A,Heron!$A$5,Xero!$E:$E,Heron!$A105)</f>
        <v/>
      </c>
      <c r="BJ105" s="117">
        <f>SUMIFS(Xero!$F:$F,Xero!$B:$B,Heron!BJ$9,Xero!$A:$A,Heron!$A$4,Xero!$E:$E,Heron!$A105)+SUMIFS(Xero!$F:$F,Xero!$B:$B,Heron!BJ$9,Xero!$A:$A,Heron!$A$5,Xero!$E:$E,Heron!$A105)</f>
        <v/>
      </c>
      <c r="BK105" s="117">
        <f>sum(D105:BJ105)</f>
        <v/>
      </c>
    </row>
    <row r="106">
      <c r="A106" s="116" t="inlineStr">
        <is>
          <t>COS - Heron Fields - Construction</t>
        </is>
      </c>
      <c r="D106" s="119">
        <f>SUMIFS(Xero!$F:$F,Xero!$B:$B,Heron!D$9,Xero!$A:$A,Heron!$A$6,Xero!$E:$E,Heron!$A106)</f>
        <v/>
      </c>
      <c r="E106" s="119">
        <f>SUMIFS(Xero!$F:$F,Xero!$B:$B,Heron!E$9,Xero!$A:$A,Heron!$A$6,Xero!$E:$E,Heron!$A106)</f>
        <v/>
      </c>
      <c r="F106" s="119">
        <f>SUMIFS(Xero!$F:$F,Xero!$B:$B,Heron!F$9,Xero!$A:$A,Heron!$A$6,Xero!$E:$E,Heron!$A106)</f>
        <v/>
      </c>
      <c r="G106" s="119">
        <f>SUMIFS(Xero!$F:$F,Xero!$B:$B,Heron!G$9,Xero!$A:$A,Heron!$A$6,Xero!$E:$E,Heron!$A106)</f>
        <v/>
      </c>
      <c r="H106" s="119">
        <f>SUMIFS(Xero!$F:$F,Xero!$B:$B,Heron!H$9,Xero!$A:$A,Heron!$A$6,Xero!$E:$E,Heron!$A106)</f>
        <v/>
      </c>
      <c r="I106" s="119">
        <f>SUMIFS(Xero!$F:$F,Xero!$B:$B,Heron!I$9,Xero!$A:$A,Heron!$A$6,Xero!$E:$E,Heron!$A106)</f>
        <v/>
      </c>
      <c r="J106" s="119">
        <f>SUMIFS(Xero!$F:$F,Xero!$B:$B,Heron!J$9,Xero!$A:$A,Heron!$A$6,Xero!$E:$E,Heron!$A106)</f>
        <v/>
      </c>
      <c r="K106" s="119">
        <f>SUMIFS(Xero!$F:$F,Xero!$B:$B,Heron!K$9,Xero!$A:$A,Heron!$A$6,Xero!$E:$E,Heron!$A106)</f>
        <v/>
      </c>
      <c r="L106" s="119">
        <f>SUMIFS(Xero!$F:$F,Xero!$B:$B,Heron!L$9,Xero!$A:$A,Heron!$A$6,Xero!$E:$E,Heron!$A106)</f>
        <v/>
      </c>
      <c r="M106" s="119">
        <f>SUMIFS(Xero!$F:$F,Xero!$B:$B,Heron!M$9,Xero!$A:$A,Heron!$A$6,Xero!$E:$E,Heron!$A106)</f>
        <v/>
      </c>
      <c r="N106" s="119">
        <f>SUMIFS(Xero!$F:$F,Xero!$B:$B,Heron!N$9,Xero!$A:$A,Heron!$A$6,Xero!$E:$E,Heron!$A106)</f>
        <v/>
      </c>
      <c r="O106" s="119">
        <f>SUMIFS(Xero!$F:$F,Xero!$B:$B,Heron!O$9,Xero!$A:$A,Heron!$A$6,Xero!$E:$E,Heron!$A106)</f>
        <v/>
      </c>
      <c r="P106" s="119">
        <f>SUMIFS(Xero!$F:$F,Xero!$B:$B,Heron!P$9,Xero!$A:$A,Heron!$A$6,Xero!$E:$E,Heron!$A106)</f>
        <v/>
      </c>
      <c r="Q106" s="119">
        <f>SUMIFS(Xero!$F:$F,Xero!$B:$B,Heron!Q$9,Xero!$A:$A,Heron!$A$6,Xero!$E:$E,Heron!$A106)</f>
        <v/>
      </c>
      <c r="R106" s="119">
        <f>SUMIFS(Xero!$F:$F,Xero!$B:$B,Heron!R$9,Xero!$A:$A,Heron!$A$6,Xero!$E:$E,Heron!$A106)</f>
        <v/>
      </c>
      <c r="S106" s="119">
        <f>SUMIFS(Xero!$F:$F,Xero!$B:$B,Heron!S$9,Xero!$A:$A,Heron!$A$6,Xero!$E:$E,Heron!$A106)</f>
        <v/>
      </c>
      <c r="T106" s="119">
        <f>SUMIFS(Xero!$F:$F,Xero!$B:$B,Heron!T$9,Xero!$A:$A,Heron!$A$6,Xero!$E:$E,Heron!$A106)</f>
        <v/>
      </c>
      <c r="U106" s="119">
        <f>SUMIFS(Xero!$F:$F,Xero!$B:$B,Heron!U$9,Xero!$A:$A,Heron!$A$6,Xero!$E:$E,Heron!$A106)</f>
        <v/>
      </c>
      <c r="V106" s="119">
        <f>SUMIFS(Xero!$F:$F,Xero!$B:$B,Heron!V$9,Xero!$A:$A,Heron!$A$6,Xero!$E:$E,Heron!$A106)</f>
        <v/>
      </c>
      <c r="W106" s="119">
        <f>SUMIFS(Xero!$F:$F,Xero!$B:$B,Heron!W$9,Xero!$A:$A,Heron!$A$6,Xero!$E:$E,Heron!$A106)</f>
        <v/>
      </c>
      <c r="X106" s="119">
        <f>SUMIFS(Xero!$F:$F,Xero!$B:$B,Heron!X$9,Xero!$A:$A,Heron!$A$6,Xero!$E:$E,Heron!$A106)</f>
        <v/>
      </c>
      <c r="Y106" s="119">
        <f>SUMIFS(Xero!$F:$F,Xero!$B:$B,Heron!Y$9,Xero!$A:$A,Heron!$A$6,Xero!$E:$E,Heron!$A106)</f>
        <v/>
      </c>
      <c r="Z106" s="119">
        <f>SUMIFS(Xero!$F:$F,Xero!$B:$B,Heron!Z$9,Xero!$A:$A,Heron!$A$6,Xero!$E:$E,Heron!$A106)</f>
        <v/>
      </c>
      <c r="AA106" s="119">
        <f>SUMIFS(Xero!$F:$F,Xero!$B:$B,Heron!AA$9,Xero!$A:$A,Heron!$A$6,Xero!$E:$E,Heron!$A106)</f>
        <v/>
      </c>
      <c r="AB106" s="119">
        <f>SUMIFS(Xero!$F:$F,Xero!$B:$B,Heron!AB$9,Xero!$A:$A,Heron!$A$6,Xero!$E:$E,Heron!$A106)</f>
        <v/>
      </c>
      <c r="AC106" s="119">
        <f>SUMIFS(Xero!$F:$F,Xero!$B:$B,Heron!AC$9,Xero!$A:$A,Heron!$A$6,Xero!$E:$E,Heron!$A106)</f>
        <v/>
      </c>
      <c r="AD106" s="119">
        <f>SUMIFS(Xero!$F:$F,Xero!$B:$B,Heron!AD$9,Xero!$A:$A,Heron!$A$6,Xero!$E:$E,Heron!$A106)</f>
        <v/>
      </c>
      <c r="AE106" s="119">
        <f>SUMIFS(Xero!$F:$F,Xero!$B:$B,Heron!AE$9,Xero!$A:$A,Heron!$A$6,Xero!$E:$E,Heron!$A106)</f>
        <v/>
      </c>
      <c r="AF106" s="119">
        <f>SUMIFS(Xero!$F:$F,Xero!$B:$B,Heron!AF$9,Xero!$A:$A,Heron!$A$6,Xero!$E:$E,Heron!$A106)</f>
        <v/>
      </c>
      <c r="AG106" s="119">
        <f>SUMIFS(Xero!$F:$F,Xero!$B:$B,Heron!AG$9,Xero!$A:$A,Heron!$A$6,Xero!$E:$E,Heron!$A106)</f>
        <v/>
      </c>
      <c r="AH106" s="119">
        <f>SUMIFS(Xero!$F:$F,Xero!$B:$B,Heron!AH$9,Xero!$A:$A,Heron!$A$6,Xero!$E:$E,Heron!$A106)</f>
        <v/>
      </c>
      <c r="AI106" s="119">
        <f>SUMIFS(Xero!$F:$F,Xero!$B:$B,Heron!AI$9,Xero!$A:$A,Heron!$A$6,Xero!$E:$E,Heron!$A106)</f>
        <v/>
      </c>
      <c r="AJ106" s="119">
        <f>SUMIFS(Xero!$F:$F,Xero!$B:$B,Heron!AJ$9,Xero!$A:$A,Heron!$A$6,Xero!$E:$E,Heron!$A106)</f>
        <v/>
      </c>
      <c r="AK106" s="119">
        <f>SUMIFS(Xero!$F:$F,Xero!$B:$B,Heron!AK$9,Xero!$A:$A,Heron!$A$6,Xero!$E:$E,Heron!$A106)</f>
        <v/>
      </c>
      <c r="AL106" s="119">
        <f>SUMIFS(Xero!$F:$F,Xero!$B:$B,Heron!AL$9,Xero!$A:$A,Heron!$A$6,Xero!$E:$E,Heron!$A106)</f>
        <v/>
      </c>
      <c r="AM106" s="119">
        <f>SUMIFS(Xero!$F:$F,Xero!$B:$B,Heron!AM$9,Xero!$A:$A,Heron!$A$6,Xero!$E:$E,Heron!$A106)</f>
        <v/>
      </c>
      <c r="AN106" s="119">
        <f>SUMIFS(Xero!$F:$F,Xero!$B:$B,Heron!AN$9,Xero!$A:$A,Heron!$A$6,Xero!$E:$E,Heron!$A106)</f>
        <v/>
      </c>
      <c r="AO106" s="119">
        <f>SUMIFS(Xero!$F:$F,Xero!$B:$B,Heron!AO$9,Xero!$A:$A,Heron!$A$6,Xero!$E:$E,Heron!$A106)</f>
        <v/>
      </c>
      <c r="AP106" s="119">
        <f>SUMIFS(Xero!$F:$F,Xero!$B:$B,Heron!AP$9,Xero!$A:$A,Heron!$A$6,Xero!$E:$E,Heron!$A106)</f>
        <v/>
      </c>
      <c r="AQ106" s="119">
        <f>SUMIFS(Xero!$F:$F,Xero!$B:$B,Heron!AQ$9,Xero!$A:$A,Heron!$A$6,Xero!$E:$E,Heron!$A106)</f>
        <v/>
      </c>
      <c r="AR106" s="119">
        <f>SUMIFS(Xero!$F:$F,Xero!$B:$B,Heron!AR$9,Xero!$A:$A,Heron!$A$6,Xero!$E:$E,Heron!$A106)</f>
        <v/>
      </c>
      <c r="AS106" s="119">
        <f>SUMIFS(Xero!$F:$F,Xero!$B:$B,Heron!AS$9,Xero!$A:$A,Heron!$A$6,Xero!$E:$E,Heron!$A106)</f>
        <v/>
      </c>
      <c r="AT106" s="119">
        <f>SUMIFS(Xero!$F:$F,Xero!$B:$B,Heron!AT$9,Xero!$A:$A,Heron!$A$6,Xero!$E:$E,Heron!$A106)</f>
        <v/>
      </c>
      <c r="AU106" s="119">
        <f>SUMIFS(Xero!$F:$F,Xero!$B:$B,Heron!AU$9,Xero!$A:$A,Heron!$A$6,Xero!$E:$E,Heron!$A106)</f>
        <v/>
      </c>
      <c r="AV106" s="119">
        <f>SUMIFS(Xero!$F:$F,Xero!$B:$B,Heron!AV$9,Xero!$A:$A,Heron!$A$6,Xero!$E:$E,Heron!$A106)</f>
        <v/>
      </c>
      <c r="AW106" s="119">
        <f>SUMIFS(Xero!$F:$F,Xero!$B:$B,Heron!AW$9,Xero!$A:$A,Heron!$A$6,Xero!$E:$E,Heron!$A106)</f>
        <v/>
      </c>
      <c r="AX106" s="119">
        <f>SUMIFS(Xero!$F:$F,Xero!$B:$B,Heron!AX$9,Xero!$A:$A,Heron!$A$6,Xero!$E:$E,Heron!$A106)</f>
        <v/>
      </c>
      <c r="AY106" s="119">
        <f>SUMIFS(Xero!$F:$F,Xero!$B:$B,Heron!AY$9,Xero!$A:$A,Heron!$A$6,Xero!$E:$E,Heron!$A106)</f>
        <v/>
      </c>
      <c r="AZ106" s="119">
        <f>SUMIFS(Xero!$F:$F,Xero!$B:$B,Heron!AZ$9,Xero!$A:$A,Heron!$A$6,Xero!$E:$E,Heron!$A106)</f>
        <v/>
      </c>
      <c r="BA106" s="119">
        <f>SUMIFS(Xero!$F:$F,Xero!$B:$B,Heron!BA$9,Xero!$A:$A,Heron!$A$6,Xero!$E:$E,Heron!$A106)</f>
        <v/>
      </c>
      <c r="BB106" s="119">
        <f>SUMIFS(Xero!$F:$F,Xero!$B:$B,Heron!BB$9,Xero!$A:$A,Heron!$A$6,Xero!$E:$E,Heron!$A106)</f>
        <v/>
      </c>
      <c r="BC106" s="119">
        <f>SUMIFS(Xero!$F:$F,Xero!$B:$B,Heron!BC$9,Xero!$A:$A,Heron!$A$6,Xero!$E:$E,Heron!$A106)</f>
        <v/>
      </c>
      <c r="BD106" s="119">
        <f>SUMIFS(Xero!$F:$F,Xero!$B:$B,Heron!BD$9,Xero!$A:$A,Heron!$A$6,Xero!$E:$E,Heron!$A106)</f>
        <v/>
      </c>
      <c r="BE106" s="119">
        <f>SUMIFS(Xero!$F:$F,Xero!$B:$B,Heron!BE$9,Xero!$A:$A,Heron!$A$6,Xero!$E:$E,Heron!$A106)</f>
        <v/>
      </c>
      <c r="BF106" s="119">
        <f>SUMIFS(Xero!$F:$F,Xero!$B:$B,Heron!BF$9,Xero!$A:$A,Heron!$A$6,Xero!$E:$E,Heron!$A106)</f>
        <v/>
      </c>
      <c r="BG106" s="119">
        <f>SUMIFS(Xero!$F:$F,Xero!$B:$B,Heron!BG$9,Xero!$A:$A,Heron!$A$6,Xero!$E:$E,Heron!$A106)</f>
        <v/>
      </c>
      <c r="BH106" s="119">
        <f>SUMIFS(Xero!$F:$F,Xero!$B:$B,Heron!BH$9,Xero!$A:$A,Heron!$A$6,Xero!$E:$E,Heron!$A106)</f>
        <v/>
      </c>
      <c r="BI106" s="119">
        <f>SUMIFS(Xero!$F:$F,Xero!$B:$B,Heron!BI$9,Xero!$A:$A,Heron!$A$6,Xero!$E:$E,Heron!$A106)</f>
        <v/>
      </c>
      <c r="BJ106" s="119">
        <f>SUMIFS(Xero!$F:$F,Xero!$B:$B,Heron!BJ$9,Xero!$A:$A,Heron!$A$6,Xero!$E:$E,Heron!$A106)</f>
        <v/>
      </c>
      <c r="BK106" s="117">
        <f>sum(D106:BJ106)</f>
        <v/>
      </c>
    </row>
    <row r="107">
      <c r="A107" s="116" t="inlineStr">
        <is>
          <t>COS - Heron Fields - P &amp; G</t>
        </is>
      </c>
      <c r="D107" s="119">
        <f>SUMIFS(Xero!$F:$F,Xero!$B:$B,Heron!D$9,Xero!$A:$A,Heron!$A$6,Xero!$E:$E,Heron!$A107)</f>
        <v/>
      </c>
      <c r="E107" s="119">
        <f>SUMIFS(Xero!$F:$F,Xero!$B:$B,Heron!E$9,Xero!$A:$A,Heron!$A$6,Xero!$E:$E,Heron!$A107)</f>
        <v/>
      </c>
      <c r="F107" s="119">
        <f>SUMIFS(Xero!$F:$F,Xero!$B:$B,Heron!F$9,Xero!$A:$A,Heron!$A$6,Xero!$E:$E,Heron!$A107)</f>
        <v/>
      </c>
      <c r="G107" s="119">
        <f>SUMIFS(Xero!$F:$F,Xero!$B:$B,Heron!G$9,Xero!$A:$A,Heron!$A$6,Xero!$E:$E,Heron!$A107)</f>
        <v/>
      </c>
      <c r="H107" s="119">
        <f>SUMIFS(Xero!$F:$F,Xero!$B:$B,Heron!H$9,Xero!$A:$A,Heron!$A$6,Xero!$E:$E,Heron!$A107)</f>
        <v/>
      </c>
      <c r="I107" s="119">
        <f>SUMIFS(Xero!$F:$F,Xero!$B:$B,Heron!I$9,Xero!$A:$A,Heron!$A$6,Xero!$E:$E,Heron!$A107)</f>
        <v/>
      </c>
      <c r="J107" s="119">
        <f>SUMIFS(Xero!$F:$F,Xero!$B:$B,Heron!J$9,Xero!$A:$A,Heron!$A$6,Xero!$E:$E,Heron!$A107)</f>
        <v/>
      </c>
      <c r="K107" s="119">
        <f>SUMIFS(Xero!$F:$F,Xero!$B:$B,Heron!K$9,Xero!$A:$A,Heron!$A$6,Xero!$E:$E,Heron!$A107)</f>
        <v/>
      </c>
      <c r="L107" s="119">
        <f>SUMIFS(Xero!$F:$F,Xero!$B:$B,Heron!L$9,Xero!$A:$A,Heron!$A$6,Xero!$E:$E,Heron!$A107)</f>
        <v/>
      </c>
      <c r="M107" s="119">
        <f>SUMIFS(Xero!$F:$F,Xero!$B:$B,Heron!M$9,Xero!$A:$A,Heron!$A$6,Xero!$E:$E,Heron!$A107)</f>
        <v/>
      </c>
      <c r="N107" s="119">
        <f>SUMIFS(Xero!$F:$F,Xero!$B:$B,Heron!N$9,Xero!$A:$A,Heron!$A$6,Xero!$E:$E,Heron!$A107)</f>
        <v/>
      </c>
      <c r="O107" s="119">
        <f>SUMIFS(Xero!$F:$F,Xero!$B:$B,Heron!O$9,Xero!$A:$A,Heron!$A$6,Xero!$E:$E,Heron!$A107)</f>
        <v/>
      </c>
      <c r="P107" s="119">
        <f>SUMIFS(Xero!$F:$F,Xero!$B:$B,Heron!P$9,Xero!$A:$A,Heron!$A$6,Xero!$E:$E,Heron!$A107)</f>
        <v/>
      </c>
      <c r="Q107" s="119">
        <f>SUMIFS(Xero!$F:$F,Xero!$B:$B,Heron!Q$9,Xero!$A:$A,Heron!$A$6,Xero!$E:$E,Heron!$A107)</f>
        <v/>
      </c>
      <c r="R107" s="119">
        <f>SUMIFS(Xero!$F:$F,Xero!$B:$B,Heron!R$9,Xero!$A:$A,Heron!$A$6,Xero!$E:$E,Heron!$A107)</f>
        <v/>
      </c>
      <c r="S107" s="119">
        <f>SUMIFS(Xero!$F:$F,Xero!$B:$B,Heron!S$9,Xero!$A:$A,Heron!$A$6,Xero!$E:$E,Heron!$A107)</f>
        <v/>
      </c>
      <c r="T107" s="119">
        <f>SUMIFS(Xero!$F:$F,Xero!$B:$B,Heron!T$9,Xero!$A:$A,Heron!$A$6,Xero!$E:$E,Heron!$A107)</f>
        <v/>
      </c>
      <c r="U107" s="119">
        <f>SUMIFS(Xero!$F:$F,Xero!$B:$B,Heron!U$9,Xero!$A:$A,Heron!$A$6,Xero!$E:$E,Heron!$A107)</f>
        <v/>
      </c>
      <c r="V107" s="119">
        <f>SUMIFS(Xero!$F:$F,Xero!$B:$B,Heron!V$9,Xero!$A:$A,Heron!$A$6,Xero!$E:$E,Heron!$A107)</f>
        <v/>
      </c>
      <c r="W107" s="119">
        <f>SUMIFS(Xero!$F:$F,Xero!$B:$B,Heron!W$9,Xero!$A:$A,Heron!$A$6,Xero!$E:$E,Heron!$A107)</f>
        <v/>
      </c>
      <c r="X107" s="119">
        <f>SUMIFS(Xero!$F:$F,Xero!$B:$B,Heron!X$9,Xero!$A:$A,Heron!$A$6,Xero!$E:$E,Heron!$A107)</f>
        <v/>
      </c>
      <c r="Y107" s="119">
        <f>SUMIFS(Xero!$F:$F,Xero!$B:$B,Heron!Y$9,Xero!$A:$A,Heron!$A$6,Xero!$E:$E,Heron!$A107)</f>
        <v/>
      </c>
      <c r="Z107" s="119">
        <f>SUMIFS(Xero!$F:$F,Xero!$B:$B,Heron!Z$9,Xero!$A:$A,Heron!$A$6,Xero!$E:$E,Heron!$A107)</f>
        <v/>
      </c>
      <c r="AA107" s="119">
        <f>SUMIFS(Xero!$F:$F,Xero!$B:$B,Heron!AA$9,Xero!$A:$A,Heron!$A$6,Xero!$E:$E,Heron!$A107)</f>
        <v/>
      </c>
      <c r="AB107" s="119">
        <f>SUMIFS(Xero!$F:$F,Xero!$B:$B,Heron!AB$9,Xero!$A:$A,Heron!$A$6,Xero!$E:$E,Heron!$A107)</f>
        <v/>
      </c>
      <c r="AC107" s="119">
        <f>SUMIFS(Xero!$F:$F,Xero!$B:$B,Heron!AC$9,Xero!$A:$A,Heron!$A$6,Xero!$E:$E,Heron!$A107)</f>
        <v/>
      </c>
      <c r="AD107" s="119">
        <f>SUMIFS(Xero!$F:$F,Xero!$B:$B,Heron!AD$9,Xero!$A:$A,Heron!$A$6,Xero!$E:$E,Heron!$A107)</f>
        <v/>
      </c>
      <c r="AE107" s="119">
        <f>SUMIFS(Xero!$F:$F,Xero!$B:$B,Heron!AE$9,Xero!$A:$A,Heron!$A$6,Xero!$E:$E,Heron!$A107)</f>
        <v/>
      </c>
      <c r="AF107" s="119">
        <f>SUMIFS(Xero!$F:$F,Xero!$B:$B,Heron!AF$9,Xero!$A:$A,Heron!$A$6,Xero!$E:$E,Heron!$A107)</f>
        <v/>
      </c>
      <c r="AG107" s="119">
        <f>SUMIFS(Xero!$F:$F,Xero!$B:$B,Heron!AG$9,Xero!$A:$A,Heron!$A$6,Xero!$E:$E,Heron!$A107)</f>
        <v/>
      </c>
      <c r="AH107" s="119">
        <f>SUMIFS(Xero!$F:$F,Xero!$B:$B,Heron!AH$9,Xero!$A:$A,Heron!$A$6,Xero!$E:$E,Heron!$A107)</f>
        <v/>
      </c>
      <c r="AI107" s="119">
        <f>SUMIFS(Xero!$F:$F,Xero!$B:$B,Heron!AI$9,Xero!$A:$A,Heron!$A$6,Xero!$E:$E,Heron!$A107)</f>
        <v/>
      </c>
      <c r="AJ107" s="119">
        <f>SUMIFS(Xero!$F:$F,Xero!$B:$B,Heron!AJ$9,Xero!$A:$A,Heron!$A$6,Xero!$E:$E,Heron!$A107)</f>
        <v/>
      </c>
      <c r="AK107" s="119">
        <f>SUMIFS(Xero!$F:$F,Xero!$B:$B,Heron!AK$9,Xero!$A:$A,Heron!$A$6,Xero!$E:$E,Heron!$A107)</f>
        <v/>
      </c>
      <c r="AL107" s="119">
        <f>SUMIFS(Xero!$F:$F,Xero!$B:$B,Heron!AL$9,Xero!$A:$A,Heron!$A$6,Xero!$E:$E,Heron!$A107)</f>
        <v/>
      </c>
      <c r="AM107" s="119">
        <f>SUMIFS(Xero!$F:$F,Xero!$B:$B,Heron!AM$9,Xero!$A:$A,Heron!$A$6,Xero!$E:$E,Heron!$A107)</f>
        <v/>
      </c>
      <c r="AN107" s="119">
        <f>SUMIFS(Xero!$F:$F,Xero!$B:$B,Heron!AN$9,Xero!$A:$A,Heron!$A$6,Xero!$E:$E,Heron!$A107)</f>
        <v/>
      </c>
      <c r="AO107" s="119">
        <f>SUMIFS(Xero!$F:$F,Xero!$B:$B,Heron!AO$9,Xero!$A:$A,Heron!$A$6,Xero!$E:$E,Heron!$A107)</f>
        <v/>
      </c>
      <c r="AP107" s="119">
        <f>SUMIFS(Xero!$F:$F,Xero!$B:$B,Heron!AP$9,Xero!$A:$A,Heron!$A$6,Xero!$E:$E,Heron!$A107)</f>
        <v/>
      </c>
      <c r="AQ107" s="119">
        <f>SUMIFS(Xero!$F:$F,Xero!$B:$B,Heron!AQ$9,Xero!$A:$A,Heron!$A$6,Xero!$E:$E,Heron!$A107)</f>
        <v/>
      </c>
      <c r="AR107" s="119">
        <f>SUMIFS(Xero!$F:$F,Xero!$B:$B,Heron!AR$9,Xero!$A:$A,Heron!$A$6,Xero!$E:$E,Heron!$A107)</f>
        <v/>
      </c>
      <c r="AS107" s="119">
        <f>SUMIFS(Xero!$F:$F,Xero!$B:$B,Heron!AS$9,Xero!$A:$A,Heron!$A$6,Xero!$E:$E,Heron!$A107)</f>
        <v/>
      </c>
      <c r="AT107" s="119">
        <f>SUMIFS(Xero!$F:$F,Xero!$B:$B,Heron!AT$9,Xero!$A:$A,Heron!$A$6,Xero!$E:$E,Heron!$A107)</f>
        <v/>
      </c>
      <c r="AU107" s="119">
        <f>SUMIFS(Xero!$F:$F,Xero!$B:$B,Heron!AU$9,Xero!$A:$A,Heron!$A$6,Xero!$E:$E,Heron!$A107)</f>
        <v/>
      </c>
      <c r="AV107" s="119">
        <f>SUMIFS(Xero!$F:$F,Xero!$B:$B,Heron!AV$9,Xero!$A:$A,Heron!$A$6,Xero!$E:$E,Heron!$A107)</f>
        <v/>
      </c>
      <c r="AW107" s="119">
        <f>SUMIFS(Xero!$F:$F,Xero!$B:$B,Heron!AW$9,Xero!$A:$A,Heron!$A$6,Xero!$E:$E,Heron!$A107)</f>
        <v/>
      </c>
      <c r="AX107" s="119">
        <f>SUMIFS(Xero!$F:$F,Xero!$B:$B,Heron!AX$9,Xero!$A:$A,Heron!$A$6,Xero!$E:$E,Heron!$A107)</f>
        <v/>
      </c>
      <c r="AY107" s="119">
        <f>SUMIFS(Xero!$F:$F,Xero!$B:$B,Heron!AY$9,Xero!$A:$A,Heron!$A$6,Xero!$E:$E,Heron!$A107)</f>
        <v/>
      </c>
      <c r="AZ107" s="119">
        <f>SUMIFS(Xero!$F:$F,Xero!$B:$B,Heron!AZ$9,Xero!$A:$A,Heron!$A$6,Xero!$E:$E,Heron!$A107)</f>
        <v/>
      </c>
      <c r="BA107" s="119">
        <f>SUMIFS(Xero!$F:$F,Xero!$B:$B,Heron!BA$9,Xero!$A:$A,Heron!$A$6,Xero!$E:$E,Heron!$A107)</f>
        <v/>
      </c>
      <c r="BB107" s="119">
        <f>SUMIFS(Xero!$F:$F,Xero!$B:$B,Heron!BB$9,Xero!$A:$A,Heron!$A$6,Xero!$E:$E,Heron!$A107)</f>
        <v/>
      </c>
      <c r="BC107" s="119">
        <f>SUMIFS(Xero!$F:$F,Xero!$B:$B,Heron!BC$9,Xero!$A:$A,Heron!$A$6,Xero!$E:$E,Heron!$A107)</f>
        <v/>
      </c>
      <c r="BD107" s="119">
        <f>SUMIFS(Xero!$F:$F,Xero!$B:$B,Heron!BD$9,Xero!$A:$A,Heron!$A$6,Xero!$E:$E,Heron!$A107)</f>
        <v/>
      </c>
      <c r="BE107" s="119">
        <f>SUMIFS(Xero!$F:$F,Xero!$B:$B,Heron!BE$9,Xero!$A:$A,Heron!$A$6,Xero!$E:$E,Heron!$A107)</f>
        <v/>
      </c>
      <c r="BF107" s="119">
        <f>SUMIFS(Xero!$F:$F,Xero!$B:$B,Heron!BF$9,Xero!$A:$A,Heron!$A$6,Xero!$E:$E,Heron!$A107)</f>
        <v/>
      </c>
      <c r="BG107" s="119">
        <f>SUMIFS(Xero!$F:$F,Xero!$B:$B,Heron!BG$9,Xero!$A:$A,Heron!$A$6,Xero!$E:$E,Heron!$A107)</f>
        <v/>
      </c>
      <c r="BH107" s="119">
        <f>SUMIFS(Xero!$F:$F,Xero!$B:$B,Heron!BH$9,Xero!$A:$A,Heron!$A$6,Xero!$E:$E,Heron!$A107)</f>
        <v/>
      </c>
      <c r="BI107" s="119">
        <f>SUMIFS(Xero!$F:$F,Xero!$B:$B,Heron!BI$9,Xero!$A:$A,Heron!$A$6,Xero!$E:$E,Heron!$A107)</f>
        <v/>
      </c>
      <c r="BJ107" s="119">
        <f>SUMIFS(Xero!$F:$F,Xero!$B:$B,Heron!BJ$9,Xero!$A:$A,Heron!$A$6,Xero!$E:$E,Heron!$A107)</f>
        <v/>
      </c>
      <c r="BK107" s="117">
        <f>sum(D107:BJ107)</f>
        <v/>
      </c>
    </row>
    <row r="108">
      <c r="A108" s="116" t="inlineStr">
        <is>
          <t>COS - Heron Fields - Printing &amp; Stationary</t>
        </is>
      </c>
      <c r="D108" s="119">
        <f>SUMIFS(Xero!$F:$F,Xero!$B:$B,Heron!D$9,Xero!$A:$A,Heron!$A$6,Xero!$E:$E,Heron!$A108)</f>
        <v/>
      </c>
      <c r="E108" s="119">
        <f>SUMIFS(Xero!$F:$F,Xero!$B:$B,Heron!E$9,Xero!$A:$A,Heron!$A$6,Xero!$E:$E,Heron!$A108)</f>
        <v/>
      </c>
      <c r="F108" s="119">
        <f>SUMIFS(Xero!$F:$F,Xero!$B:$B,Heron!F$9,Xero!$A:$A,Heron!$A$6,Xero!$E:$E,Heron!$A108)</f>
        <v/>
      </c>
      <c r="G108" s="119">
        <f>SUMIFS(Xero!$F:$F,Xero!$B:$B,Heron!G$9,Xero!$A:$A,Heron!$A$6,Xero!$E:$E,Heron!$A108)</f>
        <v/>
      </c>
      <c r="H108" s="119">
        <f>SUMIFS(Xero!$F:$F,Xero!$B:$B,Heron!H$9,Xero!$A:$A,Heron!$A$6,Xero!$E:$E,Heron!$A108)</f>
        <v/>
      </c>
      <c r="I108" s="119">
        <f>SUMIFS(Xero!$F:$F,Xero!$B:$B,Heron!I$9,Xero!$A:$A,Heron!$A$6,Xero!$E:$E,Heron!$A108)</f>
        <v/>
      </c>
      <c r="J108" s="119">
        <f>SUMIFS(Xero!$F:$F,Xero!$B:$B,Heron!J$9,Xero!$A:$A,Heron!$A$6,Xero!$E:$E,Heron!$A108)</f>
        <v/>
      </c>
      <c r="K108" s="119">
        <f>SUMIFS(Xero!$F:$F,Xero!$B:$B,Heron!K$9,Xero!$A:$A,Heron!$A$6,Xero!$E:$E,Heron!$A108)</f>
        <v/>
      </c>
      <c r="L108" s="119">
        <f>SUMIFS(Xero!$F:$F,Xero!$B:$B,Heron!L$9,Xero!$A:$A,Heron!$A$6,Xero!$E:$E,Heron!$A108)</f>
        <v/>
      </c>
      <c r="M108" s="119">
        <f>SUMIFS(Xero!$F:$F,Xero!$B:$B,Heron!M$9,Xero!$A:$A,Heron!$A$6,Xero!$E:$E,Heron!$A108)</f>
        <v/>
      </c>
      <c r="N108" s="119">
        <f>SUMIFS(Xero!$F:$F,Xero!$B:$B,Heron!N$9,Xero!$A:$A,Heron!$A$6,Xero!$E:$E,Heron!$A108)</f>
        <v/>
      </c>
      <c r="O108" s="119">
        <f>SUMIFS(Xero!$F:$F,Xero!$B:$B,Heron!O$9,Xero!$A:$A,Heron!$A$6,Xero!$E:$E,Heron!$A108)</f>
        <v/>
      </c>
      <c r="P108" s="119">
        <f>SUMIFS(Xero!$F:$F,Xero!$B:$B,Heron!P$9,Xero!$A:$A,Heron!$A$6,Xero!$E:$E,Heron!$A108)</f>
        <v/>
      </c>
      <c r="Q108" s="119">
        <f>SUMIFS(Xero!$F:$F,Xero!$B:$B,Heron!Q$9,Xero!$A:$A,Heron!$A$6,Xero!$E:$E,Heron!$A108)</f>
        <v/>
      </c>
      <c r="R108" s="119">
        <f>SUMIFS(Xero!$F:$F,Xero!$B:$B,Heron!R$9,Xero!$A:$A,Heron!$A$6,Xero!$E:$E,Heron!$A108)</f>
        <v/>
      </c>
      <c r="S108" s="119">
        <f>SUMIFS(Xero!$F:$F,Xero!$B:$B,Heron!S$9,Xero!$A:$A,Heron!$A$6,Xero!$E:$E,Heron!$A108)</f>
        <v/>
      </c>
      <c r="T108" s="119">
        <f>SUMIFS(Xero!$F:$F,Xero!$B:$B,Heron!T$9,Xero!$A:$A,Heron!$A$6,Xero!$E:$E,Heron!$A108)</f>
        <v/>
      </c>
      <c r="U108" s="119">
        <f>SUMIFS(Xero!$F:$F,Xero!$B:$B,Heron!U$9,Xero!$A:$A,Heron!$A$6,Xero!$E:$E,Heron!$A108)</f>
        <v/>
      </c>
      <c r="V108" s="119">
        <f>SUMIFS(Xero!$F:$F,Xero!$B:$B,Heron!V$9,Xero!$A:$A,Heron!$A$6,Xero!$E:$E,Heron!$A108)</f>
        <v/>
      </c>
      <c r="W108" s="119">
        <f>SUMIFS(Xero!$F:$F,Xero!$B:$B,Heron!W$9,Xero!$A:$A,Heron!$A$6,Xero!$E:$E,Heron!$A108)</f>
        <v/>
      </c>
      <c r="X108" s="119">
        <f>SUMIFS(Xero!$F:$F,Xero!$B:$B,Heron!X$9,Xero!$A:$A,Heron!$A$6,Xero!$E:$E,Heron!$A108)</f>
        <v/>
      </c>
      <c r="Y108" s="119">
        <f>SUMIFS(Xero!$F:$F,Xero!$B:$B,Heron!Y$9,Xero!$A:$A,Heron!$A$6,Xero!$E:$E,Heron!$A108)</f>
        <v/>
      </c>
      <c r="Z108" s="119">
        <f>SUMIFS(Xero!$F:$F,Xero!$B:$B,Heron!Z$9,Xero!$A:$A,Heron!$A$6,Xero!$E:$E,Heron!$A108)</f>
        <v/>
      </c>
      <c r="AA108" s="119">
        <f>SUMIFS(Xero!$F:$F,Xero!$B:$B,Heron!AA$9,Xero!$A:$A,Heron!$A$6,Xero!$E:$E,Heron!$A108)</f>
        <v/>
      </c>
      <c r="AB108" s="119">
        <f>SUMIFS(Xero!$F:$F,Xero!$B:$B,Heron!AB$9,Xero!$A:$A,Heron!$A$6,Xero!$E:$E,Heron!$A108)</f>
        <v/>
      </c>
      <c r="AC108" s="119">
        <f>SUMIFS(Xero!$F:$F,Xero!$B:$B,Heron!AC$9,Xero!$A:$A,Heron!$A$6,Xero!$E:$E,Heron!$A108)</f>
        <v/>
      </c>
      <c r="AD108" s="119">
        <f>SUMIFS(Xero!$F:$F,Xero!$B:$B,Heron!AD$9,Xero!$A:$A,Heron!$A$6,Xero!$E:$E,Heron!$A108)</f>
        <v/>
      </c>
      <c r="AE108" s="119">
        <f>SUMIFS(Xero!$F:$F,Xero!$B:$B,Heron!AE$9,Xero!$A:$A,Heron!$A$6,Xero!$E:$E,Heron!$A108)</f>
        <v/>
      </c>
      <c r="AF108" s="119">
        <f>SUMIFS(Xero!$F:$F,Xero!$B:$B,Heron!AF$9,Xero!$A:$A,Heron!$A$6,Xero!$E:$E,Heron!$A108)</f>
        <v/>
      </c>
      <c r="AG108" s="119">
        <f>SUMIFS(Xero!$F:$F,Xero!$B:$B,Heron!AG$9,Xero!$A:$A,Heron!$A$6,Xero!$E:$E,Heron!$A108)</f>
        <v/>
      </c>
      <c r="AH108" s="119">
        <f>SUMIFS(Xero!$F:$F,Xero!$B:$B,Heron!AH$9,Xero!$A:$A,Heron!$A$6,Xero!$E:$E,Heron!$A108)</f>
        <v/>
      </c>
      <c r="AI108" s="119">
        <f>SUMIFS(Xero!$F:$F,Xero!$B:$B,Heron!AI$9,Xero!$A:$A,Heron!$A$6,Xero!$E:$E,Heron!$A108)</f>
        <v/>
      </c>
      <c r="AJ108" s="119">
        <f>SUMIFS(Xero!$F:$F,Xero!$B:$B,Heron!AJ$9,Xero!$A:$A,Heron!$A$6,Xero!$E:$E,Heron!$A108)</f>
        <v/>
      </c>
      <c r="AK108" s="119">
        <f>SUMIFS(Xero!$F:$F,Xero!$B:$B,Heron!AK$9,Xero!$A:$A,Heron!$A$6,Xero!$E:$E,Heron!$A108)</f>
        <v/>
      </c>
      <c r="AL108" s="119">
        <f>SUMIFS(Xero!$F:$F,Xero!$B:$B,Heron!AL$9,Xero!$A:$A,Heron!$A$6,Xero!$E:$E,Heron!$A108)</f>
        <v/>
      </c>
      <c r="AM108" s="119">
        <f>SUMIFS(Xero!$F:$F,Xero!$B:$B,Heron!AM$9,Xero!$A:$A,Heron!$A$6,Xero!$E:$E,Heron!$A108)</f>
        <v/>
      </c>
      <c r="AN108" s="119">
        <f>SUMIFS(Xero!$F:$F,Xero!$B:$B,Heron!AN$9,Xero!$A:$A,Heron!$A$6,Xero!$E:$E,Heron!$A108)</f>
        <v/>
      </c>
      <c r="AO108" s="119">
        <f>SUMIFS(Xero!$F:$F,Xero!$B:$B,Heron!AO$9,Xero!$A:$A,Heron!$A$6,Xero!$E:$E,Heron!$A108)</f>
        <v/>
      </c>
      <c r="AP108" s="119">
        <f>SUMIFS(Xero!$F:$F,Xero!$B:$B,Heron!AP$9,Xero!$A:$A,Heron!$A$6,Xero!$E:$E,Heron!$A108)</f>
        <v/>
      </c>
      <c r="AQ108" s="119">
        <f>SUMIFS(Xero!$F:$F,Xero!$B:$B,Heron!AQ$9,Xero!$A:$A,Heron!$A$6,Xero!$E:$E,Heron!$A108)</f>
        <v/>
      </c>
      <c r="AR108" s="119">
        <f>SUMIFS(Xero!$F:$F,Xero!$B:$B,Heron!AR$9,Xero!$A:$A,Heron!$A$6,Xero!$E:$E,Heron!$A108)</f>
        <v/>
      </c>
      <c r="AS108" s="119">
        <f>SUMIFS(Xero!$F:$F,Xero!$B:$B,Heron!AS$9,Xero!$A:$A,Heron!$A$6,Xero!$E:$E,Heron!$A108)</f>
        <v/>
      </c>
      <c r="AT108" s="119">
        <f>SUMIFS(Xero!$F:$F,Xero!$B:$B,Heron!AT$9,Xero!$A:$A,Heron!$A$6,Xero!$E:$E,Heron!$A108)</f>
        <v/>
      </c>
      <c r="AU108" s="119">
        <f>SUMIFS(Xero!$F:$F,Xero!$B:$B,Heron!AU$9,Xero!$A:$A,Heron!$A$6,Xero!$E:$E,Heron!$A108)</f>
        <v/>
      </c>
      <c r="AV108" s="119">
        <f>SUMIFS(Xero!$F:$F,Xero!$B:$B,Heron!AV$9,Xero!$A:$A,Heron!$A$6,Xero!$E:$E,Heron!$A108)</f>
        <v/>
      </c>
      <c r="AW108" s="119">
        <f>SUMIFS(Xero!$F:$F,Xero!$B:$B,Heron!AW$9,Xero!$A:$A,Heron!$A$6,Xero!$E:$E,Heron!$A108)</f>
        <v/>
      </c>
      <c r="AX108" s="119">
        <f>SUMIFS(Xero!$F:$F,Xero!$B:$B,Heron!AX$9,Xero!$A:$A,Heron!$A$6,Xero!$E:$E,Heron!$A108)</f>
        <v/>
      </c>
      <c r="AY108" s="119">
        <f>SUMIFS(Xero!$F:$F,Xero!$B:$B,Heron!AY$9,Xero!$A:$A,Heron!$A$6,Xero!$E:$E,Heron!$A108)</f>
        <v/>
      </c>
      <c r="AZ108" s="119">
        <f>SUMIFS(Xero!$F:$F,Xero!$B:$B,Heron!AZ$9,Xero!$A:$A,Heron!$A$6,Xero!$E:$E,Heron!$A108)</f>
        <v/>
      </c>
      <c r="BA108" s="119">
        <f>SUMIFS(Xero!$F:$F,Xero!$B:$B,Heron!BA$9,Xero!$A:$A,Heron!$A$6,Xero!$E:$E,Heron!$A108)</f>
        <v/>
      </c>
      <c r="BB108" s="119">
        <f>SUMIFS(Xero!$F:$F,Xero!$B:$B,Heron!BB$9,Xero!$A:$A,Heron!$A$6,Xero!$E:$E,Heron!$A108)</f>
        <v/>
      </c>
      <c r="BC108" s="119">
        <f>SUMIFS(Xero!$F:$F,Xero!$B:$B,Heron!BC$9,Xero!$A:$A,Heron!$A$6,Xero!$E:$E,Heron!$A108)</f>
        <v/>
      </c>
      <c r="BD108" s="119">
        <f>SUMIFS(Xero!$F:$F,Xero!$B:$B,Heron!BD$9,Xero!$A:$A,Heron!$A$6,Xero!$E:$E,Heron!$A108)</f>
        <v/>
      </c>
      <c r="BE108" s="119">
        <f>SUMIFS(Xero!$F:$F,Xero!$B:$B,Heron!BE$9,Xero!$A:$A,Heron!$A$6,Xero!$E:$E,Heron!$A108)</f>
        <v/>
      </c>
      <c r="BF108" s="119">
        <f>SUMIFS(Xero!$F:$F,Xero!$B:$B,Heron!BF$9,Xero!$A:$A,Heron!$A$6,Xero!$E:$E,Heron!$A108)</f>
        <v/>
      </c>
      <c r="BG108" s="119">
        <f>SUMIFS(Xero!$F:$F,Xero!$B:$B,Heron!BG$9,Xero!$A:$A,Heron!$A$6,Xero!$E:$E,Heron!$A108)</f>
        <v/>
      </c>
      <c r="BH108" s="119">
        <f>SUMIFS(Xero!$F:$F,Xero!$B:$B,Heron!BH$9,Xero!$A:$A,Heron!$A$6,Xero!$E:$E,Heron!$A108)</f>
        <v/>
      </c>
      <c r="BI108" s="119">
        <f>SUMIFS(Xero!$F:$F,Xero!$B:$B,Heron!BI$9,Xero!$A:$A,Heron!$A$6,Xero!$E:$E,Heron!$A108)</f>
        <v/>
      </c>
      <c r="BJ108" s="119">
        <f>SUMIFS(Xero!$F:$F,Xero!$B:$B,Heron!BJ$9,Xero!$A:$A,Heron!$A$6,Xero!$E:$E,Heron!$A108)</f>
        <v/>
      </c>
      <c r="BK108" s="117">
        <f>sum(D108:BJ108)</f>
        <v/>
      </c>
    </row>
    <row r="109">
      <c r="A109" s="116" t="inlineStr">
        <is>
          <t>COS - Heron View - Construction</t>
        </is>
      </c>
      <c r="D109" s="119">
        <f>SUMIFS(Xero!$F:$F,Xero!$B:$B,Heron!D$9,Xero!$A:$A,Heron!$A$6,Xero!$E:$E,Heron!$A109)+SUMIFS('Updated Construction'!$F:$F,'Updated Construction'!$C:$C,1,'Updated Construction'!$E:$E,"&lt;="&amp;Heron!D$9,'Updated Construction'!$E:$E,"&gt;"&amp;Heron!C$9,'Updated Construction'!$D:$D,FALSE)</f>
        <v/>
      </c>
      <c r="E109" s="119">
        <f>SUMIFS(Xero!$F:$F,Xero!$B:$B,Heron!E$9,Xero!$A:$A,Heron!$A$6,Xero!$E:$E,Heron!$A109)+SUMIFS('Updated Construction'!$F:$F,'Updated Construction'!$C:$C,1,'Updated Construction'!$E:$E,"&lt;="&amp;Heron!E$9,'Updated Construction'!$E:$E,"&gt;"&amp;Heron!D$9,'Updated Construction'!$D:$D,FALSE)</f>
        <v/>
      </c>
      <c r="F109" s="119">
        <f>SUMIFS(Xero!$F:$F,Xero!$B:$B,Heron!F$9,Xero!$A:$A,Heron!$A$6,Xero!$E:$E,Heron!$A109)+SUMIFS('Updated Construction'!$F:$F,'Updated Construction'!$C:$C,1,'Updated Construction'!$E:$E,"&lt;="&amp;Heron!F$9,'Updated Construction'!$E:$E,"&gt;"&amp;Heron!E$9,'Updated Construction'!$D:$D,FALSE)</f>
        <v/>
      </c>
      <c r="G109" s="119">
        <f>SUMIFS(Xero!$F:$F,Xero!$B:$B,Heron!G$9,Xero!$A:$A,Heron!$A$6,Xero!$E:$E,Heron!$A109)+SUMIFS('Updated Construction'!$F:$F,'Updated Construction'!$C:$C,1,'Updated Construction'!$E:$E,"&lt;="&amp;Heron!G$9,'Updated Construction'!$E:$E,"&gt;"&amp;Heron!F$9,'Updated Construction'!$D:$D,FALSE)</f>
        <v/>
      </c>
      <c r="H109" s="119">
        <f>SUMIFS(Xero!$F:$F,Xero!$B:$B,Heron!H$9,Xero!$A:$A,Heron!$A$6,Xero!$E:$E,Heron!$A109)+SUMIFS('Updated Construction'!$F:$F,'Updated Construction'!$C:$C,1,'Updated Construction'!$E:$E,"&lt;="&amp;Heron!H$9,'Updated Construction'!$E:$E,"&gt;"&amp;Heron!G$9,'Updated Construction'!$D:$D,FALSE)</f>
        <v/>
      </c>
      <c r="I109" s="119">
        <f>SUMIFS(Xero!$F:$F,Xero!$B:$B,Heron!I$9,Xero!$A:$A,Heron!$A$6,Xero!$E:$E,Heron!$A109)+SUMIFS('Updated Construction'!$F:$F,'Updated Construction'!$C:$C,1,'Updated Construction'!$E:$E,"&lt;="&amp;Heron!I$9,'Updated Construction'!$E:$E,"&gt;"&amp;Heron!H$9,'Updated Construction'!$D:$D,FALSE)</f>
        <v/>
      </c>
      <c r="J109" s="119">
        <f>SUMIFS(Xero!$F:$F,Xero!$B:$B,Heron!J$9,Xero!$A:$A,Heron!$A$6,Xero!$E:$E,Heron!$A109)+SUMIFS('Updated Construction'!$F:$F,'Updated Construction'!$C:$C,1,'Updated Construction'!$E:$E,"&lt;="&amp;Heron!J$9,'Updated Construction'!$E:$E,"&gt;"&amp;Heron!I$9,'Updated Construction'!$D:$D,FALSE)</f>
        <v/>
      </c>
      <c r="K109" s="119">
        <f>SUMIFS(Xero!$F:$F,Xero!$B:$B,Heron!K$9,Xero!$A:$A,Heron!$A$6,Xero!$E:$E,Heron!$A109)+SUMIFS('Updated Construction'!$F:$F,'Updated Construction'!$C:$C,1,'Updated Construction'!$E:$E,"&lt;="&amp;Heron!K$9,'Updated Construction'!$E:$E,"&gt;"&amp;Heron!J$9,'Updated Construction'!$D:$D,FALSE)</f>
        <v/>
      </c>
      <c r="L109" s="119">
        <f>SUMIFS(Xero!$F:$F,Xero!$B:$B,Heron!L$9,Xero!$A:$A,Heron!$A$6,Xero!$E:$E,Heron!$A109)+SUMIFS('Updated Construction'!$F:$F,'Updated Construction'!$C:$C,1,'Updated Construction'!$E:$E,"&lt;="&amp;Heron!L$9,'Updated Construction'!$E:$E,"&gt;"&amp;Heron!K$9,'Updated Construction'!$D:$D,FALSE)</f>
        <v/>
      </c>
      <c r="M109" s="119">
        <f>SUMIFS(Xero!$F:$F,Xero!$B:$B,Heron!M$9,Xero!$A:$A,Heron!$A$6,Xero!$E:$E,Heron!$A109)+SUMIFS('Updated Construction'!$F:$F,'Updated Construction'!$C:$C,1,'Updated Construction'!$E:$E,"&lt;="&amp;Heron!M$9,'Updated Construction'!$E:$E,"&gt;"&amp;Heron!L$9,'Updated Construction'!$D:$D,FALSE)</f>
        <v/>
      </c>
      <c r="N109" s="119">
        <f>SUMIFS(Xero!$F:$F,Xero!$B:$B,Heron!N$9,Xero!$A:$A,Heron!$A$6,Xero!$E:$E,Heron!$A109)+SUMIFS('Updated Construction'!$F:$F,'Updated Construction'!$C:$C,1,'Updated Construction'!$E:$E,"&lt;="&amp;Heron!N$9,'Updated Construction'!$E:$E,"&gt;"&amp;Heron!M$9,'Updated Construction'!$D:$D,FALSE)</f>
        <v/>
      </c>
      <c r="O109" s="119">
        <f>SUMIFS(Xero!$F:$F,Xero!$B:$B,Heron!O$9,Xero!$A:$A,Heron!$A$6,Xero!$E:$E,Heron!$A109)+SUMIFS('Updated Construction'!$F:$F,'Updated Construction'!$C:$C,1,'Updated Construction'!$E:$E,"&lt;="&amp;Heron!O$9,'Updated Construction'!$E:$E,"&gt;"&amp;Heron!N$9,'Updated Construction'!$D:$D,FALSE)</f>
        <v/>
      </c>
      <c r="P109" s="119">
        <f>SUMIFS(Xero!$F:$F,Xero!$B:$B,Heron!P$9,Xero!$A:$A,Heron!$A$6,Xero!$E:$E,Heron!$A109)+SUMIFS('Updated Construction'!$F:$F,'Updated Construction'!$C:$C,1,'Updated Construction'!$E:$E,"&lt;="&amp;Heron!P$9,'Updated Construction'!$E:$E,"&gt;"&amp;Heron!O$9,'Updated Construction'!$D:$D,FALSE)</f>
        <v/>
      </c>
      <c r="Q109" s="119">
        <f>SUMIFS(Xero!$F:$F,Xero!$B:$B,Heron!Q$9,Xero!$A:$A,Heron!$A$6,Xero!$E:$E,Heron!$A109)+SUMIFS('Updated Construction'!$F:$F,'Updated Construction'!$C:$C,1,'Updated Construction'!$E:$E,"&lt;="&amp;Heron!Q$9,'Updated Construction'!$E:$E,"&gt;"&amp;Heron!P$9,'Updated Construction'!$D:$D,FALSE)</f>
        <v/>
      </c>
      <c r="R109" s="119">
        <f>SUMIFS(Xero!$F:$F,Xero!$B:$B,Heron!R$9,Xero!$A:$A,Heron!$A$6,Xero!$E:$E,Heron!$A109)+SUMIFS('Updated Construction'!$F:$F,'Updated Construction'!$C:$C,1,'Updated Construction'!$E:$E,"&lt;="&amp;Heron!R$9,'Updated Construction'!$E:$E,"&gt;"&amp;Heron!Q$9,'Updated Construction'!$D:$D,FALSE)</f>
        <v/>
      </c>
      <c r="S109" s="119">
        <f>SUMIFS(Xero!$F:$F,Xero!$B:$B,Heron!S$9,Xero!$A:$A,Heron!$A$6,Xero!$E:$E,Heron!$A109)+SUMIFS('Updated Construction'!$F:$F,'Updated Construction'!$C:$C,1,'Updated Construction'!$E:$E,"&lt;="&amp;Heron!S$9,'Updated Construction'!$E:$E,"&gt;"&amp;Heron!R$9,'Updated Construction'!$D:$D,FALSE)</f>
        <v/>
      </c>
      <c r="T109" s="119">
        <f>SUMIFS(Xero!$F:$F,Xero!$B:$B,Heron!T$9,Xero!$A:$A,Heron!$A$6,Xero!$E:$E,Heron!$A109)+SUMIFS('Updated Construction'!$F:$F,'Updated Construction'!$C:$C,1,'Updated Construction'!$E:$E,"&lt;="&amp;Heron!T$9,'Updated Construction'!$E:$E,"&gt;"&amp;Heron!S$9,'Updated Construction'!$D:$D,FALSE)</f>
        <v/>
      </c>
      <c r="U109" s="119">
        <f>SUMIFS(Xero!$F:$F,Xero!$B:$B,Heron!U$9,Xero!$A:$A,Heron!$A$6,Xero!$E:$E,Heron!$A109)+SUMIFS('Updated Construction'!$F:$F,'Updated Construction'!$C:$C,1,'Updated Construction'!$E:$E,"&lt;="&amp;Heron!U$9,'Updated Construction'!$E:$E,"&gt;"&amp;Heron!T$9,'Updated Construction'!$D:$D,FALSE)</f>
        <v/>
      </c>
      <c r="V109" s="119">
        <f>SUMIFS(Xero!$F:$F,Xero!$B:$B,Heron!V$9,Xero!$A:$A,Heron!$A$6,Xero!$E:$E,Heron!$A109)+SUMIFS('Updated Construction'!$F:$F,'Updated Construction'!$C:$C,1,'Updated Construction'!$E:$E,"&lt;="&amp;Heron!V$9,'Updated Construction'!$E:$E,"&gt;"&amp;Heron!U$9,'Updated Construction'!$D:$D,FALSE)</f>
        <v/>
      </c>
      <c r="W109" s="119">
        <f>SUMIFS(Xero!$F:$F,Xero!$B:$B,Heron!W$9,Xero!$A:$A,Heron!$A$6,Xero!$E:$E,Heron!$A109)+SUMIFS('Updated Construction'!$F:$F,'Updated Construction'!$C:$C,1,'Updated Construction'!$E:$E,"&lt;="&amp;Heron!W$9,'Updated Construction'!$E:$E,"&gt;"&amp;Heron!V$9,'Updated Construction'!$D:$D,FALSE)</f>
        <v/>
      </c>
      <c r="X109" s="119">
        <f>SUMIFS(Xero!$F:$F,Xero!$B:$B,Heron!X$9,Xero!$A:$A,Heron!$A$6,Xero!$E:$E,Heron!$A109)+SUMIFS('Updated Construction'!$F:$F,'Updated Construction'!$C:$C,1,'Updated Construction'!$E:$E,"&lt;="&amp;Heron!X$9,'Updated Construction'!$E:$E,"&gt;"&amp;Heron!W$9,'Updated Construction'!$D:$D,FALSE)</f>
        <v/>
      </c>
      <c r="Y109" s="119">
        <f>SUMIFS(Xero!$F:$F,Xero!$B:$B,Heron!Y$9,Xero!$A:$A,Heron!$A$6,Xero!$E:$E,Heron!$A109)+SUMIFS('Updated Construction'!$F:$F,'Updated Construction'!$C:$C,1,'Updated Construction'!$E:$E,"&lt;="&amp;Heron!Y$9,'Updated Construction'!$E:$E,"&gt;"&amp;Heron!X$9,'Updated Construction'!$D:$D,FALSE)</f>
        <v/>
      </c>
      <c r="Z109" s="119">
        <f>SUMIFS(Xero!$F:$F,Xero!$B:$B,Heron!Z$9,Xero!$A:$A,Heron!$A$6,Xero!$E:$E,Heron!$A109)+SUMIFS('Updated Construction'!$F:$F,'Updated Construction'!$C:$C,1,'Updated Construction'!$E:$E,"&lt;="&amp;Heron!Z$9,'Updated Construction'!$E:$E,"&gt;"&amp;Heron!Y$9,'Updated Construction'!$D:$D,FALSE)</f>
        <v/>
      </c>
      <c r="AA109" s="119">
        <f>SUMIFS(Xero!$F:$F,Xero!$B:$B,Heron!AA$9,Xero!$A:$A,Heron!$A$6,Xero!$E:$E,Heron!$A109)+SUMIFS('Updated Construction'!$F:$F,'Updated Construction'!$C:$C,1,'Updated Construction'!$E:$E,"&lt;="&amp;Heron!AA$9,'Updated Construction'!$E:$E,"&gt;"&amp;Heron!Z$9,'Updated Construction'!$D:$D,FALSE)</f>
        <v/>
      </c>
      <c r="AB109" s="119">
        <f>SUMIFS(Xero!$F:$F,Xero!$B:$B,Heron!AB$9,Xero!$A:$A,Heron!$A$6,Xero!$E:$E,Heron!$A109)+SUMIFS('Updated Construction'!$F:$F,'Updated Construction'!$C:$C,1,'Updated Construction'!$E:$E,"&lt;="&amp;Heron!AB$9,'Updated Construction'!$E:$E,"&gt;"&amp;Heron!AA$9,'Updated Construction'!$D:$D,FALSE)</f>
        <v/>
      </c>
      <c r="AC109" s="119">
        <f>SUMIFS(Xero!$F:$F,Xero!$B:$B,Heron!AC$9,Xero!$A:$A,Heron!$A$6,Xero!$E:$E,Heron!$A109)+SUMIFS('Updated Construction'!$F:$F,'Updated Construction'!$C:$C,1,'Updated Construction'!$E:$E,"&lt;="&amp;Heron!AC$9,'Updated Construction'!$E:$E,"&gt;"&amp;Heron!AB$9,'Updated Construction'!$D:$D,FALSE)</f>
        <v/>
      </c>
      <c r="AD109" s="119">
        <f>SUMIFS(Xero!$F:$F,Xero!$B:$B,Heron!AD$9,Xero!$A:$A,Heron!$A$6,Xero!$E:$E,Heron!$A109)+SUMIFS('Updated Construction'!$F:$F,'Updated Construction'!$C:$C,1,'Updated Construction'!$E:$E,"&lt;="&amp;Heron!AD$9,'Updated Construction'!$E:$E,"&gt;"&amp;Heron!AC$9,'Updated Construction'!$D:$D,FALSE)</f>
        <v/>
      </c>
      <c r="AE109" s="119">
        <f>SUMIFS(Xero!$F:$F,Xero!$B:$B,Heron!AE$9,Xero!$A:$A,Heron!$A$6,Xero!$E:$E,Heron!$A109)+SUMIFS('Updated Construction'!$F:$F,'Updated Construction'!$C:$C,1,'Updated Construction'!$E:$E,"&lt;="&amp;Heron!AE$9,'Updated Construction'!$E:$E,"&gt;"&amp;Heron!AD$9,'Updated Construction'!$D:$D,FALSE)</f>
        <v/>
      </c>
      <c r="AF109" s="119">
        <f>SUMIFS(Xero!$F:$F,Xero!$B:$B,Heron!AF$9,Xero!$A:$A,Heron!$A$6,Xero!$E:$E,Heron!$A109)+SUMIFS('Updated Construction'!$F:$F,'Updated Construction'!$C:$C,1,'Updated Construction'!$E:$E,"&lt;="&amp;Heron!AF$9,'Updated Construction'!$E:$E,"&gt;"&amp;Heron!AE$9,'Updated Construction'!$D:$D,FALSE)</f>
        <v/>
      </c>
      <c r="AG109" s="119">
        <f>SUMIFS(Xero!$F:$F,Xero!$B:$B,Heron!AG$9,Xero!$A:$A,Heron!$A$6,Xero!$E:$E,Heron!$A109)+SUMIFS('Updated Construction'!$F:$F,'Updated Construction'!$C:$C,1,'Updated Construction'!$E:$E,"&lt;="&amp;Heron!AG$9,'Updated Construction'!$E:$E,"&gt;"&amp;Heron!AF$9,'Updated Construction'!$D:$D,FALSE)</f>
        <v/>
      </c>
      <c r="AH109" s="119">
        <f>SUMIFS(Xero!$F:$F,Xero!$B:$B,Heron!AH$9,Xero!$A:$A,Heron!$A$6,Xero!$E:$E,Heron!$A109)+SUMIFS('Updated Construction'!$F:$F,'Updated Construction'!$C:$C,1,'Updated Construction'!$E:$E,"&lt;="&amp;Heron!AH$9,'Updated Construction'!$E:$E,"&gt;"&amp;Heron!AG$9,'Updated Construction'!$D:$D,FALSE)</f>
        <v/>
      </c>
      <c r="AI109" s="119">
        <f>SUMIFS(Xero!$F:$F,Xero!$B:$B,Heron!AI$9,Xero!$A:$A,Heron!$A$6,Xero!$E:$E,Heron!$A109)+SUMIFS('Updated Construction'!$F:$F,'Updated Construction'!$C:$C,1,'Updated Construction'!$E:$E,"&lt;="&amp;Heron!AI$9,'Updated Construction'!$E:$E,"&gt;"&amp;Heron!AH$9,'Updated Construction'!$D:$D,FALSE)</f>
        <v/>
      </c>
      <c r="AJ109" s="119">
        <f>SUMIFS(Xero!$F:$F,Xero!$B:$B,Heron!AJ$9,Xero!$A:$A,Heron!$A$6,Xero!$E:$E,Heron!$A109)+SUMIFS('Updated Construction'!$F:$F,'Updated Construction'!$C:$C,1,'Updated Construction'!$E:$E,"&lt;="&amp;Heron!AJ$9,'Updated Construction'!$E:$E,"&gt;"&amp;Heron!AI$9,'Updated Construction'!$D:$D,FALSE)</f>
        <v/>
      </c>
      <c r="AK109" s="119">
        <f>SUMIFS(Xero!$F:$F,Xero!$B:$B,Heron!AK$9,Xero!$A:$A,Heron!$A$6,Xero!$E:$E,Heron!$A109)+SUMIFS('Updated Construction'!$F:$F,'Updated Construction'!$C:$C,1,'Updated Construction'!$E:$E,"&lt;="&amp;Heron!AK$9,'Updated Construction'!$E:$E,"&gt;"&amp;Heron!AJ$9,'Updated Construction'!$D:$D,FALSE)</f>
        <v/>
      </c>
      <c r="AL109" s="119">
        <f>SUMIFS(Xero!$F:$F,Xero!$B:$B,Heron!AL$9,Xero!$A:$A,Heron!$A$6,Xero!$E:$E,Heron!$A109)+SUMIFS('Updated Construction'!$F:$F,'Updated Construction'!$C:$C,1,'Updated Construction'!$E:$E,"&lt;="&amp;Heron!AL$9,'Updated Construction'!$E:$E,"&gt;"&amp;Heron!AK$9,'Updated Construction'!$D:$D,FALSE)</f>
        <v/>
      </c>
      <c r="AM109" s="119">
        <f>SUMIFS(Xero!$F:$F,Xero!$B:$B,Heron!AM$9,Xero!$A:$A,Heron!$A$6,Xero!$E:$E,Heron!$A109)+SUMIFS('Updated Construction'!$F:$F,'Updated Construction'!$C:$C,1,'Updated Construction'!$E:$E,"&lt;="&amp;Heron!AM$9,'Updated Construction'!$E:$E,"&gt;"&amp;Heron!AL$9,'Updated Construction'!$D:$D,FALSE)</f>
        <v/>
      </c>
      <c r="AN109" s="119">
        <f>SUMIFS(Xero!$F:$F,Xero!$B:$B,Heron!AN$9,Xero!$A:$A,Heron!$A$6,Xero!$E:$E,Heron!$A109)+SUMIFS('Updated Construction'!$F:$F,'Updated Construction'!$C:$C,1,'Updated Construction'!$E:$E,"&lt;="&amp;Heron!AN$9,'Updated Construction'!$E:$E,"&gt;"&amp;Heron!AM$9,'Updated Construction'!$D:$D,FALSE)</f>
        <v/>
      </c>
      <c r="AO109" s="119">
        <f>SUMIFS(Xero!$F:$F,Xero!$B:$B,Heron!AO$9,Xero!$A:$A,Heron!$A$6,Xero!$E:$E,Heron!$A109)+SUMIFS('Updated Construction'!$F:$F,'Updated Construction'!$C:$C,1,'Updated Construction'!$E:$E,"&lt;="&amp;Heron!AO$9,'Updated Construction'!$E:$E,"&gt;"&amp;Heron!AN$9,'Updated Construction'!$D:$D,FALSE)</f>
        <v/>
      </c>
      <c r="AP109" s="119">
        <f>SUMIFS(Xero!$F:$F,Xero!$B:$B,Heron!AP$9,Xero!$A:$A,Heron!$A$6,Xero!$E:$E,Heron!$A109)+SUMIFS('Updated Construction'!$F:$F,'Updated Construction'!$C:$C,1,'Updated Construction'!$E:$E,"&lt;="&amp;Heron!AP$9,'Updated Construction'!$E:$E,"&gt;"&amp;Heron!AO$9,'Updated Construction'!$D:$D,FALSE)</f>
        <v/>
      </c>
      <c r="AQ109" s="119">
        <f>SUMIFS(Xero!$F:$F,Xero!$B:$B,Heron!AQ$9,Xero!$A:$A,Heron!$A$6,Xero!$E:$E,Heron!$A109)+SUMIFS('Updated Construction'!$F:$F,'Updated Construction'!$C:$C,1,'Updated Construction'!$E:$E,"&lt;="&amp;Heron!AQ$9,'Updated Construction'!$E:$E,"&gt;"&amp;Heron!AP$9,'Updated Construction'!$D:$D,FALSE)</f>
        <v/>
      </c>
      <c r="AR109" s="119">
        <f>SUMIFS(Xero!$F:$F,Xero!$B:$B,Heron!AR$9,Xero!$A:$A,Heron!$A$6,Xero!$E:$E,Heron!$A109)+SUMIFS('Updated Construction'!$F:$F,'Updated Construction'!$C:$C,1,'Updated Construction'!$E:$E,"&lt;="&amp;Heron!AR$9,'Updated Construction'!$E:$E,"&gt;"&amp;Heron!AQ$9,'Updated Construction'!$D:$D,FALSE)</f>
        <v/>
      </c>
      <c r="AS109" s="119">
        <f>SUMIFS(Xero!$F:$F,Xero!$B:$B,Heron!AS$9,Xero!$A:$A,Heron!$A$6,Xero!$E:$E,Heron!$A109)+SUMIFS('Updated Construction'!$F:$F,'Updated Construction'!$C:$C,1,'Updated Construction'!$E:$E,"&lt;="&amp;Heron!AS$9,'Updated Construction'!$E:$E,"&gt;"&amp;Heron!AR$9,'Updated Construction'!$D:$D,FALSE)</f>
        <v/>
      </c>
      <c r="AT109" s="119">
        <f>SUMIFS(Xero!$F:$F,Xero!$B:$B,Heron!AT$9,Xero!$A:$A,Heron!$A$6,Xero!$E:$E,Heron!$A109)+SUMIFS('Updated Construction'!$F:$F,'Updated Construction'!$C:$C,1,'Updated Construction'!$E:$E,"&lt;="&amp;Heron!AT$9,'Updated Construction'!$E:$E,"&gt;"&amp;Heron!AS$9,'Updated Construction'!$D:$D,FALSE)</f>
        <v/>
      </c>
      <c r="AU109" s="119">
        <f>SUMIFS(Xero!$F:$F,Xero!$B:$B,Heron!AU$9,Xero!$A:$A,Heron!$A$6,Xero!$E:$E,Heron!$A109)+SUMIFS('Updated Construction'!$F:$F,'Updated Construction'!$C:$C,1,'Updated Construction'!$E:$E,"&lt;="&amp;Heron!AU$9,'Updated Construction'!$E:$E,"&gt;"&amp;Heron!AT$9,'Updated Construction'!$D:$D,FALSE)</f>
        <v/>
      </c>
      <c r="AV109" s="119">
        <f>SUMIFS(Xero!$F:$F,Xero!$B:$B,Heron!AV$9,Xero!$A:$A,Heron!$A$6,Xero!$E:$E,Heron!$A109)+SUMIFS('Updated Construction'!$F:$F,'Updated Construction'!$C:$C,1,'Updated Construction'!$E:$E,"&lt;="&amp;Heron!AV$9,'Updated Construction'!$E:$E,"&gt;"&amp;Heron!AU$9,'Updated Construction'!$D:$D,FALSE)</f>
        <v/>
      </c>
      <c r="AW109" s="119">
        <f>SUMIFS(Xero!$F:$F,Xero!$B:$B,Heron!AW$9,Xero!$A:$A,Heron!$A$6,Xero!$E:$E,Heron!$A109)+SUMIFS('Updated Construction'!$F:$F,'Updated Construction'!$C:$C,1,'Updated Construction'!$E:$E,"&lt;="&amp;Heron!AW$9,'Updated Construction'!$E:$E,"&gt;"&amp;Heron!AV$9,'Updated Construction'!$D:$D,FALSE)</f>
        <v/>
      </c>
      <c r="AX109" s="119">
        <f>SUMIFS(Xero!$F:$F,Xero!$B:$B,Heron!AX$9,Xero!$A:$A,Heron!$A$6,Xero!$E:$E,Heron!$A109)+SUMIFS('Updated Construction'!$F:$F,'Updated Construction'!$C:$C,1,'Updated Construction'!$E:$E,"&lt;="&amp;Heron!AX$9,'Updated Construction'!$E:$E,"&gt;"&amp;Heron!AW$9,'Updated Construction'!$D:$D,FALSE)</f>
        <v/>
      </c>
      <c r="AY109" s="119">
        <f>SUMIFS(Xero!$F:$F,Xero!$B:$B,Heron!AY$9,Xero!$A:$A,Heron!$A$6,Xero!$E:$E,Heron!$A109)+SUMIFS('Updated Construction'!$F:$F,'Updated Construction'!$C:$C,1,'Updated Construction'!$E:$E,"&lt;="&amp;Heron!AY$9,'Updated Construction'!$E:$E,"&gt;"&amp;Heron!AX$9,'Updated Construction'!$D:$D,FALSE)</f>
        <v/>
      </c>
      <c r="AZ109" s="119">
        <f>SUMIFS(Xero!$F:$F,Xero!$B:$B,Heron!AZ$9,Xero!$A:$A,Heron!$A$6,Xero!$E:$E,Heron!$A109)+SUMIFS('Updated Construction'!$F:$F,'Updated Construction'!$C:$C,1,'Updated Construction'!$E:$E,"&lt;="&amp;Heron!AZ$9,'Updated Construction'!$E:$E,"&gt;"&amp;Heron!AY$9,'Updated Construction'!$D:$D,FALSE)</f>
        <v/>
      </c>
      <c r="BA109" s="119">
        <f>SUMIFS(Xero!$F:$F,Xero!$B:$B,Heron!BA$9,Xero!$A:$A,Heron!$A$6,Xero!$E:$E,Heron!$A109)+SUMIFS('Updated Construction'!$F:$F,'Updated Construction'!$C:$C,1,'Updated Construction'!$E:$E,"&lt;="&amp;Heron!BA$9,'Updated Construction'!$E:$E,"&gt;"&amp;Heron!AZ$9,'Updated Construction'!$D:$D,FALSE)</f>
        <v/>
      </c>
      <c r="BB109" s="119">
        <f>SUMIFS(Xero!$F:$F,Xero!$B:$B,Heron!BB$9,Xero!$A:$A,Heron!$A$6,Xero!$E:$E,Heron!$A109)+SUMIFS('Updated Construction'!$F:$F,'Updated Construction'!$C:$C,1,'Updated Construction'!$E:$E,"&lt;="&amp;Heron!BB$9,'Updated Construction'!$E:$E,"&gt;"&amp;Heron!BA$9,'Updated Construction'!$D:$D,FALSE)</f>
        <v/>
      </c>
      <c r="BC109" s="119">
        <f>SUMIFS(Xero!$F:$F,Xero!$B:$B,Heron!BC$9,Xero!$A:$A,Heron!$A$6,Xero!$E:$E,Heron!$A109)+SUMIFS('Updated Construction'!$F:$F,'Updated Construction'!$C:$C,1,'Updated Construction'!$E:$E,"&lt;="&amp;Heron!BC$9,'Updated Construction'!$E:$E,"&gt;"&amp;Heron!BB$9,'Updated Construction'!$D:$D,FALSE)</f>
        <v/>
      </c>
      <c r="BD109" s="119">
        <f>SUMIFS(Xero!$F:$F,Xero!$B:$B,Heron!BD$9,Xero!$A:$A,Heron!$A$6,Xero!$E:$E,Heron!$A109)+SUMIFS('Updated Construction'!$F:$F,'Updated Construction'!$C:$C,1,'Updated Construction'!$E:$E,"&lt;="&amp;Heron!BD$9,'Updated Construction'!$E:$E,"&gt;"&amp;Heron!BC$9,'Updated Construction'!$D:$D,FALSE)</f>
        <v/>
      </c>
      <c r="BE109" s="119">
        <f>SUMIFS(Xero!$F:$F,Xero!$B:$B,Heron!BE$9,Xero!$A:$A,Heron!$A$6,Xero!$E:$E,Heron!$A109)+SUMIFS('Updated Construction'!$F:$F,'Updated Construction'!$C:$C,1,'Updated Construction'!$E:$E,"&lt;="&amp;Heron!BE$9,'Updated Construction'!$E:$E,"&gt;"&amp;Heron!BD$9,'Updated Construction'!$D:$D,FALSE)</f>
        <v/>
      </c>
      <c r="BF109" s="119">
        <f>SUMIFS(Xero!$F:$F,Xero!$B:$B,Heron!BF$9,Xero!$A:$A,Heron!$A$6,Xero!$E:$E,Heron!$A109)+SUMIFS('Updated Construction'!$F:$F,'Updated Construction'!$C:$C,1,'Updated Construction'!$E:$E,"&lt;="&amp;Heron!BF$9,'Updated Construction'!$E:$E,"&gt;"&amp;Heron!BE$9,'Updated Construction'!$D:$D,FALSE)</f>
        <v/>
      </c>
      <c r="BG109" s="119">
        <f>SUMIFS(Xero!$F:$F,Xero!$B:$B,Heron!BG$9,Xero!$A:$A,Heron!$A$6,Xero!$E:$E,Heron!$A109)+SUMIFS('Updated Construction'!$F:$F,'Updated Construction'!$C:$C,1,'Updated Construction'!$E:$E,"&lt;="&amp;Heron!BG$9,'Updated Construction'!$E:$E,"&gt;"&amp;Heron!BF$9,'Updated Construction'!$D:$D,FALSE)</f>
        <v/>
      </c>
      <c r="BH109" s="119">
        <f>SUMIFS(Xero!$F:$F,Xero!$B:$B,Heron!BH$9,Xero!$A:$A,Heron!$A$6,Xero!$E:$E,Heron!$A109)+SUMIFS('Updated Construction'!$F:$F,'Updated Construction'!$C:$C,1,'Updated Construction'!$E:$E,"&lt;="&amp;Heron!BH$9,'Updated Construction'!$E:$E,"&gt;"&amp;Heron!BG$9,'Updated Construction'!$D:$D,FALSE)</f>
        <v/>
      </c>
      <c r="BI109" s="119">
        <f>SUMIFS(Xero!$F:$F,Xero!$B:$B,Heron!BI$9,Xero!$A:$A,Heron!$A$6,Xero!$E:$E,Heron!$A109)+SUMIFS('Updated Construction'!$F:$F,'Updated Construction'!$C:$C,1,'Updated Construction'!$E:$E,"&lt;="&amp;Heron!BI$9,'Updated Construction'!$E:$E,"&gt;"&amp;Heron!BH$9,'Updated Construction'!$D:$D,FALSE)</f>
        <v/>
      </c>
      <c r="BJ109" s="119">
        <f>SUMIFS(Xero!$F:$F,Xero!$B:$B,Heron!BJ$9,Xero!$A:$A,Heron!$A$6,Xero!$E:$E,Heron!$A109)+SUMIFS('Updated Construction'!$F:$F,'Updated Construction'!$C:$C,1,'Updated Construction'!$E:$E,"&lt;="&amp;Heron!BJ$9,'Updated Construction'!$E:$E,"&gt;"&amp;Heron!BI$9,'Updated Construction'!$D:$D,FALSE)</f>
        <v/>
      </c>
      <c r="BK109" s="117">
        <f>sum(D109:BJ109)</f>
        <v/>
      </c>
    </row>
    <row r="110">
      <c r="A110" s="116" t="inlineStr">
        <is>
          <t>COS - Heron View - P&amp;G</t>
        </is>
      </c>
      <c r="D110" s="119">
        <f>SUMIFS(Xero!$F:$F,Xero!$B:$B,Heron!D$9,Xero!$A:$A,Heron!$A$6,Xero!$E:$E,Heron!$A110)</f>
        <v/>
      </c>
      <c r="E110" s="119">
        <f>SUMIFS(Xero!$F:$F,Xero!$B:$B,Heron!E$9,Xero!$A:$A,Heron!$A$6,Xero!$E:$E,Heron!$A110)</f>
        <v/>
      </c>
      <c r="F110" s="119">
        <f>SUMIFS(Xero!$F:$F,Xero!$B:$B,Heron!F$9,Xero!$A:$A,Heron!$A$6,Xero!$E:$E,Heron!$A110)</f>
        <v/>
      </c>
      <c r="G110" s="119">
        <f>SUMIFS(Xero!$F:$F,Xero!$B:$B,Heron!G$9,Xero!$A:$A,Heron!$A$6,Xero!$E:$E,Heron!$A110)</f>
        <v/>
      </c>
      <c r="H110" s="119">
        <f>SUMIFS(Xero!$F:$F,Xero!$B:$B,Heron!H$9,Xero!$A:$A,Heron!$A$6,Xero!$E:$E,Heron!$A110)</f>
        <v/>
      </c>
      <c r="I110" s="119">
        <f>SUMIFS(Xero!$F:$F,Xero!$B:$B,Heron!I$9,Xero!$A:$A,Heron!$A$6,Xero!$E:$E,Heron!$A110)</f>
        <v/>
      </c>
      <c r="J110" s="119">
        <f>SUMIFS(Xero!$F:$F,Xero!$B:$B,Heron!J$9,Xero!$A:$A,Heron!$A$6,Xero!$E:$E,Heron!$A110)</f>
        <v/>
      </c>
      <c r="K110" s="119">
        <f>SUMIFS(Xero!$F:$F,Xero!$B:$B,Heron!K$9,Xero!$A:$A,Heron!$A$6,Xero!$E:$E,Heron!$A110)</f>
        <v/>
      </c>
      <c r="L110" s="119">
        <f>SUMIFS(Xero!$F:$F,Xero!$B:$B,Heron!L$9,Xero!$A:$A,Heron!$A$6,Xero!$E:$E,Heron!$A110)</f>
        <v/>
      </c>
      <c r="M110" s="119">
        <f>SUMIFS(Xero!$F:$F,Xero!$B:$B,Heron!M$9,Xero!$A:$A,Heron!$A$6,Xero!$E:$E,Heron!$A110)</f>
        <v/>
      </c>
      <c r="N110" s="119">
        <f>SUMIFS(Xero!$F:$F,Xero!$B:$B,Heron!N$9,Xero!$A:$A,Heron!$A$6,Xero!$E:$E,Heron!$A110)</f>
        <v/>
      </c>
      <c r="O110" s="119">
        <f>SUMIFS(Xero!$F:$F,Xero!$B:$B,Heron!O$9,Xero!$A:$A,Heron!$A$6,Xero!$E:$E,Heron!$A110)</f>
        <v/>
      </c>
      <c r="P110" s="119">
        <f>SUMIFS(Xero!$F:$F,Xero!$B:$B,Heron!P$9,Xero!$A:$A,Heron!$A$6,Xero!$E:$E,Heron!$A110)</f>
        <v/>
      </c>
      <c r="Q110" s="119">
        <f>SUMIFS(Xero!$F:$F,Xero!$B:$B,Heron!Q$9,Xero!$A:$A,Heron!$A$6,Xero!$E:$E,Heron!$A110)</f>
        <v/>
      </c>
      <c r="R110" s="119">
        <f>SUMIFS(Xero!$F:$F,Xero!$B:$B,Heron!R$9,Xero!$A:$A,Heron!$A$6,Xero!$E:$E,Heron!$A110)</f>
        <v/>
      </c>
      <c r="S110" s="119">
        <f>SUMIFS(Xero!$F:$F,Xero!$B:$B,Heron!S$9,Xero!$A:$A,Heron!$A$6,Xero!$E:$E,Heron!$A110)</f>
        <v/>
      </c>
      <c r="T110" s="119">
        <f>SUMIFS(Xero!$F:$F,Xero!$B:$B,Heron!T$9,Xero!$A:$A,Heron!$A$6,Xero!$E:$E,Heron!$A110)</f>
        <v/>
      </c>
      <c r="U110" s="119">
        <f>SUMIFS(Xero!$F:$F,Xero!$B:$B,Heron!U$9,Xero!$A:$A,Heron!$A$6,Xero!$E:$E,Heron!$A110)</f>
        <v/>
      </c>
      <c r="V110" s="119">
        <f>SUMIFS(Xero!$F:$F,Xero!$B:$B,Heron!V$9,Xero!$A:$A,Heron!$A$6,Xero!$E:$E,Heron!$A110)</f>
        <v/>
      </c>
      <c r="W110" s="119">
        <f>SUMIFS(Xero!$F:$F,Xero!$B:$B,Heron!W$9,Xero!$A:$A,Heron!$A$6,Xero!$E:$E,Heron!$A110)</f>
        <v/>
      </c>
      <c r="X110" s="119">
        <f>SUMIFS(Xero!$F:$F,Xero!$B:$B,Heron!X$9,Xero!$A:$A,Heron!$A$6,Xero!$E:$E,Heron!$A110)</f>
        <v/>
      </c>
      <c r="Y110" s="119">
        <f>SUMIFS(Xero!$F:$F,Xero!$B:$B,Heron!Y$9,Xero!$A:$A,Heron!$A$6,Xero!$E:$E,Heron!$A110)</f>
        <v/>
      </c>
      <c r="Z110" s="119">
        <f>SUMIFS(Xero!$F:$F,Xero!$B:$B,Heron!Z$9,Xero!$A:$A,Heron!$A$6,Xero!$E:$E,Heron!$A110)</f>
        <v/>
      </c>
      <c r="AA110" s="119">
        <f>SUMIFS(Xero!$F:$F,Xero!$B:$B,Heron!AA$9,Xero!$A:$A,Heron!$A$6,Xero!$E:$E,Heron!$A110)</f>
        <v/>
      </c>
      <c r="AB110" s="119">
        <f>SUMIFS(Xero!$F:$F,Xero!$B:$B,Heron!AB$9,Xero!$A:$A,Heron!$A$6,Xero!$E:$E,Heron!$A110)</f>
        <v/>
      </c>
      <c r="AC110" s="119">
        <f>SUMIFS(Xero!$F:$F,Xero!$B:$B,Heron!AC$9,Xero!$A:$A,Heron!$A$6,Xero!$E:$E,Heron!$A110)</f>
        <v/>
      </c>
      <c r="AD110" s="119">
        <f>SUMIFS(Xero!$F:$F,Xero!$B:$B,Heron!AD$9,Xero!$A:$A,Heron!$A$6,Xero!$E:$E,Heron!$A110)</f>
        <v/>
      </c>
      <c r="AE110" s="119">
        <f>SUMIFS(Xero!$F:$F,Xero!$B:$B,Heron!AE$9,Xero!$A:$A,Heron!$A$6,Xero!$E:$E,Heron!$A110)</f>
        <v/>
      </c>
      <c r="AF110" s="119">
        <f>SUMIFS(Xero!$F:$F,Xero!$B:$B,Heron!AF$9,Xero!$A:$A,Heron!$A$6,Xero!$E:$E,Heron!$A110)</f>
        <v/>
      </c>
      <c r="AG110" s="119">
        <f>SUMIFS(Xero!$F:$F,Xero!$B:$B,Heron!AG$9,Xero!$A:$A,Heron!$A$6,Xero!$E:$E,Heron!$A110)</f>
        <v/>
      </c>
      <c r="AH110" s="119">
        <f>SUMIFS(Xero!$F:$F,Xero!$B:$B,Heron!AH$9,Xero!$A:$A,Heron!$A$6,Xero!$E:$E,Heron!$A110)</f>
        <v/>
      </c>
      <c r="AI110" s="119">
        <f>SUMIFS(Xero!$F:$F,Xero!$B:$B,Heron!AI$9,Xero!$A:$A,Heron!$A$6,Xero!$E:$E,Heron!$A110)</f>
        <v/>
      </c>
      <c r="AJ110" s="119">
        <f>SUMIFS(Xero!$F:$F,Xero!$B:$B,Heron!AJ$9,Xero!$A:$A,Heron!$A$6,Xero!$E:$E,Heron!$A110)</f>
        <v/>
      </c>
      <c r="AK110" s="119">
        <f>SUMIFS(Xero!$F:$F,Xero!$B:$B,Heron!AK$9,Xero!$A:$A,Heron!$A$6,Xero!$E:$E,Heron!$A110)</f>
        <v/>
      </c>
      <c r="AL110" s="119">
        <f>SUMIFS(Xero!$F:$F,Xero!$B:$B,Heron!AL$9,Xero!$A:$A,Heron!$A$6,Xero!$E:$E,Heron!$A110)</f>
        <v/>
      </c>
      <c r="AM110" s="119">
        <f>SUMIFS(Xero!$F:$F,Xero!$B:$B,Heron!AM$9,Xero!$A:$A,Heron!$A$6,Xero!$E:$E,Heron!$A110)</f>
        <v/>
      </c>
      <c r="AN110" s="119">
        <f>SUMIFS(Xero!$F:$F,Xero!$B:$B,Heron!AN$9,Xero!$A:$A,Heron!$A$6,Xero!$E:$E,Heron!$A110)</f>
        <v/>
      </c>
      <c r="AO110" s="119">
        <f>SUMIFS(Xero!$F:$F,Xero!$B:$B,Heron!AO$9,Xero!$A:$A,Heron!$A$6,Xero!$E:$E,Heron!$A110)</f>
        <v/>
      </c>
      <c r="AP110" s="119">
        <f>SUMIFS(Xero!$F:$F,Xero!$B:$B,Heron!AP$9,Xero!$A:$A,Heron!$A$6,Xero!$E:$E,Heron!$A110)</f>
        <v/>
      </c>
      <c r="AQ110" s="119">
        <f>SUMIFS(Xero!$F:$F,Xero!$B:$B,Heron!AQ$9,Xero!$A:$A,Heron!$A$6,Xero!$E:$E,Heron!$A110)</f>
        <v/>
      </c>
      <c r="AR110" s="119">
        <f>SUMIFS(Xero!$F:$F,Xero!$B:$B,Heron!AR$9,Xero!$A:$A,Heron!$A$6,Xero!$E:$E,Heron!$A110)</f>
        <v/>
      </c>
      <c r="AS110" s="119">
        <f>SUMIFS(Xero!$F:$F,Xero!$B:$B,Heron!AS$9,Xero!$A:$A,Heron!$A$6,Xero!$E:$E,Heron!$A110)</f>
        <v/>
      </c>
      <c r="AT110" s="119">
        <f>SUMIFS(Xero!$F:$F,Xero!$B:$B,Heron!AT$9,Xero!$A:$A,Heron!$A$6,Xero!$E:$E,Heron!$A110)</f>
        <v/>
      </c>
      <c r="AU110" s="119">
        <f>SUMIFS(Xero!$F:$F,Xero!$B:$B,Heron!AU$9,Xero!$A:$A,Heron!$A$6,Xero!$E:$E,Heron!$A110)</f>
        <v/>
      </c>
      <c r="AV110" s="119">
        <f>SUMIFS(Xero!$F:$F,Xero!$B:$B,Heron!AV$9,Xero!$A:$A,Heron!$A$6,Xero!$E:$E,Heron!$A110)</f>
        <v/>
      </c>
      <c r="AW110" s="119">
        <f>SUMIFS(Xero!$F:$F,Xero!$B:$B,Heron!AW$9,Xero!$A:$A,Heron!$A$6,Xero!$E:$E,Heron!$A110)</f>
        <v/>
      </c>
      <c r="AX110" s="119">
        <f>SUMIFS(Xero!$F:$F,Xero!$B:$B,Heron!AX$9,Xero!$A:$A,Heron!$A$6,Xero!$E:$E,Heron!$A110)</f>
        <v/>
      </c>
      <c r="AY110" s="119">
        <f>SUMIFS(Xero!$F:$F,Xero!$B:$B,Heron!AY$9,Xero!$A:$A,Heron!$A$6,Xero!$E:$E,Heron!$A110)</f>
        <v/>
      </c>
      <c r="AZ110" s="119">
        <f>SUMIFS(Xero!$F:$F,Xero!$B:$B,Heron!AZ$9,Xero!$A:$A,Heron!$A$6,Xero!$E:$E,Heron!$A110)</f>
        <v/>
      </c>
      <c r="BA110" s="119">
        <f>SUMIFS(Xero!$F:$F,Xero!$B:$B,Heron!BA$9,Xero!$A:$A,Heron!$A$6,Xero!$E:$E,Heron!$A110)</f>
        <v/>
      </c>
      <c r="BB110" s="119">
        <f>SUMIFS(Xero!$F:$F,Xero!$B:$B,Heron!BB$9,Xero!$A:$A,Heron!$A$6,Xero!$E:$E,Heron!$A110)</f>
        <v/>
      </c>
      <c r="BC110" s="119">
        <f>SUMIFS(Xero!$F:$F,Xero!$B:$B,Heron!BC$9,Xero!$A:$A,Heron!$A$6,Xero!$E:$E,Heron!$A110)</f>
        <v/>
      </c>
      <c r="BD110" s="119">
        <f>SUMIFS(Xero!$F:$F,Xero!$B:$B,Heron!BD$9,Xero!$A:$A,Heron!$A$6,Xero!$E:$E,Heron!$A110)</f>
        <v/>
      </c>
      <c r="BE110" s="119">
        <f>SUMIFS(Xero!$F:$F,Xero!$B:$B,Heron!BE$9,Xero!$A:$A,Heron!$A$6,Xero!$E:$E,Heron!$A110)</f>
        <v/>
      </c>
      <c r="BF110" s="119">
        <f>SUMIFS(Xero!$F:$F,Xero!$B:$B,Heron!BF$9,Xero!$A:$A,Heron!$A$6,Xero!$E:$E,Heron!$A110)</f>
        <v/>
      </c>
      <c r="BG110" s="119">
        <f>SUMIFS(Xero!$F:$F,Xero!$B:$B,Heron!BG$9,Xero!$A:$A,Heron!$A$6,Xero!$E:$E,Heron!$A110)</f>
        <v/>
      </c>
      <c r="BH110" s="119">
        <f>SUMIFS(Xero!$F:$F,Xero!$B:$B,Heron!BH$9,Xero!$A:$A,Heron!$A$6,Xero!$E:$E,Heron!$A110)</f>
        <v/>
      </c>
      <c r="BI110" s="119">
        <f>SUMIFS(Xero!$F:$F,Xero!$B:$B,Heron!BI$9,Xero!$A:$A,Heron!$A$6,Xero!$E:$E,Heron!$A110)</f>
        <v/>
      </c>
      <c r="BJ110" s="119">
        <f>SUMIFS(Xero!$F:$F,Xero!$B:$B,Heron!BJ$9,Xero!$A:$A,Heron!$A$6,Xero!$E:$E,Heron!$A110)</f>
        <v/>
      </c>
      <c r="BK110" s="117">
        <f>sum(D110:BJ110)</f>
        <v/>
      </c>
    </row>
    <row r="111">
      <c r="A111" s="116" t="inlineStr">
        <is>
          <t>COS - Heron View - Printing &amp; Stationary</t>
        </is>
      </c>
      <c r="D111" s="119">
        <f>SUMIFS(Xero!$F:$F,Xero!$B:$B,Heron!D$9,Xero!$A:$A,Heron!$A$6,Xero!$E:$E,Heron!$A111)</f>
        <v/>
      </c>
      <c r="E111" s="119">
        <f>SUMIFS(Xero!$F:$F,Xero!$B:$B,Heron!E$9,Xero!$A:$A,Heron!$A$6,Xero!$E:$E,Heron!$A111)</f>
        <v/>
      </c>
      <c r="F111" s="119">
        <f>SUMIFS(Xero!$F:$F,Xero!$B:$B,Heron!F$9,Xero!$A:$A,Heron!$A$6,Xero!$E:$E,Heron!$A111)</f>
        <v/>
      </c>
      <c r="G111" s="119">
        <f>SUMIFS(Xero!$F:$F,Xero!$B:$B,Heron!G$9,Xero!$A:$A,Heron!$A$6,Xero!$E:$E,Heron!$A111)</f>
        <v/>
      </c>
      <c r="H111" s="119">
        <f>SUMIFS(Xero!$F:$F,Xero!$B:$B,Heron!H$9,Xero!$A:$A,Heron!$A$6,Xero!$E:$E,Heron!$A111)</f>
        <v/>
      </c>
      <c r="I111" s="119">
        <f>SUMIFS(Xero!$F:$F,Xero!$B:$B,Heron!I$9,Xero!$A:$A,Heron!$A$6,Xero!$E:$E,Heron!$A111)</f>
        <v/>
      </c>
      <c r="J111" s="119">
        <f>SUMIFS(Xero!$F:$F,Xero!$B:$B,Heron!J$9,Xero!$A:$A,Heron!$A$6,Xero!$E:$E,Heron!$A111)</f>
        <v/>
      </c>
      <c r="K111" s="119">
        <f>SUMIFS(Xero!$F:$F,Xero!$B:$B,Heron!K$9,Xero!$A:$A,Heron!$A$6,Xero!$E:$E,Heron!$A111)</f>
        <v/>
      </c>
      <c r="L111" s="119">
        <f>SUMIFS(Xero!$F:$F,Xero!$B:$B,Heron!L$9,Xero!$A:$A,Heron!$A$6,Xero!$E:$E,Heron!$A111)</f>
        <v/>
      </c>
      <c r="M111" s="119">
        <f>SUMIFS(Xero!$F:$F,Xero!$B:$B,Heron!M$9,Xero!$A:$A,Heron!$A$6,Xero!$E:$E,Heron!$A111)</f>
        <v/>
      </c>
      <c r="N111" s="119">
        <f>SUMIFS(Xero!$F:$F,Xero!$B:$B,Heron!N$9,Xero!$A:$A,Heron!$A$6,Xero!$E:$E,Heron!$A111)</f>
        <v/>
      </c>
      <c r="O111" s="119">
        <f>SUMIFS(Xero!$F:$F,Xero!$B:$B,Heron!O$9,Xero!$A:$A,Heron!$A$6,Xero!$E:$E,Heron!$A111)</f>
        <v/>
      </c>
      <c r="P111" s="119">
        <f>SUMIFS(Xero!$F:$F,Xero!$B:$B,Heron!P$9,Xero!$A:$A,Heron!$A$6,Xero!$E:$E,Heron!$A111)</f>
        <v/>
      </c>
      <c r="Q111" s="119">
        <f>SUMIFS(Xero!$F:$F,Xero!$B:$B,Heron!Q$9,Xero!$A:$A,Heron!$A$6,Xero!$E:$E,Heron!$A111)</f>
        <v/>
      </c>
      <c r="R111" s="119">
        <f>SUMIFS(Xero!$F:$F,Xero!$B:$B,Heron!R$9,Xero!$A:$A,Heron!$A$6,Xero!$E:$E,Heron!$A111)</f>
        <v/>
      </c>
      <c r="S111" s="119">
        <f>SUMIFS(Xero!$F:$F,Xero!$B:$B,Heron!S$9,Xero!$A:$A,Heron!$A$6,Xero!$E:$E,Heron!$A111)</f>
        <v/>
      </c>
      <c r="T111" s="119">
        <f>SUMIFS(Xero!$F:$F,Xero!$B:$B,Heron!T$9,Xero!$A:$A,Heron!$A$6,Xero!$E:$E,Heron!$A111)</f>
        <v/>
      </c>
      <c r="U111" s="119">
        <f>SUMIFS(Xero!$F:$F,Xero!$B:$B,Heron!U$9,Xero!$A:$A,Heron!$A$6,Xero!$E:$E,Heron!$A111)</f>
        <v/>
      </c>
      <c r="V111" s="119">
        <f>SUMIFS(Xero!$F:$F,Xero!$B:$B,Heron!V$9,Xero!$A:$A,Heron!$A$6,Xero!$E:$E,Heron!$A111)</f>
        <v/>
      </c>
      <c r="W111" s="119">
        <f>SUMIFS(Xero!$F:$F,Xero!$B:$B,Heron!W$9,Xero!$A:$A,Heron!$A$6,Xero!$E:$E,Heron!$A111)</f>
        <v/>
      </c>
      <c r="X111" s="119">
        <f>SUMIFS(Xero!$F:$F,Xero!$B:$B,Heron!X$9,Xero!$A:$A,Heron!$A$6,Xero!$E:$E,Heron!$A111)</f>
        <v/>
      </c>
      <c r="Y111" s="119">
        <f>SUMIFS(Xero!$F:$F,Xero!$B:$B,Heron!Y$9,Xero!$A:$A,Heron!$A$6,Xero!$E:$E,Heron!$A111)</f>
        <v/>
      </c>
      <c r="Z111" s="119">
        <f>SUMIFS(Xero!$F:$F,Xero!$B:$B,Heron!Z$9,Xero!$A:$A,Heron!$A$6,Xero!$E:$E,Heron!$A111)</f>
        <v/>
      </c>
      <c r="AA111" s="119">
        <f>SUMIFS(Xero!$F:$F,Xero!$B:$B,Heron!AA$9,Xero!$A:$A,Heron!$A$6,Xero!$E:$E,Heron!$A111)</f>
        <v/>
      </c>
      <c r="AB111" s="119">
        <f>SUMIFS(Xero!$F:$F,Xero!$B:$B,Heron!AB$9,Xero!$A:$A,Heron!$A$6,Xero!$E:$E,Heron!$A111)</f>
        <v/>
      </c>
      <c r="AC111" s="119">
        <f>SUMIFS(Xero!$F:$F,Xero!$B:$B,Heron!AC$9,Xero!$A:$A,Heron!$A$6,Xero!$E:$E,Heron!$A111)</f>
        <v/>
      </c>
      <c r="AD111" s="119">
        <f>SUMIFS(Xero!$F:$F,Xero!$B:$B,Heron!AD$9,Xero!$A:$A,Heron!$A$6,Xero!$E:$E,Heron!$A111)</f>
        <v/>
      </c>
      <c r="AE111" s="119">
        <f>SUMIFS(Xero!$F:$F,Xero!$B:$B,Heron!AE$9,Xero!$A:$A,Heron!$A$6,Xero!$E:$E,Heron!$A111)</f>
        <v/>
      </c>
      <c r="AF111" s="119">
        <f>SUMIFS(Xero!$F:$F,Xero!$B:$B,Heron!AF$9,Xero!$A:$A,Heron!$A$6,Xero!$E:$E,Heron!$A111)</f>
        <v/>
      </c>
      <c r="AG111" s="119">
        <f>SUMIFS(Xero!$F:$F,Xero!$B:$B,Heron!AG$9,Xero!$A:$A,Heron!$A$6,Xero!$E:$E,Heron!$A111)</f>
        <v/>
      </c>
      <c r="AH111" s="119">
        <f>SUMIFS(Xero!$F:$F,Xero!$B:$B,Heron!AH$9,Xero!$A:$A,Heron!$A$6,Xero!$E:$E,Heron!$A111)</f>
        <v/>
      </c>
      <c r="AI111" s="119">
        <f>SUMIFS(Xero!$F:$F,Xero!$B:$B,Heron!AI$9,Xero!$A:$A,Heron!$A$6,Xero!$E:$E,Heron!$A111)</f>
        <v/>
      </c>
      <c r="AJ111" s="119">
        <f>SUMIFS(Xero!$F:$F,Xero!$B:$B,Heron!AJ$9,Xero!$A:$A,Heron!$A$6,Xero!$E:$E,Heron!$A111)</f>
        <v/>
      </c>
      <c r="AK111" s="119">
        <f>SUMIFS(Xero!$F:$F,Xero!$B:$B,Heron!AK$9,Xero!$A:$A,Heron!$A$6,Xero!$E:$E,Heron!$A111)</f>
        <v/>
      </c>
      <c r="AL111" s="119">
        <f>SUMIFS(Xero!$F:$F,Xero!$B:$B,Heron!AL$9,Xero!$A:$A,Heron!$A$6,Xero!$E:$E,Heron!$A111)</f>
        <v/>
      </c>
      <c r="AM111" s="119">
        <f>SUMIFS(Xero!$F:$F,Xero!$B:$B,Heron!AM$9,Xero!$A:$A,Heron!$A$6,Xero!$E:$E,Heron!$A111)</f>
        <v/>
      </c>
      <c r="AN111" s="119">
        <f>SUMIFS(Xero!$F:$F,Xero!$B:$B,Heron!AN$9,Xero!$A:$A,Heron!$A$6,Xero!$E:$E,Heron!$A111)</f>
        <v/>
      </c>
      <c r="AO111" s="119">
        <f>SUMIFS(Xero!$F:$F,Xero!$B:$B,Heron!AO$9,Xero!$A:$A,Heron!$A$6,Xero!$E:$E,Heron!$A111)</f>
        <v/>
      </c>
      <c r="AP111" s="119">
        <f>SUMIFS(Xero!$F:$F,Xero!$B:$B,Heron!AP$9,Xero!$A:$A,Heron!$A$6,Xero!$E:$E,Heron!$A111)</f>
        <v/>
      </c>
      <c r="AQ111" s="119">
        <f>SUMIFS(Xero!$F:$F,Xero!$B:$B,Heron!AQ$9,Xero!$A:$A,Heron!$A$6,Xero!$E:$E,Heron!$A111)</f>
        <v/>
      </c>
      <c r="AR111" s="119">
        <f>SUMIFS(Xero!$F:$F,Xero!$B:$B,Heron!AR$9,Xero!$A:$A,Heron!$A$6,Xero!$E:$E,Heron!$A111)</f>
        <v/>
      </c>
      <c r="AS111" s="119">
        <f>SUMIFS(Xero!$F:$F,Xero!$B:$B,Heron!AS$9,Xero!$A:$A,Heron!$A$6,Xero!$E:$E,Heron!$A111)</f>
        <v/>
      </c>
      <c r="AT111" s="119">
        <f>SUMIFS(Xero!$F:$F,Xero!$B:$B,Heron!AT$9,Xero!$A:$A,Heron!$A$6,Xero!$E:$E,Heron!$A111)</f>
        <v/>
      </c>
      <c r="AU111" s="119">
        <f>SUMIFS(Xero!$F:$F,Xero!$B:$B,Heron!AU$9,Xero!$A:$A,Heron!$A$6,Xero!$E:$E,Heron!$A111)</f>
        <v/>
      </c>
      <c r="AV111" s="119">
        <f>SUMIFS(Xero!$F:$F,Xero!$B:$B,Heron!AV$9,Xero!$A:$A,Heron!$A$6,Xero!$E:$E,Heron!$A111)</f>
        <v/>
      </c>
      <c r="AW111" s="119">
        <f>SUMIFS(Xero!$F:$F,Xero!$B:$B,Heron!AW$9,Xero!$A:$A,Heron!$A$6,Xero!$E:$E,Heron!$A111)</f>
        <v/>
      </c>
      <c r="AX111" s="119">
        <f>SUMIFS(Xero!$F:$F,Xero!$B:$B,Heron!AX$9,Xero!$A:$A,Heron!$A$6,Xero!$E:$E,Heron!$A111)</f>
        <v/>
      </c>
      <c r="AY111" s="119">
        <f>SUMIFS(Xero!$F:$F,Xero!$B:$B,Heron!AY$9,Xero!$A:$A,Heron!$A$6,Xero!$E:$E,Heron!$A111)</f>
        <v/>
      </c>
      <c r="AZ111" s="119">
        <f>SUMIFS(Xero!$F:$F,Xero!$B:$B,Heron!AZ$9,Xero!$A:$A,Heron!$A$6,Xero!$E:$E,Heron!$A111)</f>
        <v/>
      </c>
      <c r="BA111" s="119">
        <f>SUMIFS(Xero!$F:$F,Xero!$B:$B,Heron!BA$9,Xero!$A:$A,Heron!$A$6,Xero!$E:$E,Heron!$A111)</f>
        <v/>
      </c>
      <c r="BB111" s="119">
        <f>SUMIFS(Xero!$F:$F,Xero!$B:$B,Heron!BB$9,Xero!$A:$A,Heron!$A$6,Xero!$E:$E,Heron!$A111)</f>
        <v/>
      </c>
      <c r="BC111" s="119">
        <f>SUMIFS(Xero!$F:$F,Xero!$B:$B,Heron!BC$9,Xero!$A:$A,Heron!$A$6,Xero!$E:$E,Heron!$A111)</f>
        <v/>
      </c>
      <c r="BD111" s="119">
        <f>SUMIFS(Xero!$F:$F,Xero!$B:$B,Heron!BD$9,Xero!$A:$A,Heron!$A$6,Xero!$E:$E,Heron!$A111)</f>
        <v/>
      </c>
      <c r="BE111" s="119">
        <f>SUMIFS(Xero!$F:$F,Xero!$B:$B,Heron!BE$9,Xero!$A:$A,Heron!$A$6,Xero!$E:$E,Heron!$A111)</f>
        <v/>
      </c>
      <c r="BF111" s="119">
        <f>SUMIFS(Xero!$F:$F,Xero!$B:$B,Heron!BF$9,Xero!$A:$A,Heron!$A$6,Xero!$E:$E,Heron!$A111)</f>
        <v/>
      </c>
      <c r="BG111" s="119">
        <f>SUMIFS(Xero!$F:$F,Xero!$B:$B,Heron!BG$9,Xero!$A:$A,Heron!$A$6,Xero!$E:$E,Heron!$A111)</f>
        <v/>
      </c>
      <c r="BH111" s="119">
        <f>SUMIFS(Xero!$F:$F,Xero!$B:$B,Heron!BH$9,Xero!$A:$A,Heron!$A$6,Xero!$E:$E,Heron!$A111)</f>
        <v/>
      </c>
      <c r="BI111" s="119">
        <f>SUMIFS(Xero!$F:$F,Xero!$B:$B,Heron!BI$9,Xero!$A:$A,Heron!$A$6,Xero!$E:$E,Heron!$A111)</f>
        <v/>
      </c>
      <c r="BJ111" s="119">
        <f>SUMIFS(Xero!$F:$F,Xero!$B:$B,Heron!BJ$9,Xero!$A:$A,Heron!$A$6,Xero!$E:$E,Heron!$A111)</f>
        <v/>
      </c>
      <c r="BK111" s="117">
        <f>sum(D111:BJ111)</f>
        <v/>
      </c>
    </row>
    <row r="112">
      <c r="A112" s="116" t="inlineStr">
        <is>
          <t>CPSD</t>
        </is>
      </c>
      <c r="D112" s="120">
        <f>SUMIFS('Other Costs'!$D:$D,'Other Costs'!$A:$A,Heron!$A112,'Other Costs'!$C:$C,"&lt;="&amp;Heron!D$9,'Other Costs'!$C:$C,"&gt;"&amp;Heron!C$9)</f>
        <v/>
      </c>
      <c r="E112" s="120">
        <f>SUMIFS('Other Costs'!$D:$D,'Other Costs'!$A:$A,Heron!$A112,'Other Costs'!$C:$C,"&lt;="&amp;Heron!E$9,'Other Costs'!$C:$C,"&gt;"&amp;Heron!D$9)</f>
        <v/>
      </c>
      <c r="F112" s="120">
        <f>SUMIFS('Other Costs'!$D:$D,'Other Costs'!$A:$A,Heron!$A112,'Other Costs'!$C:$C,"&lt;="&amp;Heron!F$9,'Other Costs'!$C:$C,"&gt;"&amp;Heron!E$9)</f>
        <v/>
      </c>
      <c r="G112" s="120">
        <f>SUMIFS('Other Costs'!$D:$D,'Other Costs'!$A:$A,Heron!$A112,'Other Costs'!$C:$C,"&lt;="&amp;Heron!G$9,'Other Costs'!$C:$C,"&gt;"&amp;Heron!F$9)</f>
        <v/>
      </c>
      <c r="H112" s="120">
        <f>SUMIFS('Other Costs'!$D:$D,'Other Costs'!$A:$A,Heron!$A112,'Other Costs'!$C:$C,"&lt;="&amp;Heron!H$9,'Other Costs'!$C:$C,"&gt;"&amp;Heron!G$9)</f>
        <v/>
      </c>
      <c r="I112" s="120">
        <f>SUMIFS('Other Costs'!$D:$D,'Other Costs'!$A:$A,Heron!$A112,'Other Costs'!$C:$C,"&lt;="&amp;Heron!I$9,'Other Costs'!$C:$C,"&gt;"&amp;Heron!H$9)</f>
        <v/>
      </c>
      <c r="J112" s="120">
        <f>SUMIFS('Other Costs'!$D:$D,'Other Costs'!$A:$A,Heron!$A112,'Other Costs'!$C:$C,"&lt;="&amp;Heron!J$9,'Other Costs'!$C:$C,"&gt;"&amp;Heron!I$9)</f>
        <v/>
      </c>
      <c r="K112" s="120">
        <f>SUMIFS('Other Costs'!$D:$D,'Other Costs'!$A:$A,Heron!$A112,'Other Costs'!$C:$C,"&lt;="&amp;Heron!K$9,'Other Costs'!$C:$C,"&gt;"&amp;Heron!J$9)</f>
        <v/>
      </c>
      <c r="L112" s="120">
        <f>SUMIFS('Other Costs'!$D:$D,'Other Costs'!$A:$A,Heron!$A112,'Other Costs'!$C:$C,"&lt;="&amp;Heron!L$9,'Other Costs'!$C:$C,"&gt;"&amp;Heron!K$9)</f>
        <v/>
      </c>
      <c r="M112" s="120">
        <f>SUMIFS('Other Costs'!$D:$D,'Other Costs'!$A:$A,Heron!$A112,'Other Costs'!$C:$C,"&lt;="&amp;Heron!M$9,'Other Costs'!$C:$C,"&gt;"&amp;Heron!L$9)</f>
        <v/>
      </c>
      <c r="N112" s="120">
        <f>SUMIFS('Other Costs'!$D:$D,'Other Costs'!$A:$A,Heron!$A112,'Other Costs'!$C:$C,"&lt;="&amp;Heron!N$9,'Other Costs'!$C:$C,"&gt;"&amp;Heron!M$9)</f>
        <v/>
      </c>
      <c r="O112" s="120">
        <f>SUMIFS('Other Costs'!$D:$D,'Other Costs'!$A:$A,Heron!$A112,'Other Costs'!$C:$C,"&lt;="&amp;Heron!O$9,'Other Costs'!$C:$C,"&gt;"&amp;Heron!N$9)</f>
        <v/>
      </c>
      <c r="P112" s="120">
        <f>SUMIFS('Other Costs'!$D:$D,'Other Costs'!$A:$A,Heron!$A112,'Other Costs'!$C:$C,"&lt;="&amp;Heron!P$9,'Other Costs'!$C:$C,"&gt;"&amp;Heron!O$9)</f>
        <v/>
      </c>
      <c r="Q112" s="120">
        <f>SUMIFS('Other Costs'!$D:$D,'Other Costs'!$A:$A,Heron!$A112,'Other Costs'!$C:$C,"&lt;="&amp;Heron!Q$9,'Other Costs'!$C:$C,"&gt;"&amp;Heron!P$9)</f>
        <v/>
      </c>
      <c r="R112" s="120">
        <f>SUMIFS('Other Costs'!$D:$D,'Other Costs'!$A:$A,Heron!$A112,'Other Costs'!$C:$C,"&lt;="&amp;Heron!R$9,'Other Costs'!$C:$C,"&gt;"&amp;Heron!Q$9)</f>
        <v/>
      </c>
      <c r="S112" s="120">
        <f>SUMIFS('Other Costs'!$D:$D,'Other Costs'!$A:$A,Heron!$A112,'Other Costs'!$C:$C,"&lt;="&amp;Heron!S$9,'Other Costs'!$C:$C,"&gt;"&amp;Heron!R$9)</f>
        <v/>
      </c>
      <c r="T112" s="120">
        <f>SUMIFS('Other Costs'!$D:$D,'Other Costs'!$A:$A,Heron!$A112,'Other Costs'!$C:$C,"&lt;="&amp;Heron!T$9,'Other Costs'!$C:$C,"&gt;"&amp;Heron!S$9)</f>
        <v/>
      </c>
      <c r="U112" s="120">
        <f>SUMIFS('Other Costs'!$D:$D,'Other Costs'!$A:$A,Heron!$A112,'Other Costs'!$C:$C,"&lt;="&amp;Heron!U$9,'Other Costs'!$C:$C,"&gt;"&amp;Heron!T$9)</f>
        <v/>
      </c>
      <c r="V112" s="120">
        <f>SUMIFS('Other Costs'!$D:$D,'Other Costs'!$A:$A,Heron!$A112,'Other Costs'!$C:$C,"&lt;="&amp;Heron!V$9,'Other Costs'!$C:$C,"&gt;"&amp;Heron!U$9)</f>
        <v/>
      </c>
      <c r="W112" s="120">
        <f>SUMIFS('Other Costs'!$D:$D,'Other Costs'!$A:$A,Heron!$A112,'Other Costs'!$C:$C,"&lt;="&amp;Heron!W$9,'Other Costs'!$C:$C,"&gt;"&amp;Heron!V$9)</f>
        <v/>
      </c>
      <c r="X112" s="120">
        <f>SUMIFS('Other Costs'!$D:$D,'Other Costs'!$A:$A,Heron!$A112,'Other Costs'!$C:$C,"&lt;="&amp;Heron!X$9,'Other Costs'!$C:$C,"&gt;"&amp;Heron!W$9)</f>
        <v/>
      </c>
      <c r="Y112" s="120">
        <f>SUMIFS('Other Costs'!$D:$D,'Other Costs'!$A:$A,Heron!$A112,'Other Costs'!$C:$C,"&lt;="&amp;Heron!Y$9,'Other Costs'!$C:$C,"&gt;"&amp;Heron!X$9)</f>
        <v/>
      </c>
      <c r="Z112" s="120">
        <f>SUMIFS('Other Costs'!$D:$D,'Other Costs'!$A:$A,Heron!$A112,'Other Costs'!$C:$C,"&lt;="&amp;Heron!Z$9,'Other Costs'!$C:$C,"&gt;"&amp;Heron!Y$9)</f>
        <v/>
      </c>
      <c r="AA112" s="120">
        <f>SUMIFS('Other Costs'!$D:$D,'Other Costs'!$A:$A,Heron!$A112,'Other Costs'!$C:$C,"&lt;="&amp;Heron!AA$9,'Other Costs'!$C:$C,"&gt;"&amp;Heron!Z$9)</f>
        <v/>
      </c>
      <c r="AB112" s="120">
        <f>SUMIFS('Other Costs'!$D:$D,'Other Costs'!$A:$A,Heron!$A112,'Other Costs'!$C:$C,"&lt;="&amp;Heron!AB$9,'Other Costs'!$C:$C,"&gt;"&amp;Heron!AA$9)</f>
        <v/>
      </c>
      <c r="AC112" s="120">
        <f>SUMIFS('Other Costs'!$D:$D,'Other Costs'!$A:$A,Heron!$A112,'Other Costs'!$C:$C,"&lt;="&amp;Heron!AC$9,'Other Costs'!$C:$C,"&gt;"&amp;Heron!AB$9)</f>
        <v/>
      </c>
      <c r="AD112" s="120">
        <f>SUMIFS('Other Costs'!$D:$D,'Other Costs'!$A:$A,Heron!$A112,'Other Costs'!$C:$C,"&lt;="&amp;Heron!AD$9,'Other Costs'!$C:$C,"&gt;"&amp;Heron!AC$9)</f>
        <v/>
      </c>
      <c r="AE112" s="120">
        <f>SUMIFS('Other Costs'!$D:$D,'Other Costs'!$A:$A,Heron!$A112,'Other Costs'!$C:$C,"&lt;="&amp;Heron!AE$9,'Other Costs'!$C:$C,"&gt;"&amp;Heron!AD$9)</f>
        <v/>
      </c>
      <c r="AF112" s="120">
        <f>SUMIFS('Other Costs'!$D:$D,'Other Costs'!$A:$A,Heron!$A112,'Other Costs'!$C:$C,"&lt;="&amp;Heron!AF$9,'Other Costs'!$C:$C,"&gt;"&amp;Heron!AE$9)</f>
        <v/>
      </c>
      <c r="AG112" s="120">
        <f>SUMIFS('Other Costs'!$D:$D,'Other Costs'!$A:$A,Heron!$A112,'Other Costs'!$C:$C,"&lt;="&amp;Heron!AG$9,'Other Costs'!$C:$C,"&gt;"&amp;Heron!AF$9)</f>
        <v/>
      </c>
      <c r="AH112" s="120">
        <f>SUMIFS('Other Costs'!$D:$D,'Other Costs'!$A:$A,Heron!$A112,'Other Costs'!$C:$C,"&lt;="&amp;Heron!AH$9,'Other Costs'!$C:$C,"&gt;"&amp;Heron!AG$9)</f>
        <v/>
      </c>
      <c r="AI112" s="120">
        <f>SUMIFS('Other Costs'!$D:$D,'Other Costs'!$A:$A,Heron!$A112,'Other Costs'!$C:$C,"&lt;="&amp;Heron!AI$9,'Other Costs'!$C:$C,"&gt;"&amp;Heron!AH$9)</f>
        <v/>
      </c>
      <c r="AJ112" s="120">
        <f>SUMIFS('Other Costs'!$D:$D,'Other Costs'!$A:$A,Heron!$A112,'Other Costs'!$C:$C,"&lt;="&amp;Heron!AJ$9,'Other Costs'!$C:$C,"&gt;"&amp;Heron!AI$9)</f>
        <v/>
      </c>
      <c r="AK112" s="120">
        <f>SUMIFS('Other Costs'!$D:$D,'Other Costs'!$A:$A,Heron!$A112,'Other Costs'!$C:$C,"&lt;="&amp;Heron!AK$9,'Other Costs'!$C:$C,"&gt;"&amp;Heron!AJ$9)</f>
        <v/>
      </c>
      <c r="AL112" s="120">
        <f>SUMIFS('Other Costs'!$D:$D,'Other Costs'!$A:$A,Heron!$A112,'Other Costs'!$C:$C,"&lt;="&amp;Heron!AL$9,'Other Costs'!$C:$C,"&gt;"&amp;Heron!AK$9)</f>
        <v/>
      </c>
      <c r="AM112" s="120">
        <f>SUMIFS('Other Costs'!$D:$D,'Other Costs'!$A:$A,Heron!$A112,'Other Costs'!$C:$C,"&lt;="&amp;Heron!AM$9,'Other Costs'!$C:$C,"&gt;"&amp;Heron!AL$9)</f>
        <v/>
      </c>
      <c r="AN112" s="120">
        <f>SUMIFS('Other Costs'!$D:$D,'Other Costs'!$A:$A,Heron!$A112,'Other Costs'!$C:$C,"&lt;="&amp;Heron!AN$9,'Other Costs'!$C:$C,"&gt;"&amp;Heron!AM$9)</f>
        <v/>
      </c>
      <c r="AO112" s="120">
        <f>SUMIFS('Other Costs'!$D:$D,'Other Costs'!$A:$A,Heron!$A112,'Other Costs'!$C:$C,"&lt;="&amp;Heron!AO$9,'Other Costs'!$C:$C,"&gt;"&amp;Heron!AN$9)</f>
        <v/>
      </c>
      <c r="AP112" s="120">
        <f>SUMIFS('Other Costs'!$D:$D,'Other Costs'!$A:$A,Heron!$A112,'Other Costs'!$C:$C,"&lt;="&amp;Heron!AP$9,'Other Costs'!$C:$C,"&gt;"&amp;Heron!AO$9)</f>
        <v/>
      </c>
      <c r="AQ112" s="120">
        <f>SUMIFS('Other Costs'!$D:$D,'Other Costs'!$A:$A,Heron!$A112,'Other Costs'!$C:$C,"&lt;="&amp;Heron!AQ$9,'Other Costs'!$C:$C,"&gt;"&amp;Heron!AP$9)</f>
        <v/>
      </c>
      <c r="AR112" s="120">
        <f>SUMIFS('Other Costs'!$D:$D,'Other Costs'!$A:$A,Heron!$A112,'Other Costs'!$C:$C,"&lt;="&amp;Heron!AR$9,'Other Costs'!$C:$C,"&gt;"&amp;Heron!AQ$9)</f>
        <v/>
      </c>
      <c r="AS112" s="120">
        <f>SUMIFS('Other Costs'!$D:$D,'Other Costs'!$A:$A,Heron!$A112,'Other Costs'!$C:$C,"&lt;="&amp;Heron!AS$9,'Other Costs'!$C:$C,"&gt;"&amp;Heron!AR$9)</f>
        <v/>
      </c>
      <c r="AT112" s="120">
        <f>SUMIFS('Other Costs'!$D:$D,'Other Costs'!$A:$A,Heron!$A112,'Other Costs'!$C:$C,"&lt;="&amp;Heron!AT$9,'Other Costs'!$C:$C,"&gt;"&amp;Heron!AS$9)</f>
        <v/>
      </c>
      <c r="AU112" s="120">
        <f>SUMIFS('Other Costs'!$D:$D,'Other Costs'!$A:$A,Heron!$A112,'Other Costs'!$C:$C,"&lt;="&amp;Heron!AU$9,'Other Costs'!$C:$C,"&gt;"&amp;Heron!AT$9)</f>
        <v/>
      </c>
      <c r="AV112" s="120">
        <f>SUMIFS('Other Costs'!$D:$D,'Other Costs'!$A:$A,Heron!$A112,'Other Costs'!$C:$C,"&lt;="&amp;Heron!AV$9,'Other Costs'!$C:$C,"&gt;"&amp;Heron!AU$9)</f>
        <v/>
      </c>
      <c r="AW112" s="120">
        <f>SUMIFS('Other Costs'!$D:$D,'Other Costs'!$A:$A,Heron!$A112,'Other Costs'!$C:$C,"&lt;="&amp;Heron!AW$9,'Other Costs'!$C:$C,"&gt;"&amp;Heron!AV$9)</f>
        <v/>
      </c>
      <c r="AX112" s="120">
        <f>SUMIFS('Other Costs'!$D:$D,'Other Costs'!$A:$A,Heron!$A112,'Other Costs'!$C:$C,"&lt;="&amp;Heron!AX$9,'Other Costs'!$C:$C,"&gt;"&amp;Heron!AW$9)</f>
        <v/>
      </c>
      <c r="AY112" s="120">
        <f>SUMIFS('Other Costs'!$D:$D,'Other Costs'!$A:$A,Heron!$A112,'Other Costs'!$C:$C,"&lt;="&amp;Heron!AY$9,'Other Costs'!$C:$C,"&gt;"&amp;Heron!AX$9)</f>
        <v/>
      </c>
      <c r="AZ112" s="120">
        <f>SUMIFS('Other Costs'!$D:$D,'Other Costs'!$A:$A,Heron!$A112,'Other Costs'!$C:$C,"&lt;="&amp;Heron!AZ$9,'Other Costs'!$C:$C,"&gt;"&amp;Heron!AY$9)</f>
        <v/>
      </c>
      <c r="BA112" s="120">
        <f>SUMIFS('Other Costs'!$D:$D,'Other Costs'!$A:$A,Heron!$A112,'Other Costs'!$C:$C,"&lt;="&amp;Heron!BA$9,'Other Costs'!$C:$C,"&gt;"&amp;Heron!AZ$9)</f>
        <v/>
      </c>
      <c r="BB112" s="120">
        <f>SUMIFS('Other Costs'!$D:$D,'Other Costs'!$A:$A,Heron!$A112,'Other Costs'!$C:$C,"&lt;="&amp;Heron!BB$9,'Other Costs'!$C:$C,"&gt;"&amp;Heron!BA$9)</f>
        <v/>
      </c>
      <c r="BC112" s="120">
        <f>SUMIFS('Other Costs'!$D:$D,'Other Costs'!$A:$A,Heron!$A112,'Other Costs'!$C:$C,"&lt;="&amp;Heron!BC$9,'Other Costs'!$C:$C,"&gt;"&amp;Heron!BB$9)</f>
        <v/>
      </c>
      <c r="BD112" s="120">
        <f>SUMIFS('Other Costs'!$D:$D,'Other Costs'!$A:$A,Heron!$A112,'Other Costs'!$C:$C,"&lt;="&amp;Heron!BD$9,'Other Costs'!$C:$C,"&gt;"&amp;Heron!BC$9)</f>
        <v/>
      </c>
      <c r="BE112" s="120">
        <f>SUMIFS('Other Costs'!$D:$D,'Other Costs'!$A:$A,Heron!$A112,'Other Costs'!$C:$C,"&lt;="&amp;Heron!BE$9,'Other Costs'!$C:$C,"&gt;"&amp;Heron!BD$9)</f>
        <v/>
      </c>
      <c r="BF112" s="120">
        <f>SUMIFS('Other Costs'!$D:$D,'Other Costs'!$A:$A,Heron!$A112,'Other Costs'!$C:$C,"&lt;="&amp;Heron!BF$9,'Other Costs'!$C:$C,"&gt;"&amp;Heron!BE$9)</f>
        <v/>
      </c>
      <c r="BG112" s="120">
        <f>SUMIFS('Other Costs'!$D:$D,'Other Costs'!$A:$A,Heron!$A112,'Other Costs'!$C:$C,"&lt;="&amp;Heron!BG$9,'Other Costs'!$C:$C,"&gt;"&amp;Heron!BF$9)</f>
        <v/>
      </c>
      <c r="BH112" s="120">
        <f>SUMIFS('Other Costs'!$D:$D,'Other Costs'!$A:$A,Heron!$A112,'Other Costs'!$C:$C,"&lt;="&amp;Heron!BH$9,'Other Costs'!$C:$C,"&gt;"&amp;Heron!BG$9)</f>
        <v/>
      </c>
      <c r="BI112" s="120">
        <f>SUMIFS('Other Costs'!$D:$D,'Other Costs'!$A:$A,Heron!$A112,'Other Costs'!$C:$C,"&lt;="&amp;Heron!BI$9,'Other Costs'!$C:$C,"&gt;"&amp;Heron!BH$9)</f>
        <v/>
      </c>
      <c r="BJ112" s="120">
        <f>SUMIFS('Other Costs'!$D:$D,'Other Costs'!$A:$A,Heron!$A112,'Other Costs'!$C:$C,"&lt;="&amp;Heron!BJ$9,'Other Costs'!$C:$C,"&gt;"&amp;Heron!BI$9)</f>
        <v/>
      </c>
      <c r="BK112" s="117">
        <f>sum(D112:BJ112)</f>
        <v/>
      </c>
    </row>
    <row r="113">
      <c r="A113" s="116" t="inlineStr">
        <is>
          <t>OppInvest</t>
        </is>
      </c>
      <c r="D113" s="120">
        <f>SUMIFS('Other Costs'!$D:$D,'Other Costs'!$A:$A,Heron!$A113,'Other Costs'!$C:$C,"&lt;="&amp;Heron!D$9,'Other Costs'!$C:$C,"&gt;"&amp;Heron!C$9)</f>
        <v/>
      </c>
      <c r="E113" s="120">
        <f>SUMIFS('Other Costs'!$D:$D,'Other Costs'!$A:$A,Heron!$A113,'Other Costs'!$C:$C,"&lt;="&amp;Heron!E$9,'Other Costs'!$C:$C,"&gt;"&amp;Heron!D$9)</f>
        <v/>
      </c>
      <c r="F113" s="120">
        <f>SUMIFS('Other Costs'!$D:$D,'Other Costs'!$A:$A,Heron!$A113,'Other Costs'!$C:$C,"&lt;="&amp;Heron!F$9,'Other Costs'!$C:$C,"&gt;"&amp;Heron!E$9)</f>
        <v/>
      </c>
      <c r="G113" s="120">
        <f>SUMIFS('Other Costs'!$D:$D,'Other Costs'!$A:$A,Heron!$A113,'Other Costs'!$C:$C,"&lt;="&amp;Heron!G$9,'Other Costs'!$C:$C,"&gt;"&amp;Heron!F$9)</f>
        <v/>
      </c>
      <c r="H113" s="120">
        <f>SUMIFS('Other Costs'!$D:$D,'Other Costs'!$A:$A,Heron!$A113,'Other Costs'!$C:$C,"&lt;="&amp;Heron!H$9,'Other Costs'!$C:$C,"&gt;"&amp;Heron!G$9)</f>
        <v/>
      </c>
      <c r="I113" s="120">
        <f>SUMIFS('Other Costs'!$D:$D,'Other Costs'!$A:$A,Heron!$A113,'Other Costs'!$C:$C,"&lt;="&amp;Heron!I$9,'Other Costs'!$C:$C,"&gt;"&amp;Heron!H$9)</f>
        <v/>
      </c>
      <c r="J113" s="120">
        <f>SUMIFS('Other Costs'!$D:$D,'Other Costs'!$A:$A,Heron!$A113,'Other Costs'!$C:$C,"&lt;="&amp;Heron!J$9,'Other Costs'!$C:$C,"&gt;"&amp;Heron!I$9)</f>
        <v/>
      </c>
      <c r="K113" s="120">
        <f>SUMIFS('Other Costs'!$D:$D,'Other Costs'!$A:$A,Heron!$A113,'Other Costs'!$C:$C,"&lt;="&amp;Heron!K$9,'Other Costs'!$C:$C,"&gt;"&amp;Heron!J$9)</f>
        <v/>
      </c>
      <c r="L113" s="120">
        <f>SUMIFS('Other Costs'!$D:$D,'Other Costs'!$A:$A,Heron!$A113,'Other Costs'!$C:$C,"&lt;="&amp;Heron!L$9,'Other Costs'!$C:$C,"&gt;"&amp;Heron!K$9)</f>
        <v/>
      </c>
      <c r="M113" s="120">
        <f>SUMIFS('Other Costs'!$D:$D,'Other Costs'!$A:$A,Heron!$A113,'Other Costs'!$C:$C,"&lt;="&amp;Heron!M$9,'Other Costs'!$C:$C,"&gt;"&amp;Heron!L$9)</f>
        <v/>
      </c>
      <c r="N113" s="120">
        <f>SUMIFS('Other Costs'!$D:$D,'Other Costs'!$A:$A,Heron!$A113,'Other Costs'!$C:$C,"&lt;="&amp;Heron!N$9,'Other Costs'!$C:$C,"&gt;"&amp;Heron!M$9)</f>
        <v/>
      </c>
      <c r="O113" s="120">
        <f>SUMIFS('Other Costs'!$D:$D,'Other Costs'!$A:$A,Heron!$A113,'Other Costs'!$C:$C,"&lt;="&amp;Heron!O$9,'Other Costs'!$C:$C,"&gt;"&amp;Heron!N$9)</f>
        <v/>
      </c>
      <c r="P113" s="120">
        <f>SUMIFS('Other Costs'!$D:$D,'Other Costs'!$A:$A,Heron!$A113,'Other Costs'!$C:$C,"&lt;="&amp;Heron!P$9,'Other Costs'!$C:$C,"&gt;"&amp;Heron!O$9)</f>
        <v/>
      </c>
      <c r="Q113" s="120">
        <f>SUMIFS('Other Costs'!$D:$D,'Other Costs'!$A:$A,Heron!$A113,'Other Costs'!$C:$C,"&lt;="&amp;Heron!Q$9,'Other Costs'!$C:$C,"&gt;"&amp;Heron!P$9)</f>
        <v/>
      </c>
      <c r="R113" s="120">
        <f>SUMIFS('Other Costs'!$D:$D,'Other Costs'!$A:$A,Heron!$A113,'Other Costs'!$C:$C,"&lt;="&amp;Heron!R$9,'Other Costs'!$C:$C,"&gt;"&amp;Heron!Q$9)</f>
        <v/>
      </c>
      <c r="S113" s="120">
        <f>SUMIFS('Other Costs'!$D:$D,'Other Costs'!$A:$A,Heron!$A113,'Other Costs'!$C:$C,"&lt;="&amp;Heron!S$9,'Other Costs'!$C:$C,"&gt;"&amp;Heron!R$9)</f>
        <v/>
      </c>
      <c r="T113" s="120">
        <f>SUMIFS('Other Costs'!$D:$D,'Other Costs'!$A:$A,Heron!$A113,'Other Costs'!$C:$C,"&lt;="&amp;Heron!T$9,'Other Costs'!$C:$C,"&gt;"&amp;Heron!S$9)</f>
        <v/>
      </c>
      <c r="U113" s="120">
        <f>SUMIFS('Other Costs'!$D:$D,'Other Costs'!$A:$A,Heron!$A113,'Other Costs'!$C:$C,"&lt;="&amp;Heron!U$9,'Other Costs'!$C:$C,"&gt;"&amp;Heron!T$9)</f>
        <v/>
      </c>
      <c r="V113" s="120">
        <f>SUMIFS('Other Costs'!$D:$D,'Other Costs'!$A:$A,Heron!$A113,'Other Costs'!$C:$C,"&lt;="&amp;Heron!V$9,'Other Costs'!$C:$C,"&gt;"&amp;Heron!U$9)</f>
        <v/>
      </c>
      <c r="W113" s="120">
        <f>SUMIFS('Other Costs'!$D:$D,'Other Costs'!$A:$A,Heron!$A113,'Other Costs'!$C:$C,"&lt;="&amp;Heron!W$9,'Other Costs'!$C:$C,"&gt;"&amp;Heron!V$9)</f>
        <v/>
      </c>
      <c r="X113" s="120">
        <f>SUMIFS('Other Costs'!$D:$D,'Other Costs'!$A:$A,Heron!$A113,'Other Costs'!$C:$C,"&lt;="&amp;Heron!X$9,'Other Costs'!$C:$C,"&gt;"&amp;Heron!W$9)</f>
        <v/>
      </c>
      <c r="Y113" s="120">
        <f>SUMIFS('Other Costs'!$D:$D,'Other Costs'!$A:$A,Heron!$A113,'Other Costs'!$C:$C,"&lt;="&amp;Heron!Y$9,'Other Costs'!$C:$C,"&gt;"&amp;Heron!X$9)</f>
        <v/>
      </c>
      <c r="Z113" s="120">
        <f>SUMIFS('Other Costs'!$D:$D,'Other Costs'!$A:$A,Heron!$A113,'Other Costs'!$C:$C,"&lt;="&amp;Heron!Z$9,'Other Costs'!$C:$C,"&gt;"&amp;Heron!Y$9)</f>
        <v/>
      </c>
      <c r="AA113" s="120">
        <f>SUMIFS('Other Costs'!$D:$D,'Other Costs'!$A:$A,Heron!$A113,'Other Costs'!$C:$C,"&lt;="&amp;Heron!AA$9,'Other Costs'!$C:$C,"&gt;"&amp;Heron!Z$9)</f>
        <v/>
      </c>
      <c r="AB113" s="120">
        <f>SUMIFS('Other Costs'!$D:$D,'Other Costs'!$A:$A,Heron!$A113,'Other Costs'!$C:$C,"&lt;="&amp;Heron!AB$9,'Other Costs'!$C:$C,"&gt;"&amp;Heron!AA$9)</f>
        <v/>
      </c>
      <c r="AC113" s="120">
        <f>SUMIFS('Other Costs'!$D:$D,'Other Costs'!$A:$A,Heron!$A113,'Other Costs'!$C:$C,"&lt;="&amp;Heron!AC$9,'Other Costs'!$C:$C,"&gt;"&amp;Heron!AB$9)</f>
        <v/>
      </c>
      <c r="AD113" s="120">
        <f>SUMIFS('Other Costs'!$D:$D,'Other Costs'!$A:$A,Heron!$A113,'Other Costs'!$C:$C,"&lt;="&amp;Heron!AD$9,'Other Costs'!$C:$C,"&gt;"&amp;Heron!AC$9)</f>
        <v/>
      </c>
      <c r="AE113" s="120">
        <f>SUMIFS('Other Costs'!$D:$D,'Other Costs'!$A:$A,Heron!$A113,'Other Costs'!$C:$C,"&lt;="&amp;Heron!AE$9,'Other Costs'!$C:$C,"&gt;"&amp;Heron!AD$9)</f>
        <v/>
      </c>
      <c r="AF113" s="120">
        <f>SUMIFS('Other Costs'!$D:$D,'Other Costs'!$A:$A,Heron!$A113,'Other Costs'!$C:$C,"&lt;="&amp;Heron!AF$9,'Other Costs'!$C:$C,"&gt;"&amp;Heron!AE$9)</f>
        <v/>
      </c>
      <c r="AG113" s="120">
        <f>SUMIFS('Other Costs'!$D:$D,'Other Costs'!$A:$A,Heron!$A113,'Other Costs'!$C:$C,"&lt;="&amp;Heron!AG$9,'Other Costs'!$C:$C,"&gt;"&amp;Heron!AF$9)</f>
        <v/>
      </c>
      <c r="AH113" s="120">
        <f>SUMIFS('Other Costs'!$D:$D,'Other Costs'!$A:$A,Heron!$A113,'Other Costs'!$C:$C,"&lt;="&amp;Heron!AH$9,'Other Costs'!$C:$C,"&gt;"&amp;Heron!AG$9)</f>
        <v/>
      </c>
      <c r="AI113" s="120">
        <f>SUMIFS('Other Costs'!$D:$D,'Other Costs'!$A:$A,Heron!$A113,'Other Costs'!$C:$C,"&lt;="&amp;Heron!AI$9,'Other Costs'!$C:$C,"&gt;"&amp;Heron!AH$9)</f>
        <v/>
      </c>
      <c r="AJ113" s="120">
        <f>SUMIFS('Other Costs'!$D:$D,'Other Costs'!$A:$A,Heron!$A113,'Other Costs'!$C:$C,"&lt;="&amp;Heron!AJ$9,'Other Costs'!$C:$C,"&gt;"&amp;Heron!AI$9)</f>
        <v/>
      </c>
      <c r="AK113" s="120">
        <f>SUMIFS('Other Costs'!$D:$D,'Other Costs'!$A:$A,Heron!$A113,'Other Costs'!$C:$C,"&lt;="&amp;Heron!AK$9,'Other Costs'!$C:$C,"&gt;"&amp;Heron!AJ$9)</f>
        <v/>
      </c>
      <c r="AL113" s="120">
        <f>SUMIFS('Other Costs'!$D:$D,'Other Costs'!$A:$A,Heron!$A113,'Other Costs'!$C:$C,"&lt;="&amp;Heron!AL$9,'Other Costs'!$C:$C,"&gt;"&amp;Heron!AK$9)</f>
        <v/>
      </c>
      <c r="AM113" s="120">
        <f>SUMIFS('Other Costs'!$D:$D,'Other Costs'!$A:$A,Heron!$A113,'Other Costs'!$C:$C,"&lt;="&amp;Heron!AM$9,'Other Costs'!$C:$C,"&gt;"&amp;Heron!AL$9)</f>
        <v/>
      </c>
      <c r="AN113" s="120">
        <f>SUMIFS('Other Costs'!$D:$D,'Other Costs'!$A:$A,Heron!$A113,'Other Costs'!$C:$C,"&lt;="&amp;Heron!AN$9,'Other Costs'!$C:$C,"&gt;"&amp;Heron!AM$9)</f>
        <v/>
      </c>
      <c r="AO113" s="120">
        <f>SUMIFS('Other Costs'!$D:$D,'Other Costs'!$A:$A,Heron!$A113,'Other Costs'!$C:$C,"&lt;="&amp;Heron!AO$9,'Other Costs'!$C:$C,"&gt;"&amp;Heron!AN$9)</f>
        <v/>
      </c>
      <c r="AP113" s="120">
        <f>SUMIFS('Other Costs'!$D:$D,'Other Costs'!$A:$A,Heron!$A113,'Other Costs'!$C:$C,"&lt;="&amp;Heron!AP$9,'Other Costs'!$C:$C,"&gt;"&amp;Heron!AO$9)</f>
        <v/>
      </c>
      <c r="AQ113" s="120">
        <f>SUMIFS('Other Costs'!$D:$D,'Other Costs'!$A:$A,Heron!$A113,'Other Costs'!$C:$C,"&lt;="&amp;Heron!AQ$9,'Other Costs'!$C:$C,"&gt;"&amp;Heron!AP$9)</f>
        <v/>
      </c>
      <c r="AR113" s="120">
        <f>SUMIFS('Other Costs'!$D:$D,'Other Costs'!$A:$A,Heron!$A113,'Other Costs'!$C:$C,"&lt;="&amp;Heron!AR$9,'Other Costs'!$C:$C,"&gt;"&amp;Heron!AQ$9)</f>
        <v/>
      </c>
      <c r="AS113" s="120">
        <f>SUMIFS('Other Costs'!$D:$D,'Other Costs'!$A:$A,Heron!$A113,'Other Costs'!$C:$C,"&lt;="&amp;Heron!AS$9,'Other Costs'!$C:$C,"&gt;"&amp;Heron!AR$9)</f>
        <v/>
      </c>
      <c r="AT113" s="120">
        <f>SUMIFS('Other Costs'!$D:$D,'Other Costs'!$A:$A,Heron!$A113,'Other Costs'!$C:$C,"&lt;="&amp;Heron!AT$9,'Other Costs'!$C:$C,"&gt;"&amp;Heron!AS$9)</f>
        <v/>
      </c>
      <c r="AU113" s="120">
        <f>SUMIFS('Other Costs'!$D:$D,'Other Costs'!$A:$A,Heron!$A113,'Other Costs'!$C:$C,"&lt;="&amp;Heron!AU$9,'Other Costs'!$C:$C,"&gt;"&amp;Heron!AT$9)</f>
        <v/>
      </c>
      <c r="AV113" s="120">
        <f>SUMIFS('Other Costs'!$D:$D,'Other Costs'!$A:$A,Heron!$A113,'Other Costs'!$C:$C,"&lt;="&amp;Heron!AV$9,'Other Costs'!$C:$C,"&gt;"&amp;Heron!AU$9)</f>
        <v/>
      </c>
      <c r="AW113" s="120">
        <f>SUMIFS('Other Costs'!$D:$D,'Other Costs'!$A:$A,Heron!$A113,'Other Costs'!$C:$C,"&lt;="&amp;Heron!AW$9,'Other Costs'!$C:$C,"&gt;"&amp;Heron!AV$9)</f>
        <v/>
      </c>
      <c r="AX113" s="120">
        <f>SUMIFS('Other Costs'!$D:$D,'Other Costs'!$A:$A,Heron!$A113,'Other Costs'!$C:$C,"&lt;="&amp;Heron!AX$9,'Other Costs'!$C:$C,"&gt;"&amp;Heron!AW$9)</f>
        <v/>
      </c>
      <c r="AY113" s="120">
        <f>SUMIFS('Other Costs'!$D:$D,'Other Costs'!$A:$A,Heron!$A113,'Other Costs'!$C:$C,"&lt;="&amp;Heron!AY$9,'Other Costs'!$C:$C,"&gt;"&amp;Heron!AX$9)</f>
        <v/>
      </c>
      <c r="AZ113" s="120">
        <f>SUMIFS('Other Costs'!$D:$D,'Other Costs'!$A:$A,Heron!$A113,'Other Costs'!$C:$C,"&lt;="&amp;Heron!AZ$9,'Other Costs'!$C:$C,"&gt;"&amp;Heron!AY$9)</f>
        <v/>
      </c>
      <c r="BA113" s="120">
        <f>SUMIFS('Other Costs'!$D:$D,'Other Costs'!$A:$A,Heron!$A113,'Other Costs'!$C:$C,"&lt;="&amp;Heron!BA$9,'Other Costs'!$C:$C,"&gt;"&amp;Heron!AZ$9)</f>
        <v/>
      </c>
      <c r="BB113" s="120">
        <f>SUMIFS('Other Costs'!$D:$D,'Other Costs'!$A:$A,Heron!$A113,'Other Costs'!$C:$C,"&lt;="&amp;Heron!BB$9,'Other Costs'!$C:$C,"&gt;"&amp;Heron!BA$9)</f>
        <v/>
      </c>
      <c r="BC113" s="120">
        <f>SUMIFS('Other Costs'!$D:$D,'Other Costs'!$A:$A,Heron!$A113,'Other Costs'!$C:$C,"&lt;="&amp;Heron!BC$9,'Other Costs'!$C:$C,"&gt;"&amp;Heron!BB$9)</f>
        <v/>
      </c>
      <c r="BD113" s="120">
        <f>SUMIFS('Other Costs'!$D:$D,'Other Costs'!$A:$A,Heron!$A113,'Other Costs'!$C:$C,"&lt;="&amp;Heron!BD$9,'Other Costs'!$C:$C,"&gt;"&amp;Heron!BC$9)</f>
        <v/>
      </c>
      <c r="BE113" s="120">
        <f>SUMIFS('Other Costs'!$D:$D,'Other Costs'!$A:$A,Heron!$A113,'Other Costs'!$C:$C,"&lt;="&amp;Heron!BE$9,'Other Costs'!$C:$C,"&gt;"&amp;Heron!BD$9)</f>
        <v/>
      </c>
      <c r="BF113" s="120">
        <f>SUMIFS('Other Costs'!$D:$D,'Other Costs'!$A:$A,Heron!$A113,'Other Costs'!$C:$C,"&lt;="&amp;Heron!BF$9,'Other Costs'!$C:$C,"&gt;"&amp;Heron!BE$9)</f>
        <v/>
      </c>
      <c r="BG113" s="120">
        <f>SUMIFS('Other Costs'!$D:$D,'Other Costs'!$A:$A,Heron!$A113,'Other Costs'!$C:$C,"&lt;="&amp;Heron!BG$9,'Other Costs'!$C:$C,"&gt;"&amp;Heron!BF$9)</f>
        <v/>
      </c>
      <c r="BH113" s="120">
        <f>SUMIFS('Other Costs'!$D:$D,'Other Costs'!$A:$A,Heron!$A113,'Other Costs'!$C:$C,"&lt;="&amp;Heron!BH$9,'Other Costs'!$C:$C,"&gt;"&amp;Heron!BG$9)</f>
        <v/>
      </c>
      <c r="BI113" s="120">
        <f>SUMIFS('Other Costs'!$D:$D,'Other Costs'!$A:$A,Heron!$A113,'Other Costs'!$C:$C,"&lt;="&amp;Heron!BI$9,'Other Costs'!$C:$C,"&gt;"&amp;Heron!BH$9)</f>
        <v/>
      </c>
      <c r="BJ113" s="120">
        <f>SUMIFS('Other Costs'!$D:$D,'Other Costs'!$A:$A,Heron!$A113,'Other Costs'!$C:$C,"&lt;="&amp;Heron!BJ$9,'Other Costs'!$C:$C,"&gt;"&amp;Heron!BI$9)</f>
        <v/>
      </c>
      <c r="BK113" s="117">
        <f>sum(D113:BJ113)</f>
        <v/>
      </c>
    </row>
    <row r="114">
      <c r="A114" s="116" t="inlineStr">
        <is>
          <t>Professional Fees</t>
        </is>
      </c>
      <c r="D114" s="120">
        <f>SUMIFS('Other Costs'!$D:$D,'Other Costs'!$A:$A,Heron!$A114,'Other Costs'!$C:$C,"&lt;="&amp;Heron!D$9,'Other Costs'!$C:$C,"&gt;"&amp;Heron!C$9)</f>
        <v/>
      </c>
      <c r="E114" s="120">
        <f>SUMIFS('Other Costs'!$D:$D,'Other Costs'!$A:$A,Heron!$A114,'Other Costs'!$C:$C,"&lt;="&amp;Heron!E$9,'Other Costs'!$C:$C,"&gt;"&amp;Heron!D$9)</f>
        <v/>
      </c>
      <c r="F114" s="120">
        <f>SUMIFS('Other Costs'!$D:$D,'Other Costs'!$A:$A,Heron!$A114,'Other Costs'!$C:$C,"&lt;="&amp;Heron!F$9,'Other Costs'!$C:$C,"&gt;"&amp;Heron!E$9)</f>
        <v/>
      </c>
      <c r="G114" s="120">
        <f>SUMIFS('Other Costs'!$D:$D,'Other Costs'!$A:$A,Heron!$A114,'Other Costs'!$C:$C,"&lt;="&amp;Heron!G$9,'Other Costs'!$C:$C,"&gt;"&amp;Heron!F$9)</f>
        <v/>
      </c>
      <c r="H114" s="120">
        <f>SUMIFS('Other Costs'!$D:$D,'Other Costs'!$A:$A,Heron!$A114,'Other Costs'!$C:$C,"&lt;="&amp;Heron!H$9,'Other Costs'!$C:$C,"&gt;"&amp;Heron!G$9)</f>
        <v/>
      </c>
      <c r="I114" s="120">
        <f>SUMIFS('Other Costs'!$D:$D,'Other Costs'!$A:$A,Heron!$A114,'Other Costs'!$C:$C,"&lt;="&amp;Heron!I$9,'Other Costs'!$C:$C,"&gt;"&amp;Heron!H$9)</f>
        <v/>
      </c>
      <c r="J114" s="120">
        <f>SUMIFS('Other Costs'!$D:$D,'Other Costs'!$A:$A,Heron!$A114,'Other Costs'!$C:$C,"&lt;="&amp;Heron!J$9,'Other Costs'!$C:$C,"&gt;"&amp;Heron!I$9)</f>
        <v/>
      </c>
      <c r="K114" s="120">
        <f>SUMIFS('Other Costs'!$D:$D,'Other Costs'!$A:$A,Heron!$A114,'Other Costs'!$C:$C,"&lt;="&amp;Heron!K$9,'Other Costs'!$C:$C,"&gt;"&amp;Heron!J$9)</f>
        <v/>
      </c>
      <c r="L114" s="120">
        <f>SUMIFS('Other Costs'!$D:$D,'Other Costs'!$A:$A,Heron!$A114,'Other Costs'!$C:$C,"&lt;="&amp;Heron!L$9,'Other Costs'!$C:$C,"&gt;"&amp;Heron!K$9)</f>
        <v/>
      </c>
      <c r="M114" s="120">
        <f>SUMIFS('Other Costs'!$D:$D,'Other Costs'!$A:$A,Heron!$A114,'Other Costs'!$C:$C,"&lt;="&amp;Heron!M$9,'Other Costs'!$C:$C,"&gt;"&amp;Heron!L$9)</f>
        <v/>
      </c>
      <c r="N114" s="120">
        <f>SUMIFS('Other Costs'!$D:$D,'Other Costs'!$A:$A,Heron!$A114,'Other Costs'!$C:$C,"&lt;="&amp;Heron!N$9,'Other Costs'!$C:$C,"&gt;"&amp;Heron!M$9)</f>
        <v/>
      </c>
      <c r="O114" s="120">
        <f>SUMIFS('Other Costs'!$D:$D,'Other Costs'!$A:$A,Heron!$A114,'Other Costs'!$C:$C,"&lt;="&amp;Heron!O$9,'Other Costs'!$C:$C,"&gt;"&amp;Heron!N$9)</f>
        <v/>
      </c>
      <c r="P114" s="120">
        <f>SUMIFS('Other Costs'!$D:$D,'Other Costs'!$A:$A,Heron!$A114,'Other Costs'!$C:$C,"&lt;="&amp;Heron!P$9,'Other Costs'!$C:$C,"&gt;"&amp;Heron!O$9)</f>
        <v/>
      </c>
      <c r="Q114" s="120">
        <f>SUMIFS('Other Costs'!$D:$D,'Other Costs'!$A:$A,Heron!$A114,'Other Costs'!$C:$C,"&lt;="&amp;Heron!Q$9,'Other Costs'!$C:$C,"&gt;"&amp;Heron!P$9)</f>
        <v/>
      </c>
      <c r="R114" s="120">
        <f>SUMIFS('Other Costs'!$D:$D,'Other Costs'!$A:$A,Heron!$A114,'Other Costs'!$C:$C,"&lt;="&amp;Heron!R$9,'Other Costs'!$C:$C,"&gt;"&amp;Heron!Q$9)</f>
        <v/>
      </c>
      <c r="S114" s="120">
        <f>SUMIFS('Other Costs'!$D:$D,'Other Costs'!$A:$A,Heron!$A114,'Other Costs'!$C:$C,"&lt;="&amp;Heron!S$9,'Other Costs'!$C:$C,"&gt;"&amp;Heron!R$9)</f>
        <v/>
      </c>
      <c r="T114" s="120">
        <f>SUMIFS('Other Costs'!$D:$D,'Other Costs'!$A:$A,Heron!$A114,'Other Costs'!$C:$C,"&lt;="&amp;Heron!T$9,'Other Costs'!$C:$C,"&gt;"&amp;Heron!S$9)</f>
        <v/>
      </c>
      <c r="U114" s="120">
        <f>SUMIFS('Other Costs'!$D:$D,'Other Costs'!$A:$A,Heron!$A114,'Other Costs'!$C:$C,"&lt;="&amp;Heron!U$9,'Other Costs'!$C:$C,"&gt;"&amp;Heron!T$9)</f>
        <v/>
      </c>
      <c r="V114" s="120">
        <f>SUMIFS('Other Costs'!$D:$D,'Other Costs'!$A:$A,Heron!$A114,'Other Costs'!$C:$C,"&lt;="&amp;Heron!V$9,'Other Costs'!$C:$C,"&gt;"&amp;Heron!U$9)</f>
        <v/>
      </c>
      <c r="W114" s="120">
        <f>SUMIFS('Other Costs'!$D:$D,'Other Costs'!$A:$A,Heron!$A114,'Other Costs'!$C:$C,"&lt;="&amp;Heron!W$9,'Other Costs'!$C:$C,"&gt;"&amp;Heron!V$9)</f>
        <v/>
      </c>
      <c r="X114" s="120">
        <f>SUMIFS('Other Costs'!$D:$D,'Other Costs'!$A:$A,Heron!$A114,'Other Costs'!$C:$C,"&lt;="&amp;Heron!X$9,'Other Costs'!$C:$C,"&gt;"&amp;Heron!W$9)</f>
        <v/>
      </c>
      <c r="Y114" s="120">
        <f>SUMIFS('Other Costs'!$D:$D,'Other Costs'!$A:$A,Heron!$A114,'Other Costs'!$C:$C,"&lt;="&amp;Heron!Y$9,'Other Costs'!$C:$C,"&gt;"&amp;Heron!X$9)</f>
        <v/>
      </c>
      <c r="Z114" s="120">
        <f>SUMIFS('Other Costs'!$D:$D,'Other Costs'!$A:$A,Heron!$A114,'Other Costs'!$C:$C,"&lt;="&amp;Heron!Z$9,'Other Costs'!$C:$C,"&gt;"&amp;Heron!Y$9)</f>
        <v/>
      </c>
      <c r="AA114" s="120">
        <f>SUMIFS('Other Costs'!$D:$D,'Other Costs'!$A:$A,Heron!$A114,'Other Costs'!$C:$C,"&lt;="&amp;Heron!AA$9,'Other Costs'!$C:$C,"&gt;"&amp;Heron!Z$9)</f>
        <v/>
      </c>
      <c r="AB114" s="120">
        <f>SUMIFS('Other Costs'!$D:$D,'Other Costs'!$A:$A,Heron!$A114,'Other Costs'!$C:$C,"&lt;="&amp;Heron!AB$9,'Other Costs'!$C:$C,"&gt;"&amp;Heron!AA$9)</f>
        <v/>
      </c>
      <c r="AC114" s="120">
        <f>SUMIFS('Other Costs'!$D:$D,'Other Costs'!$A:$A,Heron!$A114,'Other Costs'!$C:$C,"&lt;="&amp;Heron!AC$9,'Other Costs'!$C:$C,"&gt;"&amp;Heron!AB$9)</f>
        <v/>
      </c>
      <c r="AD114" s="120">
        <f>SUMIFS('Other Costs'!$D:$D,'Other Costs'!$A:$A,Heron!$A114,'Other Costs'!$C:$C,"&lt;="&amp;Heron!AD$9,'Other Costs'!$C:$C,"&gt;"&amp;Heron!AC$9)</f>
        <v/>
      </c>
      <c r="AE114" s="120">
        <f>SUMIFS('Other Costs'!$D:$D,'Other Costs'!$A:$A,Heron!$A114,'Other Costs'!$C:$C,"&lt;="&amp;Heron!AE$9,'Other Costs'!$C:$C,"&gt;"&amp;Heron!AD$9)</f>
        <v/>
      </c>
      <c r="AF114" s="120">
        <f>SUMIFS('Other Costs'!$D:$D,'Other Costs'!$A:$A,Heron!$A114,'Other Costs'!$C:$C,"&lt;="&amp;Heron!AF$9,'Other Costs'!$C:$C,"&gt;"&amp;Heron!AE$9)</f>
        <v/>
      </c>
      <c r="AG114" s="120">
        <f>SUMIFS('Other Costs'!$D:$D,'Other Costs'!$A:$A,Heron!$A114,'Other Costs'!$C:$C,"&lt;="&amp;Heron!AG$9,'Other Costs'!$C:$C,"&gt;"&amp;Heron!AF$9)</f>
        <v/>
      </c>
      <c r="AH114" s="120">
        <f>SUMIFS('Other Costs'!$D:$D,'Other Costs'!$A:$A,Heron!$A114,'Other Costs'!$C:$C,"&lt;="&amp;Heron!AH$9,'Other Costs'!$C:$C,"&gt;"&amp;Heron!AG$9)</f>
        <v/>
      </c>
      <c r="AI114" s="120">
        <f>SUMIFS('Other Costs'!$D:$D,'Other Costs'!$A:$A,Heron!$A114,'Other Costs'!$C:$C,"&lt;="&amp;Heron!AI$9,'Other Costs'!$C:$C,"&gt;"&amp;Heron!AH$9)</f>
        <v/>
      </c>
      <c r="AJ114" s="120">
        <f>SUMIFS('Other Costs'!$D:$D,'Other Costs'!$A:$A,Heron!$A114,'Other Costs'!$C:$C,"&lt;="&amp;Heron!AJ$9,'Other Costs'!$C:$C,"&gt;"&amp;Heron!AI$9)</f>
        <v/>
      </c>
      <c r="AK114" s="120">
        <f>SUMIFS('Other Costs'!$D:$D,'Other Costs'!$A:$A,Heron!$A114,'Other Costs'!$C:$C,"&lt;="&amp;Heron!AK$9,'Other Costs'!$C:$C,"&gt;"&amp;Heron!AJ$9)</f>
        <v/>
      </c>
      <c r="AL114" s="120">
        <f>SUMIFS('Other Costs'!$D:$D,'Other Costs'!$A:$A,Heron!$A114,'Other Costs'!$C:$C,"&lt;="&amp;Heron!AL$9,'Other Costs'!$C:$C,"&gt;"&amp;Heron!AK$9)</f>
        <v/>
      </c>
      <c r="AM114" s="120">
        <f>SUMIFS('Other Costs'!$D:$D,'Other Costs'!$A:$A,Heron!$A114,'Other Costs'!$C:$C,"&lt;="&amp;Heron!AM$9,'Other Costs'!$C:$C,"&gt;"&amp;Heron!AL$9)</f>
        <v/>
      </c>
      <c r="AN114" s="120">
        <f>SUMIFS('Other Costs'!$D:$D,'Other Costs'!$A:$A,Heron!$A114,'Other Costs'!$C:$C,"&lt;="&amp;Heron!AN$9,'Other Costs'!$C:$C,"&gt;"&amp;Heron!AM$9)</f>
        <v/>
      </c>
      <c r="AO114" s="120">
        <f>SUMIFS('Other Costs'!$D:$D,'Other Costs'!$A:$A,Heron!$A114,'Other Costs'!$C:$C,"&lt;="&amp;Heron!AO$9,'Other Costs'!$C:$C,"&gt;"&amp;Heron!AN$9)</f>
        <v/>
      </c>
      <c r="AP114" s="120">
        <f>SUMIFS('Other Costs'!$D:$D,'Other Costs'!$A:$A,Heron!$A114,'Other Costs'!$C:$C,"&lt;="&amp;Heron!AP$9,'Other Costs'!$C:$C,"&gt;"&amp;Heron!AO$9)</f>
        <v/>
      </c>
      <c r="AQ114" s="120">
        <f>SUMIFS('Other Costs'!$D:$D,'Other Costs'!$A:$A,Heron!$A114,'Other Costs'!$C:$C,"&lt;="&amp;Heron!AQ$9,'Other Costs'!$C:$C,"&gt;"&amp;Heron!AP$9)</f>
        <v/>
      </c>
      <c r="AR114" s="120">
        <f>SUMIFS('Other Costs'!$D:$D,'Other Costs'!$A:$A,Heron!$A114,'Other Costs'!$C:$C,"&lt;="&amp;Heron!AR$9,'Other Costs'!$C:$C,"&gt;"&amp;Heron!AQ$9)</f>
        <v/>
      </c>
      <c r="AS114" s="120">
        <f>SUMIFS('Other Costs'!$D:$D,'Other Costs'!$A:$A,Heron!$A114,'Other Costs'!$C:$C,"&lt;="&amp;Heron!AS$9,'Other Costs'!$C:$C,"&gt;"&amp;Heron!AR$9)</f>
        <v/>
      </c>
      <c r="AT114" s="120">
        <f>SUMIFS('Other Costs'!$D:$D,'Other Costs'!$A:$A,Heron!$A114,'Other Costs'!$C:$C,"&lt;="&amp;Heron!AT$9,'Other Costs'!$C:$C,"&gt;"&amp;Heron!AS$9)</f>
        <v/>
      </c>
      <c r="AU114" s="120">
        <f>SUMIFS('Other Costs'!$D:$D,'Other Costs'!$A:$A,Heron!$A114,'Other Costs'!$C:$C,"&lt;="&amp;Heron!AU$9,'Other Costs'!$C:$C,"&gt;"&amp;Heron!AT$9)</f>
        <v/>
      </c>
      <c r="AV114" s="120">
        <f>SUMIFS('Other Costs'!$D:$D,'Other Costs'!$A:$A,Heron!$A114,'Other Costs'!$C:$C,"&lt;="&amp;Heron!AV$9,'Other Costs'!$C:$C,"&gt;"&amp;Heron!AU$9)</f>
        <v/>
      </c>
      <c r="AW114" s="120">
        <f>SUMIFS('Other Costs'!$D:$D,'Other Costs'!$A:$A,Heron!$A114,'Other Costs'!$C:$C,"&lt;="&amp;Heron!AW$9,'Other Costs'!$C:$C,"&gt;"&amp;Heron!AV$9)</f>
        <v/>
      </c>
      <c r="AX114" s="120">
        <f>SUMIFS('Other Costs'!$D:$D,'Other Costs'!$A:$A,Heron!$A114,'Other Costs'!$C:$C,"&lt;="&amp;Heron!AX$9,'Other Costs'!$C:$C,"&gt;"&amp;Heron!AW$9)</f>
        <v/>
      </c>
      <c r="AY114" s="120">
        <f>SUMIFS('Other Costs'!$D:$D,'Other Costs'!$A:$A,Heron!$A114,'Other Costs'!$C:$C,"&lt;="&amp;Heron!AY$9,'Other Costs'!$C:$C,"&gt;"&amp;Heron!AX$9)</f>
        <v/>
      </c>
      <c r="AZ114" s="120">
        <f>SUMIFS('Other Costs'!$D:$D,'Other Costs'!$A:$A,Heron!$A114,'Other Costs'!$C:$C,"&lt;="&amp;Heron!AZ$9,'Other Costs'!$C:$C,"&gt;"&amp;Heron!AY$9)</f>
        <v/>
      </c>
      <c r="BA114" s="120">
        <f>SUMIFS('Other Costs'!$D:$D,'Other Costs'!$A:$A,Heron!$A114,'Other Costs'!$C:$C,"&lt;="&amp;Heron!BA$9,'Other Costs'!$C:$C,"&gt;"&amp;Heron!AZ$9)</f>
        <v/>
      </c>
      <c r="BB114" s="120">
        <f>SUMIFS('Other Costs'!$D:$D,'Other Costs'!$A:$A,Heron!$A114,'Other Costs'!$C:$C,"&lt;="&amp;Heron!BB$9,'Other Costs'!$C:$C,"&gt;"&amp;Heron!BA$9)</f>
        <v/>
      </c>
      <c r="BC114" s="120">
        <f>SUMIFS('Other Costs'!$D:$D,'Other Costs'!$A:$A,Heron!$A114,'Other Costs'!$C:$C,"&lt;="&amp;Heron!BC$9,'Other Costs'!$C:$C,"&gt;"&amp;Heron!BB$9)</f>
        <v/>
      </c>
      <c r="BD114" s="120">
        <f>SUMIFS('Other Costs'!$D:$D,'Other Costs'!$A:$A,Heron!$A114,'Other Costs'!$C:$C,"&lt;="&amp;Heron!BD$9,'Other Costs'!$C:$C,"&gt;"&amp;Heron!BC$9)</f>
        <v/>
      </c>
      <c r="BE114" s="120">
        <f>SUMIFS('Other Costs'!$D:$D,'Other Costs'!$A:$A,Heron!$A114,'Other Costs'!$C:$C,"&lt;="&amp;Heron!BE$9,'Other Costs'!$C:$C,"&gt;"&amp;Heron!BD$9)</f>
        <v/>
      </c>
      <c r="BF114" s="120">
        <f>SUMIFS('Other Costs'!$D:$D,'Other Costs'!$A:$A,Heron!$A114,'Other Costs'!$C:$C,"&lt;="&amp;Heron!BF$9,'Other Costs'!$C:$C,"&gt;"&amp;Heron!BE$9)</f>
        <v/>
      </c>
      <c r="BG114" s="120">
        <f>SUMIFS('Other Costs'!$D:$D,'Other Costs'!$A:$A,Heron!$A114,'Other Costs'!$C:$C,"&lt;="&amp;Heron!BG$9,'Other Costs'!$C:$C,"&gt;"&amp;Heron!BF$9)</f>
        <v/>
      </c>
      <c r="BH114" s="120">
        <f>SUMIFS('Other Costs'!$D:$D,'Other Costs'!$A:$A,Heron!$A114,'Other Costs'!$C:$C,"&lt;="&amp;Heron!BH$9,'Other Costs'!$C:$C,"&gt;"&amp;Heron!BG$9)</f>
        <v/>
      </c>
      <c r="BI114" s="120">
        <f>SUMIFS('Other Costs'!$D:$D,'Other Costs'!$A:$A,Heron!$A114,'Other Costs'!$C:$C,"&lt;="&amp;Heron!BI$9,'Other Costs'!$C:$C,"&gt;"&amp;Heron!BH$9)</f>
        <v/>
      </c>
      <c r="BJ114" s="120">
        <f>SUMIFS('Other Costs'!$D:$D,'Other Costs'!$A:$A,Heron!$A114,'Other Costs'!$C:$C,"&lt;="&amp;Heron!BJ$9,'Other Costs'!$C:$C,"&gt;"&amp;Heron!BI$9)</f>
        <v/>
      </c>
      <c r="BK114" s="117">
        <f>sum(D114:BJ114)</f>
        <v/>
      </c>
    </row>
    <row r="115">
      <c r="A115" s="116" t="inlineStr">
        <is>
          <t>Rent Salaries and Wages</t>
        </is>
      </c>
      <c r="D115" s="120">
        <f>SUMIFS('Other Costs'!$D:$D,'Other Costs'!$A:$A,Heron!$A115,'Other Costs'!$C:$C,"&lt;="&amp;Heron!D$9,'Other Costs'!$C:$C,"&gt;"&amp;Heron!C$9)</f>
        <v/>
      </c>
      <c r="E115" s="120">
        <f>SUMIFS('Other Costs'!$D:$D,'Other Costs'!$A:$A,Heron!$A115,'Other Costs'!$C:$C,"&lt;="&amp;Heron!E$9,'Other Costs'!$C:$C,"&gt;"&amp;Heron!D$9)</f>
        <v/>
      </c>
      <c r="F115" s="120">
        <f>SUMIFS('Other Costs'!$D:$D,'Other Costs'!$A:$A,Heron!$A115,'Other Costs'!$C:$C,"&lt;="&amp;Heron!F$9,'Other Costs'!$C:$C,"&gt;"&amp;Heron!E$9)</f>
        <v/>
      </c>
      <c r="G115" s="120">
        <f>SUMIFS('Other Costs'!$D:$D,'Other Costs'!$A:$A,Heron!$A115,'Other Costs'!$C:$C,"&lt;="&amp;Heron!G$9,'Other Costs'!$C:$C,"&gt;"&amp;Heron!F$9)</f>
        <v/>
      </c>
      <c r="H115" s="120">
        <f>SUMIFS('Other Costs'!$D:$D,'Other Costs'!$A:$A,Heron!$A115,'Other Costs'!$C:$C,"&lt;="&amp;Heron!H$9,'Other Costs'!$C:$C,"&gt;"&amp;Heron!G$9)</f>
        <v/>
      </c>
      <c r="I115" s="120">
        <f>SUMIFS('Other Costs'!$D:$D,'Other Costs'!$A:$A,Heron!$A115,'Other Costs'!$C:$C,"&lt;="&amp;Heron!I$9,'Other Costs'!$C:$C,"&gt;"&amp;Heron!H$9)</f>
        <v/>
      </c>
      <c r="J115" s="120">
        <f>SUMIFS('Other Costs'!$D:$D,'Other Costs'!$A:$A,Heron!$A115,'Other Costs'!$C:$C,"&lt;="&amp;Heron!J$9,'Other Costs'!$C:$C,"&gt;"&amp;Heron!I$9)</f>
        <v/>
      </c>
      <c r="K115" s="120">
        <f>SUMIFS('Other Costs'!$D:$D,'Other Costs'!$A:$A,Heron!$A115,'Other Costs'!$C:$C,"&lt;="&amp;Heron!K$9,'Other Costs'!$C:$C,"&gt;"&amp;Heron!J$9)</f>
        <v/>
      </c>
      <c r="L115" s="120">
        <f>SUMIFS('Other Costs'!$D:$D,'Other Costs'!$A:$A,Heron!$A115,'Other Costs'!$C:$C,"&lt;="&amp;Heron!L$9,'Other Costs'!$C:$C,"&gt;"&amp;Heron!K$9)</f>
        <v/>
      </c>
      <c r="M115" s="120">
        <f>SUMIFS('Other Costs'!$D:$D,'Other Costs'!$A:$A,Heron!$A115,'Other Costs'!$C:$C,"&lt;="&amp;Heron!M$9,'Other Costs'!$C:$C,"&gt;"&amp;Heron!L$9)</f>
        <v/>
      </c>
      <c r="N115" s="120">
        <f>SUMIFS('Other Costs'!$D:$D,'Other Costs'!$A:$A,Heron!$A115,'Other Costs'!$C:$C,"&lt;="&amp;Heron!N$9,'Other Costs'!$C:$C,"&gt;"&amp;Heron!M$9)</f>
        <v/>
      </c>
      <c r="O115" s="120">
        <f>SUMIFS('Other Costs'!$D:$D,'Other Costs'!$A:$A,Heron!$A115,'Other Costs'!$C:$C,"&lt;="&amp;Heron!O$9,'Other Costs'!$C:$C,"&gt;"&amp;Heron!N$9)</f>
        <v/>
      </c>
      <c r="P115" s="120">
        <f>SUMIFS('Other Costs'!$D:$D,'Other Costs'!$A:$A,Heron!$A115,'Other Costs'!$C:$C,"&lt;="&amp;Heron!P$9,'Other Costs'!$C:$C,"&gt;"&amp;Heron!O$9)</f>
        <v/>
      </c>
      <c r="Q115" s="120">
        <f>SUMIFS('Other Costs'!$D:$D,'Other Costs'!$A:$A,Heron!$A115,'Other Costs'!$C:$C,"&lt;="&amp;Heron!Q$9,'Other Costs'!$C:$C,"&gt;"&amp;Heron!P$9)</f>
        <v/>
      </c>
      <c r="R115" s="120">
        <f>SUMIFS('Other Costs'!$D:$D,'Other Costs'!$A:$A,Heron!$A115,'Other Costs'!$C:$C,"&lt;="&amp;Heron!R$9,'Other Costs'!$C:$C,"&gt;"&amp;Heron!Q$9)</f>
        <v/>
      </c>
      <c r="S115" s="120">
        <f>SUMIFS('Other Costs'!$D:$D,'Other Costs'!$A:$A,Heron!$A115,'Other Costs'!$C:$C,"&lt;="&amp;Heron!S$9,'Other Costs'!$C:$C,"&gt;"&amp;Heron!R$9)</f>
        <v/>
      </c>
      <c r="T115" s="120">
        <f>SUMIFS('Other Costs'!$D:$D,'Other Costs'!$A:$A,Heron!$A115,'Other Costs'!$C:$C,"&lt;="&amp;Heron!T$9,'Other Costs'!$C:$C,"&gt;"&amp;Heron!S$9)</f>
        <v/>
      </c>
      <c r="U115" s="120">
        <f>SUMIFS('Other Costs'!$D:$D,'Other Costs'!$A:$A,Heron!$A115,'Other Costs'!$C:$C,"&lt;="&amp;Heron!U$9,'Other Costs'!$C:$C,"&gt;"&amp;Heron!T$9)</f>
        <v/>
      </c>
      <c r="V115" s="120">
        <f>SUMIFS('Other Costs'!$D:$D,'Other Costs'!$A:$A,Heron!$A115,'Other Costs'!$C:$C,"&lt;="&amp;Heron!V$9,'Other Costs'!$C:$C,"&gt;"&amp;Heron!U$9)</f>
        <v/>
      </c>
      <c r="W115" s="120">
        <f>SUMIFS('Other Costs'!$D:$D,'Other Costs'!$A:$A,Heron!$A115,'Other Costs'!$C:$C,"&lt;="&amp;Heron!W$9,'Other Costs'!$C:$C,"&gt;"&amp;Heron!V$9)</f>
        <v/>
      </c>
      <c r="X115" s="120">
        <f>SUMIFS('Other Costs'!$D:$D,'Other Costs'!$A:$A,Heron!$A115,'Other Costs'!$C:$C,"&lt;="&amp;Heron!X$9,'Other Costs'!$C:$C,"&gt;"&amp;Heron!W$9)</f>
        <v/>
      </c>
      <c r="Y115" s="120">
        <f>SUMIFS('Other Costs'!$D:$D,'Other Costs'!$A:$A,Heron!$A115,'Other Costs'!$C:$C,"&lt;="&amp;Heron!Y$9,'Other Costs'!$C:$C,"&gt;"&amp;Heron!X$9)</f>
        <v/>
      </c>
      <c r="Z115" s="120">
        <f>SUMIFS('Other Costs'!$D:$D,'Other Costs'!$A:$A,Heron!$A115,'Other Costs'!$C:$C,"&lt;="&amp;Heron!Z$9,'Other Costs'!$C:$C,"&gt;"&amp;Heron!Y$9)</f>
        <v/>
      </c>
      <c r="AA115" s="120">
        <f>SUMIFS('Other Costs'!$D:$D,'Other Costs'!$A:$A,Heron!$A115,'Other Costs'!$C:$C,"&lt;="&amp;Heron!AA$9,'Other Costs'!$C:$C,"&gt;"&amp;Heron!Z$9)</f>
        <v/>
      </c>
      <c r="AB115" s="120">
        <f>SUMIFS('Other Costs'!$D:$D,'Other Costs'!$A:$A,Heron!$A115,'Other Costs'!$C:$C,"&lt;="&amp;Heron!AB$9,'Other Costs'!$C:$C,"&gt;"&amp;Heron!AA$9)</f>
        <v/>
      </c>
      <c r="AC115" s="120">
        <f>SUMIFS('Other Costs'!$D:$D,'Other Costs'!$A:$A,Heron!$A115,'Other Costs'!$C:$C,"&lt;="&amp;Heron!AC$9,'Other Costs'!$C:$C,"&gt;"&amp;Heron!AB$9)</f>
        <v/>
      </c>
      <c r="AD115" s="120">
        <f>SUMIFS('Other Costs'!$D:$D,'Other Costs'!$A:$A,Heron!$A115,'Other Costs'!$C:$C,"&lt;="&amp;Heron!AD$9,'Other Costs'!$C:$C,"&gt;"&amp;Heron!AC$9)</f>
        <v/>
      </c>
      <c r="AE115" s="120">
        <f>SUMIFS('Other Costs'!$D:$D,'Other Costs'!$A:$A,Heron!$A115,'Other Costs'!$C:$C,"&lt;="&amp;Heron!AE$9,'Other Costs'!$C:$C,"&gt;"&amp;Heron!AD$9)</f>
        <v/>
      </c>
      <c r="AF115" s="120">
        <f>SUMIFS('Other Costs'!$D:$D,'Other Costs'!$A:$A,Heron!$A115,'Other Costs'!$C:$C,"&lt;="&amp;Heron!AF$9,'Other Costs'!$C:$C,"&gt;"&amp;Heron!AE$9)</f>
        <v/>
      </c>
      <c r="AG115" s="120">
        <f>SUMIFS('Other Costs'!$D:$D,'Other Costs'!$A:$A,Heron!$A115,'Other Costs'!$C:$C,"&lt;="&amp;Heron!AG$9,'Other Costs'!$C:$C,"&gt;"&amp;Heron!AF$9)</f>
        <v/>
      </c>
      <c r="AH115" s="120">
        <f>SUMIFS('Other Costs'!$D:$D,'Other Costs'!$A:$A,Heron!$A115,'Other Costs'!$C:$C,"&lt;="&amp;Heron!AH$9,'Other Costs'!$C:$C,"&gt;"&amp;Heron!AG$9)</f>
        <v/>
      </c>
      <c r="AI115" s="120">
        <f>SUMIFS('Other Costs'!$D:$D,'Other Costs'!$A:$A,Heron!$A115,'Other Costs'!$C:$C,"&lt;="&amp;Heron!AI$9,'Other Costs'!$C:$C,"&gt;"&amp;Heron!AH$9)</f>
        <v/>
      </c>
      <c r="AJ115" s="120">
        <f>SUMIFS('Other Costs'!$D:$D,'Other Costs'!$A:$A,Heron!$A115,'Other Costs'!$C:$C,"&lt;="&amp;Heron!AJ$9,'Other Costs'!$C:$C,"&gt;"&amp;Heron!AI$9)</f>
        <v/>
      </c>
      <c r="AK115" s="120">
        <f>SUMIFS('Other Costs'!$D:$D,'Other Costs'!$A:$A,Heron!$A115,'Other Costs'!$C:$C,"&lt;="&amp;Heron!AK$9,'Other Costs'!$C:$C,"&gt;"&amp;Heron!AJ$9)</f>
        <v/>
      </c>
      <c r="AL115" s="120">
        <f>SUMIFS('Other Costs'!$D:$D,'Other Costs'!$A:$A,Heron!$A115,'Other Costs'!$C:$C,"&lt;="&amp;Heron!AL$9,'Other Costs'!$C:$C,"&gt;"&amp;Heron!AK$9)</f>
        <v/>
      </c>
      <c r="AM115" s="120">
        <f>SUMIFS('Other Costs'!$D:$D,'Other Costs'!$A:$A,Heron!$A115,'Other Costs'!$C:$C,"&lt;="&amp;Heron!AM$9,'Other Costs'!$C:$C,"&gt;"&amp;Heron!AL$9)</f>
        <v/>
      </c>
      <c r="AN115" s="120">
        <f>SUMIFS('Other Costs'!$D:$D,'Other Costs'!$A:$A,Heron!$A115,'Other Costs'!$C:$C,"&lt;="&amp;Heron!AN$9,'Other Costs'!$C:$C,"&gt;"&amp;Heron!AM$9)</f>
        <v/>
      </c>
      <c r="AO115" s="120">
        <f>SUMIFS('Other Costs'!$D:$D,'Other Costs'!$A:$A,Heron!$A115,'Other Costs'!$C:$C,"&lt;="&amp;Heron!AO$9,'Other Costs'!$C:$C,"&gt;"&amp;Heron!AN$9)</f>
        <v/>
      </c>
      <c r="AP115" s="120">
        <f>SUMIFS('Other Costs'!$D:$D,'Other Costs'!$A:$A,Heron!$A115,'Other Costs'!$C:$C,"&lt;="&amp;Heron!AP$9,'Other Costs'!$C:$C,"&gt;"&amp;Heron!AO$9)</f>
        <v/>
      </c>
      <c r="AQ115" s="120">
        <f>SUMIFS('Other Costs'!$D:$D,'Other Costs'!$A:$A,Heron!$A115,'Other Costs'!$C:$C,"&lt;="&amp;Heron!AQ$9,'Other Costs'!$C:$C,"&gt;"&amp;Heron!AP$9)</f>
        <v/>
      </c>
      <c r="AR115" s="120">
        <f>SUMIFS('Other Costs'!$D:$D,'Other Costs'!$A:$A,Heron!$A115,'Other Costs'!$C:$C,"&lt;="&amp;Heron!AR$9,'Other Costs'!$C:$C,"&gt;"&amp;Heron!AQ$9)</f>
        <v/>
      </c>
      <c r="AS115" s="120">
        <f>SUMIFS('Other Costs'!$D:$D,'Other Costs'!$A:$A,Heron!$A115,'Other Costs'!$C:$C,"&lt;="&amp;Heron!AS$9,'Other Costs'!$C:$C,"&gt;"&amp;Heron!AR$9)</f>
        <v/>
      </c>
      <c r="AT115" s="120">
        <f>SUMIFS('Other Costs'!$D:$D,'Other Costs'!$A:$A,Heron!$A115,'Other Costs'!$C:$C,"&lt;="&amp;Heron!AT$9,'Other Costs'!$C:$C,"&gt;"&amp;Heron!AS$9)</f>
        <v/>
      </c>
      <c r="AU115" s="120">
        <f>SUMIFS('Other Costs'!$D:$D,'Other Costs'!$A:$A,Heron!$A115,'Other Costs'!$C:$C,"&lt;="&amp;Heron!AU$9,'Other Costs'!$C:$C,"&gt;"&amp;Heron!AT$9)</f>
        <v/>
      </c>
      <c r="AV115" s="120">
        <f>SUMIFS('Other Costs'!$D:$D,'Other Costs'!$A:$A,Heron!$A115,'Other Costs'!$C:$C,"&lt;="&amp;Heron!AV$9,'Other Costs'!$C:$C,"&gt;"&amp;Heron!AU$9)</f>
        <v/>
      </c>
      <c r="AW115" s="120">
        <f>SUMIFS('Other Costs'!$D:$D,'Other Costs'!$A:$A,Heron!$A115,'Other Costs'!$C:$C,"&lt;="&amp;Heron!AW$9,'Other Costs'!$C:$C,"&gt;"&amp;Heron!AV$9)</f>
        <v/>
      </c>
      <c r="AX115" s="120">
        <f>SUMIFS('Other Costs'!$D:$D,'Other Costs'!$A:$A,Heron!$A115,'Other Costs'!$C:$C,"&lt;="&amp;Heron!AX$9,'Other Costs'!$C:$C,"&gt;"&amp;Heron!AW$9)</f>
        <v/>
      </c>
      <c r="AY115" s="120">
        <f>SUMIFS('Other Costs'!$D:$D,'Other Costs'!$A:$A,Heron!$A115,'Other Costs'!$C:$C,"&lt;="&amp;Heron!AY$9,'Other Costs'!$C:$C,"&gt;"&amp;Heron!AX$9)</f>
        <v/>
      </c>
      <c r="AZ115" s="120">
        <f>SUMIFS('Other Costs'!$D:$D,'Other Costs'!$A:$A,Heron!$A115,'Other Costs'!$C:$C,"&lt;="&amp;Heron!AZ$9,'Other Costs'!$C:$C,"&gt;"&amp;Heron!AY$9)</f>
        <v/>
      </c>
      <c r="BA115" s="120">
        <f>SUMIFS('Other Costs'!$D:$D,'Other Costs'!$A:$A,Heron!$A115,'Other Costs'!$C:$C,"&lt;="&amp;Heron!BA$9,'Other Costs'!$C:$C,"&gt;"&amp;Heron!AZ$9)</f>
        <v/>
      </c>
      <c r="BB115" s="120">
        <f>SUMIFS('Other Costs'!$D:$D,'Other Costs'!$A:$A,Heron!$A115,'Other Costs'!$C:$C,"&lt;="&amp;Heron!BB$9,'Other Costs'!$C:$C,"&gt;"&amp;Heron!BA$9)</f>
        <v/>
      </c>
      <c r="BC115" s="120">
        <f>SUMIFS('Other Costs'!$D:$D,'Other Costs'!$A:$A,Heron!$A115,'Other Costs'!$C:$C,"&lt;="&amp;Heron!BC$9,'Other Costs'!$C:$C,"&gt;"&amp;Heron!BB$9)</f>
        <v/>
      </c>
      <c r="BD115" s="120">
        <f>SUMIFS('Other Costs'!$D:$D,'Other Costs'!$A:$A,Heron!$A115,'Other Costs'!$C:$C,"&lt;="&amp;Heron!BD$9,'Other Costs'!$C:$C,"&gt;"&amp;Heron!BC$9)</f>
        <v/>
      </c>
      <c r="BE115" s="120">
        <f>SUMIFS('Other Costs'!$D:$D,'Other Costs'!$A:$A,Heron!$A115,'Other Costs'!$C:$C,"&lt;="&amp;Heron!BE$9,'Other Costs'!$C:$C,"&gt;"&amp;Heron!BD$9)</f>
        <v/>
      </c>
      <c r="BF115" s="120">
        <f>SUMIFS('Other Costs'!$D:$D,'Other Costs'!$A:$A,Heron!$A115,'Other Costs'!$C:$C,"&lt;="&amp;Heron!BF$9,'Other Costs'!$C:$C,"&gt;"&amp;Heron!BE$9)</f>
        <v/>
      </c>
      <c r="BG115" s="120">
        <f>SUMIFS('Other Costs'!$D:$D,'Other Costs'!$A:$A,Heron!$A115,'Other Costs'!$C:$C,"&lt;="&amp;Heron!BG$9,'Other Costs'!$C:$C,"&gt;"&amp;Heron!BF$9)</f>
        <v/>
      </c>
      <c r="BH115" s="120">
        <f>SUMIFS('Other Costs'!$D:$D,'Other Costs'!$A:$A,Heron!$A115,'Other Costs'!$C:$C,"&lt;="&amp;Heron!BH$9,'Other Costs'!$C:$C,"&gt;"&amp;Heron!BG$9)</f>
        <v/>
      </c>
      <c r="BI115" s="120">
        <f>SUMIFS('Other Costs'!$D:$D,'Other Costs'!$A:$A,Heron!$A115,'Other Costs'!$C:$C,"&lt;="&amp;Heron!BI$9,'Other Costs'!$C:$C,"&gt;"&amp;Heron!BH$9)</f>
        <v/>
      </c>
      <c r="BJ115" s="120">
        <f>SUMIFS('Other Costs'!$D:$D,'Other Costs'!$A:$A,Heron!$A115,'Other Costs'!$C:$C,"&lt;="&amp;Heron!BJ$9,'Other Costs'!$C:$C,"&gt;"&amp;Heron!BI$9)</f>
        <v/>
      </c>
      <c r="BK115" s="117">
        <f>sum(D115:BJ115)</f>
        <v/>
      </c>
    </row>
    <row r="117">
      <c r="A117" s="115" t="inlineStr">
        <is>
          <t>Total Expenses</t>
        </is>
      </c>
      <c r="D117" s="118">
        <f>sum(D33:D115)</f>
        <v/>
      </c>
      <c r="E117" s="118">
        <f>sum(E33:E115)</f>
        <v/>
      </c>
      <c r="F117" s="118">
        <f>sum(F33:F115)</f>
        <v/>
      </c>
      <c r="G117" s="118">
        <f>sum(G33:G115)</f>
        <v/>
      </c>
      <c r="H117" s="118">
        <f>sum(H33:H115)</f>
        <v/>
      </c>
      <c r="I117" s="118">
        <f>sum(I33:I115)</f>
        <v/>
      </c>
      <c r="J117" s="118">
        <f>sum(J33:J115)</f>
        <v/>
      </c>
      <c r="K117" s="118">
        <f>sum(K33:K115)</f>
        <v/>
      </c>
      <c r="L117" s="118">
        <f>sum(L33:L115)</f>
        <v/>
      </c>
      <c r="M117" s="118">
        <f>sum(M33:M115)</f>
        <v/>
      </c>
      <c r="N117" s="118">
        <f>sum(N33:N115)</f>
        <v/>
      </c>
      <c r="O117" s="118">
        <f>sum(O33:O115)</f>
        <v/>
      </c>
      <c r="P117" s="118">
        <f>sum(P33:P115)</f>
        <v/>
      </c>
      <c r="Q117" s="118">
        <f>sum(Q33:Q115)</f>
        <v/>
      </c>
      <c r="R117" s="118">
        <f>sum(R33:R115)</f>
        <v/>
      </c>
      <c r="S117" s="118">
        <f>sum(S33:S115)</f>
        <v/>
      </c>
      <c r="T117" s="118">
        <f>sum(T33:T115)</f>
        <v/>
      </c>
      <c r="U117" s="118">
        <f>sum(U33:U115)</f>
        <v/>
      </c>
      <c r="V117" s="118">
        <f>sum(V33:V115)</f>
        <v/>
      </c>
      <c r="W117" s="118">
        <f>sum(W33:W115)</f>
        <v/>
      </c>
      <c r="X117" s="118">
        <f>sum(X33:X115)</f>
        <v/>
      </c>
      <c r="Y117" s="118">
        <f>sum(Y33:Y115)</f>
        <v/>
      </c>
      <c r="Z117" s="118">
        <f>sum(Z33:Z115)</f>
        <v/>
      </c>
      <c r="AA117" s="118">
        <f>sum(AA33:AA115)</f>
        <v/>
      </c>
      <c r="AB117" s="118">
        <f>sum(AB33:AB115)</f>
        <v/>
      </c>
      <c r="AC117" s="118">
        <f>sum(AC33:AC115)</f>
        <v/>
      </c>
      <c r="AD117" s="118">
        <f>sum(AD33:AD115)</f>
        <v/>
      </c>
      <c r="AE117" s="118">
        <f>sum(AE33:AE115)</f>
        <v/>
      </c>
      <c r="AF117" s="118">
        <f>sum(AF33:AF115)</f>
        <v/>
      </c>
      <c r="AG117" s="118">
        <f>sum(AG33:AG115)</f>
        <v/>
      </c>
      <c r="AH117" s="118">
        <f>sum(AH33:AH115)</f>
        <v/>
      </c>
      <c r="AI117" s="118">
        <f>sum(AI33:AI115)</f>
        <v/>
      </c>
      <c r="AJ117" s="118">
        <f>sum(AJ33:AJ115)</f>
        <v/>
      </c>
      <c r="AK117" s="118">
        <f>sum(AK33:AK115)</f>
        <v/>
      </c>
      <c r="AL117" s="118">
        <f>sum(AL33:AL115)</f>
        <v/>
      </c>
      <c r="AM117" s="118">
        <f>sum(AM33:AM115)</f>
        <v/>
      </c>
      <c r="AN117" s="118">
        <f>sum(AN33:AN115)</f>
        <v/>
      </c>
      <c r="AO117" s="118">
        <f>sum(AO33:AO115)</f>
        <v/>
      </c>
      <c r="AP117" s="118">
        <f>sum(AP33:AP115)</f>
        <v/>
      </c>
      <c r="AQ117" s="118">
        <f>sum(AQ33:AQ115)</f>
        <v/>
      </c>
      <c r="AR117" s="118">
        <f>sum(AR33:AR115)</f>
        <v/>
      </c>
      <c r="AS117" s="118">
        <f>sum(AS33:AS115)</f>
        <v/>
      </c>
      <c r="AT117" s="118">
        <f>sum(AT33:AT115)</f>
        <v/>
      </c>
      <c r="AU117" s="118">
        <f>sum(AU33:AU115)</f>
        <v/>
      </c>
      <c r="AV117" s="118">
        <f>sum(AV33:AV115)</f>
        <v/>
      </c>
      <c r="AW117" s="118">
        <f>sum(AW33:AW115)</f>
        <v/>
      </c>
      <c r="AX117" s="118">
        <f>sum(AX33:AX115)</f>
        <v/>
      </c>
      <c r="AY117" s="118">
        <f>sum(AY33:AY115)</f>
        <v/>
      </c>
      <c r="AZ117" s="118">
        <f>sum(AZ33:AZ115)</f>
        <v/>
      </c>
      <c r="BA117" s="118">
        <f>sum(BA33:BA115)</f>
        <v/>
      </c>
      <c r="BB117" s="118">
        <f>sum(BB33:BB115)</f>
        <v/>
      </c>
      <c r="BC117" s="118">
        <f>sum(BC33:BC115)</f>
        <v/>
      </c>
      <c r="BD117" s="118">
        <f>sum(BD33:BD115)</f>
        <v/>
      </c>
      <c r="BE117" s="118">
        <f>sum(BE33:BE115)</f>
        <v/>
      </c>
      <c r="BF117" s="118">
        <f>sum(BF33:BF115)</f>
        <v/>
      </c>
      <c r="BG117" s="118">
        <f>sum(BG33:BG115)</f>
        <v/>
      </c>
      <c r="BH117" s="118">
        <f>sum(BH33:BH115)</f>
        <v/>
      </c>
      <c r="BI117" s="118">
        <f>sum(BI33:BI115)</f>
        <v/>
      </c>
      <c r="BJ117" s="118">
        <f>sum(BJ33:BJ115)</f>
        <v/>
      </c>
      <c r="BK117" s="118">
        <f>sum(BK33:BK115)</f>
        <v/>
      </c>
      <c r="BL117" s="118">
        <f>sum(BL33:BL115)</f>
        <v/>
      </c>
    </row>
    <row r="120">
      <c r="A120" s="115" t="inlineStr">
        <is>
          <t>Net Profit</t>
        </is>
      </c>
      <c r="D120" s="118">
        <f>D29-D117</f>
        <v/>
      </c>
      <c r="E120" s="118">
        <f>E29-E117</f>
        <v/>
      </c>
      <c r="F120" s="118">
        <f>F29-F117</f>
        <v/>
      </c>
      <c r="G120" s="118">
        <f>G29-G117</f>
        <v/>
      </c>
      <c r="H120" s="118">
        <f>H29-H117</f>
        <v/>
      </c>
      <c r="I120" s="118">
        <f>I29-I117</f>
        <v/>
      </c>
      <c r="J120" s="118">
        <f>J29-J117</f>
        <v/>
      </c>
      <c r="K120" s="118">
        <f>K29-K117</f>
        <v/>
      </c>
      <c r="L120" s="118">
        <f>L29-L117</f>
        <v/>
      </c>
      <c r="M120" s="118">
        <f>M29-M117</f>
        <v/>
      </c>
      <c r="N120" s="118">
        <f>N29-N117</f>
        <v/>
      </c>
      <c r="O120" s="118">
        <f>O29-O117</f>
        <v/>
      </c>
      <c r="P120" s="118">
        <f>P29-P117</f>
        <v/>
      </c>
      <c r="Q120" s="118">
        <f>Q29-Q117</f>
        <v/>
      </c>
      <c r="R120" s="118">
        <f>R29-R117</f>
        <v/>
      </c>
      <c r="S120" s="118">
        <f>S29-S117</f>
        <v/>
      </c>
      <c r="T120" s="118">
        <f>T29-T117</f>
        <v/>
      </c>
      <c r="U120" s="118">
        <f>U29-U117</f>
        <v/>
      </c>
      <c r="V120" s="118">
        <f>V29-V117</f>
        <v/>
      </c>
      <c r="W120" s="118">
        <f>W29-W117</f>
        <v/>
      </c>
      <c r="X120" s="118">
        <f>X29-X117</f>
        <v/>
      </c>
      <c r="Y120" s="118">
        <f>Y29-Y117</f>
        <v/>
      </c>
      <c r="Z120" s="118">
        <f>Z29-Z117</f>
        <v/>
      </c>
      <c r="AA120" s="118">
        <f>AA29-AA117</f>
        <v/>
      </c>
      <c r="AB120" s="118">
        <f>AB29-AB117</f>
        <v/>
      </c>
      <c r="AC120" s="118">
        <f>AC29-AC117</f>
        <v/>
      </c>
      <c r="AD120" s="118">
        <f>AD29-AD117</f>
        <v/>
      </c>
      <c r="AE120" s="118">
        <f>AE29-AE117</f>
        <v/>
      </c>
      <c r="AF120" s="118">
        <f>AF29-AF117</f>
        <v/>
      </c>
      <c r="AG120" s="118">
        <f>AG29-AG117</f>
        <v/>
      </c>
      <c r="AH120" s="118">
        <f>AH29-AH117</f>
        <v/>
      </c>
      <c r="AI120" s="118">
        <f>AI29-AI117</f>
        <v/>
      </c>
      <c r="AJ120" s="118">
        <f>AJ29-AJ117</f>
        <v/>
      </c>
      <c r="AK120" s="118">
        <f>AK29-AK117</f>
        <v/>
      </c>
      <c r="AL120" s="118">
        <f>AL29-AL117</f>
        <v/>
      </c>
      <c r="AM120" s="118">
        <f>AM29-AM117</f>
        <v/>
      </c>
      <c r="AN120" s="118">
        <f>AN29-AN117</f>
        <v/>
      </c>
      <c r="AO120" s="118">
        <f>AO29-AO117</f>
        <v/>
      </c>
      <c r="AP120" s="118">
        <f>AP29-AP117</f>
        <v/>
      </c>
      <c r="AQ120" s="118">
        <f>AQ29-AQ117</f>
        <v/>
      </c>
      <c r="AR120" s="118">
        <f>AR29-AR117</f>
        <v/>
      </c>
      <c r="AS120" s="118">
        <f>AS29-AS117</f>
        <v/>
      </c>
      <c r="AT120" s="118">
        <f>AT29-AT117</f>
        <v/>
      </c>
      <c r="AU120" s="118">
        <f>AU29-AU117</f>
        <v/>
      </c>
      <c r="AV120" s="118">
        <f>AV29-AV117</f>
        <v/>
      </c>
      <c r="AW120" s="118">
        <f>AW29-AW117</f>
        <v/>
      </c>
      <c r="AX120" s="118">
        <f>AX29-AX117</f>
        <v/>
      </c>
      <c r="AY120" s="118">
        <f>AY29-AY117</f>
        <v/>
      </c>
      <c r="AZ120" s="118">
        <f>AZ29-AZ117</f>
        <v/>
      </c>
      <c r="BA120" s="118">
        <f>BA29-BA117</f>
        <v/>
      </c>
      <c r="BB120" s="118">
        <f>BB29-BB117</f>
        <v/>
      </c>
      <c r="BC120" s="118">
        <f>BC29-BC117</f>
        <v/>
      </c>
      <c r="BD120" s="118">
        <f>BD29-BD117</f>
        <v/>
      </c>
      <c r="BE120" s="118">
        <f>BE29-BE117</f>
        <v/>
      </c>
      <c r="BF120" s="118">
        <f>BF29-BF117</f>
        <v/>
      </c>
      <c r="BG120" s="118">
        <f>BG29-BG117</f>
        <v/>
      </c>
      <c r="BH120" s="118">
        <f>BH29-BH117</f>
        <v/>
      </c>
      <c r="BI120" s="118">
        <f>BI29-BI117</f>
        <v/>
      </c>
      <c r="BJ120" s="118">
        <f>BJ29-BJ117</f>
        <v/>
      </c>
      <c r="BK120" s="118">
        <f>BK29-BK117</f>
        <v/>
      </c>
      <c r="BL120" s="118">
        <f>BL29-BL117</f>
        <v/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FF204E"/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cols>
    <col width="60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21" t="inlineStr"/>
      <c r="B1" s="121" t="n"/>
      <c r="C1" s="121" t="n"/>
      <c r="D1" s="121" t="n"/>
      <c r="E1" s="122" t="inlineStr">
        <is>
          <t>C.3_d</t>
        </is>
      </c>
    </row>
    <row r="2">
      <c r="A2" s="123" t="inlineStr">
        <is>
          <t>NSST HERON PROJECT REPORT</t>
        </is>
      </c>
      <c r="B2" s="124" t="n"/>
      <c r="C2" s="124" t="n"/>
      <c r="D2" s="124" t="n"/>
      <c r="E2" s="125" t="n"/>
    </row>
    <row r="3">
      <c r="A3" s="126" t="inlineStr">
        <is>
          <t>Report Date</t>
        </is>
      </c>
      <c r="B3" s="127" t="n">
        <v>45443</v>
      </c>
      <c r="C3" s="124" t="n"/>
      <c r="D3" s="124" t="n"/>
      <c r="E3" s="125" t="n"/>
    </row>
    <row r="4">
      <c r="A4" s="126" t="inlineStr">
        <is>
          <t>Development</t>
        </is>
      </c>
      <c r="B4" s="128" t="inlineStr">
        <is>
          <t>Heron Fields and Heron View</t>
        </is>
      </c>
      <c r="C4" s="124" t="n"/>
      <c r="D4" s="124" t="n"/>
      <c r="E4" s="125" t="n"/>
    </row>
    <row r="5">
      <c r="A5" s="129" t="inlineStr">
        <is>
          <t>CAPITAL</t>
        </is>
      </c>
      <c r="B5" s="124" t="n"/>
      <c r="C5" s="124" t="n"/>
      <c r="D5" s="124" t="n"/>
      <c r="E5" s="125" t="n"/>
    </row>
    <row r="6">
      <c r="A6" s="126" t="inlineStr">
        <is>
          <t>Total Investment capital to be raised (Estimated)</t>
        </is>
      </c>
      <c r="B6" s="130" t="n">
        <v>236217976.39</v>
      </c>
      <c r="C6" s="124" t="n"/>
      <c r="D6" s="124" t="n"/>
      <c r="E6" s="125" t="n"/>
    </row>
    <row r="7">
      <c r="A7" s="126" t="inlineStr">
        <is>
          <t>Total Investment capital received</t>
        </is>
      </c>
      <c r="B7" s="130">
        <f>SUMIFS(Investors!$M:$M,Investors!$P:$P,FALSE,Investors!$I:$I,"&lt;="&amp;'NSST Print'!B3)</f>
        <v/>
      </c>
      <c r="C7" s="124" t="n"/>
      <c r="D7" s="124" t="n"/>
      <c r="E7" s="125" t="n"/>
    </row>
    <row r="8">
      <c r="A8" s="126" t="inlineStr">
        <is>
          <t>Total Funds Drawn Down into Development</t>
        </is>
      </c>
      <c r="B8" s="130">
        <f>SUMIFS(Investors!$M:$M,Investors!$J:$J,"&lt;="&amp;'NSST Print'!B3)</f>
        <v/>
      </c>
      <c r="C8" s="124" t="n"/>
      <c r="D8" s="124" t="n"/>
      <c r="E8" s="125" t="n"/>
    </row>
    <row r="9">
      <c r="A9" s="126" t="inlineStr">
        <is>
          <t>Momentum Investment Account</t>
        </is>
      </c>
      <c r="B9" s="130">
        <f>Dashboard!B13</f>
        <v/>
      </c>
      <c r="C9" s="124" t="n"/>
      <c r="D9" s="124" t="n"/>
      <c r="E9" s="125" t="n"/>
    </row>
    <row r="10" hidden="1">
      <c r="A10" s="126" t="inlineStr">
        <is>
          <t>Capital not Raised</t>
        </is>
      </c>
      <c r="B10" s="130">
        <f>B6-B7-B11</f>
        <v/>
      </c>
      <c r="C10" s="124" t="n"/>
      <c r="D10" s="124" t="n"/>
      <c r="E10" s="125" t="n"/>
    </row>
    <row r="11">
      <c r="A11" s="126" t="inlineStr">
        <is>
          <t>Available to be raised (Estimated)</t>
        </is>
      </c>
      <c r="B11" s="130">
        <f>SUMIFS(Opportunities!$E:$E,Opportunities!$D:$D,FALSE,Opportunities!$C:$C,FALSE)-SUMIFS(Opportunities!$H:$H,Opportunities!$D:$D,FALSE,Opportunities!$C:$C,FALSE)</f>
        <v/>
      </c>
      <c r="C11" s="124" t="n"/>
      <c r="D11" s="124" t="n"/>
      <c r="E11" s="125" t="n"/>
    </row>
    <row r="12">
      <c r="A12" s="126" t="inlineStr">
        <is>
          <t>Capital repaid</t>
        </is>
      </c>
      <c r="B12" s="130">
        <f>SUMIFS(Investors!$M:$M,Investors!$G:$G,TRUE,Investors!$K:$K,"&lt;="&amp;'NSST Print'!B3)-(SUMIFS(Investors!$M:$M,Investors!$G:$G,FALSE,Investors!$O:$O,TRUE,Investors!$K:$K,"&lt;="&amp;'NSST Print'!B3)-(SUMIFS(Investors!$M:$M,Investors!$I:$I,"&lt;="&amp;'NSST Print'!B3,Investors!$J:$J,"&gt;"&amp;'NSST Print'!B3)+SUMIFS(Investors!$M:$M,Investors!$I:$I,"&lt;="&amp;'NSST Print'!B3,Investors!$J:$J,"")))</f>
        <v/>
      </c>
      <c r="C12" s="124" t="n"/>
      <c r="D12" s="124" t="n"/>
      <c r="E12" s="125" t="n"/>
    </row>
    <row r="13">
      <c r="A13" s="126" t="inlineStr">
        <is>
          <t>Current Investor Capital deployed</t>
        </is>
      </c>
      <c r="B13" s="130">
        <f>SUMIFS(Investors!$M:$M,Investors!$O:$O,FALSE,Investors!$P:$P,FALSE,Investors!$K:$K,"&gt;"&amp;'NSST Print'!$B$3,Investors!$I:$I,"&lt;="&amp;'NSST Print'!$B$3)-(SUMIFS(Investors!$M:$M,Investors!$I:$I,"&lt;="&amp;'NSST Print'!B3,Investors!$J:$J,"&gt;"&amp;'NSST Print'!B3)+SUMIFS(Investors!$M:$M,Investors!$I:$I,"&lt;="&amp;'NSST Print'!B3,Investors!$J:$J,""))</f>
        <v/>
      </c>
      <c r="C13" s="124" t="n"/>
      <c r="D13" s="124" t="n"/>
      <c r="E13" s="125" t="n"/>
    </row>
    <row r="14">
      <c r="A14" s="129" t="inlineStr">
        <is>
          <t>INVESTMENTS</t>
        </is>
      </c>
      <c r="B14" s="124" t="n"/>
      <c r="C14" s="124" t="n"/>
      <c r="D14" s="124" t="n"/>
      <c r="E14" s="125" t="n"/>
    </row>
    <row r="15">
      <c r="A15" s="126" t="inlineStr">
        <is>
          <t>No. of Capital Investments received</t>
        </is>
      </c>
      <c r="B15" s="128">
        <f>COUNTIFS(Investors!$G:$G,FALSE)+COUNTIFS(Investors!$G:$G,TRUE)</f>
        <v/>
      </c>
      <c r="C15" s="124" t="n"/>
      <c r="D15" s="124" t="n"/>
      <c r="E15" s="125" t="n"/>
    </row>
    <row r="16">
      <c r="A16" s="126" t="inlineStr">
        <is>
          <t>No. Investments exited to date</t>
        </is>
      </c>
      <c r="B16" s="128">
        <f>COUNTIFS(Investors!$G:$G,TRUE)+COUNTIFS(Investors!$G:$G,FALSE,Investors!$O:$O,TRUE,Investors!$P:$P,FALSE)</f>
        <v/>
      </c>
      <c r="C16" s="124" t="n"/>
      <c r="D16" s="124" t="n"/>
      <c r="E16" s="125" t="n"/>
    </row>
    <row r="17">
      <c r="A17" s="126" t="inlineStr">
        <is>
          <t>No. Investments still in Development</t>
        </is>
      </c>
      <c r="B17" s="128">
        <f>B15-B16</f>
        <v/>
      </c>
      <c r="C17" s="124" t="n"/>
      <c r="D17" s="124" t="n"/>
      <c r="E17" s="125" t="n"/>
    </row>
    <row r="18">
      <c r="A18" s="129" t="inlineStr">
        <is>
          <t>SALES INCOME</t>
        </is>
      </c>
      <c r="B18" s="124" t="n"/>
      <c r="C18" s="124" t="n"/>
      <c r="D18" s="124" t="n"/>
      <c r="E18" s="125" t="n"/>
    </row>
    <row r="19">
      <c r="A19" s="126" t="inlineStr"/>
      <c r="B19" s="130" t="inlineStr">
        <is>
          <t>Total</t>
        </is>
      </c>
      <c r="C19" s="130" t="inlineStr">
        <is>
          <t>Transferred</t>
        </is>
      </c>
      <c r="D19" s="130" t="inlineStr">
        <is>
          <t>Sold</t>
        </is>
      </c>
      <c r="E19" s="130" t="inlineStr">
        <is>
          <t>Remaining</t>
        </is>
      </c>
    </row>
    <row r="20">
      <c r="A20" s="126" t="inlineStr">
        <is>
          <t>Units</t>
        </is>
      </c>
      <c r="B20" s="128">
        <f>COUNTIFS(Sales!$E:$E,TRUE,Sales!$A:$A,"&lt;&gt;"&amp;"Endulini")+COUNTIFS(Sales!$E:$E,FALSE,Sales!$A:$A,"&lt;&gt;"&amp;"Endulini")</f>
        <v/>
      </c>
      <c r="C20" s="128">
        <f>COUNTIFS(Sales!$E:$E,TRUE,Sales!$A:$A,"&lt;&gt;"&amp;"Endulini")</f>
        <v/>
      </c>
      <c r="D20" s="128">
        <f>COUNTIFS(Sales!$E:$E,FALSE,Sales!$D:$D,TRUE,Sales!$A:$A,"&lt;&gt;"&amp;"Endulini")</f>
        <v/>
      </c>
      <c r="E20" s="128">
        <f>COUNTIFS(Sales!$E:$E,FALSE,Sales!$D:$D,FALSE,Sales!$A:$A,"&lt;&gt;"&amp;"Endulini")</f>
        <v/>
      </c>
    </row>
    <row r="21">
      <c r="A21" s="126" t="inlineStr">
        <is>
          <t>Sales Income</t>
        </is>
      </c>
      <c r="B21" s="131">
        <f>SUMIFS(Sales!$K:$K,Sales!$A:$A,"&lt;&gt;"&amp;"Endulini",Sales!$D:$D,TRUE)+SUMIFS(Sales!$K:$K,Sales!$A:$A,"&lt;&gt;"&amp;"Endulini",Sales!$D:$D,FALSE)+C46</f>
        <v/>
      </c>
      <c r="C21" s="131">
        <f>SUMIFS(Sales!$K:$K,Sales!$E:$E,TRUE,Sales!$A:$A,"&lt;&gt;"&amp;"Endulini")</f>
        <v/>
      </c>
      <c r="D21" s="131">
        <f>SUMIFS(Sales!$K:$K,Sales!$E:$E,FALSE,Sales!$D:$D,TRUE,Sales!$A:$A,"&lt;&gt;"&amp;"Endulini")</f>
        <v/>
      </c>
      <c r="E21" s="131">
        <f>SUMIFS(Sales!$K:$K,Sales!$E:$E,FALSE,Sales!$D:$D,FALSE,Sales!$A:$A,"&lt;&gt;"&amp;"Endulini")+C46</f>
        <v/>
      </c>
    </row>
    <row r="22">
      <c r="A22" s="126" t="inlineStr">
        <is>
          <t>Commission</t>
        </is>
      </c>
      <c r="B22" s="131">
        <f>(SUMIFS(Sales!$O:$O,Sales!$A:$A,"&lt;&gt;"&amp;"Endulini",Sales!$D:$D,TRUE)+SUMIFS(Sales!$O:$O,Sales!$A:$A,"&lt;&gt;"&amp;"Endulini",Sales!$D:$D,FALSE))/1.15-C52</f>
        <v/>
      </c>
      <c r="C22" s="131">
        <f>SUMIFS(Sales!$O:$O,Sales!$E:$E,TRUE,Sales!$A:$A,"&lt;&gt;"&amp;"Endulini")/1.15</f>
        <v/>
      </c>
      <c r="D22" s="131">
        <f>SUMIFS(Sales!$O:$O,Sales!$E:$E,FALSE,Sales!$D:$D,TRUE,Sales!$A:$A,"&lt;&gt;"&amp;"Endulini")/1.15</f>
        <v/>
      </c>
      <c r="E22" s="131">
        <f>SUMIFS(Sales!$O:$O,Sales!$E:$E,FALSE,Sales!$D:$D,FALSE,Sales!$A:$A,"&lt;&gt;"&amp;"Endulini")/1.15-C52</f>
        <v/>
      </c>
    </row>
    <row r="23">
      <c r="A23" s="126" t="inlineStr">
        <is>
          <t>Transfer Fees</t>
        </is>
      </c>
      <c r="B23" s="131">
        <f>SUMIFS(Sales!$L:$L,Sales!$A:$A,"&lt;&gt;"&amp;"Endulini",Sales!$D:$D,TRUE)+SUMIFS(Sales!$L:$L,Sales!$A:$A,"&lt;&gt;"&amp;"Endulini",Sales!$D:$D,FALSE)</f>
        <v/>
      </c>
      <c r="C23" s="131">
        <f>SUMIFS(Sales!$L:$L,Sales!$E:$E,TRUE,Sales!$A:$A,"&lt;&gt;"&amp;"Endulini")</f>
        <v/>
      </c>
      <c r="D23" s="131">
        <f>SUMIFS(Sales!$L:$L,Sales!$E:$E,FALSE,Sales!$D:$D,TRUE,Sales!$A:$A,"&lt;&gt;"&amp;"Endulini")</f>
        <v/>
      </c>
      <c r="E23" s="131">
        <f>SUMIFS(Sales!$L:$L,Sales!$E:$E,FALSE,Sales!$D:$D,FALSE,Sales!$A:$A,"&lt;&gt;"&amp;"Endulini")</f>
        <v/>
      </c>
    </row>
    <row r="24">
      <c r="A24" s="126" t="inlineStr">
        <is>
          <t>Bond Registration</t>
        </is>
      </c>
      <c r="B24" s="131">
        <f>SUMIFS(Sales!$P:$P,Sales!$A:$A,"&lt;&gt;"&amp;"Endulini",Sales!$D:$D,TRUE)+SUMIFS(Sales!$P:$P,Sales!$A:$A,"&lt;&gt;"&amp;"Endulini",Sales!$D:$D,FALSE)</f>
        <v/>
      </c>
      <c r="C24" s="131">
        <f>SUMIFS(Sales!$P:$P,Sales!$E:$E,TRUE,Sales!$A:$A,"&lt;&gt;"&amp;"Endulini")</f>
        <v/>
      </c>
      <c r="D24" s="131">
        <f>SUMIFS(Sales!$P:$P,Sales!$E:$E,FALSE,Sales!$D:$D,TRUE,Sales!$A:$A,"&lt;&gt;"&amp;"Endulini")</f>
        <v/>
      </c>
      <c r="E24" s="131">
        <f>SUMIFS(Sales!$P:$P,Sales!$E:$E,FALSE,Sales!$D:$D,FALSE,Sales!$A:$A,"&lt;&gt;"&amp;"Endulini")</f>
        <v/>
      </c>
    </row>
    <row r="25">
      <c r="A25" s="126" t="inlineStr">
        <is>
          <t>Security Release Fee</t>
        </is>
      </c>
      <c r="B25" s="131">
        <f>SUMIFS(Sales!$M:$M,Sales!$A:$A,"&lt;&gt;"&amp;"Endulini",Sales!$D:$D,TRUE)+SUMIFS(Sales!$M:$M,Sales!$A:$A,"&lt;&gt;"&amp;"Endulini",Sales!$D:$D,FALSE)</f>
        <v/>
      </c>
      <c r="C25" s="131">
        <f>SUMIFS(Sales!$M:$M,Sales!$E:$E,TRUE,Sales!$A:$A,"&lt;&gt;"&amp;"Endulini")</f>
        <v/>
      </c>
      <c r="D25" s="131">
        <f>SUMIFS(Sales!$M:$M,Sales!$E:$E,FALSE,Sales!$D:$D,TRUE,Sales!$A:$A,"&lt;&gt;"&amp;"Endulini")</f>
        <v/>
      </c>
      <c r="E25" s="131">
        <f>SUMIFS(Sales!$M:$M,Sales!$E:$E,FALSE,Sales!$D:$D,FALSE,Sales!$A:$A,"&lt;&gt;"&amp;"Endulini")</f>
        <v/>
      </c>
    </row>
    <row r="26">
      <c r="A26" s="126" t="inlineStr">
        <is>
          <t>Unforseen (0.05%)</t>
        </is>
      </c>
      <c r="B26" s="131">
        <f>SUMIFS(Sales!$N:$N,Sales!$A:$A,"&lt;&gt;"&amp;"Endulini",Sales!$D:$D,TRUE)+SUMIFS(Sales!$N:$N,Sales!$A:$A,"&lt;&gt;"&amp;"Endulini",Sales!$D:$D,FALSE)-C53</f>
        <v/>
      </c>
      <c r="C26" s="131">
        <f>SUMIFS(Sales!$N:$N,Sales!$E:$E,TRUE,Sales!$A:$A,"&lt;&gt;"&amp;"Endulini")</f>
        <v/>
      </c>
      <c r="D26" s="131">
        <f>SUMIFS(Sales!$N:$N,Sales!$E:$E,FALSE,Sales!$D:$D,TRUE,Sales!$A:$A,"&lt;&gt;"&amp;"Endulini")</f>
        <v/>
      </c>
      <c r="E26" s="131">
        <f>SUMIFS(Sales!$N:$N,Sales!$E:$E,FALSE,Sales!$D:$D,FALSE,Sales!$A:$A,"&lt;&gt;"&amp;"Endulini")-C53</f>
        <v/>
      </c>
    </row>
    <row r="27">
      <c r="A27" s="126" t="inlineStr">
        <is>
          <t>Transfer Income</t>
        </is>
      </c>
      <c r="B27" s="131">
        <f>B21-SUM(B22:B26)</f>
        <v/>
      </c>
      <c r="C27" s="131">
        <f>C21-SUM(C22:C26)</f>
        <v/>
      </c>
      <c r="D27" s="131">
        <f>D21-SUM(D22:D26)</f>
        <v/>
      </c>
      <c r="E27" s="131">
        <f>E21-SUM(E22:E26)</f>
        <v/>
      </c>
    </row>
    <row r="28">
      <c r="A28" s="129" t="inlineStr">
        <is>
          <t>INTEREST</t>
        </is>
      </c>
      <c r="B28" s="124" t="n"/>
      <c r="C28" s="124" t="n"/>
      <c r="D28" s="124" t="n"/>
      <c r="E28" s="125" t="n"/>
    </row>
    <row r="29">
      <c r="A29" s="126" t="inlineStr">
        <is>
          <t>Total Estimated Interest</t>
        </is>
      </c>
      <c r="B29" s="130">
        <f>SUMIFS(Investors!$S:$S,Investors!$G:$G,FALSE)+SUMIFS(Investors!$S:$S,Investors!$G:$G,TRUE)</f>
        <v/>
      </c>
      <c r="C29" s="124" t="n"/>
      <c r="D29" s="124" t="n"/>
      <c r="E29" s="125" t="n"/>
    </row>
    <row r="30">
      <c r="A30" s="126" t="inlineStr">
        <is>
          <t>Interest Paid to Date</t>
        </is>
      </c>
      <c r="B30" s="130">
        <f>SUMIFS(Investors!$S:$S,Investors!$G:$G,TRUE)+SUMIFS(Investors!$S:$S,Investors!$G:$G,FALSE,Investors!$O:$O,TRUE)</f>
        <v/>
      </c>
      <c r="C30" s="124" t="n"/>
      <c r="D30" s="124" t="n"/>
      <c r="E30" s="125" t="n"/>
    </row>
    <row r="31" hidden="1">
      <c r="A31" s="126" t="inlineStr">
        <is>
          <t>Remaining Interest to Exit</t>
        </is>
      </c>
      <c r="B31" s="130">
        <f>B29-B30</f>
        <v/>
      </c>
      <c r="C31" s="124" t="n"/>
      <c r="D31" s="124" t="n"/>
      <c r="E31" s="125" t="n"/>
    </row>
    <row r="32" hidden="1">
      <c r="A32" s="126" t="inlineStr">
        <is>
          <t>Interest Due to date</t>
        </is>
      </c>
      <c r="B32" s="130">
        <f>SUMIFS(Investors!$T:$T,Investors!$G:$G,FALSE,Investors!$O:$O,FALSE)+SUMIFS(Investors!$Q:$Q,Investors!$G:$G,FALSE,Investors!$O:$O,FALSE)</f>
        <v/>
      </c>
      <c r="C32" s="124" t="n"/>
      <c r="D32" s="124" t="n"/>
      <c r="E32" s="125" t="n"/>
    </row>
    <row r="33" hidden="1">
      <c r="A33" s="126" t="inlineStr">
        <is>
          <t>Interest Due to be Earned to Exit</t>
        </is>
      </c>
      <c r="B33" s="130">
        <f>B31-B32</f>
        <v/>
      </c>
      <c r="C33" s="124" t="n"/>
      <c r="D33" s="124" t="n"/>
      <c r="E33" s="125" t="n"/>
    </row>
    <row r="34">
      <c r="A34" s="129" t="inlineStr">
        <is>
          <t>FUNDING AVAILABLE</t>
        </is>
      </c>
      <c r="B34" s="124" t="n"/>
      <c r="C34" s="124" t="n"/>
      <c r="D34" s="124" t="n"/>
      <c r="E34" s="125" t="n"/>
    </row>
    <row r="35">
      <c r="A35" s="126" t="inlineStr">
        <is>
          <t>Total Draw funds available</t>
        </is>
      </c>
      <c r="B35" s="130">
        <f>Dashboard!B20</f>
        <v/>
      </c>
      <c r="C35" s="124" t="n"/>
      <c r="D35" s="124" t="n"/>
      <c r="E35" s="125" t="n"/>
    </row>
    <row r="36">
      <c r="A36" s="126" t="inlineStr">
        <is>
          <t>Projected Heron Projects Income</t>
        </is>
      </c>
      <c r="B36" s="130">
        <f>Dashboard!B11+C46</f>
        <v/>
      </c>
      <c r="C36" s="124" t="n"/>
      <c r="D36" s="124" t="n"/>
      <c r="E36" s="125" t="n"/>
    </row>
    <row r="37">
      <c r="A37" s="126" t="inlineStr">
        <is>
          <t>Total Current Funds Available</t>
        </is>
      </c>
      <c r="B37" s="130">
        <f>B35+B36</f>
        <v/>
      </c>
      <c r="C37" s="124" t="n"/>
      <c r="D37" s="124" t="n"/>
      <c r="E37" s="125" t="n"/>
    </row>
    <row r="38">
      <c r="A38" s="126" t="inlineStr">
        <is>
          <t>Current Construction Cost</t>
        </is>
      </c>
      <c r="B38" s="130">
        <f>-Dashboard!B28+C47+C48+C49+C50+C51</f>
        <v/>
      </c>
      <c r="C38" s="124" t="n"/>
      <c r="D38" s="124" t="n"/>
      <c r="E38" s="125" t="n"/>
    </row>
    <row r="39">
      <c r="A39" s="126" t="inlineStr">
        <is>
          <t>Total funds (required)/Surplus</t>
        </is>
      </c>
      <c r="B39" s="130">
        <f>B37-B38</f>
        <v/>
      </c>
      <c r="C39" s="124" t="n"/>
      <c r="D39" s="124" t="n"/>
      <c r="E39" s="125" t="n"/>
    </row>
    <row r="40">
      <c r="A40" s="129" t="inlineStr">
        <is>
          <t>PROJECTED PROFIT</t>
        </is>
      </c>
      <c r="B40" s="124" t="n"/>
      <c r="C40" s="124" t="n"/>
      <c r="D40" s="124" t="n"/>
      <c r="E40" s="125" t="n"/>
    </row>
    <row r="41">
      <c r="A41" s="126" t="inlineStr">
        <is>
          <t>Projected Nett Revenue</t>
        </is>
      </c>
      <c r="B41" s="130">
        <f>+B21+SUM(B56:B63)</f>
        <v/>
      </c>
      <c r="C41" s="124" t="n"/>
      <c r="D41" s="124" t="n"/>
      <c r="E41" s="125" t="n"/>
    </row>
    <row r="42">
      <c r="A42" s="126" t="inlineStr">
        <is>
          <t>Other Income (interest received)</t>
        </is>
      </c>
      <c r="B42" s="130">
        <f>-SUMIFS(Xero!$F:$F,Xero!$E:$E,"Interest Received - Momentum")</f>
        <v/>
      </c>
      <c r="C42" s="124" t="n"/>
      <c r="D42" s="124" t="n"/>
      <c r="E42" s="125" t="n"/>
    </row>
    <row r="43">
      <c r="A43" s="126" t="inlineStr">
        <is>
          <t>Total Estimated Development and Sales Costs</t>
        </is>
      </c>
      <c r="B43" s="130">
        <f>+B78-C47-C48-C49-C50+SUM(D22:E26)</f>
        <v/>
      </c>
      <c r="C43" s="124" t="n"/>
      <c r="D43" s="124" t="n"/>
      <c r="E43" s="125" t="n"/>
    </row>
    <row r="44">
      <c r="A44" s="126" t="inlineStr">
        <is>
          <t>Interest Expense</t>
        </is>
      </c>
      <c r="B44" s="130">
        <f>B29-B30-C51</f>
        <v/>
      </c>
      <c r="C44" s="124" t="n"/>
      <c r="D44" s="124" t="n"/>
      <c r="E44" s="125" t="n"/>
    </row>
    <row r="45">
      <c r="A45" s="126" t="inlineStr">
        <is>
          <t>Profit</t>
        </is>
      </c>
      <c r="B45" s="130">
        <f>B41+B42-B43-B44</f>
        <v/>
      </c>
      <c r="C45" s="124" t="n"/>
      <c r="D45" s="124" t="n"/>
      <c r="E45" s="125" t="n"/>
    </row>
    <row r="46">
      <c r="A46" s="121" t="inlineStr">
        <is>
          <t>Sales Increase</t>
        </is>
      </c>
      <c r="B46" s="132" t="n">
        <v>0</v>
      </c>
      <c r="C46" s="133">
        <f>SUMIFS(Sales!$K:$K,Sales!$E:$E,FALSE,Sales!$D:$D,FALSE,Sales!$A:$A,"&lt;&gt;"&amp;"Endulini")*B46</f>
        <v/>
      </c>
      <c r="D46" s="133" t="inlineStr"/>
      <c r="E46" s="133">
        <f>C46/$E$20</f>
        <v/>
      </c>
    </row>
    <row r="47">
      <c r="A47" s="121" t="inlineStr">
        <is>
          <t>CPC Construction</t>
        </is>
      </c>
      <c r="B47" s="132" t="n">
        <v>0</v>
      </c>
      <c r="C47" s="133">
        <f>SUMIFS('Updated Construction'!$F:$F,'Updated Construction'!$D:$D,FALSE)*B47</f>
        <v/>
      </c>
      <c r="D47" s="133">
        <f>SUMIFS('Updated Construction'!$F:$F,'Updated Construction'!$D:$D,FALSE)-C47</f>
        <v/>
      </c>
      <c r="E47" s="133">
        <f>C47/$E$20</f>
        <v/>
      </c>
    </row>
    <row r="48">
      <c r="A48" s="121" t="inlineStr">
        <is>
          <t>Rent Salaries and wages</t>
        </is>
      </c>
      <c r="B48" s="134" t="n">
        <v>0</v>
      </c>
      <c r="C48" s="133">
        <f>400000*B48</f>
        <v/>
      </c>
      <c r="D48" s="133">
        <f>SUMIFS('Other Costs'!$D:$D,'Other Costs'!$A:$A,'NSST Print'!$A48,'Other Costs'!$C:$C,"&gt;"&amp;'NSST Print'!$B$3)-C48</f>
        <v/>
      </c>
      <c r="E48" s="133">
        <f>C48/$E$20</f>
        <v/>
      </c>
    </row>
    <row r="49">
      <c r="A49" s="121" t="inlineStr">
        <is>
          <t>CPSD</t>
        </is>
      </c>
      <c r="B49" s="132" t="n">
        <v>0</v>
      </c>
      <c r="C49" s="133">
        <f>SUMIFS('Other Costs'!$D:$D,'Other Costs'!$A:$A,'NSST Print'!$A49,'Other Costs'!$C:$C,"&gt;"&amp;'NSST Print'!$B$3)*B49</f>
        <v/>
      </c>
      <c r="D49" s="133">
        <f>SUMIFS('Other Costs'!$D:$D,'Other Costs'!$A:$A,'NSST Print'!$A49,'Other Costs'!$C:$C,"&gt;"&amp;'NSST Print'!$B$3)-C49</f>
        <v/>
      </c>
      <c r="E49" s="133">
        <f>C49/$E$20</f>
        <v/>
      </c>
    </row>
    <row r="50">
      <c r="A50" s="121" t="inlineStr">
        <is>
          <t>OppInvest</t>
        </is>
      </c>
      <c r="B50" s="132" t="n">
        <v>0</v>
      </c>
      <c r="C50" s="133">
        <f>SUMIFS('Other Costs'!$D:$D,'Other Costs'!$A:$A,'NSST Print'!$A75,'Other Costs'!$C:$C,"&gt;"&amp;'NSST Print'!$B$3)*B50</f>
        <v/>
      </c>
      <c r="D50" s="133">
        <f>SUMIFS('Other Costs'!$D:$D,'Other Costs'!$A:$A,'NSST Print'!$A75,'Other Costs'!$C:$C,"&gt;"&amp;'NSST Print'!$B$3)-C50</f>
        <v/>
      </c>
      <c r="E50" s="133">
        <f>C50/$E$20</f>
        <v/>
      </c>
    </row>
    <row r="51">
      <c r="A51" s="121" t="inlineStr">
        <is>
          <t>investor interest</t>
        </is>
      </c>
      <c r="B51" s="132" t="n">
        <v>0</v>
      </c>
      <c r="C51" s="133">
        <f>(B29-B30)*B51</f>
        <v/>
      </c>
      <c r="D51" s="133">
        <f>(B29-B30)-C51</f>
        <v/>
      </c>
      <c r="E51" s="133">
        <f>C51/$E$20</f>
        <v/>
      </c>
    </row>
    <row r="52">
      <c r="A52" s="121" t="inlineStr">
        <is>
          <t>Commissions</t>
        </is>
      </c>
      <c r="B52" s="132" t="n">
        <v>0</v>
      </c>
      <c r="C52" s="133">
        <f>SUMIFS(Sales!$O:$O,Sales!$E:$E,FALSE,Sales!$D:$D,FALSE,Sales!$A:$A,"&lt;&gt;"&amp;"Endulini")/1.15*B52</f>
        <v/>
      </c>
      <c r="D52" s="133">
        <f>SUMIFS(Sales!$O:$O,Sales!$E:$E,FALSE,Sales!$D:$D,FALSE,Sales!$A:$A,"&lt;&gt;"&amp;"Endulini")/1.15-C52</f>
        <v/>
      </c>
      <c r="E52" s="133">
        <f>C52/$E$20</f>
        <v/>
      </c>
    </row>
    <row r="53">
      <c r="A53" s="121" t="inlineStr">
        <is>
          <t>Unforseen</t>
        </is>
      </c>
      <c r="B53" s="132" t="n">
        <v>0</v>
      </c>
      <c r="C53" s="133">
        <f>SUMIFS(Sales!$N:$N,Sales!$E:$E,FALSE,Sales!$D:$D,FALSE,Sales!$A:$A,"&lt;&gt;"&amp;"Endulini")*B53</f>
        <v/>
      </c>
      <c r="D53" s="133">
        <f>SUMIFS(Sales!$N:$N,Sales!$E:$E,FALSE,Sales!$D:$D,FALSE,Sales!$A:$A,"&lt;&gt;"&amp;"Endulini")-C53</f>
        <v/>
      </c>
      <c r="E53" s="133">
        <f>C53/$E$20</f>
        <v/>
      </c>
    </row>
    <row r="54">
      <c r="A54" s="121" t="n"/>
      <c r="B54" s="133" t="n"/>
      <c r="C54" s="133" t="n"/>
      <c r="D54" s="133" t="n"/>
      <c r="E54" s="133" t="n"/>
    </row>
    <row r="55">
      <c r="A55" s="121" t="n"/>
      <c r="B55" s="133" t="n"/>
      <c r="C55" s="133" t="n"/>
      <c r="D55" s="133" t="n"/>
      <c r="E55" s="133" t="n"/>
    </row>
    <row r="56">
      <c r="A56" s="121" t="inlineStr">
        <is>
          <t>Rental Income</t>
        </is>
      </c>
      <c r="B56" s="133">
        <f>-SUMIFS(Xero!$F:$F,Xero!$E:$E,'NSST Print'!$A56)</f>
        <v/>
      </c>
      <c r="C56" s="133" t="n"/>
      <c r="D56" s="133" t="n"/>
      <c r="E56" s="133" t="n"/>
    </row>
    <row r="57">
      <c r="A57" s="121" t="inlineStr">
        <is>
          <t>Sales - Heron Fields occupational rent</t>
        </is>
      </c>
      <c r="B57" s="133">
        <f>-SUMIFS(Xero!$F:$F,Xero!$E:$E,'NSST Print'!$A57)</f>
        <v/>
      </c>
      <c r="C57" s="133" t="n"/>
      <c r="D57" s="133" t="n"/>
      <c r="E57" s="133" t="n"/>
    </row>
    <row r="58">
      <c r="A58" s="121" t="inlineStr">
        <is>
          <t>Sales - Heron View Occupational Rent</t>
        </is>
      </c>
      <c r="B58" s="133">
        <f>-SUMIFS(Xero!$F:$F,Xero!$E:$E,'NSST Print'!$A58)</f>
        <v/>
      </c>
      <c r="C58" s="133" t="n"/>
      <c r="D58" s="133" t="n"/>
      <c r="E58" s="133" t="n"/>
    </row>
    <row r="59">
      <c r="A59" s="121" t="inlineStr">
        <is>
          <t>Bond Origination</t>
        </is>
      </c>
      <c r="B59" s="133">
        <f>-SUMIFS(Xero!$F:$F,Xero!$E:$E,'NSST Print'!$A59)</f>
        <v/>
      </c>
      <c r="C59" s="133" t="n"/>
      <c r="D59" s="133" t="n"/>
      <c r="E59" s="133" t="n"/>
    </row>
    <row r="60">
      <c r="A60" s="121" t="inlineStr">
        <is>
          <t>Interest Received - Deposit Grey Heron</t>
        </is>
      </c>
      <c r="B60" s="133">
        <f>-SUMIFS(Xero!$F:$F,Xero!$E:$E,'NSST Print'!$A60)</f>
        <v/>
      </c>
      <c r="C60" s="133" t="n"/>
      <c r="D60" s="133" t="n"/>
      <c r="E60" s="133" t="n"/>
    </row>
    <row r="61">
      <c r="A61" s="121" t="inlineStr">
        <is>
          <t>Interest Received - Deposits</t>
        </is>
      </c>
      <c r="B61" s="133">
        <f>-SUMIFS(Xero!$F:$F,Xero!$E:$E,'NSST Print'!$A61)</f>
        <v/>
      </c>
      <c r="C61" s="133" t="n"/>
      <c r="D61" s="133" t="n"/>
      <c r="E61" s="133" t="n"/>
    </row>
    <row r="62">
      <c r="A62" s="121" t="inlineStr">
        <is>
          <t>Interest Received - STBB Trust Account</t>
        </is>
      </c>
      <c r="B62" s="133">
        <f>-SUMIFS(Xero!$F:$F,Xero!$E:$E,'NSST Print'!$A62)</f>
        <v/>
      </c>
      <c r="C62" s="133" t="n"/>
      <c r="D62" s="133" t="n"/>
      <c r="E62" s="133" t="n"/>
    </row>
    <row r="63">
      <c r="A63" s="121" t="inlineStr">
        <is>
          <t>Revaluation of Land (Not Incl)</t>
        </is>
      </c>
      <c r="B63" s="133">
        <f>-SUMIFS(Xero!$F:$F,Xero!$E:$E,'NSST Print'!$A63)</f>
        <v/>
      </c>
      <c r="C63" s="133" t="n"/>
      <c r="D63" s="133" t="n"/>
      <c r="E63" s="133" t="n"/>
    </row>
    <row r="64">
      <c r="A64" s="121" t="n"/>
      <c r="B64" s="133" t="n"/>
      <c r="C64" s="133" t="n"/>
      <c r="D64" s="133" t="n"/>
      <c r="E64" s="133" t="n"/>
    </row>
    <row r="65">
      <c r="A65" s="121" t="n"/>
      <c r="B65" s="133" t="n"/>
      <c r="C65" s="133" t="n"/>
      <c r="D65" s="133" t="n"/>
      <c r="E65" s="133" t="n"/>
    </row>
    <row r="66">
      <c r="A66" s="121" t="inlineStr">
        <is>
          <t>Costs</t>
        </is>
      </c>
      <c r="B66" s="133">
        <f>SUMIFS(Xero!$F:$F,Xero!$C:$C,"Expenses",Xero!$A:$A,"="&amp;Heron!$A$4)+SUMIFS(Xero!$F:$F,Xero!$C:$C,"Expenses",Xero!$A:$A,"="&amp;Heron!$A$5)</f>
        <v/>
      </c>
      <c r="C66" s="133" t="n"/>
      <c r="D66" s="133" t="n"/>
      <c r="E66" s="133" t="n"/>
    </row>
    <row r="67">
      <c r="A67" s="121" t="inlineStr">
        <is>
          <t>Heron View Land</t>
        </is>
      </c>
      <c r="B67" s="133">
        <f>SUMIFS(Xero!$F:$F,Xero!$E:$E,'NSST Print'!$A67)</f>
        <v/>
      </c>
      <c r="C67" s="133" t="n"/>
      <c r="D67" s="133" t="n"/>
      <c r="E67" s="133" t="n"/>
    </row>
    <row r="68">
      <c r="A68" s="121" t="inlineStr">
        <is>
          <t>COS - Heron Fields - Construction</t>
        </is>
      </c>
      <c r="B68" s="133">
        <f>SUMIFS(Xero!$F:$F,Xero!$E:$E,'NSST Print'!$A68)</f>
        <v/>
      </c>
      <c r="C68" s="133" t="n"/>
      <c r="D68" s="133" t="n"/>
      <c r="E68" s="133" t="n"/>
    </row>
    <row r="69">
      <c r="A69" s="121" t="inlineStr">
        <is>
          <t>COS - Heron Fields - P &amp; G</t>
        </is>
      </c>
      <c r="B69" s="133">
        <f>SUMIFS(Xero!$F:$F,Xero!$E:$E,'NSST Print'!$A69)</f>
        <v/>
      </c>
      <c r="C69" s="133" t="n"/>
      <c r="D69" s="133" t="n"/>
      <c r="E69" s="133" t="n"/>
    </row>
    <row r="70">
      <c r="A70" s="121" t="inlineStr">
        <is>
          <t>COS - Heron Fields - Printing &amp; Stationary</t>
        </is>
      </c>
      <c r="B70" s="133">
        <f>SUMIFS(Xero!$F:$F,Xero!$E:$E,'NSST Print'!$A70)</f>
        <v/>
      </c>
      <c r="C70" s="133" t="n"/>
      <c r="D70" s="133" t="n"/>
      <c r="E70" s="133" t="n"/>
    </row>
    <row r="71">
      <c r="A71" s="121" t="inlineStr">
        <is>
          <t>COS - Heron View - Construction</t>
        </is>
      </c>
      <c r="B71" s="133">
        <f>SUMIFS(Xero!$F:$F,Xero!$E:$E,'NSST Print'!$A71)+SUMIFS('Updated Construction'!$F:$F,'Updated Construction'!$D:$D,FALSE)</f>
        <v/>
      </c>
      <c r="C71" s="133" t="n"/>
      <c r="D71" s="133" t="n"/>
      <c r="E71" s="133" t="n"/>
    </row>
    <row r="72">
      <c r="A72" s="121" t="inlineStr">
        <is>
          <t>COS - Heron View - P&amp;G</t>
        </is>
      </c>
      <c r="B72" s="133">
        <f>SUMIFS(Xero!$F:$F,Xero!$E:$E,'NSST Print'!$A72)</f>
        <v/>
      </c>
      <c r="C72" s="133" t="n"/>
      <c r="D72" s="133" t="n"/>
      <c r="E72" s="133" t="n"/>
    </row>
    <row r="73">
      <c r="A73" s="121" t="inlineStr">
        <is>
          <t>COS - Heron View - Printing &amp; Stationary</t>
        </is>
      </c>
      <c r="B73" s="133">
        <f>SUMIFS(Xero!$F:$F,Xero!$E:$E,'NSST Print'!$A73)</f>
        <v/>
      </c>
      <c r="C73" s="133" t="n"/>
      <c r="D73" s="133" t="n"/>
      <c r="E73" s="133" t="n"/>
    </row>
    <row r="74">
      <c r="A74" s="121" t="inlineStr">
        <is>
          <t>CPSD</t>
        </is>
      </c>
      <c r="B74" s="133">
        <f>SUMIFS('Other Costs'!$D:$D,'Other Costs'!$A:$A,'NSST Print'!$A74)</f>
        <v/>
      </c>
      <c r="C74" s="133" t="n"/>
      <c r="D74" s="133" t="n"/>
      <c r="E74" s="133" t="n"/>
    </row>
    <row r="75">
      <c r="A75" s="121" t="inlineStr">
        <is>
          <t>OppInvest</t>
        </is>
      </c>
      <c r="B75" s="133">
        <f>SUMIFS('Other Costs'!$D:$D,'Other Costs'!$A:$A,'NSST Print'!$A75)</f>
        <v/>
      </c>
      <c r="C75" s="133" t="n"/>
      <c r="D75" s="133" t="n"/>
      <c r="E75" s="133" t="n"/>
    </row>
    <row r="76">
      <c r="A76" s="121" t="inlineStr">
        <is>
          <t>Professional Fees</t>
        </is>
      </c>
      <c r="B76" s="133">
        <f>SUMIFS('Other Costs'!$D:$D,'Other Costs'!$A:$A,'NSST Print'!$A76)</f>
        <v/>
      </c>
      <c r="C76" s="133" t="n"/>
      <c r="D76" s="133" t="n"/>
      <c r="E76" s="133" t="n"/>
    </row>
    <row r="77">
      <c r="A77" s="121" t="inlineStr">
        <is>
          <t>Rent Salaries and Wages</t>
        </is>
      </c>
      <c r="B77" s="133">
        <f>SUMIFS('Other Costs'!$D:$D,'Other Costs'!$A:$A,'NSST Print'!$A77)</f>
        <v/>
      </c>
      <c r="C77" s="133" t="n"/>
      <c r="D77" s="133" t="n"/>
      <c r="E77" s="133" t="n"/>
    </row>
    <row r="78">
      <c r="A78" s="121" t="inlineStr">
        <is>
          <t>Total Costs</t>
        </is>
      </c>
      <c r="B78" s="133">
        <f>SUM(B66:B77)</f>
        <v/>
      </c>
      <c r="C78" s="133" t="n"/>
      <c r="D78" s="133" t="n"/>
      <c r="E78" s="133" t="n"/>
    </row>
  </sheetData>
  <mergeCells count="36">
    <mergeCell ref="A1:D1"/>
    <mergeCell ref="A2:E2"/>
    <mergeCell ref="A5:E5"/>
    <mergeCell ref="A14:E14"/>
    <mergeCell ref="A18:E18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B29:E29"/>
    <mergeCell ref="B30:E30"/>
    <mergeCell ref="B31:E31"/>
    <mergeCell ref="B32:E32"/>
    <mergeCell ref="B33:E33"/>
    <mergeCell ref="B35:E35"/>
    <mergeCell ref="B36:E36"/>
    <mergeCell ref="B37:E37"/>
    <mergeCell ref="B38:E38"/>
    <mergeCell ref="B39:E39"/>
    <mergeCell ref="B41:E41"/>
    <mergeCell ref="B42:E42"/>
    <mergeCell ref="B43:E43"/>
    <mergeCell ref="B44:E44"/>
    <mergeCell ref="B45:E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FF204E"/>
    <outlinePr summaryBelow="1" summaryRight="1"/>
    <pageSetUpPr/>
  </sheetPr>
  <dimension ref="A1:AC576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15" customWidth="1" min="1" max="1"/>
    <col hidden="1" width="15" customWidth="1" min="2" max="2"/>
    <col width="15" customWidth="1" min="3" max="3"/>
    <col width="15" customWidth="1" min="4" max="4"/>
    <col width="33" customWidth="1" min="5" max="5"/>
    <col width="15" customWidth="1" min="6" max="6"/>
    <col hidden="1" width="15" customWidth="1" min="7" max="7"/>
    <col hidden="1" width="15" customWidth="1" min="8" max="8"/>
    <col hidden="1" width="15" customWidth="1" min="9" max="9"/>
    <col hidden="1" width="15" customWidth="1" min="10" max="10"/>
    <col hidden="1" width="15" customWidth="1" min="11" max="11"/>
    <col hidden="1" width="15" customWidth="1" min="12" max="12"/>
    <col hidden="1" width="15" customWidth="1" min="13" max="13"/>
    <col width="15" customWidth="1" min="14" max="14"/>
    <col hidden="1"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hidden="1" width="15" customWidth="1" min="20" max="20"/>
    <col hidden="1" width="15" customWidth="1" min="21" max="21"/>
    <col width="15" customWidth="1" min="22" max="22"/>
    <col width="15" customWidth="1" min="23" max="23"/>
    <col hidden="1" width="15" customWidth="1" min="24" max="24"/>
  </cols>
  <sheetData>
    <row r="1">
      <c r="A1" s="135" t="inlineStr">
        <is>
          <t>Investor Exit List - 2024-05-31 00:00:00</t>
        </is>
      </c>
      <c r="B1" s="16" t="n"/>
      <c r="C1" s="16" t="n"/>
      <c r="D1" s="16" t="n"/>
      <c r="E1" s="16" t="n"/>
      <c r="F1" s="16" t="n"/>
      <c r="G1" s="16" t="n"/>
      <c r="H1" s="16" t="n"/>
      <c r="I1" s="16" t="n"/>
      <c r="J1" s="16" t="n"/>
      <c r="K1" s="16" t="n"/>
      <c r="L1" s="16" t="n"/>
      <c r="M1" s="16" t="n"/>
      <c r="N1" s="16" t="n"/>
      <c r="O1" s="16" t="n"/>
      <c r="P1" s="16" t="n"/>
      <c r="Q1" s="16" t="n"/>
      <c r="R1" s="16" t="n"/>
      <c r="S1" s="16" t="n"/>
      <c r="T1" s="16" t="n"/>
      <c r="U1" s="16" t="n"/>
      <c r="V1" s="16" t="n"/>
      <c r="W1" s="16" t="n"/>
      <c r="X1" s="17" t="n"/>
    </row>
    <row r="2" ht="55" customHeight="1">
      <c r="A2" s="136" t="inlineStr">
        <is>
          <t>Total Units</t>
        </is>
      </c>
      <c r="B2" s="136" t="inlineStr">
        <is>
          <t>Investment Number</t>
        </is>
      </c>
      <c r="C2" s="136" t="inlineStr">
        <is>
          <t>Unit Number</t>
        </is>
      </c>
      <c r="D2" s="136" t="inlineStr">
        <is>
          <t>Block</t>
        </is>
      </c>
      <c r="E2" s="136" t="inlineStr">
        <is>
          <t>Investor</t>
        </is>
      </c>
      <c r="F2" s="136" t="inlineStr">
        <is>
          <t>Capital Amount</t>
        </is>
      </c>
      <c r="G2" s="136" t="inlineStr">
        <is>
          <t>Fund Release Date</t>
        </is>
      </c>
      <c r="H2" s="136" t="inlineStr">
        <is>
          <t>Unit Sold Status</t>
        </is>
      </c>
      <c r="I2" s="136" t="inlineStr">
        <is>
          <t>Unit Transferred Status</t>
        </is>
      </c>
      <c r="J2" s="136" t="inlineStr">
        <is>
          <t>Estimated Transfer Date</t>
        </is>
      </c>
      <c r="K2" s="136" t="inlineStr">
        <is>
          <t>Actual Transfer Date</t>
        </is>
      </c>
      <c r="L2" s="136" t="inlineStr">
        <is>
          <t>Exit Deadline (730 Days)</t>
        </is>
      </c>
      <c r="M2" s="136" t="inlineStr">
        <is>
          <t>Current Report Date</t>
        </is>
      </c>
      <c r="N2" s="136" t="inlineStr">
        <is>
          <t>Days To Contract Exit</t>
        </is>
      </c>
      <c r="O2" s="136" t="inlineStr">
        <is>
          <t>Days To Estimated Exit</t>
        </is>
      </c>
      <c r="P2" s="136" t="inlineStr">
        <is>
          <t>Investor Contract Expiry Exit</t>
        </is>
      </c>
      <c r="Q2" s="136" t="inlineStr">
        <is>
          <t>Capital &amp; Interest To Be Exited</t>
        </is>
      </c>
      <c r="R2" s="136" t="inlineStr">
        <is>
          <t>Investor Exit Value On Sales</t>
        </is>
      </c>
      <c r="S2" s="136" t="inlineStr">
        <is>
          <t>Exited By Developer</t>
        </is>
      </c>
      <c r="T2" s="136" t="inlineStr">
        <is>
          <t>Date Of Exit</t>
        </is>
      </c>
      <c r="U2" s="136" t="inlineStr">
        <is>
          <t>Early Release</t>
        </is>
      </c>
      <c r="V2" s="136" t="inlineStr">
        <is>
          <t>Investor Pay Back On Transfer</t>
        </is>
      </c>
      <c r="W2" s="136" t="inlineStr">
        <is>
          <t>Developer &amp; Unbonded</t>
        </is>
      </c>
      <c r="X2" s="136" t="inlineStr">
        <is>
          <t>Still Pledged</t>
        </is>
      </c>
      <c r="Y2" t="inlineStr">
        <is>
          <t>Build</t>
        </is>
      </c>
      <c r="Z2" t="inlineStr">
        <is>
          <t>Calculate Release</t>
        </is>
      </c>
      <c r="AA2" t="inlineStr">
        <is>
          <t>Release Date</t>
        </is>
      </c>
      <c r="AB2" t="inlineStr">
        <is>
          <t>UNIQUE ID</t>
        </is>
      </c>
    </row>
    <row r="3" ht="30" customHeight="1">
      <c r="A3" s="137">
        <f>COUNTIFS(Sales!$E:$E,FALSE,Sales!$A:$A,"&lt;&gt;"&amp;"Endulini",Sales!$D:$D,TRUE)+COUNTIFS(Sales!$E:$E,FALSE,Sales!$A:$A,"&lt;&gt;"&amp;"Endulini",Sales!$D:$D,FALSE)</f>
        <v/>
      </c>
      <c r="B3" s="138" t="n"/>
      <c r="C3" s="137">
        <f>COUNTIFS(Investors!$G:$G,FALSE)+COUNTIFS(Investors!$G:$G,TRUE)-(COUNTIFS(Investors!$G:$G,TRUE)+COUNTIFS(Investors!$G:$G,FALSE,Investors!$O:$O,TRUE,Investors!$P:$P,FALSE))</f>
        <v/>
      </c>
      <c r="D3" s="138" t="n"/>
      <c r="E3" s="138" t="n"/>
      <c r="F3" s="139">
        <f>SUM(F4:F577)</f>
        <v/>
      </c>
      <c r="G3" s="138" t="n"/>
      <c r="H3" s="138" t="n"/>
      <c r="I3" s="138" t="n"/>
      <c r="J3" s="138" t="n"/>
      <c r="K3" s="138" t="n"/>
      <c r="L3" s="138" t="n"/>
      <c r="M3" s="138" t="n"/>
      <c r="N3" s="138" t="n"/>
      <c r="O3" s="138" t="n"/>
      <c r="P3" s="139">
        <f>SUM(P4:P577)</f>
        <v/>
      </c>
      <c r="Q3" s="139">
        <f>SUM(Q4:Q577)</f>
        <v/>
      </c>
      <c r="R3" s="139">
        <f>SUM(R4:R577)</f>
        <v/>
      </c>
      <c r="S3" s="139">
        <f>SUBTOTAL(109,S4:S577)</f>
        <v/>
      </c>
      <c r="T3" s="138" t="n"/>
      <c r="U3" s="138" t="n"/>
      <c r="V3" s="139">
        <f>SUM(V4:V577)</f>
        <v/>
      </c>
      <c r="W3" s="139">
        <f>SUM(W4:W577)</f>
        <v/>
      </c>
      <c r="X3" s="138" t="n"/>
    </row>
    <row r="4">
      <c r="A4" s="140" t="inlineStr">
        <is>
          <t>ZCAM01</t>
        </is>
      </c>
      <c r="B4" s="140" t="n">
        <v>2</v>
      </c>
      <c r="C4" s="140" t="inlineStr">
        <is>
          <t>HFA101</t>
        </is>
      </c>
      <c r="D4" s="140" t="inlineStr">
        <is>
          <t>A</t>
        </is>
      </c>
      <c r="E4" s="140" t="inlineStr">
        <is>
          <t>Campbell Jeremy &amp; Rosaline</t>
        </is>
      </c>
      <c r="F4" s="141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</f>
        <v/>
      </c>
      <c r="G4" s="142" t="n">
        <v>44610</v>
      </c>
      <c r="H4" s="140">
        <f>VLOOKUP($C4,Sales!$C:$E,2,FALSE)</f>
        <v/>
      </c>
      <c r="I4" s="140">
        <f>VLOOKUP($C4,Sales!$C:$E,3,FALSE)</f>
        <v/>
      </c>
      <c r="J4" s="142">
        <f>SUMIFS(Sales!$H:$H,Sales!$C:$C,'Investor Exit List'!$C4)</f>
        <v/>
      </c>
      <c r="K4" s="142">
        <f>IF(I4=TRUE,J4,"")</f>
        <v/>
      </c>
      <c r="L4" s="142">
        <f>G4+730</f>
        <v/>
      </c>
      <c r="M4" s="142" t="n">
        <v>45443</v>
      </c>
      <c r="N4" s="143">
        <f>IFERROR(IF(G4&lt;&gt;"",IF(I4=TRUE,0,IF(U4=TRUE,0,L4-M4)),0),0)</f>
        <v/>
      </c>
      <c r="O4" s="143">
        <f>IF(N4&gt;0,IF(N4&lt;=180,N4,0),0)</f>
        <v/>
      </c>
      <c r="P4" s="141">
        <f>IF(AND(N4&lt;90,N4&gt;0),Q4,0)</f>
        <v/>
      </c>
      <c r="Q4" s="141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/>
      </c>
      <c r="R4" s="141">
        <f>IF(AND(H4=TRUE,I4=FALSE),Q4,0)</f>
        <v/>
      </c>
      <c r="S4" s="141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/>
      </c>
      <c r="T4" s="142">
        <f>IF(U4=TRUE,$J4,"")</f>
        <v/>
      </c>
      <c r="U4" s="140" t="b">
        <v>0</v>
      </c>
      <c r="V4" s="141">
        <f>IF(AND(H4=TRUE,OR(K4="",K4&gt;M4)),S4,0)</f>
        <v/>
      </c>
      <c r="W4" s="140" t="n">
        <v>0</v>
      </c>
      <c r="X4" s="140" t="b">
        <v>0</v>
      </c>
      <c r="Y4" s="143">
        <f>IF(H4=FALSE,VLOOKUP($C4,Sales!$C:$F,4,FALSE),1)</f>
        <v/>
      </c>
      <c r="Z4" s="140">
        <f>IF(Y4=0,"Release",IF(AND(L4&lt;J4,Y4=1,H4=FALSE,U4=FALSE,MONTH(L4)&amp;"/"&amp;YEAR(L4)&lt;&gt;MONTH(J4)&amp;"/"&amp;YEAR(J4)),"Release",""))</f>
        <v/>
      </c>
      <c r="AA4" s="144">
        <f>_xlfn.minifs($L:$L,$C:$C,$C4,$F:$F,"&lt;&gt;0")</f>
        <v/>
      </c>
      <c r="AB4" s="144">
        <f>C4&amp;"-"&amp;A4</f>
        <v/>
      </c>
      <c r="AC4" s="144">
        <f>L4</f>
        <v/>
      </c>
    </row>
    <row r="5">
      <c r="A5" s="140" t="inlineStr">
        <is>
          <t>ZSCH01</t>
        </is>
      </c>
      <c r="B5" s="140" t="n">
        <v>10</v>
      </c>
      <c r="C5" s="140" t="inlineStr">
        <is>
          <t>HFA101</t>
        </is>
      </c>
      <c r="D5" s="140" t="inlineStr">
        <is>
          <t>A</t>
        </is>
      </c>
      <c r="E5" s="140" t="inlineStr">
        <is>
          <t>Schubert Inge</t>
        </is>
      </c>
      <c r="F5" s="141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</f>
        <v/>
      </c>
      <c r="G5" s="142" t="n">
        <v>44316</v>
      </c>
      <c r="H5" s="140">
        <f>VLOOKUP($C5,Sales!$C:$E,2,FALSE)</f>
        <v/>
      </c>
      <c r="I5" s="140">
        <f>VLOOKUP($C5,Sales!$C:$E,3,FALSE)</f>
        <v/>
      </c>
      <c r="J5" s="142">
        <f>SUMIFS(Sales!$H:$H,Sales!$C:$C,'Investor Exit List'!$C5)</f>
        <v/>
      </c>
      <c r="K5" s="142">
        <f>IF(I5=TRUE,J5,"")</f>
        <v/>
      </c>
      <c r="L5" s="142">
        <f>G5+730</f>
        <v/>
      </c>
      <c r="M5" s="142" t="n">
        <v>45443</v>
      </c>
      <c r="N5" s="143">
        <f>IFERROR(IF(G5&lt;&gt;"",IF(I5=TRUE,0,IF(U5=TRUE,0,L5-M5)),0),0)</f>
        <v/>
      </c>
      <c r="O5" s="143">
        <f>IF(N5&gt;0,IF(N5&lt;=180,N5,0),0)</f>
        <v/>
      </c>
      <c r="P5" s="141">
        <f>IF(AND(N5&lt;90,N5&gt;0),Q5,0)</f>
        <v/>
      </c>
      <c r="Q5" s="141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/>
      </c>
      <c r="R5" s="141">
        <f>IF(AND(H5=TRUE,I5=FALSE),Q5,0)</f>
        <v/>
      </c>
      <c r="S5" s="141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/>
      </c>
      <c r="T5" s="142">
        <f>IF(U5=TRUE,$J5,"")</f>
        <v/>
      </c>
      <c r="U5" s="140" t="b">
        <v>0</v>
      </c>
      <c r="V5" s="141">
        <f>IF(AND(H5=TRUE,OR(K5="",K5&gt;M5)),S5,0)</f>
        <v/>
      </c>
      <c r="W5" s="140" t="n">
        <v>0</v>
      </c>
      <c r="X5" s="140" t="b">
        <v>0</v>
      </c>
      <c r="Y5" s="143">
        <f>IF(H5=FALSE,VLOOKUP($C5,Sales!$C:$F,4,FALSE),1)</f>
        <v/>
      </c>
      <c r="Z5" s="140">
        <f>IF(Y5=0,"Release",IF(AND(L5&lt;J5,Y5=1,H5=FALSE,U5=FALSE,MONTH(L5)&amp;"/"&amp;YEAR(L5)&lt;&gt;MONTH(J5)&amp;"/"&amp;YEAR(J5)),"Release",""))</f>
        <v/>
      </c>
      <c r="AA5" s="144">
        <f>_xlfn.minifs($L:$L,$C:$C,$C5,$F:$F,"&lt;&gt;0")</f>
        <v/>
      </c>
      <c r="AB5" s="144">
        <f>C5&amp;"-"&amp;A5</f>
        <v/>
      </c>
      <c r="AC5" s="144">
        <f>L5</f>
        <v/>
      </c>
    </row>
    <row r="6">
      <c r="A6" s="140" t="inlineStr">
        <is>
          <t>ZZYL03</t>
        </is>
      </c>
      <c r="B6" s="140" t="n">
        <v>1</v>
      </c>
      <c r="C6" s="140" t="inlineStr">
        <is>
          <t>HFA102</t>
        </is>
      </c>
      <c r="D6" s="140" t="inlineStr">
        <is>
          <t>A</t>
        </is>
      </c>
      <c r="E6" s="140" t="inlineStr">
        <is>
          <t>Zylstra Sandra Robyn</t>
        </is>
      </c>
      <c r="F6" s="141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</f>
        <v/>
      </c>
      <c r="G6" s="142" t="n">
        <v>44352</v>
      </c>
      <c r="H6" s="140">
        <f>VLOOKUP($C6,Sales!$C:$E,2,FALSE)</f>
        <v/>
      </c>
      <c r="I6" s="140">
        <f>VLOOKUP($C6,Sales!$C:$E,3,FALSE)</f>
        <v/>
      </c>
      <c r="J6" s="142">
        <f>SUMIFS(Sales!$H:$H,Sales!$C:$C,'Investor Exit List'!$C6)</f>
        <v/>
      </c>
      <c r="K6" s="142">
        <f>IF(I6=TRUE,J6,"")</f>
        <v/>
      </c>
      <c r="L6" s="142">
        <f>G6+730</f>
        <v/>
      </c>
      <c r="M6" s="142" t="n">
        <v>45443</v>
      </c>
      <c r="N6" s="143">
        <f>IFERROR(IF(G6&lt;&gt;"",IF(I6=TRUE,0,IF(U6=TRUE,0,L6-M6)),0),0)</f>
        <v/>
      </c>
      <c r="O6" s="143">
        <f>IF(N6&gt;0,IF(N6&lt;=180,N6,0),0)</f>
        <v/>
      </c>
      <c r="P6" s="141">
        <f>IF(AND(N6&lt;90,N6&gt;0),Q6,0)</f>
        <v/>
      </c>
      <c r="Q6" s="141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/>
      </c>
      <c r="R6" s="141">
        <f>IF(AND(H6=TRUE,I6=FALSE),Q6,0)</f>
        <v/>
      </c>
      <c r="S6" s="141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/>
      </c>
      <c r="T6" s="142">
        <f>IF(U6=TRUE,$J6,"")</f>
        <v/>
      </c>
      <c r="U6" s="140" t="b">
        <v>0</v>
      </c>
      <c r="V6" s="141">
        <f>IF(AND(H6=TRUE,OR(K6="",K6&gt;M6)),S6,0)</f>
        <v/>
      </c>
      <c r="W6" s="140" t="n">
        <v>0</v>
      </c>
      <c r="X6" s="140" t="b">
        <v>0</v>
      </c>
      <c r="Y6" s="143">
        <f>IF(H6=FALSE,VLOOKUP($C6,Sales!$C:$F,4,FALSE),1)</f>
        <v/>
      </c>
      <c r="Z6" s="140">
        <f>IF(Y6=0,"Release",IF(AND(L6&lt;J6,Y6=1,H6=FALSE,U6=FALSE,MONTH(L6)&amp;"/"&amp;YEAR(L6)&lt;&gt;MONTH(J6)&amp;"/"&amp;YEAR(J6)),"Release",""))</f>
        <v/>
      </c>
      <c r="AA6" s="144">
        <f>_xlfn.minifs($L:$L,$C:$C,$C6,$F:$F,"&lt;&gt;0")</f>
        <v/>
      </c>
      <c r="AB6" s="144">
        <f>C6&amp;"-"&amp;A6</f>
        <v/>
      </c>
      <c r="AC6" s="144">
        <f>L6</f>
        <v/>
      </c>
    </row>
    <row r="7">
      <c r="A7" s="140" t="inlineStr">
        <is>
          <t>ZELE01</t>
        </is>
      </c>
      <c r="B7" s="140" t="n">
        <v>1</v>
      </c>
      <c r="C7" s="140" t="inlineStr">
        <is>
          <t>HFA103</t>
        </is>
      </c>
      <c r="D7" s="140" t="inlineStr">
        <is>
          <t>A</t>
        </is>
      </c>
      <c r="E7" s="140" t="inlineStr">
        <is>
          <t>Lew Emile Kenneth</t>
        </is>
      </c>
      <c r="F7" s="141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</f>
        <v/>
      </c>
      <c r="G7" s="142" t="n">
        <v>44316</v>
      </c>
      <c r="H7" s="140">
        <f>VLOOKUP($C7,Sales!$C:$E,2,FALSE)</f>
        <v/>
      </c>
      <c r="I7" s="140">
        <f>VLOOKUP($C7,Sales!$C:$E,3,FALSE)</f>
        <v/>
      </c>
      <c r="J7" s="142">
        <f>SUMIFS(Sales!$H:$H,Sales!$C:$C,'Investor Exit List'!$C7)</f>
        <v/>
      </c>
      <c r="K7" s="142">
        <f>IF(I7=TRUE,J7,"")</f>
        <v/>
      </c>
      <c r="L7" s="142">
        <f>G7+730</f>
        <v/>
      </c>
      <c r="M7" s="142" t="n">
        <v>45443</v>
      </c>
      <c r="N7" s="143">
        <f>IFERROR(IF(G7&lt;&gt;"",IF(I7=TRUE,0,IF(U7=TRUE,0,L7-M7)),0),0)</f>
        <v/>
      </c>
      <c r="O7" s="143">
        <f>IF(N7&gt;0,IF(N7&lt;=180,N7,0),0)</f>
        <v/>
      </c>
      <c r="P7" s="141">
        <f>IF(AND(N7&lt;90,N7&gt;0),Q7,0)</f>
        <v/>
      </c>
      <c r="Q7" s="141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/>
      </c>
      <c r="R7" s="141">
        <f>IF(AND(H7=TRUE,I7=FALSE),Q7,0)</f>
        <v/>
      </c>
      <c r="S7" s="141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/>
      </c>
      <c r="T7" s="142">
        <f>IF(U7=TRUE,$J7,"")</f>
        <v/>
      </c>
      <c r="U7" s="140" t="b">
        <v>0</v>
      </c>
      <c r="V7" s="141">
        <f>IF(AND(H7=TRUE,OR(K7="",K7&gt;M7)),S7,0)</f>
        <v/>
      </c>
      <c r="W7" s="140" t="n">
        <v>0</v>
      </c>
      <c r="X7" s="140" t="b">
        <v>0</v>
      </c>
      <c r="Y7" s="143">
        <f>IF(H7=FALSE,VLOOKUP($C7,Sales!$C:$F,4,FALSE),1)</f>
        <v/>
      </c>
      <c r="Z7" s="140">
        <f>IF(Y7=0,"Release",IF(AND(L7&lt;J7,Y7=1,H7=FALSE,U7=FALSE,MONTH(L7)&amp;"/"&amp;YEAR(L7)&lt;&gt;MONTH(J7)&amp;"/"&amp;YEAR(J7)),"Release",""))</f>
        <v/>
      </c>
      <c r="AA7" s="144">
        <f>_xlfn.minifs($L:$L,$C:$C,$C7,$F:$F,"&lt;&gt;0")</f>
        <v/>
      </c>
      <c r="AB7" s="144">
        <f>C7&amp;"-"&amp;A7</f>
        <v/>
      </c>
      <c r="AC7" s="144">
        <f>L7</f>
        <v/>
      </c>
    </row>
    <row r="8">
      <c r="A8" s="140" t="inlineStr">
        <is>
          <t>ZHIL01</t>
        </is>
      </c>
      <c r="B8" s="140" t="n">
        <v>1</v>
      </c>
      <c r="C8" s="140" t="inlineStr">
        <is>
          <t>HFA103</t>
        </is>
      </c>
      <c r="D8" s="140" t="inlineStr">
        <is>
          <t>A</t>
        </is>
      </c>
      <c r="E8" s="140" t="inlineStr">
        <is>
          <t>Hill Trevor David</t>
        </is>
      </c>
      <c r="F8" s="141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</f>
        <v/>
      </c>
      <c r="G8" s="142" t="n">
        <v>44352</v>
      </c>
      <c r="H8" s="140">
        <f>VLOOKUP($C8,Sales!$C:$E,2,FALSE)</f>
        <v/>
      </c>
      <c r="I8" s="140">
        <f>VLOOKUP($C8,Sales!$C:$E,3,FALSE)</f>
        <v/>
      </c>
      <c r="J8" s="142">
        <f>SUMIFS(Sales!$H:$H,Sales!$C:$C,'Investor Exit List'!$C8)</f>
        <v/>
      </c>
      <c r="K8" s="142">
        <f>IF(I8=TRUE,J8,"")</f>
        <v/>
      </c>
      <c r="L8" s="142">
        <f>G8+730</f>
        <v/>
      </c>
      <c r="M8" s="142" t="n">
        <v>45443</v>
      </c>
      <c r="N8" s="143">
        <f>IFERROR(IF(G8&lt;&gt;"",IF(I8=TRUE,0,IF(U8=TRUE,0,L8-M8)),0),0)</f>
        <v/>
      </c>
      <c r="O8" s="143">
        <f>IF(N8&gt;0,IF(N8&lt;=180,N8,0),0)</f>
        <v/>
      </c>
      <c r="P8" s="141">
        <f>IF(AND(N8&lt;90,N8&gt;0),Q8,0)</f>
        <v/>
      </c>
      <c r="Q8" s="141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/>
      </c>
      <c r="R8" s="141">
        <f>IF(AND(H8=TRUE,I8=FALSE),Q8,0)</f>
        <v/>
      </c>
      <c r="S8" s="141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/>
      </c>
      <c r="T8" s="142">
        <f>IF(U8=TRUE,$J8,"")</f>
        <v/>
      </c>
      <c r="U8" s="140" t="b">
        <v>0</v>
      </c>
      <c r="V8" s="141">
        <f>IF(AND(H8=TRUE,OR(K8="",K8&gt;M8)),S8,0)</f>
        <v/>
      </c>
      <c r="W8" s="140" t="n">
        <v>0</v>
      </c>
      <c r="X8" s="140" t="b">
        <v>0</v>
      </c>
      <c r="Y8" s="143">
        <f>IF(H8=FALSE,VLOOKUP($C8,Sales!$C:$F,4,FALSE),1)</f>
        <v/>
      </c>
      <c r="Z8" s="140">
        <f>IF(Y8=0,"Release",IF(AND(L8&lt;J8,Y8=1,H8=FALSE,U8=FALSE,MONTH(L8)&amp;"/"&amp;YEAR(L8)&lt;&gt;MONTH(J8)&amp;"/"&amp;YEAR(J8)),"Release",""))</f>
        <v/>
      </c>
      <c r="AA8" s="144">
        <f>_xlfn.minifs($L:$L,$C:$C,$C8,$F:$F,"&lt;&gt;0")</f>
        <v/>
      </c>
      <c r="AB8" s="144">
        <f>C8&amp;"-"&amp;A8</f>
        <v/>
      </c>
      <c r="AC8" s="144">
        <f>L8</f>
        <v/>
      </c>
    </row>
    <row r="9">
      <c r="A9" s="140" t="inlineStr">
        <is>
          <t>ZVAN02</t>
        </is>
      </c>
      <c r="B9" s="140" t="n">
        <v>1</v>
      </c>
      <c r="C9" s="140" t="inlineStr">
        <is>
          <t>HFA103</t>
        </is>
      </c>
      <c r="D9" s="140" t="inlineStr">
        <is>
          <t>A</t>
        </is>
      </c>
      <c r="E9" s="140" t="inlineStr">
        <is>
          <t>van Schalkwyk Agatha Dorothea</t>
        </is>
      </c>
      <c r="F9" s="141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</f>
        <v/>
      </c>
      <c r="G9" s="142" t="n">
        <v>44352</v>
      </c>
      <c r="H9" s="140">
        <f>VLOOKUP($C9,Sales!$C:$E,2,FALSE)</f>
        <v/>
      </c>
      <c r="I9" s="140">
        <f>VLOOKUP($C9,Sales!$C:$E,3,FALSE)</f>
        <v/>
      </c>
      <c r="J9" s="142">
        <f>SUMIFS(Sales!$H:$H,Sales!$C:$C,'Investor Exit List'!$C9)</f>
        <v/>
      </c>
      <c r="K9" s="142">
        <f>IF(I9=TRUE,J9,"")</f>
        <v/>
      </c>
      <c r="L9" s="142">
        <f>G9+730</f>
        <v/>
      </c>
      <c r="M9" s="142" t="n">
        <v>45443</v>
      </c>
      <c r="N9" s="143">
        <f>IFERROR(IF(G9&lt;&gt;"",IF(I9=TRUE,0,IF(U9=TRUE,0,L9-M9)),0),0)</f>
        <v/>
      </c>
      <c r="O9" s="143">
        <f>IF(N9&gt;0,IF(N9&lt;=180,N9,0),0)</f>
        <v/>
      </c>
      <c r="P9" s="141">
        <f>IF(AND(N9&lt;90,N9&gt;0),Q9,0)</f>
        <v/>
      </c>
      <c r="Q9" s="141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/>
      </c>
      <c r="R9" s="141">
        <f>IF(AND(H9=TRUE,I9=FALSE),Q9,0)</f>
        <v/>
      </c>
      <c r="S9" s="141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/>
      </c>
      <c r="T9" s="142">
        <f>IF(U9=TRUE,$J9,"")</f>
        <v/>
      </c>
      <c r="U9" s="140" t="b">
        <v>0</v>
      </c>
      <c r="V9" s="141">
        <f>IF(AND(H9=TRUE,OR(K9="",K9&gt;M9)),S9,0)</f>
        <v/>
      </c>
      <c r="W9" s="140" t="n">
        <v>0</v>
      </c>
      <c r="X9" s="140" t="b">
        <v>0</v>
      </c>
      <c r="Y9" s="143">
        <f>IF(H9=FALSE,VLOOKUP($C9,Sales!$C:$F,4,FALSE),1)</f>
        <v/>
      </c>
      <c r="Z9" s="140">
        <f>IF(Y9=0,"Release",IF(AND(L9&lt;J9,Y9=1,H9=FALSE,U9=FALSE,MONTH(L9)&amp;"/"&amp;YEAR(L9)&lt;&gt;MONTH(J9)&amp;"/"&amp;YEAR(J9)),"Release",""))</f>
        <v/>
      </c>
      <c r="AA9" s="144">
        <f>_xlfn.minifs($L:$L,$C:$C,$C9,$F:$F,"&lt;&gt;0")</f>
        <v/>
      </c>
      <c r="AB9" s="144">
        <f>C9&amp;"-"&amp;A9</f>
        <v/>
      </c>
      <c r="AC9" s="144">
        <f>L9</f>
        <v/>
      </c>
    </row>
    <row r="10">
      <c r="A10" s="140" t="inlineStr">
        <is>
          <t>ZZYL03</t>
        </is>
      </c>
      <c r="B10" s="140" t="n">
        <v>2</v>
      </c>
      <c r="C10" s="140" t="inlineStr">
        <is>
          <t>HFA103</t>
        </is>
      </c>
      <c r="D10" s="140" t="inlineStr">
        <is>
          <t>A</t>
        </is>
      </c>
      <c r="E10" s="140" t="inlineStr">
        <is>
          <t>Zylstra Sandra Robyn</t>
        </is>
      </c>
      <c r="F10" s="141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</f>
        <v/>
      </c>
      <c r="G10" s="142" t="n">
        <v>44352</v>
      </c>
      <c r="H10" s="140">
        <f>VLOOKUP($C10,Sales!$C:$E,2,FALSE)</f>
        <v/>
      </c>
      <c r="I10" s="140">
        <f>VLOOKUP($C10,Sales!$C:$E,3,FALSE)</f>
        <v/>
      </c>
      <c r="J10" s="142">
        <f>SUMIFS(Sales!$H:$H,Sales!$C:$C,'Investor Exit List'!$C10)</f>
        <v/>
      </c>
      <c r="K10" s="142">
        <f>IF(I10=TRUE,J10,"")</f>
        <v/>
      </c>
      <c r="L10" s="142">
        <f>G10+730</f>
        <v/>
      </c>
      <c r="M10" s="142" t="n">
        <v>45443</v>
      </c>
      <c r="N10" s="143">
        <f>IFERROR(IF(G10&lt;&gt;"",IF(I10=TRUE,0,IF(U10=TRUE,0,L10-M10)),0),0)</f>
        <v/>
      </c>
      <c r="O10" s="143">
        <f>IF(N10&gt;0,IF(N10&lt;=180,N10,0),0)</f>
        <v/>
      </c>
      <c r="P10" s="141">
        <f>IF(AND(N10&lt;90,N10&gt;0),Q10,0)</f>
        <v/>
      </c>
      <c r="Q10" s="141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/>
      </c>
      <c r="R10" s="141">
        <f>IF(AND(H10=TRUE,I10=FALSE),Q10,0)</f>
        <v/>
      </c>
      <c r="S10" s="141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/>
      </c>
      <c r="T10" s="142">
        <f>IF(U10=TRUE,$J10,"")</f>
        <v/>
      </c>
      <c r="U10" s="140" t="b">
        <v>0</v>
      </c>
      <c r="V10" s="141">
        <f>IF(AND(H10=TRUE,OR(K10="",K10&gt;M10)),S10,0)</f>
        <v/>
      </c>
      <c r="W10" s="140" t="n">
        <v>0</v>
      </c>
      <c r="X10" s="140" t="b">
        <v>0</v>
      </c>
      <c r="Y10" s="143">
        <f>IF(H10=FALSE,VLOOKUP($C10,Sales!$C:$F,4,FALSE),1)</f>
        <v/>
      </c>
      <c r="Z10" s="140">
        <f>IF(Y10=0,"Release",IF(AND(L10&lt;J10,Y10=1,H10=FALSE,U10=FALSE,MONTH(L10)&amp;"/"&amp;YEAR(L10)&lt;&gt;MONTH(J10)&amp;"/"&amp;YEAR(J10)),"Release",""))</f>
        <v/>
      </c>
      <c r="AA10" s="144">
        <f>_xlfn.minifs($L:$L,$C:$C,$C10,$F:$F,"&lt;&gt;0")</f>
        <v/>
      </c>
      <c r="AB10" s="144">
        <f>C10&amp;"-"&amp;A10</f>
        <v/>
      </c>
      <c r="AC10" s="144">
        <f>L10</f>
        <v/>
      </c>
    </row>
    <row r="11">
      <c r="A11" s="140" t="inlineStr">
        <is>
          <t>ZDEB01</t>
        </is>
      </c>
      <c r="B11" s="140" t="n">
        <v>5</v>
      </c>
      <c r="C11" s="140" t="inlineStr">
        <is>
          <t>HFA104</t>
        </is>
      </c>
      <c r="D11" s="140" t="inlineStr">
        <is>
          <t>A</t>
        </is>
      </c>
      <c r="E11" s="140" t="inlineStr">
        <is>
          <t>De Beer William Henry</t>
        </is>
      </c>
      <c r="F11" s="141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</f>
        <v/>
      </c>
      <c r="G11" s="142" t="n">
        <v>44352</v>
      </c>
      <c r="H11" s="140">
        <f>VLOOKUP($C11,Sales!$C:$E,2,FALSE)</f>
        <v/>
      </c>
      <c r="I11" s="140">
        <f>VLOOKUP($C11,Sales!$C:$E,3,FALSE)</f>
        <v/>
      </c>
      <c r="J11" s="142">
        <f>SUMIFS(Sales!$H:$H,Sales!$C:$C,'Investor Exit List'!$C11)</f>
        <v/>
      </c>
      <c r="K11" s="142">
        <f>IF(I11=TRUE,J11,"")</f>
        <v/>
      </c>
      <c r="L11" s="142">
        <f>G11+730</f>
        <v/>
      </c>
      <c r="M11" s="142" t="n">
        <v>45443</v>
      </c>
      <c r="N11" s="143">
        <f>IFERROR(IF(G11&lt;&gt;"",IF(I11=TRUE,0,IF(U11=TRUE,0,L11-M11)),0),0)</f>
        <v/>
      </c>
      <c r="O11" s="143">
        <f>IF(N11&gt;0,IF(N11&lt;=180,N11,0),0)</f>
        <v/>
      </c>
      <c r="P11" s="141">
        <f>IF(AND(N11&lt;90,N11&gt;0),Q11,0)</f>
        <v/>
      </c>
      <c r="Q11" s="141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/>
      </c>
      <c r="R11" s="141">
        <f>IF(AND(H11=TRUE,I11=FALSE),Q11,0)</f>
        <v/>
      </c>
      <c r="S11" s="141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/>
      </c>
      <c r="T11" s="142">
        <f>IF(U11=TRUE,$J11,"")</f>
        <v/>
      </c>
      <c r="U11" s="140" t="b">
        <v>0</v>
      </c>
      <c r="V11" s="141">
        <f>IF(AND(H11=TRUE,OR(K11="",K11&gt;M11)),S11,0)</f>
        <v/>
      </c>
      <c r="W11" s="140" t="n">
        <v>0</v>
      </c>
      <c r="X11" s="140" t="b">
        <v>0</v>
      </c>
      <c r="Y11" s="143">
        <f>IF(H11=FALSE,VLOOKUP($C11,Sales!$C:$F,4,FALSE),1)</f>
        <v/>
      </c>
      <c r="Z11" s="140">
        <f>IF(Y11=0,"Release",IF(AND(L11&lt;J11,Y11=1,H11=FALSE,U11=FALSE,MONTH(L11)&amp;"/"&amp;YEAR(L11)&lt;&gt;MONTH(J11)&amp;"/"&amp;YEAR(J11)),"Release",""))</f>
        <v/>
      </c>
      <c r="AA11" s="144">
        <f>_xlfn.minifs($L:$L,$C:$C,$C11,$F:$F,"&lt;&gt;0")</f>
        <v/>
      </c>
      <c r="AB11" s="144">
        <f>C11&amp;"-"&amp;A11</f>
        <v/>
      </c>
      <c r="AC11" s="144">
        <f>L11</f>
        <v/>
      </c>
    </row>
    <row r="12">
      <c r="A12" s="140" t="inlineStr">
        <is>
          <t>ZBLO01</t>
        </is>
      </c>
      <c r="B12" s="140" t="n">
        <v>1</v>
      </c>
      <c r="C12" s="140" t="inlineStr">
        <is>
          <t>HFA105</t>
        </is>
      </c>
      <c r="D12" s="140" t="inlineStr">
        <is>
          <t>A</t>
        </is>
      </c>
      <c r="E12" s="140" t="inlineStr">
        <is>
          <t>Blows Robert Errol</t>
        </is>
      </c>
      <c r="F12" s="141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</f>
        <v/>
      </c>
      <c r="G12" s="142" t="n">
        <v>44352</v>
      </c>
      <c r="H12" s="140">
        <f>VLOOKUP($C12,Sales!$C:$E,2,FALSE)</f>
        <v/>
      </c>
      <c r="I12" s="140">
        <f>VLOOKUP($C12,Sales!$C:$E,3,FALSE)</f>
        <v/>
      </c>
      <c r="J12" s="142">
        <f>SUMIFS(Sales!$H:$H,Sales!$C:$C,'Investor Exit List'!$C12)</f>
        <v/>
      </c>
      <c r="K12" s="142">
        <f>IF(I12=TRUE,J12,"")</f>
        <v/>
      </c>
      <c r="L12" s="142">
        <f>G12+730</f>
        <v/>
      </c>
      <c r="M12" s="142" t="n">
        <v>45443</v>
      </c>
      <c r="N12" s="143">
        <f>IFERROR(IF(G12&lt;&gt;"",IF(I12=TRUE,0,IF(U12=TRUE,0,L12-M12)),0),0)</f>
        <v/>
      </c>
      <c r="O12" s="143">
        <f>IF(N12&gt;0,IF(N12&lt;=180,N12,0),0)</f>
        <v/>
      </c>
      <c r="P12" s="141">
        <f>IF(AND(N12&lt;90,N12&gt;0),Q12,0)</f>
        <v/>
      </c>
      <c r="Q12" s="141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/>
      </c>
      <c r="R12" s="141">
        <f>IF(AND(H12=TRUE,I12=FALSE),Q12,0)</f>
        <v/>
      </c>
      <c r="S12" s="141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/>
      </c>
      <c r="T12" s="142">
        <f>IF(U12=TRUE,$J12,"")</f>
        <v/>
      </c>
      <c r="U12" s="140" t="b">
        <v>0</v>
      </c>
      <c r="V12" s="141">
        <f>IF(AND(H12=TRUE,OR(K12="",K12&gt;M12)),S12,0)</f>
        <v/>
      </c>
      <c r="W12" s="140" t="n">
        <v>0</v>
      </c>
      <c r="X12" s="140" t="b">
        <v>0</v>
      </c>
      <c r="Y12" s="143">
        <f>IF(H12=FALSE,VLOOKUP($C12,Sales!$C:$F,4,FALSE),1)</f>
        <v/>
      </c>
      <c r="Z12" s="140">
        <f>IF(Y12=0,"Release",IF(AND(L12&lt;J12,Y12=1,H12=FALSE,U12=FALSE,MONTH(L12)&amp;"/"&amp;YEAR(L12)&lt;&gt;MONTH(J12)&amp;"/"&amp;YEAR(J12)),"Release",""))</f>
        <v/>
      </c>
      <c r="AA12" s="144">
        <f>_xlfn.minifs($L:$L,$C:$C,$C12,$F:$F,"&lt;&gt;0")</f>
        <v/>
      </c>
      <c r="AB12" s="144">
        <f>C12&amp;"-"&amp;A12</f>
        <v/>
      </c>
      <c r="AC12" s="144">
        <f>L12</f>
        <v/>
      </c>
    </row>
    <row r="13">
      <c r="A13" s="140" t="inlineStr">
        <is>
          <t>ZCRO01</t>
        </is>
      </c>
      <c r="B13" s="140" t="n">
        <v>1</v>
      </c>
      <c r="C13" s="140" t="inlineStr">
        <is>
          <t>HFA105</t>
        </is>
      </c>
      <c r="D13" s="140" t="inlineStr">
        <is>
          <t>A</t>
        </is>
      </c>
      <c r="E13" s="140" t="inlineStr">
        <is>
          <t>Lunau Marc</t>
        </is>
      </c>
      <c r="F13" s="141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</f>
        <v/>
      </c>
      <c r="G13" s="142" t="n">
        <v>44352</v>
      </c>
      <c r="H13" s="140">
        <f>VLOOKUP($C13,Sales!$C:$E,2,FALSE)</f>
        <v/>
      </c>
      <c r="I13" s="140">
        <f>VLOOKUP($C13,Sales!$C:$E,3,FALSE)</f>
        <v/>
      </c>
      <c r="J13" s="142">
        <f>SUMIFS(Sales!$H:$H,Sales!$C:$C,'Investor Exit List'!$C13)</f>
        <v/>
      </c>
      <c r="K13" s="142">
        <f>IF(I13=TRUE,J13,"")</f>
        <v/>
      </c>
      <c r="L13" s="142">
        <f>G13+730</f>
        <v/>
      </c>
      <c r="M13" s="142" t="n">
        <v>45443</v>
      </c>
      <c r="N13" s="143">
        <f>IFERROR(IF(G13&lt;&gt;"",IF(I13=TRUE,0,IF(U13=TRUE,0,L13-M13)),0),0)</f>
        <v/>
      </c>
      <c r="O13" s="143">
        <f>IF(N13&gt;0,IF(N13&lt;=180,N13,0),0)</f>
        <v/>
      </c>
      <c r="P13" s="141">
        <f>IF(AND(N13&lt;90,N13&gt;0),Q13,0)</f>
        <v/>
      </c>
      <c r="Q13" s="141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/>
      </c>
      <c r="R13" s="141">
        <f>IF(AND(H13=TRUE,I13=FALSE),Q13,0)</f>
        <v/>
      </c>
      <c r="S13" s="141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/>
      </c>
      <c r="T13" s="142">
        <f>IF(U13=TRUE,$J13,"")</f>
        <v/>
      </c>
      <c r="U13" s="140" t="b">
        <v>0</v>
      </c>
      <c r="V13" s="141">
        <f>IF(AND(H13=TRUE,OR(K13="",K13&gt;M13)),S13,0)</f>
        <v/>
      </c>
      <c r="W13" s="140" t="n">
        <v>0</v>
      </c>
      <c r="X13" s="140" t="b">
        <v>0</v>
      </c>
      <c r="Y13" s="143">
        <f>IF(H13=FALSE,VLOOKUP($C13,Sales!$C:$F,4,FALSE),1)</f>
        <v/>
      </c>
      <c r="Z13" s="140">
        <f>IF(Y13=0,"Release",IF(AND(L13&lt;J13,Y13=1,H13=FALSE,U13=FALSE,MONTH(L13)&amp;"/"&amp;YEAR(L13)&lt;&gt;MONTH(J13)&amp;"/"&amp;YEAR(J13)),"Release",""))</f>
        <v/>
      </c>
      <c r="AA13" s="144">
        <f>_xlfn.minifs($L:$L,$C:$C,$C13,$F:$F,"&lt;&gt;0")</f>
        <v/>
      </c>
      <c r="AB13" s="144">
        <f>C13&amp;"-"&amp;A13</f>
        <v/>
      </c>
      <c r="AC13" s="144">
        <f>L13</f>
        <v/>
      </c>
    </row>
    <row r="14">
      <c r="A14" s="140" t="inlineStr">
        <is>
          <t>ZDEB01</t>
        </is>
      </c>
      <c r="B14" s="140" t="n">
        <v>6</v>
      </c>
      <c r="C14" s="140" t="inlineStr">
        <is>
          <t>HFA105</t>
        </is>
      </c>
      <c r="D14" s="140" t="inlineStr">
        <is>
          <t>A</t>
        </is>
      </c>
      <c r="E14" s="140" t="inlineStr">
        <is>
          <t>De Beer William Henry</t>
        </is>
      </c>
      <c r="F14" s="141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</f>
        <v/>
      </c>
      <c r="G14" s="142" t="n">
        <v>44352</v>
      </c>
      <c r="H14" s="140">
        <f>VLOOKUP($C14,Sales!$C:$E,2,FALSE)</f>
        <v/>
      </c>
      <c r="I14" s="140">
        <f>VLOOKUP($C14,Sales!$C:$E,3,FALSE)</f>
        <v/>
      </c>
      <c r="J14" s="142">
        <f>SUMIFS(Sales!$H:$H,Sales!$C:$C,'Investor Exit List'!$C14)</f>
        <v/>
      </c>
      <c r="K14" s="142">
        <f>IF(I14=TRUE,J14,"")</f>
        <v/>
      </c>
      <c r="L14" s="142">
        <f>G14+730</f>
        <v/>
      </c>
      <c r="M14" s="142" t="n">
        <v>45443</v>
      </c>
      <c r="N14" s="143">
        <f>IFERROR(IF(G14&lt;&gt;"",IF(I14=TRUE,0,IF(U14=TRUE,0,L14-M14)),0),0)</f>
        <v/>
      </c>
      <c r="O14" s="143">
        <f>IF(N14&gt;0,IF(N14&lt;=180,N14,0),0)</f>
        <v/>
      </c>
      <c r="P14" s="141">
        <f>IF(AND(N14&lt;90,N14&gt;0),Q14,0)</f>
        <v/>
      </c>
      <c r="Q14" s="141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/>
      </c>
      <c r="R14" s="141">
        <f>IF(AND(H14=TRUE,I14=FALSE),Q14,0)</f>
        <v/>
      </c>
      <c r="S14" s="141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/>
      </c>
      <c r="T14" s="142">
        <f>IF(U14=TRUE,$J14,"")</f>
        <v/>
      </c>
      <c r="U14" s="140" t="b">
        <v>0</v>
      </c>
      <c r="V14" s="141">
        <f>IF(AND(H14=TRUE,OR(K14="",K14&gt;M14)),S14,0)</f>
        <v/>
      </c>
      <c r="W14" s="140" t="n">
        <v>0</v>
      </c>
      <c r="X14" s="140" t="b">
        <v>0</v>
      </c>
      <c r="Y14" s="143">
        <f>IF(H14=FALSE,VLOOKUP($C14,Sales!$C:$F,4,FALSE),1)</f>
        <v/>
      </c>
      <c r="Z14" s="140">
        <f>IF(Y14=0,"Release",IF(AND(L14&lt;J14,Y14=1,H14=FALSE,U14=FALSE,MONTH(L14)&amp;"/"&amp;YEAR(L14)&lt;&gt;MONTH(J14)&amp;"/"&amp;YEAR(J14)),"Release",""))</f>
        <v/>
      </c>
      <c r="AA14" s="144">
        <f>_xlfn.minifs($L:$L,$C:$C,$C14,$F:$F,"&lt;&gt;0")</f>
        <v/>
      </c>
      <c r="AB14" s="144">
        <f>C14&amp;"-"&amp;A14</f>
        <v/>
      </c>
      <c r="AC14" s="144">
        <f>L14</f>
        <v/>
      </c>
    </row>
    <row r="15">
      <c r="A15" s="140" t="inlineStr">
        <is>
          <t>ZLAB02</t>
        </is>
      </c>
      <c r="B15" s="140" t="n">
        <v>1</v>
      </c>
      <c r="C15" s="140" t="inlineStr">
        <is>
          <t>HFA105</t>
        </is>
      </c>
      <c r="D15" s="140" t="inlineStr">
        <is>
          <t>A</t>
        </is>
      </c>
      <c r="E15" s="140" t="inlineStr">
        <is>
          <t>Labuschagne Jandre</t>
        </is>
      </c>
      <c r="F15" s="141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</f>
        <v/>
      </c>
      <c r="G15" s="142" t="n">
        <v>44618</v>
      </c>
      <c r="H15" s="140">
        <f>VLOOKUP($C15,Sales!$C:$E,2,FALSE)</f>
        <v/>
      </c>
      <c r="I15" s="140">
        <f>VLOOKUP($C15,Sales!$C:$E,3,FALSE)</f>
        <v/>
      </c>
      <c r="J15" s="142">
        <f>SUMIFS(Sales!$H:$H,Sales!$C:$C,'Investor Exit List'!$C15)</f>
        <v/>
      </c>
      <c r="K15" s="142">
        <f>IF(I15=TRUE,J15,"")</f>
        <v/>
      </c>
      <c r="L15" s="142">
        <f>G15+730</f>
        <v/>
      </c>
      <c r="M15" s="142" t="n">
        <v>45443</v>
      </c>
      <c r="N15" s="143">
        <f>IFERROR(IF(G15&lt;&gt;"",IF(I15=TRUE,0,IF(U15=TRUE,0,L15-M15)),0),0)</f>
        <v/>
      </c>
      <c r="O15" s="143">
        <f>IF(N15&gt;0,IF(N15&lt;=180,N15,0),0)</f>
        <v/>
      </c>
      <c r="P15" s="141">
        <f>IF(AND(N15&lt;90,N15&gt;0),Q15,0)</f>
        <v/>
      </c>
      <c r="Q15" s="141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/>
      </c>
      <c r="R15" s="141">
        <f>IF(AND(H15=TRUE,I15=FALSE),Q15,0)</f>
        <v/>
      </c>
      <c r="S15" s="141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/>
      </c>
      <c r="T15" s="142">
        <f>IF(U15=TRUE,$J15,"")</f>
        <v/>
      </c>
      <c r="U15" s="140" t="b">
        <v>0</v>
      </c>
      <c r="V15" s="141">
        <f>IF(AND(H15=TRUE,OR(K15="",K15&gt;M15)),S15,0)</f>
        <v/>
      </c>
      <c r="W15" s="140" t="n">
        <v>0</v>
      </c>
      <c r="X15" s="140" t="b">
        <v>0</v>
      </c>
      <c r="Y15" s="143">
        <f>IF(H15=FALSE,VLOOKUP($C15,Sales!$C:$F,4,FALSE),1)</f>
        <v/>
      </c>
      <c r="Z15" s="140">
        <f>IF(Y15=0,"Release",IF(AND(L15&lt;J15,Y15=1,H15=FALSE,U15=FALSE,MONTH(L15)&amp;"/"&amp;YEAR(L15)&lt;&gt;MONTH(J15)&amp;"/"&amp;YEAR(J15)),"Release",""))</f>
        <v/>
      </c>
      <c r="AA15" s="144">
        <f>_xlfn.minifs($L:$L,$C:$C,$C15,$F:$F,"&lt;&gt;0")</f>
        <v/>
      </c>
      <c r="AB15" s="144">
        <f>C15&amp;"-"&amp;A15</f>
        <v/>
      </c>
      <c r="AC15" s="144">
        <f>L15</f>
        <v/>
      </c>
    </row>
    <row r="16">
      <c r="A16" s="140" t="inlineStr">
        <is>
          <t>ZLUN01</t>
        </is>
      </c>
      <c r="B16" s="140" t="n">
        <v>2</v>
      </c>
      <c r="C16" s="140" t="inlineStr">
        <is>
          <t>HFA105</t>
        </is>
      </c>
      <c r="D16" s="140" t="inlineStr">
        <is>
          <t>A</t>
        </is>
      </c>
      <c r="E16" s="140" t="inlineStr">
        <is>
          <t>Lunau Marc</t>
        </is>
      </c>
      <c r="F16" s="141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</f>
        <v/>
      </c>
      <c r="G16" s="142" t="n">
        <v>44352</v>
      </c>
      <c r="H16" s="140">
        <f>VLOOKUP($C16,Sales!$C:$E,2,FALSE)</f>
        <v/>
      </c>
      <c r="I16" s="140">
        <f>VLOOKUP($C16,Sales!$C:$E,3,FALSE)</f>
        <v/>
      </c>
      <c r="J16" s="142">
        <f>SUMIFS(Sales!$H:$H,Sales!$C:$C,'Investor Exit List'!$C16)</f>
        <v/>
      </c>
      <c r="K16" s="142">
        <f>IF(I16=TRUE,J16,"")</f>
        <v/>
      </c>
      <c r="L16" s="142">
        <f>G16+730</f>
        <v/>
      </c>
      <c r="M16" s="142" t="n">
        <v>45443</v>
      </c>
      <c r="N16" s="143">
        <f>IFERROR(IF(G16&lt;&gt;"",IF(I16=TRUE,0,IF(U16=TRUE,0,L16-M16)),0),0)</f>
        <v/>
      </c>
      <c r="O16" s="143">
        <f>IF(N16&gt;0,IF(N16&lt;=180,N16,0),0)</f>
        <v/>
      </c>
      <c r="P16" s="141">
        <f>IF(AND(N16&lt;90,N16&gt;0),Q16,0)</f>
        <v/>
      </c>
      <c r="Q16" s="141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/>
      </c>
      <c r="R16" s="141">
        <f>IF(AND(H16=TRUE,I16=FALSE),Q16,0)</f>
        <v/>
      </c>
      <c r="S16" s="141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/>
      </c>
      <c r="T16" s="142">
        <f>IF(U16=TRUE,$J16,"")</f>
        <v/>
      </c>
      <c r="U16" s="140" t="b">
        <v>0</v>
      </c>
      <c r="V16" s="141">
        <f>IF(AND(H16=TRUE,OR(K16="",K16&gt;M16)),S16,0)</f>
        <v/>
      </c>
      <c r="W16" s="140" t="n">
        <v>0</v>
      </c>
      <c r="X16" s="140" t="b">
        <v>0</v>
      </c>
      <c r="Y16" s="143">
        <f>IF(H16=FALSE,VLOOKUP($C16,Sales!$C:$F,4,FALSE),1)</f>
        <v/>
      </c>
      <c r="Z16" s="140">
        <f>IF(Y16=0,"Release",IF(AND(L16&lt;J16,Y16=1,H16=FALSE,U16=FALSE,MONTH(L16)&amp;"/"&amp;YEAR(L16)&lt;&gt;MONTH(J16)&amp;"/"&amp;YEAR(J16)),"Release",""))</f>
        <v/>
      </c>
      <c r="AA16" s="144">
        <f>_xlfn.minifs($L:$L,$C:$C,$C16,$F:$F,"&lt;&gt;0")</f>
        <v/>
      </c>
      <c r="AB16" s="144">
        <f>C16&amp;"-"&amp;A16</f>
        <v/>
      </c>
      <c r="AC16" s="144">
        <f>L16</f>
        <v/>
      </c>
    </row>
    <row r="17">
      <c r="A17" s="140" t="inlineStr">
        <is>
          <t>ZRAN01</t>
        </is>
      </c>
      <c r="B17" s="140" t="n">
        <v>19</v>
      </c>
      <c r="C17" s="140" t="inlineStr">
        <is>
          <t>HFA105</t>
        </is>
      </c>
      <c r="D17" s="140" t="inlineStr">
        <is>
          <t>A</t>
        </is>
      </c>
      <c r="E17" s="140" t="inlineStr">
        <is>
          <t>Rankin Ross Partick Gemill</t>
        </is>
      </c>
      <c r="F17" s="141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</f>
        <v/>
      </c>
      <c r="G17" s="142" t="n">
        <v>44378</v>
      </c>
      <c r="H17" s="140">
        <f>VLOOKUP($C17,Sales!$C:$E,2,FALSE)</f>
        <v/>
      </c>
      <c r="I17" s="140">
        <f>VLOOKUP($C17,Sales!$C:$E,3,FALSE)</f>
        <v/>
      </c>
      <c r="J17" s="142">
        <f>SUMIFS(Sales!$H:$H,Sales!$C:$C,'Investor Exit List'!$C17)</f>
        <v/>
      </c>
      <c r="K17" s="142">
        <f>IF(I17=TRUE,J17,"")</f>
        <v/>
      </c>
      <c r="L17" s="142">
        <f>G17+730</f>
        <v/>
      </c>
      <c r="M17" s="142" t="n">
        <v>45443</v>
      </c>
      <c r="N17" s="143">
        <f>IFERROR(IF(G17&lt;&gt;"",IF(I17=TRUE,0,IF(U17=TRUE,0,L17-M17)),0),0)</f>
        <v/>
      </c>
      <c r="O17" s="143">
        <f>IF(N17&gt;0,IF(N17&lt;=180,N17,0),0)</f>
        <v/>
      </c>
      <c r="P17" s="141">
        <f>IF(AND(N17&lt;90,N17&gt;0),Q17,0)</f>
        <v/>
      </c>
      <c r="Q17" s="141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/>
      </c>
      <c r="R17" s="141">
        <f>IF(AND(H17=TRUE,I17=FALSE),Q17,0)</f>
        <v/>
      </c>
      <c r="S17" s="141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/>
      </c>
      <c r="T17" s="142">
        <f>IF(U17=TRUE,$J17,"")</f>
        <v/>
      </c>
      <c r="U17" s="140" t="b">
        <v>0</v>
      </c>
      <c r="V17" s="141">
        <f>IF(AND(H17=TRUE,OR(K17="",K17&gt;M17)),S17,0)</f>
        <v/>
      </c>
      <c r="W17" s="140" t="n">
        <v>0</v>
      </c>
      <c r="X17" s="140" t="b">
        <v>0</v>
      </c>
      <c r="Y17" s="143">
        <f>IF(H17=FALSE,VLOOKUP($C17,Sales!$C:$F,4,FALSE),1)</f>
        <v/>
      </c>
      <c r="Z17" s="140">
        <f>IF(Y17=0,"Release",IF(AND(L17&lt;J17,Y17=1,H17=FALSE,U17=FALSE,MONTH(L17)&amp;"/"&amp;YEAR(L17)&lt;&gt;MONTH(J17)&amp;"/"&amp;YEAR(J17)),"Release",""))</f>
        <v/>
      </c>
      <c r="AA17" s="144">
        <f>_xlfn.minifs($L:$L,$C:$C,$C17,$F:$F,"&lt;&gt;0")</f>
        <v/>
      </c>
      <c r="AB17" s="144">
        <f>C17&amp;"-"&amp;A17</f>
        <v/>
      </c>
      <c r="AC17" s="144">
        <f>L17</f>
        <v/>
      </c>
    </row>
    <row r="18">
      <c r="A18" s="140" t="inlineStr">
        <is>
          <t>ZSPE01</t>
        </is>
      </c>
      <c r="B18" s="140" t="n">
        <v>3</v>
      </c>
      <c r="C18" s="140" t="inlineStr">
        <is>
          <t>HFA105</t>
        </is>
      </c>
      <c r="D18" s="140" t="inlineStr">
        <is>
          <t>A</t>
        </is>
      </c>
      <c r="E18" s="140" t="inlineStr">
        <is>
          <t>Speelman Mosiuoa Samuel</t>
        </is>
      </c>
      <c r="F18" s="141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</f>
        <v/>
      </c>
      <c r="G18" s="142" t="n">
        <v>44378</v>
      </c>
      <c r="H18" s="140">
        <f>VLOOKUP($C18,Sales!$C:$E,2,FALSE)</f>
        <v/>
      </c>
      <c r="I18" s="140">
        <f>VLOOKUP($C18,Sales!$C:$E,3,FALSE)</f>
        <v/>
      </c>
      <c r="J18" s="142">
        <f>SUMIFS(Sales!$H:$H,Sales!$C:$C,'Investor Exit List'!$C18)</f>
        <v/>
      </c>
      <c r="K18" s="142">
        <f>IF(I18=TRUE,J18,"")</f>
        <v/>
      </c>
      <c r="L18" s="142">
        <f>G18+730</f>
        <v/>
      </c>
      <c r="M18" s="142" t="n">
        <v>45443</v>
      </c>
      <c r="N18" s="143">
        <f>IFERROR(IF(G18&lt;&gt;"",IF(I18=TRUE,0,IF(U18=TRUE,0,L18-M18)),0),0)</f>
        <v/>
      </c>
      <c r="O18" s="143">
        <f>IF(N18&gt;0,IF(N18&lt;=180,N18,0),0)</f>
        <v/>
      </c>
      <c r="P18" s="141">
        <f>IF(AND(N18&lt;90,N18&gt;0),Q18,0)</f>
        <v/>
      </c>
      <c r="Q18" s="141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/>
      </c>
      <c r="R18" s="141">
        <f>IF(AND(H18=TRUE,I18=FALSE),Q18,0)</f>
        <v/>
      </c>
      <c r="S18" s="141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/>
      </c>
      <c r="T18" s="142">
        <f>IF(U18=TRUE,$J18,"")</f>
        <v/>
      </c>
      <c r="U18" s="140" t="b">
        <v>0</v>
      </c>
      <c r="V18" s="141">
        <f>IF(AND(H18=TRUE,OR(K18="",K18&gt;M18)),S18,0)</f>
        <v/>
      </c>
      <c r="W18" s="140" t="n">
        <v>0</v>
      </c>
      <c r="X18" s="140" t="b">
        <v>0</v>
      </c>
      <c r="Y18" s="143">
        <f>IF(H18=FALSE,VLOOKUP($C18,Sales!$C:$F,4,FALSE),1)</f>
        <v/>
      </c>
      <c r="Z18" s="140">
        <f>IF(Y18=0,"Release",IF(AND(L18&lt;J18,Y18=1,H18=FALSE,U18=FALSE,MONTH(L18)&amp;"/"&amp;YEAR(L18)&lt;&gt;MONTH(J18)&amp;"/"&amp;YEAR(J18)),"Release",""))</f>
        <v/>
      </c>
      <c r="AA18" s="144">
        <f>_xlfn.minifs($L:$L,$C:$C,$C18,$F:$F,"&lt;&gt;0")</f>
        <v/>
      </c>
      <c r="AB18" s="144">
        <f>C18&amp;"-"&amp;A18</f>
        <v/>
      </c>
      <c r="AC18" s="144">
        <f>L18</f>
        <v/>
      </c>
    </row>
    <row r="19">
      <c r="A19" s="140" t="inlineStr">
        <is>
          <t>ZCOL01</t>
        </is>
      </c>
      <c r="B19" s="140" t="n">
        <v>2</v>
      </c>
      <c r="C19" s="140" t="inlineStr">
        <is>
          <t>HFA106</t>
        </is>
      </c>
      <c r="D19" s="140" t="inlineStr">
        <is>
          <t>A</t>
        </is>
      </c>
      <c r="E19" s="140" t="inlineStr">
        <is>
          <t>Collins Christine</t>
        </is>
      </c>
      <c r="F19" s="141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</f>
        <v/>
      </c>
      <c r="G19" s="142" t="n">
        <v>44352</v>
      </c>
      <c r="H19" s="140">
        <f>VLOOKUP($C19,Sales!$C:$E,2,FALSE)</f>
        <v/>
      </c>
      <c r="I19" s="140">
        <f>VLOOKUP($C19,Sales!$C:$E,3,FALSE)</f>
        <v/>
      </c>
      <c r="J19" s="142">
        <f>SUMIFS(Sales!$H:$H,Sales!$C:$C,'Investor Exit List'!$C19)</f>
        <v/>
      </c>
      <c r="K19" s="142">
        <f>IF(I19=TRUE,J19,"")</f>
        <v/>
      </c>
      <c r="L19" s="142">
        <f>G19+730</f>
        <v/>
      </c>
      <c r="M19" s="142" t="n">
        <v>45443</v>
      </c>
      <c r="N19" s="143">
        <f>IFERROR(IF(G19&lt;&gt;"",IF(I19=TRUE,0,IF(U19=TRUE,0,L19-M19)),0),0)</f>
        <v/>
      </c>
      <c r="O19" s="143">
        <f>IF(N19&gt;0,IF(N19&lt;=180,N19,0),0)</f>
        <v/>
      </c>
      <c r="P19" s="141">
        <f>IF(AND(N19&lt;90,N19&gt;0),Q19,0)</f>
        <v/>
      </c>
      <c r="Q19" s="141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/>
      </c>
      <c r="R19" s="141">
        <f>IF(AND(H19=TRUE,I19=FALSE),Q19,0)</f>
        <v/>
      </c>
      <c r="S19" s="141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/>
      </c>
      <c r="T19" s="142">
        <f>IF(U19=TRUE,$J19,"")</f>
        <v/>
      </c>
      <c r="U19" s="140" t="b">
        <v>0</v>
      </c>
      <c r="V19" s="141">
        <f>IF(AND(H19=TRUE,OR(K19="",K19&gt;M19)),S19,0)</f>
        <v/>
      </c>
      <c r="W19" s="140" t="n">
        <v>0</v>
      </c>
      <c r="X19" s="140" t="b">
        <v>0</v>
      </c>
      <c r="Y19" s="143">
        <f>IF(H19=FALSE,VLOOKUP($C19,Sales!$C:$F,4,FALSE),1)</f>
        <v/>
      </c>
      <c r="Z19" s="140">
        <f>IF(Y19=0,"Release",IF(AND(L19&lt;J19,Y19=1,H19=FALSE,U19=FALSE,MONTH(L19)&amp;"/"&amp;YEAR(L19)&lt;&gt;MONTH(J19)&amp;"/"&amp;YEAR(J19)),"Release",""))</f>
        <v/>
      </c>
      <c r="AA19" s="144">
        <f>_xlfn.minifs($L:$L,$C:$C,$C19,$F:$F,"&lt;&gt;0")</f>
        <v/>
      </c>
      <c r="AB19" s="144">
        <f>C19&amp;"-"&amp;A19</f>
        <v/>
      </c>
      <c r="AC19" s="144">
        <f>L19</f>
        <v/>
      </c>
    </row>
    <row r="20">
      <c r="A20" s="140" t="inlineStr">
        <is>
          <t>ZCOL01</t>
        </is>
      </c>
      <c r="B20" s="140" t="n">
        <v>3</v>
      </c>
      <c r="C20" s="140" t="inlineStr">
        <is>
          <t>HFA106</t>
        </is>
      </c>
      <c r="D20" s="140" t="inlineStr">
        <is>
          <t>A</t>
        </is>
      </c>
      <c r="E20" s="140" t="inlineStr">
        <is>
          <t>Collins Christine</t>
        </is>
      </c>
      <c r="F20" s="141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</f>
        <v/>
      </c>
      <c r="G20" s="142" t="n">
        <v>44352</v>
      </c>
      <c r="H20" s="140">
        <f>VLOOKUP($C20,Sales!$C:$E,2,FALSE)</f>
        <v/>
      </c>
      <c r="I20" s="140">
        <f>VLOOKUP($C20,Sales!$C:$E,3,FALSE)</f>
        <v/>
      </c>
      <c r="J20" s="142">
        <f>SUMIFS(Sales!$H:$H,Sales!$C:$C,'Investor Exit List'!$C20)</f>
        <v/>
      </c>
      <c r="K20" s="142">
        <f>IF(I20=TRUE,J20,"")</f>
        <v/>
      </c>
      <c r="L20" s="142">
        <f>G20+730</f>
        <v/>
      </c>
      <c r="M20" s="142" t="n">
        <v>45443</v>
      </c>
      <c r="N20" s="143">
        <f>IFERROR(IF(G20&lt;&gt;"",IF(I20=TRUE,0,IF(U20=TRUE,0,L20-M20)),0),0)</f>
        <v/>
      </c>
      <c r="O20" s="143">
        <f>IF(N20&gt;0,IF(N20&lt;=180,N20,0),0)</f>
        <v/>
      </c>
      <c r="P20" s="141">
        <f>IF(AND(N20&lt;90,N20&gt;0),Q20,0)</f>
        <v/>
      </c>
      <c r="Q20" s="141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/>
      </c>
      <c r="R20" s="141">
        <f>IF(AND(H20=TRUE,I20=FALSE),Q20,0)</f>
        <v/>
      </c>
      <c r="S20" s="141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/>
      </c>
      <c r="T20" s="142">
        <f>IF(U20=TRUE,$J20,"")</f>
        <v/>
      </c>
      <c r="U20" s="140" t="b">
        <v>0</v>
      </c>
      <c r="V20" s="141">
        <f>IF(AND(H20=TRUE,OR(K20="",K20&gt;M20)),S20,0)</f>
        <v/>
      </c>
      <c r="W20" s="140" t="n">
        <v>0</v>
      </c>
      <c r="X20" s="140" t="b">
        <v>0</v>
      </c>
      <c r="Y20" s="143">
        <f>IF(H20=FALSE,VLOOKUP($C20,Sales!$C:$F,4,FALSE),1)</f>
        <v/>
      </c>
      <c r="Z20" s="140">
        <f>IF(Y20=0,"Release",IF(AND(L20&lt;J20,Y20=1,H20=FALSE,U20=FALSE,MONTH(L20)&amp;"/"&amp;YEAR(L20)&lt;&gt;MONTH(J20)&amp;"/"&amp;YEAR(J20)),"Release",""))</f>
        <v/>
      </c>
      <c r="AA20" s="144">
        <f>_xlfn.minifs($L:$L,$C:$C,$C20,$F:$F,"&lt;&gt;0")</f>
        <v/>
      </c>
      <c r="AB20" s="144">
        <f>C20&amp;"-"&amp;A20</f>
        <v/>
      </c>
      <c r="AC20" s="144">
        <f>L20</f>
        <v/>
      </c>
    </row>
    <row r="21">
      <c r="A21" s="140" t="inlineStr">
        <is>
          <t>ZJOH01</t>
        </is>
      </c>
      <c r="B21" s="140" t="n">
        <v>1</v>
      </c>
      <c r="C21" s="140" t="inlineStr">
        <is>
          <t>HFA106</t>
        </is>
      </c>
      <c r="D21" s="140" t="inlineStr">
        <is>
          <t>A</t>
        </is>
      </c>
      <c r="E21" s="140" t="inlineStr">
        <is>
          <t>Johns Lisa-Marie Natalie</t>
        </is>
      </c>
      <c r="F21" s="141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</f>
        <v/>
      </c>
      <c r="G21" s="142" t="n">
        <v>44316</v>
      </c>
      <c r="H21" s="140">
        <f>VLOOKUP($C21,Sales!$C:$E,2,FALSE)</f>
        <v/>
      </c>
      <c r="I21" s="140">
        <f>VLOOKUP($C21,Sales!$C:$E,3,FALSE)</f>
        <v/>
      </c>
      <c r="J21" s="142">
        <f>SUMIFS(Sales!$H:$H,Sales!$C:$C,'Investor Exit List'!$C21)</f>
        <v/>
      </c>
      <c r="K21" s="142">
        <f>IF(I21=TRUE,J21,"")</f>
        <v/>
      </c>
      <c r="L21" s="142">
        <f>G21+730</f>
        <v/>
      </c>
      <c r="M21" s="142" t="n">
        <v>45443</v>
      </c>
      <c r="N21" s="143">
        <f>IFERROR(IF(G21&lt;&gt;"",IF(I21=TRUE,0,IF(U21=TRUE,0,L21-M21)),0),0)</f>
        <v/>
      </c>
      <c r="O21" s="143">
        <f>IF(N21&gt;0,IF(N21&lt;=180,N21,0),0)</f>
        <v/>
      </c>
      <c r="P21" s="141">
        <f>IF(AND(N21&lt;90,N21&gt;0),Q21,0)</f>
        <v/>
      </c>
      <c r="Q21" s="141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/>
      </c>
      <c r="R21" s="141">
        <f>IF(AND(H21=TRUE,I21=FALSE),Q21,0)</f>
        <v/>
      </c>
      <c r="S21" s="141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/>
      </c>
      <c r="T21" s="142">
        <f>IF(U21=TRUE,$J21,"")</f>
        <v/>
      </c>
      <c r="U21" s="140" t="b">
        <v>0</v>
      </c>
      <c r="V21" s="141">
        <f>IF(AND(H21=TRUE,OR(K21="",K21&gt;M21)),S21,0)</f>
        <v/>
      </c>
      <c r="W21" s="140" t="n">
        <v>0</v>
      </c>
      <c r="X21" s="140" t="b">
        <v>0</v>
      </c>
      <c r="Y21" s="143">
        <f>IF(H21=FALSE,VLOOKUP($C21,Sales!$C:$F,4,FALSE),1)</f>
        <v/>
      </c>
      <c r="Z21" s="140">
        <f>IF(Y21=0,"Release",IF(AND(L21&lt;J21,Y21=1,H21=FALSE,U21=FALSE,MONTH(L21)&amp;"/"&amp;YEAR(L21)&lt;&gt;MONTH(J21)&amp;"/"&amp;YEAR(J21)),"Release",""))</f>
        <v/>
      </c>
      <c r="AA21" s="144">
        <f>_xlfn.minifs($L:$L,$C:$C,$C21,$F:$F,"&lt;&gt;0")</f>
        <v/>
      </c>
      <c r="AB21" s="144">
        <f>C21&amp;"-"&amp;A21</f>
        <v/>
      </c>
      <c r="AC21" s="144">
        <f>L21</f>
        <v/>
      </c>
    </row>
    <row r="22">
      <c r="A22" s="140" t="inlineStr">
        <is>
          <t>ZLOU01</t>
        </is>
      </c>
      <c r="B22" s="140" t="n">
        <v>1</v>
      </c>
      <c r="C22" s="140" t="inlineStr">
        <is>
          <t>HFA106</t>
        </is>
      </c>
      <c r="D22" s="140" t="inlineStr">
        <is>
          <t>A</t>
        </is>
      </c>
      <c r="E22" s="140" t="inlineStr">
        <is>
          <t>Louw Ricardo Brandon</t>
        </is>
      </c>
      <c r="F22" s="141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</f>
        <v/>
      </c>
      <c r="G22" s="142" t="n">
        <v>44352</v>
      </c>
      <c r="H22" s="140">
        <f>VLOOKUP($C22,Sales!$C:$E,2,FALSE)</f>
        <v/>
      </c>
      <c r="I22" s="140">
        <f>VLOOKUP($C22,Sales!$C:$E,3,FALSE)</f>
        <v/>
      </c>
      <c r="J22" s="142">
        <f>SUMIFS(Sales!$H:$H,Sales!$C:$C,'Investor Exit List'!$C22)</f>
        <v/>
      </c>
      <c r="K22" s="142">
        <f>IF(I22=TRUE,J22,"")</f>
        <v/>
      </c>
      <c r="L22" s="142">
        <f>G22+730</f>
        <v/>
      </c>
      <c r="M22" s="142" t="n">
        <v>45443</v>
      </c>
      <c r="N22" s="143">
        <f>IFERROR(IF(G22&lt;&gt;"",IF(I22=TRUE,0,IF(U22=TRUE,0,L22-M22)),0),0)</f>
        <v/>
      </c>
      <c r="O22" s="143">
        <f>IF(N22&gt;0,IF(N22&lt;=180,N22,0),0)</f>
        <v/>
      </c>
      <c r="P22" s="141">
        <f>IF(AND(N22&lt;90,N22&gt;0),Q22,0)</f>
        <v/>
      </c>
      <c r="Q22" s="141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/>
      </c>
      <c r="R22" s="141">
        <f>IF(AND(H22=TRUE,I22=FALSE),Q22,0)</f>
        <v/>
      </c>
      <c r="S22" s="141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/>
      </c>
      <c r="T22" s="142">
        <f>IF(U22=TRUE,$J22,"")</f>
        <v/>
      </c>
      <c r="U22" s="140" t="b">
        <v>0</v>
      </c>
      <c r="V22" s="141">
        <f>IF(AND(H22=TRUE,OR(K22="",K22&gt;M22)),S22,0)</f>
        <v/>
      </c>
      <c r="W22" s="140" t="n">
        <v>0</v>
      </c>
      <c r="X22" s="140" t="b">
        <v>0</v>
      </c>
      <c r="Y22" s="143">
        <f>IF(H22=FALSE,VLOOKUP($C22,Sales!$C:$F,4,FALSE),1)</f>
        <v/>
      </c>
      <c r="Z22" s="140">
        <f>IF(Y22=0,"Release",IF(AND(L22&lt;J22,Y22=1,H22=FALSE,U22=FALSE,MONTH(L22)&amp;"/"&amp;YEAR(L22)&lt;&gt;MONTH(J22)&amp;"/"&amp;YEAR(J22)),"Release",""))</f>
        <v/>
      </c>
      <c r="AA22" s="144">
        <f>_xlfn.minifs($L:$L,$C:$C,$C22,$F:$F,"&lt;&gt;0")</f>
        <v/>
      </c>
      <c r="AB22" s="144">
        <f>C22&amp;"-"&amp;A22</f>
        <v/>
      </c>
      <c r="AC22" s="144">
        <f>L22</f>
        <v/>
      </c>
    </row>
    <row r="23">
      <c r="A23" s="140" t="inlineStr">
        <is>
          <t>ZVZY01</t>
        </is>
      </c>
      <c r="B23" s="140" t="n">
        <v>1</v>
      </c>
      <c r="C23" s="140" t="inlineStr">
        <is>
          <t>HFA106</t>
        </is>
      </c>
      <c r="D23" s="140" t="inlineStr">
        <is>
          <t>A</t>
        </is>
      </c>
      <c r="E23" s="140" t="inlineStr">
        <is>
          <t>van Zyl Jacques Petrus</t>
        </is>
      </c>
      <c r="F23" s="141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</f>
        <v/>
      </c>
      <c r="G23" s="142" t="n">
        <v>44352</v>
      </c>
      <c r="H23" s="140">
        <f>VLOOKUP($C23,Sales!$C:$E,2,FALSE)</f>
        <v/>
      </c>
      <c r="I23" s="140">
        <f>VLOOKUP($C23,Sales!$C:$E,3,FALSE)</f>
        <v/>
      </c>
      <c r="J23" s="142">
        <f>SUMIFS(Sales!$H:$H,Sales!$C:$C,'Investor Exit List'!$C23)</f>
        <v/>
      </c>
      <c r="K23" s="142">
        <f>IF(I23=TRUE,J23,"")</f>
        <v/>
      </c>
      <c r="L23" s="142">
        <f>G23+730</f>
        <v/>
      </c>
      <c r="M23" s="142" t="n">
        <v>45443</v>
      </c>
      <c r="N23" s="143">
        <f>IFERROR(IF(G23&lt;&gt;"",IF(I23=TRUE,0,IF(U23=TRUE,0,L23-M23)),0),0)</f>
        <v/>
      </c>
      <c r="O23" s="143">
        <f>IF(N23&gt;0,IF(N23&lt;=180,N23,0),0)</f>
        <v/>
      </c>
      <c r="P23" s="141">
        <f>IF(AND(N23&lt;90,N23&gt;0),Q23,0)</f>
        <v/>
      </c>
      <c r="Q23" s="141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/>
      </c>
      <c r="R23" s="141">
        <f>IF(AND(H23=TRUE,I23=FALSE),Q23,0)</f>
        <v/>
      </c>
      <c r="S23" s="141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/>
      </c>
      <c r="T23" s="142">
        <f>IF(U23=TRUE,$J23,"")</f>
        <v/>
      </c>
      <c r="U23" s="140" t="b">
        <v>0</v>
      </c>
      <c r="V23" s="141">
        <f>IF(AND(H23=TRUE,OR(K23="",K23&gt;M23)),S23,0)</f>
        <v/>
      </c>
      <c r="W23" s="140" t="n">
        <v>0</v>
      </c>
      <c r="X23" s="140" t="b">
        <v>0</v>
      </c>
      <c r="Y23" s="143">
        <f>IF(H23=FALSE,VLOOKUP($C23,Sales!$C:$F,4,FALSE),1)</f>
        <v/>
      </c>
      <c r="Z23" s="140">
        <f>IF(Y23=0,"Release",IF(AND(L23&lt;J23,Y23=1,H23=FALSE,U23=FALSE,MONTH(L23)&amp;"/"&amp;YEAR(L23)&lt;&gt;MONTH(J23)&amp;"/"&amp;YEAR(J23)),"Release",""))</f>
        <v/>
      </c>
      <c r="AA23" s="144">
        <f>_xlfn.minifs($L:$L,$C:$C,$C23,$F:$F,"&lt;&gt;0")</f>
        <v/>
      </c>
      <c r="AB23" s="144">
        <f>C23&amp;"-"&amp;A23</f>
        <v/>
      </c>
      <c r="AC23" s="144">
        <f>L23</f>
        <v/>
      </c>
    </row>
    <row r="24">
      <c r="A24" s="140" t="inlineStr">
        <is>
          <t>ZDAD01</t>
        </is>
      </c>
      <c r="B24" s="140" t="n">
        <v>1</v>
      </c>
      <c r="C24" s="140" t="inlineStr">
        <is>
          <t>HFA201</t>
        </is>
      </c>
      <c r="D24" s="140" t="inlineStr">
        <is>
          <t>A</t>
        </is>
      </c>
      <c r="E24" s="140" t="inlineStr">
        <is>
          <t>Dadoo Feroz</t>
        </is>
      </c>
      <c r="F24" s="141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</f>
        <v/>
      </c>
      <c r="G24" s="142" t="n">
        <v>44352</v>
      </c>
      <c r="H24" s="140">
        <f>VLOOKUP($C24,Sales!$C:$E,2,FALSE)</f>
        <v/>
      </c>
      <c r="I24" s="140">
        <f>VLOOKUP($C24,Sales!$C:$E,3,FALSE)</f>
        <v/>
      </c>
      <c r="J24" s="142">
        <f>SUMIFS(Sales!$H:$H,Sales!$C:$C,'Investor Exit List'!$C24)</f>
        <v/>
      </c>
      <c r="K24" s="142">
        <f>IF(I24=TRUE,J24,"")</f>
        <v/>
      </c>
      <c r="L24" s="142">
        <f>G24+730</f>
        <v/>
      </c>
      <c r="M24" s="142" t="n">
        <v>45443</v>
      </c>
      <c r="N24" s="143">
        <f>IFERROR(IF(G24&lt;&gt;"",IF(I24=TRUE,0,IF(U24=TRUE,0,L24-M24)),0),0)</f>
        <v/>
      </c>
      <c r="O24" s="143">
        <f>IF(N24&gt;0,IF(N24&lt;=180,N24,0),0)</f>
        <v/>
      </c>
      <c r="P24" s="141">
        <f>IF(AND(N24&lt;90,N24&gt;0),Q24,0)</f>
        <v/>
      </c>
      <c r="Q24" s="141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/>
      </c>
      <c r="R24" s="141">
        <f>IF(AND(H24=TRUE,I24=FALSE),Q24,0)</f>
        <v/>
      </c>
      <c r="S24" s="141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/>
      </c>
      <c r="T24" s="142">
        <f>IF(U24=TRUE,$J24,"")</f>
        <v/>
      </c>
      <c r="U24" s="140" t="b">
        <v>0</v>
      </c>
      <c r="V24" s="141">
        <f>IF(AND(H24=TRUE,OR(K24="",K24&gt;M24)),S24,0)</f>
        <v/>
      </c>
      <c r="W24" s="140" t="n">
        <v>0</v>
      </c>
      <c r="X24" s="140" t="b">
        <v>0</v>
      </c>
      <c r="Y24" s="143">
        <f>IF(H24=FALSE,VLOOKUP($C24,Sales!$C:$F,4,FALSE),1)</f>
        <v/>
      </c>
      <c r="Z24" s="140">
        <f>IF(Y24=0,"Release",IF(AND(L24&lt;J24,Y24=1,H24=FALSE,U24=FALSE,MONTH(L24)&amp;"/"&amp;YEAR(L24)&lt;&gt;MONTH(J24)&amp;"/"&amp;YEAR(J24)),"Release",""))</f>
        <v/>
      </c>
      <c r="AA24" s="144">
        <f>_xlfn.minifs($L:$L,$C:$C,$C24,$F:$F,"&lt;&gt;0")</f>
        <v/>
      </c>
      <c r="AB24" s="144">
        <f>C24&amp;"-"&amp;A24</f>
        <v/>
      </c>
      <c r="AC24" s="144">
        <f>L24</f>
        <v/>
      </c>
    </row>
    <row r="25">
      <c r="A25" s="140" t="inlineStr">
        <is>
          <t>ZDAM01</t>
        </is>
      </c>
      <c r="B25" s="140" t="n">
        <v>2</v>
      </c>
      <c r="C25" s="140" t="inlineStr">
        <is>
          <t>HFA201</t>
        </is>
      </c>
      <c r="D25" s="140" t="inlineStr">
        <is>
          <t>A</t>
        </is>
      </c>
      <c r="E25" s="140" t="inlineStr">
        <is>
          <t>Damane Lisbeth</t>
        </is>
      </c>
      <c r="F25" s="141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</f>
        <v/>
      </c>
      <c r="G25" s="142" t="n">
        <v>44316</v>
      </c>
      <c r="H25" s="140">
        <f>VLOOKUP($C25,Sales!$C:$E,2,FALSE)</f>
        <v/>
      </c>
      <c r="I25" s="140">
        <f>VLOOKUP($C25,Sales!$C:$E,3,FALSE)</f>
        <v/>
      </c>
      <c r="J25" s="142">
        <f>SUMIFS(Sales!$H:$H,Sales!$C:$C,'Investor Exit List'!$C25)</f>
        <v/>
      </c>
      <c r="K25" s="142">
        <f>IF(I25=TRUE,J25,"")</f>
        <v/>
      </c>
      <c r="L25" s="142">
        <f>G25+730</f>
        <v/>
      </c>
      <c r="M25" s="142" t="n">
        <v>45443</v>
      </c>
      <c r="N25" s="143">
        <f>IFERROR(IF(G25&lt;&gt;"",IF(I25=TRUE,0,IF(U25=TRUE,0,L25-M25)),0),0)</f>
        <v/>
      </c>
      <c r="O25" s="143">
        <f>IF(N25&gt;0,IF(N25&lt;=180,N25,0),0)</f>
        <v/>
      </c>
      <c r="P25" s="141">
        <f>IF(AND(N25&lt;90,N25&gt;0),Q25,0)</f>
        <v/>
      </c>
      <c r="Q25" s="141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/>
      </c>
      <c r="R25" s="141">
        <f>IF(AND(H25=TRUE,I25=FALSE),Q25,0)</f>
        <v/>
      </c>
      <c r="S25" s="141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/>
      </c>
      <c r="T25" s="142">
        <f>IF(U25=TRUE,$J25,"")</f>
        <v/>
      </c>
      <c r="U25" s="140" t="b">
        <v>0</v>
      </c>
      <c r="V25" s="141">
        <f>IF(AND(H25=TRUE,OR(K25="",K25&gt;M25)),S25,0)</f>
        <v/>
      </c>
      <c r="W25" s="140" t="n">
        <v>0</v>
      </c>
      <c r="X25" s="140" t="b">
        <v>0</v>
      </c>
      <c r="Y25" s="143">
        <f>IF(H25=FALSE,VLOOKUP($C25,Sales!$C:$F,4,FALSE),1)</f>
        <v/>
      </c>
      <c r="Z25" s="140">
        <f>IF(Y25=0,"Release",IF(AND(L25&lt;J25,Y25=1,H25=FALSE,U25=FALSE,MONTH(L25)&amp;"/"&amp;YEAR(L25)&lt;&gt;MONTH(J25)&amp;"/"&amp;YEAR(J25)),"Release",""))</f>
        <v/>
      </c>
      <c r="AA25" s="144">
        <f>_xlfn.minifs($L:$L,$C:$C,$C25,$F:$F,"&lt;&gt;0")</f>
        <v/>
      </c>
      <c r="AB25" s="144">
        <f>C25&amp;"-"&amp;A25</f>
        <v/>
      </c>
      <c r="AC25" s="144">
        <f>L25</f>
        <v/>
      </c>
    </row>
    <row r="26">
      <c r="A26" s="140" t="inlineStr">
        <is>
          <t>ZBEL01</t>
        </is>
      </c>
      <c r="B26" s="140" t="n">
        <v>2</v>
      </c>
      <c r="C26" s="140" t="inlineStr">
        <is>
          <t>HFA202</t>
        </is>
      </c>
      <c r="D26" s="140" t="inlineStr">
        <is>
          <t>A</t>
        </is>
      </c>
      <c r="E26" s="140" t="inlineStr">
        <is>
          <t>Belford Helen Constance</t>
        </is>
      </c>
      <c r="F26" s="141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</f>
        <v/>
      </c>
      <c r="G26" s="142" t="n">
        <v>44316</v>
      </c>
      <c r="H26" s="140">
        <f>VLOOKUP($C26,Sales!$C:$E,2,FALSE)</f>
        <v/>
      </c>
      <c r="I26" s="140">
        <f>VLOOKUP($C26,Sales!$C:$E,3,FALSE)</f>
        <v/>
      </c>
      <c r="J26" s="142">
        <f>SUMIFS(Sales!$H:$H,Sales!$C:$C,'Investor Exit List'!$C26)</f>
        <v/>
      </c>
      <c r="K26" s="142">
        <f>IF(I26=TRUE,J26,"")</f>
        <v/>
      </c>
      <c r="L26" s="142">
        <f>G26+730</f>
        <v/>
      </c>
      <c r="M26" s="142" t="n">
        <v>45443</v>
      </c>
      <c r="N26" s="143">
        <f>IFERROR(IF(G26&lt;&gt;"",IF(I26=TRUE,0,IF(U26=TRUE,0,L26-M26)),0),0)</f>
        <v/>
      </c>
      <c r="O26" s="143">
        <f>IF(N26&gt;0,IF(N26&lt;=180,N26,0),0)</f>
        <v/>
      </c>
      <c r="P26" s="141">
        <f>IF(AND(N26&lt;90,N26&gt;0),Q26,0)</f>
        <v/>
      </c>
      <c r="Q26" s="141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/>
      </c>
      <c r="R26" s="141">
        <f>IF(AND(H26=TRUE,I26=FALSE),Q26,0)</f>
        <v/>
      </c>
      <c r="S26" s="141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/>
      </c>
      <c r="T26" s="142">
        <f>IF(U26=TRUE,$J26,"")</f>
        <v/>
      </c>
      <c r="U26" s="140" t="b">
        <v>1</v>
      </c>
      <c r="V26" s="141">
        <f>IF(AND(H26=TRUE,OR(K26="",K26&gt;M26)),S26,0)</f>
        <v/>
      </c>
      <c r="W26" s="140" t="n">
        <v>0</v>
      </c>
      <c r="X26" s="140" t="b">
        <v>0</v>
      </c>
      <c r="Y26" s="143">
        <f>IF(H26=FALSE,VLOOKUP($C26,Sales!$C:$F,4,FALSE),1)</f>
        <v/>
      </c>
      <c r="Z26" s="140">
        <f>IF(Y26=0,"Release",IF(AND(L26&lt;J26,Y26=1,H26=FALSE,U26=FALSE,MONTH(L26)&amp;"/"&amp;YEAR(L26)&lt;&gt;MONTH(J26)&amp;"/"&amp;YEAR(J26)),"Release",""))</f>
        <v/>
      </c>
      <c r="AA26" s="144">
        <f>_xlfn.minifs($L:$L,$C:$C,$C26,$F:$F,"&lt;&gt;0")</f>
        <v/>
      </c>
      <c r="AB26" s="144">
        <f>C26&amp;"-"&amp;A26</f>
        <v/>
      </c>
      <c r="AC26" s="144">
        <f>L26</f>
        <v/>
      </c>
    </row>
    <row r="27">
      <c r="A27" s="140" t="inlineStr">
        <is>
          <t>ZHUN01</t>
        </is>
      </c>
      <c r="B27" s="140" t="n">
        <v>2</v>
      </c>
      <c r="C27" s="140" t="inlineStr">
        <is>
          <t>HFA202</t>
        </is>
      </c>
      <c r="D27" s="140" t="inlineStr">
        <is>
          <t>A</t>
        </is>
      </c>
      <c r="E27" s="140" t="inlineStr">
        <is>
          <t>Hunter Lance</t>
        </is>
      </c>
      <c r="F27" s="141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</f>
        <v/>
      </c>
      <c r="G27" s="142" t="n">
        <v>44316</v>
      </c>
      <c r="H27" s="140">
        <f>VLOOKUP($C27,Sales!$C:$E,2,FALSE)</f>
        <v/>
      </c>
      <c r="I27" s="140">
        <f>VLOOKUP($C27,Sales!$C:$E,3,FALSE)</f>
        <v/>
      </c>
      <c r="J27" s="142">
        <f>SUMIFS(Sales!$H:$H,Sales!$C:$C,'Investor Exit List'!$C27)</f>
        <v/>
      </c>
      <c r="K27" s="142">
        <f>IF(I27=TRUE,J27,"")</f>
        <v/>
      </c>
      <c r="L27" s="142">
        <f>G27+730</f>
        <v/>
      </c>
      <c r="M27" s="142" t="n">
        <v>45443</v>
      </c>
      <c r="N27" s="143">
        <f>IFERROR(IF(G27&lt;&gt;"",IF(I27=TRUE,0,IF(U27=TRUE,0,L27-M27)),0),0)</f>
        <v/>
      </c>
      <c r="O27" s="143">
        <f>IF(N27&gt;0,IF(N27&lt;=180,N27,0),0)</f>
        <v/>
      </c>
      <c r="P27" s="141">
        <f>IF(AND(N27&lt;90,N27&gt;0),Q27,0)</f>
        <v/>
      </c>
      <c r="Q27" s="141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/>
      </c>
      <c r="R27" s="141">
        <f>IF(AND(H27=TRUE,I27=FALSE),Q27,0)</f>
        <v/>
      </c>
      <c r="S27" s="141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/>
      </c>
      <c r="T27" s="142">
        <f>IF(U27=TRUE,$J27,"")</f>
        <v/>
      </c>
      <c r="U27" s="140" t="b">
        <v>1</v>
      </c>
      <c r="V27" s="141">
        <f>IF(AND(H27=TRUE,OR(K27="",K27&gt;M27)),S27,0)</f>
        <v/>
      </c>
      <c r="W27" s="140" t="n">
        <v>0</v>
      </c>
      <c r="X27" s="140" t="b">
        <v>0</v>
      </c>
      <c r="Y27" s="143">
        <f>IF(H27=FALSE,VLOOKUP($C27,Sales!$C:$F,4,FALSE),1)</f>
        <v/>
      </c>
      <c r="Z27" s="140">
        <f>IF(Y27=0,"Release",IF(AND(L27&lt;J27,Y27=1,H27=FALSE,U27=FALSE,MONTH(L27)&amp;"/"&amp;YEAR(L27)&lt;&gt;MONTH(J27)&amp;"/"&amp;YEAR(J27)),"Release",""))</f>
        <v/>
      </c>
      <c r="AA27" s="144">
        <f>_xlfn.minifs($L:$L,$C:$C,$C27,$F:$F,"&lt;&gt;0")</f>
        <v/>
      </c>
      <c r="AB27" s="144">
        <f>C27&amp;"-"&amp;A27</f>
        <v/>
      </c>
      <c r="AC27" s="144">
        <f>L27</f>
        <v/>
      </c>
    </row>
    <row r="28">
      <c r="A28" s="140" t="inlineStr">
        <is>
          <t>ZHUN01</t>
        </is>
      </c>
      <c r="B28" s="140" t="n">
        <v>3</v>
      </c>
      <c r="C28" s="140" t="inlineStr">
        <is>
          <t>HFA202</t>
        </is>
      </c>
      <c r="D28" s="140" t="inlineStr">
        <is>
          <t>A</t>
        </is>
      </c>
      <c r="E28" s="140" t="inlineStr">
        <is>
          <t>Hunter Lance</t>
        </is>
      </c>
      <c r="F28" s="141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</f>
        <v/>
      </c>
      <c r="G28" s="142" t="n">
        <v>44316</v>
      </c>
      <c r="H28" s="140">
        <f>VLOOKUP($C28,Sales!$C:$E,2,FALSE)</f>
        <v/>
      </c>
      <c r="I28" s="140">
        <f>VLOOKUP($C28,Sales!$C:$E,3,FALSE)</f>
        <v/>
      </c>
      <c r="J28" s="142">
        <f>SUMIFS(Sales!$H:$H,Sales!$C:$C,'Investor Exit List'!$C28)</f>
        <v/>
      </c>
      <c r="K28" s="142">
        <f>IF(I28=TRUE,J28,"")</f>
        <v/>
      </c>
      <c r="L28" s="142">
        <f>G28+730</f>
        <v/>
      </c>
      <c r="M28" s="142" t="n">
        <v>45443</v>
      </c>
      <c r="N28" s="143">
        <f>IFERROR(IF(G28&lt;&gt;"",IF(I28=TRUE,0,IF(U28=TRUE,0,L28-M28)),0),0)</f>
        <v/>
      </c>
      <c r="O28" s="143">
        <f>IF(N28&gt;0,IF(N28&lt;=180,N28,0),0)</f>
        <v/>
      </c>
      <c r="P28" s="141">
        <f>IF(AND(N28&lt;90,N28&gt;0),Q28,0)</f>
        <v/>
      </c>
      <c r="Q28" s="141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/>
      </c>
      <c r="R28" s="141">
        <f>IF(AND(H28=TRUE,I28=FALSE),Q28,0)</f>
        <v/>
      </c>
      <c r="S28" s="141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/>
      </c>
      <c r="T28" s="142">
        <f>IF(U28=TRUE,$J28,"")</f>
        <v/>
      </c>
      <c r="U28" s="140" t="b">
        <v>1</v>
      </c>
      <c r="V28" s="141">
        <f>IF(AND(H28=TRUE,OR(K28="",K28&gt;M28)),S28,0)</f>
        <v/>
      </c>
      <c r="W28" s="140" t="n">
        <v>0</v>
      </c>
      <c r="X28" s="140" t="b">
        <v>0</v>
      </c>
      <c r="Y28" s="143">
        <f>IF(H28=FALSE,VLOOKUP($C28,Sales!$C:$F,4,FALSE),1)</f>
        <v/>
      </c>
      <c r="Z28" s="140">
        <f>IF(Y28=0,"Release",IF(AND(L28&lt;J28,Y28=1,H28=FALSE,U28=FALSE,MONTH(L28)&amp;"/"&amp;YEAR(L28)&lt;&gt;MONTH(J28)&amp;"/"&amp;YEAR(J28)),"Release",""))</f>
        <v/>
      </c>
      <c r="AA28" s="144">
        <f>_xlfn.minifs($L:$L,$C:$C,$C28,$F:$F,"&lt;&gt;0")</f>
        <v/>
      </c>
      <c r="AB28" s="144">
        <f>C28&amp;"-"&amp;A28</f>
        <v/>
      </c>
      <c r="AC28" s="144">
        <f>L28</f>
        <v/>
      </c>
    </row>
    <row r="29">
      <c r="A29" s="140" t="inlineStr">
        <is>
          <t>ZLEW01</t>
        </is>
      </c>
      <c r="B29" s="140" t="n">
        <v>4</v>
      </c>
      <c r="C29" s="140" t="inlineStr">
        <is>
          <t>HFA202</t>
        </is>
      </c>
      <c r="D29" s="140" t="inlineStr">
        <is>
          <t>A</t>
        </is>
      </c>
      <c r="E29" s="140" t="inlineStr">
        <is>
          <t>Lewis Martina Christina</t>
        </is>
      </c>
      <c r="F29" s="141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</f>
        <v/>
      </c>
      <c r="G29" s="142" t="n">
        <v>44352</v>
      </c>
      <c r="H29" s="140">
        <f>VLOOKUP($C29,Sales!$C:$E,2,FALSE)</f>
        <v/>
      </c>
      <c r="I29" s="140">
        <f>VLOOKUP($C29,Sales!$C:$E,3,FALSE)</f>
        <v/>
      </c>
      <c r="J29" s="142">
        <f>SUMIFS(Sales!$H:$H,Sales!$C:$C,'Investor Exit List'!$C29)</f>
        <v/>
      </c>
      <c r="K29" s="142">
        <f>IF(I29=TRUE,J29,"")</f>
        <v/>
      </c>
      <c r="L29" s="142">
        <f>G29+730</f>
        <v/>
      </c>
      <c r="M29" s="142" t="n">
        <v>45443</v>
      </c>
      <c r="N29" s="143">
        <f>IFERROR(IF(G29&lt;&gt;"",IF(I29=TRUE,0,IF(U29=TRUE,0,L29-M29)),0),0)</f>
        <v/>
      </c>
      <c r="O29" s="143">
        <f>IF(N29&gt;0,IF(N29&lt;=180,N29,0),0)</f>
        <v/>
      </c>
      <c r="P29" s="141">
        <f>IF(AND(N29&lt;90,N29&gt;0),Q29,0)</f>
        <v/>
      </c>
      <c r="Q29" s="141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/>
      </c>
      <c r="R29" s="141">
        <f>IF(AND(H29=TRUE,I29=FALSE),Q29,0)</f>
        <v/>
      </c>
      <c r="S29" s="141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/>
      </c>
      <c r="T29" s="142">
        <f>IF(U29=TRUE,$J29,"")</f>
        <v/>
      </c>
      <c r="U29" s="140" t="b">
        <v>1</v>
      </c>
      <c r="V29" s="141">
        <f>IF(AND(H29=TRUE,OR(K29="",K29&gt;M29)),S29,0)</f>
        <v/>
      </c>
      <c r="W29" s="140" t="n">
        <v>0</v>
      </c>
      <c r="X29" s="140" t="b">
        <v>0</v>
      </c>
      <c r="Y29" s="143">
        <f>IF(H29=FALSE,VLOOKUP($C29,Sales!$C:$F,4,FALSE),1)</f>
        <v/>
      </c>
      <c r="Z29" s="140">
        <f>IF(Y29=0,"Release",IF(AND(L29&lt;J29,Y29=1,H29=FALSE,U29=FALSE,MONTH(L29)&amp;"/"&amp;YEAR(L29)&lt;&gt;MONTH(J29)&amp;"/"&amp;YEAR(J29)),"Release",""))</f>
        <v/>
      </c>
      <c r="AA29" s="144">
        <f>_xlfn.minifs($L:$L,$C:$C,$C29,$F:$F,"&lt;&gt;0")</f>
        <v/>
      </c>
      <c r="AB29" s="144">
        <f>C29&amp;"-"&amp;A29</f>
        <v/>
      </c>
      <c r="AC29" s="144">
        <f>L29</f>
        <v/>
      </c>
    </row>
    <row r="30">
      <c r="A30" s="140" t="inlineStr">
        <is>
          <t>ZMAR01</t>
        </is>
      </c>
      <c r="B30" s="140" t="n">
        <v>2</v>
      </c>
      <c r="C30" s="140" t="inlineStr">
        <is>
          <t>HFA202</t>
        </is>
      </c>
      <c r="D30" s="140" t="inlineStr">
        <is>
          <t>A</t>
        </is>
      </c>
      <c r="E30" s="140" t="inlineStr">
        <is>
          <t>Martin Beverley-Ann Kinsla</t>
        </is>
      </c>
      <c r="F30" s="141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</f>
        <v/>
      </c>
      <c r="G30" s="142" t="n">
        <v>44316</v>
      </c>
      <c r="H30" s="140">
        <f>VLOOKUP($C30,Sales!$C:$E,2,FALSE)</f>
        <v/>
      </c>
      <c r="I30" s="140">
        <f>VLOOKUP($C30,Sales!$C:$E,3,FALSE)</f>
        <v/>
      </c>
      <c r="J30" s="142">
        <f>SUMIFS(Sales!$H:$H,Sales!$C:$C,'Investor Exit List'!$C30)</f>
        <v/>
      </c>
      <c r="K30" s="142">
        <f>IF(I30=TRUE,J30,"")</f>
        <v/>
      </c>
      <c r="L30" s="142">
        <f>G30+730</f>
        <v/>
      </c>
      <c r="M30" s="142" t="n">
        <v>45443</v>
      </c>
      <c r="N30" s="143">
        <f>IFERROR(IF(G30&lt;&gt;"",IF(I30=TRUE,0,IF(U30=TRUE,0,L30-M30)),0),0)</f>
        <v/>
      </c>
      <c r="O30" s="143">
        <f>IF(N30&gt;0,IF(N30&lt;=180,N30,0),0)</f>
        <v/>
      </c>
      <c r="P30" s="141">
        <f>IF(AND(N30&lt;90,N30&gt;0),Q30,0)</f>
        <v/>
      </c>
      <c r="Q30" s="141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/>
      </c>
      <c r="R30" s="141">
        <f>IF(AND(H30=TRUE,I30=FALSE),Q30,0)</f>
        <v/>
      </c>
      <c r="S30" s="141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/>
      </c>
      <c r="T30" s="142">
        <f>IF(U30=TRUE,$J30,"")</f>
        <v/>
      </c>
      <c r="U30" s="140" t="b">
        <v>1</v>
      </c>
      <c r="V30" s="141">
        <f>IF(AND(H30=TRUE,OR(K30="",K30&gt;M30)),S30,0)</f>
        <v/>
      </c>
      <c r="W30" s="140" t="n">
        <v>0</v>
      </c>
      <c r="X30" s="140" t="b">
        <v>0</v>
      </c>
      <c r="Y30" s="143">
        <f>IF(H30=FALSE,VLOOKUP($C30,Sales!$C:$F,4,FALSE),1)</f>
        <v/>
      </c>
      <c r="Z30" s="140">
        <f>IF(Y30=0,"Release",IF(AND(L30&lt;J30,Y30=1,H30=FALSE,U30=FALSE,MONTH(L30)&amp;"/"&amp;YEAR(L30)&lt;&gt;MONTH(J30)&amp;"/"&amp;YEAR(J30)),"Release",""))</f>
        <v/>
      </c>
      <c r="AA30" s="144">
        <f>_xlfn.minifs($L:$L,$C:$C,$C30,$F:$F,"&lt;&gt;0")</f>
        <v/>
      </c>
      <c r="AB30" s="144">
        <f>C30&amp;"-"&amp;A30</f>
        <v/>
      </c>
      <c r="AC30" s="144">
        <f>L30</f>
        <v/>
      </c>
    </row>
    <row r="31">
      <c r="A31" s="140" t="inlineStr">
        <is>
          <t>ZBAR01</t>
        </is>
      </c>
      <c r="B31" s="140" t="n">
        <v>1</v>
      </c>
      <c r="C31" s="140" t="inlineStr">
        <is>
          <t>HFA203</t>
        </is>
      </c>
      <c r="D31" s="140" t="inlineStr">
        <is>
          <t>A</t>
        </is>
      </c>
      <c r="E31" s="140" t="inlineStr">
        <is>
          <t>Barr Stuart Christopher</t>
        </is>
      </c>
      <c r="F31" s="141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</f>
        <v/>
      </c>
      <c r="G31" s="142" t="n">
        <v>44352</v>
      </c>
      <c r="H31" s="140">
        <f>VLOOKUP($C31,Sales!$C:$E,2,FALSE)</f>
        <v/>
      </c>
      <c r="I31" s="140">
        <f>VLOOKUP($C31,Sales!$C:$E,3,FALSE)</f>
        <v/>
      </c>
      <c r="J31" s="142">
        <f>SUMIFS(Sales!$H:$H,Sales!$C:$C,'Investor Exit List'!$C31)</f>
        <v/>
      </c>
      <c r="K31" s="142">
        <f>IF(I31=TRUE,J31,"")</f>
        <v/>
      </c>
      <c r="L31" s="142">
        <f>G31+730</f>
        <v/>
      </c>
      <c r="M31" s="142" t="n">
        <v>45443</v>
      </c>
      <c r="N31" s="143">
        <f>IFERROR(IF(G31&lt;&gt;"",IF(I31=TRUE,0,IF(U31=TRUE,0,L31-M31)),0),0)</f>
        <v/>
      </c>
      <c r="O31" s="143">
        <f>IF(N31&gt;0,IF(N31&lt;=180,N31,0),0)</f>
        <v/>
      </c>
      <c r="P31" s="141">
        <f>IF(AND(N31&lt;90,N31&gt;0),Q31,0)</f>
        <v/>
      </c>
      <c r="Q31" s="141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/>
      </c>
      <c r="R31" s="141">
        <f>IF(AND(H31=TRUE,I31=FALSE),Q31,0)</f>
        <v/>
      </c>
      <c r="S31" s="141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/>
      </c>
      <c r="T31" s="142">
        <f>IF(U31=TRUE,$J31,"")</f>
        <v/>
      </c>
      <c r="U31" s="140" t="b">
        <v>0</v>
      </c>
      <c r="V31" s="141">
        <f>IF(AND(H31=TRUE,OR(K31="",K31&gt;M31)),S31,0)</f>
        <v/>
      </c>
      <c r="W31" s="140" t="n">
        <v>0</v>
      </c>
      <c r="X31" s="140" t="b">
        <v>0</v>
      </c>
      <c r="Y31" s="143">
        <f>IF(H31=FALSE,VLOOKUP($C31,Sales!$C:$F,4,FALSE),1)</f>
        <v/>
      </c>
      <c r="Z31" s="140">
        <f>IF(Y31=0,"Release",IF(AND(L31&lt;J31,Y31=1,H31=FALSE,U31=FALSE,MONTH(L31)&amp;"/"&amp;YEAR(L31)&lt;&gt;MONTH(J31)&amp;"/"&amp;YEAR(J31)),"Release",""))</f>
        <v/>
      </c>
      <c r="AA31" s="144">
        <f>_xlfn.minifs($L:$L,$C:$C,$C31,$F:$F,"&lt;&gt;0")</f>
        <v/>
      </c>
      <c r="AB31" s="144">
        <f>C31&amp;"-"&amp;A31</f>
        <v/>
      </c>
      <c r="AC31" s="144">
        <f>L31</f>
        <v/>
      </c>
    </row>
    <row r="32">
      <c r="A32" s="140" t="inlineStr">
        <is>
          <t>ZDAV01</t>
        </is>
      </c>
      <c r="B32" s="140" t="n">
        <v>2</v>
      </c>
      <c r="C32" s="140" t="inlineStr">
        <is>
          <t>HFA203</t>
        </is>
      </c>
      <c r="D32" s="140" t="inlineStr">
        <is>
          <t>A</t>
        </is>
      </c>
      <c r="E32" s="140" t="inlineStr">
        <is>
          <t>Davies Heather Mary Lyn</t>
        </is>
      </c>
      <c r="F32" s="141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</f>
        <v/>
      </c>
      <c r="G32" s="142" t="n">
        <v>44352</v>
      </c>
      <c r="H32" s="140">
        <f>VLOOKUP($C32,Sales!$C:$E,2,FALSE)</f>
        <v/>
      </c>
      <c r="I32" s="140">
        <f>VLOOKUP($C32,Sales!$C:$E,3,FALSE)</f>
        <v/>
      </c>
      <c r="J32" s="142">
        <f>SUMIFS(Sales!$H:$H,Sales!$C:$C,'Investor Exit List'!$C32)</f>
        <v/>
      </c>
      <c r="K32" s="142">
        <f>IF(I32=TRUE,J32,"")</f>
        <v/>
      </c>
      <c r="L32" s="142">
        <f>G32+730</f>
        <v/>
      </c>
      <c r="M32" s="142" t="n">
        <v>45443</v>
      </c>
      <c r="N32" s="143">
        <f>IFERROR(IF(G32&lt;&gt;"",IF(I32=TRUE,0,IF(U32=TRUE,0,L32-M32)),0),0)</f>
        <v/>
      </c>
      <c r="O32" s="143">
        <f>IF(N32&gt;0,IF(N32&lt;=180,N32,0),0)</f>
        <v/>
      </c>
      <c r="P32" s="141">
        <f>IF(AND(N32&lt;90,N32&gt;0),Q32,0)</f>
        <v/>
      </c>
      <c r="Q32" s="141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/>
      </c>
      <c r="R32" s="141">
        <f>IF(AND(H32=TRUE,I32=FALSE),Q32,0)</f>
        <v/>
      </c>
      <c r="S32" s="141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/>
      </c>
      <c r="T32" s="142">
        <f>IF(U32=TRUE,$J32,"")</f>
        <v/>
      </c>
      <c r="U32" s="140" t="b">
        <v>0</v>
      </c>
      <c r="V32" s="141">
        <f>IF(AND(H32=TRUE,OR(K32="",K32&gt;M32)),S32,0)</f>
        <v/>
      </c>
      <c r="W32" s="140" t="n">
        <v>0</v>
      </c>
      <c r="X32" s="140" t="b">
        <v>0</v>
      </c>
      <c r="Y32" s="143">
        <f>IF(H32=FALSE,VLOOKUP($C32,Sales!$C:$F,4,FALSE),1)</f>
        <v/>
      </c>
      <c r="Z32" s="140">
        <f>IF(Y32=0,"Release",IF(AND(L32&lt;J32,Y32=1,H32=FALSE,U32=FALSE,MONTH(L32)&amp;"/"&amp;YEAR(L32)&lt;&gt;MONTH(J32)&amp;"/"&amp;YEAR(J32)),"Release",""))</f>
        <v/>
      </c>
      <c r="AA32" s="144">
        <f>_xlfn.minifs($L:$L,$C:$C,$C32,$F:$F,"&lt;&gt;0")</f>
        <v/>
      </c>
      <c r="AB32" s="144">
        <f>C32&amp;"-"&amp;A32</f>
        <v/>
      </c>
      <c r="AC32" s="144">
        <f>L32</f>
        <v/>
      </c>
    </row>
    <row r="33">
      <c r="A33" s="140" t="inlineStr">
        <is>
          <t>ZNGO01</t>
        </is>
      </c>
      <c r="B33" s="140" t="n">
        <v>2</v>
      </c>
      <c r="C33" s="140" t="inlineStr">
        <is>
          <t>HFA203</t>
        </is>
      </c>
      <c r="D33" s="140" t="inlineStr">
        <is>
          <t>A</t>
        </is>
      </c>
      <c r="E33" s="140" t="inlineStr">
        <is>
          <t>Ngomane Khula Moses</t>
        </is>
      </c>
      <c r="F33" s="141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</f>
        <v/>
      </c>
      <c r="G33" s="142" t="n">
        <v>44352</v>
      </c>
      <c r="H33" s="140">
        <f>VLOOKUP($C33,Sales!$C:$E,2,FALSE)</f>
        <v/>
      </c>
      <c r="I33" s="140">
        <f>VLOOKUP($C33,Sales!$C:$E,3,FALSE)</f>
        <v/>
      </c>
      <c r="J33" s="142">
        <f>SUMIFS(Sales!$H:$H,Sales!$C:$C,'Investor Exit List'!$C33)</f>
        <v/>
      </c>
      <c r="K33" s="142">
        <f>IF(I33=TRUE,J33,"")</f>
        <v/>
      </c>
      <c r="L33" s="142">
        <f>G33+730</f>
        <v/>
      </c>
      <c r="M33" s="142" t="n">
        <v>45443</v>
      </c>
      <c r="N33" s="143">
        <f>IFERROR(IF(G33&lt;&gt;"",IF(I33=TRUE,0,IF(U33=TRUE,0,L33-M33)),0),0)</f>
        <v/>
      </c>
      <c r="O33" s="143">
        <f>IF(N33&gt;0,IF(N33&lt;=180,N33,0),0)</f>
        <v/>
      </c>
      <c r="P33" s="141">
        <f>IF(AND(N33&lt;90,N33&gt;0),Q33,0)</f>
        <v/>
      </c>
      <c r="Q33" s="141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/>
      </c>
      <c r="R33" s="141">
        <f>IF(AND(H33=TRUE,I33=FALSE),Q33,0)</f>
        <v/>
      </c>
      <c r="S33" s="141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/>
      </c>
      <c r="T33" s="142">
        <f>IF(U33=TRUE,$J33,"")</f>
        <v/>
      </c>
      <c r="U33" s="140" t="b">
        <v>0</v>
      </c>
      <c r="V33" s="141">
        <f>IF(AND(H33=TRUE,OR(K33="",K33&gt;M33)),S33,0)</f>
        <v/>
      </c>
      <c r="W33" s="140" t="n">
        <v>0</v>
      </c>
      <c r="X33" s="140" t="b">
        <v>0</v>
      </c>
      <c r="Y33" s="143">
        <f>IF(H33=FALSE,VLOOKUP($C33,Sales!$C:$F,4,FALSE),1)</f>
        <v/>
      </c>
      <c r="Z33" s="140">
        <f>IF(Y33=0,"Release",IF(AND(L33&lt;J33,Y33=1,H33=FALSE,U33=FALSE,MONTH(L33)&amp;"/"&amp;YEAR(L33)&lt;&gt;MONTH(J33)&amp;"/"&amp;YEAR(J33)),"Release",""))</f>
        <v/>
      </c>
      <c r="AA33" s="144">
        <f>_xlfn.minifs($L:$L,$C:$C,$C33,$F:$F,"&lt;&gt;0")</f>
        <v/>
      </c>
      <c r="AB33" s="144">
        <f>C33&amp;"-"&amp;A33</f>
        <v/>
      </c>
      <c r="AC33" s="144">
        <f>L33</f>
        <v/>
      </c>
    </row>
    <row r="34">
      <c r="A34" s="140" t="inlineStr">
        <is>
          <t>ZRAN01</t>
        </is>
      </c>
      <c r="B34" s="140" t="n">
        <v>18</v>
      </c>
      <c r="C34" s="140" t="inlineStr">
        <is>
          <t>HFA203</t>
        </is>
      </c>
      <c r="D34" s="140" t="inlineStr">
        <is>
          <t>A</t>
        </is>
      </c>
      <c r="E34" s="140" t="inlineStr">
        <is>
          <t>Rankin Ross Partick Gemill</t>
        </is>
      </c>
      <c r="F34" s="141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</f>
        <v/>
      </c>
      <c r="G34" s="142" t="n">
        <v>44378</v>
      </c>
      <c r="H34" s="140">
        <f>VLOOKUP($C34,Sales!$C:$E,2,FALSE)</f>
        <v/>
      </c>
      <c r="I34" s="140">
        <f>VLOOKUP($C34,Sales!$C:$E,3,FALSE)</f>
        <v/>
      </c>
      <c r="J34" s="142">
        <f>SUMIFS(Sales!$H:$H,Sales!$C:$C,'Investor Exit List'!$C34)</f>
        <v/>
      </c>
      <c r="K34" s="142">
        <f>IF(I34=TRUE,J34,"")</f>
        <v/>
      </c>
      <c r="L34" s="142">
        <f>G34+730</f>
        <v/>
      </c>
      <c r="M34" s="142" t="n">
        <v>45443</v>
      </c>
      <c r="N34" s="143">
        <f>IFERROR(IF(G34&lt;&gt;"",IF(I34=TRUE,0,IF(U34=TRUE,0,L34-M34)),0),0)</f>
        <v/>
      </c>
      <c r="O34" s="143">
        <f>IF(N34&gt;0,IF(N34&lt;=180,N34,0),0)</f>
        <v/>
      </c>
      <c r="P34" s="141">
        <f>IF(AND(N34&lt;90,N34&gt;0),Q34,0)</f>
        <v/>
      </c>
      <c r="Q34" s="141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/>
      </c>
      <c r="R34" s="141">
        <f>IF(AND(H34=TRUE,I34=FALSE),Q34,0)</f>
        <v/>
      </c>
      <c r="S34" s="141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/>
      </c>
      <c r="T34" s="142">
        <f>IF(U34=TRUE,$J34,"")</f>
        <v/>
      </c>
      <c r="U34" s="140" t="b">
        <v>0</v>
      </c>
      <c r="V34" s="141">
        <f>IF(AND(H34=TRUE,OR(K34="",K34&gt;M34)),S34,0)</f>
        <v/>
      </c>
      <c r="W34" s="140" t="n">
        <v>0</v>
      </c>
      <c r="X34" s="140" t="b">
        <v>0</v>
      </c>
      <c r="Y34" s="143">
        <f>IF(H34=FALSE,VLOOKUP($C34,Sales!$C:$F,4,FALSE),1)</f>
        <v/>
      </c>
      <c r="Z34" s="140">
        <f>IF(Y34=0,"Release",IF(AND(L34&lt;J34,Y34=1,H34=FALSE,U34=FALSE,MONTH(L34)&amp;"/"&amp;YEAR(L34)&lt;&gt;MONTH(J34)&amp;"/"&amp;YEAR(J34)),"Release",""))</f>
        <v/>
      </c>
      <c r="AA34" s="144">
        <f>_xlfn.minifs($L:$L,$C:$C,$C34,$F:$F,"&lt;&gt;0")</f>
        <v/>
      </c>
      <c r="AB34" s="144">
        <f>C34&amp;"-"&amp;A34</f>
        <v/>
      </c>
      <c r="AC34" s="144">
        <f>L34</f>
        <v/>
      </c>
    </row>
    <row r="35">
      <c r="A35" s="140" t="inlineStr">
        <is>
          <t>ZVBL01</t>
        </is>
      </c>
      <c r="B35" s="140" t="n">
        <v>1</v>
      </c>
      <c r="C35" s="140" t="inlineStr">
        <is>
          <t>HFA203</t>
        </is>
      </c>
      <c r="D35" s="140" t="inlineStr">
        <is>
          <t>A</t>
        </is>
      </c>
      <c r="E35" s="140" t="inlineStr">
        <is>
          <t>van Blerk Glenda</t>
        </is>
      </c>
      <c r="F35" s="141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</f>
        <v/>
      </c>
      <c r="G35" s="142" t="n">
        <v>44352</v>
      </c>
      <c r="H35" s="140">
        <f>VLOOKUP($C35,Sales!$C:$E,2,FALSE)</f>
        <v/>
      </c>
      <c r="I35" s="140">
        <f>VLOOKUP($C35,Sales!$C:$E,3,FALSE)</f>
        <v/>
      </c>
      <c r="J35" s="142">
        <f>SUMIFS(Sales!$H:$H,Sales!$C:$C,'Investor Exit List'!$C35)</f>
        <v/>
      </c>
      <c r="K35" s="142">
        <f>IF(I35=TRUE,J35,"")</f>
        <v/>
      </c>
      <c r="L35" s="142">
        <f>G35+730</f>
        <v/>
      </c>
      <c r="M35" s="142" t="n">
        <v>45443</v>
      </c>
      <c r="N35" s="143">
        <f>IFERROR(IF(G35&lt;&gt;"",IF(I35=TRUE,0,IF(U35=TRUE,0,L35-M35)),0),0)</f>
        <v/>
      </c>
      <c r="O35" s="143">
        <f>IF(N35&gt;0,IF(N35&lt;=180,N35,0),0)</f>
        <v/>
      </c>
      <c r="P35" s="141">
        <f>IF(AND(N35&lt;90,N35&gt;0),Q35,0)</f>
        <v/>
      </c>
      <c r="Q35" s="141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/>
      </c>
      <c r="R35" s="141">
        <f>IF(AND(H35=TRUE,I35=FALSE),Q35,0)</f>
        <v/>
      </c>
      <c r="S35" s="141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/>
      </c>
      <c r="T35" s="142">
        <f>IF(U35=TRUE,$J35,"")</f>
        <v/>
      </c>
      <c r="U35" s="140" t="b">
        <v>0</v>
      </c>
      <c r="V35" s="141">
        <f>IF(AND(H35=TRUE,OR(K35="",K35&gt;M35)),S35,0)</f>
        <v/>
      </c>
      <c r="W35" s="140" t="n">
        <v>0</v>
      </c>
      <c r="X35" s="140" t="b">
        <v>0</v>
      </c>
      <c r="Y35" s="143">
        <f>IF(H35=FALSE,VLOOKUP($C35,Sales!$C:$F,4,FALSE),1)</f>
        <v/>
      </c>
      <c r="Z35" s="140">
        <f>IF(Y35=0,"Release",IF(AND(L35&lt;J35,Y35=1,H35=FALSE,U35=FALSE,MONTH(L35)&amp;"/"&amp;YEAR(L35)&lt;&gt;MONTH(J35)&amp;"/"&amp;YEAR(J35)),"Release",""))</f>
        <v/>
      </c>
      <c r="AA35" s="144">
        <f>_xlfn.minifs($L:$L,$C:$C,$C35,$F:$F,"&lt;&gt;0")</f>
        <v/>
      </c>
      <c r="AB35" s="144">
        <f>C35&amp;"-"&amp;A35</f>
        <v/>
      </c>
      <c r="AC35" s="144">
        <f>L35</f>
        <v/>
      </c>
    </row>
    <row r="36">
      <c r="A36" s="140" t="inlineStr">
        <is>
          <t>ZFEM01</t>
        </is>
      </c>
      <c r="B36" s="140" t="n">
        <v>1</v>
      </c>
      <c r="C36" s="140" t="inlineStr">
        <is>
          <t>HFA204</t>
        </is>
      </c>
      <c r="D36" s="140" t="inlineStr">
        <is>
          <t>A</t>
        </is>
      </c>
      <c r="E36" s="140" t="inlineStr">
        <is>
          <t>Morkel Francina Elisabeth</t>
        </is>
      </c>
      <c r="F36" s="141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</f>
        <v/>
      </c>
      <c r="G36" s="142" t="n">
        <v>44352</v>
      </c>
      <c r="H36" s="140">
        <f>VLOOKUP($C36,Sales!$C:$E,2,FALSE)</f>
        <v/>
      </c>
      <c r="I36" s="140">
        <f>VLOOKUP($C36,Sales!$C:$E,3,FALSE)</f>
        <v/>
      </c>
      <c r="J36" s="142">
        <f>SUMIFS(Sales!$H:$H,Sales!$C:$C,'Investor Exit List'!$C36)</f>
        <v/>
      </c>
      <c r="K36" s="142">
        <f>IF(I36=TRUE,J36,"")</f>
        <v/>
      </c>
      <c r="L36" s="142">
        <f>G36+730</f>
        <v/>
      </c>
      <c r="M36" s="142" t="n">
        <v>45443</v>
      </c>
      <c r="N36" s="143">
        <f>IFERROR(IF(G36&lt;&gt;"",IF(I36=TRUE,0,IF(U36=TRUE,0,L36-M36)),0),0)</f>
        <v/>
      </c>
      <c r="O36" s="143">
        <f>IF(N36&gt;0,IF(N36&lt;=180,N36,0),0)</f>
        <v/>
      </c>
      <c r="P36" s="141">
        <f>IF(AND(N36&lt;90,N36&gt;0),Q36,0)</f>
        <v/>
      </c>
      <c r="Q36" s="141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/>
      </c>
      <c r="R36" s="141">
        <f>IF(AND(H36=TRUE,I36=FALSE),Q36,0)</f>
        <v/>
      </c>
      <c r="S36" s="141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/>
      </c>
      <c r="T36" s="142">
        <f>IF(U36=TRUE,$J36,"")</f>
        <v/>
      </c>
      <c r="U36" s="140" t="b">
        <v>0</v>
      </c>
      <c r="V36" s="141">
        <f>IF(AND(H36=TRUE,OR(K36="",K36&gt;M36)),S36,0)</f>
        <v/>
      </c>
      <c r="W36" s="140" t="n">
        <v>0</v>
      </c>
      <c r="X36" s="140" t="b">
        <v>0</v>
      </c>
      <c r="Y36" s="143">
        <f>IF(H36=FALSE,VLOOKUP($C36,Sales!$C:$F,4,FALSE),1)</f>
        <v/>
      </c>
      <c r="Z36" s="140">
        <f>IF(Y36=0,"Release",IF(AND(L36&lt;J36,Y36=1,H36=FALSE,U36=FALSE,MONTH(L36)&amp;"/"&amp;YEAR(L36)&lt;&gt;MONTH(J36)&amp;"/"&amp;YEAR(J36)),"Release",""))</f>
        <v/>
      </c>
      <c r="AA36" s="144">
        <f>_xlfn.minifs($L:$L,$C:$C,$C36,$F:$F,"&lt;&gt;0")</f>
        <v/>
      </c>
      <c r="AB36" s="144">
        <f>C36&amp;"-"&amp;A36</f>
        <v/>
      </c>
      <c r="AC36" s="144">
        <f>L36</f>
        <v/>
      </c>
    </row>
    <row r="37">
      <c r="A37" s="140" t="inlineStr">
        <is>
          <t>ZJBM01</t>
        </is>
      </c>
      <c r="B37" s="140" t="n">
        <v>1</v>
      </c>
      <c r="C37" s="140" t="inlineStr">
        <is>
          <t>HFA204</t>
        </is>
      </c>
      <c r="D37" s="140" t="inlineStr">
        <is>
          <t>A</t>
        </is>
      </c>
      <c r="E37" s="140" t="inlineStr">
        <is>
          <t>Morkel Jacobus Bruwer</t>
        </is>
      </c>
      <c r="F37" s="141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</f>
        <v/>
      </c>
      <c r="G37" s="142" t="n">
        <v>44352</v>
      </c>
      <c r="H37" s="140">
        <f>VLOOKUP($C37,Sales!$C:$E,2,FALSE)</f>
        <v/>
      </c>
      <c r="I37" s="140">
        <f>VLOOKUP($C37,Sales!$C:$E,3,FALSE)</f>
        <v/>
      </c>
      <c r="J37" s="142">
        <f>SUMIFS(Sales!$H:$H,Sales!$C:$C,'Investor Exit List'!$C37)</f>
        <v/>
      </c>
      <c r="K37" s="142">
        <f>IF(I37=TRUE,J37,"")</f>
        <v/>
      </c>
      <c r="L37" s="142">
        <f>G37+730</f>
        <v/>
      </c>
      <c r="M37" s="142" t="n">
        <v>45443</v>
      </c>
      <c r="N37" s="143">
        <f>IFERROR(IF(G37&lt;&gt;"",IF(I37=TRUE,0,IF(U37=TRUE,0,L37-M37)),0),0)</f>
        <v/>
      </c>
      <c r="O37" s="143">
        <f>IF(N37&gt;0,IF(N37&lt;=180,N37,0),0)</f>
        <v/>
      </c>
      <c r="P37" s="141">
        <f>IF(AND(N37&lt;90,N37&gt;0),Q37,0)</f>
        <v/>
      </c>
      <c r="Q37" s="141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/>
      </c>
      <c r="R37" s="141">
        <f>IF(AND(H37=TRUE,I37=FALSE),Q37,0)</f>
        <v/>
      </c>
      <c r="S37" s="141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/>
      </c>
      <c r="T37" s="142">
        <f>IF(U37=TRUE,$J37,"")</f>
        <v/>
      </c>
      <c r="U37" s="140" t="b">
        <v>0</v>
      </c>
      <c r="V37" s="141">
        <f>IF(AND(H37=TRUE,OR(K37="",K37&gt;M37)),S37,0)</f>
        <v/>
      </c>
      <c r="W37" s="140" t="n">
        <v>0</v>
      </c>
      <c r="X37" s="140" t="b">
        <v>0</v>
      </c>
      <c r="Y37" s="143">
        <f>IF(H37=FALSE,VLOOKUP($C37,Sales!$C:$F,4,FALSE),1)</f>
        <v/>
      </c>
      <c r="Z37" s="140">
        <f>IF(Y37=0,"Release",IF(AND(L37&lt;J37,Y37=1,H37=FALSE,U37=FALSE,MONTH(L37)&amp;"/"&amp;YEAR(L37)&lt;&gt;MONTH(J37)&amp;"/"&amp;YEAR(J37)),"Release",""))</f>
        <v/>
      </c>
      <c r="AA37" s="144">
        <f>_xlfn.minifs($L:$L,$C:$C,$C37,$F:$F,"&lt;&gt;0")</f>
        <v/>
      </c>
      <c r="AB37" s="144">
        <f>C37&amp;"-"&amp;A37</f>
        <v/>
      </c>
      <c r="AC37" s="144">
        <f>L37</f>
        <v/>
      </c>
    </row>
    <row r="38">
      <c r="A38" s="140" t="inlineStr">
        <is>
          <t>ZKOO01</t>
        </is>
      </c>
      <c r="B38" s="140" t="n">
        <v>1</v>
      </c>
      <c r="C38" s="140" t="inlineStr">
        <is>
          <t>HFA204</t>
        </is>
      </c>
      <c r="D38" s="140" t="inlineStr">
        <is>
          <t>A</t>
        </is>
      </c>
      <c r="E38" s="140" t="inlineStr">
        <is>
          <t>Koovarjee Jayprakash Brijbukhandas</t>
        </is>
      </c>
      <c r="F38" s="141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</f>
        <v/>
      </c>
      <c r="G38" s="142" t="n">
        <v>44352</v>
      </c>
      <c r="H38" s="140">
        <f>VLOOKUP($C38,Sales!$C:$E,2,FALSE)</f>
        <v/>
      </c>
      <c r="I38" s="140">
        <f>VLOOKUP($C38,Sales!$C:$E,3,FALSE)</f>
        <v/>
      </c>
      <c r="J38" s="142">
        <f>SUMIFS(Sales!$H:$H,Sales!$C:$C,'Investor Exit List'!$C38)</f>
        <v/>
      </c>
      <c r="K38" s="142">
        <f>IF(I38=TRUE,J38,"")</f>
        <v/>
      </c>
      <c r="L38" s="142">
        <f>G38+730</f>
        <v/>
      </c>
      <c r="M38" s="142" t="n">
        <v>45443</v>
      </c>
      <c r="N38" s="143">
        <f>IFERROR(IF(G38&lt;&gt;"",IF(I38=TRUE,0,IF(U38=TRUE,0,L38-M38)),0),0)</f>
        <v/>
      </c>
      <c r="O38" s="143">
        <f>IF(N38&gt;0,IF(N38&lt;=180,N38,0),0)</f>
        <v/>
      </c>
      <c r="P38" s="141">
        <f>IF(AND(N38&lt;90,N38&gt;0),Q38,0)</f>
        <v/>
      </c>
      <c r="Q38" s="141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/>
      </c>
      <c r="R38" s="141">
        <f>IF(AND(H38=TRUE,I38=FALSE),Q38,0)</f>
        <v/>
      </c>
      <c r="S38" s="141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/>
      </c>
      <c r="T38" s="142">
        <f>IF(U38=TRUE,$J38,"")</f>
        <v/>
      </c>
      <c r="U38" s="140" t="b">
        <v>0</v>
      </c>
      <c r="V38" s="141">
        <f>IF(AND(H38=TRUE,OR(K38="",K38&gt;M38)),S38,0)</f>
        <v/>
      </c>
      <c r="W38" s="140" t="n">
        <v>0</v>
      </c>
      <c r="X38" s="140" t="b">
        <v>0</v>
      </c>
      <c r="Y38" s="143">
        <f>IF(H38=FALSE,VLOOKUP($C38,Sales!$C:$F,4,FALSE),1)</f>
        <v/>
      </c>
      <c r="Z38" s="140">
        <f>IF(Y38=0,"Release",IF(AND(L38&lt;J38,Y38=1,H38=FALSE,U38=FALSE,MONTH(L38)&amp;"/"&amp;YEAR(L38)&lt;&gt;MONTH(J38)&amp;"/"&amp;YEAR(J38)),"Release",""))</f>
        <v/>
      </c>
      <c r="AA38" s="144">
        <f>_xlfn.minifs($L:$L,$C:$C,$C38,$F:$F,"&lt;&gt;0")</f>
        <v/>
      </c>
      <c r="AB38" s="144">
        <f>C38&amp;"-"&amp;A38</f>
        <v/>
      </c>
      <c r="AC38" s="144">
        <f>L38</f>
        <v/>
      </c>
    </row>
    <row r="39">
      <c r="A39" s="140" t="inlineStr">
        <is>
          <t>ZVAN01</t>
        </is>
      </c>
      <c r="B39" s="140" t="n">
        <v>1</v>
      </c>
      <c r="C39" s="140" t="inlineStr">
        <is>
          <t>HFA204</t>
        </is>
      </c>
      <c r="D39" s="140" t="inlineStr">
        <is>
          <t>A</t>
        </is>
      </c>
      <c r="E39" s="140" t="inlineStr">
        <is>
          <t>van Rensburg Gerhard Andre</t>
        </is>
      </c>
      <c r="F39" s="141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</f>
        <v/>
      </c>
      <c r="G39" s="142" t="n">
        <v>44352</v>
      </c>
      <c r="H39" s="140">
        <f>VLOOKUP($C39,Sales!$C:$E,2,FALSE)</f>
        <v/>
      </c>
      <c r="I39" s="140">
        <f>VLOOKUP($C39,Sales!$C:$E,3,FALSE)</f>
        <v/>
      </c>
      <c r="J39" s="142">
        <f>SUMIFS(Sales!$H:$H,Sales!$C:$C,'Investor Exit List'!$C39)</f>
        <v/>
      </c>
      <c r="K39" s="142">
        <f>IF(I39=TRUE,J39,"")</f>
        <v/>
      </c>
      <c r="L39" s="142">
        <f>G39+730</f>
        <v/>
      </c>
      <c r="M39" s="142" t="n">
        <v>45443</v>
      </c>
      <c r="N39" s="143">
        <f>IFERROR(IF(G39&lt;&gt;"",IF(I39=TRUE,0,IF(U39=TRUE,0,L39-M39)),0),0)</f>
        <v/>
      </c>
      <c r="O39" s="143">
        <f>IF(N39&gt;0,IF(N39&lt;=180,N39,0),0)</f>
        <v/>
      </c>
      <c r="P39" s="141">
        <f>IF(AND(N39&lt;90,N39&gt;0),Q39,0)</f>
        <v/>
      </c>
      <c r="Q39" s="141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/>
      </c>
      <c r="R39" s="141">
        <f>IF(AND(H39=TRUE,I39=FALSE),Q39,0)</f>
        <v/>
      </c>
      <c r="S39" s="141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/>
      </c>
      <c r="T39" s="142">
        <f>IF(U39=TRUE,$J39,"")</f>
        <v/>
      </c>
      <c r="U39" s="140" t="b">
        <v>0</v>
      </c>
      <c r="V39" s="141">
        <f>IF(AND(H39=TRUE,OR(K39="",K39&gt;M39)),S39,0)</f>
        <v/>
      </c>
      <c r="W39" s="140" t="n">
        <v>0</v>
      </c>
      <c r="X39" s="140" t="b">
        <v>0</v>
      </c>
      <c r="Y39" s="143">
        <f>IF(H39=FALSE,VLOOKUP($C39,Sales!$C:$F,4,FALSE),1)</f>
        <v/>
      </c>
      <c r="Z39" s="140">
        <f>IF(Y39=0,"Release",IF(AND(L39&lt;J39,Y39=1,H39=FALSE,U39=FALSE,MONTH(L39)&amp;"/"&amp;YEAR(L39)&lt;&gt;MONTH(J39)&amp;"/"&amp;YEAR(J39)),"Release",""))</f>
        <v/>
      </c>
      <c r="AA39" s="144">
        <f>_xlfn.minifs($L:$L,$C:$C,$C39,$F:$F,"&lt;&gt;0")</f>
        <v/>
      </c>
      <c r="AB39" s="144">
        <f>C39&amp;"-"&amp;A39</f>
        <v/>
      </c>
      <c r="AC39" s="144">
        <f>L39</f>
        <v/>
      </c>
    </row>
    <row r="40">
      <c r="A40" s="140" t="inlineStr">
        <is>
          <t>ZHEI01</t>
        </is>
      </c>
      <c r="B40" s="140" t="n">
        <v>10</v>
      </c>
      <c r="C40" s="140" t="inlineStr">
        <is>
          <t>HFA205</t>
        </is>
      </c>
      <c r="D40" s="140" t="inlineStr">
        <is>
          <t>A</t>
        </is>
      </c>
      <c r="E40" s="140" t="inlineStr">
        <is>
          <t>Heinze Dieter Raimund</t>
        </is>
      </c>
      <c r="F40" s="141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</f>
        <v/>
      </c>
      <c r="G40" s="142" t="n">
        <v>44772</v>
      </c>
      <c r="H40" s="140">
        <f>VLOOKUP($C40,Sales!$C:$E,2,FALSE)</f>
        <v/>
      </c>
      <c r="I40" s="140">
        <f>VLOOKUP($C40,Sales!$C:$E,3,FALSE)</f>
        <v/>
      </c>
      <c r="J40" s="142">
        <f>SUMIFS(Sales!$H:$H,Sales!$C:$C,'Investor Exit List'!$C40)</f>
        <v/>
      </c>
      <c r="K40" s="142">
        <f>IF(I40=TRUE,J40,"")</f>
        <v/>
      </c>
      <c r="L40" s="142">
        <f>G40+730</f>
        <v/>
      </c>
      <c r="M40" s="142" t="n">
        <v>45443</v>
      </c>
      <c r="N40" s="143">
        <f>IFERROR(IF(G40&lt;&gt;"",IF(I40=TRUE,0,IF(U40=TRUE,0,L40-M40)),0),0)</f>
        <v/>
      </c>
      <c r="O40" s="143">
        <f>IF(N40&gt;0,IF(N40&lt;=180,N40,0),0)</f>
        <v/>
      </c>
      <c r="P40" s="141">
        <f>IF(AND(N40&lt;90,N40&gt;0),Q40,0)</f>
        <v/>
      </c>
      <c r="Q40" s="141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/>
      </c>
      <c r="R40" s="141">
        <f>IF(AND(H40=TRUE,I40=FALSE),Q40,0)</f>
        <v/>
      </c>
      <c r="S40" s="141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/>
      </c>
      <c r="T40" s="142">
        <f>IF(U40=TRUE,$J40,"")</f>
        <v/>
      </c>
      <c r="U40" s="140" t="b">
        <v>0</v>
      </c>
      <c r="V40" s="141">
        <f>IF(AND(H40=TRUE,OR(K40="",K40&gt;M40)),S40,0)</f>
        <v/>
      </c>
      <c r="W40" s="140" t="n">
        <v>0</v>
      </c>
      <c r="X40" s="140" t="b">
        <v>0</v>
      </c>
      <c r="Y40" s="143">
        <f>IF(H40=FALSE,VLOOKUP($C40,Sales!$C:$F,4,FALSE),1)</f>
        <v/>
      </c>
      <c r="Z40" s="140">
        <f>IF(Y40=0,"Release",IF(AND(L40&lt;J40,Y40=1,H40=FALSE,U40=FALSE,MONTH(L40)&amp;"/"&amp;YEAR(L40)&lt;&gt;MONTH(J40)&amp;"/"&amp;YEAR(J40)),"Release",""))</f>
        <v/>
      </c>
      <c r="AA40" s="144">
        <f>_xlfn.minifs($L:$L,$C:$C,$C40,$F:$F,"&lt;&gt;0")</f>
        <v/>
      </c>
      <c r="AB40" s="144">
        <f>C40&amp;"-"&amp;A40</f>
        <v/>
      </c>
      <c r="AC40" s="144">
        <f>L40</f>
        <v/>
      </c>
    </row>
    <row r="41">
      <c r="A41" s="140" t="inlineStr">
        <is>
          <t>ZHEY01</t>
        </is>
      </c>
      <c r="B41" s="140" t="n">
        <v>1</v>
      </c>
      <c r="C41" s="140" t="inlineStr">
        <is>
          <t>HFA205</t>
        </is>
      </c>
      <c r="D41" s="140" t="inlineStr">
        <is>
          <t>A</t>
        </is>
      </c>
      <c r="E41" s="140" t="inlineStr">
        <is>
          <t>Heynes Vincent Derick</t>
        </is>
      </c>
      <c r="F41" s="141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</f>
        <v/>
      </c>
      <c r="G41" s="142" t="n">
        <v>44352</v>
      </c>
      <c r="H41" s="140">
        <f>VLOOKUP($C41,Sales!$C:$E,2,FALSE)</f>
        <v/>
      </c>
      <c r="I41" s="140">
        <f>VLOOKUP($C41,Sales!$C:$E,3,FALSE)</f>
        <v/>
      </c>
      <c r="J41" s="142">
        <f>SUMIFS(Sales!$H:$H,Sales!$C:$C,'Investor Exit List'!$C41)</f>
        <v/>
      </c>
      <c r="K41" s="142">
        <f>IF(I41=TRUE,J41,"")</f>
        <v/>
      </c>
      <c r="L41" s="142">
        <f>G41+730</f>
        <v/>
      </c>
      <c r="M41" s="142" t="n">
        <v>45443</v>
      </c>
      <c r="N41" s="143">
        <f>IFERROR(IF(G41&lt;&gt;"",IF(I41=TRUE,0,IF(U41=TRUE,0,L41-M41)),0),0)</f>
        <v/>
      </c>
      <c r="O41" s="143">
        <f>IF(N41&gt;0,IF(N41&lt;=180,N41,0),0)</f>
        <v/>
      </c>
      <c r="P41" s="141">
        <f>IF(AND(N41&lt;90,N41&gt;0),Q41,0)</f>
        <v/>
      </c>
      <c r="Q41" s="141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/>
      </c>
      <c r="R41" s="141">
        <f>IF(AND(H41=TRUE,I41=FALSE),Q41,0)</f>
        <v/>
      </c>
      <c r="S41" s="141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/>
      </c>
      <c r="T41" s="142">
        <f>IF(U41=TRUE,$J41,"")</f>
        <v/>
      </c>
      <c r="U41" s="140" t="b">
        <v>1</v>
      </c>
      <c r="V41" s="141">
        <f>IF(AND(H41=TRUE,OR(K41="",K41&gt;M41)),S41,0)</f>
        <v/>
      </c>
      <c r="W41" s="140" t="n">
        <v>0</v>
      </c>
      <c r="X41" s="140" t="b">
        <v>0</v>
      </c>
      <c r="Y41" s="143">
        <f>IF(H41=FALSE,VLOOKUP($C41,Sales!$C:$F,4,FALSE),1)</f>
        <v/>
      </c>
      <c r="Z41" s="140">
        <f>IF(Y41=0,"Release",IF(AND(L41&lt;J41,Y41=1,H41=FALSE,U41=FALSE,MONTH(L41)&amp;"/"&amp;YEAR(L41)&lt;&gt;MONTH(J41)&amp;"/"&amp;YEAR(J41)),"Release",""))</f>
        <v/>
      </c>
      <c r="AA41" s="144">
        <f>_xlfn.minifs($L:$L,$C:$C,$C41,$F:$F,"&lt;&gt;0")</f>
        <v/>
      </c>
      <c r="AB41" s="144">
        <f>C41&amp;"-"&amp;A41</f>
        <v/>
      </c>
      <c r="AC41" s="144">
        <f>L41</f>
        <v/>
      </c>
    </row>
    <row r="42">
      <c r="A42" s="140" t="inlineStr">
        <is>
          <t>ZKOO01</t>
        </is>
      </c>
      <c r="B42" s="140" t="n">
        <v>2</v>
      </c>
      <c r="C42" s="140" t="inlineStr">
        <is>
          <t>HFA205</t>
        </is>
      </c>
      <c r="D42" s="140" t="inlineStr">
        <is>
          <t>A</t>
        </is>
      </c>
      <c r="E42" s="140" t="inlineStr">
        <is>
          <t>Koovarjee Jayprakash Brijbukhandas</t>
        </is>
      </c>
      <c r="F42" s="141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</f>
        <v/>
      </c>
      <c r="G42" s="142" t="n">
        <v>44352</v>
      </c>
      <c r="H42" s="140">
        <f>VLOOKUP($C42,Sales!$C:$E,2,FALSE)</f>
        <v/>
      </c>
      <c r="I42" s="140">
        <f>VLOOKUP($C42,Sales!$C:$E,3,FALSE)</f>
        <v/>
      </c>
      <c r="J42" s="142">
        <f>SUMIFS(Sales!$H:$H,Sales!$C:$C,'Investor Exit List'!$C42)</f>
        <v/>
      </c>
      <c r="K42" s="142">
        <f>IF(I42=TRUE,J42,"")</f>
        <v/>
      </c>
      <c r="L42" s="142">
        <f>G42+730</f>
        <v/>
      </c>
      <c r="M42" s="142" t="n">
        <v>45443</v>
      </c>
      <c r="N42" s="143">
        <f>IFERROR(IF(G42&lt;&gt;"",IF(I42=TRUE,0,IF(U42=TRUE,0,L42-M42)),0),0)</f>
        <v/>
      </c>
      <c r="O42" s="143">
        <f>IF(N42&gt;0,IF(N42&lt;=180,N42,0),0)</f>
        <v/>
      </c>
      <c r="P42" s="141">
        <f>IF(AND(N42&lt;90,N42&gt;0),Q42,0)</f>
        <v/>
      </c>
      <c r="Q42" s="141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/>
      </c>
      <c r="R42" s="141">
        <f>IF(AND(H42=TRUE,I42=FALSE),Q42,0)</f>
        <v/>
      </c>
      <c r="S42" s="141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/>
      </c>
      <c r="T42" s="142">
        <f>IF(U42=TRUE,$J42,"")</f>
        <v/>
      </c>
      <c r="U42" s="140" t="b">
        <v>0</v>
      </c>
      <c r="V42" s="141">
        <f>IF(AND(H42=TRUE,OR(K42="",K42&gt;M42)),S42,0)</f>
        <v/>
      </c>
      <c r="W42" s="140" t="n">
        <v>0</v>
      </c>
      <c r="X42" s="140" t="b">
        <v>0</v>
      </c>
      <c r="Y42" s="143">
        <f>IF(H42=FALSE,VLOOKUP($C42,Sales!$C:$F,4,FALSE),1)</f>
        <v/>
      </c>
      <c r="Z42" s="140">
        <f>IF(Y42=0,"Release",IF(AND(L42&lt;J42,Y42=1,H42=FALSE,U42=FALSE,MONTH(L42)&amp;"/"&amp;YEAR(L42)&lt;&gt;MONTH(J42)&amp;"/"&amp;YEAR(J42)),"Release",""))</f>
        <v/>
      </c>
      <c r="AA42" s="144">
        <f>_xlfn.minifs($L:$L,$C:$C,$C42,$F:$F,"&lt;&gt;0")</f>
        <v/>
      </c>
      <c r="AB42" s="144">
        <f>C42&amp;"-"&amp;A42</f>
        <v/>
      </c>
      <c r="AC42" s="144">
        <f>L42</f>
        <v/>
      </c>
    </row>
    <row r="43">
      <c r="A43" s="140" t="inlineStr">
        <is>
          <t>ZTPI01</t>
        </is>
      </c>
      <c r="B43" s="140" t="n">
        <v>1</v>
      </c>
      <c r="C43" s="140" t="inlineStr">
        <is>
          <t>HFA205</t>
        </is>
      </c>
      <c r="D43" s="140" t="inlineStr">
        <is>
          <t>A</t>
        </is>
      </c>
      <c r="E43" s="140" t="inlineStr">
        <is>
          <t>Matlala Raisibe Ellen</t>
        </is>
      </c>
      <c r="F43" s="141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</f>
        <v/>
      </c>
      <c r="G43" s="142" t="n">
        <v>44378</v>
      </c>
      <c r="H43" s="140">
        <f>VLOOKUP($C43,Sales!$C:$E,2,FALSE)</f>
        <v/>
      </c>
      <c r="I43" s="140">
        <f>VLOOKUP($C43,Sales!$C:$E,3,FALSE)</f>
        <v/>
      </c>
      <c r="J43" s="142">
        <f>SUMIFS(Sales!$H:$H,Sales!$C:$C,'Investor Exit List'!$C43)</f>
        <v/>
      </c>
      <c r="K43" s="142">
        <f>IF(I43=TRUE,J43,"")</f>
        <v/>
      </c>
      <c r="L43" s="142">
        <f>G43+730</f>
        <v/>
      </c>
      <c r="M43" s="142" t="n">
        <v>45443</v>
      </c>
      <c r="N43" s="143">
        <f>IFERROR(IF(G43&lt;&gt;"",IF(I43=TRUE,0,IF(U43=TRUE,0,L43-M43)),0),0)</f>
        <v/>
      </c>
      <c r="O43" s="143">
        <f>IF(N43&gt;0,IF(N43&lt;=180,N43,0),0)</f>
        <v/>
      </c>
      <c r="P43" s="141">
        <f>IF(AND(N43&lt;90,N43&gt;0),Q43,0)</f>
        <v/>
      </c>
      <c r="Q43" s="141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/>
      </c>
      <c r="R43" s="141">
        <f>IF(AND(H43=TRUE,I43=FALSE),Q43,0)</f>
        <v/>
      </c>
      <c r="S43" s="141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/>
      </c>
      <c r="T43" s="142">
        <f>IF(U43=TRUE,$J43,"")</f>
        <v/>
      </c>
      <c r="U43" s="140" t="b">
        <v>0</v>
      </c>
      <c r="V43" s="141">
        <f>IF(AND(H43=TRUE,OR(K43="",K43&gt;M43)),S43,0)</f>
        <v/>
      </c>
      <c r="W43" s="140" t="n">
        <v>0</v>
      </c>
      <c r="X43" s="140" t="b">
        <v>0</v>
      </c>
      <c r="Y43" s="143">
        <f>IF(H43=FALSE,VLOOKUP($C43,Sales!$C:$F,4,FALSE),1)</f>
        <v/>
      </c>
      <c r="Z43" s="140">
        <f>IF(Y43=0,"Release",IF(AND(L43&lt;J43,Y43=1,H43=FALSE,U43=FALSE,MONTH(L43)&amp;"/"&amp;YEAR(L43)&lt;&gt;MONTH(J43)&amp;"/"&amp;YEAR(J43)),"Release",""))</f>
        <v/>
      </c>
      <c r="AA43" s="144">
        <f>_xlfn.minifs($L:$L,$C:$C,$C43,$F:$F,"&lt;&gt;0")</f>
        <v/>
      </c>
      <c r="AB43" s="144">
        <f>C43&amp;"-"&amp;A43</f>
        <v/>
      </c>
      <c r="AC43" s="144">
        <f>L43</f>
        <v/>
      </c>
    </row>
    <row r="44">
      <c r="A44" s="140" t="inlineStr">
        <is>
          <t>ZBOH01</t>
        </is>
      </c>
      <c r="B44" s="140" t="n">
        <v>1</v>
      </c>
      <c r="C44" s="140" t="inlineStr">
        <is>
          <t>HFA206</t>
        </is>
      </c>
      <c r="D44" s="140" t="inlineStr">
        <is>
          <t>A</t>
        </is>
      </c>
      <c r="E44" s="140" t="inlineStr">
        <is>
          <t>Brenda Bohme Werner Hugo Bohme &amp;</t>
        </is>
      </c>
      <c r="F44" s="141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</f>
        <v/>
      </c>
      <c r="G44" s="142" t="n">
        <v>44352</v>
      </c>
      <c r="H44" s="140">
        <f>VLOOKUP($C44,Sales!$C:$E,2,FALSE)</f>
        <v/>
      </c>
      <c r="I44" s="140">
        <f>VLOOKUP($C44,Sales!$C:$E,3,FALSE)</f>
        <v/>
      </c>
      <c r="J44" s="142">
        <f>SUMIFS(Sales!$H:$H,Sales!$C:$C,'Investor Exit List'!$C44)</f>
        <v/>
      </c>
      <c r="K44" s="142">
        <f>IF(I44=TRUE,J44,"")</f>
        <v/>
      </c>
      <c r="L44" s="142">
        <f>G44+730</f>
        <v/>
      </c>
      <c r="M44" s="142" t="n">
        <v>45443</v>
      </c>
      <c r="N44" s="143">
        <f>IFERROR(IF(G44&lt;&gt;"",IF(I44=TRUE,0,IF(U44=TRUE,0,L44-M44)),0),0)</f>
        <v/>
      </c>
      <c r="O44" s="143">
        <f>IF(N44&gt;0,IF(N44&lt;=180,N44,0),0)</f>
        <v/>
      </c>
      <c r="P44" s="141">
        <f>IF(AND(N44&lt;90,N44&gt;0),Q44,0)</f>
        <v/>
      </c>
      <c r="Q44" s="141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/>
      </c>
      <c r="R44" s="141">
        <f>IF(AND(H44=TRUE,I44=FALSE),Q44,0)</f>
        <v/>
      </c>
      <c r="S44" s="141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/>
      </c>
      <c r="T44" s="142">
        <f>IF(U44=TRUE,$J44,"")</f>
        <v/>
      </c>
      <c r="U44" s="140" t="b">
        <v>0</v>
      </c>
      <c r="V44" s="141">
        <f>IF(AND(H44=TRUE,OR(K44="",K44&gt;M44)),S44,0)</f>
        <v/>
      </c>
      <c r="W44" s="140" t="n">
        <v>0</v>
      </c>
      <c r="X44" s="140" t="b">
        <v>0</v>
      </c>
      <c r="Y44" s="143">
        <f>IF(H44=FALSE,VLOOKUP($C44,Sales!$C:$F,4,FALSE),1)</f>
        <v/>
      </c>
      <c r="Z44" s="140">
        <f>IF(Y44=0,"Release",IF(AND(L44&lt;J44,Y44=1,H44=FALSE,U44=FALSE,MONTH(L44)&amp;"/"&amp;YEAR(L44)&lt;&gt;MONTH(J44)&amp;"/"&amp;YEAR(J44)),"Release",""))</f>
        <v/>
      </c>
      <c r="AA44" s="144">
        <f>_xlfn.minifs($L:$L,$C:$C,$C44,$F:$F,"&lt;&gt;0")</f>
        <v/>
      </c>
      <c r="AB44" s="144">
        <f>C44&amp;"-"&amp;A44</f>
        <v/>
      </c>
      <c r="AC44" s="144">
        <f>L44</f>
        <v/>
      </c>
    </row>
    <row r="45">
      <c r="A45" s="140" t="inlineStr">
        <is>
          <t>ZLEW02</t>
        </is>
      </c>
      <c r="B45" s="140" t="n">
        <v>1</v>
      </c>
      <c r="C45" s="140" t="inlineStr">
        <is>
          <t>HFA206</t>
        </is>
      </c>
      <c r="D45" s="140" t="inlineStr">
        <is>
          <t>A</t>
        </is>
      </c>
      <c r="E45" s="140" t="inlineStr">
        <is>
          <t>Lewis Leon</t>
        </is>
      </c>
      <c r="F45" s="141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</f>
        <v/>
      </c>
      <c r="G45" s="142" t="n">
        <v>44352</v>
      </c>
      <c r="H45" s="140">
        <f>VLOOKUP($C45,Sales!$C:$E,2,FALSE)</f>
        <v/>
      </c>
      <c r="I45" s="140">
        <f>VLOOKUP($C45,Sales!$C:$E,3,FALSE)</f>
        <v/>
      </c>
      <c r="J45" s="142">
        <f>SUMIFS(Sales!$H:$H,Sales!$C:$C,'Investor Exit List'!$C45)</f>
        <v/>
      </c>
      <c r="K45" s="142">
        <f>IF(I45=TRUE,J45,"")</f>
        <v/>
      </c>
      <c r="L45" s="142">
        <f>G45+730</f>
        <v/>
      </c>
      <c r="M45" s="142" t="n">
        <v>45443</v>
      </c>
      <c r="N45" s="143">
        <f>IFERROR(IF(G45&lt;&gt;"",IF(I45=TRUE,0,IF(U45=TRUE,0,L45-M45)),0),0)</f>
        <v/>
      </c>
      <c r="O45" s="143">
        <f>IF(N45&gt;0,IF(N45&lt;=180,N45,0),0)</f>
        <v/>
      </c>
      <c r="P45" s="141">
        <f>IF(AND(N45&lt;90,N45&gt;0),Q45,0)</f>
        <v/>
      </c>
      <c r="Q45" s="141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/>
      </c>
      <c r="R45" s="141">
        <f>IF(AND(H45=TRUE,I45=FALSE),Q45,0)</f>
        <v/>
      </c>
      <c r="S45" s="141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/>
      </c>
      <c r="T45" s="142">
        <f>IF(U45=TRUE,$J45,"")</f>
        <v/>
      </c>
      <c r="U45" s="140" t="b">
        <v>0</v>
      </c>
      <c r="V45" s="141">
        <f>IF(AND(H45=TRUE,OR(K45="",K45&gt;M45)),S45,0)</f>
        <v/>
      </c>
      <c r="W45" s="140" t="n">
        <v>0</v>
      </c>
      <c r="X45" s="140" t="b">
        <v>0</v>
      </c>
      <c r="Y45" s="143">
        <f>IF(H45=FALSE,VLOOKUP($C45,Sales!$C:$F,4,FALSE),1)</f>
        <v/>
      </c>
      <c r="Z45" s="140">
        <f>IF(Y45=0,"Release",IF(AND(L45&lt;J45,Y45=1,H45=FALSE,U45=FALSE,MONTH(L45)&amp;"/"&amp;YEAR(L45)&lt;&gt;MONTH(J45)&amp;"/"&amp;YEAR(J45)),"Release",""))</f>
        <v/>
      </c>
      <c r="AA45" s="144">
        <f>_xlfn.minifs($L:$L,$C:$C,$C45,$F:$F,"&lt;&gt;0")</f>
        <v/>
      </c>
      <c r="AB45" s="144">
        <f>C45&amp;"-"&amp;A45</f>
        <v/>
      </c>
      <c r="AC45" s="144">
        <f>L45</f>
        <v/>
      </c>
    </row>
    <row r="46">
      <c r="A46" s="140" t="inlineStr">
        <is>
          <t>ZMAG01</t>
        </is>
      </c>
      <c r="B46" s="140" t="n">
        <v>3</v>
      </c>
      <c r="C46" s="140" t="inlineStr">
        <is>
          <t>HFA206</t>
        </is>
      </c>
      <c r="D46" s="140" t="inlineStr">
        <is>
          <t>A</t>
        </is>
      </c>
      <c r="E46" s="140" t="inlineStr">
        <is>
          <t>Psomotragos Petro</t>
        </is>
      </c>
      <c r="F46" s="141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</f>
        <v/>
      </c>
      <c r="G46" s="142" t="n">
        <v>44378</v>
      </c>
      <c r="H46" s="140">
        <f>VLOOKUP($C46,Sales!$C:$E,2,FALSE)</f>
        <v/>
      </c>
      <c r="I46" s="140">
        <f>VLOOKUP($C46,Sales!$C:$E,3,FALSE)</f>
        <v/>
      </c>
      <c r="J46" s="142">
        <f>SUMIFS(Sales!$H:$H,Sales!$C:$C,'Investor Exit List'!$C46)</f>
        <v/>
      </c>
      <c r="K46" s="142">
        <f>IF(I46=TRUE,J46,"")</f>
        <v/>
      </c>
      <c r="L46" s="142">
        <f>G46+730</f>
        <v/>
      </c>
      <c r="M46" s="142" t="n">
        <v>45443</v>
      </c>
      <c r="N46" s="143">
        <f>IFERROR(IF(G46&lt;&gt;"",IF(I46=TRUE,0,IF(U46=TRUE,0,L46-M46)),0),0)</f>
        <v/>
      </c>
      <c r="O46" s="143">
        <f>IF(N46&gt;0,IF(N46&lt;=180,N46,0),0)</f>
        <v/>
      </c>
      <c r="P46" s="141">
        <f>IF(AND(N46&lt;90,N46&gt;0),Q46,0)</f>
        <v/>
      </c>
      <c r="Q46" s="141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/>
      </c>
      <c r="R46" s="141">
        <f>IF(AND(H46=TRUE,I46=FALSE),Q46,0)</f>
        <v/>
      </c>
      <c r="S46" s="141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/>
      </c>
      <c r="T46" s="142">
        <f>IF(U46=TRUE,$J46,"")</f>
        <v/>
      </c>
      <c r="U46" s="140" t="b">
        <v>0</v>
      </c>
      <c r="V46" s="141">
        <f>IF(AND(H46=TRUE,OR(K46="",K46&gt;M46)),S46,0)</f>
        <v/>
      </c>
      <c r="W46" s="140" t="n">
        <v>0</v>
      </c>
      <c r="X46" s="140" t="b">
        <v>0</v>
      </c>
      <c r="Y46" s="143">
        <f>IF(H46=FALSE,VLOOKUP($C46,Sales!$C:$F,4,FALSE),1)</f>
        <v/>
      </c>
      <c r="Z46" s="140">
        <f>IF(Y46=0,"Release",IF(AND(L46&lt;J46,Y46=1,H46=FALSE,U46=FALSE,MONTH(L46)&amp;"/"&amp;YEAR(L46)&lt;&gt;MONTH(J46)&amp;"/"&amp;YEAR(J46)),"Release",""))</f>
        <v/>
      </c>
      <c r="AA46" s="144">
        <f>_xlfn.minifs($L:$L,$C:$C,$C46,$F:$F,"&lt;&gt;0")</f>
        <v/>
      </c>
      <c r="AB46" s="144">
        <f>C46&amp;"-"&amp;A46</f>
        <v/>
      </c>
      <c r="AC46" s="144">
        <f>L46</f>
        <v/>
      </c>
    </row>
    <row r="47">
      <c r="A47" s="140" t="inlineStr">
        <is>
          <t>ZVDM01</t>
        </is>
      </c>
      <c r="B47" s="140" t="n">
        <v>3</v>
      </c>
      <c r="C47" s="140" t="inlineStr">
        <is>
          <t>HFA206</t>
        </is>
      </c>
      <c r="D47" s="140" t="inlineStr">
        <is>
          <t>A</t>
        </is>
      </c>
      <c r="E47" s="140" t="inlineStr">
        <is>
          <t>van der Mescht Paula</t>
        </is>
      </c>
      <c r="F47" s="141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</f>
        <v/>
      </c>
      <c r="G47" s="142" t="n">
        <v>44316</v>
      </c>
      <c r="H47" s="140">
        <f>VLOOKUP($C47,Sales!$C:$E,2,FALSE)</f>
        <v/>
      </c>
      <c r="I47" s="140">
        <f>VLOOKUP($C47,Sales!$C:$E,3,FALSE)</f>
        <v/>
      </c>
      <c r="J47" s="142">
        <f>SUMIFS(Sales!$H:$H,Sales!$C:$C,'Investor Exit List'!$C47)</f>
        <v/>
      </c>
      <c r="K47" s="142">
        <f>IF(I47=TRUE,J47,"")</f>
        <v/>
      </c>
      <c r="L47" s="142">
        <f>G47+730</f>
        <v/>
      </c>
      <c r="M47" s="142" t="n">
        <v>45443</v>
      </c>
      <c r="N47" s="143">
        <f>IFERROR(IF(G47&lt;&gt;"",IF(I47=TRUE,0,IF(U47=TRUE,0,L47-M47)),0),0)</f>
        <v/>
      </c>
      <c r="O47" s="143">
        <f>IF(N47&gt;0,IF(N47&lt;=180,N47,0),0)</f>
        <v/>
      </c>
      <c r="P47" s="141">
        <f>IF(AND(N47&lt;90,N47&gt;0),Q47,0)</f>
        <v/>
      </c>
      <c r="Q47" s="141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/>
      </c>
      <c r="R47" s="141">
        <f>IF(AND(H47=TRUE,I47=FALSE),Q47,0)</f>
        <v/>
      </c>
      <c r="S47" s="141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/>
      </c>
      <c r="T47" s="142">
        <f>IF(U47=TRUE,$J47,"")</f>
        <v/>
      </c>
      <c r="U47" s="140" t="b">
        <v>0</v>
      </c>
      <c r="V47" s="141">
        <f>IF(AND(H47=TRUE,OR(K47="",K47&gt;M47)),S47,0)</f>
        <v/>
      </c>
      <c r="W47" s="140" t="n">
        <v>0</v>
      </c>
      <c r="X47" s="140" t="b">
        <v>0</v>
      </c>
      <c r="Y47" s="143">
        <f>IF(H47=FALSE,VLOOKUP($C47,Sales!$C:$F,4,FALSE),1)</f>
        <v/>
      </c>
      <c r="Z47" s="140">
        <f>IF(Y47=0,"Release",IF(AND(L47&lt;J47,Y47=1,H47=FALSE,U47=FALSE,MONTH(L47)&amp;"/"&amp;YEAR(L47)&lt;&gt;MONTH(J47)&amp;"/"&amp;YEAR(J47)),"Release",""))</f>
        <v/>
      </c>
      <c r="AA47" s="144">
        <f>_xlfn.minifs($L:$L,$C:$C,$C47,$F:$F,"&lt;&gt;0")</f>
        <v/>
      </c>
      <c r="AB47" s="144">
        <f>C47&amp;"-"&amp;A47</f>
        <v/>
      </c>
      <c r="AC47" s="144">
        <f>L47</f>
        <v/>
      </c>
    </row>
    <row r="48">
      <c r="A48" s="140" t="inlineStr">
        <is>
          <t>ZMAT01</t>
        </is>
      </c>
      <c r="B48" s="140" t="n">
        <v>4</v>
      </c>
      <c r="C48" s="140" t="inlineStr">
        <is>
          <t>HFA301</t>
        </is>
      </c>
      <c r="D48" s="140" t="inlineStr">
        <is>
          <t>A</t>
        </is>
      </c>
      <c r="E48" s="140" t="inlineStr">
        <is>
          <t>Matthews Natalie</t>
        </is>
      </c>
      <c r="F48" s="141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</f>
        <v/>
      </c>
      <c r="G48" s="142" t="n">
        <v>44378</v>
      </c>
      <c r="H48" s="140">
        <f>VLOOKUP($C48,Sales!$C:$E,2,FALSE)</f>
        <v/>
      </c>
      <c r="I48" s="140">
        <f>VLOOKUP($C48,Sales!$C:$E,3,FALSE)</f>
        <v/>
      </c>
      <c r="J48" s="142">
        <f>SUMIFS(Sales!$H:$H,Sales!$C:$C,'Investor Exit List'!$C48)</f>
        <v/>
      </c>
      <c r="K48" s="142">
        <f>IF(I48=TRUE,J48,"")</f>
        <v/>
      </c>
      <c r="L48" s="142">
        <f>G48+730</f>
        <v/>
      </c>
      <c r="M48" s="142" t="n">
        <v>45443</v>
      </c>
      <c r="N48" s="143">
        <f>IFERROR(IF(G48&lt;&gt;"",IF(I48=TRUE,0,IF(U48=TRUE,0,L48-M48)),0),0)</f>
        <v/>
      </c>
      <c r="O48" s="143">
        <f>IF(N48&gt;0,IF(N48&lt;=180,N48,0),0)</f>
        <v/>
      </c>
      <c r="P48" s="141">
        <f>IF(AND(N48&lt;90,N48&gt;0),Q48,0)</f>
        <v/>
      </c>
      <c r="Q48" s="141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/>
      </c>
      <c r="R48" s="141">
        <f>IF(AND(H48=TRUE,I48=FALSE),Q48,0)</f>
        <v/>
      </c>
      <c r="S48" s="141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/>
      </c>
      <c r="T48" s="142">
        <f>IF(U48=TRUE,$J48,"")</f>
        <v/>
      </c>
      <c r="U48" s="140" t="b">
        <v>0</v>
      </c>
      <c r="V48" s="141">
        <f>IF(AND(H48=TRUE,OR(K48="",K48&gt;M48)),S48,0)</f>
        <v/>
      </c>
      <c r="W48" s="140" t="n">
        <v>0</v>
      </c>
      <c r="X48" s="140" t="b">
        <v>0</v>
      </c>
      <c r="Y48" s="143">
        <f>IF(H48=FALSE,VLOOKUP($C48,Sales!$C:$F,4,FALSE),1)</f>
        <v/>
      </c>
      <c r="Z48" s="140">
        <f>IF(Y48=0,"Release",IF(AND(L48&lt;J48,Y48=1,H48=FALSE,U48=FALSE,MONTH(L48)&amp;"/"&amp;YEAR(L48)&lt;&gt;MONTH(J48)&amp;"/"&amp;YEAR(J48)),"Release",""))</f>
        <v/>
      </c>
      <c r="AA48" s="144">
        <f>_xlfn.minifs($L:$L,$C:$C,$C48,$F:$F,"&lt;&gt;0")</f>
        <v/>
      </c>
      <c r="AB48" s="144">
        <f>C48&amp;"-"&amp;A48</f>
        <v/>
      </c>
      <c r="AC48" s="144">
        <f>L48</f>
        <v/>
      </c>
    </row>
    <row r="49">
      <c r="A49" s="140" t="inlineStr">
        <is>
          <t>ZSCH01</t>
        </is>
      </c>
      <c r="B49" s="140" t="n">
        <v>11</v>
      </c>
      <c r="C49" s="140" t="inlineStr">
        <is>
          <t>HFA301</t>
        </is>
      </c>
      <c r="D49" s="140" t="inlineStr">
        <is>
          <t>A</t>
        </is>
      </c>
      <c r="E49" s="140" t="inlineStr">
        <is>
          <t>Schubert Inge</t>
        </is>
      </c>
      <c r="F49" s="141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</f>
        <v/>
      </c>
      <c r="G49" s="142" t="n">
        <v>44352</v>
      </c>
      <c r="H49" s="140">
        <f>VLOOKUP($C49,Sales!$C:$E,2,FALSE)</f>
        <v/>
      </c>
      <c r="I49" s="140">
        <f>VLOOKUP($C49,Sales!$C:$E,3,FALSE)</f>
        <v/>
      </c>
      <c r="J49" s="142">
        <f>SUMIFS(Sales!$H:$H,Sales!$C:$C,'Investor Exit List'!$C49)</f>
        <v/>
      </c>
      <c r="K49" s="142">
        <f>IF(I49=TRUE,J49,"")</f>
        <v/>
      </c>
      <c r="L49" s="142">
        <f>G49+730</f>
        <v/>
      </c>
      <c r="M49" s="142" t="n">
        <v>45443</v>
      </c>
      <c r="N49" s="143">
        <f>IFERROR(IF(G49&lt;&gt;"",IF(I49=TRUE,0,IF(U49=TRUE,0,L49-M49)),0),0)</f>
        <v/>
      </c>
      <c r="O49" s="143">
        <f>IF(N49&gt;0,IF(N49&lt;=180,N49,0),0)</f>
        <v/>
      </c>
      <c r="P49" s="141">
        <f>IF(AND(N49&lt;90,N49&gt;0),Q49,0)</f>
        <v/>
      </c>
      <c r="Q49" s="141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/>
      </c>
      <c r="R49" s="141">
        <f>IF(AND(H49=TRUE,I49=FALSE),Q49,0)</f>
        <v/>
      </c>
      <c r="S49" s="141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/>
      </c>
      <c r="T49" s="142">
        <f>IF(U49=TRUE,$J49,"")</f>
        <v/>
      </c>
      <c r="U49" s="140" t="b">
        <v>0</v>
      </c>
      <c r="V49" s="141">
        <f>IF(AND(H49=TRUE,OR(K49="",K49&gt;M49)),S49,0)</f>
        <v/>
      </c>
      <c r="W49" s="140" t="n">
        <v>0</v>
      </c>
      <c r="X49" s="140" t="b">
        <v>0</v>
      </c>
      <c r="Y49" s="143">
        <f>IF(H49=FALSE,VLOOKUP($C49,Sales!$C:$F,4,FALSE),1)</f>
        <v/>
      </c>
      <c r="Z49" s="140">
        <f>IF(Y49=0,"Release",IF(AND(L49&lt;J49,Y49=1,H49=FALSE,U49=FALSE,MONTH(L49)&amp;"/"&amp;YEAR(L49)&lt;&gt;MONTH(J49)&amp;"/"&amp;YEAR(J49)),"Release",""))</f>
        <v/>
      </c>
      <c r="AA49" s="144">
        <f>_xlfn.minifs($L:$L,$C:$C,$C49,$F:$F,"&lt;&gt;0")</f>
        <v/>
      </c>
      <c r="AB49" s="144">
        <f>C49&amp;"-"&amp;A49</f>
        <v/>
      </c>
      <c r="AC49" s="144">
        <f>L49</f>
        <v/>
      </c>
    </row>
    <row r="50">
      <c r="A50" s="140" t="inlineStr">
        <is>
          <t>ZTSH01</t>
        </is>
      </c>
      <c r="B50" s="140" t="n">
        <v>1</v>
      </c>
      <c r="C50" s="140" t="inlineStr">
        <is>
          <t>HFA301</t>
        </is>
      </c>
      <c r="D50" s="140" t="inlineStr">
        <is>
          <t>A</t>
        </is>
      </c>
      <c r="E50" s="140" t="inlineStr">
        <is>
          <t>Tshabalala Thandeka Patience</t>
        </is>
      </c>
      <c r="F50" s="141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</f>
        <v/>
      </c>
      <c r="G50" s="142" t="n">
        <v>44378</v>
      </c>
      <c r="H50" s="140">
        <f>VLOOKUP($C50,Sales!$C:$E,2,FALSE)</f>
        <v/>
      </c>
      <c r="I50" s="140">
        <f>VLOOKUP($C50,Sales!$C:$E,3,FALSE)</f>
        <v/>
      </c>
      <c r="J50" s="142">
        <f>SUMIFS(Sales!$H:$H,Sales!$C:$C,'Investor Exit List'!$C50)</f>
        <v/>
      </c>
      <c r="K50" s="142">
        <f>IF(I50=TRUE,J50,"")</f>
        <v/>
      </c>
      <c r="L50" s="142">
        <f>G50+730</f>
        <v/>
      </c>
      <c r="M50" s="142" t="n">
        <v>45443</v>
      </c>
      <c r="N50" s="143">
        <f>IFERROR(IF(G50&lt;&gt;"",IF(I50=TRUE,0,IF(U50=TRUE,0,L50-M50)),0),0)</f>
        <v/>
      </c>
      <c r="O50" s="143">
        <f>IF(N50&gt;0,IF(N50&lt;=180,N50,0),0)</f>
        <v/>
      </c>
      <c r="P50" s="141">
        <f>IF(AND(N50&lt;90,N50&gt;0),Q50,0)</f>
        <v/>
      </c>
      <c r="Q50" s="141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/>
      </c>
      <c r="R50" s="141">
        <f>IF(AND(H50=TRUE,I50=FALSE),Q50,0)</f>
        <v/>
      </c>
      <c r="S50" s="141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/>
      </c>
      <c r="T50" s="142">
        <f>IF(U50=TRUE,$J50,"")</f>
        <v/>
      </c>
      <c r="U50" s="140" t="b">
        <v>0</v>
      </c>
      <c r="V50" s="141">
        <f>IF(AND(H50=TRUE,OR(K50="",K50&gt;M50)),S50,0)</f>
        <v/>
      </c>
      <c r="W50" s="140" t="n">
        <v>0</v>
      </c>
      <c r="X50" s="140" t="b">
        <v>0</v>
      </c>
      <c r="Y50" s="143">
        <f>IF(H50=FALSE,VLOOKUP($C50,Sales!$C:$F,4,FALSE),1)</f>
        <v/>
      </c>
      <c r="Z50" s="140">
        <f>IF(Y50=0,"Release",IF(AND(L50&lt;J50,Y50=1,H50=FALSE,U50=FALSE,MONTH(L50)&amp;"/"&amp;YEAR(L50)&lt;&gt;MONTH(J50)&amp;"/"&amp;YEAR(J50)),"Release",""))</f>
        <v/>
      </c>
      <c r="AA50" s="144">
        <f>_xlfn.minifs($L:$L,$C:$C,$C50,$F:$F,"&lt;&gt;0")</f>
        <v/>
      </c>
      <c r="AB50" s="144">
        <f>C50&amp;"-"&amp;A50</f>
        <v/>
      </c>
      <c r="AC50" s="144">
        <f>L50</f>
        <v/>
      </c>
    </row>
    <row r="51">
      <c r="A51" s="140" t="inlineStr">
        <is>
          <t>ZASD01</t>
        </is>
      </c>
      <c r="B51" s="140" t="n">
        <v>1</v>
      </c>
      <c r="C51" s="140" t="inlineStr">
        <is>
          <t>HFA302</t>
        </is>
      </c>
      <c r="D51" s="140" t="inlineStr">
        <is>
          <t>A</t>
        </is>
      </c>
      <c r="E51" s="140" t="inlineStr">
        <is>
          <t>Bendall Stuart Charles</t>
        </is>
      </c>
      <c r="F51" s="141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</f>
        <v/>
      </c>
      <c r="G51" s="142" t="n">
        <v>44352</v>
      </c>
      <c r="H51" s="140">
        <f>VLOOKUP($C51,Sales!$C:$E,2,FALSE)</f>
        <v/>
      </c>
      <c r="I51" s="140">
        <f>VLOOKUP($C51,Sales!$C:$E,3,FALSE)</f>
        <v/>
      </c>
      <c r="J51" s="142">
        <f>SUMIFS(Sales!$H:$H,Sales!$C:$C,'Investor Exit List'!$C51)</f>
        <v/>
      </c>
      <c r="K51" s="142">
        <f>IF(I51=TRUE,J51,"")</f>
        <v/>
      </c>
      <c r="L51" s="142">
        <f>G51+730</f>
        <v/>
      </c>
      <c r="M51" s="142" t="n">
        <v>45443</v>
      </c>
      <c r="N51" s="143">
        <f>IFERROR(IF(G51&lt;&gt;"",IF(I51=TRUE,0,IF(U51=TRUE,0,L51-M51)),0),0)</f>
        <v/>
      </c>
      <c r="O51" s="143">
        <f>IF(N51&gt;0,IF(N51&lt;=180,N51,0),0)</f>
        <v/>
      </c>
      <c r="P51" s="141">
        <f>IF(AND(N51&lt;90,N51&gt;0),Q51,0)</f>
        <v/>
      </c>
      <c r="Q51" s="141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/>
      </c>
      <c r="R51" s="141">
        <f>IF(AND(H51=TRUE,I51=FALSE),Q51,0)</f>
        <v/>
      </c>
      <c r="S51" s="141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/>
      </c>
      <c r="T51" s="142">
        <f>IF(U51=TRUE,$J51,"")</f>
        <v/>
      </c>
      <c r="U51" s="140" t="b">
        <v>0</v>
      </c>
      <c r="V51" s="141">
        <f>IF(AND(H51=TRUE,OR(K51="",K51&gt;M51)),S51,0)</f>
        <v/>
      </c>
      <c r="W51" s="140" t="n">
        <v>0</v>
      </c>
      <c r="X51" s="140" t="b">
        <v>0</v>
      </c>
      <c r="Y51" s="143">
        <f>IF(H51=FALSE,VLOOKUP($C51,Sales!$C:$F,4,FALSE),1)</f>
        <v/>
      </c>
      <c r="Z51" s="140">
        <f>IF(Y51=0,"Release",IF(AND(L51&lt;J51,Y51=1,H51=FALSE,U51=FALSE,MONTH(L51)&amp;"/"&amp;YEAR(L51)&lt;&gt;MONTH(J51)&amp;"/"&amp;YEAR(J51)),"Release",""))</f>
        <v/>
      </c>
      <c r="AA51" s="144">
        <f>_xlfn.minifs($L:$L,$C:$C,$C51,$F:$F,"&lt;&gt;0")</f>
        <v/>
      </c>
      <c r="AB51" s="144">
        <f>C51&amp;"-"&amp;A51</f>
        <v/>
      </c>
      <c r="AC51" s="144">
        <f>L51</f>
        <v/>
      </c>
    </row>
    <row r="52">
      <c r="A52" s="140" t="inlineStr">
        <is>
          <t>ZMCK01</t>
        </is>
      </c>
      <c r="B52" s="140" t="n">
        <v>2</v>
      </c>
      <c r="C52" s="140" t="inlineStr">
        <is>
          <t>HFA302</t>
        </is>
      </c>
      <c r="D52" s="140" t="inlineStr">
        <is>
          <t>A</t>
        </is>
      </c>
      <c r="E52" s="140" t="inlineStr">
        <is>
          <t>MacKenzie-Jones Caitlin</t>
        </is>
      </c>
      <c r="F52" s="141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</f>
        <v/>
      </c>
      <c r="G52" s="142" t="n">
        <v>44352</v>
      </c>
      <c r="H52" s="140">
        <f>VLOOKUP($C52,Sales!$C:$E,2,FALSE)</f>
        <v/>
      </c>
      <c r="I52" s="140">
        <f>VLOOKUP($C52,Sales!$C:$E,3,FALSE)</f>
        <v/>
      </c>
      <c r="J52" s="142">
        <f>SUMIFS(Sales!$H:$H,Sales!$C:$C,'Investor Exit List'!$C52)</f>
        <v/>
      </c>
      <c r="K52" s="142">
        <f>IF(I52=TRUE,J52,"")</f>
        <v/>
      </c>
      <c r="L52" s="142">
        <f>G52+730</f>
        <v/>
      </c>
      <c r="M52" s="142" t="n">
        <v>45443</v>
      </c>
      <c r="N52" s="143">
        <f>IFERROR(IF(G52&lt;&gt;"",IF(I52=TRUE,0,IF(U52=TRUE,0,L52-M52)),0),0)</f>
        <v/>
      </c>
      <c r="O52" s="143">
        <f>IF(N52&gt;0,IF(N52&lt;=180,N52,0),0)</f>
        <v/>
      </c>
      <c r="P52" s="141">
        <f>IF(AND(N52&lt;90,N52&gt;0),Q52,0)</f>
        <v/>
      </c>
      <c r="Q52" s="141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/>
      </c>
      <c r="R52" s="141">
        <f>IF(AND(H52=TRUE,I52=FALSE),Q52,0)</f>
        <v/>
      </c>
      <c r="S52" s="141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/>
      </c>
      <c r="T52" s="142">
        <f>IF(U52=TRUE,$J52,"")</f>
        <v/>
      </c>
      <c r="U52" s="140" t="b">
        <v>0</v>
      </c>
      <c r="V52" s="141">
        <f>IF(AND(H52=TRUE,OR(K52="",K52&gt;M52)),S52,0)</f>
        <v/>
      </c>
      <c r="W52" s="140" t="n">
        <v>0</v>
      </c>
      <c r="X52" s="140" t="b">
        <v>0</v>
      </c>
      <c r="Y52" s="143">
        <f>IF(H52=FALSE,VLOOKUP($C52,Sales!$C:$F,4,FALSE),1)</f>
        <v/>
      </c>
      <c r="Z52" s="140">
        <f>IF(Y52=0,"Release",IF(AND(L52&lt;J52,Y52=1,H52=FALSE,U52=FALSE,MONTH(L52)&amp;"/"&amp;YEAR(L52)&lt;&gt;MONTH(J52)&amp;"/"&amp;YEAR(J52)),"Release",""))</f>
        <v/>
      </c>
      <c r="AA52" s="144">
        <f>_xlfn.minifs($L:$L,$C:$C,$C52,$F:$F,"&lt;&gt;0")</f>
        <v/>
      </c>
      <c r="AB52" s="144">
        <f>C52&amp;"-"&amp;A52</f>
        <v/>
      </c>
      <c r="AC52" s="144">
        <f>L52</f>
        <v/>
      </c>
    </row>
    <row r="53">
      <c r="A53" s="140" t="inlineStr">
        <is>
          <t>ZGMA01</t>
        </is>
      </c>
      <c r="B53" s="140" t="n">
        <v>1</v>
      </c>
      <c r="C53" s="140" t="inlineStr">
        <is>
          <t>HFA303</t>
        </is>
      </c>
      <c r="D53" s="140" t="inlineStr">
        <is>
          <t>A</t>
        </is>
      </c>
      <c r="E53" s="140" t="inlineStr">
        <is>
          <t>Matthee Gerald Adriaan Odendal</t>
        </is>
      </c>
      <c r="F53" s="141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</f>
        <v/>
      </c>
      <c r="G53" s="142" t="n">
        <v>44352</v>
      </c>
      <c r="H53" s="140">
        <f>VLOOKUP($C53,Sales!$C:$E,2,FALSE)</f>
        <v/>
      </c>
      <c r="I53" s="140">
        <f>VLOOKUP($C53,Sales!$C:$E,3,FALSE)</f>
        <v/>
      </c>
      <c r="J53" s="142">
        <f>SUMIFS(Sales!$H:$H,Sales!$C:$C,'Investor Exit List'!$C53)</f>
        <v/>
      </c>
      <c r="K53" s="142">
        <f>IF(I53=TRUE,J53,"")</f>
        <v/>
      </c>
      <c r="L53" s="142">
        <f>G53+730</f>
        <v/>
      </c>
      <c r="M53" s="142" t="n">
        <v>45443</v>
      </c>
      <c r="N53" s="143">
        <f>IFERROR(IF(G53&lt;&gt;"",IF(I53=TRUE,0,IF(U53=TRUE,0,L53-M53)),0),0)</f>
        <v/>
      </c>
      <c r="O53" s="143">
        <f>IF(N53&gt;0,IF(N53&lt;=180,N53,0),0)</f>
        <v/>
      </c>
      <c r="P53" s="141">
        <f>IF(AND(N53&lt;90,N53&gt;0),Q53,0)</f>
        <v/>
      </c>
      <c r="Q53" s="141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/>
      </c>
      <c r="R53" s="141">
        <f>IF(AND(H53=TRUE,I53=FALSE),Q53,0)</f>
        <v/>
      </c>
      <c r="S53" s="141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/>
      </c>
      <c r="T53" s="142">
        <f>IF(U53=TRUE,$J53,"")</f>
        <v/>
      </c>
      <c r="U53" s="140" t="b">
        <v>0</v>
      </c>
      <c r="V53" s="141">
        <f>IF(AND(H53=TRUE,OR(K53="",K53&gt;M53)),S53,0)</f>
        <v/>
      </c>
      <c r="W53" s="140" t="n">
        <v>0</v>
      </c>
      <c r="X53" s="140" t="b">
        <v>0</v>
      </c>
      <c r="Y53" s="143">
        <f>IF(H53=FALSE,VLOOKUP($C53,Sales!$C:$F,4,FALSE),1)</f>
        <v/>
      </c>
      <c r="Z53" s="140">
        <f>IF(Y53=0,"Release",IF(AND(L53&lt;J53,Y53=1,H53=FALSE,U53=FALSE,MONTH(L53)&amp;"/"&amp;YEAR(L53)&lt;&gt;MONTH(J53)&amp;"/"&amp;YEAR(J53)),"Release",""))</f>
        <v/>
      </c>
      <c r="AA53" s="144">
        <f>_xlfn.minifs($L:$L,$C:$C,$C53,$F:$F,"&lt;&gt;0")</f>
        <v/>
      </c>
      <c r="AB53" s="144">
        <f>C53&amp;"-"&amp;A53</f>
        <v/>
      </c>
      <c r="AC53" s="144">
        <f>L53</f>
        <v/>
      </c>
    </row>
    <row r="54">
      <c r="A54" s="140" t="inlineStr">
        <is>
          <t>ZLMA01</t>
        </is>
      </c>
      <c r="B54" s="140" t="n">
        <v>1</v>
      </c>
      <c r="C54" s="140" t="inlineStr">
        <is>
          <t>HFA303</t>
        </is>
      </c>
      <c r="D54" s="140" t="inlineStr">
        <is>
          <t>A</t>
        </is>
      </c>
      <c r="E54" s="140" t="inlineStr">
        <is>
          <t>Magwaza Luvo</t>
        </is>
      </c>
      <c r="F54" s="141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</f>
        <v/>
      </c>
      <c r="G54" s="142" t="n">
        <v>44352</v>
      </c>
      <c r="H54" s="140">
        <f>VLOOKUP($C54,Sales!$C:$E,2,FALSE)</f>
        <v/>
      </c>
      <c r="I54" s="140">
        <f>VLOOKUP($C54,Sales!$C:$E,3,FALSE)</f>
        <v/>
      </c>
      <c r="J54" s="142">
        <f>SUMIFS(Sales!$H:$H,Sales!$C:$C,'Investor Exit List'!$C54)</f>
        <v/>
      </c>
      <c r="K54" s="142">
        <f>IF(I54=TRUE,J54,"")</f>
        <v/>
      </c>
      <c r="L54" s="142">
        <f>G54+730</f>
        <v/>
      </c>
      <c r="M54" s="142" t="n">
        <v>45443</v>
      </c>
      <c r="N54" s="143">
        <f>IFERROR(IF(G54&lt;&gt;"",IF(I54=TRUE,0,IF(U54=TRUE,0,L54-M54)),0),0)</f>
        <v/>
      </c>
      <c r="O54" s="143">
        <f>IF(N54&gt;0,IF(N54&lt;=180,N54,0),0)</f>
        <v/>
      </c>
      <c r="P54" s="141">
        <f>IF(AND(N54&lt;90,N54&gt;0),Q54,0)</f>
        <v/>
      </c>
      <c r="Q54" s="141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/>
      </c>
      <c r="R54" s="141">
        <f>IF(AND(H54=TRUE,I54=FALSE),Q54,0)</f>
        <v/>
      </c>
      <c r="S54" s="141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/>
      </c>
      <c r="T54" s="142">
        <f>IF(U54=TRUE,$J54,"")</f>
        <v/>
      </c>
      <c r="U54" s="140" t="b">
        <v>0</v>
      </c>
      <c r="V54" s="141">
        <f>IF(AND(H54=TRUE,OR(K54="",K54&gt;M54)),S54,0)</f>
        <v/>
      </c>
      <c r="W54" s="140" t="n">
        <v>0</v>
      </c>
      <c r="X54" s="140" t="b">
        <v>0</v>
      </c>
      <c r="Y54" s="143">
        <f>IF(H54=FALSE,VLOOKUP($C54,Sales!$C:$F,4,FALSE),1)</f>
        <v/>
      </c>
      <c r="Z54" s="140">
        <f>IF(Y54=0,"Release",IF(AND(L54&lt;J54,Y54=1,H54=FALSE,U54=FALSE,MONTH(L54)&amp;"/"&amp;YEAR(L54)&lt;&gt;MONTH(J54)&amp;"/"&amp;YEAR(J54)),"Release",""))</f>
        <v/>
      </c>
      <c r="AA54" s="144">
        <f>_xlfn.minifs($L:$L,$C:$C,$C54,$F:$F,"&lt;&gt;0")</f>
        <v/>
      </c>
      <c r="AB54" s="144">
        <f>C54&amp;"-"&amp;A54</f>
        <v/>
      </c>
      <c r="AC54" s="144">
        <f>L54</f>
        <v/>
      </c>
    </row>
    <row r="55">
      <c r="A55" s="140" t="inlineStr">
        <is>
          <t>ZSMI01</t>
        </is>
      </c>
      <c r="B55" s="140" t="n">
        <v>1</v>
      </c>
      <c r="C55" s="140" t="inlineStr">
        <is>
          <t>HFA303</t>
        </is>
      </c>
      <c r="D55" s="140" t="inlineStr">
        <is>
          <t>A</t>
        </is>
      </c>
      <c r="E55" s="140" t="inlineStr">
        <is>
          <t>Smit Eugene Patrick</t>
        </is>
      </c>
      <c r="F55" s="141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</f>
        <v/>
      </c>
      <c r="G55" s="142" t="n">
        <v>44352</v>
      </c>
      <c r="H55" s="140">
        <f>VLOOKUP($C55,Sales!$C:$E,2,FALSE)</f>
        <v/>
      </c>
      <c r="I55" s="140">
        <f>VLOOKUP($C55,Sales!$C:$E,3,FALSE)</f>
        <v/>
      </c>
      <c r="J55" s="142">
        <f>SUMIFS(Sales!$H:$H,Sales!$C:$C,'Investor Exit List'!$C55)</f>
        <v/>
      </c>
      <c r="K55" s="142">
        <f>IF(I55=TRUE,J55,"")</f>
        <v/>
      </c>
      <c r="L55" s="142">
        <f>G55+730</f>
        <v/>
      </c>
      <c r="M55" s="142" t="n">
        <v>45443</v>
      </c>
      <c r="N55" s="143">
        <f>IFERROR(IF(G55&lt;&gt;"",IF(I55=TRUE,0,IF(U55=TRUE,0,L55-M55)),0),0)</f>
        <v/>
      </c>
      <c r="O55" s="143">
        <f>IF(N55&gt;0,IF(N55&lt;=180,N55,0),0)</f>
        <v/>
      </c>
      <c r="P55" s="141">
        <f>IF(AND(N55&lt;90,N55&gt;0),Q55,0)</f>
        <v/>
      </c>
      <c r="Q55" s="141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/>
      </c>
      <c r="R55" s="141">
        <f>IF(AND(H55=TRUE,I55=FALSE),Q55,0)</f>
        <v/>
      </c>
      <c r="S55" s="141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/>
      </c>
      <c r="T55" s="142">
        <f>IF(U55=TRUE,$J55,"")</f>
        <v/>
      </c>
      <c r="U55" s="140" t="b">
        <v>0</v>
      </c>
      <c r="V55" s="141">
        <f>IF(AND(H55=TRUE,OR(K55="",K55&gt;M55)),S55,0)</f>
        <v/>
      </c>
      <c r="W55" s="140" t="n">
        <v>0</v>
      </c>
      <c r="X55" s="140" t="b">
        <v>0</v>
      </c>
      <c r="Y55" s="143">
        <f>IF(H55=FALSE,VLOOKUP($C55,Sales!$C:$F,4,FALSE),1)</f>
        <v/>
      </c>
      <c r="Z55" s="140">
        <f>IF(Y55=0,"Release",IF(AND(L55&lt;J55,Y55=1,H55=FALSE,U55=FALSE,MONTH(L55)&amp;"/"&amp;YEAR(L55)&lt;&gt;MONTH(J55)&amp;"/"&amp;YEAR(J55)),"Release",""))</f>
        <v/>
      </c>
      <c r="AA55" s="144">
        <f>_xlfn.minifs($L:$L,$C:$C,$C55,$F:$F,"&lt;&gt;0")</f>
        <v/>
      </c>
      <c r="AB55" s="144">
        <f>C55&amp;"-"&amp;A55</f>
        <v/>
      </c>
      <c r="AC55" s="144">
        <f>L55</f>
        <v/>
      </c>
    </row>
    <row r="56">
      <c r="A56" s="140" t="inlineStr">
        <is>
          <t>ZVDW01</t>
        </is>
      </c>
      <c r="B56" s="140" t="n">
        <v>1</v>
      </c>
      <c r="C56" s="140" t="inlineStr">
        <is>
          <t>HFA303</t>
        </is>
      </c>
      <c r="D56" s="140" t="inlineStr">
        <is>
          <t>A</t>
        </is>
      </c>
      <c r="E56" s="140" t="inlineStr">
        <is>
          <t>van der Walt  Philip</t>
        </is>
      </c>
      <c r="F56" s="141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</f>
        <v/>
      </c>
      <c r="G56" s="142" t="n">
        <v>44352</v>
      </c>
      <c r="H56" s="140">
        <f>VLOOKUP($C56,Sales!$C:$E,2,FALSE)</f>
        <v/>
      </c>
      <c r="I56" s="140">
        <f>VLOOKUP($C56,Sales!$C:$E,3,FALSE)</f>
        <v/>
      </c>
      <c r="J56" s="142">
        <f>SUMIFS(Sales!$H:$H,Sales!$C:$C,'Investor Exit List'!$C56)</f>
        <v/>
      </c>
      <c r="K56" s="142">
        <f>IF(I56=TRUE,J56,"")</f>
        <v/>
      </c>
      <c r="L56" s="142">
        <f>G56+730</f>
        <v/>
      </c>
      <c r="M56" s="142" t="n">
        <v>45443</v>
      </c>
      <c r="N56" s="143">
        <f>IFERROR(IF(G56&lt;&gt;"",IF(I56=TRUE,0,IF(U56=TRUE,0,L56-M56)),0),0)</f>
        <v/>
      </c>
      <c r="O56" s="143">
        <f>IF(N56&gt;0,IF(N56&lt;=180,N56,0),0)</f>
        <v/>
      </c>
      <c r="P56" s="141">
        <f>IF(AND(N56&lt;90,N56&gt;0),Q56,0)</f>
        <v/>
      </c>
      <c r="Q56" s="141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/>
      </c>
      <c r="R56" s="141">
        <f>IF(AND(H56=TRUE,I56=FALSE),Q56,0)</f>
        <v/>
      </c>
      <c r="S56" s="141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/>
      </c>
      <c r="T56" s="142">
        <f>IF(U56=TRUE,$J56,"")</f>
        <v/>
      </c>
      <c r="U56" s="140" t="b">
        <v>0</v>
      </c>
      <c r="V56" s="141">
        <f>IF(AND(H56=TRUE,OR(K56="",K56&gt;M56)),S56,0)</f>
        <v/>
      </c>
      <c r="W56" s="140" t="n">
        <v>0</v>
      </c>
      <c r="X56" s="140" t="b">
        <v>0</v>
      </c>
      <c r="Y56" s="143">
        <f>IF(H56=FALSE,VLOOKUP($C56,Sales!$C:$F,4,FALSE),1)</f>
        <v/>
      </c>
      <c r="Z56" s="140">
        <f>IF(Y56=0,"Release",IF(AND(L56&lt;J56,Y56=1,H56=FALSE,U56=FALSE,MONTH(L56)&amp;"/"&amp;YEAR(L56)&lt;&gt;MONTH(J56)&amp;"/"&amp;YEAR(J56)),"Release",""))</f>
        <v/>
      </c>
      <c r="AA56" s="144">
        <f>_xlfn.minifs($L:$L,$C:$C,$C56,$F:$F,"&lt;&gt;0")</f>
        <v/>
      </c>
      <c r="AB56" s="144">
        <f>C56&amp;"-"&amp;A56</f>
        <v/>
      </c>
      <c r="AC56" s="144">
        <f>L56</f>
        <v/>
      </c>
    </row>
    <row r="57">
      <c r="A57" s="140" t="inlineStr">
        <is>
          <t>ZJHO01</t>
        </is>
      </c>
      <c r="B57" s="140" t="n">
        <v>2</v>
      </c>
      <c r="C57" s="140" t="inlineStr">
        <is>
          <t>HFA304</t>
        </is>
      </c>
      <c r="D57" s="140" t="inlineStr">
        <is>
          <t>A</t>
        </is>
      </c>
      <c r="E57" s="140" t="inlineStr">
        <is>
          <t>Hoets Jean</t>
        </is>
      </c>
      <c r="F57" s="141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</f>
        <v/>
      </c>
      <c r="G57" s="142" t="n">
        <v>44855</v>
      </c>
      <c r="H57" s="140">
        <f>VLOOKUP($C57,Sales!$C:$E,2,FALSE)</f>
        <v/>
      </c>
      <c r="I57" s="140">
        <f>VLOOKUP($C57,Sales!$C:$E,3,FALSE)</f>
        <v/>
      </c>
      <c r="J57" s="142">
        <f>SUMIFS(Sales!$H:$H,Sales!$C:$C,'Investor Exit List'!$C57)</f>
        <v/>
      </c>
      <c r="K57" s="142">
        <f>IF(I57=TRUE,J57,"")</f>
        <v/>
      </c>
      <c r="L57" s="142">
        <f>G57+730</f>
        <v/>
      </c>
      <c r="M57" s="142" t="n">
        <v>45443</v>
      </c>
      <c r="N57" s="143">
        <f>IFERROR(IF(G57&lt;&gt;"",IF(I57=TRUE,0,IF(U57=TRUE,0,L57-M57)),0),0)</f>
        <v/>
      </c>
      <c r="O57" s="143">
        <f>IF(N57&gt;0,IF(N57&lt;=180,N57,0),0)</f>
        <v/>
      </c>
      <c r="P57" s="141">
        <f>IF(AND(N57&lt;90,N57&gt;0),Q57,0)</f>
        <v/>
      </c>
      <c r="Q57" s="141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/>
      </c>
      <c r="R57" s="141">
        <f>IF(AND(H57=TRUE,I57=FALSE),Q57,0)</f>
        <v/>
      </c>
      <c r="S57" s="141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/>
      </c>
      <c r="T57" s="142">
        <f>IF(U57=TRUE,$J57,"")</f>
        <v/>
      </c>
      <c r="U57" s="140" t="b">
        <v>1</v>
      </c>
      <c r="V57" s="141">
        <f>IF(AND(H57=TRUE,OR(K57="",K57&gt;M57)),S57,0)</f>
        <v/>
      </c>
      <c r="W57" s="140" t="n">
        <v>0</v>
      </c>
      <c r="X57" s="140" t="b">
        <v>0</v>
      </c>
      <c r="Y57" s="143">
        <f>IF(H57=FALSE,VLOOKUP($C57,Sales!$C:$F,4,FALSE),1)</f>
        <v/>
      </c>
      <c r="Z57" s="140">
        <f>IF(Y57=0,"Release",IF(AND(L57&lt;J57,Y57=1,H57=FALSE,U57=FALSE,MONTH(L57)&amp;"/"&amp;YEAR(L57)&lt;&gt;MONTH(J57)&amp;"/"&amp;YEAR(J57)),"Release",""))</f>
        <v/>
      </c>
      <c r="AA57" s="144">
        <f>_xlfn.minifs($L:$L,$C:$C,$C57,$F:$F,"&lt;&gt;0")</f>
        <v/>
      </c>
      <c r="AB57" s="144">
        <f>C57&amp;"-"&amp;A57</f>
        <v/>
      </c>
      <c r="AC57" s="144">
        <f>L57</f>
        <v/>
      </c>
    </row>
    <row r="58">
      <c r="A58" s="140" t="inlineStr">
        <is>
          <t>ZKRO01</t>
        </is>
      </c>
      <c r="B58" s="140" t="n">
        <v>1</v>
      </c>
      <c r="C58" s="140" t="inlineStr">
        <is>
          <t>HFA304</t>
        </is>
      </c>
      <c r="D58" s="140" t="inlineStr">
        <is>
          <t>A</t>
        </is>
      </c>
      <c r="E58" s="140" t="inlineStr">
        <is>
          <t>van der Merwe Frans</t>
        </is>
      </c>
      <c r="F58" s="141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</f>
        <v/>
      </c>
      <c r="G58" s="142" t="n">
        <v>44352</v>
      </c>
      <c r="H58" s="140">
        <f>VLOOKUP($C58,Sales!$C:$E,2,FALSE)</f>
        <v/>
      </c>
      <c r="I58" s="140">
        <f>VLOOKUP($C58,Sales!$C:$E,3,FALSE)</f>
        <v/>
      </c>
      <c r="J58" s="142">
        <f>SUMIFS(Sales!$H:$H,Sales!$C:$C,'Investor Exit List'!$C58)</f>
        <v/>
      </c>
      <c r="K58" s="142">
        <f>IF(I58=TRUE,J58,"")</f>
        <v/>
      </c>
      <c r="L58" s="142">
        <f>G58+730</f>
        <v/>
      </c>
      <c r="M58" s="142" t="n">
        <v>45443</v>
      </c>
      <c r="N58" s="143">
        <f>IFERROR(IF(G58&lt;&gt;"",IF(I58=TRUE,0,IF(U58=TRUE,0,L58-M58)),0),0)</f>
        <v/>
      </c>
      <c r="O58" s="143">
        <f>IF(N58&gt;0,IF(N58&lt;=180,N58,0),0)</f>
        <v/>
      </c>
      <c r="P58" s="141">
        <f>IF(AND(N58&lt;90,N58&gt;0),Q58,0)</f>
        <v/>
      </c>
      <c r="Q58" s="141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/>
      </c>
      <c r="R58" s="141">
        <f>IF(AND(H58=TRUE,I58=FALSE),Q58,0)</f>
        <v/>
      </c>
      <c r="S58" s="141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/>
      </c>
      <c r="T58" s="142">
        <f>IF(U58=TRUE,$J58,"")</f>
        <v/>
      </c>
      <c r="U58" s="140" t="b">
        <v>1</v>
      </c>
      <c r="V58" s="141">
        <f>IF(AND(H58=TRUE,OR(K58="",K58&gt;M58)),S58,0)</f>
        <v/>
      </c>
      <c r="W58" s="140" t="n">
        <v>0</v>
      </c>
      <c r="X58" s="140" t="b">
        <v>0</v>
      </c>
      <c r="Y58" s="143">
        <f>IF(H58=FALSE,VLOOKUP($C58,Sales!$C:$F,4,FALSE),1)</f>
        <v/>
      </c>
      <c r="Z58" s="140">
        <f>IF(Y58=0,"Release",IF(AND(L58&lt;J58,Y58=1,H58=FALSE,U58=FALSE,MONTH(L58)&amp;"/"&amp;YEAR(L58)&lt;&gt;MONTH(J58)&amp;"/"&amp;YEAR(J58)),"Release",""))</f>
        <v/>
      </c>
      <c r="AA58" s="144">
        <f>_xlfn.minifs($L:$L,$C:$C,$C58,$F:$F,"&lt;&gt;0")</f>
        <v/>
      </c>
      <c r="AB58" s="144">
        <f>C58&amp;"-"&amp;A58</f>
        <v/>
      </c>
      <c r="AC58" s="144">
        <f>L58</f>
        <v/>
      </c>
    </row>
    <row r="59">
      <c r="A59" s="140" t="inlineStr">
        <is>
          <t>ZPED01</t>
        </is>
      </c>
      <c r="B59" s="140" t="n">
        <v>1</v>
      </c>
      <c r="C59" s="140" t="inlineStr">
        <is>
          <t>HFA304</t>
        </is>
      </c>
      <c r="D59" s="140" t="inlineStr">
        <is>
          <t>A</t>
        </is>
      </c>
      <c r="E59" s="140" t="inlineStr">
        <is>
          <t>Pedersen Wendy</t>
        </is>
      </c>
      <c r="F59" s="141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</f>
        <v/>
      </c>
      <c r="G59" s="142" t="n">
        <v>44352</v>
      </c>
      <c r="H59" s="140">
        <f>VLOOKUP($C59,Sales!$C:$E,2,FALSE)</f>
        <v/>
      </c>
      <c r="I59" s="140">
        <f>VLOOKUP($C59,Sales!$C:$E,3,FALSE)</f>
        <v/>
      </c>
      <c r="J59" s="142">
        <f>SUMIFS(Sales!$H:$H,Sales!$C:$C,'Investor Exit List'!$C59)</f>
        <v/>
      </c>
      <c r="K59" s="142">
        <f>IF(I59=TRUE,J59,"")</f>
        <v/>
      </c>
      <c r="L59" s="142">
        <f>G59+730</f>
        <v/>
      </c>
      <c r="M59" s="142" t="n">
        <v>45443</v>
      </c>
      <c r="N59" s="143">
        <f>IFERROR(IF(G59&lt;&gt;"",IF(I59=TRUE,0,IF(U59=TRUE,0,L59-M59)),0),0)</f>
        <v/>
      </c>
      <c r="O59" s="143">
        <f>IF(N59&gt;0,IF(N59&lt;=180,N59,0),0)</f>
        <v/>
      </c>
      <c r="P59" s="141">
        <f>IF(AND(N59&lt;90,N59&gt;0),Q59,0)</f>
        <v/>
      </c>
      <c r="Q59" s="141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/>
      </c>
      <c r="R59" s="141">
        <f>IF(AND(H59=TRUE,I59=FALSE),Q59,0)</f>
        <v/>
      </c>
      <c r="S59" s="141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/>
      </c>
      <c r="T59" s="142">
        <f>IF(U59=TRUE,$J59,"")</f>
        <v/>
      </c>
      <c r="U59" s="140" t="b">
        <v>1</v>
      </c>
      <c r="V59" s="141">
        <f>IF(AND(H59=TRUE,OR(K59="",K59&gt;M59)),S59,0)</f>
        <v/>
      </c>
      <c r="W59" s="140" t="n">
        <v>0</v>
      </c>
      <c r="X59" s="140" t="b">
        <v>0</v>
      </c>
      <c r="Y59" s="143">
        <f>IF(H59=FALSE,VLOOKUP($C59,Sales!$C:$F,4,FALSE),1)</f>
        <v/>
      </c>
      <c r="Z59" s="140">
        <f>IF(Y59=0,"Release",IF(AND(L59&lt;J59,Y59=1,H59=FALSE,U59=FALSE,MONTH(L59)&amp;"/"&amp;YEAR(L59)&lt;&gt;MONTH(J59)&amp;"/"&amp;YEAR(J59)),"Release",""))</f>
        <v/>
      </c>
      <c r="AA59" s="144">
        <f>_xlfn.minifs($L:$L,$C:$C,$C59,$F:$F,"&lt;&gt;0")</f>
        <v/>
      </c>
      <c r="AB59" s="144">
        <f>C59&amp;"-"&amp;A59</f>
        <v/>
      </c>
      <c r="AC59" s="144">
        <f>L59</f>
        <v/>
      </c>
    </row>
    <row r="60">
      <c r="A60" s="140" t="inlineStr">
        <is>
          <t>ZSOU02</t>
        </is>
      </c>
      <c r="B60" s="140" t="n">
        <v>1</v>
      </c>
      <c r="C60" s="140" t="inlineStr">
        <is>
          <t>HFA304</t>
        </is>
      </c>
      <c r="D60" s="140" t="inlineStr">
        <is>
          <t>A</t>
        </is>
      </c>
      <c r="E60" s="140" t="inlineStr">
        <is>
          <t>Sourgen Frances Leathem</t>
        </is>
      </c>
      <c r="F60" s="141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</f>
        <v/>
      </c>
      <c r="G60" s="142" t="n">
        <v>44508</v>
      </c>
      <c r="H60" s="140">
        <f>VLOOKUP($C60,Sales!$C:$E,2,FALSE)</f>
        <v/>
      </c>
      <c r="I60" s="140">
        <f>VLOOKUP($C60,Sales!$C:$E,3,FALSE)</f>
        <v/>
      </c>
      <c r="J60" s="142">
        <f>SUMIFS(Sales!$H:$H,Sales!$C:$C,'Investor Exit List'!$C60)</f>
        <v/>
      </c>
      <c r="K60" s="142">
        <f>IF(I60=TRUE,J60,"")</f>
        <v/>
      </c>
      <c r="L60" s="142">
        <f>G60+730</f>
        <v/>
      </c>
      <c r="M60" s="142" t="n">
        <v>45443</v>
      </c>
      <c r="N60" s="143">
        <f>IFERROR(IF(G60&lt;&gt;"",IF(I60=TRUE,0,IF(U60=TRUE,0,L60-M60)),0),0)</f>
        <v/>
      </c>
      <c r="O60" s="143">
        <f>IF(N60&gt;0,IF(N60&lt;=180,N60,0),0)</f>
        <v/>
      </c>
      <c r="P60" s="141">
        <f>IF(AND(N60&lt;90,N60&gt;0),Q60,0)</f>
        <v/>
      </c>
      <c r="Q60" s="141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/>
      </c>
      <c r="R60" s="141">
        <f>IF(AND(H60=TRUE,I60=FALSE),Q60,0)</f>
        <v/>
      </c>
      <c r="S60" s="141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/>
      </c>
      <c r="T60" s="142">
        <f>IF(U60=TRUE,$J60,"")</f>
        <v/>
      </c>
      <c r="U60" s="140" t="b">
        <v>1</v>
      </c>
      <c r="V60" s="141">
        <f>IF(AND(H60=TRUE,OR(K60="",K60&gt;M60)),S60,0)</f>
        <v/>
      </c>
      <c r="W60" s="140" t="n">
        <v>0</v>
      </c>
      <c r="X60" s="140" t="b">
        <v>0</v>
      </c>
      <c r="Y60" s="143">
        <f>IF(H60=FALSE,VLOOKUP($C60,Sales!$C:$F,4,FALSE),1)</f>
        <v/>
      </c>
      <c r="Z60" s="140">
        <f>IF(Y60=0,"Release",IF(AND(L60&lt;J60,Y60=1,H60=FALSE,U60=FALSE,MONTH(L60)&amp;"/"&amp;YEAR(L60)&lt;&gt;MONTH(J60)&amp;"/"&amp;YEAR(J60)),"Release",""))</f>
        <v/>
      </c>
      <c r="AA60" s="144">
        <f>_xlfn.minifs($L:$L,$C:$C,$C60,$F:$F,"&lt;&gt;0")</f>
        <v/>
      </c>
      <c r="AB60" s="144">
        <f>C60&amp;"-"&amp;A60</f>
        <v/>
      </c>
      <c r="AC60" s="144">
        <f>L60</f>
        <v/>
      </c>
    </row>
    <row r="61">
      <c r="A61" s="140" t="inlineStr">
        <is>
          <t>ZVER02</t>
        </is>
      </c>
      <c r="B61" s="140" t="n">
        <v>2</v>
      </c>
      <c r="C61" s="140" t="inlineStr">
        <is>
          <t>HFA304</t>
        </is>
      </c>
      <c r="D61" s="140" t="inlineStr">
        <is>
          <t>A</t>
        </is>
      </c>
      <c r="E61" s="140" t="inlineStr">
        <is>
          <t>Verhaeghe Jean-Jacques EP</t>
        </is>
      </c>
      <c r="F61" s="141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</f>
        <v/>
      </c>
      <c r="G61" s="142" t="n">
        <v>44508</v>
      </c>
      <c r="H61" s="140">
        <f>VLOOKUP($C61,Sales!$C:$E,2,FALSE)</f>
        <v/>
      </c>
      <c r="I61" s="140">
        <f>VLOOKUP($C61,Sales!$C:$E,3,FALSE)</f>
        <v/>
      </c>
      <c r="J61" s="142">
        <f>SUMIFS(Sales!$H:$H,Sales!$C:$C,'Investor Exit List'!$C61)</f>
        <v/>
      </c>
      <c r="K61" s="142">
        <f>IF(I61=TRUE,J61,"")</f>
        <v/>
      </c>
      <c r="L61" s="142">
        <f>G61+730</f>
        <v/>
      </c>
      <c r="M61" s="142" t="n">
        <v>45443</v>
      </c>
      <c r="N61" s="143">
        <f>IFERROR(IF(G61&lt;&gt;"",IF(I61=TRUE,0,IF(U61=TRUE,0,L61-M61)),0),0)</f>
        <v/>
      </c>
      <c r="O61" s="143">
        <f>IF(N61&gt;0,IF(N61&lt;=180,N61,0),0)</f>
        <v/>
      </c>
      <c r="P61" s="141">
        <f>IF(AND(N61&lt;90,N61&gt;0),Q61,0)</f>
        <v/>
      </c>
      <c r="Q61" s="141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/>
      </c>
      <c r="R61" s="141">
        <f>IF(AND(H61=TRUE,I61=FALSE),Q61,0)</f>
        <v/>
      </c>
      <c r="S61" s="141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/>
      </c>
      <c r="T61" s="142">
        <f>IF(U61=TRUE,$J61,"")</f>
        <v/>
      </c>
      <c r="U61" s="140" t="b">
        <v>1</v>
      </c>
      <c r="V61" s="141">
        <f>IF(AND(H61=TRUE,OR(K61="",K61&gt;M61)),S61,0)</f>
        <v/>
      </c>
      <c r="W61" s="140" t="n">
        <v>0</v>
      </c>
      <c r="X61" s="140" t="b">
        <v>0</v>
      </c>
      <c r="Y61" s="143">
        <f>IF(H61=FALSE,VLOOKUP($C61,Sales!$C:$F,4,FALSE),1)</f>
        <v/>
      </c>
      <c r="Z61" s="140">
        <f>IF(Y61=0,"Release",IF(AND(L61&lt;J61,Y61=1,H61=FALSE,U61=FALSE,MONTH(L61)&amp;"/"&amp;YEAR(L61)&lt;&gt;MONTH(J61)&amp;"/"&amp;YEAR(J61)),"Release",""))</f>
        <v/>
      </c>
      <c r="AA61" s="144">
        <f>_xlfn.minifs($L:$L,$C:$C,$C61,$F:$F,"&lt;&gt;0")</f>
        <v/>
      </c>
      <c r="AB61" s="144">
        <f>C61&amp;"-"&amp;A61</f>
        <v/>
      </c>
      <c r="AC61" s="144">
        <f>L61</f>
        <v/>
      </c>
    </row>
    <row r="62">
      <c r="A62" s="140" t="inlineStr">
        <is>
          <t>ZKRO03</t>
        </is>
      </c>
      <c r="B62" s="140" t="n">
        <v>1</v>
      </c>
      <c r="C62" s="140" t="inlineStr">
        <is>
          <t>HFA305</t>
        </is>
      </c>
      <c r="D62" s="140" t="inlineStr">
        <is>
          <t>A</t>
        </is>
      </c>
      <c r="E62" s="140" t="inlineStr">
        <is>
          <t>Krohn Jacqueline</t>
        </is>
      </c>
      <c r="F62" s="141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</f>
        <v/>
      </c>
      <c r="G62" s="142" t="n">
        <v>44352</v>
      </c>
      <c r="H62" s="140">
        <f>VLOOKUP($C62,Sales!$C:$E,2,FALSE)</f>
        <v/>
      </c>
      <c r="I62" s="140">
        <f>VLOOKUP($C62,Sales!$C:$E,3,FALSE)</f>
        <v/>
      </c>
      <c r="J62" s="142">
        <f>SUMIFS(Sales!$H:$H,Sales!$C:$C,'Investor Exit List'!$C62)</f>
        <v/>
      </c>
      <c r="K62" s="142">
        <f>IF(I62=TRUE,J62,"")</f>
        <v/>
      </c>
      <c r="L62" s="142">
        <f>G62+730</f>
        <v/>
      </c>
      <c r="M62" s="142" t="n">
        <v>45443</v>
      </c>
      <c r="N62" s="143">
        <f>IFERROR(IF(G62&lt;&gt;"",IF(I62=TRUE,0,IF(U62=TRUE,0,L62-M62)),0),0)</f>
        <v/>
      </c>
      <c r="O62" s="143">
        <f>IF(N62&gt;0,IF(N62&lt;=180,N62,0),0)</f>
        <v/>
      </c>
      <c r="P62" s="141">
        <f>IF(AND(N62&lt;90,N62&gt;0),Q62,0)</f>
        <v/>
      </c>
      <c r="Q62" s="141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/>
      </c>
      <c r="R62" s="141">
        <f>IF(AND(H62=TRUE,I62=FALSE),Q62,0)</f>
        <v/>
      </c>
      <c r="S62" s="141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/>
      </c>
      <c r="T62" s="142">
        <f>IF(U62=TRUE,$J62,"")</f>
        <v/>
      </c>
      <c r="U62" s="140" t="b">
        <v>1</v>
      </c>
      <c r="V62" s="141">
        <f>IF(AND(H62=TRUE,OR(K62="",K62&gt;M62)),S62,0)</f>
        <v/>
      </c>
      <c r="W62" s="140" t="n">
        <v>0</v>
      </c>
      <c r="X62" s="140" t="b">
        <v>0</v>
      </c>
      <c r="Y62" s="143">
        <f>IF(H62=FALSE,VLOOKUP($C62,Sales!$C:$F,4,FALSE),1)</f>
        <v/>
      </c>
      <c r="Z62" s="140">
        <f>IF(Y62=0,"Release",IF(AND(L62&lt;J62,Y62=1,H62=FALSE,U62=FALSE,MONTH(L62)&amp;"/"&amp;YEAR(L62)&lt;&gt;MONTH(J62)&amp;"/"&amp;YEAR(J62)),"Release",""))</f>
        <v/>
      </c>
      <c r="AA62" s="144">
        <f>_xlfn.minifs($L:$L,$C:$C,$C62,$F:$F,"&lt;&gt;0")</f>
        <v/>
      </c>
      <c r="AB62" s="144">
        <f>C62&amp;"-"&amp;A62</f>
        <v/>
      </c>
      <c r="AC62" s="144">
        <f>L62</f>
        <v/>
      </c>
    </row>
    <row r="63">
      <c r="A63" s="140" t="inlineStr">
        <is>
          <t>ZMUS01</t>
        </is>
      </c>
      <c r="B63" s="140" t="n">
        <v>1</v>
      </c>
      <c r="C63" s="140" t="inlineStr">
        <is>
          <t>HFA305</t>
        </is>
      </c>
      <c r="D63" s="140" t="inlineStr">
        <is>
          <t>A</t>
        </is>
      </c>
      <c r="E63" s="140" t="inlineStr">
        <is>
          <t>Musson Claire Louise</t>
        </is>
      </c>
      <c r="F63" s="141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</f>
        <v/>
      </c>
      <c r="G63" s="142" t="n">
        <v>44618</v>
      </c>
      <c r="H63" s="140">
        <f>VLOOKUP($C63,Sales!$C:$E,2,FALSE)</f>
        <v/>
      </c>
      <c r="I63" s="140">
        <f>VLOOKUP($C63,Sales!$C:$E,3,FALSE)</f>
        <v/>
      </c>
      <c r="J63" s="142">
        <f>SUMIFS(Sales!$H:$H,Sales!$C:$C,'Investor Exit List'!$C63)</f>
        <v/>
      </c>
      <c r="K63" s="142">
        <f>IF(I63=TRUE,J63,"")</f>
        <v/>
      </c>
      <c r="L63" s="142">
        <f>G63+730</f>
        <v/>
      </c>
      <c r="M63" s="142" t="n">
        <v>45443</v>
      </c>
      <c r="N63" s="143">
        <f>IFERROR(IF(G63&lt;&gt;"",IF(I63=TRUE,0,IF(U63=TRUE,0,L63-M63)),0),0)</f>
        <v/>
      </c>
      <c r="O63" s="143">
        <f>IF(N63&gt;0,IF(N63&lt;=180,N63,0),0)</f>
        <v/>
      </c>
      <c r="P63" s="141">
        <f>IF(AND(N63&lt;90,N63&gt;0),Q63,0)</f>
        <v/>
      </c>
      <c r="Q63" s="141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/>
      </c>
      <c r="R63" s="141">
        <f>IF(AND(H63=TRUE,I63=FALSE),Q63,0)</f>
        <v/>
      </c>
      <c r="S63" s="141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/>
      </c>
      <c r="T63" s="142">
        <f>IF(U63=TRUE,$J63,"")</f>
        <v/>
      </c>
      <c r="U63" s="140" t="b">
        <v>0</v>
      </c>
      <c r="V63" s="141">
        <f>IF(AND(H63=TRUE,OR(K63="",K63&gt;M63)),S63,0)</f>
        <v/>
      </c>
      <c r="W63" s="140" t="n">
        <v>0</v>
      </c>
      <c r="X63" s="140" t="b">
        <v>0</v>
      </c>
      <c r="Y63" s="143">
        <f>IF(H63=FALSE,VLOOKUP($C63,Sales!$C:$F,4,FALSE),1)</f>
        <v/>
      </c>
      <c r="Z63" s="140">
        <f>IF(Y63=0,"Release",IF(AND(L63&lt;J63,Y63=1,H63=FALSE,U63=FALSE,MONTH(L63)&amp;"/"&amp;YEAR(L63)&lt;&gt;MONTH(J63)&amp;"/"&amp;YEAR(J63)),"Release",""))</f>
        <v/>
      </c>
      <c r="AA63" s="144">
        <f>_xlfn.minifs($L:$L,$C:$C,$C63,$F:$F,"&lt;&gt;0")</f>
        <v/>
      </c>
      <c r="AB63" s="144">
        <f>C63&amp;"-"&amp;A63</f>
        <v/>
      </c>
      <c r="AC63" s="144">
        <f>L63</f>
        <v/>
      </c>
    </row>
    <row r="64">
      <c r="A64" s="140" t="inlineStr">
        <is>
          <t>ZPRE01</t>
        </is>
      </c>
      <c r="B64" s="140" t="n">
        <v>1</v>
      </c>
      <c r="C64" s="140" t="inlineStr">
        <is>
          <t>HFA305</t>
        </is>
      </c>
      <c r="D64" s="140" t="inlineStr">
        <is>
          <t>A</t>
        </is>
      </c>
      <c r="E64" s="140" t="inlineStr">
        <is>
          <t>Pretorius Magdalena</t>
        </is>
      </c>
      <c r="F64" s="141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</f>
        <v/>
      </c>
      <c r="G64" s="142" t="n">
        <v>44590</v>
      </c>
      <c r="H64" s="140">
        <f>VLOOKUP($C64,Sales!$C:$E,2,FALSE)</f>
        <v/>
      </c>
      <c r="I64" s="140">
        <f>VLOOKUP($C64,Sales!$C:$E,3,FALSE)</f>
        <v/>
      </c>
      <c r="J64" s="142">
        <f>SUMIFS(Sales!$H:$H,Sales!$C:$C,'Investor Exit List'!$C64)</f>
        <v/>
      </c>
      <c r="K64" s="142">
        <f>IF(I64=TRUE,J64,"")</f>
        <v/>
      </c>
      <c r="L64" s="142">
        <f>G64+730</f>
        <v/>
      </c>
      <c r="M64" s="142" t="n">
        <v>45443</v>
      </c>
      <c r="N64" s="143">
        <f>IFERROR(IF(G64&lt;&gt;"",IF(I64=TRUE,0,IF(U64=TRUE,0,L64-M64)),0),0)</f>
        <v/>
      </c>
      <c r="O64" s="143">
        <f>IF(N64&gt;0,IF(N64&lt;=180,N64,0),0)</f>
        <v/>
      </c>
      <c r="P64" s="141">
        <f>IF(AND(N64&lt;90,N64&gt;0),Q64,0)</f>
        <v/>
      </c>
      <c r="Q64" s="141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/>
      </c>
      <c r="R64" s="141">
        <f>IF(AND(H64=TRUE,I64=FALSE),Q64,0)</f>
        <v/>
      </c>
      <c r="S64" s="141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/>
      </c>
      <c r="T64" s="142">
        <f>IF(U64=TRUE,$J64,"")</f>
        <v/>
      </c>
      <c r="U64" s="140" t="b">
        <v>0</v>
      </c>
      <c r="V64" s="141">
        <f>IF(AND(H64=TRUE,OR(K64="",K64&gt;M64)),S64,0)</f>
        <v/>
      </c>
      <c r="W64" s="140" t="n">
        <v>0</v>
      </c>
      <c r="X64" s="140" t="b">
        <v>0</v>
      </c>
      <c r="Y64" s="143">
        <f>IF(H64=FALSE,VLOOKUP($C64,Sales!$C:$F,4,FALSE),1)</f>
        <v/>
      </c>
      <c r="Z64" s="140">
        <f>IF(Y64=0,"Release",IF(AND(L64&lt;J64,Y64=1,H64=FALSE,U64=FALSE,MONTH(L64)&amp;"/"&amp;YEAR(L64)&lt;&gt;MONTH(J64)&amp;"/"&amp;YEAR(J64)),"Release",""))</f>
        <v/>
      </c>
      <c r="AA64" s="144">
        <f>_xlfn.minifs($L:$L,$C:$C,$C64,$F:$F,"&lt;&gt;0")</f>
        <v/>
      </c>
      <c r="AB64" s="144">
        <f>C64&amp;"-"&amp;A64</f>
        <v/>
      </c>
      <c r="AC64" s="144">
        <f>L64</f>
        <v/>
      </c>
    </row>
    <row r="65">
      <c r="A65" s="140" t="inlineStr">
        <is>
          <t>ZDEB01</t>
        </is>
      </c>
      <c r="B65" s="140" t="n">
        <v>1</v>
      </c>
      <c r="C65" s="140" t="inlineStr">
        <is>
          <t>HFA306</t>
        </is>
      </c>
      <c r="D65" s="140" t="inlineStr">
        <is>
          <t>A</t>
        </is>
      </c>
      <c r="E65" s="140" t="inlineStr">
        <is>
          <t>De Beer William Henry</t>
        </is>
      </c>
      <c r="F65" s="141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</f>
        <v/>
      </c>
      <c r="G65" s="142" t="n">
        <v>44352</v>
      </c>
      <c r="H65" s="140">
        <f>VLOOKUP($C65,Sales!$C:$E,2,FALSE)</f>
        <v/>
      </c>
      <c r="I65" s="140">
        <f>VLOOKUP($C65,Sales!$C:$E,3,FALSE)</f>
        <v/>
      </c>
      <c r="J65" s="142">
        <f>SUMIFS(Sales!$H:$H,Sales!$C:$C,'Investor Exit List'!$C65)</f>
        <v/>
      </c>
      <c r="K65" s="142">
        <f>IF(I65=TRUE,J65,"")</f>
        <v/>
      </c>
      <c r="L65" s="142">
        <f>G65+730</f>
        <v/>
      </c>
      <c r="M65" s="142" t="n">
        <v>45443</v>
      </c>
      <c r="N65" s="143">
        <f>IFERROR(IF(G65&lt;&gt;"",IF(I65=TRUE,0,IF(U65=TRUE,0,L65-M65)),0),0)</f>
        <v/>
      </c>
      <c r="O65" s="143">
        <f>IF(N65&gt;0,IF(N65&lt;=180,N65,0),0)</f>
        <v/>
      </c>
      <c r="P65" s="141">
        <f>IF(AND(N65&lt;90,N65&gt;0),Q65,0)</f>
        <v/>
      </c>
      <c r="Q65" s="141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/>
      </c>
      <c r="R65" s="141">
        <f>IF(AND(H65=TRUE,I65=FALSE),Q65,0)</f>
        <v/>
      </c>
      <c r="S65" s="141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/>
      </c>
      <c r="T65" s="142">
        <f>IF(U65=TRUE,$J65,"")</f>
        <v/>
      </c>
      <c r="U65" s="140" t="b">
        <v>0</v>
      </c>
      <c r="V65" s="141">
        <f>IF(AND(H65=TRUE,OR(K65="",K65&gt;M65)),S65,0)</f>
        <v/>
      </c>
      <c r="W65" s="140" t="n">
        <v>0</v>
      </c>
      <c r="X65" s="140" t="b">
        <v>0</v>
      </c>
      <c r="Y65" s="143">
        <f>IF(H65=FALSE,VLOOKUP($C65,Sales!$C:$F,4,FALSE),1)</f>
        <v/>
      </c>
      <c r="Z65" s="140">
        <f>IF(Y65=0,"Release",IF(AND(L65&lt;J65,Y65=1,H65=FALSE,U65=FALSE,MONTH(L65)&amp;"/"&amp;YEAR(L65)&lt;&gt;MONTH(J65)&amp;"/"&amp;YEAR(J65)),"Release",""))</f>
        <v/>
      </c>
      <c r="AA65" s="144">
        <f>_xlfn.minifs($L:$L,$C:$C,$C65,$F:$F,"&lt;&gt;0")</f>
        <v/>
      </c>
      <c r="AB65" s="144">
        <f>C65&amp;"-"&amp;A65</f>
        <v/>
      </c>
      <c r="AC65" s="144">
        <f>L65</f>
        <v/>
      </c>
    </row>
    <row r="66">
      <c r="A66" s="140" t="inlineStr">
        <is>
          <t>ZFOU01</t>
        </is>
      </c>
      <c r="B66" s="140" t="n">
        <v>1</v>
      </c>
      <c r="C66" s="140" t="inlineStr">
        <is>
          <t>HFA306</t>
        </is>
      </c>
      <c r="D66" s="140" t="inlineStr">
        <is>
          <t>A</t>
        </is>
      </c>
      <c r="E66" s="140" t="inlineStr">
        <is>
          <t>Fourie Hester Magrietha</t>
        </is>
      </c>
      <c r="F66" s="141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</f>
        <v/>
      </c>
      <c r="G66" s="142" t="n">
        <v>44352</v>
      </c>
      <c r="H66" s="140">
        <f>VLOOKUP($C66,Sales!$C:$E,2,FALSE)</f>
        <v/>
      </c>
      <c r="I66" s="140">
        <f>VLOOKUP($C66,Sales!$C:$E,3,FALSE)</f>
        <v/>
      </c>
      <c r="J66" s="142">
        <f>SUMIFS(Sales!$H:$H,Sales!$C:$C,'Investor Exit List'!$C66)</f>
        <v/>
      </c>
      <c r="K66" s="142">
        <f>IF(I66=TRUE,J66,"")</f>
        <v/>
      </c>
      <c r="L66" s="142">
        <f>G66+730</f>
        <v/>
      </c>
      <c r="M66" s="142" t="n">
        <v>45443</v>
      </c>
      <c r="N66" s="143">
        <f>IFERROR(IF(G66&lt;&gt;"",IF(I66=TRUE,0,IF(U66=TRUE,0,L66-M66)),0),0)</f>
        <v/>
      </c>
      <c r="O66" s="143">
        <f>IF(N66&gt;0,IF(N66&lt;=180,N66,0),0)</f>
        <v/>
      </c>
      <c r="P66" s="141">
        <f>IF(AND(N66&lt;90,N66&gt;0),Q66,0)</f>
        <v/>
      </c>
      <c r="Q66" s="141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/>
      </c>
      <c r="R66" s="141">
        <f>IF(AND(H66=TRUE,I66=FALSE),Q66,0)</f>
        <v/>
      </c>
      <c r="S66" s="141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/>
      </c>
      <c r="T66" s="142">
        <f>IF(U66=TRUE,$J66,"")</f>
        <v/>
      </c>
      <c r="U66" s="140" t="b">
        <v>0</v>
      </c>
      <c r="V66" s="141">
        <f>IF(AND(H66=TRUE,OR(K66="",K66&gt;M66)),S66,0)</f>
        <v/>
      </c>
      <c r="W66" s="140" t="n">
        <v>0</v>
      </c>
      <c r="X66" s="140" t="b">
        <v>0</v>
      </c>
      <c r="Y66" s="143">
        <f>IF(H66=FALSE,VLOOKUP($C66,Sales!$C:$F,4,FALSE),1)</f>
        <v/>
      </c>
      <c r="Z66" s="140">
        <f>IF(Y66=0,"Release",IF(AND(L66&lt;J66,Y66=1,H66=FALSE,U66=FALSE,MONTH(L66)&amp;"/"&amp;YEAR(L66)&lt;&gt;MONTH(J66)&amp;"/"&amp;YEAR(J66)),"Release",""))</f>
        <v/>
      </c>
      <c r="AA66" s="144">
        <f>_xlfn.minifs($L:$L,$C:$C,$C66,$F:$F,"&lt;&gt;0")</f>
        <v/>
      </c>
      <c r="AB66" s="144">
        <f>C66&amp;"-"&amp;A66</f>
        <v/>
      </c>
      <c r="AC66" s="144">
        <f>L66</f>
        <v/>
      </c>
    </row>
    <row r="67">
      <c r="A67" s="140" t="inlineStr">
        <is>
          <t>ZMAT03</t>
        </is>
      </c>
      <c r="B67" s="140" t="n">
        <v>2</v>
      </c>
      <c r="C67" s="140" t="inlineStr">
        <is>
          <t>HFA306</t>
        </is>
      </c>
      <c r="D67" s="140" t="inlineStr">
        <is>
          <t>A</t>
        </is>
      </c>
      <c r="E67" s="140" t="inlineStr">
        <is>
          <t>Matthee Delia</t>
        </is>
      </c>
      <c r="F67" s="141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</f>
        <v/>
      </c>
      <c r="G67" s="142" t="n">
        <v>44550</v>
      </c>
      <c r="H67" s="140">
        <f>VLOOKUP($C67,Sales!$C:$E,2,FALSE)</f>
        <v/>
      </c>
      <c r="I67" s="140">
        <f>VLOOKUP($C67,Sales!$C:$E,3,FALSE)</f>
        <v/>
      </c>
      <c r="J67" s="142">
        <f>SUMIFS(Sales!$H:$H,Sales!$C:$C,'Investor Exit List'!$C67)</f>
        <v/>
      </c>
      <c r="K67" s="142">
        <f>IF(I67=TRUE,J67,"")</f>
        <v/>
      </c>
      <c r="L67" s="142">
        <f>G67+730</f>
        <v/>
      </c>
      <c r="M67" s="142" t="n">
        <v>45443</v>
      </c>
      <c r="N67" s="143">
        <f>IFERROR(IF(G67&lt;&gt;"",IF(I67=TRUE,0,IF(U67=TRUE,0,L67-M67)),0),0)</f>
        <v/>
      </c>
      <c r="O67" s="143">
        <f>IF(N67&gt;0,IF(N67&lt;=180,N67,0),0)</f>
        <v/>
      </c>
      <c r="P67" s="141">
        <f>IF(AND(N67&lt;90,N67&gt;0),Q67,0)</f>
        <v/>
      </c>
      <c r="Q67" s="141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/>
      </c>
      <c r="R67" s="141">
        <f>IF(AND(H67=TRUE,I67=FALSE),Q67,0)</f>
        <v/>
      </c>
      <c r="S67" s="141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/>
      </c>
      <c r="T67" s="142">
        <f>IF(U67=TRUE,$J67,"")</f>
        <v/>
      </c>
      <c r="U67" s="140" t="b">
        <v>0</v>
      </c>
      <c r="V67" s="141">
        <f>IF(AND(H67=TRUE,OR(K67="",K67&gt;M67)),S67,0)</f>
        <v/>
      </c>
      <c r="W67" s="140" t="n">
        <v>0</v>
      </c>
      <c r="X67" s="140" t="b">
        <v>0</v>
      </c>
      <c r="Y67" s="143">
        <f>IF(H67=FALSE,VLOOKUP($C67,Sales!$C:$F,4,FALSE),1)</f>
        <v/>
      </c>
      <c r="Z67" s="140">
        <f>IF(Y67=0,"Release",IF(AND(L67&lt;J67,Y67=1,H67=FALSE,U67=FALSE,MONTH(L67)&amp;"/"&amp;YEAR(L67)&lt;&gt;MONTH(J67)&amp;"/"&amp;YEAR(J67)),"Release",""))</f>
        <v/>
      </c>
      <c r="AA67" s="144">
        <f>_xlfn.minifs($L:$L,$C:$C,$C67,$F:$F,"&lt;&gt;0")</f>
        <v/>
      </c>
      <c r="AB67" s="144">
        <f>C67&amp;"-"&amp;A67</f>
        <v/>
      </c>
      <c r="AC67" s="144">
        <f>L67</f>
        <v/>
      </c>
    </row>
    <row r="68">
      <c r="A68" s="140" t="inlineStr">
        <is>
          <t>ZVOL01</t>
        </is>
      </c>
      <c r="B68" s="140" t="n">
        <v>2</v>
      </c>
      <c r="C68" s="140" t="inlineStr">
        <is>
          <t>HFA306</t>
        </is>
      </c>
      <c r="D68" s="140" t="inlineStr">
        <is>
          <t>A</t>
        </is>
      </c>
      <c r="E68" s="140" t="inlineStr">
        <is>
          <t>Volschenk Gideon Cornelius</t>
        </is>
      </c>
      <c r="F68" s="141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</f>
        <v/>
      </c>
      <c r="G68" s="142" t="n">
        <v>44590</v>
      </c>
      <c r="H68" s="140">
        <f>VLOOKUP($C68,Sales!$C:$E,2,FALSE)</f>
        <v/>
      </c>
      <c r="I68" s="140">
        <f>VLOOKUP($C68,Sales!$C:$E,3,FALSE)</f>
        <v/>
      </c>
      <c r="J68" s="142">
        <f>SUMIFS(Sales!$H:$H,Sales!$C:$C,'Investor Exit List'!$C68)</f>
        <v/>
      </c>
      <c r="K68" s="142">
        <f>IF(I68=TRUE,J68,"")</f>
        <v/>
      </c>
      <c r="L68" s="142">
        <f>G68+730</f>
        <v/>
      </c>
      <c r="M68" s="142" t="n">
        <v>45443</v>
      </c>
      <c r="N68" s="143">
        <f>IFERROR(IF(G68&lt;&gt;"",IF(I68=TRUE,0,IF(U68=TRUE,0,L68-M68)),0),0)</f>
        <v/>
      </c>
      <c r="O68" s="143">
        <f>IF(N68&gt;0,IF(N68&lt;=180,N68,0),0)</f>
        <v/>
      </c>
      <c r="P68" s="141">
        <f>IF(AND(N68&lt;90,N68&gt;0),Q68,0)</f>
        <v/>
      </c>
      <c r="Q68" s="141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/>
      </c>
      <c r="R68" s="141">
        <f>IF(AND(H68=TRUE,I68=FALSE),Q68,0)</f>
        <v/>
      </c>
      <c r="S68" s="141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/>
      </c>
      <c r="T68" s="142">
        <f>IF(U68=TRUE,$J68,"")</f>
        <v/>
      </c>
      <c r="U68" s="140" t="b">
        <v>0</v>
      </c>
      <c r="V68" s="141">
        <f>IF(AND(H68=TRUE,OR(K68="",K68&gt;M68)),S68,0)</f>
        <v/>
      </c>
      <c r="W68" s="140" t="n">
        <v>0</v>
      </c>
      <c r="X68" s="140" t="b">
        <v>0</v>
      </c>
      <c r="Y68" s="143">
        <f>IF(H68=FALSE,VLOOKUP($C68,Sales!$C:$F,4,FALSE),1)</f>
        <v/>
      </c>
      <c r="Z68" s="140">
        <f>IF(Y68=0,"Release",IF(AND(L68&lt;J68,Y68=1,H68=FALSE,U68=FALSE,MONTH(L68)&amp;"/"&amp;YEAR(L68)&lt;&gt;MONTH(J68)&amp;"/"&amp;YEAR(J68)),"Release",""))</f>
        <v/>
      </c>
      <c r="AA68" s="144">
        <f>_xlfn.minifs($L:$L,$C:$C,$C68,$F:$F,"&lt;&gt;0")</f>
        <v/>
      </c>
      <c r="AB68" s="144">
        <f>C68&amp;"-"&amp;A68</f>
        <v/>
      </c>
      <c r="AC68" s="144">
        <f>L68</f>
        <v/>
      </c>
    </row>
    <row r="69">
      <c r="A69" s="140" t="inlineStr">
        <is>
          <t>ZINT01</t>
        </is>
      </c>
      <c r="B69" s="140" t="n">
        <v>8</v>
      </c>
      <c r="C69" s="140" t="inlineStr">
        <is>
          <t>HFB101</t>
        </is>
      </c>
      <c r="D69" s="140" t="inlineStr">
        <is>
          <t>B</t>
        </is>
      </c>
      <c r="E69" s="140" t="inlineStr">
        <is>
          <t>Lunau Marc</t>
        </is>
      </c>
      <c r="F69" s="141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</f>
        <v/>
      </c>
      <c r="G69" s="142" t="n">
        <v>44352</v>
      </c>
      <c r="H69" s="140">
        <f>VLOOKUP($C69,Sales!$C:$E,2,FALSE)</f>
        <v/>
      </c>
      <c r="I69" s="140">
        <f>VLOOKUP($C69,Sales!$C:$E,3,FALSE)</f>
        <v/>
      </c>
      <c r="J69" s="142">
        <f>SUMIFS(Sales!$H:$H,Sales!$C:$C,'Investor Exit List'!$C69)</f>
        <v/>
      </c>
      <c r="K69" s="142">
        <f>IF(I69=TRUE,J69,"")</f>
        <v/>
      </c>
      <c r="L69" s="142">
        <f>G69+730</f>
        <v/>
      </c>
      <c r="M69" s="142" t="n">
        <v>45443</v>
      </c>
      <c r="N69" s="143">
        <f>IFERROR(IF(G69&lt;&gt;"",IF(I69=TRUE,0,IF(U69=TRUE,0,L69-M69)),0),0)</f>
        <v/>
      </c>
      <c r="O69" s="143">
        <f>IF(N69&gt;0,IF(N69&lt;=180,N69,0),0)</f>
        <v/>
      </c>
      <c r="P69" s="141">
        <f>IF(AND(N69&lt;90,N69&gt;0),Q69,0)</f>
        <v/>
      </c>
      <c r="Q69" s="141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/>
      </c>
      <c r="R69" s="141">
        <f>IF(AND(H69=TRUE,I69=FALSE),Q69,0)</f>
        <v/>
      </c>
      <c r="S69" s="141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/>
      </c>
      <c r="T69" s="142">
        <f>IF(U69=TRUE,$J69,"")</f>
        <v/>
      </c>
      <c r="U69" s="140" t="b">
        <v>0</v>
      </c>
      <c r="V69" s="141">
        <f>IF(AND(H69=TRUE,OR(K69="",K69&gt;M69)),S69,0)</f>
        <v/>
      </c>
      <c r="W69" s="140" t="n">
        <v>0</v>
      </c>
      <c r="X69" s="140" t="b">
        <v>0</v>
      </c>
      <c r="Y69" s="143">
        <f>IF(H69=FALSE,VLOOKUP($C69,Sales!$C:$F,4,FALSE),1)</f>
        <v/>
      </c>
      <c r="Z69" s="140">
        <f>IF(Y69=0,"Release",IF(AND(L69&lt;J69,Y69=1,H69=FALSE,U69=FALSE,MONTH(L69)&amp;"/"&amp;YEAR(L69)&lt;&gt;MONTH(J69)&amp;"/"&amp;YEAR(J69)),"Release",""))</f>
        <v/>
      </c>
      <c r="AA69" s="144">
        <f>_xlfn.minifs($L:$L,$C:$C,$C69,$F:$F,"&lt;&gt;0")</f>
        <v/>
      </c>
      <c r="AB69" s="144">
        <f>C69&amp;"-"&amp;A69</f>
        <v/>
      </c>
      <c r="AC69" s="144">
        <f>L69</f>
        <v/>
      </c>
    </row>
    <row r="70">
      <c r="A70" s="140" t="inlineStr">
        <is>
          <t>ZKFT01</t>
        </is>
      </c>
      <c r="B70" s="140" t="n">
        <v>1</v>
      </c>
      <c r="C70" s="140" t="inlineStr">
        <is>
          <t>HFB101</t>
        </is>
      </c>
      <c r="D70" s="140" t="inlineStr">
        <is>
          <t>B</t>
        </is>
      </c>
      <c r="E70" s="140" t="inlineStr">
        <is>
          <t>Koovarjee Koovarjee Family Trust</t>
        </is>
      </c>
      <c r="F70" s="141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</f>
        <v/>
      </c>
      <c r="G70" s="142" t="n">
        <v>44352</v>
      </c>
      <c r="H70" s="140">
        <f>VLOOKUP($C70,Sales!$C:$E,2,FALSE)</f>
        <v/>
      </c>
      <c r="I70" s="140">
        <f>VLOOKUP($C70,Sales!$C:$E,3,FALSE)</f>
        <v/>
      </c>
      <c r="J70" s="142">
        <f>SUMIFS(Sales!$H:$H,Sales!$C:$C,'Investor Exit List'!$C70)</f>
        <v/>
      </c>
      <c r="K70" s="142">
        <f>IF(I70=TRUE,J70,"")</f>
        <v/>
      </c>
      <c r="L70" s="142">
        <f>G70+730</f>
        <v/>
      </c>
      <c r="M70" s="142" t="n">
        <v>45443</v>
      </c>
      <c r="N70" s="143">
        <f>IFERROR(IF(G70&lt;&gt;"",IF(I70=TRUE,0,IF(U70=TRUE,0,L70-M70)),0),0)</f>
        <v/>
      </c>
      <c r="O70" s="143">
        <f>IF(N70&gt;0,IF(N70&lt;=180,N70,0),0)</f>
        <v/>
      </c>
      <c r="P70" s="141">
        <f>IF(AND(N70&lt;90,N70&gt;0),Q70,0)</f>
        <v/>
      </c>
      <c r="Q70" s="141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/>
      </c>
      <c r="R70" s="141">
        <f>IF(AND(H70=TRUE,I70=FALSE),Q70,0)</f>
        <v/>
      </c>
      <c r="S70" s="141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/>
      </c>
      <c r="T70" s="142">
        <f>IF(U70=TRUE,$J70,"")</f>
        <v/>
      </c>
      <c r="U70" s="140" t="b">
        <v>0</v>
      </c>
      <c r="V70" s="141">
        <f>IF(AND(H70=TRUE,OR(K70="",K70&gt;M70)),S70,0)</f>
        <v/>
      </c>
      <c r="W70" s="140" t="n">
        <v>0</v>
      </c>
      <c r="X70" s="140" t="b">
        <v>0</v>
      </c>
      <c r="Y70" s="143">
        <f>IF(H70=FALSE,VLOOKUP($C70,Sales!$C:$F,4,FALSE),1)</f>
        <v/>
      </c>
      <c r="Z70" s="140">
        <f>IF(Y70=0,"Release",IF(AND(L70&lt;J70,Y70=1,H70=FALSE,U70=FALSE,MONTH(L70)&amp;"/"&amp;YEAR(L70)&lt;&gt;MONTH(J70)&amp;"/"&amp;YEAR(J70)),"Release",""))</f>
        <v/>
      </c>
      <c r="AA70" s="144">
        <f>_xlfn.minifs($L:$L,$C:$C,$C70,$F:$F,"&lt;&gt;0")</f>
        <v/>
      </c>
      <c r="AB70" s="144">
        <f>C70&amp;"-"&amp;A70</f>
        <v/>
      </c>
      <c r="AC70" s="144">
        <f>L70</f>
        <v/>
      </c>
    </row>
    <row r="71">
      <c r="A71" s="140" t="inlineStr">
        <is>
          <t>ZLUN01</t>
        </is>
      </c>
      <c r="B71" s="140" t="n">
        <v>3</v>
      </c>
      <c r="C71" s="140" t="inlineStr">
        <is>
          <t>HFB101</t>
        </is>
      </c>
      <c r="D71" s="140" t="inlineStr">
        <is>
          <t>B</t>
        </is>
      </c>
      <c r="E71" s="140" t="inlineStr">
        <is>
          <t>Lunau Marc</t>
        </is>
      </c>
      <c r="F71" s="141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</f>
        <v/>
      </c>
      <c r="G71" s="142" t="n">
        <v>44316</v>
      </c>
      <c r="H71" s="140">
        <f>VLOOKUP($C71,Sales!$C:$E,2,FALSE)</f>
        <v/>
      </c>
      <c r="I71" s="140">
        <f>VLOOKUP($C71,Sales!$C:$E,3,FALSE)</f>
        <v/>
      </c>
      <c r="J71" s="142">
        <f>SUMIFS(Sales!$H:$H,Sales!$C:$C,'Investor Exit List'!$C71)</f>
        <v/>
      </c>
      <c r="K71" s="142">
        <f>IF(I71=TRUE,J71,"")</f>
        <v/>
      </c>
      <c r="L71" s="142">
        <f>G71+730</f>
        <v/>
      </c>
      <c r="M71" s="142" t="n">
        <v>45443</v>
      </c>
      <c r="N71" s="143">
        <f>IFERROR(IF(G71&lt;&gt;"",IF(I71=TRUE,0,IF(U71=TRUE,0,L71-M71)),0),0)</f>
        <v/>
      </c>
      <c r="O71" s="143">
        <f>IF(N71&gt;0,IF(N71&lt;=180,N71,0),0)</f>
        <v/>
      </c>
      <c r="P71" s="141">
        <f>IF(AND(N71&lt;90,N71&gt;0),Q71,0)</f>
        <v/>
      </c>
      <c r="Q71" s="141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/>
      </c>
      <c r="R71" s="141">
        <f>IF(AND(H71=TRUE,I71=FALSE),Q71,0)</f>
        <v/>
      </c>
      <c r="S71" s="141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/>
      </c>
      <c r="T71" s="142">
        <f>IF(U71=TRUE,$J71,"")</f>
        <v/>
      </c>
      <c r="U71" s="140" t="b">
        <v>0</v>
      </c>
      <c r="V71" s="141">
        <f>IF(AND(H71=TRUE,OR(K71="",K71&gt;M71)),S71,0)</f>
        <v/>
      </c>
      <c r="W71" s="140" t="n">
        <v>0</v>
      </c>
      <c r="X71" s="140" t="b">
        <v>0</v>
      </c>
      <c r="Y71" s="143">
        <f>IF(H71=FALSE,VLOOKUP($C71,Sales!$C:$F,4,FALSE),1)</f>
        <v/>
      </c>
      <c r="Z71" s="140">
        <f>IF(Y71=0,"Release",IF(AND(L71&lt;J71,Y71=1,H71=FALSE,U71=FALSE,MONTH(L71)&amp;"/"&amp;YEAR(L71)&lt;&gt;MONTH(J71)&amp;"/"&amp;YEAR(J71)),"Release",""))</f>
        <v/>
      </c>
      <c r="AA71" s="144">
        <f>_xlfn.minifs($L:$L,$C:$C,$C71,$F:$F,"&lt;&gt;0")</f>
        <v/>
      </c>
      <c r="AB71" s="144">
        <f>C71&amp;"-"&amp;A71</f>
        <v/>
      </c>
      <c r="AC71" s="144">
        <f>L71</f>
        <v/>
      </c>
    </row>
    <row r="72">
      <c r="A72" s="140" t="inlineStr">
        <is>
          <t>ZMEH01</t>
        </is>
      </c>
      <c r="B72" s="140" t="n">
        <v>1</v>
      </c>
      <c r="C72" s="140" t="inlineStr">
        <is>
          <t>HFB101</t>
        </is>
      </c>
      <c r="D72" s="140" t="inlineStr">
        <is>
          <t>B</t>
        </is>
      </c>
      <c r="E72" s="140" t="inlineStr">
        <is>
          <t>Mehl Ralph Graham</t>
        </is>
      </c>
      <c r="F72" s="141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</f>
        <v/>
      </c>
      <c r="G72" s="142" t="n">
        <v>44532</v>
      </c>
      <c r="H72" s="140">
        <f>VLOOKUP($C72,Sales!$C:$E,2,FALSE)</f>
        <v/>
      </c>
      <c r="I72" s="140">
        <f>VLOOKUP($C72,Sales!$C:$E,3,FALSE)</f>
        <v/>
      </c>
      <c r="J72" s="142">
        <f>SUMIFS(Sales!$H:$H,Sales!$C:$C,'Investor Exit List'!$C72)</f>
        <v/>
      </c>
      <c r="K72" s="142">
        <f>IF(I72=TRUE,J72,"")</f>
        <v/>
      </c>
      <c r="L72" s="142">
        <f>G72+730</f>
        <v/>
      </c>
      <c r="M72" s="142" t="n">
        <v>45443</v>
      </c>
      <c r="N72" s="143">
        <f>IFERROR(IF(G72&lt;&gt;"",IF(I72=TRUE,0,IF(U72=TRUE,0,L72-M72)),0),0)</f>
        <v/>
      </c>
      <c r="O72" s="143">
        <f>IF(N72&gt;0,IF(N72&lt;=180,N72,0),0)</f>
        <v/>
      </c>
      <c r="P72" s="141">
        <f>IF(AND(N72&lt;90,N72&gt;0),Q72,0)</f>
        <v/>
      </c>
      <c r="Q72" s="141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/>
      </c>
      <c r="R72" s="141">
        <f>IF(AND(H72=TRUE,I72=FALSE),Q72,0)</f>
        <v/>
      </c>
      <c r="S72" s="141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/>
      </c>
      <c r="T72" s="142">
        <f>IF(U72=TRUE,$J72,"")</f>
        <v/>
      </c>
      <c r="U72" s="140" t="b">
        <v>0</v>
      </c>
      <c r="V72" s="141">
        <f>IF(AND(H72=TRUE,OR(K72="",K72&gt;M72)),S72,0)</f>
        <v/>
      </c>
      <c r="W72" s="140" t="n">
        <v>0</v>
      </c>
      <c r="X72" s="140" t="b">
        <v>0</v>
      </c>
      <c r="Y72" s="143">
        <f>IF(H72=FALSE,VLOOKUP($C72,Sales!$C:$F,4,FALSE),1)</f>
        <v/>
      </c>
      <c r="Z72" s="140">
        <f>IF(Y72=0,"Release",IF(AND(L72&lt;J72,Y72=1,H72=FALSE,U72=FALSE,MONTH(L72)&amp;"/"&amp;YEAR(L72)&lt;&gt;MONTH(J72)&amp;"/"&amp;YEAR(J72)),"Release",""))</f>
        <v/>
      </c>
      <c r="AA72" s="144">
        <f>_xlfn.minifs($L:$L,$C:$C,$C72,$F:$F,"&lt;&gt;0")</f>
        <v/>
      </c>
      <c r="AB72" s="144">
        <f>C72&amp;"-"&amp;A72</f>
        <v/>
      </c>
      <c r="AC72" s="144">
        <f>L72</f>
        <v/>
      </c>
    </row>
    <row r="73">
      <c r="A73" s="140" t="inlineStr">
        <is>
          <t>ZTHO01</t>
        </is>
      </c>
      <c r="B73" s="140" t="n">
        <v>1</v>
      </c>
      <c r="C73" s="140" t="inlineStr">
        <is>
          <t>HFB101</t>
        </is>
      </c>
      <c r="D73" s="140" t="inlineStr">
        <is>
          <t>B</t>
        </is>
      </c>
      <c r="E73" s="140" t="inlineStr">
        <is>
          <t>Hoets Tamzin</t>
        </is>
      </c>
      <c r="F73" s="141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</f>
        <v/>
      </c>
      <c r="G73" s="142" t="n">
        <v>44352</v>
      </c>
      <c r="H73" s="140">
        <f>VLOOKUP($C73,Sales!$C:$E,2,FALSE)</f>
        <v/>
      </c>
      <c r="I73" s="140">
        <f>VLOOKUP($C73,Sales!$C:$E,3,FALSE)</f>
        <v/>
      </c>
      <c r="J73" s="142">
        <f>SUMIFS(Sales!$H:$H,Sales!$C:$C,'Investor Exit List'!$C73)</f>
        <v/>
      </c>
      <c r="K73" s="142">
        <f>IF(I73=TRUE,J73,"")</f>
        <v/>
      </c>
      <c r="L73" s="142">
        <f>G73+730</f>
        <v/>
      </c>
      <c r="M73" s="142" t="n">
        <v>45443</v>
      </c>
      <c r="N73" s="143">
        <f>IFERROR(IF(G73&lt;&gt;"",IF(I73=TRUE,0,IF(U73=TRUE,0,L73-M73)),0),0)</f>
        <v/>
      </c>
      <c r="O73" s="143">
        <f>IF(N73&gt;0,IF(N73&lt;=180,N73,0),0)</f>
        <v/>
      </c>
      <c r="P73" s="141">
        <f>IF(AND(N73&lt;90,N73&gt;0),Q73,0)</f>
        <v/>
      </c>
      <c r="Q73" s="141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/>
      </c>
      <c r="R73" s="141">
        <f>IF(AND(H73=TRUE,I73=FALSE),Q73,0)</f>
        <v/>
      </c>
      <c r="S73" s="141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/>
      </c>
      <c r="T73" s="142">
        <f>IF(U73=TRUE,$J73,"")</f>
        <v/>
      </c>
      <c r="U73" s="140" t="b">
        <v>0</v>
      </c>
      <c r="V73" s="141">
        <f>IF(AND(H73=TRUE,OR(K73="",K73&gt;M73)),S73,0)</f>
        <v/>
      </c>
      <c r="W73" s="140" t="n">
        <v>0</v>
      </c>
      <c r="X73" s="140" t="b">
        <v>0</v>
      </c>
      <c r="Y73" s="143">
        <f>IF(H73=FALSE,VLOOKUP($C73,Sales!$C:$F,4,FALSE),1)</f>
        <v/>
      </c>
      <c r="Z73" s="140">
        <f>IF(Y73=0,"Release",IF(AND(L73&lt;J73,Y73=1,H73=FALSE,U73=FALSE,MONTH(L73)&amp;"/"&amp;YEAR(L73)&lt;&gt;MONTH(J73)&amp;"/"&amp;YEAR(J73)),"Release",""))</f>
        <v/>
      </c>
      <c r="AA73" s="144">
        <f>_xlfn.minifs($L:$L,$C:$C,$C73,$F:$F,"&lt;&gt;0")</f>
        <v/>
      </c>
      <c r="AB73" s="144">
        <f>C73&amp;"-"&amp;A73</f>
        <v/>
      </c>
      <c r="AC73" s="144">
        <f>L73</f>
        <v/>
      </c>
    </row>
    <row r="74">
      <c r="A74" s="140" t="inlineStr">
        <is>
          <t>ZCRO01</t>
        </is>
      </c>
      <c r="B74" s="140" t="n">
        <v>2</v>
      </c>
      <c r="C74" s="140" t="inlineStr">
        <is>
          <t>HFB102</t>
        </is>
      </c>
      <c r="D74" s="140" t="inlineStr">
        <is>
          <t>B</t>
        </is>
      </c>
      <c r="E74" s="140" t="inlineStr">
        <is>
          <t>Lunau Marc</t>
        </is>
      </c>
      <c r="F74" s="141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</f>
        <v/>
      </c>
      <c r="G74" s="142" t="n">
        <v>44352</v>
      </c>
      <c r="H74" s="140">
        <f>VLOOKUP($C74,Sales!$C:$E,2,FALSE)</f>
        <v/>
      </c>
      <c r="I74" s="140">
        <f>VLOOKUP($C74,Sales!$C:$E,3,FALSE)</f>
        <v/>
      </c>
      <c r="J74" s="142">
        <f>SUMIFS(Sales!$H:$H,Sales!$C:$C,'Investor Exit List'!$C74)</f>
        <v/>
      </c>
      <c r="K74" s="142">
        <f>IF(I74=TRUE,J74,"")</f>
        <v/>
      </c>
      <c r="L74" s="142">
        <f>G74+730</f>
        <v/>
      </c>
      <c r="M74" s="142" t="n">
        <v>45443</v>
      </c>
      <c r="N74" s="143">
        <f>IFERROR(IF(G74&lt;&gt;"",IF(I74=TRUE,0,IF(U74=TRUE,0,L74-M74)),0),0)</f>
        <v/>
      </c>
      <c r="O74" s="143">
        <f>IF(N74&gt;0,IF(N74&lt;=180,N74,0),0)</f>
        <v/>
      </c>
      <c r="P74" s="141">
        <f>IF(AND(N74&lt;90,N74&gt;0),Q74,0)</f>
        <v/>
      </c>
      <c r="Q74" s="141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/>
      </c>
      <c r="R74" s="141">
        <f>IF(AND(H74=TRUE,I74=FALSE),Q74,0)</f>
        <v/>
      </c>
      <c r="S74" s="141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/>
      </c>
      <c r="T74" s="142">
        <f>IF(U74=TRUE,$J74,"")</f>
        <v/>
      </c>
      <c r="U74" s="140" t="b">
        <v>0</v>
      </c>
      <c r="V74" s="141">
        <f>IF(AND(H74=TRUE,OR(K74="",K74&gt;M74)),S74,0)</f>
        <v/>
      </c>
      <c r="W74" s="140" t="n">
        <v>0</v>
      </c>
      <c r="X74" s="140" t="b">
        <v>0</v>
      </c>
      <c r="Y74" s="143">
        <f>IF(H74=FALSE,VLOOKUP($C74,Sales!$C:$F,4,FALSE),1)</f>
        <v/>
      </c>
      <c r="Z74" s="140">
        <f>IF(Y74=0,"Release",IF(AND(L74&lt;J74,Y74=1,H74=FALSE,U74=FALSE,MONTH(L74)&amp;"/"&amp;YEAR(L74)&lt;&gt;MONTH(J74)&amp;"/"&amp;YEAR(J74)),"Release",""))</f>
        <v/>
      </c>
      <c r="AA74" s="144">
        <f>_xlfn.minifs($L:$L,$C:$C,$C74,$F:$F,"&lt;&gt;0")</f>
        <v/>
      </c>
      <c r="AB74" s="144">
        <f>C74&amp;"-"&amp;A74</f>
        <v/>
      </c>
      <c r="AC74" s="144">
        <f>L74</f>
        <v/>
      </c>
    </row>
    <row r="75">
      <c r="A75" s="140" t="inlineStr">
        <is>
          <t>ZGOV01</t>
        </is>
      </c>
      <c r="B75" s="140" t="n">
        <v>1</v>
      </c>
      <c r="C75" s="140" t="inlineStr">
        <is>
          <t>HFB102</t>
        </is>
      </c>
      <c r="D75" s="140" t="inlineStr">
        <is>
          <t>B</t>
        </is>
      </c>
      <c r="E75" s="140" t="inlineStr">
        <is>
          <t>Govender Preshnee</t>
        </is>
      </c>
      <c r="F75" s="141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</f>
        <v/>
      </c>
      <c r="G75" s="142" t="n">
        <v>44352</v>
      </c>
      <c r="H75" s="140">
        <f>VLOOKUP($C75,Sales!$C:$E,2,FALSE)</f>
        <v/>
      </c>
      <c r="I75" s="140">
        <f>VLOOKUP($C75,Sales!$C:$E,3,FALSE)</f>
        <v/>
      </c>
      <c r="J75" s="142">
        <f>SUMIFS(Sales!$H:$H,Sales!$C:$C,'Investor Exit List'!$C75)</f>
        <v/>
      </c>
      <c r="K75" s="142">
        <f>IF(I75=TRUE,J75,"")</f>
        <v/>
      </c>
      <c r="L75" s="142">
        <f>G75+730</f>
        <v/>
      </c>
      <c r="M75" s="142" t="n">
        <v>45443</v>
      </c>
      <c r="N75" s="143">
        <f>IFERROR(IF(G75&lt;&gt;"",IF(I75=TRUE,0,IF(U75=TRUE,0,L75-M75)),0),0)</f>
        <v/>
      </c>
      <c r="O75" s="143">
        <f>IF(N75&gt;0,IF(N75&lt;=180,N75,0),0)</f>
        <v/>
      </c>
      <c r="P75" s="141">
        <f>IF(AND(N75&lt;90,N75&gt;0),Q75,0)</f>
        <v/>
      </c>
      <c r="Q75" s="141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/>
      </c>
      <c r="R75" s="141">
        <f>IF(AND(H75=TRUE,I75=FALSE),Q75,0)</f>
        <v/>
      </c>
      <c r="S75" s="141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/>
      </c>
      <c r="T75" s="142">
        <f>IF(U75=TRUE,$J75,"")</f>
        <v/>
      </c>
      <c r="U75" s="140" t="b">
        <v>0</v>
      </c>
      <c r="V75" s="141">
        <f>IF(AND(H75=TRUE,OR(K75="",K75&gt;M75)),S75,0)</f>
        <v/>
      </c>
      <c r="W75" s="140" t="n">
        <v>0</v>
      </c>
      <c r="X75" s="140" t="b">
        <v>0</v>
      </c>
      <c r="Y75" s="143">
        <f>IF(H75=FALSE,VLOOKUP($C75,Sales!$C:$F,4,FALSE),1)</f>
        <v/>
      </c>
      <c r="Z75" s="140">
        <f>IF(Y75=0,"Release",IF(AND(L75&lt;J75,Y75=1,H75=FALSE,U75=FALSE,MONTH(L75)&amp;"/"&amp;YEAR(L75)&lt;&gt;MONTH(J75)&amp;"/"&amp;YEAR(J75)),"Release",""))</f>
        <v/>
      </c>
      <c r="AA75" s="144">
        <f>_xlfn.minifs($L:$L,$C:$C,$C75,$F:$F,"&lt;&gt;0")</f>
        <v/>
      </c>
      <c r="AB75" s="144">
        <f>C75&amp;"-"&amp;A75</f>
        <v/>
      </c>
      <c r="AC75" s="144">
        <f>L75</f>
        <v/>
      </c>
    </row>
    <row r="76">
      <c r="A76" s="140" t="inlineStr">
        <is>
          <t>ZINT01</t>
        </is>
      </c>
      <c r="B76" s="140" t="n">
        <v>7</v>
      </c>
      <c r="C76" s="140" t="inlineStr">
        <is>
          <t>HFB102</t>
        </is>
      </c>
      <c r="D76" s="140" t="inlineStr">
        <is>
          <t>B</t>
        </is>
      </c>
      <c r="E76" s="140" t="inlineStr">
        <is>
          <t>Lunau Marc</t>
        </is>
      </c>
      <c r="F76" s="141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</f>
        <v/>
      </c>
      <c r="G76" s="142" t="n">
        <v>44352</v>
      </c>
      <c r="H76" s="140">
        <f>VLOOKUP($C76,Sales!$C:$E,2,FALSE)</f>
        <v/>
      </c>
      <c r="I76" s="140">
        <f>VLOOKUP($C76,Sales!$C:$E,3,FALSE)</f>
        <v/>
      </c>
      <c r="J76" s="142">
        <f>SUMIFS(Sales!$H:$H,Sales!$C:$C,'Investor Exit List'!$C76)</f>
        <v/>
      </c>
      <c r="K76" s="142">
        <f>IF(I76=TRUE,J76,"")</f>
        <v/>
      </c>
      <c r="L76" s="142">
        <f>G76+730</f>
        <v/>
      </c>
      <c r="M76" s="142" t="n">
        <v>45443</v>
      </c>
      <c r="N76" s="143">
        <f>IFERROR(IF(G76&lt;&gt;"",IF(I76=TRUE,0,IF(U76=TRUE,0,L76-M76)),0),0)</f>
        <v/>
      </c>
      <c r="O76" s="143">
        <f>IF(N76&gt;0,IF(N76&lt;=180,N76,0),0)</f>
        <v/>
      </c>
      <c r="P76" s="141">
        <f>IF(AND(N76&lt;90,N76&gt;0),Q76,0)</f>
        <v/>
      </c>
      <c r="Q76" s="141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/>
      </c>
      <c r="R76" s="141">
        <f>IF(AND(H76=TRUE,I76=FALSE),Q76,0)</f>
        <v/>
      </c>
      <c r="S76" s="141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/>
      </c>
      <c r="T76" s="142">
        <f>IF(U76=TRUE,$J76,"")</f>
        <v/>
      </c>
      <c r="U76" s="140" t="b">
        <v>0</v>
      </c>
      <c r="V76" s="141">
        <f>IF(AND(H76=TRUE,OR(K76="",K76&gt;M76)),S76,0)</f>
        <v/>
      </c>
      <c r="W76" s="140" t="n">
        <v>0</v>
      </c>
      <c r="X76" s="140" t="b">
        <v>0</v>
      </c>
      <c r="Y76" s="143">
        <f>IF(H76=FALSE,VLOOKUP($C76,Sales!$C:$F,4,FALSE),1)</f>
        <v/>
      </c>
      <c r="Z76" s="140">
        <f>IF(Y76=0,"Release",IF(AND(L76&lt;J76,Y76=1,H76=FALSE,U76=FALSE,MONTH(L76)&amp;"/"&amp;YEAR(L76)&lt;&gt;MONTH(J76)&amp;"/"&amp;YEAR(J76)),"Release",""))</f>
        <v/>
      </c>
      <c r="AA76" s="144">
        <f>_xlfn.minifs($L:$L,$C:$C,$C76,$F:$F,"&lt;&gt;0")</f>
        <v/>
      </c>
      <c r="AB76" s="144">
        <f>C76&amp;"-"&amp;A76</f>
        <v/>
      </c>
      <c r="AC76" s="144">
        <f>L76</f>
        <v/>
      </c>
    </row>
    <row r="77">
      <c r="A77" s="140" t="inlineStr">
        <is>
          <t>ZJOH01</t>
        </is>
      </c>
      <c r="B77" s="140" t="n">
        <v>2</v>
      </c>
      <c r="C77" s="140" t="inlineStr">
        <is>
          <t>HFB102</t>
        </is>
      </c>
      <c r="D77" s="140" t="inlineStr">
        <is>
          <t>B</t>
        </is>
      </c>
      <c r="E77" s="140" t="inlineStr">
        <is>
          <t>Johns Lisa-Marie Natalie</t>
        </is>
      </c>
      <c r="F77" s="141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</f>
        <v/>
      </c>
      <c r="G77" s="142" t="n">
        <v>44316</v>
      </c>
      <c r="H77" s="140">
        <f>VLOOKUP($C77,Sales!$C:$E,2,FALSE)</f>
        <v/>
      </c>
      <c r="I77" s="140">
        <f>VLOOKUP($C77,Sales!$C:$E,3,FALSE)</f>
        <v/>
      </c>
      <c r="J77" s="142">
        <f>SUMIFS(Sales!$H:$H,Sales!$C:$C,'Investor Exit List'!$C77)</f>
        <v/>
      </c>
      <c r="K77" s="142">
        <f>IF(I77=TRUE,J77,"")</f>
        <v/>
      </c>
      <c r="L77" s="142">
        <f>G77+730</f>
        <v/>
      </c>
      <c r="M77" s="142" t="n">
        <v>45443</v>
      </c>
      <c r="N77" s="143">
        <f>IFERROR(IF(G77&lt;&gt;"",IF(I77=TRUE,0,IF(U77=TRUE,0,L77-M77)),0),0)</f>
        <v/>
      </c>
      <c r="O77" s="143">
        <f>IF(N77&gt;0,IF(N77&lt;=180,N77,0),0)</f>
        <v/>
      </c>
      <c r="P77" s="141">
        <f>IF(AND(N77&lt;90,N77&gt;0),Q77,0)</f>
        <v/>
      </c>
      <c r="Q77" s="141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/>
      </c>
      <c r="R77" s="141">
        <f>IF(AND(H77=TRUE,I77=FALSE),Q77,0)</f>
        <v/>
      </c>
      <c r="S77" s="141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/>
      </c>
      <c r="T77" s="142">
        <f>IF(U77=TRUE,$J77,"")</f>
        <v/>
      </c>
      <c r="U77" s="140" t="b">
        <v>0</v>
      </c>
      <c r="V77" s="141">
        <f>IF(AND(H77=TRUE,OR(K77="",K77&gt;M77)),S77,0)</f>
        <v/>
      </c>
      <c r="W77" s="140" t="n">
        <v>0</v>
      </c>
      <c r="X77" s="140" t="b">
        <v>0</v>
      </c>
      <c r="Y77" s="143">
        <f>IF(H77=FALSE,VLOOKUP($C77,Sales!$C:$F,4,FALSE),1)</f>
        <v/>
      </c>
      <c r="Z77" s="140">
        <f>IF(Y77=0,"Release",IF(AND(L77&lt;J77,Y77=1,H77=FALSE,U77=FALSE,MONTH(L77)&amp;"/"&amp;YEAR(L77)&lt;&gt;MONTH(J77)&amp;"/"&amp;YEAR(J77)),"Release",""))</f>
        <v/>
      </c>
      <c r="AA77" s="144">
        <f>_xlfn.minifs($L:$L,$C:$C,$C77,$F:$F,"&lt;&gt;0")</f>
        <v/>
      </c>
      <c r="AB77" s="144">
        <f>C77&amp;"-"&amp;A77</f>
        <v/>
      </c>
      <c r="AC77" s="144">
        <f>L77</f>
        <v/>
      </c>
    </row>
    <row r="78">
      <c r="A78" s="140" t="inlineStr">
        <is>
          <t>ZSCH02</t>
        </is>
      </c>
      <c r="B78" s="140" t="n">
        <v>1</v>
      </c>
      <c r="C78" s="140" t="inlineStr">
        <is>
          <t>HFB102</t>
        </is>
      </c>
      <c r="D78" s="140" t="inlineStr">
        <is>
          <t>B</t>
        </is>
      </c>
      <c r="E78" s="140" t="inlineStr">
        <is>
          <t>van Schalkwyk Zeldre</t>
        </is>
      </c>
      <c r="F78" s="141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</f>
        <v/>
      </c>
      <c r="G78" s="142" t="n">
        <v>44352</v>
      </c>
      <c r="H78" s="140">
        <f>VLOOKUP($C78,Sales!$C:$E,2,FALSE)</f>
        <v/>
      </c>
      <c r="I78" s="140">
        <f>VLOOKUP($C78,Sales!$C:$E,3,FALSE)</f>
        <v/>
      </c>
      <c r="J78" s="142">
        <f>SUMIFS(Sales!$H:$H,Sales!$C:$C,'Investor Exit List'!$C78)</f>
        <v/>
      </c>
      <c r="K78" s="142">
        <f>IF(I78=TRUE,J78,"")</f>
        <v/>
      </c>
      <c r="L78" s="142">
        <f>G78+730</f>
        <v/>
      </c>
      <c r="M78" s="142" t="n">
        <v>45443</v>
      </c>
      <c r="N78" s="143">
        <f>IFERROR(IF(G78&lt;&gt;"",IF(I78=TRUE,0,IF(U78=TRUE,0,L78-M78)),0),0)</f>
        <v/>
      </c>
      <c r="O78" s="143">
        <f>IF(N78&gt;0,IF(N78&lt;=180,N78,0),0)</f>
        <v/>
      </c>
      <c r="P78" s="141">
        <f>IF(AND(N78&lt;90,N78&gt;0),Q78,0)</f>
        <v/>
      </c>
      <c r="Q78" s="141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/>
      </c>
      <c r="R78" s="141">
        <f>IF(AND(H78=TRUE,I78=FALSE),Q78,0)</f>
        <v/>
      </c>
      <c r="S78" s="141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/>
      </c>
      <c r="T78" s="142">
        <f>IF(U78=TRUE,$J78,"")</f>
        <v/>
      </c>
      <c r="U78" s="140" t="b">
        <v>0</v>
      </c>
      <c r="V78" s="141">
        <f>IF(AND(H78=TRUE,OR(K78="",K78&gt;M78)),S78,0)</f>
        <v/>
      </c>
      <c r="W78" s="140" t="n">
        <v>0</v>
      </c>
      <c r="X78" s="140" t="b">
        <v>0</v>
      </c>
      <c r="Y78" s="143">
        <f>IF(H78=FALSE,VLOOKUP($C78,Sales!$C:$F,4,FALSE),1)</f>
        <v/>
      </c>
      <c r="Z78" s="140">
        <f>IF(Y78=0,"Release",IF(AND(L78&lt;J78,Y78=1,H78=FALSE,U78=FALSE,MONTH(L78)&amp;"/"&amp;YEAR(L78)&lt;&gt;MONTH(J78)&amp;"/"&amp;YEAR(J78)),"Release",""))</f>
        <v/>
      </c>
      <c r="AA78" s="144">
        <f>_xlfn.minifs($L:$L,$C:$C,$C78,$F:$F,"&lt;&gt;0")</f>
        <v/>
      </c>
      <c r="AB78" s="144">
        <f>C78&amp;"-"&amp;A78</f>
        <v/>
      </c>
      <c r="AC78" s="144">
        <f>L78</f>
        <v/>
      </c>
    </row>
    <row r="79">
      <c r="A79" s="140" t="inlineStr">
        <is>
          <t>ZBET02</t>
        </is>
      </c>
      <c r="B79" s="140" t="n">
        <v>1</v>
      </c>
      <c r="C79" s="140" t="inlineStr">
        <is>
          <t>HFB103</t>
        </is>
      </c>
      <c r="D79" s="140" t="inlineStr">
        <is>
          <t>B</t>
        </is>
      </c>
      <c r="E79" s="140" t="inlineStr">
        <is>
          <t>Bester Dawie Izak</t>
        </is>
      </c>
      <c r="F79" s="141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</f>
        <v/>
      </c>
      <c r="G79" s="142" t="n">
        <v>44352</v>
      </c>
      <c r="H79" s="140">
        <f>VLOOKUP($C79,Sales!$C:$E,2,FALSE)</f>
        <v/>
      </c>
      <c r="I79" s="140">
        <f>VLOOKUP($C79,Sales!$C:$E,3,FALSE)</f>
        <v/>
      </c>
      <c r="J79" s="142">
        <f>SUMIFS(Sales!$H:$H,Sales!$C:$C,'Investor Exit List'!$C79)</f>
        <v/>
      </c>
      <c r="K79" s="142">
        <f>IF(I79=TRUE,J79,"")</f>
        <v/>
      </c>
      <c r="L79" s="142">
        <f>G79+730</f>
        <v/>
      </c>
      <c r="M79" s="142" t="n">
        <v>45443</v>
      </c>
      <c r="N79" s="143">
        <f>IFERROR(IF(G79&lt;&gt;"",IF(I79=TRUE,0,IF(U79=TRUE,0,L79-M79)),0),0)</f>
        <v/>
      </c>
      <c r="O79" s="143">
        <f>IF(N79&gt;0,IF(N79&lt;=180,N79,0),0)</f>
        <v/>
      </c>
      <c r="P79" s="141">
        <f>IF(AND(N79&lt;90,N79&gt;0),Q79,0)</f>
        <v/>
      </c>
      <c r="Q79" s="141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/>
      </c>
      <c r="R79" s="141">
        <f>IF(AND(H79=TRUE,I79=FALSE),Q79,0)</f>
        <v/>
      </c>
      <c r="S79" s="141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/>
      </c>
      <c r="T79" s="142">
        <f>IF(U79=TRUE,$J79,"")</f>
        <v/>
      </c>
      <c r="U79" s="140" t="b">
        <v>0</v>
      </c>
      <c r="V79" s="141">
        <f>IF(AND(H79=TRUE,OR(K79="",K79&gt;M79)),S79,0)</f>
        <v/>
      </c>
      <c r="W79" s="140" t="n">
        <v>0</v>
      </c>
      <c r="X79" s="140" t="b">
        <v>0</v>
      </c>
      <c r="Y79" s="143">
        <f>IF(H79=FALSE,VLOOKUP($C79,Sales!$C:$F,4,FALSE),1)</f>
        <v/>
      </c>
      <c r="Z79" s="140">
        <f>IF(Y79=0,"Release",IF(AND(L79&lt;J79,Y79=1,H79=FALSE,U79=FALSE,MONTH(L79)&amp;"/"&amp;YEAR(L79)&lt;&gt;MONTH(J79)&amp;"/"&amp;YEAR(J79)),"Release",""))</f>
        <v/>
      </c>
      <c r="AA79" s="144">
        <f>_xlfn.minifs($L:$L,$C:$C,$C79,$F:$F,"&lt;&gt;0")</f>
        <v/>
      </c>
      <c r="AB79" s="144">
        <f>C79&amp;"-"&amp;A79</f>
        <v/>
      </c>
      <c r="AC79" s="144">
        <f>L79</f>
        <v/>
      </c>
    </row>
    <row r="80">
      <c r="A80" s="140" t="inlineStr">
        <is>
          <t>ZINT01</t>
        </is>
      </c>
      <c r="B80" s="140" t="n">
        <v>4</v>
      </c>
      <c r="C80" s="140" t="inlineStr">
        <is>
          <t>HFB103</t>
        </is>
      </c>
      <c r="D80" s="140" t="inlineStr">
        <is>
          <t>B</t>
        </is>
      </c>
      <c r="E80" s="140" t="inlineStr">
        <is>
          <t>Lunau Marc</t>
        </is>
      </c>
      <c r="F80" s="141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</f>
        <v/>
      </c>
      <c r="G80" s="142" t="n">
        <v>44316</v>
      </c>
      <c r="H80" s="140">
        <f>VLOOKUP($C80,Sales!$C:$E,2,FALSE)</f>
        <v/>
      </c>
      <c r="I80" s="140">
        <f>VLOOKUP($C80,Sales!$C:$E,3,FALSE)</f>
        <v/>
      </c>
      <c r="J80" s="142">
        <f>SUMIFS(Sales!$H:$H,Sales!$C:$C,'Investor Exit List'!$C80)</f>
        <v/>
      </c>
      <c r="K80" s="142">
        <f>IF(I80=TRUE,J80,"")</f>
        <v/>
      </c>
      <c r="L80" s="142">
        <f>G80+730</f>
        <v/>
      </c>
      <c r="M80" s="142" t="n">
        <v>45443</v>
      </c>
      <c r="N80" s="143">
        <f>IFERROR(IF(G80&lt;&gt;"",IF(I80=TRUE,0,IF(U80=TRUE,0,L80-M80)),0),0)</f>
        <v/>
      </c>
      <c r="O80" s="143">
        <f>IF(N80&gt;0,IF(N80&lt;=180,N80,0),0)</f>
        <v/>
      </c>
      <c r="P80" s="141">
        <f>IF(AND(N80&lt;90,N80&gt;0),Q80,0)</f>
        <v/>
      </c>
      <c r="Q80" s="141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/>
      </c>
      <c r="R80" s="141">
        <f>IF(AND(H80=TRUE,I80=FALSE),Q80,0)</f>
        <v/>
      </c>
      <c r="S80" s="141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/>
      </c>
      <c r="T80" s="142">
        <f>IF(U80=TRUE,$J80,"")</f>
        <v/>
      </c>
      <c r="U80" s="140" t="b">
        <v>0</v>
      </c>
      <c r="V80" s="141">
        <f>IF(AND(H80=TRUE,OR(K80="",K80&gt;M80)),S80,0)</f>
        <v/>
      </c>
      <c r="W80" s="140" t="n">
        <v>0</v>
      </c>
      <c r="X80" s="140" t="b">
        <v>0</v>
      </c>
      <c r="Y80" s="143">
        <f>IF(H80=FALSE,VLOOKUP($C80,Sales!$C:$F,4,FALSE),1)</f>
        <v/>
      </c>
      <c r="Z80" s="140">
        <f>IF(Y80=0,"Release",IF(AND(L80&lt;J80,Y80=1,H80=FALSE,U80=FALSE,MONTH(L80)&amp;"/"&amp;YEAR(L80)&lt;&gt;MONTH(J80)&amp;"/"&amp;YEAR(J80)),"Release",""))</f>
        <v/>
      </c>
      <c r="AA80" s="144">
        <f>_xlfn.minifs($L:$L,$C:$C,$C80,$F:$F,"&lt;&gt;0")</f>
        <v/>
      </c>
      <c r="AB80" s="144">
        <f>C80&amp;"-"&amp;A80</f>
        <v/>
      </c>
      <c r="AC80" s="144">
        <f>L80</f>
        <v/>
      </c>
    </row>
    <row r="81">
      <c r="A81" s="140" t="inlineStr">
        <is>
          <t>ZMCK01</t>
        </is>
      </c>
      <c r="B81" s="140" t="n">
        <v>3</v>
      </c>
      <c r="C81" s="140" t="inlineStr">
        <is>
          <t>HFB103</t>
        </is>
      </c>
      <c r="D81" s="140" t="inlineStr">
        <is>
          <t>B</t>
        </is>
      </c>
      <c r="E81" s="140" t="inlineStr">
        <is>
          <t>MacKenzie-Jones Caitlin</t>
        </is>
      </c>
      <c r="F81" s="141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</f>
        <v/>
      </c>
      <c r="G81" s="142" t="n">
        <v>44352</v>
      </c>
      <c r="H81" s="140">
        <f>VLOOKUP($C81,Sales!$C:$E,2,FALSE)</f>
        <v/>
      </c>
      <c r="I81" s="140">
        <f>VLOOKUP($C81,Sales!$C:$E,3,FALSE)</f>
        <v/>
      </c>
      <c r="J81" s="142">
        <f>SUMIFS(Sales!$H:$H,Sales!$C:$C,'Investor Exit List'!$C81)</f>
        <v/>
      </c>
      <c r="K81" s="142">
        <f>IF(I81=TRUE,J81,"")</f>
        <v/>
      </c>
      <c r="L81" s="142">
        <f>G81+730</f>
        <v/>
      </c>
      <c r="M81" s="142" t="n">
        <v>45443</v>
      </c>
      <c r="N81" s="143">
        <f>IFERROR(IF(G81&lt;&gt;"",IF(I81=TRUE,0,IF(U81=TRUE,0,L81-M81)),0),0)</f>
        <v/>
      </c>
      <c r="O81" s="143">
        <f>IF(N81&gt;0,IF(N81&lt;=180,N81,0),0)</f>
        <v/>
      </c>
      <c r="P81" s="141">
        <f>IF(AND(N81&lt;90,N81&gt;0),Q81,0)</f>
        <v/>
      </c>
      <c r="Q81" s="141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/>
      </c>
      <c r="R81" s="141">
        <f>IF(AND(H81=TRUE,I81=FALSE),Q81,0)</f>
        <v/>
      </c>
      <c r="S81" s="141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/>
      </c>
      <c r="T81" s="142">
        <f>IF(U81=TRUE,$J81,"")</f>
        <v/>
      </c>
      <c r="U81" s="140" t="b">
        <v>0</v>
      </c>
      <c r="V81" s="141">
        <f>IF(AND(H81=TRUE,OR(K81="",K81&gt;M81)),S81,0)</f>
        <v/>
      </c>
      <c r="W81" s="140" t="n">
        <v>0</v>
      </c>
      <c r="X81" s="140" t="b">
        <v>0</v>
      </c>
      <c r="Y81" s="143">
        <f>IF(H81=FALSE,VLOOKUP($C81,Sales!$C:$F,4,FALSE),1)</f>
        <v/>
      </c>
      <c r="Z81" s="140">
        <f>IF(Y81=0,"Release",IF(AND(L81&lt;J81,Y81=1,H81=FALSE,U81=FALSE,MONTH(L81)&amp;"/"&amp;YEAR(L81)&lt;&gt;MONTH(J81)&amp;"/"&amp;YEAR(J81)),"Release",""))</f>
        <v/>
      </c>
      <c r="AA81" s="144">
        <f>_xlfn.minifs($L:$L,$C:$C,$C81,$F:$F,"&lt;&gt;0")</f>
        <v/>
      </c>
      <c r="AB81" s="144">
        <f>C81&amp;"-"&amp;A81</f>
        <v/>
      </c>
      <c r="AC81" s="144">
        <f>L81</f>
        <v/>
      </c>
    </row>
    <row r="82">
      <c r="A82" s="140" t="inlineStr">
        <is>
          <t>ZZYL02</t>
        </is>
      </c>
      <c r="B82" s="140" t="n">
        <v>1</v>
      </c>
      <c r="C82" s="140" t="inlineStr">
        <is>
          <t>HFB103</t>
        </is>
      </c>
      <c r="D82" s="140" t="inlineStr">
        <is>
          <t>B</t>
        </is>
      </c>
      <c r="E82" s="140" t="inlineStr">
        <is>
          <t>Zylstra Petronella Johanna</t>
        </is>
      </c>
      <c r="F82" s="141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</f>
        <v/>
      </c>
      <c r="G82" s="142" t="n">
        <v>44352</v>
      </c>
      <c r="H82" s="140">
        <f>VLOOKUP($C82,Sales!$C:$E,2,FALSE)</f>
        <v/>
      </c>
      <c r="I82" s="140">
        <f>VLOOKUP($C82,Sales!$C:$E,3,FALSE)</f>
        <v/>
      </c>
      <c r="J82" s="142">
        <f>SUMIFS(Sales!$H:$H,Sales!$C:$C,'Investor Exit List'!$C82)</f>
        <v/>
      </c>
      <c r="K82" s="142">
        <f>IF(I82=TRUE,J82,"")</f>
        <v/>
      </c>
      <c r="L82" s="142">
        <f>G82+730</f>
        <v/>
      </c>
      <c r="M82" s="142" t="n">
        <v>45443</v>
      </c>
      <c r="N82" s="143">
        <f>IFERROR(IF(G82&lt;&gt;"",IF(I82=TRUE,0,IF(U82=TRUE,0,L82-M82)),0),0)</f>
        <v/>
      </c>
      <c r="O82" s="143">
        <f>IF(N82&gt;0,IF(N82&lt;=180,N82,0),0)</f>
        <v/>
      </c>
      <c r="P82" s="141">
        <f>IF(AND(N82&lt;90,N82&gt;0),Q82,0)</f>
        <v/>
      </c>
      <c r="Q82" s="141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/>
      </c>
      <c r="R82" s="141">
        <f>IF(AND(H82=TRUE,I82=FALSE),Q82,0)</f>
        <v/>
      </c>
      <c r="S82" s="141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/>
      </c>
      <c r="T82" s="142">
        <f>IF(U82=TRUE,$J82,"")</f>
        <v/>
      </c>
      <c r="U82" s="140" t="b">
        <v>0</v>
      </c>
      <c r="V82" s="141">
        <f>IF(AND(H82=TRUE,OR(K82="",K82&gt;M82)),S82,0)</f>
        <v/>
      </c>
      <c r="W82" s="140" t="n">
        <v>0</v>
      </c>
      <c r="X82" s="140" t="b">
        <v>0</v>
      </c>
      <c r="Y82" s="143">
        <f>IF(H82=FALSE,VLOOKUP($C82,Sales!$C:$F,4,FALSE),1)</f>
        <v/>
      </c>
      <c r="Z82" s="140">
        <f>IF(Y82=0,"Release",IF(AND(L82&lt;J82,Y82=1,H82=FALSE,U82=FALSE,MONTH(L82)&amp;"/"&amp;YEAR(L82)&lt;&gt;MONTH(J82)&amp;"/"&amp;YEAR(J82)),"Release",""))</f>
        <v/>
      </c>
      <c r="AA82" s="144">
        <f>_xlfn.minifs($L:$L,$C:$C,$C82,$F:$F,"&lt;&gt;0")</f>
        <v/>
      </c>
      <c r="AB82" s="144">
        <f>C82&amp;"-"&amp;A82</f>
        <v/>
      </c>
      <c r="AC82" s="144">
        <f>L82</f>
        <v/>
      </c>
    </row>
    <row r="83">
      <c r="A83" s="140" t="inlineStr">
        <is>
          <t>ZLUN01</t>
        </is>
      </c>
      <c r="B83" s="140" t="n">
        <v>4</v>
      </c>
      <c r="C83" s="140" t="inlineStr">
        <is>
          <t>HFB104</t>
        </is>
      </c>
      <c r="D83" s="140" t="inlineStr">
        <is>
          <t>B</t>
        </is>
      </c>
      <c r="E83" s="140" t="inlineStr">
        <is>
          <t>Lunau Marc</t>
        </is>
      </c>
      <c r="F83" s="141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</f>
        <v/>
      </c>
      <c r="G83" s="142" t="n">
        <v>44352</v>
      </c>
      <c r="H83" s="140">
        <f>VLOOKUP($C83,Sales!$C:$E,2,FALSE)</f>
        <v/>
      </c>
      <c r="I83" s="140">
        <f>VLOOKUP($C83,Sales!$C:$E,3,FALSE)</f>
        <v/>
      </c>
      <c r="J83" s="142">
        <f>SUMIFS(Sales!$H:$H,Sales!$C:$C,'Investor Exit List'!$C83)</f>
        <v/>
      </c>
      <c r="K83" s="142">
        <f>IF(I83=TRUE,J83,"")</f>
        <v/>
      </c>
      <c r="L83" s="142">
        <f>G83+730</f>
        <v/>
      </c>
      <c r="M83" s="142" t="n">
        <v>45443</v>
      </c>
      <c r="N83" s="143">
        <f>IFERROR(IF(G83&lt;&gt;"",IF(I83=TRUE,0,IF(U83=TRUE,0,L83-M83)),0),0)</f>
        <v/>
      </c>
      <c r="O83" s="143">
        <f>IF(N83&gt;0,IF(N83&lt;=180,N83,0),0)</f>
        <v/>
      </c>
      <c r="P83" s="141">
        <f>IF(AND(N83&lt;90,N83&gt;0),Q83,0)</f>
        <v/>
      </c>
      <c r="Q83" s="141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/>
      </c>
      <c r="R83" s="141">
        <f>IF(AND(H83=TRUE,I83=FALSE),Q83,0)</f>
        <v/>
      </c>
      <c r="S83" s="141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/>
      </c>
      <c r="T83" s="142">
        <f>IF(U83=TRUE,$J83,"")</f>
        <v/>
      </c>
      <c r="U83" s="140" t="b">
        <v>1</v>
      </c>
      <c r="V83" s="141">
        <f>IF(AND(H83=TRUE,OR(K83="",K83&gt;M83)),S83,0)</f>
        <v/>
      </c>
      <c r="W83" s="140" t="n">
        <v>0</v>
      </c>
      <c r="X83" s="140" t="b">
        <v>0</v>
      </c>
      <c r="Y83" s="143">
        <f>IF(H83=FALSE,VLOOKUP($C83,Sales!$C:$F,4,FALSE),1)</f>
        <v/>
      </c>
      <c r="Z83" s="140">
        <f>IF(Y83=0,"Release",IF(AND(L83&lt;J83,Y83=1,H83=FALSE,U83=FALSE,MONTH(L83)&amp;"/"&amp;YEAR(L83)&lt;&gt;MONTH(J83)&amp;"/"&amp;YEAR(J83)),"Release",""))</f>
        <v/>
      </c>
      <c r="AA83" s="144">
        <f>_xlfn.minifs($L:$L,$C:$C,$C83,$F:$F,"&lt;&gt;0")</f>
        <v/>
      </c>
      <c r="AB83" s="144">
        <f>C83&amp;"-"&amp;A83</f>
        <v/>
      </c>
      <c r="AC83" s="144">
        <f>L83</f>
        <v/>
      </c>
    </row>
    <row r="84">
      <c r="A84" s="140" t="inlineStr">
        <is>
          <t>ZMCD01</t>
        </is>
      </c>
      <c r="B84" s="140" t="n">
        <v>6</v>
      </c>
      <c r="C84" s="140" t="inlineStr">
        <is>
          <t>HFB104</t>
        </is>
      </c>
      <c r="D84" s="140" t="inlineStr">
        <is>
          <t>B</t>
        </is>
      </c>
      <c r="E84" s="140" t="inlineStr">
        <is>
          <t>McDonald Veronica Agnes</t>
        </is>
      </c>
      <c r="F84" s="141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</f>
        <v/>
      </c>
      <c r="G84" s="142" t="n">
        <v>44352</v>
      </c>
      <c r="H84" s="140">
        <f>VLOOKUP($C84,Sales!$C:$E,2,FALSE)</f>
        <v/>
      </c>
      <c r="I84" s="140">
        <f>VLOOKUP($C84,Sales!$C:$E,3,FALSE)</f>
        <v/>
      </c>
      <c r="J84" s="142">
        <f>SUMIFS(Sales!$H:$H,Sales!$C:$C,'Investor Exit List'!$C84)</f>
        <v/>
      </c>
      <c r="K84" s="142">
        <f>IF(I84=TRUE,J84,"")</f>
        <v/>
      </c>
      <c r="L84" s="142">
        <f>G84+730</f>
        <v/>
      </c>
      <c r="M84" s="142" t="n">
        <v>45443</v>
      </c>
      <c r="N84" s="143">
        <f>IFERROR(IF(G84&lt;&gt;"",IF(I84=TRUE,0,IF(U84=TRUE,0,L84-M84)),0),0)</f>
        <v/>
      </c>
      <c r="O84" s="143">
        <f>IF(N84&gt;0,IF(N84&lt;=180,N84,0),0)</f>
        <v/>
      </c>
      <c r="P84" s="141">
        <f>IF(AND(N84&lt;90,N84&gt;0),Q84,0)</f>
        <v/>
      </c>
      <c r="Q84" s="141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/>
      </c>
      <c r="R84" s="141">
        <f>IF(AND(H84=TRUE,I84=FALSE),Q84,0)</f>
        <v/>
      </c>
      <c r="S84" s="141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/>
      </c>
      <c r="T84" s="142">
        <f>IF(U84=TRUE,$J84,"")</f>
        <v/>
      </c>
      <c r="U84" s="140" t="b">
        <v>1</v>
      </c>
      <c r="V84" s="141">
        <f>IF(AND(H84=TRUE,OR(K84="",K84&gt;M84)),S84,0)</f>
        <v/>
      </c>
      <c r="W84" s="140" t="n">
        <v>0</v>
      </c>
      <c r="X84" s="140" t="b">
        <v>0</v>
      </c>
      <c r="Y84" s="143">
        <f>IF(H84=FALSE,VLOOKUP($C84,Sales!$C:$F,4,FALSE),1)</f>
        <v/>
      </c>
      <c r="Z84" s="140">
        <f>IF(Y84=0,"Release",IF(AND(L84&lt;J84,Y84=1,H84=FALSE,U84=FALSE,MONTH(L84)&amp;"/"&amp;YEAR(L84)&lt;&gt;MONTH(J84)&amp;"/"&amp;YEAR(J84)),"Release",""))</f>
        <v/>
      </c>
      <c r="AA84" s="144">
        <f>_xlfn.minifs($L:$L,$C:$C,$C84,$F:$F,"&lt;&gt;0")</f>
        <v/>
      </c>
      <c r="AB84" s="144">
        <f>C84&amp;"-"&amp;A84</f>
        <v/>
      </c>
      <c r="AC84" s="144">
        <f>L84</f>
        <v/>
      </c>
    </row>
    <row r="85">
      <c r="A85" s="140" t="inlineStr">
        <is>
          <t>ZRAN01</t>
        </is>
      </c>
      <c r="B85" s="140" t="n">
        <v>21</v>
      </c>
      <c r="C85" s="140" t="inlineStr">
        <is>
          <t>HFB104</t>
        </is>
      </c>
      <c r="D85" s="140" t="inlineStr">
        <is>
          <t>B</t>
        </is>
      </c>
      <c r="E85" s="140" t="inlineStr">
        <is>
          <t>Rankin Ross Partick Gemill</t>
        </is>
      </c>
      <c r="F85" s="141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</f>
        <v/>
      </c>
      <c r="G85" s="142" t="n">
        <v>44664</v>
      </c>
      <c r="H85" s="140">
        <f>VLOOKUP($C85,Sales!$C:$E,2,FALSE)</f>
        <v/>
      </c>
      <c r="I85" s="140">
        <f>VLOOKUP($C85,Sales!$C:$E,3,FALSE)</f>
        <v/>
      </c>
      <c r="J85" s="142">
        <f>SUMIFS(Sales!$H:$H,Sales!$C:$C,'Investor Exit List'!$C85)</f>
        <v/>
      </c>
      <c r="K85" s="142">
        <f>IF(I85=TRUE,J85,"")</f>
        <v/>
      </c>
      <c r="L85" s="142">
        <f>G85+730</f>
        <v/>
      </c>
      <c r="M85" s="142" t="n">
        <v>45443</v>
      </c>
      <c r="N85" s="143">
        <f>IFERROR(IF(G85&lt;&gt;"",IF(I85=TRUE,0,IF(U85=TRUE,0,L85-M85)),0),0)</f>
        <v/>
      </c>
      <c r="O85" s="143">
        <f>IF(N85&gt;0,IF(N85&lt;=180,N85,0),0)</f>
        <v/>
      </c>
      <c r="P85" s="141">
        <f>IF(AND(N85&lt;90,N85&gt;0),Q85,0)</f>
        <v/>
      </c>
      <c r="Q85" s="141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/>
      </c>
      <c r="R85" s="141">
        <f>IF(AND(H85=TRUE,I85=FALSE),Q85,0)</f>
        <v/>
      </c>
      <c r="S85" s="141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/>
      </c>
      <c r="T85" s="142">
        <f>IF(U85=TRUE,$J85,"")</f>
        <v/>
      </c>
      <c r="U85" s="140" t="b">
        <v>1</v>
      </c>
      <c r="V85" s="141">
        <f>IF(AND(H85=TRUE,OR(K85="",K85&gt;M85)),S85,0)</f>
        <v/>
      </c>
      <c r="W85" s="140" t="n">
        <v>0</v>
      </c>
      <c r="X85" s="140" t="b">
        <v>0</v>
      </c>
      <c r="Y85" s="143">
        <f>IF(H85=FALSE,VLOOKUP($C85,Sales!$C:$F,4,FALSE),1)</f>
        <v/>
      </c>
      <c r="Z85" s="140">
        <f>IF(Y85=0,"Release",IF(AND(L85&lt;J85,Y85=1,H85=FALSE,U85=FALSE,MONTH(L85)&amp;"/"&amp;YEAR(L85)&lt;&gt;MONTH(J85)&amp;"/"&amp;YEAR(J85)),"Release",""))</f>
        <v/>
      </c>
      <c r="AA85" s="144">
        <f>_xlfn.minifs($L:$L,$C:$C,$C85,$F:$F,"&lt;&gt;0")</f>
        <v/>
      </c>
      <c r="AB85" s="144">
        <f>C85&amp;"-"&amp;A85</f>
        <v/>
      </c>
      <c r="AC85" s="144">
        <f>L85</f>
        <v/>
      </c>
    </row>
    <row r="86">
      <c r="A86" s="140" t="inlineStr">
        <is>
          <t>ZRIB01</t>
        </is>
      </c>
      <c r="B86" s="140" t="n">
        <v>1</v>
      </c>
      <c r="C86" s="140" t="inlineStr">
        <is>
          <t>HFB104</t>
        </is>
      </c>
      <c r="D86" s="140" t="inlineStr">
        <is>
          <t>B</t>
        </is>
      </c>
      <c r="E86" s="140" t="inlineStr">
        <is>
          <t>Ribeiro Paulo Sergio Da Silva</t>
        </is>
      </c>
      <c r="F86" s="141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</f>
        <v/>
      </c>
      <c r="G86" s="142" t="n">
        <v>44352</v>
      </c>
      <c r="H86" s="140">
        <f>VLOOKUP($C86,Sales!$C:$E,2,FALSE)</f>
        <v/>
      </c>
      <c r="I86" s="140">
        <f>VLOOKUP($C86,Sales!$C:$E,3,FALSE)</f>
        <v/>
      </c>
      <c r="J86" s="142">
        <f>SUMIFS(Sales!$H:$H,Sales!$C:$C,'Investor Exit List'!$C86)</f>
        <v/>
      </c>
      <c r="K86" s="142">
        <f>IF(I86=TRUE,J86,"")</f>
        <v/>
      </c>
      <c r="L86" s="142">
        <f>G86+730</f>
        <v/>
      </c>
      <c r="M86" s="142" t="n">
        <v>45443</v>
      </c>
      <c r="N86" s="143">
        <f>IFERROR(IF(G86&lt;&gt;"",IF(I86=TRUE,0,IF(U86=TRUE,0,L86-M86)),0),0)</f>
        <v/>
      </c>
      <c r="O86" s="143">
        <f>IF(N86&gt;0,IF(N86&lt;=180,N86,0),0)</f>
        <v/>
      </c>
      <c r="P86" s="141">
        <f>IF(AND(N86&lt;90,N86&gt;0),Q86,0)</f>
        <v/>
      </c>
      <c r="Q86" s="141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/>
      </c>
      <c r="R86" s="141">
        <f>IF(AND(H86=TRUE,I86=FALSE),Q86,0)</f>
        <v/>
      </c>
      <c r="S86" s="141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/>
      </c>
      <c r="T86" s="142">
        <f>IF(U86=TRUE,$J86,"")</f>
        <v/>
      </c>
      <c r="U86" s="140" t="b">
        <v>0</v>
      </c>
      <c r="V86" s="141">
        <f>IF(AND(H86=TRUE,OR(K86="",K86&gt;M86)),S86,0)</f>
        <v/>
      </c>
      <c r="W86" s="140" t="n">
        <v>0</v>
      </c>
      <c r="X86" s="140" t="b">
        <v>0</v>
      </c>
      <c r="Y86" s="143">
        <f>IF(H86=FALSE,VLOOKUP($C86,Sales!$C:$F,4,FALSE),1)</f>
        <v/>
      </c>
      <c r="Z86" s="140">
        <f>IF(Y86=0,"Release",IF(AND(L86&lt;J86,Y86=1,H86=FALSE,U86=FALSE,MONTH(L86)&amp;"/"&amp;YEAR(L86)&lt;&gt;MONTH(J86)&amp;"/"&amp;YEAR(J86)),"Release",""))</f>
        <v/>
      </c>
      <c r="AA86" s="144">
        <f>_xlfn.minifs($L:$L,$C:$C,$C86,$F:$F,"&lt;&gt;0")</f>
        <v/>
      </c>
      <c r="AB86" s="144">
        <f>C86&amp;"-"&amp;A86</f>
        <v/>
      </c>
      <c r="AC86" s="144">
        <f>L86</f>
        <v/>
      </c>
    </row>
    <row r="87">
      <c r="A87" s="140" t="inlineStr">
        <is>
          <t>ZBUR01</t>
        </is>
      </c>
      <c r="B87" s="140" t="n">
        <v>1</v>
      </c>
      <c r="C87" s="140" t="inlineStr">
        <is>
          <t>HFB105</t>
        </is>
      </c>
      <c r="D87" s="140" t="inlineStr">
        <is>
          <t>B</t>
        </is>
      </c>
      <c r="E87" s="140" t="inlineStr">
        <is>
          <t>Burger Barend Frederik</t>
        </is>
      </c>
      <c r="F87" s="141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</f>
        <v/>
      </c>
      <c r="G87" s="142" t="n">
        <v>44352</v>
      </c>
      <c r="H87" s="140">
        <f>VLOOKUP($C87,Sales!$C:$E,2,FALSE)</f>
        <v/>
      </c>
      <c r="I87" s="140">
        <f>VLOOKUP($C87,Sales!$C:$E,3,FALSE)</f>
        <v/>
      </c>
      <c r="J87" s="142">
        <f>SUMIFS(Sales!$H:$H,Sales!$C:$C,'Investor Exit List'!$C87)</f>
        <v/>
      </c>
      <c r="K87" s="142">
        <f>IF(I87=TRUE,J87,"")</f>
        <v/>
      </c>
      <c r="L87" s="142">
        <f>G87+730</f>
        <v/>
      </c>
      <c r="M87" s="142" t="n">
        <v>45443</v>
      </c>
      <c r="N87" s="143">
        <f>IFERROR(IF(G87&lt;&gt;"",IF(I87=TRUE,0,IF(U87=TRUE,0,L87-M87)),0),0)</f>
        <v/>
      </c>
      <c r="O87" s="143">
        <f>IF(N87&gt;0,IF(N87&lt;=180,N87,0),0)</f>
        <v/>
      </c>
      <c r="P87" s="141">
        <f>IF(AND(N87&lt;90,N87&gt;0),Q87,0)</f>
        <v/>
      </c>
      <c r="Q87" s="141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/>
      </c>
      <c r="R87" s="141">
        <f>IF(AND(H87=TRUE,I87=FALSE),Q87,0)</f>
        <v/>
      </c>
      <c r="S87" s="141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/>
      </c>
      <c r="T87" s="142">
        <f>IF(U87=TRUE,$J87,"")</f>
        <v/>
      </c>
      <c r="U87" s="140" t="b">
        <v>0</v>
      </c>
      <c r="V87" s="141">
        <f>IF(AND(H87=TRUE,OR(K87="",K87&gt;M87)),S87,0)</f>
        <v/>
      </c>
      <c r="W87" s="140" t="n">
        <v>0</v>
      </c>
      <c r="X87" s="140" t="b">
        <v>0</v>
      </c>
      <c r="Y87" s="143">
        <f>IF(H87=FALSE,VLOOKUP($C87,Sales!$C:$F,4,FALSE),1)</f>
        <v/>
      </c>
      <c r="Z87" s="140">
        <f>IF(Y87=0,"Release",IF(AND(L87&lt;J87,Y87=1,H87=FALSE,U87=FALSE,MONTH(L87)&amp;"/"&amp;YEAR(L87)&lt;&gt;MONTH(J87)&amp;"/"&amp;YEAR(J87)),"Release",""))</f>
        <v/>
      </c>
      <c r="AA87" s="144">
        <f>_xlfn.minifs($L:$L,$C:$C,$C87,$F:$F,"&lt;&gt;0")</f>
        <v/>
      </c>
      <c r="AB87" s="144">
        <f>C87&amp;"-"&amp;A87</f>
        <v/>
      </c>
      <c r="AC87" s="144">
        <f>L87</f>
        <v/>
      </c>
    </row>
    <row r="88">
      <c r="A88" s="140" t="inlineStr">
        <is>
          <t>ZJOH01</t>
        </is>
      </c>
      <c r="B88" s="140" t="n">
        <v>3</v>
      </c>
      <c r="C88" s="140" t="inlineStr">
        <is>
          <t>HFB105</t>
        </is>
      </c>
      <c r="D88" s="140" t="inlineStr">
        <is>
          <t>B</t>
        </is>
      </c>
      <c r="E88" s="140" t="inlineStr">
        <is>
          <t>Johns Lisa-Marie Natalie</t>
        </is>
      </c>
      <c r="F88" s="141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</f>
        <v/>
      </c>
      <c r="G88" s="142" t="n">
        <v>44316</v>
      </c>
      <c r="H88" s="140">
        <f>VLOOKUP($C88,Sales!$C:$E,2,FALSE)</f>
        <v/>
      </c>
      <c r="I88" s="140">
        <f>VLOOKUP($C88,Sales!$C:$E,3,FALSE)</f>
        <v/>
      </c>
      <c r="J88" s="142">
        <f>SUMIFS(Sales!$H:$H,Sales!$C:$C,'Investor Exit List'!$C88)</f>
        <v/>
      </c>
      <c r="K88" s="142">
        <f>IF(I88=TRUE,J88,"")</f>
        <v/>
      </c>
      <c r="L88" s="142">
        <f>G88+730</f>
        <v/>
      </c>
      <c r="M88" s="142" t="n">
        <v>45443</v>
      </c>
      <c r="N88" s="143">
        <f>IFERROR(IF(G88&lt;&gt;"",IF(I88=TRUE,0,IF(U88=TRUE,0,L88-M88)),0),0)</f>
        <v/>
      </c>
      <c r="O88" s="143">
        <f>IF(N88&gt;0,IF(N88&lt;=180,N88,0),0)</f>
        <v/>
      </c>
      <c r="P88" s="141">
        <f>IF(AND(N88&lt;90,N88&gt;0),Q88,0)</f>
        <v/>
      </c>
      <c r="Q88" s="141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/>
      </c>
      <c r="R88" s="141">
        <f>IF(AND(H88=TRUE,I88=FALSE),Q88,0)</f>
        <v/>
      </c>
      <c r="S88" s="141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/>
      </c>
      <c r="T88" s="142">
        <f>IF(U88=TRUE,$J88,"")</f>
        <v/>
      </c>
      <c r="U88" s="140" t="b">
        <v>1</v>
      </c>
      <c r="V88" s="141">
        <f>IF(AND(H88=TRUE,OR(K88="",K88&gt;M88)),S88,0)</f>
        <v/>
      </c>
      <c r="W88" s="140" t="n">
        <v>0</v>
      </c>
      <c r="X88" s="140" t="b">
        <v>0</v>
      </c>
      <c r="Y88" s="143">
        <f>IF(H88=FALSE,VLOOKUP($C88,Sales!$C:$F,4,FALSE),1)</f>
        <v/>
      </c>
      <c r="Z88" s="140">
        <f>IF(Y88=0,"Release",IF(AND(L88&lt;J88,Y88=1,H88=FALSE,U88=FALSE,MONTH(L88)&amp;"/"&amp;YEAR(L88)&lt;&gt;MONTH(J88)&amp;"/"&amp;YEAR(J88)),"Release",""))</f>
        <v/>
      </c>
      <c r="AA88" s="144">
        <f>_xlfn.minifs($L:$L,$C:$C,$C88,$F:$F,"&lt;&gt;0")</f>
        <v/>
      </c>
      <c r="AB88" s="144">
        <f>C88&amp;"-"&amp;A88</f>
        <v/>
      </c>
      <c r="AC88" s="144">
        <f>L88</f>
        <v/>
      </c>
    </row>
    <row r="89">
      <c r="A89" s="140" t="inlineStr">
        <is>
          <t>ZKRU01</t>
        </is>
      </c>
      <c r="B89" s="140" t="n">
        <v>4</v>
      </c>
      <c r="C89" s="140" t="inlineStr">
        <is>
          <t>HFB105</t>
        </is>
      </c>
      <c r="D89" s="140" t="inlineStr">
        <is>
          <t>B</t>
        </is>
      </c>
      <c r="E89" s="140" t="inlineStr">
        <is>
          <t>Kruger Jurgen</t>
        </is>
      </c>
      <c r="F89" s="141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</f>
        <v/>
      </c>
      <c r="G89" s="142" t="n">
        <v>44378</v>
      </c>
      <c r="H89" s="140">
        <f>VLOOKUP($C89,Sales!$C:$E,2,FALSE)</f>
        <v/>
      </c>
      <c r="I89" s="140">
        <f>VLOOKUP($C89,Sales!$C:$E,3,FALSE)</f>
        <v/>
      </c>
      <c r="J89" s="142">
        <f>SUMIFS(Sales!$H:$H,Sales!$C:$C,'Investor Exit List'!$C89)</f>
        <v/>
      </c>
      <c r="K89" s="142">
        <f>IF(I89=TRUE,J89,"")</f>
        <v/>
      </c>
      <c r="L89" s="142">
        <f>G89+730</f>
        <v/>
      </c>
      <c r="M89" s="142" t="n">
        <v>45443</v>
      </c>
      <c r="N89" s="143">
        <f>IFERROR(IF(G89&lt;&gt;"",IF(I89=TRUE,0,IF(U89=TRUE,0,L89-M89)),0),0)</f>
        <v/>
      </c>
      <c r="O89" s="143">
        <f>IF(N89&gt;0,IF(N89&lt;=180,N89,0),0)</f>
        <v/>
      </c>
      <c r="P89" s="141">
        <f>IF(AND(N89&lt;90,N89&gt;0),Q89,0)</f>
        <v/>
      </c>
      <c r="Q89" s="141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/>
      </c>
      <c r="R89" s="141">
        <f>IF(AND(H89=TRUE,I89=FALSE),Q89,0)</f>
        <v/>
      </c>
      <c r="S89" s="141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/>
      </c>
      <c r="T89" s="142">
        <f>IF(U89=TRUE,$J89,"")</f>
        <v/>
      </c>
      <c r="U89" s="140" t="b">
        <v>1</v>
      </c>
      <c r="V89" s="141">
        <f>IF(AND(H89=TRUE,OR(K89="",K89&gt;M89)),S89,0)</f>
        <v/>
      </c>
      <c r="W89" s="140" t="n">
        <v>0</v>
      </c>
      <c r="X89" s="140" t="b">
        <v>0</v>
      </c>
      <c r="Y89" s="143">
        <f>IF(H89=FALSE,VLOOKUP($C89,Sales!$C:$F,4,FALSE),1)</f>
        <v/>
      </c>
      <c r="Z89" s="140">
        <f>IF(Y89=0,"Release",IF(AND(L89&lt;J89,Y89=1,H89=FALSE,U89=FALSE,MONTH(L89)&amp;"/"&amp;YEAR(L89)&lt;&gt;MONTH(J89)&amp;"/"&amp;YEAR(J89)),"Release",""))</f>
        <v/>
      </c>
      <c r="AA89" s="144">
        <f>_xlfn.minifs($L:$L,$C:$C,$C89,$F:$F,"&lt;&gt;0")</f>
        <v/>
      </c>
      <c r="AB89" s="144">
        <f>C89&amp;"-"&amp;A89</f>
        <v/>
      </c>
      <c r="AC89" s="144">
        <f>L89</f>
        <v/>
      </c>
    </row>
    <row r="90">
      <c r="A90" s="140" t="inlineStr">
        <is>
          <t>ZBAR02</t>
        </is>
      </c>
      <c r="B90" s="140" t="n">
        <v>1</v>
      </c>
      <c r="C90" s="140" t="inlineStr">
        <is>
          <t>HFB106</t>
        </is>
      </c>
      <c r="D90" s="140" t="inlineStr">
        <is>
          <t>B</t>
        </is>
      </c>
      <c r="E90" s="140" t="inlineStr">
        <is>
          <t>Barkhuysen Nicolaas Jacobus (Jaco)</t>
        </is>
      </c>
      <c r="F90" s="141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</f>
        <v/>
      </c>
      <c r="G90" s="142" t="n">
        <v>44352</v>
      </c>
      <c r="H90" s="140">
        <f>VLOOKUP($C90,Sales!$C:$E,2,FALSE)</f>
        <v/>
      </c>
      <c r="I90" s="140">
        <f>VLOOKUP($C90,Sales!$C:$E,3,FALSE)</f>
        <v/>
      </c>
      <c r="J90" s="142">
        <f>SUMIFS(Sales!$H:$H,Sales!$C:$C,'Investor Exit List'!$C90)</f>
        <v/>
      </c>
      <c r="K90" s="142">
        <f>IF(I90=TRUE,J90,"")</f>
        <v/>
      </c>
      <c r="L90" s="142">
        <f>G90+730</f>
        <v/>
      </c>
      <c r="M90" s="142" t="n">
        <v>45443</v>
      </c>
      <c r="N90" s="143">
        <f>IFERROR(IF(G90&lt;&gt;"",IF(I90=TRUE,0,IF(U90=TRUE,0,L90-M90)),0),0)</f>
        <v/>
      </c>
      <c r="O90" s="143">
        <f>IF(N90&gt;0,IF(N90&lt;=180,N90,0),0)</f>
        <v/>
      </c>
      <c r="P90" s="141">
        <f>IF(AND(N90&lt;90,N90&gt;0),Q90,0)</f>
        <v/>
      </c>
      <c r="Q90" s="141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/>
      </c>
      <c r="R90" s="141">
        <f>IF(AND(H90=TRUE,I90=FALSE),Q90,0)</f>
        <v/>
      </c>
      <c r="S90" s="141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/>
      </c>
      <c r="T90" s="142">
        <f>IF(U90=TRUE,$J90,"")</f>
        <v/>
      </c>
      <c r="U90" s="140" t="b">
        <v>0</v>
      </c>
      <c r="V90" s="141">
        <f>IF(AND(H90=TRUE,OR(K90="",K90&gt;M90)),S90,0)</f>
        <v/>
      </c>
      <c r="W90" s="140" t="n">
        <v>0</v>
      </c>
      <c r="X90" s="140" t="b">
        <v>0</v>
      </c>
      <c r="Y90" s="143">
        <f>IF(H90=FALSE,VLOOKUP($C90,Sales!$C:$F,4,FALSE),1)</f>
        <v/>
      </c>
      <c r="Z90" s="140">
        <f>IF(Y90=0,"Release",IF(AND(L90&lt;J90,Y90=1,H90=FALSE,U90=FALSE,MONTH(L90)&amp;"/"&amp;YEAR(L90)&lt;&gt;MONTH(J90)&amp;"/"&amp;YEAR(J90)),"Release",""))</f>
        <v/>
      </c>
      <c r="AA90" s="144">
        <f>_xlfn.minifs($L:$L,$C:$C,$C90,$F:$F,"&lt;&gt;0")</f>
        <v/>
      </c>
      <c r="AB90" s="144">
        <f>C90&amp;"-"&amp;A90</f>
        <v/>
      </c>
      <c r="AC90" s="144">
        <f>L90</f>
        <v/>
      </c>
    </row>
    <row r="91">
      <c r="A91" s="140" t="inlineStr">
        <is>
          <t>ZINT01</t>
        </is>
      </c>
      <c r="B91" s="140" t="n">
        <v>5</v>
      </c>
      <c r="C91" s="140" t="inlineStr">
        <is>
          <t>HFB106</t>
        </is>
      </c>
      <c r="D91" s="140" t="inlineStr">
        <is>
          <t>B</t>
        </is>
      </c>
      <c r="E91" s="140" t="inlineStr">
        <is>
          <t>Lunau Marc</t>
        </is>
      </c>
      <c r="F91" s="141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</f>
        <v/>
      </c>
      <c r="G91" s="142" t="n">
        <v>44316</v>
      </c>
      <c r="H91" s="140">
        <f>VLOOKUP($C91,Sales!$C:$E,2,FALSE)</f>
        <v/>
      </c>
      <c r="I91" s="140">
        <f>VLOOKUP($C91,Sales!$C:$E,3,FALSE)</f>
        <v/>
      </c>
      <c r="J91" s="142">
        <f>SUMIFS(Sales!$H:$H,Sales!$C:$C,'Investor Exit List'!$C91)</f>
        <v/>
      </c>
      <c r="K91" s="142">
        <f>IF(I91=TRUE,J91,"")</f>
        <v/>
      </c>
      <c r="L91" s="142">
        <f>G91+730</f>
        <v/>
      </c>
      <c r="M91" s="142" t="n">
        <v>45443</v>
      </c>
      <c r="N91" s="143">
        <f>IFERROR(IF(G91&lt;&gt;"",IF(I91=TRUE,0,IF(U91=TRUE,0,L91-M91)),0),0)</f>
        <v/>
      </c>
      <c r="O91" s="143">
        <f>IF(N91&gt;0,IF(N91&lt;=180,N91,0),0)</f>
        <v/>
      </c>
      <c r="P91" s="141">
        <f>IF(AND(N91&lt;90,N91&gt;0),Q91,0)</f>
        <v/>
      </c>
      <c r="Q91" s="141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/>
      </c>
      <c r="R91" s="141">
        <f>IF(AND(H91=TRUE,I91=FALSE),Q91,0)</f>
        <v/>
      </c>
      <c r="S91" s="141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/>
      </c>
      <c r="T91" s="142">
        <f>IF(U91=TRUE,$J91,"")</f>
        <v/>
      </c>
      <c r="U91" s="140" t="b">
        <v>0</v>
      </c>
      <c r="V91" s="141">
        <f>IF(AND(H91=TRUE,OR(K91="",K91&gt;M91)),S91,0)</f>
        <v/>
      </c>
      <c r="W91" s="140" t="n">
        <v>0</v>
      </c>
      <c r="X91" s="140" t="b">
        <v>0</v>
      </c>
      <c r="Y91" s="143">
        <f>IF(H91=FALSE,VLOOKUP($C91,Sales!$C:$F,4,FALSE),1)</f>
        <v/>
      </c>
      <c r="Z91" s="140">
        <f>IF(Y91=0,"Release",IF(AND(L91&lt;J91,Y91=1,H91=FALSE,U91=FALSE,MONTH(L91)&amp;"/"&amp;YEAR(L91)&lt;&gt;MONTH(J91)&amp;"/"&amp;YEAR(J91)),"Release",""))</f>
        <v/>
      </c>
      <c r="AA91" s="144">
        <f>_xlfn.minifs($L:$L,$C:$C,$C91,$F:$F,"&lt;&gt;0")</f>
        <v/>
      </c>
      <c r="AB91" s="144">
        <f>C91&amp;"-"&amp;A91</f>
        <v/>
      </c>
      <c r="AC91" s="144">
        <f>L91</f>
        <v/>
      </c>
    </row>
    <row r="92">
      <c r="A92" s="140" t="inlineStr">
        <is>
          <t>ZTSO01</t>
        </is>
      </c>
      <c r="B92" s="140" t="n">
        <v>1</v>
      </c>
      <c r="C92" s="140" t="inlineStr">
        <is>
          <t>HFB106</t>
        </is>
      </c>
      <c r="D92" s="140" t="inlineStr">
        <is>
          <t>B</t>
        </is>
      </c>
      <c r="E92" s="140" t="inlineStr">
        <is>
          <t>Tsoku Abram Matlotleng</t>
        </is>
      </c>
      <c r="F92" s="141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</f>
        <v/>
      </c>
      <c r="G92" s="142" t="n">
        <v>44352</v>
      </c>
      <c r="H92" s="140">
        <f>VLOOKUP($C92,Sales!$C:$E,2,FALSE)</f>
        <v/>
      </c>
      <c r="I92" s="140">
        <f>VLOOKUP($C92,Sales!$C:$E,3,FALSE)</f>
        <v/>
      </c>
      <c r="J92" s="142">
        <f>SUMIFS(Sales!$H:$H,Sales!$C:$C,'Investor Exit List'!$C92)</f>
        <v/>
      </c>
      <c r="K92" s="142">
        <f>IF(I92=TRUE,J92,"")</f>
        <v/>
      </c>
      <c r="L92" s="142">
        <f>G92+730</f>
        <v/>
      </c>
      <c r="M92" s="142" t="n">
        <v>45443</v>
      </c>
      <c r="N92" s="143">
        <f>IFERROR(IF(G92&lt;&gt;"",IF(I92=TRUE,0,IF(U92=TRUE,0,L92-M92)),0),0)</f>
        <v/>
      </c>
      <c r="O92" s="143">
        <f>IF(N92&gt;0,IF(N92&lt;=180,N92,0),0)</f>
        <v/>
      </c>
      <c r="P92" s="141">
        <f>IF(AND(N92&lt;90,N92&gt;0),Q92,0)</f>
        <v/>
      </c>
      <c r="Q92" s="141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/>
      </c>
      <c r="R92" s="141">
        <f>IF(AND(H92=TRUE,I92=FALSE),Q92,0)</f>
        <v/>
      </c>
      <c r="S92" s="141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/>
      </c>
      <c r="T92" s="142">
        <f>IF(U92=TRUE,$J92,"")</f>
        <v/>
      </c>
      <c r="U92" s="140" t="b">
        <v>0</v>
      </c>
      <c r="V92" s="141">
        <f>IF(AND(H92=TRUE,OR(K92="",K92&gt;M92)),S92,0)</f>
        <v/>
      </c>
      <c r="W92" s="140" t="n">
        <v>0</v>
      </c>
      <c r="X92" s="140" t="b">
        <v>0</v>
      </c>
      <c r="Y92" s="143">
        <f>IF(H92=FALSE,VLOOKUP($C92,Sales!$C:$F,4,FALSE),1)</f>
        <v/>
      </c>
      <c r="Z92" s="140">
        <f>IF(Y92=0,"Release",IF(AND(L92&lt;J92,Y92=1,H92=FALSE,U92=FALSE,MONTH(L92)&amp;"/"&amp;YEAR(L92)&lt;&gt;MONTH(J92)&amp;"/"&amp;YEAR(J92)),"Release",""))</f>
        <v/>
      </c>
      <c r="AA92" s="144">
        <f>_xlfn.minifs($L:$L,$C:$C,$C92,$F:$F,"&lt;&gt;0")</f>
        <v/>
      </c>
      <c r="AB92" s="144">
        <f>C92&amp;"-"&amp;A92</f>
        <v/>
      </c>
      <c r="AC92" s="144">
        <f>L92</f>
        <v/>
      </c>
    </row>
    <row r="93">
      <c r="A93" s="140" t="inlineStr">
        <is>
          <t>ZWAY01</t>
        </is>
      </c>
      <c r="B93" s="140" t="n">
        <v>1</v>
      </c>
      <c r="C93" s="140" t="inlineStr">
        <is>
          <t>HFB106</t>
        </is>
      </c>
      <c r="D93" s="140" t="inlineStr">
        <is>
          <t>B</t>
        </is>
      </c>
      <c r="E93" s="140" t="inlineStr">
        <is>
          <t>Way Shirley Kathleen</t>
        </is>
      </c>
      <c r="F93" s="141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</f>
        <v/>
      </c>
      <c r="G93" s="142" t="n">
        <v>44352</v>
      </c>
      <c r="H93" s="140">
        <f>VLOOKUP($C93,Sales!$C:$E,2,FALSE)</f>
        <v/>
      </c>
      <c r="I93" s="140">
        <f>VLOOKUP($C93,Sales!$C:$E,3,FALSE)</f>
        <v/>
      </c>
      <c r="J93" s="142">
        <f>SUMIFS(Sales!$H:$H,Sales!$C:$C,'Investor Exit List'!$C93)</f>
        <v/>
      </c>
      <c r="K93" s="142">
        <f>IF(I93=TRUE,J93,"")</f>
        <v/>
      </c>
      <c r="L93" s="142">
        <f>G93+730</f>
        <v/>
      </c>
      <c r="M93" s="142" t="n">
        <v>45443</v>
      </c>
      <c r="N93" s="143">
        <f>IFERROR(IF(G93&lt;&gt;"",IF(I93=TRUE,0,IF(U93=TRUE,0,L93-M93)),0),0)</f>
        <v/>
      </c>
      <c r="O93" s="143">
        <f>IF(N93&gt;0,IF(N93&lt;=180,N93,0),0)</f>
        <v/>
      </c>
      <c r="P93" s="141">
        <f>IF(AND(N93&lt;90,N93&gt;0),Q93,0)</f>
        <v/>
      </c>
      <c r="Q93" s="141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/>
      </c>
      <c r="R93" s="141">
        <f>IF(AND(H93=TRUE,I93=FALSE),Q93,0)</f>
        <v/>
      </c>
      <c r="S93" s="141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/>
      </c>
      <c r="T93" s="142">
        <f>IF(U93=TRUE,$J93,"")</f>
        <v/>
      </c>
      <c r="U93" s="140" t="b">
        <v>0</v>
      </c>
      <c r="V93" s="141">
        <f>IF(AND(H93=TRUE,OR(K93="",K93&gt;M93)),S93,0)</f>
        <v/>
      </c>
      <c r="W93" s="140" t="n">
        <v>0</v>
      </c>
      <c r="X93" s="140" t="b">
        <v>0</v>
      </c>
      <c r="Y93" s="143">
        <f>IF(H93=FALSE,VLOOKUP($C93,Sales!$C:$F,4,FALSE),1)</f>
        <v/>
      </c>
      <c r="Z93" s="140">
        <f>IF(Y93=0,"Release",IF(AND(L93&lt;J93,Y93=1,H93=FALSE,U93=FALSE,MONTH(L93)&amp;"/"&amp;YEAR(L93)&lt;&gt;MONTH(J93)&amp;"/"&amp;YEAR(J93)),"Release",""))</f>
        <v/>
      </c>
      <c r="AA93" s="144">
        <f>_xlfn.minifs($L:$L,$C:$C,$C93,$F:$F,"&lt;&gt;0")</f>
        <v/>
      </c>
      <c r="AB93" s="144">
        <f>C93&amp;"-"&amp;A93</f>
        <v/>
      </c>
      <c r="AC93" s="144">
        <f>L93</f>
        <v/>
      </c>
    </row>
    <row r="94">
      <c r="A94" s="140" t="inlineStr">
        <is>
          <t>ZDIC01</t>
        </is>
      </c>
      <c r="B94" s="140" t="n">
        <v>6</v>
      </c>
      <c r="C94" s="140" t="inlineStr">
        <is>
          <t>HFB107</t>
        </is>
      </c>
      <c r="D94" s="140" t="inlineStr">
        <is>
          <t>B</t>
        </is>
      </c>
      <c r="E94" s="140" t="inlineStr">
        <is>
          <t>Dickinson Grant Allan</t>
        </is>
      </c>
      <c r="F94" s="141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</f>
        <v/>
      </c>
      <c r="G94" s="142" t="n">
        <v>44352</v>
      </c>
      <c r="H94" s="140">
        <f>VLOOKUP($C94,Sales!$C:$E,2,FALSE)</f>
        <v/>
      </c>
      <c r="I94" s="140">
        <f>VLOOKUP($C94,Sales!$C:$E,3,FALSE)</f>
        <v/>
      </c>
      <c r="J94" s="142">
        <f>SUMIFS(Sales!$H:$H,Sales!$C:$C,'Investor Exit List'!$C94)</f>
        <v/>
      </c>
      <c r="K94" s="142">
        <f>IF(I94=TRUE,J94,"")</f>
        <v/>
      </c>
      <c r="L94" s="142">
        <f>G94+730</f>
        <v/>
      </c>
      <c r="M94" s="142" t="n">
        <v>45443</v>
      </c>
      <c r="N94" s="143">
        <f>IFERROR(IF(G94&lt;&gt;"",IF(I94=TRUE,0,IF(U94=TRUE,0,L94-M94)),0),0)</f>
        <v/>
      </c>
      <c r="O94" s="143">
        <f>IF(N94&gt;0,IF(N94&lt;=180,N94,0),0)</f>
        <v/>
      </c>
      <c r="P94" s="141">
        <f>IF(AND(N94&lt;90,N94&gt;0),Q94,0)</f>
        <v/>
      </c>
      <c r="Q94" s="141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/>
      </c>
      <c r="R94" s="141">
        <f>IF(AND(H94=TRUE,I94=FALSE),Q94,0)</f>
        <v/>
      </c>
      <c r="S94" s="141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/>
      </c>
      <c r="T94" s="142">
        <f>IF(U94=TRUE,$J94,"")</f>
        <v/>
      </c>
      <c r="U94" s="140" t="b">
        <v>0</v>
      </c>
      <c r="V94" s="141">
        <f>IF(AND(H94=TRUE,OR(K94="",K94&gt;M94)),S94,0)</f>
        <v/>
      </c>
      <c r="W94" s="140" t="n">
        <v>0</v>
      </c>
      <c r="X94" s="140" t="b">
        <v>0</v>
      </c>
      <c r="Y94" s="143">
        <f>IF(H94=FALSE,VLOOKUP($C94,Sales!$C:$F,4,FALSE),1)</f>
        <v/>
      </c>
      <c r="Z94" s="140">
        <f>IF(Y94=0,"Release",IF(AND(L94&lt;J94,Y94=1,H94=FALSE,U94=FALSE,MONTH(L94)&amp;"/"&amp;YEAR(L94)&lt;&gt;MONTH(J94)&amp;"/"&amp;YEAR(J94)),"Release",""))</f>
        <v/>
      </c>
      <c r="AA94" s="144">
        <f>_xlfn.minifs($L:$L,$C:$C,$C94,$F:$F,"&lt;&gt;0")</f>
        <v/>
      </c>
      <c r="AB94" s="144">
        <f>C94&amp;"-"&amp;A94</f>
        <v/>
      </c>
      <c r="AC94" s="144">
        <f>L94</f>
        <v/>
      </c>
    </row>
    <row r="95">
      <c r="A95" s="140" t="inlineStr">
        <is>
          <t>ZJOR01</t>
        </is>
      </c>
      <c r="B95" s="140" t="n">
        <v>1</v>
      </c>
      <c r="C95" s="140" t="inlineStr">
        <is>
          <t>HFB107</t>
        </is>
      </c>
      <c r="D95" s="140" t="inlineStr">
        <is>
          <t>B</t>
        </is>
      </c>
      <c r="E95" s="140" t="inlineStr">
        <is>
          <t>Jordaan Glen Rutherford</t>
        </is>
      </c>
      <c r="F95" s="141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</f>
        <v/>
      </c>
      <c r="G95" s="142" t="n">
        <v>44352</v>
      </c>
      <c r="H95" s="140">
        <f>VLOOKUP($C95,Sales!$C:$E,2,FALSE)</f>
        <v/>
      </c>
      <c r="I95" s="140">
        <f>VLOOKUP($C95,Sales!$C:$E,3,FALSE)</f>
        <v/>
      </c>
      <c r="J95" s="142">
        <f>SUMIFS(Sales!$H:$H,Sales!$C:$C,'Investor Exit List'!$C95)</f>
        <v/>
      </c>
      <c r="K95" s="142">
        <f>IF(I95=TRUE,J95,"")</f>
        <v/>
      </c>
      <c r="L95" s="142">
        <f>G95+730</f>
        <v/>
      </c>
      <c r="M95" s="142" t="n">
        <v>45443</v>
      </c>
      <c r="N95" s="143">
        <f>IFERROR(IF(G95&lt;&gt;"",IF(I95=TRUE,0,IF(U95=TRUE,0,L95-M95)),0),0)</f>
        <v/>
      </c>
      <c r="O95" s="143">
        <f>IF(N95&gt;0,IF(N95&lt;=180,N95,0),0)</f>
        <v/>
      </c>
      <c r="P95" s="141">
        <f>IF(AND(N95&lt;90,N95&gt;0),Q95,0)</f>
        <v/>
      </c>
      <c r="Q95" s="141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/>
      </c>
      <c r="R95" s="141">
        <f>IF(AND(H95=TRUE,I95=FALSE),Q95,0)</f>
        <v/>
      </c>
      <c r="S95" s="141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/>
      </c>
      <c r="T95" s="142">
        <f>IF(U95=TRUE,$J95,"")</f>
        <v/>
      </c>
      <c r="U95" s="140" t="b">
        <v>1</v>
      </c>
      <c r="V95" s="141">
        <f>IF(AND(H95=TRUE,OR(K95="",K95&gt;M95)),S95,0)</f>
        <v/>
      </c>
      <c r="W95" s="140" t="n">
        <v>0</v>
      </c>
      <c r="X95" s="140" t="b">
        <v>0</v>
      </c>
      <c r="Y95" s="143">
        <f>IF(H95=FALSE,VLOOKUP($C95,Sales!$C:$F,4,FALSE),1)</f>
        <v/>
      </c>
      <c r="Z95" s="140">
        <f>IF(Y95=0,"Release",IF(AND(L95&lt;J95,Y95=1,H95=FALSE,U95=FALSE,MONTH(L95)&amp;"/"&amp;YEAR(L95)&lt;&gt;MONTH(J95)&amp;"/"&amp;YEAR(J95)),"Release",""))</f>
        <v/>
      </c>
      <c r="AA95" s="144">
        <f>_xlfn.minifs($L:$L,$C:$C,$C95,$F:$F,"&lt;&gt;0")</f>
        <v/>
      </c>
      <c r="AB95" s="144">
        <f>C95&amp;"-"&amp;A95</f>
        <v/>
      </c>
      <c r="AC95" s="144">
        <f>L95</f>
        <v/>
      </c>
    </row>
    <row r="96">
      <c r="A96" s="140" t="inlineStr">
        <is>
          <t>ZLUN01</t>
        </is>
      </c>
      <c r="B96" s="140" t="n">
        <v>5</v>
      </c>
      <c r="C96" s="140" t="inlineStr">
        <is>
          <t>HFB107</t>
        </is>
      </c>
      <c r="D96" s="140" t="inlineStr">
        <is>
          <t>B</t>
        </is>
      </c>
      <c r="E96" s="140" t="inlineStr">
        <is>
          <t>Lunau Marc</t>
        </is>
      </c>
      <c r="F96" s="141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</f>
        <v/>
      </c>
      <c r="G96" s="142" t="n">
        <v>44352</v>
      </c>
      <c r="H96" s="140">
        <f>VLOOKUP($C96,Sales!$C:$E,2,FALSE)</f>
        <v/>
      </c>
      <c r="I96" s="140">
        <f>VLOOKUP($C96,Sales!$C:$E,3,FALSE)</f>
        <v/>
      </c>
      <c r="J96" s="142">
        <f>SUMIFS(Sales!$H:$H,Sales!$C:$C,'Investor Exit List'!$C96)</f>
        <v/>
      </c>
      <c r="K96" s="142">
        <f>IF(I96=TRUE,J96,"")</f>
        <v/>
      </c>
      <c r="L96" s="142">
        <f>G96+730</f>
        <v/>
      </c>
      <c r="M96" s="142" t="n">
        <v>45443</v>
      </c>
      <c r="N96" s="143">
        <f>IFERROR(IF(G96&lt;&gt;"",IF(I96=TRUE,0,IF(U96=TRUE,0,L96-M96)),0),0)</f>
        <v/>
      </c>
      <c r="O96" s="143">
        <f>IF(N96&gt;0,IF(N96&lt;=180,N96,0),0)</f>
        <v/>
      </c>
      <c r="P96" s="141">
        <f>IF(AND(N96&lt;90,N96&gt;0),Q96,0)</f>
        <v/>
      </c>
      <c r="Q96" s="141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/>
      </c>
      <c r="R96" s="141">
        <f>IF(AND(H96=TRUE,I96=FALSE),Q96,0)</f>
        <v/>
      </c>
      <c r="S96" s="141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/>
      </c>
      <c r="T96" s="142">
        <f>IF(U96=TRUE,$J96,"")</f>
        <v/>
      </c>
      <c r="U96" s="140" t="b">
        <v>0</v>
      </c>
      <c r="V96" s="141">
        <f>IF(AND(H96=TRUE,OR(K96="",K96&gt;M96)),S96,0)</f>
        <v/>
      </c>
      <c r="W96" s="140" t="n">
        <v>0</v>
      </c>
      <c r="X96" s="140" t="b">
        <v>0</v>
      </c>
      <c r="Y96" s="143">
        <f>IF(H96=FALSE,VLOOKUP($C96,Sales!$C:$F,4,FALSE),1)</f>
        <v/>
      </c>
      <c r="Z96" s="140">
        <f>IF(Y96=0,"Release",IF(AND(L96&lt;J96,Y96=1,H96=FALSE,U96=FALSE,MONTH(L96)&amp;"/"&amp;YEAR(L96)&lt;&gt;MONTH(J96)&amp;"/"&amp;YEAR(J96)),"Release",""))</f>
        <v/>
      </c>
      <c r="AA96" s="144">
        <f>_xlfn.minifs($L:$L,$C:$C,$C96,$F:$F,"&lt;&gt;0")</f>
        <v/>
      </c>
      <c r="AB96" s="144">
        <f>C96&amp;"-"&amp;A96</f>
        <v/>
      </c>
      <c r="AC96" s="144">
        <f>L96</f>
        <v/>
      </c>
    </row>
    <row r="97">
      <c r="A97" s="140" t="inlineStr">
        <is>
          <t>ZCRO01</t>
        </is>
      </c>
      <c r="B97" s="140" t="n">
        <v>3</v>
      </c>
      <c r="C97" s="140" t="inlineStr">
        <is>
          <t>HFB108</t>
        </is>
      </c>
      <c r="D97" s="140" t="inlineStr">
        <is>
          <t>B</t>
        </is>
      </c>
      <c r="E97" s="140" t="inlineStr">
        <is>
          <t>Lunau Marc</t>
        </is>
      </c>
      <c r="F97" s="141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</f>
        <v/>
      </c>
      <c r="G97" s="142" t="n">
        <v>44352</v>
      </c>
      <c r="H97" s="140">
        <f>VLOOKUP($C97,Sales!$C:$E,2,FALSE)</f>
        <v/>
      </c>
      <c r="I97" s="140">
        <f>VLOOKUP($C97,Sales!$C:$E,3,FALSE)</f>
        <v/>
      </c>
      <c r="J97" s="142">
        <f>SUMIFS(Sales!$H:$H,Sales!$C:$C,'Investor Exit List'!$C97)</f>
        <v/>
      </c>
      <c r="K97" s="142">
        <f>IF(I97=TRUE,J97,"")</f>
        <v/>
      </c>
      <c r="L97" s="142">
        <f>G97+730</f>
        <v/>
      </c>
      <c r="M97" s="142" t="n">
        <v>45443</v>
      </c>
      <c r="N97" s="143">
        <f>IFERROR(IF(G97&lt;&gt;"",IF(I97=TRUE,0,IF(U97=TRUE,0,L97-M97)),0),0)</f>
        <v/>
      </c>
      <c r="O97" s="143">
        <f>IF(N97&gt;0,IF(N97&lt;=180,N97,0),0)</f>
        <v/>
      </c>
      <c r="P97" s="141">
        <f>IF(AND(N97&lt;90,N97&gt;0),Q97,0)</f>
        <v/>
      </c>
      <c r="Q97" s="141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/>
      </c>
      <c r="R97" s="141">
        <f>IF(AND(H97=TRUE,I97=FALSE),Q97,0)</f>
        <v/>
      </c>
      <c r="S97" s="141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/>
      </c>
      <c r="T97" s="142">
        <f>IF(U97=TRUE,$J97,"")</f>
        <v/>
      </c>
      <c r="U97" s="140" t="b">
        <v>1</v>
      </c>
      <c r="V97" s="141">
        <f>IF(AND(H97=TRUE,OR(K97="",K97&gt;M97)),S97,0)</f>
        <v/>
      </c>
      <c r="W97" s="140" t="n">
        <v>0</v>
      </c>
      <c r="X97" s="140" t="b">
        <v>0</v>
      </c>
      <c r="Y97" s="143">
        <f>IF(H97=FALSE,VLOOKUP($C97,Sales!$C:$F,4,FALSE),1)</f>
        <v/>
      </c>
      <c r="Z97" s="140">
        <f>IF(Y97=0,"Release",IF(AND(L97&lt;J97,Y97=1,H97=FALSE,U97=FALSE,MONTH(L97)&amp;"/"&amp;YEAR(L97)&lt;&gt;MONTH(J97)&amp;"/"&amp;YEAR(J97)),"Release",""))</f>
        <v/>
      </c>
      <c r="AA97" s="144">
        <f>_xlfn.minifs($L:$L,$C:$C,$C97,$F:$F,"&lt;&gt;0")</f>
        <v/>
      </c>
      <c r="AB97" s="144">
        <f>C97&amp;"-"&amp;A97</f>
        <v/>
      </c>
      <c r="AC97" s="144">
        <f>L97</f>
        <v/>
      </c>
    </row>
    <row r="98">
      <c r="A98" s="140" t="inlineStr">
        <is>
          <t>ZDEK01</t>
        </is>
      </c>
      <c r="B98" s="140" t="n">
        <v>1</v>
      </c>
      <c r="C98" s="140" t="inlineStr">
        <is>
          <t>HFB108</t>
        </is>
      </c>
      <c r="D98" s="140" t="inlineStr">
        <is>
          <t>B</t>
        </is>
      </c>
      <c r="E98" s="140" t="inlineStr">
        <is>
          <t>De Klerk (Way) Dawn Margaret</t>
        </is>
      </c>
      <c r="F98" s="141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</f>
        <v/>
      </c>
      <c r="G98" s="142" t="n">
        <v>44352</v>
      </c>
      <c r="H98" s="140">
        <f>VLOOKUP($C98,Sales!$C:$E,2,FALSE)</f>
        <v/>
      </c>
      <c r="I98" s="140">
        <f>VLOOKUP($C98,Sales!$C:$E,3,FALSE)</f>
        <v/>
      </c>
      <c r="J98" s="142">
        <f>SUMIFS(Sales!$H:$H,Sales!$C:$C,'Investor Exit List'!$C98)</f>
        <v/>
      </c>
      <c r="K98" s="142">
        <f>IF(I98=TRUE,J98,"")</f>
        <v/>
      </c>
      <c r="L98" s="142">
        <f>G98+730</f>
        <v/>
      </c>
      <c r="M98" s="142" t="n">
        <v>45443</v>
      </c>
      <c r="N98" s="143">
        <f>IFERROR(IF(G98&lt;&gt;"",IF(I98=TRUE,0,IF(U98=TRUE,0,L98-M98)),0),0)</f>
        <v/>
      </c>
      <c r="O98" s="143">
        <f>IF(N98&gt;0,IF(N98&lt;=180,N98,0),0)</f>
        <v/>
      </c>
      <c r="P98" s="141">
        <f>IF(AND(N98&lt;90,N98&gt;0),Q98,0)</f>
        <v/>
      </c>
      <c r="Q98" s="141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/>
      </c>
      <c r="R98" s="141">
        <f>IF(AND(H98=TRUE,I98=FALSE),Q98,0)</f>
        <v/>
      </c>
      <c r="S98" s="141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/>
      </c>
      <c r="T98" s="142">
        <f>IF(U98=TRUE,$J98,"")</f>
        <v/>
      </c>
      <c r="U98" s="140" t="b">
        <v>0</v>
      </c>
      <c r="V98" s="141">
        <f>IF(AND(H98=TRUE,OR(K98="",K98&gt;M98)),S98,0)</f>
        <v/>
      </c>
      <c r="W98" s="140" t="n">
        <v>0</v>
      </c>
      <c r="X98" s="140" t="b">
        <v>0</v>
      </c>
      <c r="Y98" s="143">
        <f>IF(H98=FALSE,VLOOKUP($C98,Sales!$C:$F,4,FALSE),1)</f>
        <v/>
      </c>
      <c r="Z98" s="140">
        <f>IF(Y98=0,"Release",IF(AND(L98&lt;J98,Y98=1,H98=FALSE,U98=FALSE,MONTH(L98)&amp;"/"&amp;YEAR(L98)&lt;&gt;MONTH(J98)&amp;"/"&amp;YEAR(J98)),"Release",""))</f>
        <v/>
      </c>
      <c r="AA98" s="144">
        <f>_xlfn.minifs($L:$L,$C:$C,$C98,$F:$F,"&lt;&gt;0")</f>
        <v/>
      </c>
      <c r="AB98" s="144">
        <f>C98&amp;"-"&amp;A98</f>
        <v/>
      </c>
      <c r="AC98" s="144">
        <f>L98</f>
        <v/>
      </c>
    </row>
    <row r="99">
      <c r="A99" s="140" t="inlineStr">
        <is>
          <t>ZJOH01</t>
        </is>
      </c>
      <c r="B99" s="140" t="n">
        <v>4</v>
      </c>
      <c r="C99" s="140" t="inlineStr">
        <is>
          <t>HFB108</t>
        </is>
      </c>
      <c r="D99" s="140" t="inlineStr">
        <is>
          <t>B</t>
        </is>
      </c>
      <c r="E99" s="140" t="inlineStr">
        <is>
          <t>Johns Lisa-Marie Natalie</t>
        </is>
      </c>
      <c r="F99" s="141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</f>
        <v/>
      </c>
      <c r="G99" s="142" t="n">
        <v>44316</v>
      </c>
      <c r="H99" s="140">
        <f>VLOOKUP($C99,Sales!$C:$E,2,FALSE)</f>
        <v/>
      </c>
      <c r="I99" s="140">
        <f>VLOOKUP($C99,Sales!$C:$E,3,FALSE)</f>
        <v/>
      </c>
      <c r="J99" s="142">
        <f>SUMIFS(Sales!$H:$H,Sales!$C:$C,'Investor Exit List'!$C99)</f>
        <v/>
      </c>
      <c r="K99" s="142">
        <f>IF(I99=TRUE,J99,"")</f>
        <v/>
      </c>
      <c r="L99" s="142">
        <f>G99+730</f>
        <v/>
      </c>
      <c r="M99" s="142" t="n">
        <v>45443</v>
      </c>
      <c r="N99" s="143">
        <f>IFERROR(IF(G99&lt;&gt;"",IF(I99=TRUE,0,IF(U99=TRUE,0,L99-M99)),0),0)</f>
        <v/>
      </c>
      <c r="O99" s="143">
        <f>IF(N99&gt;0,IF(N99&lt;=180,N99,0),0)</f>
        <v/>
      </c>
      <c r="P99" s="141">
        <f>IF(AND(N99&lt;90,N99&gt;0),Q99,0)</f>
        <v/>
      </c>
      <c r="Q99" s="141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/>
      </c>
      <c r="R99" s="141">
        <f>IF(AND(H99=TRUE,I99=FALSE),Q99,0)</f>
        <v/>
      </c>
      <c r="S99" s="141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/>
      </c>
      <c r="T99" s="142">
        <f>IF(U99=TRUE,$J99,"")</f>
        <v/>
      </c>
      <c r="U99" s="140" t="b">
        <v>1</v>
      </c>
      <c r="V99" s="141">
        <f>IF(AND(H99=TRUE,OR(K99="",K99&gt;M99)),S99,0)</f>
        <v/>
      </c>
      <c r="W99" s="140" t="n">
        <v>0</v>
      </c>
      <c r="X99" s="140" t="b">
        <v>0</v>
      </c>
      <c r="Y99" s="143">
        <f>IF(H99=FALSE,VLOOKUP($C99,Sales!$C:$F,4,FALSE),1)</f>
        <v/>
      </c>
      <c r="Z99" s="140">
        <f>IF(Y99=0,"Release",IF(AND(L99&lt;J99,Y99=1,H99=FALSE,U99=FALSE,MONTH(L99)&amp;"/"&amp;YEAR(L99)&lt;&gt;MONTH(J99)&amp;"/"&amp;YEAR(J99)),"Release",""))</f>
        <v/>
      </c>
      <c r="AA99" s="144">
        <f>_xlfn.minifs($L:$L,$C:$C,$C99,$F:$F,"&lt;&gt;0")</f>
        <v/>
      </c>
      <c r="AB99" s="144">
        <f>C99&amp;"-"&amp;A99</f>
        <v/>
      </c>
      <c r="AC99" s="144">
        <f>L99</f>
        <v/>
      </c>
    </row>
    <row r="100">
      <c r="A100" s="140" t="inlineStr">
        <is>
          <t>ZSCA01</t>
        </is>
      </c>
      <c r="B100" s="140" t="n">
        <v>1</v>
      </c>
      <c r="C100" s="140" t="inlineStr">
        <is>
          <t>HFB108</t>
        </is>
      </c>
      <c r="D100" s="140" t="inlineStr">
        <is>
          <t>B</t>
        </is>
      </c>
      <c r="E100" s="140" t="inlineStr">
        <is>
          <t>Scalzini Kert</t>
        </is>
      </c>
      <c r="F100" s="141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</f>
        <v/>
      </c>
      <c r="G100" s="142" t="n">
        <v>44532</v>
      </c>
      <c r="H100" s="140">
        <f>VLOOKUP($C100,Sales!$C:$E,2,FALSE)</f>
        <v/>
      </c>
      <c r="I100" s="140">
        <f>VLOOKUP($C100,Sales!$C:$E,3,FALSE)</f>
        <v/>
      </c>
      <c r="J100" s="142">
        <f>SUMIFS(Sales!$H:$H,Sales!$C:$C,'Investor Exit List'!$C100)</f>
        <v/>
      </c>
      <c r="K100" s="142">
        <f>IF(I100=TRUE,J100,"")</f>
        <v/>
      </c>
      <c r="L100" s="142">
        <f>G100+730</f>
        <v/>
      </c>
      <c r="M100" s="142" t="n">
        <v>45443</v>
      </c>
      <c r="N100" s="143">
        <f>IFERROR(IF(G100&lt;&gt;"",IF(I100=TRUE,0,IF(U100=TRUE,0,L100-M100)),0),0)</f>
        <v/>
      </c>
      <c r="O100" s="143">
        <f>IF(N100&gt;0,IF(N100&lt;=180,N100,0),0)</f>
        <v/>
      </c>
      <c r="P100" s="141">
        <f>IF(AND(N100&lt;90,N100&gt;0),Q100,0)</f>
        <v/>
      </c>
      <c r="Q100" s="141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/>
      </c>
      <c r="R100" s="141">
        <f>IF(AND(H100=TRUE,I100=FALSE),Q100,0)</f>
        <v/>
      </c>
      <c r="S100" s="141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/>
      </c>
      <c r="T100" s="142">
        <f>IF(U100=TRUE,$J100,"")</f>
        <v/>
      </c>
      <c r="U100" s="140" t="b">
        <v>0</v>
      </c>
      <c r="V100" s="141">
        <f>IF(AND(H100=TRUE,OR(K100="",K100&gt;M100)),S100,0)</f>
        <v/>
      </c>
      <c r="W100" s="140" t="n">
        <v>0</v>
      </c>
      <c r="X100" s="140" t="b">
        <v>0</v>
      </c>
      <c r="Y100" s="143">
        <f>IF(H100=FALSE,VLOOKUP($C100,Sales!$C:$F,4,FALSE),1)</f>
        <v/>
      </c>
      <c r="Z100" s="140">
        <f>IF(Y100=0,"Release",IF(AND(L100&lt;J100,Y100=1,H100=FALSE,U100=FALSE,MONTH(L100)&amp;"/"&amp;YEAR(L100)&lt;&gt;MONTH(J100)&amp;"/"&amp;YEAR(J100)),"Release",""))</f>
        <v/>
      </c>
      <c r="AA100" s="144">
        <f>_xlfn.minifs($L:$L,$C:$C,$C100,$F:$F,"&lt;&gt;0")</f>
        <v/>
      </c>
      <c r="AB100" s="144">
        <f>C100&amp;"-"&amp;A100</f>
        <v/>
      </c>
      <c r="AC100" s="144">
        <f>L100</f>
        <v/>
      </c>
    </row>
    <row r="101">
      <c r="A101" s="140" t="inlineStr">
        <is>
          <t>ZCRO01</t>
        </is>
      </c>
      <c r="B101" s="140" t="n">
        <v>4</v>
      </c>
      <c r="C101" s="140" t="inlineStr">
        <is>
          <t>HFB109</t>
        </is>
      </c>
      <c r="D101" s="140" t="inlineStr">
        <is>
          <t>B</t>
        </is>
      </c>
      <c r="E101" s="140" t="inlineStr">
        <is>
          <t>Lunau Marc</t>
        </is>
      </c>
      <c r="F101" s="141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</f>
        <v/>
      </c>
      <c r="G101" s="142" t="n">
        <v>44352</v>
      </c>
      <c r="H101" s="140">
        <f>VLOOKUP($C101,Sales!$C:$E,2,FALSE)</f>
        <v/>
      </c>
      <c r="I101" s="140">
        <f>VLOOKUP($C101,Sales!$C:$E,3,FALSE)</f>
        <v/>
      </c>
      <c r="J101" s="142">
        <f>SUMIFS(Sales!$H:$H,Sales!$C:$C,'Investor Exit List'!$C101)</f>
        <v/>
      </c>
      <c r="K101" s="142">
        <f>IF(I101=TRUE,J101,"")</f>
        <v/>
      </c>
      <c r="L101" s="142">
        <f>G101+730</f>
        <v/>
      </c>
      <c r="M101" s="142" t="n">
        <v>45443</v>
      </c>
      <c r="N101" s="143">
        <f>IFERROR(IF(G101&lt;&gt;"",IF(I101=TRUE,0,IF(U101=TRUE,0,L101-M101)),0),0)</f>
        <v/>
      </c>
      <c r="O101" s="143">
        <f>IF(N101&gt;0,IF(N101&lt;=180,N101,0),0)</f>
        <v/>
      </c>
      <c r="P101" s="141">
        <f>IF(AND(N101&lt;90,N101&gt;0),Q101,0)</f>
        <v/>
      </c>
      <c r="Q101" s="141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/>
      </c>
      <c r="R101" s="141">
        <f>IF(AND(H101=TRUE,I101=FALSE),Q101,0)</f>
        <v/>
      </c>
      <c r="S101" s="141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/>
      </c>
      <c r="T101" s="142">
        <f>IF(U101=TRUE,$J101,"")</f>
        <v/>
      </c>
      <c r="U101" s="140" t="b">
        <v>0</v>
      </c>
      <c r="V101" s="141">
        <f>IF(AND(H101=TRUE,OR(K101="",K101&gt;M101)),S101,0)</f>
        <v/>
      </c>
      <c r="W101" s="140" t="n">
        <v>0</v>
      </c>
      <c r="X101" s="140" t="b">
        <v>0</v>
      </c>
      <c r="Y101" s="143">
        <f>IF(H101=FALSE,VLOOKUP($C101,Sales!$C:$F,4,FALSE),1)</f>
        <v/>
      </c>
      <c r="Z101" s="140">
        <f>IF(Y101=0,"Release",IF(AND(L101&lt;J101,Y101=1,H101=FALSE,U101=FALSE,MONTH(L101)&amp;"/"&amp;YEAR(L101)&lt;&gt;MONTH(J101)&amp;"/"&amp;YEAR(J101)),"Release",""))</f>
        <v/>
      </c>
      <c r="AA101" s="144">
        <f>_xlfn.minifs($L:$L,$C:$C,$C101,$F:$F,"&lt;&gt;0")</f>
        <v/>
      </c>
      <c r="AB101" s="144">
        <f>C101&amp;"-"&amp;A101</f>
        <v/>
      </c>
      <c r="AC101" s="144">
        <f>L101</f>
        <v/>
      </c>
    </row>
    <row r="102">
      <c r="A102" s="140" t="inlineStr">
        <is>
          <t>ZGIL01</t>
        </is>
      </c>
      <c r="B102" s="140" t="n">
        <v>1</v>
      </c>
      <c r="C102" s="140" t="inlineStr">
        <is>
          <t>HFB109</t>
        </is>
      </c>
      <c r="D102" s="140" t="inlineStr">
        <is>
          <t>B</t>
        </is>
      </c>
      <c r="E102" s="140" t="inlineStr">
        <is>
          <t>Gildenhuys Estelle Maria</t>
        </is>
      </c>
      <c r="F102" s="141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</f>
        <v/>
      </c>
      <c r="G102" s="142" t="n">
        <v>44352</v>
      </c>
      <c r="H102" s="140">
        <f>VLOOKUP($C102,Sales!$C:$E,2,FALSE)</f>
        <v/>
      </c>
      <c r="I102" s="140">
        <f>VLOOKUP($C102,Sales!$C:$E,3,FALSE)</f>
        <v/>
      </c>
      <c r="J102" s="142">
        <f>SUMIFS(Sales!$H:$H,Sales!$C:$C,'Investor Exit List'!$C102)</f>
        <v/>
      </c>
      <c r="K102" s="142">
        <f>IF(I102=TRUE,J102,"")</f>
        <v/>
      </c>
      <c r="L102" s="142">
        <f>G102+730</f>
        <v/>
      </c>
      <c r="M102" s="142" t="n">
        <v>45443</v>
      </c>
      <c r="N102" s="143">
        <f>IFERROR(IF(G102&lt;&gt;"",IF(I102=TRUE,0,IF(U102=TRUE,0,L102-M102)),0),0)</f>
        <v/>
      </c>
      <c r="O102" s="143">
        <f>IF(N102&gt;0,IF(N102&lt;=180,N102,0),0)</f>
        <v/>
      </c>
      <c r="P102" s="141">
        <f>IF(AND(N102&lt;90,N102&gt;0),Q102,0)</f>
        <v/>
      </c>
      <c r="Q102" s="141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/>
      </c>
      <c r="R102" s="141">
        <f>IF(AND(H102=TRUE,I102=FALSE),Q102,0)</f>
        <v/>
      </c>
      <c r="S102" s="141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/>
      </c>
      <c r="T102" s="142">
        <f>IF(U102=TRUE,$J102,"")</f>
        <v/>
      </c>
      <c r="U102" s="140" t="b">
        <v>0</v>
      </c>
      <c r="V102" s="141">
        <f>IF(AND(H102=TRUE,OR(K102="",K102&gt;M102)),S102,0)</f>
        <v/>
      </c>
      <c r="W102" s="140" t="n">
        <v>0</v>
      </c>
      <c r="X102" s="140" t="b">
        <v>0</v>
      </c>
      <c r="Y102" s="143">
        <f>IF(H102=FALSE,VLOOKUP($C102,Sales!$C:$F,4,FALSE),1)</f>
        <v/>
      </c>
      <c r="Z102" s="140">
        <f>IF(Y102=0,"Release",IF(AND(L102&lt;J102,Y102=1,H102=FALSE,U102=FALSE,MONTH(L102)&amp;"/"&amp;YEAR(L102)&lt;&gt;MONTH(J102)&amp;"/"&amp;YEAR(J102)),"Release",""))</f>
        <v/>
      </c>
      <c r="AA102" s="144">
        <f>_xlfn.minifs($L:$L,$C:$C,$C102,$F:$F,"&lt;&gt;0")</f>
        <v/>
      </c>
      <c r="AB102" s="144">
        <f>C102&amp;"-"&amp;A102</f>
        <v/>
      </c>
      <c r="AC102" s="144">
        <f>L102</f>
        <v/>
      </c>
    </row>
    <row r="103">
      <c r="A103" s="140" t="inlineStr">
        <is>
          <t>ZHAM01</t>
        </is>
      </c>
      <c r="B103" s="140" t="n">
        <v>1</v>
      </c>
      <c r="C103" s="140" t="inlineStr">
        <is>
          <t>HFB109</t>
        </is>
      </c>
      <c r="D103" s="140" t="inlineStr">
        <is>
          <t>B</t>
        </is>
      </c>
      <c r="E103" s="140" t="inlineStr">
        <is>
          <t>Hambidge Lynnette Gladys</t>
        </is>
      </c>
      <c r="F103" s="141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</f>
        <v/>
      </c>
      <c r="G103" s="142" t="n">
        <v>44352</v>
      </c>
      <c r="H103" s="140">
        <f>VLOOKUP($C103,Sales!$C:$E,2,FALSE)</f>
        <v/>
      </c>
      <c r="I103" s="140">
        <f>VLOOKUP($C103,Sales!$C:$E,3,FALSE)</f>
        <v/>
      </c>
      <c r="J103" s="142">
        <f>SUMIFS(Sales!$H:$H,Sales!$C:$C,'Investor Exit List'!$C103)</f>
        <v/>
      </c>
      <c r="K103" s="142">
        <f>IF(I103=TRUE,J103,"")</f>
        <v/>
      </c>
      <c r="L103" s="142">
        <f>G103+730</f>
        <v/>
      </c>
      <c r="M103" s="142" t="n">
        <v>45443</v>
      </c>
      <c r="N103" s="143">
        <f>IFERROR(IF(G103&lt;&gt;"",IF(I103=TRUE,0,IF(U103=TRUE,0,L103-M103)),0),0)</f>
        <v/>
      </c>
      <c r="O103" s="143">
        <f>IF(N103&gt;0,IF(N103&lt;=180,N103,0),0)</f>
        <v/>
      </c>
      <c r="P103" s="141">
        <f>IF(AND(N103&lt;90,N103&gt;0),Q103,0)</f>
        <v/>
      </c>
      <c r="Q103" s="141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/>
      </c>
      <c r="R103" s="141">
        <f>IF(AND(H103=TRUE,I103=FALSE),Q103,0)</f>
        <v/>
      </c>
      <c r="S103" s="141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/>
      </c>
      <c r="T103" s="142">
        <f>IF(U103=TRUE,$J103,"")</f>
        <v/>
      </c>
      <c r="U103" s="140" t="b">
        <v>0</v>
      </c>
      <c r="V103" s="141">
        <f>IF(AND(H103=TRUE,OR(K103="",K103&gt;M103)),S103,0)</f>
        <v/>
      </c>
      <c r="W103" s="140" t="n">
        <v>0</v>
      </c>
      <c r="X103" s="140" t="b">
        <v>0</v>
      </c>
      <c r="Y103" s="143">
        <f>IF(H103=FALSE,VLOOKUP($C103,Sales!$C:$F,4,FALSE),1)</f>
        <v/>
      </c>
      <c r="Z103" s="140">
        <f>IF(Y103=0,"Release",IF(AND(L103&lt;J103,Y103=1,H103=FALSE,U103=FALSE,MONTH(L103)&amp;"/"&amp;YEAR(L103)&lt;&gt;MONTH(J103)&amp;"/"&amp;YEAR(J103)),"Release",""))</f>
        <v/>
      </c>
      <c r="AA103" s="144">
        <f>_xlfn.minifs($L:$L,$C:$C,$C103,$F:$F,"&lt;&gt;0")</f>
        <v/>
      </c>
      <c r="AB103" s="144">
        <f>C103&amp;"-"&amp;A103</f>
        <v/>
      </c>
      <c r="AC103" s="144">
        <f>L103</f>
        <v/>
      </c>
    </row>
    <row r="104">
      <c r="A104" s="140" t="inlineStr">
        <is>
          <t>ZINT01</t>
        </is>
      </c>
      <c r="B104" s="140" t="n">
        <v>6</v>
      </c>
      <c r="C104" s="140" t="inlineStr">
        <is>
          <t>HFB109</t>
        </is>
      </c>
      <c r="D104" s="140" t="inlineStr">
        <is>
          <t>B</t>
        </is>
      </c>
      <c r="E104" s="140" t="inlineStr">
        <is>
          <t>Lunau Marc</t>
        </is>
      </c>
      <c r="F104" s="141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</f>
        <v/>
      </c>
      <c r="G104" s="142" t="n">
        <v>44316</v>
      </c>
      <c r="H104" s="140">
        <f>VLOOKUP($C104,Sales!$C:$E,2,FALSE)</f>
        <v/>
      </c>
      <c r="I104" s="140">
        <f>VLOOKUP($C104,Sales!$C:$E,3,FALSE)</f>
        <v/>
      </c>
      <c r="J104" s="142">
        <f>SUMIFS(Sales!$H:$H,Sales!$C:$C,'Investor Exit List'!$C104)</f>
        <v/>
      </c>
      <c r="K104" s="142">
        <f>IF(I104=TRUE,J104,"")</f>
        <v/>
      </c>
      <c r="L104" s="142">
        <f>G104+730</f>
        <v/>
      </c>
      <c r="M104" s="142" t="n">
        <v>45443</v>
      </c>
      <c r="N104" s="143">
        <f>IFERROR(IF(G104&lt;&gt;"",IF(I104=TRUE,0,IF(U104=TRUE,0,L104-M104)),0),0)</f>
        <v/>
      </c>
      <c r="O104" s="143">
        <f>IF(N104&gt;0,IF(N104&lt;=180,N104,0),0)</f>
        <v/>
      </c>
      <c r="P104" s="141">
        <f>IF(AND(N104&lt;90,N104&gt;0),Q104,0)</f>
        <v/>
      </c>
      <c r="Q104" s="141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/>
      </c>
      <c r="R104" s="141">
        <f>IF(AND(H104=TRUE,I104=FALSE),Q104,0)</f>
        <v/>
      </c>
      <c r="S104" s="141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/>
      </c>
      <c r="T104" s="142">
        <f>IF(U104=TRUE,$J104,"")</f>
        <v/>
      </c>
      <c r="U104" s="140" t="b">
        <v>0</v>
      </c>
      <c r="V104" s="141">
        <f>IF(AND(H104=TRUE,OR(K104="",K104&gt;M104)),S104,0)</f>
        <v/>
      </c>
      <c r="W104" s="140" t="n">
        <v>0</v>
      </c>
      <c r="X104" s="140" t="b">
        <v>0</v>
      </c>
      <c r="Y104" s="143">
        <f>IF(H104=FALSE,VLOOKUP($C104,Sales!$C:$F,4,FALSE),1)</f>
        <v/>
      </c>
      <c r="Z104" s="140">
        <f>IF(Y104=0,"Release",IF(AND(L104&lt;J104,Y104=1,H104=FALSE,U104=FALSE,MONTH(L104)&amp;"/"&amp;YEAR(L104)&lt;&gt;MONTH(J104)&amp;"/"&amp;YEAR(J104)),"Release",""))</f>
        <v/>
      </c>
      <c r="AA104" s="144">
        <f>_xlfn.minifs($L:$L,$C:$C,$C104,$F:$F,"&lt;&gt;0")</f>
        <v/>
      </c>
      <c r="AB104" s="144">
        <f>C104&amp;"-"&amp;A104</f>
        <v/>
      </c>
      <c r="AC104" s="144">
        <f>L104</f>
        <v/>
      </c>
    </row>
    <row r="105">
      <c r="A105" s="140" t="inlineStr">
        <is>
          <t>ZPED01</t>
        </is>
      </c>
      <c r="B105" s="140" t="n">
        <v>2</v>
      </c>
      <c r="C105" s="140" t="inlineStr">
        <is>
          <t>HFB110</t>
        </is>
      </c>
      <c r="D105" s="140" t="inlineStr">
        <is>
          <t>B</t>
        </is>
      </c>
      <c r="E105" s="140" t="inlineStr">
        <is>
          <t>Pedersen Wendy</t>
        </is>
      </c>
      <c r="F105" s="141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</f>
        <v/>
      </c>
      <c r="G105" s="142" t="n">
        <v>44352</v>
      </c>
      <c r="H105" s="140">
        <f>VLOOKUP($C105,Sales!$C:$E,2,FALSE)</f>
        <v/>
      </c>
      <c r="I105" s="140">
        <f>VLOOKUP($C105,Sales!$C:$E,3,FALSE)</f>
        <v/>
      </c>
      <c r="J105" s="142">
        <f>SUMIFS(Sales!$H:$H,Sales!$C:$C,'Investor Exit List'!$C105)</f>
        <v/>
      </c>
      <c r="K105" s="142">
        <f>IF(I105=TRUE,J105,"")</f>
        <v/>
      </c>
      <c r="L105" s="142">
        <f>G105+730</f>
        <v/>
      </c>
      <c r="M105" s="142" t="n">
        <v>45443</v>
      </c>
      <c r="N105" s="143">
        <f>IFERROR(IF(G105&lt;&gt;"",IF(I105=TRUE,0,IF(U105=TRUE,0,L105-M105)),0),0)</f>
        <v/>
      </c>
      <c r="O105" s="143">
        <f>IF(N105&gt;0,IF(N105&lt;=180,N105,0),0)</f>
        <v/>
      </c>
      <c r="P105" s="141">
        <f>IF(AND(N105&lt;90,N105&gt;0),Q105,0)</f>
        <v/>
      </c>
      <c r="Q105" s="141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/>
      </c>
      <c r="R105" s="141">
        <f>IF(AND(H105=TRUE,I105=FALSE),Q105,0)</f>
        <v/>
      </c>
      <c r="S105" s="141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/>
      </c>
      <c r="T105" s="142">
        <f>IF(U105=TRUE,$J105,"")</f>
        <v/>
      </c>
      <c r="U105" s="140" t="b">
        <v>0</v>
      </c>
      <c r="V105" s="141">
        <f>IF(AND(H105=TRUE,OR(K105="",K105&gt;M105)),S105,0)</f>
        <v/>
      </c>
      <c r="W105" s="140" t="n">
        <v>0</v>
      </c>
      <c r="X105" s="140" t="b">
        <v>0</v>
      </c>
      <c r="Y105" s="143">
        <f>IF(H105=FALSE,VLOOKUP($C105,Sales!$C:$F,4,FALSE),1)</f>
        <v/>
      </c>
      <c r="Z105" s="140">
        <f>IF(Y105=0,"Release",IF(AND(L105&lt;J105,Y105=1,H105=FALSE,U105=FALSE,MONTH(L105)&amp;"/"&amp;YEAR(L105)&lt;&gt;MONTH(J105)&amp;"/"&amp;YEAR(J105)),"Release",""))</f>
        <v/>
      </c>
      <c r="AA105" s="144">
        <f>_xlfn.minifs($L:$L,$C:$C,$C105,$F:$F,"&lt;&gt;0")</f>
        <v/>
      </c>
      <c r="AB105" s="144">
        <f>C105&amp;"-"&amp;A105</f>
        <v/>
      </c>
      <c r="AC105" s="144">
        <f>L105</f>
        <v/>
      </c>
    </row>
    <row r="106">
      <c r="A106" s="140" t="inlineStr">
        <is>
          <t>ZCRO01</t>
        </is>
      </c>
      <c r="B106" s="140" t="n">
        <v>5</v>
      </c>
      <c r="C106" s="140" t="inlineStr">
        <is>
          <t>HFB111</t>
        </is>
      </c>
      <c r="D106" s="140" t="inlineStr">
        <is>
          <t>B</t>
        </is>
      </c>
      <c r="E106" s="140" t="inlineStr">
        <is>
          <t>Lunau Marc</t>
        </is>
      </c>
      <c r="F106" s="141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</f>
        <v/>
      </c>
      <c r="G106" s="142" t="n">
        <v>44352</v>
      </c>
      <c r="H106" s="140">
        <f>VLOOKUP($C106,Sales!$C:$E,2,FALSE)</f>
        <v/>
      </c>
      <c r="I106" s="140">
        <f>VLOOKUP($C106,Sales!$C:$E,3,FALSE)</f>
        <v/>
      </c>
      <c r="J106" s="142">
        <f>SUMIFS(Sales!$H:$H,Sales!$C:$C,'Investor Exit List'!$C106)</f>
        <v/>
      </c>
      <c r="K106" s="142">
        <f>IF(I106=TRUE,J106,"")</f>
        <v/>
      </c>
      <c r="L106" s="142">
        <f>G106+730</f>
        <v/>
      </c>
      <c r="M106" s="142" t="n">
        <v>45443</v>
      </c>
      <c r="N106" s="143">
        <f>IFERROR(IF(G106&lt;&gt;"",IF(I106=TRUE,0,IF(U106=TRUE,0,L106-M106)),0),0)</f>
        <v/>
      </c>
      <c r="O106" s="143">
        <f>IF(N106&gt;0,IF(N106&lt;=180,N106,0),0)</f>
        <v/>
      </c>
      <c r="P106" s="141">
        <f>IF(AND(N106&lt;90,N106&gt;0),Q106,0)</f>
        <v/>
      </c>
      <c r="Q106" s="141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/>
      </c>
      <c r="R106" s="141">
        <f>IF(AND(H106=TRUE,I106=FALSE),Q106,0)</f>
        <v/>
      </c>
      <c r="S106" s="141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/>
      </c>
      <c r="T106" s="142">
        <f>IF(U106=TRUE,$J106,"")</f>
        <v/>
      </c>
      <c r="U106" s="140" t="b">
        <v>0</v>
      </c>
      <c r="V106" s="141">
        <f>IF(AND(H106=TRUE,OR(K106="",K106&gt;M106)),S106,0)</f>
        <v/>
      </c>
      <c r="W106" s="140" t="n">
        <v>0</v>
      </c>
      <c r="X106" s="140" t="b">
        <v>0</v>
      </c>
      <c r="Y106" s="143">
        <f>IF(H106=FALSE,VLOOKUP($C106,Sales!$C:$F,4,FALSE),1)</f>
        <v/>
      </c>
      <c r="Z106" s="140">
        <f>IF(Y106=0,"Release",IF(AND(L106&lt;J106,Y106=1,H106=FALSE,U106=FALSE,MONTH(L106)&amp;"/"&amp;YEAR(L106)&lt;&gt;MONTH(J106)&amp;"/"&amp;YEAR(J106)),"Release",""))</f>
        <v/>
      </c>
      <c r="AA106" s="144">
        <f>_xlfn.minifs($L:$L,$C:$C,$C106,$F:$F,"&lt;&gt;0")</f>
        <v/>
      </c>
      <c r="AB106" s="144">
        <f>C106&amp;"-"&amp;A106</f>
        <v/>
      </c>
      <c r="AC106" s="144">
        <f>L106</f>
        <v/>
      </c>
    </row>
    <row r="107">
      <c r="A107" s="140" t="inlineStr">
        <is>
          <t>ZLUN01</t>
        </is>
      </c>
      <c r="B107" s="140" t="n">
        <v>6</v>
      </c>
      <c r="C107" s="140" t="inlineStr">
        <is>
          <t>HFB111</t>
        </is>
      </c>
      <c r="D107" s="140" t="inlineStr">
        <is>
          <t>B</t>
        </is>
      </c>
      <c r="E107" s="140" t="inlineStr">
        <is>
          <t>Lunau Marc</t>
        </is>
      </c>
      <c r="F107" s="141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</f>
        <v/>
      </c>
      <c r="G107" s="142" t="n">
        <v>44352</v>
      </c>
      <c r="H107" s="140">
        <f>VLOOKUP($C107,Sales!$C:$E,2,FALSE)</f>
        <v/>
      </c>
      <c r="I107" s="140">
        <f>VLOOKUP($C107,Sales!$C:$E,3,FALSE)</f>
        <v/>
      </c>
      <c r="J107" s="142">
        <f>SUMIFS(Sales!$H:$H,Sales!$C:$C,'Investor Exit List'!$C107)</f>
        <v/>
      </c>
      <c r="K107" s="142">
        <f>IF(I107=TRUE,J107,"")</f>
        <v/>
      </c>
      <c r="L107" s="142">
        <f>G107+730</f>
        <v/>
      </c>
      <c r="M107" s="142" t="n">
        <v>45443</v>
      </c>
      <c r="N107" s="143">
        <f>IFERROR(IF(G107&lt;&gt;"",IF(I107=TRUE,0,IF(U107=TRUE,0,L107-M107)),0),0)</f>
        <v/>
      </c>
      <c r="O107" s="143">
        <f>IF(N107&gt;0,IF(N107&lt;=180,N107,0),0)</f>
        <v/>
      </c>
      <c r="P107" s="141">
        <f>IF(AND(N107&lt;90,N107&gt;0),Q107,0)</f>
        <v/>
      </c>
      <c r="Q107" s="141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/>
      </c>
      <c r="R107" s="141">
        <f>IF(AND(H107=TRUE,I107=FALSE),Q107,0)</f>
        <v/>
      </c>
      <c r="S107" s="141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/>
      </c>
      <c r="T107" s="142">
        <f>IF(U107=TRUE,$J107,"")</f>
        <v/>
      </c>
      <c r="U107" s="140" t="b">
        <v>0</v>
      </c>
      <c r="V107" s="141">
        <f>IF(AND(H107=TRUE,OR(K107="",K107&gt;M107)),S107,0)</f>
        <v/>
      </c>
      <c r="W107" s="140" t="n">
        <v>0</v>
      </c>
      <c r="X107" s="140" t="b">
        <v>0</v>
      </c>
      <c r="Y107" s="143">
        <f>IF(H107=FALSE,VLOOKUP($C107,Sales!$C:$F,4,FALSE),1)</f>
        <v/>
      </c>
      <c r="Z107" s="140">
        <f>IF(Y107=0,"Release",IF(AND(L107&lt;J107,Y107=1,H107=FALSE,U107=FALSE,MONTH(L107)&amp;"/"&amp;YEAR(L107)&lt;&gt;MONTH(J107)&amp;"/"&amp;YEAR(J107)),"Release",""))</f>
        <v/>
      </c>
      <c r="AA107" s="144">
        <f>_xlfn.minifs($L:$L,$C:$C,$C107,$F:$F,"&lt;&gt;0")</f>
        <v/>
      </c>
      <c r="AB107" s="144">
        <f>C107&amp;"-"&amp;A107</f>
        <v/>
      </c>
      <c r="AC107" s="144">
        <f>L107</f>
        <v/>
      </c>
    </row>
    <row r="108">
      <c r="A108" s="140" t="inlineStr">
        <is>
          <t>ZSCA02</t>
        </is>
      </c>
      <c r="B108" s="140" t="n">
        <v>1</v>
      </c>
      <c r="C108" s="140" t="inlineStr">
        <is>
          <t>HFB111</t>
        </is>
      </c>
      <c r="D108" s="140" t="inlineStr">
        <is>
          <t>B</t>
        </is>
      </c>
      <c r="E108" s="140" t="inlineStr">
        <is>
          <t>Scalzini Chad</t>
        </is>
      </c>
      <c r="F108" s="141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</f>
        <v/>
      </c>
      <c r="G108" s="142" t="n">
        <v>44508</v>
      </c>
      <c r="H108" s="140">
        <f>VLOOKUP($C108,Sales!$C:$E,2,FALSE)</f>
        <v/>
      </c>
      <c r="I108" s="140">
        <f>VLOOKUP($C108,Sales!$C:$E,3,FALSE)</f>
        <v/>
      </c>
      <c r="J108" s="142">
        <f>SUMIFS(Sales!$H:$H,Sales!$C:$C,'Investor Exit List'!$C108)</f>
        <v/>
      </c>
      <c r="K108" s="142">
        <f>IF(I108=TRUE,J108,"")</f>
        <v/>
      </c>
      <c r="L108" s="142">
        <f>G108+730</f>
        <v/>
      </c>
      <c r="M108" s="142" t="n">
        <v>45443</v>
      </c>
      <c r="N108" s="143">
        <f>IFERROR(IF(G108&lt;&gt;"",IF(I108=TRUE,0,IF(U108=TRUE,0,L108-M108)),0),0)</f>
        <v/>
      </c>
      <c r="O108" s="143">
        <f>IF(N108&gt;0,IF(N108&lt;=180,N108,0),0)</f>
        <v/>
      </c>
      <c r="P108" s="141">
        <f>IF(AND(N108&lt;90,N108&gt;0),Q108,0)</f>
        <v/>
      </c>
      <c r="Q108" s="141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/>
      </c>
      <c r="R108" s="141">
        <f>IF(AND(H108=TRUE,I108=FALSE),Q108,0)</f>
        <v/>
      </c>
      <c r="S108" s="141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/>
      </c>
      <c r="T108" s="142">
        <f>IF(U108=TRUE,$J108,"")</f>
        <v/>
      </c>
      <c r="U108" s="140" t="b">
        <v>0</v>
      </c>
      <c r="V108" s="141">
        <f>IF(AND(H108=TRUE,OR(K108="",K108&gt;M108)),S108,0)</f>
        <v/>
      </c>
      <c r="W108" s="140" t="n">
        <v>0</v>
      </c>
      <c r="X108" s="140" t="b">
        <v>0</v>
      </c>
      <c r="Y108" s="143">
        <f>IF(H108=FALSE,VLOOKUP($C108,Sales!$C:$F,4,FALSE),1)</f>
        <v/>
      </c>
      <c r="Z108" s="140">
        <f>IF(Y108=0,"Release",IF(AND(L108&lt;J108,Y108=1,H108=FALSE,U108=FALSE,MONTH(L108)&amp;"/"&amp;YEAR(L108)&lt;&gt;MONTH(J108)&amp;"/"&amp;YEAR(J108)),"Release",""))</f>
        <v/>
      </c>
      <c r="AA108" s="144">
        <f>_xlfn.minifs($L:$L,$C:$C,$C108,$F:$F,"&lt;&gt;0")</f>
        <v/>
      </c>
      <c r="AB108" s="144">
        <f>C108&amp;"-"&amp;A108</f>
        <v/>
      </c>
      <c r="AC108" s="144">
        <f>L108</f>
        <v/>
      </c>
    </row>
    <row r="109">
      <c r="A109" s="140" t="inlineStr">
        <is>
          <t>ZSCH03</t>
        </is>
      </c>
      <c r="B109" s="140" t="n">
        <v>1</v>
      </c>
      <c r="C109" s="140" t="inlineStr">
        <is>
          <t>HFB111</t>
        </is>
      </c>
      <c r="D109" s="140" t="inlineStr">
        <is>
          <t>B</t>
        </is>
      </c>
      <c r="E109" s="140" t="inlineStr">
        <is>
          <t>Schmidt Gary James</t>
        </is>
      </c>
      <c r="F109" s="141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</f>
        <v/>
      </c>
      <c r="G109" s="142" t="n">
        <v>44352</v>
      </c>
      <c r="H109" s="140">
        <f>VLOOKUP($C109,Sales!$C:$E,2,FALSE)</f>
        <v/>
      </c>
      <c r="I109" s="140">
        <f>VLOOKUP($C109,Sales!$C:$E,3,FALSE)</f>
        <v/>
      </c>
      <c r="J109" s="142">
        <f>SUMIFS(Sales!$H:$H,Sales!$C:$C,'Investor Exit List'!$C109)</f>
        <v/>
      </c>
      <c r="K109" s="142">
        <f>IF(I109=TRUE,J109,"")</f>
        <v/>
      </c>
      <c r="L109" s="142">
        <f>G109+730</f>
        <v/>
      </c>
      <c r="M109" s="142" t="n">
        <v>45443</v>
      </c>
      <c r="N109" s="143">
        <f>IFERROR(IF(G109&lt;&gt;"",IF(I109=TRUE,0,IF(U109=TRUE,0,L109-M109)),0),0)</f>
        <v/>
      </c>
      <c r="O109" s="143">
        <f>IF(N109&gt;0,IF(N109&lt;=180,N109,0),0)</f>
        <v/>
      </c>
      <c r="P109" s="141">
        <f>IF(AND(N109&lt;90,N109&gt;0),Q109,0)</f>
        <v/>
      </c>
      <c r="Q109" s="141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/>
      </c>
      <c r="R109" s="141">
        <f>IF(AND(H109=TRUE,I109=FALSE),Q109,0)</f>
        <v/>
      </c>
      <c r="S109" s="141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/>
      </c>
      <c r="T109" s="142">
        <f>IF(U109=TRUE,$J109,"")</f>
        <v/>
      </c>
      <c r="U109" s="140" t="b">
        <v>0</v>
      </c>
      <c r="V109" s="141">
        <f>IF(AND(H109=TRUE,OR(K109="",K109&gt;M109)),S109,0)</f>
        <v/>
      </c>
      <c r="W109" s="140" t="n">
        <v>0</v>
      </c>
      <c r="X109" s="140" t="b">
        <v>0</v>
      </c>
      <c r="Y109" s="143">
        <f>IF(H109=FALSE,VLOOKUP($C109,Sales!$C:$F,4,FALSE),1)</f>
        <v/>
      </c>
      <c r="Z109" s="140">
        <f>IF(Y109=0,"Release",IF(AND(L109&lt;J109,Y109=1,H109=FALSE,U109=FALSE,MONTH(L109)&amp;"/"&amp;YEAR(L109)&lt;&gt;MONTH(J109)&amp;"/"&amp;YEAR(J109)),"Release",""))</f>
        <v/>
      </c>
      <c r="AA109" s="144">
        <f>_xlfn.minifs($L:$L,$C:$C,$C109,$F:$F,"&lt;&gt;0")</f>
        <v/>
      </c>
      <c r="AB109" s="144">
        <f>C109&amp;"-"&amp;A109</f>
        <v/>
      </c>
      <c r="AC109" s="144">
        <f>L109</f>
        <v/>
      </c>
    </row>
    <row r="110">
      <c r="A110" s="140" t="inlineStr">
        <is>
          <t>ZBEN01</t>
        </is>
      </c>
      <c r="B110" s="140" t="n">
        <v>1</v>
      </c>
      <c r="C110" s="140" t="inlineStr">
        <is>
          <t>HFB201</t>
        </is>
      </c>
      <c r="D110" s="140" t="inlineStr">
        <is>
          <t>B</t>
        </is>
      </c>
      <c r="E110" s="140" t="inlineStr">
        <is>
          <t>Beneke Heino</t>
        </is>
      </c>
      <c r="F110" s="141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</f>
        <v/>
      </c>
      <c r="G110" s="142" t="n">
        <v>44352</v>
      </c>
      <c r="H110" s="140">
        <f>VLOOKUP($C110,Sales!$C:$E,2,FALSE)</f>
        <v/>
      </c>
      <c r="I110" s="140">
        <f>VLOOKUP($C110,Sales!$C:$E,3,FALSE)</f>
        <v/>
      </c>
      <c r="J110" s="142">
        <f>SUMIFS(Sales!$H:$H,Sales!$C:$C,'Investor Exit List'!$C110)</f>
        <v/>
      </c>
      <c r="K110" s="142">
        <f>IF(I110=TRUE,J110,"")</f>
        <v/>
      </c>
      <c r="L110" s="142">
        <f>G110+730</f>
        <v/>
      </c>
      <c r="M110" s="142" t="n">
        <v>45443</v>
      </c>
      <c r="N110" s="143">
        <f>IFERROR(IF(G110&lt;&gt;"",IF(I110=TRUE,0,IF(U110=TRUE,0,L110-M110)),0),0)</f>
        <v/>
      </c>
      <c r="O110" s="143">
        <f>IF(N110&gt;0,IF(N110&lt;=180,N110,0),0)</f>
        <v/>
      </c>
      <c r="P110" s="141">
        <f>IF(AND(N110&lt;90,N110&gt;0),Q110,0)</f>
        <v/>
      </c>
      <c r="Q110" s="141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/>
      </c>
      <c r="R110" s="141">
        <f>IF(AND(H110=TRUE,I110=FALSE),Q110,0)</f>
        <v/>
      </c>
      <c r="S110" s="141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/>
      </c>
      <c r="T110" s="142">
        <f>IF(U110=TRUE,$J110,"")</f>
        <v/>
      </c>
      <c r="U110" s="140" t="b">
        <v>0</v>
      </c>
      <c r="V110" s="141">
        <f>IF(AND(H110=TRUE,OR(K110="",K110&gt;M110)),S110,0)</f>
        <v/>
      </c>
      <c r="W110" s="140" t="n">
        <v>0</v>
      </c>
      <c r="X110" s="140" t="b">
        <v>0</v>
      </c>
      <c r="Y110" s="143">
        <f>IF(H110=FALSE,VLOOKUP($C110,Sales!$C:$F,4,FALSE),1)</f>
        <v/>
      </c>
      <c r="Z110" s="140">
        <f>IF(Y110=0,"Release",IF(AND(L110&lt;J110,Y110=1,H110=FALSE,U110=FALSE,MONTH(L110)&amp;"/"&amp;YEAR(L110)&lt;&gt;MONTH(J110)&amp;"/"&amp;YEAR(J110)),"Release",""))</f>
        <v/>
      </c>
      <c r="AA110" s="144">
        <f>_xlfn.minifs($L:$L,$C:$C,$C110,$F:$F,"&lt;&gt;0")</f>
        <v/>
      </c>
      <c r="AB110" s="144">
        <f>C110&amp;"-"&amp;A110</f>
        <v/>
      </c>
      <c r="AC110" s="144">
        <f>L110</f>
        <v/>
      </c>
    </row>
    <row r="111">
      <c r="A111" s="140" t="inlineStr">
        <is>
          <t>ZGLO01</t>
        </is>
      </c>
      <c r="B111" s="140" t="n">
        <v>1</v>
      </c>
      <c r="C111" s="140" t="inlineStr">
        <is>
          <t>HFB201</t>
        </is>
      </c>
      <c r="D111" s="140" t="inlineStr">
        <is>
          <t>B</t>
        </is>
      </c>
      <c r="E111" s="140" t="inlineStr">
        <is>
          <t>Goltz Elizma</t>
        </is>
      </c>
      <c r="F111" s="141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</f>
        <v/>
      </c>
      <c r="G111" s="142" t="n">
        <v>44378</v>
      </c>
      <c r="H111" s="140">
        <f>VLOOKUP($C111,Sales!$C:$E,2,FALSE)</f>
        <v/>
      </c>
      <c r="I111" s="140">
        <f>VLOOKUP($C111,Sales!$C:$E,3,FALSE)</f>
        <v/>
      </c>
      <c r="J111" s="142">
        <f>SUMIFS(Sales!$H:$H,Sales!$C:$C,'Investor Exit List'!$C111)</f>
        <v/>
      </c>
      <c r="K111" s="142">
        <f>IF(I111=TRUE,J111,"")</f>
        <v/>
      </c>
      <c r="L111" s="142">
        <f>G111+730</f>
        <v/>
      </c>
      <c r="M111" s="142" t="n">
        <v>45443</v>
      </c>
      <c r="N111" s="143">
        <f>IFERROR(IF(G111&lt;&gt;"",IF(I111=TRUE,0,IF(U111=TRUE,0,L111-M111)),0),0)</f>
        <v/>
      </c>
      <c r="O111" s="143">
        <f>IF(N111&gt;0,IF(N111&lt;=180,N111,0),0)</f>
        <v/>
      </c>
      <c r="P111" s="141">
        <f>IF(AND(N111&lt;90,N111&gt;0),Q111,0)</f>
        <v/>
      </c>
      <c r="Q111" s="141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/>
      </c>
      <c r="R111" s="141">
        <f>IF(AND(H111=TRUE,I111=FALSE),Q111,0)</f>
        <v/>
      </c>
      <c r="S111" s="141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/>
      </c>
      <c r="T111" s="142">
        <f>IF(U111=TRUE,$J111,"")</f>
        <v/>
      </c>
      <c r="U111" s="140" t="b">
        <v>0</v>
      </c>
      <c r="V111" s="141">
        <f>IF(AND(H111=TRUE,OR(K111="",K111&gt;M111)),S111,0)</f>
        <v/>
      </c>
      <c r="W111" s="140" t="n">
        <v>0</v>
      </c>
      <c r="X111" s="140" t="b">
        <v>0</v>
      </c>
      <c r="Y111" s="143">
        <f>IF(H111=FALSE,VLOOKUP($C111,Sales!$C:$F,4,FALSE),1)</f>
        <v/>
      </c>
      <c r="Z111" s="140">
        <f>IF(Y111=0,"Release",IF(AND(L111&lt;J111,Y111=1,H111=FALSE,U111=FALSE,MONTH(L111)&amp;"/"&amp;YEAR(L111)&lt;&gt;MONTH(J111)&amp;"/"&amp;YEAR(J111)),"Release",""))</f>
        <v/>
      </c>
      <c r="AA111" s="144">
        <f>_xlfn.minifs($L:$L,$C:$C,$C111,$F:$F,"&lt;&gt;0")</f>
        <v/>
      </c>
      <c r="AB111" s="144">
        <f>C111&amp;"-"&amp;A111</f>
        <v/>
      </c>
      <c r="AC111" s="144">
        <f>L111</f>
        <v/>
      </c>
    </row>
    <row r="112">
      <c r="A112" s="140" t="inlineStr">
        <is>
          <t>ZMIN01</t>
        </is>
      </c>
      <c r="B112" s="140" t="n">
        <v>1</v>
      </c>
      <c r="C112" s="140" t="inlineStr">
        <is>
          <t>HFB202</t>
        </is>
      </c>
      <c r="D112" s="140" t="inlineStr">
        <is>
          <t>B</t>
        </is>
      </c>
      <c r="E112" s="140" t="inlineStr">
        <is>
          <t>Minnaar Irene Petronella</t>
        </is>
      </c>
      <c r="F112" s="141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</f>
        <v/>
      </c>
      <c r="G112" s="142" t="n">
        <v>44378</v>
      </c>
      <c r="H112" s="140">
        <f>VLOOKUP($C112,Sales!$C:$E,2,FALSE)</f>
        <v/>
      </c>
      <c r="I112" s="140">
        <f>VLOOKUP($C112,Sales!$C:$E,3,FALSE)</f>
        <v/>
      </c>
      <c r="J112" s="142">
        <f>SUMIFS(Sales!$H:$H,Sales!$C:$C,'Investor Exit List'!$C112)</f>
        <v/>
      </c>
      <c r="K112" s="142">
        <f>IF(I112=TRUE,J112,"")</f>
        <v/>
      </c>
      <c r="L112" s="142">
        <f>G112+730</f>
        <v/>
      </c>
      <c r="M112" s="142" t="n">
        <v>45443</v>
      </c>
      <c r="N112" s="143">
        <f>IFERROR(IF(G112&lt;&gt;"",IF(I112=TRUE,0,IF(U112=TRUE,0,L112-M112)),0),0)</f>
        <v/>
      </c>
      <c r="O112" s="143">
        <f>IF(N112&gt;0,IF(N112&lt;=180,N112,0),0)</f>
        <v/>
      </c>
      <c r="P112" s="141">
        <f>IF(AND(N112&lt;90,N112&gt;0),Q112,0)</f>
        <v/>
      </c>
      <c r="Q112" s="141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/>
      </c>
      <c r="R112" s="141">
        <f>IF(AND(H112=TRUE,I112=FALSE),Q112,0)</f>
        <v/>
      </c>
      <c r="S112" s="141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/>
      </c>
      <c r="T112" s="142">
        <f>IF(U112=TRUE,$J112,"")</f>
        <v/>
      </c>
      <c r="U112" s="140" t="b">
        <v>1</v>
      </c>
      <c r="V112" s="141">
        <f>IF(AND(H112=TRUE,OR(K112="",K112&gt;M112)),S112,0)</f>
        <v/>
      </c>
      <c r="W112" s="140" t="n">
        <v>0</v>
      </c>
      <c r="X112" s="140" t="b">
        <v>0</v>
      </c>
      <c r="Y112" s="143">
        <f>IF(H112=FALSE,VLOOKUP($C112,Sales!$C:$F,4,FALSE),1)</f>
        <v/>
      </c>
      <c r="Z112" s="140">
        <f>IF(Y112=0,"Release",IF(AND(L112&lt;J112,Y112=1,H112=FALSE,U112=FALSE,MONTH(L112)&amp;"/"&amp;YEAR(L112)&lt;&gt;MONTH(J112)&amp;"/"&amp;YEAR(J112)),"Release",""))</f>
        <v/>
      </c>
      <c r="AA112" s="144">
        <f>_xlfn.minifs($L:$L,$C:$C,$C112,$F:$F,"&lt;&gt;0")</f>
        <v/>
      </c>
      <c r="AB112" s="144">
        <f>C112&amp;"-"&amp;A112</f>
        <v/>
      </c>
      <c r="AC112" s="144">
        <f>L112</f>
        <v/>
      </c>
    </row>
    <row r="113">
      <c r="A113" s="140" t="inlineStr">
        <is>
          <t>ZRUS01</t>
        </is>
      </c>
      <c r="B113" s="140" t="n">
        <v>1</v>
      </c>
      <c r="C113" s="140" t="inlineStr">
        <is>
          <t>HFB202</t>
        </is>
      </c>
      <c r="D113" s="140" t="inlineStr">
        <is>
          <t>B</t>
        </is>
      </c>
      <c r="E113" s="140" t="inlineStr">
        <is>
          <t>Rust Izak Cornelius</t>
        </is>
      </c>
      <c r="F113" s="141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</f>
        <v/>
      </c>
      <c r="G113" s="142" t="n">
        <v>44352</v>
      </c>
      <c r="H113" s="140">
        <f>VLOOKUP($C113,Sales!$C:$E,2,FALSE)</f>
        <v/>
      </c>
      <c r="I113" s="140">
        <f>VLOOKUP($C113,Sales!$C:$E,3,FALSE)</f>
        <v/>
      </c>
      <c r="J113" s="142">
        <f>SUMIFS(Sales!$H:$H,Sales!$C:$C,'Investor Exit List'!$C113)</f>
        <v/>
      </c>
      <c r="K113" s="142">
        <f>IF(I113=TRUE,J113,"")</f>
        <v/>
      </c>
      <c r="L113" s="142">
        <f>G113+730</f>
        <v/>
      </c>
      <c r="M113" s="142" t="n">
        <v>45443</v>
      </c>
      <c r="N113" s="143">
        <f>IFERROR(IF(G113&lt;&gt;"",IF(I113=TRUE,0,IF(U113=TRUE,0,L113-M113)),0),0)</f>
        <v/>
      </c>
      <c r="O113" s="143">
        <f>IF(N113&gt;0,IF(N113&lt;=180,N113,0),0)</f>
        <v/>
      </c>
      <c r="P113" s="141">
        <f>IF(AND(N113&lt;90,N113&gt;0),Q113,0)</f>
        <v/>
      </c>
      <c r="Q113" s="141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/>
      </c>
      <c r="R113" s="141">
        <f>IF(AND(H113=TRUE,I113=FALSE),Q113,0)</f>
        <v/>
      </c>
      <c r="S113" s="141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/>
      </c>
      <c r="T113" s="142">
        <f>IF(U113=TRUE,$J113,"")</f>
        <v/>
      </c>
      <c r="U113" s="140" t="b">
        <v>0</v>
      </c>
      <c r="V113" s="141">
        <f>IF(AND(H113=TRUE,OR(K113="",K113&gt;M113)),S113,0)</f>
        <v/>
      </c>
      <c r="W113" s="140" t="n">
        <v>0</v>
      </c>
      <c r="X113" s="140" t="b">
        <v>0</v>
      </c>
      <c r="Y113" s="143">
        <f>IF(H113=FALSE,VLOOKUP($C113,Sales!$C:$F,4,FALSE),1)</f>
        <v/>
      </c>
      <c r="Z113" s="140">
        <f>IF(Y113=0,"Release",IF(AND(L113&lt;J113,Y113=1,H113=FALSE,U113=FALSE,MONTH(L113)&amp;"/"&amp;YEAR(L113)&lt;&gt;MONTH(J113)&amp;"/"&amp;YEAR(J113)),"Release",""))</f>
        <v/>
      </c>
      <c r="AA113" s="144">
        <f>_xlfn.minifs($L:$L,$C:$C,$C113,$F:$F,"&lt;&gt;0")</f>
        <v/>
      </c>
      <c r="AB113" s="144">
        <f>C113&amp;"-"&amp;A113</f>
        <v/>
      </c>
      <c r="AC113" s="144">
        <f>L113</f>
        <v/>
      </c>
    </row>
    <row r="114">
      <c r="A114" s="140" t="inlineStr">
        <is>
          <t>ZVAL01</t>
        </is>
      </c>
      <c r="B114" s="140" t="n">
        <v>1</v>
      </c>
      <c r="C114" s="140" t="inlineStr">
        <is>
          <t>HFB202</t>
        </is>
      </c>
      <c r="D114" s="140" t="inlineStr">
        <is>
          <t>B</t>
        </is>
      </c>
      <c r="E114" s="140" t="inlineStr">
        <is>
          <t>Vallabh Manoj</t>
        </is>
      </c>
      <c r="F114" s="141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</f>
        <v/>
      </c>
      <c r="G114" s="142" t="n">
        <v>44352</v>
      </c>
      <c r="H114" s="140">
        <f>VLOOKUP($C114,Sales!$C:$E,2,FALSE)</f>
        <v/>
      </c>
      <c r="I114" s="140">
        <f>VLOOKUP($C114,Sales!$C:$E,3,FALSE)</f>
        <v/>
      </c>
      <c r="J114" s="142">
        <f>SUMIFS(Sales!$H:$H,Sales!$C:$C,'Investor Exit List'!$C114)</f>
        <v/>
      </c>
      <c r="K114" s="142">
        <f>IF(I114=TRUE,J114,"")</f>
        <v/>
      </c>
      <c r="L114" s="142">
        <f>G114+730</f>
        <v/>
      </c>
      <c r="M114" s="142" t="n">
        <v>45443</v>
      </c>
      <c r="N114" s="143">
        <f>IFERROR(IF(G114&lt;&gt;"",IF(I114=TRUE,0,IF(U114=TRUE,0,L114-M114)),0),0)</f>
        <v/>
      </c>
      <c r="O114" s="143">
        <f>IF(N114&gt;0,IF(N114&lt;=180,N114,0),0)</f>
        <v/>
      </c>
      <c r="P114" s="141">
        <f>IF(AND(N114&lt;90,N114&gt;0),Q114,0)</f>
        <v/>
      </c>
      <c r="Q114" s="141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/>
      </c>
      <c r="R114" s="141">
        <f>IF(AND(H114=TRUE,I114=FALSE),Q114,0)</f>
        <v/>
      </c>
      <c r="S114" s="141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/>
      </c>
      <c r="T114" s="142">
        <f>IF(U114=TRUE,$J114,"")</f>
        <v/>
      </c>
      <c r="U114" s="140" t="b">
        <v>0</v>
      </c>
      <c r="V114" s="141">
        <f>IF(AND(H114=TRUE,OR(K114="",K114&gt;M114)),S114,0)</f>
        <v/>
      </c>
      <c r="W114" s="140" t="n">
        <v>0</v>
      </c>
      <c r="X114" s="140" t="b">
        <v>0</v>
      </c>
      <c r="Y114" s="143">
        <f>IF(H114=FALSE,VLOOKUP($C114,Sales!$C:$F,4,FALSE),1)</f>
        <v/>
      </c>
      <c r="Z114" s="140">
        <f>IF(Y114=0,"Release",IF(AND(L114&lt;J114,Y114=1,H114=FALSE,U114=FALSE,MONTH(L114)&amp;"/"&amp;YEAR(L114)&lt;&gt;MONTH(J114)&amp;"/"&amp;YEAR(J114)),"Release",""))</f>
        <v/>
      </c>
      <c r="AA114" s="144">
        <f>_xlfn.minifs($L:$L,$C:$C,$C114,$F:$F,"&lt;&gt;0")</f>
        <v/>
      </c>
      <c r="AB114" s="144">
        <f>C114&amp;"-"&amp;A114</f>
        <v/>
      </c>
      <c r="AC114" s="144">
        <f>L114</f>
        <v/>
      </c>
    </row>
    <row r="115">
      <c r="A115" s="140" t="inlineStr">
        <is>
          <t>ZDIC01</t>
        </is>
      </c>
      <c r="B115" s="140" t="n">
        <v>4</v>
      </c>
      <c r="C115" s="140" t="inlineStr">
        <is>
          <t>HFB203</t>
        </is>
      </c>
      <c r="D115" s="140" t="inlineStr">
        <is>
          <t>B</t>
        </is>
      </c>
      <c r="E115" s="140" t="inlineStr">
        <is>
          <t>Dickinson Grant Allan</t>
        </is>
      </c>
      <c r="F115" s="141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</f>
        <v/>
      </c>
      <c r="G115" s="142" t="n">
        <v>44352</v>
      </c>
      <c r="H115" s="140">
        <f>VLOOKUP($C115,Sales!$C:$E,2,FALSE)</f>
        <v/>
      </c>
      <c r="I115" s="140">
        <f>VLOOKUP($C115,Sales!$C:$E,3,FALSE)</f>
        <v/>
      </c>
      <c r="J115" s="142">
        <f>SUMIFS(Sales!$H:$H,Sales!$C:$C,'Investor Exit List'!$C115)</f>
        <v/>
      </c>
      <c r="K115" s="142">
        <f>IF(I115=TRUE,J115,"")</f>
        <v/>
      </c>
      <c r="L115" s="142">
        <f>G115+730</f>
        <v/>
      </c>
      <c r="M115" s="142" t="n">
        <v>45443</v>
      </c>
      <c r="N115" s="143">
        <f>IFERROR(IF(G115&lt;&gt;"",IF(I115=TRUE,0,IF(U115=TRUE,0,L115-M115)),0),0)</f>
        <v/>
      </c>
      <c r="O115" s="143">
        <f>IF(N115&gt;0,IF(N115&lt;=180,N115,0),0)</f>
        <v/>
      </c>
      <c r="P115" s="141">
        <f>IF(AND(N115&lt;90,N115&gt;0),Q115,0)</f>
        <v/>
      </c>
      <c r="Q115" s="141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/>
      </c>
      <c r="R115" s="141">
        <f>IF(AND(H115=TRUE,I115=FALSE),Q115,0)</f>
        <v/>
      </c>
      <c r="S115" s="141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/>
      </c>
      <c r="T115" s="142">
        <f>IF(U115=TRUE,$J115,"")</f>
        <v/>
      </c>
      <c r="U115" s="140" t="b">
        <v>1</v>
      </c>
      <c r="V115" s="141">
        <f>IF(AND(H115=TRUE,OR(K115="",K115&gt;M115)),S115,0)</f>
        <v/>
      </c>
      <c r="W115" s="140" t="n">
        <v>0</v>
      </c>
      <c r="X115" s="140" t="b">
        <v>0</v>
      </c>
      <c r="Y115" s="143">
        <f>IF(H115=FALSE,VLOOKUP($C115,Sales!$C:$F,4,FALSE),1)</f>
        <v/>
      </c>
      <c r="Z115" s="140">
        <f>IF(Y115=0,"Release",IF(AND(L115&lt;J115,Y115=1,H115=FALSE,U115=FALSE,MONTH(L115)&amp;"/"&amp;YEAR(L115)&lt;&gt;MONTH(J115)&amp;"/"&amp;YEAR(J115)),"Release",""))</f>
        <v/>
      </c>
      <c r="AA115" s="144">
        <f>_xlfn.minifs($L:$L,$C:$C,$C115,$F:$F,"&lt;&gt;0")</f>
        <v/>
      </c>
      <c r="AB115" s="144">
        <f>C115&amp;"-"&amp;A115</f>
        <v/>
      </c>
      <c r="AC115" s="144">
        <f>L115</f>
        <v/>
      </c>
    </row>
    <row r="116">
      <c r="A116" s="140" t="inlineStr">
        <is>
          <t>ZWAL01</t>
        </is>
      </c>
      <c r="B116" s="140" t="n">
        <v>1</v>
      </c>
      <c r="C116" s="140" t="inlineStr">
        <is>
          <t>HFB203</t>
        </is>
      </c>
      <c r="D116" s="140" t="inlineStr">
        <is>
          <t>B</t>
        </is>
      </c>
      <c r="E116" s="140" t="inlineStr">
        <is>
          <t>Walters Benedict Joseph</t>
        </is>
      </c>
      <c r="F116" s="141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</f>
        <v/>
      </c>
      <c r="G116" s="142" t="n">
        <v>44352</v>
      </c>
      <c r="H116" s="140">
        <f>VLOOKUP($C116,Sales!$C:$E,2,FALSE)</f>
        <v/>
      </c>
      <c r="I116" s="140">
        <f>VLOOKUP($C116,Sales!$C:$E,3,FALSE)</f>
        <v/>
      </c>
      <c r="J116" s="142">
        <f>SUMIFS(Sales!$H:$H,Sales!$C:$C,'Investor Exit List'!$C116)</f>
        <v/>
      </c>
      <c r="K116" s="142">
        <f>IF(I116=TRUE,J116,"")</f>
        <v/>
      </c>
      <c r="L116" s="142">
        <f>G116+730</f>
        <v/>
      </c>
      <c r="M116" s="142" t="n">
        <v>45443</v>
      </c>
      <c r="N116" s="143">
        <f>IFERROR(IF(G116&lt;&gt;"",IF(I116=TRUE,0,IF(U116=TRUE,0,L116-M116)),0),0)</f>
        <v/>
      </c>
      <c r="O116" s="143">
        <f>IF(N116&gt;0,IF(N116&lt;=180,N116,0),0)</f>
        <v/>
      </c>
      <c r="P116" s="141">
        <f>IF(AND(N116&lt;90,N116&gt;0),Q116,0)</f>
        <v/>
      </c>
      <c r="Q116" s="141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/>
      </c>
      <c r="R116" s="141">
        <f>IF(AND(H116=TRUE,I116=FALSE),Q116,0)</f>
        <v/>
      </c>
      <c r="S116" s="141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/>
      </c>
      <c r="T116" s="142">
        <f>IF(U116=TRUE,$J116,"")</f>
        <v/>
      </c>
      <c r="U116" s="140" t="b">
        <v>0</v>
      </c>
      <c r="V116" s="141">
        <f>IF(AND(H116=TRUE,OR(K116="",K116&gt;M116)),S116,0)</f>
        <v/>
      </c>
      <c r="W116" s="140" t="n">
        <v>0</v>
      </c>
      <c r="X116" s="140" t="b">
        <v>0</v>
      </c>
      <c r="Y116" s="143">
        <f>IF(H116=FALSE,VLOOKUP($C116,Sales!$C:$F,4,FALSE),1)</f>
        <v/>
      </c>
      <c r="Z116" s="140">
        <f>IF(Y116=0,"Release",IF(AND(L116&lt;J116,Y116=1,H116=FALSE,U116=FALSE,MONTH(L116)&amp;"/"&amp;YEAR(L116)&lt;&gt;MONTH(J116)&amp;"/"&amp;YEAR(J116)),"Release",""))</f>
        <v/>
      </c>
      <c r="AA116" s="144">
        <f>_xlfn.minifs($L:$L,$C:$C,$C116,$F:$F,"&lt;&gt;0")</f>
        <v/>
      </c>
      <c r="AB116" s="144">
        <f>C116&amp;"-"&amp;A116</f>
        <v/>
      </c>
      <c r="AC116" s="144">
        <f>L116</f>
        <v/>
      </c>
    </row>
    <row r="117">
      <c r="A117" s="140" t="inlineStr">
        <is>
          <t>ZDEB01</t>
        </is>
      </c>
      <c r="B117" s="140" t="n">
        <v>2</v>
      </c>
      <c r="C117" s="140" t="inlineStr">
        <is>
          <t>HFB204</t>
        </is>
      </c>
      <c r="D117" s="140" t="inlineStr">
        <is>
          <t>B</t>
        </is>
      </c>
      <c r="E117" s="140" t="inlineStr">
        <is>
          <t>De Beer William Henry</t>
        </is>
      </c>
      <c r="F117" s="141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</f>
        <v/>
      </c>
      <c r="G117" s="142" t="n">
        <v>44352</v>
      </c>
      <c r="H117" s="140">
        <f>VLOOKUP($C117,Sales!$C:$E,2,FALSE)</f>
        <v/>
      </c>
      <c r="I117" s="140">
        <f>VLOOKUP($C117,Sales!$C:$E,3,FALSE)</f>
        <v/>
      </c>
      <c r="J117" s="142">
        <f>SUMIFS(Sales!$H:$H,Sales!$C:$C,'Investor Exit List'!$C117)</f>
        <v/>
      </c>
      <c r="K117" s="142">
        <f>IF(I117=TRUE,J117,"")</f>
        <v/>
      </c>
      <c r="L117" s="142">
        <f>G117+730</f>
        <v/>
      </c>
      <c r="M117" s="142" t="n">
        <v>45443</v>
      </c>
      <c r="N117" s="143">
        <f>IFERROR(IF(G117&lt;&gt;"",IF(I117=TRUE,0,IF(U117=TRUE,0,L117-M117)),0),0)</f>
        <v/>
      </c>
      <c r="O117" s="143">
        <f>IF(N117&gt;0,IF(N117&lt;=180,N117,0),0)</f>
        <v/>
      </c>
      <c r="P117" s="141">
        <f>IF(AND(N117&lt;90,N117&gt;0),Q117,0)</f>
        <v/>
      </c>
      <c r="Q117" s="141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/>
      </c>
      <c r="R117" s="141">
        <f>IF(AND(H117=TRUE,I117=FALSE),Q117,0)</f>
        <v/>
      </c>
      <c r="S117" s="141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/>
      </c>
      <c r="T117" s="142">
        <f>IF(U117=TRUE,$J117,"")</f>
        <v/>
      </c>
      <c r="U117" s="140" t="b">
        <v>1</v>
      </c>
      <c r="V117" s="141">
        <f>IF(AND(H117=TRUE,OR(K117="",K117&gt;M117)),S117,0)</f>
        <v/>
      </c>
      <c r="W117" s="140" t="n">
        <v>0</v>
      </c>
      <c r="X117" s="140" t="b">
        <v>0</v>
      </c>
      <c r="Y117" s="143">
        <f>IF(H117=FALSE,VLOOKUP($C117,Sales!$C:$F,4,FALSE),1)</f>
        <v/>
      </c>
      <c r="Z117" s="140">
        <f>IF(Y117=0,"Release",IF(AND(L117&lt;J117,Y117=1,H117=FALSE,U117=FALSE,MONTH(L117)&amp;"/"&amp;YEAR(L117)&lt;&gt;MONTH(J117)&amp;"/"&amp;YEAR(J117)),"Release",""))</f>
        <v/>
      </c>
      <c r="AA117" s="144">
        <f>_xlfn.minifs($L:$L,$C:$C,$C117,$F:$F,"&lt;&gt;0")</f>
        <v/>
      </c>
      <c r="AB117" s="144">
        <f>C117&amp;"-"&amp;A117</f>
        <v/>
      </c>
      <c r="AC117" s="144">
        <f>L117</f>
        <v/>
      </c>
    </row>
    <row r="118">
      <c r="A118" s="140" t="inlineStr">
        <is>
          <t>ZDEB01</t>
        </is>
      </c>
      <c r="B118" s="140" t="n">
        <v>3</v>
      </c>
      <c r="C118" s="140" t="inlineStr">
        <is>
          <t>HFB205</t>
        </is>
      </c>
      <c r="D118" s="140" t="inlineStr">
        <is>
          <t>B</t>
        </is>
      </c>
      <c r="E118" s="140" t="inlineStr">
        <is>
          <t>De Beer William Henry</t>
        </is>
      </c>
      <c r="F118" s="141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</f>
        <v/>
      </c>
      <c r="G118" s="142" t="n">
        <v>44352</v>
      </c>
      <c r="H118" s="140">
        <f>VLOOKUP($C118,Sales!$C:$E,2,FALSE)</f>
        <v/>
      </c>
      <c r="I118" s="140">
        <f>VLOOKUP($C118,Sales!$C:$E,3,FALSE)</f>
        <v/>
      </c>
      <c r="J118" s="142">
        <f>SUMIFS(Sales!$H:$H,Sales!$C:$C,'Investor Exit List'!$C118)</f>
        <v/>
      </c>
      <c r="K118" s="142">
        <f>IF(I118=TRUE,J118,"")</f>
        <v/>
      </c>
      <c r="L118" s="142">
        <f>G118+730</f>
        <v/>
      </c>
      <c r="M118" s="142" t="n">
        <v>45443</v>
      </c>
      <c r="N118" s="143">
        <f>IFERROR(IF(G118&lt;&gt;"",IF(I118=TRUE,0,IF(U118=TRUE,0,L118-M118)),0),0)</f>
        <v/>
      </c>
      <c r="O118" s="143">
        <f>IF(N118&gt;0,IF(N118&lt;=180,N118,0),0)</f>
        <v/>
      </c>
      <c r="P118" s="141">
        <f>IF(AND(N118&lt;90,N118&gt;0),Q118,0)</f>
        <v/>
      </c>
      <c r="Q118" s="141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/>
      </c>
      <c r="R118" s="141">
        <f>IF(AND(H118=TRUE,I118=FALSE),Q118,0)</f>
        <v/>
      </c>
      <c r="S118" s="141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/>
      </c>
      <c r="T118" s="142">
        <f>IF(U118=TRUE,$J118,"")</f>
        <v/>
      </c>
      <c r="U118" s="140" t="b">
        <v>0</v>
      </c>
      <c r="V118" s="141">
        <f>IF(AND(H118=TRUE,OR(K118="",K118&gt;M118)),S118,0)</f>
        <v/>
      </c>
      <c r="W118" s="140" t="n">
        <v>0</v>
      </c>
      <c r="X118" s="140" t="b">
        <v>0</v>
      </c>
      <c r="Y118" s="143">
        <f>IF(H118=FALSE,VLOOKUP($C118,Sales!$C:$F,4,FALSE),1)</f>
        <v/>
      </c>
      <c r="Z118" s="140">
        <f>IF(Y118=0,"Release",IF(AND(L118&lt;J118,Y118=1,H118=FALSE,U118=FALSE,MONTH(L118)&amp;"/"&amp;YEAR(L118)&lt;&gt;MONTH(J118)&amp;"/"&amp;YEAR(J118)),"Release",""))</f>
        <v/>
      </c>
      <c r="AA118" s="144">
        <f>_xlfn.minifs($L:$L,$C:$C,$C118,$F:$F,"&lt;&gt;0")</f>
        <v/>
      </c>
      <c r="AB118" s="144">
        <f>C118&amp;"-"&amp;A118</f>
        <v/>
      </c>
      <c r="AC118" s="144">
        <f>L118</f>
        <v/>
      </c>
    </row>
    <row r="119">
      <c r="A119" s="140" t="inlineStr">
        <is>
          <t>ZDEL01</t>
        </is>
      </c>
      <c r="B119" s="140" t="n">
        <v>1</v>
      </c>
      <c r="C119" s="140" t="inlineStr">
        <is>
          <t>HFB206</t>
        </is>
      </c>
      <c r="D119" s="140" t="inlineStr">
        <is>
          <t>B</t>
        </is>
      </c>
      <c r="E119" s="140" t="inlineStr">
        <is>
          <t>Jansen van Vuuren Pieter</t>
        </is>
      </c>
      <c r="F119" s="141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</f>
        <v/>
      </c>
      <c r="G119" s="142" t="n">
        <v>44618</v>
      </c>
      <c r="H119" s="140">
        <f>VLOOKUP($C119,Sales!$C:$E,2,FALSE)</f>
        <v/>
      </c>
      <c r="I119" s="140">
        <f>VLOOKUP($C119,Sales!$C:$E,3,FALSE)</f>
        <v/>
      </c>
      <c r="J119" s="142">
        <f>SUMIFS(Sales!$H:$H,Sales!$C:$C,'Investor Exit List'!$C119)</f>
        <v/>
      </c>
      <c r="K119" s="142">
        <f>IF(I119=TRUE,J119,"")</f>
        <v/>
      </c>
      <c r="L119" s="142">
        <f>G119+730</f>
        <v/>
      </c>
      <c r="M119" s="142" t="n">
        <v>45443</v>
      </c>
      <c r="N119" s="143">
        <f>IFERROR(IF(G119&lt;&gt;"",IF(I119=TRUE,0,IF(U119=TRUE,0,L119-M119)),0),0)</f>
        <v/>
      </c>
      <c r="O119" s="143">
        <f>IF(N119&gt;0,IF(N119&lt;=180,N119,0),0)</f>
        <v/>
      </c>
      <c r="P119" s="141">
        <f>IF(AND(N119&lt;90,N119&gt;0),Q119,0)</f>
        <v/>
      </c>
      <c r="Q119" s="141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/>
      </c>
      <c r="R119" s="141">
        <f>IF(AND(H119=TRUE,I119=FALSE),Q119,0)</f>
        <v/>
      </c>
      <c r="S119" s="141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/>
      </c>
      <c r="T119" s="142">
        <f>IF(U119=TRUE,$J119,"")</f>
        <v/>
      </c>
      <c r="U119" s="140" t="b">
        <v>1</v>
      </c>
      <c r="V119" s="141">
        <f>IF(AND(H119=TRUE,OR(K119="",K119&gt;M119)),S119,0)</f>
        <v/>
      </c>
      <c r="W119" s="140" t="n">
        <v>0</v>
      </c>
      <c r="X119" s="140" t="b">
        <v>0</v>
      </c>
      <c r="Y119" s="143">
        <f>IF(H119=FALSE,VLOOKUP($C119,Sales!$C:$F,4,FALSE),1)</f>
        <v/>
      </c>
      <c r="Z119" s="140">
        <f>IF(Y119=0,"Release",IF(AND(L119&lt;J119,Y119=1,H119=FALSE,U119=FALSE,MONTH(L119)&amp;"/"&amp;YEAR(L119)&lt;&gt;MONTH(J119)&amp;"/"&amp;YEAR(J119)),"Release",""))</f>
        <v/>
      </c>
      <c r="AA119" s="144">
        <f>_xlfn.minifs($L:$L,$C:$C,$C119,$F:$F,"&lt;&gt;0")</f>
        <v/>
      </c>
      <c r="AB119" s="144">
        <f>C119&amp;"-"&amp;A119</f>
        <v/>
      </c>
      <c r="AC119" s="144">
        <f>L119</f>
        <v/>
      </c>
    </row>
    <row r="120">
      <c r="A120" s="140" t="inlineStr">
        <is>
          <t>ZDAD01</t>
        </is>
      </c>
      <c r="B120" s="140" t="n">
        <v>2</v>
      </c>
      <c r="C120" s="140" t="inlineStr">
        <is>
          <t>HFB207</t>
        </is>
      </c>
      <c r="D120" s="140" t="inlineStr">
        <is>
          <t>B</t>
        </is>
      </c>
      <c r="E120" s="140" t="inlineStr">
        <is>
          <t>Dadoo Feroz</t>
        </is>
      </c>
      <c r="F120" s="141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</f>
        <v/>
      </c>
      <c r="G120" s="142" t="n">
        <v>44352</v>
      </c>
      <c r="H120" s="140">
        <f>VLOOKUP($C120,Sales!$C:$E,2,FALSE)</f>
        <v/>
      </c>
      <c r="I120" s="140">
        <f>VLOOKUP($C120,Sales!$C:$E,3,FALSE)</f>
        <v/>
      </c>
      <c r="J120" s="142">
        <f>SUMIFS(Sales!$H:$H,Sales!$C:$C,'Investor Exit List'!$C120)</f>
        <v/>
      </c>
      <c r="K120" s="142">
        <f>IF(I120=TRUE,J120,"")</f>
        <v/>
      </c>
      <c r="L120" s="142">
        <f>G120+730</f>
        <v/>
      </c>
      <c r="M120" s="142" t="n">
        <v>45443</v>
      </c>
      <c r="N120" s="143">
        <f>IFERROR(IF(G120&lt;&gt;"",IF(I120=TRUE,0,IF(U120=TRUE,0,L120-M120)),0),0)</f>
        <v/>
      </c>
      <c r="O120" s="143">
        <f>IF(N120&gt;0,IF(N120&lt;=180,N120,0),0)</f>
        <v/>
      </c>
      <c r="P120" s="141">
        <f>IF(AND(N120&lt;90,N120&gt;0),Q120,0)</f>
        <v/>
      </c>
      <c r="Q120" s="141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/>
      </c>
      <c r="R120" s="141">
        <f>IF(AND(H120=TRUE,I120=FALSE),Q120,0)</f>
        <v/>
      </c>
      <c r="S120" s="141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/>
      </c>
      <c r="T120" s="142">
        <f>IF(U120=TRUE,$J120,"")</f>
        <v/>
      </c>
      <c r="U120" s="140" t="b">
        <v>1</v>
      </c>
      <c r="V120" s="141">
        <f>IF(AND(H120=TRUE,OR(K120="",K120&gt;M120)),S120,0)</f>
        <v/>
      </c>
      <c r="W120" s="140" t="n">
        <v>0</v>
      </c>
      <c r="X120" s="140" t="b">
        <v>0</v>
      </c>
      <c r="Y120" s="143">
        <f>IF(H120=FALSE,VLOOKUP($C120,Sales!$C:$F,4,FALSE),1)</f>
        <v/>
      </c>
      <c r="Z120" s="140">
        <f>IF(Y120=0,"Release",IF(AND(L120&lt;J120,Y120=1,H120=FALSE,U120=FALSE,MONTH(L120)&amp;"/"&amp;YEAR(L120)&lt;&gt;MONTH(J120)&amp;"/"&amp;YEAR(J120)),"Release",""))</f>
        <v/>
      </c>
      <c r="AA120" s="144">
        <f>_xlfn.minifs($L:$L,$C:$C,$C120,$F:$F,"&lt;&gt;0")</f>
        <v/>
      </c>
      <c r="AB120" s="144">
        <f>C120&amp;"-"&amp;A120</f>
        <v/>
      </c>
      <c r="AC120" s="144">
        <f>L120</f>
        <v/>
      </c>
    </row>
    <row r="121">
      <c r="A121" s="140" t="inlineStr">
        <is>
          <t>ZGIL01</t>
        </is>
      </c>
      <c r="B121" s="140" t="n">
        <v>2</v>
      </c>
      <c r="C121" s="140" t="inlineStr">
        <is>
          <t>HFB207</t>
        </is>
      </c>
      <c r="D121" s="140" t="inlineStr">
        <is>
          <t>B</t>
        </is>
      </c>
      <c r="E121" s="140" t="inlineStr">
        <is>
          <t>Gildenhuys Estelle Maria</t>
        </is>
      </c>
      <c r="F121" s="141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</f>
        <v/>
      </c>
      <c r="G121" s="142" t="n">
        <v>44352</v>
      </c>
      <c r="H121" s="140">
        <f>VLOOKUP($C121,Sales!$C:$E,2,FALSE)</f>
        <v/>
      </c>
      <c r="I121" s="140">
        <f>VLOOKUP($C121,Sales!$C:$E,3,FALSE)</f>
        <v/>
      </c>
      <c r="J121" s="142">
        <f>SUMIFS(Sales!$H:$H,Sales!$C:$C,'Investor Exit List'!$C121)</f>
        <v/>
      </c>
      <c r="K121" s="142">
        <f>IF(I121=TRUE,J121,"")</f>
        <v/>
      </c>
      <c r="L121" s="142">
        <f>G121+730</f>
        <v/>
      </c>
      <c r="M121" s="142" t="n">
        <v>45443</v>
      </c>
      <c r="N121" s="143">
        <f>IFERROR(IF(G121&lt;&gt;"",IF(I121=TRUE,0,IF(U121=TRUE,0,L121-M121)),0),0)</f>
        <v/>
      </c>
      <c r="O121" s="143">
        <f>IF(N121&gt;0,IF(N121&lt;=180,N121,0),0)</f>
        <v/>
      </c>
      <c r="P121" s="141">
        <f>IF(AND(N121&lt;90,N121&gt;0),Q121,0)</f>
        <v/>
      </c>
      <c r="Q121" s="141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/>
      </c>
      <c r="R121" s="141">
        <f>IF(AND(H121=TRUE,I121=FALSE),Q121,0)</f>
        <v/>
      </c>
      <c r="S121" s="141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/>
      </c>
      <c r="T121" s="142">
        <f>IF(U121=TRUE,$J121,"")</f>
        <v/>
      </c>
      <c r="U121" s="140" t="b">
        <v>1</v>
      </c>
      <c r="V121" s="141">
        <f>IF(AND(H121=TRUE,OR(K121="",K121&gt;M121)),S121,0)</f>
        <v/>
      </c>
      <c r="W121" s="140" t="n">
        <v>0</v>
      </c>
      <c r="X121" s="140" t="b">
        <v>0</v>
      </c>
      <c r="Y121" s="143">
        <f>IF(H121=FALSE,VLOOKUP($C121,Sales!$C:$F,4,FALSE),1)</f>
        <v/>
      </c>
      <c r="Z121" s="140">
        <f>IF(Y121=0,"Release",IF(AND(L121&lt;J121,Y121=1,H121=FALSE,U121=FALSE,MONTH(L121)&amp;"/"&amp;YEAR(L121)&lt;&gt;MONTH(J121)&amp;"/"&amp;YEAR(J121)),"Release",""))</f>
        <v/>
      </c>
      <c r="AA121" s="144">
        <f>_xlfn.minifs($L:$L,$C:$C,$C121,$F:$F,"&lt;&gt;0")</f>
        <v/>
      </c>
      <c r="AB121" s="144">
        <f>C121&amp;"-"&amp;A121</f>
        <v/>
      </c>
      <c r="AC121" s="144">
        <f>L121</f>
        <v/>
      </c>
    </row>
    <row r="122">
      <c r="A122" s="140" t="inlineStr">
        <is>
          <t>ZFLA01</t>
        </is>
      </c>
      <c r="B122" s="140" t="n">
        <v>1</v>
      </c>
      <c r="C122" s="140" t="inlineStr">
        <is>
          <t>HFB208</t>
        </is>
      </c>
      <c r="D122" s="140" t="inlineStr">
        <is>
          <t>B</t>
        </is>
      </c>
      <c r="E122" s="140" t="inlineStr">
        <is>
          <t>Flamengo Jose Manuel Rezende</t>
        </is>
      </c>
      <c r="F122" s="141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</f>
        <v/>
      </c>
      <c r="G122" s="142" t="n">
        <v>44840</v>
      </c>
      <c r="H122" s="140">
        <f>VLOOKUP($C122,Sales!$C:$E,2,FALSE)</f>
        <v/>
      </c>
      <c r="I122" s="140">
        <f>VLOOKUP($C122,Sales!$C:$E,3,FALSE)</f>
        <v/>
      </c>
      <c r="J122" s="142">
        <f>SUMIFS(Sales!$H:$H,Sales!$C:$C,'Investor Exit List'!$C122)</f>
        <v/>
      </c>
      <c r="K122" s="142">
        <f>IF(I122=TRUE,J122,"")</f>
        <v/>
      </c>
      <c r="L122" s="142">
        <f>G122+730</f>
        <v/>
      </c>
      <c r="M122" s="142" t="n">
        <v>45443</v>
      </c>
      <c r="N122" s="143">
        <f>IFERROR(IF(G122&lt;&gt;"",IF(I122=TRUE,0,IF(U122=TRUE,0,L122-M122)),0),0)</f>
        <v/>
      </c>
      <c r="O122" s="143">
        <f>IF(N122&gt;0,IF(N122&lt;=180,N122,0),0)</f>
        <v/>
      </c>
      <c r="P122" s="141">
        <f>IF(AND(N122&lt;90,N122&gt;0),Q122,0)</f>
        <v/>
      </c>
      <c r="Q122" s="141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/>
      </c>
      <c r="R122" s="141">
        <f>IF(AND(H122=TRUE,I122=FALSE),Q122,0)</f>
        <v/>
      </c>
      <c r="S122" s="141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/>
      </c>
      <c r="T122" s="142">
        <f>IF(U122=TRUE,$J122,"")</f>
        <v/>
      </c>
      <c r="U122" s="140" t="b">
        <v>0</v>
      </c>
      <c r="V122" s="141">
        <f>IF(AND(H122=TRUE,OR(K122="",K122&gt;M122)),S122,0)</f>
        <v/>
      </c>
      <c r="W122" s="140" t="n">
        <v>0</v>
      </c>
      <c r="X122" s="140" t="b">
        <v>0</v>
      </c>
      <c r="Y122" s="143">
        <f>IF(H122=FALSE,VLOOKUP($C122,Sales!$C:$F,4,FALSE),1)</f>
        <v/>
      </c>
      <c r="Z122" s="140">
        <f>IF(Y122=0,"Release",IF(AND(L122&lt;J122,Y122=1,H122=FALSE,U122=FALSE,MONTH(L122)&amp;"/"&amp;YEAR(L122)&lt;&gt;MONTH(J122)&amp;"/"&amp;YEAR(J122)),"Release",""))</f>
        <v/>
      </c>
      <c r="AA122" s="144">
        <f>_xlfn.minifs($L:$L,$C:$C,$C122,$F:$F,"&lt;&gt;0")</f>
        <v/>
      </c>
      <c r="AB122" s="144">
        <f>C122&amp;"-"&amp;A122</f>
        <v/>
      </c>
      <c r="AC122" s="144">
        <f>L122</f>
        <v/>
      </c>
    </row>
    <row r="123">
      <c r="A123" s="140" t="inlineStr">
        <is>
          <t>ZHAA01</t>
        </is>
      </c>
      <c r="B123" s="140" t="n">
        <v>1</v>
      </c>
      <c r="C123" s="140" t="inlineStr">
        <is>
          <t>HFB208</t>
        </is>
      </c>
      <c r="D123" s="140" t="inlineStr">
        <is>
          <t>B</t>
        </is>
      </c>
      <c r="E123" s="140" t="inlineStr">
        <is>
          <t>Haasbroek Maresia</t>
        </is>
      </c>
      <c r="F123" s="141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</f>
        <v/>
      </c>
      <c r="G123" s="142" t="n">
        <v>44352</v>
      </c>
      <c r="H123" s="140">
        <f>VLOOKUP($C123,Sales!$C:$E,2,FALSE)</f>
        <v/>
      </c>
      <c r="I123" s="140">
        <f>VLOOKUP($C123,Sales!$C:$E,3,FALSE)</f>
        <v/>
      </c>
      <c r="J123" s="142">
        <f>SUMIFS(Sales!$H:$H,Sales!$C:$C,'Investor Exit List'!$C123)</f>
        <v/>
      </c>
      <c r="K123" s="142">
        <f>IF(I123=TRUE,J123,"")</f>
        <v/>
      </c>
      <c r="L123" s="142">
        <f>G123+730</f>
        <v/>
      </c>
      <c r="M123" s="142" t="n">
        <v>45443</v>
      </c>
      <c r="N123" s="143">
        <f>IFERROR(IF(G123&lt;&gt;"",IF(I123=TRUE,0,IF(U123=TRUE,0,L123-M123)),0),0)</f>
        <v/>
      </c>
      <c r="O123" s="143">
        <f>IF(N123&gt;0,IF(N123&lt;=180,N123,0),0)</f>
        <v/>
      </c>
      <c r="P123" s="141">
        <f>IF(AND(N123&lt;90,N123&gt;0),Q123,0)</f>
        <v/>
      </c>
      <c r="Q123" s="141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/>
      </c>
      <c r="R123" s="141">
        <f>IF(AND(H123=TRUE,I123=FALSE),Q123,0)</f>
        <v/>
      </c>
      <c r="S123" s="141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/>
      </c>
      <c r="T123" s="142">
        <f>IF(U123=TRUE,$J123,"")</f>
        <v/>
      </c>
      <c r="U123" s="140" t="b">
        <v>0</v>
      </c>
      <c r="V123" s="141">
        <f>IF(AND(H123=TRUE,OR(K123="",K123&gt;M123)),S123,0)</f>
        <v/>
      </c>
      <c r="W123" s="140" t="n">
        <v>0</v>
      </c>
      <c r="X123" s="140" t="b">
        <v>0</v>
      </c>
      <c r="Y123" s="143">
        <f>IF(H123=FALSE,VLOOKUP($C123,Sales!$C:$F,4,FALSE),1)</f>
        <v/>
      </c>
      <c r="Z123" s="140">
        <f>IF(Y123=0,"Release",IF(AND(L123&lt;J123,Y123=1,H123=FALSE,U123=FALSE,MONTH(L123)&amp;"/"&amp;YEAR(L123)&lt;&gt;MONTH(J123)&amp;"/"&amp;YEAR(J123)),"Release",""))</f>
        <v/>
      </c>
      <c r="AA123" s="144">
        <f>_xlfn.minifs($L:$L,$C:$C,$C123,$F:$F,"&lt;&gt;0")</f>
        <v/>
      </c>
      <c r="AB123" s="144">
        <f>C123&amp;"-"&amp;A123</f>
        <v/>
      </c>
      <c r="AC123" s="144">
        <f>L123</f>
        <v/>
      </c>
    </row>
    <row r="124">
      <c r="A124" s="140" t="inlineStr">
        <is>
          <t>ZDEB01</t>
        </is>
      </c>
      <c r="B124" s="140" t="n">
        <v>4</v>
      </c>
      <c r="C124" s="140" t="inlineStr">
        <is>
          <t>HFB209</t>
        </is>
      </c>
      <c r="D124" s="140" t="inlineStr">
        <is>
          <t>B</t>
        </is>
      </c>
      <c r="E124" s="140" t="inlineStr">
        <is>
          <t>De Beer William Henry</t>
        </is>
      </c>
      <c r="F124" s="141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</f>
        <v/>
      </c>
      <c r="G124" s="142" t="n">
        <v>44352</v>
      </c>
      <c r="H124" s="140">
        <f>VLOOKUP($C124,Sales!$C:$E,2,FALSE)</f>
        <v/>
      </c>
      <c r="I124" s="140">
        <f>VLOOKUP($C124,Sales!$C:$E,3,FALSE)</f>
        <v/>
      </c>
      <c r="J124" s="142">
        <f>SUMIFS(Sales!$H:$H,Sales!$C:$C,'Investor Exit List'!$C124)</f>
        <v/>
      </c>
      <c r="K124" s="142">
        <f>IF(I124=TRUE,J124,"")</f>
        <v/>
      </c>
      <c r="L124" s="142">
        <f>G124+730</f>
        <v/>
      </c>
      <c r="M124" s="142" t="n">
        <v>45443</v>
      </c>
      <c r="N124" s="143">
        <f>IFERROR(IF(G124&lt;&gt;"",IF(I124=TRUE,0,IF(U124=TRUE,0,L124-M124)),0),0)</f>
        <v/>
      </c>
      <c r="O124" s="143">
        <f>IF(N124&gt;0,IF(N124&lt;=180,N124,0),0)</f>
        <v/>
      </c>
      <c r="P124" s="141">
        <f>IF(AND(N124&lt;90,N124&gt;0),Q124,0)</f>
        <v/>
      </c>
      <c r="Q124" s="141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/>
      </c>
      <c r="R124" s="141">
        <f>IF(AND(H124=TRUE,I124=FALSE),Q124,0)</f>
        <v/>
      </c>
      <c r="S124" s="141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/>
      </c>
      <c r="T124" s="142">
        <f>IF(U124=TRUE,$J124,"")</f>
        <v/>
      </c>
      <c r="U124" s="140" t="b">
        <v>1</v>
      </c>
      <c r="V124" s="141">
        <f>IF(AND(H124=TRUE,OR(K124="",K124&gt;M124)),S124,0)</f>
        <v/>
      </c>
      <c r="W124" s="140" t="n">
        <v>0</v>
      </c>
      <c r="X124" s="140" t="b">
        <v>0</v>
      </c>
      <c r="Y124" s="143">
        <f>IF(H124=FALSE,VLOOKUP($C124,Sales!$C:$F,4,FALSE),1)</f>
        <v/>
      </c>
      <c r="Z124" s="140">
        <f>IF(Y124=0,"Release",IF(AND(L124&lt;J124,Y124=1,H124=FALSE,U124=FALSE,MONTH(L124)&amp;"/"&amp;YEAR(L124)&lt;&gt;MONTH(J124)&amp;"/"&amp;YEAR(J124)),"Release",""))</f>
        <v/>
      </c>
      <c r="AA124" s="144">
        <f>_xlfn.minifs($L:$L,$C:$C,$C124,$F:$F,"&lt;&gt;0")</f>
        <v/>
      </c>
      <c r="AB124" s="144">
        <f>C124&amp;"-"&amp;A124</f>
        <v/>
      </c>
      <c r="AC124" s="144">
        <f>L124</f>
        <v/>
      </c>
    </row>
    <row r="125">
      <c r="A125" s="140" t="inlineStr">
        <is>
          <t>ZEDE01</t>
        </is>
      </c>
      <c r="B125" s="140" t="n">
        <v>1</v>
      </c>
      <c r="C125" s="140" t="inlineStr">
        <is>
          <t>HFB210</t>
        </is>
      </c>
      <c r="D125" s="140" t="inlineStr">
        <is>
          <t>B</t>
        </is>
      </c>
      <c r="E125" s="140" t="inlineStr">
        <is>
          <t>van Eden JP</t>
        </is>
      </c>
      <c r="F125" s="141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</f>
        <v/>
      </c>
      <c r="G125" s="142" t="n">
        <v>44352</v>
      </c>
      <c r="H125" s="140">
        <f>VLOOKUP($C125,Sales!$C:$E,2,FALSE)</f>
        <v/>
      </c>
      <c r="I125" s="140">
        <f>VLOOKUP($C125,Sales!$C:$E,3,FALSE)</f>
        <v/>
      </c>
      <c r="J125" s="142">
        <f>SUMIFS(Sales!$H:$H,Sales!$C:$C,'Investor Exit List'!$C125)</f>
        <v/>
      </c>
      <c r="K125" s="142">
        <f>IF(I125=TRUE,J125,"")</f>
        <v/>
      </c>
      <c r="L125" s="142">
        <f>G125+730</f>
        <v/>
      </c>
      <c r="M125" s="142" t="n">
        <v>45443</v>
      </c>
      <c r="N125" s="143">
        <f>IFERROR(IF(G125&lt;&gt;"",IF(I125=TRUE,0,IF(U125=TRUE,0,L125-M125)),0),0)</f>
        <v/>
      </c>
      <c r="O125" s="143">
        <f>IF(N125&gt;0,IF(N125&lt;=180,N125,0),0)</f>
        <v/>
      </c>
      <c r="P125" s="141">
        <f>IF(AND(N125&lt;90,N125&gt;0),Q125,0)</f>
        <v/>
      </c>
      <c r="Q125" s="141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/>
      </c>
      <c r="R125" s="141">
        <f>IF(AND(H125=TRUE,I125=FALSE),Q125,0)</f>
        <v/>
      </c>
      <c r="S125" s="141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/>
      </c>
      <c r="T125" s="142">
        <f>IF(U125=TRUE,$J125,"")</f>
        <v/>
      </c>
      <c r="U125" s="140" t="b">
        <v>1</v>
      </c>
      <c r="V125" s="141">
        <f>IF(AND(H125=TRUE,OR(K125="",K125&gt;M125)),S125,0)</f>
        <v/>
      </c>
      <c r="W125" s="140" t="n">
        <v>0</v>
      </c>
      <c r="X125" s="140" t="b">
        <v>0</v>
      </c>
      <c r="Y125" s="143">
        <f>IF(H125=FALSE,VLOOKUP($C125,Sales!$C:$F,4,FALSE),1)</f>
        <v/>
      </c>
      <c r="Z125" s="140">
        <f>IF(Y125=0,"Release",IF(AND(L125&lt;J125,Y125=1,H125=FALSE,U125=FALSE,MONTH(L125)&amp;"/"&amp;YEAR(L125)&lt;&gt;MONTH(J125)&amp;"/"&amp;YEAR(J125)),"Release",""))</f>
        <v/>
      </c>
      <c r="AA125" s="144">
        <f>_xlfn.minifs($L:$L,$C:$C,$C125,$F:$F,"&lt;&gt;0")</f>
        <v/>
      </c>
      <c r="AB125" s="144">
        <f>C125&amp;"-"&amp;A125</f>
        <v/>
      </c>
      <c r="AC125" s="144">
        <f>L125</f>
        <v/>
      </c>
    </row>
    <row r="126">
      <c r="A126" s="140" t="inlineStr">
        <is>
          <t>ZJAN02</t>
        </is>
      </c>
      <c r="B126" s="140" t="n">
        <v>1</v>
      </c>
      <c r="C126" s="140" t="inlineStr">
        <is>
          <t>HFB210</t>
        </is>
      </c>
      <c r="D126" s="140" t="inlineStr">
        <is>
          <t>B</t>
        </is>
      </c>
      <c r="E126" s="140" t="inlineStr">
        <is>
          <t>Jansen van Vuuren Lynne</t>
        </is>
      </c>
      <c r="F126" s="141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</f>
        <v/>
      </c>
      <c r="G126" s="142" t="n">
        <v>44664</v>
      </c>
      <c r="H126" s="140">
        <f>VLOOKUP($C126,Sales!$C:$E,2,FALSE)</f>
        <v/>
      </c>
      <c r="I126" s="140">
        <f>VLOOKUP($C126,Sales!$C:$E,3,FALSE)</f>
        <v/>
      </c>
      <c r="J126" s="142">
        <f>SUMIFS(Sales!$H:$H,Sales!$C:$C,'Investor Exit List'!$C126)</f>
        <v/>
      </c>
      <c r="K126" s="142">
        <f>IF(I126=TRUE,J126,"")</f>
        <v/>
      </c>
      <c r="L126" s="142">
        <f>G126+730</f>
        <v/>
      </c>
      <c r="M126" s="142" t="n">
        <v>45443</v>
      </c>
      <c r="N126" s="143">
        <f>IFERROR(IF(G126&lt;&gt;"",IF(I126=TRUE,0,IF(U126=TRUE,0,L126-M126)),0),0)</f>
        <v/>
      </c>
      <c r="O126" s="143">
        <f>IF(N126&gt;0,IF(N126&lt;=180,N126,0),0)</f>
        <v/>
      </c>
      <c r="P126" s="141">
        <f>IF(AND(N126&lt;90,N126&gt;0),Q126,0)</f>
        <v/>
      </c>
      <c r="Q126" s="141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/>
      </c>
      <c r="R126" s="141">
        <f>IF(AND(H126=TRUE,I126=FALSE),Q126,0)</f>
        <v/>
      </c>
      <c r="S126" s="141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/>
      </c>
      <c r="T126" s="142">
        <f>IF(U126=TRUE,$J126,"")</f>
        <v/>
      </c>
      <c r="U126" s="140" t="b">
        <v>1</v>
      </c>
      <c r="V126" s="141">
        <f>IF(AND(H126=TRUE,OR(K126="",K126&gt;M126)),S126,0)</f>
        <v/>
      </c>
      <c r="W126" s="140" t="n">
        <v>0</v>
      </c>
      <c r="X126" s="140" t="b">
        <v>0</v>
      </c>
      <c r="Y126" s="143">
        <f>IF(H126=FALSE,VLOOKUP($C126,Sales!$C:$F,4,FALSE),1)</f>
        <v/>
      </c>
      <c r="Z126" s="140">
        <f>IF(Y126=0,"Release",IF(AND(L126&lt;J126,Y126=1,H126=FALSE,U126=FALSE,MONTH(L126)&amp;"/"&amp;YEAR(L126)&lt;&gt;MONTH(J126)&amp;"/"&amp;YEAR(J126)),"Release",""))</f>
        <v/>
      </c>
      <c r="AA126" s="144">
        <f>_xlfn.minifs($L:$L,$C:$C,$C126,$F:$F,"&lt;&gt;0")</f>
        <v/>
      </c>
      <c r="AB126" s="144">
        <f>C126&amp;"-"&amp;A126</f>
        <v/>
      </c>
      <c r="AC126" s="144">
        <f>L126</f>
        <v/>
      </c>
    </row>
    <row r="127">
      <c r="A127" s="140" t="inlineStr">
        <is>
          <t>ZMBA01</t>
        </is>
      </c>
      <c r="B127" s="140" t="n">
        <v>1</v>
      </c>
      <c r="C127" s="140" t="inlineStr">
        <is>
          <t>HFB210</t>
        </is>
      </c>
      <c r="D127" s="140" t="inlineStr">
        <is>
          <t>B</t>
        </is>
      </c>
      <c r="E127" s="140" t="inlineStr">
        <is>
          <t>Mbatha Vincent Mogoane</t>
        </is>
      </c>
      <c r="F127" s="141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</f>
        <v/>
      </c>
      <c r="G127" s="142" t="n">
        <v>44618</v>
      </c>
      <c r="H127" s="140">
        <f>VLOOKUP($C127,Sales!$C:$E,2,FALSE)</f>
        <v/>
      </c>
      <c r="I127" s="140">
        <f>VLOOKUP($C127,Sales!$C:$E,3,FALSE)</f>
        <v/>
      </c>
      <c r="J127" s="142">
        <f>SUMIFS(Sales!$H:$H,Sales!$C:$C,'Investor Exit List'!$C127)</f>
        <v/>
      </c>
      <c r="K127" s="142">
        <f>IF(I127=TRUE,J127,"")</f>
        <v/>
      </c>
      <c r="L127" s="142">
        <f>G127+730</f>
        <v/>
      </c>
      <c r="M127" s="142" t="n">
        <v>45443</v>
      </c>
      <c r="N127" s="143">
        <f>IFERROR(IF(G127&lt;&gt;"",IF(I127=TRUE,0,IF(U127=TRUE,0,L127-M127)),0),0)</f>
        <v/>
      </c>
      <c r="O127" s="143">
        <f>IF(N127&gt;0,IF(N127&lt;=180,N127,0),0)</f>
        <v/>
      </c>
      <c r="P127" s="141">
        <f>IF(AND(N127&lt;90,N127&gt;0),Q127,0)</f>
        <v/>
      </c>
      <c r="Q127" s="141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/>
      </c>
      <c r="R127" s="141">
        <f>IF(AND(H127=TRUE,I127=FALSE),Q127,0)</f>
        <v/>
      </c>
      <c r="S127" s="141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/>
      </c>
      <c r="T127" s="142">
        <f>IF(U127=TRUE,$J127,"")</f>
        <v/>
      </c>
      <c r="U127" s="140" t="b">
        <v>1</v>
      </c>
      <c r="V127" s="141">
        <f>IF(AND(H127=TRUE,OR(K127="",K127&gt;M127)),S127,0)</f>
        <v/>
      </c>
      <c r="W127" s="140" t="n">
        <v>0</v>
      </c>
      <c r="X127" s="140" t="b">
        <v>0</v>
      </c>
      <c r="Y127" s="143">
        <f>IF(H127=FALSE,VLOOKUP($C127,Sales!$C:$F,4,FALSE),1)</f>
        <v/>
      </c>
      <c r="Z127" s="140">
        <f>IF(Y127=0,"Release",IF(AND(L127&lt;J127,Y127=1,H127=FALSE,U127=FALSE,MONTH(L127)&amp;"/"&amp;YEAR(L127)&lt;&gt;MONTH(J127)&amp;"/"&amp;YEAR(J127)),"Release",""))</f>
        <v/>
      </c>
      <c r="AA127" s="144">
        <f>_xlfn.minifs($L:$L,$C:$C,$C127,$F:$F,"&lt;&gt;0")</f>
        <v/>
      </c>
      <c r="AB127" s="144">
        <f>C127&amp;"-"&amp;A127</f>
        <v/>
      </c>
      <c r="AC127" s="144">
        <f>L127</f>
        <v/>
      </c>
    </row>
    <row r="128">
      <c r="A128" s="140" t="inlineStr">
        <is>
          <t>ZAFR01</t>
        </is>
      </c>
      <c r="B128" s="140" t="n">
        <v>1</v>
      </c>
      <c r="C128" s="140" t="inlineStr">
        <is>
          <t>HFB211</t>
        </is>
      </c>
      <c r="D128" s="140" t="inlineStr">
        <is>
          <t>B</t>
        </is>
      </c>
      <c r="E128" s="140" t="inlineStr">
        <is>
          <t>Zylstra John Robert</t>
        </is>
      </c>
      <c r="F128" s="141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</f>
        <v/>
      </c>
      <c r="G128" s="142" t="n">
        <v>44352</v>
      </c>
      <c r="H128" s="140">
        <f>VLOOKUP($C128,Sales!$C:$E,2,FALSE)</f>
        <v/>
      </c>
      <c r="I128" s="140">
        <f>VLOOKUP($C128,Sales!$C:$E,3,FALSE)</f>
        <v/>
      </c>
      <c r="J128" s="142">
        <f>SUMIFS(Sales!$H:$H,Sales!$C:$C,'Investor Exit List'!$C128)</f>
        <v/>
      </c>
      <c r="K128" s="142">
        <f>IF(I128=TRUE,J128,"")</f>
        <v/>
      </c>
      <c r="L128" s="142">
        <f>G128+730</f>
        <v/>
      </c>
      <c r="M128" s="142" t="n">
        <v>45443</v>
      </c>
      <c r="N128" s="143">
        <f>IFERROR(IF(G128&lt;&gt;"",IF(I128=TRUE,0,IF(U128=TRUE,0,L128-M128)),0),0)</f>
        <v/>
      </c>
      <c r="O128" s="143">
        <f>IF(N128&gt;0,IF(N128&lt;=180,N128,0),0)</f>
        <v/>
      </c>
      <c r="P128" s="141">
        <f>IF(AND(N128&lt;90,N128&gt;0),Q128,0)</f>
        <v/>
      </c>
      <c r="Q128" s="141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/>
      </c>
      <c r="R128" s="141">
        <f>IF(AND(H128=TRUE,I128=FALSE),Q128,0)</f>
        <v/>
      </c>
      <c r="S128" s="141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/>
      </c>
      <c r="T128" s="142">
        <f>IF(U128=TRUE,$J128,"")</f>
        <v/>
      </c>
      <c r="U128" s="140" t="b">
        <v>1</v>
      </c>
      <c r="V128" s="141">
        <f>IF(AND(H128=TRUE,OR(K128="",K128&gt;M128)),S128,0)</f>
        <v/>
      </c>
      <c r="W128" s="140" t="n">
        <v>0</v>
      </c>
      <c r="X128" s="140" t="b">
        <v>0</v>
      </c>
      <c r="Y128" s="143">
        <f>IF(H128=FALSE,VLOOKUP($C128,Sales!$C:$F,4,FALSE),1)</f>
        <v/>
      </c>
      <c r="Z128" s="140">
        <f>IF(Y128=0,"Release",IF(AND(L128&lt;J128,Y128=1,H128=FALSE,U128=FALSE,MONTH(L128)&amp;"/"&amp;YEAR(L128)&lt;&gt;MONTH(J128)&amp;"/"&amp;YEAR(J128)),"Release",""))</f>
        <v/>
      </c>
      <c r="AA128" s="144">
        <f>_xlfn.minifs($L:$L,$C:$C,$C128,$F:$F,"&lt;&gt;0")</f>
        <v/>
      </c>
      <c r="AB128" s="144">
        <f>C128&amp;"-"&amp;A128</f>
        <v/>
      </c>
      <c r="AC128" s="144">
        <f>L128</f>
        <v/>
      </c>
    </row>
    <row r="129">
      <c r="A129" s="140" t="inlineStr">
        <is>
          <t>ZBEN02</t>
        </is>
      </c>
      <c r="B129" s="140" t="n">
        <v>1</v>
      </c>
      <c r="C129" s="140" t="inlineStr">
        <is>
          <t>HFB211</t>
        </is>
      </c>
      <c r="D129" s="140" t="inlineStr">
        <is>
          <t>B</t>
        </is>
      </c>
      <c r="E129" s="140" t="inlineStr">
        <is>
          <t>Beneke Veronica</t>
        </is>
      </c>
      <c r="F129" s="141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</f>
        <v/>
      </c>
      <c r="G129" s="142" t="n">
        <v>44352</v>
      </c>
      <c r="H129" s="140">
        <f>VLOOKUP($C129,Sales!$C:$E,2,FALSE)</f>
        <v/>
      </c>
      <c r="I129" s="140">
        <f>VLOOKUP($C129,Sales!$C:$E,3,FALSE)</f>
        <v/>
      </c>
      <c r="J129" s="142">
        <f>SUMIFS(Sales!$H:$H,Sales!$C:$C,'Investor Exit List'!$C129)</f>
        <v/>
      </c>
      <c r="K129" s="142">
        <f>IF(I129=TRUE,J129,"")</f>
        <v/>
      </c>
      <c r="L129" s="142">
        <f>G129+730</f>
        <v/>
      </c>
      <c r="M129" s="142" t="n">
        <v>45443</v>
      </c>
      <c r="N129" s="143">
        <f>IFERROR(IF(G129&lt;&gt;"",IF(I129=TRUE,0,IF(U129=TRUE,0,L129-M129)),0),0)</f>
        <v/>
      </c>
      <c r="O129" s="143">
        <f>IF(N129&gt;0,IF(N129&lt;=180,N129,0),0)</f>
        <v/>
      </c>
      <c r="P129" s="141">
        <f>IF(AND(N129&lt;90,N129&gt;0),Q129,0)</f>
        <v/>
      </c>
      <c r="Q129" s="141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/>
      </c>
      <c r="R129" s="141">
        <f>IF(AND(H129=TRUE,I129=FALSE),Q129,0)</f>
        <v/>
      </c>
      <c r="S129" s="141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/>
      </c>
      <c r="T129" s="142">
        <f>IF(U129=TRUE,$J129,"")</f>
        <v/>
      </c>
      <c r="U129" s="140" t="b">
        <v>1</v>
      </c>
      <c r="V129" s="141">
        <f>IF(AND(H129=TRUE,OR(K129="",K129&gt;M129)),S129,0)</f>
        <v/>
      </c>
      <c r="W129" s="140" t="n">
        <v>0</v>
      </c>
      <c r="X129" s="140" t="b">
        <v>0</v>
      </c>
      <c r="Y129" s="143">
        <f>IF(H129=FALSE,VLOOKUP($C129,Sales!$C:$F,4,FALSE),1)</f>
        <v/>
      </c>
      <c r="Z129" s="140">
        <f>IF(Y129=0,"Release",IF(AND(L129&lt;J129,Y129=1,H129=FALSE,U129=FALSE,MONTH(L129)&amp;"/"&amp;YEAR(L129)&lt;&gt;MONTH(J129)&amp;"/"&amp;YEAR(J129)),"Release",""))</f>
        <v/>
      </c>
      <c r="AA129" s="144">
        <f>_xlfn.minifs($L:$L,$C:$C,$C129,$F:$F,"&lt;&gt;0")</f>
        <v/>
      </c>
      <c r="AB129" s="144">
        <f>C129&amp;"-"&amp;A129</f>
        <v/>
      </c>
      <c r="AC129" s="144">
        <f>L129</f>
        <v/>
      </c>
    </row>
    <row r="130">
      <c r="A130" s="140" t="inlineStr">
        <is>
          <t>ZDIC01</t>
        </is>
      </c>
      <c r="B130" s="140" t="n">
        <v>5</v>
      </c>
      <c r="C130" s="140" t="inlineStr">
        <is>
          <t>HFB212</t>
        </is>
      </c>
      <c r="D130" s="140" t="inlineStr">
        <is>
          <t>B</t>
        </is>
      </c>
      <c r="E130" s="140" t="inlineStr">
        <is>
          <t>Dickinson Grant Allan</t>
        </is>
      </c>
      <c r="F130" s="141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</f>
        <v/>
      </c>
      <c r="G130" s="142" t="n">
        <v>44352</v>
      </c>
      <c r="H130" s="140">
        <f>VLOOKUP($C130,Sales!$C:$E,2,FALSE)</f>
        <v/>
      </c>
      <c r="I130" s="140">
        <f>VLOOKUP($C130,Sales!$C:$E,3,FALSE)</f>
        <v/>
      </c>
      <c r="J130" s="142">
        <f>SUMIFS(Sales!$H:$H,Sales!$C:$C,'Investor Exit List'!$C130)</f>
        <v/>
      </c>
      <c r="K130" s="142">
        <f>IF(I130=TRUE,J130,"")</f>
        <v/>
      </c>
      <c r="L130" s="142">
        <f>G130+730</f>
        <v/>
      </c>
      <c r="M130" s="142" t="n">
        <v>45443</v>
      </c>
      <c r="N130" s="143">
        <f>IFERROR(IF(G130&lt;&gt;"",IF(I130=TRUE,0,IF(U130=TRUE,0,L130-M130)),0),0)</f>
        <v/>
      </c>
      <c r="O130" s="143">
        <f>IF(N130&gt;0,IF(N130&lt;=180,N130,0),0)</f>
        <v/>
      </c>
      <c r="P130" s="141">
        <f>IF(AND(N130&lt;90,N130&gt;0),Q130,0)</f>
        <v/>
      </c>
      <c r="Q130" s="141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/>
      </c>
      <c r="R130" s="141">
        <f>IF(AND(H130=TRUE,I130=FALSE),Q130,0)</f>
        <v/>
      </c>
      <c r="S130" s="141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/>
      </c>
      <c r="T130" s="142">
        <f>IF(U130=TRUE,$J130,"")</f>
        <v/>
      </c>
      <c r="U130" s="140" t="b">
        <v>1</v>
      </c>
      <c r="V130" s="141">
        <f>IF(AND(H130=TRUE,OR(K130="",K130&gt;M130)),S130,0)</f>
        <v/>
      </c>
      <c r="W130" s="140" t="n">
        <v>0</v>
      </c>
      <c r="X130" s="140" t="b">
        <v>0</v>
      </c>
      <c r="Y130" s="143">
        <f>IF(H130=FALSE,VLOOKUP($C130,Sales!$C:$F,4,FALSE),1)</f>
        <v/>
      </c>
      <c r="Z130" s="140">
        <f>IF(Y130=0,"Release",IF(AND(L130&lt;J130,Y130=1,H130=FALSE,U130=FALSE,MONTH(L130)&amp;"/"&amp;YEAR(L130)&lt;&gt;MONTH(J130)&amp;"/"&amp;YEAR(J130)),"Release",""))</f>
        <v/>
      </c>
      <c r="AA130" s="144">
        <f>_xlfn.minifs($L:$L,$C:$C,$C130,$F:$F,"&lt;&gt;0")</f>
        <v/>
      </c>
      <c r="AB130" s="144">
        <f>C130&amp;"-"&amp;A130</f>
        <v/>
      </c>
      <c r="AC130" s="144">
        <f>L130</f>
        <v/>
      </c>
    </row>
    <row r="131">
      <c r="A131" s="140" t="inlineStr">
        <is>
          <t>ZREN01</t>
        </is>
      </c>
      <c r="B131" s="140" t="n">
        <v>1</v>
      </c>
      <c r="C131" s="140" t="inlineStr">
        <is>
          <t>HFB213</t>
        </is>
      </c>
      <c r="D131" s="140" t="inlineStr">
        <is>
          <t>B</t>
        </is>
      </c>
      <c r="E131" s="140" t="inlineStr">
        <is>
          <t>van Rensburg Marlene Ann</t>
        </is>
      </c>
      <c r="F131" s="141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</f>
        <v/>
      </c>
      <c r="G131" s="142" t="n">
        <v>44550</v>
      </c>
      <c r="H131" s="140">
        <f>VLOOKUP($C131,Sales!$C:$E,2,FALSE)</f>
        <v/>
      </c>
      <c r="I131" s="140">
        <f>VLOOKUP($C131,Sales!$C:$E,3,FALSE)</f>
        <v/>
      </c>
      <c r="J131" s="142">
        <f>SUMIFS(Sales!$H:$H,Sales!$C:$C,'Investor Exit List'!$C131)</f>
        <v/>
      </c>
      <c r="K131" s="142">
        <f>IF(I131=TRUE,J131,"")</f>
        <v/>
      </c>
      <c r="L131" s="142">
        <f>G131+730</f>
        <v/>
      </c>
      <c r="M131" s="142" t="n">
        <v>45443</v>
      </c>
      <c r="N131" s="143">
        <f>IFERROR(IF(G131&lt;&gt;"",IF(I131=TRUE,0,IF(U131=TRUE,0,L131-M131)),0),0)</f>
        <v/>
      </c>
      <c r="O131" s="143">
        <f>IF(N131&gt;0,IF(N131&lt;=180,N131,0),0)</f>
        <v/>
      </c>
      <c r="P131" s="141">
        <f>IF(AND(N131&lt;90,N131&gt;0),Q131,0)</f>
        <v/>
      </c>
      <c r="Q131" s="141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/>
      </c>
      <c r="R131" s="141">
        <f>IF(AND(H131=TRUE,I131=FALSE),Q131,0)</f>
        <v/>
      </c>
      <c r="S131" s="141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/>
      </c>
      <c r="T131" s="142">
        <f>IF(U131=TRUE,$J131,"")</f>
        <v/>
      </c>
      <c r="U131" s="140" t="b">
        <v>1</v>
      </c>
      <c r="V131" s="141">
        <f>IF(AND(H131=TRUE,OR(K131="",K131&gt;M131)),S131,0)</f>
        <v/>
      </c>
      <c r="W131" s="140" t="n">
        <v>0</v>
      </c>
      <c r="X131" s="140" t="b">
        <v>0</v>
      </c>
      <c r="Y131" s="143">
        <f>IF(H131=FALSE,VLOOKUP($C131,Sales!$C:$F,4,FALSE),1)</f>
        <v/>
      </c>
      <c r="Z131" s="140">
        <f>IF(Y131=0,"Release",IF(AND(L131&lt;J131,Y131=1,H131=FALSE,U131=FALSE,MONTH(L131)&amp;"/"&amp;YEAR(L131)&lt;&gt;MONTH(J131)&amp;"/"&amp;YEAR(J131)),"Release",""))</f>
        <v/>
      </c>
      <c r="AA131" s="144">
        <f>_xlfn.minifs($L:$L,$C:$C,$C131,$F:$F,"&lt;&gt;0")</f>
        <v/>
      </c>
      <c r="AB131" s="144">
        <f>C131&amp;"-"&amp;A131</f>
        <v/>
      </c>
      <c r="AC131" s="144">
        <f>L131</f>
        <v/>
      </c>
    </row>
    <row r="132">
      <c r="A132" s="140" t="inlineStr">
        <is>
          <t>ZDEL01</t>
        </is>
      </c>
      <c r="B132" s="140" t="n">
        <v>2</v>
      </c>
      <c r="C132" s="140" t="inlineStr">
        <is>
          <t>HFB214</t>
        </is>
      </c>
      <c r="D132" s="140" t="inlineStr">
        <is>
          <t>B</t>
        </is>
      </c>
      <c r="E132" s="140" t="inlineStr">
        <is>
          <t>Jansen van Vuuren Pieter</t>
        </is>
      </c>
      <c r="F132" s="141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</f>
        <v/>
      </c>
      <c r="G132" s="142" t="n">
        <v>44618</v>
      </c>
      <c r="H132" s="140">
        <f>VLOOKUP($C132,Sales!$C:$E,2,FALSE)</f>
        <v/>
      </c>
      <c r="I132" s="140">
        <f>VLOOKUP($C132,Sales!$C:$E,3,FALSE)</f>
        <v/>
      </c>
      <c r="J132" s="142">
        <f>SUMIFS(Sales!$H:$H,Sales!$C:$C,'Investor Exit List'!$C132)</f>
        <v/>
      </c>
      <c r="K132" s="142">
        <f>IF(I132=TRUE,J132,"")</f>
        <v/>
      </c>
      <c r="L132" s="142">
        <f>G132+730</f>
        <v/>
      </c>
      <c r="M132" s="142" t="n">
        <v>45443</v>
      </c>
      <c r="N132" s="143">
        <f>IFERROR(IF(G132&lt;&gt;"",IF(I132=TRUE,0,IF(U132=TRUE,0,L132-M132)),0),0)</f>
        <v/>
      </c>
      <c r="O132" s="143">
        <f>IF(N132&gt;0,IF(N132&lt;=180,N132,0),0)</f>
        <v/>
      </c>
      <c r="P132" s="141">
        <f>IF(AND(N132&lt;90,N132&gt;0),Q132,0)</f>
        <v/>
      </c>
      <c r="Q132" s="141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/>
      </c>
      <c r="R132" s="141">
        <f>IF(AND(H132=TRUE,I132=FALSE),Q132,0)</f>
        <v/>
      </c>
      <c r="S132" s="141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/>
      </c>
      <c r="T132" s="142">
        <f>IF(U132=TRUE,$J132,"")</f>
        <v/>
      </c>
      <c r="U132" s="140" t="b">
        <v>0</v>
      </c>
      <c r="V132" s="141">
        <f>IF(AND(H132=TRUE,OR(K132="",K132&gt;M132)),S132,0)</f>
        <v/>
      </c>
      <c r="W132" s="140" t="n">
        <v>0</v>
      </c>
      <c r="X132" s="140" t="b">
        <v>0</v>
      </c>
      <c r="Y132" s="143">
        <f>IF(H132=FALSE,VLOOKUP($C132,Sales!$C:$F,4,FALSE),1)</f>
        <v/>
      </c>
      <c r="Z132" s="140">
        <f>IF(Y132=0,"Release",IF(AND(L132&lt;J132,Y132=1,H132=FALSE,U132=FALSE,MONTH(L132)&amp;"/"&amp;YEAR(L132)&lt;&gt;MONTH(J132)&amp;"/"&amp;YEAR(J132)),"Release",""))</f>
        <v/>
      </c>
      <c r="AA132" s="144">
        <f>_xlfn.minifs($L:$L,$C:$C,$C132,$F:$F,"&lt;&gt;0")</f>
        <v/>
      </c>
      <c r="AB132" s="144">
        <f>C132&amp;"-"&amp;A132</f>
        <v/>
      </c>
      <c r="AC132" s="144">
        <f>L132</f>
        <v/>
      </c>
    </row>
    <row r="133">
      <c r="A133" s="140" t="inlineStr">
        <is>
          <t>ZKUS04</t>
        </is>
      </c>
      <c r="B133" s="140" t="n">
        <v>1</v>
      </c>
      <c r="C133" s="140" t="inlineStr">
        <is>
          <t>HFB301</t>
        </is>
      </c>
      <c r="D133" s="140" t="inlineStr">
        <is>
          <t>B</t>
        </is>
      </c>
      <c r="E133" s="140" t="inlineStr">
        <is>
          <t>Kusel Willie</t>
        </is>
      </c>
      <c r="F133" s="141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</f>
        <v/>
      </c>
      <c r="G133" s="142" t="n">
        <v>44664</v>
      </c>
      <c r="H133" s="140">
        <f>VLOOKUP($C133,Sales!$C:$E,2,FALSE)</f>
        <v/>
      </c>
      <c r="I133" s="140">
        <f>VLOOKUP($C133,Sales!$C:$E,3,FALSE)</f>
        <v/>
      </c>
      <c r="J133" s="142">
        <f>SUMIFS(Sales!$H:$H,Sales!$C:$C,'Investor Exit List'!$C133)</f>
        <v/>
      </c>
      <c r="K133" s="142">
        <f>IF(I133=TRUE,J133,"")</f>
        <v/>
      </c>
      <c r="L133" s="142">
        <f>G133+730</f>
        <v/>
      </c>
      <c r="M133" s="142" t="n">
        <v>45443</v>
      </c>
      <c r="N133" s="143">
        <f>IFERROR(IF(G133&lt;&gt;"",IF(I133=TRUE,0,IF(U133=TRUE,0,L133-M133)),0),0)</f>
        <v/>
      </c>
      <c r="O133" s="143">
        <f>IF(N133&gt;0,IF(N133&lt;=180,N133,0),0)</f>
        <v/>
      </c>
      <c r="P133" s="141">
        <f>IF(AND(N133&lt;90,N133&gt;0),Q133,0)</f>
        <v/>
      </c>
      <c r="Q133" s="141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/>
      </c>
      <c r="R133" s="141">
        <f>IF(AND(H133=TRUE,I133=FALSE),Q133,0)</f>
        <v/>
      </c>
      <c r="S133" s="141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/>
      </c>
      <c r="T133" s="142">
        <f>IF(U133=TRUE,$J133,"")</f>
        <v/>
      </c>
      <c r="U133" s="140" t="b">
        <v>0</v>
      </c>
      <c r="V133" s="141">
        <f>IF(AND(H133=TRUE,OR(K133="",K133&gt;M133)),S133,0)</f>
        <v/>
      </c>
      <c r="W133" s="140" t="n">
        <v>0</v>
      </c>
      <c r="X133" s="140" t="b">
        <v>0</v>
      </c>
      <c r="Y133" s="143">
        <f>IF(H133=FALSE,VLOOKUP($C133,Sales!$C:$F,4,FALSE),1)</f>
        <v/>
      </c>
      <c r="Z133" s="140">
        <f>IF(Y133=0,"Release",IF(AND(L133&lt;J133,Y133=1,H133=FALSE,U133=FALSE,MONTH(L133)&amp;"/"&amp;YEAR(L133)&lt;&gt;MONTH(J133)&amp;"/"&amp;YEAR(J133)),"Release",""))</f>
        <v/>
      </c>
      <c r="AA133" s="144">
        <f>_xlfn.minifs($L:$L,$C:$C,$C133,$F:$F,"&lt;&gt;0")</f>
        <v/>
      </c>
      <c r="AB133" s="144">
        <f>C133&amp;"-"&amp;A133</f>
        <v/>
      </c>
      <c r="AC133" s="144">
        <f>L133</f>
        <v/>
      </c>
    </row>
    <row r="134">
      <c r="A134" s="140" t="inlineStr">
        <is>
          <t>ZLAB01</t>
        </is>
      </c>
      <c r="B134" s="140" t="n">
        <v>1</v>
      </c>
      <c r="C134" s="140" t="inlineStr">
        <is>
          <t>HFB301</t>
        </is>
      </c>
      <c r="D134" s="140" t="inlineStr">
        <is>
          <t>B</t>
        </is>
      </c>
      <c r="E134" s="140" t="inlineStr">
        <is>
          <t>Labuschagne Andre Jan</t>
        </is>
      </c>
      <c r="F134" s="141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</f>
        <v/>
      </c>
      <c r="G134" s="142" t="n">
        <v>44618</v>
      </c>
      <c r="H134" s="140">
        <f>VLOOKUP($C134,Sales!$C:$E,2,FALSE)</f>
        <v/>
      </c>
      <c r="I134" s="140">
        <f>VLOOKUP($C134,Sales!$C:$E,3,FALSE)</f>
        <v/>
      </c>
      <c r="J134" s="142">
        <f>SUMIFS(Sales!$H:$H,Sales!$C:$C,'Investor Exit List'!$C134)</f>
        <v/>
      </c>
      <c r="K134" s="142">
        <f>IF(I134=TRUE,J134,"")</f>
        <v/>
      </c>
      <c r="L134" s="142">
        <f>G134+730</f>
        <v/>
      </c>
      <c r="M134" s="142" t="n">
        <v>45443</v>
      </c>
      <c r="N134" s="143">
        <f>IFERROR(IF(G134&lt;&gt;"",IF(I134=TRUE,0,IF(U134=TRUE,0,L134-M134)),0),0)</f>
        <v/>
      </c>
      <c r="O134" s="143">
        <f>IF(N134&gt;0,IF(N134&lt;=180,N134,0),0)</f>
        <v/>
      </c>
      <c r="P134" s="141">
        <f>IF(AND(N134&lt;90,N134&gt;0),Q134,0)</f>
        <v/>
      </c>
      <c r="Q134" s="141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/>
      </c>
      <c r="R134" s="141">
        <f>IF(AND(H134=TRUE,I134=FALSE),Q134,0)</f>
        <v/>
      </c>
      <c r="S134" s="141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/>
      </c>
      <c r="T134" s="142">
        <f>IF(U134=TRUE,$J134,"")</f>
        <v/>
      </c>
      <c r="U134" s="140" t="b">
        <v>0</v>
      </c>
      <c r="V134" s="141">
        <f>IF(AND(H134=TRUE,OR(K134="",K134&gt;M134)),S134,0)</f>
        <v/>
      </c>
      <c r="W134" s="140" t="n">
        <v>0</v>
      </c>
      <c r="X134" s="140" t="b">
        <v>0</v>
      </c>
      <c r="Y134" s="143">
        <f>IF(H134=FALSE,VLOOKUP($C134,Sales!$C:$F,4,FALSE),1)</f>
        <v/>
      </c>
      <c r="Z134" s="140">
        <f>IF(Y134=0,"Release",IF(AND(L134&lt;J134,Y134=1,H134=FALSE,U134=FALSE,MONTH(L134)&amp;"/"&amp;YEAR(L134)&lt;&gt;MONTH(J134)&amp;"/"&amp;YEAR(J134)),"Release",""))</f>
        <v/>
      </c>
      <c r="AA134" s="144">
        <f>_xlfn.minifs($L:$L,$C:$C,$C134,$F:$F,"&lt;&gt;0")</f>
        <v/>
      </c>
      <c r="AB134" s="144">
        <f>C134&amp;"-"&amp;A134</f>
        <v/>
      </c>
      <c r="AC134" s="144">
        <f>L134</f>
        <v/>
      </c>
    </row>
    <row r="135">
      <c r="A135" s="140" t="inlineStr">
        <is>
          <t>ZPRO01</t>
        </is>
      </c>
      <c r="B135" s="140" t="n">
        <v>3</v>
      </c>
      <c r="C135" s="140" t="inlineStr">
        <is>
          <t>HFB302</t>
        </is>
      </c>
      <c r="D135" s="140" t="inlineStr">
        <is>
          <t>B</t>
        </is>
      </c>
      <c r="E135" s="140" t="inlineStr">
        <is>
          <t>du Toit Adrian</t>
        </is>
      </c>
      <c r="F135" s="141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</f>
        <v/>
      </c>
      <c r="G135" s="142" t="n">
        <v>44550</v>
      </c>
      <c r="H135" s="140">
        <f>VLOOKUP($C135,Sales!$C:$E,2,FALSE)</f>
        <v/>
      </c>
      <c r="I135" s="140">
        <f>VLOOKUP($C135,Sales!$C:$E,3,FALSE)</f>
        <v/>
      </c>
      <c r="J135" s="142">
        <f>SUMIFS(Sales!$H:$H,Sales!$C:$C,'Investor Exit List'!$C135)</f>
        <v/>
      </c>
      <c r="K135" s="142">
        <f>IF(I135=TRUE,J135,"")</f>
        <v/>
      </c>
      <c r="L135" s="142">
        <f>G135+730</f>
        <v/>
      </c>
      <c r="M135" s="142" t="n">
        <v>45443</v>
      </c>
      <c r="N135" s="143">
        <f>IFERROR(IF(G135&lt;&gt;"",IF(I135=TRUE,0,IF(U135=TRUE,0,L135-M135)),0),0)</f>
        <v/>
      </c>
      <c r="O135" s="143">
        <f>IF(N135&gt;0,IF(N135&lt;=180,N135,0),0)</f>
        <v/>
      </c>
      <c r="P135" s="141">
        <f>IF(AND(N135&lt;90,N135&gt;0),Q135,0)</f>
        <v/>
      </c>
      <c r="Q135" s="141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/>
      </c>
      <c r="R135" s="141">
        <f>IF(AND(H135=TRUE,I135=FALSE),Q135,0)</f>
        <v/>
      </c>
      <c r="S135" s="141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/>
      </c>
      <c r="T135" s="142">
        <f>IF(U135=TRUE,$J135,"")</f>
        <v/>
      </c>
      <c r="U135" s="140" t="b">
        <v>0</v>
      </c>
      <c r="V135" s="141">
        <f>IF(AND(H135=TRUE,OR(K135="",K135&gt;M135)),S135,0)</f>
        <v/>
      </c>
      <c r="W135" s="140" t="n">
        <v>0</v>
      </c>
      <c r="X135" s="140" t="b">
        <v>0</v>
      </c>
      <c r="Y135" s="143">
        <f>IF(H135=FALSE,VLOOKUP($C135,Sales!$C:$F,4,FALSE),1)</f>
        <v/>
      </c>
      <c r="Z135" s="140">
        <f>IF(Y135=0,"Release",IF(AND(L135&lt;J135,Y135=1,H135=FALSE,U135=FALSE,MONTH(L135)&amp;"/"&amp;YEAR(L135)&lt;&gt;MONTH(J135)&amp;"/"&amp;YEAR(J135)),"Release",""))</f>
        <v/>
      </c>
      <c r="AA135" s="144">
        <f>_xlfn.minifs($L:$L,$C:$C,$C135,$F:$F,"&lt;&gt;0")</f>
        <v/>
      </c>
      <c r="AB135" s="144">
        <f>C135&amp;"-"&amp;A135</f>
        <v/>
      </c>
      <c r="AC135" s="144">
        <f>L135</f>
        <v/>
      </c>
    </row>
    <row r="136">
      <c r="A136" s="140" t="inlineStr">
        <is>
          <t>ZLOU03</t>
        </is>
      </c>
      <c r="B136" s="140" t="n">
        <v>1</v>
      </c>
      <c r="C136" s="140" t="inlineStr">
        <is>
          <t>HFB303</t>
        </is>
      </c>
      <c r="D136" s="140" t="inlineStr">
        <is>
          <t>B</t>
        </is>
      </c>
      <c r="E136" s="140" t="inlineStr">
        <is>
          <t>Louwrens Peter Arnold</t>
        </is>
      </c>
      <c r="F136" s="141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</f>
        <v/>
      </c>
      <c r="G136" s="142" t="n">
        <v>44664</v>
      </c>
      <c r="H136" s="140">
        <f>VLOOKUP($C136,Sales!$C:$E,2,FALSE)</f>
        <v/>
      </c>
      <c r="I136" s="140">
        <f>VLOOKUP($C136,Sales!$C:$E,3,FALSE)</f>
        <v/>
      </c>
      <c r="J136" s="142">
        <f>SUMIFS(Sales!$H:$H,Sales!$C:$C,'Investor Exit List'!$C136)</f>
        <v/>
      </c>
      <c r="K136" s="142">
        <f>IF(I136=TRUE,J136,"")</f>
        <v/>
      </c>
      <c r="L136" s="142">
        <f>G136+730</f>
        <v/>
      </c>
      <c r="M136" s="142" t="n">
        <v>45443</v>
      </c>
      <c r="N136" s="143">
        <f>IFERROR(IF(G136&lt;&gt;"",IF(I136=TRUE,0,IF(U136=TRUE,0,L136-M136)),0),0)</f>
        <v/>
      </c>
      <c r="O136" s="143">
        <f>IF(N136&gt;0,IF(N136&lt;=180,N136,0),0)</f>
        <v/>
      </c>
      <c r="P136" s="141">
        <f>IF(AND(N136&lt;90,N136&gt;0),Q136,0)</f>
        <v/>
      </c>
      <c r="Q136" s="141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/>
      </c>
      <c r="R136" s="141">
        <f>IF(AND(H136=TRUE,I136=FALSE),Q136,0)</f>
        <v/>
      </c>
      <c r="S136" s="141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/>
      </c>
      <c r="T136" s="142">
        <f>IF(U136=TRUE,$J136,"")</f>
        <v/>
      </c>
      <c r="U136" s="140" t="b">
        <v>0</v>
      </c>
      <c r="V136" s="141">
        <f>IF(AND(H136=TRUE,OR(K136="",K136&gt;M136)),S136,0)</f>
        <v/>
      </c>
      <c r="W136" s="140" t="n">
        <v>0</v>
      </c>
      <c r="X136" s="140" t="b">
        <v>0</v>
      </c>
      <c r="Y136" s="143">
        <f>IF(H136=FALSE,VLOOKUP($C136,Sales!$C:$F,4,FALSE),1)</f>
        <v/>
      </c>
      <c r="Z136" s="140">
        <f>IF(Y136=0,"Release",IF(AND(L136&lt;J136,Y136=1,H136=FALSE,U136=FALSE,MONTH(L136)&amp;"/"&amp;YEAR(L136)&lt;&gt;MONTH(J136)&amp;"/"&amp;YEAR(J136)),"Release",""))</f>
        <v/>
      </c>
      <c r="AA136" s="144">
        <f>_xlfn.minifs($L:$L,$C:$C,$C136,$F:$F,"&lt;&gt;0")</f>
        <v/>
      </c>
      <c r="AB136" s="144">
        <f>C136&amp;"-"&amp;A136</f>
        <v/>
      </c>
      <c r="AC136" s="144">
        <f>L136</f>
        <v/>
      </c>
    </row>
    <row r="137">
      <c r="A137" s="140" t="inlineStr">
        <is>
          <t>ZRUD01</t>
        </is>
      </c>
      <c r="B137" s="140" t="n">
        <v>1</v>
      </c>
      <c r="C137" s="140" t="inlineStr">
        <is>
          <t>HFB303</t>
        </is>
      </c>
      <c r="D137" s="140" t="inlineStr">
        <is>
          <t>B</t>
        </is>
      </c>
      <c r="E137" s="140" t="inlineStr">
        <is>
          <t>Jansen van Vuuren Pieter</t>
        </is>
      </c>
      <c r="F137" s="141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</f>
        <v/>
      </c>
      <c r="G137" s="142" t="n">
        <v>44664</v>
      </c>
      <c r="H137" s="140">
        <f>VLOOKUP($C137,Sales!$C:$E,2,FALSE)</f>
        <v/>
      </c>
      <c r="I137" s="140">
        <f>VLOOKUP($C137,Sales!$C:$E,3,FALSE)</f>
        <v/>
      </c>
      <c r="J137" s="142">
        <f>SUMIFS(Sales!$H:$H,Sales!$C:$C,'Investor Exit List'!$C137)</f>
        <v/>
      </c>
      <c r="K137" s="142">
        <f>IF(I137=TRUE,J137,"")</f>
        <v/>
      </c>
      <c r="L137" s="142">
        <f>G137+730</f>
        <v/>
      </c>
      <c r="M137" s="142" t="n">
        <v>45443</v>
      </c>
      <c r="N137" s="143">
        <f>IFERROR(IF(G137&lt;&gt;"",IF(I137=TRUE,0,IF(U137=TRUE,0,L137-M137)),0),0)</f>
        <v/>
      </c>
      <c r="O137" s="143">
        <f>IF(N137&gt;0,IF(N137&lt;=180,N137,0),0)</f>
        <v/>
      </c>
      <c r="P137" s="141">
        <f>IF(AND(N137&lt;90,N137&gt;0),Q137,0)</f>
        <v/>
      </c>
      <c r="Q137" s="141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/>
      </c>
      <c r="R137" s="141">
        <f>IF(AND(H137=TRUE,I137=FALSE),Q137,0)</f>
        <v/>
      </c>
      <c r="S137" s="141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/>
      </c>
      <c r="T137" s="142">
        <f>IF(U137=TRUE,$J137,"")</f>
        <v/>
      </c>
      <c r="U137" s="140" t="b">
        <v>0</v>
      </c>
      <c r="V137" s="141">
        <f>IF(AND(H137=TRUE,OR(K137="",K137&gt;M137)),S137,0)</f>
        <v/>
      </c>
      <c r="W137" s="140" t="n">
        <v>0</v>
      </c>
      <c r="X137" s="140" t="b">
        <v>0</v>
      </c>
      <c r="Y137" s="143">
        <f>IF(H137=FALSE,VLOOKUP($C137,Sales!$C:$F,4,FALSE),1)</f>
        <v/>
      </c>
      <c r="Z137" s="140">
        <f>IF(Y137=0,"Release",IF(AND(L137&lt;J137,Y137=1,H137=FALSE,U137=FALSE,MONTH(L137)&amp;"/"&amp;YEAR(L137)&lt;&gt;MONTH(J137)&amp;"/"&amp;YEAR(J137)),"Release",""))</f>
        <v/>
      </c>
      <c r="AA137" s="144">
        <f>_xlfn.minifs($L:$L,$C:$C,$C137,$F:$F,"&lt;&gt;0")</f>
        <v/>
      </c>
      <c r="AB137" s="144">
        <f>C137&amp;"-"&amp;A137</f>
        <v/>
      </c>
      <c r="AC137" s="144">
        <f>L137</f>
        <v/>
      </c>
    </row>
    <row r="138">
      <c r="A138" s="140" t="inlineStr">
        <is>
          <t>ZDOT01</t>
        </is>
      </c>
      <c r="B138" s="140" t="n">
        <v>1</v>
      </c>
      <c r="C138" s="140" t="inlineStr">
        <is>
          <t>HFB304</t>
        </is>
      </c>
      <c r="D138" s="140" t="inlineStr">
        <is>
          <t>B</t>
        </is>
      </c>
      <c r="E138" s="140" t="inlineStr">
        <is>
          <t>Pope Mark Charles</t>
        </is>
      </c>
      <c r="F138" s="141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</f>
        <v/>
      </c>
      <c r="G138" s="142" t="n">
        <v>44690</v>
      </c>
      <c r="H138" s="140">
        <f>VLOOKUP($C138,Sales!$C:$E,2,FALSE)</f>
        <v/>
      </c>
      <c r="I138" s="140">
        <f>VLOOKUP($C138,Sales!$C:$E,3,FALSE)</f>
        <v/>
      </c>
      <c r="J138" s="142">
        <f>SUMIFS(Sales!$H:$H,Sales!$C:$C,'Investor Exit List'!$C138)</f>
        <v/>
      </c>
      <c r="K138" s="142">
        <f>IF(I138=TRUE,J138,"")</f>
        <v/>
      </c>
      <c r="L138" s="142">
        <f>G138+730</f>
        <v/>
      </c>
      <c r="M138" s="142" t="n">
        <v>45443</v>
      </c>
      <c r="N138" s="143">
        <f>IFERROR(IF(G138&lt;&gt;"",IF(I138=TRUE,0,IF(U138=TRUE,0,L138-M138)),0),0)</f>
        <v/>
      </c>
      <c r="O138" s="143">
        <f>IF(N138&gt;0,IF(N138&lt;=180,N138,0),0)</f>
        <v/>
      </c>
      <c r="P138" s="141">
        <f>IF(AND(N138&lt;90,N138&gt;0),Q138,0)</f>
        <v/>
      </c>
      <c r="Q138" s="141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/>
      </c>
      <c r="R138" s="141">
        <f>IF(AND(H138=TRUE,I138=FALSE),Q138,0)</f>
        <v/>
      </c>
      <c r="S138" s="141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/>
      </c>
      <c r="T138" s="142">
        <f>IF(U138=TRUE,$J138,"")</f>
        <v/>
      </c>
      <c r="U138" s="140" t="b">
        <v>0</v>
      </c>
      <c r="V138" s="141">
        <f>IF(AND(H138=TRUE,OR(K138="",K138&gt;M138)),S138,0)</f>
        <v/>
      </c>
      <c r="W138" s="140" t="n">
        <v>0</v>
      </c>
      <c r="X138" s="140" t="b">
        <v>0</v>
      </c>
      <c r="Y138" s="143">
        <f>IF(H138=FALSE,VLOOKUP($C138,Sales!$C:$F,4,FALSE),1)</f>
        <v/>
      </c>
      <c r="Z138" s="140">
        <f>IF(Y138=0,"Release",IF(AND(L138&lt;J138,Y138=1,H138=FALSE,U138=FALSE,MONTH(L138)&amp;"/"&amp;YEAR(L138)&lt;&gt;MONTH(J138)&amp;"/"&amp;YEAR(J138)),"Release",""))</f>
        <v/>
      </c>
      <c r="AA138" s="144">
        <f>_xlfn.minifs($L:$L,$C:$C,$C138,$F:$F,"&lt;&gt;0")</f>
        <v/>
      </c>
      <c r="AB138" s="144">
        <f>C138&amp;"-"&amp;A138</f>
        <v/>
      </c>
      <c r="AC138" s="144">
        <f>L138</f>
        <v/>
      </c>
    </row>
    <row r="139">
      <c r="A139" s="140" t="inlineStr">
        <is>
          <t>ZSCH04</t>
        </is>
      </c>
      <c r="B139" s="140" t="n">
        <v>1</v>
      </c>
      <c r="C139" s="140" t="inlineStr">
        <is>
          <t>HFB306</t>
        </is>
      </c>
      <c r="D139" s="140" t="inlineStr">
        <is>
          <t>B</t>
        </is>
      </c>
      <c r="E139" s="140" t="inlineStr">
        <is>
          <t>Schroder Christiaan</t>
        </is>
      </c>
      <c r="F139" s="141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</f>
        <v/>
      </c>
      <c r="G139" s="142" t="n">
        <v>44644</v>
      </c>
      <c r="H139" s="140">
        <f>VLOOKUP($C139,Sales!$C:$E,2,FALSE)</f>
        <v/>
      </c>
      <c r="I139" s="140">
        <f>VLOOKUP($C139,Sales!$C:$E,3,FALSE)</f>
        <v/>
      </c>
      <c r="J139" s="142">
        <f>SUMIFS(Sales!$H:$H,Sales!$C:$C,'Investor Exit List'!$C139)</f>
        <v/>
      </c>
      <c r="K139" s="142">
        <f>IF(I139=TRUE,J139,"")</f>
        <v/>
      </c>
      <c r="L139" s="142">
        <f>G139+730</f>
        <v/>
      </c>
      <c r="M139" s="142" t="n">
        <v>45443</v>
      </c>
      <c r="N139" s="143">
        <f>IFERROR(IF(G139&lt;&gt;"",IF(I139=TRUE,0,IF(U139=TRUE,0,L139-M139)),0),0)</f>
        <v/>
      </c>
      <c r="O139" s="143">
        <f>IF(N139&gt;0,IF(N139&lt;=180,N139,0),0)</f>
        <v/>
      </c>
      <c r="P139" s="141">
        <f>IF(AND(N139&lt;90,N139&gt;0),Q139,0)</f>
        <v/>
      </c>
      <c r="Q139" s="141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/>
      </c>
      <c r="R139" s="141">
        <f>IF(AND(H139=TRUE,I139=FALSE),Q139,0)</f>
        <v/>
      </c>
      <c r="S139" s="141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/>
      </c>
      <c r="T139" s="142">
        <f>IF(U139=TRUE,$J139,"")</f>
        <v/>
      </c>
      <c r="U139" s="140" t="b">
        <v>1</v>
      </c>
      <c r="V139" s="141">
        <f>IF(AND(H139=TRUE,OR(K139="",K139&gt;M139)),S139,0)</f>
        <v/>
      </c>
      <c r="W139" s="140" t="n">
        <v>0</v>
      </c>
      <c r="X139" s="140" t="b">
        <v>0</v>
      </c>
      <c r="Y139" s="143">
        <f>IF(H139=FALSE,VLOOKUP($C139,Sales!$C:$F,4,FALSE),1)</f>
        <v/>
      </c>
      <c r="Z139" s="140">
        <f>IF(Y139=0,"Release",IF(AND(L139&lt;J139,Y139=1,H139=FALSE,U139=FALSE,MONTH(L139)&amp;"/"&amp;YEAR(L139)&lt;&gt;MONTH(J139)&amp;"/"&amp;YEAR(J139)),"Release",""))</f>
        <v/>
      </c>
      <c r="AA139" s="144">
        <f>_xlfn.minifs($L:$L,$C:$C,$C139,$F:$F,"&lt;&gt;0")</f>
        <v/>
      </c>
      <c r="AB139" s="144">
        <f>C139&amp;"-"&amp;A139</f>
        <v/>
      </c>
      <c r="AC139" s="144">
        <f>L139</f>
        <v/>
      </c>
    </row>
    <row r="140">
      <c r="A140" s="140" t="inlineStr">
        <is>
          <t>ZROU01</t>
        </is>
      </c>
      <c r="B140" s="140" t="n">
        <v>1</v>
      </c>
      <c r="C140" s="140" t="inlineStr">
        <is>
          <t>HFB307</t>
        </is>
      </c>
      <c r="D140" s="140" t="inlineStr">
        <is>
          <t>B</t>
        </is>
      </c>
      <c r="E140" s="140" t="inlineStr">
        <is>
          <t>Roux Laura</t>
        </is>
      </c>
      <c r="F140" s="141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</f>
        <v/>
      </c>
      <c r="G140" s="142" t="n">
        <v>44643</v>
      </c>
      <c r="H140" s="140">
        <f>VLOOKUP($C140,Sales!$C:$E,2,FALSE)</f>
        <v/>
      </c>
      <c r="I140" s="140">
        <f>VLOOKUP($C140,Sales!$C:$E,3,FALSE)</f>
        <v/>
      </c>
      <c r="J140" s="142">
        <f>SUMIFS(Sales!$H:$H,Sales!$C:$C,'Investor Exit List'!$C140)</f>
        <v/>
      </c>
      <c r="K140" s="142">
        <f>IF(I140=TRUE,J140,"")</f>
        <v/>
      </c>
      <c r="L140" s="142">
        <f>G140+730</f>
        <v/>
      </c>
      <c r="M140" s="142" t="n">
        <v>45443</v>
      </c>
      <c r="N140" s="143">
        <f>IFERROR(IF(G140&lt;&gt;"",IF(I140=TRUE,0,IF(U140=TRUE,0,L140-M140)),0),0)</f>
        <v/>
      </c>
      <c r="O140" s="143">
        <f>IF(N140&gt;0,IF(N140&lt;=180,N140,0),0)</f>
        <v/>
      </c>
      <c r="P140" s="141">
        <f>IF(AND(N140&lt;90,N140&gt;0),Q140,0)</f>
        <v/>
      </c>
      <c r="Q140" s="141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/>
      </c>
      <c r="R140" s="141">
        <f>IF(AND(H140=TRUE,I140=FALSE),Q140,0)</f>
        <v/>
      </c>
      <c r="S140" s="141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/>
      </c>
      <c r="T140" s="142">
        <f>IF(U140=TRUE,$J140,"")</f>
        <v/>
      </c>
      <c r="U140" s="140" t="b">
        <v>1</v>
      </c>
      <c r="V140" s="141">
        <f>IF(AND(H140=TRUE,OR(K140="",K140&gt;M140)),S140,0)</f>
        <v/>
      </c>
      <c r="W140" s="140" t="n">
        <v>0</v>
      </c>
      <c r="X140" s="140" t="b">
        <v>0</v>
      </c>
      <c r="Y140" s="143">
        <f>IF(H140=FALSE,VLOOKUP($C140,Sales!$C:$F,4,FALSE),1)</f>
        <v/>
      </c>
      <c r="Z140" s="140">
        <f>IF(Y140=0,"Release",IF(AND(L140&lt;J140,Y140=1,H140=FALSE,U140=FALSE,MONTH(L140)&amp;"/"&amp;YEAR(L140)&lt;&gt;MONTH(J140)&amp;"/"&amp;YEAR(J140)),"Release",""))</f>
        <v/>
      </c>
      <c r="AA140" s="144">
        <f>_xlfn.minifs($L:$L,$C:$C,$C140,$F:$F,"&lt;&gt;0")</f>
        <v/>
      </c>
      <c r="AB140" s="144">
        <f>C140&amp;"-"&amp;A140</f>
        <v/>
      </c>
      <c r="AC140" s="144">
        <f>L140</f>
        <v/>
      </c>
    </row>
    <row r="141">
      <c r="A141" s="140" t="inlineStr">
        <is>
          <t>ZVOR01</t>
        </is>
      </c>
      <c r="B141" s="140" t="n">
        <v>3</v>
      </c>
      <c r="C141" s="140" t="inlineStr">
        <is>
          <t>HFB307</t>
        </is>
      </c>
      <c r="D141" s="140" t="inlineStr">
        <is>
          <t>B</t>
        </is>
      </c>
      <c r="E141" s="140" t="inlineStr">
        <is>
          <t xml:space="preserve">Vorster Sophia Maria Catharina </t>
        </is>
      </c>
      <c r="F141" s="141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</f>
        <v/>
      </c>
      <c r="G141" s="142" t="n">
        <v>44643</v>
      </c>
      <c r="H141" s="140">
        <f>VLOOKUP($C141,Sales!$C:$E,2,FALSE)</f>
        <v/>
      </c>
      <c r="I141" s="140">
        <f>VLOOKUP($C141,Sales!$C:$E,3,FALSE)</f>
        <v/>
      </c>
      <c r="J141" s="142">
        <f>SUMIFS(Sales!$H:$H,Sales!$C:$C,'Investor Exit List'!$C141)</f>
        <v/>
      </c>
      <c r="K141" s="142">
        <f>IF(I141=TRUE,J141,"")</f>
        <v/>
      </c>
      <c r="L141" s="142">
        <f>G141+730</f>
        <v/>
      </c>
      <c r="M141" s="142" t="n">
        <v>45443</v>
      </c>
      <c r="N141" s="143">
        <f>IFERROR(IF(G141&lt;&gt;"",IF(I141=TRUE,0,IF(U141=TRUE,0,L141-M141)),0),0)</f>
        <v/>
      </c>
      <c r="O141" s="143">
        <f>IF(N141&gt;0,IF(N141&lt;=180,N141,0),0)</f>
        <v/>
      </c>
      <c r="P141" s="141">
        <f>IF(AND(N141&lt;90,N141&gt;0),Q141,0)</f>
        <v/>
      </c>
      <c r="Q141" s="141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/>
      </c>
      <c r="R141" s="141">
        <f>IF(AND(H141=TRUE,I141=FALSE),Q141,0)</f>
        <v/>
      </c>
      <c r="S141" s="141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/>
      </c>
      <c r="T141" s="142">
        <f>IF(U141=TRUE,$J141,"")</f>
        <v/>
      </c>
      <c r="U141" s="140" t="b">
        <v>1</v>
      </c>
      <c r="V141" s="141">
        <f>IF(AND(H141=TRUE,OR(K141="",K141&gt;M141)),S141,0)</f>
        <v/>
      </c>
      <c r="W141" s="140" t="n">
        <v>0</v>
      </c>
      <c r="X141" s="140" t="b">
        <v>0</v>
      </c>
      <c r="Y141" s="143">
        <f>IF(H141=FALSE,VLOOKUP($C141,Sales!$C:$F,4,FALSE),1)</f>
        <v/>
      </c>
      <c r="Z141" s="140">
        <f>IF(Y141=0,"Release",IF(AND(L141&lt;J141,Y141=1,H141=FALSE,U141=FALSE,MONTH(L141)&amp;"/"&amp;YEAR(L141)&lt;&gt;MONTH(J141)&amp;"/"&amp;YEAR(J141)),"Release",""))</f>
        <v/>
      </c>
      <c r="AA141" s="144">
        <f>_xlfn.minifs($L:$L,$C:$C,$C141,$F:$F,"&lt;&gt;0")</f>
        <v/>
      </c>
      <c r="AB141" s="144">
        <f>C141&amp;"-"&amp;A141</f>
        <v/>
      </c>
      <c r="AC141" s="144">
        <f>L141</f>
        <v/>
      </c>
    </row>
    <row r="142">
      <c r="A142" s="140" t="inlineStr">
        <is>
          <t>ZGOF01</t>
        </is>
      </c>
      <c r="B142" s="140" t="n">
        <v>1</v>
      </c>
      <c r="C142" s="140" t="inlineStr">
        <is>
          <t>HFB308</t>
        </is>
      </c>
      <c r="D142" s="140" t="inlineStr">
        <is>
          <t>B</t>
        </is>
      </c>
      <c r="E142" s="140" t="inlineStr">
        <is>
          <t>Goff Angela</t>
        </is>
      </c>
      <c r="F142" s="141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</f>
        <v/>
      </c>
      <c r="G142" s="142" t="n">
        <v>44664</v>
      </c>
      <c r="H142" s="140">
        <f>VLOOKUP($C142,Sales!$C:$E,2,FALSE)</f>
        <v/>
      </c>
      <c r="I142" s="140">
        <f>VLOOKUP($C142,Sales!$C:$E,3,FALSE)</f>
        <v/>
      </c>
      <c r="J142" s="142">
        <f>SUMIFS(Sales!$H:$H,Sales!$C:$C,'Investor Exit List'!$C142)</f>
        <v/>
      </c>
      <c r="K142" s="142">
        <f>IF(I142=TRUE,J142,"")</f>
        <v/>
      </c>
      <c r="L142" s="142">
        <f>G142+730</f>
        <v/>
      </c>
      <c r="M142" s="142" t="n">
        <v>45443</v>
      </c>
      <c r="N142" s="143">
        <f>IFERROR(IF(G142&lt;&gt;"",IF(I142=TRUE,0,IF(U142=TRUE,0,L142-M142)),0),0)</f>
        <v/>
      </c>
      <c r="O142" s="143">
        <f>IF(N142&gt;0,IF(N142&lt;=180,N142,0),0)</f>
        <v/>
      </c>
      <c r="P142" s="141">
        <f>IF(AND(N142&lt;90,N142&gt;0),Q142,0)</f>
        <v/>
      </c>
      <c r="Q142" s="141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/>
      </c>
      <c r="R142" s="141">
        <f>IF(AND(H142=TRUE,I142=FALSE),Q142,0)</f>
        <v/>
      </c>
      <c r="S142" s="141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/>
      </c>
      <c r="T142" s="142">
        <f>IF(U142=TRUE,$J142,"")</f>
        <v/>
      </c>
      <c r="U142" s="140" t="b">
        <v>1</v>
      </c>
      <c r="V142" s="141">
        <f>IF(AND(H142=TRUE,OR(K142="",K142&gt;M142)),S142,0)</f>
        <v/>
      </c>
      <c r="W142" s="140" t="n">
        <v>0</v>
      </c>
      <c r="X142" s="140" t="b">
        <v>0</v>
      </c>
      <c r="Y142" s="143">
        <f>IF(H142=FALSE,VLOOKUP($C142,Sales!$C:$F,4,FALSE),1)</f>
        <v/>
      </c>
      <c r="Z142" s="140">
        <f>IF(Y142=0,"Release",IF(AND(L142&lt;J142,Y142=1,H142=FALSE,U142=FALSE,MONTH(L142)&amp;"/"&amp;YEAR(L142)&lt;&gt;MONTH(J142)&amp;"/"&amp;YEAR(J142)),"Release",""))</f>
        <v/>
      </c>
      <c r="AA142" s="144">
        <f>_xlfn.minifs($L:$L,$C:$C,$C142,$F:$F,"&lt;&gt;0")</f>
        <v/>
      </c>
      <c r="AB142" s="144">
        <f>C142&amp;"-"&amp;A142</f>
        <v/>
      </c>
      <c r="AC142" s="144">
        <f>L142</f>
        <v/>
      </c>
    </row>
    <row r="143">
      <c r="A143" s="140" t="inlineStr">
        <is>
          <t>ZBLU01</t>
        </is>
      </c>
      <c r="B143" s="140" t="n">
        <v>1</v>
      </c>
      <c r="C143" s="140" t="inlineStr">
        <is>
          <t>HFB309</t>
        </is>
      </c>
      <c r="D143" s="140" t="inlineStr">
        <is>
          <t>B</t>
        </is>
      </c>
      <c r="E143" s="140" t="inlineStr">
        <is>
          <t>Blues Samantha Jessica</t>
        </is>
      </c>
      <c r="F143" s="141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</f>
        <v/>
      </c>
      <c r="G143" s="142" t="n">
        <v>44618</v>
      </c>
      <c r="H143" s="140">
        <f>VLOOKUP($C143,Sales!$C:$E,2,FALSE)</f>
        <v/>
      </c>
      <c r="I143" s="140">
        <f>VLOOKUP($C143,Sales!$C:$E,3,FALSE)</f>
        <v/>
      </c>
      <c r="J143" s="142">
        <f>SUMIFS(Sales!$H:$H,Sales!$C:$C,'Investor Exit List'!$C143)</f>
        <v/>
      </c>
      <c r="K143" s="142">
        <f>IF(I143=TRUE,J143,"")</f>
        <v/>
      </c>
      <c r="L143" s="142">
        <f>G143+730</f>
        <v/>
      </c>
      <c r="M143" s="142" t="n">
        <v>45443</v>
      </c>
      <c r="N143" s="143">
        <f>IFERROR(IF(G143&lt;&gt;"",IF(I143=TRUE,0,IF(U143=TRUE,0,L143-M143)),0),0)</f>
        <v/>
      </c>
      <c r="O143" s="143">
        <f>IF(N143&gt;0,IF(N143&lt;=180,N143,0),0)</f>
        <v/>
      </c>
      <c r="P143" s="141">
        <f>IF(AND(N143&lt;90,N143&gt;0),Q143,0)</f>
        <v/>
      </c>
      <c r="Q143" s="141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/>
      </c>
      <c r="R143" s="141">
        <f>IF(AND(H143=TRUE,I143=FALSE),Q143,0)</f>
        <v/>
      </c>
      <c r="S143" s="141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/>
      </c>
      <c r="T143" s="142">
        <f>IF(U143=TRUE,$J143,"")</f>
        <v/>
      </c>
      <c r="U143" s="140" t="b">
        <v>0</v>
      </c>
      <c r="V143" s="141">
        <f>IF(AND(H143=TRUE,OR(K143="",K143&gt;M143)),S143,0)</f>
        <v/>
      </c>
      <c r="W143" s="140" t="n">
        <v>0</v>
      </c>
      <c r="X143" s="140" t="b">
        <v>0</v>
      </c>
      <c r="Y143" s="143">
        <f>IF(H143=FALSE,VLOOKUP($C143,Sales!$C:$F,4,FALSE),1)</f>
        <v/>
      </c>
      <c r="Z143" s="140">
        <f>IF(Y143=0,"Release",IF(AND(L143&lt;J143,Y143=1,H143=FALSE,U143=FALSE,MONTH(L143)&amp;"/"&amp;YEAR(L143)&lt;&gt;MONTH(J143)&amp;"/"&amp;YEAR(J143)),"Release",""))</f>
        <v/>
      </c>
      <c r="AA143" s="144">
        <f>_xlfn.minifs($L:$L,$C:$C,$C143,$F:$F,"&lt;&gt;0")</f>
        <v/>
      </c>
      <c r="AB143" s="144">
        <f>C143&amp;"-"&amp;A143</f>
        <v/>
      </c>
      <c r="AC143" s="144">
        <f>L143</f>
        <v/>
      </c>
    </row>
    <row r="144">
      <c r="A144" s="140" t="inlineStr">
        <is>
          <t>ZJAN03</t>
        </is>
      </c>
      <c r="B144" s="140" t="n">
        <v>1</v>
      </c>
      <c r="C144" s="140" t="inlineStr">
        <is>
          <t>HFB309</t>
        </is>
      </c>
      <c r="D144" s="140" t="inlineStr">
        <is>
          <t>B</t>
        </is>
      </c>
      <c r="E144" s="140" t="inlineStr">
        <is>
          <t>Jansen van Vuuren Rudolph Johannes</t>
        </is>
      </c>
      <c r="F144" s="141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</f>
        <v/>
      </c>
      <c r="G144" s="142" t="n">
        <v>44664</v>
      </c>
      <c r="H144" s="140">
        <f>VLOOKUP($C144,Sales!$C:$E,2,FALSE)</f>
        <v/>
      </c>
      <c r="I144" s="140">
        <f>VLOOKUP($C144,Sales!$C:$E,3,FALSE)</f>
        <v/>
      </c>
      <c r="J144" s="142">
        <f>SUMIFS(Sales!$H:$H,Sales!$C:$C,'Investor Exit List'!$C144)</f>
        <v/>
      </c>
      <c r="K144" s="142">
        <f>IF(I144=TRUE,J144,"")</f>
        <v/>
      </c>
      <c r="L144" s="142">
        <f>G144+730</f>
        <v/>
      </c>
      <c r="M144" s="142" t="n">
        <v>45443</v>
      </c>
      <c r="N144" s="143">
        <f>IFERROR(IF(G144&lt;&gt;"",IF(I144=TRUE,0,IF(U144=TRUE,0,L144-M144)),0),0)</f>
        <v/>
      </c>
      <c r="O144" s="143">
        <f>IF(N144&gt;0,IF(N144&lt;=180,N144,0),0)</f>
        <v/>
      </c>
      <c r="P144" s="141">
        <f>IF(AND(N144&lt;90,N144&gt;0),Q144,0)</f>
        <v/>
      </c>
      <c r="Q144" s="141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/>
      </c>
      <c r="R144" s="141">
        <f>IF(AND(H144=TRUE,I144=FALSE),Q144,0)</f>
        <v/>
      </c>
      <c r="S144" s="141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/>
      </c>
      <c r="T144" s="142">
        <f>IF(U144=TRUE,$J144,"")</f>
        <v/>
      </c>
      <c r="U144" s="140" t="b">
        <v>0</v>
      </c>
      <c r="V144" s="141">
        <f>IF(AND(H144=TRUE,OR(K144="",K144&gt;M144)),S144,0)</f>
        <v/>
      </c>
      <c r="W144" s="140" t="n">
        <v>0</v>
      </c>
      <c r="X144" s="140" t="b">
        <v>0</v>
      </c>
      <c r="Y144" s="143">
        <f>IF(H144=FALSE,VLOOKUP($C144,Sales!$C:$F,4,FALSE),1)</f>
        <v/>
      </c>
      <c r="Z144" s="140">
        <f>IF(Y144=0,"Release",IF(AND(L144&lt;J144,Y144=1,H144=FALSE,U144=FALSE,MONTH(L144)&amp;"/"&amp;YEAR(L144)&lt;&gt;MONTH(J144)&amp;"/"&amp;YEAR(J144)),"Release",""))</f>
        <v/>
      </c>
      <c r="AA144" s="144">
        <f>_xlfn.minifs($L:$L,$C:$C,$C144,$F:$F,"&lt;&gt;0")</f>
        <v/>
      </c>
      <c r="AB144" s="144">
        <f>C144&amp;"-"&amp;A144</f>
        <v/>
      </c>
      <c r="AC144" s="144">
        <f>L144</f>
        <v/>
      </c>
    </row>
    <row r="145">
      <c r="A145" s="140" t="inlineStr">
        <is>
          <t>ZVED01</t>
        </is>
      </c>
      <c r="B145" s="140" t="n">
        <v>4</v>
      </c>
      <c r="C145" s="140" t="inlineStr">
        <is>
          <t>HFB309</t>
        </is>
      </c>
      <c r="D145" s="140" t="inlineStr">
        <is>
          <t>B</t>
        </is>
      </c>
      <c r="E145" s="140" t="inlineStr">
        <is>
          <t>Vedders Craig</t>
        </is>
      </c>
      <c r="F145" s="141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</f>
        <v/>
      </c>
      <c r="G145" s="142" t="n">
        <v>44719</v>
      </c>
      <c r="H145" s="140">
        <f>VLOOKUP($C145,Sales!$C:$E,2,FALSE)</f>
        <v/>
      </c>
      <c r="I145" s="140">
        <f>VLOOKUP($C145,Sales!$C:$E,3,FALSE)</f>
        <v/>
      </c>
      <c r="J145" s="142">
        <f>SUMIFS(Sales!$H:$H,Sales!$C:$C,'Investor Exit List'!$C145)</f>
        <v/>
      </c>
      <c r="K145" s="142">
        <f>IF(I145=TRUE,J145,"")</f>
        <v/>
      </c>
      <c r="L145" s="142">
        <f>G145+730</f>
        <v/>
      </c>
      <c r="M145" s="142" t="n">
        <v>45443</v>
      </c>
      <c r="N145" s="143">
        <f>IFERROR(IF(G145&lt;&gt;"",IF(I145=TRUE,0,IF(U145=TRUE,0,L145-M145)),0),0)</f>
        <v/>
      </c>
      <c r="O145" s="143">
        <f>IF(N145&gt;0,IF(N145&lt;=180,N145,0),0)</f>
        <v/>
      </c>
      <c r="P145" s="141">
        <f>IF(AND(N145&lt;90,N145&gt;0),Q145,0)</f>
        <v/>
      </c>
      <c r="Q145" s="141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/>
      </c>
      <c r="R145" s="141">
        <f>IF(AND(H145=TRUE,I145=FALSE),Q145,0)</f>
        <v/>
      </c>
      <c r="S145" s="141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/>
      </c>
      <c r="T145" s="142">
        <f>IF(U145=TRUE,$J145,"")</f>
        <v/>
      </c>
      <c r="U145" s="140" t="b">
        <v>0</v>
      </c>
      <c r="V145" s="141">
        <f>IF(AND(H145=TRUE,OR(K145="",K145&gt;M145)),S145,0)</f>
        <v/>
      </c>
      <c r="W145" s="140" t="n">
        <v>0</v>
      </c>
      <c r="X145" s="140" t="b">
        <v>0</v>
      </c>
      <c r="Y145" s="143">
        <f>IF(H145=FALSE,VLOOKUP($C145,Sales!$C:$F,4,FALSE),1)</f>
        <v/>
      </c>
      <c r="Z145" s="140">
        <f>IF(Y145=0,"Release",IF(AND(L145&lt;J145,Y145=1,H145=FALSE,U145=FALSE,MONTH(L145)&amp;"/"&amp;YEAR(L145)&lt;&gt;MONTH(J145)&amp;"/"&amp;YEAR(J145)),"Release",""))</f>
        <v/>
      </c>
      <c r="AA145" s="144">
        <f>_xlfn.minifs($L:$L,$C:$C,$C145,$F:$F,"&lt;&gt;0")</f>
        <v/>
      </c>
      <c r="AB145" s="144">
        <f>C145&amp;"-"&amp;A145</f>
        <v/>
      </c>
      <c r="AC145" s="144">
        <f>L145</f>
        <v/>
      </c>
    </row>
    <row r="146">
      <c r="A146" s="140" t="inlineStr">
        <is>
          <t>ZPRO01</t>
        </is>
      </c>
      <c r="B146" s="140" t="n">
        <v>4</v>
      </c>
      <c r="C146" s="140" t="inlineStr">
        <is>
          <t>HFB310</t>
        </is>
      </c>
      <c r="D146" s="140" t="inlineStr">
        <is>
          <t>B</t>
        </is>
      </c>
      <c r="E146" s="140" t="inlineStr">
        <is>
          <t>du Toit Adrian</t>
        </is>
      </c>
      <c r="F146" s="141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</f>
        <v/>
      </c>
      <c r="G146" s="142" t="n">
        <v>44550</v>
      </c>
      <c r="H146" s="140">
        <f>VLOOKUP($C146,Sales!$C:$E,2,FALSE)</f>
        <v/>
      </c>
      <c r="I146" s="140">
        <f>VLOOKUP($C146,Sales!$C:$E,3,FALSE)</f>
        <v/>
      </c>
      <c r="J146" s="142">
        <f>SUMIFS(Sales!$H:$H,Sales!$C:$C,'Investor Exit List'!$C146)</f>
        <v/>
      </c>
      <c r="K146" s="142">
        <f>IF(I146=TRUE,J146,"")</f>
        <v/>
      </c>
      <c r="L146" s="142">
        <f>G146+730</f>
        <v/>
      </c>
      <c r="M146" s="142" t="n">
        <v>45443</v>
      </c>
      <c r="N146" s="143">
        <f>IFERROR(IF(G146&lt;&gt;"",IF(I146=TRUE,0,IF(U146=TRUE,0,L146-M146)),0),0)</f>
        <v/>
      </c>
      <c r="O146" s="143">
        <f>IF(N146&gt;0,IF(N146&lt;=180,N146,0),0)</f>
        <v/>
      </c>
      <c r="P146" s="141">
        <f>IF(AND(N146&lt;90,N146&gt;0),Q146,0)</f>
        <v/>
      </c>
      <c r="Q146" s="141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/>
      </c>
      <c r="R146" s="141">
        <f>IF(AND(H146=TRUE,I146=FALSE),Q146,0)</f>
        <v/>
      </c>
      <c r="S146" s="141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/>
      </c>
      <c r="T146" s="142">
        <f>IF(U146=TRUE,$J146,"")</f>
        <v/>
      </c>
      <c r="U146" s="140" t="b">
        <v>0</v>
      </c>
      <c r="V146" s="141">
        <f>IF(AND(H146=TRUE,OR(K146="",K146&gt;M146)),S146,0)</f>
        <v/>
      </c>
      <c r="W146" s="140" t="n">
        <v>0</v>
      </c>
      <c r="X146" s="140" t="b">
        <v>0</v>
      </c>
      <c r="Y146" s="143">
        <f>IF(H146=FALSE,VLOOKUP($C146,Sales!$C:$F,4,FALSE),1)</f>
        <v/>
      </c>
      <c r="Z146" s="140">
        <f>IF(Y146=0,"Release",IF(AND(L146&lt;J146,Y146=1,H146=FALSE,U146=FALSE,MONTH(L146)&amp;"/"&amp;YEAR(L146)&lt;&gt;MONTH(J146)&amp;"/"&amp;YEAR(J146)),"Release",""))</f>
        <v/>
      </c>
      <c r="AA146" s="144">
        <f>_xlfn.minifs($L:$L,$C:$C,$C146,$F:$F,"&lt;&gt;0")</f>
        <v/>
      </c>
      <c r="AB146" s="144">
        <f>C146&amp;"-"&amp;A146</f>
        <v/>
      </c>
      <c r="AC146" s="144">
        <f>L146</f>
        <v/>
      </c>
    </row>
    <row r="147">
      <c r="A147" s="140" t="inlineStr">
        <is>
          <t>ZREN01</t>
        </is>
      </c>
      <c r="B147" s="140" t="n">
        <v>2</v>
      </c>
      <c r="C147" s="140" t="inlineStr">
        <is>
          <t>HFB311</t>
        </is>
      </c>
      <c r="D147" s="140" t="inlineStr">
        <is>
          <t>B</t>
        </is>
      </c>
      <c r="E147" s="140" t="inlineStr">
        <is>
          <t>van Rensburg Marlene Ann</t>
        </is>
      </c>
      <c r="F147" s="141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</f>
        <v/>
      </c>
      <c r="G147" s="142" t="n">
        <v>44590</v>
      </c>
      <c r="H147" s="140">
        <f>VLOOKUP($C147,Sales!$C:$E,2,FALSE)</f>
        <v/>
      </c>
      <c r="I147" s="140">
        <f>VLOOKUP($C147,Sales!$C:$E,3,FALSE)</f>
        <v/>
      </c>
      <c r="J147" s="142">
        <f>SUMIFS(Sales!$H:$H,Sales!$C:$C,'Investor Exit List'!$C147)</f>
        <v/>
      </c>
      <c r="K147" s="142">
        <f>IF(I147=TRUE,J147,"")</f>
        <v/>
      </c>
      <c r="L147" s="142">
        <f>G147+730</f>
        <v/>
      </c>
      <c r="M147" s="142" t="n">
        <v>45443</v>
      </c>
      <c r="N147" s="143">
        <f>IFERROR(IF(G147&lt;&gt;"",IF(I147=TRUE,0,IF(U147=TRUE,0,L147-M147)),0),0)</f>
        <v/>
      </c>
      <c r="O147" s="143">
        <f>IF(N147&gt;0,IF(N147&lt;=180,N147,0),0)</f>
        <v/>
      </c>
      <c r="P147" s="141">
        <f>IF(AND(N147&lt;90,N147&gt;0),Q147,0)</f>
        <v/>
      </c>
      <c r="Q147" s="141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/>
      </c>
      <c r="R147" s="141">
        <f>IF(AND(H147=TRUE,I147=FALSE),Q147,0)</f>
        <v/>
      </c>
      <c r="S147" s="141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/>
      </c>
      <c r="T147" s="142">
        <f>IF(U147=TRUE,$J147,"")</f>
        <v/>
      </c>
      <c r="U147" s="140" t="b">
        <v>0</v>
      </c>
      <c r="V147" s="141">
        <f>IF(AND(H147=TRUE,OR(K147="",K147&gt;M147)),S147,0)</f>
        <v/>
      </c>
      <c r="W147" s="140" t="n">
        <v>0</v>
      </c>
      <c r="X147" s="140" t="b">
        <v>0</v>
      </c>
      <c r="Y147" s="143">
        <f>IF(H147=FALSE,VLOOKUP($C147,Sales!$C:$F,4,FALSE),1)</f>
        <v/>
      </c>
      <c r="Z147" s="140">
        <f>IF(Y147=0,"Release",IF(AND(L147&lt;J147,Y147=1,H147=FALSE,U147=FALSE,MONTH(L147)&amp;"/"&amp;YEAR(L147)&lt;&gt;MONTH(J147)&amp;"/"&amp;YEAR(J147)),"Release",""))</f>
        <v/>
      </c>
      <c r="AA147" s="144">
        <f>_xlfn.minifs($L:$L,$C:$C,$C147,$F:$F,"&lt;&gt;0")</f>
        <v/>
      </c>
      <c r="AB147" s="144">
        <f>C147&amp;"-"&amp;A147</f>
        <v/>
      </c>
      <c r="AC147" s="144">
        <f>L147</f>
        <v/>
      </c>
    </row>
    <row r="148">
      <c r="A148" s="140" t="inlineStr">
        <is>
          <t>ZVOR01</t>
        </is>
      </c>
      <c r="B148" s="140" t="n">
        <v>4</v>
      </c>
      <c r="C148" s="140" t="inlineStr">
        <is>
          <t>HFB311</t>
        </is>
      </c>
      <c r="D148" s="140" t="inlineStr">
        <is>
          <t>B</t>
        </is>
      </c>
      <c r="E148" s="140" t="inlineStr">
        <is>
          <t xml:space="preserve">Vorster Sophia Maria Catharina </t>
        </is>
      </c>
      <c r="F148" s="141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</f>
        <v/>
      </c>
      <c r="G148" s="142" t="n">
        <v>44706</v>
      </c>
      <c r="H148" s="140">
        <f>VLOOKUP($C148,Sales!$C:$E,2,FALSE)</f>
        <v/>
      </c>
      <c r="I148" s="140">
        <f>VLOOKUP($C148,Sales!$C:$E,3,FALSE)</f>
        <v/>
      </c>
      <c r="J148" s="142">
        <f>SUMIFS(Sales!$H:$H,Sales!$C:$C,'Investor Exit List'!$C148)</f>
        <v/>
      </c>
      <c r="K148" s="142">
        <f>IF(I148=TRUE,J148,"")</f>
        <v/>
      </c>
      <c r="L148" s="142">
        <f>G148+730</f>
        <v/>
      </c>
      <c r="M148" s="142" t="n">
        <v>45443</v>
      </c>
      <c r="N148" s="143">
        <f>IFERROR(IF(G148&lt;&gt;"",IF(I148=TRUE,0,IF(U148=TRUE,0,L148-M148)),0),0)</f>
        <v/>
      </c>
      <c r="O148" s="143">
        <f>IF(N148&gt;0,IF(N148&lt;=180,N148,0),0)</f>
        <v/>
      </c>
      <c r="P148" s="141">
        <f>IF(AND(N148&lt;90,N148&gt;0),Q148,0)</f>
        <v/>
      </c>
      <c r="Q148" s="141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/>
      </c>
      <c r="R148" s="141">
        <f>IF(AND(H148=TRUE,I148=FALSE),Q148,0)</f>
        <v/>
      </c>
      <c r="S148" s="141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/>
      </c>
      <c r="T148" s="142">
        <f>IF(U148=TRUE,$J148,"")</f>
        <v/>
      </c>
      <c r="U148" s="140" t="b">
        <v>0</v>
      </c>
      <c r="V148" s="141">
        <f>IF(AND(H148=TRUE,OR(K148="",K148&gt;M148)),S148,0)</f>
        <v/>
      </c>
      <c r="W148" s="140" t="n">
        <v>0</v>
      </c>
      <c r="X148" s="140" t="b">
        <v>0</v>
      </c>
      <c r="Y148" s="143">
        <f>IF(H148=FALSE,VLOOKUP($C148,Sales!$C:$F,4,FALSE),1)</f>
        <v/>
      </c>
      <c r="Z148" s="140">
        <f>IF(Y148=0,"Release",IF(AND(L148&lt;J148,Y148=1,H148=FALSE,U148=FALSE,MONTH(L148)&amp;"/"&amp;YEAR(L148)&lt;&gt;MONTH(J148)&amp;"/"&amp;YEAR(J148)),"Release",""))</f>
        <v/>
      </c>
      <c r="AA148" s="144">
        <f>_xlfn.minifs($L:$L,$C:$C,$C148,$F:$F,"&lt;&gt;0")</f>
        <v/>
      </c>
      <c r="AB148" s="144">
        <f>C148&amp;"-"&amp;A148</f>
        <v/>
      </c>
      <c r="AC148" s="144">
        <f>L148</f>
        <v/>
      </c>
    </row>
    <row r="149">
      <c r="A149" s="140" t="inlineStr">
        <is>
          <t>ZREN01</t>
        </is>
      </c>
      <c r="B149" s="140" t="n">
        <v>3</v>
      </c>
      <c r="C149" s="140" t="inlineStr">
        <is>
          <t>HFB312</t>
        </is>
      </c>
      <c r="D149" s="140" t="inlineStr">
        <is>
          <t>B</t>
        </is>
      </c>
      <c r="E149" s="140" t="inlineStr">
        <is>
          <t>van Rensburg Marlene Ann</t>
        </is>
      </c>
      <c r="F149" s="141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</f>
        <v/>
      </c>
      <c r="G149" s="142" t="n">
        <v>44581</v>
      </c>
      <c r="H149" s="140">
        <f>VLOOKUP($C149,Sales!$C:$E,2,FALSE)</f>
        <v/>
      </c>
      <c r="I149" s="140">
        <f>VLOOKUP($C149,Sales!$C:$E,3,FALSE)</f>
        <v/>
      </c>
      <c r="J149" s="142">
        <f>SUMIFS(Sales!$H:$H,Sales!$C:$C,'Investor Exit List'!$C149)</f>
        <v/>
      </c>
      <c r="K149" s="142">
        <f>IF(I149=TRUE,J149,"")</f>
        <v/>
      </c>
      <c r="L149" s="142">
        <f>G149+730</f>
        <v/>
      </c>
      <c r="M149" s="142" t="n">
        <v>45443</v>
      </c>
      <c r="N149" s="143">
        <f>IFERROR(IF(G149&lt;&gt;"",IF(I149=TRUE,0,IF(U149=TRUE,0,L149-M149)),0),0)</f>
        <v/>
      </c>
      <c r="O149" s="143">
        <f>IF(N149&gt;0,IF(N149&lt;=180,N149,0),0)</f>
        <v/>
      </c>
      <c r="P149" s="141">
        <f>IF(AND(N149&lt;90,N149&gt;0),Q149,0)</f>
        <v/>
      </c>
      <c r="Q149" s="141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/>
      </c>
      <c r="R149" s="141">
        <f>IF(AND(H149=TRUE,I149=FALSE),Q149,0)</f>
        <v/>
      </c>
      <c r="S149" s="141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/>
      </c>
      <c r="T149" s="142">
        <f>IF(U149=TRUE,$J149,"")</f>
        <v/>
      </c>
      <c r="U149" s="140" t="b">
        <v>0</v>
      </c>
      <c r="V149" s="141">
        <f>IF(AND(H149=TRUE,OR(K149="",K149&gt;M149)),S149,0)</f>
        <v/>
      </c>
      <c r="W149" s="140" t="n">
        <v>0</v>
      </c>
      <c r="X149" s="140" t="b">
        <v>0</v>
      </c>
      <c r="Y149" s="143">
        <f>IF(H149=FALSE,VLOOKUP($C149,Sales!$C:$F,4,FALSE),1)</f>
        <v/>
      </c>
      <c r="Z149" s="140">
        <f>IF(Y149=0,"Release",IF(AND(L149&lt;J149,Y149=1,H149=FALSE,U149=FALSE,MONTH(L149)&amp;"/"&amp;YEAR(L149)&lt;&gt;MONTH(J149)&amp;"/"&amp;YEAR(J149)),"Release",""))</f>
        <v/>
      </c>
      <c r="AA149" s="144">
        <f>_xlfn.minifs($L:$L,$C:$C,$C149,$F:$F,"&lt;&gt;0")</f>
        <v/>
      </c>
      <c r="AB149" s="144">
        <f>C149&amp;"-"&amp;A149</f>
        <v/>
      </c>
      <c r="AC149" s="144">
        <f>L149</f>
        <v/>
      </c>
    </row>
    <row r="150">
      <c r="A150" s="140" t="inlineStr">
        <is>
          <t>ZCON01</t>
        </is>
      </c>
      <c r="B150" s="140" t="n">
        <v>1</v>
      </c>
      <c r="C150" s="140" t="inlineStr">
        <is>
          <t>HFB313</t>
        </is>
      </c>
      <c r="D150" s="140" t="inlineStr">
        <is>
          <t>B</t>
        </is>
      </c>
      <c r="E150" s="140" t="inlineStr">
        <is>
          <t>Conradie Gerhard Lotter</t>
        </is>
      </c>
      <c r="F150" s="141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</f>
        <v/>
      </c>
      <c r="G150" s="142" t="n">
        <v>44650</v>
      </c>
      <c r="H150" s="140">
        <f>VLOOKUP($C150,Sales!$C:$E,2,FALSE)</f>
        <v/>
      </c>
      <c r="I150" s="140">
        <f>VLOOKUP($C150,Sales!$C:$E,3,FALSE)</f>
        <v/>
      </c>
      <c r="J150" s="142">
        <f>SUMIFS(Sales!$H:$H,Sales!$C:$C,'Investor Exit List'!$C150)</f>
        <v/>
      </c>
      <c r="K150" s="142">
        <f>IF(I150=TRUE,J150,"")</f>
        <v/>
      </c>
      <c r="L150" s="142">
        <f>G150+730</f>
        <v/>
      </c>
      <c r="M150" s="142" t="n">
        <v>45443</v>
      </c>
      <c r="N150" s="143">
        <f>IFERROR(IF(G150&lt;&gt;"",IF(I150=TRUE,0,IF(U150=TRUE,0,L150-M150)),0),0)</f>
        <v/>
      </c>
      <c r="O150" s="143">
        <f>IF(N150&gt;0,IF(N150&lt;=180,N150,0),0)</f>
        <v/>
      </c>
      <c r="P150" s="141">
        <f>IF(AND(N150&lt;90,N150&gt;0),Q150,0)</f>
        <v/>
      </c>
      <c r="Q150" s="141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/>
      </c>
      <c r="R150" s="141">
        <f>IF(AND(H150=TRUE,I150=FALSE),Q150,0)</f>
        <v/>
      </c>
      <c r="S150" s="141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/>
      </c>
      <c r="T150" s="142">
        <f>IF(U150=TRUE,$J150,"")</f>
        <v/>
      </c>
      <c r="U150" s="140" t="b">
        <v>0</v>
      </c>
      <c r="V150" s="141">
        <f>IF(AND(H150=TRUE,OR(K150="",K150&gt;M150)),S150,0)</f>
        <v/>
      </c>
      <c r="W150" s="140" t="n">
        <v>0</v>
      </c>
      <c r="X150" s="140" t="b">
        <v>0</v>
      </c>
      <c r="Y150" s="143">
        <f>IF(H150=FALSE,VLOOKUP($C150,Sales!$C:$F,4,FALSE),1)</f>
        <v/>
      </c>
      <c r="Z150" s="140">
        <f>IF(Y150=0,"Release",IF(AND(L150&lt;J150,Y150=1,H150=FALSE,U150=FALSE,MONTH(L150)&amp;"/"&amp;YEAR(L150)&lt;&gt;MONTH(J150)&amp;"/"&amp;YEAR(J150)),"Release",""))</f>
        <v/>
      </c>
      <c r="AA150" s="144">
        <f>_xlfn.minifs($L:$L,$C:$C,$C150,$F:$F,"&lt;&gt;0")</f>
        <v/>
      </c>
      <c r="AB150" s="144">
        <f>C150&amp;"-"&amp;A150</f>
        <v/>
      </c>
      <c r="AC150" s="144">
        <f>L150</f>
        <v/>
      </c>
    </row>
    <row r="151">
      <c r="A151" s="140" t="inlineStr">
        <is>
          <t>ZCON01</t>
        </is>
      </c>
      <c r="B151" s="140" t="n">
        <v>2</v>
      </c>
      <c r="C151" s="140" t="inlineStr">
        <is>
          <t>HVC101</t>
        </is>
      </c>
      <c r="D151" s="140" t="inlineStr">
        <is>
          <t>C</t>
        </is>
      </c>
      <c r="E151" s="140" t="inlineStr">
        <is>
          <t>Conradie Gerhard Lotter</t>
        </is>
      </c>
      <c r="F151" s="141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</f>
        <v/>
      </c>
      <c r="G151" s="142" t="n">
        <v>44681</v>
      </c>
      <c r="H151" s="140">
        <f>VLOOKUP($C151,Sales!$C:$E,2,FALSE)</f>
        <v/>
      </c>
      <c r="I151" s="140">
        <f>VLOOKUP($C151,Sales!$C:$E,3,FALSE)</f>
        <v/>
      </c>
      <c r="J151" s="142">
        <f>SUMIFS(Sales!$H:$H,Sales!$C:$C,'Investor Exit List'!$C151)</f>
        <v/>
      </c>
      <c r="K151" s="142">
        <f>IF(I151=TRUE,J151,"")</f>
        <v/>
      </c>
      <c r="L151" s="142">
        <f>G151+730</f>
        <v/>
      </c>
      <c r="M151" s="142" t="n">
        <v>45443</v>
      </c>
      <c r="N151" s="143">
        <f>IFERROR(IF(G151&lt;&gt;"",IF(I151=TRUE,0,IF(U151=TRUE,0,L151-M151)),0),0)</f>
        <v/>
      </c>
      <c r="O151" s="143">
        <f>IF(N151&gt;0,IF(N151&lt;=180,N151,0),0)</f>
        <v/>
      </c>
      <c r="P151" s="141">
        <f>IF(AND(N151&lt;90,N151&gt;0),Q151,0)</f>
        <v/>
      </c>
      <c r="Q151" s="141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/>
      </c>
      <c r="R151" s="141">
        <f>IF(AND(H151=TRUE,I151=FALSE),Q151,0)</f>
        <v/>
      </c>
      <c r="S151" s="141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/>
      </c>
      <c r="T151" s="142">
        <f>IF(U151=TRUE,$J151,"")</f>
        <v/>
      </c>
      <c r="U151" s="140" t="b">
        <v>0</v>
      </c>
      <c r="V151" s="141">
        <f>IF(AND(H151=TRUE,OR(K151="",K151&gt;M151)),S151,0)</f>
        <v/>
      </c>
      <c r="W151" s="140" t="n">
        <v>0</v>
      </c>
      <c r="X151" s="140" t="b">
        <v>0</v>
      </c>
      <c r="Y151" s="143">
        <f>IF(H151=FALSE,VLOOKUP($C151,Sales!$C:$F,4,FALSE),1)</f>
        <v/>
      </c>
      <c r="Z151" s="140">
        <f>IF(Y151=0,"Release",IF(AND(L151&lt;J151,Y151=1,H151=FALSE,U151=FALSE,MONTH(L151)&amp;"/"&amp;YEAR(L151)&lt;&gt;MONTH(J151)&amp;"/"&amp;YEAR(J151)),"Release",""))</f>
        <v/>
      </c>
      <c r="AA151" s="144">
        <f>_xlfn.minifs($L:$L,$C:$C,$C151,$F:$F,"&lt;&gt;0")</f>
        <v/>
      </c>
      <c r="AB151" s="144">
        <f>C151&amp;"-"&amp;A151</f>
        <v/>
      </c>
      <c r="AC151" s="144">
        <f>L151</f>
        <v/>
      </c>
    </row>
    <row r="152">
      <c r="A152" s="140" t="inlineStr">
        <is>
          <t>ZDEH01</t>
        </is>
      </c>
      <c r="B152" s="140" t="n">
        <v>2</v>
      </c>
      <c r="C152" s="140" t="inlineStr">
        <is>
          <t>HVC101</t>
        </is>
      </c>
      <c r="D152" s="140" t="inlineStr">
        <is>
          <t>C</t>
        </is>
      </c>
      <c r="E152" s="140" t="inlineStr">
        <is>
          <t>Oberholzer Charl</t>
        </is>
      </c>
      <c r="F152" s="141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</f>
        <v/>
      </c>
      <c r="G152" s="142" t="n">
        <v>44889</v>
      </c>
      <c r="H152" s="140">
        <f>VLOOKUP($C152,Sales!$C:$E,2,FALSE)</f>
        <v/>
      </c>
      <c r="I152" s="140">
        <f>VLOOKUP($C152,Sales!$C:$E,3,FALSE)</f>
        <v/>
      </c>
      <c r="J152" s="142">
        <f>SUMIFS(Sales!$H:$H,Sales!$C:$C,'Investor Exit List'!$C152)</f>
        <v/>
      </c>
      <c r="K152" s="142">
        <f>IF(I152=TRUE,J152,"")</f>
        <v/>
      </c>
      <c r="L152" s="142">
        <f>G152+730</f>
        <v/>
      </c>
      <c r="M152" s="142" t="n">
        <v>45443</v>
      </c>
      <c r="N152" s="143">
        <f>IFERROR(IF(G152&lt;&gt;"",IF(I152=TRUE,0,IF(U152=TRUE,0,L152-M152)),0),0)</f>
        <v/>
      </c>
      <c r="O152" s="143">
        <f>IF(N152&gt;0,IF(N152&lt;=180,N152,0),0)</f>
        <v/>
      </c>
      <c r="P152" s="141">
        <f>IF(AND(N152&lt;90,N152&gt;0),Q152,0)</f>
        <v/>
      </c>
      <c r="Q152" s="141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/>
      </c>
      <c r="R152" s="141">
        <f>IF(AND(H152=TRUE,I152=FALSE),Q152,0)</f>
        <v/>
      </c>
      <c r="S152" s="141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/>
      </c>
      <c r="T152" s="142">
        <f>IF(U152=TRUE,$J152,"")</f>
        <v/>
      </c>
      <c r="U152" s="140" t="b">
        <v>0</v>
      </c>
      <c r="V152" s="141">
        <f>IF(AND(H152=TRUE,OR(K152="",K152&gt;M152)),S152,0)</f>
        <v/>
      </c>
      <c r="W152" s="140" t="n">
        <v>0</v>
      </c>
      <c r="X152" s="140" t="b">
        <v>0</v>
      </c>
      <c r="Y152" s="143">
        <f>IF(H152=FALSE,VLOOKUP($C152,Sales!$C:$F,4,FALSE),1)</f>
        <v/>
      </c>
      <c r="Z152" s="140">
        <f>IF(Y152=0,"Release",IF(AND(L152&lt;J152,Y152=1,H152=FALSE,U152=FALSE,MONTH(L152)&amp;"/"&amp;YEAR(L152)&lt;&gt;MONTH(J152)&amp;"/"&amp;YEAR(J152)),"Release",""))</f>
        <v/>
      </c>
      <c r="AA152" s="144">
        <f>_xlfn.minifs($L:$L,$C:$C,$C152,$F:$F,"&lt;&gt;0")</f>
        <v/>
      </c>
      <c r="AB152" s="144">
        <f>C152&amp;"-"&amp;A152</f>
        <v/>
      </c>
      <c r="AC152" s="144">
        <f>L152</f>
        <v/>
      </c>
    </row>
    <row r="153">
      <c r="A153" s="140" t="inlineStr">
        <is>
          <t>ZERA02</t>
        </is>
      </c>
      <c r="B153" s="140" t="n">
        <v>2</v>
      </c>
      <c r="C153" s="140" t="inlineStr">
        <is>
          <t>HVC101</t>
        </is>
      </c>
      <c r="D153" s="140" t="inlineStr">
        <is>
          <t>C</t>
        </is>
      </c>
      <c r="E153" s="140" t="inlineStr">
        <is>
          <t>Erasmus Chantal Celeste Jafthaleen</t>
        </is>
      </c>
      <c r="F153" s="141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</f>
        <v/>
      </c>
      <c r="G153" s="142" t="n">
        <v>44889</v>
      </c>
      <c r="H153" s="140">
        <f>VLOOKUP($C153,Sales!$C:$E,2,FALSE)</f>
        <v/>
      </c>
      <c r="I153" s="140">
        <f>VLOOKUP($C153,Sales!$C:$E,3,FALSE)</f>
        <v/>
      </c>
      <c r="J153" s="142">
        <f>SUMIFS(Sales!$H:$H,Sales!$C:$C,'Investor Exit List'!$C153)</f>
        <v/>
      </c>
      <c r="K153" s="142">
        <f>IF(I153=TRUE,J153,"")</f>
        <v/>
      </c>
      <c r="L153" s="142">
        <f>G153+730</f>
        <v/>
      </c>
      <c r="M153" s="142" t="n">
        <v>45443</v>
      </c>
      <c r="N153" s="143">
        <f>IFERROR(IF(G153&lt;&gt;"",IF(I153=TRUE,0,IF(U153=TRUE,0,L153-M153)),0),0)</f>
        <v/>
      </c>
      <c r="O153" s="143">
        <f>IF(N153&gt;0,IF(N153&lt;=180,N153,0),0)</f>
        <v/>
      </c>
      <c r="P153" s="141">
        <f>IF(AND(N153&lt;90,N153&gt;0),Q153,0)</f>
        <v/>
      </c>
      <c r="Q153" s="141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/>
      </c>
      <c r="R153" s="141">
        <f>IF(AND(H153=TRUE,I153=FALSE),Q153,0)</f>
        <v/>
      </c>
      <c r="S153" s="141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/>
      </c>
      <c r="T153" s="142">
        <f>IF(U153=TRUE,$J153,"")</f>
        <v/>
      </c>
      <c r="U153" s="140" t="b">
        <v>0</v>
      </c>
      <c r="V153" s="141">
        <f>IF(AND(H153=TRUE,OR(K153="",K153&gt;M153)),S153,0)</f>
        <v/>
      </c>
      <c r="W153" s="140" t="n">
        <v>0</v>
      </c>
      <c r="X153" s="140" t="b">
        <v>0</v>
      </c>
      <c r="Y153" s="143">
        <f>IF(H153=FALSE,VLOOKUP($C153,Sales!$C:$F,4,FALSE),1)</f>
        <v/>
      </c>
      <c r="Z153" s="140">
        <f>IF(Y153=0,"Release",IF(AND(L153&lt;J153,Y153=1,H153=FALSE,U153=FALSE,MONTH(L153)&amp;"/"&amp;YEAR(L153)&lt;&gt;MONTH(J153)&amp;"/"&amp;YEAR(J153)),"Release",""))</f>
        <v/>
      </c>
      <c r="AA153" s="144">
        <f>_xlfn.minifs($L:$L,$C:$C,$C153,$F:$F,"&lt;&gt;0")</f>
        <v/>
      </c>
      <c r="AB153" s="144">
        <f>C153&amp;"-"&amp;A153</f>
        <v/>
      </c>
      <c r="AC153" s="144">
        <f>L153</f>
        <v/>
      </c>
    </row>
    <row r="154">
      <c r="A154" s="140" t="inlineStr">
        <is>
          <t>ZKRI02</t>
        </is>
      </c>
      <c r="B154" s="140" t="n">
        <v>2</v>
      </c>
      <c r="C154" s="140" t="inlineStr">
        <is>
          <t>HVC102</t>
        </is>
      </c>
      <c r="D154" s="140" t="inlineStr">
        <is>
          <t>C</t>
        </is>
      </c>
      <c r="E154" s="140" t="inlineStr">
        <is>
          <t>Kriel Hermanus Johannes</t>
        </is>
      </c>
      <c r="F154" s="141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</f>
        <v/>
      </c>
      <c r="G154" s="142" t="n">
        <v>44861</v>
      </c>
      <c r="H154" s="140">
        <f>VLOOKUP($C154,Sales!$C:$E,2,FALSE)</f>
        <v/>
      </c>
      <c r="I154" s="140">
        <f>VLOOKUP($C154,Sales!$C:$E,3,FALSE)</f>
        <v/>
      </c>
      <c r="J154" s="142">
        <f>SUMIFS(Sales!$H:$H,Sales!$C:$C,'Investor Exit List'!$C154)</f>
        <v/>
      </c>
      <c r="K154" s="142">
        <f>IF(I154=TRUE,J154,"")</f>
        <v/>
      </c>
      <c r="L154" s="142">
        <f>G154+730</f>
        <v/>
      </c>
      <c r="M154" s="142" t="n">
        <v>45443</v>
      </c>
      <c r="N154" s="143">
        <f>IFERROR(IF(G154&lt;&gt;"",IF(I154=TRUE,0,IF(U154=TRUE,0,L154-M154)),0),0)</f>
        <v/>
      </c>
      <c r="O154" s="143">
        <f>IF(N154&gt;0,IF(N154&lt;=180,N154,0),0)</f>
        <v/>
      </c>
      <c r="P154" s="141">
        <f>IF(AND(N154&lt;90,N154&gt;0),Q154,0)</f>
        <v/>
      </c>
      <c r="Q154" s="141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/>
      </c>
      <c r="R154" s="141">
        <f>IF(AND(H154=TRUE,I154=FALSE),Q154,0)</f>
        <v/>
      </c>
      <c r="S154" s="141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/>
      </c>
      <c r="T154" s="142">
        <f>IF(U154=TRUE,$J154,"")</f>
        <v/>
      </c>
      <c r="U154" s="140" t="b">
        <v>0</v>
      </c>
      <c r="V154" s="141">
        <f>IF(AND(H154=TRUE,OR(K154="",K154&gt;M154)),S154,0)</f>
        <v/>
      </c>
      <c r="W154" s="140" t="n">
        <v>0</v>
      </c>
      <c r="X154" s="140" t="b">
        <v>0</v>
      </c>
      <c r="Y154" s="143">
        <f>IF(H154=FALSE,VLOOKUP($C154,Sales!$C:$F,4,FALSE),1)</f>
        <v/>
      </c>
      <c r="Z154" s="140">
        <f>IF(Y154=0,"Release",IF(AND(L154&lt;J154,Y154=1,H154=FALSE,U154=FALSE,MONTH(L154)&amp;"/"&amp;YEAR(L154)&lt;&gt;MONTH(J154)&amp;"/"&amp;YEAR(J154)),"Release",""))</f>
        <v/>
      </c>
      <c r="AA154" s="144">
        <f>_xlfn.minifs($L:$L,$C:$C,$C154,$F:$F,"&lt;&gt;0")</f>
        <v/>
      </c>
      <c r="AB154" s="144">
        <f>C154&amp;"-"&amp;A154</f>
        <v/>
      </c>
      <c r="AC154" s="144">
        <f>L154</f>
        <v/>
      </c>
    </row>
    <row r="155">
      <c r="A155" s="140" t="inlineStr">
        <is>
          <t>ZDEV01</t>
        </is>
      </c>
      <c r="B155" s="140" t="n">
        <v>1</v>
      </c>
      <c r="C155" s="140" t="inlineStr">
        <is>
          <t>HVC103</t>
        </is>
      </c>
      <c r="D155" s="140" t="inlineStr">
        <is>
          <t>C</t>
        </is>
      </c>
      <c r="E155" s="140" t="inlineStr">
        <is>
          <t>de Villiers Andre Deric</t>
        </is>
      </c>
      <c r="F155" s="141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</f>
        <v/>
      </c>
      <c r="G155" s="142" t="n">
        <v>44861</v>
      </c>
      <c r="H155" s="140">
        <f>VLOOKUP($C155,Sales!$C:$E,2,FALSE)</f>
        <v/>
      </c>
      <c r="I155" s="140">
        <f>VLOOKUP($C155,Sales!$C:$E,3,FALSE)</f>
        <v/>
      </c>
      <c r="J155" s="142">
        <f>SUMIFS(Sales!$H:$H,Sales!$C:$C,'Investor Exit List'!$C155)</f>
        <v/>
      </c>
      <c r="K155" s="142">
        <f>IF(I155=TRUE,J155,"")</f>
        <v/>
      </c>
      <c r="L155" s="142">
        <f>G155+730</f>
        <v/>
      </c>
      <c r="M155" s="142" t="n">
        <v>45443</v>
      </c>
      <c r="N155" s="143">
        <f>IFERROR(IF(G155&lt;&gt;"",IF(I155=TRUE,0,IF(U155=TRUE,0,L155-M155)),0),0)</f>
        <v/>
      </c>
      <c r="O155" s="143">
        <f>IF(N155&gt;0,IF(N155&lt;=180,N155,0),0)</f>
        <v/>
      </c>
      <c r="P155" s="141">
        <f>IF(AND(N155&lt;90,N155&gt;0),Q155,0)</f>
        <v/>
      </c>
      <c r="Q155" s="141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/>
      </c>
      <c r="R155" s="141">
        <f>IF(AND(H155=TRUE,I155=FALSE),Q155,0)</f>
        <v/>
      </c>
      <c r="S155" s="141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/>
      </c>
      <c r="T155" s="142">
        <f>IF(U155=TRUE,$J155,"")</f>
        <v/>
      </c>
      <c r="U155" s="140" t="b">
        <v>0</v>
      </c>
      <c r="V155" s="141">
        <f>IF(AND(H155=TRUE,OR(K155="",K155&gt;M155)),S155,0)</f>
        <v/>
      </c>
      <c r="W155" s="140" t="n">
        <v>0</v>
      </c>
      <c r="X155" s="140" t="b">
        <v>0</v>
      </c>
      <c r="Y155" s="143">
        <f>IF(H155=FALSE,VLOOKUP($C155,Sales!$C:$F,4,FALSE),1)</f>
        <v/>
      </c>
      <c r="Z155" s="140">
        <f>IF(Y155=0,"Release",IF(AND(L155&lt;J155,Y155=1,H155=FALSE,U155=FALSE,MONTH(L155)&amp;"/"&amp;YEAR(L155)&lt;&gt;MONTH(J155)&amp;"/"&amp;YEAR(J155)),"Release",""))</f>
        <v/>
      </c>
      <c r="AA155" s="144">
        <f>_xlfn.minifs($L:$L,$C:$C,$C155,$F:$F,"&lt;&gt;0")</f>
        <v/>
      </c>
      <c r="AB155" s="144">
        <f>C155&amp;"-"&amp;A155</f>
        <v/>
      </c>
      <c r="AC155" s="144">
        <f>L155</f>
        <v/>
      </c>
    </row>
    <row r="156">
      <c r="A156" s="140" t="inlineStr">
        <is>
          <t>ZTHA01</t>
        </is>
      </c>
      <c r="B156" s="140" t="n">
        <v>2</v>
      </c>
      <c r="C156" s="140" t="inlineStr">
        <is>
          <t>HVC103</t>
        </is>
      </c>
      <c r="D156" s="140" t="inlineStr">
        <is>
          <t>C</t>
        </is>
      </c>
      <c r="E156" s="140" t="inlineStr">
        <is>
          <t>Matthee Gerald Adriaan Odendal</t>
        </is>
      </c>
      <c r="F156" s="141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</f>
        <v/>
      </c>
      <c r="G156" s="142" t="n">
        <v>44868</v>
      </c>
      <c r="H156" s="140">
        <f>VLOOKUP($C156,Sales!$C:$E,2,FALSE)</f>
        <v/>
      </c>
      <c r="I156" s="140">
        <f>VLOOKUP($C156,Sales!$C:$E,3,FALSE)</f>
        <v/>
      </c>
      <c r="J156" s="142">
        <f>SUMIFS(Sales!$H:$H,Sales!$C:$C,'Investor Exit List'!$C156)</f>
        <v/>
      </c>
      <c r="K156" s="142">
        <f>IF(I156=TRUE,J156,"")</f>
        <v/>
      </c>
      <c r="L156" s="142">
        <f>G156+730</f>
        <v/>
      </c>
      <c r="M156" s="142" t="n">
        <v>45443</v>
      </c>
      <c r="N156" s="143">
        <f>IFERROR(IF(G156&lt;&gt;"",IF(I156=TRUE,0,IF(U156=TRUE,0,L156-M156)),0),0)</f>
        <v/>
      </c>
      <c r="O156" s="143">
        <f>IF(N156&gt;0,IF(N156&lt;=180,N156,0),0)</f>
        <v/>
      </c>
      <c r="P156" s="141">
        <f>IF(AND(N156&lt;90,N156&gt;0),Q156,0)</f>
        <v/>
      </c>
      <c r="Q156" s="141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/>
      </c>
      <c r="R156" s="141">
        <f>IF(AND(H156=TRUE,I156=FALSE),Q156,0)</f>
        <v/>
      </c>
      <c r="S156" s="141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/>
      </c>
      <c r="T156" s="142">
        <f>IF(U156=TRUE,$J156,"")</f>
        <v/>
      </c>
      <c r="U156" s="140" t="b">
        <v>0</v>
      </c>
      <c r="V156" s="141">
        <f>IF(AND(H156=TRUE,OR(K156="",K156&gt;M156)),S156,0)</f>
        <v/>
      </c>
      <c r="W156" s="140" t="n">
        <v>0</v>
      </c>
      <c r="X156" s="140" t="b">
        <v>0</v>
      </c>
      <c r="Y156" s="143">
        <f>IF(H156=FALSE,VLOOKUP($C156,Sales!$C:$F,4,FALSE),1)</f>
        <v/>
      </c>
      <c r="Z156" s="140">
        <f>IF(Y156=0,"Release",IF(AND(L156&lt;J156,Y156=1,H156=FALSE,U156=FALSE,MONTH(L156)&amp;"/"&amp;YEAR(L156)&lt;&gt;MONTH(J156)&amp;"/"&amp;YEAR(J156)),"Release",""))</f>
        <v/>
      </c>
      <c r="AA156" s="144">
        <f>_xlfn.minifs($L:$L,$C:$C,$C156,$F:$F,"&lt;&gt;0")</f>
        <v/>
      </c>
      <c r="AB156" s="144">
        <f>C156&amp;"-"&amp;A156</f>
        <v/>
      </c>
      <c r="AC156" s="144">
        <f>L156</f>
        <v/>
      </c>
    </row>
    <row r="157">
      <c r="A157" s="140" t="inlineStr">
        <is>
          <t>ZBEL01</t>
        </is>
      </c>
      <c r="B157" s="140" t="n">
        <v>4</v>
      </c>
      <c r="C157" s="140" t="inlineStr">
        <is>
          <t>HVC104</t>
        </is>
      </c>
      <c r="D157" s="140" t="inlineStr">
        <is>
          <t>C</t>
        </is>
      </c>
      <c r="E157" s="140" t="inlineStr">
        <is>
          <t>Belford Helen Constance</t>
        </is>
      </c>
      <c r="F157" s="141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</f>
        <v/>
      </c>
      <c r="G157" s="142" t="n">
        <v>44868</v>
      </c>
      <c r="H157" s="140">
        <f>VLOOKUP($C157,Sales!$C:$E,2,FALSE)</f>
        <v/>
      </c>
      <c r="I157" s="140">
        <f>VLOOKUP($C157,Sales!$C:$E,3,FALSE)</f>
        <v/>
      </c>
      <c r="J157" s="142">
        <f>SUMIFS(Sales!$H:$H,Sales!$C:$C,'Investor Exit List'!$C157)</f>
        <v/>
      </c>
      <c r="K157" s="142">
        <f>IF(I157=TRUE,J157,"")</f>
        <v/>
      </c>
      <c r="L157" s="142">
        <f>G157+730</f>
        <v/>
      </c>
      <c r="M157" s="142" t="n">
        <v>45443</v>
      </c>
      <c r="N157" s="143">
        <f>IFERROR(IF(G157&lt;&gt;"",IF(I157=TRUE,0,IF(U157=TRUE,0,L157-M157)),0),0)</f>
        <v/>
      </c>
      <c r="O157" s="143">
        <f>IF(N157&gt;0,IF(N157&lt;=180,N157,0),0)</f>
        <v/>
      </c>
      <c r="P157" s="141">
        <f>IF(AND(N157&lt;90,N157&gt;0),Q157,0)</f>
        <v/>
      </c>
      <c r="Q157" s="141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/>
      </c>
      <c r="R157" s="141">
        <f>IF(AND(H157=TRUE,I157=FALSE),Q157,0)</f>
        <v/>
      </c>
      <c r="S157" s="141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/>
      </c>
      <c r="T157" s="142">
        <f>IF(U157=TRUE,$J157,"")</f>
        <v/>
      </c>
      <c r="U157" s="140" t="b">
        <v>0</v>
      </c>
      <c r="V157" s="141">
        <f>IF(AND(H157=TRUE,OR(K157="",K157&gt;M157)),S157,0)</f>
        <v/>
      </c>
      <c r="W157" s="140" t="n">
        <v>0</v>
      </c>
      <c r="X157" s="140" t="b">
        <v>0</v>
      </c>
      <c r="Y157" s="143">
        <f>IF(H157=FALSE,VLOOKUP($C157,Sales!$C:$F,4,FALSE),1)</f>
        <v/>
      </c>
      <c r="Z157" s="140">
        <f>IF(Y157=0,"Release",IF(AND(L157&lt;J157,Y157=1,H157=FALSE,U157=FALSE,MONTH(L157)&amp;"/"&amp;YEAR(L157)&lt;&gt;MONTH(J157)&amp;"/"&amp;YEAR(J157)),"Release",""))</f>
        <v/>
      </c>
      <c r="AA157" s="144">
        <f>_xlfn.minifs($L:$L,$C:$C,$C157,$F:$F,"&lt;&gt;0")</f>
        <v/>
      </c>
      <c r="AB157" s="144">
        <f>C157&amp;"-"&amp;A157</f>
        <v/>
      </c>
      <c r="AC157" s="144">
        <f>L157</f>
        <v/>
      </c>
    </row>
    <row r="158">
      <c r="A158" s="140" t="inlineStr">
        <is>
          <t>ZLEW01</t>
        </is>
      </c>
      <c r="B158" s="140" t="n">
        <v>8</v>
      </c>
      <c r="C158" s="140" t="inlineStr">
        <is>
          <t>HVC104</t>
        </is>
      </c>
      <c r="D158" s="140" t="inlineStr">
        <is>
          <t>C</t>
        </is>
      </c>
      <c r="E158" s="140" t="inlineStr">
        <is>
          <t>Lewis Martina Christina</t>
        </is>
      </c>
      <c r="F158" s="141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</f>
        <v/>
      </c>
      <c r="G158" s="142" t="n">
        <v>44889</v>
      </c>
      <c r="H158" s="140">
        <f>VLOOKUP($C158,Sales!$C:$E,2,FALSE)</f>
        <v/>
      </c>
      <c r="I158" s="140">
        <f>VLOOKUP($C158,Sales!$C:$E,3,FALSE)</f>
        <v/>
      </c>
      <c r="J158" s="142">
        <f>SUMIFS(Sales!$H:$H,Sales!$C:$C,'Investor Exit List'!$C158)</f>
        <v/>
      </c>
      <c r="K158" s="142">
        <f>IF(I158=TRUE,J158,"")</f>
        <v/>
      </c>
      <c r="L158" s="142">
        <f>G158+730</f>
        <v/>
      </c>
      <c r="M158" s="142" t="n">
        <v>45443</v>
      </c>
      <c r="N158" s="143">
        <f>IFERROR(IF(G158&lt;&gt;"",IF(I158=TRUE,0,IF(U158=TRUE,0,L158-M158)),0),0)</f>
        <v/>
      </c>
      <c r="O158" s="143">
        <f>IF(N158&gt;0,IF(N158&lt;=180,N158,0),0)</f>
        <v/>
      </c>
      <c r="P158" s="141">
        <f>IF(AND(N158&lt;90,N158&gt;0),Q158,0)</f>
        <v/>
      </c>
      <c r="Q158" s="141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/>
      </c>
      <c r="R158" s="141">
        <f>IF(AND(H158=TRUE,I158=FALSE),Q158,0)</f>
        <v/>
      </c>
      <c r="S158" s="141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/>
      </c>
      <c r="T158" s="142">
        <f>IF(U158=TRUE,$J158,"")</f>
        <v/>
      </c>
      <c r="U158" s="140" t="b">
        <v>0</v>
      </c>
      <c r="V158" s="141">
        <f>IF(AND(H158=TRUE,OR(K158="",K158&gt;M158)),S158,0)</f>
        <v/>
      </c>
      <c r="W158" s="140" t="n">
        <v>0</v>
      </c>
      <c r="X158" s="140" t="b">
        <v>0</v>
      </c>
      <c r="Y158" s="143">
        <f>IF(H158=FALSE,VLOOKUP($C158,Sales!$C:$F,4,FALSE),1)</f>
        <v/>
      </c>
      <c r="Z158" s="140">
        <f>IF(Y158=0,"Release",IF(AND(L158&lt;J158,Y158=1,H158=FALSE,U158=FALSE,MONTH(L158)&amp;"/"&amp;YEAR(L158)&lt;&gt;MONTH(J158)&amp;"/"&amp;YEAR(J158)),"Release",""))</f>
        <v/>
      </c>
      <c r="AA158" s="144">
        <f>_xlfn.minifs($L:$L,$C:$C,$C158,$F:$F,"&lt;&gt;0")</f>
        <v/>
      </c>
      <c r="AB158" s="144">
        <f>C158&amp;"-"&amp;A158</f>
        <v/>
      </c>
      <c r="AC158" s="144">
        <f>L158</f>
        <v/>
      </c>
    </row>
    <row r="159">
      <c r="A159" s="140" t="inlineStr">
        <is>
          <t>ZDEM01</t>
        </is>
      </c>
      <c r="B159" s="140" t="n">
        <v>2</v>
      </c>
      <c r="C159" s="140" t="inlineStr">
        <is>
          <t>HVC105</t>
        </is>
      </c>
      <c r="D159" s="140" t="inlineStr">
        <is>
          <t>C</t>
        </is>
      </c>
      <c r="E159" s="140" t="inlineStr">
        <is>
          <t>De Montille Gillies Nikian Anton</t>
        </is>
      </c>
      <c r="F159" s="141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</f>
        <v/>
      </c>
      <c r="G159" s="142" t="n">
        <v>44889</v>
      </c>
      <c r="H159" s="140">
        <f>VLOOKUP($C159,Sales!$C:$E,2,FALSE)</f>
        <v/>
      </c>
      <c r="I159" s="140">
        <f>VLOOKUP($C159,Sales!$C:$E,3,FALSE)</f>
        <v/>
      </c>
      <c r="J159" s="142">
        <f>SUMIFS(Sales!$H:$H,Sales!$C:$C,'Investor Exit List'!$C159)</f>
        <v/>
      </c>
      <c r="K159" s="142">
        <f>IF(I159=TRUE,J159,"")</f>
        <v/>
      </c>
      <c r="L159" s="142">
        <f>G159+730</f>
        <v/>
      </c>
      <c r="M159" s="142" t="n">
        <v>45443</v>
      </c>
      <c r="N159" s="143">
        <f>IFERROR(IF(G159&lt;&gt;"",IF(I159=TRUE,0,IF(U159=TRUE,0,L159-M159)),0),0)</f>
        <v/>
      </c>
      <c r="O159" s="143">
        <f>IF(N159&gt;0,IF(N159&lt;=180,N159,0),0)</f>
        <v/>
      </c>
      <c r="P159" s="141">
        <f>IF(AND(N159&lt;90,N159&gt;0),Q159,0)</f>
        <v/>
      </c>
      <c r="Q159" s="141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/>
      </c>
      <c r="R159" s="141">
        <f>IF(AND(H159=TRUE,I159=FALSE),Q159,0)</f>
        <v/>
      </c>
      <c r="S159" s="141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/>
      </c>
      <c r="T159" s="142">
        <f>IF(U159=TRUE,$J159,"")</f>
        <v/>
      </c>
      <c r="U159" s="140" t="b">
        <v>0</v>
      </c>
      <c r="V159" s="141">
        <f>IF(AND(H159=TRUE,OR(K159="",K159&gt;M159)),S159,0)</f>
        <v/>
      </c>
      <c r="W159" s="140" t="n">
        <v>0</v>
      </c>
      <c r="X159" s="140" t="b">
        <v>0</v>
      </c>
      <c r="Y159" s="143">
        <f>IF(H159=FALSE,VLOOKUP($C159,Sales!$C:$F,4,FALSE),1)</f>
        <v/>
      </c>
      <c r="Z159" s="140">
        <f>IF(Y159=0,"Release",IF(AND(L159&lt;J159,Y159=1,H159=FALSE,U159=FALSE,MONTH(L159)&amp;"/"&amp;YEAR(L159)&lt;&gt;MONTH(J159)&amp;"/"&amp;YEAR(J159)),"Release",""))</f>
        <v/>
      </c>
      <c r="AA159" s="144">
        <f>_xlfn.minifs($L:$L,$C:$C,$C159,$F:$F,"&lt;&gt;0")</f>
        <v/>
      </c>
      <c r="AB159" s="144">
        <f>C159&amp;"-"&amp;A159</f>
        <v/>
      </c>
      <c r="AC159" s="144">
        <f>L159</f>
        <v/>
      </c>
    </row>
    <row r="160">
      <c r="A160" s="140" t="inlineStr">
        <is>
          <t>ZWED01</t>
        </is>
      </c>
      <c r="B160" s="140" t="n">
        <v>6</v>
      </c>
      <c r="C160" s="140" t="inlineStr">
        <is>
          <t>HVC105</t>
        </is>
      </c>
      <c r="D160" s="140" t="inlineStr">
        <is>
          <t>C</t>
        </is>
      </c>
      <c r="E160" s="140" t="inlineStr">
        <is>
          <t>Wedermann Hans Jurgen Peter</t>
        </is>
      </c>
      <c r="F160" s="141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</f>
        <v/>
      </c>
      <c r="G160" s="142" t="n">
        <v>44861</v>
      </c>
      <c r="H160" s="140">
        <f>VLOOKUP($C160,Sales!$C:$E,2,FALSE)</f>
        <v/>
      </c>
      <c r="I160" s="140">
        <f>VLOOKUP($C160,Sales!$C:$E,3,FALSE)</f>
        <v/>
      </c>
      <c r="J160" s="142">
        <f>SUMIFS(Sales!$H:$H,Sales!$C:$C,'Investor Exit List'!$C160)</f>
        <v/>
      </c>
      <c r="K160" s="142">
        <f>IF(I160=TRUE,J160,"")</f>
        <v/>
      </c>
      <c r="L160" s="142">
        <f>G160+730</f>
        <v/>
      </c>
      <c r="M160" s="142" t="n">
        <v>45443</v>
      </c>
      <c r="N160" s="143">
        <f>IFERROR(IF(G160&lt;&gt;"",IF(I160=TRUE,0,IF(U160=TRUE,0,L160-M160)),0),0)</f>
        <v/>
      </c>
      <c r="O160" s="143">
        <f>IF(N160&gt;0,IF(N160&lt;=180,N160,0),0)</f>
        <v/>
      </c>
      <c r="P160" s="141">
        <f>IF(AND(N160&lt;90,N160&gt;0),Q160,0)</f>
        <v/>
      </c>
      <c r="Q160" s="141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/>
      </c>
      <c r="R160" s="141">
        <f>IF(AND(H160=TRUE,I160=FALSE),Q160,0)</f>
        <v/>
      </c>
      <c r="S160" s="141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/>
      </c>
      <c r="T160" s="142">
        <f>IF(U160=TRUE,$J160,"")</f>
        <v/>
      </c>
      <c r="U160" s="140" t="b">
        <v>0</v>
      </c>
      <c r="V160" s="141">
        <f>IF(AND(H160=TRUE,OR(K160="",K160&gt;M160)),S160,0)</f>
        <v/>
      </c>
      <c r="W160" s="140" t="n">
        <v>0</v>
      </c>
      <c r="X160" s="140" t="b">
        <v>0</v>
      </c>
      <c r="Y160" s="143">
        <f>IF(H160=FALSE,VLOOKUP($C160,Sales!$C:$F,4,FALSE),1)</f>
        <v/>
      </c>
      <c r="Z160" s="140">
        <f>IF(Y160=0,"Release",IF(AND(L160&lt;J160,Y160=1,H160=FALSE,U160=FALSE,MONTH(L160)&amp;"/"&amp;YEAR(L160)&lt;&gt;MONTH(J160)&amp;"/"&amp;YEAR(J160)),"Release",""))</f>
        <v/>
      </c>
      <c r="AA160" s="144">
        <f>_xlfn.minifs($L:$L,$C:$C,$C160,$F:$F,"&lt;&gt;0")</f>
        <v/>
      </c>
      <c r="AB160" s="144">
        <f>C160&amp;"-"&amp;A160</f>
        <v/>
      </c>
      <c r="AC160" s="144">
        <f>L160</f>
        <v/>
      </c>
    </row>
    <row r="161">
      <c r="A161" s="140" t="inlineStr">
        <is>
          <t>ZNUN01</t>
        </is>
      </c>
      <c r="B161" s="140" t="n">
        <v>7</v>
      </c>
      <c r="C161" s="140" t="inlineStr">
        <is>
          <t>HVC106</t>
        </is>
      </c>
      <c r="D161" s="140" t="inlineStr">
        <is>
          <t>C</t>
        </is>
      </c>
      <c r="E161" s="140" t="inlineStr">
        <is>
          <t>Nunes Francisco Antonio</t>
        </is>
      </c>
      <c r="F161" s="141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</f>
        <v/>
      </c>
      <c r="G161" s="142" t="n">
        <v>44876</v>
      </c>
      <c r="H161" s="140">
        <f>VLOOKUP($C161,Sales!$C:$E,2,FALSE)</f>
        <v/>
      </c>
      <c r="I161" s="140">
        <f>VLOOKUP($C161,Sales!$C:$E,3,FALSE)</f>
        <v/>
      </c>
      <c r="J161" s="142">
        <f>SUMIFS(Sales!$H:$H,Sales!$C:$C,'Investor Exit List'!$C161)</f>
        <v/>
      </c>
      <c r="K161" s="142">
        <f>IF(I161=TRUE,J161,"")</f>
        <v/>
      </c>
      <c r="L161" s="142">
        <f>G161+730</f>
        <v/>
      </c>
      <c r="M161" s="142" t="n">
        <v>45443</v>
      </c>
      <c r="N161" s="143">
        <f>IFERROR(IF(G161&lt;&gt;"",IF(I161=TRUE,0,IF(U161=TRUE,0,L161-M161)),0),0)</f>
        <v/>
      </c>
      <c r="O161" s="143">
        <f>IF(N161&gt;0,IF(N161&lt;=180,N161,0),0)</f>
        <v/>
      </c>
      <c r="P161" s="141">
        <f>IF(AND(N161&lt;90,N161&gt;0),Q161,0)</f>
        <v/>
      </c>
      <c r="Q161" s="141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/>
      </c>
      <c r="R161" s="141">
        <f>IF(AND(H161=TRUE,I161=FALSE),Q161,0)</f>
        <v/>
      </c>
      <c r="S161" s="141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/>
      </c>
      <c r="T161" s="142">
        <f>IF(U161=TRUE,$J161,"")</f>
        <v/>
      </c>
      <c r="U161" s="140" t="b">
        <v>0</v>
      </c>
      <c r="V161" s="141">
        <f>IF(AND(H161=TRUE,OR(K161="",K161&gt;M161)),S161,0)</f>
        <v/>
      </c>
      <c r="W161" s="140" t="n">
        <v>0</v>
      </c>
      <c r="X161" s="140" t="b">
        <v>0</v>
      </c>
      <c r="Y161" s="143">
        <f>IF(H161=FALSE,VLOOKUP($C161,Sales!$C:$F,4,FALSE),1)</f>
        <v/>
      </c>
      <c r="Z161" s="140">
        <f>IF(Y161=0,"Release",IF(AND(L161&lt;J161,Y161=1,H161=FALSE,U161=FALSE,MONTH(L161)&amp;"/"&amp;YEAR(L161)&lt;&gt;MONTH(J161)&amp;"/"&amp;YEAR(J161)),"Release",""))</f>
        <v/>
      </c>
      <c r="AA161" s="144">
        <f>_xlfn.minifs($L:$L,$C:$C,$C161,$F:$F,"&lt;&gt;0")</f>
        <v/>
      </c>
      <c r="AB161" s="144">
        <f>C161&amp;"-"&amp;A161</f>
        <v/>
      </c>
      <c r="AC161" s="144">
        <f>L161</f>
        <v/>
      </c>
    </row>
    <row r="162">
      <c r="A162" s="140" t="inlineStr">
        <is>
          <t>ZOLI01</t>
        </is>
      </c>
      <c r="B162" s="140" t="n">
        <v>3</v>
      </c>
      <c r="C162" s="140" t="inlineStr">
        <is>
          <t>HVC106</t>
        </is>
      </c>
      <c r="D162" s="140" t="inlineStr">
        <is>
          <t>C</t>
        </is>
      </c>
      <c r="E162" s="140" t="inlineStr">
        <is>
          <t>Olivier Jan Lukas Cornelus</t>
        </is>
      </c>
      <c r="F162" s="141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</f>
        <v/>
      </c>
      <c r="G162" s="142" t="n">
        <v>44889</v>
      </c>
      <c r="H162" s="140">
        <f>VLOOKUP($C162,Sales!$C:$E,2,FALSE)</f>
        <v/>
      </c>
      <c r="I162" s="140">
        <f>VLOOKUP($C162,Sales!$C:$E,3,FALSE)</f>
        <v/>
      </c>
      <c r="J162" s="142">
        <f>SUMIFS(Sales!$H:$H,Sales!$C:$C,'Investor Exit List'!$C162)</f>
        <v/>
      </c>
      <c r="K162" s="142">
        <f>IF(I162=TRUE,J162,"")</f>
        <v/>
      </c>
      <c r="L162" s="142">
        <f>G162+730</f>
        <v/>
      </c>
      <c r="M162" s="142" t="n">
        <v>45443</v>
      </c>
      <c r="N162" s="143">
        <f>IFERROR(IF(G162&lt;&gt;"",IF(I162=TRUE,0,IF(U162=TRUE,0,L162-M162)),0),0)</f>
        <v/>
      </c>
      <c r="O162" s="143">
        <f>IF(N162&gt;0,IF(N162&lt;=180,N162,0),0)</f>
        <v/>
      </c>
      <c r="P162" s="141">
        <f>IF(AND(N162&lt;90,N162&gt;0),Q162,0)</f>
        <v/>
      </c>
      <c r="Q162" s="141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/>
      </c>
      <c r="R162" s="141">
        <f>IF(AND(H162=TRUE,I162=FALSE),Q162,0)</f>
        <v/>
      </c>
      <c r="S162" s="141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/>
      </c>
      <c r="T162" s="142">
        <f>IF(U162=TRUE,$J162,"")</f>
        <v/>
      </c>
      <c r="U162" s="140" t="b">
        <v>0</v>
      </c>
      <c r="V162" s="141">
        <f>IF(AND(H162=TRUE,OR(K162="",K162&gt;M162)),S162,0)</f>
        <v/>
      </c>
      <c r="W162" s="140" t="n">
        <v>0</v>
      </c>
      <c r="X162" s="140" t="b">
        <v>0</v>
      </c>
      <c r="Y162" s="143">
        <f>IF(H162=FALSE,VLOOKUP($C162,Sales!$C:$F,4,FALSE),1)</f>
        <v/>
      </c>
      <c r="Z162" s="140">
        <f>IF(Y162=0,"Release",IF(AND(L162&lt;J162,Y162=1,H162=FALSE,U162=FALSE,MONTH(L162)&amp;"/"&amp;YEAR(L162)&lt;&gt;MONTH(J162)&amp;"/"&amp;YEAR(J162)),"Release",""))</f>
        <v/>
      </c>
      <c r="AA162" s="144">
        <f>_xlfn.minifs($L:$L,$C:$C,$C162,$F:$F,"&lt;&gt;0")</f>
        <v/>
      </c>
      <c r="AB162" s="144">
        <f>C162&amp;"-"&amp;A162</f>
        <v/>
      </c>
      <c r="AC162" s="144">
        <f>L162</f>
        <v/>
      </c>
    </row>
    <row r="163">
      <c r="A163" s="140" t="inlineStr">
        <is>
          <t>ZRIT01</t>
        </is>
      </c>
      <c r="B163" s="140" t="n">
        <v>5</v>
      </c>
      <c r="C163" s="140" t="inlineStr">
        <is>
          <t>HVC106</t>
        </is>
      </c>
      <c r="D163" s="140" t="inlineStr">
        <is>
          <t>C</t>
        </is>
      </c>
      <c r="E163" s="140" t="inlineStr">
        <is>
          <t>Ritter Dennis</t>
        </is>
      </c>
      <c r="F163" s="141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</f>
        <v/>
      </c>
      <c r="G163" s="142" t="n">
        <v>44889</v>
      </c>
      <c r="H163" s="140">
        <f>VLOOKUP($C163,Sales!$C:$E,2,FALSE)</f>
        <v/>
      </c>
      <c r="I163" s="140">
        <f>VLOOKUP($C163,Sales!$C:$E,3,FALSE)</f>
        <v/>
      </c>
      <c r="J163" s="142">
        <f>SUMIFS(Sales!$H:$H,Sales!$C:$C,'Investor Exit List'!$C163)</f>
        <v/>
      </c>
      <c r="K163" s="142">
        <f>IF(I163=TRUE,J163,"")</f>
        <v/>
      </c>
      <c r="L163" s="142">
        <f>G163+730</f>
        <v/>
      </c>
      <c r="M163" s="142" t="n">
        <v>45443</v>
      </c>
      <c r="N163" s="143">
        <f>IFERROR(IF(G163&lt;&gt;"",IF(I163=TRUE,0,IF(U163=TRUE,0,L163-M163)),0),0)</f>
        <v/>
      </c>
      <c r="O163" s="143">
        <f>IF(N163&gt;0,IF(N163&lt;=180,N163,0),0)</f>
        <v/>
      </c>
      <c r="P163" s="141">
        <f>IF(AND(N163&lt;90,N163&gt;0),Q163,0)</f>
        <v/>
      </c>
      <c r="Q163" s="141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/>
      </c>
      <c r="R163" s="141">
        <f>IF(AND(H163=TRUE,I163=FALSE),Q163,0)</f>
        <v/>
      </c>
      <c r="S163" s="141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/>
      </c>
      <c r="T163" s="142">
        <f>IF(U163=TRUE,$J163,"")</f>
        <v/>
      </c>
      <c r="U163" s="140" t="b">
        <v>0</v>
      </c>
      <c r="V163" s="141">
        <f>IF(AND(H163=TRUE,OR(K163="",K163&gt;M163)),S163,0)</f>
        <v/>
      </c>
      <c r="W163" s="140" t="n">
        <v>0</v>
      </c>
      <c r="X163" s="140" t="b">
        <v>0</v>
      </c>
      <c r="Y163" s="143">
        <f>IF(H163=FALSE,VLOOKUP($C163,Sales!$C:$F,4,FALSE),1)</f>
        <v/>
      </c>
      <c r="Z163" s="140">
        <f>IF(Y163=0,"Release",IF(AND(L163&lt;J163,Y163=1,H163=FALSE,U163=FALSE,MONTH(L163)&amp;"/"&amp;YEAR(L163)&lt;&gt;MONTH(J163)&amp;"/"&amp;YEAR(J163)),"Release",""))</f>
        <v/>
      </c>
      <c r="AA163" s="144">
        <f>_xlfn.minifs($L:$L,$C:$C,$C163,$F:$F,"&lt;&gt;0")</f>
        <v/>
      </c>
      <c r="AB163" s="144">
        <f>C163&amp;"-"&amp;A163</f>
        <v/>
      </c>
      <c r="AC163" s="144">
        <f>L163</f>
        <v/>
      </c>
    </row>
    <row r="164">
      <c r="A164" s="140" t="inlineStr">
        <is>
          <t>ZCON01</t>
        </is>
      </c>
      <c r="B164" s="140" t="n">
        <v>3</v>
      </c>
      <c r="C164" s="140" t="inlineStr">
        <is>
          <t>HVC201</t>
        </is>
      </c>
      <c r="D164" s="140" t="inlineStr">
        <is>
          <t>C</t>
        </is>
      </c>
      <c r="E164" s="140" t="inlineStr">
        <is>
          <t>Conradie Gerhard Lotter</t>
        </is>
      </c>
      <c r="F164" s="141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</f>
        <v/>
      </c>
      <c r="G164" s="142" t="n">
        <v>44711</v>
      </c>
      <c r="H164" s="140">
        <f>VLOOKUP($C164,Sales!$C:$E,2,FALSE)</f>
        <v/>
      </c>
      <c r="I164" s="140">
        <f>VLOOKUP($C164,Sales!$C:$E,3,FALSE)</f>
        <v/>
      </c>
      <c r="J164" s="142">
        <f>SUMIFS(Sales!$H:$H,Sales!$C:$C,'Investor Exit List'!$C164)</f>
        <v/>
      </c>
      <c r="K164" s="142">
        <f>IF(I164=TRUE,J164,"")</f>
        <v/>
      </c>
      <c r="L164" s="142">
        <f>G164+730</f>
        <v/>
      </c>
      <c r="M164" s="142" t="n">
        <v>45443</v>
      </c>
      <c r="N164" s="143">
        <f>IFERROR(IF(G164&lt;&gt;"",IF(I164=TRUE,0,IF(U164=TRUE,0,L164-M164)),0),0)</f>
        <v/>
      </c>
      <c r="O164" s="143">
        <f>IF(N164&gt;0,IF(N164&lt;=180,N164,0),0)</f>
        <v/>
      </c>
      <c r="P164" s="141">
        <f>IF(AND(N164&lt;90,N164&gt;0),Q164,0)</f>
        <v/>
      </c>
      <c r="Q164" s="141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/>
      </c>
      <c r="R164" s="141">
        <f>IF(AND(H164=TRUE,I164=FALSE),Q164,0)</f>
        <v/>
      </c>
      <c r="S164" s="141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/>
      </c>
      <c r="T164" s="142">
        <f>IF(U164=TRUE,$J164,"")</f>
        <v/>
      </c>
      <c r="U164" s="140" t="b">
        <v>0</v>
      </c>
      <c r="V164" s="141">
        <f>IF(AND(H164=TRUE,OR(K164="",K164&gt;M164)),S164,0)</f>
        <v/>
      </c>
      <c r="W164" s="140" t="n">
        <v>0</v>
      </c>
      <c r="X164" s="140" t="b">
        <v>0</v>
      </c>
      <c r="Y164" s="143">
        <f>IF(H164=FALSE,VLOOKUP($C164,Sales!$C:$F,4,FALSE),1)</f>
        <v/>
      </c>
      <c r="Z164" s="140">
        <f>IF(Y164=0,"Release",IF(AND(L164&lt;J164,Y164=1,H164=FALSE,U164=FALSE,MONTH(L164)&amp;"/"&amp;YEAR(L164)&lt;&gt;MONTH(J164)&amp;"/"&amp;YEAR(J164)),"Release",""))</f>
        <v/>
      </c>
      <c r="AA164" s="144">
        <f>_xlfn.minifs($L:$L,$C:$C,$C164,$F:$F,"&lt;&gt;0")</f>
        <v/>
      </c>
      <c r="AB164" s="144">
        <f>C164&amp;"-"&amp;A164</f>
        <v/>
      </c>
      <c r="AC164" s="144">
        <f>L164</f>
        <v/>
      </c>
    </row>
    <row r="165">
      <c r="A165" s="140" t="inlineStr">
        <is>
          <t>ZDAV01</t>
        </is>
      </c>
      <c r="B165" s="140" t="n">
        <v>4</v>
      </c>
      <c r="C165" s="140" t="inlineStr">
        <is>
          <t>HVC201</t>
        </is>
      </c>
      <c r="D165" s="140" t="inlineStr">
        <is>
          <t>C</t>
        </is>
      </c>
      <c r="E165" s="140" t="inlineStr">
        <is>
          <t>Davies Heather Mary Lyn</t>
        </is>
      </c>
      <c r="F165" s="141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</f>
        <v/>
      </c>
      <c r="G165" s="142" t="n">
        <v>44889</v>
      </c>
      <c r="H165" s="140">
        <f>VLOOKUP($C165,Sales!$C:$E,2,FALSE)</f>
        <v/>
      </c>
      <c r="I165" s="140">
        <f>VLOOKUP($C165,Sales!$C:$E,3,FALSE)</f>
        <v/>
      </c>
      <c r="J165" s="142">
        <f>SUMIFS(Sales!$H:$H,Sales!$C:$C,'Investor Exit List'!$C165)</f>
        <v/>
      </c>
      <c r="K165" s="142">
        <f>IF(I165=TRUE,J165,"")</f>
        <v/>
      </c>
      <c r="L165" s="142">
        <f>G165+730</f>
        <v/>
      </c>
      <c r="M165" s="142" t="n">
        <v>45443</v>
      </c>
      <c r="N165" s="143">
        <f>IFERROR(IF(G165&lt;&gt;"",IF(I165=TRUE,0,IF(U165=TRUE,0,L165-M165)),0),0)</f>
        <v/>
      </c>
      <c r="O165" s="143">
        <f>IF(N165&gt;0,IF(N165&lt;=180,N165,0),0)</f>
        <v/>
      </c>
      <c r="P165" s="141">
        <f>IF(AND(N165&lt;90,N165&gt;0),Q165,0)</f>
        <v/>
      </c>
      <c r="Q165" s="141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/>
      </c>
      <c r="R165" s="141">
        <f>IF(AND(H165=TRUE,I165=FALSE),Q165,0)</f>
        <v/>
      </c>
      <c r="S165" s="141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/>
      </c>
      <c r="T165" s="142">
        <f>IF(U165=TRUE,$J165,"")</f>
        <v/>
      </c>
      <c r="U165" s="140" t="b">
        <v>0</v>
      </c>
      <c r="V165" s="141">
        <f>IF(AND(H165=TRUE,OR(K165="",K165&gt;M165)),S165,0)</f>
        <v/>
      </c>
      <c r="W165" s="140" t="n">
        <v>0</v>
      </c>
      <c r="X165" s="140" t="b">
        <v>0</v>
      </c>
      <c r="Y165" s="143">
        <f>IF(H165=FALSE,VLOOKUP($C165,Sales!$C:$F,4,FALSE),1)</f>
        <v/>
      </c>
      <c r="Z165" s="140">
        <f>IF(Y165=0,"Release",IF(AND(L165&lt;J165,Y165=1,H165=FALSE,U165=FALSE,MONTH(L165)&amp;"/"&amp;YEAR(L165)&lt;&gt;MONTH(J165)&amp;"/"&amp;YEAR(J165)),"Release",""))</f>
        <v/>
      </c>
      <c r="AA165" s="144">
        <f>_xlfn.minifs($L:$L,$C:$C,$C165,$F:$F,"&lt;&gt;0")</f>
        <v/>
      </c>
      <c r="AB165" s="144">
        <f>C165&amp;"-"&amp;A165</f>
        <v/>
      </c>
      <c r="AC165" s="144">
        <f>L165</f>
        <v/>
      </c>
    </row>
    <row r="166">
      <c r="A166" s="140" t="inlineStr">
        <is>
          <t>ZKUS03</t>
        </is>
      </c>
      <c r="B166" s="140" t="n">
        <v>4</v>
      </c>
      <c r="C166" s="140" t="inlineStr">
        <is>
          <t>HVC201</t>
        </is>
      </c>
      <c r="D166" s="140" t="inlineStr">
        <is>
          <t>C</t>
        </is>
      </c>
      <c r="E166" s="140" t="inlineStr">
        <is>
          <t>Kuster Joanne Tracy</t>
        </is>
      </c>
      <c r="F166" s="141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</f>
        <v/>
      </c>
      <c r="G166" s="142" t="n">
        <v>44903</v>
      </c>
      <c r="H166" s="140">
        <f>VLOOKUP($C166,Sales!$C:$E,2,FALSE)</f>
        <v/>
      </c>
      <c r="I166" s="140">
        <f>VLOOKUP($C166,Sales!$C:$E,3,FALSE)</f>
        <v/>
      </c>
      <c r="J166" s="142">
        <f>SUMIFS(Sales!$H:$H,Sales!$C:$C,'Investor Exit List'!$C166)</f>
        <v/>
      </c>
      <c r="K166" s="142">
        <f>IF(I166=TRUE,J166,"")</f>
        <v/>
      </c>
      <c r="L166" s="142">
        <f>G166+730</f>
        <v/>
      </c>
      <c r="M166" s="142" t="n">
        <v>45443</v>
      </c>
      <c r="N166" s="143">
        <f>IFERROR(IF(G166&lt;&gt;"",IF(I166=TRUE,0,IF(U166=TRUE,0,L166-M166)),0),0)</f>
        <v/>
      </c>
      <c r="O166" s="143">
        <f>IF(N166&gt;0,IF(N166&lt;=180,N166,0),0)</f>
        <v/>
      </c>
      <c r="P166" s="141">
        <f>IF(AND(N166&lt;90,N166&gt;0),Q166,0)</f>
        <v/>
      </c>
      <c r="Q166" s="141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/>
      </c>
      <c r="R166" s="141">
        <f>IF(AND(H166=TRUE,I166=FALSE),Q166,0)</f>
        <v/>
      </c>
      <c r="S166" s="141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/>
      </c>
      <c r="T166" s="142">
        <f>IF(U166=TRUE,$J166,"")</f>
        <v/>
      </c>
      <c r="U166" s="140" t="b">
        <v>0</v>
      </c>
      <c r="V166" s="141">
        <f>IF(AND(H166=TRUE,OR(K166="",K166&gt;M166)),S166,0)</f>
        <v/>
      </c>
      <c r="W166" s="140" t="n">
        <v>0</v>
      </c>
      <c r="X166" s="140" t="b">
        <v>0</v>
      </c>
      <c r="Y166" s="143">
        <f>IF(H166=FALSE,VLOOKUP($C166,Sales!$C:$F,4,FALSE),1)</f>
        <v/>
      </c>
      <c r="Z166" s="140">
        <f>IF(Y166=0,"Release",IF(AND(L166&lt;J166,Y166=1,H166=FALSE,U166=FALSE,MONTH(L166)&amp;"/"&amp;YEAR(L166)&lt;&gt;MONTH(J166)&amp;"/"&amp;YEAR(J166)),"Release",""))</f>
        <v/>
      </c>
      <c r="AA166" s="144">
        <f>_xlfn.minifs($L:$L,$C:$C,$C166,$F:$F,"&lt;&gt;0")</f>
        <v/>
      </c>
      <c r="AB166" s="144">
        <f>C166&amp;"-"&amp;A166</f>
        <v/>
      </c>
      <c r="AC166" s="144">
        <f>L166</f>
        <v/>
      </c>
    </row>
    <row r="167">
      <c r="A167" s="140" t="inlineStr">
        <is>
          <t>ZALM01</t>
        </is>
      </c>
      <c r="B167" s="140" t="n">
        <v>6</v>
      </c>
      <c r="C167" s="140" t="inlineStr">
        <is>
          <t>HVC202</t>
        </is>
      </c>
      <c r="D167" s="140" t="inlineStr">
        <is>
          <t>C</t>
        </is>
      </c>
      <c r="E167" s="140" t="inlineStr">
        <is>
          <t>Lunau Marc</t>
        </is>
      </c>
      <c r="F167" s="141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</f>
        <v/>
      </c>
      <c r="G167" s="142" t="n">
        <v>44889</v>
      </c>
      <c r="H167" s="140">
        <f>VLOOKUP($C167,Sales!$C:$E,2,FALSE)</f>
        <v/>
      </c>
      <c r="I167" s="140">
        <f>VLOOKUP($C167,Sales!$C:$E,3,FALSE)</f>
        <v/>
      </c>
      <c r="J167" s="142">
        <f>SUMIFS(Sales!$H:$H,Sales!$C:$C,'Investor Exit List'!$C167)</f>
        <v/>
      </c>
      <c r="K167" s="142">
        <f>IF(I167=TRUE,J167,"")</f>
        <v/>
      </c>
      <c r="L167" s="142">
        <f>G167+730</f>
        <v/>
      </c>
      <c r="M167" s="142" t="n">
        <v>45443</v>
      </c>
      <c r="N167" s="143">
        <f>IFERROR(IF(G167&lt;&gt;"",IF(I167=TRUE,0,IF(U167=TRUE,0,L167-M167)),0),0)</f>
        <v/>
      </c>
      <c r="O167" s="143">
        <f>IF(N167&gt;0,IF(N167&lt;=180,N167,0),0)</f>
        <v/>
      </c>
      <c r="P167" s="141">
        <f>IF(AND(N167&lt;90,N167&gt;0),Q167,0)</f>
        <v/>
      </c>
      <c r="Q167" s="141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/>
      </c>
      <c r="R167" s="141">
        <f>IF(AND(H167=TRUE,I167=FALSE),Q167,0)</f>
        <v/>
      </c>
      <c r="S167" s="141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/>
      </c>
      <c r="T167" s="142">
        <f>IF(U167=TRUE,$J167,"")</f>
        <v/>
      </c>
      <c r="U167" s="140" t="b">
        <v>0</v>
      </c>
      <c r="V167" s="141">
        <f>IF(AND(H167=TRUE,OR(K167="",K167&gt;M167)),S167,0)</f>
        <v/>
      </c>
      <c r="W167" s="140" t="n">
        <v>0</v>
      </c>
      <c r="X167" s="140" t="b">
        <v>0</v>
      </c>
      <c r="Y167" s="143">
        <f>IF(H167=FALSE,VLOOKUP($C167,Sales!$C:$F,4,FALSE),1)</f>
        <v/>
      </c>
      <c r="Z167" s="140">
        <f>IF(Y167=0,"Release",IF(AND(L167&lt;J167,Y167=1,H167=FALSE,U167=FALSE,MONTH(L167)&amp;"/"&amp;YEAR(L167)&lt;&gt;MONTH(J167)&amp;"/"&amp;YEAR(J167)),"Release",""))</f>
        <v/>
      </c>
      <c r="AA167" s="144">
        <f>_xlfn.minifs($L:$L,$C:$C,$C167,$F:$F,"&lt;&gt;0")</f>
        <v/>
      </c>
      <c r="AB167" s="144">
        <f>C167&amp;"-"&amp;A167</f>
        <v/>
      </c>
      <c r="AC167" s="144">
        <f>L167</f>
        <v/>
      </c>
    </row>
    <row r="168">
      <c r="A168" s="140" t="inlineStr">
        <is>
          <t>ZINT01</t>
        </is>
      </c>
      <c r="B168" s="140" t="n">
        <v>14</v>
      </c>
      <c r="C168" s="140" t="inlineStr">
        <is>
          <t>HVC202</t>
        </is>
      </c>
      <c r="D168" s="140" t="inlineStr">
        <is>
          <t>C</t>
        </is>
      </c>
      <c r="E168" s="140" t="inlineStr">
        <is>
          <t>Lunau Marc</t>
        </is>
      </c>
      <c r="F168" s="141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</f>
        <v/>
      </c>
      <c r="G168" s="142" t="n">
        <v>45072</v>
      </c>
      <c r="H168" s="140">
        <f>VLOOKUP($C168,Sales!$C:$E,2,FALSE)</f>
        <v/>
      </c>
      <c r="I168" s="140">
        <f>VLOOKUP($C168,Sales!$C:$E,3,FALSE)</f>
        <v/>
      </c>
      <c r="J168" s="142">
        <f>SUMIFS(Sales!$H:$H,Sales!$C:$C,'Investor Exit List'!$C168)</f>
        <v/>
      </c>
      <c r="K168" s="142">
        <f>IF(I168=TRUE,J168,"")</f>
        <v/>
      </c>
      <c r="L168" s="142">
        <f>G168+730</f>
        <v/>
      </c>
      <c r="M168" s="142" t="n">
        <v>45443</v>
      </c>
      <c r="N168" s="143">
        <f>IFERROR(IF(G168&lt;&gt;"",IF(I168=TRUE,0,IF(U168=TRUE,0,L168-M168)),0),0)</f>
        <v/>
      </c>
      <c r="O168" s="143">
        <f>IF(N168&gt;0,IF(N168&lt;=180,N168,0),0)</f>
        <v/>
      </c>
      <c r="P168" s="141">
        <f>IF(AND(N168&lt;90,N168&gt;0),Q168,0)</f>
        <v/>
      </c>
      <c r="Q168" s="141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/>
      </c>
      <c r="R168" s="141">
        <f>IF(AND(H168=TRUE,I168=FALSE),Q168,0)</f>
        <v/>
      </c>
      <c r="S168" s="141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/>
      </c>
      <c r="T168" s="142">
        <f>IF(U168=TRUE,$J168,"")</f>
        <v/>
      </c>
      <c r="U168" s="140" t="b">
        <v>0</v>
      </c>
      <c r="V168" s="141">
        <f>IF(AND(H168=TRUE,OR(K168="",K168&gt;M168)),S168,0)</f>
        <v/>
      </c>
      <c r="W168" s="140" t="n">
        <v>0</v>
      </c>
      <c r="X168" s="140" t="b">
        <v>0</v>
      </c>
      <c r="Y168" s="143">
        <f>IF(H168=FALSE,VLOOKUP($C168,Sales!$C:$F,4,FALSE),1)</f>
        <v/>
      </c>
      <c r="Z168" s="140">
        <f>IF(Y168=0,"Release",IF(AND(L168&lt;J168,Y168=1,H168=FALSE,U168=FALSE,MONTH(L168)&amp;"/"&amp;YEAR(L168)&lt;&gt;MONTH(J168)&amp;"/"&amp;YEAR(J168)),"Release",""))</f>
        <v/>
      </c>
      <c r="AA168" s="144">
        <f>_xlfn.minifs($L:$L,$C:$C,$C168,$F:$F,"&lt;&gt;0")</f>
        <v/>
      </c>
      <c r="AB168" s="144">
        <f>C168&amp;"-"&amp;A168</f>
        <v/>
      </c>
      <c r="AC168" s="144">
        <f>L168</f>
        <v/>
      </c>
    </row>
    <row r="169">
      <c r="A169" s="140" t="inlineStr">
        <is>
          <t>ZMON01</t>
        </is>
      </c>
      <c r="B169" s="140" t="n">
        <v>1</v>
      </c>
      <c r="C169" s="140" t="inlineStr">
        <is>
          <t>HVC202</t>
        </is>
      </c>
      <c r="D169" s="140" t="inlineStr">
        <is>
          <t>C</t>
        </is>
      </c>
      <c r="E169" s="140" t="inlineStr">
        <is>
          <t>Moni Zolani</t>
        </is>
      </c>
      <c r="F169" s="141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</f>
        <v/>
      </c>
      <c r="G169" s="142" t="n">
        <v>45016</v>
      </c>
      <c r="H169" s="140">
        <f>VLOOKUP($C169,Sales!$C:$E,2,FALSE)</f>
        <v/>
      </c>
      <c r="I169" s="140">
        <f>VLOOKUP($C169,Sales!$C:$E,3,FALSE)</f>
        <v/>
      </c>
      <c r="J169" s="142">
        <f>SUMIFS(Sales!$H:$H,Sales!$C:$C,'Investor Exit List'!$C169)</f>
        <v/>
      </c>
      <c r="K169" s="142">
        <f>IF(I169=TRUE,J169,"")</f>
        <v/>
      </c>
      <c r="L169" s="142">
        <f>G169+730</f>
        <v/>
      </c>
      <c r="M169" s="142" t="n">
        <v>45443</v>
      </c>
      <c r="N169" s="143">
        <f>IFERROR(IF(G169&lt;&gt;"",IF(I169=TRUE,0,IF(U169=TRUE,0,L169-M169)),0),0)</f>
        <v/>
      </c>
      <c r="O169" s="143">
        <f>IF(N169&gt;0,IF(N169&lt;=180,N169,0),0)</f>
        <v/>
      </c>
      <c r="P169" s="141">
        <f>IF(AND(N169&lt;90,N169&gt;0),Q169,0)</f>
        <v/>
      </c>
      <c r="Q169" s="141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/>
      </c>
      <c r="R169" s="141">
        <f>IF(AND(H169=TRUE,I169=FALSE),Q169,0)</f>
        <v/>
      </c>
      <c r="S169" s="141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/>
      </c>
      <c r="T169" s="142">
        <f>IF(U169=TRUE,$J169,"")</f>
        <v/>
      </c>
      <c r="U169" s="140" t="b">
        <v>0</v>
      </c>
      <c r="V169" s="141">
        <f>IF(AND(H169=TRUE,OR(K169="",K169&gt;M169)),S169,0)</f>
        <v/>
      </c>
      <c r="W169" s="140" t="n">
        <v>0</v>
      </c>
      <c r="X169" s="140" t="b">
        <v>0</v>
      </c>
      <c r="Y169" s="143">
        <f>IF(H169=FALSE,VLOOKUP($C169,Sales!$C:$F,4,FALSE),1)</f>
        <v/>
      </c>
      <c r="Z169" s="140">
        <f>IF(Y169=0,"Release",IF(AND(L169&lt;J169,Y169=1,H169=FALSE,U169=FALSE,MONTH(L169)&amp;"/"&amp;YEAR(L169)&lt;&gt;MONTH(J169)&amp;"/"&amp;YEAR(J169)),"Release",""))</f>
        <v/>
      </c>
      <c r="AA169" s="144">
        <f>_xlfn.minifs($L:$L,$C:$C,$C169,$F:$F,"&lt;&gt;0")</f>
        <v/>
      </c>
      <c r="AB169" s="144">
        <f>C169&amp;"-"&amp;A169</f>
        <v/>
      </c>
      <c r="AC169" s="144">
        <f>L169</f>
        <v/>
      </c>
    </row>
    <row r="170">
      <c r="A170" s="140" t="inlineStr">
        <is>
          <t>ZPER01</t>
        </is>
      </c>
      <c r="B170" s="140" t="n">
        <v>1</v>
      </c>
      <c r="C170" s="140" t="inlineStr">
        <is>
          <t>HVC202</t>
        </is>
      </c>
      <c r="D170" s="140" t="inlineStr">
        <is>
          <t>C</t>
        </is>
      </c>
      <c r="E170" s="140" t="inlineStr">
        <is>
          <t>Olivier Abraham Jacobus</t>
        </is>
      </c>
      <c r="F170" s="141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</f>
        <v/>
      </c>
      <c r="G170" s="142" t="n">
        <v>44903</v>
      </c>
      <c r="H170" s="140">
        <f>VLOOKUP($C170,Sales!$C:$E,2,FALSE)</f>
        <v/>
      </c>
      <c r="I170" s="140">
        <f>VLOOKUP($C170,Sales!$C:$E,3,FALSE)</f>
        <v/>
      </c>
      <c r="J170" s="142">
        <f>SUMIFS(Sales!$H:$H,Sales!$C:$C,'Investor Exit List'!$C170)</f>
        <v/>
      </c>
      <c r="K170" s="142">
        <f>IF(I170=TRUE,J170,"")</f>
        <v/>
      </c>
      <c r="L170" s="142">
        <f>G170+730</f>
        <v/>
      </c>
      <c r="M170" s="142" t="n">
        <v>45443</v>
      </c>
      <c r="N170" s="143">
        <f>IFERROR(IF(G170&lt;&gt;"",IF(I170=TRUE,0,IF(U170=TRUE,0,L170-M170)),0),0)</f>
        <v/>
      </c>
      <c r="O170" s="143">
        <f>IF(N170&gt;0,IF(N170&lt;=180,N170,0),0)</f>
        <v/>
      </c>
      <c r="P170" s="141">
        <f>IF(AND(N170&lt;90,N170&gt;0),Q170,0)</f>
        <v/>
      </c>
      <c r="Q170" s="141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/>
      </c>
      <c r="R170" s="141">
        <f>IF(AND(H170=TRUE,I170=FALSE),Q170,0)</f>
        <v/>
      </c>
      <c r="S170" s="141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/>
      </c>
      <c r="T170" s="142">
        <f>IF(U170=TRUE,$J170,"")</f>
        <v/>
      </c>
      <c r="U170" s="140" t="b">
        <v>0</v>
      </c>
      <c r="V170" s="141">
        <f>IF(AND(H170=TRUE,OR(K170="",K170&gt;M170)),S170,0)</f>
        <v/>
      </c>
      <c r="W170" s="140" t="n">
        <v>0</v>
      </c>
      <c r="X170" s="140" t="b">
        <v>0</v>
      </c>
      <c r="Y170" s="143">
        <f>IF(H170=FALSE,VLOOKUP($C170,Sales!$C:$F,4,FALSE),1)</f>
        <v/>
      </c>
      <c r="Z170" s="140">
        <f>IF(Y170=0,"Release",IF(AND(L170&lt;J170,Y170=1,H170=FALSE,U170=FALSE,MONTH(L170)&amp;"/"&amp;YEAR(L170)&lt;&gt;MONTH(J170)&amp;"/"&amp;YEAR(J170)),"Release",""))</f>
        <v/>
      </c>
      <c r="AA170" s="144">
        <f>_xlfn.minifs($L:$L,$C:$C,$C170,$F:$F,"&lt;&gt;0")</f>
        <v/>
      </c>
      <c r="AB170" s="144">
        <f>C170&amp;"-"&amp;A170</f>
        <v/>
      </c>
      <c r="AC170" s="144">
        <f>L170</f>
        <v/>
      </c>
    </row>
    <row r="171">
      <c r="A171" s="140" t="inlineStr">
        <is>
          <t>ZRAB02</t>
        </is>
      </c>
      <c r="B171" s="140" t="n">
        <v>2</v>
      </c>
      <c r="C171" s="140" t="inlineStr">
        <is>
          <t>HVC202</t>
        </is>
      </c>
      <c r="D171" s="140" t="inlineStr">
        <is>
          <t>C</t>
        </is>
      </c>
      <c r="E171" s="140" t="inlineStr">
        <is>
          <t>Rabe (Mc Dowell) Roisin Natalie</t>
        </is>
      </c>
      <c r="F171" s="141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</f>
        <v/>
      </c>
      <c r="G171" s="142" t="n">
        <v>44903</v>
      </c>
      <c r="H171" s="140">
        <f>VLOOKUP($C171,Sales!$C:$E,2,FALSE)</f>
        <v/>
      </c>
      <c r="I171" s="140">
        <f>VLOOKUP($C171,Sales!$C:$E,3,FALSE)</f>
        <v/>
      </c>
      <c r="J171" s="142">
        <f>SUMIFS(Sales!$H:$H,Sales!$C:$C,'Investor Exit List'!$C171)</f>
        <v/>
      </c>
      <c r="K171" s="142">
        <f>IF(I171=TRUE,J171,"")</f>
        <v/>
      </c>
      <c r="L171" s="142">
        <f>G171+730</f>
        <v/>
      </c>
      <c r="M171" s="142" t="n">
        <v>45443</v>
      </c>
      <c r="N171" s="143">
        <f>IFERROR(IF(G171&lt;&gt;"",IF(I171=TRUE,0,IF(U171=TRUE,0,L171-M171)),0),0)</f>
        <v/>
      </c>
      <c r="O171" s="143">
        <f>IF(N171&gt;0,IF(N171&lt;=180,N171,0),0)</f>
        <v/>
      </c>
      <c r="P171" s="141">
        <f>IF(AND(N171&lt;90,N171&gt;0),Q171,0)</f>
        <v/>
      </c>
      <c r="Q171" s="141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/>
      </c>
      <c r="R171" s="141">
        <f>IF(AND(H171=TRUE,I171=FALSE),Q171,0)</f>
        <v/>
      </c>
      <c r="S171" s="141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/>
      </c>
      <c r="T171" s="142">
        <f>IF(U171=TRUE,$J171,"")</f>
        <v/>
      </c>
      <c r="U171" s="140" t="b">
        <v>0</v>
      </c>
      <c r="V171" s="141">
        <f>IF(AND(H171=TRUE,OR(K171="",K171&gt;M171)),S171,0)</f>
        <v/>
      </c>
      <c r="W171" s="140" t="n">
        <v>0</v>
      </c>
      <c r="X171" s="140" t="b">
        <v>0</v>
      </c>
      <c r="Y171" s="143">
        <f>IF(H171=FALSE,VLOOKUP($C171,Sales!$C:$F,4,FALSE),1)</f>
        <v/>
      </c>
      <c r="Z171" s="140">
        <f>IF(Y171=0,"Release",IF(AND(L171&lt;J171,Y171=1,H171=FALSE,U171=FALSE,MONTH(L171)&amp;"/"&amp;YEAR(L171)&lt;&gt;MONTH(J171)&amp;"/"&amp;YEAR(J171)),"Release",""))</f>
        <v/>
      </c>
      <c r="AA171" s="144">
        <f>_xlfn.minifs($L:$L,$C:$C,$C171,$F:$F,"&lt;&gt;0")</f>
        <v/>
      </c>
      <c r="AB171" s="144">
        <f>C171&amp;"-"&amp;A171</f>
        <v/>
      </c>
      <c r="AC171" s="144">
        <f>L171</f>
        <v/>
      </c>
    </row>
    <row r="172">
      <c r="A172" s="140" t="inlineStr">
        <is>
          <t>ZRIT01</t>
        </is>
      </c>
      <c r="B172" s="140" t="n">
        <v>6</v>
      </c>
      <c r="C172" s="140" t="inlineStr">
        <is>
          <t>HVC202</t>
        </is>
      </c>
      <c r="D172" s="140" t="inlineStr">
        <is>
          <t>C</t>
        </is>
      </c>
      <c r="E172" s="140" t="inlineStr">
        <is>
          <t>Ritter Dennis</t>
        </is>
      </c>
      <c r="F172" s="141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</f>
        <v/>
      </c>
      <c r="G172" s="142" t="n">
        <v>44889</v>
      </c>
      <c r="H172" s="140">
        <f>VLOOKUP($C172,Sales!$C:$E,2,FALSE)</f>
        <v/>
      </c>
      <c r="I172" s="140">
        <f>VLOOKUP($C172,Sales!$C:$E,3,FALSE)</f>
        <v/>
      </c>
      <c r="J172" s="142">
        <f>SUMIFS(Sales!$H:$H,Sales!$C:$C,'Investor Exit List'!$C172)</f>
        <v/>
      </c>
      <c r="K172" s="142">
        <f>IF(I172=TRUE,J172,"")</f>
        <v/>
      </c>
      <c r="L172" s="142">
        <f>G172+730</f>
        <v/>
      </c>
      <c r="M172" s="142" t="n">
        <v>45443</v>
      </c>
      <c r="N172" s="143">
        <f>IFERROR(IF(G172&lt;&gt;"",IF(I172=TRUE,0,IF(U172=TRUE,0,L172-M172)),0),0)</f>
        <v/>
      </c>
      <c r="O172" s="143">
        <f>IF(N172&gt;0,IF(N172&lt;=180,N172,0),0)</f>
        <v/>
      </c>
      <c r="P172" s="141">
        <f>IF(AND(N172&lt;90,N172&gt;0),Q172,0)</f>
        <v/>
      </c>
      <c r="Q172" s="141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/>
      </c>
      <c r="R172" s="141">
        <f>IF(AND(H172=TRUE,I172=FALSE),Q172,0)</f>
        <v/>
      </c>
      <c r="S172" s="141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/>
      </c>
      <c r="T172" s="142">
        <f>IF(U172=TRUE,$J172,"")</f>
        <v/>
      </c>
      <c r="U172" s="140" t="b">
        <v>0</v>
      </c>
      <c r="V172" s="141">
        <f>IF(AND(H172=TRUE,OR(K172="",K172&gt;M172)),S172,0)</f>
        <v/>
      </c>
      <c r="W172" s="140" t="n">
        <v>0</v>
      </c>
      <c r="X172" s="140" t="b">
        <v>0</v>
      </c>
      <c r="Y172" s="143">
        <f>IF(H172=FALSE,VLOOKUP($C172,Sales!$C:$F,4,FALSE),1)</f>
        <v/>
      </c>
      <c r="Z172" s="140">
        <f>IF(Y172=0,"Release",IF(AND(L172&lt;J172,Y172=1,H172=FALSE,U172=FALSE,MONTH(L172)&amp;"/"&amp;YEAR(L172)&lt;&gt;MONTH(J172)&amp;"/"&amp;YEAR(J172)),"Release",""))</f>
        <v/>
      </c>
      <c r="AA172" s="144">
        <f>_xlfn.minifs($L:$L,$C:$C,$C172,$F:$F,"&lt;&gt;0")</f>
        <v/>
      </c>
      <c r="AB172" s="144">
        <f>C172&amp;"-"&amp;A172</f>
        <v/>
      </c>
      <c r="AC172" s="144">
        <f>L172</f>
        <v/>
      </c>
    </row>
    <row r="173">
      <c r="A173" s="140" t="inlineStr">
        <is>
          <t>ZVAN11</t>
        </is>
      </c>
      <c r="B173" s="140" t="n">
        <v>1</v>
      </c>
      <c r="C173" s="140" t="inlineStr">
        <is>
          <t>HVC202</t>
        </is>
      </c>
      <c r="D173" s="140" t="inlineStr">
        <is>
          <t>C</t>
        </is>
      </c>
      <c r="E173" s="140" t="inlineStr">
        <is>
          <t>van Bosch Wilma</t>
        </is>
      </c>
      <c r="F173" s="141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</f>
        <v/>
      </c>
      <c r="G173" s="142" t="n">
        <v>44903</v>
      </c>
      <c r="H173" s="140">
        <f>VLOOKUP($C173,Sales!$C:$E,2,FALSE)</f>
        <v/>
      </c>
      <c r="I173" s="140">
        <f>VLOOKUP($C173,Sales!$C:$E,3,FALSE)</f>
        <v/>
      </c>
      <c r="J173" s="142">
        <f>SUMIFS(Sales!$H:$H,Sales!$C:$C,'Investor Exit List'!$C173)</f>
        <v/>
      </c>
      <c r="K173" s="142">
        <f>IF(I173=TRUE,J173,"")</f>
        <v/>
      </c>
      <c r="L173" s="142">
        <f>G173+730</f>
        <v/>
      </c>
      <c r="M173" s="142" t="n">
        <v>45443</v>
      </c>
      <c r="N173" s="143">
        <f>IFERROR(IF(G173&lt;&gt;"",IF(I173=TRUE,0,IF(U173=TRUE,0,L173-M173)),0),0)</f>
        <v/>
      </c>
      <c r="O173" s="143">
        <f>IF(N173&gt;0,IF(N173&lt;=180,N173,0),0)</f>
        <v/>
      </c>
      <c r="P173" s="141">
        <f>IF(AND(N173&lt;90,N173&gt;0),Q173,0)</f>
        <v/>
      </c>
      <c r="Q173" s="141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/>
      </c>
      <c r="R173" s="141">
        <f>IF(AND(H173=TRUE,I173=FALSE),Q173,0)</f>
        <v/>
      </c>
      <c r="S173" s="141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/>
      </c>
      <c r="T173" s="142">
        <f>IF(U173=TRUE,$J173,"")</f>
        <v/>
      </c>
      <c r="U173" s="140" t="b">
        <v>0</v>
      </c>
      <c r="V173" s="141">
        <f>IF(AND(H173=TRUE,OR(K173="",K173&gt;M173)),S173,0)</f>
        <v/>
      </c>
      <c r="W173" s="140" t="n">
        <v>0</v>
      </c>
      <c r="X173" s="140" t="b">
        <v>0</v>
      </c>
      <c r="Y173" s="143">
        <f>IF(H173=FALSE,VLOOKUP($C173,Sales!$C:$F,4,FALSE),1)</f>
        <v/>
      </c>
      <c r="Z173" s="140">
        <f>IF(Y173=0,"Release",IF(AND(L173&lt;J173,Y173=1,H173=FALSE,U173=FALSE,MONTH(L173)&amp;"/"&amp;YEAR(L173)&lt;&gt;MONTH(J173)&amp;"/"&amp;YEAR(J173)),"Release",""))</f>
        <v/>
      </c>
      <c r="AA173" s="144">
        <f>_xlfn.minifs($L:$L,$C:$C,$C173,$F:$F,"&lt;&gt;0")</f>
        <v/>
      </c>
      <c r="AB173" s="144">
        <f>C173&amp;"-"&amp;A173</f>
        <v/>
      </c>
      <c r="AC173" s="144">
        <f>L173</f>
        <v/>
      </c>
    </row>
    <row r="174">
      <c r="A174" s="140" t="inlineStr">
        <is>
          <t>ZDEC01</t>
        </is>
      </c>
      <c r="B174" s="140" t="n">
        <v>2</v>
      </c>
      <c r="C174" s="140" t="inlineStr">
        <is>
          <t>HVC203</t>
        </is>
      </c>
      <c r="D174" s="140" t="inlineStr">
        <is>
          <t>C</t>
        </is>
      </c>
      <c r="E174" s="140" t="inlineStr">
        <is>
          <t>de Clerk Hendrik</t>
        </is>
      </c>
      <c r="F174" s="141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</f>
        <v/>
      </c>
      <c r="G174" s="142" t="n">
        <v>44889</v>
      </c>
      <c r="H174" s="140">
        <f>VLOOKUP($C174,Sales!$C:$E,2,FALSE)</f>
        <v/>
      </c>
      <c r="I174" s="140">
        <f>VLOOKUP($C174,Sales!$C:$E,3,FALSE)</f>
        <v/>
      </c>
      <c r="J174" s="142">
        <f>SUMIFS(Sales!$H:$H,Sales!$C:$C,'Investor Exit List'!$C174)</f>
        <v/>
      </c>
      <c r="K174" s="142">
        <f>IF(I174=TRUE,J174,"")</f>
        <v/>
      </c>
      <c r="L174" s="142">
        <f>G174+730</f>
        <v/>
      </c>
      <c r="M174" s="142" t="n">
        <v>45443</v>
      </c>
      <c r="N174" s="143">
        <f>IFERROR(IF(G174&lt;&gt;"",IF(I174=TRUE,0,IF(U174=TRUE,0,L174-M174)),0),0)</f>
        <v/>
      </c>
      <c r="O174" s="143">
        <f>IF(N174&gt;0,IF(N174&lt;=180,N174,0),0)</f>
        <v/>
      </c>
      <c r="P174" s="141">
        <f>IF(AND(N174&lt;90,N174&gt;0),Q174,0)</f>
        <v/>
      </c>
      <c r="Q174" s="141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/>
      </c>
      <c r="R174" s="141">
        <f>IF(AND(H174=TRUE,I174=FALSE),Q174,0)</f>
        <v/>
      </c>
      <c r="S174" s="141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/>
      </c>
      <c r="T174" s="142">
        <f>IF(U174=TRUE,$J174,"")</f>
        <v/>
      </c>
      <c r="U174" s="140" t="b">
        <v>0</v>
      </c>
      <c r="V174" s="141">
        <f>IF(AND(H174=TRUE,OR(K174="",K174&gt;M174)),S174,0)</f>
        <v/>
      </c>
      <c r="W174" s="140" t="n">
        <v>0</v>
      </c>
      <c r="X174" s="140" t="b">
        <v>0</v>
      </c>
      <c r="Y174" s="143">
        <f>IF(H174=FALSE,VLOOKUP($C174,Sales!$C:$F,4,FALSE),1)</f>
        <v/>
      </c>
      <c r="Z174" s="140">
        <f>IF(Y174=0,"Release",IF(AND(L174&lt;J174,Y174=1,H174=FALSE,U174=FALSE,MONTH(L174)&amp;"/"&amp;YEAR(L174)&lt;&gt;MONTH(J174)&amp;"/"&amp;YEAR(J174)),"Release",""))</f>
        <v/>
      </c>
      <c r="AA174" s="144">
        <f>_xlfn.minifs($L:$L,$C:$C,$C174,$F:$F,"&lt;&gt;0")</f>
        <v/>
      </c>
      <c r="AB174" s="144">
        <f>C174&amp;"-"&amp;A174</f>
        <v/>
      </c>
      <c r="AC174" s="144">
        <f>L174</f>
        <v/>
      </c>
    </row>
    <row r="175">
      <c r="A175" s="140" t="inlineStr">
        <is>
          <t>ZNIE02</t>
        </is>
      </c>
      <c r="B175" s="140" t="n">
        <v>2</v>
      </c>
      <c r="C175" s="140" t="inlineStr">
        <is>
          <t>HVC203</t>
        </is>
      </c>
      <c r="D175" s="140" t="inlineStr">
        <is>
          <t>C</t>
        </is>
      </c>
      <c r="E175" s="140" t="inlineStr">
        <is>
          <t>van Niekerk Linda Kathleen</t>
        </is>
      </c>
      <c r="F175" s="141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</f>
        <v/>
      </c>
      <c r="G175" s="142" t="n">
        <v>44889</v>
      </c>
      <c r="H175" s="140">
        <f>VLOOKUP($C175,Sales!$C:$E,2,FALSE)</f>
        <v/>
      </c>
      <c r="I175" s="140">
        <f>VLOOKUP($C175,Sales!$C:$E,3,FALSE)</f>
        <v/>
      </c>
      <c r="J175" s="142">
        <f>SUMIFS(Sales!$H:$H,Sales!$C:$C,'Investor Exit List'!$C175)</f>
        <v/>
      </c>
      <c r="K175" s="142">
        <f>IF(I175=TRUE,J175,"")</f>
        <v/>
      </c>
      <c r="L175" s="142">
        <f>G175+730</f>
        <v/>
      </c>
      <c r="M175" s="142" t="n">
        <v>45443</v>
      </c>
      <c r="N175" s="143">
        <f>IFERROR(IF(G175&lt;&gt;"",IF(I175=TRUE,0,IF(U175=TRUE,0,L175-M175)),0),0)</f>
        <v/>
      </c>
      <c r="O175" s="143">
        <f>IF(N175&gt;0,IF(N175&lt;=180,N175,0),0)</f>
        <v/>
      </c>
      <c r="P175" s="141">
        <f>IF(AND(N175&lt;90,N175&gt;0),Q175,0)</f>
        <v/>
      </c>
      <c r="Q175" s="141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/>
      </c>
      <c r="R175" s="141">
        <f>IF(AND(H175=TRUE,I175=FALSE),Q175,0)</f>
        <v/>
      </c>
      <c r="S175" s="141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/>
      </c>
      <c r="T175" s="142">
        <f>IF(U175=TRUE,$J175,"")</f>
        <v/>
      </c>
      <c r="U175" s="140" t="b">
        <v>0</v>
      </c>
      <c r="V175" s="141">
        <f>IF(AND(H175=TRUE,OR(K175="",K175&gt;M175)),S175,0)</f>
        <v/>
      </c>
      <c r="W175" s="140" t="n">
        <v>0</v>
      </c>
      <c r="X175" s="140" t="b">
        <v>0</v>
      </c>
      <c r="Y175" s="143">
        <f>IF(H175=FALSE,VLOOKUP($C175,Sales!$C:$F,4,FALSE),1)</f>
        <v/>
      </c>
      <c r="Z175" s="140">
        <f>IF(Y175=0,"Release",IF(AND(L175&lt;J175,Y175=1,H175=FALSE,U175=FALSE,MONTH(L175)&amp;"/"&amp;YEAR(L175)&lt;&gt;MONTH(J175)&amp;"/"&amp;YEAR(J175)),"Release",""))</f>
        <v/>
      </c>
      <c r="AA175" s="144">
        <f>_xlfn.minifs($L:$L,$C:$C,$C175,$F:$F,"&lt;&gt;0")</f>
        <v/>
      </c>
      <c r="AB175" s="144">
        <f>C175&amp;"-"&amp;A175</f>
        <v/>
      </c>
      <c r="AC175" s="144">
        <f>L175</f>
        <v/>
      </c>
    </row>
    <row r="176">
      <c r="A176" s="140" t="inlineStr">
        <is>
          <t>ZCRO01</t>
        </is>
      </c>
      <c r="B176" s="140" t="n">
        <v>13</v>
      </c>
      <c r="C176" s="140" t="inlineStr">
        <is>
          <t>HVC204</t>
        </is>
      </c>
      <c r="D176" s="140" t="inlineStr">
        <is>
          <t>C</t>
        </is>
      </c>
      <c r="E176" s="140" t="inlineStr">
        <is>
          <t>Lunau Marc</t>
        </is>
      </c>
      <c r="F176" s="141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</f>
        <v/>
      </c>
      <c r="G176" s="142" t="n">
        <v>45107</v>
      </c>
      <c r="H176" s="140">
        <f>VLOOKUP($C176,Sales!$C:$E,2,FALSE)</f>
        <v/>
      </c>
      <c r="I176" s="140">
        <f>VLOOKUP($C176,Sales!$C:$E,3,FALSE)</f>
        <v/>
      </c>
      <c r="J176" s="142">
        <f>SUMIFS(Sales!$H:$H,Sales!$C:$C,'Investor Exit List'!$C176)</f>
        <v/>
      </c>
      <c r="K176" s="142">
        <f>IF(I176=TRUE,J176,"")</f>
        <v/>
      </c>
      <c r="L176" s="142">
        <f>G176+730</f>
        <v/>
      </c>
      <c r="M176" s="142" t="n">
        <v>45443</v>
      </c>
      <c r="N176" s="143">
        <f>IFERROR(IF(G176&lt;&gt;"",IF(I176=TRUE,0,IF(U176=TRUE,0,L176-M176)),0),0)</f>
        <v/>
      </c>
      <c r="O176" s="143">
        <f>IF(N176&gt;0,IF(N176&lt;=180,N176,0),0)</f>
        <v/>
      </c>
      <c r="P176" s="141">
        <f>IF(AND(N176&lt;90,N176&gt;0),Q176,0)</f>
        <v/>
      </c>
      <c r="Q176" s="141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/>
      </c>
      <c r="R176" s="141">
        <f>IF(AND(H176=TRUE,I176=FALSE),Q176,0)</f>
        <v/>
      </c>
      <c r="S176" s="141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/>
      </c>
      <c r="T176" s="142">
        <f>IF(U176=TRUE,$J176,"")</f>
        <v/>
      </c>
      <c r="U176" s="140" t="b">
        <v>0</v>
      </c>
      <c r="V176" s="141">
        <f>IF(AND(H176=TRUE,OR(K176="",K176&gt;M176)),S176,0)</f>
        <v/>
      </c>
      <c r="W176" s="140" t="n">
        <v>0</v>
      </c>
      <c r="X176" s="140" t="b">
        <v>0</v>
      </c>
      <c r="Y176" s="143">
        <f>IF(H176=FALSE,VLOOKUP($C176,Sales!$C:$F,4,FALSE),1)</f>
        <v/>
      </c>
      <c r="Z176" s="140">
        <f>IF(Y176=0,"Release",IF(AND(L176&lt;J176,Y176=1,H176=FALSE,U176=FALSE,MONTH(L176)&amp;"/"&amp;YEAR(L176)&lt;&gt;MONTH(J176)&amp;"/"&amp;YEAR(J176)),"Release",""))</f>
        <v/>
      </c>
      <c r="AA176" s="144">
        <f>_xlfn.minifs($L:$L,$C:$C,$C176,$F:$F,"&lt;&gt;0")</f>
        <v/>
      </c>
      <c r="AB176" s="144">
        <f>C176&amp;"-"&amp;A176</f>
        <v/>
      </c>
      <c r="AC176" s="144">
        <f>L176</f>
        <v/>
      </c>
    </row>
    <row r="177">
      <c r="A177" s="140" t="inlineStr">
        <is>
          <t>ZFEM01</t>
        </is>
      </c>
      <c r="B177" s="140" t="n">
        <v>3</v>
      </c>
      <c r="C177" s="140" t="inlineStr">
        <is>
          <t>HVC204</t>
        </is>
      </c>
      <c r="D177" s="140" t="inlineStr">
        <is>
          <t>C</t>
        </is>
      </c>
      <c r="E177" s="140" t="inlineStr">
        <is>
          <t>Morkel Francina Elisabeth</t>
        </is>
      </c>
      <c r="F177" s="141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</f>
        <v/>
      </c>
      <c r="G177" s="142" t="n">
        <v>44916</v>
      </c>
      <c r="H177" s="140">
        <f>VLOOKUP($C177,Sales!$C:$E,2,FALSE)</f>
        <v/>
      </c>
      <c r="I177" s="140">
        <f>VLOOKUP($C177,Sales!$C:$E,3,FALSE)</f>
        <v/>
      </c>
      <c r="J177" s="142">
        <f>SUMIFS(Sales!$H:$H,Sales!$C:$C,'Investor Exit List'!$C177)</f>
        <v/>
      </c>
      <c r="K177" s="142">
        <f>IF(I177=TRUE,J177,"")</f>
        <v/>
      </c>
      <c r="L177" s="142">
        <f>G177+730</f>
        <v/>
      </c>
      <c r="M177" s="142" t="n">
        <v>45443</v>
      </c>
      <c r="N177" s="143">
        <f>IFERROR(IF(G177&lt;&gt;"",IF(I177=TRUE,0,IF(U177=TRUE,0,L177-M177)),0),0)</f>
        <v/>
      </c>
      <c r="O177" s="143">
        <f>IF(N177&gt;0,IF(N177&lt;=180,N177,0),0)</f>
        <v/>
      </c>
      <c r="P177" s="141">
        <f>IF(AND(N177&lt;90,N177&gt;0),Q177,0)</f>
        <v/>
      </c>
      <c r="Q177" s="141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/>
      </c>
      <c r="R177" s="141">
        <f>IF(AND(H177=TRUE,I177=FALSE),Q177,0)</f>
        <v/>
      </c>
      <c r="S177" s="141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/>
      </c>
      <c r="T177" s="142">
        <f>IF(U177=TRUE,$J177,"")</f>
        <v/>
      </c>
      <c r="U177" s="140" t="b">
        <v>0</v>
      </c>
      <c r="V177" s="141">
        <f>IF(AND(H177=TRUE,OR(K177="",K177&gt;M177)),S177,0)</f>
        <v/>
      </c>
      <c r="W177" s="140" t="n">
        <v>0</v>
      </c>
      <c r="X177" s="140" t="b">
        <v>0</v>
      </c>
      <c r="Y177" s="143">
        <f>IF(H177=FALSE,VLOOKUP($C177,Sales!$C:$F,4,FALSE),1)</f>
        <v/>
      </c>
      <c r="Z177" s="140">
        <f>IF(Y177=0,"Release",IF(AND(L177&lt;J177,Y177=1,H177=FALSE,U177=FALSE,MONTH(L177)&amp;"/"&amp;YEAR(L177)&lt;&gt;MONTH(J177)&amp;"/"&amp;YEAR(J177)),"Release",""))</f>
        <v/>
      </c>
      <c r="AA177" s="144">
        <f>_xlfn.minifs($L:$L,$C:$C,$C177,$F:$F,"&lt;&gt;0")</f>
        <v/>
      </c>
      <c r="AB177" s="144">
        <f>C177&amp;"-"&amp;A177</f>
        <v/>
      </c>
      <c r="AC177" s="144">
        <f>L177</f>
        <v/>
      </c>
    </row>
    <row r="178">
      <c r="A178" s="140" t="inlineStr">
        <is>
          <t>ZKUS02</t>
        </is>
      </c>
      <c r="B178" s="140" t="n">
        <v>3</v>
      </c>
      <c r="C178" s="140" t="inlineStr">
        <is>
          <t>HVC204</t>
        </is>
      </c>
      <c r="D178" s="140" t="inlineStr">
        <is>
          <t>C</t>
        </is>
      </c>
      <c r="E178" s="140" t="inlineStr">
        <is>
          <t>Kuster Kerry Lisa</t>
        </is>
      </c>
      <c r="F178" s="141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</f>
        <v/>
      </c>
      <c r="G178" s="142" t="n">
        <v>44889</v>
      </c>
      <c r="H178" s="140">
        <f>VLOOKUP($C178,Sales!$C:$E,2,FALSE)</f>
        <v/>
      </c>
      <c r="I178" s="140">
        <f>VLOOKUP($C178,Sales!$C:$E,3,FALSE)</f>
        <v/>
      </c>
      <c r="J178" s="142">
        <f>SUMIFS(Sales!$H:$H,Sales!$C:$C,'Investor Exit List'!$C178)</f>
        <v/>
      </c>
      <c r="K178" s="142">
        <f>IF(I178=TRUE,J178,"")</f>
        <v/>
      </c>
      <c r="L178" s="142">
        <f>G178+730</f>
        <v/>
      </c>
      <c r="M178" s="142" t="n">
        <v>45443</v>
      </c>
      <c r="N178" s="143">
        <f>IFERROR(IF(G178&lt;&gt;"",IF(I178=TRUE,0,IF(U178=TRUE,0,L178-M178)),0),0)</f>
        <v/>
      </c>
      <c r="O178" s="143">
        <f>IF(N178&gt;0,IF(N178&lt;=180,N178,0),0)</f>
        <v/>
      </c>
      <c r="P178" s="141">
        <f>IF(AND(N178&lt;90,N178&gt;0),Q178,0)</f>
        <v/>
      </c>
      <c r="Q178" s="141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/>
      </c>
      <c r="R178" s="141">
        <f>IF(AND(H178=TRUE,I178=FALSE),Q178,0)</f>
        <v/>
      </c>
      <c r="S178" s="141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/>
      </c>
      <c r="T178" s="142">
        <f>IF(U178=TRUE,$J178,"")</f>
        <v/>
      </c>
      <c r="U178" s="140" t="b">
        <v>0</v>
      </c>
      <c r="V178" s="141">
        <f>IF(AND(H178=TRUE,OR(K178="",K178&gt;M178)),S178,0)</f>
        <v/>
      </c>
      <c r="W178" s="140" t="n">
        <v>0</v>
      </c>
      <c r="X178" s="140" t="b">
        <v>0</v>
      </c>
      <c r="Y178" s="143">
        <f>IF(H178=FALSE,VLOOKUP($C178,Sales!$C:$F,4,FALSE),1)</f>
        <v/>
      </c>
      <c r="Z178" s="140">
        <f>IF(Y178=0,"Release",IF(AND(L178&lt;J178,Y178=1,H178=FALSE,U178=FALSE,MONTH(L178)&amp;"/"&amp;YEAR(L178)&lt;&gt;MONTH(J178)&amp;"/"&amp;YEAR(J178)),"Release",""))</f>
        <v/>
      </c>
      <c r="AA178" s="144">
        <f>_xlfn.minifs($L:$L,$C:$C,$C178,$F:$F,"&lt;&gt;0")</f>
        <v/>
      </c>
      <c r="AB178" s="144">
        <f>C178&amp;"-"&amp;A178</f>
        <v/>
      </c>
      <c r="AC178" s="144">
        <f>L178</f>
        <v/>
      </c>
    </row>
    <row r="179">
      <c r="A179" s="140" t="inlineStr">
        <is>
          <t>ZSTO01</t>
        </is>
      </c>
      <c r="B179" s="140" t="n">
        <v>3</v>
      </c>
      <c r="C179" s="140" t="inlineStr">
        <is>
          <t>HVC204</t>
        </is>
      </c>
      <c r="D179" s="140" t="inlineStr">
        <is>
          <t>C</t>
        </is>
      </c>
      <c r="E179" s="140" t="inlineStr">
        <is>
          <t>Stols Nicolaas</t>
        </is>
      </c>
      <c r="F179" s="141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</f>
        <v/>
      </c>
      <c r="G179" s="142" t="n">
        <v>44889</v>
      </c>
      <c r="H179" s="140">
        <f>VLOOKUP($C179,Sales!$C:$E,2,FALSE)</f>
        <v/>
      </c>
      <c r="I179" s="140">
        <f>VLOOKUP($C179,Sales!$C:$E,3,FALSE)</f>
        <v/>
      </c>
      <c r="J179" s="142">
        <f>SUMIFS(Sales!$H:$H,Sales!$C:$C,'Investor Exit List'!$C179)</f>
        <v/>
      </c>
      <c r="K179" s="142">
        <f>IF(I179=TRUE,J179,"")</f>
        <v/>
      </c>
      <c r="L179" s="142">
        <f>G179+730</f>
        <v/>
      </c>
      <c r="M179" s="142" t="n">
        <v>45443</v>
      </c>
      <c r="N179" s="143">
        <f>IFERROR(IF(G179&lt;&gt;"",IF(I179=TRUE,0,IF(U179=TRUE,0,L179-M179)),0),0)</f>
        <v/>
      </c>
      <c r="O179" s="143">
        <f>IF(N179&gt;0,IF(N179&lt;=180,N179,0),0)</f>
        <v/>
      </c>
      <c r="P179" s="141">
        <f>IF(AND(N179&lt;90,N179&gt;0),Q179,0)</f>
        <v/>
      </c>
      <c r="Q179" s="141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/>
      </c>
      <c r="R179" s="141">
        <f>IF(AND(H179=TRUE,I179=FALSE),Q179,0)</f>
        <v/>
      </c>
      <c r="S179" s="141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/>
      </c>
      <c r="T179" s="142">
        <f>IF(U179=TRUE,$J179,"")</f>
        <v/>
      </c>
      <c r="U179" s="140" t="b">
        <v>0</v>
      </c>
      <c r="V179" s="141">
        <f>IF(AND(H179=TRUE,OR(K179="",K179&gt;M179)),S179,0)</f>
        <v/>
      </c>
      <c r="W179" s="140" t="n">
        <v>0</v>
      </c>
      <c r="X179" s="140" t="b">
        <v>0</v>
      </c>
      <c r="Y179" s="143">
        <f>IF(H179=FALSE,VLOOKUP($C179,Sales!$C:$F,4,FALSE),1)</f>
        <v/>
      </c>
      <c r="Z179" s="140">
        <f>IF(Y179=0,"Release",IF(AND(L179&lt;J179,Y179=1,H179=FALSE,U179=FALSE,MONTH(L179)&amp;"/"&amp;YEAR(L179)&lt;&gt;MONTH(J179)&amp;"/"&amp;YEAR(J179)),"Release",""))</f>
        <v/>
      </c>
      <c r="AA179" s="144">
        <f>_xlfn.minifs($L:$L,$C:$C,$C179,$F:$F,"&lt;&gt;0")</f>
        <v/>
      </c>
      <c r="AB179" s="144">
        <f>C179&amp;"-"&amp;A179</f>
        <v/>
      </c>
      <c r="AC179" s="144">
        <f>L179</f>
        <v/>
      </c>
    </row>
    <row r="180">
      <c r="A180" s="140" t="inlineStr">
        <is>
          <t>ZVAN10</t>
        </is>
      </c>
      <c r="B180" s="140" t="n">
        <v>1</v>
      </c>
      <c r="C180" s="140" t="inlineStr">
        <is>
          <t>HVC204</t>
        </is>
      </c>
      <c r="D180" s="140" t="inlineStr">
        <is>
          <t>C</t>
        </is>
      </c>
      <c r="E180" s="140" t="inlineStr">
        <is>
          <t>van der Merwe Wilhelm Johannes</t>
        </is>
      </c>
      <c r="F180" s="141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</f>
        <v/>
      </c>
      <c r="G180" s="142" t="n">
        <v>44889</v>
      </c>
      <c r="H180" s="140">
        <f>VLOOKUP($C180,Sales!$C:$E,2,FALSE)</f>
        <v/>
      </c>
      <c r="I180" s="140">
        <f>VLOOKUP($C180,Sales!$C:$E,3,FALSE)</f>
        <v/>
      </c>
      <c r="J180" s="142">
        <f>SUMIFS(Sales!$H:$H,Sales!$C:$C,'Investor Exit List'!$C180)</f>
        <v/>
      </c>
      <c r="K180" s="142">
        <f>IF(I180=TRUE,J180,"")</f>
        <v/>
      </c>
      <c r="L180" s="142">
        <f>G180+730</f>
        <v/>
      </c>
      <c r="M180" s="142" t="n">
        <v>45443</v>
      </c>
      <c r="N180" s="143">
        <f>IFERROR(IF(G180&lt;&gt;"",IF(I180=TRUE,0,IF(U180=TRUE,0,L180-M180)),0),0)</f>
        <v/>
      </c>
      <c r="O180" s="143">
        <f>IF(N180&gt;0,IF(N180&lt;=180,N180,0),0)</f>
        <v/>
      </c>
      <c r="P180" s="141">
        <f>IF(AND(N180&lt;90,N180&gt;0),Q180,0)</f>
        <v/>
      </c>
      <c r="Q180" s="141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/>
      </c>
      <c r="R180" s="141">
        <f>IF(AND(H180=TRUE,I180=FALSE),Q180,0)</f>
        <v/>
      </c>
      <c r="S180" s="141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/>
      </c>
      <c r="T180" s="142">
        <f>IF(U180=TRUE,$J180,"")</f>
        <v/>
      </c>
      <c r="U180" s="140" t="b">
        <v>0</v>
      </c>
      <c r="V180" s="141">
        <f>IF(AND(H180=TRUE,OR(K180="",K180&gt;M180)),S180,0)</f>
        <v/>
      </c>
      <c r="W180" s="140" t="n">
        <v>0</v>
      </c>
      <c r="X180" s="140" t="b">
        <v>0</v>
      </c>
      <c r="Y180" s="143">
        <f>IF(H180=FALSE,VLOOKUP($C180,Sales!$C:$F,4,FALSE),1)</f>
        <v/>
      </c>
      <c r="Z180" s="140">
        <f>IF(Y180=0,"Release",IF(AND(L180&lt;J180,Y180=1,H180=FALSE,U180=FALSE,MONTH(L180)&amp;"/"&amp;YEAR(L180)&lt;&gt;MONTH(J180)&amp;"/"&amp;YEAR(J180)),"Release",""))</f>
        <v/>
      </c>
      <c r="AA180" s="144">
        <f>_xlfn.minifs($L:$L,$C:$C,$C180,$F:$F,"&lt;&gt;0")</f>
        <v/>
      </c>
      <c r="AB180" s="144">
        <f>C180&amp;"-"&amp;A180</f>
        <v/>
      </c>
      <c r="AC180" s="144">
        <f>L180</f>
        <v/>
      </c>
    </row>
    <row r="181">
      <c r="A181" s="140" t="inlineStr">
        <is>
          <t>ZWIL01</t>
        </is>
      </c>
      <c r="B181" s="140" t="n">
        <v>2</v>
      </c>
      <c r="C181" s="140" t="inlineStr">
        <is>
          <t>HVC204</t>
        </is>
      </c>
      <c r="D181" s="140" t="inlineStr">
        <is>
          <t>C</t>
        </is>
      </c>
      <c r="E181" s="140" t="inlineStr">
        <is>
          <t>Wilson Gail</t>
        </is>
      </c>
      <c r="F181" s="141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</f>
        <v/>
      </c>
      <c r="G181" s="142" t="n">
        <v>44903</v>
      </c>
      <c r="H181" s="140">
        <f>VLOOKUP($C181,Sales!$C:$E,2,FALSE)</f>
        <v/>
      </c>
      <c r="I181" s="140">
        <f>VLOOKUP($C181,Sales!$C:$E,3,FALSE)</f>
        <v/>
      </c>
      <c r="J181" s="142">
        <f>SUMIFS(Sales!$H:$H,Sales!$C:$C,'Investor Exit List'!$C181)</f>
        <v/>
      </c>
      <c r="K181" s="142">
        <f>IF(I181=TRUE,J181,"")</f>
        <v/>
      </c>
      <c r="L181" s="142">
        <f>G181+730</f>
        <v/>
      </c>
      <c r="M181" s="142" t="n">
        <v>45443</v>
      </c>
      <c r="N181" s="143">
        <f>IFERROR(IF(G181&lt;&gt;"",IF(I181=TRUE,0,IF(U181=TRUE,0,L181-M181)),0),0)</f>
        <v/>
      </c>
      <c r="O181" s="143">
        <f>IF(N181&gt;0,IF(N181&lt;=180,N181,0),0)</f>
        <v/>
      </c>
      <c r="P181" s="141">
        <f>IF(AND(N181&lt;90,N181&gt;0),Q181,0)</f>
        <v/>
      </c>
      <c r="Q181" s="141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/>
      </c>
      <c r="R181" s="141">
        <f>IF(AND(H181=TRUE,I181=FALSE),Q181,0)</f>
        <v/>
      </c>
      <c r="S181" s="141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/>
      </c>
      <c r="T181" s="142">
        <f>IF(U181=TRUE,$J181,"")</f>
        <v/>
      </c>
      <c r="U181" s="140" t="b">
        <v>0</v>
      </c>
      <c r="V181" s="141">
        <f>IF(AND(H181=TRUE,OR(K181="",K181&gt;M181)),S181,0)</f>
        <v/>
      </c>
      <c r="W181" s="140" t="n">
        <v>0</v>
      </c>
      <c r="X181" s="140" t="b">
        <v>0</v>
      </c>
      <c r="Y181" s="143">
        <f>IF(H181=FALSE,VLOOKUP($C181,Sales!$C:$F,4,FALSE),1)</f>
        <v/>
      </c>
      <c r="Z181" s="140">
        <f>IF(Y181=0,"Release",IF(AND(L181&lt;J181,Y181=1,H181=FALSE,U181=FALSE,MONTH(L181)&amp;"/"&amp;YEAR(L181)&lt;&gt;MONTH(J181)&amp;"/"&amp;YEAR(J181)),"Release",""))</f>
        <v/>
      </c>
      <c r="AA181" s="144">
        <f>_xlfn.minifs($L:$L,$C:$C,$C181,$F:$F,"&lt;&gt;0")</f>
        <v/>
      </c>
      <c r="AB181" s="144">
        <f>C181&amp;"-"&amp;A181</f>
        <v/>
      </c>
      <c r="AC181" s="144">
        <f>L181</f>
        <v/>
      </c>
    </row>
    <row r="182">
      <c r="A182" s="140" t="inlineStr">
        <is>
          <t>ZMIL01</t>
        </is>
      </c>
      <c r="B182" s="140" t="n">
        <v>1</v>
      </c>
      <c r="C182" s="140" t="inlineStr">
        <is>
          <t>HVC205</t>
        </is>
      </c>
      <c r="D182" s="140" t="inlineStr">
        <is>
          <t>C</t>
        </is>
      </c>
      <c r="E182" s="140" t="inlineStr">
        <is>
          <t xml:space="preserve">Milne Arno </t>
        </is>
      </c>
      <c r="F182" s="141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</f>
        <v/>
      </c>
      <c r="G182" s="142" t="n">
        <v>44903</v>
      </c>
      <c r="H182" s="140">
        <f>VLOOKUP($C182,Sales!$C:$E,2,FALSE)</f>
        <v/>
      </c>
      <c r="I182" s="140">
        <f>VLOOKUP($C182,Sales!$C:$E,3,FALSE)</f>
        <v/>
      </c>
      <c r="J182" s="142">
        <f>SUMIFS(Sales!$H:$H,Sales!$C:$C,'Investor Exit List'!$C182)</f>
        <v/>
      </c>
      <c r="K182" s="142">
        <f>IF(I182=TRUE,J182,"")</f>
        <v/>
      </c>
      <c r="L182" s="142">
        <f>G182+730</f>
        <v/>
      </c>
      <c r="M182" s="142" t="n">
        <v>45443</v>
      </c>
      <c r="N182" s="143">
        <f>IFERROR(IF(G182&lt;&gt;"",IF(I182=TRUE,0,IF(U182=TRUE,0,L182-M182)),0),0)</f>
        <v/>
      </c>
      <c r="O182" s="143">
        <f>IF(N182&gt;0,IF(N182&lt;=180,N182,0),0)</f>
        <v/>
      </c>
      <c r="P182" s="141">
        <f>IF(AND(N182&lt;90,N182&gt;0),Q182,0)</f>
        <v/>
      </c>
      <c r="Q182" s="141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/>
      </c>
      <c r="R182" s="141">
        <f>IF(AND(H182=TRUE,I182=FALSE),Q182,0)</f>
        <v/>
      </c>
      <c r="S182" s="141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/>
      </c>
      <c r="T182" s="142">
        <f>IF(U182=TRUE,$J182,"")</f>
        <v/>
      </c>
      <c r="U182" s="140" t="b">
        <v>0</v>
      </c>
      <c r="V182" s="141">
        <f>IF(AND(H182=TRUE,OR(K182="",K182&gt;M182)),S182,0)</f>
        <v/>
      </c>
      <c r="W182" s="140" t="n">
        <v>0</v>
      </c>
      <c r="X182" s="140" t="b">
        <v>0</v>
      </c>
      <c r="Y182" s="143">
        <f>IF(H182=FALSE,VLOOKUP($C182,Sales!$C:$F,4,FALSE),1)</f>
        <v/>
      </c>
      <c r="Z182" s="140">
        <f>IF(Y182=0,"Release",IF(AND(L182&lt;J182,Y182=1,H182=FALSE,U182=FALSE,MONTH(L182)&amp;"/"&amp;YEAR(L182)&lt;&gt;MONTH(J182)&amp;"/"&amp;YEAR(J182)),"Release",""))</f>
        <v/>
      </c>
      <c r="AA182" s="144">
        <f>_xlfn.minifs($L:$L,$C:$C,$C182,$F:$F,"&lt;&gt;0")</f>
        <v/>
      </c>
      <c r="AB182" s="144">
        <f>C182&amp;"-"&amp;A182</f>
        <v/>
      </c>
      <c r="AC182" s="144">
        <f>L182</f>
        <v/>
      </c>
    </row>
    <row r="183">
      <c r="A183" s="140" t="inlineStr">
        <is>
          <t>ZSCA03</t>
        </is>
      </c>
      <c r="B183" s="140" t="n">
        <v>2</v>
      </c>
      <c r="C183" s="140" t="inlineStr">
        <is>
          <t>HVC205</t>
        </is>
      </c>
      <c r="D183" s="140" t="inlineStr">
        <is>
          <t>C</t>
        </is>
      </c>
      <c r="E183" s="140" t="inlineStr">
        <is>
          <t>Scalzini Gerda Margaret</t>
        </is>
      </c>
      <c r="F183" s="141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</f>
        <v/>
      </c>
      <c r="G183" s="142" t="n">
        <v>44903</v>
      </c>
      <c r="H183" s="140">
        <f>VLOOKUP($C183,Sales!$C:$E,2,FALSE)</f>
        <v/>
      </c>
      <c r="I183" s="140">
        <f>VLOOKUP($C183,Sales!$C:$E,3,FALSE)</f>
        <v/>
      </c>
      <c r="J183" s="142">
        <f>SUMIFS(Sales!$H:$H,Sales!$C:$C,'Investor Exit List'!$C183)</f>
        <v/>
      </c>
      <c r="K183" s="142">
        <f>IF(I183=TRUE,J183,"")</f>
        <v/>
      </c>
      <c r="L183" s="142">
        <f>G183+730</f>
        <v/>
      </c>
      <c r="M183" s="142" t="n">
        <v>45443</v>
      </c>
      <c r="N183" s="143">
        <f>IFERROR(IF(G183&lt;&gt;"",IF(I183=TRUE,0,IF(U183=TRUE,0,L183-M183)),0),0)</f>
        <v/>
      </c>
      <c r="O183" s="143">
        <f>IF(N183&gt;0,IF(N183&lt;=180,N183,0),0)</f>
        <v/>
      </c>
      <c r="P183" s="141">
        <f>IF(AND(N183&lt;90,N183&gt;0),Q183,0)</f>
        <v/>
      </c>
      <c r="Q183" s="141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/>
      </c>
      <c r="R183" s="141">
        <f>IF(AND(H183=TRUE,I183=FALSE),Q183,0)</f>
        <v/>
      </c>
      <c r="S183" s="141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/>
      </c>
      <c r="T183" s="142">
        <f>IF(U183=TRUE,$J183,"")</f>
        <v/>
      </c>
      <c r="U183" s="140" t="b">
        <v>0</v>
      </c>
      <c r="V183" s="141">
        <f>IF(AND(H183=TRUE,OR(K183="",K183&gt;M183)),S183,0)</f>
        <v/>
      </c>
      <c r="W183" s="140" t="n">
        <v>0</v>
      </c>
      <c r="X183" s="140" t="b">
        <v>0</v>
      </c>
      <c r="Y183" s="143">
        <f>IF(H183=FALSE,VLOOKUP($C183,Sales!$C:$F,4,FALSE),1)</f>
        <v/>
      </c>
      <c r="Z183" s="140">
        <f>IF(Y183=0,"Release",IF(AND(L183&lt;J183,Y183=1,H183=FALSE,U183=FALSE,MONTH(L183)&amp;"/"&amp;YEAR(L183)&lt;&gt;MONTH(J183)&amp;"/"&amp;YEAR(J183)),"Release",""))</f>
        <v/>
      </c>
      <c r="AA183" s="144">
        <f>_xlfn.minifs($L:$L,$C:$C,$C183,$F:$F,"&lt;&gt;0")</f>
        <v/>
      </c>
      <c r="AB183" s="144">
        <f>C183&amp;"-"&amp;A183</f>
        <v/>
      </c>
      <c r="AC183" s="144">
        <f>L183</f>
        <v/>
      </c>
    </row>
    <row r="184">
      <c r="A184" s="140" t="inlineStr">
        <is>
          <t>ZVIV01</t>
        </is>
      </c>
      <c r="B184" s="140" t="n">
        <v>1</v>
      </c>
      <c r="C184" s="140" t="inlineStr">
        <is>
          <t>HVC205</t>
        </is>
      </c>
      <c r="D184" s="140" t="inlineStr">
        <is>
          <t>C</t>
        </is>
      </c>
      <c r="E184" s="140" t="inlineStr">
        <is>
          <t>Vivier Philip Gerhard</t>
        </is>
      </c>
      <c r="F184" s="141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</f>
        <v/>
      </c>
      <c r="G184" s="142" t="n">
        <v>44903</v>
      </c>
      <c r="H184" s="140">
        <f>VLOOKUP($C184,Sales!$C:$E,2,FALSE)</f>
        <v/>
      </c>
      <c r="I184" s="140">
        <f>VLOOKUP($C184,Sales!$C:$E,3,FALSE)</f>
        <v/>
      </c>
      <c r="J184" s="142">
        <f>SUMIFS(Sales!$H:$H,Sales!$C:$C,'Investor Exit List'!$C184)</f>
        <v/>
      </c>
      <c r="K184" s="142">
        <f>IF(I184=TRUE,J184,"")</f>
        <v/>
      </c>
      <c r="L184" s="142">
        <f>G184+730</f>
        <v/>
      </c>
      <c r="M184" s="142" t="n">
        <v>45443</v>
      </c>
      <c r="N184" s="143">
        <f>IFERROR(IF(G184&lt;&gt;"",IF(I184=TRUE,0,IF(U184=TRUE,0,L184-M184)),0),0)</f>
        <v/>
      </c>
      <c r="O184" s="143">
        <f>IF(N184&gt;0,IF(N184&lt;=180,N184,0),0)</f>
        <v/>
      </c>
      <c r="P184" s="141">
        <f>IF(AND(N184&lt;90,N184&gt;0),Q184,0)</f>
        <v/>
      </c>
      <c r="Q184" s="141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/>
      </c>
      <c r="R184" s="141">
        <f>IF(AND(H184=TRUE,I184=FALSE),Q184,0)</f>
        <v/>
      </c>
      <c r="S184" s="141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/>
      </c>
      <c r="T184" s="142">
        <f>IF(U184=TRUE,$J184,"")</f>
        <v/>
      </c>
      <c r="U184" s="140" t="b">
        <v>0</v>
      </c>
      <c r="V184" s="141">
        <f>IF(AND(H184=TRUE,OR(K184="",K184&gt;M184)),S184,0)</f>
        <v/>
      </c>
      <c r="W184" s="140" t="n">
        <v>0</v>
      </c>
      <c r="X184" s="140" t="b">
        <v>0</v>
      </c>
      <c r="Y184" s="143">
        <f>IF(H184=FALSE,VLOOKUP($C184,Sales!$C:$F,4,FALSE),1)</f>
        <v/>
      </c>
      <c r="Z184" s="140">
        <f>IF(Y184=0,"Release",IF(AND(L184&lt;J184,Y184=1,H184=FALSE,U184=FALSE,MONTH(L184)&amp;"/"&amp;YEAR(L184)&lt;&gt;MONTH(J184)&amp;"/"&amp;YEAR(J184)),"Release",""))</f>
        <v/>
      </c>
      <c r="AA184" s="144">
        <f>_xlfn.minifs($L:$L,$C:$C,$C184,$F:$F,"&lt;&gt;0")</f>
        <v/>
      </c>
      <c r="AB184" s="144">
        <f>C184&amp;"-"&amp;A184</f>
        <v/>
      </c>
      <c r="AC184" s="144">
        <f>L184</f>
        <v/>
      </c>
    </row>
    <row r="185">
      <c r="A185" s="140" t="inlineStr">
        <is>
          <t>ZWAL02</t>
        </is>
      </c>
      <c r="B185" s="140" t="n">
        <v>4</v>
      </c>
      <c r="C185" s="140" t="inlineStr">
        <is>
          <t>HVC205</t>
        </is>
      </c>
      <c r="D185" s="140" t="inlineStr">
        <is>
          <t>C</t>
        </is>
      </c>
      <c r="E185" s="140" t="inlineStr">
        <is>
          <t>Wallander Johann</t>
        </is>
      </c>
      <c r="F185" s="141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</f>
        <v/>
      </c>
      <c r="G185" s="142" t="n">
        <v>44903</v>
      </c>
      <c r="H185" s="140">
        <f>VLOOKUP($C185,Sales!$C:$E,2,FALSE)</f>
        <v/>
      </c>
      <c r="I185" s="140">
        <f>VLOOKUP($C185,Sales!$C:$E,3,FALSE)</f>
        <v/>
      </c>
      <c r="J185" s="142">
        <f>SUMIFS(Sales!$H:$H,Sales!$C:$C,'Investor Exit List'!$C185)</f>
        <v/>
      </c>
      <c r="K185" s="142">
        <f>IF(I185=TRUE,J185,"")</f>
        <v/>
      </c>
      <c r="L185" s="142">
        <f>G185+730</f>
        <v/>
      </c>
      <c r="M185" s="142" t="n">
        <v>45443</v>
      </c>
      <c r="N185" s="143">
        <f>IFERROR(IF(G185&lt;&gt;"",IF(I185=TRUE,0,IF(U185=TRUE,0,L185-M185)),0),0)</f>
        <v/>
      </c>
      <c r="O185" s="143">
        <f>IF(N185&gt;0,IF(N185&lt;=180,N185,0),0)</f>
        <v/>
      </c>
      <c r="P185" s="141">
        <f>IF(AND(N185&lt;90,N185&gt;0),Q185,0)</f>
        <v/>
      </c>
      <c r="Q185" s="141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/>
      </c>
      <c r="R185" s="141">
        <f>IF(AND(H185=TRUE,I185=FALSE),Q185,0)</f>
        <v/>
      </c>
      <c r="S185" s="141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/>
      </c>
      <c r="T185" s="142">
        <f>IF(U185=TRUE,$J185,"")</f>
        <v/>
      </c>
      <c r="U185" s="140" t="b">
        <v>0</v>
      </c>
      <c r="V185" s="141">
        <f>IF(AND(H185=TRUE,OR(K185="",K185&gt;M185)),S185,0)</f>
        <v/>
      </c>
      <c r="W185" s="140" t="n">
        <v>0</v>
      </c>
      <c r="X185" s="140" t="b">
        <v>0</v>
      </c>
      <c r="Y185" s="143">
        <f>IF(H185=FALSE,VLOOKUP($C185,Sales!$C:$F,4,FALSE),1)</f>
        <v/>
      </c>
      <c r="Z185" s="140">
        <f>IF(Y185=0,"Release",IF(AND(L185&lt;J185,Y185=1,H185=FALSE,U185=FALSE,MONTH(L185)&amp;"/"&amp;YEAR(L185)&lt;&gt;MONTH(J185)&amp;"/"&amp;YEAR(J185)),"Release",""))</f>
        <v/>
      </c>
      <c r="AA185" s="144">
        <f>_xlfn.minifs($L:$L,$C:$C,$C185,$F:$F,"&lt;&gt;0")</f>
        <v/>
      </c>
      <c r="AB185" s="144">
        <f>C185&amp;"-"&amp;A185</f>
        <v/>
      </c>
      <c r="AC185" s="144">
        <f>L185</f>
        <v/>
      </c>
    </row>
    <row r="186">
      <c r="A186" s="140" t="inlineStr">
        <is>
          <t>ZKRI02</t>
        </is>
      </c>
      <c r="B186" s="140" t="n">
        <v>3</v>
      </c>
      <c r="C186" s="140" t="inlineStr">
        <is>
          <t>HVC206</t>
        </is>
      </c>
      <c r="D186" s="140" t="inlineStr">
        <is>
          <t>C</t>
        </is>
      </c>
      <c r="E186" s="140" t="inlineStr">
        <is>
          <t>Kriel Hermanus Johannes</t>
        </is>
      </c>
      <c r="F186" s="141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</f>
        <v/>
      </c>
      <c r="G186" s="142" t="n">
        <v>44861</v>
      </c>
      <c r="H186" s="140">
        <f>VLOOKUP($C186,Sales!$C:$E,2,FALSE)</f>
        <v/>
      </c>
      <c r="I186" s="140">
        <f>VLOOKUP($C186,Sales!$C:$E,3,FALSE)</f>
        <v/>
      </c>
      <c r="J186" s="142">
        <f>SUMIFS(Sales!$H:$H,Sales!$C:$C,'Investor Exit List'!$C186)</f>
        <v/>
      </c>
      <c r="K186" s="142">
        <f>IF(I186=TRUE,J186,"")</f>
        <v/>
      </c>
      <c r="L186" s="142">
        <f>G186+730</f>
        <v/>
      </c>
      <c r="M186" s="142" t="n">
        <v>45443</v>
      </c>
      <c r="N186" s="143">
        <f>IFERROR(IF(G186&lt;&gt;"",IF(I186=TRUE,0,IF(U186=TRUE,0,L186-M186)),0),0)</f>
        <v/>
      </c>
      <c r="O186" s="143">
        <f>IF(N186&gt;0,IF(N186&lt;=180,N186,0),0)</f>
        <v/>
      </c>
      <c r="P186" s="141">
        <f>IF(AND(N186&lt;90,N186&gt;0),Q186,0)</f>
        <v/>
      </c>
      <c r="Q186" s="141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/>
      </c>
      <c r="R186" s="141">
        <f>IF(AND(H186=TRUE,I186=FALSE),Q186,0)</f>
        <v/>
      </c>
      <c r="S186" s="141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/>
      </c>
      <c r="T186" s="142">
        <f>IF(U186=TRUE,$J186,"")</f>
        <v/>
      </c>
      <c r="U186" s="140" t="b">
        <v>0</v>
      </c>
      <c r="V186" s="141">
        <f>IF(AND(H186=TRUE,OR(K186="",K186&gt;M186)),S186,0)</f>
        <v/>
      </c>
      <c r="W186" s="140" t="n">
        <v>0</v>
      </c>
      <c r="X186" s="140" t="b">
        <v>0</v>
      </c>
      <c r="Y186" s="143">
        <f>IF(H186=FALSE,VLOOKUP($C186,Sales!$C:$F,4,FALSE),1)</f>
        <v/>
      </c>
      <c r="Z186" s="140">
        <f>IF(Y186=0,"Release",IF(AND(L186&lt;J186,Y186=1,H186=FALSE,U186=FALSE,MONTH(L186)&amp;"/"&amp;YEAR(L186)&lt;&gt;MONTH(J186)&amp;"/"&amp;YEAR(J186)),"Release",""))</f>
        <v/>
      </c>
      <c r="AA186" s="144">
        <f>_xlfn.minifs($L:$L,$C:$C,$C186,$F:$F,"&lt;&gt;0")</f>
        <v/>
      </c>
      <c r="AB186" s="144">
        <f>C186&amp;"-"&amp;A186</f>
        <v/>
      </c>
      <c r="AC186" s="144">
        <f>L186</f>
        <v/>
      </c>
    </row>
    <row r="187">
      <c r="A187" s="140" t="inlineStr">
        <is>
          <t>ZCON01</t>
        </is>
      </c>
      <c r="B187" s="140" t="n">
        <v>4</v>
      </c>
      <c r="C187" s="140" t="inlineStr">
        <is>
          <t>HVC301</t>
        </is>
      </c>
      <c r="D187" s="140" t="inlineStr">
        <is>
          <t>C</t>
        </is>
      </c>
      <c r="E187" s="140" t="inlineStr">
        <is>
          <t>Conradie Gerhard Lotter</t>
        </is>
      </c>
      <c r="F187" s="141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</f>
        <v/>
      </c>
      <c r="G187" s="142" t="n">
        <v>44755</v>
      </c>
      <c r="H187" s="140">
        <f>VLOOKUP($C187,Sales!$C:$E,2,FALSE)</f>
        <v/>
      </c>
      <c r="I187" s="140">
        <f>VLOOKUP($C187,Sales!$C:$E,3,FALSE)</f>
        <v/>
      </c>
      <c r="J187" s="142">
        <f>SUMIFS(Sales!$H:$H,Sales!$C:$C,'Investor Exit List'!$C187)</f>
        <v/>
      </c>
      <c r="K187" s="142">
        <f>IF(I187=TRUE,J187,"")</f>
        <v/>
      </c>
      <c r="L187" s="142">
        <f>G187+730</f>
        <v/>
      </c>
      <c r="M187" s="142" t="n">
        <v>45443</v>
      </c>
      <c r="N187" s="143">
        <f>IFERROR(IF(G187&lt;&gt;"",IF(I187=TRUE,0,IF(U187=TRUE,0,L187-M187)),0),0)</f>
        <v/>
      </c>
      <c r="O187" s="143">
        <f>IF(N187&gt;0,IF(N187&lt;=180,N187,0),0)</f>
        <v/>
      </c>
      <c r="P187" s="141">
        <f>IF(AND(N187&lt;90,N187&gt;0),Q187,0)</f>
        <v/>
      </c>
      <c r="Q187" s="141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/>
      </c>
      <c r="R187" s="141">
        <f>IF(AND(H187=TRUE,I187=FALSE),Q187,0)</f>
        <v/>
      </c>
      <c r="S187" s="141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/>
      </c>
      <c r="T187" s="142">
        <f>IF(U187=TRUE,$J187,"")</f>
        <v/>
      </c>
      <c r="U187" s="140" t="b">
        <v>0</v>
      </c>
      <c r="V187" s="141">
        <f>IF(AND(H187=TRUE,OR(K187="",K187&gt;M187)),S187,0)</f>
        <v/>
      </c>
      <c r="W187" s="140" t="n">
        <v>0</v>
      </c>
      <c r="X187" s="140" t="b">
        <v>0</v>
      </c>
      <c r="Y187" s="143">
        <f>IF(H187=FALSE,VLOOKUP($C187,Sales!$C:$F,4,FALSE),1)</f>
        <v/>
      </c>
      <c r="Z187" s="140">
        <f>IF(Y187=0,"Release",IF(AND(L187&lt;J187,Y187=1,H187=FALSE,U187=FALSE,MONTH(L187)&amp;"/"&amp;YEAR(L187)&lt;&gt;MONTH(J187)&amp;"/"&amp;YEAR(J187)),"Release",""))</f>
        <v/>
      </c>
      <c r="AA187" s="144">
        <f>_xlfn.minifs($L:$L,$C:$C,$C187,$F:$F,"&lt;&gt;0")</f>
        <v/>
      </c>
      <c r="AB187" s="144">
        <f>C187&amp;"-"&amp;A187</f>
        <v/>
      </c>
      <c r="AC187" s="144">
        <f>L187</f>
        <v/>
      </c>
    </row>
    <row r="188">
      <c r="A188" s="140" t="inlineStr">
        <is>
          <t>ZINT01</t>
        </is>
      </c>
      <c r="B188" s="140" t="n">
        <v>15</v>
      </c>
      <c r="C188" s="140" t="inlineStr">
        <is>
          <t>HVC301</t>
        </is>
      </c>
      <c r="D188" s="140" t="inlineStr">
        <is>
          <t>C</t>
        </is>
      </c>
      <c r="E188" s="140" t="inlineStr">
        <is>
          <t>Lunau Marc</t>
        </is>
      </c>
      <c r="F188" s="141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</f>
        <v/>
      </c>
      <c r="G188" s="142" t="n">
        <v>45072</v>
      </c>
      <c r="H188" s="140">
        <f>VLOOKUP($C188,Sales!$C:$E,2,FALSE)</f>
        <v/>
      </c>
      <c r="I188" s="140">
        <f>VLOOKUP($C188,Sales!$C:$E,3,FALSE)</f>
        <v/>
      </c>
      <c r="J188" s="142">
        <f>SUMIFS(Sales!$H:$H,Sales!$C:$C,'Investor Exit List'!$C188)</f>
        <v/>
      </c>
      <c r="K188" s="142">
        <f>IF(I188=TRUE,J188,"")</f>
        <v/>
      </c>
      <c r="L188" s="142">
        <f>G188+730</f>
        <v/>
      </c>
      <c r="M188" s="142" t="n">
        <v>45443</v>
      </c>
      <c r="N188" s="143">
        <f>IFERROR(IF(G188&lt;&gt;"",IF(I188=TRUE,0,IF(U188=TRUE,0,L188-M188)),0),0)</f>
        <v/>
      </c>
      <c r="O188" s="143">
        <f>IF(N188&gt;0,IF(N188&lt;=180,N188,0),0)</f>
        <v/>
      </c>
      <c r="P188" s="141">
        <f>IF(AND(N188&lt;90,N188&gt;0),Q188,0)</f>
        <v/>
      </c>
      <c r="Q188" s="141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/>
      </c>
      <c r="R188" s="141">
        <f>IF(AND(H188=TRUE,I188=FALSE),Q188,0)</f>
        <v/>
      </c>
      <c r="S188" s="141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/>
      </c>
      <c r="T188" s="142">
        <f>IF(U188=TRUE,$J188,"")</f>
        <v/>
      </c>
      <c r="U188" s="140" t="b">
        <v>0</v>
      </c>
      <c r="V188" s="141">
        <f>IF(AND(H188=TRUE,OR(K188="",K188&gt;M188)),S188,0)</f>
        <v/>
      </c>
      <c r="W188" s="140" t="n">
        <v>0</v>
      </c>
      <c r="X188" s="140" t="b">
        <v>0</v>
      </c>
      <c r="Y188" s="143">
        <f>IF(H188=FALSE,VLOOKUP($C188,Sales!$C:$F,4,FALSE),1)</f>
        <v/>
      </c>
      <c r="Z188" s="140">
        <f>IF(Y188=0,"Release",IF(AND(L188&lt;J188,Y188=1,H188=FALSE,U188=FALSE,MONTH(L188)&amp;"/"&amp;YEAR(L188)&lt;&gt;MONTH(J188)&amp;"/"&amp;YEAR(J188)),"Release",""))</f>
        <v/>
      </c>
      <c r="AA188" s="144">
        <f>_xlfn.minifs($L:$L,$C:$C,$C188,$F:$F,"&lt;&gt;0")</f>
        <v/>
      </c>
      <c r="AB188" s="144">
        <f>C188&amp;"-"&amp;A188</f>
        <v/>
      </c>
      <c r="AC188" s="144">
        <f>L188</f>
        <v/>
      </c>
    </row>
    <row r="189">
      <c r="A189" s="140" t="inlineStr">
        <is>
          <t>ZCON01</t>
        </is>
      </c>
      <c r="B189" s="140" t="n">
        <v>5</v>
      </c>
      <c r="C189" s="140" t="inlineStr">
        <is>
          <t>HVC302</t>
        </is>
      </c>
      <c r="D189" s="140" t="inlineStr">
        <is>
          <t>C</t>
        </is>
      </c>
      <c r="E189" s="140" t="inlineStr">
        <is>
          <t>Conradie Gerhard Lotter</t>
        </is>
      </c>
      <c r="F189" s="141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</f>
        <v/>
      </c>
      <c r="G189" s="142" t="n">
        <v>44755</v>
      </c>
      <c r="H189" s="140">
        <f>VLOOKUP($C189,Sales!$C:$E,2,FALSE)</f>
        <v/>
      </c>
      <c r="I189" s="140">
        <f>VLOOKUP($C189,Sales!$C:$E,3,FALSE)</f>
        <v/>
      </c>
      <c r="J189" s="142">
        <f>SUMIFS(Sales!$H:$H,Sales!$C:$C,'Investor Exit List'!$C189)</f>
        <v/>
      </c>
      <c r="K189" s="142">
        <f>IF(I189=TRUE,J189,"")</f>
        <v/>
      </c>
      <c r="L189" s="142">
        <f>G189+730</f>
        <v/>
      </c>
      <c r="M189" s="142" t="n">
        <v>45443</v>
      </c>
      <c r="N189" s="143">
        <f>IFERROR(IF(G189&lt;&gt;"",IF(I189=TRUE,0,IF(U189=TRUE,0,L189-M189)),0),0)</f>
        <v/>
      </c>
      <c r="O189" s="143">
        <f>IF(N189&gt;0,IF(N189&lt;=180,N189,0),0)</f>
        <v/>
      </c>
      <c r="P189" s="141">
        <f>IF(AND(N189&lt;90,N189&gt;0),Q189,0)</f>
        <v/>
      </c>
      <c r="Q189" s="141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/>
      </c>
      <c r="R189" s="141">
        <f>IF(AND(H189=TRUE,I189=FALSE),Q189,0)</f>
        <v/>
      </c>
      <c r="S189" s="141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/>
      </c>
      <c r="T189" s="142">
        <f>IF(U189=TRUE,$J189,"")</f>
        <v/>
      </c>
      <c r="U189" s="140" t="b">
        <v>0</v>
      </c>
      <c r="V189" s="141">
        <f>IF(AND(H189=TRUE,OR(K189="",K189&gt;M189)),S189,0)</f>
        <v/>
      </c>
      <c r="W189" s="140" t="n">
        <v>0</v>
      </c>
      <c r="X189" s="140" t="b">
        <v>0</v>
      </c>
      <c r="Y189" s="143">
        <f>IF(H189=FALSE,VLOOKUP($C189,Sales!$C:$F,4,FALSE),1)</f>
        <v/>
      </c>
      <c r="Z189" s="140">
        <f>IF(Y189=0,"Release",IF(AND(L189&lt;J189,Y189=1,H189=FALSE,U189=FALSE,MONTH(L189)&amp;"/"&amp;YEAR(L189)&lt;&gt;MONTH(J189)&amp;"/"&amp;YEAR(J189)),"Release",""))</f>
        <v/>
      </c>
      <c r="AA189" s="144">
        <f>_xlfn.minifs($L:$L,$C:$C,$C189,$F:$F,"&lt;&gt;0")</f>
        <v/>
      </c>
      <c r="AB189" s="144">
        <f>C189&amp;"-"&amp;A189</f>
        <v/>
      </c>
      <c r="AC189" s="144">
        <f>L189</f>
        <v/>
      </c>
    </row>
    <row r="190">
      <c r="A190" s="140" t="inlineStr">
        <is>
          <t>ZKEW01</t>
        </is>
      </c>
      <c r="B190" s="140" t="n">
        <v>2</v>
      </c>
      <c r="C190" s="140" t="inlineStr">
        <is>
          <t>HVC302</t>
        </is>
      </c>
      <c r="D190" s="140" t="inlineStr">
        <is>
          <t>C</t>
        </is>
      </c>
      <c r="E190" s="140" t="inlineStr">
        <is>
          <t>Kewley Lisa Maree</t>
        </is>
      </c>
      <c r="F190" s="141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</f>
        <v/>
      </c>
      <c r="G190" s="142" t="n">
        <v>44903</v>
      </c>
      <c r="H190" s="140">
        <f>VLOOKUP($C190,Sales!$C:$E,2,FALSE)</f>
        <v/>
      </c>
      <c r="I190" s="140">
        <f>VLOOKUP($C190,Sales!$C:$E,3,FALSE)</f>
        <v/>
      </c>
      <c r="J190" s="142">
        <f>SUMIFS(Sales!$H:$H,Sales!$C:$C,'Investor Exit List'!$C190)</f>
        <v/>
      </c>
      <c r="K190" s="142">
        <f>IF(I190=TRUE,J190,"")</f>
        <v/>
      </c>
      <c r="L190" s="142">
        <f>G190+730</f>
        <v/>
      </c>
      <c r="M190" s="142" t="n">
        <v>45443</v>
      </c>
      <c r="N190" s="143">
        <f>IFERROR(IF(G190&lt;&gt;"",IF(I190=TRUE,0,IF(U190=TRUE,0,L190-M190)),0),0)</f>
        <v/>
      </c>
      <c r="O190" s="143">
        <f>IF(N190&gt;0,IF(N190&lt;=180,N190,0),0)</f>
        <v/>
      </c>
      <c r="P190" s="141">
        <f>IF(AND(N190&lt;90,N190&gt;0),Q190,0)</f>
        <v/>
      </c>
      <c r="Q190" s="141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/>
      </c>
      <c r="R190" s="141">
        <f>IF(AND(H190=TRUE,I190=FALSE),Q190,0)</f>
        <v/>
      </c>
      <c r="S190" s="141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/>
      </c>
      <c r="T190" s="142">
        <f>IF(U190=TRUE,$J190,"")</f>
        <v/>
      </c>
      <c r="U190" s="140" t="b">
        <v>0</v>
      </c>
      <c r="V190" s="141">
        <f>IF(AND(H190=TRUE,OR(K190="",K190&gt;M190)),S190,0)</f>
        <v/>
      </c>
      <c r="W190" s="140" t="n">
        <v>0</v>
      </c>
      <c r="X190" s="140" t="b">
        <v>0</v>
      </c>
      <c r="Y190" s="143">
        <f>IF(H190=FALSE,VLOOKUP($C190,Sales!$C:$F,4,FALSE),1)</f>
        <v/>
      </c>
      <c r="Z190" s="140">
        <f>IF(Y190=0,"Release",IF(AND(L190&lt;J190,Y190=1,H190=FALSE,U190=FALSE,MONTH(L190)&amp;"/"&amp;YEAR(L190)&lt;&gt;MONTH(J190)&amp;"/"&amp;YEAR(J190)),"Release",""))</f>
        <v/>
      </c>
      <c r="AA190" s="144">
        <f>_xlfn.minifs($L:$L,$C:$C,$C190,$F:$F,"&lt;&gt;0")</f>
        <v/>
      </c>
      <c r="AB190" s="144">
        <f>C190&amp;"-"&amp;A190</f>
        <v/>
      </c>
      <c r="AC190" s="144">
        <f>L190</f>
        <v/>
      </c>
    </row>
    <row r="191">
      <c r="A191" s="140" t="inlineStr">
        <is>
          <t>ZJEN01</t>
        </is>
      </c>
      <c r="B191" s="140" t="n">
        <v>2</v>
      </c>
      <c r="C191" s="140" t="inlineStr">
        <is>
          <t>HVC303</t>
        </is>
      </c>
      <c r="D191" s="140" t="inlineStr">
        <is>
          <t>C</t>
        </is>
      </c>
      <c r="E191" s="140" t="inlineStr">
        <is>
          <t>Jennings Daryl Anne</t>
        </is>
      </c>
      <c r="F191" s="141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</f>
        <v/>
      </c>
      <c r="G191" s="142" t="n">
        <v>44903</v>
      </c>
      <c r="H191" s="140">
        <f>VLOOKUP($C191,Sales!$C:$E,2,FALSE)</f>
        <v/>
      </c>
      <c r="I191" s="140">
        <f>VLOOKUP($C191,Sales!$C:$E,3,FALSE)</f>
        <v/>
      </c>
      <c r="J191" s="142">
        <f>SUMIFS(Sales!$H:$H,Sales!$C:$C,'Investor Exit List'!$C191)</f>
        <v/>
      </c>
      <c r="K191" s="142">
        <f>IF(I191=TRUE,J191,"")</f>
        <v/>
      </c>
      <c r="L191" s="142">
        <f>G191+730</f>
        <v/>
      </c>
      <c r="M191" s="142" t="n">
        <v>45443</v>
      </c>
      <c r="N191" s="143">
        <f>IFERROR(IF(G191&lt;&gt;"",IF(I191=TRUE,0,IF(U191=TRUE,0,L191-M191)),0),0)</f>
        <v/>
      </c>
      <c r="O191" s="143">
        <f>IF(N191&gt;0,IF(N191&lt;=180,N191,0),0)</f>
        <v/>
      </c>
      <c r="P191" s="141">
        <f>IF(AND(N191&lt;90,N191&gt;0),Q191,0)</f>
        <v/>
      </c>
      <c r="Q191" s="141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/>
      </c>
      <c r="R191" s="141">
        <f>IF(AND(H191=TRUE,I191=FALSE),Q191,0)</f>
        <v/>
      </c>
      <c r="S191" s="141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/>
      </c>
      <c r="T191" s="142">
        <f>IF(U191=TRUE,$J191,"")</f>
        <v/>
      </c>
      <c r="U191" s="140" t="b">
        <v>0</v>
      </c>
      <c r="V191" s="141">
        <f>IF(AND(H191=TRUE,OR(K191="",K191&gt;M191)),S191,0)</f>
        <v/>
      </c>
      <c r="W191" s="140" t="n">
        <v>0</v>
      </c>
      <c r="X191" s="140" t="b">
        <v>0</v>
      </c>
      <c r="Y191" s="143">
        <f>IF(H191=FALSE,VLOOKUP($C191,Sales!$C:$F,4,FALSE),1)</f>
        <v/>
      </c>
      <c r="Z191" s="140">
        <f>IF(Y191=0,"Release",IF(AND(L191&lt;J191,Y191=1,H191=FALSE,U191=FALSE,MONTH(L191)&amp;"/"&amp;YEAR(L191)&lt;&gt;MONTH(J191)&amp;"/"&amp;YEAR(J191)),"Release",""))</f>
        <v/>
      </c>
      <c r="AA191" s="144">
        <f>_xlfn.minifs($L:$L,$C:$C,$C191,$F:$F,"&lt;&gt;0")</f>
        <v/>
      </c>
      <c r="AB191" s="144">
        <f>C191&amp;"-"&amp;A191</f>
        <v/>
      </c>
      <c r="AC191" s="144">
        <f>L191</f>
        <v/>
      </c>
    </row>
    <row r="192">
      <c r="A192" s="140" t="inlineStr">
        <is>
          <t>ZMEY02</t>
        </is>
      </c>
      <c r="B192" s="140" t="n">
        <v>2</v>
      </c>
      <c r="C192" s="140" t="inlineStr">
        <is>
          <t>HVC303</t>
        </is>
      </c>
      <c r="D192" s="140" t="inlineStr">
        <is>
          <t>C</t>
        </is>
      </c>
      <c r="E192" s="140" t="inlineStr">
        <is>
          <t>Meyer Catharina Levina</t>
        </is>
      </c>
      <c r="F192" s="141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</f>
        <v/>
      </c>
      <c r="G192" s="142" t="n">
        <v>44903</v>
      </c>
      <c r="H192" s="140">
        <f>VLOOKUP($C192,Sales!$C:$E,2,FALSE)</f>
        <v/>
      </c>
      <c r="I192" s="140">
        <f>VLOOKUP($C192,Sales!$C:$E,3,FALSE)</f>
        <v/>
      </c>
      <c r="J192" s="142">
        <f>SUMIFS(Sales!$H:$H,Sales!$C:$C,'Investor Exit List'!$C192)</f>
        <v/>
      </c>
      <c r="K192" s="142">
        <f>IF(I192=TRUE,J192,"")</f>
        <v/>
      </c>
      <c r="L192" s="142">
        <f>G192+730</f>
        <v/>
      </c>
      <c r="M192" s="142" t="n">
        <v>45443</v>
      </c>
      <c r="N192" s="143">
        <f>IFERROR(IF(G192&lt;&gt;"",IF(I192=TRUE,0,IF(U192=TRUE,0,L192-M192)),0),0)</f>
        <v/>
      </c>
      <c r="O192" s="143">
        <f>IF(N192&gt;0,IF(N192&lt;=180,N192,0),0)</f>
        <v/>
      </c>
      <c r="P192" s="141">
        <f>IF(AND(N192&lt;90,N192&gt;0),Q192,0)</f>
        <v/>
      </c>
      <c r="Q192" s="141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/>
      </c>
      <c r="R192" s="141">
        <f>IF(AND(H192=TRUE,I192=FALSE),Q192,0)</f>
        <v/>
      </c>
      <c r="S192" s="141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/>
      </c>
      <c r="T192" s="142">
        <f>IF(U192=TRUE,$J192,"")</f>
        <v/>
      </c>
      <c r="U192" s="140" t="b">
        <v>0</v>
      </c>
      <c r="V192" s="141">
        <f>IF(AND(H192=TRUE,OR(K192="",K192&gt;M192)),S192,0)</f>
        <v/>
      </c>
      <c r="W192" s="140" t="n">
        <v>0</v>
      </c>
      <c r="X192" s="140" t="b">
        <v>0</v>
      </c>
      <c r="Y192" s="143">
        <f>IF(H192=FALSE,VLOOKUP($C192,Sales!$C:$F,4,FALSE),1)</f>
        <v/>
      </c>
      <c r="Z192" s="140">
        <f>IF(Y192=0,"Release",IF(AND(L192&lt;J192,Y192=1,H192=FALSE,U192=FALSE,MONTH(L192)&amp;"/"&amp;YEAR(L192)&lt;&gt;MONTH(J192)&amp;"/"&amp;YEAR(J192)),"Release",""))</f>
        <v/>
      </c>
      <c r="AA192" s="144">
        <f>_xlfn.minifs($L:$L,$C:$C,$C192,$F:$F,"&lt;&gt;0")</f>
        <v/>
      </c>
      <c r="AB192" s="144">
        <f>C192&amp;"-"&amp;A192</f>
        <v/>
      </c>
      <c r="AC192" s="144">
        <f>L192</f>
        <v/>
      </c>
    </row>
    <row r="193">
      <c r="A193" s="140" t="inlineStr">
        <is>
          <t>ZRIT01</t>
        </is>
      </c>
      <c r="B193" s="140" t="n">
        <v>7</v>
      </c>
      <c r="C193" s="140" t="inlineStr">
        <is>
          <t>HVC303</t>
        </is>
      </c>
      <c r="D193" s="140" t="inlineStr">
        <is>
          <t>C</t>
        </is>
      </c>
      <c r="E193" s="140" t="inlineStr">
        <is>
          <t>Ritter Dennis</t>
        </is>
      </c>
      <c r="F193" s="141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</f>
        <v/>
      </c>
      <c r="G193" s="142" t="n">
        <v>44903</v>
      </c>
      <c r="H193" s="140">
        <f>VLOOKUP($C193,Sales!$C:$E,2,FALSE)</f>
        <v/>
      </c>
      <c r="I193" s="140">
        <f>VLOOKUP($C193,Sales!$C:$E,3,FALSE)</f>
        <v/>
      </c>
      <c r="J193" s="142">
        <f>SUMIFS(Sales!$H:$H,Sales!$C:$C,'Investor Exit List'!$C193)</f>
        <v/>
      </c>
      <c r="K193" s="142">
        <f>IF(I193=TRUE,J193,"")</f>
        <v/>
      </c>
      <c r="L193" s="142">
        <f>G193+730</f>
        <v/>
      </c>
      <c r="M193" s="142" t="n">
        <v>45443</v>
      </c>
      <c r="N193" s="143">
        <f>IFERROR(IF(G193&lt;&gt;"",IF(I193=TRUE,0,IF(U193=TRUE,0,L193-M193)),0),0)</f>
        <v/>
      </c>
      <c r="O193" s="143">
        <f>IF(N193&gt;0,IF(N193&lt;=180,N193,0),0)</f>
        <v/>
      </c>
      <c r="P193" s="141">
        <f>IF(AND(N193&lt;90,N193&gt;0),Q193,0)</f>
        <v/>
      </c>
      <c r="Q193" s="141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/>
      </c>
      <c r="R193" s="141">
        <f>IF(AND(H193=TRUE,I193=FALSE),Q193,0)</f>
        <v/>
      </c>
      <c r="S193" s="141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/>
      </c>
      <c r="T193" s="142">
        <f>IF(U193=TRUE,$J193,"")</f>
        <v/>
      </c>
      <c r="U193" s="140" t="b">
        <v>0</v>
      </c>
      <c r="V193" s="141">
        <f>IF(AND(H193=TRUE,OR(K193="",K193&gt;M193)),S193,0)</f>
        <v/>
      </c>
      <c r="W193" s="140" t="n">
        <v>0</v>
      </c>
      <c r="X193" s="140" t="b">
        <v>0</v>
      </c>
      <c r="Y193" s="143">
        <f>IF(H193=FALSE,VLOOKUP($C193,Sales!$C:$F,4,FALSE),1)</f>
        <v/>
      </c>
      <c r="Z193" s="140">
        <f>IF(Y193=0,"Release",IF(AND(L193&lt;J193,Y193=1,H193=FALSE,U193=FALSE,MONTH(L193)&amp;"/"&amp;YEAR(L193)&lt;&gt;MONTH(J193)&amp;"/"&amp;YEAR(J193)),"Release",""))</f>
        <v/>
      </c>
      <c r="AA193" s="144">
        <f>_xlfn.minifs($L:$L,$C:$C,$C193,$F:$F,"&lt;&gt;0")</f>
        <v/>
      </c>
      <c r="AB193" s="144">
        <f>C193&amp;"-"&amp;A193</f>
        <v/>
      </c>
      <c r="AC193" s="144">
        <f>L193</f>
        <v/>
      </c>
    </row>
    <row r="194">
      <c r="A194" s="140" t="inlineStr">
        <is>
          <t>ZWES01</t>
        </is>
      </c>
      <c r="B194" s="140" t="n">
        <v>2</v>
      </c>
      <c r="C194" s="140" t="inlineStr">
        <is>
          <t>HVC303</t>
        </is>
      </c>
      <c r="D194" s="140" t="inlineStr">
        <is>
          <t>C</t>
        </is>
      </c>
      <c r="E194" s="140" t="inlineStr">
        <is>
          <t>Wessels Gerhardus Jacobus</t>
        </is>
      </c>
      <c r="F194" s="141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</f>
        <v/>
      </c>
      <c r="G194" s="142" t="n">
        <v>44903</v>
      </c>
      <c r="H194" s="140">
        <f>VLOOKUP($C194,Sales!$C:$E,2,FALSE)</f>
        <v/>
      </c>
      <c r="I194" s="140">
        <f>VLOOKUP($C194,Sales!$C:$E,3,FALSE)</f>
        <v/>
      </c>
      <c r="J194" s="142">
        <f>SUMIFS(Sales!$H:$H,Sales!$C:$C,'Investor Exit List'!$C194)</f>
        <v/>
      </c>
      <c r="K194" s="142">
        <f>IF(I194=TRUE,J194,"")</f>
        <v/>
      </c>
      <c r="L194" s="142">
        <f>G194+730</f>
        <v/>
      </c>
      <c r="M194" s="142" t="n">
        <v>45443</v>
      </c>
      <c r="N194" s="143">
        <f>IFERROR(IF(G194&lt;&gt;"",IF(I194=TRUE,0,IF(U194=TRUE,0,L194-M194)),0),0)</f>
        <v/>
      </c>
      <c r="O194" s="143">
        <f>IF(N194&gt;0,IF(N194&lt;=180,N194,0),0)</f>
        <v/>
      </c>
      <c r="P194" s="141">
        <f>IF(AND(N194&lt;90,N194&gt;0),Q194,0)</f>
        <v/>
      </c>
      <c r="Q194" s="141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/>
      </c>
      <c r="R194" s="141">
        <f>IF(AND(H194=TRUE,I194=FALSE),Q194,0)</f>
        <v/>
      </c>
      <c r="S194" s="141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/>
      </c>
      <c r="T194" s="142">
        <f>IF(U194=TRUE,$J194,"")</f>
        <v/>
      </c>
      <c r="U194" s="140" t="b">
        <v>0</v>
      </c>
      <c r="V194" s="141">
        <f>IF(AND(H194=TRUE,OR(K194="",K194&gt;M194)),S194,0)</f>
        <v/>
      </c>
      <c r="W194" s="140" t="n">
        <v>0</v>
      </c>
      <c r="X194" s="140" t="b">
        <v>0</v>
      </c>
      <c r="Y194" s="143">
        <f>IF(H194=FALSE,VLOOKUP($C194,Sales!$C:$F,4,FALSE),1)</f>
        <v/>
      </c>
      <c r="Z194" s="140">
        <f>IF(Y194=0,"Release",IF(AND(L194&lt;J194,Y194=1,H194=FALSE,U194=FALSE,MONTH(L194)&amp;"/"&amp;YEAR(L194)&lt;&gt;MONTH(J194)&amp;"/"&amp;YEAR(J194)),"Release",""))</f>
        <v/>
      </c>
      <c r="AA194" s="144">
        <f>_xlfn.minifs($L:$L,$C:$C,$C194,$F:$F,"&lt;&gt;0")</f>
        <v/>
      </c>
      <c r="AB194" s="144">
        <f>C194&amp;"-"&amp;A194</f>
        <v/>
      </c>
      <c r="AC194" s="144">
        <f>L194</f>
        <v/>
      </c>
    </row>
    <row r="195">
      <c r="A195" s="140" t="inlineStr">
        <is>
          <t>ZVAN05</t>
        </is>
      </c>
      <c r="B195" s="140" t="n">
        <v>3</v>
      </c>
      <c r="C195" s="140" t="inlineStr">
        <is>
          <t>HVC304</t>
        </is>
      </c>
      <c r="D195" s="140" t="inlineStr">
        <is>
          <t>C</t>
        </is>
      </c>
      <c r="E195" s="140" t="inlineStr">
        <is>
          <t>van der Sandt Hermanus</t>
        </is>
      </c>
      <c r="F195" s="141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</f>
        <v/>
      </c>
      <c r="G195" s="142" t="n">
        <v>44903</v>
      </c>
      <c r="H195" s="140">
        <f>VLOOKUP($C195,Sales!$C:$E,2,FALSE)</f>
        <v/>
      </c>
      <c r="I195" s="140">
        <f>VLOOKUP($C195,Sales!$C:$E,3,FALSE)</f>
        <v/>
      </c>
      <c r="J195" s="142">
        <f>SUMIFS(Sales!$H:$H,Sales!$C:$C,'Investor Exit List'!$C195)</f>
        <v/>
      </c>
      <c r="K195" s="142">
        <f>IF(I195=TRUE,J195,"")</f>
        <v/>
      </c>
      <c r="L195" s="142">
        <f>G195+730</f>
        <v/>
      </c>
      <c r="M195" s="142" t="n">
        <v>45443</v>
      </c>
      <c r="N195" s="143">
        <f>IFERROR(IF(G195&lt;&gt;"",IF(I195=TRUE,0,IF(U195=TRUE,0,L195-M195)),0),0)</f>
        <v/>
      </c>
      <c r="O195" s="143">
        <f>IF(N195&gt;0,IF(N195&lt;=180,N195,0),0)</f>
        <v/>
      </c>
      <c r="P195" s="141">
        <f>IF(AND(N195&lt;90,N195&gt;0),Q195,0)</f>
        <v/>
      </c>
      <c r="Q195" s="141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/>
      </c>
      <c r="R195" s="141">
        <f>IF(AND(H195=TRUE,I195=FALSE),Q195,0)</f>
        <v/>
      </c>
      <c r="S195" s="141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/>
      </c>
      <c r="T195" s="142">
        <f>IF(U195=TRUE,$J195,"")</f>
        <v/>
      </c>
      <c r="U195" s="140" t="b">
        <v>0</v>
      </c>
      <c r="V195" s="141">
        <f>IF(AND(H195=TRUE,OR(K195="",K195&gt;M195)),S195,0)</f>
        <v/>
      </c>
      <c r="W195" s="140" t="n">
        <v>0</v>
      </c>
      <c r="X195" s="140" t="b">
        <v>0</v>
      </c>
      <c r="Y195" s="143">
        <f>IF(H195=FALSE,VLOOKUP($C195,Sales!$C:$F,4,FALSE),1)</f>
        <v/>
      </c>
      <c r="Z195" s="140">
        <f>IF(Y195=0,"Release",IF(AND(L195&lt;J195,Y195=1,H195=FALSE,U195=FALSE,MONTH(L195)&amp;"/"&amp;YEAR(L195)&lt;&gt;MONTH(J195)&amp;"/"&amp;YEAR(J195)),"Release",""))</f>
        <v/>
      </c>
      <c r="AA195" s="144">
        <f>_xlfn.minifs($L:$L,$C:$C,$C195,$F:$F,"&lt;&gt;0")</f>
        <v/>
      </c>
      <c r="AB195" s="144">
        <f>C195&amp;"-"&amp;A195</f>
        <v/>
      </c>
      <c r="AC195" s="144">
        <f>L195</f>
        <v/>
      </c>
    </row>
    <row r="196">
      <c r="A196" s="140" t="inlineStr">
        <is>
          <t>ZBER01</t>
        </is>
      </c>
      <c r="B196" s="140" t="n">
        <v>1</v>
      </c>
      <c r="C196" s="140" t="inlineStr">
        <is>
          <t>HVC305</t>
        </is>
      </c>
      <c r="D196" s="140" t="inlineStr">
        <is>
          <t>C</t>
        </is>
      </c>
      <c r="E196" s="140" t="inlineStr">
        <is>
          <t>Berk-Heinze Beverley</t>
        </is>
      </c>
      <c r="F196" s="141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</f>
        <v/>
      </c>
      <c r="G196" s="142" t="n">
        <v>44909</v>
      </c>
      <c r="H196" s="140">
        <f>VLOOKUP($C196,Sales!$C:$E,2,FALSE)</f>
        <v/>
      </c>
      <c r="I196" s="140">
        <f>VLOOKUP($C196,Sales!$C:$E,3,FALSE)</f>
        <v/>
      </c>
      <c r="J196" s="142">
        <f>SUMIFS(Sales!$H:$H,Sales!$C:$C,'Investor Exit List'!$C196)</f>
        <v/>
      </c>
      <c r="K196" s="142">
        <f>IF(I196=TRUE,J196,"")</f>
        <v/>
      </c>
      <c r="L196" s="142">
        <f>G196+730</f>
        <v/>
      </c>
      <c r="M196" s="142" t="n">
        <v>45443</v>
      </c>
      <c r="N196" s="143">
        <f>IFERROR(IF(G196&lt;&gt;"",IF(I196=TRUE,0,IF(U196=TRUE,0,L196-M196)),0),0)</f>
        <v/>
      </c>
      <c r="O196" s="143">
        <f>IF(N196&gt;0,IF(N196&lt;=180,N196,0),0)</f>
        <v/>
      </c>
      <c r="P196" s="141">
        <f>IF(AND(N196&lt;90,N196&gt;0),Q196,0)</f>
        <v/>
      </c>
      <c r="Q196" s="141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/>
      </c>
      <c r="R196" s="141">
        <f>IF(AND(H196=TRUE,I196=FALSE),Q196,0)</f>
        <v/>
      </c>
      <c r="S196" s="141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/>
      </c>
      <c r="T196" s="142">
        <f>IF(U196=TRUE,$J196,"")</f>
        <v/>
      </c>
      <c r="U196" s="140" t="b">
        <v>0</v>
      </c>
      <c r="V196" s="141">
        <f>IF(AND(H196=TRUE,OR(K196="",K196&gt;M196)),S196,0)</f>
        <v/>
      </c>
      <c r="W196" s="140" t="n">
        <v>0</v>
      </c>
      <c r="X196" s="140" t="b">
        <v>0</v>
      </c>
      <c r="Y196" s="143">
        <f>IF(H196=FALSE,VLOOKUP($C196,Sales!$C:$F,4,FALSE),1)</f>
        <v/>
      </c>
      <c r="Z196" s="140">
        <f>IF(Y196=0,"Release",IF(AND(L196&lt;J196,Y196=1,H196=FALSE,U196=FALSE,MONTH(L196)&amp;"/"&amp;YEAR(L196)&lt;&gt;MONTH(J196)&amp;"/"&amp;YEAR(J196)),"Release",""))</f>
        <v/>
      </c>
      <c r="AA196" s="144">
        <f>_xlfn.minifs($L:$L,$C:$C,$C196,$F:$F,"&lt;&gt;0")</f>
        <v/>
      </c>
      <c r="AB196" s="144">
        <f>C196&amp;"-"&amp;A196</f>
        <v/>
      </c>
      <c r="AC196" s="144">
        <f>L196</f>
        <v/>
      </c>
    </row>
    <row r="197">
      <c r="A197" s="140" t="inlineStr">
        <is>
          <t>ZDEK01</t>
        </is>
      </c>
      <c r="B197" s="140" t="n">
        <v>3</v>
      </c>
      <c r="C197" s="140" t="inlineStr">
        <is>
          <t>HVC305</t>
        </is>
      </c>
      <c r="D197" s="140" t="inlineStr">
        <is>
          <t>C</t>
        </is>
      </c>
      <c r="E197" s="140" t="inlineStr">
        <is>
          <t>De Klerk (Way) Dawn Margaret</t>
        </is>
      </c>
      <c r="F197" s="141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</f>
        <v/>
      </c>
      <c r="G197" s="142" t="n">
        <v>45107</v>
      </c>
      <c r="H197" s="140">
        <f>VLOOKUP($C197,Sales!$C:$E,2,FALSE)</f>
        <v/>
      </c>
      <c r="I197" s="140">
        <f>VLOOKUP($C197,Sales!$C:$E,3,FALSE)</f>
        <v/>
      </c>
      <c r="J197" s="142">
        <f>SUMIFS(Sales!$H:$H,Sales!$C:$C,'Investor Exit List'!$C197)</f>
        <v/>
      </c>
      <c r="K197" s="142">
        <f>IF(I197=TRUE,J197,"")</f>
        <v/>
      </c>
      <c r="L197" s="142">
        <f>G197+730</f>
        <v/>
      </c>
      <c r="M197" s="142" t="n">
        <v>45443</v>
      </c>
      <c r="N197" s="143">
        <f>IFERROR(IF(G197&lt;&gt;"",IF(I197=TRUE,0,IF(U197=TRUE,0,L197-M197)),0),0)</f>
        <v/>
      </c>
      <c r="O197" s="143">
        <f>IF(N197&gt;0,IF(N197&lt;=180,N197,0),0)</f>
        <v/>
      </c>
      <c r="P197" s="141">
        <f>IF(AND(N197&lt;90,N197&gt;0),Q197,0)</f>
        <v/>
      </c>
      <c r="Q197" s="141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/>
      </c>
      <c r="R197" s="141">
        <f>IF(AND(H197=TRUE,I197=FALSE),Q197,0)</f>
        <v/>
      </c>
      <c r="S197" s="141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/>
      </c>
      <c r="T197" s="142">
        <f>IF(U197=TRUE,$J197,"")</f>
        <v/>
      </c>
      <c r="U197" s="140" t="b">
        <v>0</v>
      </c>
      <c r="V197" s="141">
        <f>IF(AND(H197=TRUE,OR(K197="",K197&gt;M197)),S197,0)</f>
        <v/>
      </c>
      <c r="W197" s="140" t="n">
        <v>0</v>
      </c>
      <c r="X197" s="140" t="b">
        <v>0</v>
      </c>
      <c r="Y197" s="143">
        <f>IF(H197=FALSE,VLOOKUP($C197,Sales!$C:$F,4,FALSE),1)</f>
        <v/>
      </c>
      <c r="Z197" s="140">
        <f>IF(Y197=0,"Release",IF(AND(L197&lt;J197,Y197=1,H197=FALSE,U197=FALSE,MONTH(L197)&amp;"/"&amp;YEAR(L197)&lt;&gt;MONTH(J197)&amp;"/"&amp;YEAR(J197)),"Release",""))</f>
        <v/>
      </c>
      <c r="AA197" s="144">
        <f>_xlfn.minifs($L:$L,$C:$C,$C197,$F:$F,"&lt;&gt;0")</f>
        <v/>
      </c>
      <c r="AB197" s="144">
        <f>C197&amp;"-"&amp;A197</f>
        <v/>
      </c>
      <c r="AC197" s="144">
        <f>L197</f>
        <v/>
      </c>
    </row>
    <row r="198">
      <c r="A198" s="140" t="inlineStr">
        <is>
          <t>ZDUT01</t>
        </is>
      </c>
      <c r="B198" s="140" t="n">
        <v>1</v>
      </c>
      <c r="C198" s="140" t="inlineStr">
        <is>
          <t>HVC305</t>
        </is>
      </c>
      <c r="D198" s="140" t="inlineStr">
        <is>
          <t>C</t>
        </is>
      </c>
      <c r="E198" s="140" t="inlineStr">
        <is>
          <t>du Toit Willem Anton</t>
        </is>
      </c>
      <c r="F198" s="141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</f>
        <v/>
      </c>
      <c r="G198" s="142" t="n">
        <v>44903</v>
      </c>
      <c r="H198" s="140">
        <f>VLOOKUP($C198,Sales!$C:$E,2,FALSE)</f>
        <v/>
      </c>
      <c r="I198" s="140">
        <f>VLOOKUP($C198,Sales!$C:$E,3,FALSE)</f>
        <v/>
      </c>
      <c r="J198" s="142">
        <f>SUMIFS(Sales!$H:$H,Sales!$C:$C,'Investor Exit List'!$C198)</f>
        <v/>
      </c>
      <c r="K198" s="142">
        <f>IF(I198=TRUE,J198,"")</f>
        <v/>
      </c>
      <c r="L198" s="142">
        <f>G198+730</f>
        <v/>
      </c>
      <c r="M198" s="142" t="n">
        <v>45443</v>
      </c>
      <c r="N198" s="143">
        <f>IFERROR(IF(G198&lt;&gt;"",IF(I198=TRUE,0,IF(U198=TRUE,0,L198-M198)),0),0)</f>
        <v/>
      </c>
      <c r="O198" s="143">
        <f>IF(N198&gt;0,IF(N198&lt;=180,N198,0),0)</f>
        <v/>
      </c>
      <c r="P198" s="141">
        <f>IF(AND(N198&lt;90,N198&gt;0),Q198,0)</f>
        <v/>
      </c>
      <c r="Q198" s="141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/>
      </c>
      <c r="R198" s="141">
        <f>IF(AND(H198=TRUE,I198=FALSE),Q198,0)</f>
        <v/>
      </c>
      <c r="S198" s="141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/>
      </c>
      <c r="T198" s="142">
        <f>IF(U198=TRUE,$J198,"")</f>
        <v/>
      </c>
      <c r="U198" s="140" t="b">
        <v>0</v>
      </c>
      <c r="V198" s="141">
        <f>IF(AND(H198=TRUE,OR(K198="",K198&gt;M198)),S198,0)</f>
        <v/>
      </c>
      <c r="W198" s="140" t="n">
        <v>0</v>
      </c>
      <c r="X198" s="140" t="b">
        <v>0</v>
      </c>
      <c r="Y198" s="143">
        <f>IF(H198=FALSE,VLOOKUP($C198,Sales!$C:$F,4,FALSE),1)</f>
        <v/>
      </c>
      <c r="Z198" s="140">
        <f>IF(Y198=0,"Release",IF(AND(L198&lt;J198,Y198=1,H198=FALSE,U198=FALSE,MONTH(L198)&amp;"/"&amp;YEAR(L198)&lt;&gt;MONTH(J198)&amp;"/"&amp;YEAR(J198)),"Release",""))</f>
        <v/>
      </c>
      <c r="AA198" s="144">
        <f>_xlfn.minifs($L:$L,$C:$C,$C198,$F:$F,"&lt;&gt;0")</f>
        <v/>
      </c>
      <c r="AB198" s="144">
        <f>C198&amp;"-"&amp;A198</f>
        <v/>
      </c>
      <c r="AC198" s="144">
        <f>L198</f>
        <v/>
      </c>
    </row>
    <row r="199">
      <c r="A199" s="140" t="inlineStr">
        <is>
          <t>ZKRO01</t>
        </is>
      </c>
      <c r="B199" s="140" t="n">
        <v>3</v>
      </c>
      <c r="C199" s="140" t="inlineStr">
        <is>
          <t>HVC305</t>
        </is>
      </c>
      <c r="D199" s="140" t="inlineStr">
        <is>
          <t>C</t>
        </is>
      </c>
      <c r="E199" s="140" t="inlineStr">
        <is>
          <t>van der Merwe Frans</t>
        </is>
      </c>
      <c r="F199" s="141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</f>
        <v/>
      </c>
      <c r="G199" s="142" t="n">
        <v>44916</v>
      </c>
      <c r="H199" s="140">
        <f>VLOOKUP($C199,Sales!$C:$E,2,FALSE)</f>
        <v/>
      </c>
      <c r="I199" s="140">
        <f>VLOOKUP($C199,Sales!$C:$E,3,FALSE)</f>
        <v/>
      </c>
      <c r="J199" s="142">
        <f>SUMIFS(Sales!$H:$H,Sales!$C:$C,'Investor Exit List'!$C199)</f>
        <v/>
      </c>
      <c r="K199" s="142">
        <f>IF(I199=TRUE,J199,"")</f>
        <v/>
      </c>
      <c r="L199" s="142">
        <f>G199+730</f>
        <v/>
      </c>
      <c r="M199" s="142" t="n">
        <v>45443</v>
      </c>
      <c r="N199" s="143">
        <f>IFERROR(IF(G199&lt;&gt;"",IF(I199=TRUE,0,IF(U199=TRUE,0,L199-M199)),0),0)</f>
        <v/>
      </c>
      <c r="O199" s="143">
        <f>IF(N199&gt;0,IF(N199&lt;=180,N199,0),0)</f>
        <v/>
      </c>
      <c r="P199" s="141">
        <f>IF(AND(N199&lt;90,N199&gt;0),Q199,0)</f>
        <v/>
      </c>
      <c r="Q199" s="141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/>
      </c>
      <c r="R199" s="141">
        <f>IF(AND(H199=TRUE,I199=FALSE),Q199,0)</f>
        <v/>
      </c>
      <c r="S199" s="141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/>
      </c>
      <c r="T199" s="142">
        <f>IF(U199=TRUE,$J199,"")</f>
        <v/>
      </c>
      <c r="U199" s="140" t="b">
        <v>0</v>
      </c>
      <c r="V199" s="141">
        <f>IF(AND(H199=TRUE,OR(K199="",K199&gt;M199)),S199,0)</f>
        <v/>
      </c>
      <c r="W199" s="140" t="n">
        <v>0</v>
      </c>
      <c r="X199" s="140" t="b">
        <v>0</v>
      </c>
      <c r="Y199" s="143">
        <f>IF(H199=FALSE,VLOOKUP($C199,Sales!$C:$F,4,FALSE),1)</f>
        <v/>
      </c>
      <c r="Z199" s="140">
        <f>IF(Y199=0,"Release",IF(AND(L199&lt;J199,Y199=1,H199=FALSE,U199=FALSE,MONTH(L199)&amp;"/"&amp;YEAR(L199)&lt;&gt;MONTH(J199)&amp;"/"&amp;YEAR(J199)),"Release",""))</f>
        <v/>
      </c>
      <c r="AA199" s="144">
        <f>_xlfn.minifs($L:$L,$C:$C,$C199,$F:$F,"&lt;&gt;0")</f>
        <v/>
      </c>
      <c r="AB199" s="144">
        <f>C199&amp;"-"&amp;A199</f>
        <v/>
      </c>
      <c r="AC199" s="144">
        <f>L199</f>
        <v/>
      </c>
    </row>
    <row r="200">
      <c r="A200" s="140" t="inlineStr">
        <is>
          <t>ZVOL01</t>
        </is>
      </c>
      <c r="B200" s="140" t="n">
        <v>4</v>
      </c>
      <c r="C200" s="140" t="inlineStr">
        <is>
          <t>HVC305</t>
        </is>
      </c>
      <c r="D200" s="140" t="inlineStr">
        <is>
          <t>C</t>
        </is>
      </c>
      <c r="E200" s="140" t="inlineStr">
        <is>
          <t>Volschenk Gideon Cornelius</t>
        </is>
      </c>
      <c r="F200" s="141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</f>
        <v/>
      </c>
      <c r="G200" s="142" t="n">
        <v>44903</v>
      </c>
      <c r="H200" s="140">
        <f>VLOOKUP($C200,Sales!$C:$E,2,FALSE)</f>
        <v/>
      </c>
      <c r="I200" s="140">
        <f>VLOOKUP($C200,Sales!$C:$E,3,FALSE)</f>
        <v/>
      </c>
      <c r="J200" s="142">
        <f>SUMIFS(Sales!$H:$H,Sales!$C:$C,'Investor Exit List'!$C200)</f>
        <v/>
      </c>
      <c r="K200" s="142">
        <f>IF(I200=TRUE,J200,"")</f>
        <v/>
      </c>
      <c r="L200" s="142">
        <f>G200+730</f>
        <v/>
      </c>
      <c r="M200" s="142" t="n">
        <v>45443</v>
      </c>
      <c r="N200" s="143">
        <f>IFERROR(IF(G200&lt;&gt;"",IF(I200=TRUE,0,IF(U200=TRUE,0,L200-M200)),0),0)</f>
        <v/>
      </c>
      <c r="O200" s="143">
        <f>IF(N200&gt;0,IF(N200&lt;=180,N200,0),0)</f>
        <v/>
      </c>
      <c r="P200" s="141">
        <f>IF(AND(N200&lt;90,N200&gt;0),Q200,0)</f>
        <v/>
      </c>
      <c r="Q200" s="141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/>
      </c>
      <c r="R200" s="141">
        <f>IF(AND(H200=TRUE,I200=FALSE),Q200,0)</f>
        <v/>
      </c>
      <c r="S200" s="141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/>
      </c>
      <c r="T200" s="142">
        <f>IF(U200=TRUE,$J200,"")</f>
        <v/>
      </c>
      <c r="U200" s="140" t="b">
        <v>0</v>
      </c>
      <c r="V200" s="141">
        <f>IF(AND(H200=TRUE,OR(K200="",K200&gt;M200)),S200,0)</f>
        <v/>
      </c>
      <c r="W200" s="140" t="n">
        <v>0</v>
      </c>
      <c r="X200" s="140" t="b">
        <v>0</v>
      </c>
      <c r="Y200" s="143">
        <f>IF(H200=FALSE,VLOOKUP($C200,Sales!$C:$F,4,FALSE),1)</f>
        <v/>
      </c>
      <c r="Z200" s="140">
        <f>IF(Y200=0,"Release",IF(AND(L200&lt;J200,Y200=1,H200=FALSE,U200=FALSE,MONTH(L200)&amp;"/"&amp;YEAR(L200)&lt;&gt;MONTH(J200)&amp;"/"&amp;YEAR(J200)),"Release",""))</f>
        <v/>
      </c>
      <c r="AA200" s="144">
        <f>_xlfn.minifs($L:$L,$C:$C,$C200,$F:$F,"&lt;&gt;0")</f>
        <v/>
      </c>
      <c r="AB200" s="144">
        <f>C200&amp;"-"&amp;A200</f>
        <v/>
      </c>
      <c r="AC200" s="144">
        <f>L200</f>
        <v/>
      </c>
    </row>
    <row r="201">
      <c r="A201" s="140" t="inlineStr">
        <is>
          <t>ZVAN05</t>
        </is>
      </c>
      <c r="B201" s="140" t="n">
        <v>4</v>
      </c>
      <c r="C201" s="140" t="inlineStr">
        <is>
          <t>HVC306</t>
        </is>
      </c>
      <c r="D201" s="140" t="inlineStr">
        <is>
          <t>C</t>
        </is>
      </c>
      <c r="E201" s="140" t="inlineStr">
        <is>
          <t>van der Sandt Hermanus</t>
        </is>
      </c>
      <c r="F201" s="141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</f>
        <v/>
      </c>
      <c r="G201" s="142" t="n">
        <v>44903</v>
      </c>
      <c r="H201" s="140">
        <f>VLOOKUP($C201,Sales!$C:$E,2,FALSE)</f>
        <v/>
      </c>
      <c r="I201" s="140">
        <f>VLOOKUP($C201,Sales!$C:$E,3,FALSE)</f>
        <v/>
      </c>
      <c r="J201" s="142">
        <f>SUMIFS(Sales!$H:$H,Sales!$C:$C,'Investor Exit List'!$C201)</f>
        <v/>
      </c>
      <c r="K201" s="142">
        <f>IF(I201=TRUE,J201,"")</f>
        <v/>
      </c>
      <c r="L201" s="142">
        <f>G201+730</f>
        <v/>
      </c>
      <c r="M201" s="142" t="n">
        <v>45443</v>
      </c>
      <c r="N201" s="143">
        <f>IFERROR(IF(G201&lt;&gt;"",IF(I201=TRUE,0,IF(U201=TRUE,0,L201-M201)),0),0)</f>
        <v/>
      </c>
      <c r="O201" s="143">
        <f>IF(N201&gt;0,IF(N201&lt;=180,N201,0),0)</f>
        <v/>
      </c>
      <c r="P201" s="141">
        <f>IF(AND(N201&lt;90,N201&gt;0),Q201,0)</f>
        <v/>
      </c>
      <c r="Q201" s="141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/>
      </c>
      <c r="R201" s="141">
        <f>IF(AND(H201=TRUE,I201=FALSE),Q201,0)</f>
        <v/>
      </c>
      <c r="S201" s="141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/>
      </c>
      <c r="T201" s="142">
        <f>IF(U201=TRUE,$J201,"")</f>
        <v/>
      </c>
      <c r="U201" s="140" t="b">
        <v>0</v>
      </c>
      <c r="V201" s="141">
        <f>IF(AND(H201=TRUE,OR(K201="",K201&gt;M201)),S201,0)</f>
        <v/>
      </c>
      <c r="W201" s="140" t="n">
        <v>0</v>
      </c>
      <c r="X201" s="140" t="b">
        <v>0</v>
      </c>
      <c r="Y201" s="143">
        <f>IF(H201=FALSE,VLOOKUP($C201,Sales!$C:$F,4,FALSE),1)</f>
        <v/>
      </c>
      <c r="Z201" s="140">
        <f>IF(Y201=0,"Release",IF(AND(L201&lt;J201,Y201=1,H201=FALSE,U201=FALSE,MONTH(L201)&amp;"/"&amp;YEAR(L201)&lt;&gt;MONTH(J201)&amp;"/"&amp;YEAR(J201)),"Release",""))</f>
        <v/>
      </c>
      <c r="AA201" s="144">
        <f>_xlfn.minifs($L:$L,$C:$C,$C201,$F:$F,"&lt;&gt;0")</f>
        <v/>
      </c>
      <c r="AB201" s="144">
        <f>C201&amp;"-"&amp;A201</f>
        <v/>
      </c>
      <c r="AC201" s="144">
        <f>L201</f>
        <v/>
      </c>
    </row>
    <row r="202">
      <c r="A202" s="140" t="inlineStr">
        <is>
          <t>ZINT01</t>
        </is>
      </c>
      <c r="B202" s="140" t="n">
        <v>9</v>
      </c>
      <c r="C202" s="140" t="inlineStr">
        <is>
          <t>HVD101</t>
        </is>
      </c>
      <c r="D202" s="140" t="inlineStr">
        <is>
          <t>D</t>
        </is>
      </c>
      <c r="E202" s="140" t="inlineStr">
        <is>
          <t>Lunau Marc</t>
        </is>
      </c>
      <c r="F202" s="141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</f>
        <v/>
      </c>
      <c r="G202" s="142" t="n">
        <v>44706</v>
      </c>
      <c r="H202" s="140">
        <f>VLOOKUP($C202,Sales!$C:$E,2,FALSE)</f>
        <v/>
      </c>
      <c r="I202" s="140">
        <f>VLOOKUP($C202,Sales!$C:$E,3,FALSE)</f>
        <v/>
      </c>
      <c r="J202" s="142">
        <f>SUMIFS(Sales!$H:$H,Sales!$C:$C,'Investor Exit List'!$C202)</f>
        <v/>
      </c>
      <c r="K202" s="142">
        <f>IF(I202=TRUE,J202,"")</f>
        <v/>
      </c>
      <c r="L202" s="142">
        <f>G202+730</f>
        <v/>
      </c>
      <c r="M202" s="142" t="n">
        <v>45443</v>
      </c>
      <c r="N202" s="143">
        <f>IFERROR(IF(G202&lt;&gt;"",IF(I202=TRUE,0,IF(U202=TRUE,0,L202-M202)),0),0)</f>
        <v/>
      </c>
      <c r="O202" s="143">
        <f>IF(N202&gt;0,IF(N202&lt;=180,N202,0),0)</f>
        <v/>
      </c>
      <c r="P202" s="141">
        <f>IF(AND(N202&lt;90,N202&gt;0),Q202,0)</f>
        <v/>
      </c>
      <c r="Q202" s="141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/>
      </c>
      <c r="R202" s="141">
        <f>IF(AND(H202=TRUE,I202=FALSE),Q202,0)</f>
        <v/>
      </c>
      <c r="S202" s="141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/>
      </c>
      <c r="T202" s="142">
        <f>IF(U202=TRUE,$J202,"")</f>
        <v/>
      </c>
      <c r="U202" s="140" t="b">
        <v>1</v>
      </c>
      <c r="V202" s="141">
        <f>IF(AND(H202=TRUE,OR(K202="",K202&gt;M202)),S202,0)</f>
        <v/>
      </c>
      <c r="W202" s="140" t="n">
        <v>0</v>
      </c>
      <c r="X202" s="140" t="b">
        <v>0</v>
      </c>
      <c r="Y202" s="143">
        <f>IF(H202=FALSE,VLOOKUP($C202,Sales!$C:$F,4,FALSE),1)</f>
        <v/>
      </c>
      <c r="Z202" s="140">
        <f>IF(Y202=0,"Release",IF(AND(L202&lt;J202,Y202=1,H202=FALSE,U202=FALSE,MONTH(L202)&amp;"/"&amp;YEAR(L202)&lt;&gt;MONTH(J202)&amp;"/"&amp;YEAR(J202)),"Release",""))</f>
        <v/>
      </c>
      <c r="AA202" s="144">
        <f>_xlfn.minifs($L:$L,$C:$C,$C202,$F:$F,"&lt;&gt;0")</f>
        <v/>
      </c>
      <c r="AB202" s="144">
        <f>C202&amp;"-"&amp;A202</f>
        <v/>
      </c>
      <c r="AC202" s="144">
        <f>L202</f>
        <v/>
      </c>
    </row>
    <row r="203">
      <c r="A203" s="140" t="inlineStr">
        <is>
          <t>ZMAT03</t>
        </is>
      </c>
      <c r="B203" s="140" t="n">
        <v>3</v>
      </c>
      <c r="C203" s="140" t="inlineStr">
        <is>
          <t>HVD101</t>
        </is>
      </c>
      <c r="D203" s="140" t="inlineStr">
        <is>
          <t>D</t>
        </is>
      </c>
      <c r="E203" s="140" t="inlineStr">
        <is>
          <t>Matthee Delia</t>
        </is>
      </c>
      <c r="F203" s="141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</f>
        <v/>
      </c>
      <c r="G203" s="142" t="n">
        <v>44706</v>
      </c>
      <c r="H203" s="140">
        <f>VLOOKUP($C203,Sales!$C:$E,2,FALSE)</f>
        <v/>
      </c>
      <c r="I203" s="140">
        <f>VLOOKUP($C203,Sales!$C:$E,3,FALSE)</f>
        <v/>
      </c>
      <c r="J203" s="142">
        <f>SUMIFS(Sales!$H:$H,Sales!$C:$C,'Investor Exit List'!$C203)</f>
        <v/>
      </c>
      <c r="K203" s="142">
        <f>IF(I203=TRUE,J203,"")</f>
        <v/>
      </c>
      <c r="L203" s="142">
        <f>G203+730</f>
        <v/>
      </c>
      <c r="M203" s="142" t="n">
        <v>45443</v>
      </c>
      <c r="N203" s="143">
        <f>IFERROR(IF(G203&lt;&gt;"",IF(I203=TRUE,0,IF(U203=TRUE,0,L203-M203)),0),0)</f>
        <v/>
      </c>
      <c r="O203" s="143">
        <f>IF(N203&gt;0,IF(N203&lt;=180,N203,0),0)</f>
        <v/>
      </c>
      <c r="P203" s="141">
        <f>IF(AND(N203&lt;90,N203&gt;0),Q203,0)</f>
        <v/>
      </c>
      <c r="Q203" s="141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/>
      </c>
      <c r="R203" s="141">
        <f>IF(AND(H203=TRUE,I203=FALSE),Q203,0)</f>
        <v/>
      </c>
      <c r="S203" s="141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/>
      </c>
      <c r="T203" s="142">
        <f>IF(U203=TRUE,$J203,"")</f>
        <v/>
      </c>
      <c r="U203" s="140" t="b">
        <v>0</v>
      </c>
      <c r="V203" s="141">
        <f>IF(AND(H203=TRUE,OR(K203="",K203&gt;M203)),S203,0)</f>
        <v/>
      </c>
      <c r="W203" s="140" t="n">
        <v>0</v>
      </c>
      <c r="X203" s="140" t="b">
        <v>0</v>
      </c>
      <c r="Y203" s="143">
        <f>IF(H203=FALSE,VLOOKUP($C203,Sales!$C:$F,4,FALSE),1)</f>
        <v/>
      </c>
      <c r="Z203" s="140">
        <f>IF(Y203=0,"Release",IF(AND(L203&lt;J203,Y203=1,H203=FALSE,U203=FALSE,MONTH(L203)&amp;"/"&amp;YEAR(L203)&lt;&gt;MONTH(J203)&amp;"/"&amp;YEAR(J203)),"Release",""))</f>
        <v/>
      </c>
      <c r="AA203" s="144">
        <f>_xlfn.minifs($L:$L,$C:$C,$C203,$F:$F,"&lt;&gt;0")</f>
        <v/>
      </c>
      <c r="AB203" s="144">
        <f>C203&amp;"-"&amp;A203</f>
        <v/>
      </c>
      <c r="AC203" s="144">
        <f>L203</f>
        <v/>
      </c>
    </row>
    <row r="204">
      <c r="A204" s="140" t="inlineStr">
        <is>
          <t>ZWAT01</t>
        </is>
      </c>
      <c r="B204" s="140" t="n">
        <v>10</v>
      </c>
      <c r="C204" s="140" t="inlineStr">
        <is>
          <t>HVD101</t>
        </is>
      </c>
      <c r="D204" s="140" t="inlineStr">
        <is>
          <t>D</t>
        </is>
      </c>
      <c r="E204" s="140" t="inlineStr">
        <is>
          <t>Watts Peter Gregory</t>
        </is>
      </c>
      <c r="F204" s="141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</f>
        <v/>
      </c>
      <c r="G204" s="142" t="n">
        <v>44713</v>
      </c>
      <c r="H204" s="140">
        <f>VLOOKUP($C204,Sales!$C:$E,2,FALSE)</f>
        <v/>
      </c>
      <c r="I204" s="140">
        <f>VLOOKUP($C204,Sales!$C:$E,3,FALSE)</f>
        <v/>
      </c>
      <c r="J204" s="142">
        <f>SUMIFS(Sales!$H:$H,Sales!$C:$C,'Investor Exit List'!$C204)</f>
        <v/>
      </c>
      <c r="K204" s="142">
        <f>IF(I204=TRUE,J204,"")</f>
        <v/>
      </c>
      <c r="L204" s="142">
        <f>G204+730</f>
        <v/>
      </c>
      <c r="M204" s="142" t="n">
        <v>45443</v>
      </c>
      <c r="N204" s="143">
        <f>IFERROR(IF(G204&lt;&gt;"",IF(I204=TRUE,0,IF(U204=TRUE,0,L204-M204)),0),0)</f>
        <v/>
      </c>
      <c r="O204" s="143">
        <f>IF(N204&gt;0,IF(N204&lt;=180,N204,0),0)</f>
        <v/>
      </c>
      <c r="P204" s="141">
        <f>IF(AND(N204&lt;90,N204&gt;0),Q204,0)</f>
        <v/>
      </c>
      <c r="Q204" s="141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/>
      </c>
      <c r="R204" s="141">
        <f>IF(AND(H204=TRUE,I204=FALSE),Q204,0)</f>
        <v/>
      </c>
      <c r="S204" s="141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/>
      </c>
      <c r="T204" s="142">
        <f>IF(U204=TRUE,$J204,"")</f>
        <v/>
      </c>
      <c r="U204" s="140" t="b">
        <v>1</v>
      </c>
      <c r="V204" s="141">
        <f>IF(AND(H204=TRUE,OR(K204="",K204&gt;M204)),S204,0)</f>
        <v/>
      </c>
      <c r="W204" s="140" t="n">
        <v>0</v>
      </c>
      <c r="X204" s="140" t="b">
        <v>0</v>
      </c>
      <c r="Y204" s="143">
        <f>IF(H204=FALSE,VLOOKUP($C204,Sales!$C:$F,4,FALSE),1)</f>
        <v/>
      </c>
      <c r="Z204" s="140">
        <f>IF(Y204=0,"Release",IF(AND(L204&lt;J204,Y204=1,H204=FALSE,U204=FALSE,MONTH(L204)&amp;"/"&amp;YEAR(L204)&lt;&gt;MONTH(J204)&amp;"/"&amp;YEAR(J204)),"Release",""))</f>
        <v/>
      </c>
      <c r="AA204" s="144">
        <f>_xlfn.minifs($L:$L,$C:$C,$C204,$F:$F,"&lt;&gt;0")</f>
        <v/>
      </c>
      <c r="AB204" s="144">
        <f>C204&amp;"-"&amp;A204</f>
        <v/>
      </c>
      <c r="AC204" s="144">
        <f>L204</f>
        <v/>
      </c>
    </row>
    <row r="205">
      <c r="A205" s="140" t="inlineStr">
        <is>
          <t>ZHAL03</t>
        </is>
      </c>
      <c r="B205" s="140" t="n">
        <v>1</v>
      </c>
      <c r="C205" s="140" t="inlineStr">
        <is>
          <t>HVD102</t>
        </is>
      </c>
      <c r="D205" s="140" t="inlineStr">
        <is>
          <t>D</t>
        </is>
      </c>
      <c r="E205" s="140" t="inlineStr">
        <is>
          <t>Hall Graeme Haffenden</t>
        </is>
      </c>
      <c r="F205" s="141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</f>
        <v/>
      </c>
      <c r="G205" s="142" t="n">
        <v>44819</v>
      </c>
      <c r="H205" s="140">
        <f>VLOOKUP($C205,Sales!$C:$E,2,FALSE)</f>
        <v/>
      </c>
      <c r="I205" s="140">
        <f>VLOOKUP($C205,Sales!$C:$E,3,FALSE)</f>
        <v/>
      </c>
      <c r="J205" s="142">
        <f>SUMIFS(Sales!$H:$H,Sales!$C:$C,'Investor Exit List'!$C205)</f>
        <v/>
      </c>
      <c r="K205" s="142">
        <f>IF(I205=TRUE,J205,"")</f>
        <v/>
      </c>
      <c r="L205" s="142">
        <f>G205+730</f>
        <v/>
      </c>
      <c r="M205" s="142" t="n">
        <v>45443</v>
      </c>
      <c r="N205" s="143">
        <f>IFERROR(IF(G205&lt;&gt;"",IF(I205=TRUE,0,IF(U205=TRUE,0,L205-M205)),0),0)</f>
        <v/>
      </c>
      <c r="O205" s="143">
        <f>IF(N205&gt;0,IF(N205&lt;=180,N205,0),0)</f>
        <v/>
      </c>
      <c r="P205" s="141">
        <f>IF(AND(N205&lt;90,N205&gt;0),Q205,0)</f>
        <v/>
      </c>
      <c r="Q205" s="141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/>
      </c>
      <c r="R205" s="141">
        <f>IF(AND(H205=TRUE,I205=FALSE),Q205,0)</f>
        <v/>
      </c>
      <c r="S205" s="141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/>
      </c>
      <c r="T205" s="142">
        <f>IF(U205=TRUE,$J205,"")</f>
        <v/>
      </c>
      <c r="U205" s="140" t="b">
        <v>1</v>
      </c>
      <c r="V205" s="141">
        <f>IF(AND(H205=TRUE,OR(K205="",K205&gt;M205)),S205,0)</f>
        <v/>
      </c>
      <c r="W205" s="140" t="n">
        <v>0</v>
      </c>
      <c r="X205" s="140" t="b">
        <v>0</v>
      </c>
      <c r="Y205" s="143">
        <f>IF(H205=FALSE,VLOOKUP($C205,Sales!$C:$F,4,FALSE),1)</f>
        <v/>
      </c>
      <c r="Z205" s="140">
        <f>IF(Y205=0,"Release",IF(AND(L205&lt;J205,Y205=1,H205=FALSE,U205=FALSE,MONTH(L205)&amp;"/"&amp;YEAR(L205)&lt;&gt;MONTH(J205)&amp;"/"&amp;YEAR(J205)),"Release",""))</f>
        <v/>
      </c>
      <c r="AA205" s="144">
        <f>_xlfn.minifs($L:$L,$C:$C,$C205,$F:$F,"&lt;&gt;0")</f>
        <v/>
      </c>
      <c r="AB205" s="144">
        <f>C205&amp;"-"&amp;A205</f>
        <v/>
      </c>
      <c r="AC205" s="144">
        <f>L205</f>
        <v/>
      </c>
    </row>
    <row r="206">
      <c r="A206" s="140" t="inlineStr">
        <is>
          <t>ZLEB01</t>
        </is>
      </c>
      <c r="B206" s="140" t="n">
        <v>10</v>
      </c>
      <c r="C206" s="140" t="inlineStr">
        <is>
          <t>HVD102</t>
        </is>
      </c>
      <c r="D206" s="140" t="inlineStr">
        <is>
          <t>D</t>
        </is>
      </c>
      <c r="E206" s="140" t="inlineStr">
        <is>
          <t>Lebusa Hopolang</t>
        </is>
      </c>
      <c r="F206" s="141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</f>
        <v/>
      </c>
      <c r="G206" s="142" t="n">
        <v>44694</v>
      </c>
      <c r="H206" s="140">
        <f>VLOOKUP($C206,Sales!$C:$E,2,FALSE)</f>
        <v/>
      </c>
      <c r="I206" s="140">
        <f>VLOOKUP($C206,Sales!$C:$E,3,FALSE)</f>
        <v/>
      </c>
      <c r="J206" s="142">
        <f>SUMIFS(Sales!$H:$H,Sales!$C:$C,'Investor Exit List'!$C206)</f>
        <v/>
      </c>
      <c r="K206" s="142">
        <f>IF(I206=TRUE,J206,"")</f>
        <v/>
      </c>
      <c r="L206" s="142">
        <f>G206+730</f>
        <v/>
      </c>
      <c r="M206" s="142" t="n">
        <v>45443</v>
      </c>
      <c r="N206" s="143">
        <f>IFERROR(IF(G206&lt;&gt;"",IF(I206=TRUE,0,IF(U206=TRUE,0,L206-M206)),0),0)</f>
        <v/>
      </c>
      <c r="O206" s="143">
        <f>IF(N206&gt;0,IF(N206&lt;=180,N206,0),0)</f>
        <v/>
      </c>
      <c r="P206" s="141">
        <f>IF(AND(N206&lt;90,N206&gt;0),Q206,0)</f>
        <v/>
      </c>
      <c r="Q206" s="141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/>
      </c>
      <c r="R206" s="141">
        <f>IF(AND(H206=TRUE,I206=FALSE),Q206,0)</f>
        <v/>
      </c>
      <c r="S206" s="141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/>
      </c>
      <c r="T206" s="142">
        <f>IF(U206=TRUE,$J206,"")</f>
        <v/>
      </c>
      <c r="U206" s="140" t="b">
        <v>1</v>
      </c>
      <c r="V206" s="141">
        <f>IF(AND(H206=TRUE,OR(K206="",K206&gt;M206)),S206,0)</f>
        <v/>
      </c>
      <c r="W206" s="140" t="n">
        <v>0</v>
      </c>
      <c r="X206" s="140" t="b">
        <v>0</v>
      </c>
      <c r="Y206" s="143">
        <f>IF(H206=FALSE,VLOOKUP($C206,Sales!$C:$F,4,FALSE),1)</f>
        <v/>
      </c>
      <c r="Z206" s="140">
        <f>IF(Y206=0,"Release",IF(AND(L206&lt;J206,Y206=1,H206=FALSE,U206=FALSE,MONTH(L206)&amp;"/"&amp;YEAR(L206)&lt;&gt;MONTH(J206)&amp;"/"&amp;YEAR(J206)),"Release",""))</f>
        <v/>
      </c>
      <c r="AA206" s="144">
        <f>_xlfn.minifs($L:$L,$C:$C,$C206,$F:$F,"&lt;&gt;0")</f>
        <v/>
      </c>
      <c r="AB206" s="144">
        <f>C206&amp;"-"&amp;A206</f>
        <v/>
      </c>
      <c r="AC206" s="144">
        <f>L206</f>
        <v/>
      </c>
    </row>
    <row r="207">
      <c r="A207" s="140" t="inlineStr">
        <is>
          <t>ZCUP01</t>
        </is>
      </c>
      <c r="B207" s="140" t="n">
        <v>2</v>
      </c>
      <c r="C207" s="140" t="inlineStr">
        <is>
          <t>HVD103</t>
        </is>
      </c>
      <c r="D207" s="140" t="inlineStr">
        <is>
          <t>D</t>
        </is>
      </c>
      <c r="E207" s="140" t="inlineStr">
        <is>
          <t>Cupido Tyrone</t>
        </is>
      </c>
      <c r="F207" s="141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</f>
        <v/>
      </c>
      <c r="G207" s="142" t="n">
        <v>45008</v>
      </c>
      <c r="H207" s="140">
        <f>VLOOKUP($C207,Sales!$C:$E,2,FALSE)</f>
        <v/>
      </c>
      <c r="I207" s="140">
        <f>VLOOKUP($C207,Sales!$C:$E,3,FALSE)</f>
        <v/>
      </c>
      <c r="J207" s="142">
        <f>SUMIFS(Sales!$H:$H,Sales!$C:$C,'Investor Exit List'!$C207)</f>
        <v/>
      </c>
      <c r="K207" s="142">
        <f>IF(I207=TRUE,J207,"")</f>
        <v/>
      </c>
      <c r="L207" s="142">
        <f>G207+730</f>
        <v/>
      </c>
      <c r="M207" s="142" t="n">
        <v>45443</v>
      </c>
      <c r="N207" s="143">
        <f>IFERROR(IF(G207&lt;&gt;"",IF(I207=TRUE,0,IF(U207=TRUE,0,L207-M207)),0),0)</f>
        <v/>
      </c>
      <c r="O207" s="143">
        <f>IF(N207&gt;0,IF(N207&lt;=180,N207,0),0)</f>
        <v/>
      </c>
      <c r="P207" s="141">
        <f>IF(AND(N207&lt;90,N207&gt;0),Q207,0)</f>
        <v/>
      </c>
      <c r="Q207" s="141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/>
      </c>
      <c r="R207" s="141">
        <f>IF(AND(H207=TRUE,I207=FALSE),Q207,0)</f>
        <v/>
      </c>
      <c r="S207" s="141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/>
      </c>
      <c r="T207" s="142">
        <f>IF(U207=TRUE,$J207,"")</f>
        <v/>
      </c>
      <c r="U207" s="140" t="b">
        <v>0</v>
      </c>
      <c r="V207" s="141">
        <f>IF(AND(H207=TRUE,OR(K207="",K207&gt;M207)),S207,0)</f>
        <v/>
      </c>
      <c r="W207" s="140" t="n">
        <v>0</v>
      </c>
      <c r="X207" s="140" t="b">
        <v>0</v>
      </c>
      <c r="Y207" s="143">
        <f>IF(H207=FALSE,VLOOKUP($C207,Sales!$C:$F,4,FALSE),1)</f>
        <v/>
      </c>
      <c r="Z207" s="140">
        <f>IF(Y207=0,"Release",IF(AND(L207&lt;J207,Y207=1,H207=FALSE,U207=FALSE,MONTH(L207)&amp;"/"&amp;YEAR(L207)&lt;&gt;MONTH(J207)&amp;"/"&amp;YEAR(J207)),"Release",""))</f>
        <v/>
      </c>
      <c r="AA207" s="144">
        <f>_xlfn.minifs($L:$L,$C:$C,$C207,$F:$F,"&lt;&gt;0")</f>
        <v/>
      </c>
      <c r="AB207" s="144">
        <f>C207&amp;"-"&amp;A207</f>
        <v/>
      </c>
      <c r="AC207" s="144">
        <f>L207</f>
        <v/>
      </c>
    </row>
    <row r="208">
      <c r="A208" s="140" t="inlineStr">
        <is>
          <t>ZHEN01</t>
        </is>
      </c>
      <c r="B208" s="140" t="n">
        <v>3</v>
      </c>
      <c r="C208" s="140" t="inlineStr">
        <is>
          <t>HVD103</t>
        </is>
      </c>
      <c r="D208" s="140" t="inlineStr">
        <is>
          <t>D</t>
        </is>
      </c>
      <c r="E208" s="140" t="inlineStr">
        <is>
          <t>Hendricks Theodore Shane</t>
        </is>
      </c>
      <c r="F208" s="141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</f>
        <v/>
      </c>
      <c r="G208" s="142" t="n">
        <v>44719</v>
      </c>
      <c r="H208" s="140">
        <f>VLOOKUP($C208,Sales!$C:$E,2,FALSE)</f>
        <v/>
      </c>
      <c r="I208" s="140">
        <f>VLOOKUP($C208,Sales!$C:$E,3,FALSE)</f>
        <v/>
      </c>
      <c r="J208" s="142">
        <f>SUMIFS(Sales!$H:$H,Sales!$C:$C,'Investor Exit List'!$C208)</f>
        <v/>
      </c>
      <c r="K208" s="142">
        <f>IF(I208=TRUE,J208,"")</f>
        <v/>
      </c>
      <c r="L208" s="142">
        <f>G208+730</f>
        <v/>
      </c>
      <c r="M208" s="142" t="n">
        <v>45443</v>
      </c>
      <c r="N208" s="143">
        <f>IFERROR(IF(G208&lt;&gt;"",IF(I208=TRUE,0,IF(U208=TRUE,0,L208-M208)),0),0)</f>
        <v/>
      </c>
      <c r="O208" s="143">
        <f>IF(N208&gt;0,IF(N208&lt;=180,N208,0),0)</f>
        <v/>
      </c>
      <c r="P208" s="141">
        <f>IF(AND(N208&lt;90,N208&gt;0),Q208,0)</f>
        <v/>
      </c>
      <c r="Q208" s="141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/>
      </c>
      <c r="R208" s="141">
        <f>IF(AND(H208=TRUE,I208=FALSE),Q208,0)</f>
        <v/>
      </c>
      <c r="S208" s="141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/>
      </c>
      <c r="T208" s="142">
        <f>IF(U208=TRUE,$J208,"")</f>
        <v/>
      </c>
      <c r="U208" s="140" t="b">
        <v>1</v>
      </c>
      <c r="V208" s="141">
        <f>IF(AND(H208=TRUE,OR(K208="",K208&gt;M208)),S208,0)</f>
        <v/>
      </c>
      <c r="W208" s="140" t="n">
        <v>0</v>
      </c>
      <c r="X208" s="140" t="b">
        <v>0</v>
      </c>
      <c r="Y208" s="143">
        <f>IF(H208=FALSE,VLOOKUP($C208,Sales!$C:$F,4,FALSE),1)</f>
        <v/>
      </c>
      <c r="Z208" s="140">
        <f>IF(Y208=0,"Release",IF(AND(L208&lt;J208,Y208=1,H208=FALSE,U208=FALSE,MONTH(L208)&amp;"/"&amp;YEAR(L208)&lt;&gt;MONTH(J208)&amp;"/"&amp;YEAR(J208)),"Release",""))</f>
        <v/>
      </c>
      <c r="AA208" s="144">
        <f>_xlfn.minifs($L:$L,$C:$C,$C208,$F:$F,"&lt;&gt;0")</f>
        <v/>
      </c>
      <c r="AB208" s="144">
        <f>C208&amp;"-"&amp;A208</f>
        <v/>
      </c>
      <c r="AC208" s="144">
        <f>L208</f>
        <v/>
      </c>
    </row>
    <row r="209">
      <c r="A209" s="140" t="inlineStr">
        <is>
          <t>ZLEB01</t>
        </is>
      </c>
      <c r="B209" s="140" t="n">
        <v>11</v>
      </c>
      <c r="C209" s="140" t="inlineStr">
        <is>
          <t>HVD103</t>
        </is>
      </c>
      <c r="D209" s="140" t="inlineStr">
        <is>
          <t>D</t>
        </is>
      </c>
      <c r="E209" s="140" t="inlineStr">
        <is>
          <t>Lebusa Hopolang</t>
        </is>
      </c>
      <c r="F209" s="141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</f>
        <v/>
      </c>
      <c r="G209" s="142" t="n">
        <v>44694</v>
      </c>
      <c r="H209" s="140">
        <f>VLOOKUP($C209,Sales!$C:$E,2,FALSE)</f>
        <v/>
      </c>
      <c r="I209" s="140">
        <f>VLOOKUP($C209,Sales!$C:$E,3,FALSE)</f>
        <v/>
      </c>
      <c r="J209" s="142">
        <f>SUMIFS(Sales!$H:$H,Sales!$C:$C,'Investor Exit List'!$C209)</f>
        <v/>
      </c>
      <c r="K209" s="142">
        <f>IF(I209=TRUE,J209,"")</f>
        <v/>
      </c>
      <c r="L209" s="142">
        <f>G209+730</f>
        <v/>
      </c>
      <c r="M209" s="142" t="n">
        <v>45443</v>
      </c>
      <c r="N209" s="143">
        <f>IFERROR(IF(G209&lt;&gt;"",IF(I209=TRUE,0,IF(U209=TRUE,0,L209-M209)),0),0)</f>
        <v/>
      </c>
      <c r="O209" s="143">
        <f>IF(N209&gt;0,IF(N209&lt;=180,N209,0),0)</f>
        <v/>
      </c>
      <c r="P209" s="141">
        <f>IF(AND(N209&lt;90,N209&gt;0),Q209,0)</f>
        <v/>
      </c>
      <c r="Q209" s="141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/>
      </c>
      <c r="R209" s="141">
        <f>IF(AND(H209=TRUE,I209=FALSE),Q209,0)</f>
        <v/>
      </c>
      <c r="S209" s="141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/>
      </c>
      <c r="T209" s="142">
        <f>IF(U209=TRUE,$J209,"")</f>
        <v/>
      </c>
      <c r="U209" s="140" t="b">
        <v>0</v>
      </c>
      <c r="V209" s="141">
        <f>IF(AND(H209=TRUE,OR(K209="",K209&gt;M209)),S209,0)</f>
        <v/>
      </c>
      <c r="W209" s="140" t="n">
        <v>0</v>
      </c>
      <c r="X209" s="140" t="b">
        <v>0</v>
      </c>
      <c r="Y209" s="143">
        <f>IF(H209=FALSE,VLOOKUP($C209,Sales!$C:$F,4,FALSE),1)</f>
        <v/>
      </c>
      <c r="Z209" s="140">
        <f>IF(Y209=0,"Release",IF(AND(L209&lt;J209,Y209=1,H209=FALSE,U209=FALSE,MONTH(L209)&amp;"/"&amp;YEAR(L209)&lt;&gt;MONTH(J209)&amp;"/"&amp;YEAR(J209)),"Release",""))</f>
        <v/>
      </c>
      <c r="AA209" s="144">
        <f>_xlfn.minifs($L:$L,$C:$C,$C209,$F:$F,"&lt;&gt;0")</f>
        <v/>
      </c>
      <c r="AB209" s="144">
        <f>C209&amp;"-"&amp;A209</f>
        <v/>
      </c>
      <c r="AC209" s="144">
        <f>L209</f>
        <v/>
      </c>
    </row>
    <row r="210">
      <c r="A210" s="140" t="inlineStr">
        <is>
          <t>ZLES01</t>
        </is>
      </c>
      <c r="B210" s="140" t="n">
        <v>1</v>
      </c>
      <c r="C210" s="140" t="inlineStr">
        <is>
          <t>HVD103</t>
        </is>
      </c>
      <c r="D210" s="140" t="inlineStr">
        <is>
          <t>D</t>
        </is>
      </c>
      <c r="E210" s="140" t="inlineStr">
        <is>
          <t>Leslie Megan Frances</t>
        </is>
      </c>
      <c r="F210" s="141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</f>
        <v/>
      </c>
      <c r="G210" s="142" t="n">
        <v>45016</v>
      </c>
      <c r="H210" s="140">
        <f>VLOOKUP($C210,Sales!$C:$E,2,FALSE)</f>
        <v/>
      </c>
      <c r="I210" s="140">
        <f>VLOOKUP($C210,Sales!$C:$E,3,FALSE)</f>
        <v/>
      </c>
      <c r="J210" s="142">
        <f>SUMIFS(Sales!$H:$H,Sales!$C:$C,'Investor Exit List'!$C210)</f>
        <v/>
      </c>
      <c r="K210" s="142">
        <f>IF(I210=TRUE,J210,"")</f>
        <v/>
      </c>
      <c r="L210" s="142">
        <f>G210+730</f>
        <v/>
      </c>
      <c r="M210" s="142" t="n">
        <v>45443</v>
      </c>
      <c r="N210" s="143">
        <f>IFERROR(IF(G210&lt;&gt;"",IF(I210=TRUE,0,IF(U210=TRUE,0,L210-M210)),0),0)</f>
        <v/>
      </c>
      <c r="O210" s="143">
        <f>IF(N210&gt;0,IF(N210&lt;=180,N210,0),0)</f>
        <v/>
      </c>
      <c r="P210" s="141">
        <f>IF(AND(N210&lt;90,N210&gt;0),Q210,0)</f>
        <v/>
      </c>
      <c r="Q210" s="141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/>
      </c>
      <c r="R210" s="141">
        <f>IF(AND(H210=TRUE,I210=FALSE),Q210,0)</f>
        <v/>
      </c>
      <c r="S210" s="141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/>
      </c>
      <c r="T210" s="142">
        <f>IF(U210=TRUE,$J210,"")</f>
        <v/>
      </c>
      <c r="U210" s="140" t="b">
        <v>1</v>
      </c>
      <c r="V210" s="141">
        <f>IF(AND(H210=TRUE,OR(K210="",K210&gt;M210)),S210,0)</f>
        <v/>
      </c>
      <c r="W210" s="140" t="n">
        <v>0</v>
      </c>
      <c r="X210" s="140" t="b">
        <v>0</v>
      </c>
      <c r="Y210" s="143">
        <f>IF(H210=FALSE,VLOOKUP($C210,Sales!$C:$F,4,FALSE),1)</f>
        <v/>
      </c>
      <c r="Z210" s="140">
        <f>IF(Y210=0,"Release",IF(AND(L210&lt;J210,Y210=1,H210=FALSE,U210=FALSE,MONTH(L210)&amp;"/"&amp;YEAR(L210)&lt;&gt;MONTH(J210)&amp;"/"&amp;YEAR(J210)),"Release",""))</f>
        <v/>
      </c>
      <c r="AA210" s="144">
        <f>_xlfn.minifs($L:$L,$C:$C,$C210,$F:$F,"&lt;&gt;0")</f>
        <v/>
      </c>
      <c r="AB210" s="144">
        <f>C210&amp;"-"&amp;A210</f>
        <v/>
      </c>
      <c r="AC210" s="144">
        <f>L210</f>
        <v/>
      </c>
    </row>
    <row r="211">
      <c r="A211" s="140" t="inlineStr">
        <is>
          <t>ZZYL04</t>
        </is>
      </c>
      <c r="B211" s="140" t="n">
        <v>1</v>
      </c>
      <c r="C211" s="140" t="inlineStr">
        <is>
          <t>HVD103</t>
        </is>
      </c>
      <c r="D211" s="140" t="inlineStr">
        <is>
          <t>D</t>
        </is>
      </c>
      <c r="E211" s="140" t="inlineStr">
        <is>
          <t>Zylstra Steven Michael</t>
        </is>
      </c>
      <c r="F211" s="141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</f>
        <v/>
      </c>
      <c r="G211" s="142" t="n">
        <v>44706</v>
      </c>
      <c r="H211" s="140">
        <f>VLOOKUP($C211,Sales!$C:$E,2,FALSE)</f>
        <v/>
      </c>
      <c r="I211" s="140">
        <f>VLOOKUP($C211,Sales!$C:$E,3,FALSE)</f>
        <v/>
      </c>
      <c r="J211" s="142">
        <f>SUMIFS(Sales!$H:$H,Sales!$C:$C,'Investor Exit List'!$C211)</f>
        <v/>
      </c>
      <c r="K211" s="142">
        <f>IF(I211=TRUE,J211,"")</f>
        <v/>
      </c>
      <c r="L211" s="142">
        <f>G211+730</f>
        <v/>
      </c>
      <c r="M211" s="142" t="n">
        <v>45443</v>
      </c>
      <c r="N211" s="143">
        <f>IFERROR(IF(G211&lt;&gt;"",IF(I211=TRUE,0,IF(U211=TRUE,0,L211-M211)),0),0)</f>
        <v/>
      </c>
      <c r="O211" s="143">
        <f>IF(N211&gt;0,IF(N211&lt;=180,N211,0),0)</f>
        <v/>
      </c>
      <c r="P211" s="141">
        <f>IF(AND(N211&lt;90,N211&gt;0),Q211,0)</f>
        <v/>
      </c>
      <c r="Q211" s="141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/>
      </c>
      <c r="R211" s="141">
        <f>IF(AND(H211=TRUE,I211=FALSE),Q211,0)</f>
        <v/>
      </c>
      <c r="S211" s="141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/>
      </c>
      <c r="T211" s="142">
        <f>IF(U211=TRUE,$J211,"")</f>
        <v/>
      </c>
      <c r="U211" s="140" t="b">
        <v>1</v>
      </c>
      <c r="V211" s="141">
        <f>IF(AND(H211=TRUE,OR(K211="",K211&gt;M211)),S211,0)</f>
        <v/>
      </c>
      <c r="W211" s="140" t="n">
        <v>0</v>
      </c>
      <c r="X211" s="140" t="b">
        <v>0</v>
      </c>
      <c r="Y211" s="143">
        <f>IF(H211=FALSE,VLOOKUP($C211,Sales!$C:$F,4,FALSE),1)</f>
        <v/>
      </c>
      <c r="Z211" s="140">
        <f>IF(Y211=0,"Release",IF(AND(L211&lt;J211,Y211=1,H211=FALSE,U211=FALSE,MONTH(L211)&amp;"/"&amp;YEAR(L211)&lt;&gt;MONTH(J211)&amp;"/"&amp;YEAR(J211)),"Release",""))</f>
        <v/>
      </c>
      <c r="AA211" s="144">
        <f>_xlfn.minifs($L:$L,$C:$C,$C211,$F:$F,"&lt;&gt;0")</f>
        <v/>
      </c>
      <c r="AB211" s="144">
        <f>C211&amp;"-"&amp;A211</f>
        <v/>
      </c>
      <c r="AC211" s="144">
        <f>L211</f>
        <v/>
      </c>
    </row>
    <row r="212">
      <c r="A212" s="140" t="inlineStr">
        <is>
          <t>ZFON01</t>
        </is>
      </c>
      <c r="B212" s="140" t="n">
        <v>4</v>
      </c>
      <c r="C212" s="140" t="inlineStr">
        <is>
          <t>HVD104</t>
        </is>
      </c>
      <c r="D212" s="140" t="inlineStr">
        <is>
          <t>D</t>
        </is>
      </c>
      <c r="E212" s="140" t="inlineStr">
        <is>
          <t>Aveling-Fountain Lorraine</t>
        </is>
      </c>
      <c r="F212" s="141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</f>
        <v/>
      </c>
      <c r="G212" s="142" t="n">
        <v>44706</v>
      </c>
      <c r="H212" s="140">
        <f>VLOOKUP($C212,Sales!$C:$E,2,FALSE)</f>
        <v/>
      </c>
      <c r="I212" s="140">
        <f>VLOOKUP($C212,Sales!$C:$E,3,FALSE)</f>
        <v/>
      </c>
      <c r="J212" s="142">
        <f>SUMIFS(Sales!$H:$H,Sales!$C:$C,'Investor Exit List'!$C212)</f>
        <v/>
      </c>
      <c r="K212" s="142">
        <f>IF(I212=TRUE,J212,"")</f>
        <v/>
      </c>
      <c r="L212" s="142">
        <f>G212+730</f>
        <v/>
      </c>
      <c r="M212" s="142" t="n">
        <v>45443</v>
      </c>
      <c r="N212" s="143">
        <f>IFERROR(IF(G212&lt;&gt;"",IF(I212=TRUE,0,IF(U212=TRUE,0,L212-M212)),0),0)</f>
        <v/>
      </c>
      <c r="O212" s="143">
        <f>IF(N212&gt;0,IF(N212&lt;=180,N212,0),0)</f>
        <v/>
      </c>
      <c r="P212" s="141">
        <f>IF(AND(N212&lt;90,N212&gt;0),Q212,0)</f>
        <v/>
      </c>
      <c r="Q212" s="141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/>
      </c>
      <c r="R212" s="141">
        <f>IF(AND(H212=TRUE,I212=FALSE),Q212,0)</f>
        <v/>
      </c>
      <c r="S212" s="141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/>
      </c>
      <c r="T212" s="142">
        <f>IF(U212=TRUE,$J212,"")</f>
        <v/>
      </c>
      <c r="U212" s="140" t="b">
        <v>1</v>
      </c>
      <c r="V212" s="141">
        <f>IF(AND(H212=TRUE,OR(K212="",K212&gt;M212)),S212,0)</f>
        <v/>
      </c>
      <c r="W212" s="140" t="n">
        <v>0</v>
      </c>
      <c r="X212" s="140" t="b">
        <v>0</v>
      </c>
      <c r="Y212" s="143">
        <f>IF(H212=FALSE,VLOOKUP($C212,Sales!$C:$F,4,FALSE),1)</f>
        <v/>
      </c>
      <c r="Z212" s="140">
        <f>IF(Y212=0,"Release",IF(AND(L212&lt;J212,Y212=1,H212=FALSE,U212=FALSE,MONTH(L212)&amp;"/"&amp;YEAR(L212)&lt;&gt;MONTH(J212)&amp;"/"&amp;YEAR(J212)),"Release",""))</f>
        <v/>
      </c>
      <c r="AA212" s="144">
        <f>_xlfn.minifs($L:$L,$C:$C,$C212,$F:$F,"&lt;&gt;0")</f>
        <v/>
      </c>
      <c r="AB212" s="144">
        <f>C212&amp;"-"&amp;A212</f>
        <v/>
      </c>
      <c r="AC212" s="144">
        <f>L212</f>
        <v/>
      </c>
    </row>
    <row r="213">
      <c r="A213" s="140" t="inlineStr">
        <is>
          <t>ZGMA01</t>
        </is>
      </c>
      <c r="B213" s="140" t="n">
        <v>2</v>
      </c>
      <c r="C213" s="140" t="inlineStr">
        <is>
          <t>HVD104</t>
        </is>
      </c>
      <c r="D213" s="140" t="inlineStr">
        <is>
          <t>D</t>
        </is>
      </c>
      <c r="E213" s="140" t="inlineStr">
        <is>
          <t>Matthee Gerald Adriaan Odendal</t>
        </is>
      </c>
      <c r="F213" s="141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</f>
        <v/>
      </c>
      <c r="G213" s="142" t="n">
        <v>44706</v>
      </c>
      <c r="H213" s="140">
        <f>VLOOKUP($C213,Sales!$C:$E,2,FALSE)</f>
        <v/>
      </c>
      <c r="I213" s="140">
        <f>VLOOKUP($C213,Sales!$C:$E,3,FALSE)</f>
        <v/>
      </c>
      <c r="J213" s="142">
        <f>SUMIFS(Sales!$H:$H,Sales!$C:$C,'Investor Exit List'!$C213)</f>
        <v/>
      </c>
      <c r="K213" s="142">
        <f>IF(I213=TRUE,J213,"")</f>
        <v/>
      </c>
      <c r="L213" s="142">
        <f>G213+730</f>
        <v/>
      </c>
      <c r="M213" s="142" t="n">
        <v>45443</v>
      </c>
      <c r="N213" s="143">
        <f>IFERROR(IF(G213&lt;&gt;"",IF(I213=TRUE,0,IF(U213=TRUE,0,L213-M213)),0),0)</f>
        <v/>
      </c>
      <c r="O213" s="143">
        <f>IF(N213&gt;0,IF(N213&lt;=180,N213,0),0)</f>
        <v/>
      </c>
      <c r="P213" s="141">
        <f>IF(AND(N213&lt;90,N213&gt;0),Q213,0)</f>
        <v/>
      </c>
      <c r="Q213" s="141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/>
      </c>
      <c r="R213" s="141">
        <f>IF(AND(H213=TRUE,I213=FALSE),Q213,0)</f>
        <v/>
      </c>
      <c r="S213" s="141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/>
      </c>
      <c r="T213" s="142">
        <f>IF(U213=TRUE,$J213,"")</f>
        <v/>
      </c>
      <c r="U213" s="140" t="b">
        <v>1</v>
      </c>
      <c r="V213" s="141">
        <f>IF(AND(H213=TRUE,OR(K213="",K213&gt;M213)),S213,0)</f>
        <v/>
      </c>
      <c r="W213" s="140" t="n">
        <v>0</v>
      </c>
      <c r="X213" s="140" t="b">
        <v>0</v>
      </c>
      <c r="Y213" s="143">
        <f>IF(H213=FALSE,VLOOKUP($C213,Sales!$C:$F,4,FALSE),1)</f>
        <v/>
      </c>
      <c r="Z213" s="140">
        <f>IF(Y213=0,"Release",IF(AND(L213&lt;J213,Y213=1,H213=FALSE,U213=FALSE,MONTH(L213)&amp;"/"&amp;YEAR(L213)&lt;&gt;MONTH(J213)&amp;"/"&amp;YEAR(J213)),"Release",""))</f>
        <v/>
      </c>
      <c r="AA213" s="144">
        <f>_xlfn.minifs($L:$L,$C:$C,$C213,$F:$F,"&lt;&gt;0")</f>
        <v/>
      </c>
      <c r="AB213" s="144">
        <f>C213&amp;"-"&amp;A213</f>
        <v/>
      </c>
      <c r="AC213" s="144">
        <f>L213</f>
        <v/>
      </c>
    </row>
    <row r="214">
      <c r="A214" s="140" t="inlineStr">
        <is>
          <t>ZVAL02</t>
        </is>
      </c>
      <c r="B214" s="140" t="n">
        <v>1</v>
      </c>
      <c r="C214" s="140" t="inlineStr">
        <is>
          <t>HVD104</t>
        </is>
      </c>
      <c r="D214" s="140" t="inlineStr">
        <is>
          <t>D</t>
        </is>
      </c>
      <c r="E214" s="140" t="inlineStr">
        <is>
          <t>Vallabh Himal Dipak</t>
        </is>
      </c>
      <c r="F214" s="141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</f>
        <v/>
      </c>
      <c r="G214" s="142" t="n">
        <v>44706</v>
      </c>
      <c r="H214" s="140">
        <f>VLOOKUP($C214,Sales!$C:$E,2,FALSE)</f>
        <v/>
      </c>
      <c r="I214" s="140">
        <f>VLOOKUP($C214,Sales!$C:$E,3,FALSE)</f>
        <v/>
      </c>
      <c r="J214" s="142">
        <f>SUMIFS(Sales!$H:$H,Sales!$C:$C,'Investor Exit List'!$C214)</f>
        <v/>
      </c>
      <c r="K214" s="142">
        <f>IF(I214=TRUE,J214,"")</f>
        <v/>
      </c>
      <c r="L214" s="142">
        <f>G214+730</f>
        <v/>
      </c>
      <c r="M214" s="142" t="n">
        <v>45443</v>
      </c>
      <c r="N214" s="143">
        <f>IFERROR(IF(G214&lt;&gt;"",IF(I214=TRUE,0,IF(U214=TRUE,0,L214-M214)),0),0)</f>
        <v/>
      </c>
      <c r="O214" s="143">
        <f>IF(N214&gt;0,IF(N214&lt;=180,N214,0),0)</f>
        <v/>
      </c>
      <c r="P214" s="141">
        <f>IF(AND(N214&lt;90,N214&gt;0),Q214,0)</f>
        <v/>
      </c>
      <c r="Q214" s="141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/>
      </c>
      <c r="R214" s="141">
        <f>IF(AND(H214=TRUE,I214=FALSE),Q214,0)</f>
        <v/>
      </c>
      <c r="S214" s="141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/>
      </c>
      <c r="T214" s="142">
        <f>IF(U214=TRUE,$J214,"")</f>
        <v/>
      </c>
      <c r="U214" s="140" t="b">
        <v>1</v>
      </c>
      <c r="V214" s="141">
        <f>IF(AND(H214=TRUE,OR(K214="",K214&gt;M214)),S214,0)</f>
        <v/>
      </c>
      <c r="W214" s="140" t="n">
        <v>0</v>
      </c>
      <c r="X214" s="140" t="b">
        <v>0</v>
      </c>
      <c r="Y214" s="143">
        <f>IF(H214=FALSE,VLOOKUP($C214,Sales!$C:$F,4,FALSE),1)</f>
        <v/>
      </c>
      <c r="Z214" s="140">
        <f>IF(Y214=0,"Release",IF(AND(L214&lt;J214,Y214=1,H214=FALSE,U214=FALSE,MONTH(L214)&amp;"/"&amp;YEAR(L214)&lt;&gt;MONTH(J214)&amp;"/"&amp;YEAR(J214)),"Release",""))</f>
        <v/>
      </c>
      <c r="AA214" s="144">
        <f>_xlfn.minifs($L:$L,$C:$C,$C214,$F:$F,"&lt;&gt;0")</f>
        <v/>
      </c>
      <c r="AB214" s="144">
        <f>C214&amp;"-"&amp;A214</f>
        <v/>
      </c>
      <c r="AC214" s="144">
        <f>L214</f>
        <v/>
      </c>
    </row>
    <row r="215">
      <c r="A215" s="140" t="inlineStr">
        <is>
          <t>ZHEI01</t>
        </is>
      </c>
      <c r="B215" s="140" t="n">
        <v>9</v>
      </c>
      <c r="C215" s="140" t="inlineStr">
        <is>
          <t>HVD201</t>
        </is>
      </c>
      <c r="D215" s="140" t="inlineStr">
        <is>
          <t>D</t>
        </is>
      </c>
      <c r="E215" s="140" t="inlineStr">
        <is>
          <t>Heinze Dieter Raimund</t>
        </is>
      </c>
      <c r="F215" s="141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</f>
        <v/>
      </c>
      <c r="G215" s="142" t="n">
        <v>44719</v>
      </c>
      <c r="H215" s="140">
        <f>VLOOKUP($C215,Sales!$C:$E,2,FALSE)</f>
        <v/>
      </c>
      <c r="I215" s="140">
        <f>VLOOKUP($C215,Sales!$C:$E,3,FALSE)</f>
        <v/>
      </c>
      <c r="J215" s="142">
        <f>SUMIFS(Sales!$H:$H,Sales!$C:$C,'Investor Exit List'!$C215)</f>
        <v/>
      </c>
      <c r="K215" s="142">
        <f>IF(I215=TRUE,J215,"")</f>
        <v/>
      </c>
      <c r="L215" s="142">
        <f>G215+730</f>
        <v/>
      </c>
      <c r="M215" s="142" t="n">
        <v>45443</v>
      </c>
      <c r="N215" s="143">
        <f>IFERROR(IF(G215&lt;&gt;"",IF(I215=TRUE,0,IF(U215=TRUE,0,L215-M215)),0),0)</f>
        <v/>
      </c>
      <c r="O215" s="143">
        <f>IF(N215&gt;0,IF(N215&lt;=180,N215,0),0)</f>
        <v/>
      </c>
      <c r="P215" s="141">
        <f>IF(AND(N215&lt;90,N215&gt;0),Q215,0)</f>
        <v/>
      </c>
      <c r="Q215" s="141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/>
      </c>
      <c r="R215" s="141">
        <f>IF(AND(H215=TRUE,I215=FALSE),Q215,0)</f>
        <v/>
      </c>
      <c r="S215" s="141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/>
      </c>
      <c r="T215" s="142">
        <f>IF(U215=TRUE,$J215,"")</f>
        <v/>
      </c>
      <c r="U215" s="140" t="b">
        <v>1</v>
      </c>
      <c r="V215" s="141">
        <f>IF(AND(H215=TRUE,OR(K215="",K215&gt;M215)),S215,0)</f>
        <v/>
      </c>
      <c r="W215" s="140" t="n">
        <v>0</v>
      </c>
      <c r="X215" s="140" t="b">
        <v>0</v>
      </c>
      <c r="Y215" s="143">
        <f>IF(H215=FALSE,VLOOKUP($C215,Sales!$C:$F,4,FALSE),1)</f>
        <v/>
      </c>
      <c r="Z215" s="140">
        <f>IF(Y215=0,"Release",IF(AND(L215&lt;J215,Y215=1,H215=FALSE,U215=FALSE,MONTH(L215)&amp;"/"&amp;YEAR(L215)&lt;&gt;MONTH(J215)&amp;"/"&amp;YEAR(J215)),"Release",""))</f>
        <v/>
      </c>
      <c r="AA215" s="144">
        <f>_xlfn.minifs($L:$L,$C:$C,$C215,$F:$F,"&lt;&gt;0")</f>
        <v/>
      </c>
      <c r="AB215" s="144">
        <f>C215&amp;"-"&amp;A215</f>
        <v/>
      </c>
      <c r="AC215" s="144">
        <f>L215</f>
        <v/>
      </c>
    </row>
    <row r="216">
      <c r="A216" s="140" t="inlineStr">
        <is>
          <t>ZHUT01</t>
        </is>
      </c>
      <c r="B216" s="140" t="n">
        <v>7</v>
      </c>
      <c r="C216" s="140" t="inlineStr">
        <is>
          <t>HVD201</t>
        </is>
      </c>
      <c r="D216" s="140" t="inlineStr">
        <is>
          <t>D</t>
        </is>
      </c>
      <c r="E216" s="140" t="inlineStr">
        <is>
          <t>Hutchings Tracy Jane</t>
        </is>
      </c>
      <c r="F216" s="141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</f>
        <v/>
      </c>
      <c r="G216" s="142" t="n">
        <v>44721</v>
      </c>
      <c r="H216" s="140">
        <f>VLOOKUP($C216,Sales!$C:$E,2,FALSE)</f>
        <v/>
      </c>
      <c r="I216" s="140">
        <f>VLOOKUP($C216,Sales!$C:$E,3,FALSE)</f>
        <v/>
      </c>
      <c r="J216" s="142">
        <f>SUMIFS(Sales!$H:$H,Sales!$C:$C,'Investor Exit List'!$C216)</f>
        <v/>
      </c>
      <c r="K216" s="142">
        <f>IF(I216=TRUE,J216,"")</f>
        <v/>
      </c>
      <c r="L216" s="142">
        <f>G216+730</f>
        <v/>
      </c>
      <c r="M216" s="142" t="n">
        <v>45443</v>
      </c>
      <c r="N216" s="143">
        <f>IFERROR(IF(G216&lt;&gt;"",IF(I216=TRUE,0,IF(U216=TRUE,0,L216-M216)),0),0)</f>
        <v/>
      </c>
      <c r="O216" s="143">
        <f>IF(N216&gt;0,IF(N216&lt;=180,N216,0),0)</f>
        <v/>
      </c>
      <c r="P216" s="141">
        <f>IF(AND(N216&lt;90,N216&gt;0),Q216,0)</f>
        <v/>
      </c>
      <c r="Q216" s="141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/>
      </c>
      <c r="R216" s="141">
        <f>IF(AND(H216=TRUE,I216=FALSE),Q216,0)</f>
        <v/>
      </c>
      <c r="S216" s="141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/>
      </c>
      <c r="T216" s="142">
        <f>IF(U216=TRUE,$J216,"")</f>
        <v/>
      </c>
      <c r="U216" s="140" t="b">
        <v>1</v>
      </c>
      <c r="V216" s="141">
        <f>IF(AND(H216=TRUE,OR(K216="",K216&gt;M216)),S216,0)</f>
        <v/>
      </c>
      <c r="W216" s="140" t="n">
        <v>0</v>
      </c>
      <c r="X216" s="140" t="b">
        <v>0</v>
      </c>
      <c r="Y216" s="143">
        <f>IF(H216=FALSE,VLOOKUP($C216,Sales!$C:$F,4,FALSE),1)</f>
        <v/>
      </c>
      <c r="Z216" s="140">
        <f>IF(Y216=0,"Release",IF(AND(L216&lt;J216,Y216=1,H216=FALSE,U216=FALSE,MONTH(L216)&amp;"/"&amp;YEAR(L216)&lt;&gt;MONTH(J216)&amp;"/"&amp;YEAR(J216)),"Release",""))</f>
        <v/>
      </c>
      <c r="AA216" s="144">
        <f>_xlfn.minifs($L:$L,$C:$C,$C216,$F:$F,"&lt;&gt;0")</f>
        <v/>
      </c>
      <c r="AB216" s="144">
        <f>C216&amp;"-"&amp;A216</f>
        <v/>
      </c>
      <c r="AC216" s="144">
        <f>L216</f>
        <v/>
      </c>
    </row>
    <row r="217">
      <c r="A217" s="140" t="inlineStr">
        <is>
          <t>ZFER01</t>
        </is>
      </c>
      <c r="B217" s="140" t="n">
        <v>2</v>
      </c>
      <c r="C217" s="140" t="inlineStr">
        <is>
          <t>HVD202</t>
        </is>
      </c>
      <c r="D217" s="140" t="inlineStr">
        <is>
          <t>D</t>
        </is>
      </c>
      <c r="E217" s="140" t="inlineStr">
        <is>
          <t>Ferreira Leon</t>
        </is>
      </c>
      <c r="F217" s="141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</f>
        <v/>
      </c>
      <c r="G217" s="142" t="n">
        <v>44791</v>
      </c>
      <c r="H217" s="140">
        <f>VLOOKUP($C217,Sales!$C:$E,2,FALSE)</f>
        <v/>
      </c>
      <c r="I217" s="140">
        <f>VLOOKUP($C217,Sales!$C:$E,3,FALSE)</f>
        <v/>
      </c>
      <c r="J217" s="142">
        <f>SUMIFS(Sales!$H:$H,Sales!$C:$C,'Investor Exit List'!$C217)</f>
        <v/>
      </c>
      <c r="K217" s="142">
        <f>IF(I217=TRUE,J217,"")</f>
        <v/>
      </c>
      <c r="L217" s="142">
        <f>G217+730</f>
        <v/>
      </c>
      <c r="M217" s="142" t="n">
        <v>45443</v>
      </c>
      <c r="N217" s="143">
        <f>IFERROR(IF(G217&lt;&gt;"",IF(I217=TRUE,0,IF(U217=TRUE,0,L217-M217)),0),0)</f>
        <v/>
      </c>
      <c r="O217" s="143">
        <f>IF(N217&gt;0,IF(N217&lt;=180,N217,0),0)</f>
        <v/>
      </c>
      <c r="P217" s="141">
        <f>IF(AND(N217&lt;90,N217&gt;0),Q217,0)</f>
        <v/>
      </c>
      <c r="Q217" s="141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/>
      </c>
      <c r="R217" s="141">
        <f>IF(AND(H217=TRUE,I217=FALSE),Q217,0)</f>
        <v/>
      </c>
      <c r="S217" s="141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/>
      </c>
      <c r="T217" s="142">
        <f>IF(U217=TRUE,$J217,"")</f>
        <v/>
      </c>
      <c r="U217" s="140" t="b">
        <v>0</v>
      </c>
      <c r="V217" s="141">
        <f>IF(AND(H217=TRUE,OR(K217="",K217&gt;M217)),S217,0)</f>
        <v/>
      </c>
      <c r="W217" s="140" t="n">
        <v>0</v>
      </c>
      <c r="X217" s="140" t="b">
        <v>0</v>
      </c>
      <c r="Y217" s="143">
        <f>IF(H217=FALSE,VLOOKUP($C217,Sales!$C:$F,4,FALSE),1)</f>
        <v/>
      </c>
      <c r="Z217" s="140">
        <f>IF(Y217=0,"Release",IF(AND(L217&lt;J217,Y217=1,H217=FALSE,U217=FALSE,MONTH(L217)&amp;"/"&amp;YEAR(L217)&lt;&gt;MONTH(J217)&amp;"/"&amp;YEAR(J217)),"Release",""))</f>
        <v/>
      </c>
      <c r="AA217" s="144">
        <f>_xlfn.minifs($L:$L,$C:$C,$C217,$F:$F,"&lt;&gt;0")</f>
        <v/>
      </c>
      <c r="AB217" s="144">
        <f>C217&amp;"-"&amp;A217</f>
        <v/>
      </c>
      <c r="AC217" s="144">
        <f>L217</f>
        <v/>
      </c>
    </row>
    <row r="218">
      <c r="A218" s="140" t="inlineStr">
        <is>
          <t>ZHAR01</t>
        </is>
      </c>
      <c r="B218" s="140" t="n">
        <v>2</v>
      </c>
      <c r="C218" s="140" t="inlineStr">
        <is>
          <t>HVD202</t>
        </is>
      </c>
      <c r="D218" s="140" t="inlineStr">
        <is>
          <t>D</t>
        </is>
      </c>
      <c r="E218" s="140" t="inlineStr">
        <is>
          <t>Hart Teresa-Ann</t>
        </is>
      </c>
      <c r="F218" s="141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</f>
        <v/>
      </c>
      <c r="G218" s="142" t="n">
        <v>44735</v>
      </c>
      <c r="H218" s="140">
        <f>VLOOKUP($C218,Sales!$C:$E,2,FALSE)</f>
        <v/>
      </c>
      <c r="I218" s="140">
        <f>VLOOKUP($C218,Sales!$C:$E,3,FALSE)</f>
        <v/>
      </c>
      <c r="J218" s="142">
        <f>SUMIFS(Sales!$H:$H,Sales!$C:$C,'Investor Exit List'!$C218)</f>
        <v/>
      </c>
      <c r="K218" s="142">
        <f>IF(I218=TRUE,J218,"")</f>
        <v/>
      </c>
      <c r="L218" s="142">
        <f>G218+730</f>
        <v/>
      </c>
      <c r="M218" s="142" t="n">
        <v>45443</v>
      </c>
      <c r="N218" s="143">
        <f>IFERROR(IF(G218&lt;&gt;"",IF(I218=TRUE,0,IF(U218=TRUE,0,L218-M218)),0),0)</f>
        <v/>
      </c>
      <c r="O218" s="143">
        <f>IF(N218&gt;0,IF(N218&lt;=180,N218,0),0)</f>
        <v/>
      </c>
      <c r="P218" s="141">
        <f>IF(AND(N218&lt;90,N218&gt;0),Q218,0)</f>
        <v/>
      </c>
      <c r="Q218" s="141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/>
      </c>
      <c r="R218" s="141">
        <f>IF(AND(H218=TRUE,I218=FALSE),Q218,0)</f>
        <v/>
      </c>
      <c r="S218" s="141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/>
      </c>
      <c r="T218" s="142">
        <f>IF(U218=TRUE,$J218,"")</f>
        <v/>
      </c>
      <c r="U218" s="140" t="b">
        <v>1</v>
      </c>
      <c r="V218" s="141">
        <f>IF(AND(H218=TRUE,OR(K218="",K218&gt;M218)),S218,0)</f>
        <v/>
      </c>
      <c r="W218" s="140" t="n">
        <v>0</v>
      </c>
      <c r="X218" s="140" t="b">
        <v>0</v>
      </c>
      <c r="Y218" s="143">
        <f>IF(H218=FALSE,VLOOKUP($C218,Sales!$C:$F,4,FALSE),1)</f>
        <v/>
      </c>
      <c r="Z218" s="140">
        <f>IF(Y218=0,"Release",IF(AND(L218&lt;J218,Y218=1,H218=FALSE,U218=FALSE,MONTH(L218)&amp;"/"&amp;YEAR(L218)&lt;&gt;MONTH(J218)&amp;"/"&amp;YEAR(J218)),"Release",""))</f>
        <v/>
      </c>
      <c r="AA218" s="144">
        <f>_xlfn.minifs($L:$L,$C:$C,$C218,$F:$F,"&lt;&gt;0")</f>
        <v/>
      </c>
      <c r="AB218" s="144">
        <f>C218&amp;"-"&amp;A218</f>
        <v/>
      </c>
      <c r="AC218" s="144">
        <f>L218</f>
        <v/>
      </c>
    </row>
    <row r="219">
      <c r="A219" s="140" t="inlineStr">
        <is>
          <t>ZJAN01</t>
        </is>
      </c>
      <c r="B219" s="140" t="n">
        <v>2</v>
      </c>
      <c r="C219" s="140" t="inlineStr">
        <is>
          <t>HVD202</t>
        </is>
      </c>
      <c r="D219" s="140" t="inlineStr">
        <is>
          <t>D</t>
        </is>
      </c>
      <c r="E219" s="140" t="inlineStr">
        <is>
          <t>Jansen van Rensburg Petrus Johannes</t>
        </is>
      </c>
      <c r="F219" s="141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</f>
        <v/>
      </c>
      <c r="G219" s="142" t="n">
        <v>44721</v>
      </c>
      <c r="H219" s="140">
        <f>VLOOKUP($C219,Sales!$C:$E,2,FALSE)</f>
        <v/>
      </c>
      <c r="I219" s="140">
        <f>VLOOKUP($C219,Sales!$C:$E,3,FALSE)</f>
        <v/>
      </c>
      <c r="J219" s="142">
        <f>SUMIFS(Sales!$H:$H,Sales!$C:$C,'Investor Exit List'!$C219)</f>
        <v/>
      </c>
      <c r="K219" s="142">
        <f>IF(I219=TRUE,J219,"")</f>
        <v/>
      </c>
      <c r="L219" s="142">
        <f>G219+730</f>
        <v/>
      </c>
      <c r="M219" s="142" t="n">
        <v>45443</v>
      </c>
      <c r="N219" s="143">
        <f>IFERROR(IF(G219&lt;&gt;"",IF(I219=TRUE,0,IF(U219=TRUE,0,L219-M219)),0),0)</f>
        <v/>
      </c>
      <c r="O219" s="143">
        <f>IF(N219&gt;0,IF(N219&lt;=180,N219,0),0)</f>
        <v/>
      </c>
      <c r="P219" s="141">
        <f>IF(AND(N219&lt;90,N219&gt;0),Q219,0)</f>
        <v/>
      </c>
      <c r="Q219" s="141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/>
      </c>
      <c r="R219" s="141">
        <f>IF(AND(H219=TRUE,I219=FALSE),Q219,0)</f>
        <v/>
      </c>
      <c r="S219" s="141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/>
      </c>
      <c r="T219" s="142">
        <f>IF(U219=TRUE,$J219,"")</f>
        <v/>
      </c>
      <c r="U219" s="140" t="b">
        <v>0</v>
      </c>
      <c r="V219" s="141">
        <f>IF(AND(H219=TRUE,OR(K219="",K219&gt;M219)),S219,0)</f>
        <v/>
      </c>
      <c r="W219" s="140" t="n">
        <v>0</v>
      </c>
      <c r="X219" s="140" t="b">
        <v>0</v>
      </c>
      <c r="Y219" s="143">
        <f>IF(H219=FALSE,VLOOKUP($C219,Sales!$C:$F,4,FALSE),1)</f>
        <v/>
      </c>
      <c r="Z219" s="140">
        <f>IF(Y219=0,"Release",IF(AND(L219&lt;J219,Y219=1,H219=FALSE,U219=FALSE,MONTH(L219)&amp;"/"&amp;YEAR(L219)&lt;&gt;MONTH(J219)&amp;"/"&amp;YEAR(J219)),"Release",""))</f>
        <v/>
      </c>
      <c r="AA219" s="144">
        <f>_xlfn.minifs($L:$L,$C:$C,$C219,$F:$F,"&lt;&gt;0")</f>
        <v/>
      </c>
      <c r="AB219" s="144">
        <f>C219&amp;"-"&amp;A219</f>
        <v/>
      </c>
      <c r="AC219" s="144">
        <f>L219</f>
        <v/>
      </c>
    </row>
    <row r="220">
      <c r="A220" s="140" t="inlineStr">
        <is>
          <t>ZSON01</t>
        </is>
      </c>
      <c r="B220" s="140" t="n">
        <v>12</v>
      </c>
      <c r="C220" s="140" t="inlineStr">
        <is>
          <t>HVD202</t>
        </is>
      </c>
      <c r="D220" s="140" t="inlineStr">
        <is>
          <t>D</t>
        </is>
      </c>
      <c r="E220" s="140" t="inlineStr">
        <is>
          <t>Maduna Charles</t>
        </is>
      </c>
      <c r="F220" s="141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</f>
        <v/>
      </c>
      <c r="G220" s="142" t="n">
        <v>44819</v>
      </c>
      <c r="H220" s="140">
        <f>VLOOKUP($C220,Sales!$C:$E,2,FALSE)</f>
        <v/>
      </c>
      <c r="I220" s="140">
        <f>VLOOKUP($C220,Sales!$C:$E,3,FALSE)</f>
        <v/>
      </c>
      <c r="J220" s="142">
        <f>SUMIFS(Sales!$H:$H,Sales!$C:$C,'Investor Exit List'!$C220)</f>
        <v/>
      </c>
      <c r="K220" s="142">
        <f>IF(I220=TRUE,J220,"")</f>
        <v/>
      </c>
      <c r="L220" s="142">
        <f>G220+730</f>
        <v/>
      </c>
      <c r="M220" s="142" t="n">
        <v>45443</v>
      </c>
      <c r="N220" s="143">
        <f>IFERROR(IF(G220&lt;&gt;"",IF(I220=TRUE,0,IF(U220=TRUE,0,L220-M220)),0),0)</f>
        <v/>
      </c>
      <c r="O220" s="143">
        <f>IF(N220&gt;0,IF(N220&lt;=180,N220,0),0)</f>
        <v/>
      </c>
      <c r="P220" s="141">
        <f>IF(AND(N220&lt;90,N220&gt;0),Q220,0)</f>
        <v/>
      </c>
      <c r="Q220" s="141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/>
      </c>
      <c r="R220" s="141">
        <f>IF(AND(H220=TRUE,I220=FALSE),Q220,0)</f>
        <v/>
      </c>
      <c r="S220" s="141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/>
      </c>
      <c r="T220" s="142">
        <f>IF(U220=TRUE,$J220,"")</f>
        <v/>
      </c>
      <c r="U220" s="140" t="b">
        <v>0</v>
      </c>
      <c r="V220" s="141">
        <f>IF(AND(H220=TRUE,OR(K220="",K220&gt;M220)),S220,0)</f>
        <v/>
      </c>
      <c r="W220" s="140" t="n">
        <v>0</v>
      </c>
      <c r="X220" s="140" t="b">
        <v>0</v>
      </c>
      <c r="Y220" s="143">
        <f>IF(H220=FALSE,VLOOKUP($C220,Sales!$C:$F,4,FALSE),1)</f>
        <v/>
      </c>
      <c r="Z220" s="140">
        <f>IF(Y220=0,"Release",IF(AND(L220&lt;J220,Y220=1,H220=FALSE,U220=FALSE,MONTH(L220)&amp;"/"&amp;YEAR(L220)&lt;&gt;MONTH(J220)&amp;"/"&amp;YEAR(J220)),"Release",""))</f>
        <v/>
      </c>
      <c r="AA220" s="144">
        <f>_xlfn.minifs($L:$L,$C:$C,$C220,$F:$F,"&lt;&gt;0")</f>
        <v/>
      </c>
      <c r="AB220" s="144">
        <f>C220&amp;"-"&amp;A220</f>
        <v/>
      </c>
      <c r="AC220" s="144">
        <f>L220</f>
        <v/>
      </c>
    </row>
    <row r="221">
      <c r="A221" s="140" t="inlineStr">
        <is>
          <t>ZWEL01</t>
        </is>
      </c>
      <c r="B221" s="140" t="n">
        <v>3</v>
      </c>
      <c r="C221" s="140" t="inlineStr">
        <is>
          <t>HVD202</t>
        </is>
      </c>
      <c r="D221" s="140" t="inlineStr">
        <is>
          <t>D</t>
        </is>
      </c>
      <c r="E221" s="140" t="inlineStr">
        <is>
          <t>Welham Christopher John</t>
        </is>
      </c>
      <c r="F221" s="141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</f>
        <v/>
      </c>
      <c r="G221" s="142" t="n">
        <v>44721</v>
      </c>
      <c r="H221" s="140">
        <f>VLOOKUP($C221,Sales!$C:$E,2,FALSE)</f>
        <v/>
      </c>
      <c r="I221" s="140">
        <f>VLOOKUP($C221,Sales!$C:$E,3,FALSE)</f>
        <v/>
      </c>
      <c r="J221" s="142">
        <f>SUMIFS(Sales!$H:$H,Sales!$C:$C,'Investor Exit List'!$C221)</f>
        <v/>
      </c>
      <c r="K221" s="142">
        <f>IF(I221=TRUE,J221,"")</f>
        <v/>
      </c>
      <c r="L221" s="142">
        <f>G221+730</f>
        <v/>
      </c>
      <c r="M221" s="142" t="n">
        <v>45443</v>
      </c>
      <c r="N221" s="143">
        <f>IFERROR(IF(G221&lt;&gt;"",IF(I221=TRUE,0,IF(U221=TRUE,0,L221-M221)),0),0)</f>
        <v/>
      </c>
      <c r="O221" s="143">
        <f>IF(N221&gt;0,IF(N221&lt;=180,N221,0),0)</f>
        <v/>
      </c>
      <c r="P221" s="141">
        <f>IF(AND(N221&lt;90,N221&gt;0),Q221,0)</f>
        <v/>
      </c>
      <c r="Q221" s="141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/>
      </c>
      <c r="R221" s="141">
        <f>IF(AND(H221=TRUE,I221=FALSE),Q221,0)</f>
        <v/>
      </c>
      <c r="S221" s="141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/>
      </c>
      <c r="T221" s="142">
        <f>IF(U221=TRUE,$J221,"")</f>
        <v/>
      </c>
      <c r="U221" s="140" t="b">
        <v>0</v>
      </c>
      <c r="V221" s="141">
        <f>IF(AND(H221=TRUE,OR(K221="",K221&gt;M221)),S221,0)</f>
        <v/>
      </c>
      <c r="W221" s="140" t="n">
        <v>0</v>
      </c>
      <c r="X221" s="140" t="b">
        <v>0</v>
      </c>
      <c r="Y221" s="143">
        <f>IF(H221=FALSE,VLOOKUP($C221,Sales!$C:$F,4,FALSE),1)</f>
        <v/>
      </c>
      <c r="Z221" s="140">
        <f>IF(Y221=0,"Release",IF(AND(L221&lt;J221,Y221=1,H221=FALSE,U221=FALSE,MONTH(L221)&amp;"/"&amp;YEAR(L221)&lt;&gt;MONTH(J221)&amp;"/"&amp;YEAR(J221)),"Release",""))</f>
        <v/>
      </c>
      <c r="AA221" s="144">
        <f>_xlfn.minifs($L:$L,$C:$C,$C221,$F:$F,"&lt;&gt;0")</f>
        <v/>
      </c>
      <c r="AB221" s="144">
        <f>C221&amp;"-"&amp;A221</f>
        <v/>
      </c>
      <c r="AC221" s="144">
        <f>L221</f>
        <v/>
      </c>
    </row>
    <row r="222">
      <c r="A222" s="140" t="inlineStr">
        <is>
          <t>ZDIC01</t>
        </is>
      </c>
      <c r="B222" s="140" t="n">
        <v>8</v>
      </c>
      <c r="C222" s="140" t="inlineStr">
        <is>
          <t>HVD203</t>
        </is>
      </c>
      <c r="D222" s="140" t="inlineStr">
        <is>
          <t>D</t>
        </is>
      </c>
      <c r="E222" s="140" t="inlineStr">
        <is>
          <t>Dickinson Grant Allan</t>
        </is>
      </c>
      <c r="F222" s="141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</f>
        <v/>
      </c>
      <c r="G222" s="142" t="n">
        <v>44721</v>
      </c>
      <c r="H222" s="140">
        <f>VLOOKUP($C222,Sales!$C:$E,2,FALSE)</f>
        <v/>
      </c>
      <c r="I222" s="140">
        <f>VLOOKUP($C222,Sales!$C:$E,3,FALSE)</f>
        <v/>
      </c>
      <c r="J222" s="142">
        <f>SUMIFS(Sales!$H:$H,Sales!$C:$C,'Investor Exit List'!$C222)</f>
        <v/>
      </c>
      <c r="K222" s="142">
        <f>IF(I222=TRUE,J222,"")</f>
        <v/>
      </c>
      <c r="L222" s="142">
        <f>G222+730</f>
        <v/>
      </c>
      <c r="M222" s="142" t="n">
        <v>45443</v>
      </c>
      <c r="N222" s="143">
        <f>IFERROR(IF(G222&lt;&gt;"",IF(I222=TRUE,0,IF(U222=TRUE,0,L222-M222)),0),0)</f>
        <v/>
      </c>
      <c r="O222" s="143">
        <f>IF(N222&gt;0,IF(N222&lt;=180,N222,0),0)</f>
        <v/>
      </c>
      <c r="P222" s="141">
        <f>IF(AND(N222&lt;90,N222&gt;0),Q222,0)</f>
        <v/>
      </c>
      <c r="Q222" s="141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/>
      </c>
      <c r="R222" s="141">
        <f>IF(AND(H222=TRUE,I222=FALSE),Q222,0)</f>
        <v/>
      </c>
      <c r="S222" s="141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/>
      </c>
      <c r="T222" s="142">
        <f>IF(U222=TRUE,$J222,"")</f>
        <v/>
      </c>
      <c r="U222" s="140" t="b">
        <v>0</v>
      </c>
      <c r="V222" s="141">
        <f>IF(AND(H222=TRUE,OR(K222="",K222&gt;M222)),S222,0)</f>
        <v/>
      </c>
      <c r="W222" s="140" t="n">
        <v>0</v>
      </c>
      <c r="X222" s="140" t="b">
        <v>0</v>
      </c>
      <c r="Y222" s="143">
        <f>IF(H222=FALSE,VLOOKUP($C222,Sales!$C:$F,4,FALSE),1)</f>
        <v/>
      </c>
      <c r="Z222" s="140">
        <f>IF(Y222=0,"Release",IF(AND(L222&lt;J222,Y222=1,H222=FALSE,U222=FALSE,MONTH(L222)&amp;"/"&amp;YEAR(L222)&lt;&gt;MONTH(J222)&amp;"/"&amp;YEAR(J222)),"Release",""))</f>
        <v/>
      </c>
      <c r="AA222" s="144">
        <f>_xlfn.minifs($L:$L,$C:$C,$C222,$F:$F,"&lt;&gt;0")</f>
        <v/>
      </c>
      <c r="AB222" s="144">
        <f>C222&amp;"-"&amp;A222</f>
        <v/>
      </c>
      <c r="AC222" s="144">
        <f>L222</f>
        <v/>
      </c>
    </row>
    <row r="223">
      <c r="A223" s="140" t="inlineStr">
        <is>
          <t>ZBOT01</t>
        </is>
      </c>
      <c r="B223" s="140" t="n">
        <v>4</v>
      </c>
      <c r="C223" s="140" t="inlineStr">
        <is>
          <t>HVD204</t>
        </is>
      </c>
      <c r="D223" s="140" t="inlineStr">
        <is>
          <t>D</t>
        </is>
      </c>
      <c r="E223" s="140" t="inlineStr">
        <is>
          <t>Botha Carina</t>
        </is>
      </c>
      <c r="F223" s="141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</f>
        <v/>
      </c>
      <c r="G223" s="142" t="n">
        <v>44719</v>
      </c>
      <c r="H223" s="140">
        <f>VLOOKUP($C223,Sales!$C:$E,2,FALSE)</f>
        <v/>
      </c>
      <c r="I223" s="140">
        <f>VLOOKUP($C223,Sales!$C:$E,3,FALSE)</f>
        <v/>
      </c>
      <c r="J223" s="142">
        <f>SUMIFS(Sales!$H:$H,Sales!$C:$C,'Investor Exit List'!$C223)</f>
        <v/>
      </c>
      <c r="K223" s="142">
        <f>IF(I223=TRUE,J223,"")</f>
        <v/>
      </c>
      <c r="L223" s="142">
        <f>G223+730</f>
        <v/>
      </c>
      <c r="M223" s="142" t="n">
        <v>45443</v>
      </c>
      <c r="N223" s="143">
        <f>IFERROR(IF(G223&lt;&gt;"",IF(I223=TRUE,0,IF(U223=TRUE,0,L223-M223)),0),0)</f>
        <v/>
      </c>
      <c r="O223" s="143">
        <f>IF(N223&gt;0,IF(N223&lt;=180,N223,0),0)</f>
        <v/>
      </c>
      <c r="P223" s="141">
        <f>IF(AND(N223&lt;90,N223&gt;0),Q223,0)</f>
        <v/>
      </c>
      <c r="Q223" s="141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/>
      </c>
      <c r="R223" s="141">
        <f>IF(AND(H223=TRUE,I223=FALSE),Q223,0)</f>
        <v/>
      </c>
      <c r="S223" s="141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/>
      </c>
      <c r="T223" s="142">
        <f>IF(U223=TRUE,$J223,"")</f>
        <v/>
      </c>
      <c r="U223" s="140" t="b">
        <v>0</v>
      </c>
      <c r="V223" s="141">
        <f>IF(AND(H223=TRUE,OR(K223="",K223&gt;M223)),S223,0)</f>
        <v/>
      </c>
      <c r="W223" s="140" t="n">
        <v>0</v>
      </c>
      <c r="X223" s="140" t="b">
        <v>0</v>
      </c>
      <c r="Y223" s="143">
        <f>IF(H223=FALSE,VLOOKUP($C223,Sales!$C:$F,4,FALSE),1)</f>
        <v/>
      </c>
      <c r="Z223" s="140">
        <f>IF(Y223=0,"Release",IF(AND(L223&lt;J223,Y223=1,H223=FALSE,U223=FALSE,MONTH(L223)&amp;"/"&amp;YEAR(L223)&lt;&gt;MONTH(J223)&amp;"/"&amp;YEAR(J223)),"Release",""))</f>
        <v/>
      </c>
      <c r="AA223" s="144">
        <f>_xlfn.minifs($L:$L,$C:$C,$C223,$F:$F,"&lt;&gt;0")</f>
        <v/>
      </c>
      <c r="AB223" s="144">
        <f>C223&amp;"-"&amp;A223</f>
        <v/>
      </c>
      <c r="AC223" s="144">
        <f>L223</f>
        <v/>
      </c>
    </row>
    <row r="224">
      <c r="A224" s="140" t="inlineStr">
        <is>
          <t>ZNAT01</t>
        </is>
      </c>
      <c r="B224" s="140" t="n">
        <v>4</v>
      </c>
      <c r="C224" s="140" t="inlineStr">
        <is>
          <t>HVD204</t>
        </is>
      </c>
      <c r="D224" s="140" t="inlineStr">
        <is>
          <t>D</t>
        </is>
      </c>
      <c r="E224" s="140" t="inlineStr">
        <is>
          <t>Hlapolosa Thandekile Evelyn</t>
        </is>
      </c>
      <c r="F224" s="141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</f>
        <v/>
      </c>
      <c r="G224" s="142" t="n">
        <v>44735</v>
      </c>
      <c r="H224" s="140">
        <f>VLOOKUP($C224,Sales!$C:$E,2,FALSE)</f>
        <v/>
      </c>
      <c r="I224" s="140">
        <f>VLOOKUP($C224,Sales!$C:$E,3,FALSE)</f>
        <v/>
      </c>
      <c r="J224" s="142">
        <f>SUMIFS(Sales!$H:$H,Sales!$C:$C,'Investor Exit List'!$C224)</f>
        <v/>
      </c>
      <c r="K224" s="142">
        <f>IF(I224=TRUE,J224,"")</f>
        <v/>
      </c>
      <c r="L224" s="142">
        <f>G224+730</f>
        <v/>
      </c>
      <c r="M224" s="142" t="n">
        <v>45443</v>
      </c>
      <c r="N224" s="143">
        <f>IFERROR(IF(G224&lt;&gt;"",IF(I224=TRUE,0,IF(U224=TRUE,0,L224-M224)),0),0)</f>
        <v/>
      </c>
      <c r="O224" s="143">
        <f>IF(N224&gt;0,IF(N224&lt;=180,N224,0),0)</f>
        <v/>
      </c>
      <c r="P224" s="141">
        <f>IF(AND(N224&lt;90,N224&gt;0),Q224,0)</f>
        <v/>
      </c>
      <c r="Q224" s="141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/>
      </c>
      <c r="R224" s="141">
        <f>IF(AND(H224=TRUE,I224=FALSE),Q224,0)</f>
        <v/>
      </c>
      <c r="S224" s="141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/>
      </c>
      <c r="T224" s="142">
        <f>IF(U224=TRUE,$J224,"")</f>
        <v/>
      </c>
      <c r="U224" s="140" t="b">
        <v>1</v>
      </c>
      <c r="V224" s="141">
        <f>IF(AND(H224=TRUE,OR(K224="",K224&gt;M224)),S224,0)</f>
        <v/>
      </c>
      <c r="W224" s="140" t="n">
        <v>0</v>
      </c>
      <c r="X224" s="140" t="b">
        <v>0</v>
      </c>
      <c r="Y224" s="143">
        <f>IF(H224=FALSE,VLOOKUP($C224,Sales!$C:$F,4,FALSE),1)</f>
        <v/>
      </c>
      <c r="Z224" s="140">
        <f>IF(Y224=0,"Release",IF(AND(L224&lt;J224,Y224=1,H224=FALSE,U224=FALSE,MONTH(L224)&amp;"/"&amp;YEAR(L224)&lt;&gt;MONTH(J224)&amp;"/"&amp;YEAR(J224)),"Release",""))</f>
        <v/>
      </c>
      <c r="AA224" s="144">
        <f>_xlfn.minifs($L:$L,$C:$C,$C224,$F:$F,"&lt;&gt;0")</f>
        <v/>
      </c>
      <c r="AB224" s="144">
        <f>C224&amp;"-"&amp;A224</f>
        <v/>
      </c>
      <c r="AC224" s="144">
        <f>L224</f>
        <v/>
      </c>
    </row>
    <row r="225">
      <c r="A225" s="140" t="inlineStr">
        <is>
          <t>ZSCH01</t>
        </is>
      </c>
      <c r="B225" s="140" t="n">
        <v>13</v>
      </c>
      <c r="C225" s="140" t="inlineStr">
        <is>
          <t>HVD204</t>
        </is>
      </c>
      <c r="D225" s="140" t="inlineStr">
        <is>
          <t>D</t>
        </is>
      </c>
      <c r="E225" s="140" t="inlineStr">
        <is>
          <t>Schubert Inge</t>
        </is>
      </c>
      <c r="F225" s="141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</f>
        <v/>
      </c>
      <c r="G225" s="142" t="n">
        <v>44719</v>
      </c>
      <c r="H225" s="140">
        <f>VLOOKUP($C225,Sales!$C:$E,2,FALSE)</f>
        <v/>
      </c>
      <c r="I225" s="140">
        <f>VLOOKUP($C225,Sales!$C:$E,3,FALSE)</f>
        <v/>
      </c>
      <c r="J225" s="142">
        <f>SUMIFS(Sales!$H:$H,Sales!$C:$C,'Investor Exit List'!$C225)</f>
        <v/>
      </c>
      <c r="K225" s="142">
        <f>IF(I225=TRUE,J225,"")</f>
        <v/>
      </c>
      <c r="L225" s="142">
        <f>G225+730</f>
        <v/>
      </c>
      <c r="M225" s="142" t="n">
        <v>45443</v>
      </c>
      <c r="N225" s="143">
        <f>IFERROR(IF(G225&lt;&gt;"",IF(I225=TRUE,0,IF(U225=TRUE,0,L225-M225)),0),0)</f>
        <v/>
      </c>
      <c r="O225" s="143">
        <f>IF(N225&gt;0,IF(N225&lt;=180,N225,0),0)</f>
        <v/>
      </c>
      <c r="P225" s="141">
        <f>IF(AND(N225&lt;90,N225&gt;0),Q225,0)</f>
        <v/>
      </c>
      <c r="Q225" s="141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/>
      </c>
      <c r="R225" s="141">
        <f>IF(AND(H225=TRUE,I225=FALSE),Q225,0)</f>
        <v/>
      </c>
      <c r="S225" s="141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/>
      </c>
      <c r="T225" s="142">
        <f>IF(U225=TRUE,$J225,"")</f>
        <v/>
      </c>
      <c r="U225" s="140" t="b">
        <v>0</v>
      </c>
      <c r="V225" s="141">
        <f>IF(AND(H225=TRUE,OR(K225="",K225&gt;M225)),S225,0)</f>
        <v/>
      </c>
      <c r="W225" s="140" t="n">
        <v>0</v>
      </c>
      <c r="X225" s="140" t="b">
        <v>0</v>
      </c>
      <c r="Y225" s="143">
        <f>IF(H225=FALSE,VLOOKUP($C225,Sales!$C:$F,4,FALSE),1)</f>
        <v/>
      </c>
      <c r="Z225" s="140">
        <f>IF(Y225=0,"Release",IF(AND(L225&lt;J225,Y225=1,H225=FALSE,U225=FALSE,MONTH(L225)&amp;"/"&amp;YEAR(L225)&lt;&gt;MONTH(J225)&amp;"/"&amp;YEAR(J225)),"Release",""))</f>
        <v/>
      </c>
      <c r="AA225" s="144">
        <f>_xlfn.minifs($L:$L,$C:$C,$C225,$F:$F,"&lt;&gt;0")</f>
        <v/>
      </c>
      <c r="AB225" s="144">
        <f>C225&amp;"-"&amp;A225</f>
        <v/>
      </c>
      <c r="AC225" s="144">
        <f>L225</f>
        <v/>
      </c>
    </row>
    <row r="226">
      <c r="A226" s="140" t="inlineStr">
        <is>
          <t>ZSON01</t>
        </is>
      </c>
      <c r="B226" s="140" t="n">
        <v>11</v>
      </c>
      <c r="C226" s="140" t="inlineStr">
        <is>
          <t>HVD301</t>
        </is>
      </c>
      <c r="D226" s="140" t="inlineStr">
        <is>
          <t>D</t>
        </is>
      </c>
      <c r="E226" s="140" t="inlineStr">
        <is>
          <t>Maduna Charles</t>
        </is>
      </c>
      <c r="F226" s="141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</f>
        <v/>
      </c>
      <c r="G226" s="142" t="n">
        <v>44735</v>
      </c>
      <c r="H226" s="140">
        <f>VLOOKUP($C226,Sales!$C:$E,2,FALSE)</f>
        <v/>
      </c>
      <c r="I226" s="140">
        <f>VLOOKUP($C226,Sales!$C:$E,3,FALSE)</f>
        <v/>
      </c>
      <c r="J226" s="142">
        <f>SUMIFS(Sales!$H:$H,Sales!$C:$C,'Investor Exit List'!$C226)</f>
        <v/>
      </c>
      <c r="K226" s="142">
        <f>IF(I226=TRUE,J226,"")</f>
        <v/>
      </c>
      <c r="L226" s="142">
        <f>G226+730</f>
        <v/>
      </c>
      <c r="M226" s="142" t="n">
        <v>45443</v>
      </c>
      <c r="N226" s="143">
        <f>IFERROR(IF(G226&lt;&gt;"",IF(I226=TRUE,0,IF(U226=TRUE,0,L226-M226)),0),0)</f>
        <v/>
      </c>
      <c r="O226" s="143">
        <f>IF(N226&gt;0,IF(N226&lt;=180,N226,0),0)</f>
        <v/>
      </c>
      <c r="P226" s="141">
        <f>IF(AND(N226&lt;90,N226&gt;0),Q226,0)</f>
        <v/>
      </c>
      <c r="Q226" s="141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/>
      </c>
      <c r="R226" s="141">
        <f>IF(AND(H226=TRUE,I226=FALSE),Q226,0)</f>
        <v/>
      </c>
      <c r="S226" s="141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/>
      </c>
      <c r="T226" s="142">
        <f>IF(U226=TRUE,$J226,"")</f>
        <v/>
      </c>
      <c r="U226" s="140" t="b">
        <v>1</v>
      </c>
      <c r="V226" s="141">
        <f>IF(AND(H226=TRUE,OR(K226="",K226&gt;M226)),S226,0)</f>
        <v/>
      </c>
      <c r="W226" s="140" t="n">
        <v>0</v>
      </c>
      <c r="X226" s="140" t="b">
        <v>0</v>
      </c>
      <c r="Y226" s="143">
        <f>IF(H226=FALSE,VLOOKUP($C226,Sales!$C:$F,4,FALSE),1)</f>
        <v/>
      </c>
      <c r="Z226" s="140">
        <f>IF(Y226=0,"Release",IF(AND(L226&lt;J226,Y226=1,H226=FALSE,U226=FALSE,MONTH(L226)&amp;"/"&amp;YEAR(L226)&lt;&gt;MONTH(J226)&amp;"/"&amp;YEAR(J226)),"Release",""))</f>
        <v/>
      </c>
      <c r="AA226" s="144">
        <f>_xlfn.minifs($L:$L,$C:$C,$C226,$F:$F,"&lt;&gt;0")</f>
        <v/>
      </c>
      <c r="AB226" s="144">
        <f>C226&amp;"-"&amp;A226</f>
        <v/>
      </c>
      <c r="AC226" s="144">
        <f>L226</f>
        <v/>
      </c>
    </row>
    <row r="227">
      <c r="A227" s="140" t="inlineStr">
        <is>
          <t>ZHAY01</t>
        </is>
      </c>
      <c r="B227" s="140" t="n">
        <v>1</v>
      </c>
      <c r="C227" s="140" t="inlineStr">
        <is>
          <t>HVD302</t>
        </is>
      </c>
      <c r="D227" s="140" t="inlineStr">
        <is>
          <t>D</t>
        </is>
      </c>
      <c r="E227" s="140" t="inlineStr">
        <is>
          <t>Haywood Johannes Wynand</t>
        </is>
      </c>
      <c r="F227" s="141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</f>
        <v/>
      </c>
      <c r="G227" s="142" t="n">
        <v>45443</v>
      </c>
      <c r="H227" s="140">
        <f>VLOOKUP($C227,Sales!$C:$E,2,FALSE)</f>
        <v/>
      </c>
      <c r="I227" s="140">
        <f>VLOOKUP($C227,Sales!$C:$E,3,FALSE)</f>
        <v/>
      </c>
      <c r="J227" s="142">
        <f>SUMIFS(Sales!$H:$H,Sales!$C:$C,'Investor Exit List'!$C227)</f>
        <v/>
      </c>
      <c r="K227" s="142">
        <f>IF(I227=TRUE,J227,"")</f>
        <v/>
      </c>
      <c r="L227" s="142">
        <f>G227+730</f>
        <v/>
      </c>
      <c r="M227" s="142" t="n">
        <v>45443</v>
      </c>
      <c r="N227" s="143">
        <f>IFERROR(IF(G227&lt;&gt;"",IF(I227=TRUE,0,IF(U227=TRUE,0,L227-M227)),0),0)</f>
        <v/>
      </c>
      <c r="O227" s="143">
        <f>IF(N227&gt;0,IF(N227&lt;=180,N227,0),0)</f>
        <v/>
      </c>
      <c r="P227" s="141">
        <f>IF(AND(N227&lt;90,N227&gt;0),Q227,0)</f>
        <v/>
      </c>
      <c r="Q227" s="141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/>
      </c>
      <c r="R227" s="141">
        <f>IF(AND(H227=TRUE,I227=FALSE),Q227,0)</f>
        <v/>
      </c>
      <c r="S227" s="141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/>
      </c>
      <c r="T227" s="142">
        <f>IF(U227=TRUE,$J227,"")</f>
        <v/>
      </c>
      <c r="U227" s="140" t="b">
        <v>0</v>
      </c>
      <c r="V227" s="141">
        <f>IF(AND(H227=TRUE,OR(K227="",K227&gt;M227)),S227,0)</f>
        <v/>
      </c>
      <c r="W227" s="140" t="n">
        <v>0</v>
      </c>
      <c r="X227" s="140" t="b">
        <v>0</v>
      </c>
      <c r="Y227" s="143">
        <f>IF(H227=FALSE,VLOOKUP($C227,Sales!$C:$F,4,FALSE),1)</f>
        <v/>
      </c>
      <c r="Z227" s="140">
        <f>IF(Y227=0,"Release",IF(AND(L227&lt;J227,Y227=1,H227=FALSE,U227=FALSE,MONTH(L227)&amp;"/"&amp;YEAR(L227)&lt;&gt;MONTH(J227)&amp;"/"&amp;YEAR(J227)),"Release",""))</f>
        <v/>
      </c>
      <c r="AA227" s="144">
        <f>_xlfn.minifs($L:$L,$C:$C,$C227,$F:$F,"&lt;&gt;0")</f>
        <v/>
      </c>
      <c r="AB227" s="144">
        <f>C227&amp;"-"&amp;A227</f>
        <v/>
      </c>
      <c r="AC227" s="144">
        <f>L227</f>
        <v/>
      </c>
    </row>
    <row r="228">
      <c r="A228" s="140" t="inlineStr">
        <is>
          <t>ZKRU01</t>
        </is>
      </c>
      <c r="B228" s="140" t="n">
        <v>5</v>
      </c>
      <c r="C228" s="140" t="inlineStr">
        <is>
          <t>HVD302</t>
        </is>
      </c>
      <c r="D228" s="140" t="inlineStr">
        <is>
          <t>D</t>
        </is>
      </c>
      <c r="E228" s="140" t="inlineStr">
        <is>
          <t>Kruger Jurgen</t>
        </is>
      </c>
      <c r="F228" s="141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</f>
        <v/>
      </c>
      <c r="G228" s="142" t="n">
        <v>44713</v>
      </c>
      <c r="H228" s="140">
        <f>VLOOKUP($C228,Sales!$C:$E,2,FALSE)</f>
        <v/>
      </c>
      <c r="I228" s="140">
        <f>VLOOKUP($C228,Sales!$C:$E,3,FALSE)</f>
        <v/>
      </c>
      <c r="J228" s="142">
        <f>SUMIFS(Sales!$H:$H,Sales!$C:$C,'Investor Exit List'!$C228)</f>
        <v/>
      </c>
      <c r="K228" s="142">
        <f>IF(I228=TRUE,J228,"")</f>
        <v/>
      </c>
      <c r="L228" s="142">
        <f>G228+730</f>
        <v/>
      </c>
      <c r="M228" s="142" t="n">
        <v>45443</v>
      </c>
      <c r="N228" s="143">
        <f>IFERROR(IF(G228&lt;&gt;"",IF(I228=TRUE,0,IF(U228=TRUE,0,L228-M228)),0),0)</f>
        <v/>
      </c>
      <c r="O228" s="143">
        <f>IF(N228&gt;0,IF(N228&lt;=180,N228,0),0)</f>
        <v/>
      </c>
      <c r="P228" s="141">
        <f>IF(AND(N228&lt;90,N228&gt;0),Q228,0)</f>
        <v/>
      </c>
      <c r="Q228" s="141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/>
      </c>
      <c r="R228" s="141">
        <f>IF(AND(H228=TRUE,I228=FALSE),Q228,0)</f>
        <v/>
      </c>
      <c r="S228" s="141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/>
      </c>
      <c r="T228" s="142">
        <f>IF(U228=TRUE,$J228,"")</f>
        <v/>
      </c>
      <c r="U228" s="140" t="b">
        <v>1</v>
      </c>
      <c r="V228" s="141">
        <f>IF(AND(H228=TRUE,OR(K228="",K228&gt;M228)),S228,0)</f>
        <v/>
      </c>
      <c r="W228" s="140" t="n">
        <v>0</v>
      </c>
      <c r="X228" s="140" t="b">
        <v>0</v>
      </c>
      <c r="Y228" s="143">
        <f>IF(H228=FALSE,VLOOKUP($C228,Sales!$C:$F,4,FALSE),1)</f>
        <v/>
      </c>
      <c r="Z228" s="140">
        <f>IF(Y228=0,"Release",IF(AND(L228&lt;J228,Y228=1,H228=FALSE,U228=FALSE,MONTH(L228)&amp;"/"&amp;YEAR(L228)&lt;&gt;MONTH(J228)&amp;"/"&amp;YEAR(J228)),"Release",""))</f>
        <v/>
      </c>
      <c r="AA228" s="144">
        <f>_xlfn.minifs($L:$L,$C:$C,$C228,$F:$F,"&lt;&gt;0")</f>
        <v/>
      </c>
      <c r="AB228" s="144">
        <f>C228&amp;"-"&amp;A228</f>
        <v/>
      </c>
      <c r="AC228" s="144">
        <f>L228</f>
        <v/>
      </c>
    </row>
    <row r="229">
      <c r="A229" s="140" t="inlineStr">
        <is>
          <t>ZWEL01</t>
        </is>
      </c>
      <c r="B229" s="140" t="n">
        <v>4</v>
      </c>
      <c r="C229" s="140" t="inlineStr">
        <is>
          <t>HVD302</t>
        </is>
      </c>
      <c r="D229" s="140" t="inlineStr">
        <is>
          <t>D</t>
        </is>
      </c>
      <c r="E229" s="140" t="inlineStr">
        <is>
          <t>Welham Christopher John</t>
        </is>
      </c>
      <c r="F229" s="141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</f>
        <v/>
      </c>
      <c r="G229" s="142" t="n">
        <v>44735</v>
      </c>
      <c r="H229" s="140">
        <f>VLOOKUP($C229,Sales!$C:$E,2,FALSE)</f>
        <v/>
      </c>
      <c r="I229" s="140">
        <f>VLOOKUP($C229,Sales!$C:$E,3,FALSE)</f>
        <v/>
      </c>
      <c r="J229" s="142">
        <f>SUMIFS(Sales!$H:$H,Sales!$C:$C,'Investor Exit List'!$C229)</f>
        <v/>
      </c>
      <c r="K229" s="142">
        <f>IF(I229=TRUE,J229,"")</f>
        <v/>
      </c>
      <c r="L229" s="142">
        <f>G229+730</f>
        <v/>
      </c>
      <c r="M229" s="142" t="n">
        <v>45443</v>
      </c>
      <c r="N229" s="143">
        <f>IFERROR(IF(G229&lt;&gt;"",IF(I229=TRUE,0,IF(U229=TRUE,0,L229-M229)),0),0)</f>
        <v/>
      </c>
      <c r="O229" s="143">
        <f>IF(N229&gt;0,IF(N229&lt;=180,N229,0),0)</f>
        <v/>
      </c>
      <c r="P229" s="141">
        <f>IF(AND(N229&lt;90,N229&gt;0),Q229,0)</f>
        <v/>
      </c>
      <c r="Q229" s="141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/>
      </c>
      <c r="R229" s="141">
        <f>IF(AND(H229=TRUE,I229=FALSE),Q229,0)</f>
        <v/>
      </c>
      <c r="S229" s="141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/>
      </c>
      <c r="T229" s="142">
        <f>IF(U229=TRUE,$J229,"")</f>
        <v/>
      </c>
      <c r="U229" s="140" t="b">
        <v>1</v>
      </c>
      <c r="V229" s="141">
        <f>IF(AND(H229=TRUE,OR(K229="",K229&gt;M229)),S229,0)</f>
        <v/>
      </c>
      <c r="W229" s="140" t="n">
        <v>0</v>
      </c>
      <c r="X229" s="140" t="b">
        <v>0</v>
      </c>
      <c r="Y229" s="143">
        <f>IF(H229=FALSE,VLOOKUP($C229,Sales!$C:$F,4,FALSE),1)</f>
        <v/>
      </c>
      <c r="Z229" s="140">
        <f>IF(Y229=0,"Release",IF(AND(L229&lt;J229,Y229=1,H229=FALSE,U229=FALSE,MONTH(L229)&amp;"/"&amp;YEAR(L229)&lt;&gt;MONTH(J229)&amp;"/"&amp;YEAR(J229)),"Release",""))</f>
        <v/>
      </c>
      <c r="AA229" s="144">
        <f>_xlfn.minifs($L:$L,$C:$C,$C229,$F:$F,"&lt;&gt;0")</f>
        <v/>
      </c>
      <c r="AB229" s="144">
        <f>C229&amp;"-"&amp;A229</f>
        <v/>
      </c>
      <c r="AC229" s="144">
        <f>L229</f>
        <v/>
      </c>
    </row>
    <row r="230">
      <c r="A230" s="140" t="inlineStr">
        <is>
          <t>ZDIC01</t>
        </is>
      </c>
      <c r="B230" s="140" t="n">
        <v>9</v>
      </c>
      <c r="C230" s="140" t="inlineStr">
        <is>
          <t>HVD303</t>
        </is>
      </c>
      <c r="D230" s="140" t="inlineStr">
        <is>
          <t>D</t>
        </is>
      </c>
      <c r="E230" s="140" t="inlineStr">
        <is>
          <t>Dickinson Grant Allan</t>
        </is>
      </c>
      <c r="F230" s="141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</f>
        <v/>
      </c>
      <c r="G230" s="142" t="n">
        <v>44735</v>
      </c>
      <c r="H230" s="140">
        <f>VLOOKUP($C230,Sales!$C:$E,2,FALSE)</f>
        <v/>
      </c>
      <c r="I230" s="140">
        <f>VLOOKUP($C230,Sales!$C:$E,3,FALSE)</f>
        <v/>
      </c>
      <c r="J230" s="142">
        <f>SUMIFS(Sales!$H:$H,Sales!$C:$C,'Investor Exit List'!$C230)</f>
        <v/>
      </c>
      <c r="K230" s="142">
        <f>IF(I230=TRUE,J230,"")</f>
        <v/>
      </c>
      <c r="L230" s="142">
        <f>G230+730</f>
        <v/>
      </c>
      <c r="M230" s="142" t="n">
        <v>45443</v>
      </c>
      <c r="N230" s="143">
        <f>IFERROR(IF(G230&lt;&gt;"",IF(I230=TRUE,0,IF(U230=TRUE,0,L230-M230)),0),0)</f>
        <v/>
      </c>
      <c r="O230" s="143">
        <f>IF(N230&gt;0,IF(N230&lt;=180,N230,0),0)</f>
        <v/>
      </c>
      <c r="P230" s="141">
        <f>IF(AND(N230&lt;90,N230&gt;0),Q230,0)</f>
        <v/>
      </c>
      <c r="Q230" s="141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/>
      </c>
      <c r="R230" s="141">
        <f>IF(AND(H230=TRUE,I230=FALSE),Q230,0)</f>
        <v/>
      </c>
      <c r="S230" s="141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/>
      </c>
      <c r="T230" s="142">
        <f>IF(U230=TRUE,$J230,"")</f>
        <v/>
      </c>
      <c r="U230" s="140" t="b">
        <v>0</v>
      </c>
      <c r="V230" s="141">
        <f>IF(AND(H230=TRUE,OR(K230="",K230&gt;M230)),S230,0)</f>
        <v/>
      </c>
      <c r="W230" s="140" t="n">
        <v>0</v>
      </c>
      <c r="X230" s="140" t="b">
        <v>0</v>
      </c>
      <c r="Y230" s="143">
        <f>IF(H230=FALSE,VLOOKUP($C230,Sales!$C:$F,4,FALSE),1)</f>
        <v/>
      </c>
      <c r="Z230" s="140">
        <f>IF(Y230=0,"Release",IF(AND(L230&lt;J230,Y230=1,H230=FALSE,U230=FALSE,MONTH(L230)&amp;"/"&amp;YEAR(L230)&lt;&gt;MONTH(J230)&amp;"/"&amp;YEAR(J230)),"Release",""))</f>
        <v/>
      </c>
      <c r="AA230" s="144">
        <f>_xlfn.minifs($L:$L,$C:$C,$C230,$F:$F,"&lt;&gt;0")</f>
        <v/>
      </c>
      <c r="AB230" s="144">
        <f>C230&amp;"-"&amp;A230</f>
        <v/>
      </c>
      <c r="AC230" s="144">
        <f>L230</f>
        <v/>
      </c>
    </row>
    <row r="231">
      <c r="A231" s="140" t="inlineStr">
        <is>
          <t>ZHAY01</t>
        </is>
      </c>
      <c r="B231" s="140" t="n">
        <v>2</v>
      </c>
      <c r="C231" s="140" t="inlineStr">
        <is>
          <t>HVD303</t>
        </is>
      </c>
      <c r="D231" s="140" t="inlineStr">
        <is>
          <t>D</t>
        </is>
      </c>
      <c r="E231" s="140" t="inlineStr">
        <is>
          <t>Haywood Johannes Wynand</t>
        </is>
      </c>
      <c r="F231" s="141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</f>
        <v/>
      </c>
      <c r="G231" s="142" t="n">
        <v>45443</v>
      </c>
      <c r="H231" s="140">
        <f>VLOOKUP($C231,Sales!$C:$E,2,FALSE)</f>
        <v/>
      </c>
      <c r="I231" s="140">
        <f>VLOOKUP($C231,Sales!$C:$E,3,FALSE)</f>
        <v/>
      </c>
      <c r="J231" s="142">
        <f>SUMIFS(Sales!$H:$H,Sales!$C:$C,'Investor Exit List'!$C231)</f>
        <v/>
      </c>
      <c r="K231" s="142">
        <f>IF(I231=TRUE,J231,"")</f>
        <v/>
      </c>
      <c r="L231" s="142">
        <f>G231+730</f>
        <v/>
      </c>
      <c r="M231" s="142" t="n">
        <v>45443</v>
      </c>
      <c r="N231" s="143">
        <f>IFERROR(IF(G231&lt;&gt;"",IF(I231=TRUE,0,IF(U231=TRUE,0,L231-M231)),0),0)</f>
        <v/>
      </c>
      <c r="O231" s="143">
        <f>IF(N231&gt;0,IF(N231&lt;=180,N231,0),0)</f>
        <v/>
      </c>
      <c r="P231" s="141">
        <f>IF(AND(N231&lt;90,N231&gt;0),Q231,0)</f>
        <v/>
      </c>
      <c r="Q231" s="141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/>
      </c>
      <c r="R231" s="141">
        <f>IF(AND(H231=TRUE,I231=FALSE),Q231,0)</f>
        <v/>
      </c>
      <c r="S231" s="141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/>
      </c>
      <c r="T231" s="142">
        <f>IF(U231=TRUE,$J231,"")</f>
        <v/>
      </c>
      <c r="U231" s="140" t="b">
        <v>0</v>
      </c>
      <c r="V231" s="141">
        <f>IF(AND(H231=TRUE,OR(K231="",K231&gt;M231)),S231,0)</f>
        <v/>
      </c>
      <c r="W231" s="140" t="n">
        <v>0</v>
      </c>
      <c r="X231" s="140" t="b">
        <v>0</v>
      </c>
      <c r="Y231" s="143">
        <f>IF(H231=FALSE,VLOOKUP($C231,Sales!$C:$F,4,FALSE),1)</f>
        <v/>
      </c>
      <c r="Z231" s="140">
        <f>IF(Y231=0,"Release",IF(AND(L231&lt;J231,Y231=1,H231=FALSE,U231=FALSE,MONTH(L231)&amp;"/"&amp;YEAR(L231)&lt;&gt;MONTH(J231)&amp;"/"&amp;YEAR(J231)),"Release",""))</f>
        <v/>
      </c>
      <c r="AA231" s="144">
        <f>_xlfn.minifs($L:$L,$C:$C,$C231,$F:$F,"&lt;&gt;0")</f>
        <v/>
      </c>
      <c r="AB231" s="144">
        <f>C231&amp;"-"&amp;A231</f>
        <v/>
      </c>
      <c r="AC231" s="144">
        <f>L231</f>
        <v/>
      </c>
    </row>
    <row r="232">
      <c r="A232" s="140" t="inlineStr">
        <is>
          <t>ZPLA01</t>
        </is>
      </c>
      <c r="B232" s="140" t="n">
        <v>2</v>
      </c>
      <c r="C232" s="140" t="inlineStr">
        <is>
          <t>HVD303</t>
        </is>
      </c>
      <c r="D232" s="140" t="inlineStr">
        <is>
          <t>D</t>
        </is>
      </c>
      <c r="E232" s="140" t="inlineStr">
        <is>
          <t>Placzkowska Aneta</t>
        </is>
      </c>
      <c r="F232" s="141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</f>
        <v/>
      </c>
      <c r="G232" s="142" t="n">
        <v>44721</v>
      </c>
      <c r="H232" s="140">
        <f>VLOOKUP($C232,Sales!$C:$E,2,FALSE)</f>
        <v/>
      </c>
      <c r="I232" s="140">
        <f>VLOOKUP($C232,Sales!$C:$E,3,FALSE)</f>
        <v/>
      </c>
      <c r="J232" s="142">
        <f>SUMIFS(Sales!$H:$H,Sales!$C:$C,'Investor Exit List'!$C232)</f>
        <v/>
      </c>
      <c r="K232" s="142">
        <f>IF(I232=TRUE,J232,"")</f>
        <v/>
      </c>
      <c r="L232" s="142">
        <f>G232+730</f>
        <v/>
      </c>
      <c r="M232" s="142" t="n">
        <v>45443</v>
      </c>
      <c r="N232" s="143">
        <f>IFERROR(IF(G232&lt;&gt;"",IF(I232=TRUE,0,IF(U232=TRUE,0,L232-M232)),0),0)</f>
        <v/>
      </c>
      <c r="O232" s="143">
        <f>IF(N232&gt;0,IF(N232&lt;=180,N232,0),0)</f>
        <v/>
      </c>
      <c r="P232" s="141">
        <f>IF(AND(N232&lt;90,N232&gt;0),Q232,0)</f>
        <v/>
      </c>
      <c r="Q232" s="141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/>
      </c>
      <c r="R232" s="141">
        <f>IF(AND(H232=TRUE,I232=FALSE),Q232,0)</f>
        <v/>
      </c>
      <c r="S232" s="141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/>
      </c>
      <c r="T232" s="142">
        <f>IF(U232=TRUE,$J232,"")</f>
        <v/>
      </c>
      <c r="U232" s="140" t="b">
        <v>1</v>
      </c>
      <c r="V232" s="141">
        <f>IF(AND(H232=TRUE,OR(K232="",K232&gt;M232)),S232,0)</f>
        <v/>
      </c>
      <c r="W232" s="140" t="n">
        <v>0</v>
      </c>
      <c r="X232" s="140" t="b">
        <v>0</v>
      </c>
      <c r="Y232" s="143">
        <f>IF(H232=FALSE,VLOOKUP($C232,Sales!$C:$F,4,FALSE),1)</f>
        <v/>
      </c>
      <c r="Z232" s="140">
        <f>IF(Y232=0,"Release",IF(AND(L232&lt;J232,Y232=1,H232=FALSE,U232=FALSE,MONTH(L232)&amp;"/"&amp;YEAR(L232)&lt;&gt;MONTH(J232)&amp;"/"&amp;YEAR(J232)),"Release",""))</f>
        <v/>
      </c>
      <c r="AA232" s="144">
        <f>_xlfn.minifs($L:$L,$C:$C,$C232,$F:$F,"&lt;&gt;0")</f>
        <v/>
      </c>
      <c r="AB232" s="144">
        <f>C232&amp;"-"&amp;A232</f>
        <v/>
      </c>
      <c r="AC232" s="144">
        <f>L232</f>
        <v/>
      </c>
    </row>
    <row r="233">
      <c r="A233" s="140" t="inlineStr">
        <is>
          <t>ZOOS01</t>
        </is>
      </c>
      <c r="B233" s="140" t="n">
        <v>1</v>
      </c>
      <c r="C233" s="140" t="inlineStr">
        <is>
          <t>HVD304</t>
        </is>
      </c>
      <c r="D233" s="140" t="inlineStr">
        <is>
          <t>D</t>
        </is>
      </c>
      <c r="E233" s="140" t="inlineStr">
        <is>
          <t>Oosthuizen Diana</t>
        </is>
      </c>
      <c r="F233" s="141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</f>
        <v/>
      </c>
      <c r="G233" s="142" t="n">
        <v>44743</v>
      </c>
      <c r="H233" s="140">
        <f>VLOOKUP($C233,Sales!$C:$E,2,FALSE)</f>
        <v/>
      </c>
      <c r="I233" s="140">
        <f>VLOOKUP($C233,Sales!$C:$E,3,FALSE)</f>
        <v/>
      </c>
      <c r="J233" s="142">
        <f>SUMIFS(Sales!$H:$H,Sales!$C:$C,'Investor Exit List'!$C233)</f>
        <v/>
      </c>
      <c r="K233" s="142">
        <f>IF(I233=TRUE,J233,"")</f>
        <v/>
      </c>
      <c r="L233" s="142">
        <f>G233+730</f>
        <v/>
      </c>
      <c r="M233" s="142" t="n">
        <v>45443</v>
      </c>
      <c r="N233" s="143">
        <f>IFERROR(IF(G233&lt;&gt;"",IF(I233=TRUE,0,IF(U233=TRUE,0,L233-M233)),0),0)</f>
        <v/>
      </c>
      <c r="O233" s="143">
        <f>IF(N233&gt;0,IF(N233&lt;=180,N233,0),0)</f>
        <v/>
      </c>
      <c r="P233" s="141">
        <f>IF(AND(N233&lt;90,N233&gt;0),Q233,0)</f>
        <v/>
      </c>
      <c r="Q233" s="141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/>
      </c>
      <c r="R233" s="141">
        <f>IF(AND(H233=TRUE,I233=FALSE),Q233,0)</f>
        <v/>
      </c>
      <c r="S233" s="141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/>
      </c>
      <c r="T233" s="142">
        <f>IF(U233=TRUE,$J233,"")</f>
        <v/>
      </c>
      <c r="U233" s="140" t="b">
        <v>0</v>
      </c>
      <c r="V233" s="141">
        <f>IF(AND(H233=TRUE,OR(K233="",K233&gt;M233)),S233,0)</f>
        <v/>
      </c>
      <c r="W233" s="140" t="n">
        <v>0</v>
      </c>
      <c r="X233" s="140" t="b">
        <v>0</v>
      </c>
      <c r="Y233" s="143">
        <f>IF(H233=FALSE,VLOOKUP($C233,Sales!$C:$F,4,FALSE),1)</f>
        <v/>
      </c>
      <c r="Z233" s="140">
        <f>IF(Y233=0,"Release",IF(AND(L233&lt;J233,Y233=1,H233=FALSE,U233=FALSE,MONTH(L233)&amp;"/"&amp;YEAR(L233)&lt;&gt;MONTH(J233)&amp;"/"&amp;YEAR(J233)),"Release",""))</f>
        <v/>
      </c>
      <c r="AA233" s="144">
        <f>_xlfn.minifs($L:$L,$C:$C,$C233,$F:$F,"&lt;&gt;0")</f>
        <v/>
      </c>
      <c r="AB233" s="144">
        <f>C233&amp;"-"&amp;A233</f>
        <v/>
      </c>
      <c r="AC233" s="144">
        <f>L233</f>
        <v/>
      </c>
    </row>
    <row r="234">
      <c r="A234" s="140" t="inlineStr">
        <is>
          <t>ZRAN01</t>
        </is>
      </c>
      <c r="B234" s="140" t="n">
        <v>22</v>
      </c>
      <c r="C234" s="140" t="inlineStr">
        <is>
          <t>HVD304</t>
        </is>
      </c>
      <c r="D234" s="140" t="inlineStr">
        <is>
          <t>D</t>
        </is>
      </c>
      <c r="E234" s="140" t="inlineStr">
        <is>
          <t>Rankin Ross Partick Gemill</t>
        </is>
      </c>
      <c r="F234" s="141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</f>
        <v/>
      </c>
      <c r="G234" s="142" t="n">
        <v>44735</v>
      </c>
      <c r="H234" s="140">
        <f>VLOOKUP($C234,Sales!$C:$E,2,FALSE)</f>
        <v/>
      </c>
      <c r="I234" s="140">
        <f>VLOOKUP($C234,Sales!$C:$E,3,FALSE)</f>
        <v/>
      </c>
      <c r="J234" s="142">
        <f>SUMIFS(Sales!$H:$H,Sales!$C:$C,'Investor Exit List'!$C234)</f>
        <v/>
      </c>
      <c r="K234" s="142">
        <f>IF(I234=TRUE,J234,"")</f>
        <v/>
      </c>
      <c r="L234" s="142">
        <f>G234+730</f>
        <v/>
      </c>
      <c r="M234" s="142" t="n">
        <v>45443</v>
      </c>
      <c r="N234" s="143">
        <f>IFERROR(IF(G234&lt;&gt;"",IF(I234=TRUE,0,IF(U234=TRUE,0,L234-M234)),0),0)</f>
        <v/>
      </c>
      <c r="O234" s="143">
        <f>IF(N234&gt;0,IF(N234&lt;=180,N234,0),0)</f>
        <v/>
      </c>
      <c r="P234" s="141">
        <f>IF(AND(N234&lt;90,N234&gt;0),Q234,0)</f>
        <v/>
      </c>
      <c r="Q234" s="141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/>
      </c>
      <c r="R234" s="141">
        <f>IF(AND(H234=TRUE,I234=FALSE),Q234,0)</f>
        <v/>
      </c>
      <c r="S234" s="141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/>
      </c>
      <c r="T234" s="142">
        <f>IF(U234=TRUE,$J234,"")</f>
        <v/>
      </c>
      <c r="U234" s="140" t="b">
        <v>0</v>
      </c>
      <c r="V234" s="141">
        <f>IF(AND(H234=TRUE,OR(K234="",K234&gt;M234)),S234,0)</f>
        <v/>
      </c>
      <c r="W234" s="140" t="n">
        <v>0</v>
      </c>
      <c r="X234" s="140" t="b">
        <v>0</v>
      </c>
      <c r="Y234" s="143">
        <f>IF(H234=FALSE,VLOOKUP($C234,Sales!$C:$F,4,FALSE),1)</f>
        <v/>
      </c>
      <c r="Z234" s="140">
        <f>IF(Y234=0,"Release",IF(AND(L234&lt;J234,Y234=1,H234=FALSE,U234=FALSE,MONTH(L234)&amp;"/"&amp;YEAR(L234)&lt;&gt;MONTH(J234)&amp;"/"&amp;YEAR(J234)),"Release",""))</f>
        <v/>
      </c>
      <c r="AA234" s="144">
        <f>_xlfn.minifs($L:$L,$C:$C,$C234,$F:$F,"&lt;&gt;0")</f>
        <v/>
      </c>
      <c r="AB234" s="144">
        <f>C234&amp;"-"&amp;A234</f>
        <v/>
      </c>
      <c r="AC234" s="144">
        <f>L234</f>
        <v/>
      </c>
    </row>
    <row r="235">
      <c r="A235" s="140" t="inlineStr">
        <is>
          <t>ZHAA02</t>
        </is>
      </c>
      <c r="B235" s="140" t="n">
        <v>1</v>
      </c>
      <c r="C235" s="140" t="inlineStr">
        <is>
          <t>HVE101</t>
        </is>
      </c>
      <c r="D235" s="140" t="inlineStr">
        <is>
          <t>E</t>
        </is>
      </c>
      <c r="E235" s="140" t="inlineStr">
        <is>
          <t>Haasbroek Wilhelmina Petronella (Willa)</t>
        </is>
      </c>
      <c r="F235" s="141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</f>
        <v/>
      </c>
      <c r="G235" s="142" t="inlineStr"/>
      <c r="H235" s="140">
        <f>VLOOKUP($C235,Sales!$C:$E,2,FALSE)</f>
        <v/>
      </c>
      <c r="I235" s="140">
        <f>VLOOKUP($C235,Sales!$C:$E,3,FALSE)</f>
        <v/>
      </c>
      <c r="J235" s="142">
        <f>SUMIFS(Sales!$H:$H,Sales!$C:$C,'Investor Exit List'!$C235)</f>
        <v/>
      </c>
      <c r="K235" s="142">
        <f>IF(I235=TRUE,J235,"")</f>
        <v/>
      </c>
      <c r="L235" s="142">
        <f>G235+730</f>
        <v/>
      </c>
      <c r="M235" s="142" t="n">
        <v>45443</v>
      </c>
      <c r="N235" s="143">
        <f>IFERROR(IF(G235&lt;&gt;"",IF(I235=TRUE,0,IF(U235=TRUE,0,L235-M235)),0),0)</f>
        <v/>
      </c>
      <c r="O235" s="143">
        <f>IF(N235&gt;0,IF(N235&lt;=180,N235,0),0)</f>
        <v/>
      </c>
      <c r="P235" s="141">
        <f>IF(AND(N235&lt;90,N235&gt;0),Q235,0)</f>
        <v/>
      </c>
      <c r="Q235" s="141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/>
      </c>
      <c r="R235" s="141">
        <f>IF(AND(H235=TRUE,I235=FALSE),Q235,0)</f>
        <v/>
      </c>
      <c r="S235" s="141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/>
      </c>
      <c r="T235" s="142">
        <f>IF(U235=TRUE,$J235,"")</f>
        <v/>
      </c>
      <c r="U235" s="140" t="b">
        <v>0</v>
      </c>
      <c r="V235" s="141">
        <f>IF(AND(H235=TRUE,OR(K235="",K235&gt;M235)),S235,0)</f>
        <v/>
      </c>
      <c r="W235" s="140" t="n">
        <v>0</v>
      </c>
      <c r="X235" s="140" t="b">
        <v>0</v>
      </c>
      <c r="Y235" s="143">
        <f>IF(H235=FALSE,VLOOKUP($C235,Sales!$C:$F,4,FALSE),1)</f>
        <v/>
      </c>
      <c r="Z235" s="140">
        <f>IF(Y235=0,"Release",IF(AND(L235&lt;J235,Y235=1,H235=FALSE,U235=FALSE,MONTH(L235)&amp;"/"&amp;YEAR(L235)&lt;&gt;MONTH(J235)&amp;"/"&amp;YEAR(J235)),"Release",""))</f>
        <v/>
      </c>
      <c r="AA235" s="144">
        <f>_xlfn.minifs($L:$L,$C:$C,$C235,$F:$F,"&lt;&gt;0")</f>
        <v/>
      </c>
      <c r="AB235" s="144">
        <f>C235&amp;"-"&amp;A235</f>
        <v/>
      </c>
      <c r="AC235" s="144">
        <f>L235</f>
        <v/>
      </c>
    </row>
    <row r="236">
      <c r="A236" s="140" t="inlineStr">
        <is>
          <t>ZMEY02</t>
        </is>
      </c>
      <c r="B236" s="140" t="n">
        <v>3</v>
      </c>
      <c r="C236" s="140" t="inlineStr">
        <is>
          <t>HVE101</t>
        </is>
      </c>
      <c r="D236" s="140" t="inlineStr">
        <is>
          <t>E</t>
        </is>
      </c>
      <c r="E236" s="140" t="inlineStr">
        <is>
          <t>Meyer Catharina Levina</t>
        </is>
      </c>
      <c r="F236" s="141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</f>
        <v/>
      </c>
      <c r="G236" s="142" t="n">
        <v>45321</v>
      </c>
      <c r="H236" s="140">
        <f>VLOOKUP($C236,Sales!$C:$E,2,FALSE)</f>
        <v/>
      </c>
      <c r="I236" s="140">
        <f>VLOOKUP($C236,Sales!$C:$E,3,FALSE)</f>
        <v/>
      </c>
      <c r="J236" s="142">
        <f>SUMIFS(Sales!$H:$H,Sales!$C:$C,'Investor Exit List'!$C236)</f>
        <v/>
      </c>
      <c r="K236" s="142">
        <f>IF(I236=TRUE,J236,"")</f>
        <v/>
      </c>
      <c r="L236" s="142">
        <f>G236+730</f>
        <v/>
      </c>
      <c r="M236" s="142" t="n">
        <v>45443</v>
      </c>
      <c r="N236" s="143">
        <f>IFERROR(IF(G236&lt;&gt;"",IF(I236=TRUE,0,IF(U236=TRUE,0,L236-M236)),0),0)</f>
        <v/>
      </c>
      <c r="O236" s="143">
        <f>IF(N236&gt;0,IF(N236&lt;=180,N236,0),0)</f>
        <v/>
      </c>
      <c r="P236" s="141">
        <f>IF(AND(N236&lt;90,N236&gt;0),Q236,0)</f>
        <v/>
      </c>
      <c r="Q236" s="141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/>
      </c>
      <c r="R236" s="141">
        <f>IF(AND(H236=TRUE,I236=FALSE),Q236,0)</f>
        <v/>
      </c>
      <c r="S236" s="141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/>
      </c>
      <c r="T236" s="142">
        <f>IF(U236=TRUE,$J236,"")</f>
        <v/>
      </c>
      <c r="U236" s="140" t="b">
        <v>0</v>
      </c>
      <c r="V236" s="141">
        <f>IF(AND(H236=TRUE,OR(K236="",K236&gt;M236)),S236,0)</f>
        <v/>
      </c>
      <c r="W236" s="140" t="n">
        <v>0</v>
      </c>
      <c r="X236" s="140" t="b">
        <v>0</v>
      </c>
      <c r="Y236" s="143">
        <f>IF(H236=FALSE,VLOOKUP($C236,Sales!$C:$F,4,FALSE),1)</f>
        <v/>
      </c>
      <c r="Z236" s="140">
        <f>IF(Y236=0,"Release",IF(AND(L236&lt;J236,Y236=1,H236=FALSE,U236=FALSE,MONTH(L236)&amp;"/"&amp;YEAR(L236)&lt;&gt;MONTH(J236)&amp;"/"&amp;YEAR(J236)),"Release",""))</f>
        <v/>
      </c>
      <c r="AA236" s="144">
        <f>_xlfn.minifs($L:$L,$C:$C,$C236,$F:$F,"&lt;&gt;0")</f>
        <v/>
      </c>
      <c r="AB236" s="144">
        <f>C236&amp;"-"&amp;A236</f>
        <v/>
      </c>
      <c r="AC236" s="144">
        <f>L236</f>
        <v/>
      </c>
    </row>
    <row r="237">
      <c r="A237" s="140" t="inlineStr">
        <is>
          <t>ZTHA01</t>
        </is>
      </c>
      <c r="B237" s="140" t="n">
        <v>11</v>
      </c>
      <c r="C237" s="140" t="inlineStr">
        <is>
          <t>HVE101</t>
        </is>
      </c>
      <c r="D237" s="140" t="inlineStr">
        <is>
          <t>E</t>
        </is>
      </c>
      <c r="E237" s="140" t="inlineStr">
        <is>
          <t>Matthee Gerald Adriaan Odendal</t>
        </is>
      </c>
      <c r="F237" s="141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</f>
        <v/>
      </c>
      <c r="G237" s="142" t="n">
        <v>45408</v>
      </c>
      <c r="H237" s="140">
        <f>VLOOKUP($C237,Sales!$C:$E,2,FALSE)</f>
        <v/>
      </c>
      <c r="I237" s="140">
        <f>VLOOKUP($C237,Sales!$C:$E,3,FALSE)</f>
        <v/>
      </c>
      <c r="J237" s="142">
        <f>SUMIFS(Sales!$H:$H,Sales!$C:$C,'Investor Exit List'!$C237)</f>
        <v/>
      </c>
      <c r="K237" s="142">
        <f>IF(I237=TRUE,J237,"")</f>
        <v/>
      </c>
      <c r="L237" s="142">
        <f>G237+730</f>
        <v/>
      </c>
      <c r="M237" s="142" t="n">
        <v>45443</v>
      </c>
      <c r="N237" s="143">
        <f>IFERROR(IF(G237&lt;&gt;"",IF(I237=TRUE,0,IF(U237=TRUE,0,L237-M237)),0),0)</f>
        <v/>
      </c>
      <c r="O237" s="143">
        <f>IF(N237&gt;0,IF(N237&lt;=180,N237,0),0)</f>
        <v/>
      </c>
      <c r="P237" s="141">
        <f>IF(AND(N237&lt;90,N237&gt;0),Q237,0)</f>
        <v/>
      </c>
      <c r="Q237" s="141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/>
      </c>
      <c r="R237" s="141">
        <f>IF(AND(H237=TRUE,I237=FALSE),Q237,0)</f>
        <v/>
      </c>
      <c r="S237" s="141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/>
      </c>
      <c r="T237" s="142">
        <f>IF(U237=TRUE,$J237,"")</f>
        <v/>
      </c>
      <c r="U237" s="140" t="b">
        <v>0</v>
      </c>
      <c r="V237" s="141">
        <f>IF(AND(H237=TRUE,OR(K237="",K237&gt;M237)),S237,0)</f>
        <v/>
      </c>
      <c r="W237" s="140" t="n">
        <v>0</v>
      </c>
      <c r="X237" s="140" t="b">
        <v>0</v>
      </c>
      <c r="Y237" s="143">
        <f>IF(H237=FALSE,VLOOKUP($C237,Sales!$C:$F,4,FALSE),1)</f>
        <v/>
      </c>
      <c r="Z237" s="140">
        <f>IF(Y237=0,"Release",IF(AND(L237&lt;J237,Y237=1,H237=FALSE,U237=FALSE,MONTH(L237)&amp;"/"&amp;YEAR(L237)&lt;&gt;MONTH(J237)&amp;"/"&amp;YEAR(J237)),"Release",""))</f>
        <v/>
      </c>
      <c r="AA237" s="144">
        <f>_xlfn.minifs($L:$L,$C:$C,$C237,$F:$F,"&lt;&gt;0")</f>
        <v/>
      </c>
      <c r="AB237" s="144">
        <f>C237&amp;"-"&amp;A237</f>
        <v/>
      </c>
      <c r="AC237" s="144">
        <f>L237</f>
        <v/>
      </c>
    </row>
    <row r="238">
      <c r="A238" s="140" t="inlineStr">
        <is>
          <t>ZVER02</t>
        </is>
      </c>
      <c r="B238" s="140" t="n">
        <v>7</v>
      </c>
      <c r="C238" s="140" t="inlineStr">
        <is>
          <t>HVE101</t>
        </is>
      </c>
      <c r="D238" s="140" t="inlineStr">
        <is>
          <t>E</t>
        </is>
      </c>
      <c r="E238" s="140" t="inlineStr">
        <is>
          <t>Verhaeghe Jean-Jacques EP</t>
        </is>
      </c>
      <c r="F238" s="141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</f>
        <v/>
      </c>
      <c r="G238" s="142" t="n">
        <v>45321</v>
      </c>
      <c r="H238" s="140">
        <f>VLOOKUP($C238,Sales!$C:$E,2,FALSE)</f>
        <v/>
      </c>
      <c r="I238" s="140">
        <f>VLOOKUP($C238,Sales!$C:$E,3,FALSE)</f>
        <v/>
      </c>
      <c r="J238" s="142">
        <f>SUMIFS(Sales!$H:$H,Sales!$C:$C,'Investor Exit List'!$C238)</f>
        <v/>
      </c>
      <c r="K238" s="142">
        <f>IF(I238=TRUE,J238,"")</f>
        <v/>
      </c>
      <c r="L238" s="142">
        <f>G238+730</f>
        <v/>
      </c>
      <c r="M238" s="142" t="n">
        <v>45443</v>
      </c>
      <c r="N238" s="143">
        <f>IFERROR(IF(G238&lt;&gt;"",IF(I238=TRUE,0,IF(U238=TRUE,0,L238-M238)),0),0)</f>
        <v/>
      </c>
      <c r="O238" s="143">
        <f>IF(N238&gt;0,IF(N238&lt;=180,N238,0),0)</f>
        <v/>
      </c>
      <c r="P238" s="141">
        <f>IF(AND(N238&lt;90,N238&gt;0),Q238,0)</f>
        <v/>
      </c>
      <c r="Q238" s="141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/>
      </c>
      <c r="R238" s="141">
        <f>IF(AND(H238=TRUE,I238=FALSE),Q238,0)</f>
        <v/>
      </c>
      <c r="S238" s="141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/>
      </c>
      <c r="T238" s="142">
        <f>IF(U238=TRUE,$J238,"")</f>
        <v/>
      </c>
      <c r="U238" s="140" t="b">
        <v>0</v>
      </c>
      <c r="V238" s="141">
        <f>IF(AND(H238=TRUE,OR(K238="",K238&gt;M238)),S238,0)</f>
        <v/>
      </c>
      <c r="W238" s="140" t="n">
        <v>0</v>
      </c>
      <c r="X238" s="140" t="b">
        <v>0</v>
      </c>
      <c r="Y238" s="143">
        <f>IF(H238=FALSE,VLOOKUP($C238,Sales!$C:$F,4,FALSE),1)</f>
        <v/>
      </c>
      <c r="Z238" s="140">
        <f>IF(Y238=0,"Release",IF(AND(L238&lt;J238,Y238=1,H238=FALSE,U238=FALSE,MONTH(L238)&amp;"/"&amp;YEAR(L238)&lt;&gt;MONTH(J238)&amp;"/"&amp;YEAR(J238)),"Release",""))</f>
        <v/>
      </c>
      <c r="AA238" s="144">
        <f>_xlfn.minifs($L:$L,$C:$C,$C238,$F:$F,"&lt;&gt;0")</f>
        <v/>
      </c>
      <c r="AB238" s="144">
        <f>C238&amp;"-"&amp;A238</f>
        <v/>
      </c>
      <c r="AC238" s="144">
        <f>L238</f>
        <v/>
      </c>
    </row>
    <row r="239">
      <c r="A239" s="140" t="inlineStr">
        <is>
          <t>ZFER02</t>
        </is>
      </c>
      <c r="B239" s="140" t="n">
        <v>2</v>
      </c>
      <c r="C239" s="140" t="inlineStr">
        <is>
          <t>HVE102</t>
        </is>
      </c>
      <c r="D239" s="140" t="inlineStr">
        <is>
          <t>E</t>
        </is>
      </c>
      <c r="E239" s="140" t="inlineStr">
        <is>
          <t>Fernandes Olga Maria</t>
        </is>
      </c>
      <c r="F239" s="141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</f>
        <v/>
      </c>
      <c r="G239" s="142" t="n">
        <v>45321</v>
      </c>
      <c r="H239" s="140">
        <f>VLOOKUP($C239,Sales!$C:$E,2,FALSE)</f>
        <v/>
      </c>
      <c r="I239" s="140">
        <f>VLOOKUP($C239,Sales!$C:$E,3,FALSE)</f>
        <v/>
      </c>
      <c r="J239" s="142">
        <f>SUMIFS(Sales!$H:$H,Sales!$C:$C,'Investor Exit List'!$C239)</f>
        <v/>
      </c>
      <c r="K239" s="142">
        <f>IF(I239=TRUE,J239,"")</f>
        <v/>
      </c>
      <c r="L239" s="142">
        <f>G239+730</f>
        <v/>
      </c>
      <c r="M239" s="142" t="n">
        <v>45443</v>
      </c>
      <c r="N239" s="143">
        <f>IFERROR(IF(G239&lt;&gt;"",IF(I239=TRUE,0,IF(U239=TRUE,0,L239-M239)),0),0)</f>
        <v/>
      </c>
      <c r="O239" s="143">
        <f>IF(N239&gt;0,IF(N239&lt;=180,N239,0),0)</f>
        <v/>
      </c>
      <c r="P239" s="141">
        <f>IF(AND(N239&lt;90,N239&gt;0),Q239,0)</f>
        <v/>
      </c>
      <c r="Q239" s="141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/>
      </c>
      <c r="R239" s="141">
        <f>IF(AND(H239=TRUE,I239=FALSE),Q239,0)</f>
        <v/>
      </c>
      <c r="S239" s="141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/>
      </c>
      <c r="T239" s="142">
        <f>IF(U239=TRUE,$J239,"")</f>
        <v/>
      </c>
      <c r="U239" s="140" t="b">
        <v>0</v>
      </c>
      <c r="V239" s="141">
        <f>IF(AND(H239=TRUE,OR(K239="",K239&gt;M239)),S239,0)</f>
        <v/>
      </c>
      <c r="W239" s="140" t="n">
        <v>0</v>
      </c>
      <c r="X239" s="140" t="b">
        <v>0</v>
      </c>
      <c r="Y239" s="143">
        <f>IF(H239=FALSE,VLOOKUP($C239,Sales!$C:$F,4,FALSE),1)</f>
        <v/>
      </c>
      <c r="Z239" s="140">
        <f>IF(Y239=0,"Release",IF(AND(L239&lt;J239,Y239=1,H239=FALSE,U239=FALSE,MONTH(L239)&amp;"/"&amp;YEAR(L239)&lt;&gt;MONTH(J239)&amp;"/"&amp;YEAR(J239)),"Release",""))</f>
        <v/>
      </c>
      <c r="AA239" s="144">
        <f>_xlfn.minifs($L:$L,$C:$C,$C239,$F:$F,"&lt;&gt;0")</f>
        <v/>
      </c>
      <c r="AB239" s="144">
        <f>C239&amp;"-"&amp;A239</f>
        <v/>
      </c>
      <c r="AC239" s="144">
        <f>L239</f>
        <v/>
      </c>
    </row>
    <row r="240">
      <c r="A240" s="140" t="inlineStr">
        <is>
          <t>ZRIT01</t>
        </is>
      </c>
      <c r="B240" s="140" t="n">
        <v>18</v>
      </c>
      <c r="C240" s="140" t="inlineStr">
        <is>
          <t>HVE102</t>
        </is>
      </c>
      <c r="D240" s="140" t="inlineStr">
        <is>
          <t>E</t>
        </is>
      </c>
      <c r="E240" s="140" t="inlineStr">
        <is>
          <t>Ritter Dennis</t>
        </is>
      </c>
      <c r="F240" s="141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</f>
        <v/>
      </c>
      <c r="G240" s="142" t="inlineStr"/>
      <c r="H240" s="140">
        <f>VLOOKUP($C240,Sales!$C:$E,2,FALSE)</f>
        <v/>
      </c>
      <c r="I240" s="140">
        <f>VLOOKUP($C240,Sales!$C:$E,3,FALSE)</f>
        <v/>
      </c>
      <c r="J240" s="142">
        <f>SUMIFS(Sales!$H:$H,Sales!$C:$C,'Investor Exit List'!$C240)</f>
        <v/>
      </c>
      <c r="K240" s="142">
        <f>IF(I240=TRUE,J240,"")</f>
        <v/>
      </c>
      <c r="L240" s="142">
        <f>G240+730</f>
        <v/>
      </c>
      <c r="M240" s="142" t="n">
        <v>45443</v>
      </c>
      <c r="N240" s="143">
        <f>IFERROR(IF(G240&lt;&gt;"",IF(I240=TRUE,0,IF(U240=TRUE,0,L240-M240)),0),0)</f>
        <v/>
      </c>
      <c r="O240" s="143">
        <f>IF(N240&gt;0,IF(N240&lt;=180,N240,0),0)</f>
        <v/>
      </c>
      <c r="P240" s="141">
        <f>IF(AND(N240&lt;90,N240&gt;0),Q240,0)</f>
        <v/>
      </c>
      <c r="Q240" s="141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/>
      </c>
      <c r="R240" s="141">
        <f>IF(AND(H240=TRUE,I240=FALSE),Q240,0)</f>
        <v/>
      </c>
      <c r="S240" s="141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/>
      </c>
      <c r="T240" s="142">
        <f>IF(U240=TRUE,$J240,"")</f>
        <v/>
      </c>
      <c r="U240" s="140" t="b">
        <v>0</v>
      </c>
      <c r="V240" s="141">
        <f>IF(AND(H240=TRUE,OR(K240="",K240&gt;M240)),S240,0)</f>
        <v/>
      </c>
      <c r="W240" s="140" t="n">
        <v>0</v>
      </c>
      <c r="X240" s="140" t="b">
        <v>0</v>
      </c>
      <c r="Y240" s="143">
        <f>IF(H240=FALSE,VLOOKUP($C240,Sales!$C:$F,4,FALSE),1)</f>
        <v/>
      </c>
      <c r="Z240" s="140">
        <f>IF(Y240=0,"Release",IF(AND(L240&lt;J240,Y240=1,H240=FALSE,U240=FALSE,MONTH(L240)&amp;"/"&amp;YEAR(L240)&lt;&gt;MONTH(J240)&amp;"/"&amp;YEAR(J240)),"Release",""))</f>
        <v/>
      </c>
      <c r="AA240" s="144">
        <f>_xlfn.minifs($L:$L,$C:$C,$C240,$F:$F,"&lt;&gt;0")</f>
        <v/>
      </c>
      <c r="AB240" s="144">
        <f>C240&amp;"-"&amp;A240</f>
        <v/>
      </c>
      <c r="AC240" s="144">
        <f>L240</f>
        <v/>
      </c>
    </row>
    <row r="241">
      <c r="A241" s="140" t="inlineStr">
        <is>
          <t>ZZYL01</t>
        </is>
      </c>
      <c r="B241" s="140" t="n">
        <v>6</v>
      </c>
      <c r="C241" s="140" t="inlineStr">
        <is>
          <t>HVE102</t>
        </is>
      </c>
      <c r="D241" s="140" t="inlineStr">
        <is>
          <t>E</t>
        </is>
      </c>
      <c r="E241" s="140" t="inlineStr">
        <is>
          <t>Zylstra John Robert</t>
        </is>
      </c>
      <c r="F241" s="141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</f>
        <v/>
      </c>
      <c r="G241" s="142" t="n">
        <v>45443</v>
      </c>
      <c r="H241" s="140">
        <f>VLOOKUP($C241,Sales!$C:$E,2,FALSE)</f>
        <v/>
      </c>
      <c r="I241" s="140">
        <f>VLOOKUP($C241,Sales!$C:$E,3,FALSE)</f>
        <v/>
      </c>
      <c r="J241" s="142">
        <f>SUMIFS(Sales!$H:$H,Sales!$C:$C,'Investor Exit List'!$C241)</f>
        <v/>
      </c>
      <c r="K241" s="142">
        <f>IF(I241=TRUE,J241,"")</f>
        <v/>
      </c>
      <c r="L241" s="142">
        <f>G241+730</f>
        <v/>
      </c>
      <c r="M241" s="142" t="n">
        <v>45443</v>
      </c>
      <c r="N241" s="143">
        <f>IFERROR(IF(G241&lt;&gt;"",IF(I241=TRUE,0,IF(U241=TRUE,0,L241-M241)),0),0)</f>
        <v/>
      </c>
      <c r="O241" s="143">
        <f>IF(N241&gt;0,IF(N241&lt;=180,N241,0),0)</f>
        <v/>
      </c>
      <c r="P241" s="141">
        <f>IF(AND(N241&lt;90,N241&gt;0),Q241,0)</f>
        <v/>
      </c>
      <c r="Q241" s="141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/>
      </c>
      <c r="R241" s="141">
        <f>IF(AND(H241=TRUE,I241=FALSE),Q241,0)</f>
        <v/>
      </c>
      <c r="S241" s="141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/>
      </c>
      <c r="T241" s="142">
        <f>IF(U241=TRUE,$J241,"")</f>
        <v/>
      </c>
      <c r="U241" s="140" t="b">
        <v>0</v>
      </c>
      <c r="V241" s="141">
        <f>IF(AND(H241=TRUE,OR(K241="",K241&gt;M241)),S241,0)</f>
        <v/>
      </c>
      <c r="W241" s="140" t="n">
        <v>0</v>
      </c>
      <c r="X241" s="140" t="b">
        <v>0</v>
      </c>
      <c r="Y241" s="143">
        <f>IF(H241=FALSE,VLOOKUP($C241,Sales!$C:$F,4,FALSE),1)</f>
        <v/>
      </c>
      <c r="Z241" s="140">
        <f>IF(Y241=0,"Release",IF(AND(L241&lt;J241,Y241=1,H241=FALSE,U241=FALSE,MONTH(L241)&amp;"/"&amp;YEAR(L241)&lt;&gt;MONTH(J241)&amp;"/"&amp;YEAR(J241)),"Release",""))</f>
        <v/>
      </c>
      <c r="AA241" s="144">
        <f>_xlfn.minifs($L:$L,$C:$C,$C241,$F:$F,"&lt;&gt;0")</f>
        <v/>
      </c>
      <c r="AB241" s="144">
        <f>C241&amp;"-"&amp;A241</f>
        <v/>
      </c>
      <c r="AC241" s="144">
        <f>L241</f>
        <v/>
      </c>
    </row>
    <row r="242">
      <c r="A242" s="140" t="inlineStr">
        <is>
          <t>ZZYL01</t>
        </is>
      </c>
      <c r="B242" s="140" t="n">
        <v>7</v>
      </c>
      <c r="C242" s="140" t="inlineStr">
        <is>
          <t>HVE103</t>
        </is>
      </c>
      <c r="D242" s="140" t="inlineStr">
        <is>
          <t>E</t>
        </is>
      </c>
      <c r="E242" s="140" t="inlineStr">
        <is>
          <t>Zylstra John Robert</t>
        </is>
      </c>
      <c r="F242" s="141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</f>
        <v/>
      </c>
      <c r="G242" s="142" t="n">
        <v>45443</v>
      </c>
      <c r="H242" s="140">
        <f>VLOOKUP($C242,Sales!$C:$E,2,FALSE)</f>
        <v/>
      </c>
      <c r="I242" s="140">
        <f>VLOOKUP($C242,Sales!$C:$E,3,FALSE)</f>
        <v/>
      </c>
      <c r="J242" s="142">
        <f>SUMIFS(Sales!$H:$H,Sales!$C:$C,'Investor Exit List'!$C242)</f>
        <v/>
      </c>
      <c r="K242" s="142">
        <f>IF(I242=TRUE,J242,"")</f>
        <v/>
      </c>
      <c r="L242" s="142">
        <f>G242+730</f>
        <v/>
      </c>
      <c r="M242" s="142" t="n">
        <v>45443</v>
      </c>
      <c r="N242" s="143">
        <f>IFERROR(IF(G242&lt;&gt;"",IF(I242=TRUE,0,IF(U242=TRUE,0,L242-M242)),0),0)</f>
        <v/>
      </c>
      <c r="O242" s="143">
        <f>IF(N242&gt;0,IF(N242&lt;=180,N242,0),0)</f>
        <v/>
      </c>
      <c r="P242" s="141">
        <f>IF(AND(N242&lt;90,N242&gt;0),Q242,0)</f>
        <v/>
      </c>
      <c r="Q242" s="141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/>
      </c>
      <c r="R242" s="141">
        <f>IF(AND(H242=TRUE,I242=FALSE),Q242,0)</f>
        <v/>
      </c>
      <c r="S242" s="141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/>
      </c>
      <c r="T242" s="142">
        <f>IF(U242=TRUE,$J242,"")</f>
        <v/>
      </c>
      <c r="U242" s="140" t="b">
        <v>0</v>
      </c>
      <c r="V242" s="141">
        <f>IF(AND(H242=TRUE,OR(K242="",K242&gt;M242)),S242,0)</f>
        <v/>
      </c>
      <c r="W242" s="140" t="n">
        <v>0</v>
      </c>
      <c r="X242" s="140" t="b">
        <v>0</v>
      </c>
      <c r="Y242" s="143">
        <f>IF(H242=FALSE,VLOOKUP($C242,Sales!$C:$F,4,FALSE),1)</f>
        <v/>
      </c>
      <c r="Z242" s="140">
        <f>IF(Y242=0,"Release",IF(AND(L242&lt;J242,Y242=1,H242=FALSE,U242=FALSE,MONTH(L242)&amp;"/"&amp;YEAR(L242)&lt;&gt;MONTH(J242)&amp;"/"&amp;YEAR(J242)),"Release",""))</f>
        <v/>
      </c>
      <c r="AA242" s="144">
        <f>_xlfn.minifs($L:$L,$C:$C,$C242,$F:$F,"&lt;&gt;0")</f>
        <v/>
      </c>
      <c r="AB242" s="144">
        <f>C242&amp;"-"&amp;A242</f>
        <v/>
      </c>
      <c r="AC242" s="144">
        <f>L242</f>
        <v/>
      </c>
    </row>
    <row r="243">
      <c r="A243" s="140" t="inlineStr">
        <is>
          <t>ZMYB01</t>
        </is>
      </c>
      <c r="B243" s="140" t="n">
        <v>6</v>
      </c>
      <c r="C243" s="140" t="inlineStr">
        <is>
          <t>HVE104</t>
        </is>
      </c>
      <c r="D243" s="140" t="inlineStr">
        <is>
          <t>E</t>
        </is>
      </c>
      <c r="E243" s="140" t="inlineStr">
        <is>
          <t>Myburgh Hermanus Carel</t>
        </is>
      </c>
      <c r="F243" s="141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</f>
        <v/>
      </c>
      <c r="G243" s="142" t="n">
        <v>45371</v>
      </c>
      <c r="H243" s="140">
        <f>VLOOKUP($C243,Sales!$C:$E,2,FALSE)</f>
        <v/>
      </c>
      <c r="I243" s="140">
        <f>VLOOKUP($C243,Sales!$C:$E,3,FALSE)</f>
        <v/>
      </c>
      <c r="J243" s="142">
        <f>SUMIFS(Sales!$H:$H,Sales!$C:$C,'Investor Exit List'!$C243)</f>
        <v/>
      </c>
      <c r="K243" s="142">
        <f>IF(I243=TRUE,J243,"")</f>
        <v/>
      </c>
      <c r="L243" s="142">
        <f>G243+730</f>
        <v/>
      </c>
      <c r="M243" s="142" t="n">
        <v>45443</v>
      </c>
      <c r="N243" s="143">
        <f>IFERROR(IF(G243&lt;&gt;"",IF(I243=TRUE,0,IF(U243=TRUE,0,L243-M243)),0),0)</f>
        <v/>
      </c>
      <c r="O243" s="143">
        <f>IF(N243&gt;0,IF(N243&lt;=180,N243,0),0)</f>
        <v/>
      </c>
      <c r="P243" s="141">
        <f>IF(AND(N243&lt;90,N243&gt;0),Q243,0)</f>
        <v/>
      </c>
      <c r="Q243" s="141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/>
      </c>
      <c r="R243" s="141">
        <f>IF(AND(H243=TRUE,I243=FALSE),Q243,0)</f>
        <v/>
      </c>
      <c r="S243" s="141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/>
      </c>
      <c r="T243" s="142">
        <f>IF(U243=TRUE,$J243,"")</f>
        <v/>
      </c>
      <c r="U243" s="140" t="b">
        <v>0</v>
      </c>
      <c r="V243" s="141">
        <f>IF(AND(H243=TRUE,OR(K243="",K243&gt;M243)),S243,0)</f>
        <v/>
      </c>
      <c r="W243" s="140" t="n">
        <v>0</v>
      </c>
      <c r="X243" s="140" t="b">
        <v>0</v>
      </c>
      <c r="Y243" s="143">
        <f>IF(H243=FALSE,VLOOKUP($C243,Sales!$C:$F,4,FALSE),1)</f>
        <v/>
      </c>
      <c r="Z243" s="140">
        <f>IF(Y243=0,"Release",IF(AND(L243&lt;J243,Y243=1,H243=FALSE,U243=FALSE,MONTH(L243)&amp;"/"&amp;YEAR(L243)&lt;&gt;MONTH(J243)&amp;"/"&amp;YEAR(J243)),"Release",""))</f>
        <v/>
      </c>
      <c r="AA243" s="144">
        <f>_xlfn.minifs($L:$L,$C:$C,$C243,$F:$F,"&lt;&gt;0")</f>
        <v/>
      </c>
      <c r="AB243" s="144">
        <f>C243&amp;"-"&amp;A243</f>
        <v/>
      </c>
      <c r="AC243" s="144">
        <f>L243</f>
        <v/>
      </c>
    </row>
    <row r="244">
      <c r="A244" s="140" t="inlineStr">
        <is>
          <t>ZLEB01</t>
        </is>
      </c>
      <c r="B244" s="140" t="n">
        <v>13</v>
      </c>
      <c r="C244" s="140" t="inlineStr">
        <is>
          <t>HVE201</t>
        </is>
      </c>
      <c r="D244" s="140" t="inlineStr">
        <is>
          <t>E</t>
        </is>
      </c>
      <c r="E244" s="140" t="inlineStr">
        <is>
          <t>Lebusa Hopolang</t>
        </is>
      </c>
      <c r="F244" s="141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</f>
        <v/>
      </c>
      <c r="G244" s="142" t="n">
        <v>45408</v>
      </c>
      <c r="H244" s="140">
        <f>VLOOKUP($C244,Sales!$C:$E,2,FALSE)</f>
        <v/>
      </c>
      <c r="I244" s="140">
        <f>VLOOKUP($C244,Sales!$C:$E,3,FALSE)</f>
        <v/>
      </c>
      <c r="J244" s="142">
        <f>SUMIFS(Sales!$H:$H,Sales!$C:$C,'Investor Exit List'!$C244)</f>
        <v/>
      </c>
      <c r="K244" s="142">
        <f>IF(I244=TRUE,J244,"")</f>
        <v/>
      </c>
      <c r="L244" s="142">
        <f>G244+730</f>
        <v/>
      </c>
      <c r="M244" s="142" t="n">
        <v>45443</v>
      </c>
      <c r="N244" s="143">
        <f>IFERROR(IF(G244&lt;&gt;"",IF(I244=TRUE,0,IF(U244=TRUE,0,L244-M244)),0),0)</f>
        <v/>
      </c>
      <c r="O244" s="143">
        <f>IF(N244&gt;0,IF(N244&lt;=180,N244,0),0)</f>
        <v/>
      </c>
      <c r="P244" s="141">
        <f>IF(AND(N244&lt;90,N244&gt;0),Q244,0)</f>
        <v/>
      </c>
      <c r="Q244" s="141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/>
      </c>
      <c r="R244" s="141">
        <f>IF(AND(H244=TRUE,I244=FALSE),Q244,0)</f>
        <v/>
      </c>
      <c r="S244" s="141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/>
      </c>
      <c r="T244" s="142">
        <f>IF(U244=TRUE,$J244,"")</f>
        <v/>
      </c>
      <c r="U244" s="140" t="b">
        <v>0</v>
      </c>
      <c r="V244" s="141">
        <f>IF(AND(H244=TRUE,OR(K244="",K244&gt;M244)),S244,0)</f>
        <v/>
      </c>
      <c r="W244" s="140" t="n">
        <v>0</v>
      </c>
      <c r="X244" s="140" t="b">
        <v>0</v>
      </c>
      <c r="Y244" s="143">
        <f>IF(H244=FALSE,VLOOKUP($C244,Sales!$C:$F,4,FALSE),1)</f>
        <v/>
      </c>
      <c r="Z244" s="140">
        <f>IF(Y244=0,"Release",IF(AND(L244&lt;J244,Y244=1,H244=FALSE,U244=FALSE,MONTH(L244)&amp;"/"&amp;YEAR(L244)&lt;&gt;MONTH(J244)&amp;"/"&amp;YEAR(J244)),"Release",""))</f>
        <v/>
      </c>
      <c r="AA244" s="144">
        <f>_xlfn.minifs($L:$L,$C:$C,$C244,$F:$F,"&lt;&gt;0")</f>
        <v/>
      </c>
      <c r="AB244" s="144">
        <f>C244&amp;"-"&amp;A244</f>
        <v/>
      </c>
      <c r="AC244" s="144">
        <f>L244</f>
        <v/>
      </c>
    </row>
    <row r="245">
      <c r="A245" s="140" t="inlineStr">
        <is>
          <t>ZSCO01</t>
        </is>
      </c>
      <c r="B245" s="140" t="n">
        <v>2</v>
      </c>
      <c r="C245" s="140" t="inlineStr">
        <is>
          <t>HVE201</t>
        </is>
      </c>
      <c r="D245" s="140" t="inlineStr">
        <is>
          <t>E</t>
        </is>
      </c>
      <c r="E245" s="140" t="inlineStr">
        <is>
          <t>Scott Caryn</t>
        </is>
      </c>
      <c r="F245" s="141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</f>
        <v/>
      </c>
      <c r="G245" s="142" t="n">
        <v>45350</v>
      </c>
      <c r="H245" s="140">
        <f>VLOOKUP($C245,Sales!$C:$E,2,FALSE)</f>
        <v/>
      </c>
      <c r="I245" s="140">
        <f>VLOOKUP($C245,Sales!$C:$E,3,FALSE)</f>
        <v/>
      </c>
      <c r="J245" s="142">
        <f>SUMIFS(Sales!$H:$H,Sales!$C:$C,'Investor Exit List'!$C245)</f>
        <v/>
      </c>
      <c r="K245" s="142">
        <f>IF(I245=TRUE,J245,"")</f>
        <v/>
      </c>
      <c r="L245" s="142">
        <f>G245+730</f>
        <v/>
      </c>
      <c r="M245" s="142" t="n">
        <v>45443</v>
      </c>
      <c r="N245" s="143">
        <f>IFERROR(IF(G245&lt;&gt;"",IF(I245=TRUE,0,IF(U245=TRUE,0,L245-M245)),0),0)</f>
        <v/>
      </c>
      <c r="O245" s="143">
        <f>IF(N245&gt;0,IF(N245&lt;=180,N245,0),0)</f>
        <v/>
      </c>
      <c r="P245" s="141">
        <f>IF(AND(N245&lt;90,N245&gt;0),Q245,0)</f>
        <v/>
      </c>
      <c r="Q245" s="141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/>
      </c>
      <c r="R245" s="141">
        <f>IF(AND(H245=TRUE,I245=FALSE),Q245,0)</f>
        <v/>
      </c>
      <c r="S245" s="141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/>
      </c>
      <c r="T245" s="142">
        <f>IF(U245=TRUE,$J245,"")</f>
        <v/>
      </c>
      <c r="U245" s="140" t="b">
        <v>0</v>
      </c>
      <c r="V245" s="141">
        <f>IF(AND(H245=TRUE,OR(K245="",K245&gt;M245)),S245,0)</f>
        <v/>
      </c>
      <c r="W245" s="140" t="n">
        <v>0</v>
      </c>
      <c r="X245" s="140" t="b">
        <v>0</v>
      </c>
      <c r="Y245" s="143">
        <f>IF(H245=FALSE,VLOOKUP($C245,Sales!$C:$F,4,FALSE),1)</f>
        <v/>
      </c>
      <c r="Z245" s="140">
        <f>IF(Y245=0,"Release",IF(AND(L245&lt;J245,Y245=1,H245=FALSE,U245=FALSE,MONTH(L245)&amp;"/"&amp;YEAR(L245)&lt;&gt;MONTH(J245)&amp;"/"&amp;YEAR(J245)),"Release",""))</f>
        <v/>
      </c>
      <c r="AA245" s="144">
        <f>_xlfn.minifs($L:$L,$C:$C,$C245,$F:$F,"&lt;&gt;0")</f>
        <v/>
      </c>
      <c r="AB245" s="144">
        <f>C245&amp;"-"&amp;A245</f>
        <v/>
      </c>
      <c r="AC245" s="144">
        <f>L245</f>
        <v/>
      </c>
    </row>
    <row r="246">
      <c r="A246" s="140" t="inlineStr">
        <is>
          <t>ZMYB01</t>
        </is>
      </c>
      <c r="B246" s="140" t="n">
        <v>7</v>
      </c>
      <c r="C246" s="140" t="inlineStr">
        <is>
          <t>HVE202</t>
        </is>
      </c>
      <c r="D246" s="140" t="inlineStr">
        <is>
          <t>E</t>
        </is>
      </c>
      <c r="E246" s="140" t="inlineStr">
        <is>
          <t>Myburgh Hermanus Carel</t>
        </is>
      </c>
      <c r="F246" s="141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</f>
        <v/>
      </c>
      <c r="G246" s="142" t="n">
        <v>45371</v>
      </c>
      <c r="H246" s="140">
        <f>VLOOKUP($C246,Sales!$C:$E,2,FALSE)</f>
        <v/>
      </c>
      <c r="I246" s="140">
        <f>VLOOKUP($C246,Sales!$C:$E,3,FALSE)</f>
        <v/>
      </c>
      <c r="J246" s="142">
        <f>SUMIFS(Sales!$H:$H,Sales!$C:$C,'Investor Exit List'!$C246)</f>
        <v/>
      </c>
      <c r="K246" s="142">
        <f>IF(I246=TRUE,J246,"")</f>
        <v/>
      </c>
      <c r="L246" s="142">
        <f>G246+730</f>
        <v/>
      </c>
      <c r="M246" s="142" t="n">
        <v>45443</v>
      </c>
      <c r="N246" s="143">
        <f>IFERROR(IF(G246&lt;&gt;"",IF(I246=TRUE,0,IF(U246=TRUE,0,L246-M246)),0),0)</f>
        <v/>
      </c>
      <c r="O246" s="143">
        <f>IF(N246&gt;0,IF(N246&lt;=180,N246,0),0)</f>
        <v/>
      </c>
      <c r="P246" s="141">
        <f>IF(AND(N246&lt;90,N246&gt;0),Q246,0)</f>
        <v/>
      </c>
      <c r="Q246" s="141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/>
      </c>
      <c r="R246" s="141">
        <f>IF(AND(H246=TRUE,I246=FALSE),Q246,0)</f>
        <v/>
      </c>
      <c r="S246" s="141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/>
      </c>
      <c r="T246" s="142">
        <f>IF(U246=TRUE,$J246,"")</f>
        <v/>
      </c>
      <c r="U246" s="140" t="b">
        <v>0</v>
      </c>
      <c r="V246" s="141">
        <f>IF(AND(H246=TRUE,OR(K246="",K246&gt;M246)),S246,0)</f>
        <v/>
      </c>
      <c r="W246" s="140" t="n">
        <v>0</v>
      </c>
      <c r="X246" s="140" t="b">
        <v>0</v>
      </c>
      <c r="Y246" s="143">
        <f>IF(H246=FALSE,VLOOKUP($C246,Sales!$C:$F,4,FALSE),1)</f>
        <v/>
      </c>
      <c r="Z246" s="140">
        <f>IF(Y246=0,"Release",IF(AND(L246&lt;J246,Y246=1,H246=FALSE,U246=FALSE,MONTH(L246)&amp;"/"&amp;YEAR(L246)&lt;&gt;MONTH(J246)&amp;"/"&amp;YEAR(J246)),"Release",""))</f>
        <v/>
      </c>
      <c r="AA246" s="144">
        <f>_xlfn.minifs($L:$L,$C:$C,$C246,$F:$F,"&lt;&gt;0")</f>
        <v/>
      </c>
      <c r="AB246" s="144">
        <f>C246&amp;"-"&amp;A246</f>
        <v/>
      </c>
      <c r="AC246" s="144">
        <f>L246</f>
        <v/>
      </c>
    </row>
    <row r="247">
      <c r="A247" s="140" t="inlineStr">
        <is>
          <t>ZHOW01</t>
        </is>
      </c>
      <c r="B247" s="140" t="n">
        <v>1</v>
      </c>
      <c r="C247" s="140" t="inlineStr">
        <is>
          <t>HVE203</t>
        </is>
      </c>
      <c r="D247" s="140" t="inlineStr">
        <is>
          <t>E</t>
        </is>
      </c>
      <c r="E247" s="140" t="inlineStr">
        <is>
          <t>Howe David Mark</t>
        </is>
      </c>
      <c r="F247" s="141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</f>
        <v/>
      </c>
      <c r="G247" s="142" t="n">
        <v>45321</v>
      </c>
      <c r="H247" s="140">
        <f>VLOOKUP($C247,Sales!$C:$E,2,FALSE)</f>
        <v/>
      </c>
      <c r="I247" s="140">
        <f>VLOOKUP($C247,Sales!$C:$E,3,FALSE)</f>
        <v/>
      </c>
      <c r="J247" s="142">
        <f>SUMIFS(Sales!$H:$H,Sales!$C:$C,'Investor Exit List'!$C247)</f>
        <v/>
      </c>
      <c r="K247" s="142">
        <f>IF(I247=TRUE,J247,"")</f>
        <v/>
      </c>
      <c r="L247" s="142">
        <f>G247+730</f>
        <v/>
      </c>
      <c r="M247" s="142" t="n">
        <v>45443</v>
      </c>
      <c r="N247" s="143">
        <f>IFERROR(IF(G247&lt;&gt;"",IF(I247=TRUE,0,IF(U247=TRUE,0,L247-M247)),0),0)</f>
        <v/>
      </c>
      <c r="O247" s="143">
        <f>IF(N247&gt;0,IF(N247&lt;=180,N247,0),0)</f>
        <v/>
      </c>
      <c r="P247" s="141">
        <f>IF(AND(N247&lt;90,N247&gt;0),Q247,0)</f>
        <v/>
      </c>
      <c r="Q247" s="141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/>
      </c>
      <c r="R247" s="141">
        <f>IF(AND(H247=TRUE,I247=FALSE),Q247,0)</f>
        <v/>
      </c>
      <c r="S247" s="141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/>
      </c>
      <c r="T247" s="142">
        <f>IF(U247=TRUE,$J247,"")</f>
        <v/>
      </c>
      <c r="U247" s="140" t="b">
        <v>0</v>
      </c>
      <c r="V247" s="141">
        <f>IF(AND(H247=TRUE,OR(K247="",K247&gt;M247)),S247,0)</f>
        <v/>
      </c>
      <c r="W247" s="140" t="n">
        <v>0</v>
      </c>
      <c r="X247" s="140" t="b">
        <v>0</v>
      </c>
      <c r="Y247" s="143">
        <f>IF(H247=FALSE,VLOOKUP($C247,Sales!$C:$F,4,FALSE),1)</f>
        <v/>
      </c>
      <c r="Z247" s="140">
        <f>IF(Y247=0,"Release",IF(AND(L247&lt;J247,Y247=1,H247=FALSE,U247=FALSE,MONTH(L247)&amp;"/"&amp;YEAR(L247)&lt;&gt;MONTH(J247)&amp;"/"&amp;YEAR(J247)),"Release",""))</f>
        <v/>
      </c>
      <c r="AA247" s="144">
        <f>_xlfn.minifs($L:$L,$C:$C,$C247,$F:$F,"&lt;&gt;0")</f>
        <v/>
      </c>
      <c r="AB247" s="144">
        <f>C247&amp;"-"&amp;A247</f>
        <v/>
      </c>
      <c r="AC247" s="144">
        <f>L247</f>
        <v/>
      </c>
    </row>
    <row r="248">
      <c r="A248" s="140" t="inlineStr">
        <is>
          <t>ZMYB01</t>
        </is>
      </c>
      <c r="B248" s="140" t="n">
        <v>8</v>
      </c>
      <c r="C248" s="140" t="inlineStr">
        <is>
          <t>HVE204</t>
        </is>
      </c>
      <c r="D248" s="140" t="inlineStr">
        <is>
          <t>E</t>
        </is>
      </c>
      <c r="E248" s="140" t="inlineStr">
        <is>
          <t>Myburgh Hermanus Carel</t>
        </is>
      </c>
      <c r="F248" s="141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</f>
        <v/>
      </c>
      <c r="G248" s="142" t="n">
        <v>45371</v>
      </c>
      <c r="H248" s="140">
        <f>VLOOKUP($C248,Sales!$C:$E,2,FALSE)</f>
        <v/>
      </c>
      <c r="I248" s="140">
        <f>VLOOKUP($C248,Sales!$C:$E,3,FALSE)</f>
        <v/>
      </c>
      <c r="J248" s="142">
        <f>SUMIFS(Sales!$H:$H,Sales!$C:$C,'Investor Exit List'!$C248)</f>
        <v/>
      </c>
      <c r="K248" s="142">
        <f>IF(I248=TRUE,J248,"")</f>
        <v/>
      </c>
      <c r="L248" s="142">
        <f>G248+730</f>
        <v/>
      </c>
      <c r="M248" s="142" t="n">
        <v>45443</v>
      </c>
      <c r="N248" s="143">
        <f>IFERROR(IF(G248&lt;&gt;"",IF(I248=TRUE,0,IF(U248=TRUE,0,L248-M248)),0),0)</f>
        <v/>
      </c>
      <c r="O248" s="143">
        <f>IF(N248&gt;0,IF(N248&lt;=180,N248,0),0)</f>
        <v/>
      </c>
      <c r="P248" s="141">
        <f>IF(AND(N248&lt;90,N248&gt;0),Q248,0)</f>
        <v/>
      </c>
      <c r="Q248" s="141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/>
      </c>
      <c r="R248" s="141">
        <f>IF(AND(H248=TRUE,I248=FALSE),Q248,0)</f>
        <v/>
      </c>
      <c r="S248" s="141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/>
      </c>
      <c r="T248" s="142">
        <f>IF(U248=TRUE,$J248,"")</f>
        <v/>
      </c>
      <c r="U248" s="140" t="b">
        <v>0</v>
      </c>
      <c r="V248" s="141">
        <f>IF(AND(H248=TRUE,OR(K248="",K248&gt;M248)),S248,0)</f>
        <v/>
      </c>
      <c r="W248" s="140" t="n">
        <v>0</v>
      </c>
      <c r="X248" s="140" t="b">
        <v>0</v>
      </c>
      <c r="Y248" s="143">
        <f>IF(H248=FALSE,VLOOKUP($C248,Sales!$C:$F,4,FALSE),1)</f>
        <v/>
      </c>
      <c r="Z248" s="140">
        <f>IF(Y248=0,"Release",IF(AND(L248&lt;J248,Y248=1,H248=FALSE,U248=FALSE,MONTH(L248)&amp;"/"&amp;YEAR(L248)&lt;&gt;MONTH(J248)&amp;"/"&amp;YEAR(J248)),"Release",""))</f>
        <v/>
      </c>
      <c r="AA248" s="144">
        <f>_xlfn.minifs($L:$L,$C:$C,$C248,$F:$F,"&lt;&gt;0")</f>
        <v/>
      </c>
      <c r="AB248" s="144">
        <f>C248&amp;"-"&amp;A248</f>
        <v/>
      </c>
      <c r="AC248" s="144">
        <f>L248</f>
        <v/>
      </c>
    </row>
    <row r="249">
      <c r="A249" s="140" t="inlineStr">
        <is>
          <t>ZMYB01</t>
        </is>
      </c>
      <c r="B249" s="140" t="n">
        <v>9</v>
      </c>
      <c r="C249" s="140" t="inlineStr">
        <is>
          <t>HVE301</t>
        </is>
      </c>
      <c r="D249" s="140" t="inlineStr">
        <is>
          <t>E</t>
        </is>
      </c>
      <c r="E249" s="140" t="inlineStr">
        <is>
          <t>Myburgh Hermanus Carel</t>
        </is>
      </c>
      <c r="F249" s="141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</f>
        <v/>
      </c>
      <c r="G249" s="142" t="n">
        <v>45350</v>
      </c>
      <c r="H249" s="140">
        <f>VLOOKUP($C249,Sales!$C:$E,2,FALSE)</f>
        <v/>
      </c>
      <c r="I249" s="140">
        <f>VLOOKUP($C249,Sales!$C:$E,3,FALSE)</f>
        <v/>
      </c>
      <c r="J249" s="142">
        <f>SUMIFS(Sales!$H:$H,Sales!$C:$C,'Investor Exit List'!$C249)</f>
        <v/>
      </c>
      <c r="K249" s="142">
        <f>IF(I249=TRUE,J249,"")</f>
        <v/>
      </c>
      <c r="L249" s="142">
        <f>G249+730</f>
        <v/>
      </c>
      <c r="M249" s="142" t="n">
        <v>45443</v>
      </c>
      <c r="N249" s="143">
        <f>IFERROR(IF(G249&lt;&gt;"",IF(I249=TRUE,0,IF(U249=TRUE,0,L249-M249)),0),0)</f>
        <v/>
      </c>
      <c r="O249" s="143">
        <f>IF(N249&gt;0,IF(N249&lt;=180,N249,0),0)</f>
        <v/>
      </c>
      <c r="P249" s="141">
        <f>IF(AND(N249&lt;90,N249&gt;0),Q249,0)</f>
        <v/>
      </c>
      <c r="Q249" s="141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/>
      </c>
      <c r="R249" s="141">
        <f>IF(AND(H249=TRUE,I249=FALSE),Q249,0)</f>
        <v/>
      </c>
      <c r="S249" s="141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/>
      </c>
      <c r="T249" s="142">
        <f>IF(U249=TRUE,$J249,"")</f>
        <v/>
      </c>
      <c r="U249" s="140" t="b">
        <v>0</v>
      </c>
      <c r="V249" s="141">
        <f>IF(AND(H249=TRUE,OR(K249="",K249&gt;M249)),S249,0)</f>
        <v/>
      </c>
      <c r="W249" s="140" t="n">
        <v>0</v>
      </c>
      <c r="X249" s="140" t="b">
        <v>0</v>
      </c>
      <c r="Y249" s="143">
        <f>IF(H249=FALSE,VLOOKUP($C249,Sales!$C:$F,4,FALSE),1)</f>
        <v/>
      </c>
      <c r="Z249" s="140">
        <f>IF(Y249=0,"Release",IF(AND(L249&lt;J249,Y249=1,H249=FALSE,U249=FALSE,MONTH(L249)&amp;"/"&amp;YEAR(L249)&lt;&gt;MONTH(J249)&amp;"/"&amp;YEAR(J249)),"Release",""))</f>
        <v/>
      </c>
      <c r="AA249" s="144">
        <f>_xlfn.minifs($L:$L,$C:$C,$C249,$F:$F,"&lt;&gt;0")</f>
        <v/>
      </c>
      <c r="AB249" s="144">
        <f>C249&amp;"-"&amp;A249</f>
        <v/>
      </c>
      <c r="AC249" s="144">
        <f>L249</f>
        <v/>
      </c>
    </row>
    <row r="250">
      <c r="A250" s="140" t="inlineStr">
        <is>
          <t>ZHOW01</t>
        </is>
      </c>
      <c r="B250" s="140" t="n">
        <v>2</v>
      </c>
      <c r="C250" s="140" t="inlineStr">
        <is>
          <t>HVE302</t>
        </is>
      </c>
      <c r="D250" s="140" t="inlineStr">
        <is>
          <t>E</t>
        </is>
      </c>
      <c r="E250" s="140" t="inlineStr">
        <is>
          <t>Howe David Mark</t>
        </is>
      </c>
      <c r="F250" s="141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</f>
        <v/>
      </c>
      <c r="G250" s="142" t="n">
        <v>45321</v>
      </c>
      <c r="H250" s="140">
        <f>VLOOKUP($C250,Sales!$C:$E,2,FALSE)</f>
        <v/>
      </c>
      <c r="I250" s="140">
        <f>VLOOKUP($C250,Sales!$C:$E,3,FALSE)</f>
        <v/>
      </c>
      <c r="J250" s="142">
        <f>SUMIFS(Sales!$H:$H,Sales!$C:$C,'Investor Exit List'!$C250)</f>
        <v/>
      </c>
      <c r="K250" s="142">
        <f>IF(I250=TRUE,J250,"")</f>
        <v/>
      </c>
      <c r="L250" s="142">
        <f>G250+730</f>
        <v/>
      </c>
      <c r="M250" s="142" t="n">
        <v>45443</v>
      </c>
      <c r="N250" s="143">
        <f>IFERROR(IF(G250&lt;&gt;"",IF(I250=TRUE,0,IF(U250=TRUE,0,L250-M250)),0),0)</f>
        <v/>
      </c>
      <c r="O250" s="143">
        <f>IF(N250&gt;0,IF(N250&lt;=180,N250,0),0)</f>
        <v/>
      </c>
      <c r="P250" s="141">
        <f>IF(AND(N250&lt;90,N250&gt;0),Q250,0)</f>
        <v/>
      </c>
      <c r="Q250" s="141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/>
      </c>
      <c r="R250" s="141">
        <f>IF(AND(H250=TRUE,I250=FALSE),Q250,0)</f>
        <v/>
      </c>
      <c r="S250" s="141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/>
      </c>
      <c r="T250" s="142">
        <f>IF(U250=TRUE,$J250,"")</f>
        <v/>
      </c>
      <c r="U250" s="140" t="b">
        <v>0</v>
      </c>
      <c r="V250" s="141">
        <f>IF(AND(H250=TRUE,OR(K250="",K250&gt;M250)),S250,0)</f>
        <v/>
      </c>
      <c r="W250" s="140" t="n">
        <v>0</v>
      </c>
      <c r="X250" s="140" t="b">
        <v>0</v>
      </c>
      <c r="Y250" s="143">
        <f>IF(H250=FALSE,VLOOKUP($C250,Sales!$C:$F,4,FALSE),1)</f>
        <v/>
      </c>
      <c r="Z250" s="140">
        <f>IF(Y250=0,"Release",IF(AND(L250&lt;J250,Y250=1,H250=FALSE,U250=FALSE,MONTH(L250)&amp;"/"&amp;YEAR(L250)&lt;&gt;MONTH(J250)&amp;"/"&amp;YEAR(J250)),"Release",""))</f>
        <v/>
      </c>
      <c r="AA250" s="144">
        <f>_xlfn.minifs($L:$L,$C:$C,$C250,$F:$F,"&lt;&gt;0")</f>
        <v/>
      </c>
      <c r="AB250" s="144">
        <f>C250&amp;"-"&amp;A250</f>
        <v/>
      </c>
      <c r="AC250" s="144">
        <f>L250</f>
        <v/>
      </c>
    </row>
    <row r="251">
      <c r="A251" s="140" t="inlineStr">
        <is>
          <t>ZCRO01</t>
        </is>
      </c>
      <c r="B251" s="140" t="n">
        <v>17</v>
      </c>
      <c r="C251" s="140" t="inlineStr">
        <is>
          <t>HVE303</t>
        </is>
      </c>
      <c r="D251" s="140" t="inlineStr">
        <is>
          <t>E</t>
        </is>
      </c>
      <c r="E251" s="140" t="inlineStr">
        <is>
          <t>Lunau Marc</t>
        </is>
      </c>
      <c r="F251" s="141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</f>
        <v/>
      </c>
      <c r="G251" s="142" t="n">
        <v>45224</v>
      </c>
      <c r="H251" s="140">
        <f>VLOOKUP($C251,Sales!$C:$E,2,FALSE)</f>
        <v/>
      </c>
      <c r="I251" s="140">
        <f>VLOOKUP($C251,Sales!$C:$E,3,FALSE)</f>
        <v/>
      </c>
      <c r="J251" s="142">
        <f>SUMIFS(Sales!$H:$H,Sales!$C:$C,'Investor Exit List'!$C251)</f>
        <v/>
      </c>
      <c r="K251" s="142">
        <f>IF(I251=TRUE,J251,"")</f>
        <v/>
      </c>
      <c r="L251" s="142">
        <f>G251+730</f>
        <v/>
      </c>
      <c r="M251" s="142" t="n">
        <v>45443</v>
      </c>
      <c r="N251" s="143">
        <f>IFERROR(IF(G251&lt;&gt;"",IF(I251=TRUE,0,IF(U251=TRUE,0,L251-M251)),0),0)</f>
        <v/>
      </c>
      <c r="O251" s="143">
        <f>IF(N251&gt;0,IF(N251&lt;=180,N251,0),0)</f>
        <v/>
      </c>
      <c r="P251" s="141">
        <f>IF(AND(N251&lt;90,N251&gt;0),Q251,0)</f>
        <v/>
      </c>
      <c r="Q251" s="141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/>
      </c>
      <c r="R251" s="141">
        <f>IF(AND(H251=TRUE,I251=FALSE),Q251,0)</f>
        <v/>
      </c>
      <c r="S251" s="141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/>
      </c>
      <c r="T251" s="142">
        <f>IF(U251=TRUE,$J251,"")</f>
        <v/>
      </c>
      <c r="U251" s="140" t="b">
        <v>0</v>
      </c>
      <c r="V251" s="141">
        <f>IF(AND(H251=TRUE,OR(K251="",K251&gt;M251)),S251,0)</f>
        <v/>
      </c>
      <c r="W251" s="140" t="n">
        <v>0</v>
      </c>
      <c r="X251" s="140" t="b">
        <v>0</v>
      </c>
      <c r="Y251" s="143">
        <f>IF(H251=FALSE,VLOOKUP($C251,Sales!$C:$F,4,FALSE),1)</f>
        <v/>
      </c>
      <c r="Z251" s="140">
        <f>IF(Y251=0,"Release",IF(AND(L251&lt;J251,Y251=1,H251=FALSE,U251=FALSE,MONTH(L251)&amp;"/"&amp;YEAR(L251)&lt;&gt;MONTH(J251)&amp;"/"&amp;YEAR(J251)),"Release",""))</f>
        <v/>
      </c>
      <c r="AA251" s="144">
        <f>_xlfn.minifs($L:$L,$C:$C,$C251,$F:$F,"&lt;&gt;0")</f>
        <v/>
      </c>
      <c r="AB251" s="144">
        <f>C251&amp;"-"&amp;A251</f>
        <v/>
      </c>
      <c r="AC251" s="144">
        <f>L251</f>
        <v/>
      </c>
    </row>
    <row r="252">
      <c r="A252" s="140" t="inlineStr">
        <is>
          <t>ZHAA02</t>
        </is>
      </c>
      <c r="B252" s="140" t="n">
        <v>2</v>
      </c>
      <c r="C252" s="140" t="inlineStr">
        <is>
          <t>HVE303</t>
        </is>
      </c>
      <c r="D252" s="140" t="inlineStr">
        <is>
          <t>E</t>
        </is>
      </c>
      <c r="E252" s="140" t="inlineStr">
        <is>
          <t>Haasbroek Wilhelmina Petronella (Willa)</t>
        </is>
      </c>
      <c r="F252" s="141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</f>
        <v/>
      </c>
      <c r="G252" s="142" t="inlineStr"/>
      <c r="H252" s="140">
        <f>VLOOKUP($C252,Sales!$C:$E,2,FALSE)</f>
        <v/>
      </c>
      <c r="I252" s="140">
        <f>VLOOKUP($C252,Sales!$C:$E,3,FALSE)</f>
        <v/>
      </c>
      <c r="J252" s="142">
        <f>SUMIFS(Sales!$H:$H,Sales!$C:$C,'Investor Exit List'!$C252)</f>
        <v/>
      </c>
      <c r="K252" s="142">
        <f>IF(I252=TRUE,J252,"")</f>
        <v/>
      </c>
      <c r="L252" s="142">
        <f>G252+730</f>
        <v/>
      </c>
      <c r="M252" s="142" t="n">
        <v>45443</v>
      </c>
      <c r="N252" s="143">
        <f>IFERROR(IF(G252&lt;&gt;"",IF(I252=TRUE,0,IF(U252=TRUE,0,L252-M252)),0),0)</f>
        <v/>
      </c>
      <c r="O252" s="143">
        <f>IF(N252&gt;0,IF(N252&lt;=180,N252,0),0)</f>
        <v/>
      </c>
      <c r="P252" s="141">
        <f>IF(AND(N252&lt;90,N252&gt;0),Q252,0)</f>
        <v/>
      </c>
      <c r="Q252" s="141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/>
      </c>
      <c r="R252" s="141">
        <f>IF(AND(H252=TRUE,I252=FALSE),Q252,0)</f>
        <v/>
      </c>
      <c r="S252" s="141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/>
      </c>
      <c r="T252" s="142">
        <f>IF(U252=TRUE,$J252,"")</f>
        <v/>
      </c>
      <c r="U252" s="140" t="b">
        <v>0</v>
      </c>
      <c r="V252" s="141">
        <f>IF(AND(H252=TRUE,OR(K252="",K252&gt;M252)),S252,0)</f>
        <v/>
      </c>
      <c r="W252" s="140" t="n">
        <v>0</v>
      </c>
      <c r="X252" s="140" t="b">
        <v>0</v>
      </c>
      <c r="Y252" s="143">
        <f>IF(H252=FALSE,VLOOKUP($C252,Sales!$C:$F,4,FALSE),1)</f>
        <v/>
      </c>
      <c r="Z252" s="140">
        <f>IF(Y252=0,"Release",IF(AND(L252&lt;J252,Y252=1,H252=FALSE,U252=FALSE,MONTH(L252)&amp;"/"&amp;YEAR(L252)&lt;&gt;MONTH(J252)&amp;"/"&amp;YEAR(J252)),"Release",""))</f>
        <v/>
      </c>
      <c r="AA252" s="144">
        <f>_xlfn.minifs($L:$L,$C:$C,$C252,$F:$F,"&lt;&gt;0")</f>
        <v/>
      </c>
      <c r="AB252" s="144">
        <f>C252&amp;"-"&amp;A252</f>
        <v/>
      </c>
      <c r="AC252" s="144">
        <f>L252</f>
        <v/>
      </c>
    </row>
    <row r="253">
      <c r="A253" s="140" t="inlineStr">
        <is>
          <t>ZHOW01</t>
        </is>
      </c>
      <c r="B253" s="140" t="n">
        <v>3</v>
      </c>
      <c r="C253" s="140" t="inlineStr">
        <is>
          <t>HVE303</t>
        </is>
      </c>
      <c r="D253" s="140" t="inlineStr">
        <is>
          <t>E</t>
        </is>
      </c>
      <c r="E253" s="140" t="inlineStr">
        <is>
          <t>Howe David Mark</t>
        </is>
      </c>
      <c r="F253" s="141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</f>
        <v/>
      </c>
      <c r="G253" s="142" t="n">
        <v>45321</v>
      </c>
      <c r="H253" s="140">
        <f>VLOOKUP($C253,Sales!$C:$E,2,FALSE)</f>
        <v/>
      </c>
      <c r="I253" s="140">
        <f>VLOOKUP($C253,Sales!$C:$E,3,FALSE)</f>
        <v/>
      </c>
      <c r="J253" s="142">
        <f>SUMIFS(Sales!$H:$H,Sales!$C:$C,'Investor Exit List'!$C253)</f>
        <v/>
      </c>
      <c r="K253" s="142">
        <f>IF(I253=TRUE,J253,"")</f>
        <v/>
      </c>
      <c r="L253" s="142">
        <f>G253+730</f>
        <v/>
      </c>
      <c r="M253" s="142" t="n">
        <v>45443</v>
      </c>
      <c r="N253" s="143">
        <f>IFERROR(IF(G253&lt;&gt;"",IF(I253=TRUE,0,IF(U253=TRUE,0,L253-M253)),0),0)</f>
        <v/>
      </c>
      <c r="O253" s="143">
        <f>IF(N253&gt;0,IF(N253&lt;=180,N253,0),0)</f>
        <v/>
      </c>
      <c r="P253" s="141">
        <f>IF(AND(N253&lt;90,N253&gt;0),Q253,0)</f>
        <v/>
      </c>
      <c r="Q253" s="141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/>
      </c>
      <c r="R253" s="141">
        <f>IF(AND(H253=TRUE,I253=FALSE),Q253,0)</f>
        <v/>
      </c>
      <c r="S253" s="141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/>
      </c>
      <c r="T253" s="142">
        <f>IF(U253=TRUE,$J253,"")</f>
        <v/>
      </c>
      <c r="U253" s="140" t="b">
        <v>0</v>
      </c>
      <c r="V253" s="141">
        <f>IF(AND(H253=TRUE,OR(K253="",K253&gt;M253)),S253,0)</f>
        <v/>
      </c>
      <c r="W253" s="140" t="n">
        <v>0</v>
      </c>
      <c r="X253" s="140" t="b">
        <v>0</v>
      </c>
      <c r="Y253" s="143">
        <f>IF(H253=FALSE,VLOOKUP($C253,Sales!$C:$F,4,FALSE),1)</f>
        <v/>
      </c>
      <c r="Z253" s="140">
        <f>IF(Y253=0,"Release",IF(AND(L253&lt;J253,Y253=1,H253=FALSE,U253=FALSE,MONTH(L253)&amp;"/"&amp;YEAR(L253)&lt;&gt;MONTH(J253)&amp;"/"&amp;YEAR(J253)),"Release",""))</f>
        <v/>
      </c>
      <c r="AA253" s="144">
        <f>_xlfn.minifs($L:$L,$C:$C,$C253,$F:$F,"&lt;&gt;0")</f>
        <v/>
      </c>
      <c r="AB253" s="144">
        <f>C253&amp;"-"&amp;A253</f>
        <v/>
      </c>
      <c r="AC253" s="144">
        <f>L253</f>
        <v/>
      </c>
    </row>
    <row r="254">
      <c r="A254" s="140" t="inlineStr">
        <is>
          <t>ZLAL01</t>
        </is>
      </c>
      <c r="B254" s="140" t="n">
        <v>1</v>
      </c>
      <c r="C254" s="140" t="inlineStr">
        <is>
          <t>HVE303</t>
        </is>
      </c>
      <c r="D254" s="140" t="inlineStr">
        <is>
          <t>E</t>
        </is>
      </c>
      <c r="E254" s="140" t="inlineStr">
        <is>
          <t>Lala Seema Nagin</t>
        </is>
      </c>
      <c r="F254" s="141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</f>
        <v/>
      </c>
      <c r="G254" s="142" t="n">
        <v>45443</v>
      </c>
      <c r="H254" s="140">
        <f>VLOOKUP($C254,Sales!$C:$E,2,FALSE)</f>
        <v/>
      </c>
      <c r="I254" s="140">
        <f>VLOOKUP($C254,Sales!$C:$E,3,FALSE)</f>
        <v/>
      </c>
      <c r="J254" s="142">
        <f>SUMIFS(Sales!$H:$H,Sales!$C:$C,'Investor Exit List'!$C254)</f>
        <v/>
      </c>
      <c r="K254" s="142">
        <f>IF(I254=TRUE,J254,"")</f>
        <v/>
      </c>
      <c r="L254" s="142">
        <f>G254+730</f>
        <v/>
      </c>
      <c r="M254" s="142" t="n">
        <v>45443</v>
      </c>
      <c r="N254" s="143">
        <f>IFERROR(IF(G254&lt;&gt;"",IF(I254=TRUE,0,IF(U254=TRUE,0,L254-M254)),0),0)</f>
        <v/>
      </c>
      <c r="O254" s="143">
        <f>IF(N254&gt;0,IF(N254&lt;=180,N254,0),0)</f>
        <v/>
      </c>
      <c r="P254" s="141">
        <f>IF(AND(N254&lt;90,N254&gt;0),Q254,0)</f>
        <v/>
      </c>
      <c r="Q254" s="141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/>
      </c>
      <c r="R254" s="141">
        <f>IF(AND(H254=TRUE,I254=FALSE),Q254,0)</f>
        <v/>
      </c>
      <c r="S254" s="141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/>
      </c>
      <c r="T254" s="142">
        <f>IF(U254=TRUE,$J254,"")</f>
        <v/>
      </c>
      <c r="U254" s="140" t="b">
        <v>0</v>
      </c>
      <c r="V254" s="141">
        <f>IF(AND(H254=TRUE,OR(K254="",K254&gt;M254)),S254,0)</f>
        <v/>
      </c>
      <c r="W254" s="140" t="n">
        <v>0</v>
      </c>
      <c r="X254" s="140" t="b">
        <v>0</v>
      </c>
      <c r="Y254" s="143">
        <f>IF(H254=FALSE,VLOOKUP($C254,Sales!$C:$F,4,FALSE),1)</f>
        <v/>
      </c>
      <c r="Z254" s="140">
        <f>IF(Y254=0,"Release",IF(AND(L254&lt;J254,Y254=1,H254=FALSE,U254=FALSE,MONTH(L254)&amp;"/"&amp;YEAR(L254)&lt;&gt;MONTH(J254)&amp;"/"&amp;YEAR(J254)),"Release",""))</f>
        <v/>
      </c>
      <c r="AA254" s="144">
        <f>_xlfn.minifs($L:$L,$C:$C,$C254,$F:$F,"&lt;&gt;0")</f>
        <v/>
      </c>
      <c r="AB254" s="144">
        <f>C254&amp;"-"&amp;A254</f>
        <v/>
      </c>
      <c r="AC254" s="144">
        <f>L254</f>
        <v/>
      </c>
    </row>
    <row r="255">
      <c r="A255" s="140" t="inlineStr">
        <is>
          <t>ZMYB01</t>
        </is>
      </c>
      <c r="B255" s="140" t="n">
        <v>10</v>
      </c>
      <c r="C255" s="140" t="inlineStr">
        <is>
          <t>HVE304</t>
        </is>
      </c>
      <c r="D255" s="140" t="inlineStr">
        <is>
          <t>E</t>
        </is>
      </c>
      <c r="E255" s="140" t="inlineStr">
        <is>
          <t>Myburgh Hermanus Carel</t>
        </is>
      </c>
      <c r="F255" s="141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</f>
        <v/>
      </c>
      <c r="G255" s="142" t="n">
        <v>45350</v>
      </c>
      <c r="H255" s="140">
        <f>VLOOKUP($C255,Sales!$C:$E,2,FALSE)</f>
        <v/>
      </c>
      <c r="I255" s="140">
        <f>VLOOKUP($C255,Sales!$C:$E,3,FALSE)</f>
        <v/>
      </c>
      <c r="J255" s="142">
        <f>SUMIFS(Sales!$H:$H,Sales!$C:$C,'Investor Exit List'!$C255)</f>
        <v/>
      </c>
      <c r="K255" s="142">
        <f>IF(I255=TRUE,J255,"")</f>
        <v/>
      </c>
      <c r="L255" s="142">
        <f>G255+730</f>
        <v/>
      </c>
      <c r="M255" s="142" t="n">
        <v>45443</v>
      </c>
      <c r="N255" s="143">
        <f>IFERROR(IF(G255&lt;&gt;"",IF(I255=TRUE,0,IF(U255=TRUE,0,L255-M255)),0),0)</f>
        <v/>
      </c>
      <c r="O255" s="143">
        <f>IF(N255&gt;0,IF(N255&lt;=180,N255,0),0)</f>
        <v/>
      </c>
      <c r="P255" s="141">
        <f>IF(AND(N255&lt;90,N255&gt;0),Q255,0)</f>
        <v/>
      </c>
      <c r="Q255" s="141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/>
      </c>
      <c r="R255" s="141">
        <f>IF(AND(H255=TRUE,I255=FALSE),Q255,0)</f>
        <v/>
      </c>
      <c r="S255" s="141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/>
      </c>
      <c r="T255" s="142">
        <f>IF(U255=TRUE,$J255,"")</f>
        <v/>
      </c>
      <c r="U255" s="140" t="b">
        <v>0</v>
      </c>
      <c r="V255" s="141">
        <f>IF(AND(H255=TRUE,OR(K255="",K255&gt;M255)),S255,0)</f>
        <v/>
      </c>
      <c r="W255" s="140" t="n">
        <v>0</v>
      </c>
      <c r="X255" s="140" t="b">
        <v>0</v>
      </c>
      <c r="Y255" s="143">
        <f>IF(H255=FALSE,VLOOKUP($C255,Sales!$C:$F,4,FALSE),1)</f>
        <v/>
      </c>
      <c r="Z255" s="140">
        <f>IF(Y255=0,"Release",IF(AND(L255&lt;J255,Y255=1,H255=FALSE,U255=FALSE,MONTH(L255)&amp;"/"&amp;YEAR(L255)&lt;&gt;MONTH(J255)&amp;"/"&amp;YEAR(J255)),"Release",""))</f>
        <v/>
      </c>
      <c r="AA255" s="144">
        <f>_xlfn.minifs($L:$L,$C:$C,$C255,$F:$F,"&lt;&gt;0")</f>
        <v/>
      </c>
      <c r="AB255" s="144">
        <f>C255&amp;"-"&amp;A255</f>
        <v/>
      </c>
      <c r="AC255" s="144">
        <f>L255</f>
        <v/>
      </c>
    </row>
    <row r="256">
      <c r="A256" s="140" t="inlineStr">
        <is>
          <t>ZLES01</t>
        </is>
      </c>
      <c r="B256" s="140" t="n">
        <v>2</v>
      </c>
      <c r="C256" s="140" t="inlineStr">
        <is>
          <t>HVF101</t>
        </is>
      </c>
      <c r="D256" s="140" t="inlineStr">
        <is>
          <t>F</t>
        </is>
      </c>
      <c r="E256" s="140" t="inlineStr">
        <is>
          <t>Leslie Megan Frances</t>
        </is>
      </c>
      <c r="F256" s="141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</f>
        <v/>
      </c>
      <c r="G256" s="142" t="n">
        <v>45371</v>
      </c>
      <c r="H256" s="140">
        <f>VLOOKUP($C256,Sales!$C:$E,2,FALSE)</f>
        <v/>
      </c>
      <c r="I256" s="140">
        <f>VLOOKUP($C256,Sales!$C:$E,3,FALSE)</f>
        <v/>
      </c>
      <c r="J256" s="142">
        <f>SUMIFS(Sales!$H:$H,Sales!$C:$C,'Investor Exit List'!$C256)</f>
        <v/>
      </c>
      <c r="K256" s="142">
        <f>IF(I256=TRUE,J256,"")</f>
        <v/>
      </c>
      <c r="L256" s="142">
        <f>G256+730</f>
        <v/>
      </c>
      <c r="M256" s="142" t="n">
        <v>45443</v>
      </c>
      <c r="N256" s="143">
        <f>IFERROR(IF(G256&lt;&gt;"",IF(I256=TRUE,0,IF(U256=TRUE,0,L256-M256)),0),0)</f>
        <v/>
      </c>
      <c r="O256" s="143">
        <f>IF(N256&gt;0,IF(N256&lt;=180,N256,0),0)</f>
        <v/>
      </c>
      <c r="P256" s="141">
        <f>IF(AND(N256&lt;90,N256&gt;0),Q256,0)</f>
        <v/>
      </c>
      <c r="Q256" s="141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/>
      </c>
      <c r="R256" s="141">
        <f>IF(AND(H256=TRUE,I256=FALSE),Q256,0)</f>
        <v/>
      </c>
      <c r="S256" s="141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/>
      </c>
      <c r="T256" s="142">
        <f>IF(U256=TRUE,$J256,"")</f>
        <v/>
      </c>
      <c r="U256" s="140" t="b">
        <v>0</v>
      </c>
      <c r="V256" s="141">
        <f>IF(AND(H256=TRUE,OR(K256="",K256&gt;M256)),S256,0)</f>
        <v/>
      </c>
      <c r="W256" s="140" t="n">
        <v>0</v>
      </c>
      <c r="X256" s="140" t="b">
        <v>0</v>
      </c>
      <c r="Y256" s="143">
        <f>IF(H256=FALSE,VLOOKUP($C256,Sales!$C:$F,4,FALSE),1)</f>
        <v/>
      </c>
      <c r="Z256" s="140">
        <f>IF(Y256=0,"Release",IF(AND(L256&lt;J256,Y256=1,H256=FALSE,U256=FALSE,MONTH(L256)&amp;"/"&amp;YEAR(L256)&lt;&gt;MONTH(J256)&amp;"/"&amp;YEAR(J256)),"Release",""))</f>
        <v/>
      </c>
      <c r="AA256" s="144">
        <f>_xlfn.minifs($L:$L,$C:$C,$C256,$F:$F,"&lt;&gt;0")</f>
        <v/>
      </c>
      <c r="AB256" s="144">
        <f>C256&amp;"-"&amp;A256</f>
        <v/>
      </c>
      <c r="AC256" s="144">
        <f>L256</f>
        <v/>
      </c>
    </row>
    <row r="257">
      <c r="A257" s="140" t="inlineStr">
        <is>
          <t>ZTHA01</t>
        </is>
      </c>
      <c r="B257" s="140" t="n">
        <v>12</v>
      </c>
      <c r="C257" s="140" t="inlineStr">
        <is>
          <t>HVF101</t>
        </is>
      </c>
      <c r="D257" s="140" t="inlineStr">
        <is>
          <t>F</t>
        </is>
      </c>
      <c r="E257" s="140" t="inlineStr">
        <is>
          <t>Matthee Gerald Adriaan Odendal</t>
        </is>
      </c>
      <c r="F257" s="141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</f>
        <v/>
      </c>
      <c r="G257" s="142" t="n">
        <v>45443</v>
      </c>
      <c r="H257" s="140">
        <f>VLOOKUP($C257,Sales!$C:$E,2,FALSE)</f>
        <v/>
      </c>
      <c r="I257" s="140">
        <f>VLOOKUP($C257,Sales!$C:$E,3,FALSE)</f>
        <v/>
      </c>
      <c r="J257" s="142">
        <f>SUMIFS(Sales!$H:$H,Sales!$C:$C,'Investor Exit List'!$C257)</f>
        <v/>
      </c>
      <c r="K257" s="142">
        <f>IF(I257=TRUE,J257,"")</f>
        <v/>
      </c>
      <c r="L257" s="142">
        <f>G257+730</f>
        <v/>
      </c>
      <c r="M257" s="142" t="n">
        <v>45443</v>
      </c>
      <c r="N257" s="143">
        <f>IFERROR(IF(G257&lt;&gt;"",IF(I257=TRUE,0,IF(U257=TRUE,0,L257-M257)),0),0)</f>
        <v/>
      </c>
      <c r="O257" s="143">
        <f>IF(N257&gt;0,IF(N257&lt;=180,N257,0),0)</f>
        <v/>
      </c>
      <c r="P257" s="141">
        <f>IF(AND(N257&lt;90,N257&gt;0),Q257,0)</f>
        <v/>
      </c>
      <c r="Q257" s="141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/>
      </c>
      <c r="R257" s="141">
        <f>IF(AND(H257=TRUE,I257=FALSE),Q257,0)</f>
        <v/>
      </c>
      <c r="S257" s="141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/>
      </c>
      <c r="T257" s="142">
        <f>IF(U257=TRUE,$J257,"")</f>
        <v/>
      </c>
      <c r="U257" s="140" t="b">
        <v>0</v>
      </c>
      <c r="V257" s="141">
        <f>IF(AND(H257=TRUE,OR(K257="",K257&gt;M257)),S257,0)</f>
        <v/>
      </c>
      <c r="W257" s="140" t="n">
        <v>0</v>
      </c>
      <c r="X257" s="140" t="b">
        <v>0</v>
      </c>
      <c r="Y257" s="143">
        <f>IF(H257=FALSE,VLOOKUP($C257,Sales!$C:$F,4,FALSE),1)</f>
        <v/>
      </c>
      <c r="Z257" s="140">
        <f>IF(Y257=0,"Release",IF(AND(L257&lt;J257,Y257=1,H257=FALSE,U257=FALSE,MONTH(L257)&amp;"/"&amp;YEAR(L257)&lt;&gt;MONTH(J257)&amp;"/"&amp;YEAR(J257)),"Release",""))</f>
        <v/>
      </c>
      <c r="AA257" s="144">
        <f>_xlfn.minifs($L:$L,$C:$C,$C257,$F:$F,"&lt;&gt;0")</f>
        <v/>
      </c>
      <c r="AB257" s="144">
        <f>C257&amp;"-"&amp;A257</f>
        <v/>
      </c>
      <c r="AC257" s="144">
        <f>L257</f>
        <v/>
      </c>
    </row>
    <row r="258">
      <c r="A258" s="140" t="inlineStr">
        <is>
          <t>ZWAT01</t>
        </is>
      </c>
      <c r="B258" s="140" t="n">
        <v>14</v>
      </c>
      <c r="C258" s="140" t="inlineStr">
        <is>
          <t>HVF101</t>
        </is>
      </c>
      <c r="D258" s="140" t="inlineStr">
        <is>
          <t>F</t>
        </is>
      </c>
      <c r="E258" s="140" t="inlineStr">
        <is>
          <t>Watts Peter Gregory</t>
        </is>
      </c>
      <c r="F258" s="141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</f>
        <v/>
      </c>
      <c r="G258" s="142" t="n">
        <v>45371</v>
      </c>
      <c r="H258" s="140">
        <f>VLOOKUP($C258,Sales!$C:$E,2,FALSE)</f>
        <v/>
      </c>
      <c r="I258" s="140">
        <f>VLOOKUP($C258,Sales!$C:$E,3,FALSE)</f>
        <v/>
      </c>
      <c r="J258" s="142">
        <f>SUMIFS(Sales!$H:$H,Sales!$C:$C,'Investor Exit List'!$C258)</f>
        <v/>
      </c>
      <c r="K258" s="142">
        <f>IF(I258=TRUE,J258,"")</f>
        <v/>
      </c>
      <c r="L258" s="142">
        <f>G258+730</f>
        <v/>
      </c>
      <c r="M258" s="142" t="n">
        <v>45443</v>
      </c>
      <c r="N258" s="143">
        <f>IFERROR(IF(G258&lt;&gt;"",IF(I258=TRUE,0,IF(U258=TRUE,0,L258-M258)),0),0)</f>
        <v/>
      </c>
      <c r="O258" s="143">
        <f>IF(N258&gt;0,IF(N258&lt;=180,N258,0),0)</f>
        <v/>
      </c>
      <c r="P258" s="141">
        <f>IF(AND(N258&lt;90,N258&gt;0),Q258,0)</f>
        <v/>
      </c>
      <c r="Q258" s="141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/>
      </c>
      <c r="R258" s="141">
        <f>IF(AND(H258=TRUE,I258=FALSE),Q258,0)</f>
        <v/>
      </c>
      <c r="S258" s="141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/>
      </c>
      <c r="T258" s="142">
        <f>IF(U258=TRUE,$J258,"")</f>
        <v/>
      </c>
      <c r="U258" s="140" t="b">
        <v>0</v>
      </c>
      <c r="V258" s="141">
        <f>IF(AND(H258=TRUE,OR(K258="",K258&gt;M258)),S258,0)</f>
        <v/>
      </c>
      <c r="W258" s="140" t="n">
        <v>0</v>
      </c>
      <c r="X258" s="140" t="b">
        <v>0</v>
      </c>
      <c r="Y258" s="143">
        <f>IF(H258=FALSE,VLOOKUP($C258,Sales!$C:$F,4,FALSE),1)</f>
        <v/>
      </c>
      <c r="Z258" s="140">
        <f>IF(Y258=0,"Release",IF(AND(L258&lt;J258,Y258=1,H258=FALSE,U258=FALSE,MONTH(L258)&amp;"/"&amp;YEAR(L258)&lt;&gt;MONTH(J258)&amp;"/"&amp;YEAR(J258)),"Release",""))</f>
        <v/>
      </c>
      <c r="AA258" s="144">
        <f>_xlfn.minifs($L:$L,$C:$C,$C258,$F:$F,"&lt;&gt;0")</f>
        <v/>
      </c>
      <c r="AB258" s="144">
        <f>C258&amp;"-"&amp;A258</f>
        <v/>
      </c>
      <c r="AC258" s="144">
        <f>L258</f>
        <v/>
      </c>
    </row>
    <row r="259">
      <c r="A259" s="140" t="inlineStr">
        <is>
          <t>ZFON01</t>
        </is>
      </c>
      <c r="B259" s="140" t="n">
        <v>5</v>
      </c>
      <c r="C259" s="140" t="inlineStr">
        <is>
          <t>HVF102</t>
        </is>
      </c>
      <c r="D259" s="140" t="inlineStr">
        <is>
          <t>F</t>
        </is>
      </c>
      <c r="E259" s="140" t="inlineStr">
        <is>
          <t>Aveling-Fountain Lorraine</t>
        </is>
      </c>
      <c r="F259" s="141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</f>
        <v/>
      </c>
      <c r="G259" s="142" t="n">
        <v>45371</v>
      </c>
      <c r="H259" s="140">
        <f>VLOOKUP($C259,Sales!$C:$E,2,FALSE)</f>
        <v/>
      </c>
      <c r="I259" s="140">
        <f>VLOOKUP($C259,Sales!$C:$E,3,FALSE)</f>
        <v/>
      </c>
      <c r="J259" s="142">
        <f>SUMIFS(Sales!$H:$H,Sales!$C:$C,'Investor Exit List'!$C259)</f>
        <v/>
      </c>
      <c r="K259" s="142">
        <f>IF(I259=TRUE,J259,"")</f>
        <v/>
      </c>
      <c r="L259" s="142">
        <f>G259+730</f>
        <v/>
      </c>
      <c r="M259" s="142" t="n">
        <v>45443</v>
      </c>
      <c r="N259" s="143">
        <f>IFERROR(IF(G259&lt;&gt;"",IF(I259=TRUE,0,IF(U259=TRUE,0,L259-M259)),0),0)</f>
        <v/>
      </c>
      <c r="O259" s="143">
        <f>IF(N259&gt;0,IF(N259&lt;=180,N259,0),0)</f>
        <v/>
      </c>
      <c r="P259" s="141">
        <f>IF(AND(N259&lt;90,N259&gt;0),Q259,0)</f>
        <v/>
      </c>
      <c r="Q259" s="141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/>
      </c>
      <c r="R259" s="141">
        <f>IF(AND(H259=TRUE,I259=FALSE),Q259,0)</f>
        <v/>
      </c>
      <c r="S259" s="141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/>
      </c>
      <c r="T259" s="142">
        <f>IF(U259=TRUE,$J259,"")</f>
        <v/>
      </c>
      <c r="U259" s="140" t="b">
        <v>0</v>
      </c>
      <c r="V259" s="141">
        <f>IF(AND(H259=TRUE,OR(K259="",K259&gt;M259)),S259,0)</f>
        <v/>
      </c>
      <c r="W259" s="140" t="n">
        <v>0</v>
      </c>
      <c r="X259" s="140" t="b">
        <v>0</v>
      </c>
      <c r="Y259" s="143">
        <f>IF(H259=FALSE,VLOOKUP($C259,Sales!$C:$F,4,FALSE),1)</f>
        <v/>
      </c>
      <c r="Z259" s="140">
        <f>IF(Y259=0,"Release",IF(AND(L259&lt;J259,Y259=1,H259=FALSE,U259=FALSE,MONTH(L259)&amp;"/"&amp;YEAR(L259)&lt;&gt;MONTH(J259)&amp;"/"&amp;YEAR(J259)),"Release",""))</f>
        <v/>
      </c>
      <c r="AA259" s="144">
        <f>_xlfn.minifs($L:$L,$C:$C,$C259,$F:$F,"&lt;&gt;0")</f>
        <v/>
      </c>
      <c r="AB259" s="144">
        <f>C259&amp;"-"&amp;A259</f>
        <v/>
      </c>
      <c r="AC259" s="144">
        <f>L259</f>
        <v/>
      </c>
    </row>
    <row r="260">
      <c r="A260" s="140" t="inlineStr">
        <is>
          <t>ZKAL01</t>
        </is>
      </c>
      <c r="B260" s="140" t="n">
        <v>1</v>
      </c>
      <c r="C260" s="140" t="inlineStr">
        <is>
          <t>HVF102</t>
        </is>
      </c>
      <c r="D260" s="140" t="inlineStr">
        <is>
          <t>F</t>
        </is>
      </c>
      <c r="E260" s="140" t="inlineStr">
        <is>
          <t>Kalianjee Sushil</t>
        </is>
      </c>
      <c r="F260" s="141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</f>
        <v/>
      </c>
      <c r="G260" s="142" t="n">
        <v>45443</v>
      </c>
      <c r="H260" s="140">
        <f>VLOOKUP($C260,Sales!$C:$E,2,FALSE)</f>
        <v/>
      </c>
      <c r="I260" s="140">
        <f>VLOOKUP($C260,Sales!$C:$E,3,FALSE)</f>
        <v/>
      </c>
      <c r="J260" s="142">
        <f>SUMIFS(Sales!$H:$H,Sales!$C:$C,'Investor Exit List'!$C260)</f>
        <v/>
      </c>
      <c r="K260" s="142">
        <f>IF(I260=TRUE,J260,"")</f>
        <v/>
      </c>
      <c r="L260" s="142">
        <f>G260+730</f>
        <v/>
      </c>
      <c r="M260" s="142" t="n">
        <v>45443</v>
      </c>
      <c r="N260" s="143">
        <f>IFERROR(IF(G260&lt;&gt;"",IF(I260=TRUE,0,IF(U260=TRUE,0,L260-M260)),0),0)</f>
        <v/>
      </c>
      <c r="O260" s="143">
        <f>IF(N260&gt;0,IF(N260&lt;=180,N260,0),0)</f>
        <v/>
      </c>
      <c r="P260" s="141">
        <f>IF(AND(N260&lt;90,N260&gt;0),Q260,0)</f>
        <v/>
      </c>
      <c r="Q260" s="141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/>
      </c>
      <c r="R260" s="141">
        <f>IF(AND(H260=TRUE,I260=FALSE),Q260,0)</f>
        <v/>
      </c>
      <c r="S260" s="141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/>
      </c>
      <c r="T260" s="142">
        <f>IF(U260=TRUE,$J260,"")</f>
        <v/>
      </c>
      <c r="U260" s="140" t="b">
        <v>0</v>
      </c>
      <c r="V260" s="141">
        <f>IF(AND(H260=TRUE,OR(K260="",K260&gt;M260)),S260,0)</f>
        <v/>
      </c>
      <c r="W260" s="140" t="n">
        <v>0</v>
      </c>
      <c r="X260" s="140" t="b">
        <v>0</v>
      </c>
      <c r="Y260" s="143">
        <f>IF(H260=FALSE,VLOOKUP($C260,Sales!$C:$F,4,FALSE),1)</f>
        <v/>
      </c>
      <c r="Z260" s="140">
        <f>IF(Y260=0,"Release",IF(AND(L260&lt;J260,Y260=1,H260=FALSE,U260=FALSE,MONTH(L260)&amp;"/"&amp;YEAR(L260)&lt;&gt;MONTH(J260)&amp;"/"&amp;YEAR(J260)),"Release",""))</f>
        <v/>
      </c>
      <c r="AA260" s="144">
        <f>_xlfn.minifs($L:$L,$C:$C,$C260,$F:$F,"&lt;&gt;0")</f>
        <v/>
      </c>
      <c r="AB260" s="144">
        <f>C260&amp;"-"&amp;A260</f>
        <v/>
      </c>
      <c r="AC260" s="144">
        <f>L260</f>
        <v/>
      </c>
    </row>
    <row r="261">
      <c r="A261" s="140" t="inlineStr">
        <is>
          <t>ZTHA01</t>
        </is>
      </c>
      <c r="B261" s="140" t="n">
        <v>10</v>
      </c>
      <c r="C261" s="140" t="inlineStr">
        <is>
          <t>HVF102</t>
        </is>
      </c>
      <c r="D261" s="140" t="inlineStr">
        <is>
          <t>F</t>
        </is>
      </c>
      <c r="E261" s="140" t="inlineStr">
        <is>
          <t>Matthee Gerald Adriaan Odendal</t>
        </is>
      </c>
      <c r="F261" s="141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</f>
        <v/>
      </c>
      <c r="G261" s="142" t="n">
        <v>45371</v>
      </c>
      <c r="H261" s="140">
        <f>VLOOKUP($C261,Sales!$C:$E,2,FALSE)</f>
        <v/>
      </c>
      <c r="I261" s="140">
        <f>VLOOKUP($C261,Sales!$C:$E,3,FALSE)</f>
        <v/>
      </c>
      <c r="J261" s="142">
        <f>SUMIFS(Sales!$H:$H,Sales!$C:$C,'Investor Exit List'!$C261)</f>
        <v/>
      </c>
      <c r="K261" s="142">
        <f>IF(I261=TRUE,J261,"")</f>
        <v/>
      </c>
      <c r="L261" s="142">
        <f>G261+730</f>
        <v/>
      </c>
      <c r="M261" s="142" t="n">
        <v>45443</v>
      </c>
      <c r="N261" s="143">
        <f>IFERROR(IF(G261&lt;&gt;"",IF(I261=TRUE,0,IF(U261=TRUE,0,L261-M261)),0),0)</f>
        <v/>
      </c>
      <c r="O261" s="143">
        <f>IF(N261&gt;0,IF(N261&lt;=180,N261,0),0)</f>
        <v/>
      </c>
      <c r="P261" s="141">
        <f>IF(AND(N261&lt;90,N261&gt;0),Q261,0)</f>
        <v/>
      </c>
      <c r="Q261" s="141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/>
      </c>
      <c r="R261" s="141">
        <f>IF(AND(H261=TRUE,I261=FALSE),Q261,0)</f>
        <v/>
      </c>
      <c r="S261" s="141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/>
      </c>
      <c r="T261" s="142">
        <f>IF(U261=TRUE,$J261,"")</f>
        <v/>
      </c>
      <c r="U261" s="140" t="b">
        <v>0</v>
      </c>
      <c r="V261" s="141">
        <f>IF(AND(H261=TRUE,OR(K261="",K261&gt;M261)),S261,0)</f>
        <v/>
      </c>
      <c r="W261" s="140" t="n">
        <v>0</v>
      </c>
      <c r="X261" s="140" t="b">
        <v>0</v>
      </c>
      <c r="Y261" s="143">
        <f>IF(H261=FALSE,VLOOKUP($C261,Sales!$C:$F,4,FALSE),1)</f>
        <v/>
      </c>
      <c r="Z261" s="140">
        <f>IF(Y261=0,"Release",IF(AND(L261&lt;J261,Y261=1,H261=FALSE,U261=FALSE,MONTH(L261)&amp;"/"&amp;YEAR(L261)&lt;&gt;MONTH(J261)&amp;"/"&amp;YEAR(J261)),"Release",""))</f>
        <v/>
      </c>
      <c r="AA261" s="144">
        <f>_xlfn.minifs($L:$L,$C:$C,$C261,$F:$F,"&lt;&gt;0")</f>
        <v/>
      </c>
      <c r="AB261" s="144">
        <f>C261&amp;"-"&amp;A261</f>
        <v/>
      </c>
      <c r="AC261" s="144">
        <f>L261</f>
        <v/>
      </c>
    </row>
    <row r="262">
      <c r="A262" s="140" t="inlineStr">
        <is>
          <t>ZPLA01</t>
        </is>
      </c>
      <c r="B262" s="140" t="n">
        <v>3</v>
      </c>
      <c r="C262" s="140" t="inlineStr">
        <is>
          <t>HVF103</t>
        </is>
      </c>
      <c r="D262" s="140" t="inlineStr">
        <is>
          <t>F</t>
        </is>
      </c>
      <c r="E262" s="140" t="inlineStr">
        <is>
          <t>Placzkowska Aneta</t>
        </is>
      </c>
      <c r="F262" s="141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</f>
        <v/>
      </c>
      <c r="G262" s="142" t="n">
        <v>45443</v>
      </c>
      <c r="H262" s="140">
        <f>VLOOKUP($C262,Sales!$C:$E,2,FALSE)</f>
        <v/>
      </c>
      <c r="I262" s="140">
        <f>VLOOKUP($C262,Sales!$C:$E,3,FALSE)</f>
        <v/>
      </c>
      <c r="J262" s="142">
        <f>SUMIFS(Sales!$H:$H,Sales!$C:$C,'Investor Exit List'!$C262)</f>
        <v/>
      </c>
      <c r="K262" s="142">
        <f>IF(I262=TRUE,J262,"")</f>
        <v/>
      </c>
      <c r="L262" s="142">
        <f>G262+730</f>
        <v/>
      </c>
      <c r="M262" s="142" t="n">
        <v>45443</v>
      </c>
      <c r="N262" s="143">
        <f>IFERROR(IF(G262&lt;&gt;"",IF(I262=TRUE,0,IF(U262=TRUE,0,L262-M262)),0),0)</f>
        <v/>
      </c>
      <c r="O262" s="143">
        <f>IF(N262&gt;0,IF(N262&lt;=180,N262,0),0)</f>
        <v/>
      </c>
      <c r="P262" s="141">
        <f>IF(AND(N262&lt;90,N262&gt;0),Q262,0)</f>
        <v/>
      </c>
      <c r="Q262" s="141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/>
      </c>
      <c r="R262" s="141">
        <f>IF(AND(H262=TRUE,I262=FALSE),Q262,0)</f>
        <v/>
      </c>
      <c r="S262" s="141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/>
      </c>
      <c r="T262" s="142">
        <f>IF(U262=TRUE,$J262,"")</f>
        <v/>
      </c>
      <c r="U262" s="140" t="b">
        <v>0</v>
      </c>
      <c r="V262" s="141">
        <f>IF(AND(H262=TRUE,OR(K262="",K262&gt;M262)),S262,0)</f>
        <v/>
      </c>
      <c r="W262" s="140" t="n">
        <v>0</v>
      </c>
      <c r="X262" s="140" t="b">
        <v>0</v>
      </c>
      <c r="Y262" s="143">
        <f>IF(H262=FALSE,VLOOKUP($C262,Sales!$C:$F,4,FALSE),1)</f>
        <v/>
      </c>
      <c r="Z262" s="140">
        <f>IF(Y262=0,"Release",IF(AND(L262&lt;J262,Y262=1,H262=FALSE,U262=FALSE,MONTH(L262)&amp;"/"&amp;YEAR(L262)&lt;&gt;MONTH(J262)&amp;"/"&amp;YEAR(J262)),"Release",""))</f>
        <v/>
      </c>
      <c r="AA262" s="144">
        <f>_xlfn.minifs($L:$L,$C:$C,$C262,$F:$F,"&lt;&gt;0")</f>
        <v/>
      </c>
      <c r="AB262" s="144">
        <f>C262&amp;"-"&amp;A262</f>
        <v/>
      </c>
      <c r="AC262" s="144">
        <f>L262</f>
        <v/>
      </c>
    </row>
    <row r="263">
      <c r="A263" s="140" t="inlineStr">
        <is>
          <t>ZWAT01</t>
        </is>
      </c>
      <c r="B263" s="140" t="n">
        <v>15</v>
      </c>
      <c r="C263" s="140" t="inlineStr">
        <is>
          <t>HVF103</t>
        </is>
      </c>
      <c r="D263" s="140" t="inlineStr">
        <is>
          <t>F</t>
        </is>
      </c>
      <c r="E263" s="140" t="inlineStr">
        <is>
          <t>Watts Peter Gregory</t>
        </is>
      </c>
      <c r="F263" s="141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</f>
        <v/>
      </c>
      <c r="G263" s="142" t="n">
        <v>45408</v>
      </c>
      <c r="H263" s="140">
        <f>VLOOKUP($C263,Sales!$C:$E,2,FALSE)</f>
        <v/>
      </c>
      <c r="I263" s="140">
        <f>VLOOKUP($C263,Sales!$C:$E,3,FALSE)</f>
        <v/>
      </c>
      <c r="J263" s="142">
        <f>SUMIFS(Sales!$H:$H,Sales!$C:$C,'Investor Exit List'!$C263)</f>
        <v/>
      </c>
      <c r="K263" s="142">
        <f>IF(I263=TRUE,J263,"")</f>
        <v/>
      </c>
      <c r="L263" s="142">
        <f>G263+730</f>
        <v/>
      </c>
      <c r="M263" s="142" t="n">
        <v>45443</v>
      </c>
      <c r="N263" s="143">
        <f>IFERROR(IF(G263&lt;&gt;"",IF(I263=TRUE,0,IF(U263=TRUE,0,L263-M263)),0),0)</f>
        <v/>
      </c>
      <c r="O263" s="143">
        <f>IF(N263&gt;0,IF(N263&lt;=180,N263,0),0)</f>
        <v/>
      </c>
      <c r="P263" s="141">
        <f>IF(AND(N263&lt;90,N263&gt;0),Q263,0)</f>
        <v/>
      </c>
      <c r="Q263" s="141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/>
      </c>
      <c r="R263" s="141">
        <f>IF(AND(H263=TRUE,I263=FALSE),Q263,0)</f>
        <v/>
      </c>
      <c r="S263" s="141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/>
      </c>
      <c r="T263" s="142">
        <f>IF(U263=TRUE,$J263,"")</f>
        <v/>
      </c>
      <c r="U263" s="140" t="b">
        <v>0</v>
      </c>
      <c r="V263" s="141">
        <f>IF(AND(H263=TRUE,OR(K263="",K263&gt;M263)),S263,0)</f>
        <v/>
      </c>
      <c r="W263" s="140" t="n">
        <v>0</v>
      </c>
      <c r="X263" s="140" t="b">
        <v>0</v>
      </c>
      <c r="Y263" s="143">
        <f>IF(H263=FALSE,VLOOKUP($C263,Sales!$C:$F,4,FALSE),1)</f>
        <v/>
      </c>
      <c r="Z263" s="140">
        <f>IF(Y263=0,"Release",IF(AND(L263&lt;J263,Y263=1,H263=FALSE,U263=FALSE,MONTH(L263)&amp;"/"&amp;YEAR(L263)&lt;&gt;MONTH(J263)&amp;"/"&amp;YEAR(J263)),"Release",""))</f>
        <v/>
      </c>
      <c r="AA263" s="144">
        <f>_xlfn.minifs($L:$L,$C:$C,$C263,$F:$F,"&lt;&gt;0")</f>
        <v/>
      </c>
      <c r="AB263" s="144">
        <f>C263&amp;"-"&amp;A263</f>
        <v/>
      </c>
      <c r="AC263" s="144">
        <f>L263</f>
        <v/>
      </c>
    </row>
    <row r="264">
      <c r="A264" s="140" t="inlineStr">
        <is>
          <t>ZOLI01</t>
        </is>
      </c>
      <c r="B264" s="140" t="n">
        <v>4</v>
      </c>
      <c r="C264" s="140" t="inlineStr">
        <is>
          <t>HVF104</t>
        </is>
      </c>
      <c r="D264" s="140" t="inlineStr">
        <is>
          <t>F</t>
        </is>
      </c>
      <c r="E264" s="140" t="inlineStr">
        <is>
          <t>Olivier Jan Lukas Cornelus</t>
        </is>
      </c>
      <c r="F264" s="141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</f>
        <v/>
      </c>
      <c r="G264" s="142" t="n">
        <v>45280</v>
      </c>
      <c r="H264" s="140">
        <f>VLOOKUP($C264,Sales!$C:$E,2,FALSE)</f>
        <v/>
      </c>
      <c r="I264" s="140">
        <f>VLOOKUP($C264,Sales!$C:$E,3,FALSE)</f>
        <v/>
      </c>
      <c r="J264" s="142">
        <f>SUMIFS(Sales!$H:$H,Sales!$C:$C,'Investor Exit List'!$C264)</f>
        <v/>
      </c>
      <c r="K264" s="142">
        <f>IF(I264=TRUE,J264,"")</f>
        <v/>
      </c>
      <c r="L264" s="142">
        <f>G264+730</f>
        <v/>
      </c>
      <c r="M264" s="142" t="n">
        <v>45443</v>
      </c>
      <c r="N264" s="143">
        <f>IFERROR(IF(G264&lt;&gt;"",IF(I264=TRUE,0,IF(U264=TRUE,0,L264-M264)),0),0)</f>
        <v/>
      </c>
      <c r="O264" s="143">
        <f>IF(N264&gt;0,IF(N264&lt;=180,N264,0),0)</f>
        <v/>
      </c>
      <c r="P264" s="141">
        <f>IF(AND(N264&lt;90,N264&gt;0),Q264,0)</f>
        <v/>
      </c>
      <c r="Q264" s="141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/>
      </c>
      <c r="R264" s="141">
        <f>IF(AND(H264=TRUE,I264=FALSE),Q264,0)</f>
        <v/>
      </c>
      <c r="S264" s="141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/>
      </c>
      <c r="T264" s="142">
        <f>IF(U264=TRUE,$J264,"")</f>
        <v/>
      </c>
      <c r="U264" s="140" t="b">
        <v>0</v>
      </c>
      <c r="V264" s="141">
        <f>IF(AND(H264=TRUE,OR(K264="",K264&gt;M264)),S264,0)</f>
        <v/>
      </c>
      <c r="W264" s="140" t="n">
        <v>0</v>
      </c>
      <c r="X264" s="140" t="b">
        <v>0</v>
      </c>
      <c r="Y264" s="143">
        <f>IF(H264=FALSE,VLOOKUP($C264,Sales!$C:$F,4,FALSE),1)</f>
        <v/>
      </c>
      <c r="Z264" s="140">
        <f>IF(Y264=0,"Release",IF(AND(L264&lt;J264,Y264=1,H264=FALSE,U264=FALSE,MONTH(L264)&amp;"/"&amp;YEAR(L264)&lt;&gt;MONTH(J264)&amp;"/"&amp;YEAR(J264)),"Release",""))</f>
        <v/>
      </c>
      <c r="AA264" s="144">
        <f>_xlfn.minifs($L:$L,$C:$C,$C264,$F:$F,"&lt;&gt;0")</f>
        <v/>
      </c>
      <c r="AB264" s="144">
        <f>C264&amp;"-"&amp;A264</f>
        <v/>
      </c>
      <c r="AC264" s="144">
        <f>L264</f>
        <v/>
      </c>
    </row>
    <row r="265">
      <c r="A265" s="140" t="inlineStr">
        <is>
          <t>ZRIT01</t>
        </is>
      </c>
      <c r="B265" s="140" t="n">
        <v>16</v>
      </c>
      <c r="C265" s="140" t="inlineStr">
        <is>
          <t>HVF104</t>
        </is>
      </c>
      <c r="D265" s="140" t="inlineStr">
        <is>
          <t>F</t>
        </is>
      </c>
      <c r="E265" s="140" t="inlineStr">
        <is>
          <t>Ritter Dennis</t>
        </is>
      </c>
      <c r="F265" s="141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</f>
        <v/>
      </c>
      <c r="G265" s="142" t="n">
        <v>45224</v>
      </c>
      <c r="H265" s="140">
        <f>VLOOKUP($C265,Sales!$C:$E,2,FALSE)</f>
        <v/>
      </c>
      <c r="I265" s="140">
        <f>VLOOKUP($C265,Sales!$C:$E,3,FALSE)</f>
        <v/>
      </c>
      <c r="J265" s="142">
        <f>SUMIFS(Sales!$H:$H,Sales!$C:$C,'Investor Exit List'!$C265)</f>
        <v/>
      </c>
      <c r="K265" s="142">
        <f>IF(I265=TRUE,J265,"")</f>
        <v/>
      </c>
      <c r="L265" s="142">
        <f>G265+730</f>
        <v/>
      </c>
      <c r="M265" s="142" t="n">
        <v>45443</v>
      </c>
      <c r="N265" s="143">
        <f>IFERROR(IF(G265&lt;&gt;"",IF(I265=TRUE,0,IF(U265=TRUE,0,L265-M265)),0),0)</f>
        <v/>
      </c>
      <c r="O265" s="143">
        <f>IF(N265&gt;0,IF(N265&lt;=180,N265,0),0)</f>
        <v/>
      </c>
      <c r="P265" s="141">
        <f>IF(AND(N265&lt;90,N265&gt;0),Q265,0)</f>
        <v/>
      </c>
      <c r="Q265" s="141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/>
      </c>
      <c r="R265" s="141">
        <f>IF(AND(H265=TRUE,I265=FALSE),Q265,0)</f>
        <v/>
      </c>
      <c r="S265" s="141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/>
      </c>
      <c r="T265" s="142">
        <f>IF(U265=TRUE,$J265,"")</f>
        <v/>
      </c>
      <c r="U265" s="140" t="b">
        <v>0</v>
      </c>
      <c r="V265" s="141">
        <f>IF(AND(H265=TRUE,OR(K265="",K265&gt;M265)),S265,0)</f>
        <v/>
      </c>
      <c r="W265" s="140" t="n">
        <v>0</v>
      </c>
      <c r="X265" s="140" t="b">
        <v>0</v>
      </c>
      <c r="Y265" s="143">
        <f>IF(H265=FALSE,VLOOKUP($C265,Sales!$C:$F,4,FALSE),1)</f>
        <v/>
      </c>
      <c r="Z265" s="140">
        <f>IF(Y265=0,"Release",IF(AND(L265&lt;J265,Y265=1,H265=FALSE,U265=FALSE,MONTH(L265)&amp;"/"&amp;YEAR(L265)&lt;&gt;MONTH(J265)&amp;"/"&amp;YEAR(J265)),"Release",""))</f>
        <v/>
      </c>
      <c r="AA265" s="144">
        <f>_xlfn.minifs($L:$L,$C:$C,$C265,$F:$F,"&lt;&gt;0")</f>
        <v/>
      </c>
      <c r="AB265" s="144">
        <f>C265&amp;"-"&amp;A265</f>
        <v/>
      </c>
      <c r="AC265" s="144">
        <f>L265</f>
        <v/>
      </c>
    </row>
    <row r="266">
      <c r="A266" s="140" t="inlineStr">
        <is>
          <t>ZSCH05</t>
        </is>
      </c>
      <c r="B266" s="140" t="n">
        <v>1</v>
      </c>
      <c r="C266" s="140" t="inlineStr">
        <is>
          <t>HVF104</t>
        </is>
      </c>
      <c r="D266" s="140" t="inlineStr">
        <is>
          <t>F</t>
        </is>
      </c>
      <c r="E266" s="140" t="inlineStr">
        <is>
          <t>Schipper Willem</t>
        </is>
      </c>
      <c r="F266" s="141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</f>
        <v/>
      </c>
      <c r="G266" s="142" t="n">
        <v>45443</v>
      </c>
      <c r="H266" s="140">
        <f>VLOOKUP($C266,Sales!$C:$E,2,FALSE)</f>
        <v/>
      </c>
      <c r="I266" s="140">
        <f>VLOOKUP($C266,Sales!$C:$E,3,FALSE)</f>
        <v/>
      </c>
      <c r="J266" s="142">
        <f>SUMIFS(Sales!$H:$H,Sales!$C:$C,'Investor Exit List'!$C266)</f>
        <v/>
      </c>
      <c r="K266" s="142">
        <f>IF(I266=TRUE,J266,"")</f>
        <v/>
      </c>
      <c r="L266" s="142">
        <f>G266+730</f>
        <v/>
      </c>
      <c r="M266" s="142" t="n">
        <v>45443</v>
      </c>
      <c r="N266" s="143">
        <f>IFERROR(IF(G266&lt;&gt;"",IF(I266=TRUE,0,IF(U266=TRUE,0,L266-M266)),0),0)</f>
        <v/>
      </c>
      <c r="O266" s="143">
        <f>IF(N266&gt;0,IF(N266&lt;=180,N266,0),0)</f>
        <v/>
      </c>
      <c r="P266" s="141">
        <f>IF(AND(N266&lt;90,N266&gt;0),Q266,0)</f>
        <v/>
      </c>
      <c r="Q266" s="141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/>
      </c>
      <c r="R266" s="141">
        <f>IF(AND(H266=TRUE,I266=FALSE),Q266,0)</f>
        <v/>
      </c>
      <c r="S266" s="141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/>
      </c>
      <c r="T266" s="142">
        <f>IF(U266=TRUE,$J266,"")</f>
        <v/>
      </c>
      <c r="U266" s="140" t="b">
        <v>0</v>
      </c>
      <c r="V266" s="141">
        <f>IF(AND(H266=TRUE,OR(K266="",K266&gt;M266)),S266,0)</f>
        <v/>
      </c>
      <c r="W266" s="140" t="n">
        <v>0</v>
      </c>
      <c r="X266" s="140" t="b">
        <v>0</v>
      </c>
      <c r="Y266" s="143">
        <f>IF(H266=FALSE,VLOOKUP($C266,Sales!$C:$F,4,FALSE),1)</f>
        <v/>
      </c>
      <c r="Z266" s="140">
        <f>IF(Y266=0,"Release",IF(AND(L266&lt;J266,Y266=1,H266=FALSE,U266=FALSE,MONTH(L266)&amp;"/"&amp;YEAR(L266)&lt;&gt;MONTH(J266)&amp;"/"&amp;YEAR(J266)),"Release",""))</f>
        <v/>
      </c>
      <c r="AA266" s="144">
        <f>_xlfn.minifs($L:$L,$C:$C,$C266,$F:$F,"&lt;&gt;0")</f>
        <v/>
      </c>
      <c r="AB266" s="144">
        <f>C266&amp;"-"&amp;A266</f>
        <v/>
      </c>
      <c r="AC266" s="144">
        <f>L266</f>
        <v/>
      </c>
    </row>
    <row r="267">
      <c r="A267" s="140" t="inlineStr">
        <is>
          <t>ZVIS04</t>
        </is>
      </c>
      <c r="B267" s="140" t="n">
        <v>1</v>
      </c>
      <c r="C267" s="140" t="inlineStr">
        <is>
          <t>HVF104</t>
        </is>
      </c>
      <c r="D267" s="140" t="inlineStr">
        <is>
          <t>F</t>
        </is>
      </c>
      <c r="E267" s="140" t="inlineStr">
        <is>
          <t>Visagie Lukas Petrus Jacobus</t>
        </is>
      </c>
      <c r="F267" s="141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</f>
        <v/>
      </c>
      <c r="G267" s="142" t="n">
        <v>45443</v>
      </c>
      <c r="H267" s="140">
        <f>VLOOKUP($C267,Sales!$C:$E,2,FALSE)</f>
        <v/>
      </c>
      <c r="I267" s="140">
        <f>VLOOKUP($C267,Sales!$C:$E,3,FALSE)</f>
        <v/>
      </c>
      <c r="J267" s="142">
        <f>SUMIFS(Sales!$H:$H,Sales!$C:$C,'Investor Exit List'!$C267)</f>
        <v/>
      </c>
      <c r="K267" s="142">
        <f>IF(I267=TRUE,J267,"")</f>
        <v/>
      </c>
      <c r="L267" s="142">
        <f>G267+730</f>
        <v/>
      </c>
      <c r="M267" s="142" t="n">
        <v>45443</v>
      </c>
      <c r="N267" s="143">
        <f>IFERROR(IF(G267&lt;&gt;"",IF(I267=TRUE,0,IF(U267=TRUE,0,L267-M267)),0),0)</f>
        <v/>
      </c>
      <c r="O267" s="143">
        <f>IF(N267&gt;0,IF(N267&lt;=180,N267,0),0)</f>
        <v/>
      </c>
      <c r="P267" s="141">
        <f>IF(AND(N267&lt;90,N267&gt;0),Q267,0)</f>
        <v/>
      </c>
      <c r="Q267" s="141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/>
      </c>
      <c r="R267" s="141">
        <f>IF(AND(H267=TRUE,I267=FALSE),Q267,0)</f>
        <v/>
      </c>
      <c r="S267" s="141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/>
      </c>
      <c r="T267" s="142">
        <f>IF(U267=TRUE,$J267,"")</f>
        <v/>
      </c>
      <c r="U267" s="140" t="b">
        <v>0</v>
      </c>
      <c r="V267" s="141">
        <f>IF(AND(H267=TRUE,OR(K267="",K267&gt;M267)),S267,0)</f>
        <v/>
      </c>
      <c r="W267" s="140" t="n">
        <v>0</v>
      </c>
      <c r="X267" s="140" t="b">
        <v>0</v>
      </c>
      <c r="Y267" s="143">
        <f>IF(H267=FALSE,VLOOKUP($C267,Sales!$C:$F,4,FALSE),1)</f>
        <v/>
      </c>
      <c r="Z267" s="140">
        <f>IF(Y267=0,"Release",IF(AND(L267&lt;J267,Y267=1,H267=FALSE,U267=FALSE,MONTH(L267)&amp;"/"&amp;YEAR(L267)&lt;&gt;MONTH(J267)&amp;"/"&amp;YEAR(J267)),"Release",""))</f>
        <v/>
      </c>
      <c r="AA267" s="144">
        <f>_xlfn.minifs($L:$L,$C:$C,$C267,$F:$F,"&lt;&gt;0")</f>
        <v/>
      </c>
      <c r="AB267" s="144">
        <f>C267&amp;"-"&amp;A267</f>
        <v/>
      </c>
      <c r="AC267" s="144">
        <f>L267</f>
        <v/>
      </c>
    </row>
    <row r="268">
      <c r="A268" s="140" t="inlineStr">
        <is>
          <t>ZMAN01</t>
        </is>
      </c>
      <c r="B268" s="140" t="n">
        <v>2</v>
      </c>
      <c r="C268" s="140" t="inlineStr">
        <is>
          <t>HVF201</t>
        </is>
      </c>
      <c r="D268" s="140" t="inlineStr">
        <is>
          <t>F</t>
        </is>
      </c>
      <c r="E268" s="140" t="inlineStr">
        <is>
          <t>Manuel Emma Irene</t>
        </is>
      </c>
      <c r="F268" s="141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</f>
        <v/>
      </c>
      <c r="G268" s="142" t="n">
        <v>45408</v>
      </c>
      <c r="H268" s="140">
        <f>VLOOKUP($C268,Sales!$C:$E,2,FALSE)</f>
        <v/>
      </c>
      <c r="I268" s="140">
        <f>VLOOKUP($C268,Sales!$C:$E,3,FALSE)</f>
        <v/>
      </c>
      <c r="J268" s="142">
        <f>SUMIFS(Sales!$H:$H,Sales!$C:$C,'Investor Exit List'!$C268)</f>
        <v/>
      </c>
      <c r="K268" s="142">
        <f>IF(I268=TRUE,J268,"")</f>
        <v/>
      </c>
      <c r="L268" s="142">
        <f>G268+730</f>
        <v/>
      </c>
      <c r="M268" s="142" t="n">
        <v>45443</v>
      </c>
      <c r="N268" s="143">
        <f>IFERROR(IF(G268&lt;&gt;"",IF(I268=TRUE,0,IF(U268=TRUE,0,L268-M268)),0),0)</f>
        <v/>
      </c>
      <c r="O268" s="143">
        <f>IF(N268&gt;0,IF(N268&lt;=180,N268,0),0)</f>
        <v/>
      </c>
      <c r="P268" s="141">
        <f>IF(AND(N268&lt;90,N268&gt;0),Q268,0)</f>
        <v/>
      </c>
      <c r="Q268" s="141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/>
      </c>
      <c r="R268" s="141">
        <f>IF(AND(H268=TRUE,I268=FALSE),Q268,0)</f>
        <v/>
      </c>
      <c r="S268" s="141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/>
      </c>
      <c r="T268" s="142">
        <f>IF(U268=TRUE,$J268,"")</f>
        <v/>
      </c>
      <c r="U268" s="140" t="b">
        <v>0</v>
      </c>
      <c r="V268" s="141">
        <f>IF(AND(H268=TRUE,OR(K268="",K268&gt;M268)),S268,0)</f>
        <v/>
      </c>
      <c r="W268" s="140" t="n">
        <v>0</v>
      </c>
      <c r="X268" s="140" t="b">
        <v>0</v>
      </c>
      <c r="Y268" s="143">
        <f>IF(H268=FALSE,VLOOKUP($C268,Sales!$C:$F,4,FALSE),1)</f>
        <v/>
      </c>
      <c r="Z268" s="140">
        <f>IF(Y268=0,"Release",IF(AND(L268&lt;J268,Y268=1,H268=FALSE,U268=FALSE,MONTH(L268)&amp;"/"&amp;YEAR(L268)&lt;&gt;MONTH(J268)&amp;"/"&amp;YEAR(J268)),"Release",""))</f>
        <v/>
      </c>
      <c r="AA268" s="144">
        <f>_xlfn.minifs($L:$L,$C:$C,$C268,$F:$F,"&lt;&gt;0")</f>
        <v/>
      </c>
      <c r="AB268" s="144">
        <f>C268&amp;"-"&amp;A268</f>
        <v/>
      </c>
      <c r="AC268" s="144">
        <f>L268</f>
        <v/>
      </c>
    </row>
    <row r="269">
      <c r="A269" s="140" t="inlineStr">
        <is>
          <t>ZVAN05</t>
        </is>
      </c>
      <c r="B269" s="140" t="n">
        <v>11</v>
      </c>
      <c r="C269" s="140" t="inlineStr">
        <is>
          <t>HVF201</t>
        </is>
      </c>
      <c r="D269" s="140" t="inlineStr">
        <is>
          <t>F</t>
        </is>
      </c>
      <c r="E269" s="140" t="inlineStr">
        <is>
          <t>van der Sandt Hermanus</t>
        </is>
      </c>
      <c r="F269" s="141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</f>
        <v/>
      </c>
      <c r="G269" s="142" t="n">
        <v>45443</v>
      </c>
      <c r="H269" s="140">
        <f>VLOOKUP($C269,Sales!$C:$E,2,FALSE)</f>
        <v/>
      </c>
      <c r="I269" s="140">
        <f>VLOOKUP($C269,Sales!$C:$E,3,FALSE)</f>
        <v/>
      </c>
      <c r="J269" s="142">
        <f>SUMIFS(Sales!$H:$H,Sales!$C:$C,'Investor Exit List'!$C269)</f>
        <v/>
      </c>
      <c r="K269" s="142">
        <f>IF(I269=TRUE,J269,"")</f>
        <v/>
      </c>
      <c r="L269" s="142">
        <f>G269+730</f>
        <v/>
      </c>
      <c r="M269" s="142" t="n">
        <v>45443</v>
      </c>
      <c r="N269" s="143">
        <f>IFERROR(IF(G269&lt;&gt;"",IF(I269=TRUE,0,IF(U269=TRUE,0,L269-M269)),0),0)</f>
        <v/>
      </c>
      <c r="O269" s="143">
        <f>IF(N269&gt;0,IF(N269&lt;=180,N269,0),0)</f>
        <v/>
      </c>
      <c r="P269" s="141">
        <f>IF(AND(N269&lt;90,N269&gt;0),Q269,0)</f>
        <v/>
      </c>
      <c r="Q269" s="141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/>
      </c>
      <c r="R269" s="141">
        <f>IF(AND(H269=TRUE,I269=FALSE),Q269,0)</f>
        <v/>
      </c>
      <c r="S269" s="141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/>
      </c>
      <c r="T269" s="142">
        <f>IF(U269=TRUE,$J269,"")</f>
        <v/>
      </c>
      <c r="U269" s="140" t="b">
        <v>0</v>
      </c>
      <c r="V269" s="141">
        <f>IF(AND(H269=TRUE,OR(K269="",K269&gt;M269)),S269,0)</f>
        <v/>
      </c>
      <c r="W269" s="140" t="n">
        <v>0</v>
      </c>
      <c r="X269" s="140" t="b">
        <v>0</v>
      </c>
      <c r="Y269" s="143">
        <f>IF(H269=FALSE,VLOOKUP($C269,Sales!$C:$F,4,FALSE),1)</f>
        <v/>
      </c>
      <c r="Z269" s="140">
        <f>IF(Y269=0,"Release",IF(AND(L269&lt;J269,Y269=1,H269=FALSE,U269=FALSE,MONTH(L269)&amp;"/"&amp;YEAR(L269)&lt;&gt;MONTH(J269)&amp;"/"&amp;YEAR(J269)),"Release",""))</f>
        <v/>
      </c>
      <c r="AA269" s="144">
        <f>_xlfn.minifs($L:$L,$C:$C,$C269,$F:$F,"&lt;&gt;0")</f>
        <v/>
      </c>
      <c r="AB269" s="144">
        <f>C269&amp;"-"&amp;A269</f>
        <v/>
      </c>
      <c r="AC269" s="144">
        <f>L269</f>
        <v/>
      </c>
    </row>
    <row r="270">
      <c r="A270" s="140" t="inlineStr">
        <is>
          <t>ZDIK01</t>
        </is>
      </c>
      <c r="B270" s="140" t="n">
        <v>1</v>
      </c>
      <c r="C270" s="140" t="inlineStr">
        <is>
          <t>HVF202</t>
        </is>
      </c>
      <c r="D270" s="140" t="inlineStr">
        <is>
          <t>F</t>
        </is>
      </c>
      <c r="E270" s="140" t="inlineStr">
        <is>
          <t>Dikana Deliwe Mavis</t>
        </is>
      </c>
      <c r="F270" s="141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</f>
        <v/>
      </c>
      <c r="G270" s="142" t="n">
        <v>45443</v>
      </c>
      <c r="H270" s="140">
        <f>VLOOKUP($C270,Sales!$C:$E,2,FALSE)</f>
        <v/>
      </c>
      <c r="I270" s="140">
        <f>VLOOKUP($C270,Sales!$C:$E,3,FALSE)</f>
        <v/>
      </c>
      <c r="J270" s="142">
        <f>SUMIFS(Sales!$H:$H,Sales!$C:$C,'Investor Exit List'!$C270)</f>
        <v/>
      </c>
      <c r="K270" s="142">
        <f>IF(I270=TRUE,J270,"")</f>
        <v/>
      </c>
      <c r="L270" s="142">
        <f>G270+730</f>
        <v/>
      </c>
      <c r="M270" s="142" t="n">
        <v>45443</v>
      </c>
      <c r="N270" s="143">
        <f>IFERROR(IF(G270&lt;&gt;"",IF(I270=TRUE,0,IF(U270=TRUE,0,L270-M270)),0),0)</f>
        <v/>
      </c>
      <c r="O270" s="143">
        <f>IF(N270&gt;0,IF(N270&lt;=180,N270,0),0)</f>
        <v/>
      </c>
      <c r="P270" s="141">
        <f>IF(AND(N270&lt;90,N270&gt;0),Q270,0)</f>
        <v/>
      </c>
      <c r="Q270" s="141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/>
      </c>
      <c r="R270" s="141">
        <f>IF(AND(H270=TRUE,I270=FALSE),Q270,0)</f>
        <v/>
      </c>
      <c r="S270" s="141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/>
      </c>
      <c r="T270" s="142">
        <f>IF(U270=TRUE,$J270,"")</f>
        <v/>
      </c>
      <c r="U270" s="140" t="b">
        <v>0</v>
      </c>
      <c r="V270" s="141">
        <f>IF(AND(H270=TRUE,OR(K270="",K270&gt;M270)),S270,0)</f>
        <v/>
      </c>
      <c r="W270" s="140" t="n">
        <v>0</v>
      </c>
      <c r="X270" s="140" t="b">
        <v>0</v>
      </c>
      <c r="Y270" s="143">
        <f>IF(H270=FALSE,VLOOKUP($C270,Sales!$C:$F,4,FALSE),1)</f>
        <v/>
      </c>
      <c r="Z270" s="140">
        <f>IF(Y270=0,"Release",IF(AND(L270&lt;J270,Y270=1,H270=FALSE,U270=FALSE,MONTH(L270)&amp;"/"&amp;YEAR(L270)&lt;&gt;MONTH(J270)&amp;"/"&amp;YEAR(J270)),"Release",""))</f>
        <v/>
      </c>
      <c r="AA270" s="144">
        <f>_xlfn.minifs($L:$L,$C:$C,$C270,$F:$F,"&lt;&gt;0")</f>
        <v/>
      </c>
      <c r="AB270" s="144">
        <f>C270&amp;"-"&amp;A270</f>
        <v/>
      </c>
      <c r="AC270" s="144">
        <f>L270</f>
        <v/>
      </c>
    </row>
    <row r="271">
      <c r="A271" s="140" t="inlineStr">
        <is>
          <t>ZELO02</t>
        </is>
      </c>
      <c r="B271" s="140" t="n">
        <v>1</v>
      </c>
      <c r="C271" s="140" t="inlineStr">
        <is>
          <t>HVF202</t>
        </is>
      </c>
      <c r="D271" s="140" t="inlineStr">
        <is>
          <t>F</t>
        </is>
      </c>
      <c r="E271" s="140" t="inlineStr">
        <is>
          <t>Eloff Gertruida Maria Margaretha (Gerda)</t>
        </is>
      </c>
      <c r="F271" s="141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</f>
        <v/>
      </c>
      <c r="G271" s="142" t="n">
        <v>45321</v>
      </c>
      <c r="H271" s="140">
        <f>VLOOKUP($C271,Sales!$C:$E,2,FALSE)</f>
        <v/>
      </c>
      <c r="I271" s="140">
        <f>VLOOKUP($C271,Sales!$C:$E,3,FALSE)</f>
        <v/>
      </c>
      <c r="J271" s="142">
        <f>SUMIFS(Sales!$H:$H,Sales!$C:$C,'Investor Exit List'!$C271)</f>
        <v/>
      </c>
      <c r="K271" s="142">
        <f>IF(I271=TRUE,J271,"")</f>
        <v/>
      </c>
      <c r="L271" s="142">
        <f>G271+730</f>
        <v/>
      </c>
      <c r="M271" s="142" t="n">
        <v>45443</v>
      </c>
      <c r="N271" s="143">
        <f>IFERROR(IF(G271&lt;&gt;"",IF(I271=TRUE,0,IF(U271=TRUE,0,L271-M271)),0),0)</f>
        <v/>
      </c>
      <c r="O271" s="143">
        <f>IF(N271&gt;0,IF(N271&lt;=180,N271,0),0)</f>
        <v/>
      </c>
      <c r="P271" s="141">
        <f>IF(AND(N271&lt;90,N271&gt;0),Q271,0)</f>
        <v/>
      </c>
      <c r="Q271" s="141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/>
      </c>
      <c r="R271" s="141">
        <f>IF(AND(H271=TRUE,I271=FALSE),Q271,0)</f>
        <v/>
      </c>
      <c r="S271" s="141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/>
      </c>
      <c r="T271" s="142">
        <f>IF(U271=TRUE,$J271,"")</f>
        <v/>
      </c>
      <c r="U271" s="140" t="b">
        <v>0</v>
      </c>
      <c r="V271" s="141">
        <f>IF(AND(H271=TRUE,OR(K271="",K271&gt;M271)),S271,0)</f>
        <v/>
      </c>
      <c r="W271" s="140" t="n">
        <v>0</v>
      </c>
      <c r="X271" s="140" t="b">
        <v>0</v>
      </c>
      <c r="Y271" s="143">
        <f>IF(H271=FALSE,VLOOKUP($C271,Sales!$C:$F,4,FALSE),1)</f>
        <v/>
      </c>
      <c r="Z271" s="140">
        <f>IF(Y271=0,"Release",IF(AND(L271&lt;J271,Y271=1,H271=FALSE,U271=FALSE,MONTH(L271)&amp;"/"&amp;YEAR(L271)&lt;&gt;MONTH(J271)&amp;"/"&amp;YEAR(J271)),"Release",""))</f>
        <v/>
      </c>
      <c r="AA271" s="144">
        <f>_xlfn.minifs($L:$L,$C:$C,$C271,$F:$F,"&lt;&gt;0")</f>
        <v/>
      </c>
      <c r="AB271" s="144">
        <f>C271&amp;"-"&amp;A271</f>
        <v/>
      </c>
      <c r="AC271" s="144">
        <f>L271</f>
        <v/>
      </c>
    </row>
    <row r="272">
      <c r="A272" s="140" t="inlineStr">
        <is>
          <t>ZJEN01</t>
        </is>
      </c>
      <c r="B272" s="140" t="n">
        <v>3</v>
      </c>
      <c r="C272" s="140" t="inlineStr">
        <is>
          <t>HVF202</t>
        </is>
      </c>
      <c r="D272" s="140" t="inlineStr">
        <is>
          <t>F</t>
        </is>
      </c>
      <c r="E272" s="140" t="inlineStr">
        <is>
          <t>Jennings Daryl Anne</t>
        </is>
      </c>
      <c r="F272" s="141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</f>
        <v/>
      </c>
      <c r="G272" s="142" t="n">
        <v>45321</v>
      </c>
      <c r="H272" s="140">
        <f>VLOOKUP($C272,Sales!$C:$E,2,FALSE)</f>
        <v/>
      </c>
      <c r="I272" s="140">
        <f>VLOOKUP($C272,Sales!$C:$E,3,FALSE)</f>
        <v/>
      </c>
      <c r="J272" s="142">
        <f>SUMIFS(Sales!$H:$H,Sales!$C:$C,'Investor Exit List'!$C272)</f>
        <v/>
      </c>
      <c r="K272" s="142">
        <f>IF(I272=TRUE,J272,"")</f>
        <v/>
      </c>
      <c r="L272" s="142">
        <f>G272+730</f>
        <v/>
      </c>
      <c r="M272" s="142" t="n">
        <v>45443</v>
      </c>
      <c r="N272" s="143">
        <f>IFERROR(IF(G272&lt;&gt;"",IF(I272=TRUE,0,IF(U272=TRUE,0,L272-M272)),0),0)</f>
        <v/>
      </c>
      <c r="O272" s="143">
        <f>IF(N272&gt;0,IF(N272&lt;=180,N272,0),0)</f>
        <v/>
      </c>
      <c r="P272" s="141">
        <f>IF(AND(N272&lt;90,N272&gt;0),Q272,0)</f>
        <v/>
      </c>
      <c r="Q272" s="141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/>
      </c>
      <c r="R272" s="141">
        <f>IF(AND(H272=TRUE,I272=FALSE),Q272,0)</f>
        <v/>
      </c>
      <c r="S272" s="141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/>
      </c>
      <c r="T272" s="142">
        <f>IF(U272=TRUE,$J272,"")</f>
        <v/>
      </c>
      <c r="U272" s="140" t="b">
        <v>0</v>
      </c>
      <c r="V272" s="141">
        <f>IF(AND(H272=TRUE,OR(K272="",K272&gt;M272)),S272,0)</f>
        <v/>
      </c>
      <c r="W272" s="140" t="n">
        <v>0</v>
      </c>
      <c r="X272" s="140" t="b">
        <v>0</v>
      </c>
      <c r="Y272" s="143">
        <f>IF(H272=FALSE,VLOOKUP($C272,Sales!$C:$F,4,FALSE),1)</f>
        <v/>
      </c>
      <c r="Z272" s="140">
        <f>IF(Y272=0,"Release",IF(AND(L272&lt;J272,Y272=1,H272=FALSE,U272=FALSE,MONTH(L272)&amp;"/"&amp;YEAR(L272)&lt;&gt;MONTH(J272)&amp;"/"&amp;YEAR(J272)),"Release",""))</f>
        <v/>
      </c>
      <c r="AA272" s="144">
        <f>_xlfn.minifs($L:$L,$C:$C,$C272,$F:$F,"&lt;&gt;0")</f>
        <v/>
      </c>
      <c r="AB272" s="144">
        <f>C272&amp;"-"&amp;A272</f>
        <v/>
      </c>
      <c r="AC272" s="144">
        <f>L272</f>
        <v/>
      </c>
    </row>
    <row r="273">
      <c r="A273" s="140" t="inlineStr">
        <is>
          <t>ZRIT01</t>
        </is>
      </c>
      <c r="B273" s="140" t="n">
        <v>17</v>
      </c>
      <c r="C273" s="140" t="inlineStr">
        <is>
          <t>HVF202</t>
        </is>
      </c>
      <c r="D273" s="140" t="inlineStr">
        <is>
          <t>F</t>
        </is>
      </c>
      <c r="E273" s="140" t="inlineStr">
        <is>
          <t>Ritter Dennis</t>
        </is>
      </c>
      <c r="F273" s="141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</f>
        <v/>
      </c>
      <c r="G273" s="142" t="n">
        <v>45224</v>
      </c>
      <c r="H273" s="140">
        <f>VLOOKUP($C273,Sales!$C:$E,2,FALSE)</f>
        <v/>
      </c>
      <c r="I273" s="140">
        <f>VLOOKUP($C273,Sales!$C:$E,3,FALSE)</f>
        <v/>
      </c>
      <c r="J273" s="142">
        <f>SUMIFS(Sales!$H:$H,Sales!$C:$C,'Investor Exit List'!$C273)</f>
        <v/>
      </c>
      <c r="K273" s="142">
        <f>IF(I273=TRUE,J273,"")</f>
        <v/>
      </c>
      <c r="L273" s="142">
        <f>G273+730</f>
        <v/>
      </c>
      <c r="M273" s="142" t="n">
        <v>45443</v>
      </c>
      <c r="N273" s="143">
        <f>IFERROR(IF(G273&lt;&gt;"",IF(I273=TRUE,0,IF(U273=TRUE,0,L273-M273)),0),0)</f>
        <v/>
      </c>
      <c r="O273" s="143">
        <f>IF(N273&gt;0,IF(N273&lt;=180,N273,0),0)</f>
        <v/>
      </c>
      <c r="P273" s="141">
        <f>IF(AND(N273&lt;90,N273&gt;0),Q273,0)</f>
        <v/>
      </c>
      <c r="Q273" s="141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/>
      </c>
      <c r="R273" s="141">
        <f>IF(AND(H273=TRUE,I273=FALSE),Q273,0)</f>
        <v/>
      </c>
      <c r="S273" s="141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/>
      </c>
      <c r="T273" s="142">
        <f>IF(U273=TRUE,$J273,"")</f>
        <v/>
      </c>
      <c r="U273" s="140" t="b">
        <v>0</v>
      </c>
      <c r="V273" s="141">
        <f>IF(AND(H273=TRUE,OR(K273="",K273&gt;M273)),S273,0)</f>
        <v/>
      </c>
      <c r="W273" s="140" t="n">
        <v>0</v>
      </c>
      <c r="X273" s="140" t="b">
        <v>0</v>
      </c>
      <c r="Y273" s="143">
        <f>IF(H273=FALSE,VLOOKUP($C273,Sales!$C:$F,4,FALSE),1)</f>
        <v/>
      </c>
      <c r="Z273" s="140">
        <f>IF(Y273=0,"Release",IF(AND(L273&lt;J273,Y273=1,H273=FALSE,U273=FALSE,MONTH(L273)&amp;"/"&amp;YEAR(L273)&lt;&gt;MONTH(J273)&amp;"/"&amp;YEAR(J273)),"Release",""))</f>
        <v/>
      </c>
      <c r="AA273" s="144">
        <f>_xlfn.minifs($L:$L,$C:$C,$C273,$F:$F,"&lt;&gt;0")</f>
        <v/>
      </c>
      <c r="AB273" s="144">
        <f>C273&amp;"-"&amp;A273</f>
        <v/>
      </c>
      <c r="AC273" s="144">
        <f>L273</f>
        <v/>
      </c>
    </row>
    <row r="274">
      <c r="A274" s="140" t="inlineStr">
        <is>
          <t>ZHEI01</t>
        </is>
      </c>
      <c r="B274" s="140" t="n">
        <v>15</v>
      </c>
      <c r="C274" s="140" t="inlineStr">
        <is>
          <t>HVF203</t>
        </is>
      </c>
      <c r="D274" s="140" t="inlineStr">
        <is>
          <t>F</t>
        </is>
      </c>
      <c r="E274" s="140" t="inlineStr">
        <is>
          <t>Heinze Dieter Raimund</t>
        </is>
      </c>
      <c r="F274" s="141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</f>
        <v/>
      </c>
      <c r="G274" s="142" t="n">
        <v>45408</v>
      </c>
      <c r="H274" s="140">
        <f>VLOOKUP($C274,Sales!$C:$E,2,FALSE)</f>
        <v/>
      </c>
      <c r="I274" s="140">
        <f>VLOOKUP($C274,Sales!$C:$E,3,FALSE)</f>
        <v/>
      </c>
      <c r="J274" s="142">
        <f>SUMIFS(Sales!$H:$H,Sales!$C:$C,'Investor Exit List'!$C274)</f>
        <v/>
      </c>
      <c r="K274" s="142">
        <f>IF(I274=TRUE,J274,"")</f>
        <v/>
      </c>
      <c r="L274" s="142">
        <f>G274+730</f>
        <v/>
      </c>
      <c r="M274" s="142" t="n">
        <v>45443</v>
      </c>
      <c r="N274" s="143">
        <f>IFERROR(IF(G274&lt;&gt;"",IF(I274=TRUE,0,IF(U274=TRUE,0,L274-M274)),0),0)</f>
        <v/>
      </c>
      <c r="O274" s="143">
        <f>IF(N274&gt;0,IF(N274&lt;=180,N274,0),0)</f>
        <v/>
      </c>
      <c r="P274" s="141">
        <f>IF(AND(N274&lt;90,N274&gt;0),Q274,0)</f>
        <v/>
      </c>
      <c r="Q274" s="141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/>
      </c>
      <c r="R274" s="141">
        <f>IF(AND(H274=TRUE,I274=FALSE),Q274,0)</f>
        <v/>
      </c>
      <c r="S274" s="141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/>
      </c>
      <c r="T274" s="142">
        <f>IF(U274=TRUE,$J274,"")</f>
        <v/>
      </c>
      <c r="U274" s="140" t="b">
        <v>0</v>
      </c>
      <c r="V274" s="141">
        <f>IF(AND(H274=TRUE,OR(K274="",K274&gt;M274)),S274,0)</f>
        <v/>
      </c>
      <c r="W274" s="140" t="n">
        <v>0</v>
      </c>
      <c r="X274" s="140" t="b">
        <v>0</v>
      </c>
      <c r="Y274" s="143">
        <f>IF(H274=FALSE,VLOOKUP($C274,Sales!$C:$F,4,FALSE),1)</f>
        <v/>
      </c>
      <c r="Z274" s="140">
        <f>IF(Y274=0,"Release",IF(AND(L274&lt;J274,Y274=1,H274=FALSE,U274=FALSE,MONTH(L274)&amp;"/"&amp;YEAR(L274)&lt;&gt;MONTH(J274)&amp;"/"&amp;YEAR(J274)),"Release",""))</f>
        <v/>
      </c>
      <c r="AA274" s="144">
        <f>_xlfn.minifs($L:$L,$C:$C,$C274,$F:$F,"&lt;&gt;0")</f>
        <v/>
      </c>
      <c r="AB274" s="144">
        <f>C274&amp;"-"&amp;A274</f>
        <v/>
      </c>
      <c r="AC274" s="144">
        <f>L274</f>
        <v/>
      </c>
    </row>
    <row r="275">
      <c r="A275" s="140" t="inlineStr">
        <is>
          <t>ZHUM01</t>
        </is>
      </c>
      <c r="B275" s="140" t="n">
        <v>2</v>
      </c>
      <c r="C275" s="140" t="inlineStr">
        <is>
          <t>HVF203</t>
        </is>
      </c>
      <c r="D275" s="140" t="inlineStr">
        <is>
          <t>F</t>
        </is>
      </c>
      <c r="E275" s="140" t="inlineStr">
        <is>
          <t>Human Tralee Joan</t>
        </is>
      </c>
      <c r="F275" s="141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</f>
        <v/>
      </c>
      <c r="G275" s="142" t="n">
        <v>45273</v>
      </c>
      <c r="H275" s="140">
        <f>VLOOKUP($C275,Sales!$C:$E,2,FALSE)</f>
        <v/>
      </c>
      <c r="I275" s="140">
        <f>VLOOKUP($C275,Sales!$C:$E,3,FALSE)</f>
        <v/>
      </c>
      <c r="J275" s="142">
        <f>SUMIFS(Sales!$H:$H,Sales!$C:$C,'Investor Exit List'!$C275)</f>
        <v/>
      </c>
      <c r="K275" s="142">
        <f>IF(I275=TRUE,J275,"")</f>
        <v/>
      </c>
      <c r="L275" s="142">
        <f>G275+730</f>
        <v/>
      </c>
      <c r="M275" s="142" t="n">
        <v>45443</v>
      </c>
      <c r="N275" s="143">
        <f>IFERROR(IF(G275&lt;&gt;"",IF(I275=TRUE,0,IF(U275=TRUE,0,L275-M275)),0),0)</f>
        <v/>
      </c>
      <c r="O275" s="143">
        <f>IF(N275&gt;0,IF(N275&lt;=180,N275,0),0)</f>
        <v/>
      </c>
      <c r="P275" s="141">
        <f>IF(AND(N275&lt;90,N275&gt;0),Q275,0)</f>
        <v/>
      </c>
      <c r="Q275" s="141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/>
      </c>
      <c r="R275" s="141">
        <f>IF(AND(H275=TRUE,I275=FALSE),Q275,0)</f>
        <v/>
      </c>
      <c r="S275" s="141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/>
      </c>
      <c r="T275" s="142">
        <f>IF(U275=TRUE,$J275,"")</f>
        <v/>
      </c>
      <c r="U275" s="140" t="b">
        <v>0</v>
      </c>
      <c r="V275" s="141">
        <f>IF(AND(H275=TRUE,OR(K275="",K275&gt;M275)),S275,0)</f>
        <v/>
      </c>
      <c r="W275" s="140" t="n">
        <v>0</v>
      </c>
      <c r="X275" s="140" t="b">
        <v>0</v>
      </c>
      <c r="Y275" s="143">
        <f>IF(H275=FALSE,VLOOKUP($C275,Sales!$C:$F,4,FALSE),1)</f>
        <v/>
      </c>
      <c r="Z275" s="140">
        <f>IF(Y275=0,"Release",IF(AND(L275&lt;J275,Y275=1,H275=FALSE,U275=FALSE,MONTH(L275)&amp;"/"&amp;YEAR(L275)&lt;&gt;MONTH(J275)&amp;"/"&amp;YEAR(J275)),"Release",""))</f>
        <v/>
      </c>
      <c r="AA275" s="144">
        <f>_xlfn.minifs($L:$L,$C:$C,$C275,$F:$F,"&lt;&gt;0")</f>
        <v/>
      </c>
      <c r="AB275" s="144">
        <f>C275&amp;"-"&amp;A275</f>
        <v/>
      </c>
      <c r="AC275" s="144">
        <f>L275</f>
        <v/>
      </c>
    </row>
    <row r="276">
      <c r="A276" s="140" t="inlineStr">
        <is>
          <t>ZSCH01</t>
        </is>
      </c>
      <c r="B276" s="140" t="n">
        <v>17</v>
      </c>
      <c r="C276" s="140" t="inlineStr">
        <is>
          <t>HVF203</t>
        </is>
      </c>
      <c r="D276" s="140" t="inlineStr">
        <is>
          <t>F</t>
        </is>
      </c>
      <c r="E276" s="140" t="inlineStr">
        <is>
          <t>Schubert Inge</t>
        </is>
      </c>
      <c r="F276" s="141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</f>
        <v/>
      </c>
      <c r="G276" s="142" t="n">
        <v>45408</v>
      </c>
      <c r="H276" s="140">
        <f>VLOOKUP($C276,Sales!$C:$E,2,FALSE)</f>
        <v/>
      </c>
      <c r="I276" s="140">
        <f>VLOOKUP($C276,Sales!$C:$E,3,FALSE)</f>
        <v/>
      </c>
      <c r="J276" s="142">
        <f>SUMIFS(Sales!$H:$H,Sales!$C:$C,'Investor Exit List'!$C276)</f>
        <v/>
      </c>
      <c r="K276" s="142">
        <f>IF(I276=TRUE,J276,"")</f>
        <v/>
      </c>
      <c r="L276" s="142">
        <f>G276+730</f>
        <v/>
      </c>
      <c r="M276" s="142" t="n">
        <v>45443</v>
      </c>
      <c r="N276" s="143">
        <f>IFERROR(IF(G276&lt;&gt;"",IF(I276=TRUE,0,IF(U276=TRUE,0,L276-M276)),0),0)</f>
        <v/>
      </c>
      <c r="O276" s="143">
        <f>IF(N276&gt;0,IF(N276&lt;=180,N276,0),0)</f>
        <v/>
      </c>
      <c r="P276" s="141">
        <f>IF(AND(N276&lt;90,N276&gt;0),Q276,0)</f>
        <v/>
      </c>
      <c r="Q276" s="141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/>
      </c>
      <c r="R276" s="141">
        <f>IF(AND(H276=TRUE,I276=FALSE),Q276,0)</f>
        <v/>
      </c>
      <c r="S276" s="141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/>
      </c>
      <c r="T276" s="142">
        <f>IF(U276=TRUE,$J276,"")</f>
        <v/>
      </c>
      <c r="U276" s="140" t="b">
        <v>0</v>
      </c>
      <c r="V276" s="141">
        <f>IF(AND(H276=TRUE,OR(K276="",K276&gt;M276)),S276,0)</f>
        <v/>
      </c>
      <c r="W276" s="140" t="n">
        <v>0</v>
      </c>
      <c r="X276" s="140" t="b">
        <v>0</v>
      </c>
      <c r="Y276" s="143">
        <f>IF(H276=FALSE,VLOOKUP($C276,Sales!$C:$F,4,FALSE),1)</f>
        <v/>
      </c>
      <c r="Z276" s="140">
        <f>IF(Y276=0,"Release",IF(AND(L276&lt;J276,Y276=1,H276=FALSE,U276=FALSE,MONTH(L276)&amp;"/"&amp;YEAR(L276)&lt;&gt;MONTH(J276)&amp;"/"&amp;YEAR(J276)),"Release",""))</f>
        <v/>
      </c>
      <c r="AA276" s="144">
        <f>_xlfn.minifs($L:$L,$C:$C,$C276,$F:$F,"&lt;&gt;0")</f>
        <v/>
      </c>
      <c r="AB276" s="144">
        <f>C276&amp;"-"&amp;A276</f>
        <v/>
      </c>
      <c r="AC276" s="144">
        <f>L276</f>
        <v/>
      </c>
    </row>
    <row r="277">
      <c r="A277" s="140" t="inlineStr">
        <is>
          <t>ZVAN05</t>
        </is>
      </c>
      <c r="B277" s="140" t="n">
        <v>12</v>
      </c>
      <c r="C277" s="140" t="inlineStr">
        <is>
          <t>HVF204</t>
        </is>
      </c>
      <c r="D277" s="140" t="inlineStr">
        <is>
          <t>F</t>
        </is>
      </c>
      <c r="E277" s="140" t="inlineStr">
        <is>
          <t>van der Sandt Hermanus</t>
        </is>
      </c>
      <c r="F277" s="141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</f>
        <v/>
      </c>
      <c r="G277" s="142" t="n">
        <v>45408</v>
      </c>
      <c r="H277" s="140">
        <f>VLOOKUP($C277,Sales!$C:$E,2,FALSE)</f>
        <v/>
      </c>
      <c r="I277" s="140">
        <f>VLOOKUP($C277,Sales!$C:$E,3,FALSE)</f>
        <v/>
      </c>
      <c r="J277" s="142">
        <f>SUMIFS(Sales!$H:$H,Sales!$C:$C,'Investor Exit List'!$C277)</f>
        <v/>
      </c>
      <c r="K277" s="142">
        <f>IF(I277=TRUE,J277,"")</f>
        <v/>
      </c>
      <c r="L277" s="142">
        <f>G277+730</f>
        <v/>
      </c>
      <c r="M277" s="142" t="n">
        <v>45443</v>
      </c>
      <c r="N277" s="143">
        <f>IFERROR(IF(G277&lt;&gt;"",IF(I277=TRUE,0,IF(U277=TRUE,0,L277-M277)),0),0)</f>
        <v/>
      </c>
      <c r="O277" s="143">
        <f>IF(N277&gt;0,IF(N277&lt;=180,N277,0),0)</f>
        <v/>
      </c>
      <c r="P277" s="141">
        <f>IF(AND(N277&lt;90,N277&gt;0),Q277,0)</f>
        <v/>
      </c>
      <c r="Q277" s="141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/>
      </c>
      <c r="R277" s="141">
        <f>IF(AND(H277=TRUE,I277=FALSE),Q277,0)</f>
        <v/>
      </c>
      <c r="S277" s="141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/>
      </c>
      <c r="T277" s="142">
        <f>IF(U277=TRUE,$J277,"")</f>
        <v/>
      </c>
      <c r="U277" s="140" t="b">
        <v>0</v>
      </c>
      <c r="V277" s="141">
        <f>IF(AND(H277=TRUE,OR(K277="",K277&gt;M277)),S277,0)</f>
        <v/>
      </c>
      <c r="W277" s="140" t="n">
        <v>0</v>
      </c>
      <c r="X277" s="140" t="b">
        <v>0</v>
      </c>
      <c r="Y277" s="143">
        <f>IF(H277=FALSE,VLOOKUP($C277,Sales!$C:$F,4,FALSE),1)</f>
        <v/>
      </c>
      <c r="Z277" s="140">
        <f>IF(Y277=0,"Release",IF(AND(L277&lt;J277,Y277=1,H277=FALSE,U277=FALSE,MONTH(L277)&amp;"/"&amp;YEAR(L277)&lt;&gt;MONTH(J277)&amp;"/"&amp;YEAR(J277)),"Release",""))</f>
        <v/>
      </c>
      <c r="AA277" s="144">
        <f>_xlfn.minifs($L:$L,$C:$C,$C277,$F:$F,"&lt;&gt;0")</f>
        <v/>
      </c>
      <c r="AB277" s="144">
        <f>C277&amp;"-"&amp;A277</f>
        <v/>
      </c>
      <c r="AC277" s="144">
        <f>L277</f>
        <v/>
      </c>
    </row>
    <row r="278">
      <c r="A278" s="140" t="inlineStr">
        <is>
          <t>ZCRO01</t>
        </is>
      </c>
      <c r="B278" s="140" t="n">
        <v>16</v>
      </c>
      <c r="C278" s="140" t="inlineStr">
        <is>
          <t>HVG101</t>
        </is>
      </c>
      <c r="D278" s="140" t="inlineStr">
        <is>
          <t>G</t>
        </is>
      </c>
      <c r="E278" s="140" t="inlineStr">
        <is>
          <t>Lunau Marc</t>
        </is>
      </c>
      <c r="F278" s="141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</f>
        <v/>
      </c>
      <c r="G278" s="142" t="n">
        <v>45129</v>
      </c>
      <c r="H278" s="140">
        <f>VLOOKUP($C278,Sales!$C:$E,2,FALSE)</f>
        <v/>
      </c>
      <c r="I278" s="140">
        <f>VLOOKUP($C278,Sales!$C:$E,3,FALSE)</f>
        <v/>
      </c>
      <c r="J278" s="142">
        <f>SUMIFS(Sales!$H:$H,Sales!$C:$C,'Investor Exit List'!$C278)</f>
        <v/>
      </c>
      <c r="K278" s="142">
        <f>IF(I278=TRUE,J278,"")</f>
        <v/>
      </c>
      <c r="L278" s="142">
        <f>G278+730</f>
        <v/>
      </c>
      <c r="M278" s="142" t="n">
        <v>45443</v>
      </c>
      <c r="N278" s="143">
        <f>IFERROR(IF(G278&lt;&gt;"",IF(I278=TRUE,0,IF(U278=TRUE,0,L278-M278)),0),0)</f>
        <v/>
      </c>
      <c r="O278" s="143">
        <f>IF(N278&gt;0,IF(N278&lt;=180,N278,0),0)</f>
        <v/>
      </c>
      <c r="P278" s="141">
        <f>IF(AND(N278&lt;90,N278&gt;0),Q278,0)</f>
        <v/>
      </c>
      <c r="Q278" s="141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/>
      </c>
      <c r="R278" s="141">
        <f>IF(AND(H278=TRUE,I278=FALSE),Q278,0)</f>
        <v/>
      </c>
      <c r="S278" s="141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/>
      </c>
      <c r="T278" s="142">
        <f>IF(U278=TRUE,$J278,"")</f>
        <v/>
      </c>
      <c r="U278" s="140" t="b">
        <v>0</v>
      </c>
      <c r="V278" s="141">
        <f>IF(AND(H278=TRUE,OR(K278="",K278&gt;M278)),S278,0)</f>
        <v/>
      </c>
      <c r="W278" s="140" t="n">
        <v>0</v>
      </c>
      <c r="X278" s="140" t="b">
        <v>0</v>
      </c>
      <c r="Y278" s="143">
        <f>IF(H278=FALSE,VLOOKUP($C278,Sales!$C:$F,4,FALSE),1)</f>
        <v/>
      </c>
      <c r="Z278" s="140">
        <f>IF(Y278=0,"Release",IF(AND(L278&lt;J278,Y278=1,H278=FALSE,U278=FALSE,MONTH(L278)&amp;"/"&amp;YEAR(L278)&lt;&gt;MONTH(J278)&amp;"/"&amp;YEAR(J278)),"Release",""))</f>
        <v/>
      </c>
      <c r="AA278" s="144">
        <f>_xlfn.minifs($L:$L,$C:$C,$C278,$F:$F,"&lt;&gt;0")</f>
        <v/>
      </c>
      <c r="AB278" s="144">
        <f>C278&amp;"-"&amp;A278</f>
        <v/>
      </c>
      <c r="AC278" s="144">
        <f>L278</f>
        <v/>
      </c>
    </row>
    <row r="279">
      <c r="A279" s="140" t="inlineStr">
        <is>
          <t>ZWIL02</t>
        </is>
      </c>
      <c r="B279" s="140" t="n">
        <v>3</v>
      </c>
      <c r="C279" s="140" t="inlineStr">
        <is>
          <t>HVG101</t>
        </is>
      </c>
      <c r="D279" s="140" t="inlineStr">
        <is>
          <t>G</t>
        </is>
      </c>
      <c r="E279" s="140" t="inlineStr">
        <is>
          <t>Williams Pia Inga</t>
        </is>
      </c>
      <c r="F279" s="141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</f>
        <v/>
      </c>
      <c r="G279" s="142" t="n">
        <v>45168</v>
      </c>
      <c r="H279" s="140">
        <f>VLOOKUP($C279,Sales!$C:$E,2,FALSE)</f>
        <v/>
      </c>
      <c r="I279" s="140">
        <f>VLOOKUP($C279,Sales!$C:$E,3,FALSE)</f>
        <v/>
      </c>
      <c r="J279" s="142">
        <f>SUMIFS(Sales!$H:$H,Sales!$C:$C,'Investor Exit List'!$C279)</f>
        <v/>
      </c>
      <c r="K279" s="142">
        <f>IF(I279=TRUE,J279,"")</f>
        <v/>
      </c>
      <c r="L279" s="142">
        <f>G279+730</f>
        <v/>
      </c>
      <c r="M279" s="142" t="n">
        <v>45443</v>
      </c>
      <c r="N279" s="143">
        <f>IFERROR(IF(G279&lt;&gt;"",IF(I279=TRUE,0,IF(U279=TRUE,0,L279-M279)),0),0)</f>
        <v/>
      </c>
      <c r="O279" s="143">
        <f>IF(N279&gt;0,IF(N279&lt;=180,N279,0),0)</f>
        <v/>
      </c>
      <c r="P279" s="141">
        <f>IF(AND(N279&lt;90,N279&gt;0),Q279,0)</f>
        <v/>
      </c>
      <c r="Q279" s="141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/>
      </c>
      <c r="R279" s="141">
        <f>IF(AND(H279=TRUE,I279=FALSE),Q279,0)</f>
        <v/>
      </c>
      <c r="S279" s="141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/>
      </c>
      <c r="T279" s="142">
        <f>IF(U279=TRUE,$J279,"")</f>
        <v/>
      </c>
      <c r="U279" s="140" t="b">
        <v>0</v>
      </c>
      <c r="V279" s="141">
        <f>IF(AND(H279=TRUE,OR(K279="",K279&gt;M279)),S279,0)</f>
        <v/>
      </c>
      <c r="W279" s="140" t="n">
        <v>0</v>
      </c>
      <c r="X279" s="140" t="b">
        <v>0</v>
      </c>
      <c r="Y279" s="143">
        <f>IF(H279=FALSE,VLOOKUP($C279,Sales!$C:$F,4,FALSE),1)</f>
        <v/>
      </c>
      <c r="Z279" s="140">
        <f>IF(Y279=0,"Release",IF(AND(L279&lt;J279,Y279=1,H279=FALSE,U279=FALSE,MONTH(L279)&amp;"/"&amp;YEAR(L279)&lt;&gt;MONTH(J279)&amp;"/"&amp;YEAR(J279)),"Release",""))</f>
        <v/>
      </c>
      <c r="AA279" s="144">
        <f>_xlfn.minifs($L:$L,$C:$C,$C279,$F:$F,"&lt;&gt;0")</f>
        <v/>
      </c>
      <c r="AB279" s="144">
        <f>C279&amp;"-"&amp;A279</f>
        <v/>
      </c>
      <c r="AC279" s="144">
        <f>L279</f>
        <v/>
      </c>
    </row>
    <row r="280">
      <c r="A280" s="140" t="inlineStr">
        <is>
          <t>ZKRIE0</t>
        </is>
      </c>
      <c r="B280" s="140" t="n">
        <v>2</v>
      </c>
      <c r="C280" s="140" t="inlineStr">
        <is>
          <t>HVG102</t>
        </is>
      </c>
      <c r="D280" s="140" t="inlineStr">
        <is>
          <t>G</t>
        </is>
      </c>
      <c r="E280" s="140" t="inlineStr">
        <is>
          <t>Kriek Johan Christiaan Rudolph</t>
        </is>
      </c>
      <c r="F280" s="141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</f>
        <v/>
      </c>
      <c r="G280" s="142" t="n">
        <v>45189</v>
      </c>
      <c r="H280" s="140">
        <f>VLOOKUP($C280,Sales!$C:$E,2,FALSE)</f>
        <v/>
      </c>
      <c r="I280" s="140">
        <f>VLOOKUP($C280,Sales!$C:$E,3,FALSE)</f>
        <v/>
      </c>
      <c r="J280" s="142">
        <f>SUMIFS(Sales!$H:$H,Sales!$C:$C,'Investor Exit List'!$C280)</f>
        <v/>
      </c>
      <c r="K280" s="142">
        <f>IF(I280=TRUE,J280,"")</f>
        <v/>
      </c>
      <c r="L280" s="142">
        <f>G280+730</f>
        <v/>
      </c>
      <c r="M280" s="142" t="n">
        <v>45443</v>
      </c>
      <c r="N280" s="143">
        <f>IFERROR(IF(G280&lt;&gt;"",IF(I280=TRUE,0,IF(U280=TRUE,0,L280-M280)),0),0)</f>
        <v/>
      </c>
      <c r="O280" s="143">
        <f>IF(N280&gt;0,IF(N280&lt;=180,N280,0),0)</f>
        <v/>
      </c>
      <c r="P280" s="141">
        <f>IF(AND(N280&lt;90,N280&gt;0),Q280,0)</f>
        <v/>
      </c>
      <c r="Q280" s="141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/>
      </c>
      <c r="R280" s="141">
        <f>IF(AND(H280=TRUE,I280=FALSE),Q280,0)</f>
        <v/>
      </c>
      <c r="S280" s="141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/>
      </c>
      <c r="T280" s="142">
        <f>IF(U280=TRUE,$J280,"")</f>
        <v/>
      </c>
      <c r="U280" s="140" t="b">
        <v>0</v>
      </c>
      <c r="V280" s="141">
        <f>IF(AND(H280=TRUE,OR(K280="",K280&gt;M280)),S280,0)</f>
        <v/>
      </c>
      <c r="W280" s="140" t="n">
        <v>0</v>
      </c>
      <c r="X280" s="140" t="b">
        <v>0</v>
      </c>
      <c r="Y280" s="143">
        <f>IF(H280=FALSE,VLOOKUP($C280,Sales!$C:$F,4,FALSE),1)</f>
        <v/>
      </c>
      <c r="Z280" s="140">
        <f>IF(Y280=0,"Release",IF(AND(L280&lt;J280,Y280=1,H280=FALSE,U280=FALSE,MONTH(L280)&amp;"/"&amp;YEAR(L280)&lt;&gt;MONTH(J280)&amp;"/"&amp;YEAR(J280)),"Release",""))</f>
        <v/>
      </c>
      <c r="AA280" s="144">
        <f>_xlfn.minifs($L:$L,$C:$C,$C280,$F:$F,"&lt;&gt;0")</f>
        <v/>
      </c>
      <c r="AB280" s="144">
        <f>C280&amp;"-"&amp;A280</f>
        <v/>
      </c>
      <c r="AC280" s="144">
        <f>L280</f>
        <v/>
      </c>
    </row>
    <row r="281">
      <c r="A281" s="140" t="inlineStr">
        <is>
          <t>ZSIV01</t>
        </is>
      </c>
      <c r="B281" s="140" t="n">
        <v>2</v>
      </c>
      <c r="C281" s="140" t="inlineStr">
        <is>
          <t>HVG102</t>
        </is>
      </c>
      <c r="D281" s="140" t="inlineStr">
        <is>
          <t>G</t>
        </is>
      </c>
      <c r="E281" s="140" t="inlineStr">
        <is>
          <t>Bedell-Sivright Gareth William</t>
        </is>
      </c>
      <c r="F281" s="141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</f>
        <v/>
      </c>
      <c r="G281" s="142" t="n">
        <v>45161</v>
      </c>
      <c r="H281" s="140">
        <f>VLOOKUP($C281,Sales!$C:$E,2,FALSE)</f>
        <v/>
      </c>
      <c r="I281" s="140">
        <f>VLOOKUP($C281,Sales!$C:$E,3,FALSE)</f>
        <v/>
      </c>
      <c r="J281" s="142">
        <f>SUMIFS(Sales!$H:$H,Sales!$C:$C,'Investor Exit List'!$C281)</f>
        <v/>
      </c>
      <c r="K281" s="142">
        <f>IF(I281=TRUE,J281,"")</f>
        <v/>
      </c>
      <c r="L281" s="142">
        <f>G281+730</f>
        <v/>
      </c>
      <c r="M281" s="142" t="n">
        <v>45443</v>
      </c>
      <c r="N281" s="143">
        <f>IFERROR(IF(G281&lt;&gt;"",IF(I281=TRUE,0,IF(U281=TRUE,0,L281-M281)),0),0)</f>
        <v/>
      </c>
      <c r="O281" s="143">
        <f>IF(N281&gt;0,IF(N281&lt;=180,N281,0),0)</f>
        <v/>
      </c>
      <c r="P281" s="141">
        <f>IF(AND(N281&lt;90,N281&gt;0),Q281,0)</f>
        <v/>
      </c>
      <c r="Q281" s="141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/>
      </c>
      <c r="R281" s="141">
        <f>IF(AND(H281=TRUE,I281=FALSE),Q281,0)</f>
        <v/>
      </c>
      <c r="S281" s="141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/>
      </c>
      <c r="T281" s="142">
        <f>IF(U281=TRUE,$J281,"")</f>
        <v/>
      </c>
      <c r="U281" s="140" t="b">
        <v>0</v>
      </c>
      <c r="V281" s="141">
        <f>IF(AND(H281=TRUE,OR(K281="",K281&gt;M281)),S281,0)</f>
        <v/>
      </c>
      <c r="W281" s="140" t="n">
        <v>0</v>
      </c>
      <c r="X281" s="140" t="b">
        <v>0</v>
      </c>
      <c r="Y281" s="143">
        <f>IF(H281=FALSE,VLOOKUP($C281,Sales!$C:$F,4,FALSE),1)</f>
        <v/>
      </c>
      <c r="Z281" s="140">
        <f>IF(Y281=0,"Release",IF(AND(L281&lt;J281,Y281=1,H281=FALSE,U281=FALSE,MONTH(L281)&amp;"/"&amp;YEAR(L281)&lt;&gt;MONTH(J281)&amp;"/"&amp;YEAR(J281)),"Release",""))</f>
        <v/>
      </c>
      <c r="AA281" s="144">
        <f>_xlfn.minifs($L:$L,$C:$C,$C281,$F:$F,"&lt;&gt;0")</f>
        <v/>
      </c>
      <c r="AB281" s="144">
        <f>C281&amp;"-"&amp;A281</f>
        <v/>
      </c>
      <c r="AC281" s="144">
        <f>L281</f>
        <v/>
      </c>
    </row>
    <row r="282">
      <c r="A282" s="140" t="inlineStr">
        <is>
          <t>ZDEJ01</t>
        </is>
      </c>
      <c r="B282" s="140" t="n">
        <v>1</v>
      </c>
      <c r="C282" s="140" t="inlineStr">
        <is>
          <t>HVG103</t>
        </is>
      </c>
      <c r="D282" s="140" t="inlineStr">
        <is>
          <t>G</t>
        </is>
      </c>
      <c r="E282" s="140" t="inlineStr">
        <is>
          <t>de Jager Anarene Beatrice</t>
        </is>
      </c>
      <c r="F282" s="141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</f>
        <v/>
      </c>
      <c r="G282" s="142" t="n">
        <v>45198</v>
      </c>
      <c r="H282" s="140">
        <f>VLOOKUP($C282,Sales!$C:$E,2,FALSE)</f>
        <v/>
      </c>
      <c r="I282" s="140">
        <f>VLOOKUP($C282,Sales!$C:$E,3,FALSE)</f>
        <v/>
      </c>
      <c r="J282" s="142">
        <f>SUMIFS(Sales!$H:$H,Sales!$C:$C,'Investor Exit List'!$C282)</f>
        <v/>
      </c>
      <c r="K282" s="142">
        <f>IF(I282=TRUE,J282,"")</f>
        <v/>
      </c>
      <c r="L282" s="142">
        <f>G282+730</f>
        <v/>
      </c>
      <c r="M282" s="142" t="n">
        <v>45443</v>
      </c>
      <c r="N282" s="143">
        <f>IFERROR(IF(G282&lt;&gt;"",IF(I282=TRUE,0,IF(U282=TRUE,0,L282-M282)),0),0)</f>
        <v/>
      </c>
      <c r="O282" s="143">
        <f>IF(N282&gt;0,IF(N282&lt;=180,N282,0),0)</f>
        <v/>
      </c>
      <c r="P282" s="141">
        <f>IF(AND(N282&lt;90,N282&gt;0),Q282,0)</f>
        <v/>
      </c>
      <c r="Q282" s="141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/>
      </c>
      <c r="R282" s="141">
        <f>IF(AND(H282=TRUE,I282=FALSE),Q282,0)</f>
        <v/>
      </c>
      <c r="S282" s="141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/>
      </c>
      <c r="T282" s="142">
        <f>IF(U282=TRUE,$J282,"")</f>
        <v/>
      </c>
      <c r="U282" s="140" t="b">
        <v>0</v>
      </c>
      <c r="V282" s="141">
        <f>IF(AND(H282=TRUE,OR(K282="",K282&gt;M282)),S282,0)</f>
        <v/>
      </c>
      <c r="W282" s="140" t="n">
        <v>0</v>
      </c>
      <c r="X282" s="140" t="b">
        <v>0</v>
      </c>
      <c r="Y282" s="143">
        <f>IF(H282=FALSE,VLOOKUP($C282,Sales!$C:$F,4,FALSE),1)</f>
        <v/>
      </c>
      <c r="Z282" s="140">
        <f>IF(Y282=0,"Release",IF(AND(L282&lt;J282,Y282=1,H282=FALSE,U282=FALSE,MONTH(L282)&amp;"/"&amp;YEAR(L282)&lt;&gt;MONTH(J282)&amp;"/"&amp;YEAR(J282)),"Release",""))</f>
        <v/>
      </c>
      <c r="AA282" s="144">
        <f>_xlfn.minifs($L:$L,$C:$C,$C282,$F:$F,"&lt;&gt;0")</f>
        <v/>
      </c>
      <c r="AB282" s="144">
        <f>C282&amp;"-"&amp;A282</f>
        <v/>
      </c>
      <c r="AC282" s="144">
        <f>L282</f>
        <v/>
      </c>
    </row>
    <row r="283">
      <c r="A283" s="140" t="inlineStr">
        <is>
          <t>ZSCA02</t>
        </is>
      </c>
      <c r="B283" s="140" t="n">
        <v>3</v>
      </c>
      <c r="C283" s="140" t="inlineStr">
        <is>
          <t>HVG103</t>
        </is>
      </c>
      <c r="D283" s="140" t="inlineStr">
        <is>
          <t>G</t>
        </is>
      </c>
      <c r="E283" s="140" t="inlineStr">
        <is>
          <t>Scalzini Chad</t>
        </is>
      </c>
      <c r="F283" s="141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</f>
        <v/>
      </c>
      <c r="G283" s="142" t="n">
        <v>45198</v>
      </c>
      <c r="H283" s="140">
        <f>VLOOKUP($C283,Sales!$C:$E,2,FALSE)</f>
        <v/>
      </c>
      <c r="I283" s="140">
        <f>VLOOKUP($C283,Sales!$C:$E,3,FALSE)</f>
        <v/>
      </c>
      <c r="J283" s="142">
        <f>SUMIFS(Sales!$H:$H,Sales!$C:$C,'Investor Exit List'!$C283)</f>
        <v/>
      </c>
      <c r="K283" s="142">
        <f>IF(I283=TRUE,J283,"")</f>
        <v/>
      </c>
      <c r="L283" s="142">
        <f>G283+730</f>
        <v/>
      </c>
      <c r="M283" s="142" t="n">
        <v>45443</v>
      </c>
      <c r="N283" s="143">
        <f>IFERROR(IF(G283&lt;&gt;"",IF(I283=TRUE,0,IF(U283=TRUE,0,L283-M283)),0),0)</f>
        <v/>
      </c>
      <c r="O283" s="143">
        <f>IF(N283&gt;0,IF(N283&lt;=180,N283,0),0)</f>
        <v/>
      </c>
      <c r="P283" s="141">
        <f>IF(AND(N283&lt;90,N283&gt;0),Q283,0)</f>
        <v/>
      </c>
      <c r="Q283" s="141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/>
      </c>
      <c r="R283" s="141">
        <f>IF(AND(H283=TRUE,I283=FALSE),Q283,0)</f>
        <v/>
      </c>
      <c r="S283" s="141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/>
      </c>
      <c r="T283" s="142">
        <f>IF(U283=TRUE,$J283,"")</f>
        <v/>
      </c>
      <c r="U283" s="140" t="b">
        <v>0</v>
      </c>
      <c r="V283" s="141">
        <f>IF(AND(H283=TRUE,OR(K283="",K283&gt;M283)),S283,0)</f>
        <v/>
      </c>
      <c r="W283" s="140" t="n">
        <v>0</v>
      </c>
      <c r="X283" s="140" t="b">
        <v>0</v>
      </c>
      <c r="Y283" s="143">
        <f>IF(H283=FALSE,VLOOKUP($C283,Sales!$C:$F,4,FALSE),1)</f>
        <v/>
      </c>
      <c r="Z283" s="140">
        <f>IF(Y283=0,"Release",IF(AND(L283&lt;J283,Y283=1,H283=FALSE,U283=FALSE,MONTH(L283)&amp;"/"&amp;YEAR(L283)&lt;&gt;MONTH(J283)&amp;"/"&amp;YEAR(J283)),"Release",""))</f>
        <v/>
      </c>
      <c r="AA283" s="144">
        <f>_xlfn.minifs($L:$L,$C:$C,$C283,$F:$F,"&lt;&gt;0")</f>
        <v/>
      </c>
      <c r="AB283" s="144">
        <f>C283&amp;"-"&amp;A283</f>
        <v/>
      </c>
      <c r="AC283" s="144">
        <f>L283</f>
        <v/>
      </c>
    </row>
    <row r="284">
      <c r="A284" s="140" t="inlineStr">
        <is>
          <t>ZDOT01</t>
        </is>
      </c>
      <c r="B284" s="140" t="n">
        <v>2</v>
      </c>
      <c r="C284" s="140" t="inlineStr">
        <is>
          <t>HVG104</t>
        </is>
      </c>
      <c r="D284" s="140" t="inlineStr">
        <is>
          <t>G</t>
        </is>
      </c>
      <c r="E284" s="140" t="inlineStr">
        <is>
          <t>Pope Mark Charles</t>
        </is>
      </c>
      <c r="F284" s="141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</f>
        <v/>
      </c>
      <c r="G284" s="142" t="n">
        <v>45198</v>
      </c>
      <c r="H284" s="140">
        <f>VLOOKUP($C284,Sales!$C:$E,2,FALSE)</f>
        <v/>
      </c>
      <c r="I284" s="140">
        <f>VLOOKUP($C284,Sales!$C:$E,3,FALSE)</f>
        <v/>
      </c>
      <c r="J284" s="142">
        <f>SUMIFS(Sales!$H:$H,Sales!$C:$C,'Investor Exit List'!$C284)</f>
        <v/>
      </c>
      <c r="K284" s="142">
        <f>IF(I284=TRUE,J284,"")</f>
        <v/>
      </c>
      <c r="L284" s="142">
        <f>G284+730</f>
        <v/>
      </c>
      <c r="M284" s="142" t="n">
        <v>45443</v>
      </c>
      <c r="N284" s="143">
        <f>IFERROR(IF(G284&lt;&gt;"",IF(I284=TRUE,0,IF(U284=TRUE,0,L284-M284)),0),0)</f>
        <v/>
      </c>
      <c r="O284" s="143">
        <f>IF(N284&gt;0,IF(N284&lt;=180,N284,0),0)</f>
        <v/>
      </c>
      <c r="P284" s="141">
        <f>IF(AND(N284&lt;90,N284&gt;0),Q284,0)</f>
        <v/>
      </c>
      <c r="Q284" s="141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/>
      </c>
      <c r="R284" s="141">
        <f>IF(AND(H284=TRUE,I284=FALSE),Q284,0)</f>
        <v/>
      </c>
      <c r="S284" s="141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/>
      </c>
      <c r="T284" s="142">
        <f>IF(U284=TRUE,$J284,"")</f>
        <v/>
      </c>
      <c r="U284" s="140" t="b">
        <v>0</v>
      </c>
      <c r="V284" s="141">
        <f>IF(AND(H284=TRUE,OR(K284="",K284&gt;M284)),S284,0)</f>
        <v/>
      </c>
      <c r="W284" s="140" t="n">
        <v>0</v>
      </c>
      <c r="X284" s="140" t="b">
        <v>0</v>
      </c>
      <c r="Y284" s="143">
        <f>IF(H284=FALSE,VLOOKUP($C284,Sales!$C:$F,4,FALSE),1)</f>
        <v/>
      </c>
      <c r="Z284" s="140">
        <f>IF(Y284=0,"Release",IF(AND(L284&lt;J284,Y284=1,H284=FALSE,U284=FALSE,MONTH(L284)&amp;"/"&amp;YEAR(L284)&lt;&gt;MONTH(J284)&amp;"/"&amp;YEAR(J284)),"Release",""))</f>
        <v/>
      </c>
      <c r="AA284" s="144">
        <f>_xlfn.minifs($L:$L,$C:$C,$C284,$F:$F,"&lt;&gt;0")</f>
        <v/>
      </c>
      <c r="AB284" s="144">
        <f>C284&amp;"-"&amp;A284</f>
        <v/>
      </c>
      <c r="AC284" s="144">
        <f>L284</f>
        <v/>
      </c>
    </row>
    <row r="285">
      <c r="A285" s="140" t="inlineStr">
        <is>
          <t>ZVOR01</t>
        </is>
      </c>
      <c r="B285" s="140" t="n">
        <v>6</v>
      </c>
      <c r="C285" s="140" t="inlineStr">
        <is>
          <t>HVG104</t>
        </is>
      </c>
      <c r="D285" s="140" t="inlineStr">
        <is>
          <t>G</t>
        </is>
      </c>
      <c r="E285" s="140" t="inlineStr">
        <is>
          <t xml:space="preserve">Vorster Sophia Maria Catharina </t>
        </is>
      </c>
      <c r="F285" s="141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</f>
        <v/>
      </c>
      <c r="G285" s="142" t="n">
        <v>45224</v>
      </c>
      <c r="H285" s="140">
        <f>VLOOKUP($C285,Sales!$C:$E,2,FALSE)</f>
        <v/>
      </c>
      <c r="I285" s="140">
        <f>VLOOKUP($C285,Sales!$C:$E,3,FALSE)</f>
        <v/>
      </c>
      <c r="J285" s="142">
        <f>SUMIFS(Sales!$H:$H,Sales!$C:$C,'Investor Exit List'!$C285)</f>
        <v/>
      </c>
      <c r="K285" s="142">
        <f>IF(I285=TRUE,J285,"")</f>
        <v/>
      </c>
      <c r="L285" s="142">
        <f>G285+730</f>
        <v/>
      </c>
      <c r="M285" s="142" t="n">
        <v>45443</v>
      </c>
      <c r="N285" s="143">
        <f>IFERROR(IF(G285&lt;&gt;"",IF(I285=TRUE,0,IF(U285=TRUE,0,L285-M285)),0),0)</f>
        <v/>
      </c>
      <c r="O285" s="143">
        <f>IF(N285&gt;0,IF(N285&lt;=180,N285,0),0)</f>
        <v/>
      </c>
      <c r="P285" s="141">
        <f>IF(AND(N285&lt;90,N285&gt;0),Q285,0)</f>
        <v/>
      </c>
      <c r="Q285" s="141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/>
      </c>
      <c r="R285" s="141">
        <f>IF(AND(H285=TRUE,I285=FALSE),Q285,0)</f>
        <v/>
      </c>
      <c r="S285" s="141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/>
      </c>
      <c r="T285" s="142">
        <f>IF(U285=TRUE,$J285,"")</f>
        <v/>
      </c>
      <c r="U285" s="140" t="b">
        <v>0</v>
      </c>
      <c r="V285" s="141">
        <f>IF(AND(H285=TRUE,OR(K285="",K285&gt;M285)),S285,0)</f>
        <v/>
      </c>
      <c r="W285" s="140" t="n">
        <v>0</v>
      </c>
      <c r="X285" s="140" t="b">
        <v>0</v>
      </c>
      <c r="Y285" s="143">
        <f>IF(H285=FALSE,VLOOKUP($C285,Sales!$C:$F,4,FALSE),1)</f>
        <v/>
      </c>
      <c r="Z285" s="140">
        <f>IF(Y285=0,"Release",IF(AND(L285&lt;J285,Y285=1,H285=FALSE,U285=FALSE,MONTH(L285)&amp;"/"&amp;YEAR(L285)&lt;&gt;MONTH(J285)&amp;"/"&amp;YEAR(J285)),"Release",""))</f>
        <v/>
      </c>
      <c r="AA285" s="144">
        <f>_xlfn.minifs($L:$L,$C:$C,$C285,$F:$F,"&lt;&gt;0")</f>
        <v/>
      </c>
      <c r="AB285" s="144">
        <f>C285&amp;"-"&amp;A285</f>
        <v/>
      </c>
      <c r="AC285" s="144">
        <f>L285</f>
        <v/>
      </c>
    </row>
    <row r="286">
      <c r="A286" s="140" t="inlineStr">
        <is>
          <t>ZREN01</t>
        </is>
      </c>
      <c r="B286" s="140" t="n">
        <v>4</v>
      </c>
      <c r="C286" s="140" t="inlineStr">
        <is>
          <t>HVG201</t>
        </is>
      </c>
      <c r="D286" s="140" t="inlineStr">
        <is>
          <t>G</t>
        </is>
      </c>
      <c r="E286" s="140" t="inlineStr">
        <is>
          <t>van Rensburg Marlene Ann</t>
        </is>
      </c>
      <c r="F286" s="141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</f>
        <v/>
      </c>
      <c r="G286" s="142" t="n">
        <v>45168</v>
      </c>
      <c r="H286" s="140">
        <f>VLOOKUP($C286,Sales!$C:$E,2,FALSE)</f>
        <v/>
      </c>
      <c r="I286" s="140">
        <f>VLOOKUP($C286,Sales!$C:$E,3,FALSE)</f>
        <v/>
      </c>
      <c r="J286" s="142">
        <f>SUMIFS(Sales!$H:$H,Sales!$C:$C,'Investor Exit List'!$C286)</f>
        <v/>
      </c>
      <c r="K286" s="142">
        <f>IF(I286=TRUE,J286,"")</f>
        <v/>
      </c>
      <c r="L286" s="142">
        <f>G286+730</f>
        <v/>
      </c>
      <c r="M286" s="142" t="n">
        <v>45443</v>
      </c>
      <c r="N286" s="143">
        <f>IFERROR(IF(G286&lt;&gt;"",IF(I286=TRUE,0,IF(U286=TRUE,0,L286-M286)),0),0)</f>
        <v/>
      </c>
      <c r="O286" s="143">
        <f>IF(N286&gt;0,IF(N286&lt;=180,N286,0),0)</f>
        <v/>
      </c>
      <c r="P286" s="141">
        <f>IF(AND(N286&lt;90,N286&gt;0),Q286,0)</f>
        <v/>
      </c>
      <c r="Q286" s="141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/>
      </c>
      <c r="R286" s="141">
        <f>IF(AND(H286=TRUE,I286=FALSE),Q286,0)</f>
        <v/>
      </c>
      <c r="S286" s="141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/>
      </c>
      <c r="T286" s="142">
        <f>IF(U286=TRUE,$J286,"")</f>
        <v/>
      </c>
      <c r="U286" s="140" t="b">
        <v>0</v>
      </c>
      <c r="V286" s="141">
        <f>IF(AND(H286=TRUE,OR(K286="",K286&gt;M286)),S286,0)</f>
        <v/>
      </c>
      <c r="W286" s="140" t="n">
        <v>0</v>
      </c>
      <c r="X286" s="140" t="b">
        <v>0</v>
      </c>
      <c r="Y286" s="143">
        <f>IF(H286=FALSE,VLOOKUP($C286,Sales!$C:$F,4,FALSE),1)</f>
        <v/>
      </c>
      <c r="Z286" s="140">
        <f>IF(Y286=0,"Release",IF(AND(L286&lt;J286,Y286=1,H286=FALSE,U286=FALSE,MONTH(L286)&amp;"/"&amp;YEAR(L286)&lt;&gt;MONTH(J286)&amp;"/"&amp;YEAR(J286)),"Release",""))</f>
        <v/>
      </c>
      <c r="AA286" s="144">
        <f>_xlfn.minifs($L:$L,$C:$C,$C286,$F:$F,"&lt;&gt;0")</f>
        <v/>
      </c>
      <c r="AB286" s="144">
        <f>C286&amp;"-"&amp;A286</f>
        <v/>
      </c>
      <c r="AC286" s="144">
        <f>L286</f>
        <v/>
      </c>
    </row>
    <row r="287">
      <c r="A287" s="140" t="inlineStr">
        <is>
          <t>ZVAN05</t>
        </is>
      </c>
      <c r="B287" s="140" t="n">
        <v>9</v>
      </c>
      <c r="C287" s="140" t="inlineStr">
        <is>
          <t>HVG201</t>
        </is>
      </c>
      <c r="D287" s="140" t="inlineStr">
        <is>
          <t>G</t>
        </is>
      </c>
      <c r="E287" s="140" t="inlineStr">
        <is>
          <t>van der Sandt Hermanus</t>
        </is>
      </c>
      <c r="F287" s="141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</f>
        <v/>
      </c>
      <c r="G287" s="142" t="n">
        <v>45198</v>
      </c>
      <c r="H287" s="140">
        <f>VLOOKUP($C287,Sales!$C:$E,2,FALSE)</f>
        <v/>
      </c>
      <c r="I287" s="140">
        <f>VLOOKUP($C287,Sales!$C:$E,3,FALSE)</f>
        <v/>
      </c>
      <c r="J287" s="142">
        <f>SUMIFS(Sales!$H:$H,Sales!$C:$C,'Investor Exit List'!$C287)</f>
        <v/>
      </c>
      <c r="K287" s="142">
        <f>IF(I287=TRUE,J287,"")</f>
        <v/>
      </c>
      <c r="L287" s="142">
        <f>G287+730</f>
        <v/>
      </c>
      <c r="M287" s="142" t="n">
        <v>45443</v>
      </c>
      <c r="N287" s="143">
        <f>IFERROR(IF(G287&lt;&gt;"",IF(I287=TRUE,0,IF(U287=TRUE,0,L287-M287)),0),0)</f>
        <v/>
      </c>
      <c r="O287" s="143">
        <f>IF(N287&gt;0,IF(N287&lt;=180,N287,0),0)</f>
        <v/>
      </c>
      <c r="P287" s="141">
        <f>IF(AND(N287&lt;90,N287&gt;0),Q287,0)</f>
        <v/>
      </c>
      <c r="Q287" s="141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/>
      </c>
      <c r="R287" s="141">
        <f>IF(AND(H287=TRUE,I287=FALSE),Q287,0)</f>
        <v/>
      </c>
      <c r="S287" s="141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/>
      </c>
      <c r="T287" s="142">
        <f>IF(U287=TRUE,$J287,"")</f>
        <v/>
      </c>
      <c r="U287" s="140" t="b">
        <v>0</v>
      </c>
      <c r="V287" s="141">
        <f>IF(AND(H287=TRUE,OR(K287="",K287&gt;M287)),S287,0)</f>
        <v/>
      </c>
      <c r="W287" s="140" t="n">
        <v>0</v>
      </c>
      <c r="X287" s="140" t="b">
        <v>0</v>
      </c>
      <c r="Y287" s="143">
        <f>IF(H287=FALSE,VLOOKUP($C287,Sales!$C:$F,4,FALSE),1)</f>
        <v/>
      </c>
      <c r="Z287" s="140">
        <f>IF(Y287=0,"Release",IF(AND(L287&lt;J287,Y287=1,H287=FALSE,U287=FALSE,MONTH(L287)&amp;"/"&amp;YEAR(L287)&lt;&gt;MONTH(J287)&amp;"/"&amp;YEAR(J287)),"Release",""))</f>
        <v/>
      </c>
      <c r="AA287" s="144">
        <f>_xlfn.minifs($L:$L,$C:$C,$C287,$F:$F,"&lt;&gt;0")</f>
        <v/>
      </c>
      <c r="AB287" s="144">
        <f>C287&amp;"-"&amp;A287</f>
        <v/>
      </c>
      <c r="AC287" s="144">
        <f>L287</f>
        <v/>
      </c>
    </row>
    <row r="288">
      <c r="A288" s="140" t="inlineStr">
        <is>
          <t>ZLAB01</t>
        </is>
      </c>
      <c r="B288" s="140" t="n">
        <v>5</v>
      </c>
      <c r="C288" s="140" t="inlineStr">
        <is>
          <t>HVG202</t>
        </is>
      </c>
      <c r="D288" s="140" t="inlineStr">
        <is>
          <t>G</t>
        </is>
      </c>
      <c r="E288" s="140" t="inlineStr">
        <is>
          <t>Labuschagne Andre Jan</t>
        </is>
      </c>
      <c r="F288" s="141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</f>
        <v/>
      </c>
      <c r="G288" s="142" t="n">
        <v>45129</v>
      </c>
      <c r="H288" s="140">
        <f>VLOOKUP($C288,Sales!$C:$E,2,FALSE)</f>
        <v/>
      </c>
      <c r="I288" s="140">
        <f>VLOOKUP($C288,Sales!$C:$E,3,FALSE)</f>
        <v/>
      </c>
      <c r="J288" s="142">
        <f>SUMIFS(Sales!$H:$H,Sales!$C:$C,'Investor Exit List'!$C288)</f>
        <v/>
      </c>
      <c r="K288" s="142">
        <f>IF(I288=TRUE,J288,"")</f>
        <v/>
      </c>
      <c r="L288" s="142">
        <f>G288+730</f>
        <v/>
      </c>
      <c r="M288" s="142" t="n">
        <v>45443</v>
      </c>
      <c r="N288" s="143">
        <f>IFERROR(IF(G288&lt;&gt;"",IF(I288=TRUE,0,IF(U288=TRUE,0,L288-M288)),0),0)</f>
        <v/>
      </c>
      <c r="O288" s="143">
        <f>IF(N288&gt;0,IF(N288&lt;=180,N288,0),0)</f>
        <v/>
      </c>
      <c r="P288" s="141">
        <f>IF(AND(N288&lt;90,N288&gt;0),Q288,0)</f>
        <v/>
      </c>
      <c r="Q288" s="141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/>
      </c>
      <c r="R288" s="141">
        <f>IF(AND(H288=TRUE,I288=FALSE),Q288,0)</f>
        <v/>
      </c>
      <c r="S288" s="141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/>
      </c>
      <c r="T288" s="142">
        <f>IF(U288=TRUE,$J288,"")</f>
        <v/>
      </c>
      <c r="U288" s="140" t="b">
        <v>0</v>
      </c>
      <c r="V288" s="141">
        <f>IF(AND(H288=TRUE,OR(K288="",K288&gt;M288)),S288,0)</f>
        <v/>
      </c>
      <c r="W288" s="140" t="n">
        <v>0</v>
      </c>
      <c r="X288" s="140" t="b">
        <v>0</v>
      </c>
      <c r="Y288" s="143">
        <f>IF(H288=FALSE,VLOOKUP($C288,Sales!$C:$F,4,FALSE),1)</f>
        <v/>
      </c>
      <c r="Z288" s="140">
        <f>IF(Y288=0,"Release",IF(AND(L288&lt;J288,Y288=1,H288=FALSE,U288=FALSE,MONTH(L288)&amp;"/"&amp;YEAR(L288)&lt;&gt;MONTH(J288)&amp;"/"&amp;YEAR(J288)),"Release",""))</f>
        <v/>
      </c>
      <c r="AA288" s="144">
        <f>_xlfn.minifs($L:$L,$C:$C,$C288,$F:$F,"&lt;&gt;0")</f>
        <v/>
      </c>
      <c r="AB288" s="144">
        <f>C288&amp;"-"&amp;A288</f>
        <v/>
      </c>
      <c r="AC288" s="144">
        <f>L288</f>
        <v/>
      </c>
    </row>
    <row r="289">
      <c r="A289" s="140" t="inlineStr">
        <is>
          <t>ZRAN01</t>
        </is>
      </c>
      <c r="B289" s="140" t="n">
        <v>27</v>
      </c>
      <c r="C289" s="140" t="inlineStr">
        <is>
          <t>HVG202</t>
        </is>
      </c>
      <c r="D289" s="140" t="inlineStr">
        <is>
          <t>G</t>
        </is>
      </c>
      <c r="E289" s="140" t="inlineStr">
        <is>
          <t>Rankin Ross Partick Gemill</t>
        </is>
      </c>
      <c r="F289" s="141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</f>
        <v/>
      </c>
      <c r="G289" s="142" t="n">
        <v>45252</v>
      </c>
      <c r="H289" s="140">
        <f>VLOOKUP($C289,Sales!$C:$E,2,FALSE)</f>
        <v/>
      </c>
      <c r="I289" s="140">
        <f>VLOOKUP($C289,Sales!$C:$E,3,FALSE)</f>
        <v/>
      </c>
      <c r="J289" s="142">
        <f>SUMIFS(Sales!$H:$H,Sales!$C:$C,'Investor Exit List'!$C289)</f>
        <v/>
      </c>
      <c r="K289" s="142">
        <f>IF(I289=TRUE,J289,"")</f>
        <v/>
      </c>
      <c r="L289" s="142">
        <f>G289+730</f>
        <v/>
      </c>
      <c r="M289" s="142" t="n">
        <v>45443</v>
      </c>
      <c r="N289" s="143">
        <f>IFERROR(IF(G289&lt;&gt;"",IF(I289=TRUE,0,IF(U289=TRUE,0,L289-M289)),0),0)</f>
        <v/>
      </c>
      <c r="O289" s="143">
        <f>IF(N289&gt;0,IF(N289&lt;=180,N289,0),0)</f>
        <v/>
      </c>
      <c r="P289" s="141">
        <f>IF(AND(N289&lt;90,N289&gt;0),Q289,0)</f>
        <v/>
      </c>
      <c r="Q289" s="141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/>
      </c>
      <c r="R289" s="141">
        <f>IF(AND(H289=TRUE,I289=FALSE),Q289,0)</f>
        <v/>
      </c>
      <c r="S289" s="141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/>
      </c>
      <c r="T289" s="142">
        <f>IF(U289=TRUE,$J289,"")</f>
        <v/>
      </c>
      <c r="U289" s="140" t="b">
        <v>0</v>
      </c>
      <c r="V289" s="141">
        <f>IF(AND(H289=TRUE,OR(K289="",K289&gt;M289)),S289,0)</f>
        <v/>
      </c>
      <c r="W289" s="140" t="n">
        <v>0</v>
      </c>
      <c r="X289" s="140" t="b">
        <v>0</v>
      </c>
      <c r="Y289" s="143">
        <f>IF(H289=FALSE,VLOOKUP($C289,Sales!$C:$F,4,FALSE),1)</f>
        <v/>
      </c>
      <c r="Z289" s="140">
        <f>IF(Y289=0,"Release",IF(AND(L289&lt;J289,Y289=1,H289=FALSE,U289=FALSE,MONTH(L289)&amp;"/"&amp;YEAR(L289)&lt;&gt;MONTH(J289)&amp;"/"&amp;YEAR(J289)),"Release",""))</f>
        <v/>
      </c>
      <c r="AA289" s="144">
        <f>_xlfn.minifs($L:$L,$C:$C,$C289,$F:$F,"&lt;&gt;0")</f>
        <v/>
      </c>
      <c r="AB289" s="144">
        <f>C289&amp;"-"&amp;A289</f>
        <v/>
      </c>
      <c r="AC289" s="144">
        <f>L289</f>
        <v/>
      </c>
    </row>
    <row r="290">
      <c r="A290" s="140" t="inlineStr">
        <is>
          <t>ZSCA02</t>
        </is>
      </c>
      <c r="B290" s="140" t="n">
        <v>2</v>
      </c>
      <c r="C290" s="140" t="inlineStr">
        <is>
          <t>HVG202</t>
        </is>
      </c>
      <c r="D290" s="140" t="inlineStr">
        <is>
          <t>G</t>
        </is>
      </c>
      <c r="E290" s="140" t="inlineStr">
        <is>
          <t>Scalzini Chad</t>
        </is>
      </c>
      <c r="F290" s="141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</f>
        <v/>
      </c>
      <c r="G290" s="142" t="n">
        <v>45168</v>
      </c>
      <c r="H290" s="140">
        <f>VLOOKUP($C290,Sales!$C:$E,2,FALSE)</f>
        <v/>
      </c>
      <c r="I290" s="140">
        <f>VLOOKUP($C290,Sales!$C:$E,3,FALSE)</f>
        <v/>
      </c>
      <c r="J290" s="142">
        <f>SUMIFS(Sales!$H:$H,Sales!$C:$C,'Investor Exit List'!$C290)</f>
        <v/>
      </c>
      <c r="K290" s="142">
        <f>IF(I290=TRUE,J290,"")</f>
        <v/>
      </c>
      <c r="L290" s="142">
        <f>G290+730</f>
        <v/>
      </c>
      <c r="M290" s="142" t="n">
        <v>45443</v>
      </c>
      <c r="N290" s="143">
        <f>IFERROR(IF(G290&lt;&gt;"",IF(I290=TRUE,0,IF(U290=TRUE,0,L290-M290)),0),0)</f>
        <v/>
      </c>
      <c r="O290" s="143">
        <f>IF(N290&gt;0,IF(N290&lt;=180,N290,0),0)</f>
        <v/>
      </c>
      <c r="P290" s="141">
        <f>IF(AND(N290&lt;90,N290&gt;0),Q290,0)</f>
        <v/>
      </c>
      <c r="Q290" s="141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/>
      </c>
      <c r="R290" s="141">
        <f>IF(AND(H290=TRUE,I290=FALSE),Q290,0)</f>
        <v/>
      </c>
      <c r="S290" s="141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/>
      </c>
      <c r="T290" s="142">
        <f>IF(U290=TRUE,$J290,"")</f>
        <v/>
      </c>
      <c r="U290" s="140" t="b">
        <v>0</v>
      </c>
      <c r="V290" s="141">
        <f>IF(AND(H290=TRUE,OR(K290="",K290&gt;M290)),S290,0)</f>
        <v/>
      </c>
      <c r="W290" s="140" t="n">
        <v>0</v>
      </c>
      <c r="X290" s="140" t="b">
        <v>0</v>
      </c>
      <c r="Y290" s="143">
        <f>IF(H290=FALSE,VLOOKUP($C290,Sales!$C:$F,4,FALSE),1)</f>
        <v/>
      </c>
      <c r="Z290" s="140">
        <f>IF(Y290=0,"Release",IF(AND(L290&lt;J290,Y290=1,H290=FALSE,U290=FALSE,MONTH(L290)&amp;"/"&amp;YEAR(L290)&lt;&gt;MONTH(J290)&amp;"/"&amp;YEAR(J290)),"Release",""))</f>
        <v/>
      </c>
      <c r="AA290" s="144">
        <f>_xlfn.minifs($L:$L,$C:$C,$C290,$F:$F,"&lt;&gt;0")</f>
        <v/>
      </c>
      <c r="AB290" s="144">
        <f>C290&amp;"-"&amp;A290</f>
        <v/>
      </c>
      <c r="AC290" s="144">
        <f>L290</f>
        <v/>
      </c>
    </row>
    <row r="291">
      <c r="A291" s="140" t="inlineStr">
        <is>
          <t>ZGEL01</t>
        </is>
      </c>
      <c r="B291" s="140" t="n">
        <v>1</v>
      </c>
      <c r="C291" s="140" t="inlineStr">
        <is>
          <t>HVG203</t>
        </is>
      </c>
      <c r="D291" s="140" t="inlineStr">
        <is>
          <t>G</t>
        </is>
      </c>
      <c r="E291" s="140" t="inlineStr">
        <is>
          <t>Geldenhuys Teresse</t>
        </is>
      </c>
      <c r="F291" s="141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</f>
        <v/>
      </c>
      <c r="G291" s="142" t="n">
        <v>45252</v>
      </c>
      <c r="H291" s="140">
        <f>VLOOKUP($C291,Sales!$C:$E,2,FALSE)</f>
        <v/>
      </c>
      <c r="I291" s="140">
        <f>VLOOKUP($C291,Sales!$C:$E,3,FALSE)</f>
        <v/>
      </c>
      <c r="J291" s="142">
        <f>SUMIFS(Sales!$H:$H,Sales!$C:$C,'Investor Exit List'!$C291)</f>
        <v/>
      </c>
      <c r="K291" s="142">
        <f>IF(I291=TRUE,J291,"")</f>
        <v/>
      </c>
      <c r="L291" s="142">
        <f>G291+730</f>
        <v/>
      </c>
      <c r="M291" s="142" t="n">
        <v>45443</v>
      </c>
      <c r="N291" s="143">
        <f>IFERROR(IF(G291&lt;&gt;"",IF(I291=TRUE,0,IF(U291=TRUE,0,L291-M291)),0),0)</f>
        <v/>
      </c>
      <c r="O291" s="143">
        <f>IF(N291&gt;0,IF(N291&lt;=180,N291,0),0)</f>
        <v/>
      </c>
      <c r="P291" s="141">
        <f>IF(AND(N291&lt;90,N291&gt;0),Q291,0)</f>
        <v/>
      </c>
      <c r="Q291" s="141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/>
      </c>
      <c r="R291" s="141">
        <f>IF(AND(H291=TRUE,I291=FALSE),Q291,0)</f>
        <v/>
      </c>
      <c r="S291" s="141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/>
      </c>
      <c r="T291" s="142">
        <f>IF(U291=TRUE,$J291,"")</f>
        <v/>
      </c>
      <c r="U291" s="140" t="b">
        <v>0</v>
      </c>
      <c r="V291" s="141">
        <f>IF(AND(H291=TRUE,OR(K291="",K291&gt;M291)),S291,0)</f>
        <v/>
      </c>
      <c r="W291" s="140" t="n">
        <v>0</v>
      </c>
      <c r="X291" s="140" t="b">
        <v>0</v>
      </c>
      <c r="Y291" s="143">
        <f>IF(H291=FALSE,VLOOKUP($C291,Sales!$C:$F,4,FALSE),1)</f>
        <v/>
      </c>
      <c r="Z291" s="140">
        <f>IF(Y291=0,"Release",IF(AND(L291&lt;J291,Y291=1,H291=FALSE,U291=FALSE,MONTH(L291)&amp;"/"&amp;YEAR(L291)&lt;&gt;MONTH(J291)&amp;"/"&amp;YEAR(J291)),"Release",""))</f>
        <v/>
      </c>
      <c r="AA291" s="144">
        <f>_xlfn.minifs($L:$L,$C:$C,$C291,$F:$F,"&lt;&gt;0")</f>
        <v/>
      </c>
      <c r="AB291" s="144">
        <f>C291&amp;"-"&amp;A291</f>
        <v/>
      </c>
      <c r="AC291" s="144">
        <f>L291</f>
        <v/>
      </c>
    </row>
    <row r="292">
      <c r="A292" s="140" t="inlineStr">
        <is>
          <t>ZRAN01</t>
        </is>
      </c>
      <c r="B292" s="140" t="n">
        <v>26</v>
      </c>
      <c r="C292" s="140" t="inlineStr">
        <is>
          <t>HVG203</t>
        </is>
      </c>
      <c r="D292" s="140" t="inlineStr">
        <is>
          <t>G</t>
        </is>
      </c>
      <c r="E292" s="140" t="inlineStr">
        <is>
          <t>Rankin Ross Partick Gemill</t>
        </is>
      </c>
      <c r="F292" s="141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</f>
        <v/>
      </c>
      <c r="G292" s="142" t="n">
        <v>45129</v>
      </c>
      <c r="H292" s="140">
        <f>VLOOKUP($C292,Sales!$C:$E,2,FALSE)</f>
        <v/>
      </c>
      <c r="I292" s="140">
        <f>VLOOKUP($C292,Sales!$C:$E,3,FALSE)</f>
        <v/>
      </c>
      <c r="J292" s="142">
        <f>SUMIFS(Sales!$H:$H,Sales!$C:$C,'Investor Exit List'!$C292)</f>
        <v/>
      </c>
      <c r="K292" s="142">
        <f>IF(I292=TRUE,J292,"")</f>
        <v/>
      </c>
      <c r="L292" s="142">
        <f>G292+730</f>
        <v/>
      </c>
      <c r="M292" s="142" t="n">
        <v>45443</v>
      </c>
      <c r="N292" s="143">
        <f>IFERROR(IF(G292&lt;&gt;"",IF(I292=TRUE,0,IF(U292=TRUE,0,L292-M292)),0),0)</f>
        <v/>
      </c>
      <c r="O292" s="143">
        <f>IF(N292&gt;0,IF(N292&lt;=180,N292,0),0)</f>
        <v/>
      </c>
      <c r="P292" s="141">
        <f>IF(AND(N292&lt;90,N292&gt;0),Q292,0)</f>
        <v/>
      </c>
      <c r="Q292" s="141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/>
      </c>
      <c r="R292" s="141">
        <f>IF(AND(H292=TRUE,I292=FALSE),Q292,0)</f>
        <v/>
      </c>
      <c r="S292" s="141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/>
      </c>
      <c r="T292" s="142">
        <f>IF(U292=TRUE,$J292,"")</f>
        <v/>
      </c>
      <c r="U292" s="140" t="b">
        <v>0</v>
      </c>
      <c r="V292" s="141">
        <f>IF(AND(H292=TRUE,OR(K292="",K292&gt;M292)),S292,0)</f>
        <v/>
      </c>
      <c r="W292" s="140" t="n">
        <v>0</v>
      </c>
      <c r="X292" s="140" t="b">
        <v>0</v>
      </c>
      <c r="Y292" s="143">
        <f>IF(H292=FALSE,VLOOKUP($C292,Sales!$C:$F,4,FALSE),1)</f>
        <v/>
      </c>
      <c r="Z292" s="140">
        <f>IF(Y292=0,"Release",IF(AND(L292&lt;J292,Y292=1,H292=FALSE,U292=FALSE,MONTH(L292)&amp;"/"&amp;YEAR(L292)&lt;&gt;MONTH(J292)&amp;"/"&amp;YEAR(J292)),"Release",""))</f>
        <v/>
      </c>
      <c r="AA292" s="144">
        <f>_xlfn.minifs($L:$L,$C:$C,$C292,$F:$F,"&lt;&gt;0")</f>
        <v/>
      </c>
      <c r="AB292" s="144">
        <f>C292&amp;"-"&amp;A292</f>
        <v/>
      </c>
      <c r="AC292" s="144">
        <f>L292</f>
        <v/>
      </c>
    </row>
    <row r="293">
      <c r="A293" s="140" t="inlineStr">
        <is>
          <t>ZSMI02</t>
        </is>
      </c>
      <c r="B293" s="140" t="n">
        <v>2</v>
      </c>
      <c r="C293" s="140" t="inlineStr">
        <is>
          <t>HVG203</t>
        </is>
      </c>
      <c r="D293" s="140" t="inlineStr">
        <is>
          <t>G</t>
        </is>
      </c>
      <c r="E293" s="140" t="inlineStr">
        <is>
          <t>Smit Sophia Catharina</t>
        </is>
      </c>
      <c r="F293" s="141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</f>
        <v/>
      </c>
      <c r="G293" s="142" t="n">
        <v>45168</v>
      </c>
      <c r="H293" s="140">
        <f>VLOOKUP($C293,Sales!$C:$E,2,FALSE)</f>
        <v/>
      </c>
      <c r="I293" s="140">
        <f>VLOOKUP($C293,Sales!$C:$E,3,FALSE)</f>
        <v/>
      </c>
      <c r="J293" s="142">
        <f>SUMIFS(Sales!$H:$H,Sales!$C:$C,'Investor Exit List'!$C293)</f>
        <v/>
      </c>
      <c r="K293" s="142">
        <f>IF(I293=TRUE,J293,"")</f>
        <v/>
      </c>
      <c r="L293" s="142">
        <f>G293+730</f>
        <v/>
      </c>
      <c r="M293" s="142" t="n">
        <v>45443</v>
      </c>
      <c r="N293" s="143">
        <f>IFERROR(IF(G293&lt;&gt;"",IF(I293=TRUE,0,IF(U293=TRUE,0,L293-M293)),0),0)</f>
        <v/>
      </c>
      <c r="O293" s="143">
        <f>IF(N293&gt;0,IF(N293&lt;=180,N293,0),0)</f>
        <v/>
      </c>
      <c r="P293" s="141">
        <f>IF(AND(N293&lt;90,N293&gt;0),Q293,0)</f>
        <v/>
      </c>
      <c r="Q293" s="141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/>
      </c>
      <c r="R293" s="141">
        <f>IF(AND(H293=TRUE,I293=FALSE),Q293,0)</f>
        <v/>
      </c>
      <c r="S293" s="141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/>
      </c>
      <c r="T293" s="142">
        <f>IF(U293=TRUE,$J293,"")</f>
        <v/>
      </c>
      <c r="U293" s="140" t="b">
        <v>0</v>
      </c>
      <c r="V293" s="141">
        <f>IF(AND(H293=TRUE,OR(K293="",K293&gt;M293)),S293,0)</f>
        <v/>
      </c>
      <c r="W293" s="140" t="n">
        <v>0</v>
      </c>
      <c r="X293" s="140" t="b">
        <v>0</v>
      </c>
      <c r="Y293" s="143">
        <f>IF(H293=FALSE,VLOOKUP($C293,Sales!$C:$F,4,FALSE),1)</f>
        <v/>
      </c>
      <c r="Z293" s="140">
        <f>IF(Y293=0,"Release",IF(AND(L293&lt;J293,Y293=1,H293=FALSE,U293=FALSE,MONTH(L293)&amp;"/"&amp;YEAR(L293)&lt;&gt;MONTH(J293)&amp;"/"&amp;YEAR(J293)),"Release",""))</f>
        <v/>
      </c>
      <c r="AA293" s="144">
        <f>_xlfn.minifs($L:$L,$C:$C,$C293,$F:$F,"&lt;&gt;0")</f>
        <v/>
      </c>
      <c r="AB293" s="144">
        <f>C293&amp;"-"&amp;A293</f>
        <v/>
      </c>
      <c r="AC293" s="144">
        <f>L293</f>
        <v/>
      </c>
    </row>
    <row r="294">
      <c r="A294" s="140" t="inlineStr">
        <is>
          <t>ZTHA01</t>
        </is>
      </c>
      <c r="B294" s="140" t="n">
        <v>5</v>
      </c>
      <c r="C294" s="140" t="inlineStr">
        <is>
          <t>HVG203</t>
        </is>
      </c>
      <c r="D294" s="140" t="inlineStr">
        <is>
          <t>G</t>
        </is>
      </c>
      <c r="E294" s="140" t="inlineStr">
        <is>
          <t>Matthee Gerald Adriaan Odendal</t>
        </is>
      </c>
      <c r="F294" s="141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</f>
        <v/>
      </c>
      <c r="G294" s="142" t="n">
        <v>45252</v>
      </c>
      <c r="H294" s="140">
        <f>VLOOKUP($C294,Sales!$C:$E,2,FALSE)</f>
        <v/>
      </c>
      <c r="I294" s="140">
        <f>VLOOKUP($C294,Sales!$C:$E,3,FALSE)</f>
        <v/>
      </c>
      <c r="J294" s="142">
        <f>SUMIFS(Sales!$H:$H,Sales!$C:$C,'Investor Exit List'!$C294)</f>
        <v/>
      </c>
      <c r="K294" s="142">
        <f>IF(I294=TRUE,J294,"")</f>
        <v/>
      </c>
      <c r="L294" s="142">
        <f>G294+730</f>
        <v/>
      </c>
      <c r="M294" s="142" t="n">
        <v>45443</v>
      </c>
      <c r="N294" s="143">
        <f>IFERROR(IF(G294&lt;&gt;"",IF(I294=TRUE,0,IF(U294=TRUE,0,L294-M294)),0),0)</f>
        <v/>
      </c>
      <c r="O294" s="143">
        <f>IF(N294&gt;0,IF(N294&lt;=180,N294,0),0)</f>
        <v/>
      </c>
      <c r="P294" s="141">
        <f>IF(AND(N294&lt;90,N294&gt;0),Q294,0)</f>
        <v/>
      </c>
      <c r="Q294" s="141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/>
      </c>
      <c r="R294" s="141">
        <f>IF(AND(H294=TRUE,I294=FALSE),Q294,0)</f>
        <v/>
      </c>
      <c r="S294" s="141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/>
      </c>
      <c r="T294" s="142">
        <f>IF(U294=TRUE,$J294,"")</f>
        <v/>
      </c>
      <c r="U294" s="140" t="b">
        <v>0</v>
      </c>
      <c r="V294" s="141">
        <f>IF(AND(H294=TRUE,OR(K294="",K294&gt;M294)),S294,0)</f>
        <v/>
      </c>
      <c r="W294" s="140" t="n">
        <v>0</v>
      </c>
      <c r="X294" s="140" t="b">
        <v>0</v>
      </c>
      <c r="Y294" s="143">
        <f>IF(H294=FALSE,VLOOKUP($C294,Sales!$C:$F,4,FALSE),1)</f>
        <v/>
      </c>
      <c r="Z294" s="140">
        <f>IF(Y294=0,"Release",IF(AND(L294&lt;J294,Y294=1,H294=FALSE,U294=FALSE,MONTH(L294)&amp;"/"&amp;YEAR(L294)&lt;&gt;MONTH(J294)&amp;"/"&amp;YEAR(J294)),"Release",""))</f>
        <v/>
      </c>
      <c r="AA294" s="144">
        <f>_xlfn.minifs($L:$L,$C:$C,$C294,$F:$F,"&lt;&gt;0")</f>
        <v/>
      </c>
      <c r="AB294" s="144">
        <f>C294&amp;"-"&amp;A294</f>
        <v/>
      </c>
      <c r="AC294" s="144">
        <f>L294</f>
        <v/>
      </c>
    </row>
    <row r="295">
      <c r="A295" s="140" t="inlineStr">
        <is>
          <t>ZBAS01</t>
        </is>
      </c>
      <c r="B295" s="140" t="n">
        <v>1</v>
      </c>
      <c r="C295" s="140" t="inlineStr">
        <is>
          <t>HVG204</t>
        </is>
      </c>
      <c r="D295" s="140" t="inlineStr">
        <is>
          <t>G</t>
        </is>
      </c>
      <c r="E295" s="140" t="inlineStr">
        <is>
          <t>Basson Nicolaas Johannes (Nico)</t>
        </is>
      </c>
      <c r="F295" s="141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</f>
        <v/>
      </c>
      <c r="G295" s="142" t="n">
        <v>45198</v>
      </c>
      <c r="H295" s="140">
        <f>VLOOKUP($C295,Sales!$C:$E,2,FALSE)</f>
        <v/>
      </c>
      <c r="I295" s="140">
        <f>VLOOKUP($C295,Sales!$C:$E,3,FALSE)</f>
        <v/>
      </c>
      <c r="J295" s="142">
        <f>SUMIFS(Sales!$H:$H,Sales!$C:$C,'Investor Exit List'!$C295)</f>
        <v/>
      </c>
      <c r="K295" s="142">
        <f>IF(I295=TRUE,J295,"")</f>
        <v/>
      </c>
      <c r="L295" s="142">
        <f>G295+730</f>
        <v/>
      </c>
      <c r="M295" s="142" t="n">
        <v>45443</v>
      </c>
      <c r="N295" s="143">
        <f>IFERROR(IF(G295&lt;&gt;"",IF(I295=TRUE,0,IF(U295=TRUE,0,L295-M295)),0),0)</f>
        <v/>
      </c>
      <c r="O295" s="143">
        <f>IF(N295&gt;0,IF(N295&lt;=180,N295,0),0)</f>
        <v/>
      </c>
      <c r="P295" s="141">
        <f>IF(AND(N295&lt;90,N295&gt;0),Q295,0)</f>
        <v/>
      </c>
      <c r="Q295" s="141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/>
      </c>
      <c r="R295" s="141">
        <f>IF(AND(H295=TRUE,I295=FALSE),Q295,0)</f>
        <v/>
      </c>
      <c r="S295" s="141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/>
      </c>
      <c r="T295" s="142">
        <f>IF(U295=TRUE,$J295,"")</f>
        <v/>
      </c>
      <c r="U295" s="140" t="b">
        <v>0</v>
      </c>
      <c r="V295" s="141">
        <f>IF(AND(H295=TRUE,OR(K295="",K295&gt;M295)),S295,0)</f>
        <v/>
      </c>
      <c r="W295" s="140" t="n">
        <v>0</v>
      </c>
      <c r="X295" s="140" t="b">
        <v>0</v>
      </c>
      <c r="Y295" s="143">
        <f>IF(H295=FALSE,VLOOKUP($C295,Sales!$C:$F,4,FALSE),1)</f>
        <v/>
      </c>
      <c r="Z295" s="140">
        <f>IF(Y295=0,"Release",IF(AND(L295&lt;J295,Y295=1,H295=FALSE,U295=FALSE,MONTH(L295)&amp;"/"&amp;YEAR(L295)&lt;&gt;MONTH(J295)&amp;"/"&amp;YEAR(J295)),"Release",""))</f>
        <v/>
      </c>
      <c r="AA295" s="144">
        <f>_xlfn.minifs($L:$L,$C:$C,$C295,$F:$F,"&lt;&gt;0")</f>
        <v/>
      </c>
      <c r="AB295" s="144">
        <f>C295&amp;"-"&amp;A295</f>
        <v/>
      </c>
      <c r="AC295" s="144">
        <f>L295</f>
        <v/>
      </c>
    </row>
    <row r="296">
      <c r="A296" s="140" t="inlineStr">
        <is>
          <t>ZBEL01</t>
        </is>
      </c>
      <c r="B296" s="140" t="n">
        <v>7</v>
      </c>
      <c r="C296" s="140" t="inlineStr">
        <is>
          <t>HVG204</t>
        </is>
      </c>
      <c r="D296" s="140" t="inlineStr">
        <is>
          <t>G</t>
        </is>
      </c>
      <c r="E296" s="140" t="inlineStr">
        <is>
          <t>Belford Helen Constance</t>
        </is>
      </c>
      <c r="F296" s="141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</f>
        <v/>
      </c>
      <c r="G296" s="142" t="n">
        <v>45252</v>
      </c>
      <c r="H296" s="140">
        <f>VLOOKUP($C296,Sales!$C:$E,2,FALSE)</f>
        <v/>
      </c>
      <c r="I296" s="140">
        <f>VLOOKUP($C296,Sales!$C:$E,3,FALSE)</f>
        <v/>
      </c>
      <c r="J296" s="142">
        <f>SUMIFS(Sales!$H:$H,Sales!$C:$C,'Investor Exit List'!$C296)</f>
        <v/>
      </c>
      <c r="K296" s="142">
        <f>IF(I296=TRUE,J296,"")</f>
        <v/>
      </c>
      <c r="L296" s="142">
        <f>G296+730</f>
        <v/>
      </c>
      <c r="M296" s="142" t="n">
        <v>45443</v>
      </c>
      <c r="N296" s="143">
        <f>IFERROR(IF(G296&lt;&gt;"",IF(I296=TRUE,0,IF(U296=TRUE,0,L296-M296)),0),0)</f>
        <v/>
      </c>
      <c r="O296" s="143">
        <f>IF(N296&gt;0,IF(N296&lt;=180,N296,0),0)</f>
        <v/>
      </c>
      <c r="P296" s="141">
        <f>IF(AND(N296&lt;90,N296&gt;0),Q296,0)</f>
        <v/>
      </c>
      <c r="Q296" s="141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/>
      </c>
      <c r="R296" s="141">
        <f>IF(AND(H296=TRUE,I296=FALSE),Q296,0)</f>
        <v/>
      </c>
      <c r="S296" s="141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/>
      </c>
      <c r="T296" s="142">
        <f>IF(U296=TRUE,$J296,"")</f>
        <v/>
      </c>
      <c r="U296" s="140" t="b">
        <v>0</v>
      </c>
      <c r="V296" s="141">
        <f>IF(AND(H296=TRUE,OR(K296="",K296&gt;M296)),S296,0)</f>
        <v/>
      </c>
      <c r="W296" s="140" t="n">
        <v>0</v>
      </c>
      <c r="X296" s="140" t="b">
        <v>0</v>
      </c>
      <c r="Y296" s="143">
        <f>IF(H296=FALSE,VLOOKUP($C296,Sales!$C:$F,4,FALSE),1)</f>
        <v/>
      </c>
      <c r="Z296" s="140">
        <f>IF(Y296=0,"Release",IF(AND(L296&lt;J296,Y296=1,H296=FALSE,U296=FALSE,MONTH(L296)&amp;"/"&amp;YEAR(L296)&lt;&gt;MONTH(J296)&amp;"/"&amp;YEAR(J296)),"Release",""))</f>
        <v/>
      </c>
      <c r="AA296" s="144">
        <f>_xlfn.minifs($L:$L,$C:$C,$C296,$F:$F,"&lt;&gt;0")</f>
        <v/>
      </c>
      <c r="AB296" s="144">
        <f>C296&amp;"-"&amp;A296</f>
        <v/>
      </c>
      <c r="AC296" s="144">
        <f>L296</f>
        <v/>
      </c>
    </row>
    <row r="297">
      <c r="A297" s="140" t="inlineStr">
        <is>
          <t>ZMOS01</t>
        </is>
      </c>
      <c r="B297" s="140" t="n">
        <v>1</v>
      </c>
      <c r="C297" s="140" t="inlineStr">
        <is>
          <t>HVG204</t>
        </is>
      </c>
      <c r="D297" s="140" t="inlineStr">
        <is>
          <t>G</t>
        </is>
      </c>
      <c r="E297" s="140" t="inlineStr">
        <is>
          <t>Mosca Colin Giovanni</t>
        </is>
      </c>
      <c r="F297" s="141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</f>
        <v/>
      </c>
      <c r="G297" s="142" t="n">
        <v>45198</v>
      </c>
      <c r="H297" s="140">
        <f>VLOOKUP($C297,Sales!$C:$E,2,FALSE)</f>
        <v/>
      </c>
      <c r="I297" s="140">
        <f>VLOOKUP($C297,Sales!$C:$E,3,FALSE)</f>
        <v/>
      </c>
      <c r="J297" s="142">
        <f>SUMIFS(Sales!$H:$H,Sales!$C:$C,'Investor Exit List'!$C297)</f>
        <v/>
      </c>
      <c r="K297" s="142">
        <f>IF(I297=TRUE,J297,"")</f>
        <v/>
      </c>
      <c r="L297" s="142">
        <f>G297+730</f>
        <v/>
      </c>
      <c r="M297" s="142" t="n">
        <v>45443</v>
      </c>
      <c r="N297" s="143">
        <f>IFERROR(IF(G297&lt;&gt;"",IF(I297=TRUE,0,IF(U297=TRUE,0,L297-M297)),0),0)</f>
        <v/>
      </c>
      <c r="O297" s="143">
        <f>IF(N297&gt;0,IF(N297&lt;=180,N297,0),0)</f>
        <v/>
      </c>
      <c r="P297" s="141">
        <f>IF(AND(N297&lt;90,N297&gt;0),Q297,0)</f>
        <v/>
      </c>
      <c r="Q297" s="141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/>
      </c>
      <c r="R297" s="141">
        <f>IF(AND(H297=TRUE,I297=FALSE),Q297,0)</f>
        <v/>
      </c>
      <c r="S297" s="141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/>
      </c>
      <c r="T297" s="142">
        <f>IF(U297=TRUE,$J297,"")</f>
        <v/>
      </c>
      <c r="U297" s="140" t="b">
        <v>0</v>
      </c>
      <c r="V297" s="141">
        <f>IF(AND(H297=TRUE,OR(K297="",K297&gt;M297)),S297,0)</f>
        <v/>
      </c>
      <c r="W297" s="140" t="n">
        <v>0</v>
      </c>
      <c r="X297" s="140" t="b">
        <v>0</v>
      </c>
      <c r="Y297" s="143">
        <f>IF(H297=FALSE,VLOOKUP($C297,Sales!$C:$F,4,FALSE),1)</f>
        <v/>
      </c>
      <c r="Z297" s="140">
        <f>IF(Y297=0,"Release",IF(AND(L297&lt;J297,Y297=1,H297=FALSE,U297=FALSE,MONTH(L297)&amp;"/"&amp;YEAR(L297)&lt;&gt;MONTH(J297)&amp;"/"&amp;YEAR(J297)),"Release",""))</f>
        <v/>
      </c>
      <c r="AA297" s="144">
        <f>_xlfn.minifs($L:$L,$C:$C,$C297,$F:$F,"&lt;&gt;0")</f>
        <v/>
      </c>
      <c r="AB297" s="144">
        <f>C297&amp;"-"&amp;A297</f>
        <v/>
      </c>
      <c r="AC297" s="144">
        <f>L297</f>
        <v/>
      </c>
    </row>
    <row r="298">
      <c r="A298" s="140" t="inlineStr">
        <is>
          <t>ZHAR02</t>
        </is>
      </c>
      <c r="B298" s="140" t="n">
        <v>1</v>
      </c>
      <c r="C298" s="140" t="inlineStr">
        <is>
          <t>HVG301</t>
        </is>
      </c>
      <c r="D298" s="140" t="inlineStr">
        <is>
          <t>G</t>
        </is>
      </c>
      <c r="E298" s="140" t="inlineStr">
        <is>
          <t>Harrington Lionel Carl</t>
        </is>
      </c>
      <c r="F298" s="141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</f>
        <v/>
      </c>
      <c r="G298" s="142" t="n">
        <v>45198</v>
      </c>
      <c r="H298" s="140">
        <f>VLOOKUP($C298,Sales!$C:$E,2,FALSE)</f>
        <v/>
      </c>
      <c r="I298" s="140">
        <f>VLOOKUP($C298,Sales!$C:$E,3,FALSE)</f>
        <v/>
      </c>
      <c r="J298" s="142">
        <f>SUMIFS(Sales!$H:$H,Sales!$C:$C,'Investor Exit List'!$C298)</f>
        <v/>
      </c>
      <c r="K298" s="142">
        <f>IF(I298=TRUE,J298,"")</f>
        <v/>
      </c>
      <c r="L298" s="142">
        <f>G298+730</f>
        <v/>
      </c>
      <c r="M298" s="142" t="n">
        <v>45443</v>
      </c>
      <c r="N298" s="143">
        <f>IFERROR(IF(G298&lt;&gt;"",IF(I298=TRUE,0,IF(U298=TRUE,0,L298-M298)),0),0)</f>
        <v/>
      </c>
      <c r="O298" s="143">
        <f>IF(N298&gt;0,IF(N298&lt;=180,N298,0),0)</f>
        <v/>
      </c>
      <c r="P298" s="141">
        <f>IF(AND(N298&lt;90,N298&gt;0),Q298,0)</f>
        <v/>
      </c>
      <c r="Q298" s="141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/>
      </c>
      <c r="R298" s="141">
        <f>IF(AND(H298=TRUE,I298=FALSE),Q298,0)</f>
        <v/>
      </c>
      <c r="S298" s="141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/>
      </c>
      <c r="T298" s="142">
        <f>IF(U298=TRUE,$J298,"")</f>
        <v/>
      </c>
      <c r="U298" s="140" t="b">
        <v>0</v>
      </c>
      <c r="V298" s="141">
        <f>IF(AND(H298=TRUE,OR(K298="",K298&gt;M298)),S298,0)</f>
        <v/>
      </c>
      <c r="W298" s="140" t="n">
        <v>0</v>
      </c>
      <c r="X298" s="140" t="b">
        <v>0</v>
      </c>
      <c r="Y298" s="143">
        <f>IF(H298=FALSE,VLOOKUP($C298,Sales!$C:$F,4,FALSE),1)</f>
        <v/>
      </c>
      <c r="Z298" s="140">
        <f>IF(Y298=0,"Release",IF(AND(L298&lt;J298,Y298=1,H298=FALSE,U298=FALSE,MONTH(L298)&amp;"/"&amp;YEAR(L298)&lt;&gt;MONTH(J298)&amp;"/"&amp;YEAR(J298)),"Release",""))</f>
        <v/>
      </c>
      <c r="AA298" s="144">
        <f>_xlfn.minifs($L:$L,$C:$C,$C298,$F:$F,"&lt;&gt;0")</f>
        <v/>
      </c>
      <c r="AB298" s="144">
        <f>C298&amp;"-"&amp;A298</f>
        <v/>
      </c>
      <c r="AC298" s="144">
        <f>L298</f>
        <v/>
      </c>
    </row>
    <row r="299">
      <c r="A299" s="140" t="inlineStr">
        <is>
          <t>ZNIE01</t>
        </is>
      </c>
      <c r="B299" s="140" t="n">
        <v>5</v>
      </c>
      <c r="C299" s="140" t="inlineStr">
        <is>
          <t>HVG301</t>
        </is>
      </c>
      <c r="D299" s="140" t="inlineStr">
        <is>
          <t>G</t>
        </is>
      </c>
      <c r="E299" s="140" t="inlineStr">
        <is>
          <t>van Niekerk Grant Richard</t>
        </is>
      </c>
      <c r="F299" s="141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</f>
        <v/>
      </c>
      <c r="G299" s="142" t="n">
        <v>45198</v>
      </c>
      <c r="H299" s="140">
        <f>VLOOKUP($C299,Sales!$C:$E,2,FALSE)</f>
        <v/>
      </c>
      <c r="I299" s="140">
        <f>VLOOKUP($C299,Sales!$C:$E,3,FALSE)</f>
        <v/>
      </c>
      <c r="J299" s="142">
        <f>SUMIFS(Sales!$H:$H,Sales!$C:$C,'Investor Exit List'!$C299)</f>
        <v/>
      </c>
      <c r="K299" s="142">
        <f>IF(I299=TRUE,J299,"")</f>
        <v/>
      </c>
      <c r="L299" s="142">
        <f>G299+730</f>
        <v/>
      </c>
      <c r="M299" s="142" t="n">
        <v>45443</v>
      </c>
      <c r="N299" s="143">
        <f>IFERROR(IF(G299&lt;&gt;"",IF(I299=TRUE,0,IF(U299=TRUE,0,L299-M299)),0),0)</f>
        <v/>
      </c>
      <c r="O299" s="143">
        <f>IF(N299&gt;0,IF(N299&lt;=180,N299,0),0)</f>
        <v/>
      </c>
      <c r="P299" s="141">
        <f>IF(AND(N299&lt;90,N299&gt;0),Q299,0)</f>
        <v/>
      </c>
      <c r="Q299" s="141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/>
      </c>
      <c r="R299" s="141">
        <f>IF(AND(H299=TRUE,I299=FALSE),Q299,0)</f>
        <v/>
      </c>
      <c r="S299" s="141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/>
      </c>
      <c r="T299" s="142">
        <f>IF(U299=TRUE,$J299,"")</f>
        <v/>
      </c>
      <c r="U299" s="140" t="b">
        <v>0</v>
      </c>
      <c r="V299" s="141">
        <f>IF(AND(H299=TRUE,OR(K299="",K299&gt;M299)),S299,0)</f>
        <v/>
      </c>
      <c r="W299" s="140" t="n">
        <v>0</v>
      </c>
      <c r="X299" s="140" t="b">
        <v>0</v>
      </c>
      <c r="Y299" s="143">
        <f>IF(H299=FALSE,VLOOKUP($C299,Sales!$C:$F,4,FALSE),1)</f>
        <v/>
      </c>
      <c r="Z299" s="140">
        <f>IF(Y299=0,"Release",IF(AND(L299&lt;J299,Y299=1,H299=FALSE,U299=FALSE,MONTH(L299)&amp;"/"&amp;YEAR(L299)&lt;&gt;MONTH(J299)&amp;"/"&amp;YEAR(J299)),"Release",""))</f>
        <v/>
      </c>
      <c r="AA299" s="144">
        <f>_xlfn.minifs($L:$L,$C:$C,$C299,$F:$F,"&lt;&gt;0")</f>
        <v/>
      </c>
      <c r="AB299" s="144">
        <f>C299&amp;"-"&amp;A299</f>
        <v/>
      </c>
      <c r="AC299" s="144">
        <f>L299</f>
        <v/>
      </c>
    </row>
    <row r="300">
      <c r="A300" s="140" t="inlineStr">
        <is>
          <t>ZVAN05</t>
        </is>
      </c>
      <c r="B300" s="140" t="n">
        <v>10</v>
      </c>
      <c r="C300" s="140" t="inlineStr">
        <is>
          <t>HVG301</t>
        </is>
      </c>
      <c r="D300" s="140" t="inlineStr">
        <is>
          <t>G</t>
        </is>
      </c>
      <c r="E300" s="140" t="inlineStr">
        <is>
          <t>van der Sandt Hermanus</t>
        </is>
      </c>
      <c r="F300" s="141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</f>
        <v/>
      </c>
      <c r="G300" s="142" t="n">
        <v>45198</v>
      </c>
      <c r="H300" s="140">
        <f>VLOOKUP($C300,Sales!$C:$E,2,FALSE)</f>
        <v/>
      </c>
      <c r="I300" s="140">
        <f>VLOOKUP($C300,Sales!$C:$E,3,FALSE)</f>
        <v/>
      </c>
      <c r="J300" s="142">
        <f>SUMIFS(Sales!$H:$H,Sales!$C:$C,'Investor Exit List'!$C300)</f>
        <v/>
      </c>
      <c r="K300" s="142">
        <f>IF(I300=TRUE,J300,"")</f>
        <v/>
      </c>
      <c r="L300" s="142">
        <f>G300+730</f>
        <v/>
      </c>
      <c r="M300" s="142" t="n">
        <v>45443</v>
      </c>
      <c r="N300" s="143">
        <f>IFERROR(IF(G300&lt;&gt;"",IF(I300=TRUE,0,IF(U300=TRUE,0,L300-M300)),0),0)</f>
        <v/>
      </c>
      <c r="O300" s="143">
        <f>IF(N300&gt;0,IF(N300&lt;=180,N300,0),0)</f>
        <v/>
      </c>
      <c r="P300" s="141">
        <f>IF(AND(N300&lt;90,N300&gt;0),Q300,0)</f>
        <v/>
      </c>
      <c r="Q300" s="141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/>
      </c>
      <c r="R300" s="141">
        <f>IF(AND(H300=TRUE,I300=FALSE),Q300,0)</f>
        <v/>
      </c>
      <c r="S300" s="141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/>
      </c>
      <c r="T300" s="142">
        <f>IF(U300=TRUE,$J300,"")</f>
        <v/>
      </c>
      <c r="U300" s="140" t="b">
        <v>0</v>
      </c>
      <c r="V300" s="141">
        <f>IF(AND(H300=TRUE,OR(K300="",K300&gt;M300)),S300,0)</f>
        <v/>
      </c>
      <c r="W300" s="140" t="n">
        <v>0</v>
      </c>
      <c r="X300" s="140" t="b">
        <v>0</v>
      </c>
      <c r="Y300" s="143">
        <f>IF(H300=FALSE,VLOOKUP($C300,Sales!$C:$F,4,FALSE),1)</f>
        <v/>
      </c>
      <c r="Z300" s="140">
        <f>IF(Y300=0,"Release",IF(AND(L300&lt;J300,Y300=1,H300=FALSE,U300=FALSE,MONTH(L300)&amp;"/"&amp;YEAR(L300)&lt;&gt;MONTH(J300)&amp;"/"&amp;YEAR(J300)),"Release",""))</f>
        <v/>
      </c>
      <c r="AA300" s="144">
        <f>_xlfn.minifs($L:$L,$C:$C,$C300,$F:$F,"&lt;&gt;0")</f>
        <v/>
      </c>
      <c r="AB300" s="144">
        <f>C300&amp;"-"&amp;A300</f>
        <v/>
      </c>
      <c r="AC300" s="144">
        <f>L300</f>
        <v/>
      </c>
    </row>
    <row r="301">
      <c r="A301" s="140" t="inlineStr">
        <is>
          <t>ZDAD01</t>
        </is>
      </c>
      <c r="B301" s="140" t="n">
        <v>4</v>
      </c>
      <c r="C301" s="140" t="inlineStr">
        <is>
          <t>HVG302</t>
        </is>
      </c>
      <c r="D301" s="140" t="inlineStr">
        <is>
          <t>G</t>
        </is>
      </c>
      <c r="E301" s="140" t="inlineStr">
        <is>
          <t>Dadoo Feroz</t>
        </is>
      </c>
      <c r="F301" s="141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</f>
        <v/>
      </c>
      <c r="G301" s="142" t="n">
        <v>45198</v>
      </c>
      <c r="H301" s="140">
        <f>VLOOKUP($C301,Sales!$C:$E,2,FALSE)</f>
        <v/>
      </c>
      <c r="I301" s="140">
        <f>VLOOKUP($C301,Sales!$C:$E,3,FALSE)</f>
        <v/>
      </c>
      <c r="J301" s="142">
        <f>SUMIFS(Sales!$H:$H,Sales!$C:$C,'Investor Exit List'!$C301)</f>
        <v/>
      </c>
      <c r="K301" s="142">
        <f>IF(I301=TRUE,J301,"")</f>
        <v/>
      </c>
      <c r="L301" s="142">
        <f>G301+730</f>
        <v/>
      </c>
      <c r="M301" s="142" t="n">
        <v>45443</v>
      </c>
      <c r="N301" s="143">
        <f>IFERROR(IF(G301&lt;&gt;"",IF(I301=TRUE,0,IF(U301=TRUE,0,L301-M301)),0),0)</f>
        <v/>
      </c>
      <c r="O301" s="143">
        <f>IF(N301&gt;0,IF(N301&lt;=180,N301,0),0)</f>
        <v/>
      </c>
      <c r="P301" s="141">
        <f>IF(AND(N301&lt;90,N301&gt;0),Q301,0)</f>
        <v/>
      </c>
      <c r="Q301" s="141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/>
      </c>
      <c r="R301" s="141">
        <f>IF(AND(H301=TRUE,I301=FALSE),Q301,0)</f>
        <v/>
      </c>
      <c r="S301" s="141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/>
      </c>
      <c r="T301" s="142">
        <f>IF(U301=TRUE,$J301,"")</f>
        <v/>
      </c>
      <c r="U301" s="140" t="b">
        <v>0</v>
      </c>
      <c r="V301" s="141">
        <f>IF(AND(H301=TRUE,OR(K301="",K301&gt;M301)),S301,0)</f>
        <v/>
      </c>
      <c r="W301" s="140" t="n">
        <v>0</v>
      </c>
      <c r="X301" s="140" t="b">
        <v>0</v>
      </c>
      <c r="Y301" s="143">
        <f>IF(H301=FALSE,VLOOKUP($C301,Sales!$C:$F,4,FALSE),1)</f>
        <v/>
      </c>
      <c r="Z301" s="140">
        <f>IF(Y301=0,"Release",IF(AND(L301&lt;J301,Y301=1,H301=FALSE,U301=FALSE,MONTH(L301)&amp;"/"&amp;YEAR(L301)&lt;&gt;MONTH(J301)&amp;"/"&amp;YEAR(J301)),"Release",""))</f>
        <v/>
      </c>
      <c r="AA301" s="144">
        <f>_xlfn.minifs($L:$L,$C:$C,$C301,$F:$F,"&lt;&gt;0")</f>
        <v/>
      </c>
      <c r="AB301" s="144">
        <f>C301&amp;"-"&amp;A301</f>
        <v/>
      </c>
      <c r="AC301" s="144">
        <f>L301</f>
        <v/>
      </c>
    </row>
    <row r="302">
      <c r="A302" s="140" t="inlineStr">
        <is>
          <t>ZEDE01</t>
        </is>
      </c>
      <c r="B302" s="140" t="n">
        <v>2</v>
      </c>
      <c r="C302" s="140" t="inlineStr">
        <is>
          <t>HVG302</t>
        </is>
      </c>
      <c r="D302" s="140" t="inlineStr">
        <is>
          <t>G</t>
        </is>
      </c>
      <c r="E302" s="140" t="inlineStr">
        <is>
          <t>van Eden JP</t>
        </is>
      </c>
      <c r="F302" s="141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</f>
        <v/>
      </c>
      <c r="G302" s="142" t="n">
        <v>45224</v>
      </c>
      <c r="H302" s="140">
        <f>VLOOKUP($C302,Sales!$C:$E,2,FALSE)</f>
        <v/>
      </c>
      <c r="I302" s="140">
        <f>VLOOKUP($C302,Sales!$C:$E,3,FALSE)</f>
        <v/>
      </c>
      <c r="J302" s="142">
        <f>SUMIFS(Sales!$H:$H,Sales!$C:$C,'Investor Exit List'!$C302)</f>
        <v/>
      </c>
      <c r="K302" s="142">
        <f>IF(I302=TRUE,J302,"")</f>
        <v/>
      </c>
      <c r="L302" s="142">
        <f>G302+730</f>
        <v/>
      </c>
      <c r="M302" s="142" t="n">
        <v>45443</v>
      </c>
      <c r="N302" s="143">
        <f>IFERROR(IF(G302&lt;&gt;"",IF(I302=TRUE,0,IF(U302=TRUE,0,L302-M302)),0),0)</f>
        <v/>
      </c>
      <c r="O302" s="143">
        <f>IF(N302&gt;0,IF(N302&lt;=180,N302,0),0)</f>
        <v/>
      </c>
      <c r="P302" s="141">
        <f>IF(AND(N302&lt;90,N302&gt;0),Q302,0)</f>
        <v/>
      </c>
      <c r="Q302" s="141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/>
      </c>
      <c r="R302" s="141">
        <f>IF(AND(H302=TRUE,I302=FALSE),Q302,0)</f>
        <v/>
      </c>
      <c r="S302" s="141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/>
      </c>
      <c r="T302" s="142">
        <f>IF(U302=TRUE,$J302,"")</f>
        <v/>
      </c>
      <c r="U302" s="140" t="b">
        <v>0</v>
      </c>
      <c r="V302" s="141">
        <f>IF(AND(H302=TRUE,OR(K302="",K302&gt;M302)),S302,0)</f>
        <v/>
      </c>
      <c r="W302" s="140" t="n">
        <v>0</v>
      </c>
      <c r="X302" s="140" t="b">
        <v>0</v>
      </c>
      <c r="Y302" s="143">
        <f>IF(H302=FALSE,VLOOKUP($C302,Sales!$C:$F,4,FALSE),1)</f>
        <v/>
      </c>
      <c r="Z302" s="140">
        <f>IF(Y302=0,"Release",IF(AND(L302&lt;J302,Y302=1,H302=FALSE,U302=FALSE,MONTH(L302)&amp;"/"&amp;YEAR(L302)&lt;&gt;MONTH(J302)&amp;"/"&amp;YEAR(J302)),"Release",""))</f>
        <v/>
      </c>
      <c r="AA302" s="144">
        <f>_xlfn.minifs($L:$L,$C:$C,$C302,$F:$F,"&lt;&gt;0")</f>
        <v/>
      </c>
      <c r="AB302" s="144">
        <f>C302&amp;"-"&amp;A302</f>
        <v/>
      </c>
      <c r="AC302" s="144">
        <f>L302</f>
        <v/>
      </c>
    </row>
    <row r="303">
      <c r="A303" s="140" t="inlineStr">
        <is>
          <t>ZAFR01</t>
        </is>
      </c>
      <c r="B303" s="140" t="n">
        <v>6</v>
      </c>
      <c r="C303" s="140" t="inlineStr">
        <is>
          <t>HVG303</t>
        </is>
      </c>
      <c r="D303" s="140" t="inlineStr">
        <is>
          <t>G</t>
        </is>
      </c>
      <c r="E303" s="140" t="inlineStr">
        <is>
          <t>Zylstra John Robert</t>
        </is>
      </c>
      <c r="F303" s="141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</f>
        <v/>
      </c>
      <c r="G303" s="142" t="n">
        <v>45224</v>
      </c>
      <c r="H303" s="140">
        <f>VLOOKUP($C303,Sales!$C:$E,2,FALSE)</f>
        <v/>
      </c>
      <c r="I303" s="140">
        <f>VLOOKUP($C303,Sales!$C:$E,3,FALSE)</f>
        <v/>
      </c>
      <c r="J303" s="142">
        <f>SUMIFS(Sales!$H:$H,Sales!$C:$C,'Investor Exit List'!$C303)</f>
        <v/>
      </c>
      <c r="K303" s="142">
        <f>IF(I303=TRUE,J303,"")</f>
        <v/>
      </c>
      <c r="L303" s="142">
        <f>G303+730</f>
        <v/>
      </c>
      <c r="M303" s="142" t="n">
        <v>45443</v>
      </c>
      <c r="N303" s="143">
        <f>IFERROR(IF(G303&lt;&gt;"",IF(I303=TRUE,0,IF(U303=TRUE,0,L303-M303)),0),0)</f>
        <v/>
      </c>
      <c r="O303" s="143">
        <f>IF(N303&gt;0,IF(N303&lt;=180,N303,0),0)</f>
        <v/>
      </c>
      <c r="P303" s="141">
        <f>IF(AND(N303&lt;90,N303&gt;0),Q303,0)</f>
        <v/>
      </c>
      <c r="Q303" s="141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/>
      </c>
      <c r="R303" s="141">
        <f>IF(AND(H303=TRUE,I303=FALSE),Q303,0)</f>
        <v/>
      </c>
      <c r="S303" s="141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/>
      </c>
      <c r="T303" s="142">
        <f>IF(U303=TRUE,$J303,"")</f>
        <v/>
      </c>
      <c r="U303" s="140" t="b">
        <v>0</v>
      </c>
      <c r="V303" s="141">
        <f>IF(AND(H303=TRUE,OR(K303="",K303&gt;M303)),S303,0)</f>
        <v/>
      </c>
      <c r="W303" s="140" t="n">
        <v>0</v>
      </c>
      <c r="X303" s="140" t="b">
        <v>0</v>
      </c>
      <c r="Y303" s="143">
        <f>IF(H303=FALSE,VLOOKUP($C303,Sales!$C:$F,4,FALSE),1)</f>
        <v/>
      </c>
      <c r="Z303" s="140">
        <f>IF(Y303=0,"Release",IF(AND(L303&lt;J303,Y303=1,H303=FALSE,U303=FALSE,MONTH(L303)&amp;"/"&amp;YEAR(L303)&lt;&gt;MONTH(J303)&amp;"/"&amp;YEAR(J303)),"Release",""))</f>
        <v/>
      </c>
      <c r="AA303" s="144">
        <f>_xlfn.minifs($L:$L,$C:$C,$C303,$F:$F,"&lt;&gt;0")</f>
        <v/>
      </c>
      <c r="AB303" s="144">
        <f>C303&amp;"-"&amp;A303</f>
        <v/>
      </c>
      <c r="AC303" s="144">
        <f>L303</f>
        <v/>
      </c>
    </row>
    <row r="304">
      <c r="A304" s="140" t="inlineStr">
        <is>
          <t>ZVER02</t>
        </is>
      </c>
      <c r="B304" s="140" t="n">
        <v>6</v>
      </c>
      <c r="C304" s="140" t="inlineStr">
        <is>
          <t>HVG303</t>
        </is>
      </c>
      <c r="D304" s="140" t="inlineStr">
        <is>
          <t>G</t>
        </is>
      </c>
      <c r="E304" s="140" t="inlineStr">
        <is>
          <t>Verhaeghe Jean-Jacques EP</t>
        </is>
      </c>
      <c r="F304" s="141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</f>
        <v/>
      </c>
      <c r="G304" s="142" t="n">
        <v>45259</v>
      </c>
      <c r="H304" s="140">
        <f>VLOOKUP($C304,Sales!$C:$E,2,FALSE)</f>
        <v/>
      </c>
      <c r="I304" s="140">
        <f>VLOOKUP($C304,Sales!$C:$E,3,FALSE)</f>
        <v/>
      </c>
      <c r="J304" s="142">
        <f>SUMIFS(Sales!$H:$H,Sales!$C:$C,'Investor Exit List'!$C304)</f>
        <v/>
      </c>
      <c r="K304" s="142">
        <f>IF(I304=TRUE,J304,"")</f>
        <v/>
      </c>
      <c r="L304" s="142">
        <f>G304+730</f>
        <v/>
      </c>
      <c r="M304" s="142" t="n">
        <v>45443</v>
      </c>
      <c r="N304" s="143">
        <f>IFERROR(IF(G304&lt;&gt;"",IF(I304=TRUE,0,IF(U304=TRUE,0,L304-M304)),0),0)</f>
        <v/>
      </c>
      <c r="O304" s="143">
        <f>IF(N304&gt;0,IF(N304&lt;=180,N304,0),0)</f>
        <v/>
      </c>
      <c r="P304" s="141">
        <f>IF(AND(N304&lt;90,N304&gt;0),Q304,0)</f>
        <v/>
      </c>
      <c r="Q304" s="141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/>
      </c>
      <c r="R304" s="141">
        <f>IF(AND(H304=TRUE,I304=FALSE),Q304,0)</f>
        <v/>
      </c>
      <c r="S304" s="141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/>
      </c>
      <c r="T304" s="142">
        <f>IF(U304=TRUE,$J304,"")</f>
        <v/>
      </c>
      <c r="U304" s="140" t="b">
        <v>0</v>
      </c>
      <c r="V304" s="141">
        <f>IF(AND(H304=TRUE,OR(K304="",K304&gt;M304)),S304,0)</f>
        <v/>
      </c>
      <c r="W304" s="140" t="n">
        <v>0</v>
      </c>
      <c r="X304" s="140" t="b">
        <v>0</v>
      </c>
      <c r="Y304" s="143">
        <f>IF(H304=FALSE,VLOOKUP($C304,Sales!$C:$F,4,FALSE),1)</f>
        <v/>
      </c>
      <c r="Z304" s="140">
        <f>IF(Y304=0,"Release",IF(AND(L304&lt;J304,Y304=1,H304=FALSE,U304=FALSE,MONTH(L304)&amp;"/"&amp;YEAR(L304)&lt;&gt;MONTH(J304)&amp;"/"&amp;YEAR(J304)),"Release",""))</f>
        <v/>
      </c>
      <c r="AA304" s="144">
        <f>_xlfn.minifs($L:$L,$C:$C,$C304,$F:$F,"&lt;&gt;0")</f>
        <v/>
      </c>
      <c r="AB304" s="144">
        <f>C304&amp;"-"&amp;A304</f>
        <v/>
      </c>
      <c r="AC304" s="144">
        <f>L304</f>
        <v/>
      </c>
    </row>
    <row r="305">
      <c r="A305" s="140" t="inlineStr">
        <is>
          <t>ZJOS01</t>
        </is>
      </c>
      <c r="B305" s="140" t="n">
        <v>1</v>
      </c>
      <c r="C305" s="140" t="inlineStr">
        <is>
          <t>HVG304</t>
        </is>
      </c>
      <c r="D305" s="140" t="inlineStr">
        <is>
          <t>G</t>
        </is>
      </c>
      <c r="E305" s="140" t="inlineStr">
        <is>
          <t>Joseph Justin</t>
        </is>
      </c>
      <c r="F305" s="141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</f>
        <v/>
      </c>
      <c r="G305" s="142" t="n">
        <v>45252</v>
      </c>
      <c r="H305" s="140">
        <f>VLOOKUP($C305,Sales!$C:$E,2,FALSE)</f>
        <v/>
      </c>
      <c r="I305" s="140">
        <f>VLOOKUP($C305,Sales!$C:$E,3,FALSE)</f>
        <v/>
      </c>
      <c r="J305" s="142">
        <f>SUMIFS(Sales!$H:$H,Sales!$C:$C,'Investor Exit List'!$C305)</f>
        <v/>
      </c>
      <c r="K305" s="142">
        <f>IF(I305=TRUE,J305,"")</f>
        <v/>
      </c>
      <c r="L305" s="142">
        <f>G305+730</f>
        <v/>
      </c>
      <c r="M305" s="142" t="n">
        <v>45443</v>
      </c>
      <c r="N305" s="143">
        <f>IFERROR(IF(G305&lt;&gt;"",IF(I305=TRUE,0,IF(U305=TRUE,0,L305-M305)),0),0)</f>
        <v/>
      </c>
      <c r="O305" s="143">
        <f>IF(N305&gt;0,IF(N305&lt;=180,N305,0),0)</f>
        <v/>
      </c>
      <c r="P305" s="141">
        <f>IF(AND(N305&lt;90,N305&gt;0),Q305,0)</f>
        <v/>
      </c>
      <c r="Q305" s="141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/>
      </c>
      <c r="R305" s="141">
        <f>IF(AND(H305=TRUE,I305=FALSE),Q305,0)</f>
        <v/>
      </c>
      <c r="S305" s="141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/>
      </c>
      <c r="T305" s="142">
        <f>IF(U305=TRUE,$J305,"")</f>
        <v/>
      </c>
      <c r="U305" s="140" t="b">
        <v>0</v>
      </c>
      <c r="V305" s="141">
        <f>IF(AND(H305=TRUE,OR(K305="",K305&gt;M305)),S305,0)</f>
        <v/>
      </c>
      <c r="W305" s="140" t="n">
        <v>0</v>
      </c>
      <c r="X305" s="140" t="b">
        <v>0</v>
      </c>
      <c r="Y305" s="143">
        <f>IF(H305=FALSE,VLOOKUP($C305,Sales!$C:$F,4,FALSE),1)</f>
        <v/>
      </c>
      <c r="Z305" s="140">
        <f>IF(Y305=0,"Release",IF(AND(L305&lt;J305,Y305=1,H305=FALSE,U305=FALSE,MONTH(L305)&amp;"/"&amp;YEAR(L305)&lt;&gt;MONTH(J305)&amp;"/"&amp;YEAR(J305)),"Release",""))</f>
        <v/>
      </c>
      <c r="AA305" s="144">
        <f>_xlfn.minifs($L:$L,$C:$C,$C305,$F:$F,"&lt;&gt;0")</f>
        <v/>
      </c>
      <c r="AB305" s="144">
        <f>C305&amp;"-"&amp;A305</f>
        <v/>
      </c>
      <c r="AC305" s="144">
        <f>L305</f>
        <v/>
      </c>
    </row>
    <row r="306">
      <c r="A306" s="140" t="inlineStr">
        <is>
          <t>ZREN01</t>
        </is>
      </c>
      <c r="B306" s="140" t="n">
        <v>5</v>
      </c>
      <c r="C306" s="140" t="inlineStr">
        <is>
          <t>HVG304</t>
        </is>
      </c>
      <c r="D306" s="140" t="inlineStr">
        <is>
          <t>G</t>
        </is>
      </c>
      <c r="E306" s="140" t="inlineStr">
        <is>
          <t>van Rensburg Marlene Ann</t>
        </is>
      </c>
      <c r="F306" s="141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</f>
        <v/>
      </c>
      <c r="G306" s="142" t="n">
        <v>45198</v>
      </c>
      <c r="H306" s="140">
        <f>VLOOKUP($C306,Sales!$C:$E,2,FALSE)</f>
        <v/>
      </c>
      <c r="I306" s="140">
        <f>VLOOKUP($C306,Sales!$C:$E,3,FALSE)</f>
        <v/>
      </c>
      <c r="J306" s="142">
        <f>SUMIFS(Sales!$H:$H,Sales!$C:$C,'Investor Exit List'!$C306)</f>
        <v/>
      </c>
      <c r="K306" s="142">
        <f>IF(I306=TRUE,J306,"")</f>
        <v/>
      </c>
      <c r="L306" s="142">
        <f>G306+730</f>
        <v/>
      </c>
      <c r="M306" s="142" t="n">
        <v>45443</v>
      </c>
      <c r="N306" s="143">
        <f>IFERROR(IF(G306&lt;&gt;"",IF(I306=TRUE,0,IF(U306=TRUE,0,L306-M306)),0),0)</f>
        <v/>
      </c>
      <c r="O306" s="143">
        <f>IF(N306&gt;0,IF(N306&lt;=180,N306,0),0)</f>
        <v/>
      </c>
      <c r="P306" s="141">
        <f>IF(AND(N306&lt;90,N306&gt;0),Q306,0)</f>
        <v/>
      </c>
      <c r="Q306" s="141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/>
      </c>
      <c r="R306" s="141">
        <f>IF(AND(H306=TRUE,I306=FALSE),Q306,0)</f>
        <v/>
      </c>
      <c r="S306" s="141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/>
      </c>
      <c r="T306" s="142">
        <f>IF(U306=TRUE,$J306,"")</f>
        <v/>
      </c>
      <c r="U306" s="140" t="b">
        <v>0</v>
      </c>
      <c r="V306" s="141">
        <f>IF(AND(H306=TRUE,OR(K306="",K306&gt;M306)),S306,0)</f>
        <v/>
      </c>
      <c r="W306" s="140" t="n">
        <v>0</v>
      </c>
      <c r="X306" s="140" t="b">
        <v>0</v>
      </c>
      <c r="Y306" s="143">
        <f>IF(H306=FALSE,VLOOKUP($C306,Sales!$C:$F,4,FALSE),1)</f>
        <v/>
      </c>
      <c r="Z306" s="140">
        <f>IF(Y306=0,"Release",IF(AND(L306&lt;J306,Y306=1,H306=FALSE,U306=FALSE,MONTH(L306)&amp;"/"&amp;YEAR(L306)&lt;&gt;MONTH(J306)&amp;"/"&amp;YEAR(J306)),"Release",""))</f>
        <v/>
      </c>
      <c r="AA306" s="144">
        <f>_xlfn.minifs($L:$L,$C:$C,$C306,$F:$F,"&lt;&gt;0")</f>
        <v/>
      </c>
      <c r="AB306" s="144">
        <f>C306&amp;"-"&amp;A306</f>
        <v/>
      </c>
      <c r="AC306" s="144">
        <f>L306</f>
        <v/>
      </c>
    </row>
    <row r="307">
      <c r="A307" s="140" t="inlineStr">
        <is>
          <t>ZSCA02</t>
        </is>
      </c>
      <c r="B307" s="140" t="n">
        <v>4</v>
      </c>
      <c r="C307" s="140" t="inlineStr">
        <is>
          <t>HVG304</t>
        </is>
      </c>
      <c r="D307" s="140" t="inlineStr">
        <is>
          <t>G</t>
        </is>
      </c>
      <c r="E307" s="140" t="inlineStr">
        <is>
          <t>Scalzini Chad</t>
        </is>
      </c>
      <c r="F307" s="141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</f>
        <v/>
      </c>
      <c r="G307" s="142" t="n">
        <v>45224</v>
      </c>
      <c r="H307" s="140">
        <f>VLOOKUP($C307,Sales!$C:$E,2,FALSE)</f>
        <v/>
      </c>
      <c r="I307" s="140">
        <f>VLOOKUP($C307,Sales!$C:$E,3,FALSE)</f>
        <v/>
      </c>
      <c r="J307" s="142">
        <f>SUMIFS(Sales!$H:$H,Sales!$C:$C,'Investor Exit List'!$C307)</f>
        <v/>
      </c>
      <c r="K307" s="142">
        <f>IF(I307=TRUE,J307,"")</f>
        <v/>
      </c>
      <c r="L307" s="142">
        <f>G307+730</f>
        <v/>
      </c>
      <c r="M307" s="142" t="n">
        <v>45443</v>
      </c>
      <c r="N307" s="143">
        <f>IFERROR(IF(G307&lt;&gt;"",IF(I307=TRUE,0,IF(U307=TRUE,0,L307-M307)),0),0)</f>
        <v/>
      </c>
      <c r="O307" s="143">
        <f>IF(N307&gt;0,IF(N307&lt;=180,N307,0),0)</f>
        <v/>
      </c>
      <c r="P307" s="141">
        <f>IF(AND(N307&lt;90,N307&gt;0),Q307,0)</f>
        <v/>
      </c>
      <c r="Q307" s="141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/>
      </c>
      <c r="R307" s="141">
        <f>IF(AND(H307=TRUE,I307=FALSE),Q307,0)</f>
        <v/>
      </c>
      <c r="S307" s="141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/>
      </c>
      <c r="T307" s="142">
        <f>IF(U307=TRUE,$J307,"")</f>
        <v/>
      </c>
      <c r="U307" s="140" t="b">
        <v>0</v>
      </c>
      <c r="V307" s="141">
        <f>IF(AND(H307=TRUE,OR(K307="",K307&gt;M307)),S307,0)</f>
        <v/>
      </c>
      <c r="W307" s="140" t="n">
        <v>0</v>
      </c>
      <c r="X307" s="140" t="b">
        <v>0</v>
      </c>
      <c r="Y307" s="143">
        <f>IF(H307=FALSE,VLOOKUP($C307,Sales!$C:$F,4,FALSE),1)</f>
        <v/>
      </c>
      <c r="Z307" s="140">
        <f>IF(Y307=0,"Release",IF(AND(L307&lt;J307,Y307=1,H307=FALSE,U307=FALSE,MONTH(L307)&amp;"/"&amp;YEAR(L307)&lt;&gt;MONTH(J307)&amp;"/"&amp;YEAR(J307)),"Release",""))</f>
        <v/>
      </c>
      <c r="AA307" s="144">
        <f>_xlfn.minifs($L:$L,$C:$C,$C307,$F:$F,"&lt;&gt;0")</f>
        <v/>
      </c>
      <c r="AB307" s="144">
        <f>C307&amp;"-"&amp;A307</f>
        <v/>
      </c>
      <c r="AC307" s="144">
        <f>L307</f>
        <v/>
      </c>
    </row>
    <row r="308">
      <c r="A308" s="140" t="inlineStr">
        <is>
          <t>ZHAN07</t>
        </is>
      </c>
      <c r="B308" s="140" t="n">
        <v>1</v>
      </c>
      <c r="C308" s="140" t="inlineStr">
        <is>
          <t>HVH101</t>
        </is>
      </c>
      <c r="D308" s="140" t="inlineStr">
        <is>
          <t>H</t>
        </is>
      </c>
      <c r="E308" s="140" t="inlineStr">
        <is>
          <t>Hanekom Johannes Hendrik (Hans)</t>
        </is>
      </c>
      <c r="F308" s="141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</f>
        <v/>
      </c>
      <c r="G308" s="142" t="n">
        <v>45224</v>
      </c>
      <c r="H308" s="140">
        <f>VLOOKUP($C308,Sales!$C:$E,2,FALSE)</f>
        <v/>
      </c>
      <c r="I308" s="140">
        <f>VLOOKUP($C308,Sales!$C:$E,3,FALSE)</f>
        <v/>
      </c>
      <c r="J308" s="142">
        <f>SUMIFS(Sales!$H:$H,Sales!$C:$C,'Investor Exit List'!$C308)</f>
        <v/>
      </c>
      <c r="K308" s="142">
        <f>IF(I308=TRUE,J308,"")</f>
        <v/>
      </c>
      <c r="L308" s="142">
        <f>G308+730</f>
        <v/>
      </c>
      <c r="M308" s="142" t="n">
        <v>45443</v>
      </c>
      <c r="N308" s="143">
        <f>IFERROR(IF(G308&lt;&gt;"",IF(I308=TRUE,0,IF(U308=TRUE,0,L308-M308)),0),0)</f>
        <v/>
      </c>
      <c r="O308" s="143">
        <f>IF(N308&gt;0,IF(N308&lt;=180,N308,0),0)</f>
        <v/>
      </c>
      <c r="P308" s="141">
        <f>IF(AND(N308&lt;90,N308&gt;0),Q308,0)</f>
        <v/>
      </c>
      <c r="Q308" s="141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/>
      </c>
      <c r="R308" s="141">
        <f>IF(AND(H308=TRUE,I308=FALSE),Q308,0)</f>
        <v/>
      </c>
      <c r="S308" s="141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/>
      </c>
      <c r="T308" s="142">
        <f>IF(U308=TRUE,$J308,"")</f>
        <v/>
      </c>
      <c r="U308" s="140" t="b">
        <v>0</v>
      </c>
      <c r="V308" s="141">
        <f>IF(AND(H308=TRUE,OR(K308="",K308&gt;M308)),S308,0)</f>
        <v/>
      </c>
      <c r="W308" s="140" t="n">
        <v>0</v>
      </c>
      <c r="X308" s="140" t="b">
        <v>0</v>
      </c>
      <c r="Y308" s="143">
        <f>IF(H308=FALSE,VLOOKUP($C308,Sales!$C:$F,4,FALSE),1)</f>
        <v/>
      </c>
      <c r="Z308" s="140">
        <f>IF(Y308=0,"Release",IF(AND(L308&lt;J308,Y308=1,H308=FALSE,U308=FALSE,MONTH(L308)&amp;"/"&amp;YEAR(L308)&lt;&gt;MONTH(J308)&amp;"/"&amp;YEAR(J308)),"Release",""))</f>
        <v/>
      </c>
      <c r="AA308" s="144">
        <f>_xlfn.minifs($L:$L,$C:$C,$C308,$F:$F,"&lt;&gt;0")</f>
        <v/>
      </c>
      <c r="AB308" s="144">
        <f>C308&amp;"-"&amp;A308</f>
        <v/>
      </c>
      <c r="AC308" s="144">
        <f>L308</f>
        <v/>
      </c>
    </row>
    <row r="309">
      <c r="A309" s="140" t="inlineStr">
        <is>
          <t>ZHAN07</t>
        </is>
      </c>
      <c r="B309" s="140" t="n">
        <v>2</v>
      </c>
      <c r="C309" s="140" t="inlineStr">
        <is>
          <t>HVH102</t>
        </is>
      </c>
      <c r="D309" s="140" t="inlineStr">
        <is>
          <t>H</t>
        </is>
      </c>
      <c r="E309" s="140" t="inlineStr">
        <is>
          <t>Hanekom Johannes Hendrik (Hans)</t>
        </is>
      </c>
      <c r="F309" s="141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</f>
        <v/>
      </c>
      <c r="G309" s="142" t="n">
        <v>45224</v>
      </c>
      <c r="H309" s="140">
        <f>VLOOKUP($C309,Sales!$C:$E,2,FALSE)</f>
        <v/>
      </c>
      <c r="I309" s="140">
        <f>VLOOKUP($C309,Sales!$C:$E,3,FALSE)</f>
        <v/>
      </c>
      <c r="J309" s="142">
        <f>SUMIFS(Sales!$H:$H,Sales!$C:$C,'Investor Exit List'!$C309)</f>
        <v/>
      </c>
      <c r="K309" s="142">
        <f>IF(I309=TRUE,J309,"")</f>
        <v/>
      </c>
      <c r="L309" s="142">
        <f>G309+730</f>
        <v/>
      </c>
      <c r="M309" s="142" t="n">
        <v>45443</v>
      </c>
      <c r="N309" s="143">
        <f>IFERROR(IF(G309&lt;&gt;"",IF(I309=TRUE,0,IF(U309=TRUE,0,L309-M309)),0),0)</f>
        <v/>
      </c>
      <c r="O309" s="143">
        <f>IF(N309&gt;0,IF(N309&lt;=180,N309,0),0)</f>
        <v/>
      </c>
      <c r="P309" s="141">
        <f>IF(AND(N309&lt;90,N309&gt;0),Q309,0)</f>
        <v/>
      </c>
      <c r="Q309" s="141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/>
      </c>
      <c r="R309" s="141">
        <f>IF(AND(H309=TRUE,I309=FALSE),Q309,0)</f>
        <v/>
      </c>
      <c r="S309" s="141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/>
      </c>
      <c r="T309" s="142">
        <f>IF(U309=TRUE,$J309,"")</f>
        <v/>
      </c>
      <c r="U309" s="140" t="b">
        <v>0</v>
      </c>
      <c r="V309" s="141">
        <f>IF(AND(H309=TRUE,OR(K309="",K309&gt;M309)),S309,0)</f>
        <v/>
      </c>
      <c r="W309" s="140" t="n">
        <v>0</v>
      </c>
      <c r="X309" s="140" t="b">
        <v>0</v>
      </c>
      <c r="Y309" s="143">
        <f>IF(H309=FALSE,VLOOKUP($C309,Sales!$C:$F,4,FALSE),1)</f>
        <v/>
      </c>
      <c r="Z309" s="140">
        <f>IF(Y309=0,"Release",IF(AND(L309&lt;J309,Y309=1,H309=FALSE,U309=FALSE,MONTH(L309)&amp;"/"&amp;YEAR(L309)&lt;&gt;MONTH(J309)&amp;"/"&amp;YEAR(J309)),"Release",""))</f>
        <v/>
      </c>
      <c r="AA309" s="144">
        <f>_xlfn.minifs($L:$L,$C:$C,$C309,$F:$F,"&lt;&gt;0")</f>
        <v/>
      </c>
      <c r="AB309" s="144">
        <f>C309&amp;"-"&amp;A309</f>
        <v/>
      </c>
      <c r="AC309" s="144">
        <f>L309</f>
        <v/>
      </c>
    </row>
    <row r="310">
      <c r="A310" s="140" t="inlineStr">
        <is>
          <t>ZHAN07</t>
        </is>
      </c>
      <c r="B310" s="140" t="n">
        <v>3</v>
      </c>
      <c r="C310" s="140" t="inlineStr">
        <is>
          <t>HVH103</t>
        </is>
      </c>
      <c r="D310" s="140" t="inlineStr">
        <is>
          <t>H</t>
        </is>
      </c>
      <c r="E310" s="140" t="inlineStr">
        <is>
          <t>Hanekom Johannes Hendrik (Hans)</t>
        </is>
      </c>
      <c r="F310" s="141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</f>
        <v/>
      </c>
      <c r="G310" s="142" t="n">
        <v>45224</v>
      </c>
      <c r="H310" s="140">
        <f>VLOOKUP($C310,Sales!$C:$E,2,FALSE)</f>
        <v/>
      </c>
      <c r="I310" s="140">
        <f>VLOOKUP($C310,Sales!$C:$E,3,FALSE)</f>
        <v/>
      </c>
      <c r="J310" s="142">
        <f>SUMIFS(Sales!$H:$H,Sales!$C:$C,'Investor Exit List'!$C310)</f>
        <v/>
      </c>
      <c r="K310" s="142">
        <f>IF(I310=TRUE,J310,"")</f>
        <v/>
      </c>
      <c r="L310" s="142">
        <f>G310+730</f>
        <v/>
      </c>
      <c r="M310" s="142" t="n">
        <v>45443</v>
      </c>
      <c r="N310" s="143">
        <f>IFERROR(IF(G310&lt;&gt;"",IF(I310=TRUE,0,IF(U310=TRUE,0,L310-M310)),0),0)</f>
        <v/>
      </c>
      <c r="O310" s="143">
        <f>IF(N310&gt;0,IF(N310&lt;=180,N310,0),0)</f>
        <v/>
      </c>
      <c r="P310" s="141">
        <f>IF(AND(N310&lt;90,N310&gt;0),Q310,0)</f>
        <v/>
      </c>
      <c r="Q310" s="141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/>
      </c>
      <c r="R310" s="141">
        <f>IF(AND(H310=TRUE,I310=FALSE),Q310,0)</f>
        <v/>
      </c>
      <c r="S310" s="141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/>
      </c>
      <c r="T310" s="142">
        <f>IF(U310=TRUE,$J310,"")</f>
        <v/>
      </c>
      <c r="U310" s="140" t="b">
        <v>0</v>
      </c>
      <c r="V310" s="141">
        <f>IF(AND(H310=TRUE,OR(K310="",K310&gt;M310)),S310,0)</f>
        <v/>
      </c>
      <c r="W310" s="140" t="n">
        <v>0</v>
      </c>
      <c r="X310" s="140" t="b">
        <v>0</v>
      </c>
      <c r="Y310" s="143">
        <f>IF(H310=FALSE,VLOOKUP($C310,Sales!$C:$F,4,FALSE),1)</f>
        <v/>
      </c>
      <c r="Z310" s="140">
        <f>IF(Y310=0,"Release",IF(AND(L310&lt;J310,Y310=1,H310=FALSE,U310=FALSE,MONTH(L310)&amp;"/"&amp;YEAR(L310)&lt;&gt;MONTH(J310)&amp;"/"&amp;YEAR(J310)),"Release",""))</f>
        <v/>
      </c>
      <c r="AA310" s="144">
        <f>_xlfn.minifs($L:$L,$C:$C,$C310,$F:$F,"&lt;&gt;0")</f>
        <v/>
      </c>
      <c r="AB310" s="144">
        <f>C310&amp;"-"&amp;A310</f>
        <v/>
      </c>
      <c r="AC310" s="144">
        <f>L310</f>
        <v/>
      </c>
    </row>
    <row r="311">
      <c r="A311" s="140" t="inlineStr">
        <is>
          <t>ZHAN07</t>
        </is>
      </c>
      <c r="B311" s="140" t="n">
        <v>4</v>
      </c>
      <c r="C311" s="140" t="inlineStr">
        <is>
          <t>HVH104</t>
        </is>
      </c>
      <c r="D311" s="140" t="inlineStr">
        <is>
          <t>H</t>
        </is>
      </c>
      <c r="E311" s="140" t="inlineStr">
        <is>
          <t>Hanekom Johannes Hendrik (Hans)</t>
        </is>
      </c>
      <c r="F311" s="141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</f>
        <v/>
      </c>
      <c r="G311" s="142" t="n">
        <v>45224</v>
      </c>
      <c r="H311" s="140">
        <f>VLOOKUP($C311,Sales!$C:$E,2,FALSE)</f>
        <v/>
      </c>
      <c r="I311" s="140">
        <f>VLOOKUP($C311,Sales!$C:$E,3,FALSE)</f>
        <v/>
      </c>
      <c r="J311" s="142">
        <f>SUMIFS(Sales!$H:$H,Sales!$C:$C,'Investor Exit List'!$C311)</f>
        <v/>
      </c>
      <c r="K311" s="142">
        <f>IF(I311=TRUE,J311,"")</f>
        <v/>
      </c>
      <c r="L311" s="142">
        <f>G311+730</f>
        <v/>
      </c>
      <c r="M311" s="142" t="n">
        <v>45443</v>
      </c>
      <c r="N311" s="143">
        <f>IFERROR(IF(G311&lt;&gt;"",IF(I311=TRUE,0,IF(U311=TRUE,0,L311-M311)),0),0)</f>
        <v/>
      </c>
      <c r="O311" s="143">
        <f>IF(N311&gt;0,IF(N311&lt;=180,N311,0),0)</f>
        <v/>
      </c>
      <c r="P311" s="141">
        <f>IF(AND(N311&lt;90,N311&gt;0),Q311,0)</f>
        <v/>
      </c>
      <c r="Q311" s="141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/>
      </c>
      <c r="R311" s="141">
        <f>IF(AND(H311=TRUE,I311=FALSE),Q311,0)</f>
        <v/>
      </c>
      <c r="S311" s="141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/>
      </c>
      <c r="T311" s="142">
        <f>IF(U311=TRUE,$J311,"")</f>
        <v/>
      </c>
      <c r="U311" s="140" t="b">
        <v>0</v>
      </c>
      <c r="V311" s="141">
        <f>IF(AND(H311=TRUE,OR(K311="",K311&gt;M311)),S311,0)</f>
        <v/>
      </c>
      <c r="W311" s="140" t="n">
        <v>0</v>
      </c>
      <c r="X311" s="140" t="b">
        <v>0</v>
      </c>
      <c r="Y311" s="143">
        <f>IF(H311=FALSE,VLOOKUP($C311,Sales!$C:$F,4,FALSE),1)</f>
        <v/>
      </c>
      <c r="Z311" s="140">
        <f>IF(Y311=0,"Release",IF(AND(L311&lt;J311,Y311=1,H311=FALSE,U311=FALSE,MONTH(L311)&amp;"/"&amp;YEAR(L311)&lt;&gt;MONTH(J311)&amp;"/"&amp;YEAR(J311)),"Release",""))</f>
        <v/>
      </c>
      <c r="AA311" s="144">
        <f>_xlfn.minifs($L:$L,$C:$C,$C311,$F:$F,"&lt;&gt;0")</f>
        <v/>
      </c>
      <c r="AB311" s="144">
        <f>C311&amp;"-"&amp;A311</f>
        <v/>
      </c>
      <c r="AC311" s="144">
        <f>L311</f>
        <v/>
      </c>
    </row>
    <row r="312">
      <c r="A312" s="140" t="inlineStr">
        <is>
          <t>ZHAN07</t>
        </is>
      </c>
      <c r="B312" s="140" t="n">
        <v>5</v>
      </c>
      <c r="C312" s="140" t="inlineStr">
        <is>
          <t>HVH201</t>
        </is>
      </c>
      <c r="D312" s="140" t="inlineStr">
        <is>
          <t>H</t>
        </is>
      </c>
      <c r="E312" s="140" t="inlineStr">
        <is>
          <t>Hanekom Johannes Hendrik (Hans)</t>
        </is>
      </c>
      <c r="F312" s="141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</f>
        <v/>
      </c>
      <c r="G312" s="142" t="n">
        <v>45259</v>
      </c>
      <c r="H312" s="140">
        <f>VLOOKUP($C312,Sales!$C:$E,2,FALSE)</f>
        <v/>
      </c>
      <c r="I312" s="140">
        <f>VLOOKUP($C312,Sales!$C:$E,3,FALSE)</f>
        <v/>
      </c>
      <c r="J312" s="142">
        <f>SUMIFS(Sales!$H:$H,Sales!$C:$C,'Investor Exit List'!$C312)</f>
        <v/>
      </c>
      <c r="K312" s="142">
        <f>IF(I312=TRUE,J312,"")</f>
        <v/>
      </c>
      <c r="L312" s="142">
        <f>G312+730</f>
        <v/>
      </c>
      <c r="M312" s="142" t="n">
        <v>45443</v>
      </c>
      <c r="N312" s="143">
        <f>IFERROR(IF(G312&lt;&gt;"",IF(I312=TRUE,0,IF(U312=TRUE,0,L312-M312)),0),0)</f>
        <v/>
      </c>
      <c r="O312" s="143">
        <f>IF(N312&gt;0,IF(N312&lt;=180,N312,0),0)</f>
        <v/>
      </c>
      <c r="P312" s="141">
        <f>IF(AND(N312&lt;90,N312&gt;0),Q312,0)</f>
        <v/>
      </c>
      <c r="Q312" s="141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/>
      </c>
      <c r="R312" s="141">
        <f>IF(AND(H312=TRUE,I312=FALSE),Q312,0)</f>
        <v/>
      </c>
      <c r="S312" s="141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/>
      </c>
      <c r="T312" s="142">
        <f>IF(U312=TRUE,$J312,"")</f>
        <v/>
      </c>
      <c r="U312" s="140" t="b">
        <v>0</v>
      </c>
      <c r="V312" s="141">
        <f>IF(AND(H312=TRUE,OR(K312="",K312&gt;M312)),S312,0)</f>
        <v/>
      </c>
      <c r="W312" s="140" t="n">
        <v>0</v>
      </c>
      <c r="X312" s="140" t="b">
        <v>0</v>
      </c>
      <c r="Y312" s="143">
        <f>IF(H312=FALSE,VLOOKUP($C312,Sales!$C:$F,4,FALSE),1)</f>
        <v/>
      </c>
      <c r="Z312" s="140">
        <f>IF(Y312=0,"Release",IF(AND(L312&lt;J312,Y312=1,H312=FALSE,U312=FALSE,MONTH(L312)&amp;"/"&amp;YEAR(L312)&lt;&gt;MONTH(J312)&amp;"/"&amp;YEAR(J312)),"Release",""))</f>
        <v/>
      </c>
      <c r="AA312" s="144">
        <f>_xlfn.minifs($L:$L,$C:$C,$C312,$F:$F,"&lt;&gt;0")</f>
        <v/>
      </c>
      <c r="AB312" s="144">
        <f>C312&amp;"-"&amp;A312</f>
        <v/>
      </c>
      <c r="AC312" s="144">
        <f>L312</f>
        <v/>
      </c>
    </row>
    <row r="313">
      <c r="A313" s="140" t="inlineStr">
        <is>
          <t>ZHAN07</t>
        </is>
      </c>
      <c r="B313" s="140" t="n">
        <v>6</v>
      </c>
      <c r="C313" s="140" t="inlineStr">
        <is>
          <t>HVH202</t>
        </is>
      </c>
      <c r="D313" s="140" t="inlineStr">
        <is>
          <t>H</t>
        </is>
      </c>
      <c r="E313" s="140" t="inlineStr">
        <is>
          <t>Hanekom Johannes Hendrik (Hans)</t>
        </is>
      </c>
      <c r="F313" s="141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</f>
        <v/>
      </c>
      <c r="G313" s="142" t="n">
        <v>45273</v>
      </c>
      <c r="H313" s="140">
        <f>VLOOKUP($C313,Sales!$C:$E,2,FALSE)</f>
        <v/>
      </c>
      <c r="I313" s="140">
        <f>VLOOKUP($C313,Sales!$C:$E,3,FALSE)</f>
        <v/>
      </c>
      <c r="J313" s="142">
        <f>SUMIFS(Sales!$H:$H,Sales!$C:$C,'Investor Exit List'!$C313)</f>
        <v/>
      </c>
      <c r="K313" s="142">
        <f>IF(I313=TRUE,J313,"")</f>
        <v/>
      </c>
      <c r="L313" s="142">
        <f>G313+730</f>
        <v/>
      </c>
      <c r="M313" s="142" t="n">
        <v>45443</v>
      </c>
      <c r="N313" s="143">
        <f>IFERROR(IF(G313&lt;&gt;"",IF(I313=TRUE,0,IF(U313=TRUE,0,L313-M313)),0),0)</f>
        <v/>
      </c>
      <c r="O313" s="143">
        <f>IF(N313&gt;0,IF(N313&lt;=180,N313,0),0)</f>
        <v/>
      </c>
      <c r="P313" s="141">
        <f>IF(AND(N313&lt;90,N313&gt;0),Q313,0)</f>
        <v/>
      </c>
      <c r="Q313" s="141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/>
      </c>
      <c r="R313" s="141">
        <f>IF(AND(H313=TRUE,I313=FALSE),Q313,0)</f>
        <v/>
      </c>
      <c r="S313" s="141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/>
      </c>
      <c r="T313" s="142">
        <f>IF(U313=TRUE,$J313,"")</f>
        <v/>
      </c>
      <c r="U313" s="140" t="b">
        <v>0</v>
      </c>
      <c r="V313" s="141">
        <f>IF(AND(H313=TRUE,OR(K313="",K313&gt;M313)),S313,0)</f>
        <v/>
      </c>
      <c r="W313" s="140" t="n">
        <v>0</v>
      </c>
      <c r="X313" s="140" t="b">
        <v>0</v>
      </c>
      <c r="Y313" s="143">
        <f>IF(H313=FALSE,VLOOKUP($C313,Sales!$C:$F,4,FALSE),1)</f>
        <v/>
      </c>
      <c r="Z313" s="140">
        <f>IF(Y313=0,"Release",IF(AND(L313&lt;J313,Y313=1,H313=FALSE,U313=FALSE,MONTH(L313)&amp;"/"&amp;YEAR(L313)&lt;&gt;MONTH(J313)&amp;"/"&amp;YEAR(J313)),"Release",""))</f>
        <v/>
      </c>
      <c r="AA313" s="144">
        <f>_xlfn.minifs($L:$L,$C:$C,$C313,$F:$F,"&lt;&gt;0")</f>
        <v/>
      </c>
      <c r="AB313" s="144">
        <f>C313&amp;"-"&amp;A313</f>
        <v/>
      </c>
      <c r="AC313" s="144">
        <f>L313</f>
        <v/>
      </c>
    </row>
    <row r="314">
      <c r="A314" s="140" t="inlineStr">
        <is>
          <t>ZHAN07</t>
        </is>
      </c>
      <c r="B314" s="140" t="n">
        <v>7</v>
      </c>
      <c r="C314" s="140" t="inlineStr">
        <is>
          <t>HVH203</t>
        </is>
      </c>
      <c r="D314" s="140" t="inlineStr">
        <is>
          <t>H</t>
        </is>
      </c>
      <c r="E314" s="140" t="inlineStr">
        <is>
          <t>Hanekom Johannes Hendrik (Hans)</t>
        </is>
      </c>
      <c r="F314" s="141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</f>
        <v/>
      </c>
      <c r="G314" s="142" t="n">
        <v>45273</v>
      </c>
      <c r="H314" s="140">
        <f>VLOOKUP($C314,Sales!$C:$E,2,FALSE)</f>
        <v/>
      </c>
      <c r="I314" s="140">
        <f>VLOOKUP($C314,Sales!$C:$E,3,FALSE)</f>
        <v/>
      </c>
      <c r="J314" s="142">
        <f>SUMIFS(Sales!$H:$H,Sales!$C:$C,'Investor Exit List'!$C314)</f>
        <v/>
      </c>
      <c r="K314" s="142">
        <f>IF(I314=TRUE,J314,"")</f>
        <v/>
      </c>
      <c r="L314" s="142">
        <f>G314+730</f>
        <v/>
      </c>
      <c r="M314" s="142" t="n">
        <v>45443</v>
      </c>
      <c r="N314" s="143">
        <f>IFERROR(IF(G314&lt;&gt;"",IF(I314=TRUE,0,IF(U314=TRUE,0,L314-M314)),0),0)</f>
        <v/>
      </c>
      <c r="O314" s="143">
        <f>IF(N314&gt;0,IF(N314&lt;=180,N314,0),0)</f>
        <v/>
      </c>
      <c r="P314" s="141">
        <f>IF(AND(N314&lt;90,N314&gt;0),Q314,0)</f>
        <v/>
      </c>
      <c r="Q314" s="141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/>
      </c>
      <c r="R314" s="141">
        <f>IF(AND(H314=TRUE,I314=FALSE),Q314,0)</f>
        <v/>
      </c>
      <c r="S314" s="141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/>
      </c>
      <c r="T314" s="142">
        <f>IF(U314=TRUE,$J314,"")</f>
        <v/>
      </c>
      <c r="U314" s="140" t="b">
        <v>0</v>
      </c>
      <c r="V314" s="141">
        <f>IF(AND(H314=TRUE,OR(K314="",K314&gt;M314)),S314,0)</f>
        <v/>
      </c>
      <c r="W314" s="140" t="n">
        <v>0</v>
      </c>
      <c r="X314" s="140" t="b">
        <v>0</v>
      </c>
      <c r="Y314" s="143">
        <f>IF(H314=FALSE,VLOOKUP($C314,Sales!$C:$F,4,FALSE),1)</f>
        <v/>
      </c>
      <c r="Z314" s="140">
        <f>IF(Y314=0,"Release",IF(AND(L314&lt;J314,Y314=1,H314=FALSE,U314=FALSE,MONTH(L314)&amp;"/"&amp;YEAR(L314)&lt;&gt;MONTH(J314)&amp;"/"&amp;YEAR(J314)),"Release",""))</f>
        <v/>
      </c>
      <c r="AA314" s="144">
        <f>_xlfn.minifs($L:$L,$C:$C,$C314,$F:$F,"&lt;&gt;0")</f>
        <v/>
      </c>
      <c r="AB314" s="144">
        <f>C314&amp;"-"&amp;A314</f>
        <v/>
      </c>
      <c r="AC314" s="144">
        <f>L314</f>
        <v/>
      </c>
    </row>
    <row r="315">
      <c r="A315" s="140" t="inlineStr">
        <is>
          <t>ZHAN07</t>
        </is>
      </c>
      <c r="B315" s="140" t="n">
        <v>8</v>
      </c>
      <c r="C315" s="140" t="inlineStr">
        <is>
          <t>HVH204</t>
        </is>
      </c>
      <c r="D315" s="140" t="inlineStr">
        <is>
          <t>H</t>
        </is>
      </c>
      <c r="E315" s="140" t="inlineStr">
        <is>
          <t>Hanekom Johannes Hendrik (Hans)</t>
        </is>
      </c>
      <c r="F315" s="141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</f>
        <v/>
      </c>
      <c r="G315" s="142" t="n">
        <v>45273</v>
      </c>
      <c r="H315" s="140">
        <f>VLOOKUP($C315,Sales!$C:$E,2,FALSE)</f>
        <v/>
      </c>
      <c r="I315" s="140">
        <f>VLOOKUP($C315,Sales!$C:$E,3,FALSE)</f>
        <v/>
      </c>
      <c r="J315" s="142">
        <f>SUMIFS(Sales!$H:$H,Sales!$C:$C,'Investor Exit List'!$C315)</f>
        <v/>
      </c>
      <c r="K315" s="142">
        <f>IF(I315=TRUE,J315,"")</f>
        <v/>
      </c>
      <c r="L315" s="142">
        <f>G315+730</f>
        <v/>
      </c>
      <c r="M315" s="142" t="n">
        <v>45443</v>
      </c>
      <c r="N315" s="143">
        <f>IFERROR(IF(G315&lt;&gt;"",IF(I315=TRUE,0,IF(U315=TRUE,0,L315-M315)),0),0)</f>
        <v/>
      </c>
      <c r="O315" s="143">
        <f>IF(N315&gt;0,IF(N315&lt;=180,N315,0),0)</f>
        <v/>
      </c>
      <c r="P315" s="141">
        <f>IF(AND(N315&lt;90,N315&gt;0),Q315,0)</f>
        <v/>
      </c>
      <c r="Q315" s="141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/>
      </c>
      <c r="R315" s="141">
        <f>IF(AND(H315=TRUE,I315=FALSE),Q315,0)</f>
        <v/>
      </c>
      <c r="S315" s="141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/>
      </c>
      <c r="T315" s="142">
        <f>IF(U315=TRUE,$J315,"")</f>
        <v/>
      </c>
      <c r="U315" s="140" t="b">
        <v>0</v>
      </c>
      <c r="V315" s="141">
        <f>IF(AND(H315=TRUE,OR(K315="",K315&gt;M315)),S315,0)</f>
        <v/>
      </c>
      <c r="W315" s="140" t="n">
        <v>0</v>
      </c>
      <c r="X315" s="140" t="b">
        <v>0</v>
      </c>
      <c r="Y315" s="143">
        <f>IF(H315=FALSE,VLOOKUP($C315,Sales!$C:$F,4,FALSE),1)</f>
        <v/>
      </c>
      <c r="Z315" s="140">
        <f>IF(Y315=0,"Release",IF(AND(L315&lt;J315,Y315=1,H315=FALSE,U315=FALSE,MONTH(L315)&amp;"/"&amp;YEAR(L315)&lt;&gt;MONTH(J315)&amp;"/"&amp;YEAR(J315)),"Release",""))</f>
        <v/>
      </c>
      <c r="AA315" s="144">
        <f>_xlfn.minifs($L:$L,$C:$C,$C315,$F:$F,"&lt;&gt;0")</f>
        <v/>
      </c>
      <c r="AB315" s="144">
        <f>C315&amp;"-"&amp;A315</f>
        <v/>
      </c>
      <c r="AC315" s="144">
        <f>L315</f>
        <v/>
      </c>
    </row>
    <row r="316">
      <c r="A316" s="140" t="inlineStr">
        <is>
          <t>ZDEB01</t>
        </is>
      </c>
      <c r="B316" s="140" t="n">
        <v>9</v>
      </c>
      <c r="C316" s="140" t="inlineStr">
        <is>
          <t>HVI101</t>
        </is>
      </c>
      <c r="D316" s="140" t="inlineStr">
        <is>
          <t>I</t>
        </is>
      </c>
      <c r="E316" s="140" t="inlineStr">
        <is>
          <t>De Beer William Henry</t>
        </is>
      </c>
      <c r="F316" s="141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</f>
        <v/>
      </c>
      <c r="G316" s="142" t="n">
        <v>45224</v>
      </c>
      <c r="H316" s="140">
        <f>VLOOKUP($C316,Sales!$C:$E,2,FALSE)</f>
        <v/>
      </c>
      <c r="I316" s="140">
        <f>VLOOKUP($C316,Sales!$C:$E,3,FALSE)</f>
        <v/>
      </c>
      <c r="J316" s="142">
        <f>SUMIFS(Sales!$H:$H,Sales!$C:$C,'Investor Exit List'!$C316)</f>
        <v/>
      </c>
      <c r="K316" s="142">
        <f>IF(I316=TRUE,J316,"")</f>
        <v/>
      </c>
      <c r="L316" s="142">
        <f>G316+730</f>
        <v/>
      </c>
      <c r="M316" s="142" t="n">
        <v>45443</v>
      </c>
      <c r="N316" s="143">
        <f>IFERROR(IF(G316&lt;&gt;"",IF(I316=TRUE,0,IF(U316=TRUE,0,L316-M316)),0),0)</f>
        <v/>
      </c>
      <c r="O316" s="143">
        <f>IF(N316&gt;0,IF(N316&lt;=180,N316,0),0)</f>
        <v/>
      </c>
      <c r="P316" s="141">
        <f>IF(AND(N316&lt;90,N316&gt;0),Q316,0)</f>
        <v/>
      </c>
      <c r="Q316" s="141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/>
      </c>
      <c r="R316" s="141">
        <f>IF(AND(H316=TRUE,I316=FALSE),Q316,0)</f>
        <v/>
      </c>
      <c r="S316" s="141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/>
      </c>
      <c r="T316" s="142">
        <f>IF(U316=TRUE,$J316,"")</f>
        <v/>
      </c>
      <c r="U316" s="140" t="b">
        <v>0</v>
      </c>
      <c r="V316" s="141">
        <f>IF(AND(H316=TRUE,OR(K316="",K316&gt;M316)),S316,0)</f>
        <v/>
      </c>
      <c r="W316" s="140" t="n">
        <v>0</v>
      </c>
      <c r="X316" s="140" t="b">
        <v>0</v>
      </c>
      <c r="Y316" s="143">
        <f>IF(H316=FALSE,VLOOKUP($C316,Sales!$C:$F,4,FALSE),1)</f>
        <v/>
      </c>
      <c r="Z316" s="140">
        <f>IF(Y316=0,"Release",IF(AND(L316&lt;J316,Y316=1,H316=FALSE,U316=FALSE,MONTH(L316)&amp;"/"&amp;YEAR(L316)&lt;&gt;MONTH(J316)&amp;"/"&amp;YEAR(J316)),"Release",""))</f>
        <v/>
      </c>
      <c r="AA316" s="144">
        <f>_xlfn.minifs($L:$L,$C:$C,$C316,$F:$F,"&lt;&gt;0")</f>
        <v/>
      </c>
      <c r="AB316" s="144">
        <f>C316&amp;"-"&amp;A316</f>
        <v/>
      </c>
      <c r="AC316" s="144">
        <f>L316</f>
        <v/>
      </c>
    </row>
    <row r="317">
      <c r="A317" s="140" t="inlineStr">
        <is>
          <t>ZBEL01</t>
        </is>
      </c>
      <c r="B317" s="140" t="n">
        <v>6</v>
      </c>
      <c r="C317" s="140" t="inlineStr">
        <is>
          <t>HVI102</t>
        </is>
      </c>
      <c r="D317" s="140" t="inlineStr">
        <is>
          <t>I</t>
        </is>
      </c>
      <c r="E317" s="140" t="inlineStr">
        <is>
          <t>Belford Helen Constance</t>
        </is>
      </c>
      <c r="F317" s="141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</f>
        <v/>
      </c>
      <c r="G317" s="142" t="n">
        <v>45252</v>
      </c>
      <c r="H317" s="140">
        <f>VLOOKUP($C317,Sales!$C:$E,2,FALSE)</f>
        <v/>
      </c>
      <c r="I317" s="140">
        <f>VLOOKUP($C317,Sales!$C:$E,3,FALSE)</f>
        <v/>
      </c>
      <c r="J317" s="142">
        <f>SUMIFS(Sales!$H:$H,Sales!$C:$C,'Investor Exit List'!$C317)</f>
        <v/>
      </c>
      <c r="K317" s="142">
        <f>IF(I317=TRUE,J317,"")</f>
        <v/>
      </c>
      <c r="L317" s="142">
        <f>G317+730</f>
        <v/>
      </c>
      <c r="M317" s="142" t="n">
        <v>45443</v>
      </c>
      <c r="N317" s="143">
        <f>IFERROR(IF(G317&lt;&gt;"",IF(I317=TRUE,0,IF(U317=TRUE,0,L317-M317)),0),0)</f>
        <v/>
      </c>
      <c r="O317" s="143">
        <f>IF(N317&gt;0,IF(N317&lt;=180,N317,0),0)</f>
        <v/>
      </c>
      <c r="P317" s="141">
        <f>IF(AND(N317&lt;90,N317&gt;0),Q317,0)</f>
        <v/>
      </c>
      <c r="Q317" s="141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/>
      </c>
      <c r="R317" s="141">
        <f>IF(AND(H317=TRUE,I317=FALSE),Q317,0)</f>
        <v/>
      </c>
      <c r="S317" s="141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/>
      </c>
      <c r="T317" s="142">
        <f>IF(U317=TRUE,$J317,"")</f>
        <v/>
      </c>
      <c r="U317" s="140" t="b">
        <v>0</v>
      </c>
      <c r="V317" s="141">
        <f>IF(AND(H317=TRUE,OR(K317="",K317&gt;M317)),S317,0)</f>
        <v/>
      </c>
      <c r="W317" s="140" t="n">
        <v>0</v>
      </c>
      <c r="X317" s="140" t="b">
        <v>0</v>
      </c>
      <c r="Y317" s="143">
        <f>IF(H317=FALSE,VLOOKUP($C317,Sales!$C:$F,4,FALSE),1)</f>
        <v/>
      </c>
      <c r="Z317" s="140">
        <f>IF(Y317=0,"Release",IF(AND(L317&lt;J317,Y317=1,H317=FALSE,U317=FALSE,MONTH(L317)&amp;"/"&amp;YEAR(L317)&lt;&gt;MONTH(J317)&amp;"/"&amp;YEAR(J317)),"Release",""))</f>
        <v/>
      </c>
      <c r="AA317" s="144">
        <f>_xlfn.minifs($L:$L,$C:$C,$C317,$F:$F,"&lt;&gt;0")</f>
        <v/>
      </c>
      <c r="AB317" s="144">
        <f>C317&amp;"-"&amp;A317</f>
        <v/>
      </c>
      <c r="AC317" s="144">
        <f>L317</f>
        <v/>
      </c>
    </row>
    <row r="318">
      <c r="A318" s="140" t="inlineStr">
        <is>
          <t>ZCAR01</t>
        </is>
      </c>
      <c r="B318" s="140" t="n">
        <v>1</v>
      </c>
      <c r="C318" s="140" t="inlineStr">
        <is>
          <t>HVI102</t>
        </is>
      </c>
      <c r="D318" s="140" t="inlineStr">
        <is>
          <t>I</t>
        </is>
      </c>
      <c r="E318" s="140" t="inlineStr">
        <is>
          <t>Carolus Martin Michael</t>
        </is>
      </c>
      <c r="F318" s="141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</f>
        <v/>
      </c>
      <c r="G318" s="142" t="n">
        <v>45259</v>
      </c>
      <c r="H318" s="140">
        <f>VLOOKUP($C318,Sales!$C:$E,2,FALSE)</f>
        <v/>
      </c>
      <c r="I318" s="140">
        <f>VLOOKUP($C318,Sales!$C:$E,3,FALSE)</f>
        <v/>
      </c>
      <c r="J318" s="142">
        <f>SUMIFS(Sales!$H:$H,Sales!$C:$C,'Investor Exit List'!$C318)</f>
        <v/>
      </c>
      <c r="K318" s="142">
        <f>IF(I318=TRUE,J318,"")</f>
        <v/>
      </c>
      <c r="L318" s="142">
        <f>G318+730</f>
        <v/>
      </c>
      <c r="M318" s="142" t="n">
        <v>45443</v>
      </c>
      <c r="N318" s="143">
        <f>IFERROR(IF(G318&lt;&gt;"",IF(I318=TRUE,0,IF(U318=TRUE,0,L318-M318)),0),0)</f>
        <v/>
      </c>
      <c r="O318" s="143">
        <f>IF(N318&gt;0,IF(N318&lt;=180,N318,0),0)</f>
        <v/>
      </c>
      <c r="P318" s="141">
        <f>IF(AND(N318&lt;90,N318&gt;0),Q318,0)</f>
        <v/>
      </c>
      <c r="Q318" s="141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/>
      </c>
      <c r="R318" s="141">
        <f>IF(AND(H318=TRUE,I318=FALSE),Q318,0)</f>
        <v/>
      </c>
      <c r="S318" s="141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/>
      </c>
      <c r="T318" s="142">
        <f>IF(U318=TRUE,$J318,"")</f>
        <v/>
      </c>
      <c r="U318" s="140" t="b">
        <v>0</v>
      </c>
      <c r="V318" s="141">
        <f>IF(AND(H318=TRUE,OR(K318="",K318&gt;M318)),S318,0)</f>
        <v/>
      </c>
      <c r="W318" s="140" t="n">
        <v>0</v>
      </c>
      <c r="X318" s="140" t="b">
        <v>0</v>
      </c>
      <c r="Y318" s="143">
        <f>IF(H318=FALSE,VLOOKUP($C318,Sales!$C:$F,4,FALSE),1)</f>
        <v/>
      </c>
      <c r="Z318" s="140">
        <f>IF(Y318=0,"Release",IF(AND(L318&lt;J318,Y318=1,H318=FALSE,U318=FALSE,MONTH(L318)&amp;"/"&amp;YEAR(L318)&lt;&gt;MONTH(J318)&amp;"/"&amp;YEAR(J318)),"Release",""))</f>
        <v/>
      </c>
      <c r="AA318" s="144">
        <f>_xlfn.minifs($L:$L,$C:$C,$C318,$F:$F,"&lt;&gt;0")</f>
        <v/>
      </c>
      <c r="AB318" s="144">
        <f>C318&amp;"-"&amp;A318</f>
        <v/>
      </c>
      <c r="AC318" s="144">
        <f>L318</f>
        <v/>
      </c>
    </row>
    <row r="319">
      <c r="A319" s="140" t="inlineStr">
        <is>
          <t>ZCOE02</t>
        </is>
      </c>
      <c r="B319" s="140" t="n">
        <v>1</v>
      </c>
      <c r="C319" s="140" t="inlineStr">
        <is>
          <t>HVI102</t>
        </is>
      </c>
      <c r="D319" s="140" t="inlineStr">
        <is>
          <t>I</t>
        </is>
      </c>
      <c r="E319" s="140" t="inlineStr">
        <is>
          <t>Coetzee Hugo Amos</t>
        </is>
      </c>
      <c r="F319" s="141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</f>
        <v/>
      </c>
      <c r="G319" s="142" t="n">
        <v>45224</v>
      </c>
      <c r="H319" s="140">
        <f>VLOOKUP($C319,Sales!$C:$E,2,FALSE)</f>
        <v/>
      </c>
      <c r="I319" s="140">
        <f>VLOOKUP($C319,Sales!$C:$E,3,FALSE)</f>
        <v/>
      </c>
      <c r="J319" s="142">
        <f>SUMIFS(Sales!$H:$H,Sales!$C:$C,'Investor Exit List'!$C319)</f>
        <v/>
      </c>
      <c r="K319" s="142">
        <f>IF(I319=TRUE,J319,"")</f>
        <v/>
      </c>
      <c r="L319" s="142">
        <f>G319+730</f>
        <v/>
      </c>
      <c r="M319" s="142" t="n">
        <v>45443</v>
      </c>
      <c r="N319" s="143">
        <f>IFERROR(IF(G319&lt;&gt;"",IF(I319=TRUE,0,IF(U319=TRUE,0,L319-M319)),0),0)</f>
        <v/>
      </c>
      <c r="O319" s="143">
        <f>IF(N319&gt;0,IF(N319&lt;=180,N319,0),0)</f>
        <v/>
      </c>
      <c r="P319" s="141">
        <f>IF(AND(N319&lt;90,N319&gt;0),Q319,0)</f>
        <v/>
      </c>
      <c r="Q319" s="141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/>
      </c>
      <c r="R319" s="141">
        <f>IF(AND(H319=TRUE,I319=FALSE),Q319,0)</f>
        <v/>
      </c>
      <c r="S319" s="141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/>
      </c>
      <c r="T319" s="142">
        <f>IF(U319=TRUE,$J319,"")</f>
        <v/>
      </c>
      <c r="U319" s="140" t="b">
        <v>0</v>
      </c>
      <c r="V319" s="141">
        <f>IF(AND(H319=TRUE,OR(K319="",K319&gt;M319)),S319,0)</f>
        <v/>
      </c>
      <c r="W319" s="140" t="n">
        <v>0</v>
      </c>
      <c r="X319" s="140" t="b">
        <v>0</v>
      </c>
      <c r="Y319" s="143">
        <f>IF(H319=FALSE,VLOOKUP($C319,Sales!$C:$F,4,FALSE),1)</f>
        <v/>
      </c>
      <c r="Z319" s="140">
        <f>IF(Y319=0,"Release",IF(AND(L319&lt;J319,Y319=1,H319=FALSE,U319=FALSE,MONTH(L319)&amp;"/"&amp;YEAR(L319)&lt;&gt;MONTH(J319)&amp;"/"&amp;YEAR(J319)),"Release",""))</f>
        <v/>
      </c>
      <c r="AA319" s="144">
        <f>_xlfn.minifs($L:$L,$C:$C,$C319,$F:$F,"&lt;&gt;0")</f>
        <v/>
      </c>
      <c r="AB319" s="144">
        <f>C319&amp;"-"&amp;A319</f>
        <v/>
      </c>
      <c r="AC319" s="144">
        <f>L319</f>
        <v/>
      </c>
    </row>
    <row r="320">
      <c r="A320" s="140" t="inlineStr">
        <is>
          <t>ZNEL01</t>
        </is>
      </c>
      <c r="B320" s="140" t="n">
        <v>1</v>
      </c>
      <c r="C320" s="140" t="inlineStr">
        <is>
          <t>HVI102</t>
        </is>
      </c>
      <c r="D320" s="140" t="inlineStr">
        <is>
          <t>I</t>
        </is>
      </c>
      <c r="E320" s="140" t="inlineStr">
        <is>
          <t>Nel Lambertus Renier (Bertie)</t>
        </is>
      </c>
      <c r="F320" s="141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</f>
        <v/>
      </c>
      <c r="G320" s="142" t="n">
        <v>45259</v>
      </c>
      <c r="H320" s="140">
        <f>VLOOKUP($C320,Sales!$C:$E,2,FALSE)</f>
        <v/>
      </c>
      <c r="I320" s="140">
        <f>VLOOKUP($C320,Sales!$C:$E,3,FALSE)</f>
        <v/>
      </c>
      <c r="J320" s="142">
        <f>SUMIFS(Sales!$H:$H,Sales!$C:$C,'Investor Exit List'!$C320)</f>
        <v/>
      </c>
      <c r="K320" s="142">
        <f>IF(I320=TRUE,J320,"")</f>
        <v/>
      </c>
      <c r="L320" s="142">
        <f>G320+730</f>
        <v/>
      </c>
      <c r="M320" s="142" t="n">
        <v>45443</v>
      </c>
      <c r="N320" s="143">
        <f>IFERROR(IF(G320&lt;&gt;"",IF(I320=TRUE,0,IF(U320=TRUE,0,L320-M320)),0),0)</f>
        <v/>
      </c>
      <c r="O320" s="143">
        <f>IF(N320&gt;0,IF(N320&lt;=180,N320,0),0)</f>
        <v/>
      </c>
      <c r="P320" s="141">
        <f>IF(AND(N320&lt;90,N320&gt;0),Q320,0)</f>
        <v/>
      </c>
      <c r="Q320" s="141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/>
      </c>
      <c r="R320" s="141">
        <f>IF(AND(H320=TRUE,I320=FALSE),Q320,0)</f>
        <v/>
      </c>
      <c r="S320" s="141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/>
      </c>
      <c r="T320" s="142">
        <f>IF(U320=TRUE,$J320,"")</f>
        <v/>
      </c>
      <c r="U320" s="140" t="b">
        <v>0</v>
      </c>
      <c r="V320" s="141">
        <f>IF(AND(H320=TRUE,OR(K320="",K320&gt;M320)),S320,0)</f>
        <v/>
      </c>
      <c r="W320" s="140" t="n">
        <v>0</v>
      </c>
      <c r="X320" s="140" t="b">
        <v>0</v>
      </c>
      <c r="Y320" s="143">
        <f>IF(H320=FALSE,VLOOKUP($C320,Sales!$C:$F,4,FALSE),1)</f>
        <v/>
      </c>
      <c r="Z320" s="140">
        <f>IF(Y320=0,"Release",IF(AND(L320&lt;J320,Y320=1,H320=FALSE,U320=FALSE,MONTH(L320)&amp;"/"&amp;YEAR(L320)&lt;&gt;MONTH(J320)&amp;"/"&amp;YEAR(J320)),"Release",""))</f>
        <v/>
      </c>
      <c r="AA320" s="144">
        <f>_xlfn.minifs($L:$L,$C:$C,$C320,$F:$F,"&lt;&gt;0")</f>
        <v/>
      </c>
      <c r="AB320" s="144">
        <f>C320&amp;"-"&amp;A320</f>
        <v/>
      </c>
      <c r="AC320" s="144">
        <f>L320</f>
        <v/>
      </c>
    </row>
    <row r="321">
      <c r="A321" s="140" t="inlineStr">
        <is>
          <t>ZSWA02</t>
        </is>
      </c>
      <c r="B321" s="140" t="n">
        <v>1</v>
      </c>
      <c r="C321" s="140" t="inlineStr">
        <is>
          <t>HVI103</t>
        </is>
      </c>
      <c r="D321" s="140" t="inlineStr">
        <is>
          <t>I</t>
        </is>
      </c>
      <c r="E321" s="140" t="inlineStr">
        <is>
          <t>Swanepoel Daniel Christiaan De Wet</t>
        </is>
      </c>
      <c r="F321" s="141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</f>
        <v/>
      </c>
      <c r="G321" s="142" t="n">
        <v>45259</v>
      </c>
      <c r="H321" s="140">
        <f>VLOOKUP($C321,Sales!$C:$E,2,FALSE)</f>
        <v/>
      </c>
      <c r="I321" s="140">
        <f>VLOOKUP($C321,Sales!$C:$E,3,FALSE)</f>
        <v/>
      </c>
      <c r="J321" s="142">
        <f>SUMIFS(Sales!$H:$H,Sales!$C:$C,'Investor Exit List'!$C321)</f>
        <v/>
      </c>
      <c r="K321" s="142">
        <f>IF(I321=TRUE,J321,"")</f>
        <v/>
      </c>
      <c r="L321" s="142">
        <f>G321+730</f>
        <v/>
      </c>
      <c r="M321" s="142" t="n">
        <v>45443</v>
      </c>
      <c r="N321" s="143">
        <f>IFERROR(IF(G321&lt;&gt;"",IF(I321=TRUE,0,IF(U321=TRUE,0,L321-M321)),0),0)</f>
        <v/>
      </c>
      <c r="O321" s="143">
        <f>IF(N321&gt;0,IF(N321&lt;=180,N321,0),0)</f>
        <v/>
      </c>
      <c r="P321" s="141">
        <f>IF(AND(N321&lt;90,N321&gt;0),Q321,0)</f>
        <v/>
      </c>
      <c r="Q321" s="141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/>
      </c>
      <c r="R321" s="141">
        <f>IF(AND(H321=TRUE,I321=FALSE),Q321,0)</f>
        <v/>
      </c>
      <c r="S321" s="141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/>
      </c>
      <c r="T321" s="142">
        <f>IF(U321=TRUE,$J321,"")</f>
        <v/>
      </c>
      <c r="U321" s="140" t="b">
        <v>0</v>
      </c>
      <c r="V321" s="141">
        <f>IF(AND(H321=TRUE,OR(K321="",K321&gt;M321)),S321,0)</f>
        <v/>
      </c>
      <c r="W321" s="140" t="n">
        <v>0</v>
      </c>
      <c r="X321" s="140" t="b">
        <v>0</v>
      </c>
      <c r="Y321" s="143">
        <f>IF(H321=FALSE,VLOOKUP($C321,Sales!$C:$F,4,FALSE),1)</f>
        <v/>
      </c>
      <c r="Z321" s="140">
        <f>IF(Y321=0,"Release",IF(AND(L321&lt;J321,Y321=1,H321=FALSE,U321=FALSE,MONTH(L321)&amp;"/"&amp;YEAR(L321)&lt;&gt;MONTH(J321)&amp;"/"&amp;YEAR(J321)),"Release",""))</f>
        <v/>
      </c>
      <c r="AA321" s="144">
        <f>_xlfn.minifs($L:$L,$C:$C,$C321,$F:$F,"&lt;&gt;0")</f>
        <v/>
      </c>
      <c r="AB321" s="144">
        <f>C321&amp;"-"&amp;A321</f>
        <v/>
      </c>
      <c r="AC321" s="144">
        <f>L321</f>
        <v/>
      </c>
    </row>
    <row r="322">
      <c r="A322" s="140" t="inlineStr">
        <is>
          <t>ZVDM01</t>
        </is>
      </c>
      <c r="B322" s="140" t="n">
        <v>6</v>
      </c>
      <c r="C322" s="140" t="inlineStr">
        <is>
          <t>HVI103</t>
        </is>
      </c>
      <c r="D322" s="140" t="inlineStr">
        <is>
          <t>I</t>
        </is>
      </c>
      <c r="E322" s="140" t="inlineStr">
        <is>
          <t>van der Mescht Paula</t>
        </is>
      </c>
      <c r="F322" s="141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</f>
        <v/>
      </c>
      <c r="G322" s="142" t="n">
        <v>45371</v>
      </c>
      <c r="H322" s="140">
        <f>VLOOKUP($C322,Sales!$C:$E,2,FALSE)</f>
        <v/>
      </c>
      <c r="I322" s="140">
        <f>VLOOKUP($C322,Sales!$C:$E,3,FALSE)</f>
        <v/>
      </c>
      <c r="J322" s="142">
        <f>SUMIFS(Sales!$H:$H,Sales!$C:$C,'Investor Exit List'!$C322)</f>
        <v/>
      </c>
      <c r="K322" s="142">
        <f>IF(I322=TRUE,J322,"")</f>
        <v/>
      </c>
      <c r="L322" s="142">
        <f>G322+730</f>
        <v/>
      </c>
      <c r="M322" s="142" t="n">
        <v>45443</v>
      </c>
      <c r="N322" s="143">
        <f>IFERROR(IF(G322&lt;&gt;"",IF(I322=TRUE,0,IF(U322=TRUE,0,L322-M322)),0),0)</f>
        <v/>
      </c>
      <c r="O322" s="143">
        <f>IF(N322&gt;0,IF(N322&lt;=180,N322,0),0)</f>
        <v/>
      </c>
      <c r="P322" s="141">
        <f>IF(AND(N322&lt;90,N322&gt;0),Q322,0)</f>
        <v/>
      </c>
      <c r="Q322" s="141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/>
      </c>
      <c r="R322" s="141">
        <f>IF(AND(H322=TRUE,I322=FALSE),Q322,0)</f>
        <v/>
      </c>
      <c r="S322" s="141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/>
      </c>
      <c r="T322" s="142">
        <f>IF(U322=TRUE,$J322,"")</f>
        <v/>
      </c>
      <c r="U322" s="140" t="b">
        <v>0</v>
      </c>
      <c r="V322" s="141">
        <f>IF(AND(H322=TRUE,OR(K322="",K322&gt;M322)),S322,0)</f>
        <v/>
      </c>
      <c r="W322" s="140" t="n">
        <v>0</v>
      </c>
      <c r="X322" s="140" t="b">
        <v>0</v>
      </c>
      <c r="Y322" s="143">
        <f>IF(H322=FALSE,VLOOKUP($C322,Sales!$C:$F,4,FALSE),1)</f>
        <v/>
      </c>
      <c r="Z322" s="140">
        <f>IF(Y322=0,"Release",IF(AND(L322&lt;J322,Y322=1,H322=FALSE,U322=FALSE,MONTH(L322)&amp;"/"&amp;YEAR(L322)&lt;&gt;MONTH(J322)&amp;"/"&amp;YEAR(J322)),"Release",""))</f>
        <v/>
      </c>
      <c r="AA322" s="144">
        <f>_xlfn.minifs($L:$L,$C:$C,$C322,$F:$F,"&lt;&gt;0")</f>
        <v/>
      </c>
      <c r="AB322" s="144">
        <f>C322&amp;"-"&amp;A322</f>
        <v/>
      </c>
      <c r="AC322" s="144">
        <f>L322</f>
        <v/>
      </c>
    </row>
    <row r="323">
      <c r="A323" s="140" t="inlineStr">
        <is>
          <t>ZDUP01</t>
        </is>
      </c>
      <c r="B323" s="140" t="n">
        <v>2</v>
      </c>
      <c r="C323" s="140" t="inlineStr">
        <is>
          <t>HVI104</t>
        </is>
      </c>
      <c r="D323" s="140" t="inlineStr">
        <is>
          <t>I</t>
        </is>
      </c>
      <c r="E323" s="140" t="inlineStr">
        <is>
          <t>Du Plooy Georgina</t>
        </is>
      </c>
      <c r="F323" s="141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</f>
        <v/>
      </c>
      <c r="G323" s="142" t="n">
        <v>45259</v>
      </c>
      <c r="H323" s="140">
        <f>VLOOKUP($C323,Sales!$C:$E,2,FALSE)</f>
        <v/>
      </c>
      <c r="I323" s="140">
        <f>VLOOKUP($C323,Sales!$C:$E,3,FALSE)</f>
        <v/>
      </c>
      <c r="J323" s="142">
        <f>SUMIFS(Sales!$H:$H,Sales!$C:$C,'Investor Exit List'!$C323)</f>
        <v/>
      </c>
      <c r="K323" s="142">
        <f>IF(I323=TRUE,J323,"")</f>
        <v/>
      </c>
      <c r="L323" s="142">
        <f>G323+730</f>
        <v/>
      </c>
      <c r="M323" s="142" t="n">
        <v>45443</v>
      </c>
      <c r="N323" s="143">
        <f>IFERROR(IF(G323&lt;&gt;"",IF(I323=TRUE,0,IF(U323=TRUE,0,L323-M323)),0),0)</f>
        <v/>
      </c>
      <c r="O323" s="143">
        <f>IF(N323&gt;0,IF(N323&lt;=180,N323,0),0)</f>
        <v/>
      </c>
      <c r="P323" s="141">
        <f>IF(AND(N323&lt;90,N323&gt;0),Q323,0)</f>
        <v/>
      </c>
      <c r="Q323" s="141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/>
      </c>
      <c r="R323" s="141">
        <f>IF(AND(H323=TRUE,I323=FALSE),Q323,0)</f>
        <v/>
      </c>
      <c r="S323" s="141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/>
      </c>
      <c r="T323" s="142">
        <f>IF(U323=TRUE,$J323,"")</f>
        <v/>
      </c>
      <c r="U323" s="140" t="b">
        <v>0</v>
      </c>
      <c r="V323" s="141">
        <f>IF(AND(H323=TRUE,OR(K323="",K323&gt;M323)),S323,0)</f>
        <v/>
      </c>
      <c r="W323" s="140" t="n">
        <v>0</v>
      </c>
      <c r="X323" s="140" t="b">
        <v>0</v>
      </c>
      <c r="Y323" s="143">
        <f>IF(H323=FALSE,VLOOKUP($C323,Sales!$C:$F,4,FALSE),1)</f>
        <v/>
      </c>
      <c r="Z323" s="140">
        <f>IF(Y323=0,"Release",IF(AND(L323&lt;J323,Y323=1,H323=FALSE,U323=FALSE,MONTH(L323)&amp;"/"&amp;YEAR(L323)&lt;&gt;MONTH(J323)&amp;"/"&amp;YEAR(J323)),"Release",""))</f>
        <v/>
      </c>
      <c r="AA323" s="144">
        <f>_xlfn.minifs($L:$L,$C:$C,$C323,$F:$F,"&lt;&gt;0")</f>
        <v/>
      </c>
      <c r="AB323" s="144">
        <f>C323&amp;"-"&amp;A323</f>
        <v/>
      </c>
      <c r="AC323" s="144">
        <f>L323</f>
        <v/>
      </c>
    </row>
    <row r="324">
      <c r="A324" s="140" t="inlineStr">
        <is>
          <t>ZRUS01</t>
        </is>
      </c>
      <c r="B324" s="140" t="n">
        <v>2</v>
      </c>
      <c r="C324" s="140" t="inlineStr">
        <is>
          <t>HVI104</t>
        </is>
      </c>
      <c r="D324" s="140" t="inlineStr">
        <is>
          <t>I</t>
        </is>
      </c>
      <c r="E324" s="140" t="inlineStr">
        <is>
          <t>Rust Izak Cornelius</t>
        </is>
      </c>
      <c r="F324" s="141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</f>
        <v/>
      </c>
      <c r="G324" s="142" t="n">
        <v>45259</v>
      </c>
      <c r="H324" s="140">
        <f>VLOOKUP($C324,Sales!$C:$E,2,FALSE)</f>
        <v/>
      </c>
      <c r="I324" s="140">
        <f>VLOOKUP($C324,Sales!$C:$E,3,FALSE)</f>
        <v/>
      </c>
      <c r="J324" s="142">
        <f>SUMIFS(Sales!$H:$H,Sales!$C:$C,'Investor Exit List'!$C324)</f>
        <v/>
      </c>
      <c r="K324" s="142">
        <f>IF(I324=TRUE,J324,"")</f>
        <v/>
      </c>
      <c r="L324" s="142">
        <f>G324+730</f>
        <v/>
      </c>
      <c r="M324" s="142" t="n">
        <v>45443</v>
      </c>
      <c r="N324" s="143">
        <f>IFERROR(IF(G324&lt;&gt;"",IF(I324=TRUE,0,IF(U324=TRUE,0,L324-M324)),0),0)</f>
        <v/>
      </c>
      <c r="O324" s="143">
        <f>IF(N324&gt;0,IF(N324&lt;=180,N324,0),0)</f>
        <v/>
      </c>
      <c r="P324" s="141">
        <f>IF(AND(N324&lt;90,N324&gt;0),Q324,0)</f>
        <v/>
      </c>
      <c r="Q324" s="141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/>
      </c>
      <c r="R324" s="141">
        <f>IF(AND(H324=TRUE,I324=FALSE),Q324,0)</f>
        <v/>
      </c>
      <c r="S324" s="141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/>
      </c>
      <c r="T324" s="142">
        <f>IF(U324=TRUE,$J324,"")</f>
        <v/>
      </c>
      <c r="U324" s="140" t="b">
        <v>0</v>
      </c>
      <c r="V324" s="141">
        <f>IF(AND(H324=TRUE,OR(K324="",K324&gt;M324)),S324,0)</f>
        <v/>
      </c>
      <c r="W324" s="140" t="n">
        <v>0</v>
      </c>
      <c r="X324" s="140" t="b">
        <v>0</v>
      </c>
      <c r="Y324" s="143">
        <f>IF(H324=FALSE,VLOOKUP($C324,Sales!$C:$F,4,FALSE),1)</f>
        <v/>
      </c>
      <c r="Z324" s="140">
        <f>IF(Y324=0,"Release",IF(AND(L324&lt;J324,Y324=1,H324=FALSE,U324=FALSE,MONTH(L324)&amp;"/"&amp;YEAR(L324)&lt;&gt;MONTH(J324)&amp;"/"&amp;YEAR(J324)),"Release",""))</f>
        <v/>
      </c>
      <c r="AA324" s="144">
        <f>_xlfn.minifs($L:$L,$C:$C,$C324,$F:$F,"&lt;&gt;0")</f>
        <v/>
      </c>
      <c r="AB324" s="144">
        <f>C324&amp;"-"&amp;A324</f>
        <v/>
      </c>
      <c r="AC324" s="144">
        <f>L324</f>
        <v/>
      </c>
    </row>
    <row r="325">
      <c r="A325" s="140" t="inlineStr">
        <is>
          <t>ZDEL01</t>
        </is>
      </c>
      <c r="B325" s="140" t="n">
        <v>11</v>
      </c>
      <c r="C325" s="140" t="inlineStr">
        <is>
          <t>HVI201</t>
        </is>
      </c>
      <c r="D325" s="140" t="inlineStr">
        <is>
          <t>I</t>
        </is>
      </c>
      <c r="E325" s="140" t="inlineStr">
        <is>
          <t>Jansen van Vuuren Pieter</t>
        </is>
      </c>
      <c r="F325" s="141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</f>
        <v/>
      </c>
      <c r="G325" s="142" t="n">
        <v>45259</v>
      </c>
      <c r="H325" s="140">
        <f>VLOOKUP($C325,Sales!$C:$E,2,FALSE)</f>
        <v/>
      </c>
      <c r="I325" s="140">
        <f>VLOOKUP($C325,Sales!$C:$E,3,FALSE)</f>
        <v/>
      </c>
      <c r="J325" s="142">
        <f>SUMIFS(Sales!$H:$H,Sales!$C:$C,'Investor Exit List'!$C325)</f>
        <v/>
      </c>
      <c r="K325" s="142">
        <f>IF(I325=TRUE,J325,"")</f>
        <v/>
      </c>
      <c r="L325" s="142">
        <f>G325+730</f>
        <v/>
      </c>
      <c r="M325" s="142" t="n">
        <v>45443</v>
      </c>
      <c r="N325" s="143">
        <f>IFERROR(IF(G325&lt;&gt;"",IF(I325=TRUE,0,IF(U325=TRUE,0,L325-M325)),0),0)</f>
        <v/>
      </c>
      <c r="O325" s="143">
        <f>IF(N325&gt;0,IF(N325&lt;=180,N325,0),0)</f>
        <v/>
      </c>
      <c r="P325" s="141">
        <f>IF(AND(N325&lt;90,N325&gt;0),Q325,0)</f>
        <v/>
      </c>
      <c r="Q325" s="141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/>
      </c>
      <c r="R325" s="141">
        <f>IF(AND(H325=TRUE,I325=FALSE),Q325,0)</f>
        <v/>
      </c>
      <c r="S325" s="141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/>
      </c>
      <c r="T325" s="142">
        <f>IF(U325=TRUE,$J325,"")</f>
        <v/>
      </c>
      <c r="U325" s="140" t="b">
        <v>0</v>
      </c>
      <c r="V325" s="141">
        <f>IF(AND(H325=TRUE,OR(K325="",K325&gt;M325)),S325,0)</f>
        <v/>
      </c>
      <c r="W325" s="140" t="n">
        <v>0</v>
      </c>
      <c r="X325" s="140" t="b">
        <v>0</v>
      </c>
      <c r="Y325" s="143">
        <f>IF(H325=FALSE,VLOOKUP($C325,Sales!$C:$F,4,FALSE),1)</f>
        <v/>
      </c>
      <c r="Z325" s="140">
        <f>IF(Y325=0,"Release",IF(AND(L325&lt;J325,Y325=1,H325=FALSE,U325=FALSE,MONTH(L325)&amp;"/"&amp;YEAR(L325)&lt;&gt;MONTH(J325)&amp;"/"&amp;YEAR(J325)),"Release",""))</f>
        <v/>
      </c>
      <c r="AA325" s="144">
        <f>_xlfn.minifs($L:$L,$C:$C,$C325,$F:$F,"&lt;&gt;0")</f>
        <v/>
      </c>
      <c r="AB325" s="144">
        <f>C325&amp;"-"&amp;A325</f>
        <v/>
      </c>
      <c r="AC325" s="144">
        <f>L325</f>
        <v/>
      </c>
    </row>
    <row r="326">
      <c r="A326" s="140" t="inlineStr">
        <is>
          <t>ZESP01</t>
        </is>
      </c>
      <c r="B326" s="140" t="n">
        <v>2</v>
      </c>
      <c r="C326" s="140" t="inlineStr">
        <is>
          <t>HVI201</t>
        </is>
      </c>
      <c r="D326" s="140" t="inlineStr">
        <is>
          <t>I</t>
        </is>
      </c>
      <c r="E326" s="140" t="inlineStr">
        <is>
          <t>Espag Etienne</t>
        </is>
      </c>
      <c r="F326" s="141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</f>
        <v/>
      </c>
      <c r="G326" s="142" t="n">
        <v>45252</v>
      </c>
      <c r="H326" s="140">
        <f>VLOOKUP($C326,Sales!$C:$E,2,FALSE)</f>
        <v/>
      </c>
      <c r="I326" s="140">
        <f>VLOOKUP($C326,Sales!$C:$E,3,FALSE)</f>
        <v/>
      </c>
      <c r="J326" s="142">
        <f>SUMIFS(Sales!$H:$H,Sales!$C:$C,'Investor Exit List'!$C326)</f>
        <v/>
      </c>
      <c r="K326" s="142">
        <f>IF(I326=TRUE,J326,"")</f>
        <v/>
      </c>
      <c r="L326" s="142">
        <f>G326+730</f>
        <v/>
      </c>
      <c r="M326" s="142" t="n">
        <v>45443</v>
      </c>
      <c r="N326" s="143">
        <f>IFERROR(IF(G326&lt;&gt;"",IF(I326=TRUE,0,IF(U326=TRUE,0,L326-M326)),0),0)</f>
        <v/>
      </c>
      <c r="O326" s="143">
        <f>IF(N326&gt;0,IF(N326&lt;=180,N326,0),0)</f>
        <v/>
      </c>
      <c r="P326" s="141">
        <f>IF(AND(N326&lt;90,N326&gt;0),Q326,0)</f>
        <v/>
      </c>
      <c r="Q326" s="141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/>
      </c>
      <c r="R326" s="141">
        <f>IF(AND(H326=TRUE,I326=FALSE),Q326,0)</f>
        <v/>
      </c>
      <c r="S326" s="141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/>
      </c>
      <c r="T326" s="142">
        <f>IF(U326=TRUE,$J326,"")</f>
        <v/>
      </c>
      <c r="U326" s="140" t="b">
        <v>0</v>
      </c>
      <c r="V326" s="141">
        <f>IF(AND(H326=TRUE,OR(K326="",K326&gt;M326)),S326,0)</f>
        <v/>
      </c>
      <c r="W326" s="140" t="n">
        <v>0</v>
      </c>
      <c r="X326" s="140" t="b">
        <v>0</v>
      </c>
      <c r="Y326" s="143">
        <f>IF(H326=FALSE,VLOOKUP($C326,Sales!$C:$F,4,FALSE),1)</f>
        <v/>
      </c>
      <c r="Z326" s="140">
        <f>IF(Y326=0,"Release",IF(AND(L326&lt;J326,Y326=1,H326=FALSE,U326=FALSE,MONTH(L326)&amp;"/"&amp;YEAR(L326)&lt;&gt;MONTH(J326)&amp;"/"&amp;YEAR(J326)),"Release",""))</f>
        <v/>
      </c>
      <c r="AA326" s="144">
        <f>_xlfn.minifs($L:$L,$C:$C,$C326,$F:$F,"&lt;&gt;0")</f>
        <v/>
      </c>
      <c r="AB326" s="144">
        <f>C326&amp;"-"&amp;A326</f>
        <v/>
      </c>
      <c r="AC326" s="144">
        <f>L326</f>
        <v/>
      </c>
    </row>
    <row r="327">
      <c r="A327" s="140" t="inlineStr">
        <is>
          <t>ZKRO01</t>
        </is>
      </c>
      <c r="B327" s="140" t="n">
        <v>5</v>
      </c>
      <c r="C327" s="140" t="inlineStr">
        <is>
          <t>HVI201</t>
        </is>
      </c>
      <c r="D327" s="140" t="inlineStr">
        <is>
          <t>I</t>
        </is>
      </c>
      <c r="E327" s="140" t="inlineStr">
        <is>
          <t>van der Merwe Frans</t>
        </is>
      </c>
      <c r="F327" s="141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</f>
        <v/>
      </c>
      <c r="G327" s="142" t="n">
        <v>45273</v>
      </c>
      <c r="H327" s="140">
        <f>VLOOKUP($C327,Sales!$C:$E,2,FALSE)</f>
        <v/>
      </c>
      <c r="I327" s="140">
        <f>VLOOKUP($C327,Sales!$C:$E,3,FALSE)</f>
        <v/>
      </c>
      <c r="J327" s="142">
        <f>SUMIFS(Sales!$H:$H,Sales!$C:$C,'Investor Exit List'!$C327)</f>
        <v/>
      </c>
      <c r="K327" s="142">
        <f>IF(I327=TRUE,J327,"")</f>
        <v/>
      </c>
      <c r="L327" s="142">
        <f>G327+730</f>
        <v/>
      </c>
      <c r="M327" s="142" t="n">
        <v>45443</v>
      </c>
      <c r="N327" s="143">
        <f>IFERROR(IF(G327&lt;&gt;"",IF(I327=TRUE,0,IF(U327=TRUE,0,L327-M327)),0),0)</f>
        <v/>
      </c>
      <c r="O327" s="143">
        <f>IF(N327&gt;0,IF(N327&lt;=180,N327,0),0)</f>
        <v/>
      </c>
      <c r="P327" s="141">
        <f>IF(AND(N327&lt;90,N327&gt;0),Q327,0)</f>
        <v/>
      </c>
      <c r="Q327" s="141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/>
      </c>
      <c r="R327" s="141">
        <f>IF(AND(H327=TRUE,I327=FALSE),Q327,0)</f>
        <v/>
      </c>
      <c r="S327" s="141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/>
      </c>
      <c r="T327" s="142">
        <f>IF(U327=TRUE,$J327,"")</f>
        <v/>
      </c>
      <c r="U327" s="140" t="b">
        <v>0</v>
      </c>
      <c r="V327" s="141">
        <f>IF(AND(H327=TRUE,OR(K327="",K327&gt;M327)),S327,0)</f>
        <v/>
      </c>
      <c r="W327" s="140" t="n">
        <v>0</v>
      </c>
      <c r="X327" s="140" t="b">
        <v>0</v>
      </c>
      <c r="Y327" s="143">
        <f>IF(H327=FALSE,VLOOKUP($C327,Sales!$C:$F,4,FALSE),1)</f>
        <v/>
      </c>
      <c r="Z327" s="140">
        <f>IF(Y327=0,"Release",IF(AND(L327&lt;J327,Y327=1,H327=FALSE,U327=FALSE,MONTH(L327)&amp;"/"&amp;YEAR(L327)&lt;&gt;MONTH(J327)&amp;"/"&amp;YEAR(J327)),"Release",""))</f>
        <v/>
      </c>
      <c r="AA327" s="144">
        <f>_xlfn.minifs($L:$L,$C:$C,$C327,$F:$F,"&lt;&gt;0")</f>
        <v/>
      </c>
      <c r="AB327" s="144">
        <f>C327&amp;"-"&amp;A327</f>
        <v/>
      </c>
      <c r="AC327" s="144">
        <f>L327</f>
        <v/>
      </c>
    </row>
    <row r="328">
      <c r="A328" s="140" t="inlineStr">
        <is>
          <t>ZKRI02</t>
        </is>
      </c>
      <c r="B328" s="140" t="n">
        <v>5</v>
      </c>
      <c r="C328" s="140" t="inlineStr">
        <is>
          <t>HVI202</t>
        </is>
      </c>
      <c r="D328" s="140" t="inlineStr">
        <is>
          <t>I</t>
        </is>
      </c>
      <c r="E328" s="140" t="inlineStr">
        <is>
          <t>Kriel Hermanus Johannes</t>
        </is>
      </c>
      <c r="F328" s="141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</f>
        <v/>
      </c>
      <c r="G328" s="142" t="n">
        <v>45259</v>
      </c>
      <c r="H328" s="140">
        <f>VLOOKUP($C328,Sales!$C:$E,2,FALSE)</f>
        <v/>
      </c>
      <c r="I328" s="140">
        <f>VLOOKUP($C328,Sales!$C:$E,3,FALSE)</f>
        <v/>
      </c>
      <c r="J328" s="142">
        <f>SUMIFS(Sales!$H:$H,Sales!$C:$C,'Investor Exit List'!$C328)</f>
        <v/>
      </c>
      <c r="K328" s="142">
        <f>IF(I328=TRUE,J328,"")</f>
        <v/>
      </c>
      <c r="L328" s="142">
        <f>G328+730</f>
        <v/>
      </c>
      <c r="M328" s="142" t="n">
        <v>45443</v>
      </c>
      <c r="N328" s="143">
        <f>IFERROR(IF(G328&lt;&gt;"",IF(I328=TRUE,0,IF(U328=TRUE,0,L328-M328)),0),0)</f>
        <v/>
      </c>
      <c r="O328" s="143">
        <f>IF(N328&gt;0,IF(N328&lt;=180,N328,0),0)</f>
        <v/>
      </c>
      <c r="P328" s="141">
        <f>IF(AND(N328&lt;90,N328&gt;0),Q328,0)</f>
        <v/>
      </c>
      <c r="Q328" s="141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/>
      </c>
      <c r="R328" s="141">
        <f>IF(AND(H328=TRUE,I328=FALSE),Q328,0)</f>
        <v/>
      </c>
      <c r="S328" s="141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/>
      </c>
      <c r="T328" s="142">
        <f>IF(U328=TRUE,$J328,"")</f>
        <v/>
      </c>
      <c r="U328" s="140" t="b">
        <v>0</v>
      </c>
      <c r="V328" s="141">
        <f>IF(AND(H328=TRUE,OR(K328="",K328&gt;M328)),S328,0)</f>
        <v/>
      </c>
      <c r="W328" s="140" t="n">
        <v>0</v>
      </c>
      <c r="X328" s="140" t="b">
        <v>0</v>
      </c>
      <c r="Y328" s="143">
        <f>IF(H328=FALSE,VLOOKUP($C328,Sales!$C:$F,4,FALSE),1)</f>
        <v/>
      </c>
      <c r="Z328" s="140">
        <f>IF(Y328=0,"Release",IF(AND(L328&lt;J328,Y328=1,H328=FALSE,U328=FALSE,MONTH(L328)&amp;"/"&amp;YEAR(L328)&lt;&gt;MONTH(J328)&amp;"/"&amp;YEAR(J328)),"Release",""))</f>
        <v/>
      </c>
      <c r="AA328" s="144">
        <f>_xlfn.minifs($L:$L,$C:$C,$C328,$F:$F,"&lt;&gt;0")</f>
        <v/>
      </c>
      <c r="AB328" s="144">
        <f>C328&amp;"-"&amp;A328</f>
        <v/>
      </c>
      <c r="AC328" s="144">
        <f>L328</f>
        <v/>
      </c>
    </row>
    <row r="329">
      <c r="A329" s="140" t="inlineStr">
        <is>
          <t>ZKRI02</t>
        </is>
      </c>
      <c r="B329" s="140" t="n">
        <v>6</v>
      </c>
      <c r="C329" s="140" t="inlineStr">
        <is>
          <t>HVI203</t>
        </is>
      </c>
      <c r="D329" s="140" t="inlineStr">
        <is>
          <t>I</t>
        </is>
      </c>
      <c r="E329" s="140" t="inlineStr">
        <is>
          <t>Kriel Hermanus Johannes</t>
        </is>
      </c>
      <c r="F329" s="141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</f>
        <v/>
      </c>
      <c r="G329" s="142" t="n">
        <v>45259</v>
      </c>
      <c r="H329" s="140">
        <f>VLOOKUP($C329,Sales!$C:$E,2,FALSE)</f>
        <v/>
      </c>
      <c r="I329" s="140">
        <f>VLOOKUP($C329,Sales!$C:$E,3,FALSE)</f>
        <v/>
      </c>
      <c r="J329" s="142">
        <f>SUMIFS(Sales!$H:$H,Sales!$C:$C,'Investor Exit List'!$C329)</f>
        <v/>
      </c>
      <c r="K329" s="142">
        <f>IF(I329=TRUE,J329,"")</f>
        <v/>
      </c>
      <c r="L329" s="142">
        <f>G329+730</f>
        <v/>
      </c>
      <c r="M329" s="142" t="n">
        <v>45443</v>
      </c>
      <c r="N329" s="143">
        <f>IFERROR(IF(G329&lt;&gt;"",IF(I329=TRUE,0,IF(U329=TRUE,0,L329-M329)),0),0)</f>
        <v/>
      </c>
      <c r="O329" s="143">
        <f>IF(N329&gt;0,IF(N329&lt;=180,N329,0),0)</f>
        <v/>
      </c>
      <c r="P329" s="141">
        <f>IF(AND(N329&lt;90,N329&gt;0),Q329,0)</f>
        <v/>
      </c>
      <c r="Q329" s="141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/>
      </c>
      <c r="R329" s="141">
        <f>IF(AND(H329=TRUE,I329=FALSE),Q329,0)</f>
        <v/>
      </c>
      <c r="S329" s="141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/>
      </c>
      <c r="T329" s="142">
        <f>IF(U329=TRUE,$J329,"")</f>
        <v/>
      </c>
      <c r="U329" s="140" t="b">
        <v>0</v>
      </c>
      <c r="V329" s="141">
        <f>IF(AND(H329=TRUE,OR(K329="",K329&gt;M329)),S329,0)</f>
        <v/>
      </c>
      <c r="W329" s="140" t="n">
        <v>0</v>
      </c>
      <c r="X329" s="140" t="b">
        <v>0</v>
      </c>
      <c r="Y329" s="143">
        <f>IF(H329=FALSE,VLOOKUP($C329,Sales!$C:$F,4,FALSE),1)</f>
        <v/>
      </c>
      <c r="Z329" s="140">
        <f>IF(Y329=0,"Release",IF(AND(L329&lt;J329,Y329=1,H329=FALSE,U329=FALSE,MONTH(L329)&amp;"/"&amp;YEAR(L329)&lt;&gt;MONTH(J329)&amp;"/"&amp;YEAR(J329)),"Release",""))</f>
        <v/>
      </c>
      <c r="AA329" s="144">
        <f>_xlfn.minifs($L:$L,$C:$C,$C329,$F:$F,"&lt;&gt;0")</f>
        <v/>
      </c>
      <c r="AB329" s="144">
        <f>C329&amp;"-"&amp;A329</f>
        <v/>
      </c>
      <c r="AC329" s="144">
        <f>L329</f>
        <v/>
      </c>
    </row>
    <row r="330">
      <c r="A330" s="140" t="inlineStr">
        <is>
          <t>ZMYB01</t>
        </is>
      </c>
      <c r="B330" s="140" t="n">
        <v>2</v>
      </c>
      <c r="C330" s="140" t="inlineStr">
        <is>
          <t>HVI204</t>
        </is>
      </c>
      <c r="D330" s="140" t="inlineStr">
        <is>
          <t>I</t>
        </is>
      </c>
      <c r="E330" s="140" t="inlineStr">
        <is>
          <t>Myburgh Hermanus Carel</t>
        </is>
      </c>
      <c r="F330" s="141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</f>
        <v/>
      </c>
      <c r="G330" s="142" t="n">
        <v>45280</v>
      </c>
      <c r="H330" s="140">
        <f>VLOOKUP($C330,Sales!$C:$E,2,FALSE)</f>
        <v/>
      </c>
      <c r="I330" s="140">
        <f>VLOOKUP($C330,Sales!$C:$E,3,FALSE)</f>
        <v/>
      </c>
      <c r="J330" s="142">
        <f>SUMIFS(Sales!$H:$H,Sales!$C:$C,'Investor Exit List'!$C330)</f>
        <v/>
      </c>
      <c r="K330" s="142">
        <f>IF(I330=TRUE,J330,"")</f>
        <v/>
      </c>
      <c r="L330" s="142">
        <f>G330+730</f>
        <v/>
      </c>
      <c r="M330" s="142" t="n">
        <v>45443</v>
      </c>
      <c r="N330" s="143">
        <f>IFERROR(IF(G330&lt;&gt;"",IF(I330=TRUE,0,IF(U330=TRUE,0,L330-M330)),0),0)</f>
        <v/>
      </c>
      <c r="O330" s="143">
        <f>IF(N330&gt;0,IF(N330&lt;=180,N330,0),0)</f>
        <v/>
      </c>
      <c r="P330" s="141">
        <f>IF(AND(N330&lt;90,N330&gt;0),Q330,0)</f>
        <v/>
      </c>
      <c r="Q330" s="141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/>
      </c>
      <c r="R330" s="141">
        <f>IF(AND(H330=TRUE,I330=FALSE),Q330,0)</f>
        <v/>
      </c>
      <c r="S330" s="141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/>
      </c>
      <c r="T330" s="142">
        <f>IF(U330=TRUE,$J330,"")</f>
        <v/>
      </c>
      <c r="U330" s="140" t="b">
        <v>0</v>
      </c>
      <c r="V330" s="141">
        <f>IF(AND(H330=TRUE,OR(K330="",K330&gt;M330)),S330,0)</f>
        <v/>
      </c>
      <c r="W330" s="140" t="n">
        <v>0</v>
      </c>
      <c r="X330" s="140" t="b">
        <v>0</v>
      </c>
      <c r="Y330" s="143">
        <f>IF(H330=FALSE,VLOOKUP($C330,Sales!$C:$F,4,FALSE),1)</f>
        <v/>
      </c>
      <c r="Z330" s="140">
        <f>IF(Y330=0,"Release",IF(AND(L330&lt;J330,Y330=1,H330=FALSE,U330=FALSE,MONTH(L330)&amp;"/"&amp;YEAR(L330)&lt;&gt;MONTH(J330)&amp;"/"&amp;YEAR(J330)),"Release",""))</f>
        <v/>
      </c>
      <c r="AA330" s="144">
        <f>_xlfn.minifs($L:$L,$C:$C,$C330,$F:$F,"&lt;&gt;0")</f>
        <v/>
      </c>
      <c r="AB330" s="144">
        <f>C330&amp;"-"&amp;A330</f>
        <v/>
      </c>
      <c r="AC330" s="144">
        <f>L330</f>
        <v/>
      </c>
    </row>
    <row r="331">
      <c r="A331" s="140" t="inlineStr">
        <is>
          <t>ZOLI01</t>
        </is>
      </c>
      <c r="B331" s="140" t="n">
        <v>2</v>
      </c>
      <c r="C331" s="140" t="inlineStr">
        <is>
          <t>HVJ101</t>
        </is>
      </c>
      <c r="D331" s="140" t="inlineStr">
        <is>
          <t>J</t>
        </is>
      </c>
      <c r="E331" s="140" t="inlineStr">
        <is>
          <t>Olivier Jan Lukas Cornelus</t>
        </is>
      </c>
      <c r="F331" s="141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</f>
        <v/>
      </c>
      <c r="G331" s="142" t="n">
        <v>44779</v>
      </c>
      <c r="H331" s="140">
        <f>VLOOKUP($C331,Sales!$C:$E,2,FALSE)</f>
        <v/>
      </c>
      <c r="I331" s="140">
        <f>VLOOKUP($C331,Sales!$C:$E,3,FALSE)</f>
        <v/>
      </c>
      <c r="J331" s="142">
        <f>SUMIFS(Sales!$H:$H,Sales!$C:$C,'Investor Exit List'!$C331)</f>
        <v/>
      </c>
      <c r="K331" s="142">
        <f>IF(I331=TRUE,J331,"")</f>
        <v/>
      </c>
      <c r="L331" s="142">
        <f>G331+730</f>
        <v/>
      </c>
      <c r="M331" s="142" t="n">
        <v>45443</v>
      </c>
      <c r="N331" s="143">
        <f>IFERROR(IF(G331&lt;&gt;"",IF(I331=TRUE,0,IF(U331=TRUE,0,L331-M331)),0),0)</f>
        <v/>
      </c>
      <c r="O331" s="143">
        <f>IF(N331&gt;0,IF(N331&lt;=180,N331,0),0)</f>
        <v/>
      </c>
      <c r="P331" s="141">
        <f>IF(AND(N331&lt;90,N331&gt;0),Q331,0)</f>
        <v/>
      </c>
      <c r="Q331" s="141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/>
      </c>
      <c r="R331" s="141">
        <f>IF(AND(H331=TRUE,I331=FALSE),Q331,0)</f>
        <v/>
      </c>
      <c r="S331" s="141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/>
      </c>
      <c r="T331" s="142">
        <f>IF(U331=TRUE,$J331,"")</f>
        <v/>
      </c>
      <c r="U331" s="140" t="b">
        <v>0</v>
      </c>
      <c r="V331" s="141">
        <f>IF(AND(H331=TRUE,OR(K331="",K331&gt;M331)),S331,0)</f>
        <v/>
      </c>
      <c r="W331" s="140" t="n">
        <v>0</v>
      </c>
      <c r="X331" s="140" t="b">
        <v>0</v>
      </c>
      <c r="Y331" s="143">
        <f>IF(H331=FALSE,VLOOKUP($C331,Sales!$C:$F,4,FALSE),1)</f>
        <v/>
      </c>
      <c r="Z331" s="140">
        <f>IF(Y331=0,"Release",IF(AND(L331&lt;J331,Y331=1,H331=FALSE,U331=FALSE,MONTH(L331)&amp;"/"&amp;YEAR(L331)&lt;&gt;MONTH(J331)&amp;"/"&amp;YEAR(J331)),"Release",""))</f>
        <v/>
      </c>
      <c r="AA331" s="144">
        <f>_xlfn.minifs($L:$L,$C:$C,$C331,$F:$F,"&lt;&gt;0")</f>
        <v/>
      </c>
      <c r="AB331" s="144">
        <f>C331&amp;"-"&amp;A331</f>
        <v/>
      </c>
      <c r="AC331" s="144">
        <f>L331</f>
        <v/>
      </c>
    </row>
    <row r="332">
      <c r="A332" s="140" t="inlineStr">
        <is>
          <t>ZVAN05</t>
        </is>
      </c>
      <c r="B332" s="140" t="n">
        <v>2</v>
      </c>
      <c r="C332" s="140" t="inlineStr">
        <is>
          <t>HVJ101</t>
        </is>
      </c>
      <c r="D332" s="140" t="inlineStr">
        <is>
          <t>J</t>
        </is>
      </c>
      <c r="E332" s="140" t="inlineStr">
        <is>
          <t>van der Sandt Hermanus</t>
        </is>
      </c>
      <c r="F332" s="141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</f>
        <v/>
      </c>
      <c r="G332" s="142" t="n">
        <v>44777</v>
      </c>
      <c r="H332" s="140">
        <f>VLOOKUP($C332,Sales!$C:$E,2,FALSE)</f>
        <v/>
      </c>
      <c r="I332" s="140">
        <f>VLOOKUP($C332,Sales!$C:$E,3,FALSE)</f>
        <v/>
      </c>
      <c r="J332" s="142">
        <f>SUMIFS(Sales!$H:$H,Sales!$C:$C,'Investor Exit List'!$C332)</f>
        <v/>
      </c>
      <c r="K332" s="142">
        <f>IF(I332=TRUE,J332,"")</f>
        <v/>
      </c>
      <c r="L332" s="142">
        <f>G332+730</f>
        <v/>
      </c>
      <c r="M332" s="142" t="n">
        <v>45443</v>
      </c>
      <c r="N332" s="143">
        <f>IFERROR(IF(G332&lt;&gt;"",IF(I332=TRUE,0,IF(U332=TRUE,0,L332-M332)),0),0)</f>
        <v/>
      </c>
      <c r="O332" s="143">
        <f>IF(N332&gt;0,IF(N332&lt;=180,N332,0),0)</f>
        <v/>
      </c>
      <c r="P332" s="141">
        <f>IF(AND(N332&lt;90,N332&gt;0),Q332,0)</f>
        <v/>
      </c>
      <c r="Q332" s="141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/>
      </c>
      <c r="R332" s="141">
        <f>IF(AND(H332=TRUE,I332=FALSE),Q332,0)</f>
        <v/>
      </c>
      <c r="S332" s="141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/>
      </c>
      <c r="T332" s="142">
        <f>IF(U332=TRUE,$J332,"")</f>
        <v/>
      </c>
      <c r="U332" s="140" t="b">
        <v>0</v>
      </c>
      <c r="V332" s="141">
        <f>IF(AND(H332=TRUE,OR(K332="",K332&gt;M332)),S332,0)</f>
        <v/>
      </c>
      <c r="W332" s="140" t="n">
        <v>0</v>
      </c>
      <c r="X332" s="140" t="b">
        <v>0</v>
      </c>
      <c r="Y332" s="143">
        <f>IF(H332=FALSE,VLOOKUP($C332,Sales!$C:$F,4,FALSE),1)</f>
        <v/>
      </c>
      <c r="Z332" s="140">
        <f>IF(Y332=0,"Release",IF(AND(L332&lt;J332,Y332=1,H332=FALSE,U332=FALSE,MONTH(L332)&amp;"/"&amp;YEAR(L332)&lt;&gt;MONTH(J332)&amp;"/"&amp;YEAR(J332)),"Release",""))</f>
        <v/>
      </c>
      <c r="AA332" s="144">
        <f>_xlfn.minifs($L:$L,$C:$C,$C332,$F:$F,"&lt;&gt;0")</f>
        <v/>
      </c>
      <c r="AB332" s="144">
        <f>C332&amp;"-"&amp;A332</f>
        <v/>
      </c>
      <c r="AC332" s="144">
        <f>L332</f>
        <v/>
      </c>
    </row>
    <row r="333">
      <c r="A333" s="140" t="inlineStr">
        <is>
          <t>ZKUS03</t>
        </is>
      </c>
      <c r="B333" s="140" t="n">
        <v>3</v>
      </c>
      <c r="C333" s="140" t="inlineStr">
        <is>
          <t>HVJ102</t>
        </is>
      </c>
      <c r="D333" s="140" t="inlineStr">
        <is>
          <t>J</t>
        </is>
      </c>
      <c r="E333" s="140" t="inlineStr">
        <is>
          <t>Kuster Joanne Tracy</t>
        </is>
      </c>
      <c r="F333" s="141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</f>
        <v/>
      </c>
      <c r="G333" s="142" t="n">
        <v>44743</v>
      </c>
      <c r="H333" s="140">
        <f>VLOOKUP($C333,Sales!$C:$E,2,FALSE)</f>
        <v/>
      </c>
      <c r="I333" s="140">
        <f>VLOOKUP($C333,Sales!$C:$E,3,FALSE)</f>
        <v/>
      </c>
      <c r="J333" s="142">
        <f>SUMIFS(Sales!$H:$H,Sales!$C:$C,'Investor Exit List'!$C333)</f>
        <v/>
      </c>
      <c r="K333" s="142">
        <f>IF(I333=TRUE,J333,"")</f>
        <v/>
      </c>
      <c r="L333" s="142">
        <f>G333+730</f>
        <v/>
      </c>
      <c r="M333" s="142" t="n">
        <v>45443</v>
      </c>
      <c r="N333" s="143">
        <f>IFERROR(IF(G333&lt;&gt;"",IF(I333=TRUE,0,IF(U333=TRUE,0,L333-M333)),0),0)</f>
        <v/>
      </c>
      <c r="O333" s="143">
        <f>IF(N333&gt;0,IF(N333&lt;=180,N333,0),0)</f>
        <v/>
      </c>
      <c r="P333" s="141">
        <f>IF(AND(N333&lt;90,N333&gt;0),Q333,0)</f>
        <v/>
      </c>
      <c r="Q333" s="141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/>
      </c>
      <c r="R333" s="141">
        <f>IF(AND(H333=TRUE,I333=FALSE),Q333,0)</f>
        <v/>
      </c>
      <c r="S333" s="141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/>
      </c>
      <c r="T333" s="142">
        <f>IF(U333=TRUE,$J333,"")</f>
        <v/>
      </c>
      <c r="U333" s="140" t="b">
        <v>0</v>
      </c>
      <c r="V333" s="141">
        <f>IF(AND(H333=TRUE,OR(K333="",K333&gt;M333)),S333,0)</f>
        <v/>
      </c>
      <c r="W333" s="140" t="n">
        <v>0</v>
      </c>
      <c r="X333" s="140" t="b">
        <v>0</v>
      </c>
      <c r="Y333" s="143">
        <f>IF(H333=FALSE,VLOOKUP($C333,Sales!$C:$F,4,FALSE),1)</f>
        <v/>
      </c>
      <c r="Z333" s="140">
        <f>IF(Y333=0,"Release",IF(AND(L333&lt;J333,Y333=1,H333=FALSE,U333=FALSE,MONTH(L333)&amp;"/"&amp;YEAR(L333)&lt;&gt;MONTH(J333)&amp;"/"&amp;YEAR(J333)),"Release",""))</f>
        <v/>
      </c>
      <c r="AA333" s="144">
        <f>_xlfn.minifs($L:$L,$C:$C,$C333,$F:$F,"&lt;&gt;0")</f>
        <v/>
      </c>
      <c r="AB333" s="144">
        <f>C333&amp;"-"&amp;A333</f>
        <v/>
      </c>
      <c r="AC333" s="144">
        <f>L333</f>
        <v/>
      </c>
    </row>
    <row r="334">
      <c r="A334" s="140" t="inlineStr">
        <is>
          <t>ZMCD02</t>
        </is>
      </c>
      <c r="B334" s="140" t="n">
        <v>3</v>
      </c>
      <c r="C334" s="140" t="inlineStr">
        <is>
          <t>HVJ102</t>
        </is>
      </c>
      <c r="D334" s="140" t="inlineStr">
        <is>
          <t>J</t>
        </is>
      </c>
      <c r="E334" s="140" t="inlineStr">
        <is>
          <t>McDonald Andre (Josias Andreas)</t>
        </is>
      </c>
      <c r="F334" s="141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</f>
        <v/>
      </c>
      <c r="G334" s="142" t="n">
        <v>44743</v>
      </c>
      <c r="H334" s="140">
        <f>VLOOKUP($C334,Sales!$C:$E,2,FALSE)</f>
        <v/>
      </c>
      <c r="I334" s="140">
        <f>VLOOKUP($C334,Sales!$C:$E,3,FALSE)</f>
        <v/>
      </c>
      <c r="J334" s="142">
        <f>SUMIFS(Sales!$H:$H,Sales!$C:$C,'Investor Exit List'!$C334)</f>
        <v/>
      </c>
      <c r="K334" s="142">
        <f>IF(I334=TRUE,J334,"")</f>
        <v/>
      </c>
      <c r="L334" s="142">
        <f>G334+730</f>
        <v/>
      </c>
      <c r="M334" s="142" t="n">
        <v>45443</v>
      </c>
      <c r="N334" s="143">
        <f>IFERROR(IF(G334&lt;&gt;"",IF(I334=TRUE,0,IF(U334=TRUE,0,L334-M334)),0),0)</f>
        <v/>
      </c>
      <c r="O334" s="143">
        <f>IF(N334&gt;0,IF(N334&lt;=180,N334,0),0)</f>
        <v/>
      </c>
      <c r="P334" s="141">
        <f>IF(AND(N334&lt;90,N334&gt;0),Q334,0)</f>
        <v/>
      </c>
      <c r="Q334" s="141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/>
      </c>
      <c r="R334" s="141">
        <f>IF(AND(H334=TRUE,I334=FALSE),Q334,0)</f>
        <v/>
      </c>
      <c r="S334" s="141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/>
      </c>
      <c r="T334" s="142">
        <f>IF(U334=TRUE,$J334,"")</f>
        <v/>
      </c>
      <c r="U334" s="140" t="b">
        <v>0</v>
      </c>
      <c r="V334" s="141">
        <f>IF(AND(H334=TRUE,OR(K334="",K334&gt;M334)),S334,0)</f>
        <v/>
      </c>
      <c r="W334" s="140" t="n">
        <v>0</v>
      </c>
      <c r="X334" s="140" t="b">
        <v>0</v>
      </c>
      <c r="Y334" s="143">
        <f>IF(H334=FALSE,VLOOKUP($C334,Sales!$C:$F,4,FALSE),1)</f>
        <v/>
      </c>
      <c r="Z334" s="140">
        <f>IF(Y334=0,"Release",IF(AND(L334&lt;J334,Y334=1,H334=FALSE,U334=FALSE,MONTH(L334)&amp;"/"&amp;YEAR(L334)&lt;&gt;MONTH(J334)&amp;"/"&amp;YEAR(J334)),"Release",""))</f>
        <v/>
      </c>
      <c r="AA334" s="144">
        <f>_xlfn.minifs($L:$L,$C:$C,$C334,$F:$F,"&lt;&gt;0")</f>
        <v/>
      </c>
      <c r="AB334" s="144">
        <f>C334&amp;"-"&amp;A334</f>
        <v/>
      </c>
      <c r="AC334" s="144">
        <f>L334</f>
        <v/>
      </c>
    </row>
    <row r="335">
      <c r="A335" s="140" t="inlineStr">
        <is>
          <t>ZSCH01</t>
        </is>
      </c>
      <c r="B335" s="140" t="n">
        <v>14</v>
      </c>
      <c r="C335" s="140" t="inlineStr">
        <is>
          <t>HVJ102</t>
        </is>
      </c>
      <c r="D335" s="140" t="inlineStr">
        <is>
          <t>J</t>
        </is>
      </c>
      <c r="E335" s="140" t="inlineStr">
        <is>
          <t>Schubert Inge</t>
        </is>
      </c>
      <c r="F335" s="141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</f>
        <v/>
      </c>
      <c r="G335" s="142" t="n">
        <v>44757</v>
      </c>
      <c r="H335" s="140">
        <f>VLOOKUP($C335,Sales!$C:$E,2,FALSE)</f>
        <v/>
      </c>
      <c r="I335" s="140">
        <f>VLOOKUP($C335,Sales!$C:$E,3,FALSE)</f>
        <v/>
      </c>
      <c r="J335" s="142">
        <f>SUMIFS(Sales!$H:$H,Sales!$C:$C,'Investor Exit List'!$C335)</f>
        <v/>
      </c>
      <c r="K335" s="142">
        <f>IF(I335=TRUE,J335,"")</f>
        <v/>
      </c>
      <c r="L335" s="142">
        <f>G335+730</f>
        <v/>
      </c>
      <c r="M335" s="142" t="n">
        <v>45443</v>
      </c>
      <c r="N335" s="143">
        <f>IFERROR(IF(G335&lt;&gt;"",IF(I335=TRUE,0,IF(U335=TRUE,0,L335-M335)),0),0)</f>
        <v/>
      </c>
      <c r="O335" s="143">
        <f>IF(N335&gt;0,IF(N335&lt;=180,N335,0),0)</f>
        <v/>
      </c>
      <c r="P335" s="141">
        <f>IF(AND(N335&lt;90,N335&gt;0),Q335,0)</f>
        <v/>
      </c>
      <c r="Q335" s="141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/>
      </c>
      <c r="R335" s="141">
        <f>IF(AND(H335=TRUE,I335=FALSE),Q335,0)</f>
        <v/>
      </c>
      <c r="S335" s="141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/>
      </c>
      <c r="T335" s="142">
        <f>IF(U335=TRUE,$J335,"")</f>
        <v/>
      </c>
      <c r="U335" s="140" t="b">
        <v>0</v>
      </c>
      <c r="V335" s="141">
        <f>IF(AND(H335=TRUE,OR(K335="",K335&gt;M335)),S335,0)</f>
        <v/>
      </c>
      <c r="W335" s="140" t="n">
        <v>0</v>
      </c>
      <c r="X335" s="140" t="b">
        <v>0</v>
      </c>
      <c r="Y335" s="143">
        <f>IF(H335=FALSE,VLOOKUP($C335,Sales!$C:$F,4,FALSE),1)</f>
        <v/>
      </c>
      <c r="Z335" s="140">
        <f>IF(Y335=0,"Release",IF(AND(L335&lt;J335,Y335=1,H335=FALSE,U335=FALSE,MONTH(L335)&amp;"/"&amp;YEAR(L335)&lt;&gt;MONTH(J335)&amp;"/"&amp;YEAR(J335)),"Release",""))</f>
        <v/>
      </c>
      <c r="AA335" s="144">
        <f>_xlfn.minifs($L:$L,$C:$C,$C335,$F:$F,"&lt;&gt;0")</f>
        <v/>
      </c>
      <c r="AB335" s="144">
        <f>C335&amp;"-"&amp;A335</f>
        <v/>
      </c>
      <c r="AC335" s="144">
        <f>L335</f>
        <v/>
      </c>
    </row>
    <row r="336">
      <c r="A336" s="140" t="inlineStr">
        <is>
          <t>ZWAL02</t>
        </is>
      </c>
      <c r="B336" s="140" t="n">
        <v>3</v>
      </c>
      <c r="C336" s="140" t="inlineStr">
        <is>
          <t>HVJ102</t>
        </is>
      </c>
      <c r="D336" s="140" t="inlineStr">
        <is>
          <t>J</t>
        </is>
      </c>
      <c r="E336" s="140" t="inlineStr">
        <is>
          <t>Wallander Johann</t>
        </is>
      </c>
      <c r="F336" s="141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</f>
        <v/>
      </c>
      <c r="G336" s="142" t="n">
        <v>44903</v>
      </c>
      <c r="H336" s="140">
        <f>VLOOKUP($C336,Sales!$C:$E,2,FALSE)</f>
        <v/>
      </c>
      <c r="I336" s="140">
        <f>VLOOKUP($C336,Sales!$C:$E,3,FALSE)</f>
        <v/>
      </c>
      <c r="J336" s="142">
        <f>SUMIFS(Sales!$H:$H,Sales!$C:$C,'Investor Exit List'!$C336)</f>
        <v/>
      </c>
      <c r="K336" s="142">
        <f>IF(I336=TRUE,J336,"")</f>
        <v/>
      </c>
      <c r="L336" s="142">
        <f>G336+730</f>
        <v/>
      </c>
      <c r="M336" s="142" t="n">
        <v>45443</v>
      </c>
      <c r="N336" s="143">
        <f>IFERROR(IF(G336&lt;&gt;"",IF(I336=TRUE,0,IF(U336=TRUE,0,L336-M336)),0),0)</f>
        <v/>
      </c>
      <c r="O336" s="143">
        <f>IF(N336&gt;0,IF(N336&lt;=180,N336,0),0)</f>
        <v/>
      </c>
      <c r="P336" s="141">
        <f>IF(AND(N336&lt;90,N336&gt;0),Q336,0)</f>
        <v/>
      </c>
      <c r="Q336" s="141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/>
      </c>
      <c r="R336" s="141">
        <f>IF(AND(H336=TRUE,I336=FALSE),Q336,0)</f>
        <v/>
      </c>
      <c r="S336" s="141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/>
      </c>
      <c r="T336" s="142">
        <f>IF(U336=TRUE,$J336,"")</f>
        <v/>
      </c>
      <c r="U336" s="140" t="b">
        <v>0</v>
      </c>
      <c r="V336" s="141">
        <f>IF(AND(H336=TRUE,OR(K336="",K336&gt;M336)),S336,0)</f>
        <v/>
      </c>
      <c r="W336" s="140" t="n">
        <v>0</v>
      </c>
      <c r="X336" s="140" t="b">
        <v>0</v>
      </c>
      <c r="Y336" s="143">
        <f>IF(H336=FALSE,VLOOKUP($C336,Sales!$C:$F,4,FALSE),1)</f>
        <v/>
      </c>
      <c r="Z336" s="140">
        <f>IF(Y336=0,"Release",IF(AND(L336&lt;J336,Y336=1,H336=FALSE,U336=FALSE,MONTH(L336)&amp;"/"&amp;YEAR(L336)&lt;&gt;MONTH(J336)&amp;"/"&amp;YEAR(J336)),"Release",""))</f>
        <v/>
      </c>
      <c r="AA336" s="144">
        <f>_xlfn.minifs($L:$L,$C:$C,$C336,$F:$F,"&lt;&gt;0")</f>
        <v/>
      </c>
      <c r="AB336" s="144">
        <f>C336&amp;"-"&amp;A336</f>
        <v/>
      </c>
      <c r="AC336" s="144">
        <f>L336</f>
        <v/>
      </c>
    </row>
    <row r="337">
      <c r="A337" s="140" t="inlineStr">
        <is>
          <t>ZDIC01</t>
        </is>
      </c>
      <c r="B337" s="140" t="n">
        <v>10</v>
      </c>
      <c r="C337" s="140" t="inlineStr">
        <is>
          <t>HVJ103</t>
        </is>
      </c>
      <c r="D337" s="140" t="inlineStr">
        <is>
          <t>J</t>
        </is>
      </c>
      <c r="E337" s="140" t="inlineStr">
        <is>
          <t>Dickinson Grant Allan</t>
        </is>
      </c>
      <c r="F337" s="141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</f>
        <v/>
      </c>
      <c r="G337" s="142" t="n">
        <v>44783</v>
      </c>
      <c r="H337" s="140">
        <f>VLOOKUP($C337,Sales!$C:$E,2,FALSE)</f>
        <v/>
      </c>
      <c r="I337" s="140">
        <f>VLOOKUP($C337,Sales!$C:$E,3,FALSE)</f>
        <v/>
      </c>
      <c r="J337" s="142">
        <f>SUMIFS(Sales!$H:$H,Sales!$C:$C,'Investor Exit List'!$C337)</f>
        <v/>
      </c>
      <c r="K337" s="142">
        <f>IF(I337=TRUE,J337,"")</f>
        <v/>
      </c>
      <c r="L337" s="142">
        <f>G337+730</f>
        <v/>
      </c>
      <c r="M337" s="142" t="n">
        <v>45443</v>
      </c>
      <c r="N337" s="143">
        <f>IFERROR(IF(G337&lt;&gt;"",IF(I337=TRUE,0,IF(U337=TRUE,0,L337-M337)),0),0)</f>
        <v/>
      </c>
      <c r="O337" s="143">
        <f>IF(N337&gt;0,IF(N337&lt;=180,N337,0),0)</f>
        <v/>
      </c>
      <c r="P337" s="141">
        <f>IF(AND(N337&lt;90,N337&gt;0),Q337,0)</f>
        <v/>
      </c>
      <c r="Q337" s="141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/>
      </c>
      <c r="R337" s="141">
        <f>IF(AND(H337=TRUE,I337=FALSE),Q337,0)</f>
        <v/>
      </c>
      <c r="S337" s="141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/>
      </c>
      <c r="T337" s="142">
        <f>IF(U337=TRUE,$J337,"")</f>
        <v/>
      </c>
      <c r="U337" s="140" t="b">
        <v>0</v>
      </c>
      <c r="V337" s="141">
        <f>IF(AND(H337=TRUE,OR(K337="",K337&gt;M337)),S337,0)</f>
        <v/>
      </c>
      <c r="W337" s="140" t="n">
        <v>0</v>
      </c>
      <c r="X337" s="140" t="b">
        <v>0</v>
      </c>
      <c r="Y337" s="143">
        <f>IF(H337=FALSE,VLOOKUP($C337,Sales!$C:$F,4,FALSE),1)</f>
        <v/>
      </c>
      <c r="Z337" s="140">
        <f>IF(Y337=0,"Release",IF(AND(L337&lt;J337,Y337=1,H337=FALSE,U337=FALSE,MONTH(L337)&amp;"/"&amp;YEAR(L337)&lt;&gt;MONTH(J337)&amp;"/"&amp;YEAR(J337)),"Release",""))</f>
        <v/>
      </c>
      <c r="AA337" s="144">
        <f>_xlfn.minifs($L:$L,$C:$C,$C337,$F:$F,"&lt;&gt;0")</f>
        <v/>
      </c>
      <c r="AB337" s="144">
        <f>C337&amp;"-"&amp;A337</f>
        <v/>
      </c>
      <c r="AC337" s="144">
        <f>L337</f>
        <v/>
      </c>
    </row>
    <row r="338">
      <c r="A338" s="140" t="inlineStr">
        <is>
          <t>ZHAY01</t>
        </is>
      </c>
      <c r="B338" s="140" t="n">
        <v>0</v>
      </c>
      <c r="C338" s="140" t="inlineStr">
        <is>
          <t>HVJ103</t>
        </is>
      </c>
      <c r="D338" s="140" t="inlineStr">
        <is>
          <t>J</t>
        </is>
      </c>
      <c r="E338" s="140" t="inlineStr">
        <is>
          <t>Haywood Johannes Wynand</t>
        </is>
      </c>
      <c r="F338" s="141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</f>
        <v/>
      </c>
      <c r="G338" s="142" t="inlineStr"/>
      <c r="H338" s="140">
        <f>VLOOKUP($C338,Sales!$C:$E,2,FALSE)</f>
        <v/>
      </c>
      <c r="I338" s="140">
        <f>VLOOKUP($C338,Sales!$C:$E,3,FALSE)</f>
        <v/>
      </c>
      <c r="J338" s="142">
        <f>SUMIFS(Sales!$H:$H,Sales!$C:$C,'Investor Exit List'!$C338)</f>
        <v/>
      </c>
      <c r="K338" s="142">
        <f>IF(I338=TRUE,J338,"")</f>
        <v/>
      </c>
      <c r="L338" s="142">
        <f>G338+730</f>
        <v/>
      </c>
      <c r="M338" s="142" t="n">
        <v>45443</v>
      </c>
      <c r="N338" s="143">
        <f>IFERROR(IF(G338&lt;&gt;"",IF(I338=TRUE,0,IF(U338=TRUE,0,L338-M338)),0),0)</f>
        <v/>
      </c>
      <c r="O338" s="143">
        <f>IF(N338&gt;0,IF(N338&lt;=180,N338,0),0)</f>
        <v/>
      </c>
      <c r="P338" s="141">
        <f>IF(AND(N338&lt;90,N338&gt;0),Q338,0)</f>
        <v/>
      </c>
      <c r="Q338" s="141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/>
      </c>
      <c r="R338" s="141">
        <f>IF(AND(H338=TRUE,I338=FALSE),Q338,0)</f>
        <v/>
      </c>
      <c r="S338" s="141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/>
      </c>
      <c r="T338" s="142">
        <f>IF(U338=TRUE,$J338,"")</f>
        <v/>
      </c>
      <c r="U338" s="140" t="b">
        <v>0</v>
      </c>
      <c r="V338" s="141">
        <f>IF(AND(H338=TRUE,OR(K338="",K338&gt;M338)),S338,0)</f>
        <v/>
      </c>
      <c r="W338" s="140" t="n">
        <v>0</v>
      </c>
      <c r="X338" s="140" t="b">
        <v>1</v>
      </c>
      <c r="Y338" s="143">
        <f>IF(H338=FALSE,VLOOKUP($C338,Sales!$C:$F,4,FALSE),1)</f>
        <v/>
      </c>
      <c r="Z338" s="140">
        <f>IF(Y338=0,"Release",IF(AND(L338&lt;J338,Y338=1,H338=FALSE,U338=FALSE,MONTH(L338)&amp;"/"&amp;YEAR(L338)&lt;&gt;MONTH(J338)&amp;"/"&amp;YEAR(J338)),"Release",""))</f>
        <v/>
      </c>
      <c r="AA338" s="144">
        <f>_xlfn.minifs($L:$L,$C:$C,$C338,$F:$F,"&lt;&gt;0")</f>
        <v/>
      </c>
      <c r="AB338" s="144">
        <f>C338&amp;"-"&amp;A338</f>
        <v/>
      </c>
      <c r="AC338" s="144">
        <f>L338</f>
        <v/>
      </c>
    </row>
    <row r="339">
      <c r="A339" s="140" t="inlineStr">
        <is>
          <t>ZJER01</t>
        </is>
      </c>
      <c r="B339" s="140" t="n">
        <v>3</v>
      </c>
      <c r="C339" s="140" t="inlineStr">
        <is>
          <t>HVJ103</t>
        </is>
      </c>
      <c r="D339" s="140" t="inlineStr">
        <is>
          <t>J</t>
        </is>
      </c>
      <c r="E339" s="140" t="inlineStr">
        <is>
          <t>Jere Towela Patricia Rosemarie</t>
        </is>
      </c>
      <c r="F339" s="141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</f>
        <v/>
      </c>
      <c r="G339" s="142" t="n">
        <v>44798</v>
      </c>
      <c r="H339" s="140">
        <f>VLOOKUP($C339,Sales!$C:$E,2,FALSE)</f>
        <v/>
      </c>
      <c r="I339" s="140">
        <f>VLOOKUP($C339,Sales!$C:$E,3,FALSE)</f>
        <v/>
      </c>
      <c r="J339" s="142">
        <f>SUMIFS(Sales!$H:$H,Sales!$C:$C,'Investor Exit List'!$C339)</f>
        <v/>
      </c>
      <c r="K339" s="142">
        <f>IF(I339=TRUE,J339,"")</f>
        <v/>
      </c>
      <c r="L339" s="142">
        <f>G339+730</f>
        <v/>
      </c>
      <c r="M339" s="142" t="n">
        <v>45443</v>
      </c>
      <c r="N339" s="143">
        <f>IFERROR(IF(G339&lt;&gt;"",IF(I339=TRUE,0,IF(U339=TRUE,0,L339-M339)),0),0)</f>
        <v/>
      </c>
      <c r="O339" s="143">
        <f>IF(N339&gt;0,IF(N339&lt;=180,N339,0),0)</f>
        <v/>
      </c>
      <c r="P339" s="141">
        <f>IF(AND(N339&lt;90,N339&gt;0),Q339,0)</f>
        <v/>
      </c>
      <c r="Q339" s="141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/>
      </c>
      <c r="R339" s="141">
        <f>IF(AND(H339=TRUE,I339=FALSE),Q339,0)</f>
        <v/>
      </c>
      <c r="S339" s="141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/>
      </c>
      <c r="T339" s="142">
        <f>IF(U339=TRUE,$J339,"")</f>
        <v/>
      </c>
      <c r="U339" s="140" t="b">
        <v>0</v>
      </c>
      <c r="V339" s="141">
        <f>IF(AND(H339=TRUE,OR(K339="",K339&gt;M339)),S339,0)</f>
        <v/>
      </c>
      <c r="W339" s="140" t="n">
        <v>0</v>
      </c>
      <c r="X339" s="140" t="b">
        <v>0</v>
      </c>
      <c r="Y339" s="143">
        <f>IF(H339=FALSE,VLOOKUP($C339,Sales!$C:$F,4,FALSE),1)</f>
        <v/>
      </c>
      <c r="Z339" s="140">
        <f>IF(Y339=0,"Release",IF(AND(L339&lt;J339,Y339=1,H339=FALSE,U339=FALSE,MONTH(L339)&amp;"/"&amp;YEAR(L339)&lt;&gt;MONTH(J339)&amp;"/"&amp;YEAR(J339)),"Release",""))</f>
        <v/>
      </c>
      <c r="AA339" s="144">
        <f>_xlfn.minifs($L:$L,$C:$C,$C339,$F:$F,"&lt;&gt;0")</f>
        <v/>
      </c>
      <c r="AB339" s="144">
        <f>C339&amp;"-"&amp;A339</f>
        <v/>
      </c>
      <c r="AC339" s="144">
        <f>L339</f>
        <v/>
      </c>
    </row>
    <row r="340">
      <c r="A340" s="140" t="inlineStr">
        <is>
          <t>ZSON01</t>
        </is>
      </c>
      <c r="B340" s="140" t="n">
        <v>0</v>
      </c>
      <c r="C340" s="140" t="inlineStr">
        <is>
          <t>HVJ103</t>
        </is>
      </c>
      <c r="D340" s="140" t="inlineStr">
        <is>
          <t>J</t>
        </is>
      </c>
      <c r="E340" s="140" t="inlineStr">
        <is>
          <t>Maduna Charles</t>
        </is>
      </c>
      <c r="F340" s="141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</f>
        <v/>
      </c>
      <c r="G340" s="142" t="inlineStr"/>
      <c r="H340" s="140">
        <f>VLOOKUP($C340,Sales!$C:$E,2,FALSE)</f>
        <v/>
      </c>
      <c r="I340" s="140">
        <f>VLOOKUP($C340,Sales!$C:$E,3,FALSE)</f>
        <v/>
      </c>
      <c r="J340" s="142">
        <f>SUMIFS(Sales!$H:$H,Sales!$C:$C,'Investor Exit List'!$C340)</f>
        <v/>
      </c>
      <c r="K340" s="142">
        <f>IF(I340=TRUE,J340,"")</f>
        <v/>
      </c>
      <c r="L340" s="142">
        <f>G340+730</f>
        <v/>
      </c>
      <c r="M340" s="142" t="n">
        <v>45443</v>
      </c>
      <c r="N340" s="143">
        <f>IFERROR(IF(G340&lt;&gt;"",IF(I340=TRUE,0,IF(U340=TRUE,0,L340-M340)),0),0)</f>
        <v/>
      </c>
      <c r="O340" s="143">
        <f>IF(N340&gt;0,IF(N340&lt;=180,N340,0),0)</f>
        <v/>
      </c>
      <c r="P340" s="141">
        <f>IF(AND(N340&lt;90,N340&gt;0),Q340,0)</f>
        <v/>
      </c>
      <c r="Q340" s="141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/>
      </c>
      <c r="R340" s="141">
        <f>IF(AND(H340=TRUE,I340=FALSE),Q340,0)</f>
        <v/>
      </c>
      <c r="S340" s="141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/>
      </c>
      <c r="T340" s="142">
        <f>IF(U340=TRUE,$J340,"")</f>
        <v/>
      </c>
      <c r="U340" s="140" t="b">
        <v>0</v>
      </c>
      <c r="V340" s="141">
        <f>IF(AND(H340=TRUE,OR(K340="",K340&gt;M340)),S340,0)</f>
        <v/>
      </c>
      <c r="W340" s="140" t="n">
        <v>0</v>
      </c>
      <c r="X340" s="140" t="b">
        <v>1</v>
      </c>
      <c r="Y340" s="143">
        <f>IF(H340=FALSE,VLOOKUP($C340,Sales!$C:$F,4,FALSE),1)</f>
        <v/>
      </c>
      <c r="Z340" s="140">
        <f>IF(Y340=0,"Release",IF(AND(L340&lt;J340,Y340=1,H340=FALSE,U340=FALSE,MONTH(L340)&amp;"/"&amp;YEAR(L340)&lt;&gt;MONTH(J340)&amp;"/"&amp;YEAR(J340)),"Release",""))</f>
        <v/>
      </c>
      <c r="AA340" s="144">
        <f>_xlfn.minifs($L:$L,$C:$C,$C340,$F:$F,"&lt;&gt;0")</f>
        <v/>
      </c>
      <c r="AB340" s="144">
        <f>C340&amp;"-"&amp;A340</f>
        <v/>
      </c>
      <c r="AC340" s="144">
        <f>L340</f>
        <v/>
      </c>
    </row>
    <row r="341">
      <c r="A341" s="140" t="inlineStr">
        <is>
          <t>ZZYL03</t>
        </is>
      </c>
      <c r="B341" s="140" t="n">
        <v>0</v>
      </c>
      <c r="C341" s="140" t="inlineStr">
        <is>
          <t>HVJ103</t>
        </is>
      </c>
      <c r="D341" s="140" t="inlineStr">
        <is>
          <t>J</t>
        </is>
      </c>
      <c r="E341" s="140" t="inlineStr">
        <is>
          <t>Zylstra Sandra Robyn</t>
        </is>
      </c>
      <c r="F341" s="141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</f>
        <v/>
      </c>
      <c r="G341" s="142" t="inlineStr"/>
      <c r="H341" s="140">
        <f>VLOOKUP($C341,Sales!$C:$E,2,FALSE)</f>
        <v/>
      </c>
      <c r="I341" s="140">
        <f>VLOOKUP($C341,Sales!$C:$E,3,FALSE)</f>
        <v/>
      </c>
      <c r="J341" s="142">
        <f>SUMIFS(Sales!$H:$H,Sales!$C:$C,'Investor Exit List'!$C341)</f>
        <v/>
      </c>
      <c r="K341" s="142">
        <f>IF(I341=TRUE,J341,"")</f>
        <v/>
      </c>
      <c r="L341" s="142">
        <f>G341+730</f>
        <v/>
      </c>
      <c r="M341" s="142" t="n">
        <v>45443</v>
      </c>
      <c r="N341" s="143">
        <f>IFERROR(IF(G341&lt;&gt;"",IF(I341=TRUE,0,IF(U341=TRUE,0,L341-M341)),0),0)</f>
        <v/>
      </c>
      <c r="O341" s="143">
        <f>IF(N341&gt;0,IF(N341&lt;=180,N341,0),0)</f>
        <v/>
      </c>
      <c r="P341" s="141">
        <f>IF(AND(N341&lt;90,N341&gt;0),Q341,0)</f>
        <v/>
      </c>
      <c r="Q341" s="141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/>
      </c>
      <c r="R341" s="141">
        <f>IF(AND(H341=TRUE,I341=FALSE),Q341,0)</f>
        <v/>
      </c>
      <c r="S341" s="141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/>
      </c>
      <c r="T341" s="142">
        <f>IF(U341=TRUE,$J341,"")</f>
        <v/>
      </c>
      <c r="U341" s="140" t="b">
        <v>0</v>
      </c>
      <c r="V341" s="141">
        <f>IF(AND(H341=TRUE,OR(K341="",K341&gt;M341)),S341,0)</f>
        <v/>
      </c>
      <c r="W341" s="140" t="n">
        <v>0</v>
      </c>
      <c r="X341" s="140" t="b">
        <v>1</v>
      </c>
      <c r="Y341" s="143">
        <f>IF(H341=FALSE,VLOOKUP($C341,Sales!$C:$F,4,FALSE),1)</f>
        <v/>
      </c>
      <c r="Z341" s="140">
        <f>IF(Y341=0,"Release",IF(AND(L341&lt;J341,Y341=1,H341=FALSE,U341=FALSE,MONTH(L341)&amp;"/"&amp;YEAR(L341)&lt;&gt;MONTH(J341)&amp;"/"&amp;YEAR(J341)),"Release",""))</f>
        <v/>
      </c>
      <c r="AA341" s="144">
        <f>_xlfn.minifs($L:$L,$C:$C,$C341,$F:$F,"&lt;&gt;0")</f>
        <v/>
      </c>
      <c r="AB341" s="144">
        <f>C341&amp;"-"&amp;A341</f>
        <v/>
      </c>
      <c r="AC341" s="144">
        <f>L341</f>
        <v/>
      </c>
    </row>
    <row r="342">
      <c r="A342" s="140" t="inlineStr">
        <is>
          <t>ZZYL05</t>
        </is>
      </c>
      <c r="B342" s="140" t="n">
        <v>1</v>
      </c>
      <c r="C342" s="140" t="inlineStr">
        <is>
          <t>HVJ103</t>
        </is>
      </c>
      <c r="D342" s="140" t="inlineStr">
        <is>
          <t>J</t>
        </is>
      </c>
      <c r="E342" s="140" t="inlineStr">
        <is>
          <t>Zylstra Diana Wendy</t>
        </is>
      </c>
      <c r="F342" s="141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</f>
        <v/>
      </c>
      <c r="G342" s="142" t="n">
        <v>44777</v>
      </c>
      <c r="H342" s="140">
        <f>VLOOKUP($C342,Sales!$C:$E,2,FALSE)</f>
        <v/>
      </c>
      <c r="I342" s="140">
        <f>VLOOKUP($C342,Sales!$C:$E,3,FALSE)</f>
        <v/>
      </c>
      <c r="J342" s="142">
        <f>SUMIFS(Sales!$H:$H,Sales!$C:$C,'Investor Exit List'!$C342)</f>
        <v/>
      </c>
      <c r="K342" s="142">
        <f>IF(I342=TRUE,J342,"")</f>
        <v/>
      </c>
      <c r="L342" s="142">
        <f>G342+730</f>
        <v/>
      </c>
      <c r="M342" s="142" t="n">
        <v>45443</v>
      </c>
      <c r="N342" s="143">
        <f>IFERROR(IF(G342&lt;&gt;"",IF(I342=TRUE,0,IF(U342=TRUE,0,L342-M342)),0),0)</f>
        <v/>
      </c>
      <c r="O342" s="143">
        <f>IF(N342&gt;0,IF(N342&lt;=180,N342,0),0)</f>
        <v/>
      </c>
      <c r="P342" s="141">
        <f>IF(AND(N342&lt;90,N342&gt;0),Q342,0)</f>
        <v/>
      </c>
      <c r="Q342" s="141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/>
      </c>
      <c r="R342" s="141">
        <f>IF(AND(H342=TRUE,I342=FALSE),Q342,0)</f>
        <v/>
      </c>
      <c r="S342" s="141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/>
      </c>
      <c r="T342" s="142">
        <f>IF(U342=TRUE,$J342,"")</f>
        <v/>
      </c>
      <c r="U342" s="140" t="b">
        <v>0</v>
      </c>
      <c r="V342" s="141">
        <f>IF(AND(H342=TRUE,OR(K342="",K342&gt;M342)),S342,0)</f>
        <v/>
      </c>
      <c r="W342" s="140" t="n">
        <v>0</v>
      </c>
      <c r="X342" s="140" t="b">
        <v>0</v>
      </c>
      <c r="Y342" s="143">
        <f>IF(H342=FALSE,VLOOKUP($C342,Sales!$C:$F,4,FALSE),1)</f>
        <v/>
      </c>
      <c r="Z342" s="140">
        <f>IF(Y342=0,"Release",IF(AND(L342&lt;J342,Y342=1,H342=FALSE,U342=FALSE,MONTH(L342)&amp;"/"&amp;YEAR(L342)&lt;&gt;MONTH(J342)&amp;"/"&amp;YEAR(J342)),"Release",""))</f>
        <v/>
      </c>
      <c r="AA342" s="144">
        <f>_xlfn.minifs($L:$L,$C:$C,$C342,$F:$F,"&lt;&gt;0")</f>
        <v/>
      </c>
      <c r="AB342" s="144">
        <f>C342&amp;"-"&amp;A342</f>
        <v/>
      </c>
      <c r="AC342" s="144">
        <f>L342</f>
        <v/>
      </c>
    </row>
    <row r="343">
      <c r="A343" s="140" t="inlineStr">
        <is>
          <t>ZBUM01</t>
        </is>
      </c>
      <c r="B343" s="140" t="n">
        <v>2</v>
      </c>
      <c r="C343" s="140" t="inlineStr">
        <is>
          <t>HVJ201</t>
        </is>
      </c>
      <c r="D343" s="140" t="inlineStr">
        <is>
          <t>J</t>
        </is>
      </c>
      <c r="E343" s="140" t="inlineStr">
        <is>
          <t>Brummer Andre Gottfried</t>
        </is>
      </c>
      <c r="F343" s="141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</f>
        <v/>
      </c>
      <c r="G343" s="142" t="n">
        <v>44783</v>
      </c>
      <c r="H343" s="140">
        <f>VLOOKUP($C343,Sales!$C:$E,2,FALSE)</f>
        <v/>
      </c>
      <c r="I343" s="140">
        <f>VLOOKUP($C343,Sales!$C:$E,3,FALSE)</f>
        <v/>
      </c>
      <c r="J343" s="142">
        <f>SUMIFS(Sales!$H:$H,Sales!$C:$C,'Investor Exit List'!$C343)</f>
        <v/>
      </c>
      <c r="K343" s="142">
        <f>IF(I343=TRUE,J343,"")</f>
        <v/>
      </c>
      <c r="L343" s="142">
        <f>G343+730</f>
        <v/>
      </c>
      <c r="M343" s="142" t="n">
        <v>45443</v>
      </c>
      <c r="N343" s="143">
        <f>IFERROR(IF(G343&lt;&gt;"",IF(I343=TRUE,0,IF(U343=TRUE,0,L343-M343)),0),0)</f>
        <v/>
      </c>
      <c r="O343" s="143">
        <f>IF(N343&gt;0,IF(N343&lt;=180,N343,0),0)</f>
        <v/>
      </c>
      <c r="P343" s="141">
        <f>IF(AND(N343&lt;90,N343&gt;0),Q343,0)</f>
        <v/>
      </c>
      <c r="Q343" s="141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/>
      </c>
      <c r="R343" s="141">
        <f>IF(AND(H343=TRUE,I343=FALSE),Q343,0)</f>
        <v/>
      </c>
      <c r="S343" s="141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/>
      </c>
      <c r="T343" s="142">
        <f>IF(U343=TRUE,$J343,"")</f>
        <v/>
      </c>
      <c r="U343" s="140" t="b">
        <v>0</v>
      </c>
      <c r="V343" s="141">
        <f>IF(AND(H343=TRUE,OR(K343="",K343&gt;M343)),S343,0)</f>
        <v/>
      </c>
      <c r="W343" s="140" t="n">
        <v>0</v>
      </c>
      <c r="X343" s="140" t="b">
        <v>0</v>
      </c>
      <c r="Y343" s="143">
        <f>IF(H343=FALSE,VLOOKUP($C343,Sales!$C:$F,4,FALSE),1)</f>
        <v/>
      </c>
      <c r="Z343" s="140">
        <f>IF(Y343=0,"Release",IF(AND(L343&lt;J343,Y343=1,H343=FALSE,U343=FALSE,MONTH(L343)&amp;"/"&amp;YEAR(L343)&lt;&gt;MONTH(J343)&amp;"/"&amp;YEAR(J343)),"Release",""))</f>
        <v/>
      </c>
      <c r="AA343" s="144">
        <f>_xlfn.minifs($L:$L,$C:$C,$C343,$F:$F,"&lt;&gt;0")</f>
        <v/>
      </c>
      <c r="AB343" s="144">
        <f>C343&amp;"-"&amp;A343</f>
        <v/>
      </c>
      <c r="AC343" s="144">
        <f>L343</f>
        <v/>
      </c>
    </row>
    <row r="344">
      <c r="A344" s="140" t="inlineStr">
        <is>
          <t>ZSMI03</t>
        </is>
      </c>
      <c r="B344" s="140" t="n">
        <v>1</v>
      </c>
      <c r="C344" s="140" t="inlineStr">
        <is>
          <t>HVJ201</t>
        </is>
      </c>
      <c r="D344" s="140" t="inlineStr">
        <is>
          <t>J</t>
        </is>
      </c>
      <c r="E344" s="140" t="inlineStr">
        <is>
          <t>Smit Eugene Patrick</t>
        </is>
      </c>
      <c r="F344" s="141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</f>
        <v/>
      </c>
      <c r="G344" s="142" t="n">
        <v>44811</v>
      </c>
      <c r="H344" s="140">
        <f>VLOOKUP($C344,Sales!$C:$E,2,FALSE)</f>
        <v/>
      </c>
      <c r="I344" s="140">
        <f>VLOOKUP($C344,Sales!$C:$E,3,FALSE)</f>
        <v/>
      </c>
      <c r="J344" s="142">
        <f>SUMIFS(Sales!$H:$H,Sales!$C:$C,'Investor Exit List'!$C344)</f>
        <v/>
      </c>
      <c r="K344" s="142">
        <f>IF(I344=TRUE,J344,"")</f>
        <v/>
      </c>
      <c r="L344" s="142">
        <f>G344+730</f>
        <v/>
      </c>
      <c r="M344" s="142" t="n">
        <v>45443</v>
      </c>
      <c r="N344" s="143">
        <f>IFERROR(IF(G344&lt;&gt;"",IF(I344=TRUE,0,IF(U344=TRUE,0,L344-M344)),0),0)</f>
        <v/>
      </c>
      <c r="O344" s="143">
        <f>IF(N344&gt;0,IF(N344&lt;=180,N344,0),0)</f>
        <v/>
      </c>
      <c r="P344" s="141">
        <f>IF(AND(N344&lt;90,N344&gt;0),Q344,0)</f>
        <v/>
      </c>
      <c r="Q344" s="141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/>
      </c>
      <c r="R344" s="141">
        <f>IF(AND(H344=TRUE,I344=FALSE),Q344,0)</f>
        <v/>
      </c>
      <c r="S344" s="141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/>
      </c>
      <c r="T344" s="142">
        <f>IF(U344=TRUE,$J344,"")</f>
        <v/>
      </c>
      <c r="U344" s="140" t="b">
        <v>0</v>
      </c>
      <c r="V344" s="141">
        <f>IF(AND(H344=TRUE,OR(K344="",K344&gt;M344)),S344,0)</f>
        <v/>
      </c>
      <c r="W344" s="140" t="n">
        <v>0</v>
      </c>
      <c r="X344" s="140" t="b">
        <v>0</v>
      </c>
      <c r="Y344" s="143">
        <f>IF(H344=FALSE,VLOOKUP($C344,Sales!$C:$F,4,FALSE),1)</f>
        <v/>
      </c>
      <c r="Z344" s="140">
        <f>IF(Y344=0,"Release",IF(AND(L344&lt;J344,Y344=1,H344=FALSE,U344=FALSE,MONTH(L344)&amp;"/"&amp;YEAR(L344)&lt;&gt;MONTH(J344)&amp;"/"&amp;YEAR(J344)),"Release",""))</f>
        <v/>
      </c>
      <c r="AA344" s="144">
        <f>_xlfn.minifs($L:$L,$C:$C,$C344,$F:$F,"&lt;&gt;0")</f>
        <v/>
      </c>
      <c r="AB344" s="144">
        <f>C344&amp;"-"&amp;A344</f>
        <v/>
      </c>
      <c r="AC344" s="144">
        <f>L344</f>
        <v/>
      </c>
    </row>
    <row r="345">
      <c r="A345" s="140" t="inlineStr">
        <is>
          <t>ZZYL02</t>
        </is>
      </c>
      <c r="B345" s="140" t="n">
        <v>2</v>
      </c>
      <c r="C345" s="140" t="inlineStr">
        <is>
          <t>HVJ201</t>
        </is>
      </c>
      <c r="D345" s="140" t="inlineStr">
        <is>
          <t>J</t>
        </is>
      </c>
      <c r="E345" s="140" t="inlineStr">
        <is>
          <t>Zylstra Petronella Johanna</t>
        </is>
      </c>
      <c r="F345" s="141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</f>
        <v/>
      </c>
      <c r="G345" s="142" t="n">
        <v>44916</v>
      </c>
      <c r="H345" s="140">
        <f>VLOOKUP($C345,Sales!$C:$E,2,FALSE)</f>
        <v/>
      </c>
      <c r="I345" s="140">
        <f>VLOOKUP($C345,Sales!$C:$E,3,FALSE)</f>
        <v/>
      </c>
      <c r="J345" s="142">
        <f>SUMIFS(Sales!$H:$H,Sales!$C:$C,'Investor Exit List'!$C345)</f>
        <v/>
      </c>
      <c r="K345" s="142">
        <f>IF(I345=TRUE,J345,"")</f>
        <v/>
      </c>
      <c r="L345" s="142">
        <f>G345+730</f>
        <v/>
      </c>
      <c r="M345" s="142" t="n">
        <v>45443</v>
      </c>
      <c r="N345" s="143">
        <f>IFERROR(IF(G345&lt;&gt;"",IF(I345=TRUE,0,IF(U345=TRUE,0,L345-M345)),0),0)</f>
        <v/>
      </c>
      <c r="O345" s="143">
        <f>IF(N345&gt;0,IF(N345&lt;=180,N345,0),0)</f>
        <v/>
      </c>
      <c r="P345" s="141">
        <f>IF(AND(N345&lt;90,N345&gt;0),Q345,0)</f>
        <v/>
      </c>
      <c r="Q345" s="141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/>
      </c>
      <c r="R345" s="141">
        <f>IF(AND(H345=TRUE,I345=FALSE),Q345,0)</f>
        <v/>
      </c>
      <c r="S345" s="141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/>
      </c>
      <c r="T345" s="142">
        <f>IF(U345=TRUE,$J345,"")</f>
        <v/>
      </c>
      <c r="U345" s="140" t="b">
        <v>0</v>
      </c>
      <c r="V345" s="141">
        <f>IF(AND(H345=TRUE,OR(K345="",K345&gt;M345)),S345,0)</f>
        <v/>
      </c>
      <c r="W345" s="140" t="n">
        <v>0</v>
      </c>
      <c r="X345" s="140" t="b">
        <v>0</v>
      </c>
      <c r="Y345" s="143">
        <f>IF(H345=FALSE,VLOOKUP($C345,Sales!$C:$F,4,FALSE),1)</f>
        <v/>
      </c>
      <c r="Z345" s="140">
        <f>IF(Y345=0,"Release",IF(AND(L345&lt;J345,Y345=1,H345=FALSE,U345=FALSE,MONTH(L345)&amp;"/"&amp;YEAR(L345)&lt;&gt;MONTH(J345)&amp;"/"&amp;YEAR(J345)),"Release",""))</f>
        <v/>
      </c>
      <c r="AA345" s="144">
        <f>_xlfn.minifs($L:$L,$C:$C,$C345,$F:$F,"&lt;&gt;0")</f>
        <v/>
      </c>
      <c r="AB345" s="144">
        <f>C345&amp;"-"&amp;A345</f>
        <v/>
      </c>
      <c r="AC345" s="144">
        <f>L345</f>
        <v/>
      </c>
    </row>
    <row r="346">
      <c r="A346" s="140" t="inlineStr">
        <is>
          <t>ZLAB01</t>
        </is>
      </c>
      <c r="B346" s="140" t="n">
        <v>3</v>
      </c>
      <c r="C346" s="140" t="inlineStr">
        <is>
          <t>HVJ202</t>
        </is>
      </c>
      <c r="D346" s="140" t="inlineStr">
        <is>
          <t>J</t>
        </is>
      </c>
      <c r="E346" s="140" t="inlineStr">
        <is>
          <t>Labuschagne Andre Jan</t>
        </is>
      </c>
      <c r="F346" s="141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</f>
        <v/>
      </c>
      <c r="G346" s="142" t="n">
        <v>44811</v>
      </c>
      <c r="H346" s="140">
        <f>VLOOKUP($C346,Sales!$C:$E,2,FALSE)</f>
        <v/>
      </c>
      <c r="I346" s="140">
        <f>VLOOKUP($C346,Sales!$C:$E,3,FALSE)</f>
        <v/>
      </c>
      <c r="J346" s="142">
        <f>SUMIFS(Sales!$H:$H,Sales!$C:$C,'Investor Exit List'!$C346)</f>
        <v/>
      </c>
      <c r="K346" s="142">
        <f>IF(I346=TRUE,J346,"")</f>
        <v/>
      </c>
      <c r="L346" s="142">
        <f>G346+730</f>
        <v/>
      </c>
      <c r="M346" s="142" t="n">
        <v>45443</v>
      </c>
      <c r="N346" s="143">
        <f>IFERROR(IF(G346&lt;&gt;"",IF(I346=TRUE,0,IF(U346=TRUE,0,L346-M346)),0),0)</f>
        <v/>
      </c>
      <c r="O346" s="143">
        <f>IF(N346&gt;0,IF(N346&lt;=180,N346,0),0)</f>
        <v/>
      </c>
      <c r="P346" s="141">
        <f>IF(AND(N346&lt;90,N346&gt;0),Q346,0)</f>
        <v/>
      </c>
      <c r="Q346" s="141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/>
      </c>
      <c r="R346" s="141">
        <f>IF(AND(H346=TRUE,I346=FALSE),Q346,0)</f>
        <v/>
      </c>
      <c r="S346" s="141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/>
      </c>
      <c r="T346" s="142">
        <f>IF(U346=TRUE,$J346,"")</f>
        <v/>
      </c>
      <c r="U346" s="140" t="b">
        <v>0</v>
      </c>
      <c r="V346" s="141">
        <f>IF(AND(H346=TRUE,OR(K346="",K346&gt;M346)),S346,0)</f>
        <v/>
      </c>
      <c r="W346" s="140" t="n">
        <v>0</v>
      </c>
      <c r="X346" s="140" t="b">
        <v>0</v>
      </c>
      <c r="Y346" s="143">
        <f>IF(H346=FALSE,VLOOKUP($C346,Sales!$C:$F,4,FALSE),1)</f>
        <v/>
      </c>
      <c r="Z346" s="140">
        <f>IF(Y346=0,"Release",IF(AND(L346&lt;J346,Y346=1,H346=FALSE,U346=FALSE,MONTH(L346)&amp;"/"&amp;YEAR(L346)&lt;&gt;MONTH(J346)&amp;"/"&amp;YEAR(J346)),"Release",""))</f>
        <v/>
      </c>
      <c r="AA346" s="144">
        <f>_xlfn.minifs($L:$L,$C:$C,$C346,$F:$F,"&lt;&gt;0")</f>
        <v/>
      </c>
      <c r="AB346" s="144">
        <f>C346&amp;"-"&amp;A346</f>
        <v/>
      </c>
      <c r="AC346" s="144">
        <f>L346</f>
        <v/>
      </c>
    </row>
    <row r="347">
      <c r="A347" s="140" t="inlineStr">
        <is>
          <t>ZBUM01</t>
        </is>
      </c>
      <c r="B347" s="140" t="n">
        <v>1</v>
      </c>
      <c r="C347" s="140" t="inlineStr">
        <is>
          <t>HVJ203</t>
        </is>
      </c>
      <c r="D347" s="140" t="inlineStr">
        <is>
          <t>J</t>
        </is>
      </c>
      <c r="E347" s="140" t="inlineStr">
        <is>
          <t>Brummer Andre Gottfried</t>
        </is>
      </c>
      <c r="F347" s="141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</f>
        <v/>
      </c>
      <c r="G347" s="142" t="n">
        <v>44791</v>
      </c>
      <c r="H347" s="140">
        <f>VLOOKUP($C347,Sales!$C:$E,2,FALSE)</f>
        <v/>
      </c>
      <c r="I347" s="140">
        <f>VLOOKUP($C347,Sales!$C:$E,3,FALSE)</f>
        <v/>
      </c>
      <c r="J347" s="142">
        <f>SUMIFS(Sales!$H:$H,Sales!$C:$C,'Investor Exit List'!$C347)</f>
        <v/>
      </c>
      <c r="K347" s="142">
        <f>IF(I347=TRUE,J347,"")</f>
        <v/>
      </c>
      <c r="L347" s="142">
        <f>G347+730</f>
        <v/>
      </c>
      <c r="M347" s="142" t="n">
        <v>45443</v>
      </c>
      <c r="N347" s="143">
        <f>IFERROR(IF(G347&lt;&gt;"",IF(I347=TRUE,0,IF(U347=TRUE,0,L347-M347)),0),0)</f>
        <v/>
      </c>
      <c r="O347" s="143">
        <f>IF(N347&gt;0,IF(N347&lt;=180,N347,0),0)</f>
        <v/>
      </c>
      <c r="P347" s="141">
        <f>IF(AND(N347&lt;90,N347&gt;0),Q347,0)</f>
        <v/>
      </c>
      <c r="Q347" s="141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/>
      </c>
      <c r="R347" s="141">
        <f>IF(AND(H347=TRUE,I347=FALSE),Q347,0)</f>
        <v/>
      </c>
      <c r="S347" s="141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/>
      </c>
      <c r="T347" s="142">
        <f>IF(U347=TRUE,$J347,"")</f>
        <v/>
      </c>
      <c r="U347" s="140" t="b">
        <v>0</v>
      </c>
      <c r="V347" s="141">
        <f>IF(AND(H347=TRUE,OR(K347="",K347&gt;M347)),S347,0)</f>
        <v/>
      </c>
      <c r="W347" s="140" t="n">
        <v>0</v>
      </c>
      <c r="X347" s="140" t="b">
        <v>0</v>
      </c>
      <c r="Y347" s="143">
        <f>IF(H347=FALSE,VLOOKUP($C347,Sales!$C:$F,4,FALSE),1)</f>
        <v/>
      </c>
      <c r="Z347" s="140">
        <f>IF(Y347=0,"Release",IF(AND(L347&lt;J347,Y347=1,H347=FALSE,U347=FALSE,MONTH(L347)&amp;"/"&amp;YEAR(L347)&lt;&gt;MONTH(J347)&amp;"/"&amp;YEAR(J347)),"Release",""))</f>
        <v/>
      </c>
      <c r="AA347" s="144">
        <f>_xlfn.minifs($L:$L,$C:$C,$C347,$F:$F,"&lt;&gt;0")</f>
        <v/>
      </c>
      <c r="AB347" s="144">
        <f>C347&amp;"-"&amp;A347</f>
        <v/>
      </c>
      <c r="AC347" s="144">
        <f>L347</f>
        <v/>
      </c>
    </row>
    <row r="348">
      <c r="A348" s="140" t="inlineStr">
        <is>
          <t>ZBRO01</t>
        </is>
      </c>
      <c r="B348" s="140" t="n">
        <v>3</v>
      </c>
      <c r="C348" s="140" t="inlineStr">
        <is>
          <t>HVJ301</t>
        </is>
      </c>
      <c r="D348" s="140" t="inlineStr">
        <is>
          <t>J</t>
        </is>
      </c>
      <c r="E348" s="140" t="inlineStr">
        <is>
          <t>Brown Craig Anthony Richard</t>
        </is>
      </c>
      <c r="F348" s="141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</f>
        <v/>
      </c>
      <c r="G348" s="142" t="n">
        <v>44868</v>
      </c>
      <c r="H348" s="140">
        <f>VLOOKUP($C348,Sales!$C:$E,2,FALSE)</f>
        <v/>
      </c>
      <c r="I348" s="140">
        <f>VLOOKUP($C348,Sales!$C:$E,3,FALSE)</f>
        <v/>
      </c>
      <c r="J348" s="142">
        <f>SUMIFS(Sales!$H:$H,Sales!$C:$C,'Investor Exit List'!$C348)</f>
        <v/>
      </c>
      <c r="K348" s="142">
        <f>IF(I348=TRUE,J348,"")</f>
        <v/>
      </c>
      <c r="L348" s="142">
        <f>G348+730</f>
        <v/>
      </c>
      <c r="M348" s="142" t="n">
        <v>45443</v>
      </c>
      <c r="N348" s="143">
        <f>IFERROR(IF(G348&lt;&gt;"",IF(I348=TRUE,0,IF(U348=TRUE,0,L348-M348)),0),0)</f>
        <v/>
      </c>
      <c r="O348" s="143">
        <f>IF(N348&gt;0,IF(N348&lt;=180,N348,0),0)</f>
        <v/>
      </c>
      <c r="P348" s="141">
        <f>IF(AND(N348&lt;90,N348&gt;0),Q348,0)</f>
        <v/>
      </c>
      <c r="Q348" s="141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/>
      </c>
      <c r="R348" s="141">
        <f>IF(AND(H348=TRUE,I348=FALSE),Q348,0)</f>
        <v/>
      </c>
      <c r="S348" s="141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/>
      </c>
      <c r="T348" s="142">
        <f>IF(U348=TRUE,$J348,"")</f>
        <v/>
      </c>
      <c r="U348" s="140" t="b">
        <v>0</v>
      </c>
      <c r="V348" s="141">
        <f>IF(AND(H348=TRUE,OR(K348="",K348&gt;M348)),S348,0)</f>
        <v/>
      </c>
      <c r="W348" s="140" t="n">
        <v>0</v>
      </c>
      <c r="X348" s="140" t="b">
        <v>0</v>
      </c>
      <c r="Y348" s="143">
        <f>IF(H348=FALSE,VLOOKUP($C348,Sales!$C:$F,4,FALSE),1)</f>
        <v/>
      </c>
      <c r="Z348" s="140">
        <f>IF(Y348=0,"Release",IF(AND(L348&lt;J348,Y348=1,H348=FALSE,U348=FALSE,MONTH(L348)&amp;"/"&amp;YEAR(L348)&lt;&gt;MONTH(J348)&amp;"/"&amp;YEAR(J348)),"Release",""))</f>
        <v/>
      </c>
      <c r="AA348" s="144">
        <f>_xlfn.minifs($L:$L,$C:$C,$C348,$F:$F,"&lt;&gt;0")</f>
        <v/>
      </c>
      <c r="AB348" s="144">
        <f>C348&amp;"-"&amp;A348</f>
        <v/>
      </c>
      <c r="AC348" s="144">
        <f>L348</f>
        <v/>
      </c>
    </row>
    <row r="349">
      <c r="A349" s="140" t="inlineStr">
        <is>
          <t>ZMAN02</t>
        </is>
      </c>
      <c r="B349" s="140" t="n">
        <v>1</v>
      </c>
      <c r="C349" s="140" t="inlineStr">
        <is>
          <t>HVJ301</t>
        </is>
      </c>
      <c r="D349" s="140" t="inlineStr">
        <is>
          <t>J</t>
        </is>
      </c>
      <c r="E349" s="140" t="inlineStr">
        <is>
          <t>Mans (Witberg) Ilse</t>
        </is>
      </c>
      <c r="F349" s="141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</f>
        <v/>
      </c>
      <c r="G349" s="142" t="n">
        <v>44811</v>
      </c>
      <c r="H349" s="140">
        <f>VLOOKUP($C349,Sales!$C:$E,2,FALSE)</f>
        <v/>
      </c>
      <c r="I349" s="140">
        <f>VLOOKUP($C349,Sales!$C:$E,3,FALSE)</f>
        <v/>
      </c>
      <c r="J349" s="142">
        <f>SUMIFS(Sales!$H:$H,Sales!$C:$C,'Investor Exit List'!$C349)</f>
        <v/>
      </c>
      <c r="K349" s="142">
        <f>IF(I349=TRUE,J349,"")</f>
        <v/>
      </c>
      <c r="L349" s="142">
        <f>G349+730</f>
        <v/>
      </c>
      <c r="M349" s="142" t="n">
        <v>45443</v>
      </c>
      <c r="N349" s="143">
        <f>IFERROR(IF(G349&lt;&gt;"",IF(I349=TRUE,0,IF(U349=TRUE,0,L349-M349)),0),0)</f>
        <v/>
      </c>
      <c r="O349" s="143">
        <f>IF(N349&gt;0,IF(N349&lt;=180,N349,0),0)</f>
        <v/>
      </c>
      <c r="P349" s="141">
        <f>IF(AND(N349&lt;90,N349&gt;0),Q349,0)</f>
        <v/>
      </c>
      <c r="Q349" s="141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/>
      </c>
      <c r="R349" s="141">
        <f>IF(AND(H349=TRUE,I349=FALSE),Q349,0)</f>
        <v/>
      </c>
      <c r="S349" s="141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/>
      </c>
      <c r="T349" s="142">
        <f>IF(U349=TRUE,$J349,"")</f>
        <v/>
      </c>
      <c r="U349" s="140" t="b">
        <v>0</v>
      </c>
      <c r="V349" s="141">
        <f>IF(AND(H349=TRUE,OR(K349="",K349&gt;M349)),S349,0)</f>
        <v/>
      </c>
      <c r="W349" s="140" t="n">
        <v>0</v>
      </c>
      <c r="X349" s="140" t="b">
        <v>0</v>
      </c>
      <c r="Y349" s="143">
        <f>IF(H349=FALSE,VLOOKUP($C349,Sales!$C:$F,4,FALSE),1)</f>
        <v/>
      </c>
      <c r="Z349" s="140">
        <f>IF(Y349=0,"Release",IF(AND(L349&lt;J349,Y349=1,H349=FALSE,U349=FALSE,MONTH(L349)&amp;"/"&amp;YEAR(L349)&lt;&gt;MONTH(J349)&amp;"/"&amp;YEAR(J349)),"Release",""))</f>
        <v/>
      </c>
      <c r="AA349" s="144">
        <f>_xlfn.minifs($L:$L,$C:$C,$C349,$F:$F,"&lt;&gt;0")</f>
        <v/>
      </c>
      <c r="AB349" s="144">
        <f>C349&amp;"-"&amp;A349</f>
        <v/>
      </c>
      <c r="AC349" s="144">
        <f>L349</f>
        <v/>
      </c>
    </row>
    <row r="350">
      <c r="A350" s="140" t="inlineStr">
        <is>
          <t>ZSMI03</t>
        </is>
      </c>
      <c r="B350" s="140" t="n">
        <v>2</v>
      </c>
      <c r="C350" s="140" t="inlineStr">
        <is>
          <t>HVJ301</t>
        </is>
      </c>
      <c r="D350" s="140" t="inlineStr">
        <is>
          <t>J</t>
        </is>
      </c>
      <c r="E350" s="140" t="inlineStr">
        <is>
          <t>Smit Eugene Patrick</t>
        </is>
      </c>
      <c r="F350" s="141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</f>
        <v/>
      </c>
      <c r="G350" s="142" t="n">
        <v>44811</v>
      </c>
      <c r="H350" s="140">
        <f>VLOOKUP($C350,Sales!$C:$E,2,FALSE)</f>
        <v/>
      </c>
      <c r="I350" s="140">
        <f>VLOOKUP($C350,Sales!$C:$E,3,FALSE)</f>
        <v/>
      </c>
      <c r="J350" s="142">
        <f>SUMIFS(Sales!$H:$H,Sales!$C:$C,'Investor Exit List'!$C350)</f>
        <v/>
      </c>
      <c r="K350" s="142">
        <f>IF(I350=TRUE,J350,"")</f>
        <v/>
      </c>
      <c r="L350" s="142">
        <f>G350+730</f>
        <v/>
      </c>
      <c r="M350" s="142" t="n">
        <v>45443</v>
      </c>
      <c r="N350" s="143">
        <f>IFERROR(IF(G350&lt;&gt;"",IF(I350=TRUE,0,IF(U350=TRUE,0,L350-M350)),0),0)</f>
        <v/>
      </c>
      <c r="O350" s="143">
        <f>IF(N350&gt;0,IF(N350&lt;=180,N350,0),0)</f>
        <v/>
      </c>
      <c r="P350" s="141">
        <f>IF(AND(N350&lt;90,N350&gt;0),Q350,0)</f>
        <v/>
      </c>
      <c r="Q350" s="141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/>
      </c>
      <c r="R350" s="141">
        <f>IF(AND(H350=TRUE,I350=FALSE),Q350,0)</f>
        <v/>
      </c>
      <c r="S350" s="141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/>
      </c>
      <c r="T350" s="142">
        <f>IF(U350=TRUE,$J350,"")</f>
        <v/>
      </c>
      <c r="U350" s="140" t="b">
        <v>0</v>
      </c>
      <c r="V350" s="141">
        <f>IF(AND(H350=TRUE,OR(K350="",K350&gt;M350)),S350,0)</f>
        <v/>
      </c>
      <c r="W350" s="140" t="n">
        <v>0</v>
      </c>
      <c r="X350" s="140" t="b">
        <v>0</v>
      </c>
      <c r="Y350" s="143">
        <f>IF(H350=FALSE,VLOOKUP($C350,Sales!$C:$F,4,FALSE),1)</f>
        <v/>
      </c>
      <c r="Z350" s="140">
        <f>IF(Y350=0,"Release",IF(AND(L350&lt;J350,Y350=1,H350=FALSE,U350=FALSE,MONTH(L350)&amp;"/"&amp;YEAR(L350)&lt;&gt;MONTH(J350)&amp;"/"&amp;YEAR(J350)),"Release",""))</f>
        <v/>
      </c>
      <c r="AA350" s="144">
        <f>_xlfn.minifs($L:$L,$C:$C,$C350,$F:$F,"&lt;&gt;0")</f>
        <v/>
      </c>
      <c r="AB350" s="144">
        <f>C350&amp;"-"&amp;A350</f>
        <v/>
      </c>
      <c r="AC350" s="144">
        <f>L350</f>
        <v/>
      </c>
    </row>
    <row r="351">
      <c r="A351" s="140" t="inlineStr">
        <is>
          <t>ZMAN02</t>
        </is>
      </c>
      <c r="B351" s="140" t="n">
        <v>2</v>
      </c>
      <c r="C351" s="140" t="inlineStr">
        <is>
          <t>HVJ302</t>
        </is>
      </c>
      <c r="D351" s="140" t="inlineStr">
        <is>
          <t>J</t>
        </is>
      </c>
      <c r="E351" s="140" t="inlineStr">
        <is>
          <t>Mans (Witberg) Ilse</t>
        </is>
      </c>
      <c r="F351" s="141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</f>
        <v/>
      </c>
      <c r="G351" s="142" t="n">
        <v>44811</v>
      </c>
      <c r="H351" s="140">
        <f>VLOOKUP($C351,Sales!$C:$E,2,FALSE)</f>
        <v/>
      </c>
      <c r="I351" s="140">
        <f>VLOOKUP($C351,Sales!$C:$E,3,FALSE)</f>
        <v/>
      </c>
      <c r="J351" s="142">
        <f>SUMIFS(Sales!$H:$H,Sales!$C:$C,'Investor Exit List'!$C351)</f>
        <v/>
      </c>
      <c r="K351" s="142">
        <f>IF(I351=TRUE,J351,"")</f>
        <v/>
      </c>
      <c r="L351" s="142">
        <f>G351+730</f>
        <v/>
      </c>
      <c r="M351" s="142" t="n">
        <v>45443</v>
      </c>
      <c r="N351" s="143">
        <f>IFERROR(IF(G351&lt;&gt;"",IF(I351=TRUE,0,IF(U351=TRUE,0,L351-M351)),0),0)</f>
        <v/>
      </c>
      <c r="O351" s="143">
        <f>IF(N351&gt;0,IF(N351&lt;=180,N351,0),0)</f>
        <v/>
      </c>
      <c r="P351" s="141">
        <f>IF(AND(N351&lt;90,N351&gt;0),Q351,0)</f>
        <v/>
      </c>
      <c r="Q351" s="141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/>
      </c>
      <c r="R351" s="141">
        <f>IF(AND(H351=TRUE,I351=FALSE),Q351,0)</f>
        <v/>
      </c>
      <c r="S351" s="141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/>
      </c>
      <c r="T351" s="142">
        <f>IF(U351=TRUE,$J351,"")</f>
        <v/>
      </c>
      <c r="U351" s="140" t="b">
        <v>0</v>
      </c>
      <c r="V351" s="141">
        <f>IF(AND(H351=TRUE,OR(K351="",K351&gt;M351)),S351,0)</f>
        <v/>
      </c>
      <c r="W351" s="140" t="n">
        <v>0</v>
      </c>
      <c r="X351" s="140" t="b">
        <v>0</v>
      </c>
      <c r="Y351" s="143">
        <f>IF(H351=FALSE,VLOOKUP($C351,Sales!$C:$F,4,FALSE),1)</f>
        <v/>
      </c>
      <c r="Z351" s="140">
        <f>IF(Y351=0,"Release",IF(AND(L351&lt;J351,Y351=1,H351=FALSE,U351=FALSE,MONTH(L351)&amp;"/"&amp;YEAR(L351)&lt;&gt;MONTH(J351)&amp;"/"&amp;YEAR(J351)),"Release",""))</f>
        <v/>
      </c>
      <c r="AA351" s="144">
        <f>_xlfn.minifs($L:$L,$C:$C,$C351,$F:$F,"&lt;&gt;0")</f>
        <v/>
      </c>
      <c r="AB351" s="144">
        <f>C351&amp;"-"&amp;A351</f>
        <v/>
      </c>
      <c r="AC351" s="144">
        <f>L351</f>
        <v/>
      </c>
    </row>
    <row r="352">
      <c r="A352" s="140" t="inlineStr">
        <is>
          <t>ZVER04</t>
        </is>
      </c>
      <c r="B352" s="140" t="n">
        <v>1</v>
      </c>
      <c r="C352" s="140" t="inlineStr">
        <is>
          <t>HVJ302</t>
        </is>
      </c>
      <c r="D352" s="140" t="inlineStr">
        <is>
          <t>J</t>
        </is>
      </c>
      <c r="E352" s="140" t="inlineStr">
        <is>
          <t>Vermeulen Floris Nicolaas</t>
        </is>
      </c>
      <c r="F352" s="141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</f>
        <v/>
      </c>
      <c r="G352" s="142" t="n">
        <v>44798</v>
      </c>
      <c r="H352" s="140">
        <f>VLOOKUP($C352,Sales!$C:$E,2,FALSE)</f>
        <v/>
      </c>
      <c r="I352" s="140">
        <f>VLOOKUP($C352,Sales!$C:$E,3,FALSE)</f>
        <v/>
      </c>
      <c r="J352" s="142">
        <f>SUMIFS(Sales!$H:$H,Sales!$C:$C,'Investor Exit List'!$C352)</f>
        <v/>
      </c>
      <c r="K352" s="142">
        <f>IF(I352=TRUE,J352,"")</f>
        <v/>
      </c>
      <c r="L352" s="142">
        <f>G352+730</f>
        <v/>
      </c>
      <c r="M352" s="142" t="n">
        <v>45443</v>
      </c>
      <c r="N352" s="143">
        <f>IFERROR(IF(G352&lt;&gt;"",IF(I352=TRUE,0,IF(U352=TRUE,0,L352-M352)),0),0)</f>
        <v/>
      </c>
      <c r="O352" s="143">
        <f>IF(N352&gt;0,IF(N352&lt;=180,N352,0),0)</f>
        <v/>
      </c>
      <c r="P352" s="141">
        <f>IF(AND(N352&lt;90,N352&gt;0),Q352,0)</f>
        <v/>
      </c>
      <c r="Q352" s="141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/>
      </c>
      <c r="R352" s="141">
        <f>IF(AND(H352=TRUE,I352=FALSE),Q352,0)</f>
        <v/>
      </c>
      <c r="S352" s="141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/>
      </c>
      <c r="T352" s="142">
        <f>IF(U352=TRUE,$J352,"")</f>
        <v/>
      </c>
      <c r="U352" s="140" t="b">
        <v>0</v>
      </c>
      <c r="V352" s="141">
        <f>IF(AND(H352=TRUE,OR(K352="",K352&gt;M352)),S352,0)</f>
        <v/>
      </c>
      <c r="W352" s="140" t="n">
        <v>0</v>
      </c>
      <c r="X352" s="140" t="b">
        <v>0</v>
      </c>
      <c r="Y352" s="143">
        <f>IF(H352=FALSE,VLOOKUP($C352,Sales!$C:$F,4,FALSE),1)</f>
        <v/>
      </c>
      <c r="Z352" s="140">
        <f>IF(Y352=0,"Release",IF(AND(L352&lt;J352,Y352=1,H352=FALSE,U352=FALSE,MONTH(L352)&amp;"/"&amp;YEAR(L352)&lt;&gt;MONTH(J352)&amp;"/"&amp;YEAR(J352)),"Release",""))</f>
        <v/>
      </c>
      <c r="AA352" s="144">
        <f>_xlfn.minifs($L:$L,$C:$C,$C352,$F:$F,"&lt;&gt;0")</f>
        <v/>
      </c>
      <c r="AB352" s="144">
        <f>C352&amp;"-"&amp;A352</f>
        <v/>
      </c>
      <c r="AC352" s="144">
        <f>L352</f>
        <v/>
      </c>
    </row>
    <row r="353">
      <c r="A353" s="140" t="inlineStr">
        <is>
          <t>ZHAY01</t>
        </is>
      </c>
      <c r="B353" s="140" t="n">
        <v>3</v>
      </c>
      <c r="C353" s="140" t="inlineStr">
        <is>
          <t>HVJ303</t>
        </is>
      </c>
      <c r="D353" s="140" t="inlineStr">
        <is>
          <t>J</t>
        </is>
      </c>
      <c r="E353" s="140" t="inlineStr">
        <is>
          <t>Haywood Johannes Wynand</t>
        </is>
      </c>
      <c r="F353" s="141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</f>
        <v/>
      </c>
      <c r="G353" s="142" t="n">
        <v>45450</v>
      </c>
      <c r="H353" s="140">
        <f>VLOOKUP($C353,Sales!$C:$E,2,FALSE)</f>
        <v/>
      </c>
      <c r="I353" s="140">
        <f>VLOOKUP($C353,Sales!$C:$E,3,FALSE)</f>
        <v/>
      </c>
      <c r="J353" s="142">
        <f>SUMIFS(Sales!$H:$H,Sales!$C:$C,'Investor Exit List'!$C353)</f>
        <v/>
      </c>
      <c r="K353" s="142">
        <f>IF(I353=TRUE,J353,"")</f>
        <v/>
      </c>
      <c r="L353" s="142">
        <f>G353+730</f>
        <v/>
      </c>
      <c r="M353" s="142" t="n">
        <v>45443</v>
      </c>
      <c r="N353" s="143">
        <f>IFERROR(IF(G353&lt;&gt;"",IF(I353=TRUE,0,IF(U353=TRUE,0,L353-M353)),0),0)</f>
        <v/>
      </c>
      <c r="O353" s="143">
        <f>IF(N353&gt;0,IF(N353&lt;=180,N353,0),0)</f>
        <v/>
      </c>
      <c r="P353" s="141">
        <f>IF(AND(N353&lt;90,N353&gt;0),Q353,0)</f>
        <v/>
      </c>
      <c r="Q353" s="141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/>
      </c>
      <c r="R353" s="141">
        <f>IF(AND(H353=TRUE,I353=FALSE),Q353,0)</f>
        <v/>
      </c>
      <c r="S353" s="141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/>
      </c>
      <c r="T353" s="142">
        <f>IF(U353=TRUE,$J353,"")</f>
        <v/>
      </c>
      <c r="U353" s="140" t="b">
        <v>0</v>
      </c>
      <c r="V353" s="141">
        <f>IF(AND(H353=TRUE,OR(K353="",K353&gt;M353)),S353,0)</f>
        <v/>
      </c>
      <c r="W353" s="140" t="n">
        <v>0</v>
      </c>
      <c r="X353" s="140" t="b">
        <v>0</v>
      </c>
      <c r="Y353" s="143">
        <f>IF(H353=FALSE,VLOOKUP($C353,Sales!$C:$F,4,FALSE),1)</f>
        <v/>
      </c>
      <c r="Z353" s="140">
        <f>IF(Y353=0,"Release",IF(AND(L353&lt;J353,Y353=1,H353=FALSE,U353=FALSE,MONTH(L353)&amp;"/"&amp;YEAR(L353)&lt;&gt;MONTH(J353)&amp;"/"&amp;YEAR(J353)),"Release",""))</f>
        <v/>
      </c>
      <c r="AA353" s="144">
        <f>_xlfn.minifs($L:$L,$C:$C,$C353,$F:$F,"&lt;&gt;0")</f>
        <v/>
      </c>
      <c r="AB353" s="144">
        <f>C353&amp;"-"&amp;A353</f>
        <v/>
      </c>
      <c r="AC353" s="144">
        <f>L353</f>
        <v/>
      </c>
    </row>
    <row r="354">
      <c r="A354" s="140" t="inlineStr">
        <is>
          <t>ZKRU01</t>
        </is>
      </c>
      <c r="B354" s="140" t="n">
        <v>10</v>
      </c>
      <c r="C354" s="140" t="inlineStr">
        <is>
          <t>HVJ303</t>
        </is>
      </c>
      <c r="D354" s="140" t="inlineStr">
        <is>
          <t>J</t>
        </is>
      </c>
      <c r="E354" s="140" t="inlineStr">
        <is>
          <t>Kruger Jurgen</t>
        </is>
      </c>
      <c r="F354" s="141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</f>
        <v/>
      </c>
      <c r="G354" s="142" t="n">
        <v>45450</v>
      </c>
      <c r="H354" s="140">
        <f>VLOOKUP($C354,Sales!$C:$E,2,FALSE)</f>
        <v/>
      </c>
      <c r="I354" s="140">
        <f>VLOOKUP($C354,Sales!$C:$E,3,FALSE)</f>
        <v/>
      </c>
      <c r="J354" s="142">
        <f>SUMIFS(Sales!$H:$H,Sales!$C:$C,'Investor Exit List'!$C354)</f>
        <v/>
      </c>
      <c r="K354" s="142">
        <f>IF(I354=TRUE,J354,"")</f>
        <v/>
      </c>
      <c r="L354" s="142">
        <f>G354+730</f>
        <v/>
      </c>
      <c r="M354" s="142" t="n">
        <v>45443</v>
      </c>
      <c r="N354" s="143">
        <f>IFERROR(IF(G354&lt;&gt;"",IF(I354=TRUE,0,IF(U354=TRUE,0,L354-M354)),0),0)</f>
        <v/>
      </c>
      <c r="O354" s="143">
        <f>IF(N354&gt;0,IF(N354&lt;=180,N354,0),0)</f>
        <v/>
      </c>
      <c r="P354" s="141">
        <f>IF(AND(N354&lt;90,N354&gt;0),Q354,0)</f>
        <v/>
      </c>
      <c r="Q354" s="141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/>
      </c>
      <c r="R354" s="141">
        <f>IF(AND(H354=TRUE,I354=FALSE),Q354,0)</f>
        <v/>
      </c>
      <c r="S354" s="141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/>
      </c>
      <c r="T354" s="142">
        <f>IF(U354=TRUE,$J354,"")</f>
        <v/>
      </c>
      <c r="U354" s="140" t="b">
        <v>0</v>
      </c>
      <c r="V354" s="141">
        <f>IF(AND(H354=TRUE,OR(K354="",K354&gt;M354)),S354,0)</f>
        <v/>
      </c>
      <c r="W354" s="140" t="n">
        <v>0</v>
      </c>
      <c r="X354" s="140" t="b">
        <v>0</v>
      </c>
      <c r="Y354" s="143">
        <f>IF(H354=FALSE,VLOOKUP($C354,Sales!$C:$F,4,FALSE),1)</f>
        <v/>
      </c>
      <c r="Z354" s="140">
        <f>IF(Y354=0,"Release",IF(AND(L354&lt;J354,Y354=1,H354=FALSE,U354=FALSE,MONTH(L354)&amp;"/"&amp;YEAR(L354)&lt;&gt;MONTH(J354)&amp;"/"&amp;YEAR(J354)),"Release",""))</f>
        <v/>
      </c>
      <c r="AA354" s="144">
        <f>_xlfn.minifs($L:$L,$C:$C,$C354,$F:$F,"&lt;&gt;0")</f>
        <v/>
      </c>
      <c r="AB354" s="144">
        <f>C354&amp;"-"&amp;A354</f>
        <v/>
      </c>
      <c r="AC354" s="144">
        <f>L354</f>
        <v/>
      </c>
    </row>
    <row r="355">
      <c r="A355" s="140" t="inlineStr">
        <is>
          <t>ZPLA01</t>
        </is>
      </c>
      <c r="B355" s="140" t="n">
        <v>4</v>
      </c>
      <c r="C355" s="140" t="inlineStr">
        <is>
          <t>HVJ303</t>
        </is>
      </c>
      <c r="D355" s="140" t="inlineStr">
        <is>
          <t>J</t>
        </is>
      </c>
      <c r="E355" s="140" t="inlineStr">
        <is>
          <t>Placzkowska Aneta</t>
        </is>
      </c>
      <c r="F355" s="141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</f>
        <v/>
      </c>
      <c r="G355" s="142" t="n">
        <v>45450</v>
      </c>
      <c r="H355" s="140">
        <f>VLOOKUP($C355,Sales!$C:$E,2,FALSE)</f>
        <v/>
      </c>
      <c r="I355" s="140">
        <f>VLOOKUP($C355,Sales!$C:$E,3,FALSE)</f>
        <v/>
      </c>
      <c r="J355" s="142">
        <f>SUMIFS(Sales!$H:$H,Sales!$C:$C,'Investor Exit List'!$C355)</f>
        <v/>
      </c>
      <c r="K355" s="142">
        <f>IF(I355=TRUE,J355,"")</f>
        <v/>
      </c>
      <c r="L355" s="142">
        <f>G355+730</f>
        <v/>
      </c>
      <c r="M355" s="142" t="n">
        <v>45443</v>
      </c>
      <c r="N355" s="143">
        <f>IFERROR(IF(G355&lt;&gt;"",IF(I355=TRUE,0,IF(U355=TRUE,0,L355-M355)),0),0)</f>
        <v/>
      </c>
      <c r="O355" s="143">
        <f>IF(N355&gt;0,IF(N355&lt;=180,N355,0),0)</f>
        <v/>
      </c>
      <c r="P355" s="141">
        <f>IF(AND(N355&lt;90,N355&gt;0),Q355,0)</f>
        <v/>
      </c>
      <c r="Q355" s="141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/>
      </c>
      <c r="R355" s="141">
        <f>IF(AND(H355=TRUE,I355=FALSE),Q355,0)</f>
        <v/>
      </c>
      <c r="S355" s="141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/>
      </c>
      <c r="T355" s="142">
        <f>IF(U355=TRUE,$J355,"")</f>
        <v/>
      </c>
      <c r="U355" s="140" t="b">
        <v>0</v>
      </c>
      <c r="V355" s="141">
        <f>IF(AND(H355=TRUE,OR(K355="",K355&gt;M355)),S355,0)</f>
        <v/>
      </c>
      <c r="W355" s="140" t="n">
        <v>0</v>
      </c>
      <c r="X355" s="140" t="b">
        <v>0</v>
      </c>
      <c r="Y355" s="143">
        <f>IF(H355=FALSE,VLOOKUP($C355,Sales!$C:$F,4,FALSE),1)</f>
        <v/>
      </c>
      <c r="Z355" s="140">
        <f>IF(Y355=0,"Release",IF(AND(L355&lt;J355,Y355=1,H355=FALSE,U355=FALSE,MONTH(L355)&amp;"/"&amp;YEAR(L355)&lt;&gt;MONTH(J355)&amp;"/"&amp;YEAR(J355)),"Release",""))</f>
        <v/>
      </c>
      <c r="AA355" s="144">
        <f>_xlfn.minifs($L:$L,$C:$C,$C355,$F:$F,"&lt;&gt;0")</f>
        <v/>
      </c>
      <c r="AB355" s="144">
        <f>C355&amp;"-"&amp;A355</f>
        <v/>
      </c>
      <c r="AC355" s="144">
        <f>L355</f>
        <v/>
      </c>
    </row>
    <row r="356">
      <c r="A356" s="140" t="inlineStr">
        <is>
          <t>ZVER04</t>
        </is>
      </c>
      <c r="B356" s="140" t="n">
        <v>2</v>
      </c>
      <c r="C356" s="140" t="inlineStr">
        <is>
          <t>HVJ303</t>
        </is>
      </c>
      <c r="D356" s="140" t="inlineStr">
        <is>
          <t>J</t>
        </is>
      </c>
      <c r="E356" s="140" t="inlineStr">
        <is>
          <t>Vermeulen Floris Nicolaas</t>
        </is>
      </c>
      <c r="F356" s="141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</f>
        <v/>
      </c>
      <c r="G356" s="142" t="n">
        <v>44798</v>
      </c>
      <c r="H356" s="140">
        <f>VLOOKUP($C356,Sales!$C:$E,2,FALSE)</f>
        <v/>
      </c>
      <c r="I356" s="140">
        <f>VLOOKUP($C356,Sales!$C:$E,3,FALSE)</f>
        <v/>
      </c>
      <c r="J356" s="142">
        <f>SUMIFS(Sales!$H:$H,Sales!$C:$C,'Investor Exit List'!$C356)</f>
        <v/>
      </c>
      <c r="K356" s="142">
        <f>IF(I356=TRUE,J356,"")</f>
        <v/>
      </c>
      <c r="L356" s="142">
        <f>G356+730</f>
        <v/>
      </c>
      <c r="M356" s="142" t="n">
        <v>45443</v>
      </c>
      <c r="N356" s="143">
        <f>IFERROR(IF(G356&lt;&gt;"",IF(I356=TRUE,0,IF(U356=TRUE,0,L356-M356)),0),0)</f>
        <v/>
      </c>
      <c r="O356" s="143">
        <f>IF(N356&gt;0,IF(N356&lt;=180,N356,0),0)</f>
        <v/>
      </c>
      <c r="P356" s="141">
        <f>IF(AND(N356&lt;90,N356&gt;0),Q356,0)</f>
        <v/>
      </c>
      <c r="Q356" s="141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/>
      </c>
      <c r="R356" s="141">
        <f>IF(AND(H356=TRUE,I356=FALSE),Q356,0)</f>
        <v/>
      </c>
      <c r="S356" s="141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/>
      </c>
      <c r="T356" s="142">
        <f>IF(U356=TRUE,$J356,"")</f>
        <v/>
      </c>
      <c r="U356" s="140" t="b">
        <v>1</v>
      </c>
      <c r="V356" s="141">
        <f>IF(AND(H356=TRUE,OR(K356="",K356&gt;M356)),S356,0)</f>
        <v/>
      </c>
      <c r="W356" s="140" t="n">
        <v>0</v>
      </c>
      <c r="X356" s="140" t="b">
        <v>0</v>
      </c>
      <c r="Y356" s="143">
        <f>IF(H356=FALSE,VLOOKUP($C356,Sales!$C:$F,4,FALSE),1)</f>
        <v/>
      </c>
      <c r="Z356" s="140">
        <f>IF(Y356=0,"Release",IF(AND(L356&lt;J356,Y356=1,H356=FALSE,U356=FALSE,MONTH(L356)&amp;"/"&amp;YEAR(L356)&lt;&gt;MONTH(J356)&amp;"/"&amp;YEAR(J356)),"Release",""))</f>
        <v/>
      </c>
      <c r="AA356" s="144">
        <f>_xlfn.minifs($L:$L,$C:$C,$C356,$F:$F,"&lt;&gt;0")</f>
        <v/>
      </c>
      <c r="AB356" s="144">
        <f>C356&amp;"-"&amp;A356</f>
        <v/>
      </c>
      <c r="AC356" s="144">
        <f>L356</f>
        <v/>
      </c>
    </row>
    <row r="357">
      <c r="A357" s="140" t="inlineStr">
        <is>
          <t>ZFOU02</t>
        </is>
      </c>
      <c r="B357" s="140" t="n">
        <v>1</v>
      </c>
      <c r="C357" s="140" t="inlineStr">
        <is>
          <t>HVJ401</t>
        </is>
      </c>
      <c r="D357" s="140" t="inlineStr">
        <is>
          <t>J</t>
        </is>
      </c>
      <c r="E357" s="140" t="inlineStr">
        <is>
          <t>Fountain Clyde Michael</t>
        </is>
      </c>
      <c r="F357" s="141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</f>
        <v/>
      </c>
      <c r="G357" s="142" t="n">
        <v>44811</v>
      </c>
      <c r="H357" s="140">
        <f>VLOOKUP($C357,Sales!$C:$E,2,FALSE)</f>
        <v/>
      </c>
      <c r="I357" s="140">
        <f>VLOOKUP($C357,Sales!$C:$E,3,FALSE)</f>
        <v/>
      </c>
      <c r="J357" s="142">
        <f>SUMIFS(Sales!$H:$H,Sales!$C:$C,'Investor Exit List'!$C357)</f>
        <v/>
      </c>
      <c r="K357" s="142">
        <f>IF(I357=TRUE,J357,"")</f>
        <v/>
      </c>
      <c r="L357" s="142">
        <f>G357+730</f>
        <v/>
      </c>
      <c r="M357" s="142" t="n">
        <v>45443</v>
      </c>
      <c r="N357" s="143">
        <f>IFERROR(IF(G357&lt;&gt;"",IF(I357=TRUE,0,IF(U357=TRUE,0,L357-M357)),0),0)</f>
        <v/>
      </c>
      <c r="O357" s="143">
        <f>IF(N357&gt;0,IF(N357&lt;=180,N357,0),0)</f>
        <v/>
      </c>
      <c r="P357" s="141">
        <f>IF(AND(N357&lt;90,N357&gt;0),Q357,0)</f>
        <v/>
      </c>
      <c r="Q357" s="141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/>
      </c>
      <c r="R357" s="141">
        <f>IF(AND(H357=TRUE,I357=FALSE),Q357,0)</f>
        <v/>
      </c>
      <c r="S357" s="141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/>
      </c>
      <c r="T357" s="142">
        <f>IF(U357=TRUE,$J357,"")</f>
        <v/>
      </c>
      <c r="U357" s="140" t="b">
        <v>0</v>
      </c>
      <c r="V357" s="141">
        <f>IF(AND(H357=TRUE,OR(K357="",K357&gt;M357)),S357,0)</f>
        <v/>
      </c>
      <c r="W357" s="140" t="n">
        <v>0</v>
      </c>
      <c r="X357" s="140" t="b">
        <v>0</v>
      </c>
      <c r="Y357" s="143">
        <f>IF(H357=FALSE,VLOOKUP($C357,Sales!$C:$F,4,FALSE),1)</f>
        <v/>
      </c>
      <c r="Z357" s="140">
        <f>IF(Y357=0,"Release",IF(AND(L357&lt;J357,Y357=1,H357=FALSE,U357=FALSE,MONTH(L357)&amp;"/"&amp;YEAR(L357)&lt;&gt;MONTH(J357)&amp;"/"&amp;YEAR(J357)),"Release",""))</f>
        <v/>
      </c>
      <c r="AA357" s="144">
        <f>_xlfn.minifs($L:$L,$C:$C,$C357,$F:$F,"&lt;&gt;0")</f>
        <v/>
      </c>
      <c r="AB357" s="144">
        <f>C357&amp;"-"&amp;A357</f>
        <v/>
      </c>
      <c r="AC357" s="144">
        <f>L357</f>
        <v/>
      </c>
    </row>
    <row r="358">
      <c r="A358" s="140" t="inlineStr">
        <is>
          <t>ZHAY01</t>
        </is>
      </c>
      <c r="B358" s="140" t="n">
        <v>0</v>
      </c>
      <c r="C358" s="140" t="inlineStr">
        <is>
          <t>HVJ401</t>
        </is>
      </c>
      <c r="D358" s="140" t="inlineStr">
        <is>
          <t>J</t>
        </is>
      </c>
      <c r="E358" s="140" t="inlineStr">
        <is>
          <t>Haywood Johannes Wynand</t>
        </is>
      </c>
      <c r="F358" s="141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</f>
        <v/>
      </c>
      <c r="G358" s="142" t="inlineStr"/>
      <c r="H358" s="140">
        <f>VLOOKUP($C358,Sales!$C:$E,2,FALSE)</f>
        <v/>
      </c>
      <c r="I358" s="140">
        <f>VLOOKUP($C358,Sales!$C:$E,3,FALSE)</f>
        <v/>
      </c>
      <c r="J358" s="142">
        <f>SUMIFS(Sales!$H:$H,Sales!$C:$C,'Investor Exit List'!$C358)</f>
        <v/>
      </c>
      <c r="K358" s="142">
        <f>IF(I358=TRUE,J358,"")</f>
        <v/>
      </c>
      <c r="L358" s="142">
        <f>G358+730</f>
        <v/>
      </c>
      <c r="M358" s="142" t="n">
        <v>45443</v>
      </c>
      <c r="N358" s="143">
        <f>IFERROR(IF(G358&lt;&gt;"",IF(I358=TRUE,0,IF(U358=TRUE,0,L358-M358)),0),0)</f>
        <v/>
      </c>
      <c r="O358" s="143">
        <f>IF(N358&gt;0,IF(N358&lt;=180,N358,0),0)</f>
        <v/>
      </c>
      <c r="P358" s="141">
        <f>IF(AND(N358&lt;90,N358&gt;0),Q358,0)</f>
        <v/>
      </c>
      <c r="Q358" s="141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/>
      </c>
      <c r="R358" s="141">
        <f>IF(AND(H358=TRUE,I358=FALSE),Q358,0)</f>
        <v/>
      </c>
      <c r="S358" s="141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/>
      </c>
      <c r="T358" s="142">
        <f>IF(U358=TRUE,$J358,"")</f>
        <v/>
      </c>
      <c r="U358" s="140" t="b">
        <v>0</v>
      </c>
      <c r="V358" s="141">
        <f>IF(AND(H358=TRUE,OR(K358="",K358&gt;M358)),S358,0)</f>
        <v/>
      </c>
      <c r="W358" s="140" t="n">
        <v>0</v>
      </c>
      <c r="X358" s="140" t="b">
        <v>1</v>
      </c>
      <c r="Y358" s="143">
        <f>IF(H358=FALSE,VLOOKUP($C358,Sales!$C:$F,4,FALSE),1)</f>
        <v/>
      </c>
      <c r="Z358" s="140">
        <f>IF(Y358=0,"Release",IF(AND(L358&lt;J358,Y358=1,H358=FALSE,U358=FALSE,MONTH(L358)&amp;"/"&amp;YEAR(L358)&lt;&gt;MONTH(J358)&amp;"/"&amp;YEAR(J358)),"Release",""))</f>
        <v/>
      </c>
      <c r="AA358" s="144">
        <f>_xlfn.minifs($L:$L,$C:$C,$C358,$F:$F,"&lt;&gt;0")</f>
        <v/>
      </c>
      <c r="AB358" s="144">
        <f>C358&amp;"-"&amp;A358</f>
        <v/>
      </c>
      <c r="AC358" s="144">
        <f>L358</f>
        <v/>
      </c>
    </row>
    <row r="359">
      <c r="A359" s="140" t="inlineStr">
        <is>
          <t>ZJAN01</t>
        </is>
      </c>
      <c r="B359" s="140" t="n">
        <v>0</v>
      </c>
      <c r="C359" s="140" t="inlineStr">
        <is>
          <t>HVJ401</t>
        </is>
      </c>
      <c r="D359" s="140" t="inlineStr">
        <is>
          <t>J</t>
        </is>
      </c>
      <c r="E359" s="140" t="inlineStr">
        <is>
          <t>Jansen van Rensburg Petrus Johannes</t>
        </is>
      </c>
      <c r="F359" s="141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</f>
        <v/>
      </c>
      <c r="G359" s="142" t="inlineStr"/>
      <c r="H359" s="140">
        <f>VLOOKUP($C359,Sales!$C:$E,2,FALSE)</f>
        <v/>
      </c>
      <c r="I359" s="140">
        <f>VLOOKUP($C359,Sales!$C:$E,3,FALSE)</f>
        <v/>
      </c>
      <c r="J359" s="142">
        <f>SUMIFS(Sales!$H:$H,Sales!$C:$C,'Investor Exit List'!$C359)</f>
        <v/>
      </c>
      <c r="K359" s="142">
        <f>IF(I359=TRUE,J359,"")</f>
        <v/>
      </c>
      <c r="L359" s="142">
        <f>G359+730</f>
        <v/>
      </c>
      <c r="M359" s="142" t="n">
        <v>45443</v>
      </c>
      <c r="N359" s="143">
        <f>IFERROR(IF(G359&lt;&gt;"",IF(I359=TRUE,0,IF(U359=TRUE,0,L359-M359)),0),0)</f>
        <v/>
      </c>
      <c r="O359" s="143">
        <f>IF(N359&gt;0,IF(N359&lt;=180,N359,0),0)</f>
        <v/>
      </c>
      <c r="P359" s="141">
        <f>IF(AND(N359&lt;90,N359&gt;0),Q359,0)</f>
        <v/>
      </c>
      <c r="Q359" s="141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/>
      </c>
      <c r="R359" s="141">
        <f>IF(AND(H359=TRUE,I359=FALSE),Q359,0)</f>
        <v/>
      </c>
      <c r="S359" s="141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/>
      </c>
      <c r="T359" s="142">
        <f>IF(U359=TRUE,$J359,"")</f>
        <v/>
      </c>
      <c r="U359" s="140" t="b">
        <v>0</v>
      </c>
      <c r="V359" s="141">
        <f>IF(AND(H359=TRUE,OR(K359="",K359&gt;M359)),S359,0)</f>
        <v/>
      </c>
      <c r="W359" s="140" t="n">
        <v>0</v>
      </c>
      <c r="X359" s="140" t="b">
        <v>1</v>
      </c>
      <c r="Y359" s="143">
        <f>IF(H359=FALSE,VLOOKUP($C359,Sales!$C:$F,4,FALSE),1)</f>
        <v/>
      </c>
      <c r="Z359" s="140">
        <f>IF(Y359=0,"Release",IF(AND(L359&lt;J359,Y359=1,H359=FALSE,U359=FALSE,MONTH(L359)&amp;"/"&amp;YEAR(L359)&lt;&gt;MONTH(J359)&amp;"/"&amp;YEAR(J359)),"Release",""))</f>
        <v/>
      </c>
      <c r="AA359" s="144">
        <f>_xlfn.minifs($L:$L,$C:$C,$C359,$F:$F,"&lt;&gt;0")</f>
        <v/>
      </c>
      <c r="AB359" s="144">
        <f>C359&amp;"-"&amp;A359</f>
        <v/>
      </c>
      <c r="AC359" s="144">
        <f>L359</f>
        <v/>
      </c>
    </row>
    <row r="360">
      <c r="A360" s="140" t="inlineStr">
        <is>
          <t>ZZYL03</t>
        </is>
      </c>
      <c r="B360" s="140" t="n">
        <v>0</v>
      </c>
      <c r="C360" s="140" t="inlineStr">
        <is>
          <t>HVJ401</t>
        </is>
      </c>
      <c r="D360" s="140" t="inlineStr">
        <is>
          <t>J</t>
        </is>
      </c>
      <c r="E360" s="140" t="inlineStr">
        <is>
          <t>Zylstra Sandra Robyn</t>
        </is>
      </c>
      <c r="F360" s="141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</f>
        <v/>
      </c>
      <c r="G360" s="142" t="inlineStr"/>
      <c r="H360" s="140">
        <f>VLOOKUP($C360,Sales!$C:$E,2,FALSE)</f>
        <v/>
      </c>
      <c r="I360" s="140">
        <f>VLOOKUP($C360,Sales!$C:$E,3,FALSE)</f>
        <v/>
      </c>
      <c r="J360" s="142">
        <f>SUMIFS(Sales!$H:$H,Sales!$C:$C,'Investor Exit List'!$C360)</f>
        <v/>
      </c>
      <c r="K360" s="142">
        <f>IF(I360=TRUE,J360,"")</f>
        <v/>
      </c>
      <c r="L360" s="142">
        <f>G360+730</f>
        <v/>
      </c>
      <c r="M360" s="142" t="n">
        <v>45443</v>
      </c>
      <c r="N360" s="143">
        <f>IFERROR(IF(G360&lt;&gt;"",IF(I360=TRUE,0,IF(U360=TRUE,0,L360-M360)),0),0)</f>
        <v/>
      </c>
      <c r="O360" s="143">
        <f>IF(N360&gt;0,IF(N360&lt;=180,N360,0),0)</f>
        <v/>
      </c>
      <c r="P360" s="141">
        <f>IF(AND(N360&lt;90,N360&gt;0),Q360,0)</f>
        <v/>
      </c>
      <c r="Q360" s="141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/>
      </c>
      <c r="R360" s="141">
        <f>IF(AND(H360=TRUE,I360=FALSE),Q360,0)</f>
        <v/>
      </c>
      <c r="S360" s="141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/>
      </c>
      <c r="T360" s="142">
        <f>IF(U360=TRUE,$J360,"")</f>
        <v/>
      </c>
      <c r="U360" s="140" t="b">
        <v>0</v>
      </c>
      <c r="V360" s="141">
        <f>IF(AND(H360=TRUE,OR(K360="",K360&gt;M360)),S360,0)</f>
        <v/>
      </c>
      <c r="W360" s="140" t="n">
        <v>0</v>
      </c>
      <c r="X360" s="140" t="b">
        <v>1</v>
      </c>
      <c r="Y360" s="143">
        <f>IF(H360=FALSE,VLOOKUP($C360,Sales!$C:$F,4,FALSE),1)</f>
        <v/>
      </c>
      <c r="Z360" s="140">
        <f>IF(Y360=0,"Release",IF(AND(L360&lt;J360,Y360=1,H360=FALSE,U360=FALSE,MONTH(L360)&amp;"/"&amp;YEAR(L360)&lt;&gt;MONTH(J360)&amp;"/"&amp;YEAR(J360)),"Release",""))</f>
        <v/>
      </c>
      <c r="AA360" s="144">
        <f>_xlfn.minifs($L:$L,$C:$C,$C360,$F:$F,"&lt;&gt;0")</f>
        <v/>
      </c>
      <c r="AB360" s="144">
        <f>C360&amp;"-"&amp;A360</f>
        <v/>
      </c>
      <c r="AC360" s="144">
        <f>L360</f>
        <v/>
      </c>
    </row>
    <row r="361">
      <c r="A361" s="140" t="inlineStr">
        <is>
          <t>ZHAY01</t>
        </is>
      </c>
      <c r="B361" s="140" t="n">
        <v>4</v>
      </c>
      <c r="C361" s="140" t="inlineStr">
        <is>
          <t>HVJ402</t>
        </is>
      </c>
      <c r="D361" s="140" t="inlineStr">
        <is>
          <t>J</t>
        </is>
      </c>
      <c r="E361" s="140" t="inlineStr">
        <is>
          <t>Haywood Johannes Wynand</t>
        </is>
      </c>
      <c r="F361" s="141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</f>
        <v/>
      </c>
      <c r="G361" s="142" t="n">
        <v>45450</v>
      </c>
      <c r="H361" s="140">
        <f>VLOOKUP($C361,Sales!$C:$E,2,FALSE)</f>
        <v/>
      </c>
      <c r="I361" s="140">
        <f>VLOOKUP($C361,Sales!$C:$E,3,FALSE)</f>
        <v/>
      </c>
      <c r="J361" s="142">
        <f>SUMIFS(Sales!$H:$H,Sales!$C:$C,'Investor Exit List'!$C361)</f>
        <v/>
      </c>
      <c r="K361" s="142">
        <f>IF(I361=TRUE,J361,"")</f>
        <v/>
      </c>
      <c r="L361" s="142">
        <f>G361+730</f>
        <v/>
      </c>
      <c r="M361" s="142" t="n">
        <v>45443</v>
      </c>
      <c r="N361" s="143">
        <f>IFERROR(IF(G361&lt;&gt;"",IF(I361=TRUE,0,IF(U361=TRUE,0,L361-M361)),0),0)</f>
        <v/>
      </c>
      <c r="O361" s="143">
        <f>IF(N361&gt;0,IF(N361&lt;=180,N361,0),0)</f>
        <v/>
      </c>
      <c r="P361" s="141">
        <f>IF(AND(N361&lt;90,N361&gt;0),Q361,0)</f>
        <v/>
      </c>
      <c r="Q361" s="141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/>
      </c>
      <c r="R361" s="141">
        <f>IF(AND(H361=TRUE,I361=FALSE),Q361,0)</f>
        <v/>
      </c>
      <c r="S361" s="141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/>
      </c>
      <c r="T361" s="142">
        <f>IF(U361=TRUE,$J361,"")</f>
        <v/>
      </c>
      <c r="U361" s="140" t="b">
        <v>0</v>
      </c>
      <c r="V361" s="141">
        <f>IF(AND(H361=TRUE,OR(K361="",K361&gt;M361)),S361,0)</f>
        <v/>
      </c>
      <c r="W361" s="140" t="n">
        <v>0</v>
      </c>
      <c r="X361" s="140" t="b">
        <v>0</v>
      </c>
      <c r="Y361" s="143">
        <f>IF(H361=FALSE,VLOOKUP($C361,Sales!$C:$F,4,FALSE),1)</f>
        <v/>
      </c>
      <c r="Z361" s="140">
        <f>IF(Y361=0,"Release",IF(AND(L361&lt;J361,Y361=1,H361=FALSE,U361=FALSE,MONTH(L361)&amp;"/"&amp;YEAR(L361)&lt;&gt;MONTH(J361)&amp;"/"&amp;YEAR(J361)),"Release",""))</f>
        <v/>
      </c>
      <c r="AA361" s="144">
        <f>_xlfn.minifs($L:$L,$C:$C,$C361,$F:$F,"&lt;&gt;0")</f>
        <v/>
      </c>
      <c r="AB361" s="144">
        <f>C361&amp;"-"&amp;A361</f>
        <v/>
      </c>
      <c r="AC361" s="144">
        <f>L361</f>
        <v/>
      </c>
    </row>
    <row r="362">
      <c r="A362" s="140" t="inlineStr">
        <is>
          <t>ZPLA01</t>
        </is>
      </c>
      <c r="B362" s="140" t="n">
        <v>5</v>
      </c>
      <c r="C362" s="140" t="inlineStr">
        <is>
          <t>HVJ402</t>
        </is>
      </c>
      <c r="D362" s="140" t="inlineStr">
        <is>
          <t>J</t>
        </is>
      </c>
      <c r="E362" s="140" t="inlineStr">
        <is>
          <t>Placzkowska Aneta</t>
        </is>
      </c>
      <c r="F362" s="141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</f>
        <v/>
      </c>
      <c r="G362" s="142" t="n">
        <v>45450</v>
      </c>
      <c r="H362" s="140">
        <f>VLOOKUP($C362,Sales!$C:$E,2,FALSE)</f>
        <v/>
      </c>
      <c r="I362" s="140">
        <f>VLOOKUP($C362,Sales!$C:$E,3,FALSE)</f>
        <v/>
      </c>
      <c r="J362" s="142">
        <f>SUMIFS(Sales!$H:$H,Sales!$C:$C,'Investor Exit List'!$C362)</f>
        <v/>
      </c>
      <c r="K362" s="142">
        <f>IF(I362=TRUE,J362,"")</f>
        <v/>
      </c>
      <c r="L362" s="142">
        <f>G362+730</f>
        <v/>
      </c>
      <c r="M362" s="142" t="n">
        <v>45443</v>
      </c>
      <c r="N362" s="143">
        <f>IFERROR(IF(G362&lt;&gt;"",IF(I362=TRUE,0,IF(U362=TRUE,0,L362-M362)),0),0)</f>
        <v/>
      </c>
      <c r="O362" s="143">
        <f>IF(N362&gt;0,IF(N362&lt;=180,N362,0),0)</f>
        <v/>
      </c>
      <c r="P362" s="141">
        <f>IF(AND(N362&lt;90,N362&gt;0),Q362,0)</f>
        <v/>
      </c>
      <c r="Q362" s="141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/>
      </c>
      <c r="R362" s="141">
        <f>IF(AND(H362=TRUE,I362=FALSE),Q362,0)</f>
        <v/>
      </c>
      <c r="S362" s="141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/>
      </c>
      <c r="T362" s="142">
        <f>IF(U362=TRUE,$J362,"")</f>
        <v/>
      </c>
      <c r="U362" s="140" t="b">
        <v>0</v>
      </c>
      <c r="V362" s="141">
        <f>IF(AND(H362=TRUE,OR(K362="",K362&gt;M362)),S362,0)</f>
        <v/>
      </c>
      <c r="W362" s="140" t="n">
        <v>0</v>
      </c>
      <c r="X362" s="140" t="b">
        <v>0</v>
      </c>
      <c r="Y362" s="143">
        <f>IF(H362=FALSE,VLOOKUP($C362,Sales!$C:$F,4,FALSE),1)</f>
        <v/>
      </c>
      <c r="Z362" s="140">
        <f>IF(Y362=0,"Release",IF(AND(L362&lt;J362,Y362=1,H362=FALSE,U362=FALSE,MONTH(L362)&amp;"/"&amp;YEAR(L362)&lt;&gt;MONTH(J362)&amp;"/"&amp;YEAR(J362)),"Release",""))</f>
        <v/>
      </c>
      <c r="AA362" s="144">
        <f>_xlfn.minifs($L:$L,$C:$C,$C362,$F:$F,"&lt;&gt;0")</f>
        <v/>
      </c>
      <c r="AB362" s="144">
        <f>C362&amp;"-"&amp;A362</f>
        <v/>
      </c>
      <c r="AC362" s="144">
        <f>L362</f>
        <v/>
      </c>
    </row>
    <row r="363">
      <c r="A363" s="140" t="inlineStr">
        <is>
          <t>ZVIS02</t>
        </is>
      </c>
      <c r="B363" s="140" t="n">
        <v>2</v>
      </c>
      <c r="C363" s="140" t="inlineStr">
        <is>
          <t>HVJ402</t>
        </is>
      </c>
      <c r="D363" s="140" t="inlineStr">
        <is>
          <t>J</t>
        </is>
      </c>
      <c r="E363" s="140" t="inlineStr">
        <is>
          <t>Visser Jimke</t>
        </is>
      </c>
      <c r="F363" s="141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</f>
        <v/>
      </c>
      <c r="G363" s="142" t="n">
        <v>44811</v>
      </c>
      <c r="H363" s="140">
        <f>VLOOKUP($C363,Sales!$C:$E,2,FALSE)</f>
        <v/>
      </c>
      <c r="I363" s="140">
        <f>VLOOKUP($C363,Sales!$C:$E,3,FALSE)</f>
        <v/>
      </c>
      <c r="J363" s="142">
        <f>SUMIFS(Sales!$H:$H,Sales!$C:$C,'Investor Exit List'!$C363)</f>
        <v/>
      </c>
      <c r="K363" s="142">
        <f>IF(I363=TRUE,J363,"")</f>
        <v/>
      </c>
      <c r="L363" s="142">
        <f>G363+730</f>
        <v/>
      </c>
      <c r="M363" s="142" t="n">
        <v>45443</v>
      </c>
      <c r="N363" s="143">
        <f>IFERROR(IF(G363&lt;&gt;"",IF(I363=TRUE,0,IF(U363=TRUE,0,L363-M363)),0),0)</f>
        <v/>
      </c>
      <c r="O363" s="143">
        <f>IF(N363&gt;0,IF(N363&lt;=180,N363,0),0)</f>
        <v/>
      </c>
      <c r="P363" s="141">
        <f>IF(AND(N363&lt;90,N363&gt;0),Q363,0)</f>
        <v/>
      </c>
      <c r="Q363" s="141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/>
      </c>
      <c r="R363" s="141">
        <f>IF(AND(H363=TRUE,I363=FALSE),Q363,0)</f>
        <v/>
      </c>
      <c r="S363" s="141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/>
      </c>
      <c r="T363" s="142">
        <f>IF(U363=TRUE,$J363,"")</f>
        <v/>
      </c>
      <c r="U363" s="140" t="b">
        <v>1</v>
      </c>
      <c r="V363" s="141">
        <f>IF(AND(H363=TRUE,OR(K363="",K363&gt;M363)),S363,0)</f>
        <v/>
      </c>
      <c r="W363" s="140" t="n">
        <v>0</v>
      </c>
      <c r="X363" s="140" t="b">
        <v>0</v>
      </c>
      <c r="Y363" s="143">
        <f>IF(H363=FALSE,VLOOKUP($C363,Sales!$C:$F,4,FALSE),1)</f>
        <v/>
      </c>
      <c r="Z363" s="140">
        <f>IF(Y363=0,"Release",IF(AND(L363&lt;J363,Y363=1,H363=FALSE,U363=FALSE,MONTH(L363)&amp;"/"&amp;YEAR(L363)&lt;&gt;MONTH(J363)&amp;"/"&amp;YEAR(J363)),"Release",""))</f>
        <v/>
      </c>
      <c r="AA363" s="144">
        <f>_xlfn.minifs($L:$L,$C:$C,$C363,$F:$F,"&lt;&gt;0")</f>
        <v/>
      </c>
      <c r="AB363" s="144">
        <f>C363&amp;"-"&amp;A363</f>
        <v/>
      </c>
      <c r="AC363" s="144">
        <f>L363</f>
        <v/>
      </c>
    </row>
    <row r="364">
      <c r="A364" s="140" t="inlineStr">
        <is>
          <t>ZWEL01</t>
        </is>
      </c>
      <c r="B364" s="140" t="n">
        <v>5</v>
      </c>
      <c r="C364" s="140" t="inlineStr">
        <is>
          <t>HVJ402</t>
        </is>
      </c>
      <c r="D364" s="140" t="inlineStr">
        <is>
          <t>J</t>
        </is>
      </c>
      <c r="E364" s="140" t="inlineStr">
        <is>
          <t>Welham Christopher John</t>
        </is>
      </c>
      <c r="F364" s="141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</f>
        <v/>
      </c>
      <c r="G364" s="142" t="n">
        <v>45450</v>
      </c>
      <c r="H364" s="140">
        <f>VLOOKUP($C364,Sales!$C:$E,2,FALSE)</f>
        <v/>
      </c>
      <c r="I364" s="140">
        <f>VLOOKUP($C364,Sales!$C:$E,3,FALSE)</f>
        <v/>
      </c>
      <c r="J364" s="142">
        <f>SUMIFS(Sales!$H:$H,Sales!$C:$C,'Investor Exit List'!$C364)</f>
        <v/>
      </c>
      <c r="K364" s="142">
        <f>IF(I364=TRUE,J364,"")</f>
        <v/>
      </c>
      <c r="L364" s="142">
        <f>G364+730</f>
        <v/>
      </c>
      <c r="M364" s="142" t="n">
        <v>45443</v>
      </c>
      <c r="N364" s="143">
        <f>IFERROR(IF(G364&lt;&gt;"",IF(I364=TRUE,0,IF(U364=TRUE,0,L364-M364)),0),0)</f>
        <v/>
      </c>
      <c r="O364" s="143">
        <f>IF(N364&gt;0,IF(N364&lt;=180,N364,0),0)</f>
        <v/>
      </c>
      <c r="P364" s="141">
        <f>IF(AND(N364&lt;90,N364&gt;0),Q364,0)</f>
        <v/>
      </c>
      <c r="Q364" s="141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/>
      </c>
      <c r="R364" s="141">
        <f>IF(AND(H364=TRUE,I364=FALSE),Q364,0)</f>
        <v/>
      </c>
      <c r="S364" s="141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/>
      </c>
      <c r="T364" s="142">
        <f>IF(U364=TRUE,$J364,"")</f>
        <v/>
      </c>
      <c r="U364" s="140" t="b">
        <v>0</v>
      </c>
      <c r="V364" s="141">
        <f>IF(AND(H364=TRUE,OR(K364="",K364&gt;M364)),S364,0)</f>
        <v/>
      </c>
      <c r="W364" s="140" t="n">
        <v>0</v>
      </c>
      <c r="X364" s="140" t="b">
        <v>0</v>
      </c>
      <c r="Y364" s="143">
        <f>IF(H364=FALSE,VLOOKUP($C364,Sales!$C:$F,4,FALSE),1)</f>
        <v/>
      </c>
      <c r="Z364" s="140">
        <f>IF(Y364=0,"Release",IF(AND(L364&lt;J364,Y364=1,H364=FALSE,U364=FALSE,MONTH(L364)&amp;"/"&amp;YEAR(L364)&lt;&gt;MONTH(J364)&amp;"/"&amp;YEAR(J364)),"Release",""))</f>
        <v/>
      </c>
      <c r="AA364" s="144">
        <f>_xlfn.minifs($L:$L,$C:$C,$C364,$F:$F,"&lt;&gt;0")</f>
        <v/>
      </c>
      <c r="AB364" s="144">
        <f>C364&amp;"-"&amp;A364</f>
        <v/>
      </c>
      <c r="AC364" s="144">
        <f>L364</f>
        <v/>
      </c>
    </row>
    <row r="365">
      <c r="A365" s="140" t="inlineStr">
        <is>
          <t>ZFOU02</t>
        </is>
      </c>
      <c r="B365" s="140" t="n">
        <v>2</v>
      </c>
      <c r="C365" s="140" t="inlineStr">
        <is>
          <t>HVJ403</t>
        </is>
      </c>
      <c r="D365" s="140" t="inlineStr">
        <is>
          <t>J</t>
        </is>
      </c>
      <c r="E365" s="140" t="inlineStr">
        <is>
          <t>Fountain Clyde Michael</t>
        </is>
      </c>
      <c r="F365" s="141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</f>
        <v/>
      </c>
      <c r="G365" s="142" t="n">
        <v>44811</v>
      </c>
      <c r="H365" s="140">
        <f>VLOOKUP($C365,Sales!$C:$E,2,FALSE)</f>
        <v/>
      </c>
      <c r="I365" s="140">
        <f>VLOOKUP($C365,Sales!$C:$E,3,FALSE)</f>
        <v/>
      </c>
      <c r="J365" s="142">
        <f>SUMIFS(Sales!$H:$H,Sales!$C:$C,'Investor Exit List'!$C365)</f>
        <v/>
      </c>
      <c r="K365" s="142">
        <f>IF(I365=TRUE,J365,"")</f>
        <v/>
      </c>
      <c r="L365" s="142">
        <f>G365+730</f>
        <v/>
      </c>
      <c r="M365" s="142" t="n">
        <v>45443</v>
      </c>
      <c r="N365" s="143">
        <f>IFERROR(IF(G365&lt;&gt;"",IF(I365=TRUE,0,IF(U365=TRUE,0,L365-M365)),0),0)</f>
        <v/>
      </c>
      <c r="O365" s="143">
        <f>IF(N365&gt;0,IF(N365&lt;=180,N365,0),0)</f>
        <v/>
      </c>
      <c r="P365" s="141">
        <f>IF(AND(N365&lt;90,N365&gt;0),Q365,0)</f>
        <v/>
      </c>
      <c r="Q365" s="141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/>
      </c>
      <c r="R365" s="141">
        <f>IF(AND(H365=TRUE,I365=FALSE),Q365,0)</f>
        <v/>
      </c>
      <c r="S365" s="141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/>
      </c>
      <c r="T365" s="142">
        <f>IF(U365=TRUE,$J365,"")</f>
        <v/>
      </c>
      <c r="U365" s="140" t="b">
        <v>0</v>
      </c>
      <c r="V365" s="141">
        <f>IF(AND(H365=TRUE,OR(K365="",K365&gt;M365)),S365,0)</f>
        <v/>
      </c>
      <c r="W365" s="140" t="n">
        <v>0</v>
      </c>
      <c r="X365" s="140" t="b">
        <v>0</v>
      </c>
      <c r="Y365" s="143">
        <f>IF(H365=FALSE,VLOOKUP($C365,Sales!$C:$F,4,FALSE),1)</f>
        <v/>
      </c>
      <c r="Z365" s="140">
        <f>IF(Y365=0,"Release",IF(AND(L365&lt;J365,Y365=1,H365=FALSE,U365=FALSE,MONTH(L365)&amp;"/"&amp;YEAR(L365)&lt;&gt;MONTH(J365)&amp;"/"&amp;YEAR(J365)),"Release",""))</f>
        <v/>
      </c>
      <c r="AA365" s="144">
        <f>_xlfn.minifs($L:$L,$C:$C,$C365,$F:$F,"&lt;&gt;0")</f>
        <v/>
      </c>
      <c r="AB365" s="144">
        <f>C365&amp;"-"&amp;A365</f>
        <v/>
      </c>
      <c r="AC365" s="144">
        <f>L365</f>
        <v/>
      </c>
    </row>
    <row r="366">
      <c r="A366" s="140" t="inlineStr">
        <is>
          <t>ZVER04</t>
        </is>
      </c>
      <c r="B366" s="140" t="n">
        <v>3</v>
      </c>
      <c r="C366" s="140" t="inlineStr">
        <is>
          <t>HVJ403</t>
        </is>
      </c>
      <c r="D366" s="140" t="inlineStr">
        <is>
          <t>J</t>
        </is>
      </c>
      <c r="E366" s="140" t="inlineStr">
        <is>
          <t>Vermeulen Floris Nicolaas</t>
        </is>
      </c>
      <c r="F366" s="141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</f>
        <v/>
      </c>
      <c r="G366" s="142" t="n">
        <v>44798</v>
      </c>
      <c r="H366" s="140">
        <f>VLOOKUP($C366,Sales!$C:$E,2,FALSE)</f>
        <v/>
      </c>
      <c r="I366" s="140">
        <f>VLOOKUP($C366,Sales!$C:$E,3,FALSE)</f>
        <v/>
      </c>
      <c r="J366" s="142">
        <f>SUMIFS(Sales!$H:$H,Sales!$C:$C,'Investor Exit List'!$C366)</f>
        <v/>
      </c>
      <c r="K366" s="142">
        <f>IF(I366=TRUE,J366,"")</f>
        <v/>
      </c>
      <c r="L366" s="142">
        <f>G366+730</f>
        <v/>
      </c>
      <c r="M366" s="142" t="n">
        <v>45443</v>
      </c>
      <c r="N366" s="143">
        <f>IFERROR(IF(G366&lt;&gt;"",IF(I366=TRUE,0,IF(U366=TRUE,0,L366-M366)),0),0)</f>
        <v/>
      </c>
      <c r="O366" s="143">
        <f>IF(N366&gt;0,IF(N366&lt;=180,N366,0),0)</f>
        <v/>
      </c>
      <c r="P366" s="141">
        <f>IF(AND(N366&lt;90,N366&gt;0),Q366,0)</f>
        <v/>
      </c>
      <c r="Q366" s="141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/>
      </c>
      <c r="R366" s="141">
        <f>IF(AND(H366=TRUE,I366=FALSE),Q366,0)</f>
        <v/>
      </c>
      <c r="S366" s="141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/>
      </c>
      <c r="T366" s="142">
        <f>IF(U366=TRUE,$J366,"")</f>
        <v/>
      </c>
      <c r="U366" s="140" t="b">
        <v>0</v>
      </c>
      <c r="V366" s="141">
        <f>IF(AND(H366=TRUE,OR(K366="",K366&gt;M366)),S366,0)</f>
        <v/>
      </c>
      <c r="W366" s="140" t="n">
        <v>0</v>
      </c>
      <c r="X366" s="140" t="b">
        <v>0</v>
      </c>
      <c r="Y366" s="143">
        <f>IF(H366=FALSE,VLOOKUP($C366,Sales!$C:$F,4,FALSE),1)</f>
        <v/>
      </c>
      <c r="Z366" s="140">
        <f>IF(Y366=0,"Release",IF(AND(L366&lt;J366,Y366=1,H366=FALSE,U366=FALSE,MONTH(L366)&amp;"/"&amp;YEAR(L366)&lt;&gt;MONTH(J366)&amp;"/"&amp;YEAR(J366)),"Release",""))</f>
        <v/>
      </c>
      <c r="AA366" s="144">
        <f>_xlfn.minifs($L:$L,$C:$C,$C366,$F:$F,"&lt;&gt;0")</f>
        <v/>
      </c>
      <c r="AB366" s="144">
        <f>C366&amp;"-"&amp;A366</f>
        <v/>
      </c>
      <c r="AC366" s="144">
        <f>L366</f>
        <v/>
      </c>
    </row>
    <row r="367">
      <c r="A367" s="140" t="inlineStr">
        <is>
          <t>ZCRO01</t>
        </is>
      </c>
      <c r="B367" s="140" t="n">
        <v>14</v>
      </c>
      <c r="C367" s="140" t="inlineStr">
        <is>
          <t>HVK101</t>
        </is>
      </c>
      <c r="D367" s="140" t="inlineStr">
        <is>
          <t>K</t>
        </is>
      </c>
      <c r="E367" s="140" t="inlineStr">
        <is>
          <t>Lunau Marc</t>
        </is>
      </c>
      <c r="F367" s="141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</f>
        <v/>
      </c>
      <c r="G367" s="142" t="n">
        <v>45107</v>
      </c>
      <c r="H367" s="140">
        <f>VLOOKUP($C367,Sales!$C:$E,2,FALSE)</f>
        <v/>
      </c>
      <c r="I367" s="140">
        <f>VLOOKUP($C367,Sales!$C:$E,3,FALSE)</f>
        <v/>
      </c>
      <c r="J367" s="142">
        <f>SUMIFS(Sales!$H:$H,Sales!$C:$C,'Investor Exit List'!$C367)</f>
        <v/>
      </c>
      <c r="K367" s="142">
        <f>IF(I367=TRUE,J367,"")</f>
        <v/>
      </c>
      <c r="L367" s="142">
        <f>G367+730</f>
        <v/>
      </c>
      <c r="M367" s="142" t="n">
        <v>45443</v>
      </c>
      <c r="N367" s="143">
        <f>IFERROR(IF(G367&lt;&gt;"",IF(I367=TRUE,0,IF(U367=TRUE,0,L367-M367)),0),0)</f>
        <v/>
      </c>
      <c r="O367" s="143">
        <f>IF(N367&gt;0,IF(N367&lt;=180,N367,0),0)</f>
        <v/>
      </c>
      <c r="P367" s="141">
        <f>IF(AND(N367&lt;90,N367&gt;0),Q367,0)</f>
        <v/>
      </c>
      <c r="Q367" s="141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/>
      </c>
      <c r="R367" s="141">
        <f>IF(AND(H367=TRUE,I367=FALSE),Q367,0)</f>
        <v/>
      </c>
      <c r="S367" s="141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/>
      </c>
      <c r="T367" s="142">
        <f>IF(U367=TRUE,$J367,"")</f>
        <v/>
      </c>
      <c r="U367" s="140" t="b">
        <v>0</v>
      </c>
      <c r="V367" s="141">
        <f>IF(AND(H367=TRUE,OR(K367="",K367&gt;M367)),S367,0)</f>
        <v/>
      </c>
      <c r="W367" s="140" t="n">
        <v>0</v>
      </c>
      <c r="X367" s="140" t="b">
        <v>0</v>
      </c>
      <c r="Y367" s="143">
        <f>IF(H367=FALSE,VLOOKUP($C367,Sales!$C:$F,4,FALSE),1)</f>
        <v/>
      </c>
      <c r="Z367" s="140">
        <f>IF(Y367=0,"Release",IF(AND(L367&lt;J367,Y367=1,H367=FALSE,U367=FALSE,MONTH(L367)&amp;"/"&amp;YEAR(L367)&lt;&gt;MONTH(J367)&amp;"/"&amp;YEAR(J367)),"Release",""))</f>
        <v/>
      </c>
      <c r="AA367" s="144">
        <f>_xlfn.minifs($L:$L,$C:$C,$C367,$F:$F,"&lt;&gt;0")</f>
        <v/>
      </c>
      <c r="AB367" s="144">
        <f>C367&amp;"-"&amp;A367</f>
        <v/>
      </c>
      <c r="AC367" s="144">
        <f>L367</f>
        <v/>
      </c>
    </row>
    <row r="368">
      <c r="A368" s="140" t="inlineStr">
        <is>
          <t>ZINT01</t>
        </is>
      </c>
      <c r="B368" s="140" t="n">
        <v>16</v>
      </c>
      <c r="C368" s="140" t="inlineStr">
        <is>
          <t>HVK101</t>
        </is>
      </c>
      <c r="D368" s="140" t="inlineStr">
        <is>
          <t>K</t>
        </is>
      </c>
      <c r="E368" s="140" t="inlineStr">
        <is>
          <t>Lunau Marc</t>
        </is>
      </c>
      <c r="F368" s="141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</f>
        <v/>
      </c>
      <c r="G368" s="142" t="n">
        <v>45107</v>
      </c>
      <c r="H368" s="140">
        <f>VLOOKUP($C368,Sales!$C:$E,2,FALSE)</f>
        <v/>
      </c>
      <c r="I368" s="140">
        <f>VLOOKUP($C368,Sales!$C:$E,3,FALSE)</f>
        <v/>
      </c>
      <c r="J368" s="142">
        <f>SUMIFS(Sales!$H:$H,Sales!$C:$C,'Investor Exit List'!$C368)</f>
        <v/>
      </c>
      <c r="K368" s="142">
        <f>IF(I368=TRUE,J368,"")</f>
        <v/>
      </c>
      <c r="L368" s="142">
        <f>G368+730</f>
        <v/>
      </c>
      <c r="M368" s="142" t="n">
        <v>45443</v>
      </c>
      <c r="N368" s="143">
        <f>IFERROR(IF(G368&lt;&gt;"",IF(I368=TRUE,0,IF(U368=TRUE,0,L368-M368)),0),0)</f>
        <v/>
      </c>
      <c r="O368" s="143">
        <f>IF(N368&gt;0,IF(N368&lt;=180,N368,0),0)</f>
        <v/>
      </c>
      <c r="P368" s="141">
        <f>IF(AND(N368&lt;90,N368&gt;0),Q368,0)</f>
        <v/>
      </c>
      <c r="Q368" s="141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/>
      </c>
      <c r="R368" s="141">
        <f>IF(AND(H368=TRUE,I368=FALSE),Q368,0)</f>
        <v/>
      </c>
      <c r="S368" s="141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/>
      </c>
      <c r="T368" s="142">
        <f>IF(U368=TRUE,$J368,"")</f>
        <v/>
      </c>
      <c r="U368" s="140" t="b">
        <v>0</v>
      </c>
      <c r="V368" s="141">
        <f>IF(AND(H368=TRUE,OR(K368="",K368&gt;M368)),S368,0)</f>
        <v/>
      </c>
      <c r="W368" s="140" t="n">
        <v>0</v>
      </c>
      <c r="X368" s="140" t="b">
        <v>0</v>
      </c>
      <c r="Y368" s="143">
        <f>IF(H368=FALSE,VLOOKUP($C368,Sales!$C:$F,4,FALSE),1)</f>
        <v/>
      </c>
      <c r="Z368" s="140">
        <f>IF(Y368=0,"Release",IF(AND(L368&lt;J368,Y368=1,H368=FALSE,U368=FALSE,MONTH(L368)&amp;"/"&amp;YEAR(L368)&lt;&gt;MONTH(J368)&amp;"/"&amp;YEAR(J368)),"Release",""))</f>
        <v/>
      </c>
      <c r="AA368" s="144">
        <f>_xlfn.minifs($L:$L,$C:$C,$C368,$F:$F,"&lt;&gt;0")</f>
        <v/>
      </c>
      <c r="AB368" s="144">
        <f>C368&amp;"-"&amp;A368</f>
        <v/>
      </c>
      <c r="AC368" s="144">
        <f>L368</f>
        <v/>
      </c>
    </row>
    <row r="369">
      <c r="A369" s="140" t="inlineStr">
        <is>
          <t>ZMIN01</t>
        </is>
      </c>
      <c r="B369" s="140" t="n">
        <v>2</v>
      </c>
      <c r="C369" s="140" t="inlineStr">
        <is>
          <t>HVK101</t>
        </is>
      </c>
      <c r="D369" s="140" t="inlineStr">
        <is>
          <t>K</t>
        </is>
      </c>
      <c r="E369" s="140" t="inlineStr">
        <is>
          <t>Minnaar Irene Petronella</t>
        </is>
      </c>
      <c r="F369" s="141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</f>
        <v/>
      </c>
      <c r="G369" s="142" t="n">
        <v>45016</v>
      </c>
      <c r="H369" s="140">
        <f>VLOOKUP($C369,Sales!$C:$E,2,FALSE)</f>
        <v/>
      </c>
      <c r="I369" s="140">
        <f>VLOOKUP($C369,Sales!$C:$E,3,FALSE)</f>
        <v/>
      </c>
      <c r="J369" s="142">
        <f>SUMIFS(Sales!$H:$H,Sales!$C:$C,'Investor Exit List'!$C369)</f>
        <v/>
      </c>
      <c r="K369" s="142">
        <f>IF(I369=TRUE,J369,"")</f>
        <v/>
      </c>
      <c r="L369" s="142">
        <f>G369+730</f>
        <v/>
      </c>
      <c r="M369" s="142" t="n">
        <v>45443</v>
      </c>
      <c r="N369" s="143">
        <f>IFERROR(IF(G369&lt;&gt;"",IF(I369=TRUE,0,IF(U369=TRUE,0,L369-M369)),0),0)</f>
        <v/>
      </c>
      <c r="O369" s="143">
        <f>IF(N369&gt;0,IF(N369&lt;=180,N369,0),0)</f>
        <v/>
      </c>
      <c r="P369" s="141">
        <f>IF(AND(N369&lt;90,N369&gt;0),Q369,0)</f>
        <v/>
      </c>
      <c r="Q369" s="141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/>
      </c>
      <c r="R369" s="141">
        <f>IF(AND(H369=TRUE,I369=FALSE),Q369,0)</f>
        <v/>
      </c>
      <c r="S369" s="141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/>
      </c>
      <c r="T369" s="142">
        <f>IF(U369=TRUE,$J369,"")</f>
        <v/>
      </c>
      <c r="U369" s="140" t="b">
        <v>0</v>
      </c>
      <c r="V369" s="141">
        <f>IF(AND(H369=TRUE,OR(K369="",K369&gt;M369)),S369,0)</f>
        <v/>
      </c>
      <c r="W369" s="140" t="n">
        <v>0</v>
      </c>
      <c r="X369" s="140" t="b">
        <v>0</v>
      </c>
      <c r="Y369" s="143">
        <f>IF(H369=FALSE,VLOOKUP($C369,Sales!$C:$F,4,FALSE),1)</f>
        <v/>
      </c>
      <c r="Z369" s="140">
        <f>IF(Y369=0,"Release",IF(AND(L369&lt;J369,Y369=1,H369=FALSE,U369=FALSE,MONTH(L369)&amp;"/"&amp;YEAR(L369)&lt;&gt;MONTH(J369)&amp;"/"&amp;YEAR(J369)),"Release",""))</f>
        <v/>
      </c>
      <c r="AA369" s="144">
        <f>_xlfn.minifs($L:$L,$C:$C,$C369,$F:$F,"&lt;&gt;0")</f>
        <v/>
      </c>
      <c r="AB369" s="144">
        <f>C369&amp;"-"&amp;A369</f>
        <v/>
      </c>
      <c r="AC369" s="144">
        <f>L369</f>
        <v/>
      </c>
    </row>
    <row r="370">
      <c r="A370" s="140" t="inlineStr">
        <is>
          <t>ZRIT01</t>
        </is>
      </c>
      <c r="B370" s="140" t="n">
        <v>8</v>
      </c>
      <c r="C370" s="140" t="inlineStr">
        <is>
          <t>HVK101</t>
        </is>
      </c>
      <c r="D370" s="140" t="inlineStr">
        <is>
          <t>K</t>
        </is>
      </c>
      <c r="E370" s="140" t="inlineStr">
        <is>
          <t>Ritter Dennis</t>
        </is>
      </c>
      <c r="F370" s="141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</f>
        <v/>
      </c>
      <c r="G370" s="142" t="n">
        <v>44909</v>
      </c>
      <c r="H370" s="140">
        <f>VLOOKUP($C370,Sales!$C:$E,2,FALSE)</f>
        <v/>
      </c>
      <c r="I370" s="140">
        <f>VLOOKUP($C370,Sales!$C:$E,3,FALSE)</f>
        <v/>
      </c>
      <c r="J370" s="142">
        <f>SUMIFS(Sales!$H:$H,Sales!$C:$C,'Investor Exit List'!$C370)</f>
        <v/>
      </c>
      <c r="K370" s="142">
        <f>IF(I370=TRUE,J370,"")</f>
        <v/>
      </c>
      <c r="L370" s="142">
        <f>G370+730</f>
        <v/>
      </c>
      <c r="M370" s="142" t="n">
        <v>45443</v>
      </c>
      <c r="N370" s="143">
        <f>IFERROR(IF(G370&lt;&gt;"",IF(I370=TRUE,0,IF(U370=TRUE,0,L370-M370)),0),0)</f>
        <v/>
      </c>
      <c r="O370" s="143">
        <f>IF(N370&gt;0,IF(N370&lt;=180,N370,0),0)</f>
        <v/>
      </c>
      <c r="P370" s="141">
        <f>IF(AND(N370&lt;90,N370&gt;0),Q370,0)</f>
        <v/>
      </c>
      <c r="Q370" s="141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/>
      </c>
      <c r="R370" s="141">
        <f>IF(AND(H370=TRUE,I370=FALSE),Q370,0)</f>
        <v/>
      </c>
      <c r="S370" s="141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/>
      </c>
      <c r="T370" s="142">
        <f>IF(U370=TRUE,$J370,"")</f>
        <v/>
      </c>
      <c r="U370" s="140" t="b">
        <v>0</v>
      </c>
      <c r="V370" s="141">
        <f>IF(AND(H370=TRUE,OR(K370="",K370&gt;M370)),S370,0)</f>
        <v/>
      </c>
      <c r="W370" s="140" t="n">
        <v>0</v>
      </c>
      <c r="X370" s="140" t="b">
        <v>0</v>
      </c>
      <c r="Y370" s="143">
        <f>IF(H370=FALSE,VLOOKUP($C370,Sales!$C:$F,4,FALSE),1)</f>
        <v/>
      </c>
      <c r="Z370" s="140">
        <f>IF(Y370=0,"Release",IF(AND(L370&lt;J370,Y370=1,H370=FALSE,U370=FALSE,MONTH(L370)&amp;"/"&amp;YEAR(L370)&lt;&gt;MONTH(J370)&amp;"/"&amp;YEAR(J370)),"Release",""))</f>
        <v/>
      </c>
      <c r="AA370" s="144">
        <f>_xlfn.minifs($L:$L,$C:$C,$C370,$F:$F,"&lt;&gt;0")</f>
        <v/>
      </c>
      <c r="AB370" s="144">
        <f>C370&amp;"-"&amp;A370</f>
        <v/>
      </c>
      <c r="AC370" s="144">
        <f>L370</f>
        <v/>
      </c>
    </row>
    <row r="371">
      <c r="A371" s="140" t="inlineStr">
        <is>
          <t>ZVAN05</t>
        </is>
      </c>
      <c r="B371" s="140" t="n">
        <v>5</v>
      </c>
      <c r="C371" s="140" t="inlineStr">
        <is>
          <t>HVK102</t>
        </is>
      </c>
      <c r="D371" s="140" t="inlineStr">
        <is>
          <t>K</t>
        </is>
      </c>
      <c r="E371" s="140" t="inlineStr">
        <is>
          <t>van der Sandt Hermanus</t>
        </is>
      </c>
      <c r="F371" s="141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</f>
        <v/>
      </c>
      <c r="G371" s="142" t="n">
        <v>44909</v>
      </c>
      <c r="H371" s="140">
        <f>VLOOKUP($C371,Sales!$C:$E,2,FALSE)</f>
        <v/>
      </c>
      <c r="I371" s="140">
        <f>VLOOKUP($C371,Sales!$C:$E,3,FALSE)</f>
        <v/>
      </c>
      <c r="J371" s="142">
        <f>SUMIFS(Sales!$H:$H,Sales!$C:$C,'Investor Exit List'!$C371)</f>
        <v/>
      </c>
      <c r="K371" s="142">
        <f>IF(I371=TRUE,J371,"")</f>
        <v/>
      </c>
      <c r="L371" s="142">
        <f>G371+730</f>
        <v/>
      </c>
      <c r="M371" s="142" t="n">
        <v>45443</v>
      </c>
      <c r="N371" s="143">
        <f>IFERROR(IF(G371&lt;&gt;"",IF(I371=TRUE,0,IF(U371=TRUE,0,L371-M371)),0),0)</f>
        <v/>
      </c>
      <c r="O371" s="143">
        <f>IF(N371&gt;0,IF(N371&lt;=180,N371,0),0)</f>
        <v/>
      </c>
      <c r="P371" s="141">
        <f>IF(AND(N371&lt;90,N371&gt;0),Q371,0)</f>
        <v/>
      </c>
      <c r="Q371" s="141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/>
      </c>
      <c r="R371" s="141">
        <f>IF(AND(H371=TRUE,I371=FALSE),Q371,0)</f>
        <v/>
      </c>
      <c r="S371" s="141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/>
      </c>
      <c r="T371" s="142">
        <f>IF(U371=TRUE,$J371,"")</f>
        <v/>
      </c>
      <c r="U371" s="140" t="b">
        <v>0</v>
      </c>
      <c r="V371" s="141">
        <f>IF(AND(H371=TRUE,OR(K371="",K371&gt;M371)),S371,0)</f>
        <v/>
      </c>
      <c r="W371" s="140" t="n">
        <v>0</v>
      </c>
      <c r="X371" s="140" t="b">
        <v>0</v>
      </c>
      <c r="Y371" s="143">
        <f>IF(H371=FALSE,VLOOKUP($C371,Sales!$C:$F,4,FALSE),1)</f>
        <v/>
      </c>
      <c r="Z371" s="140">
        <f>IF(Y371=0,"Release",IF(AND(L371&lt;J371,Y371=1,H371=FALSE,U371=FALSE,MONTH(L371)&amp;"/"&amp;YEAR(L371)&lt;&gt;MONTH(J371)&amp;"/"&amp;YEAR(J371)),"Release",""))</f>
        <v/>
      </c>
      <c r="AA371" s="144">
        <f>_xlfn.minifs($L:$L,$C:$C,$C371,$F:$F,"&lt;&gt;0")</f>
        <v/>
      </c>
      <c r="AB371" s="144">
        <f>C371&amp;"-"&amp;A371</f>
        <v/>
      </c>
      <c r="AC371" s="144">
        <f>L371</f>
        <v/>
      </c>
    </row>
    <row r="372">
      <c r="A372" s="140" t="inlineStr">
        <is>
          <t>ZCRO01</t>
        </is>
      </c>
      <c r="B372" s="140" t="n">
        <v>7</v>
      </c>
      <c r="C372" s="140" t="inlineStr">
        <is>
          <t>HVK103</t>
        </is>
      </c>
      <c r="D372" s="140" t="inlineStr">
        <is>
          <t>K</t>
        </is>
      </c>
      <c r="E372" s="140" t="inlineStr">
        <is>
          <t>Lunau Marc</t>
        </is>
      </c>
      <c r="F372" s="141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</f>
        <v/>
      </c>
      <c r="G372" s="142" t="n">
        <v>44967</v>
      </c>
      <c r="H372" s="140">
        <f>VLOOKUP($C372,Sales!$C:$E,2,FALSE)</f>
        <v/>
      </c>
      <c r="I372" s="140">
        <f>VLOOKUP($C372,Sales!$C:$E,3,FALSE)</f>
        <v/>
      </c>
      <c r="J372" s="142">
        <f>SUMIFS(Sales!$H:$H,Sales!$C:$C,'Investor Exit List'!$C372)</f>
        <v/>
      </c>
      <c r="K372" s="142">
        <f>IF(I372=TRUE,J372,"")</f>
        <v/>
      </c>
      <c r="L372" s="142">
        <f>G372+730</f>
        <v/>
      </c>
      <c r="M372" s="142" t="n">
        <v>45443</v>
      </c>
      <c r="N372" s="143">
        <f>IFERROR(IF(G372&lt;&gt;"",IF(I372=TRUE,0,IF(U372=TRUE,0,L372-M372)),0),0)</f>
        <v/>
      </c>
      <c r="O372" s="143">
        <f>IF(N372&gt;0,IF(N372&lt;=180,N372,0),0)</f>
        <v/>
      </c>
      <c r="P372" s="141">
        <f>IF(AND(N372&lt;90,N372&gt;0),Q372,0)</f>
        <v/>
      </c>
      <c r="Q372" s="141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/>
      </c>
      <c r="R372" s="141">
        <f>IF(AND(H372=TRUE,I372=FALSE),Q372,0)</f>
        <v/>
      </c>
      <c r="S372" s="141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/>
      </c>
      <c r="T372" s="142">
        <f>IF(U372=TRUE,$J372,"")</f>
        <v/>
      </c>
      <c r="U372" s="140" t="b">
        <v>0</v>
      </c>
      <c r="V372" s="141">
        <f>IF(AND(H372=TRUE,OR(K372="",K372&gt;M372)),S372,0)</f>
        <v/>
      </c>
      <c r="W372" s="140" t="n">
        <v>0</v>
      </c>
      <c r="X372" s="140" t="b">
        <v>0</v>
      </c>
      <c r="Y372" s="143">
        <f>IF(H372=FALSE,VLOOKUP($C372,Sales!$C:$F,4,FALSE),1)</f>
        <v/>
      </c>
      <c r="Z372" s="140">
        <f>IF(Y372=0,"Release",IF(AND(L372&lt;J372,Y372=1,H372=FALSE,U372=FALSE,MONTH(L372)&amp;"/"&amp;YEAR(L372)&lt;&gt;MONTH(J372)&amp;"/"&amp;YEAR(J372)),"Release",""))</f>
        <v/>
      </c>
      <c r="AA372" s="144">
        <f>_xlfn.minifs($L:$L,$C:$C,$C372,$F:$F,"&lt;&gt;0")</f>
        <v/>
      </c>
      <c r="AB372" s="144">
        <f>C372&amp;"-"&amp;A372</f>
        <v/>
      </c>
      <c r="AC372" s="144">
        <f>L372</f>
        <v/>
      </c>
    </row>
    <row r="373">
      <c r="A373" s="140" t="inlineStr">
        <is>
          <t>ZDAM01</t>
        </is>
      </c>
      <c r="B373" s="140" t="n">
        <v>3</v>
      </c>
      <c r="C373" s="140" t="inlineStr">
        <is>
          <t>HVK103</t>
        </is>
      </c>
      <c r="D373" s="140" t="inlineStr">
        <is>
          <t>K</t>
        </is>
      </c>
      <c r="E373" s="140" t="inlineStr">
        <is>
          <t>Damane Lisbeth</t>
        </is>
      </c>
      <c r="F373" s="141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</f>
        <v/>
      </c>
      <c r="G373" s="142" t="n">
        <v>44916</v>
      </c>
      <c r="H373" s="140">
        <f>VLOOKUP($C373,Sales!$C:$E,2,FALSE)</f>
        <v/>
      </c>
      <c r="I373" s="140">
        <f>VLOOKUP($C373,Sales!$C:$E,3,FALSE)</f>
        <v/>
      </c>
      <c r="J373" s="142">
        <f>SUMIFS(Sales!$H:$H,Sales!$C:$C,'Investor Exit List'!$C373)</f>
        <v/>
      </c>
      <c r="K373" s="142">
        <f>IF(I373=TRUE,J373,"")</f>
        <v/>
      </c>
      <c r="L373" s="142">
        <f>G373+730</f>
        <v/>
      </c>
      <c r="M373" s="142" t="n">
        <v>45443</v>
      </c>
      <c r="N373" s="143">
        <f>IFERROR(IF(G373&lt;&gt;"",IF(I373=TRUE,0,IF(U373=TRUE,0,L373-M373)),0),0)</f>
        <v/>
      </c>
      <c r="O373" s="143">
        <f>IF(N373&gt;0,IF(N373&lt;=180,N373,0),0)</f>
        <v/>
      </c>
      <c r="P373" s="141">
        <f>IF(AND(N373&lt;90,N373&gt;0),Q373,0)</f>
        <v/>
      </c>
      <c r="Q373" s="141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/>
      </c>
      <c r="R373" s="141">
        <f>IF(AND(H373=TRUE,I373=FALSE),Q373,0)</f>
        <v/>
      </c>
      <c r="S373" s="141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/>
      </c>
      <c r="T373" s="142">
        <f>IF(U373=TRUE,$J373,"")</f>
        <v/>
      </c>
      <c r="U373" s="140" t="b">
        <v>0</v>
      </c>
      <c r="V373" s="141">
        <f>IF(AND(H373=TRUE,OR(K373="",K373&gt;M373)),S373,0)</f>
        <v/>
      </c>
      <c r="W373" s="140" t="n">
        <v>0</v>
      </c>
      <c r="X373" s="140" t="b">
        <v>0</v>
      </c>
      <c r="Y373" s="143">
        <f>IF(H373=FALSE,VLOOKUP($C373,Sales!$C:$F,4,FALSE),1)</f>
        <v/>
      </c>
      <c r="Z373" s="140">
        <f>IF(Y373=0,"Release",IF(AND(L373&lt;J373,Y373=1,H373=FALSE,U373=FALSE,MONTH(L373)&amp;"/"&amp;YEAR(L373)&lt;&gt;MONTH(J373)&amp;"/"&amp;YEAR(J373)),"Release",""))</f>
        <v/>
      </c>
      <c r="AA373" s="144">
        <f>_xlfn.minifs($L:$L,$C:$C,$C373,$F:$F,"&lt;&gt;0")</f>
        <v/>
      </c>
      <c r="AB373" s="144">
        <f>C373&amp;"-"&amp;A373</f>
        <v/>
      </c>
      <c r="AC373" s="144">
        <f>L373</f>
        <v/>
      </c>
    </row>
    <row r="374">
      <c r="A374" s="140" t="inlineStr">
        <is>
          <t>ZELE01</t>
        </is>
      </c>
      <c r="B374" s="140" t="n">
        <v>2</v>
      </c>
      <c r="C374" s="140" t="inlineStr">
        <is>
          <t>HVK103</t>
        </is>
      </c>
      <c r="D374" s="140" t="inlineStr">
        <is>
          <t>K</t>
        </is>
      </c>
      <c r="E374" s="140" t="inlineStr">
        <is>
          <t>Lew Emile Kenneth</t>
        </is>
      </c>
      <c r="F374" s="141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</f>
        <v/>
      </c>
      <c r="G374" s="142" t="n">
        <v>44916</v>
      </c>
      <c r="H374" s="140">
        <f>VLOOKUP($C374,Sales!$C:$E,2,FALSE)</f>
        <v/>
      </c>
      <c r="I374" s="140">
        <f>VLOOKUP($C374,Sales!$C:$E,3,FALSE)</f>
        <v/>
      </c>
      <c r="J374" s="142">
        <f>SUMIFS(Sales!$H:$H,Sales!$C:$C,'Investor Exit List'!$C374)</f>
        <v/>
      </c>
      <c r="K374" s="142">
        <f>IF(I374=TRUE,J374,"")</f>
        <v/>
      </c>
      <c r="L374" s="142">
        <f>G374+730</f>
        <v/>
      </c>
      <c r="M374" s="142" t="n">
        <v>45443</v>
      </c>
      <c r="N374" s="143">
        <f>IFERROR(IF(G374&lt;&gt;"",IF(I374=TRUE,0,IF(U374=TRUE,0,L374-M374)),0),0)</f>
        <v/>
      </c>
      <c r="O374" s="143">
        <f>IF(N374&gt;0,IF(N374&lt;=180,N374,0),0)</f>
        <v/>
      </c>
      <c r="P374" s="141">
        <f>IF(AND(N374&lt;90,N374&gt;0),Q374,0)</f>
        <v/>
      </c>
      <c r="Q374" s="141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/>
      </c>
      <c r="R374" s="141">
        <f>IF(AND(H374=TRUE,I374=FALSE),Q374,0)</f>
        <v/>
      </c>
      <c r="S374" s="141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/>
      </c>
      <c r="T374" s="142">
        <f>IF(U374=TRUE,$J374,"")</f>
        <v/>
      </c>
      <c r="U374" s="140" t="b">
        <v>0</v>
      </c>
      <c r="V374" s="141">
        <f>IF(AND(H374=TRUE,OR(K374="",K374&gt;M374)),S374,0)</f>
        <v/>
      </c>
      <c r="W374" s="140" t="n">
        <v>0</v>
      </c>
      <c r="X374" s="140" t="b">
        <v>0</v>
      </c>
      <c r="Y374" s="143">
        <f>IF(H374=FALSE,VLOOKUP($C374,Sales!$C:$F,4,FALSE),1)</f>
        <v/>
      </c>
      <c r="Z374" s="140">
        <f>IF(Y374=0,"Release",IF(AND(L374&lt;J374,Y374=1,H374=FALSE,U374=FALSE,MONTH(L374)&amp;"/"&amp;YEAR(L374)&lt;&gt;MONTH(J374)&amp;"/"&amp;YEAR(J374)),"Release",""))</f>
        <v/>
      </c>
      <c r="AA374" s="144">
        <f>_xlfn.minifs($L:$L,$C:$C,$C374,$F:$F,"&lt;&gt;0")</f>
        <v/>
      </c>
      <c r="AB374" s="144">
        <f>C374&amp;"-"&amp;A374</f>
        <v/>
      </c>
      <c r="AC374" s="144">
        <f>L374</f>
        <v/>
      </c>
    </row>
    <row r="375">
      <c r="A375" s="140" t="inlineStr">
        <is>
          <t>ZJOH01</t>
        </is>
      </c>
      <c r="B375" s="140" t="n">
        <v>5</v>
      </c>
      <c r="C375" s="140" t="inlineStr">
        <is>
          <t>HVK103</t>
        </is>
      </c>
      <c r="D375" s="140" t="inlineStr">
        <is>
          <t>K</t>
        </is>
      </c>
      <c r="E375" s="140" t="inlineStr">
        <is>
          <t>Johns Lisa-Marie Natalie</t>
        </is>
      </c>
      <c r="F375" s="141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</f>
        <v/>
      </c>
      <c r="G375" s="142" t="n">
        <v>44967</v>
      </c>
      <c r="H375" s="140">
        <f>VLOOKUP($C375,Sales!$C:$E,2,FALSE)</f>
        <v/>
      </c>
      <c r="I375" s="140">
        <f>VLOOKUP($C375,Sales!$C:$E,3,FALSE)</f>
        <v/>
      </c>
      <c r="J375" s="142">
        <f>SUMIFS(Sales!$H:$H,Sales!$C:$C,'Investor Exit List'!$C375)</f>
        <v/>
      </c>
      <c r="K375" s="142">
        <f>IF(I375=TRUE,J375,"")</f>
        <v/>
      </c>
      <c r="L375" s="142">
        <f>G375+730</f>
        <v/>
      </c>
      <c r="M375" s="142" t="n">
        <v>45443</v>
      </c>
      <c r="N375" s="143">
        <f>IFERROR(IF(G375&lt;&gt;"",IF(I375=TRUE,0,IF(U375=TRUE,0,L375-M375)),0),0)</f>
        <v/>
      </c>
      <c r="O375" s="143">
        <f>IF(N375&gt;0,IF(N375&lt;=180,N375,0),0)</f>
        <v/>
      </c>
      <c r="P375" s="141">
        <f>IF(AND(N375&lt;90,N375&gt;0),Q375,0)</f>
        <v/>
      </c>
      <c r="Q375" s="141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/>
      </c>
      <c r="R375" s="141">
        <f>IF(AND(H375=TRUE,I375=FALSE),Q375,0)</f>
        <v/>
      </c>
      <c r="S375" s="141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/>
      </c>
      <c r="T375" s="142">
        <f>IF(U375=TRUE,$J375,"")</f>
        <v/>
      </c>
      <c r="U375" s="140" t="b">
        <v>0</v>
      </c>
      <c r="V375" s="141">
        <f>IF(AND(H375=TRUE,OR(K375="",K375&gt;M375)),S375,0)</f>
        <v/>
      </c>
      <c r="W375" s="140" t="n">
        <v>0</v>
      </c>
      <c r="X375" s="140" t="b">
        <v>0</v>
      </c>
      <c r="Y375" s="143">
        <f>IF(H375=FALSE,VLOOKUP($C375,Sales!$C:$F,4,FALSE),1)</f>
        <v/>
      </c>
      <c r="Z375" s="140">
        <f>IF(Y375=0,"Release",IF(AND(L375&lt;J375,Y375=1,H375=FALSE,U375=FALSE,MONTH(L375)&amp;"/"&amp;YEAR(L375)&lt;&gt;MONTH(J375)&amp;"/"&amp;YEAR(J375)),"Release",""))</f>
        <v/>
      </c>
      <c r="AA375" s="144">
        <f>_xlfn.minifs($L:$L,$C:$C,$C375,$F:$F,"&lt;&gt;0")</f>
        <v/>
      </c>
      <c r="AB375" s="144">
        <f>C375&amp;"-"&amp;A375</f>
        <v/>
      </c>
      <c r="AC375" s="144">
        <f>L375</f>
        <v/>
      </c>
    </row>
    <row r="376">
      <c r="A376" s="140" t="inlineStr">
        <is>
          <t>ZRIT01</t>
        </is>
      </c>
      <c r="B376" s="140" t="n">
        <v>15</v>
      </c>
      <c r="C376" s="140" t="inlineStr">
        <is>
          <t>HVK103</t>
        </is>
      </c>
      <c r="D376" s="140" t="inlineStr">
        <is>
          <t>K</t>
        </is>
      </c>
      <c r="E376" s="140" t="inlineStr">
        <is>
          <t>Ritter Dennis</t>
        </is>
      </c>
      <c r="F376" s="141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</f>
        <v/>
      </c>
      <c r="G376" s="142" t="n">
        <v>45129</v>
      </c>
      <c r="H376" s="140">
        <f>VLOOKUP($C376,Sales!$C:$E,2,FALSE)</f>
        <v/>
      </c>
      <c r="I376" s="140">
        <f>VLOOKUP($C376,Sales!$C:$E,3,FALSE)</f>
        <v/>
      </c>
      <c r="J376" s="142">
        <f>SUMIFS(Sales!$H:$H,Sales!$C:$C,'Investor Exit List'!$C376)</f>
        <v/>
      </c>
      <c r="K376" s="142">
        <f>IF(I376=TRUE,J376,"")</f>
        <v/>
      </c>
      <c r="L376" s="142">
        <f>G376+730</f>
        <v/>
      </c>
      <c r="M376" s="142" t="n">
        <v>45443</v>
      </c>
      <c r="N376" s="143">
        <f>IFERROR(IF(G376&lt;&gt;"",IF(I376=TRUE,0,IF(U376=TRUE,0,L376-M376)),0),0)</f>
        <v/>
      </c>
      <c r="O376" s="143">
        <f>IF(N376&gt;0,IF(N376&lt;=180,N376,0),0)</f>
        <v/>
      </c>
      <c r="P376" s="141">
        <f>IF(AND(N376&lt;90,N376&gt;0),Q376,0)</f>
        <v/>
      </c>
      <c r="Q376" s="141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/>
      </c>
      <c r="R376" s="141">
        <f>IF(AND(H376=TRUE,I376=FALSE),Q376,0)</f>
        <v/>
      </c>
      <c r="S376" s="141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/>
      </c>
      <c r="T376" s="142">
        <f>IF(U376=TRUE,$J376,"")</f>
        <v/>
      </c>
      <c r="U376" s="140" t="b">
        <v>0</v>
      </c>
      <c r="V376" s="141">
        <f>IF(AND(H376=TRUE,OR(K376="",K376&gt;M376)),S376,0)</f>
        <v/>
      </c>
      <c r="W376" s="140" t="n">
        <v>0</v>
      </c>
      <c r="X376" s="140" t="b">
        <v>0</v>
      </c>
      <c r="Y376" s="143">
        <f>IF(H376=FALSE,VLOOKUP($C376,Sales!$C:$F,4,FALSE),1)</f>
        <v/>
      </c>
      <c r="Z376" s="140">
        <f>IF(Y376=0,"Release",IF(AND(L376&lt;J376,Y376=1,H376=FALSE,U376=FALSE,MONTH(L376)&amp;"/"&amp;YEAR(L376)&lt;&gt;MONTH(J376)&amp;"/"&amp;YEAR(J376)),"Release",""))</f>
        <v/>
      </c>
      <c r="AA376" s="144">
        <f>_xlfn.minifs($L:$L,$C:$C,$C376,$F:$F,"&lt;&gt;0")</f>
        <v/>
      </c>
      <c r="AB376" s="144">
        <f>C376&amp;"-"&amp;A376</f>
        <v/>
      </c>
      <c r="AC376" s="144">
        <f>L376</f>
        <v/>
      </c>
    </row>
    <row r="377">
      <c r="A377" s="140" t="inlineStr">
        <is>
          <t>ZINT01</t>
        </is>
      </c>
      <c r="B377" s="140" t="n">
        <v>10</v>
      </c>
      <c r="C377" s="140" t="inlineStr">
        <is>
          <t>HVK104</t>
        </is>
      </c>
      <c r="D377" s="140" t="inlineStr">
        <is>
          <t>K</t>
        </is>
      </c>
      <c r="E377" s="140" t="inlineStr">
        <is>
          <t>Lunau Marc</t>
        </is>
      </c>
      <c r="F377" s="141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</f>
        <v/>
      </c>
      <c r="G377" s="142" t="n">
        <v>44980</v>
      </c>
      <c r="H377" s="140">
        <f>VLOOKUP($C377,Sales!$C:$E,2,FALSE)</f>
        <v/>
      </c>
      <c r="I377" s="140">
        <f>VLOOKUP($C377,Sales!$C:$E,3,FALSE)</f>
        <v/>
      </c>
      <c r="J377" s="142">
        <f>SUMIFS(Sales!$H:$H,Sales!$C:$C,'Investor Exit List'!$C377)</f>
        <v/>
      </c>
      <c r="K377" s="142">
        <f>IF(I377=TRUE,J377,"")</f>
        <v/>
      </c>
      <c r="L377" s="142">
        <f>G377+730</f>
        <v/>
      </c>
      <c r="M377" s="142" t="n">
        <v>45443</v>
      </c>
      <c r="N377" s="143">
        <f>IFERROR(IF(G377&lt;&gt;"",IF(I377=TRUE,0,IF(U377=TRUE,0,L377-M377)),0),0)</f>
        <v/>
      </c>
      <c r="O377" s="143">
        <f>IF(N377&gt;0,IF(N377&lt;=180,N377,0),0)</f>
        <v/>
      </c>
      <c r="P377" s="141">
        <f>IF(AND(N377&lt;90,N377&gt;0),Q377,0)</f>
        <v/>
      </c>
      <c r="Q377" s="141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/>
      </c>
      <c r="R377" s="141">
        <f>IF(AND(H377=TRUE,I377=FALSE),Q377,0)</f>
        <v/>
      </c>
      <c r="S377" s="141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/>
      </c>
      <c r="T377" s="142">
        <f>IF(U377=TRUE,$J377,"")</f>
        <v/>
      </c>
      <c r="U377" s="140" t="b">
        <v>0</v>
      </c>
      <c r="V377" s="141">
        <f>IF(AND(H377=TRUE,OR(K377="",K377&gt;M377)),S377,0)</f>
        <v/>
      </c>
      <c r="W377" s="140" t="n">
        <v>0</v>
      </c>
      <c r="X377" s="140" t="b">
        <v>0</v>
      </c>
      <c r="Y377" s="143">
        <f>IF(H377=FALSE,VLOOKUP($C377,Sales!$C:$F,4,FALSE),1)</f>
        <v/>
      </c>
      <c r="Z377" s="140">
        <f>IF(Y377=0,"Release",IF(AND(L377&lt;J377,Y377=1,H377=FALSE,U377=FALSE,MONTH(L377)&amp;"/"&amp;YEAR(L377)&lt;&gt;MONTH(J377)&amp;"/"&amp;YEAR(J377)),"Release",""))</f>
        <v/>
      </c>
      <c r="AA377" s="144">
        <f>_xlfn.minifs($L:$L,$C:$C,$C377,$F:$F,"&lt;&gt;0")</f>
        <v/>
      </c>
      <c r="AB377" s="144">
        <f>C377&amp;"-"&amp;A377</f>
        <v/>
      </c>
      <c r="AC377" s="144">
        <f>L377</f>
        <v/>
      </c>
    </row>
    <row r="378">
      <c r="A378" s="140" t="inlineStr">
        <is>
          <t>ZNIE01</t>
        </is>
      </c>
      <c r="B378" s="140" t="n">
        <v>4</v>
      </c>
      <c r="C378" s="140" t="inlineStr">
        <is>
          <t>HVK104</t>
        </is>
      </c>
      <c r="D378" s="140" t="inlineStr">
        <is>
          <t>K</t>
        </is>
      </c>
      <c r="E378" s="140" t="inlineStr">
        <is>
          <t>van Niekerk Grant Richard</t>
        </is>
      </c>
      <c r="F378" s="141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</f>
        <v/>
      </c>
      <c r="G378" s="142" t="n">
        <v>45044</v>
      </c>
      <c r="H378" s="140">
        <f>VLOOKUP($C378,Sales!$C:$E,2,FALSE)</f>
        <v/>
      </c>
      <c r="I378" s="140">
        <f>VLOOKUP($C378,Sales!$C:$E,3,FALSE)</f>
        <v/>
      </c>
      <c r="J378" s="142">
        <f>SUMIFS(Sales!$H:$H,Sales!$C:$C,'Investor Exit List'!$C378)</f>
        <v/>
      </c>
      <c r="K378" s="142">
        <f>IF(I378=TRUE,J378,"")</f>
        <v/>
      </c>
      <c r="L378" s="142">
        <f>G378+730</f>
        <v/>
      </c>
      <c r="M378" s="142" t="n">
        <v>45443</v>
      </c>
      <c r="N378" s="143">
        <f>IFERROR(IF(G378&lt;&gt;"",IF(I378=TRUE,0,IF(U378=TRUE,0,L378-M378)),0),0)</f>
        <v/>
      </c>
      <c r="O378" s="143">
        <f>IF(N378&gt;0,IF(N378&lt;=180,N378,0),0)</f>
        <v/>
      </c>
      <c r="P378" s="141">
        <f>IF(AND(N378&lt;90,N378&gt;0),Q378,0)</f>
        <v/>
      </c>
      <c r="Q378" s="141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/>
      </c>
      <c r="R378" s="141">
        <f>IF(AND(H378=TRUE,I378=FALSE),Q378,0)</f>
        <v/>
      </c>
      <c r="S378" s="141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/>
      </c>
      <c r="T378" s="142">
        <f>IF(U378=TRUE,$J378,"")</f>
        <v/>
      </c>
      <c r="U378" s="140" t="b">
        <v>0</v>
      </c>
      <c r="V378" s="141">
        <f>IF(AND(H378=TRUE,OR(K378="",K378&gt;M378)),S378,0)</f>
        <v/>
      </c>
      <c r="W378" s="140" t="n">
        <v>0</v>
      </c>
      <c r="X378" s="140" t="b">
        <v>0</v>
      </c>
      <c r="Y378" s="143">
        <f>IF(H378=FALSE,VLOOKUP($C378,Sales!$C:$F,4,FALSE),1)</f>
        <v/>
      </c>
      <c r="Z378" s="140">
        <f>IF(Y378=0,"Release",IF(AND(L378&lt;J378,Y378=1,H378=FALSE,U378=FALSE,MONTH(L378)&amp;"/"&amp;YEAR(L378)&lt;&gt;MONTH(J378)&amp;"/"&amp;YEAR(J378)),"Release",""))</f>
        <v/>
      </c>
      <c r="AA378" s="144">
        <f>_xlfn.minifs($L:$L,$C:$C,$C378,$F:$F,"&lt;&gt;0")</f>
        <v/>
      </c>
      <c r="AB378" s="144">
        <f>C378&amp;"-"&amp;A378</f>
        <v/>
      </c>
      <c r="AC378" s="144">
        <f>L378</f>
        <v/>
      </c>
    </row>
    <row r="379">
      <c r="A379" s="140" t="inlineStr">
        <is>
          <t>ZBOH01</t>
        </is>
      </c>
      <c r="B379" s="140" t="n">
        <v>2</v>
      </c>
      <c r="C379" s="140" t="inlineStr">
        <is>
          <t>HVK105</t>
        </is>
      </c>
      <c r="D379" s="140" t="inlineStr">
        <is>
          <t>K</t>
        </is>
      </c>
      <c r="E379" s="140" t="inlineStr">
        <is>
          <t>Brenda Bohme Werner Hugo Bohme &amp;</t>
        </is>
      </c>
      <c r="F379" s="141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</f>
        <v/>
      </c>
      <c r="G379" s="142" t="n">
        <v>44960</v>
      </c>
      <c r="H379" s="140">
        <f>VLOOKUP($C379,Sales!$C:$E,2,FALSE)</f>
        <v/>
      </c>
      <c r="I379" s="140">
        <f>VLOOKUP($C379,Sales!$C:$E,3,FALSE)</f>
        <v/>
      </c>
      <c r="J379" s="142">
        <f>SUMIFS(Sales!$H:$H,Sales!$C:$C,'Investor Exit List'!$C379)</f>
        <v/>
      </c>
      <c r="K379" s="142">
        <f>IF(I379=TRUE,J379,"")</f>
        <v/>
      </c>
      <c r="L379" s="142">
        <f>G379+730</f>
        <v/>
      </c>
      <c r="M379" s="142" t="n">
        <v>45443</v>
      </c>
      <c r="N379" s="143">
        <f>IFERROR(IF(G379&lt;&gt;"",IF(I379=TRUE,0,IF(U379=TRUE,0,L379-M379)),0),0)</f>
        <v/>
      </c>
      <c r="O379" s="143">
        <f>IF(N379&gt;0,IF(N379&lt;=180,N379,0),0)</f>
        <v/>
      </c>
      <c r="P379" s="141">
        <f>IF(AND(N379&lt;90,N379&gt;0),Q379,0)</f>
        <v/>
      </c>
      <c r="Q379" s="141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/>
      </c>
      <c r="R379" s="141">
        <f>IF(AND(H379=TRUE,I379=FALSE),Q379,0)</f>
        <v/>
      </c>
      <c r="S379" s="141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/>
      </c>
      <c r="T379" s="142">
        <f>IF(U379=TRUE,$J379,"")</f>
        <v/>
      </c>
      <c r="U379" s="140" t="b">
        <v>0</v>
      </c>
      <c r="V379" s="141">
        <f>IF(AND(H379=TRUE,OR(K379="",K379&gt;M379)),S379,0)</f>
        <v/>
      </c>
      <c r="W379" s="140" t="n">
        <v>0</v>
      </c>
      <c r="X379" s="140" t="b">
        <v>0</v>
      </c>
      <c r="Y379" s="143">
        <f>IF(H379=FALSE,VLOOKUP($C379,Sales!$C:$F,4,FALSE),1)</f>
        <v/>
      </c>
      <c r="Z379" s="140">
        <f>IF(Y379=0,"Release",IF(AND(L379&lt;J379,Y379=1,H379=FALSE,U379=FALSE,MONTH(L379)&amp;"/"&amp;YEAR(L379)&lt;&gt;MONTH(J379)&amp;"/"&amp;YEAR(J379)),"Release",""))</f>
        <v/>
      </c>
      <c r="AA379" s="144">
        <f>_xlfn.minifs($L:$L,$C:$C,$C379,$F:$F,"&lt;&gt;0")</f>
        <v/>
      </c>
      <c r="AB379" s="144">
        <f>C379&amp;"-"&amp;A379</f>
        <v/>
      </c>
      <c r="AC379" s="144">
        <f>L379</f>
        <v/>
      </c>
    </row>
    <row r="380">
      <c r="A380" s="140" t="inlineStr">
        <is>
          <t>ZCRO01</t>
        </is>
      </c>
      <c r="B380" s="140" t="n">
        <v>6</v>
      </c>
      <c r="C380" s="140" t="inlineStr">
        <is>
          <t>HVK105</t>
        </is>
      </c>
      <c r="D380" s="140" t="inlineStr">
        <is>
          <t>K</t>
        </is>
      </c>
      <c r="E380" s="140" t="inlineStr">
        <is>
          <t>Lunau Marc</t>
        </is>
      </c>
      <c r="F380" s="141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</f>
        <v/>
      </c>
      <c r="G380" s="142" t="n">
        <v>44916</v>
      </c>
      <c r="H380" s="140">
        <f>VLOOKUP($C380,Sales!$C:$E,2,FALSE)</f>
        <v/>
      </c>
      <c r="I380" s="140">
        <f>VLOOKUP($C380,Sales!$C:$E,3,FALSE)</f>
        <v/>
      </c>
      <c r="J380" s="142">
        <f>SUMIFS(Sales!$H:$H,Sales!$C:$C,'Investor Exit List'!$C380)</f>
        <v/>
      </c>
      <c r="K380" s="142">
        <f>IF(I380=TRUE,J380,"")</f>
        <v/>
      </c>
      <c r="L380" s="142">
        <f>G380+730</f>
        <v/>
      </c>
      <c r="M380" s="142" t="n">
        <v>45443</v>
      </c>
      <c r="N380" s="143">
        <f>IFERROR(IF(G380&lt;&gt;"",IF(I380=TRUE,0,IF(U380=TRUE,0,L380-M380)),0),0)</f>
        <v/>
      </c>
      <c r="O380" s="143">
        <f>IF(N380&gt;0,IF(N380&lt;=180,N380,0),0)</f>
        <v/>
      </c>
      <c r="P380" s="141">
        <f>IF(AND(N380&lt;90,N380&gt;0),Q380,0)</f>
        <v/>
      </c>
      <c r="Q380" s="141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/>
      </c>
      <c r="R380" s="141">
        <f>IF(AND(H380=TRUE,I380=FALSE),Q380,0)</f>
        <v/>
      </c>
      <c r="S380" s="141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/>
      </c>
      <c r="T380" s="142">
        <f>IF(U380=TRUE,$J380,"")</f>
        <v/>
      </c>
      <c r="U380" s="140" t="b">
        <v>0</v>
      </c>
      <c r="V380" s="141">
        <f>IF(AND(H380=TRUE,OR(K380="",K380&gt;M380)),S380,0)</f>
        <v/>
      </c>
      <c r="W380" s="140" t="n">
        <v>0</v>
      </c>
      <c r="X380" s="140" t="b">
        <v>0</v>
      </c>
      <c r="Y380" s="143">
        <f>IF(H380=FALSE,VLOOKUP($C380,Sales!$C:$F,4,FALSE),1)</f>
        <v/>
      </c>
      <c r="Z380" s="140">
        <f>IF(Y380=0,"Release",IF(AND(L380&lt;J380,Y380=1,H380=FALSE,U380=FALSE,MONTH(L380)&amp;"/"&amp;YEAR(L380)&lt;&gt;MONTH(J380)&amp;"/"&amp;YEAR(J380)),"Release",""))</f>
        <v/>
      </c>
      <c r="AA380" s="144">
        <f>_xlfn.minifs($L:$L,$C:$C,$C380,$F:$F,"&lt;&gt;0")</f>
        <v/>
      </c>
      <c r="AB380" s="144">
        <f>C380&amp;"-"&amp;A380</f>
        <v/>
      </c>
      <c r="AC380" s="144">
        <f>L380</f>
        <v/>
      </c>
    </row>
    <row r="381">
      <c r="A381" s="140" t="inlineStr">
        <is>
          <t>ZHAR01</t>
        </is>
      </c>
      <c r="B381" s="140" t="n">
        <v>3</v>
      </c>
      <c r="C381" s="140" t="inlineStr">
        <is>
          <t>HVK106</t>
        </is>
      </c>
      <c r="D381" s="140" t="inlineStr">
        <is>
          <t>K</t>
        </is>
      </c>
      <c r="E381" s="140" t="inlineStr">
        <is>
          <t>Hart Teresa-Ann</t>
        </is>
      </c>
      <c r="F381" s="141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</f>
        <v/>
      </c>
      <c r="G381" s="142" t="inlineStr"/>
      <c r="H381" s="140">
        <f>VLOOKUP($C381,Sales!$C:$E,2,FALSE)</f>
        <v/>
      </c>
      <c r="I381" s="140">
        <f>VLOOKUP($C381,Sales!$C:$E,3,FALSE)</f>
        <v/>
      </c>
      <c r="J381" s="142">
        <f>SUMIFS(Sales!$H:$H,Sales!$C:$C,'Investor Exit List'!$C381)</f>
        <v/>
      </c>
      <c r="K381" s="142">
        <f>IF(I381=TRUE,J381,"")</f>
        <v/>
      </c>
      <c r="L381" s="142">
        <f>G381+730</f>
        <v/>
      </c>
      <c r="M381" s="142" t="n">
        <v>45443</v>
      </c>
      <c r="N381" s="143">
        <f>IFERROR(IF(G381&lt;&gt;"",IF(I381=TRUE,0,IF(U381=TRUE,0,L381-M381)),0),0)</f>
        <v/>
      </c>
      <c r="O381" s="143">
        <f>IF(N381&gt;0,IF(N381&lt;=180,N381,0),0)</f>
        <v/>
      </c>
      <c r="P381" s="141">
        <f>IF(AND(N381&lt;90,N381&gt;0),Q381,0)</f>
        <v/>
      </c>
      <c r="Q381" s="141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/>
      </c>
      <c r="R381" s="141">
        <f>IF(AND(H381=TRUE,I381=FALSE),Q381,0)</f>
        <v/>
      </c>
      <c r="S381" s="141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/>
      </c>
      <c r="T381" s="142">
        <f>IF(U381=TRUE,$J381,"")</f>
        <v/>
      </c>
      <c r="U381" s="140" t="b">
        <v>0</v>
      </c>
      <c r="V381" s="141">
        <f>IF(AND(H381=TRUE,OR(K381="",K381&gt;M381)),S381,0)</f>
        <v/>
      </c>
      <c r="W381" s="140" t="n">
        <v>0</v>
      </c>
      <c r="X381" s="140" t="b">
        <v>0</v>
      </c>
      <c r="Y381" s="143">
        <f>IF(H381=FALSE,VLOOKUP($C381,Sales!$C:$F,4,FALSE),1)</f>
        <v/>
      </c>
      <c r="Z381" s="140">
        <f>IF(Y381=0,"Release",IF(AND(L381&lt;J381,Y381=1,H381=FALSE,U381=FALSE,MONTH(L381)&amp;"/"&amp;YEAR(L381)&lt;&gt;MONTH(J381)&amp;"/"&amp;YEAR(J381)),"Release",""))</f>
        <v/>
      </c>
      <c r="AA381" s="144">
        <f>_xlfn.minifs($L:$L,$C:$C,$C381,$F:$F,"&lt;&gt;0")</f>
        <v/>
      </c>
      <c r="AB381" s="144">
        <f>C381&amp;"-"&amp;A381</f>
        <v/>
      </c>
      <c r="AC381" s="144">
        <f>L381</f>
        <v/>
      </c>
    </row>
    <row r="382">
      <c r="A382" s="140" t="inlineStr">
        <is>
          <t>ZHAY01</t>
        </is>
      </c>
      <c r="B382" s="140" t="n">
        <v>5</v>
      </c>
      <c r="C382" s="140" t="inlineStr">
        <is>
          <t>HVK106</t>
        </is>
      </c>
      <c r="D382" s="140" t="inlineStr">
        <is>
          <t>K</t>
        </is>
      </c>
      <c r="E382" s="140" t="inlineStr">
        <is>
          <t>Haywood Johannes Wynand</t>
        </is>
      </c>
      <c r="F382" s="141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</f>
        <v/>
      </c>
      <c r="G382" s="142" t="n">
        <v>45457</v>
      </c>
      <c r="H382" s="140">
        <f>VLOOKUP($C382,Sales!$C:$E,2,FALSE)</f>
        <v/>
      </c>
      <c r="I382" s="140">
        <f>VLOOKUP($C382,Sales!$C:$E,3,FALSE)</f>
        <v/>
      </c>
      <c r="J382" s="142">
        <f>SUMIFS(Sales!$H:$H,Sales!$C:$C,'Investor Exit List'!$C382)</f>
        <v/>
      </c>
      <c r="K382" s="142">
        <f>IF(I382=TRUE,J382,"")</f>
        <v/>
      </c>
      <c r="L382" s="142">
        <f>G382+730</f>
        <v/>
      </c>
      <c r="M382" s="142" t="n">
        <v>45443</v>
      </c>
      <c r="N382" s="143">
        <f>IFERROR(IF(G382&lt;&gt;"",IF(I382=TRUE,0,IF(U382=TRUE,0,L382-M382)),0),0)</f>
        <v/>
      </c>
      <c r="O382" s="143">
        <f>IF(N382&gt;0,IF(N382&lt;=180,N382,0),0)</f>
        <v/>
      </c>
      <c r="P382" s="141">
        <f>IF(AND(N382&lt;90,N382&gt;0),Q382,0)</f>
        <v/>
      </c>
      <c r="Q382" s="141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/>
      </c>
      <c r="R382" s="141">
        <f>IF(AND(H382=TRUE,I382=FALSE),Q382,0)</f>
        <v/>
      </c>
      <c r="S382" s="141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/>
      </c>
      <c r="T382" s="142">
        <f>IF(U382=TRUE,$J382,"")</f>
        <v/>
      </c>
      <c r="U382" s="140" t="b">
        <v>0</v>
      </c>
      <c r="V382" s="141">
        <f>IF(AND(H382=TRUE,OR(K382="",K382&gt;M382)),S382,0)</f>
        <v/>
      </c>
      <c r="W382" s="140" t="n">
        <v>0</v>
      </c>
      <c r="X382" s="140" t="b">
        <v>0</v>
      </c>
      <c r="Y382" s="143">
        <f>IF(H382=FALSE,VLOOKUP($C382,Sales!$C:$F,4,FALSE),1)</f>
        <v/>
      </c>
      <c r="Z382" s="140">
        <f>IF(Y382=0,"Release",IF(AND(L382&lt;J382,Y382=1,H382=FALSE,U382=FALSE,MONTH(L382)&amp;"/"&amp;YEAR(L382)&lt;&gt;MONTH(J382)&amp;"/"&amp;YEAR(J382)),"Release",""))</f>
        <v/>
      </c>
      <c r="AA382" s="144">
        <f>_xlfn.minifs($L:$L,$C:$C,$C382,$F:$F,"&lt;&gt;0")</f>
        <v/>
      </c>
      <c r="AB382" s="144">
        <f>C382&amp;"-"&amp;A382</f>
        <v/>
      </c>
      <c r="AC382" s="144">
        <f>L382</f>
        <v/>
      </c>
    </row>
    <row r="383">
      <c r="A383" s="140" t="inlineStr">
        <is>
          <t>ZVER05</t>
        </is>
      </c>
      <c r="B383" s="140" t="n">
        <v>1</v>
      </c>
      <c r="C383" s="140" t="inlineStr">
        <is>
          <t>HVK106</t>
        </is>
      </c>
      <c r="D383" s="140" t="inlineStr">
        <is>
          <t>K</t>
        </is>
      </c>
      <c r="E383" s="140" t="inlineStr">
        <is>
          <t>Vermeulen Anita Hester</t>
        </is>
      </c>
      <c r="F383" s="141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</f>
        <v/>
      </c>
      <c r="G383" s="142" t="inlineStr"/>
      <c r="H383" s="140">
        <f>VLOOKUP($C383,Sales!$C:$E,2,FALSE)</f>
        <v/>
      </c>
      <c r="I383" s="140">
        <f>VLOOKUP($C383,Sales!$C:$E,3,FALSE)</f>
        <v/>
      </c>
      <c r="J383" s="142">
        <f>SUMIFS(Sales!$H:$H,Sales!$C:$C,'Investor Exit List'!$C383)</f>
        <v/>
      </c>
      <c r="K383" s="142">
        <f>IF(I383=TRUE,J383,"")</f>
        <v/>
      </c>
      <c r="L383" s="142">
        <f>G383+730</f>
        <v/>
      </c>
      <c r="M383" s="142" t="n">
        <v>45443</v>
      </c>
      <c r="N383" s="143">
        <f>IFERROR(IF(G383&lt;&gt;"",IF(I383=TRUE,0,IF(U383=TRUE,0,L383-M383)),0),0)</f>
        <v/>
      </c>
      <c r="O383" s="143">
        <f>IF(N383&gt;0,IF(N383&lt;=180,N383,0),0)</f>
        <v/>
      </c>
      <c r="P383" s="141">
        <f>IF(AND(N383&lt;90,N383&gt;0),Q383,0)</f>
        <v/>
      </c>
      <c r="Q383" s="141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/>
      </c>
      <c r="R383" s="141">
        <f>IF(AND(H383=TRUE,I383=FALSE),Q383,0)</f>
        <v/>
      </c>
      <c r="S383" s="141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/>
      </c>
      <c r="T383" s="142">
        <f>IF(U383=TRUE,$J383,"")</f>
        <v/>
      </c>
      <c r="U383" s="140" t="b">
        <v>0</v>
      </c>
      <c r="V383" s="141">
        <f>IF(AND(H383=TRUE,OR(K383="",K383&gt;M383)),S383,0)</f>
        <v/>
      </c>
      <c r="W383" s="140" t="n">
        <v>0</v>
      </c>
      <c r="X383" s="140" t="b">
        <v>0</v>
      </c>
      <c r="Y383" s="143">
        <f>IF(H383=FALSE,VLOOKUP($C383,Sales!$C:$F,4,FALSE),1)</f>
        <v/>
      </c>
      <c r="Z383" s="140">
        <f>IF(Y383=0,"Release",IF(AND(L383&lt;J383,Y383=1,H383=FALSE,U383=FALSE,MONTH(L383)&amp;"/"&amp;YEAR(L383)&lt;&gt;MONTH(J383)&amp;"/"&amp;YEAR(J383)),"Release",""))</f>
        <v/>
      </c>
      <c r="AA383" s="144">
        <f>_xlfn.minifs($L:$L,$C:$C,$C383,$F:$F,"&lt;&gt;0")</f>
        <v/>
      </c>
      <c r="AB383" s="144">
        <f>C383&amp;"-"&amp;A383</f>
        <v/>
      </c>
      <c r="AC383" s="144">
        <f>L383</f>
        <v/>
      </c>
    </row>
    <row r="384">
      <c r="A384" s="140" t="inlineStr">
        <is>
          <t>ZZYL03</t>
        </is>
      </c>
      <c r="B384" s="140" t="n">
        <v>3</v>
      </c>
      <c r="C384" s="140" t="inlineStr">
        <is>
          <t>HVK106</t>
        </is>
      </c>
      <c r="D384" s="140" t="inlineStr">
        <is>
          <t>K</t>
        </is>
      </c>
      <c r="E384" s="140" t="inlineStr">
        <is>
          <t>Zylstra Sandra Robyn</t>
        </is>
      </c>
      <c r="F384" s="141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</f>
        <v/>
      </c>
      <c r="G384" s="142" t="n">
        <v>44916</v>
      </c>
      <c r="H384" s="140">
        <f>VLOOKUP($C384,Sales!$C:$E,2,FALSE)</f>
        <v/>
      </c>
      <c r="I384" s="140">
        <f>VLOOKUP($C384,Sales!$C:$E,3,FALSE)</f>
        <v/>
      </c>
      <c r="J384" s="142">
        <f>SUMIFS(Sales!$H:$H,Sales!$C:$C,'Investor Exit List'!$C384)</f>
        <v/>
      </c>
      <c r="K384" s="142">
        <f>IF(I384=TRUE,J384,"")</f>
        <v/>
      </c>
      <c r="L384" s="142">
        <f>G384+730</f>
        <v/>
      </c>
      <c r="M384" s="142" t="n">
        <v>45443</v>
      </c>
      <c r="N384" s="143">
        <f>IFERROR(IF(G384&lt;&gt;"",IF(I384=TRUE,0,IF(U384=TRUE,0,L384-M384)),0),0)</f>
        <v/>
      </c>
      <c r="O384" s="143">
        <f>IF(N384&gt;0,IF(N384&lt;=180,N384,0),0)</f>
        <v/>
      </c>
      <c r="P384" s="141">
        <f>IF(AND(N384&lt;90,N384&gt;0),Q384,0)</f>
        <v/>
      </c>
      <c r="Q384" s="141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/>
      </c>
      <c r="R384" s="141">
        <f>IF(AND(H384=TRUE,I384=FALSE),Q384,0)</f>
        <v/>
      </c>
      <c r="S384" s="141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/>
      </c>
      <c r="T384" s="142">
        <f>IF(U384=TRUE,$J384,"")</f>
        <v/>
      </c>
      <c r="U384" s="140" t="b">
        <v>1</v>
      </c>
      <c r="V384" s="141">
        <f>IF(AND(H384=TRUE,OR(K384="",K384&gt;M384)),S384,0)</f>
        <v/>
      </c>
      <c r="W384" s="140" t="n">
        <v>0</v>
      </c>
      <c r="X384" s="140" t="b">
        <v>0</v>
      </c>
      <c r="Y384" s="143">
        <f>IF(H384=FALSE,VLOOKUP($C384,Sales!$C:$F,4,FALSE),1)</f>
        <v/>
      </c>
      <c r="Z384" s="140">
        <f>IF(Y384=0,"Release",IF(AND(L384&lt;J384,Y384=1,H384=FALSE,U384=FALSE,MONTH(L384)&amp;"/"&amp;YEAR(L384)&lt;&gt;MONTH(J384)&amp;"/"&amp;YEAR(J384)),"Release",""))</f>
        <v/>
      </c>
      <c r="AA384" s="144">
        <f>_xlfn.minifs($L:$L,$C:$C,$C384,$F:$F,"&lt;&gt;0")</f>
        <v/>
      </c>
      <c r="AB384" s="144">
        <f>C384&amp;"-"&amp;A384</f>
        <v/>
      </c>
      <c r="AC384" s="144">
        <f>L384</f>
        <v/>
      </c>
    </row>
    <row r="385">
      <c r="A385" s="140" t="inlineStr">
        <is>
          <t>ZVAN05</t>
        </is>
      </c>
      <c r="B385" s="140" t="n">
        <v>6</v>
      </c>
      <c r="C385" s="140" t="inlineStr">
        <is>
          <t>HVK201</t>
        </is>
      </c>
      <c r="D385" s="140" t="inlineStr">
        <is>
          <t>K</t>
        </is>
      </c>
      <c r="E385" s="140" t="inlineStr">
        <is>
          <t>van der Sandt Hermanus</t>
        </is>
      </c>
      <c r="F385" s="141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</f>
        <v/>
      </c>
      <c r="G385" s="142" t="n">
        <v>44916</v>
      </c>
      <c r="H385" s="140">
        <f>VLOOKUP($C385,Sales!$C:$E,2,FALSE)</f>
        <v/>
      </c>
      <c r="I385" s="140">
        <f>VLOOKUP($C385,Sales!$C:$E,3,FALSE)</f>
        <v/>
      </c>
      <c r="J385" s="142">
        <f>SUMIFS(Sales!$H:$H,Sales!$C:$C,'Investor Exit List'!$C385)</f>
        <v/>
      </c>
      <c r="K385" s="142">
        <f>IF(I385=TRUE,J385,"")</f>
        <v/>
      </c>
      <c r="L385" s="142">
        <f>G385+730</f>
        <v/>
      </c>
      <c r="M385" s="142" t="n">
        <v>45443</v>
      </c>
      <c r="N385" s="143">
        <f>IFERROR(IF(G385&lt;&gt;"",IF(I385=TRUE,0,IF(U385=TRUE,0,L385-M385)),0),0)</f>
        <v/>
      </c>
      <c r="O385" s="143">
        <f>IF(N385&gt;0,IF(N385&lt;=180,N385,0),0)</f>
        <v/>
      </c>
      <c r="P385" s="141">
        <f>IF(AND(N385&lt;90,N385&gt;0),Q385,0)</f>
        <v/>
      </c>
      <c r="Q385" s="141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/>
      </c>
      <c r="R385" s="141">
        <f>IF(AND(H385=TRUE,I385=FALSE),Q385,0)</f>
        <v/>
      </c>
      <c r="S385" s="141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/>
      </c>
      <c r="T385" s="142">
        <f>IF(U385=TRUE,$J385,"")</f>
        <v/>
      </c>
      <c r="U385" s="140" t="b">
        <v>0</v>
      </c>
      <c r="V385" s="141">
        <f>IF(AND(H385=TRUE,OR(K385="",K385&gt;M385)),S385,0)</f>
        <v/>
      </c>
      <c r="W385" s="140" t="n">
        <v>0</v>
      </c>
      <c r="X385" s="140" t="b">
        <v>0</v>
      </c>
      <c r="Y385" s="143">
        <f>IF(H385=FALSE,VLOOKUP($C385,Sales!$C:$F,4,FALSE),1)</f>
        <v/>
      </c>
      <c r="Z385" s="140">
        <f>IF(Y385=0,"Release",IF(AND(L385&lt;J385,Y385=1,H385=FALSE,U385=FALSE,MONTH(L385)&amp;"/"&amp;YEAR(L385)&lt;&gt;MONTH(J385)&amp;"/"&amp;YEAR(J385)),"Release",""))</f>
        <v/>
      </c>
      <c r="AA385" s="144">
        <f>_xlfn.minifs($L:$L,$C:$C,$C385,$F:$F,"&lt;&gt;0")</f>
        <v/>
      </c>
      <c r="AB385" s="144">
        <f>C385&amp;"-"&amp;A385</f>
        <v/>
      </c>
      <c r="AC385" s="144">
        <f>L385</f>
        <v/>
      </c>
    </row>
    <row r="386">
      <c r="A386" s="140" t="inlineStr">
        <is>
          <t>ZBLO01</t>
        </is>
      </c>
      <c r="B386" s="140" t="n">
        <v>3</v>
      </c>
      <c r="C386" s="140" t="inlineStr">
        <is>
          <t>HVK202</t>
        </is>
      </c>
      <c r="D386" s="140" t="inlineStr">
        <is>
          <t>K</t>
        </is>
      </c>
      <c r="E386" s="140" t="inlineStr">
        <is>
          <t>Blows Robert Errol</t>
        </is>
      </c>
      <c r="F386" s="141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</f>
        <v/>
      </c>
      <c r="G386" s="142" t="n">
        <v>44916</v>
      </c>
      <c r="H386" s="140">
        <f>VLOOKUP($C386,Sales!$C:$E,2,FALSE)</f>
        <v/>
      </c>
      <c r="I386" s="140">
        <f>VLOOKUP($C386,Sales!$C:$E,3,FALSE)</f>
        <v/>
      </c>
      <c r="J386" s="142">
        <f>SUMIFS(Sales!$H:$H,Sales!$C:$C,'Investor Exit List'!$C386)</f>
        <v/>
      </c>
      <c r="K386" s="142">
        <f>IF(I386=TRUE,J386,"")</f>
        <v/>
      </c>
      <c r="L386" s="142">
        <f>G386+730</f>
        <v/>
      </c>
      <c r="M386" s="142" t="n">
        <v>45443</v>
      </c>
      <c r="N386" s="143">
        <f>IFERROR(IF(G386&lt;&gt;"",IF(I386=TRUE,0,IF(U386=TRUE,0,L386-M386)),0),0)</f>
        <v/>
      </c>
      <c r="O386" s="143">
        <f>IF(N386&gt;0,IF(N386&lt;=180,N386,0),0)</f>
        <v/>
      </c>
      <c r="P386" s="141">
        <f>IF(AND(N386&lt;90,N386&gt;0),Q386,0)</f>
        <v/>
      </c>
      <c r="Q386" s="141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/>
      </c>
      <c r="R386" s="141">
        <f>IF(AND(H386=TRUE,I386=FALSE),Q386,0)</f>
        <v/>
      </c>
      <c r="S386" s="141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/>
      </c>
      <c r="T386" s="142">
        <f>IF(U386=TRUE,$J386,"")</f>
        <v/>
      </c>
      <c r="U386" s="140" t="b">
        <v>0</v>
      </c>
      <c r="V386" s="141">
        <f>IF(AND(H386=TRUE,OR(K386="",K386&gt;M386)),S386,0)</f>
        <v/>
      </c>
      <c r="W386" s="140" t="n">
        <v>0</v>
      </c>
      <c r="X386" s="140" t="b">
        <v>0</v>
      </c>
      <c r="Y386" s="143">
        <f>IF(H386=FALSE,VLOOKUP($C386,Sales!$C:$F,4,FALSE),1)</f>
        <v/>
      </c>
      <c r="Z386" s="140">
        <f>IF(Y386=0,"Release",IF(AND(L386&lt;J386,Y386=1,H386=FALSE,U386=FALSE,MONTH(L386)&amp;"/"&amp;YEAR(L386)&lt;&gt;MONTH(J386)&amp;"/"&amp;YEAR(J386)),"Release",""))</f>
        <v/>
      </c>
      <c r="AA386" s="144">
        <f>_xlfn.minifs($L:$L,$C:$C,$C386,$F:$F,"&lt;&gt;0")</f>
        <v/>
      </c>
      <c r="AB386" s="144">
        <f>C386&amp;"-"&amp;A386</f>
        <v/>
      </c>
      <c r="AC386" s="144">
        <f>L386</f>
        <v/>
      </c>
    </row>
    <row r="387">
      <c r="A387" s="140" t="inlineStr">
        <is>
          <t>ZLAB02</t>
        </is>
      </c>
      <c r="B387" s="140" t="n">
        <v>2</v>
      </c>
      <c r="C387" s="140" t="inlineStr">
        <is>
          <t>HVK202</t>
        </is>
      </c>
      <c r="D387" s="140" t="inlineStr">
        <is>
          <t>K</t>
        </is>
      </c>
      <c r="E387" s="140" t="inlineStr">
        <is>
          <t>Labuschagne Jandre</t>
        </is>
      </c>
      <c r="F387" s="141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</f>
        <v/>
      </c>
      <c r="G387" s="142" t="n">
        <v>44916</v>
      </c>
      <c r="H387" s="140">
        <f>VLOOKUP($C387,Sales!$C:$E,2,FALSE)</f>
        <v/>
      </c>
      <c r="I387" s="140">
        <f>VLOOKUP($C387,Sales!$C:$E,3,FALSE)</f>
        <v/>
      </c>
      <c r="J387" s="142">
        <f>SUMIFS(Sales!$H:$H,Sales!$C:$C,'Investor Exit List'!$C387)</f>
        <v/>
      </c>
      <c r="K387" s="142">
        <f>IF(I387=TRUE,J387,"")</f>
        <v/>
      </c>
      <c r="L387" s="142">
        <f>G387+730</f>
        <v/>
      </c>
      <c r="M387" s="142" t="n">
        <v>45443</v>
      </c>
      <c r="N387" s="143">
        <f>IFERROR(IF(G387&lt;&gt;"",IF(I387=TRUE,0,IF(U387=TRUE,0,L387-M387)),0),0)</f>
        <v/>
      </c>
      <c r="O387" s="143">
        <f>IF(N387&gt;0,IF(N387&lt;=180,N387,0),0)</f>
        <v/>
      </c>
      <c r="P387" s="141">
        <f>IF(AND(N387&lt;90,N387&gt;0),Q387,0)</f>
        <v/>
      </c>
      <c r="Q387" s="141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/>
      </c>
      <c r="R387" s="141">
        <f>IF(AND(H387=TRUE,I387=FALSE),Q387,0)</f>
        <v/>
      </c>
      <c r="S387" s="141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/>
      </c>
      <c r="T387" s="142">
        <f>IF(U387=TRUE,$J387,"")</f>
        <v/>
      </c>
      <c r="U387" s="140" t="b">
        <v>0</v>
      </c>
      <c r="V387" s="141">
        <f>IF(AND(H387=TRUE,OR(K387="",K387&gt;M387)),S387,0)</f>
        <v/>
      </c>
      <c r="W387" s="140" t="n">
        <v>0</v>
      </c>
      <c r="X387" s="140" t="b">
        <v>0</v>
      </c>
      <c r="Y387" s="143">
        <f>IF(H387=FALSE,VLOOKUP($C387,Sales!$C:$F,4,FALSE),1)</f>
        <v/>
      </c>
      <c r="Z387" s="140">
        <f>IF(Y387=0,"Release",IF(AND(L387&lt;J387,Y387=1,H387=FALSE,U387=FALSE,MONTH(L387)&amp;"/"&amp;YEAR(L387)&lt;&gt;MONTH(J387)&amp;"/"&amp;YEAR(J387)),"Release",""))</f>
        <v/>
      </c>
      <c r="AA387" s="144">
        <f>_xlfn.minifs($L:$L,$C:$C,$C387,$F:$F,"&lt;&gt;0")</f>
        <v/>
      </c>
      <c r="AB387" s="144">
        <f>C387&amp;"-"&amp;A387</f>
        <v/>
      </c>
      <c r="AC387" s="144">
        <f>L387</f>
        <v/>
      </c>
    </row>
    <row r="388">
      <c r="A388" s="140" t="inlineStr">
        <is>
          <t>ZRAN01</t>
        </is>
      </c>
      <c r="B388" s="140" t="n">
        <v>23</v>
      </c>
      <c r="C388" s="140" t="inlineStr">
        <is>
          <t>HVK202</t>
        </is>
      </c>
      <c r="D388" s="140" t="inlineStr">
        <is>
          <t>K</t>
        </is>
      </c>
      <c r="E388" s="140" t="inlineStr">
        <is>
          <t>Rankin Ross Partick Gemill</t>
        </is>
      </c>
      <c r="F388" s="141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</f>
        <v/>
      </c>
      <c r="G388" s="142" t="n">
        <v>44967</v>
      </c>
      <c r="H388" s="140">
        <f>VLOOKUP($C388,Sales!$C:$E,2,FALSE)</f>
        <v/>
      </c>
      <c r="I388" s="140">
        <f>VLOOKUP($C388,Sales!$C:$E,3,FALSE)</f>
        <v/>
      </c>
      <c r="J388" s="142">
        <f>SUMIFS(Sales!$H:$H,Sales!$C:$C,'Investor Exit List'!$C388)</f>
        <v/>
      </c>
      <c r="K388" s="142">
        <f>IF(I388=TRUE,J388,"")</f>
        <v/>
      </c>
      <c r="L388" s="142">
        <f>G388+730</f>
        <v/>
      </c>
      <c r="M388" s="142" t="n">
        <v>45443</v>
      </c>
      <c r="N388" s="143">
        <f>IFERROR(IF(G388&lt;&gt;"",IF(I388=TRUE,0,IF(U388=TRUE,0,L388-M388)),0),0)</f>
        <v/>
      </c>
      <c r="O388" s="143">
        <f>IF(N388&gt;0,IF(N388&lt;=180,N388,0),0)</f>
        <v/>
      </c>
      <c r="P388" s="141">
        <f>IF(AND(N388&lt;90,N388&gt;0),Q388,0)</f>
        <v/>
      </c>
      <c r="Q388" s="141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/>
      </c>
      <c r="R388" s="141">
        <f>IF(AND(H388=TRUE,I388=FALSE),Q388,0)</f>
        <v/>
      </c>
      <c r="S388" s="141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/>
      </c>
      <c r="T388" s="142">
        <f>IF(U388=TRUE,$J388,"")</f>
        <v/>
      </c>
      <c r="U388" s="140" t="b">
        <v>0</v>
      </c>
      <c r="V388" s="141">
        <f>IF(AND(H388=TRUE,OR(K388="",K388&gt;M388)),S388,0)</f>
        <v/>
      </c>
      <c r="W388" s="140" t="n">
        <v>0</v>
      </c>
      <c r="X388" s="140" t="b">
        <v>0</v>
      </c>
      <c r="Y388" s="143">
        <f>IF(H388=FALSE,VLOOKUP($C388,Sales!$C:$F,4,FALSE),1)</f>
        <v/>
      </c>
      <c r="Z388" s="140">
        <f>IF(Y388=0,"Release",IF(AND(L388&lt;J388,Y388=1,H388=FALSE,U388=FALSE,MONTH(L388)&amp;"/"&amp;YEAR(L388)&lt;&gt;MONTH(J388)&amp;"/"&amp;YEAR(J388)),"Release",""))</f>
        <v/>
      </c>
      <c r="AA388" s="144">
        <f>_xlfn.minifs($L:$L,$C:$C,$C388,$F:$F,"&lt;&gt;0")</f>
        <v/>
      </c>
      <c r="AB388" s="144">
        <f>C388&amp;"-"&amp;A388</f>
        <v/>
      </c>
      <c r="AC388" s="144">
        <f>L388</f>
        <v/>
      </c>
    </row>
    <row r="389">
      <c r="A389" s="140" t="inlineStr">
        <is>
          <t>ZVDM01</t>
        </is>
      </c>
      <c r="B389" s="140" t="n">
        <v>5</v>
      </c>
      <c r="C389" s="140" t="inlineStr">
        <is>
          <t>HVK202</t>
        </is>
      </c>
      <c r="D389" s="140" t="inlineStr">
        <is>
          <t>K</t>
        </is>
      </c>
      <c r="E389" s="140" t="inlineStr">
        <is>
          <t>van der Mescht Paula</t>
        </is>
      </c>
      <c r="F389" s="141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</f>
        <v/>
      </c>
      <c r="G389" s="142" t="n">
        <v>44986</v>
      </c>
      <c r="H389" s="140">
        <f>VLOOKUP($C389,Sales!$C:$E,2,FALSE)</f>
        <v/>
      </c>
      <c r="I389" s="140">
        <f>VLOOKUP($C389,Sales!$C:$E,3,FALSE)</f>
        <v/>
      </c>
      <c r="J389" s="142">
        <f>SUMIFS(Sales!$H:$H,Sales!$C:$C,'Investor Exit List'!$C389)</f>
        <v/>
      </c>
      <c r="K389" s="142">
        <f>IF(I389=TRUE,J389,"")</f>
        <v/>
      </c>
      <c r="L389" s="142">
        <f>G389+730</f>
        <v/>
      </c>
      <c r="M389" s="142" t="n">
        <v>45443</v>
      </c>
      <c r="N389" s="143">
        <f>IFERROR(IF(G389&lt;&gt;"",IF(I389=TRUE,0,IF(U389=TRUE,0,L389-M389)),0),0)</f>
        <v/>
      </c>
      <c r="O389" s="143">
        <f>IF(N389&gt;0,IF(N389&lt;=180,N389,0),0)</f>
        <v/>
      </c>
      <c r="P389" s="141">
        <f>IF(AND(N389&lt;90,N389&gt;0),Q389,0)</f>
        <v/>
      </c>
      <c r="Q389" s="141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/>
      </c>
      <c r="R389" s="141">
        <f>IF(AND(H389=TRUE,I389=FALSE),Q389,0)</f>
        <v/>
      </c>
      <c r="S389" s="141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/>
      </c>
      <c r="T389" s="142">
        <f>IF(U389=TRUE,$J389,"")</f>
        <v/>
      </c>
      <c r="U389" s="140" t="b">
        <v>0</v>
      </c>
      <c r="V389" s="141">
        <f>IF(AND(H389=TRUE,OR(K389="",K389&gt;M389)),S389,0)</f>
        <v/>
      </c>
      <c r="W389" s="140" t="n">
        <v>0</v>
      </c>
      <c r="X389" s="140" t="b">
        <v>0</v>
      </c>
      <c r="Y389" s="143">
        <f>IF(H389=FALSE,VLOOKUP($C389,Sales!$C:$F,4,FALSE),1)</f>
        <v/>
      </c>
      <c r="Z389" s="140">
        <f>IF(Y389=0,"Release",IF(AND(L389&lt;J389,Y389=1,H389=FALSE,U389=FALSE,MONTH(L389)&amp;"/"&amp;YEAR(L389)&lt;&gt;MONTH(J389)&amp;"/"&amp;YEAR(J389)),"Release",""))</f>
        <v/>
      </c>
      <c r="AA389" s="144">
        <f>_xlfn.minifs($L:$L,$C:$C,$C389,$F:$F,"&lt;&gt;0")</f>
        <v/>
      </c>
      <c r="AB389" s="144">
        <f>C389&amp;"-"&amp;A389</f>
        <v/>
      </c>
      <c r="AC389" s="144">
        <f>L389</f>
        <v/>
      </c>
    </row>
    <row r="390">
      <c r="A390" s="140" t="inlineStr">
        <is>
          <t>ZZYL03</t>
        </is>
      </c>
      <c r="B390" s="140" t="n">
        <v>4</v>
      </c>
      <c r="C390" s="140" t="inlineStr">
        <is>
          <t>HVK202</t>
        </is>
      </c>
      <c r="D390" s="140" t="inlineStr">
        <is>
          <t>K</t>
        </is>
      </c>
      <c r="E390" s="140" t="inlineStr">
        <is>
          <t>Zylstra Sandra Robyn</t>
        </is>
      </c>
      <c r="F390" s="141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</f>
        <v/>
      </c>
      <c r="G390" s="142" t="n">
        <v>45016</v>
      </c>
      <c r="H390" s="140">
        <f>VLOOKUP($C390,Sales!$C:$E,2,FALSE)</f>
        <v/>
      </c>
      <c r="I390" s="140">
        <f>VLOOKUP($C390,Sales!$C:$E,3,FALSE)</f>
        <v/>
      </c>
      <c r="J390" s="142">
        <f>SUMIFS(Sales!$H:$H,Sales!$C:$C,'Investor Exit List'!$C390)</f>
        <v/>
      </c>
      <c r="K390" s="142">
        <f>IF(I390=TRUE,J390,"")</f>
        <v/>
      </c>
      <c r="L390" s="142">
        <f>G390+730</f>
        <v/>
      </c>
      <c r="M390" s="142" t="n">
        <v>45443</v>
      </c>
      <c r="N390" s="143">
        <f>IFERROR(IF(G390&lt;&gt;"",IF(I390=TRUE,0,IF(U390=TRUE,0,L390-M390)),0),0)</f>
        <v/>
      </c>
      <c r="O390" s="143">
        <f>IF(N390&gt;0,IF(N390&lt;=180,N390,0),0)</f>
        <v/>
      </c>
      <c r="P390" s="141">
        <f>IF(AND(N390&lt;90,N390&gt;0),Q390,0)</f>
        <v/>
      </c>
      <c r="Q390" s="141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/>
      </c>
      <c r="R390" s="141">
        <f>IF(AND(H390=TRUE,I390=FALSE),Q390,0)</f>
        <v/>
      </c>
      <c r="S390" s="141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/>
      </c>
      <c r="T390" s="142">
        <f>IF(U390=TRUE,$J390,"")</f>
        <v/>
      </c>
      <c r="U390" s="140" t="b">
        <v>0</v>
      </c>
      <c r="V390" s="141">
        <f>IF(AND(H390=TRUE,OR(K390="",K390&gt;M390)),S390,0)</f>
        <v/>
      </c>
      <c r="W390" s="140" t="n">
        <v>0</v>
      </c>
      <c r="X390" s="140" t="b">
        <v>0</v>
      </c>
      <c r="Y390" s="143">
        <f>IF(H390=FALSE,VLOOKUP($C390,Sales!$C:$F,4,FALSE),1)</f>
        <v/>
      </c>
      <c r="Z390" s="140">
        <f>IF(Y390=0,"Release",IF(AND(L390&lt;J390,Y390=1,H390=FALSE,U390=FALSE,MONTH(L390)&amp;"/"&amp;YEAR(L390)&lt;&gt;MONTH(J390)&amp;"/"&amp;YEAR(J390)),"Release",""))</f>
        <v/>
      </c>
      <c r="AA390" s="144">
        <f>_xlfn.minifs($L:$L,$C:$C,$C390,$F:$F,"&lt;&gt;0")</f>
        <v/>
      </c>
      <c r="AB390" s="144">
        <f>C390&amp;"-"&amp;A390</f>
        <v/>
      </c>
      <c r="AC390" s="144">
        <f>L390</f>
        <v/>
      </c>
    </row>
    <row r="391">
      <c r="A391" s="140" t="inlineStr">
        <is>
          <t>ZASD01</t>
        </is>
      </c>
      <c r="B391" s="140" t="n">
        <v>2</v>
      </c>
      <c r="C391" s="140" t="inlineStr">
        <is>
          <t>HVK203</t>
        </is>
      </c>
      <c r="D391" s="140" t="inlineStr">
        <is>
          <t>K</t>
        </is>
      </c>
      <c r="E391" s="140" t="inlineStr">
        <is>
          <t>Bendall Stuart Charles</t>
        </is>
      </c>
      <c r="F391" s="141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</f>
        <v/>
      </c>
      <c r="G391" s="142" t="n">
        <v>44916</v>
      </c>
      <c r="H391" s="140">
        <f>VLOOKUP($C391,Sales!$C:$E,2,FALSE)</f>
        <v/>
      </c>
      <c r="I391" s="140">
        <f>VLOOKUP($C391,Sales!$C:$E,3,FALSE)</f>
        <v/>
      </c>
      <c r="J391" s="142">
        <f>SUMIFS(Sales!$H:$H,Sales!$C:$C,'Investor Exit List'!$C391)</f>
        <v/>
      </c>
      <c r="K391" s="142">
        <f>IF(I391=TRUE,J391,"")</f>
        <v/>
      </c>
      <c r="L391" s="142">
        <f>G391+730</f>
        <v/>
      </c>
      <c r="M391" s="142" t="n">
        <v>45443</v>
      </c>
      <c r="N391" s="143">
        <f>IFERROR(IF(G391&lt;&gt;"",IF(I391=TRUE,0,IF(U391=TRUE,0,L391-M391)),0),0)</f>
        <v/>
      </c>
      <c r="O391" s="143">
        <f>IF(N391&gt;0,IF(N391&lt;=180,N391,0),0)</f>
        <v/>
      </c>
      <c r="P391" s="141">
        <f>IF(AND(N391&lt;90,N391&gt;0),Q391,0)</f>
        <v/>
      </c>
      <c r="Q391" s="141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/>
      </c>
      <c r="R391" s="141">
        <f>IF(AND(H391=TRUE,I391=FALSE),Q391,0)</f>
        <v/>
      </c>
      <c r="S391" s="141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/>
      </c>
      <c r="T391" s="142">
        <f>IF(U391=TRUE,$J391,"")</f>
        <v/>
      </c>
      <c r="U391" s="140" t="b">
        <v>0</v>
      </c>
      <c r="V391" s="141">
        <f>IF(AND(H391=TRUE,OR(K391="",K391&gt;M391)),S391,0)</f>
        <v/>
      </c>
      <c r="W391" s="140" t="n">
        <v>0</v>
      </c>
      <c r="X391" s="140" t="b">
        <v>0</v>
      </c>
      <c r="Y391" s="143">
        <f>IF(H391=FALSE,VLOOKUP($C391,Sales!$C:$F,4,FALSE),1)</f>
        <v/>
      </c>
      <c r="Z391" s="140">
        <f>IF(Y391=0,"Release",IF(AND(L391&lt;J391,Y391=1,H391=FALSE,U391=FALSE,MONTH(L391)&amp;"/"&amp;YEAR(L391)&lt;&gt;MONTH(J391)&amp;"/"&amp;YEAR(J391)),"Release",""))</f>
        <v/>
      </c>
      <c r="AA391" s="144">
        <f>_xlfn.minifs($L:$L,$C:$C,$C391,$F:$F,"&lt;&gt;0")</f>
        <v/>
      </c>
      <c r="AB391" s="144">
        <f>C391&amp;"-"&amp;A391</f>
        <v/>
      </c>
      <c r="AC391" s="144">
        <f>L391</f>
        <v/>
      </c>
    </row>
    <row r="392">
      <c r="A392" s="140" t="inlineStr">
        <is>
          <t>ZLOU01</t>
        </is>
      </c>
      <c r="B392" s="140" t="n">
        <v>2</v>
      </c>
      <c r="C392" s="140" t="inlineStr">
        <is>
          <t>HVK203</t>
        </is>
      </c>
      <c r="D392" s="140" t="inlineStr">
        <is>
          <t>K</t>
        </is>
      </c>
      <c r="E392" s="140" t="inlineStr">
        <is>
          <t>Louw Ricardo Brandon</t>
        </is>
      </c>
      <c r="F392" s="141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</f>
        <v/>
      </c>
      <c r="G392" s="142" t="n">
        <v>45044</v>
      </c>
      <c r="H392" s="140">
        <f>VLOOKUP($C392,Sales!$C:$E,2,FALSE)</f>
        <v/>
      </c>
      <c r="I392" s="140">
        <f>VLOOKUP($C392,Sales!$C:$E,3,FALSE)</f>
        <v/>
      </c>
      <c r="J392" s="142">
        <f>SUMIFS(Sales!$H:$H,Sales!$C:$C,'Investor Exit List'!$C392)</f>
        <v/>
      </c>
      <c r="K392" s="142">
        <f>IF(I392=TRUE,J392,"")</f>
        <v/>
      </c>
      <c r="L392" s="142">
        <f>G392+730</f>
        <v/>
      </c>
      <c r="M392" s="142" t="n">
        <v>45443</v>
      </c>
      <c r="N392" s="143">
        <f>IFERROR(IF(G392&lt;&gt;"",IF(I392=TRUE,0,IF(U392=TRUE,0,L392-M392)),0),0)</f>
        <v/>
      </c>
      <c r="O392" s="143">
        <f>IF(N392&gt;0,IF(N392&lt;=180,N392,0),0)</f>
        <v/>
      </c>
      <c r="P392" s="141">
        <f>IF(AND(N392&lt;90,N392&gt;0),Q392,0)</f>
        <v/>
      </c>
      <c r="Q392" s="141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/>
      </c>
      <c r="R392" s="141">
        <f>IF(AND(H392=TRUE,I392=FALSE),Q392,0)</f>
        <v/>
      </c>
      <c r="S392" s="141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/>
      </c>
      <c r="T392" s="142">
        <f>IF(U392=TRUE,$J392,"")</f>
        <v/>
      </c>
      <c r="U392" s="140" t="b">
        <v>0</v>
      </c>
      <c r="V392" s="141">
        <f>IF(AND(H392=TRUE,OR(K392="",K392&gt;M392)),S392,0)</f>
        <v/>
      </c>
      <c r="W392" s="140" t="n">
        <v>0</v>
      </c>
      <c r="X392" s="140" t="b">
        <v>0</v>
      </c>
      <c r="Y392" s="143">
        <f>IF(H392=FALSE,VLOOKUP($C392,Sales!$C:$F,4,FALSE),1)</f>
        <v/>
      </c>
      <c r="Z392" s="140">
        <f>IF(Y392=0,"Release",IF(AND(L392&lt;J392,Y392=1,H392=FALSE,U392=FALSE,MONTH(L392)&amp;"/"&amp;YEAR(L392)&lt;&gt;MONTH(J392)&amp;"/"&amp;YEAR(J392)),"Release",""))</f>
        <v/>
      </c>
      <c r="AA392" s="144">
        <f>_xlfn.minifs($L:$L,$C:$C,$C392,$F:$F,"&lt;&gt;0")</f>
        <v/>
      </c>
      <c r="AB392" s="144">
        <f>C392&amp;"-"&amp;A392</f>
        <v/>
      </c>
      <c r="AC392" s="144">
        <f>L392</f>
        <v/>
      </c>
    </row>
    <row r="393">
      <c r="A393" s="140" t="inlineStr">
        <is>
          <t>ZSPE01</t>
        </is>
      </c>
      <c r="B393" s="140" t="n">
        <v>4</v>
      </c>
      <c r="C393" s="140" t="inlineStr">
        <is>
          <t>HVK203</t>
        </is>
      </c>
      <c r="D393" s="140" t="inlineStr">
        <is>
          <t>K</t>
        </is>
      </c>
      <c r="E393" s="140" t="inlineStr">
        <is>
          <t>Speelman Mosiuoa Samuel</t>
        </is>
      </c>
      <c r="F393" s="141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</f>
        <v/>
      </c>
      <c r="G393" s="142" t="n">
        <v>45016</v>
      </c>
      <c r="H393" s="140">
        <f>VLOOKUP($C393,Sales!$C:$E,2,FALSE)</f>
        <v/>
      </c>
      <c r="I393" s="140">
        <f>VLOOKUP($C393,Sales!$C:$E,3,FALSE)</f>
        <v/>
      </c>
      <c r="J393" s="142">
        <f>SUMIFS(Sales!$H:$H,Sales!$C:$C,'Investor Exit List'!$C393)</f>
        <v/>
      </c>
      <c r="K393" s="142">
        <f>IF(I393=TRUE,J393,"")</f>
        <v/>
      </c>
      <c r="L393" s="142">
        <f>G393+730</f>
        <v/>
      </c>
      <c r="M393" s="142" t="n">
        <v>45443</v>
      </c>
      <c r="N393" s="143">
        <f>IFERROR(IF(G393&lt;&gt;"",IF(I393=TRUE,0,IF(U393=TRUE,0,L393-M393)),0),0)</f>
        <v/>
      </c>
      <c r="O393" s="143">
        <f>IF(N393&gt;0,IF(N393&lt;=180,N393,0),0)</f>
        <v/>
      </c>
      <c r="P393" s="141">
        <f>IF(AND(N393&lt;90,N393&gt;0),Q393,0)</f>
        <v/>
      </c>
      <c r="Q393" s="141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/>
      </c>
      <c r="R393" s="141">
        <f>IF(AND(H393=TRUE,I393=FALSE),Q393,0)</f>
        <v/>
      </c>
      <c r="S393" s="141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/>
      </c>
      <c r="T393" s="142">
        <f>IF(U393=TRUE,$J393,"")</f>
        <v/>
      </c>
      <c r="U393" s="140" t="b">
        <v>0</v>
      </c>
      <c r="V393" s="141">
        <f>IF(AND(H393=TRUE,OR(K393="",K393&gt;M393)),S393,0)</f>
        <v/>
      </c>
      <c r="W393" s="140" t="n">
        <v>0</v>
      </c>
      <c r="X393" s="140" t="b">
        <v>0</v>
      </c>
      <c r="Y393" s="143">
        <f>IF(H393=FALSE,VLOOKUP($C393,Sales!$C:$F,4,FALSE),1)</f>
        <v/>
      </c>
      <c r="Z393" s="140">
        <f>IF(Y393=0,"Release",IF(AND(L393&lt;J393,Y393=1,H393=FALSE,U393=FALSE,MONTH(L393)&amp;"/"&amp;YEAR(L393)&lt;&gt;MONTH(J393)&amp;"/"&amp;YEAR(J393)),"Release",""))</f>
        <v/>
      </c>
      <c r="AA393" s="144">
        <f>_xlfn.minifs($L:$L,$C:$C,$C393,$F:$F,"&lt;&gt;0")</f>
        <v/>
      </c>
      <c r="AB393" s="144">
        <f>C393&amp;"-"&amp;A393</f>
        <v/>
      </c>
      <c r="AC393" s="144">
        <f>L393</f>
        <v/>
      </c>
    </row>
    <row r="394">
      <c r="A394" s="140" t="inlineStr">
        <is>
          <t>ZCAM01</t>
        </is>
      </c>
      <c r="B394" s="140" t="n">
        <v>3</v>
      </c>
      <c r="C394" s="140" t="inlineStr">
        <is>
          <t>HVK204</t>
        </is>
      </c>
      <c r="D394" s="140" t="inlineStr">
        <is>
          <t>K</t>
        </is>
      </c>
      <c r="E394" s="140" t="inlineStr">
        <is>
          <t>Campbell Jeremy &amp; Rosaline</t>
        </is>
      </c>
      <c r="F394" s="141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</f>
        <v/>
      </c>
      <c r="G394" s="142" t="n">
        <v>45016</v>
      </c>
      <c r="H394" s="140">
        <f>VLOOKUP($C394,Sales!$C:$E,2,FALSE)</f>
        <v/>
      </c>
      <c r="I394" s="140">
        <f>VLOOKUP($C394,Sales!$C:$E,3,FALSE)</f>
        <v/>
      </c>
      <c r="J394" s="142">
        <f>SUMIFS(Sales!$H:$H,Sales!$C:$C,'Investor Exit List'!$C394)</f>
        <v/>
      </c>
      <c r="K394" s="142">
        <f>IF(I394=TRUE,J394,"")</f>
        <v/>
      </c>
      <c r="L394" s="142">
        <f>G394+730</f>
        <v/>
      </c>
      <c r="M394" s="142" t="n">
        <v>45443</v>
      </c>
      <c r="N394" s="143">
        <f>IFERROR(IF(G394&lt;&gt;"",IF(I394=TRUE,0,IF(U394=TRUE,0,L394-M394)),0),0)</f>
        <v/>
      </c>
      <c r="O394" s="143">
        <f>IF(N394&gt;0,IF(N394&lt;=180,N394,0),0)</f>
        <v/>
      </c>
      <c r="P394" s="141">
        <f>IF(AND(N394&lt;90,N394&gt;0),Q394,0)</f>
        <v/>
      </c>
      <c r="Q394" s="141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/>
      </c>
      <c r="R394" s="141">
        <f>IF(AND(H394=TRUE,I394=FALSE),Q394,0)</f>
        <v/>
      </c>
      <c r="S394" s="141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/>
      </c>
      <c r="T394" s="142">
        <f>IF(U394=TRUE,$J394,"")</f>
        <v/>
      </c>
      <c r="U394" s="140" t="b">
        <v>0</v>
      </c>
      <c r="V394" s="141">
        <f>IF(AND(H394=TRUE,OR(K394="",K394&gt;M394)),S394,0)</f>
        <v/>
      </c>
      <c r="W394" s="140" t="n">
        <v>0</v>
      </c>
      <c r="X394" s="140" t="b">
        <v>0</v>
      </c>
      <c r="Y394" s="143">
        <f>IF(H394=FALSE,VLOOKUP($C394,Sales!$C:$F,4,FALSE),1)</f>
        <v/>
      </c>
      <c r="Z394" s="140">
        <f>IF(Y394=0,"Release",IF(AND(L394&lt;J394,Y394=1,H394=FALSE,U394=FALSE,MONTH(L394)&amp;"/"&amp;YEAR(L394)&lt;&gt;MONTH(J394)&amp;"/"&amp;YEAR(J394)),"Release",""))</f>
        <v/>
      </c>
      <c r="AA394" s="144">
        <f>_xlfn.minifs($L:$L,$C:$C,$C394,$F:$F,"&lt;&gt;0")</f>
        <v/>
      </c>
      <c r="AB394" s="144">
        <f>C394&amp;"-"&amp;A394</f>
        <v/>
      </c>
      <c r="AC394" s="144">
        <f>L394</f>
        <v/>
      </c>
    </row>
    <row r="395">
      <c r="A395" s="140" t="inlineStr">
        <is>
          <t>ZFEM01</t>
        </is>
      </c>
      <c r="B395" s="140" t="n">
        <v>4</v>
      </c>
      <c r="C395" s="140" t="inlineStr">
        <is>
          <t>HVK204</t>
        </is>
      </c>
      <c r="D395" s="140" t="inlineStr">
        <is>
          <t>K</t>
        </is>
      </c>
      <c r="E395" s="140" t="inlineStr">
        <is>
          <t>Morkel Francina Elisabeth</t>
        </is>
      </c>
      <c r="F395" s="141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</f>
        <v/>
      </c>
      <c r="G395" s="142" t="n">
        <v>44916</v>
      </c>
      <c r="H395" s="140">
        <f>VLOOKUP($C395,Sales!$C:$E,2,FALSE)</f>
        <v/>
      </c>
      <c r="I395" s="140">
        <f>VLOOKUP($C395,Sales!$C:$E,3,FALSE)</f>
        <v/>
      </c>
      <c r="J395" s="142">
        <f>SUMIFS(Sales!$H:$H,Sales!$C:$C,'Investor Exit List'!$C395)</f>
        <v/>
      </c>
      <c r="K395" s="142">
        <f>IF(I395=TRUE,J395,"")</f>
        <v/>
      </c>
      <c r="L395" s="142">
        <f>G395+730</f>
        <v/>
      </c>
      <c r="M395" s="142" t="n">
        <v>45443</v>
      </c>
      <c r="N395" s="143">
        <f>IFERROR(IF(G395&lt;&gt;"",IF(I395=TRUE,0,IF(U395=TRUE,0,L395-M395)),0),0)</f>
        <v/>
      </c>
      <c r="O395" s="143">
        <f>IF(N395&gt;0,IF(N395&lt;=180,N395,0),0)</f>
        <v/>
      </c>
      <c r="P395" s="141">
        <f>IF(AND(N395&lt;90,N395&gt;0),Q395,0)</f>
        <v/>
      </c>
      <c r="Q395" s="141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/>
      </c>
      <c r="R395" s="141">
        <f>IF(AND(H395=TRUE,I395=FALSE),Q395,0)</f>
        <v/>
      </c>
      <c r="S395" s="141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/>
      </c>
      <c r="T395" s="142">
        <f>IF(U395=TRUE,$J395,"")</f>
        <v/>
      </c>
      <c r="U395" s="140" t="b">
        <v>0</v>
      </c>
      <c r="V395" s="141">
        <f>IF(AND(H395=TRUE,OR(K395="",K395&gt;M395)),S395,0)</f>
        <v/>
      </c>
      <c r="W395" s="140" t="n">
        <v>0</v>
      </c>
      <c r="X395" s="140" t="b">
        <v>0</v>
      </c>
      <c r="Y395" s="143">
        <f>IF(H395=FALSE,VLOOKUP($C395,Sales!$C:$F,4,FALSE),1)</f>
        <v/>
      </c>
      <c r="Z395" s="140">
        <f>IF(Y395=0,"Release",IF(AND(L395&lt;J395,Y395=1,H395=FALSE,U395=FALSE,MONTH(L395)&amp;"/"&amp;YEAR(L395)&lt;&gt;MONTH(J395)&amp;"/"&amp;YEAR(J395)),"Release",""))</f>
        <v/>
      </c>
      <c r="AA395" s="144">
        <f>_xlfn.minifs($L:$L,$C:$C,$C395,$F:$F,"&lt;&gt;0")</f>
        <v/>
      </c>
      <c r="AB395" s="144">
        <f>C395&amp;"-"&amp;A395</f>
        <v/>
      </c>
      <c r="AC395" s="144">
        <f>L395</f>
        <v/>
      </c>
    </row>
    <row r="396">
      <c r="A396" s="140" t="inlineStr">
        <is>
          <t>ZKRO03</t>
        </is>
      </c>
      <c r="B396" s="140" t="n">
        <v>2</v>
      </c>
      <c r="C396" s="140" t="inlineStr">
        <is>
          <t>HVK204</t>
        </is>
      </c>
      <c r="D396" s="140" t="inlineStr">
        <is>
          <t>K</t>
        </is>
      </c>
      <c r="E396" s="140" t="inlineStr">
        <is>
          <t>Krohn Jacqueline</t>
        </is>
      </c>
      <c r="F396" s="141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</f>
        <v/>
      </c>
      <c r="G396" s="142" t="n">
        <v>44980</v>
      </c>
      <c r="H396" s="140">
        <f>VLOOKUP($C396,Sales!$C:$E,2,FALSE)</f>
        <v/>
      </c>
      <c r="I396" s="140">
        <f>VLOOKUP($C396,Sales!$C:$E,3,FALSE)</f>
        <v/>
      </c>
      <c r="J396" s="142">
        <f>SUMIFS(Sales!$H:$H,Sales!$C:$C,'Investor Exit List'!$C396)</f>
        <v/>
      </c>
      <c r="K396" s="142">
        <f>IF(I396=TRUE,J396,"")</f>
        <v/>
      </c>
      <c r="L396" s="142">
        <f>G396+730</f>
        <v/>
      </c>
      <c r="M396" s="142" t="n">
        <v>45443</v>
      </c>
      <c r="N396" s="143">
        <f>IFERROR(IF(G396&lt;&gt;"",IF(I396=TRUE,0,IF(U396=TRUE,0,L396-M396)),0),0)</f>
        <v/>
      </c>
      <c r="O396" s="143">
        <f>IF(N396&gt;0,IF(N396&lt;=180,N396,0),0)</f>
        <v/>
      </c>
      <c r="P396" s="141">
        <f>IF(AND(N396&lt;90,N396&gt;0),Q396,0)</f>
        <v/>
      </c>
      <c r="Q396" s="141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/>
      </c>
      <c r="R396" s="141">
        <f>IF(AND(H396=TRUE,I396=FALSE),Q396,0)</f>
        <v/>
      </c>
      <c r="S396" s="141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/>
      </c>
      <c r="T396" s="142">
        <f>IF(U396=TRUE,$J396,"")</f>
        <v/>
      </c>
      <c r="U396" s="140" t="b">
        <v>0</v>
      </c>
      <c r="V396" s="141">
        <f>IF(AND(H396=TRUE,OR(K396="",K396&gt;M396)),S396,0)</f>
        <v/>
      </c>
      <c r="W396" s="140" t="n">
        <v>0</v>
      </c>
      <c r="X396" s="140" t="b">
        <v>0</v>
      </c>
      <c r="Y396" s="143">
        <f>IF(H396=FALSE,VLOOKUP($C396,Sales!$C:$F,4,FALSE),1)</f>
        <v/>
      </c>
      <c r="Z396" s="140">
        <f>IF(Y396=0,"Release",IF(AND(L396&lt;J396,Y396=1,H396=FALSE,U396=FALSE,MONTH(L396)&amp;"/"&amp;YEAR(L396)&lt;&gt;MONTH(J396)&amp;"/"&amp;YEAR(J396)),"Release",""))</f>
        <v/>
      </c>
      <c r="AA396" s="144">
        <f>_xlfn.minifs($L:$L,$C:$C,$C396,$F:$F,"&lt;&gt;0")</f>
        <v/>
      </c>
      <c r="AB396" s="144">
        <f>C396&amp;"-"&amp;A396</f>
        <v/>
      </c>
      <c r="AC396" s="144">
        <f>L396</f>
        <v/>
      </c>
    </row>
    <row r="397">
      <c r="A397" s="140" t="inlineStr">
        <is>
          <t>ZVDW01</t>
        </is>
      </c>
      <c r="B397" s="140" t="n">
        <v>2</v>
      </c>
      <c r="C397" s="140" t="inlineStr">
        <is>
          <t>HVK205</t>
        </is>
      </c>
      <c r="D397" s="140" t="inlineStr">
        <is>
          <t>K</t>
        </is>
      </c>
      <c r="E397" s="140" t="inlineStr">
        <is>
          <t>van der Walt  Philip</t>
        </is>
      </c>
      <c r="F397" s="141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</f>
        <v/>
      </c>
      <c r="G397" s="142" t="n">
        <v>45016</v>
      </c>
      <c r="H397" s="140">
        <f>VLOOKUP($C397,Sales!$C:$E,2,FALSE)</f>
        <v/>
      </c>
      <c r="I397" s="140">
        <f>VLOOKUP($C397,Sales!$C:$E,3,FALSE)</f>
        <v/>
      </c>
      <c r="J397" s="142">
        <f>SUMIFS(Sales!$H:$H,Sales!$C:$C,'Investor Exit List'!$C397)</f>
        <v/>
      </c>
      <c r="K397" s="142">
        <f>IF(I397=TRUE,J397,"")</f>
        <v/>
      </c>
      <c r="L397" s="142">
        <f>G397+730</f>
        <v/>
      </c>
      <c r="M397" s="142" t="n">
        <v>45443</v>
      </c>
      <c r="N397" s="143">
        <f>IFERROR(IF(G397&lt;&gt;"",IF(I397=TRUE,0,IF(U397=TRUE,0,L397-M397)),0),0)</f>
        <v/>
      </c>
      <c r="O397" s="143">
        <f>IF(N397&gt;0,IF(N397&lt;=180,N397,0),0)</f>
        <v/>
      </c>
      <c r="P397" s="141">
        <f>IF(AND(N397&lt;90,N397&gt;0),Q397,0)</f>
        <v/>
      </c>
      <c r="Q397" s="141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/>
      </c>
      <c r="R397" s="141">
        <f>IF(AND(H397=TRUE,I397=FALSE),Q397,0)</f>
        <v/>
      </c>
      <c r="S397" s="141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/>
      </c>
      <c r="T397" s="142">
        <f>IF(U397=TRUE,$J397,"")</f>
        <v/>
      </c>
      <c r="U397" s="140" t="b">
        <v>0</v>
      </c>
      <c r="V397" s="141">
        <f>IF(AND(H397=TRUE,OR(K397="",K397&gt;M397)),S397,0)</f>
        <v/>
      </c>
      <c r="W397" s="140" t="n">
        <v>0</v>
      </c>
      <c r="X397" s="140" t="b">
        <v>0</v>
      </c>
      <c r="Y397" s="143">
        <f>IF(H397=FALSE,VLOOKUP($C397,Sales!$C:$F,4,FALSE),1)</f>
        <v/>
      </c>
      <c r="Z397" s="140">
        <f>IF(Y397=0,"Release",IF(AND(L397&lt;J397,Y397=1,H397=FALSE,U397=FALSE,MONTH(L397)&amp;"/"&amp;YEAR(L397)&lt;&gt;MONTH(J397)&amp;"/"&amp;YEAR(J397)),"Release",""))</f>
        <v/>
      </c>
      <c r="AA397" s="144">
        <f>_xlfn.minifs($L:$L,$C:$C,$C397,$F:$F,"&lt;&gt;0")</f>
        <v/>
      </c>
      <c r="AB397" s="144">
        <f>C397&amp;"-"&amp;A397</f>
        <v/>
      </c>
      <c r="AC397" s="144">
        <f>L397</f>
        <v/>
      </c>
    </row>
    <row r="398">
      <c r="A398" s="140" t="inlineStr">
        <is>
          <t>ZZYL02</t>
        </is>
      </c>
      <c r="B398" s="140" t="n">
        <v>3</v>
      </c>
      <c r="C398" s="140" t="inlineStr">
        <is>
          <t>HVK205</t>
        </is>
      </c>
      <c r="D398" s="140" t="inlineStr">
        <is>
          <t>K</t>
        </is>
      </c>
      <c r="E398" s="140" t="inlineStr">
        <is>
          <t>Zylstra Petronella Johanna</t>
        </is>
      </c>
      <c r="F398" s="141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</f>
        <v/>
      </c>
      <c r="G398" s="142" t="n">
        <v>44916</v>
      </c>
      <c r="H398" s="140">
        <f>VLOOKUP($C398,Sales!$C:$E,2,FALSE)</f>
        <v/>
      </c>
      <c r="I398" s="140">
        <f>VLOOKUP($C398,Sales!$C:$E,3,FALSE)</f>
        <v/>
      </c>
      <c r="J398" s="142">
        <f>SUMIFS(Sales!$H:$H,Sales!$C:$C,'Investor Exit List'!$C398)</f>
        <v/>
      </c>
      <c r="K398" s="142">
        <f>IF(I398=TRUE,J398,"")</f>
        <v/>
      </c>
      <c r="L398" s="142">
        <f>G398+730</f>
        <v/>
      </c>
      <c r="M398" s="142" t="n">
        <v>45443</v>
      </c>
      <c r="N398" s="143">
        <f>IFERROR(IF(G398&lt;&gt;"",IF(I398=TRUE,0,IF(U398=TRUE,0,L398-M398)),0),0)</f>
        <v/>
      </c>
      <c r="O398" s="143">
        <f>IF(N398&gt;0,IF(N398&lt;=180,N398,0),0)</f>
        <v/>
      </c>
      <c r="P398" s="141">
        <f>IF(AND(N398&lt;90,N398&gt;0),Q398,0)</f>
        <v/>
      </c>
      <c r="Q398" s="141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/>
      </c>
      <c r="R398" s="141">
        <f>IF(AND(H398=TRUE,I398=FALSE),Q398,0)</f>
        <v/>
      </c>
      <c r="S398" s="141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/>
      </c>
      <c r="T398" s="142">
        <f>IF(U398=TRUE,$J398,"")</f>
        <v/>
      </c>
      <c r="U398" s="140" t="b">
        <v>0</v>
      </c>
      <c r="V398" s="141">
        <f>IF(AND(H398=TRUE,OR(K398="",K398&gt;M398)),S398,0)</f>
        <v/>
      </c>
      <c r="W398" s="140" t="n">
        <v>0</v>
      </c>
      <c r="X398" s="140" t="b">
        <v>0</v>
      </c>
      <c r="Y398" s="143">
        <f>IF(H398=FALSE,VLOOKUP($C398,Sales!$C:$F,4,FALSE),1)</f>
        <v/>
      </c>
      <c r="Z398" s="140">
        <f>IF(Y398=0,"Release",IF(AND(L398&lt;J398,Y398=1,H398=FALSE,U398=FALSE,MONTH(L398)&amp;"/"&amp;YEAR(L398)&lt;&gt;MONTH(J398)&amp;"/"&amp;YEAR(J398)),"Release",""))</f>
        <v/>
      </c>
      <c r="AA398" s="144">
        <f>_xlfn.minifs($L:$L,$C:$C,$C398,$F:$F,"&lt;&gt;0")</f>
        <v/>
      </c>
      <c r="AB398" s="144">
        <f>C398&amp;"-"&amp;A398</f>
        <v/>
      </c>
      <c r="AC398" s="144">
        <f>L398</f>
        <v/>
      </c>
    </row>
    <row r="399">
      <c r="A399" s="140" t="inlineStr">
        <is>
          <t>ZCOL01</t>
        </is>
      </c>
      <c r="B399" s="140" t="n">
        <v>4</v>
      </c>
      <c r="C399" s="140" t="inlineStr">
        <is>
          <t>HVK206</t>
        </is>
      </c>
      <c r="D399" s="140" t="inlineStr">
        <is>
          <t>K</t>
        </is>
      </c>
      <c r="E399" s="140" t="inlineStr">
        <is>
          <t>Collins Christine</t>
        </is>
      </c>
      <c r="F399" s="141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</f>
        <v/>
      </c>
      <c r="G399" s="142" t="n">
        <v>45008</v>
      </c>
      <c r="H399" s="140">
        <f>VLOOKUP($C399,Sales!$C:$E,2,FALSE)</f>
        <v/>
      </c>
      <c r="I399" s="140">
        <f>VLOOKUP($C399,Sales!$C:$E,3,FALSE)</f>
        <v/>
      </c>
      <c r="J399" s="142">
        <f>SUMIFS(Sales!$H:$H,Sales!$C:$C,'Investor Exit List'!$C399)</f>
        <v/>
      </c>
      <c r="K399" s="142">
        <f>IF(I399=TRUE,J399,"")</f>
        <v/>
      </c>
      <c r="L399" s="142">
        <f>G399+730</f>
        <v/>
      </c>
      <c r="M399" s="142" t="n">
        <v>45443</v>
      </c>
      <c r="N399" s="143">
        <f>IFERROR(IF(G399&lt;&gt;"",IF(I399=TRUE,0,IF(U399=TRUE,0,L399-M399)),0),0)</f>
        <v/>
      </c>
      <c r="O399" s="143">
        <f>IF(N399&gt;0,IF(N399&lt;=180,N399,0),0)</f>
        <v/>
      </c>
      <c r="P399" s="141">
        <f>IF(AND(N399&lt;90,N399&gt;0),Q399,0)</f>
        <v/>
      </c>
      <c r="Q399" s="141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/>
      </c>
      <c r="R399" s="141">
        <f>IF(AND(H399=TRUE,I399=FALSE),Q399,0)</f>
        <v/>
      </c>
      <c r="S399" s="141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/>
      </c>
      <c r="T399" s="142">
        <f>IF(U399=TRUE,$J399,"")</f>
        <v/>
      </c>
      <c r="U399" s="140" t="b">
        <v>0</v>
      </c>
      <c r="V399" s="141">
        <f>IF(AND(H399=TRUE,OR(K399="",K399&gt;M399)),S399,0)</f>
        <v/>
      </c>
      <c r="W399" s="140" t="n">
        <v>0</v>
      </c>
      <c r="X399" s="140" t="b">
        <v>0</v>
      </c>
      <c r="Y399" s="143">
        <f>IF(H399=FALSE,VLOOKUP($C399,Sales!$C:$F,4,FALSE),1)</f>
        <v/>
      </c>
      <c r="Z399" s="140">
        <f>IF(Y399=0,"Release",IF(AND(L399&lt;J399,Y399=1,H399=FALSE,U399=FALSE,MONTH(L399)&amp;"/"&amp;YEAR(L399)&lt;&gt;MONTH(J399)&amp;"/"&amp;YEAR(J399)),"Release",""))</f>
        <v/>
      </c>
      <c r="AA399" s="144">
        <f>_xlfn.minifs($L:$L,$C:$C,$C399,$F:$F,"&lt;&gt;0")</f>
        <v/>
      </c>
      <c r="AB399" s="144">
        <f>C399&amp;"-"&amp;A399</f>
        <v/>
      </c>
      <c r="AC399" s="144">
        <f>L399</f>
        <v/>
      </c>
    </row>
    <row r="400">
      <c r="A400" s="140" t="inlineStr">
        <is>
          <t>ZDIC01</t>
        </is>
      </c>
      <c r="B400" s="140" t="n">
        <v>11</v>
      </c>
      <c r="C400" s="140" t="inlineStr">
        <is>
          <t>HVK206</t>
        </is>
      </c>
      <c r="D400" s="140" t="inlineStr">
        <is>
          <t>K</t>
        </is>
      </c>
      <c r="E400" s="140" t="inlineStr">
        <is>
          <t>Dickinson Grant Allan</t>
        </is>
      </c>
      <c r="F400" s="141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</f>
        <v/>
      </c>
      <c r="G400" s="142" t="n">
        <v>45044</v>
      </c>
      <c r="H400" s="140">
        <f>VLOOKUP($C400,Sales!$C:$E,2,FALSE)</f>
        <v/>
      </c>
      <c r="I400" s="140">
        <f>VLOOKUP($C400,Sales!$C:$E,3,FALSE)</f>
        <v/>
      </c>
      <c r="J400" s="142">
        <f>SUMIFS(Sales!$H:$H,Sales!$C:$C,'Investor Exit List'!$C400)</f>
        <v/>
      </c>
      <c r="K400" s="142">
        <f>IF(I400=TRUE,J400,"")</f>
        <v/>
      </c>
      <c r="L400" s="142">
        <f>G400+730</f>
        <v/>
      </c>
      <c r="M400" s="142" t="n">
        <v>45443</v>
      </c>
      <c r="N400" s="143">
        <f>IFERROR(IF(G400&lt;&gt;"",IF(I400=TRUE,0,IF(U400=TRUE,0,L400-M400)),0),0)</f>
        <v/>
      </c>
      <c r="O400" s="143">
        <f>IF(N400&gt;0,IF(N400&lt;=180,N400,0),0)</f>
        <v/>
      </c>
      <c r="P400" s="141">
        <f>IF(AND(N400&lt;90,N400&gt;0),Q400,0)</f>
        <v/>
      </c>
      <c r="Q400" s="141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/>
      </c>
      <c r="R400" s="141">
        <f>IF(AND(H400=TRUE,I400=FALSE),Q400,0)</f>
        <v/>
      </c>
      <c r="S400" s="141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/>
      </c>
      <c r="T400" s="142">
        <f>IF(U400=TRUE,$J400,"")</f>
        <v/>
      </c>
      <c r="U400" s="140" t="b">
        <v>0</v>
      </c>
      <c r="V400" s="141">
        <f>IF(AND(H400=TRUE,OR(K400="",K400&gt;M400)),S400,0)</f>
        <v/>
      </c>
      <c r="W400" s="140" t="n">
        <v>0</v>
      </c>
      <c r="X400" s="140" t="b">
        <v>0</v>
      </c>
      <c r="Y400" s="143">
        <f>IF(H400=FALSE,VLOOKUP($C400,Sales!$C:$F,4,FALSE),1)</f>
        <v/>
      </c>
      <c r="Z400" s="140">
        <f>IF(Y400=0,"Release",IF(AND(L400&lt;J400,Y400=1,H400=FALSE,U400=FALSE,MONTH(L400)&amp;"/"&amp;YEAR(L400)&lt;&gt;MONTH(J400)&amp;"/"&amp;YEAR(J400)),"Release",""))</f>
        <v/>
      </c>
      <c r="AA400" s="144">
        <f>_xlfn.minifs($L:$L,$C:$C,$C400,$F:$F,"&lt;&gt;0")</f>
        <v/>
      </c>
      <c r="AB400" s="144">
        <f>C400&amp;"-"&amp;A400</f>
        <v/>
      </c>
      <c r="AC400" s="144">
        <f>L400</f>
        <v/>
      </c>
    </row>
    <row r="401">
      <c r="A401" s="140" t="inlineStr">
        <is>
          <t>ZFOU01</t>
        </is>
      </c>
      <c r="B401" s="140" t="n">
        <v>2</v>
      </c>
      <c r="C401" s="140" t="inlineStr">
        <is>
          <t>HVK206</t>
        </is>
      </c>
      <c r="D401" s="140" t="inlineStr">
        <is>
          <t>K</t>
        </is>
      </c>
      <c r="E401" s="140" t="inlineStr">
        <is>
          <t>Fourie Hester Magrietha</t>
        </is>
      </c>
      <c r="F401" s="141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</f>
        <v/>
      </c>
      <c r="G401" s="142" t="n">
        <v>45016</v>
      </c>
      <c r="H401" s="140">
        <f>VLOOKUP($C401,Sales!$C:$E,2,FALSE)</f>
        <v/>
      </c>
      <c r="I401" s="140">
        <f>VLOOKUP($C401,Sales!$C:$E,3,FALSE)</f>
        <v/>
      </c>
      <c r="J401" s="142">
        <f>SUMIFS(Sales!$H:$H,Sales!$C:$C,'Investor Exit List'!$C401)</f>
        <v/>
      </c>
      <c r="K401" s="142">
        <f>IF(I401=TRUE,J401,"")</f>
        <v/>
      </c>
      <c r="L401" s="142">
        <f>G401+730</f>
        <v/>
      </c>
      <c r="M401" s="142" t="n">
        <v>45443</v>
      </c>
      <c r="N401" s="143">
        <f>IFERROR(IF(G401&lt;&gt;"",IF(I401=TRUE,0,IF(U401=TRUE,0,L401-M401)),0),0)</f>
        <v/>
      </c>
      <c r="O401" s="143">
        <f>IF(N401&gt;0,IF(N401&lt;=180,N401,0),0)</f>
        <v/>
      </c>
      <c r="P401" s="141">
        <f>IF(AND(N401&lt;90,N401&gt;0),Q401,0)</f>
        <v/>
      </c>
      <c r="Q401" s="141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/>
      </c>
      <c r="R401" s="141">
        <f>IF(AND(H401=TRUE,I401=FALSE),Q401,0)</f>
        <v/>
      </c>
      <c r="S401" s="141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/>
      </c>
      <c r="T401" s="142">
        <f>IF(U401=TRUE,$J401,"")</f>
        <v/>
      </c>
      <c r="U401" s="140" t="b">
        <v>0</v>
      </c>
      <c r="V401" s="141">
        <f>IF(AND(H401=TRUE,OR(K401="",K401&gt;M401)),S401,0)</f>
        <v/>
      </c>
      <c r="W401" s="140" t="n">
        <v>0</v>
      </c>
      <c r="X401" s="140" t="b">
        <v>0</v>
      </c>
      <c r="Y401" s="143">
        <f>IF(H401=FALSE,VLOOKUP($C401,Sales!$C:$F,4,FALSE),1)</f>
        <v/>
      </c>
      <c r="Z401" s="140">
        <f>IF(Y401=0,"Release",IF(AND(L401&lt;J401,Y401=1,H401=FALSE,U401=FALSE,MONTH(L401)&amp;"/"&amp;YEAR(L401)&lt;&gt;MONTH(J401)&amp;"/"&amp;YEAR(J401)),"Release",""))</f>
        <v/>
      </c>
      <c r="AA401" s="144">
        <f>_xlfn.minifs($L:$L,$C:$C,$C401,$F:$F,"&lt;&gt;0")</f>
        <v/>
      </c>
      <c r="AB401" s="144">
        <f>C401&amp;"-"&amp;A401</f>
        <v/>
      </c>
      <c r="AC401" s="144">
        <f>L401</f>
        <v/>
      </c>
    </row>
    <row r="402">
      <c r="A402" s="140" t="inlineStr">
        <is>
          <t>ZGOV01</t>
        </is>
      </c>
      <c r="B402" s="140" t="n">
        <v>2</v>
      </c>
      <c r="C402" s="140" t="inlineStr">
        <is>
          <t>HVK206</t>
        </is>
      </c>
      <c r="D402" s="140" t="inlineStr">
        <is>
          <t>K</t>
        </is>
      </c>
      <c r="E402" s="140" t="inlineStr">
        <is>
          <t>Govender Preshnee</t>
        </is>
      </c>
      <c r="F402" s="141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</f>
        <v/>
      </c>
      <c r="G402" s="142" t="n">
        <v>44967</v>
      </c>
      <c r="H402" s="140">
        <f>VLOOKUP($C402,Sales!$C:$E,2,FALSE)</f>
        <v/>
      </c>
      <c r="I402" s="140">
        <f>VLOOKUP($C402,Sales!$C:$E,3,FALSE)</f>
        <v/>
      </c>
      <c r="J402" s="142">
        <f>SUMIFS(Sales!$H:$H,Sales!$C:$C,'Investor Exit List'!$C402)</f>
        <v/>
      </c>
      <c r="K402" s="142">
        <f>IF(I402=TRUE,J402,"")</f>
        <v/>
      </c>
      <c r="L402" s="142">
        <f>G402+730</f>
        <v/>
      </c>
      <c r="M402" s="142" t="n">
        <v>45443</v>
      </c>
      <c r="N402" s="143">
        <f>IFERROR(IF(G402&lt;&gt;"",IF(I402=TRUE,0,IF(U402=TRUE,0,L402-M402)),0),0)</f>
        <v/>
      </c>
      <c r="O402" s="143">
        <f>IF(N402&gt;0,IF(N402&lt;=180,N402,0),0)</f>
        <v/>
      </c>
      <c r="P402" s="141">
        <f>IF(AND(N402&lt;90,N402&gt;0),Q402,0)</f>
        <v/>
      </c>
      <c r="Q402" s="141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/>
      </c>
      <c r="R402" s="141">
        <f>IF(AND(H402=TRUE,I402=FALSE),Q402,0)</f>
        <v/>
      </c>
      <c r="S402" s="141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/>
      </c>
      <c r="T402" s="142">
        <f>IF(U402=TRUE,$J402,"")</f>
        <v/>
      </c>
      <c r="U402" s="140" t="b">
        <v>0</v>
      </c>
      <c r="V402" s="141">
        <f>IF(AND(H402=TRUE,OR(K402="",K402&gt;M402)),S402,0)</f>
        <v/>
      </c>
      <c r="W402" s="140" t="n">
        <v>0</v>
      </c>
      <c r="X402" s="140" t="b">
        <v>0</v>
      </c>
      <c r="Y402" s="143">
        <f>IF(H402=FALSE,VLOOKUP($C402,Sales!$C:$F,4,FALSE),1)</f>
        <v/>
      </c>
      <c r="Z402" s="140">
        <f>IF(Y402=0,"Release",IF(AND(L402&lt;J402,Y402=1,H402=FALSE,U402=FALSE,MONTH(L402)&amp;"/"&amp;YEAR(L402)&lt;&gt;MONTH(J402)&amp;"/"&amp;YEAR(J402)),"Release",""))</f>
        <v/>
      </c>
      <c r="AA402" s="144">
        <f>_xlfn.minifs($L:$L,$C:$C,$C402,$F:$F,"&lt;&gt;0")</f>
        <v/>
      </c>
      <c r="AB402" s="144">
        <f>C402&amp;"-"&amp;A402</f>
        <v/>
      </c>
      <c r="AC402" s="144">
        <f>L402</f>
        <v/>
      </c>
    </row>
    <row r="403">
      <c r="A403" s="140" t="inlineStr">
        <is>
          <t>ZBAR01</t>
        </is>
      </c>
      <c r="B403" s="140" t="n">
        <v>2</v>
      </c>
      <c r="C403" s="140" t="inlineStr">
        <is>
          <t>HVK301</t>
        </is>
      </c>
      <c r="D403" s="140" t="inlineStr">
        <is>
          <t>K</t>
        </is>
      </c>
      <c r="E403" s="140" t="inlineStr">
        <is>
          <t>Barr Stuart Christopher</t>
        </is>
      </c>
      <c r="F403" s="141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</f>
        <v/>
      </c>
      <c r="G403" s="142" t="n">
        <v>44986</v>
      </c>
      <c r="H403" s="140">
        <f>VLOOKUP($C403,Sales!$C:$E,2,FALSE)</f>
        <v/>
      </c>
      <c r="I403" s="140">
        <f>VLOOKUP($C403,Sales!$C:$E,3,FALSE)</f>
        <v/>
      </c>
      <c r="J403" s="142">
        <f>SUMIFS(Sales!$H:$H,Sales!$C:$C,'Investor Exit List'!$C403)</f>
        <v/>
      </c>
      <c r="K403" s="142">
        <f>IF(I403=TRUE,J403,"")</f>
        <v/>
      </c>
      <c r="L403" s="142">
        <f>G403+730</f>
        <v/>
      </c>
      <c r="M403" s="142" t="n">
        <v>45443</v>
      </c>
      <c r="N403" s="143">
        <f>IFERROR(IF(G403&lt;&gt;"",IF(I403=TRUE,0,IF(U403=TRUE,0,L403-M403)),0),0)</f>
        <v/>
      </c>
      <c r="O403" s="143">
        <f>IF(N403&gt;0,IF(N403&lt;=180,N403,0),0)</f>
        <v/>
      </c>
      <c r="P403" s="141">
        <f>IF(AND(N403&lt;90,N403&gt;0),Q403,0)</f>
        <v/>
      </c>
      <c r="Q403" s="141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/>
      </c>
      <c r="R403" s="141">
        <f>IF(AND(H403=TRUE,I403=FALSE),Q403,0)</f>
        <v/>
      </c>
      <c r="S403" s="141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/>
      </c>
      <c r="T403" s="142">
        <f>IF(U403=TRUE,$J403,"")</f>
        <v/>
      </c>
      <c r="U403" s="140" t="b">
        <v>0</v>
      </c>
      <c r="V403" s="141">
        <f>IF(AND(H403=TRUE,OR(K403="",K403&gt;M403)),S403,0)</f>
        <v/>
      </c>
      <c r="W403" s="140" t="n">
        <v>0</v>
      </c>
      <c r="X403" s="140" t="b">
        <v>0</v>
      </c>
      <c r="Y403" s="143">
        <f>IF(H403=FALSE,VLOOKUP($C403,Sales!$C:$F,4,FALSE),1)</f>
        <v/>
      </c>
      <c r="Z403" s="140">
        <f>IF(Y403=0,"Release",IF(AND(L403&lt;J403,Y403=1,H403=FALSE,U403=FALSE,MONTH(L403)&amp;"/"&amp;YEAR(L403)&lt;&gt;MONTH(J403)&amp;"/"&amp;YEAR(J403)),"Release",""))</f>
        <v/>
      </c>
      <c r="AA403" s="144">
        <f>_xlfn.minifs($L:$L,$C:$C,$C403,$F:$F,"&lt;&gt;0")</f>
        <v/>
      </c>
      <c r="AB403" s="144">
        <f>C403&amp;"-"&amp;A403</f>
        <v/>
      </c>
      <c r="AC403" s="144">
        <f>L403</f>
        <v/>
      </c>
    </row>
    <row r="404">
      <c r="A404" s="140" t="inlineStr">
        <is>
          <t>ZDAV01</t>
        </is>
      </c>
      <c r="B404" s="140" t="n">
        <v>5</v>
      </c>
      <c r="C404" s="140" t="inlineStr">
        <is>
          <t>HVK301</t>
        </is>
      </c>
      <c r="D404" s="140" t="inlineStr">
        <is>
          <t>K</t>
        </is>
      </c>
      <c r="E404" s="140" t="inlineStr">
        <is>
          <t>Davies Heather Mary Lyn</t>
        </is>
      </c>
      <c r="F404" s="141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</f>
        <v/>
      </c>
      <c r="G404" s="142" t="n">
        <v>44967</v>
      </c>
      <c r="H404" s="140">
        <f>VLOOKUP($C404,Sales!$C:$E,2,FALSE)</f>
        <v/>
      </c>
      <c r="I404" s="140">
        <f>VLOOKUP($C404,Sales!$C:$E,3,FALSE)</f>
        <v/>
      </c>
      <c r="J404" s="142">
        <f>SUMIFS(Sales!$H:$H,Sales!$C:$C,'Investor Exit List'!$C404)</f>
        <v/>
      </c>
      <c r="K404" s="142">
        <f>IF(I404=TRUE,J404,"")</f>
        <v/>
      </c>
      <c r="L404" s="142">
        <f>G404+730</f>
        <v/>
      </c>
      <c r="M404" s="142" t="n">
        <v>45443</v>
      </c>
      <c r="N404" s="143">
        <f>IFERROR(IF(G404&lt;&gt;"",IF(I404=TRUE,0,IF(U404=TRUE,0,L404-M404)),0),0)</f>
        <v/>
      </c>
      <c r="O404" s="143">
        <f>IF(N404&gt;0,IF(N404&lt;=180,N404,0),0)</f>
        <v/>
      </c>
      <c r="P404" s="141">
        <f>IF(AND(N404&lt;90,N404&gt;0),Q404,0)</f>
        <v/>
      </c>
      <c r="Q404" s="141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/>
      </c>
      <c r="R404" s="141">
        <f>IF(AND(H404=TRUE,I404=FALSE),Q404,0)</f>
        <v/>
      </c>
      <c r="S404" s="141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/>
      </c>
      <c r="T404" s="142">
        <f>IF(U404=TRUE,$J404,"")</f>
        <v/>
      </c>
      <c r="U404" s="140" t="b">
        <v>0</v>
      </c>
      <c r="V404" s="141">
        <f>IF(AND(H404=TRUE,OR(K404="",K404&gt;M404)),S404,0)</f>
        <v/>
      </c>
      <c r="W404" s="140" t="n">
        <v>0</v>
      </c>
      <c r="X404" s="140" t="b">
        <v>0</v>
      </c>
      <c r="Y404" s="143">
        <f>IF(H404=FALSE,VLOOKUP($C404,Sales!$C:$F,4,FALSE),1)</f>
        <v/>
      </c>
      <c r="Z404" s="140">
        <f>IF(Y404=0,"Release",IF(AND(L404&lt;J404,Y404=1,H404=FALSE,U404=FALSE,MONTH(L404)&amp;"/"&amp;YEAR(L404)&lt;&gt;MONTH(J404)&amp;"/"&amp;YEAR(J404)),"Release",""))</f>
        <v/>
      </c>
      <c r="AA404" s="144">
        <f>_xlfn.minifs($L:$L,$C:$C,$C404,$F:$F,"&lt;&gt;0")</f>
        <v/>
      </c>
      <c r="AB404" s="144">
        <f>C404&amp;"-"&amp;A404</f>
        <v/>
      </c>
      <c r="AC404" s="144">
        <f>L404</f>
        <v/>
      </c>
    </row>
    <row r="405">
      <c r="A405" s="140" t="inlineStr">
        <is>
          <t>ZHIL01</t>
        </is>
      </c>
      <c r="B405" s="140" t="n">
        <v>2</v>
      </c>
      <c r="C405" s="140" t="inlineStr">
        <is>
          <t>HVK301</t>
        </is>
      </c>
      <c r="D405" s="140" t="inlineStr">
        <is>
          <t>K</t>
        </is>
      </c>
      <c r="E405" s="140" t="inlineStr">
        <is>
          <t>Hill Trevor David</t>
        </is>
      </c>
      <c r="F405" s="141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</f>
        <v/>
      </c>
      <c r="G405" s="142" t="n">
        <v>44916</v>
      </c>
      <c r="H405" s="140">
        <f>VLOOKUP($C405,Sales!$C:$E,2,FALSE)</f>
        <v/>
      </c>
      <c r="I405" s="140">
        <f>VLOOKUP($C405,Sales!$C:$E,3,FALSE)</f>
        <v/>
      </c>
      <c r="J405" s="142">
        <f>SUMIFS(Sales!$H:$H,Sales!$C:$C,'Investor Exit List'!$C405)</f>
        <v/>
      </c>
      <c r="K405" s="142">
        <f>IF(I405=TRUE,J405,"")</f>
        <v/>
      </c>
      <c r="L405" s="142">
        <f>G405+730</f>
        <v/>
      </c>
      <c r="M405" s="142" t="n">
        <v>45443</v>
      </c>
      <c r="N405" s="143">
        <f>IFERROR(IF(G405&lt;&gt;"",IF(I405=TRUE,0,IF(U405=TRUE,0,L405-M405)),0),0)</f>
        <v/>
      </c>
      <c r="O405" s="143">
        <f>IF(N405&gt;0,IF(N405&lt;=180,N405,0),0)</f>
        <v/>
      </c>
      <c r="P405" s="141">
        <f>IF(AND(N405&lt;90,N405&gt;0),Q405,0)</f>
        <v/>
      </c>
      <c r="Q405" s="141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/>
      </c>
      <c r="R405" s="141">
        <f>IF(AND(H405=TRUE,I405=FALSE),Q405,0)</f>
        <v/>
      </c>
      <c r="S405" s="141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/>
      </c>
      <c r="T405" s="142">
        <f>IF(U405=TRUE,$J405,"")</f>
        <v/>
      </c>
      <c r="U405" s="140" t="b">
        <v>0</v>
      </c>
      <c r="V405" s="141">
        <f>IF(AND(H405=TRUE,OR(K405="",K405&gt;M405)),S405,0)</f>
        <v/>
      </c>
      <c r="W405" s="140" t="n">
        <v>0</v>
      </c>
      <c r="X405" s="140" t="b">
        <v>0</v>
      </c>
      <c r="Y405" s="143">
        <f>IF(H405=FALSE,VLOOKUP($C405,Sales!$C:$F,4,FALSE),1)</f>
        <v/>
      </c>
      <c r="Z405" s="140">
        <f>IF(Y405=0,"Release",IF(AND(L405&lt;J405,Y405=1,H405=FALSE,U405=FALSE,MONTH(L405)&amp;"/"&amp;YEAR(L405)&lt;&gt;MONTH(J405)&amp;"/"&amp;YEAR(J405)),"Release",""))</f>
        <v/>
      </c>
      <c r="AA405" s="144">
        <f>_xlfn.minifs($L:$L,$C:$C,$C405,$F:$F,"&lt;&gt;0")</f>
        <v/>
      </c>
      <c r="AB405" s="144">
        <f>C405&amp;"-"&amp;A405</f>
        <v/>
      </c>
      <c r="AC405" s="144">
        <f>L405</f>
        <v/>
      </c>
    </row>
    <row r="406">
      <c r="A406" s="140" t="inlineStr">
        <is>
          <t>ZJBM01</t>
        </is>
      </c>
      <c r="B406" s="140" t="n">
        <v>2</v>
      </c>
      <c r="C406" s="140" t="inlineStr">
        <is>
          <t>HVK301</t>
        </is>
      </c>
      <c r="D406" s="140" t="inlineStr">
        <is>
          <t>K</t>
        </is>
      </c>
      <c r="E406" s="140" t="inlineStr">
        <is>
          <t>Morkel Jacobus Bruwer</t>
        </is>
      </c>
      <c r="F406" s="141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</f>
        <v/>
      </c>
      <c r="G406" s="142" t="n">
        <v>44916</v>
      </c>
      <c r="H406" s="140">
        <f>VLOOKUP($C406,Sales!$C:$E,2,FALSE)</f>
        <v/>
      </c>
      <c r="I406" s="140">
        <f>VLOOKUP($C406,Sales!$C:$E,3,FALSE)</f>
        <v/>
      </c>
      <c r="J406" s="142">
        <f>SUMIFS(Sales!$H:$H,Sales!$C:$C,'Investor Exit List'!$C406)</f>
        <v/>
      </c>
      <c r="K406" s="142">
        <f>IF(I406=TRUE,J406,"")</f>
        <v/>
      </c>
      <c r="L406" s="142">
        <f>G406+730</f>
        <v/>
      </c>
      <c r="M406" s="142" t="n">
        <v>45443</v>
      </c>
      <c r="N406" s="143">
        <f>IFERROR(IF(G406&lt;&gt;"",IF(I406=TRUE,0,IF(U406=TRUE,0,L406-M406)),0),0)</f>
        <v/>
      </c>
      <c r="O406" s="143">
        <f>IF(N406&gt;0,IF(N406&lt;=180,N406,0),0)</f>
        <v/>
      </c>
      <c r="P406" s="141">
        <f>IF(AND(N406&lt;90,N406&gt;0),Q406,0)</f>
        <v/>
      </c>
      <c r="Q406" s="141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/>
      </c>
      <c r="R406" s="141">
        <f>IF(AND(H406=TRUE,I406=FALSE),Q406,0)</f>
        <v/>
      </c>
      <c r="S406" s="141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/>
      </c>
      <c r="T406" s="142">
        <f>IF(U406=TRUE,$J406,"")</f>
        <v/>
      </c>
      <c r="U406" s="140" t="b">
        <v>0</v>
      </c>
      <c r="V406" s="141">
        <f>IF(AND(H406=TRUE,OR(K406="",K406&gt;M406)),S406,0)</f>
        <v/>
      </c>
      <c r="W406" s="140" t="n">
        <v>0</v>
      </c>
      <c r="X406" s="140" t="b">
        <v>0</v>
      </c>
      <c r="Y406" s="143">
        <f>IF(H406=FALSE,VLOOKUP($C406,Sales!$C:$F,4,FALSE),1)</f>
        <v/>
      </c>
      <c r="Z406" s="140">
        <f>IF(Y406=0,"Release",IF(AND(L406&lt;J406,Y406=1,H406=FALSE,U406=FALSE,MONTH(L406)&amp;"/"&amp;YEAR(L406)&lt;&gt;MONTH(J406)&amp;"/"&amp;YEAR(J406)),"Release",""))</f>
        <v/>
      </c>
      <c r="AA406" s="144">
        <f>_xlfn.minifs($L:$L,$C:$C,$C406,$F:$F,"&lt;&gt;0")</f>
        <v/>
      </c>
      <c r="AB406" s="144">
        <f>C406&amp;"-"&amp;A406</f>
        <v/>
      </c>
      <c r="AC406" s="144">
        <f>L406</f>
        <v/>
      </c>
    </row>
    <row r="407">
      <c r="A407" s="140" t="inlineStr">
        <is>
          <t>ZVAN05</t>
        </is>
      </c>
      <c r="B407" s="140" t="n">
        <v>7</v>
      </c>
      <c r="C407" s="140" t="inlineStr">
        <is>
          <t>HVK301</t>
        </is>
      </c>
      <c r="D407" s="140" t="inlineStr">
        <is>
          <t>K</t>
        </is>
      </c>
      <c r="E407" s="140" t="inlineStr">
        <is>
          <t>van der Sandt Hermanus</t>
        </is>
      </c>
      <c r="F407" s="141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</f>
        <v/>
      </c>
      <c r="G407" s="142" t="n">
        <v>44909</v>
      </c>
      <c r="H407" s="140">
        <f>VLOOKUP($C407,Sales!$C:$E,2,FALSE)</f>
        <v/>
      </c>
      <c r="I407" s="140">
        <f>VLOOKUP($C407,Sales!$C:$E,3,FALSE)</f>
        <v/>
      </c>
      <c r="J407" s="142">
        <f>SUMIFS(Sales!$H:$H,Sales!$C:$C,'Investor Exit List'!$C407)</f>
        <v/>
      </c>
      <c r="K407" s="142">
        <f>IF(I407=TRUE,J407,"")</f>
        <v/>
      </c>
      <c r="L407" s="142">
        <f>G407+730</f>
        <v/>
      </c>
      <c r="M407" s="142" t="n">
        <v>45443</v>
      </c>
      <c r="N407" s="143">
        <f>IFERROR(IF(G407&lt;&gt;"",IF(I407=TRUE,0,IF(U407=TRUE,0,L407-M407)),0),0)</f>
        <v/>
      </c>
      <c r="O407" s="143">
        <f>IF(N407&gt;0,IF(N407&lt;=180,N407,0),0)</f>
        <v/>
      </c>
      <c r="P407" s="141">
        <f>IF(AND(N407&lt;90,N407&gt;0),Q407,0)</f>
        <v/>
      </c>
      <c r="Q407" s="141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/>
      </c>
      <c r="R407" s="141">
        <f>IF(AND(H407=TRUE,I407=FALSE),Q407,0)</f>
        <v/>
      </c>
      <c r="S407" s="141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/>
      </c>
      <c r="T407" s="142">
        <f>IF(U407=TRUE,$J407,"")</f>
        <v/>
      </c>
      <c r="U407" s="140" t="b">
        <v>0</v>
      </c>
      <c r="V407" s="141">
        <f>IF(AND(H407=TRUE,OR(K407="",K407&gt;M407)),S407,0)</f>
        <v/>
      </c>
      <c r="W407" s="140" t="n">
        <v>0</v>
      </c>
      <c r="X407" s="140" t="b">
        <v>0</v>
      </c>
      <c r="Y407" s="143">
        <f>IF(H407=FALSE,VLOOKUP($C407,Sales!$C:$F,4,FALSE),1)</f>
        <v/>
      </c>
      <c r="Z407" s="140">
        <f>IF(Y407=0,"Release",IF(AND(L407&lt;J407,Y407=1,H407=FALSE,U407=FALSE,MONTH(L407)&amp;"/"&amp;YEAR(L407)&lt;&gt;MONTH(J407)&amp;"/"&amp;YEAR(J407)),"Release",""))</f>
        <v/>
      </c>
      <c r="AA407" s="144">
        <f>_xlfn.minifs($L:$L,$C:$C,$C407,$F:$F,"&lt;&gt;0")</f>
        <v/>
      </c>
      <c r="AB407" s="144">
        <f>C407&amp;"-"&amp;A407</f>
        <v/>
      </c>
      <c r="AC407" s="144">
        <f>L407</f>
        <v/>
      </c>
    </row>
    <row r="408">
      <c r="A408" s="140" t="inlineStr">
        <is>
          <t>ZBEL01</t>
        </is>
      </c>
      <c r="B408" s="140" t="n">
        <v>5</v>
      </c>
      <c r="C408" s="140" t="inlineStr">
        <is>
          <t>HVK302</t>
        </is>
      </c>
      <c r="D408" s="140" t="inlineStr">
        <is>
          <t>K</t>
        </is>
      </c>
      <c r="E408" s="140" t="inlineStr">
        <is>
          <t>Belford Helen Constance</t>
        </is>
      </c>
      <c r="F408" s="141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</f>
        <v/>
      </c>
      <c r="G408" s="142" t="n">
        <v>44986</v>
      </c>
      <c r="H408" s="140">
        <f>VLOOKUP($C408,Sales!$C:$E,2,FALSE)</f>
        <v/>
      </c>
      <c r="I408" s="140">
        <f>VLOOKUP($C408,Sales!$C:$E,3,FALSE)</f>
        <v/>
      </c>
      <c r="J408" s="142">
        <f>SUMIFS(Sales!$H:$H,Sales!$C:$C,'Investor Exit List'!$C408)</f>
        <v/>
      </c>
      <c r="K408" s="142">
        <f>IF(I408=TRUE,J408,"")</f>
        <v/>
      </c>
      <c r="L408" s="142">
        <f>G408+730</f>
        <v/>
      </c>
      <c r="M408" s="142" t="n">
        <v>45443</v>
      </c>
      <c r="N408" s="143">
        <f>IFERROR(IF(G408&lt;&gt;"",IF(I408=TRUE,0,IF(U408=TRUE,0,L408-M408)),0),0)</f>
        <v/>
      </c>
      <c r="O408" s="143">
        <f>IF(N408&gt;0,IF(N408&lt;=180,N408,0),0)</f>
        <v/>
      </c>
      <c r="P408" s="141">
        <f>IF(AND(N408&lt;90,N408&gt;0),Q408,0)</f>
        <v/>
      </c>
      <c r="Q408" s="141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/>
      </c>
      <c r="R408" s="141">
        <f>IF(AND(H408=TRUE,I408=FALSE),Q408,0)</f>
        <v/>
      </c>
      <c r="S408" s="141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/>
      </c>
      <c r="T408" s="142">
        <f>IF(U408=TRUE,$J408,"")</f>
        <v/>
      </c>
      <c r="U408" s="140" t="b">
        <v>0</v>
      </c>
      <c r="V408" s="141">
        <f>IF(AND(H408=TRUE,OR(K408="",K408&gt;M408)),S408,0)</f>
        <v/>
      </c>
      <c r="W408" s="140" t="n">
        <v>0</v>
      </c>
      <c r="X408" s="140" t="b">
        <v>0</v>
      </c>
      <c r="Y408" s="143">
        <f>IF(H408=FALSE,VLOOKUP($C408,Sales!$C:$F,4,FALSE),1)</f>
        <v/>
      </c>
      <c r="Z408" s="140">
        <f>IF(Y408=0,"Release",IF(AND(L408&lt;J408,Y408=1,H408=FALSE,U408=FALSE,MONTH(L408)&amp;"/"&amp;YEAR(L408)&lt;&gt;MONTH(J408)&amp;"/"&amp;YEAR(J408)),"Release",""))</f>
        <v/>
      </c>
      <c r="AA408" s="144">
        <f>_xlfn.minifs($L:$L,$C:$C,$C408,$F:$F,"&lt;&gt;0")</f>
        <v/>
      </c>
      <c r="AB408" s="144">
        <f>C408&amp;"-"&amp;A408</f>
        <v/>
      </c>
      <c r="AC408" s="144">
        <f>L408</f>
        <v/>
      </c>
    </row>
    <row r="409">
      <c r="A409" s="140" t="inlineStr">
        <is>
          <t>ZCRO01</t>
        </is>
      </c>
      <c r="B409" s="140" t="n">
        <v>8</v>
      </c>
      <c r="C409" s="140" t="inlineStr">
        <is>
          <t>HVK302</t>
        </is>
      </c>
      <c r="D409" s="140" t="inlineStr">
        <is>
          <t>K</t>
        </is>
      </c>
      <c r="E409" s="140" t="inlineStr">
        <is>
          <t>Lunau Marc</t>
        </is>
      </c>
      <c r="F409" s="141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</f>
        <v/>
      </c>
      <c r="G409" s="142" t="n">
        <v>44995</v>
      </c>
      <c r="H409" s="140">
        <f>VLOOKUP($C409,Sales!$C:$E,2,FALSE)</f>
        <v/>
      </c>
      <c r="I409" s="140">
        <f>VLOOKUP($C409,Sales!$C:$E,3,FALSE)</f>
        <v/>
      </c>
      <c r="J409" s="142">
        <f>SUMIFS(Sales!$H:$H,Sales!$C:$C,'Investor Exit List'!$C409)</f>
        <v/>
      </c>
      <c r="K409" s="142">
        <f>IF(I409=TRUE,J409,"")</f>
        <v/>
      </c>
      <c r="L409" s="142">
        <f>G409+730</f>
        <v/>
      </c>
      <c r="M409" s="142" t="n">
        <v>45443</v>
      </c>
      <c r="N409" s="143">
        <f>IFERROR(IF(G409&lt;&gt;"",IF(I409=TRUE,0,IF(U409=TRUE,0,L409-M409)),0),0)</f>
        <v/>
      </c>
      <c r="O409" s="143">
        <f>IF(N409&gt;0,IF(N409&lt;=180,N409,0),0)</f>
        <v/>
      </c>
      <c r="P409" s="141">
        <f>IF(AND(N409&lt;90,N409&gt;0),Q409,0)</f>
        <v/>
      </c>
      <c r="Q409" s="141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/>
      </c>
      <c r="R409" s="141">
        <f>IF(AND(H409=TRUE,I409=FALSE),Q409,0)</f>
        <v/>
      </c>
      <c r="S409" s="141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/>
      </c>
      <c r="T409" s="142">
        <f>IF(U409=TRUE,$J409,"")</f>
        <v/>
      </c>
      <c r="U409" s="140" t="b">
        <v>0</v>
      </c>
      <c r="V409" s="141">
        <f>IF(AND(H409=TRUE,OR(K409="",K409&gt;M409)),S409,0)</f>
        <v/>
      </c>
      <c r="W409" s="140" t="n">
        <v>0</v>
      </c>
      <c r="X409" s="140" t="b">
        <v>0</v>
      </c>
      <c r="Y409" s="143">
        <f>IF(H409=FALSE,VLOOKUP($C409,Sales!$C:$F,4,FALSE),1)</f>
        <v/>
      </c>
      <c r="Z409" s="140">
        <f>IF(Y409=0,"Release",IF(AND(L409&lt;J409,Y409=1,H409=FALSE,U409=FALSE,MONTH(L409)&amp;"/"&amp;YEAR(L409)&lt;&gt;MONTH(J409)&amp;"/"&amp;YEAR(J409)),"Release",""))</f>
        <v/>
      </c>
      <c r="AA409" s="144">
        <f>_xlfn.minifs($L:$L,$C:$C,$C409,$F:$F,"&lt;&gt;0")</f>
        <v/>
      </c>
      <c r="AB409" s="144">
        <f>C409&amp;"-"&amp;A409</f>
        <v/>
      </c>
      <c r="AC409" s="144">
        <f>L409</f>
        <v/>
      </c>
    </row>
    <row r="410">
      <c r="A410" s="140" t="inlineStr">
        <is>
          <t>ZJOH01</t>
        </is>
      </c>
      <c r="B410" s="140" t="n">
        <v>6</v>
      </c>
      <c r="C410" s="140" t="inlineStr">
        <is>
          <t>HVK302</t>
        </is>
      </c>
      <c r="D410" s="140" t="inlineStr">
        <is>
          <t>K</t>
        </is>
      </c>
      <c r="E410" s="140" t="inlineStr">
        <is>
          <t>Johns Lisa-Marie Natalie</t>
        </is>
      </c>
      <c r="F410" s="141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</f>
        <v/>
      </c>
      <c r="G410" s="142" t="n">
        <v>44995</v>
      </c>
      <c r="H410" s="140">
        <f>VLOOKUP($C410,Sales!$C:$E,2,FALSE)</f>
        <v/>
      </c>
      <c r="I410" s="140">
        <f>VLOOKUP($C410,Sales!$C:$E,3,FALSE)</f>
        <v/>
      </c>
      <c r="J410" s="142">
        <f>SUMIFS(Sales!$H:$H,Sales!$C:$C,'Investor Exit List'!$C410)</f>
        <v/>
      </c>
      <c r="K410" s="142">
        <f>IF(I410=TRUE,J410,"")</f>
        <v/>
      </c>
      <c r="L410" s="142">
        <f>G410+730</f>
        <v/>
      </c>
      <c r="M410" s="142" t="n">
        <v>45443</v>
      </c>
      <c r="N410" s="143">
        <f>IFERROR(IF(G410&lt;&gt;"",IF(I410=TRUE,0,IF(U410=TRUE,0,L410-M410)),0),0)</f>
        <v/>
      </c>
      <c r="O410" s="143">
        <f>IF(N410&gt;0,IF(N410&lt;=180,N410,0),0)</f>
        <v/>
      </c>
      <c r="P410" s="141">
        <f>IF(AND(N410&lt;90,N410&gt;0),Q410,0)</f>
        <v/>
      </c>
      <c r="Q410" s="141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/>
      </c>
      <c r="R410" s="141">
        <f>IF(AND(H410=TRUE,I410=FALSE),Q410,0)</f>
        <v/>
      </c>
      <c r="S410" s="141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/>
      </c>
      <c r="T410" s="142">
        <f>IF(U410=TRUE,$J410,"")</f>
        <v/>
      </c>
      <c r="U410" s="140" t="b">
        <v>0</v>
      </c>
      <c r="V410" s="141">
        <f>IF(AND(H410=TRUE,OR(K410="",K410&gt;M410)),S410,0)</f>
        <v/>
      </c>
      <c r="W410" s="140" t="n">
        <v>0</v>
      </c>
      <c r="X410" s="140" t="b">
        <v>0</v>
      </c>
      <c r="Y410" s="143">
        <f>IF(H410=FALSE,VLOOKUP($C410,Sales!$C:$F,4,FALSE),1)</f>
        <v/>
      </c>
      <c r="Z410" s="140">
        <f>IF(Y410=0,"Release",IF(AND(L410&lt;J410,Y410=1,H410=FALSE,U410=FALSE,MONTH(L410)&amp;"/"&amp;YEAR(L410)&lt;&gt;MONTH(J410)&amp;"/"&amp;YEAR(J410)),"Release",""))</f>
        <v/>
      </c>
      <c r="AA410" s="144">
        <f>_xlfn.minifs($L:$L,$C:$C,$C410,$F:$F,"&lt;&gt;0")</f>
        <v/>
      </c>
      <c r="AB410" s="144">
        <f>C410&amp;"-"&amp;A410</f>
        <v/>
      </c>
      <c r="AC410" s="144">
        <f>L410</f>
        <v/>
      </c>
    </row>
    <row r="411">
      <c r="A411" s="140" t="inlineStr">
        <is>
          <t>ZLEW01</t>
        </is>
      </c>
      <c r="B411" s="140" t="n">
        <v>9</v>
      </c>
      <c r="C411" s="140" t="inlineStr">
        <is>
          <t>HVK302</t>
        </is>
      </c>
      <c r="D411" s="140" t="inlineStr">
        <is>
          <t>K</t>
        </is>
      </c>
      <c r="E411" s="140" t="inlineStr">
        <is>
          <t>Lewis Martina Christina</t>
        </is>
      </c>
      <c r="F411" s="141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</f>
        <v/>
      </c>
      <c r="G411" s="142" t="n">
        <v>44980</v>
      </c>
      <c r="H411" s="140">
        <f>VLOOKUP($C411,Sales!$C:$E,2,FALSE)</f>
        <v/>
      </c>
      <c r="I411" s="140">
        <f>VLOOKUP($C411,Sales!$C:$E,3,FALSE)</f>
        <v/>
      </c>
      <c r="J411" s="142">
        <f>SUMIFS(Sales!$H:$H,Sales!$C:$C,'Investor Exit List'!$C411)</f>
        <v/>
      </c>
      <c r="K411" s="142">
        <f>IF(I411=TRUE,J411,"")</f>
        <v/>
      </c>
      <c r="L411" s="142">
        <f>G411+730</f>
        <v/>
      </c>
      <c r="M411" s="142" t="n">
        <v>45443</v>
      </c>
      <c r="N411" s="143">
        <f>IFERROR(IF(G411&lt;&gt;"",IF(I411=TRUE,0,IF(U411=TRUE,0,L411-M411)),0),0)</f>
        <v/>
      </c>
      <c r="O411" s="143">
        <f>IF(N411&gt;0,IF(N411&lt;=180,N411,0),0)</f>
        <v/>
      </c>
      <c r="P411" s="141">
        <f>IF(AND(N411&lt;90,N411&gt;0),Q411,0)</f>
        <v/>
      </c>
      <c r="Q411" s="141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/>
      </c>
      <c r="R411" s="141">
        <f>IF(AND(H411=TRUE,I411=FALSE),Q411,0)</f>
        <v/>
      </c>
      <c r="S411" s="141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/>
      </c>
      <c r="T411" s="142">
        <f>IF(U411=TRUE,$J411,"")</f>
        <v/>
      </c>
      <c r="U411" s="140" t="b">
        <v>0</v>
      </c>
      <c r="V411" s="141">
        <f>IF(AND(H411=TRUE,OR(K411="",K411&gt;M411)),S411,0)</f>
        <v/>
      </c>
      <c r="W411" s="140" t="n">
        <v>0</v>
      </c>
      <c r="X411" s="140" t="b">
        <v>0</v>
      </c>
      <c r="Y411" s="143">
        <f>IF(H411=FALSE,VLOOKUP($C411,Sales!$C:$F,4,FALSE),1)</f>
        <v/>
      </c>
      <c r="Z411" s="140">
        <f>IF(Y411=0,"Release",IF(AND(L411&lt;J411,Y411=1,H411=FALSE,U411=FALSE,MONTH(L411)&amp;"/"&amp;YEAR(L411)&lt;&gt;MONTH(J411)&amp;"/"&amp;YEAR(J411)),"Release",""))</f>
        <v/>
      </c>
      <c r="AA411" s="144">
        <f>_xlfn.minifs($L:$L,$C:$C,$C411,$F:$F,"&lt;&gt;0")</f>
        <v/>
      </c>
      <c r="AB411" s="144">
        <f>C411&amp;"-"&amp;A411</f>
        <v/>
      </c>
      <c r="AC411" s="144">
        <f>L411</f>
        <v/>
      </c>
    </row>
    <row r="412">
      <c r="A412" s="140" t="inlineStr">
        <is>
          <t>ZMAR01</t>
        </is>
      </c>
      <c r="B412" s="140" t="n">
        <v>3</v>
      </c>
      <c r="C412" s="140" t="inlineStr">
        <is>
          <t>HVK302</t>
        </is>
      </c>
      <c r="D412" s="140" t="inlineStr">
        <is>
          <t>K</t>
        </is>
      </c>
      <c r="E412" s="140" t="inlineStr">
        <is>
          <t>Martin Beverley-Ann Kinsla</t>
        </is>
      </c>
      <c r="F412" s="141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</f>
        <v/>
      </c>
      <c r="G412" s="142" t="n">
        <v>44980</v>
      </c>
      <c r="H412" s="140">
        <f>VLOOKUP($C412,Sales!$C:$E,2,FALSE)</f>
        <v/>
      </c>
      <c r="I412" s="140">
        <f>VLOOKUP($C412,Sales!$C:$E,3,FALSE)</f>
        <v/>
      </c>
      <c r="J412" s="142">
        <f>SUMIFS(Sales!$H:$H,Sales!$C:$C,'Investor Exit List'!$C412)</f>
        <v/>
      </c>
      <c r="K412" s="142">
        <f>IF(I412=TRUE,J412,"")</f>
        <v/>
      </c>
      <c r="L412" s="142">
        <f>G412+730</f>
        <v/>
      </c>
      <c r="M412" s="142" t="n">
        <v>45443</v>
      </c>
      <c r="N412" s="143">
        <f>IFERROR(IF(G412&lt;&gt;"",IF(I412=TRUE,0,IF(U412=TRUE,0,L412-M412)),0),0)</f>
        <v/>
      </c>
      <c r="O412" s="143">
        <f>IF(N412&gt;0,IF(N412&lt;=180,N412,0),0)</f>
        <v/>
      </c>
      <c r="P412" s="141">
        <f>IF(AND(N412&lt;90,N412&gt;0),Q412,0)</f>
        <v/>
      </c>
      <c r="Q412" s="141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/>
      </c>
      <c r="R412" s="141">
        <f>IF(AND(H412=TRUE,I412=FALSE),Q412,0)</f>
        <v/>
      </c>
      <c r="S412" s="141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/>
      </c>
      <c r="T412" s="142">
        <f>IF(U412=TRUE,$J412,"")</f>
        <v/>
      </c>
      <c r="U412" s="140" t="b">
        <v>0</v>
      </c>
      <c r="V412" s="141">
        <f>IF(AND(H412=TRUE,OR(K412="",K412&gt;M412)),S412,0)</f>
        <v/>
      </c>
      <c r="W412" s="140" t="n">
        <v>0</v>
      </c>
      <c r="X412" s="140" t="b">
        <v>0</v>
      </c>
      <c r="Y412" s="143">
        <f>IF(H412=FALSE,VLOOKUP($C412,Sales!$C:$F,4,FALSE),1)</f>
        <v/>
      </c>
      <c r="Z412" s="140">
        <f>IF(Y412=0,"Release",IF(AND(L412&lt;J412,Y412=1,H412=FALSE,U412=FALSE,MONTH(L412)&amp;"/"&amp;YEAR(L412)&lt;&gt;MONTH(J412)&amp;"/"&amp;YEAR(J412)),"Release",""))</f>
        <v/>
      </c>
      <c r="AA412" s="144">
        <f>_xlfn.minifs($L:$L,$C:$C,$C412,$F:$F,"&lt;&gt;0")</f>
        <v/>
      </c>
      <c r="AB412" s="144">
        <f>C412&amp;"-"&amp;A412</f>
        <v/>
      </c>
      <c r="AC412" s="144">
        <f>L412</f>
        <v/>
      </c>
    </row>
    <row r="413">
      <c r="A413" s="140" t="inlineStr">
        <is>
          <t>ZCRO01</t>
        </is>
      </c>
      <c r="B413" s="140" t="n">
        <v>9</v>
      </c>
      <c r="C413" s="140" t="inlineStr">
        <is>
          <t>HVK303</t>
        </is>
      </c>
      <c r="D413" s="140" t="inlineStr">
        <is>
          <t>K</t>
        </is>
      </c>
      <c r="E413" s="140" t="inlineStr">
        <is>
          <t>Lunau Marc</t>
        </is>
      </c>
      <c r="F413" s="141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</f>
        <v/>
      </c>
      <c r="G413" s="142" t="n">
        <v>44995</v>
      </c>
      <c r="H413" s="140">
        <f>VLOOKUP($C413,Sales!$C:$E,2,FALSE)</f>
        <v/>
      </c>
      <c r="I413" s="140">
        <f>VLOOKUP($C413,Sales!$C:$E,3,FALSE)</f>
        <v/>
      </c>
      <c r="J413" s="142">
        <f>SUMIFS(Sales!$H:$H,Sales!$C:$C,'Investor Exit List'!$C413)</f>
        <v/>
      </c>
      <c r="K413" s="142">
        <f>IF(I413=TRUE,J413,"")</f>
        <v/>
      </c>
      <c r="L413" s="142">
        <f>G413+730</f>
        <v/>
      </c>
      <c r="M413" s="142" t="n">
        <v>45443</v>
      </c>
      <c r="N413" s="143">
        <f>IFERROR(IF(G413&lt;&gt;"",IF(I413=TRUE,0,IF(U413=TRUE,0,L413-M413)),0),0)</f>
        <v/>
      </c>
      <c r="O413" s="143">
        <f>IF(N413&gt;0,IF(N413&lt;=180,N413,0),0)</f>
        <v/>
      </c>
      <c r="P413" s="141">
        <f>IF(AND(N413&lt;90,N413&gt;0),Q413,0)</f>
        <v/>
      </c>
      <c r="Q413" s="141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/>
      </c>
      <c r="R413" s="141">
        <f>IF(AND(H413=TRUE,I413=FALSE),Q413,0)</f>
        <v/>
      </c>
      <c r="S413" s="141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/>
      </c>
      <c r="T413" s="142">
        <f>IF(U413=TRUE,$J413,"")</f>
        <v/>
      </c>
      <c r="U413" s="140" t="b">
        <v>0</v>
      </c>
      <c r="V413" s="141">
        <f>IF(AND(H413=TRUE,OR(K413="",K413&gt;M413)),S413,0)</f>
        <v/>
      </c>
      <c r="W413" s="140" t="n">
        <v>0</v>
      </c>
      <c r="X413" s="140" t="b">
        <v>0</v>
      </c>
      <c r="Y413" s="143">
        <f>IF(H413=FALSE,VLOOKUP($C413,Sales!$C:$F,4,FALSE),1)</f>
        <v/>
      </c>
      <c r="Z413" s="140">
        <f>IF(Y413=0,"Release",IF(AND(L413&lt;J413,Y413=1,H413=FALSE,U413=FALSE,MONTH(L413)&amp;"/"&amp;YEAR(L413)&lt;&gt;MONTH(J413)&amp;"/"&amp;YEAR(J413)),"Release",""))</f>
        <v/>
      </c>
      <c r="AA413" s="144">
        <f>_xlfn.minifs($L:$L,$C:$C,$C413,$F:$F,"&lt;&gt;0")</f>
        <v/>
      </c>
      <c r="AB413" s="144">
        <f>C413&amp;"-"&amp;A413</f>
        <v/>
      </c>
      <c r="AC413" s="144">
        <f>L413</f>
        <v/>
      </c>
    </row>
    <row r="414">
      <c r="A414" s="140" t="inlineStr">
        <is>
          <t>ZDAD01</t>
        </is>
      </c>
      <c r="B414" s="140" t="n">
        <v>3</v>
      </c>
      <c r="C414" s="140" t="inlineStr">
        <is>
          <t>HVK303</t>
        </is>
      </c>
      <c r="D414" s="140" t="inlineStr">
        <is>
          <t>K</t>
        </is>
      </c>
      <c r="E414" s="140" t="inlineStr">
        <is>
          <t>Dadoo Feroz</t>
        </is>
      </c>
      <c r="F414" s="141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</f>
        <v/>
      </c>
      <c r="G414" s="142" t="n">
        <v>45016</v>
      </c>
      <c r="H414" s="140">
        <f>VLOOKUP($C414,Sales!$C:$E,2,FALSE)</f>
        <v/>
      </c>
      <c r="I414" s="140">
        <f>VLOOKUP($C414,Sales!$C:$E,3,FALSE)</f>
        <v/>
      </c>
      <c r="J414" s="142">
        <f>SUMIFS(Sales!$H:$H,Sales!$C:$C,'Investor Exit List'!$C414)</f>
        <v/>
      </c>
      <c r="K414" s="142">
        <f>IF(I414=TRUE,J414,"")</f>
        <v/>
      </c>
      <c r="L414" s="142">
        <f>G414+730</f>
        <v/>
      </c>
      <c r="M414" s="142" t="n">
        <v>45443</v>
      </c>
      <c r="N414" s="143">
        <f>IFERROR(IF(G414&lt;&gt;"",IF(I414=TRUE,0,IF(U414=TRUE,0,L414-M414)),0),0)</f>
        <v/>
      </c>
      <c r="O414" s="143">
        <f>IF(N414&gt;0,IF(N414&lt;=180,N414,0),0)</f>
        <v/>
      </c>
      <c r="P414" s="141">
        <f>IF(AND(N414&lt;90,N414&gt;0),Q414,0)</f>
        <v/>
      </c>
      <c r="Q414" s="141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/>
      </c>
      <c r="R414" s="141">
        <f>IF(AND(H414=TRUE,I414=FALSE),Q414,0)</f>
        <v/>
      </c>
      <c r="S414" s="141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/>
      </c>
      <c r="T414" s="142">
        <f>IF(U414=TRUE,$J414,"")</f>
        <v/>
      </c>
      <c r="U414" s="140" t="b">
        <v>0</v>
      </c>
      <c r="V414" s="141">
        <f>IF(AND(H414=TRUE,OR(K414="",K414&gt;M414)),S414,0)</f>
        <v/>
      </c>
      <c r="W414" s="140" t="n">
        <v>0</v>
      </c>
      <c r="X414" s="140" t="b">
        <v>0</v>
      </c>
      <c r="Y414" s="143">
        <f>IF(H414=FALSE,VLOOKUP($C414,Sales!$C:$F,4,FALSE),1)</f>
        <v/>
      </c>
      <c r="Z414" s="140">
        <f>IF(Y414=0,"Release",IF(AND(L414&lt;J414,Y414=1,H414=FALSE,U414=FALSE,MONTH(L414)&amp;"/"&amp;YEAR(L414)&lt;&gt;MONTH(J414)&amp;"/"&amp;YEAR(J414)),"Release",""))</f>
        <v/>
      </c>
      <c r="AA414" s="144">
        <f>_xlfn.minifs($L:$L,$C:$C,$C414,$F:$F,"&lt;&gt;0")</f>
        <v/>
      </c>
      <c r="AB414" s="144">
        <f>C414&amp;"-"&amp;A414</f>
        <v/>
      </c>
      <c r="AC414" s="144">
        <f>L414</f>
        <v/>
      </c>
    </row>
    <row r="415">
      <c r="A415" s="140" t="inlineStr">
        <is>
          <t>ZHUN01</t>
        </is>
      </c>
      <c r="B415" s="140" t="n">
        <v>4</v>
      </c>
      <c r="C415" s="140" t="inlineStr">
        <is>
          <t>HVK303</t>
        </is>
      </c>
      <c r="D415" s="140" t="inlineStr">
        <is>
          <t>K</t>
        </is>
      </c>
      <c r="E415" s="140" t="inlineStr">
        <is>
          <t>Hunter Lance</t>
        </is>
      </c>
      <c r="F415" s="141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</f>
        <v/>
      </c>
      <c r="G415" s="142" t="n">
        <v>44980</v>
      </c>
      <c r="H415" s="140">
        <f>VLOOKUP($C415,Sales!$C:$E,2,FALSE)</f>
        <v/>
      </c>
      <c r="I415" s="140">
        <f>VLOOKUP($C415,Sales!$C:$E,3,FALSE)</f>
        <v/>
      </c>
      <c r="J415" s="142">
        <f>SUMIFS(Sales!$H:$H,Sales!$C:$C,'Investor Exit List'!$C415)</f>
        <v/>
      </c>
      <c r="K415" s="142">
        <f>IF(I415=TRUE,J415,"")</f>
        <v/>
      </c>
      <c r="L415" s="142">
        <f>G415+730</f>
        <v/>
      </c>
      <c r="M415" s="142" t="n">
        <v>45443</v>
      </c>
      <c r="N415" s="143">
        <f>IFERROR(IF(G415&lt;&gt;"",IF(I415=TRUE,0,IF(U415=TRUE,0,L415-M415)),0),0)</f>
        <v/>
      </c>
      <c r="O415" s="143">
        <f>IF(N415&gt;0,IF(N415&lt;=180,N415,0),0)</f>
        <v/>
      </c>
      <c r="P415" s="141">
        <f>IF(AND(N415&lt;90,N415&gt;0),Q415,0)</f>
        <v/>
      </c>
      <c r="Q415" s="141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/>
      </c>
      <c r="R415" s="141">
        <f>IF(AND(H415=TRUE,I415=FALSE),Q415,0)</f>
        <v/>
      </c>
      <c r="S415" s="141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/>
      </c>
      <c r="T415" s="142">
        <f>IF(U415=TRUE,$J415,"")</f>
        <v/>
      </c>
      <c r="U415" s="140" t="b">
        <v>0</v>
      </c>
      <c r="V415" s="141">
        <f>IF(AND(H415=TRUE,OR(K415="",K415&gt;M415)),S415,0)</f>
        <v/>
      </c>
      <c r="W415" s="140" t="n">
        <v>0</v>
      </c>
      <c r="X415" s="140" t="b">
        <v>0</v>
      </c>
      <c r="Y415" s="143">
        <f>IF(H415=FALSE,VLOOKUP($C415,Sales!$C:$F,4,FALSE),1)</f>
        <v/>
      </c>
      <c r="Z415" s="140">
        <f>IF(Y415=0,"Release",IF(AND(L415&lt;J415,Y415=1,H415=FALSE,U415=FALSE,MONTH(L415)&amp;"/"&amp;YEAR(L415)&lt;&gt;MONTH(J415)&amp;"/"&amp;YEAR(J415)),"Release",""))</f>
        <v/>
      </c>
      <c r="AA415" s="144">
        <f>_xlfn.minifs($L:$L,$C:$C,$C415,$F:$F,"&lt;&gt;0")</f>
        <v/>
      </c>
      <c r="AB415" s="144">
        <f>C415&amp;"-"&amp;A415</f>
        <v/>
      </c>
      <c r="AC415" s="144">
        <f>L415</f>
        <v/>
      </c>
    </row>
    <row r="416">
      <c r="A416" s="140" t="inlineStr">
        <is>
          <t>ZINT01</t>
        </is>
      </c>
      <c r="B416" s="140" t="n">
        <v>11</v>
      </c>
      <c r="C416" s="140" t="inlineStr">
        <is>
          <t>HVK303</t>
        </is>
      </c>
      <c r="D416" s="140" t="inlineStr">
        <is>
          <t>K</t>
        </is>
      </c>
      <c r="E416" s="140" t="inlineStr">
        <is>
          <t>Lunau Marc</t>
        </is>
      </c>
      <c r="F416" s="141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</f>
        <v/>
      </c>
      <c r="G416" s="142" t="n">
        <v>45008</v>
      </c>
      <c r="H416" s="140">
        <f>VLOOKUP($C416,Sales!$C:$E,2,FALSE)</f>
        <v/>
      </c>
      <c r="I416" s="140">
        <f>VLOOKUP($C416,Sales!$C:$E,3,FALSE)</f>
        <v/>
      </c>
      <c r="J416" s="142">
        <f>SUMIFS(Sales!$H:$H,Sales!$C:$C,'Investor Exit List'!$C416)</f>
        <v/>
      </c>
      <c r="K416" s="142">
        <f>IF(I416=TRUE,J416,"")</f>
        <v/>
      </c>
      <c r="L416" s="142">
        <f>G416+730</f>
        <v/>
      </c>
      <c r="M416" s="142" t="n">
        <v>45443</v>
      </c>
      <c r="N416" s="143">
        <f>IFERROR(IF(G416&lt;&gt;"",IF(I416=TRUE,0,IF(U416=TRUE,0,L416-M416)),0),0)</f>
        <v/>
      </c>
      <c r="O416" s="143">
        <f>IF(N416&gt;0,IF(N416&lt;=180,N416,0),0)</f>
        <v/>
      </c>
      <c r="P416" s="141">
        <f>IF(AND(N416&lt;90,N416&gt;0),Q416,0)</f>
        <v/>
      </c>
      <c r="Q416" s="141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/>
      </c>
      <c r="R416" s="141">
        <f>IF(AND(H416=TRUE,I416=FALSE),Q416,0)</f>
        <v/>
      </c>
      <c r="S416" s="141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/>
      </c>
      <c r="T416" s="142">
        <f>IF(U416=TRUE,$J416,"")</f>
        <v/>
      </c>
      <c r="U416" s="140" t="b">
        <v>0</v>
      </c>
      <c r="V416" s="141">
        <f>IF(AND(H416=TRUE,OR(K416="",K416&gt;M416)),S416,0)</f>
        <v/>
      </c>
      <c r="W416" s="140" t="n">
        <v>0</v>
      </c>
      <c r="X416" s="140" t="b">
        <v>0</v>
      </c>
      <c r="Y416" s="143">
        <f>IF(H416=FALSE,VLOOKUP($C416,Sales!$C:$F,4,FALSE),1)</f>
        <v/>
      </c>
      <c r="Z416" s="140">
        <f>IF(Y416=0,"Release",IF(AND(L416&lt;J416,Y416=1,H416=FALSE,U416=FALSE,MONTH(L416)&amp;"/"&amp;YEAR(L416)&lt;&gt;MONTH(J416)&amp;"/"&amp;YEAR(J416)),"Release",""))</f>
        <v/>
      </c>
      <c r="AA416" s="144">
        <f>_xlfn.minifs($L:$L,$C:$C,$C416,$F:$F,"&lt;&gt;0")</f>
        <v/>
      </c>
      <c r="AB416" s="144">
        <f>C416&amp;"-"&amp;A416</f>
        <v/>
      </c>
      <c r="AC416" s="144">
        <f>L416</f>
        <v/>
      </c>
    </row>
    <row r="417">
      <c r="A417" s="140" t="inlineStr">
        <is>
          <t>ZMEH01</t>
        </is>
      </c>
      <c r="B417" s="140" t="n">
        <v>2</v>
      </c>
      <c r="C417" s="140" t="inlineStr">
        <is>
          <t>HVK303</t>
        </is>
      </c>
      <c r="D417" s="140" t="inlineStr">
        <is>
          <t>K</t>
        </is>
      </c>
      <c r="E417" s="140" t="inlineStr">
        <is>
          <t>Mehl Ralph Graham</t>
        </is>
      </c>
      <c r="F417" s="141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</f>
        <v/>
      </c>
      <c r="G417" s="142" t="n">
        <v>45016</v>
      </c>
      <c r="H417" s="140">
        <f>VLOOKUP($C417,Sales!$C:$E,2,FALSE)</f>
        <v/>
      </c>
      <c r="I417" s="140">
        <f>VLOOKUP($C417,Sales!$C:$E,3,FALSE)</f>
        <v/>
      </c>
      <c r="J417" s="142">
        <f>SUMIFS(Sales!$H:$H,Sales!$C:$C,'Investor Exit List'!$C417)</f>
        <v/>
      </c>
      <c r="K417" s="142">
        <f>IF(I417=TRUE,J417,"")</f>
        <v/>
      </c>
      <c r="L417" s="142">
        <f>G417+730</f>
        <v/>
      </c>
      <c r="M417" s="142" t="n">
        <v>45443</v>
      </c>
      <c r="N417" s="143">
        <f>IFERROR(IF(G417&lt;&gt;"",IF(I417=TRUE,0,IF(U417=TRUE,0,L417-M417)),0),0)</f>
        <v/>
      </c>
      <c r="O417" s="143">
        <f>IF(N417&gt;0,IF(N417&lt;=180,N417,0),0)</f>
        <v/>
      </c>
      <c r="P417" s="141">
        <f>IF(AND(N417&lt;90,N417&gt;0),Q417,0)</f>
        <v/>
      </c>
      <c r="Q417" s="141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/>
      </c>
      <c r="R417" s="141">
        <f>IF(AND(H417=TRUE,I417=FALSE),Q417,0)</f>
        <v/>
      </c>
      <c r="S417" s="141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/>
      </c>
      <c r="T417" s="142">
        <f>IF(U417=TRUE,$J417,"")</f>
        <v/>
      </c>
      <c r="U417" s="140" t="b">
        <v>0</v>
      </c>
      <c r="V417" s="141">
        <f>IF(AND(H417=TRUE,OR(K417="",K417&gt;M417)),S417,0)</f>
        <v/>
      </c>
      <c r="W417" s="140" t="n">
        <v>0</v>
      </c>
      <c r="X417" s="140" t="b">
        <v>0</v>
      </c>
      <c r="Y417" s="143">
        <f>IF(H417=FALSE,VLOOKUP($C417,Sales!$C:$F,4,FALSE),1)</f>
        <v/>
      </c>
      <c r="Z417" s="140">
        <f>IF(Y417=0,"Release",IF(AND(L417&lt;J417,Y417=1,H417=FALSE,U417=FALSE,MONTH(L417)&amp;"/"&amp;YEAR(L417)&lt;&gt;MONTH(J417)&amp;"/"&amp;YEAR(J417)),"Release",""))</f>
        <v/>
      </c>
      <c r="AA417" s="144">
        <f>_xlfn.minifs($L:$L,$C:$C,$C417,$F:$F,"&lt;&gt;0")</f>
        <v/>
      </c>
      <c r="AB417" s="144">
        <f>C417&amp;"-"&amp;A417</f>
        <v/>
      </c>
      <c r="AC417" s="144">
        <f>L417</f>
        <v/>
      </c>
    </row>
    <row r="418">
      <c r="A418" s="140" t="inlineStr">
        <is>
          <t>ZMCD01</t>
        </is>
      </c>
      <c r="B418" s="140" t="n">
        <v>7</v>
      </c>
      <c r="C418" s="140" t="inlineStr">
        <is>
          <t>HVK304</t>
        </is>
      </c>
      <c r="D418" s="140" t="inlineStr">
        <is>
          <t>K</t>
        </is>
      </c>
      <c r="E418" s="140" t="inlineStr">
        <is>
          <t>McDonald Veronica Agnes</t>
        </is>
      </c>
      <c r="F418" s="141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</f>
        <v/>
      </c>
      <c r="G418" s="142" t="n">
        <v>44980</v>
      </c>
      <c r="H418" s="140">
        <f>VLOOKUP($C418,Sales!$C:$E,2,FALSE)</f>
        <v/>
      </c>
      <c r="I418" s="140">
        <f>VLOOKUP($C418,Sales!$C:$E,3,FALSE)</f>
        <v/>
      </c>
      <c r="J418" s="142">
        <f>SUMIFS(Sales!$H:$H,Sales!$C:$C,'Investor Exit List'!$C418)</f>
        <v/>
      </c>
      <c r="K418" s="142">
        <f>IF(I418=TRUE,J418,"")</f>
        <v/>
      </c>
      <c r="L418" s="142">
        <f>G418+730</f>
        <v/>
      </c>
      <c r="M418" s="142" t="n">
        <v>45443</v>
      </c>
      <c r="N418" s="143">
        <f>IFERROR(IF(G418&lt;&gt;"",IF(I418=TRUE,0,IF(U418=TRUE,0,L418-M418)),0),0)</f>
        <v/>
      </c>
      <c r="O418" s="143">
        <f>IF(N418&gt;0,IF(N418&lt;=180,N418,0),0)</f>
        <v/>
      </c>
      <c r="P418" s="141">
        <f>IF(AND(N418&lt;90,N418&gt;0),Q418,0)</f>
        <v/>
      </c>
      <c r="Q418" s="141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/>
      </c>
      <c r="R418" s="141">
        <f>IF(AND(H418=TRUE,I418=FALSE),Q418,0)</f>
        <v/>
      </c>
      <c r="S418" s="141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/>
      </c>
      <c r="T418" s="142">
        <f>IF(U418=TRUE,$J418,"")</f>
        <v/>
      </c>
      <c r="U418" s="140" t="b">
        <v>0</v>
      </c>
      <c r="V418" s="141">
        <f>IF(AND(H418=TRUE,OR(K418="",K418&gt;M418)),S418,0)</f>
        <v/>
      </c>
      <c r="W418" s="140" t="n">
        <v>0</v>
      </c>
      <c r="X418" s="140" t="b">
        <v>0</v>
      </c>
      <c r="Y418" s="143">
        <f>IF(H418=FALSE,VLOOKUP($C418,Sales!$C:$F,4,FALSE),1)</f>
        <v/>
      </c>
      <c r="Z418" s="140">
        <f>IF(Y418=0,"Release",IF(AND(L418&lt;J418,Y418=1,H418=FALSE,U418=FALSE,MONTH(L418)&amp;"/"&amp;YEAR(L418)&lt;&gt;MONTH(J418)&amp;"/"&amp;YEAR(J418)),"Release",""))</f>
        <v/>
      </c>
      <c r="AA418" s="144">
        <f>_xlfn.minifs($L:$L,$C:$C,$C418,$F:$F,"&lt;&gt;0")</f>
        <v/>
      </c>
      <c r="AB418" s="144">
        <f>C418&amp;"-"&amp;A418</f>
        <v/>
      </c>
      <c r="AC418" s="144">
        <f>L418</f>
        <v/>
      </c>
    </row>
    <row r="419">
      <c r="A419" s="140" t="inlineStr">
        <is>
          <t>ZSCH02</t>
        </is>
      </c>
      <c r="B419" s="140" t="n">
        <v>2</v>
      </c>
      <c r="C419" s="140" t="inlineStr">
        <is>
          <t>HVK304</t>
        </is>
      </c>
      <c r="D419" s="140" t="inlineStr">
        <is>
          <t>K</t>
        </is>
      </c>
      <c r="E419" s="140" t="inlineStr">
        <is>
          <t>van Schalkwyk Zeldre</t>
        </is>
      </c>
      <c r="F419" s="141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</f>
        <v/>
      </c>
      <c r="G419" s="142" t="n">
        <v>44995</v>
      </c>
      <c r="H419" s="140">
        <f>VLOOKUP($C419,Sales!$C:$E,2,FALSE)</f>
        <v/>
      </c>
      <c r="I419" s="140">
        <f>VLOOKUP($C419,Sales!$C:$E,3,FALSE)</f>
        <v/>
      </c>
      <c r="J419" s="142">
        <f>SUMIFS(Sales!$H:$H,Sales!$C:$C,'Investor Exit List'!$C419)</f>
        <v/>
      </c>
      <c r="K419" s="142">
        <f>IF(I419=TRUE,J419,"")</f>
        <v/>
      </c>
      <c r="L419" s="142">
        <f>G419+730</f>
        <v/>
      </c>
      <c r="M419" s="142" t="n">
        <v>45443</v>
      </c>
      <c r="N419" s="143">
        <f>IFERROR(IF(G419&lt;&gt;"",IF(I419=TRUE,0,IF(U419=TRUE,0,L419-M419)),0),0)</f>
        <v/>
      </c>
      <c r="O419" s="143">
        <f>IF(N419&gt;0,IF(N419&lt;=180,N419,0),0)</f>
        <v/>
      </c>
      <c r="P419" s="141">
        <f>IF(AND(N419&lt;90,N419&gt;0),Q419,0)</f>
        <v/>
      </c>
      <c r="Q419" s="141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/>
      </c>
      <c r="R419" s="141">
        <f>IF(AND(H419=TRUE,I419=FALSE),Q419,0)</f>
        <v/>
      </c>
      <c r="S419" s="141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/>
      </c>
      <c r="T419" s="142">
        <f>IF(U419=TRUE,$J419,"")</f>
        <v/>
      </c>
      <c r="U419" s="140" t="b">
        <v>0</v>
      </c>
      <c r="V419" s="141">
        <f>IF(AND(H419=TRUE,OR(K419="",K419&gt;M419)),S419,0)</f>
        <v/>
      </c>
      <c r="W419" s="140" t="n">
        <v>0</v>
      </c>
      <c r="X419" s="140" t="b">
        <v>0</v>
      </c>
      <c r="Y419" s="143">
        <f>IF(H419=FALSE,VLOOKUP($C419,Sales!$C:$F,4,FALSE),1)</f>
        <v/>
      </c>
      <c r="Z419" s="140">
        <f>IF(Y419=0,"Release",IF(AND(L419&lt;J419,Y419=1,H419=FALSE,U419=FALSE,MONTH(L419)&amp;"/"&amp;YEAR(L419)&lt;&gt;MONTH(J419)&amp;"/"&amp;YEAR(J419)),"Release",""))</f>
        <v/>
      </c>
      <c r="AA419" s="144">
        <f>_xlfn.minifs($L:$L,$C:$C,$C419,$F:$F,"&lt;&gt;0")</f>
        <v/>
      </c>
      <c r="AB419" s="144">
        <f>C419&amp;"-"&amp;A419</f>
        <v/>
      </c>
      <c r="AC419" s="144">
        <f>L419</f>
        <v/>
      </c>
    </row>
    <row r="420">
      <c r="A420" s="140" t="inlineStr">
        <is>
          <t>ZRAN01</t>
        </is>
      </c>
      <c r="B420" s="140" t="n">
        <v>25</v>
      </c>
      <c r="C420" s="140" t="inlineStr">
        <is>
          <t>HVK305</t>
        </is>
      </c>
      <c r="D420" s="140" t="inlineStr">
        <is>
          <t>K</t>
        </is>
      </c>
      <c r="E420" s="140" t="inlineStr">
        <is>
          <t>Rankin Ross Partick Gemill</t>
        </is>
      </c>
      <c r="F420" s="141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</f>
        <v/>
      </c>
      <c r="G420" s="142" t="n">
        <v>45044</v>
      </c>
      <c r="H420" s="140">
        <f>VLOOKUP($C420,Sales!$C:$E,2,FALSE)</f>
        <v/>
      </c>
      <c r="I420" s="140">
        <f>VLOOKUP($C420,Sales!$C:$E,3,FALSE)</f>
        <v/>
      </c>
      <c r="J420" s="142">
        <f>SUMIFS(Sales!$H:$H,Sales!$C:$C,'Investor Exit List'!$C420)</f>
        <v/>
      </c>
      <c r="K420" s="142">
        <f>IF(I420=TRUE,J420,"")</f>
        <v/>
      </c>
      <c r="L420" s="142">
        <f>G420+730</f>
        <v/>
      </c>
      <c r="M420" s="142" t="n">
        <v>45443</v>
      </c>
      <c r="N420" s="143">
        <f>IFERROR(IF(G420&lt;&gt;"",IF(I420=TRUE,0,IF(U420=TRUE,0,L420-M420)),0),0)</f>
        <v/>
      </c>
      <c r="O420" s="143">
        <f>IF(N420&gt;0,IF(N420&lt;=180,N420,0),0)</f>
        <v/>
      </c>
      <c r="P420" s="141">
        <f>IF(AND(N420&lt;90,N420&gt;0),Q420,0)</f>
        <v/>
      </c>
      <c r="Q420" s="141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/>
      </c>
      <c r="R420" s="141">
        <f>IF(AND(H420=TRUE,I420=FALSE),Q420,0)</f>
        <v/>
      </c>
      <c r="S420" s="141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/>
      </c>
      <c r="T420" s="142">
        <f>IF(U420=TRUE,$J420,"")</f>
        <v/>
      </c>
      <c r="U420" s="140" t="b">
        <v>0</v>
      </c>
      <c r="V420" s="141">
        <f>IF(AND(H420=TRUE,OR(K420="",K420&gt;M420)),S420,0)</f>
        <v/>
      </c>
      <c r="W420" s="140" t="n">
        <v>0</v>
      </c>
      <c r="X420" s="140" t="b">
        <v>0</v>
      </c>
      <c r="Y420" s="143">
        <f>IF(H420=FALSE,VLOOKUP($C420,Sales!$C:$F,4,FALSE),1)</f>
        <v/>
      </c>
      <c r="Z420" s="140">
        <f>IF(Y420=0,"Release",IF(AND(L420&lt;J420,Y420=1,H420=FALSE,U420=FALSE,MONTH(L420)&amp;"/"&amp;YEAR(L420)&lt;&gt;MONTH(J420)&amp;"/"&amp;YEAR(J420)),"Release",""))</f>
        <v/>
      </c>
      <c r="AA420" s="144">
        <f>_xlfn.minifs($L:$L,$C:$C,$C420,$F:$F,"&lt;&gt;0")</f>
        <v/>
      </c>
      <c r="AB420" s="144">
        <f>C420&amp;"-"&amp;A420</f>
        <v/>
      </c>
      <c r="AC420" s="144">
        <f>L420</f>
        <v/>
      </c>
    </row>
    <row r="421">
      <c r="A421" s="140" t="inlineStr">
        <is>
          <t>ZSCH01</t>
        </is>
      </c>
      <c r="B421" s="140" t="n">
        <v>16</v>
      </c>
      <c r="C421" s="140" t="inlineStr">
        <is>
          <t>HVK305</t>
        </is>
      </c>
      <c r="D421" s="140" t="inlineStr">
        <is>
          <t>K</t>
        </is>
      </c>
      <c r="E421" s="140" t="inlineStr">
        <is>
          <t>Schubert Inge</t>
        </is>
      </c>
      <c r="F421" s="141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</f>
        <v/>
      </c>
      <c r="G421" s="142" t="n">
        <v>45016</v>
      </c>
      <c r="H421" s="140">
        <f>VLOOKUP($C421,Sales!$C:$E,2,FALSE)</f>
        <v/>
      </c>
      <c r="I421" s="140">
        <f>VLOOKUP($C421,Sales!$C:$E,3,FALSE)</f>
        <v/>
      </c>
      <c r="J421" s="142">
        <f>SUMIFS(Sales!$H:$H,Sales!$C:$C,'Investor Exit List'!$C421)</f>
        <v/>
      </c>
      <c r="K421" s="142">
        <f>IF(I421=TRUE,J421,"")</f>
        <v/>
      </c>
      <c r="L421" s="142">
        <f>G421+730</f>
        <v/>
      </c>
      <c r="M421" s="142" t="n">
        <v>45443</v>
      </c>
      <c r="N421" s="143">
        <f>IFERROR(IF(G421&lt;&gt;"",IF(I421=TRUE,0,IF(U421=TRUE,0,L421-M421)),0),0)</f>
        <v/>
      </c>
      <c r="O421" s="143">
        <f>IF(N421&gt;0,IF(N421&lt;=180,N421,0),0)</f>
        <v/>
      </c>
      <c r="P421" s="141">
        <f>IF(AND(N421&lt;90,N421&gt;0),Q421,0)</f>
        <v/>
      </c>
      <c r="Q421" s="141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/>
      </c>
      <c r="R421" s="141">
        <f>IF(AND(H421=TRUE,I421=FALSE),Q421,0)</f>
        <v/>
      </c>
      <c r="S421" s="141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/>
      </c>
      <c r="T421" s="142">
        <f>IF(U421=TRUE,$J421,"")</f>
        <v/>
      </c>
      <c r="U421" s="140" t="b">
        <v>0</v>
      </c>
      <c r="V421" s="141">
        <f>IF(AND(H421=TRUE,OR(K421="",K421&gt;M421)),S421,0)</f>
        <v/>
      </c>
      <c r="W421" s="140" t="n">
        <v>0</v>
      </c>
      <c r="X421" s="140" t="b">
        <v>0</v>
      </c>
      <c r="Y421" s="143">
        <f>IF(H421=FALSE,VLOOKUP($C421,Sales!$C:$F,4,FALSE),1)</f>
        <v/>
      </c>
      <c r="Z421" s="140">
        <f>IF(Y421=0,"Release",IF(AND(L421&lt;J421,Y421=1,H421=FALSE,U421=FALSE,MONTH(L421)&amp;"/"&amp;YEAR(L421)&lt;&gt;MONTH(J421)&amp;"/"&amp;YEAR(J421)),"Release",""))</f>
        <v/>
      </c>
      <c r="AA421" s="144">
        <f>_xlfn.minifs($L:$L,$C:$C,$C421,$F:$F,"&lt;&gt;0")</f>
        <v/>
      </c>
      <c r="AB421" s="144">
        <f>C421&amp;"-"&amp;A421</f>
        <v/>
      </c>
      <c r="AC421" s="144">
        <f>L421</f>
        <v/>
      </c>
    </row>
    <row r="422">
      <c r="A422" s="140" t="inlineStr">
        <is>
          <t>ZTSH01</t>
        </is>
      </c>
      <c r="B422" s="140" t="n">
        <v>2</v>
      </c>
      <c r="C422" s="140" t="inlineStr">
        <is>
          <t>HVK305</t>
        </is>
      </c>
      <c r="D422" s="140" t="inlineStr">
        <is>
          <t>K</t>
        </is>
      </c>
      <c r="E422" s="140" t="inlineStr">
        <is>
          <t>Tshabalala Thandeka Patience</t>
        </is>
      </c>
      <c r="F422" s="141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</f>
        <v/>
      </c>
      <c r="G422" s="142" t="n">
        <v>45016</v>
      </c>
      <c r="H422" s="140">
        <f>VLOOKUP($C422,Sales!$C:$E,2,FALSE)</f>
        <v/>
      </c>
      <c r="I422" s="140">
        <f>VLOOKUP($C422,Sales!$C:$E,3,FALSE)</f>
        <v/>
      </c>
      <c r="J422" s="142">
        <f>SUMIFS(Sales!$H:$H,Sales!$C:$C,'Investor Exit List'!$C422)</f>
        <v/>
      </c>
      <c r="K422" s="142">
        <f>IF(I422=TRUE,J422,"")</f>
        <v/>
      </c>
      <c r="L422" s="142">
        <f>G422+730</f>
        <v/>
      </c>
      <c r="M422" s="142" t="n">
        <v>45443</v>
      </c>
      <c r="N422" s="143">
        <f>IFERROR(IF(G422&lt;&gt;"",IF(I422=TRUE,0,IF(U422=TRUE,0,L422-M422)),0),0)</f>
        <v/>
      </c>
      <c r="O422" s="143">
        <f>IF(N422&gt;0,IF(N422&lt;=180,N422,0),0)</f>
        <v/>
      </c>
      <c r="P422" s="141">
        <f>IF(AND(N422&lt;90,N422&gt;0),Q422,0)</f>
        <v/>
      </c>
      <c r="Q422" s="141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/>
      </c>
      <c r="R422" s="141">
        <f>IF(AND(H422=TRUE,I422=FALSE),Q422,0)</f>
        <v/>
      </c>
      <c r="S422" s="141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/>
      </c>
      <c r="T422" s="142">
        <f>IF(U422=TRUE,$J422,"")</f>
        <v/>
      </c>
      <c r="U422" s="140" t="b">
        <v>0</v>
      </c>
      <c r="V422" s="141">
        <f>IF(AND(H422=TRUE,OR(K422="",K422&gt;M422)),S422,0)</f>
        <v/>
      </c>
      <c r="W422" s="140" t="n">
        <v>0</v>
      </c>
      <c r="X422" s="140" t="b">
        <v>0</v>
      </c>
      <c r="Y422" s="143">
        <f>IF(H422=FALSE,VLOOKUP($C422,Sales!$C:$F,4,FALSE),1)</f>
        <v/>
      </c>
      <c r="Z422" s="140">
        <f>IF(Y422=0,"Release",IF(AND(L422&lt;J422,Y422=1,H422=FALSE,U422=FALSE,MONTH(L422)&amp;"/"&amp;YEAR(L422)&lt;&gt;MONTH(J422)&amp;"/"&amp;YEAR(J422)),"Release",""))</f>
        <v/>
      </c>
      <c r="AA422" s="144">
        <f>_xlfn.minifs($L:$L,$C:$C,$C422,$F:$F,"&lt;&gt;0")</f>
        <v/>
      </c>
      <c r="AB422" s="144">
        <f>C422&amp;"-"&amp;A422</f>
        <v/>
      </c>
      <c r="AC422" s="144">
        <f>L422</f>
        <v/>
      </c>
    </row>
    <row r="423">
      <c r="A423" s="140" t="inlineStr">
        <is>
          <t>ZBUF01</t>
        </is>
      </c>
      <c r="B423" s="140" t="n">
        <v>1</v>
      </c>
      <c r="C423" s="140" t="inlineStr">
        <is>
          <t>HVK306</t>
        </is>
      </c>
      <c r="D423" s="140" t="inlineStr">
        <is>
          <t>K</t>
        </is>
      </c>
      <c r="E423" s="140" t="inlineStr">
        <is>
          <t>Buffet Tabitha Dorcas</t>
        </is>
      </c>
      <c r="F423" s="141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</f>
        <v/>
      </c>
      <c r="G423" s="142" t="n">
        <v>44980</v>
      </c>
      <c r="H423" s="140">
        <f>VLOOKUP($C423,Sales!$C:$E,2,FALSE)</f>
        <v/>
      </c>
      <c r="I423" s="140">
        <f>VLOOKUP($C423,Sales!$C:$E,3,FALSE)</f>
        <v/>
      </c>
      <c r="J423" s="142">
        <f>SUMIFS(Sales!$H:$H,Sales!$C:$C,'Investor Exit List'!$C423)</f>
        <v/>
      </c>
      <c r="K423" s="142">
        <f>IF(I423=TRUE,J423,"")</f>
        <v/>
      </c>
      <c r="L423" s="142">
        <f>G423+730</f>
        <v/>
      </c>
      <c r="M423" s="142" t="n">
        <v>45443</v>
      </c>
      <c r="N423" s="143">
        <f>IFERROR(IF(G423&lt;&gt;"",IF(I423=TRUE,0,IF(U423=TRUE,0,L423-M423)),0),0)</f>
        <v/>
      </c>
      <c r="O423" s="143">
        <f>IF(N423&gt;0,IF(N423&lt;=180,N423,0),0)</f>
        <v/>
      </c>
      <c r="P423" s="141">
        <f>IF(AND(N423&lt;90,N423&gt;0),Q423,0)</f>
        <v/>
      </c>
      <c r="Q423" s="141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/>
      </c>
      <c r="R423" s="141">
        <f>IF(AND(H423=TRUE,I423=FALSE),Q423,0)</f>
        <v/>
      </c>
      <c r="S423" s="141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/>
      </c>
      <c r="T423" s="142">
        <f>IF(U423=TRUE,$J423,"")</f>
        <v/>
      </c>
      <c r="U423" s="140" t="b">
        <v>0</v>
      </c>
      <c r="V423" s="141">
        <f>IF(AND(H423=TRUE,OR(K423="",K423&gt;M423)),S423,0)</f>
        <v/>
      </c>
      <c r="W423" s="140" t="n">
        <v>0</v>
      </c>
      <c r="X423" s="140" t="b">
        <v>0</v>
      </c>
      <c r="Y423" s="143">
        <f>IF(H423=FALSE,VLOOKUP($C423,Sales!$C:$F,4,FALSE),1)</f>
        <v/>
      </c>
      <c r="Z423" s="140">
        <f>IF(Y423=0,"Release",IF(AND(L423&lt;J423,Y423=1,H423=FALSE,U423=FALSE,MONTH(L423)&amp;"/"&amp;YEAR(L423)&lt;&gt;MONTH(J423)&amp;"/"&amp;YEAR(J423)),"Release",""))</f>
        <v/>
      </c>
      <c r="AA423" s="144">
        <f>_xlfn.minifs($L:$L,$C:$C,$C423,$F:$F,"&lt;&gt;0")</f>
        <v/>
      </c>
      <c r="AB423" s="144">
        <f>C423&amp;"-"&amp;A423</f>
        <v/>
      </c>
      <c r="AC423" s="144">
        <f>L423</f>
        <v/>
      </c>
    </row>
    <row r="424">
      <c r="A424" s="140" t="inlineStr">
        <is>
          <t>ZRIT01</t>
        </is>
      </c>
      <c r="B424" s="140" t="n">
        <v>11</v>
      </c>
      <c r="C424" s="140" t="inlineStr">
        <is>
          <t>HVK306</t>
        </is>
      </c>
      <c r="D424" s="140" t="inlineStr">
        <is>
          <t>K</t>
        </is>
      </c>
      <c r="E424" s="140" t="inlineStr">
        <is>
          <t>Ritter Dennis</t>
        </is>
      </c>
      <c r="F424" s="141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</f>
        <v/>
      </c>
      <c r="G424" s="142" t="n">
        <v>45072</v>
      </c>
      <c r="H424" s="140">
        <f>VLOOKUP($C424,Sales!$C:$E,2,FALSE)</f>
        <v/>
      </c>
      <c r="I424" s="140">
        <f>VLOOKUP($C424,Sales!$C:$E,3,FALSE)</f>
        <v/>
      </c>
      <c r="J424" s="142">
        <f>SUMIFS(Sales!$H:$H,Sales!$C:$C,'Investor Exit List'!$C424)</f>
        <v/>
      </c>
      <c r="K424" s="142">
        <f>IF(I424=TRUE,J424,"")</f>
        <v/>
      </c>
      <c r="L424" s="142">
        <f>G424+730</f>
        <v/>
      </c>
      <c r="M424" s="142" t="n">
        <v>45443</v>
      </c>
      <c r="N424" s="143">
        <f>IFERROR(IF(G424&lt;&gt;"",IF(I424=TRUE,0,IF(U424=TRUE,0,L424-M424)),0),0)</f>
        <v/>
      </c>
      <c r="O424" s="143">
        <f>IF(N424&gt;0,IF(N424&lt;=180,N424,0),0)</f>
        <v/>
      </c>
      <c r="P424" s="141">
        <f>IF(AND(N424&lt;90,N424&gt;0),Q424,0)</f>
        <v/>
      </c>
      <c r="Q424" s="141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/>
      </c>
      <c r="R424" s="141">
        <f>IF(AND(H424=TRUE,I424=FALSE),Q424,0)</f>
        <v/>
      </c>
      <c r="S424" s="141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/>
      </c>
      <c r="T424" s="142">
        <f>IF(U424=TRUE,$J424,"")</f>
        <v/>
      </c>
      <c r="U424" s="140" t="b">
        <v>0</v>
      </c>
      <c r="V424" s="141">
        <f>IF(AND(H424=TRUE,OR(K424="",K424&gt;M424)),S424,0)</f>
        <v/>
      </c>
      <c r="W424" s="140" t="n">
        <v>0</v>
      </c>
      <c r="X424" s="140" t="b">
        <v>0</v>
      </c>
      <c r="Y424" s="143">
        <f>IF(H424=FALSE,VLOOKUP($C424,Sales!$C:$F,4,FALSE),1)</f>
        <v/>
      </c>
      <c r="Z424" s="140">
        <f>IF(Y424=0,"Release",IF(AND(L424&lt;J424,Y424=1,H424=FALSE,U424=FALSE,MONTH(L424)&amp;"/"&amp;YEAR(L424)&lt;&gt;MONTH(J424)&amp;"/"&amp;YEAR(J424)),"Release",""))</f>
        <v/>
      </c>
      <c r="AA424" s="144">
        <f>_xlfn.minifs($L:$L,$C:$C,$C424,$F:$F,"&lt;&gt;0")</f>
        <v/>
      </c>
      <c r="AB424" s="144">
        <f>C424&amp;"-"&amp;A424</f>
        <v/>
      </c>
      <c r="AC424" s="144">
        <f>L424</f>
        <v/>
      </c>
    </row>
    <row r="425">
      <c r="A425" s="140" t="inlineStr">
        <is>
          <t>ZRAN01</t>
        </is>
      </c>
      <c r="B425" s="140" t="n">
        <v>24</v>
      </c>
      <c r="C425" s="140" t="inlineStr">
        <is>
          <t>HVK401</t>
        </is>
      </c>
      <c r="D425" s="140" t="inlineStr">
        <is>
          <t>K</t>
        </is>
      </c>
      <c r="E425" s="140" t="inlineStr">
        <is>
          <t>Rankin Ross Partick Gemill</t>
        </is>
      </c>
      <c r="F425" s="141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</f>
        <v/>
      </c>
      <c r="G425" s="142" t="n">
        <v>45016</v>
      </c>
      <c r="H425" s="140">
        <f>VLOOKUP($C425,Sales!$C:$E,2,FALSE)</f>
        <v/>
      </c>
      <c r="I425" s="140">
        <f>VLOOKUP($C425,Sales!$C:$E,3,FALSE)</f>
        <v/>
      </c>
      <c r="J425" s="142">
        <f>SUMIFS(Sales!$H:$H,Sales!$C:$C,'Investor Exit List'!$C425)</f>
        <v/>
      </c>
      <c r="K425" s="142">
        <f>IF(I425=TRUE,J425,"")</f>
        <v/>
      </c>
      <c r="L425" s="142">
        <f>G425+730</f>
        <v/>
      </c>
      <c r="M425" s="142" t="n">
        <v>45443</v>
      </c>
      <c r="N425" s="143">
        <f>IFERROR(IF(G425&lt;&gt;"",IF(I425=TRUE,0,IF(U425=TRUE,0,L425-M425)),0),0)</f>
        <v/>
      </c>
      <c r="O425" s="143">
        <f>IF(N425&gt;0,IF(N425&lt;=180,N425,0),0)</f>
        <v/>
      </c>
      <c r="P425" s="141">
        <f>IF(AND(N425&lt;90,N425&gt;0),Q425,0)</f>
        <v/>
      </c>
      <c r="Q425" s="141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/>
      </c>
      <c r="R425" s="141">
        <f>IF(AND(H425=TRUE,I425=FALSE),Q425,0)</f>
        <v/>
      </c>
      <c r="S425" s="141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/>
      </c>
      <c r="T425" s="142">
        <f>IF(U425=TRUE,$J425,"")</f>
        <v/>
      </c>
      <c r="U425" s="140" t="b">
        <v>0</v>
      </c>
      <c r="V425" s="141">
        <f>IF(AND(H425=TRUE,OR(K425="",K425&gt;M425)),S425,0)</f>
        <v/>
      </c>
      <c r="W425" s="140" t="n">
        <v>0</v>
      </c>
      <c r="X425" s="140" t="b">
        <v>0</v>
      </c>
      <c r="Y425" s="143">
        <f>IF(H425=FALSE,VLOOKUP($C425,Sales!$C:$F,4,FALSE),1)</f>
        <v/>
      </c>
      <c r="Z425" s="140">
        <f>IF(Y425=0,"Release",IF(AND(L425&lt;J425,Y425=1,H425=FALSE,U425=FALSE,MONTH(L425)&amp;"/"&amp;YEAR(L425)&lt;&gt;MONTH(J425)&amp;"/"&amp;YEAR(J425)),"Release",""))</f>
        <v/>
      </c>
      <c r="AA425" s="144">
        <f>_xlfn.minifs($L:$L,$C:$C,$C425,$F:$F,"&lt;&gt;0")</f>
        <v/>
      </c>
      <c r="AB425" s="144">
        <f>C425&amp;"-"&amp;A425</f>
        <v/>
      </c>
      <c r="AC425" s="144">
        <f>L425</f>
        <v/>
      </c>
    </row>
    <row r="426">
      <c r="A426" s="140" t="inlineStr">
        <is>
          <t>ZVAN13</t>
        </is>
      </c>
      <c r="B426" s="140" t="n">
        <v>1</v>
      </c>
      <c r="C426" s="140" t="inlineStr">
        <is>
          <t>HVK401</t>
        </is>
      </c>
      <c r="D426" s="140" t="inlineStr">
        <is>
          <t>K</t>
        </is>
      </c>
      <c r="E426" s="140" t="inlineStr">
        <is>
          <t>van der Spuy Gian</t>
        </is>
      </c>
      <c r="F426" s="141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</f>
        <v/>
      </c>
      <c r="G426" s="142" t="n">
        <v>44980</v>
      </c>
      <c r="H426" s="140">
        <f>VLOOKUP($C426,Sales!$C:$E,2,FALSE)</f>
        <v/>
      </c>
      <c r="I426" s="140">
        <f>VLOOKUP($C426,Sales!$C:$E,3,FALSE)</f>
        <v/>
      </c>
      <c r="J426" s="142">
        <f>SUMIFS(Sales!$H:$H,Sales!$C:$C,'Investor Exit List'!$C426)</f>
        <v/>
      </c>
      <c r="K426" s="142">
        <f>IF(I426=TRUE,J426,"")</f>
        <v/>
      </c>
      <c r="L426" s="142">
        <f>G426+730</f>
        <v/>
      </c>
      <c r="M426" s="142" t="n">
        <v>45443</v>
      </c>
      <c r="N426" s="143">
        <f>IFERROR(IF(G426&lt;&gt;"",IF(I426=TRUE,0,IF(U426=TRUE,0,L426-M426)),0),0)</f>
        <v/>
      </c>
      <c r="O426" s="143">
        <f>IF(N426&gt;0,IF(N426&lt;=180,N426,0),0)</f>
        <v/>
      </c>
      <c r="P426" s="141">
        <f>IF(AND(N426&lt;90,N426&gt;0),Q426,0)</f>
        <v/>
      </c>
      <c r="Q426" s="141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/>
      </c>
      <c r="R426" s="141">
        <f>IF(AND(H426=TRUE,I426=FALSE),Q426,0)</f>
        <v/>
      </c>
      <c r="S426" s="141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/>
      </c>
      <c r="T426" s="142">
        <f>IF(U426=TRUE,$J426,"")</f>
        <v/>
      </c>
      <c r="U426" s="140" t="b">
        <v>0</v>
      </c>
      <c r="V426" s="141">
        <f>IF(AND(H426=TRUE,OR(K426="",K426&gt;M426)),S426,0)</f>
        <v/>
      </c>
      <c r="W426" s="140" t="n">
        <v>0</v>
      </c>
      <c r="X426" s="140" t="b">
        <v>0</v>
      </c>
      <c r="Y426" s="143">
        <f>IF(H426=FALSE,VLOOKUP($C426,Sales!$C:$F,4,FALSE),1)</f>
        <v/>
      </c>
      <c r="Z426" s="140">
        <f>IF(Y426=0,"Release",IF(AND(L426&lt;J426,Y426=1,H426=FALSE,U426=FALSE,MONTH(L426)&amp;"/"&amp;YEAR(L426)&lt;&gt;MONTH(J426)&amp;"/"&amp;YEAR(J426)),"Release",""))</f>
        <v/>
      </c>
      <c r="AA426" s="144">
        <f>_xlfn.minifs($L:$L,$C:$C,$C426,$F:$F,"&lt;&gt;0")</f>
        <v/>
      </c>
      <c r="AB426" s="144">
        <f>C426&amp;"-"&amp;A426</f>
        <v/>
      </c>
      <c r="AC426" s="144">
        <f>L426</f>
        <v/>
      </c>
    </row>
    <row r="427">
      <c r="A427" s="140" t="inlineStr">
        <is>
          <t>ZVAN02</t>
        </is>
      </c>
      <c r="B427" s="140" t="n">
        <v>2</v>
      </c>
      <c r="C427" s="140" t="inlineStr">
        <is>
          <t>HVK402</t>
        </is>
      </c>
      <c r="D427" s="140" t="inlineStr">
        <is>
          <t>K</t>
        </is>
      </c>
      <c r="E427" s="140" t="inlineStr">
        <is>
          <t>van Schalkwyk Agatha Dorothea</t>
        </is>
      </c>
      <c r="F427" s="141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</f>
        <v/>
      </c>
      <c r="G427" s="142" t="n">
        <v>44995</v>
      </c>
      <c r="H427" s="140">
        <f>VLOOKUP($C427,Sales!$C:$E,2,FALSE)</f>
        <v/>
      </c>
      <c r="I427" s="140">
        <f>VLOOKUP($C427,Sales!$C:$E,3,FALSE)</f>
        <v/>
      </c>
      <c r="J427" s="142">
        <f>SUMIFS(Sales!$H:$H,Sales!$C:$C,'Investor Exit List'!$C427)</f>
        <v/>
      </c>
      <c r="K427" s="142">
        <f>IF(I427=TRUE,J427,"")</f>
        <v/>
      </c>
      <c r="L427" s="142">
        <f>G427+730</f>
        <v/>
      </c>
      <c r="M427" s="142" t="n">
        <v>45443</v>
      </c>
      <c r="N427" s="143">
        <f>IFERROR(IF(G427&lt;&gt;"",IF(I427=TRUE,0,IF(U427=TRUE,0,L427-M427)),0),0)</f>
        <v/>
      </c>
      <c r="O427" s="143">
        <f>IF(N427&gt;0,IF(N427&lt;=180,N427,0),0)</f>
        <v/>
      </c>
      <c r="P427" s="141">
        <f>IF(AND(N427&lt;90,N427&gt;0),Q427,0)</f>
        <v/>
      </c>
      <c r="Q427" s="141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/>
      </c>
      <c r="R427" s="141">
        <f>IF(AND(H427=TRUE,I427=FALSE),Q427,0)</f>
        <v/>
      </c>
      <c r="S427" s="141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/>
      </c>
      <c r="T427" s="142">
        <f>IF(U427=TRUE,$J427,"")</f>
        <v/>
      </c>
      <c r="U427" s="140" t="b">
        <v>0</v>
      </c>
      <c r="V427" s="141">
        <f>IF(AND(H427=TRUE,OR(K427="",K427&gt;M427)),S427,0)</f>
        <v/>
      </c>
      <c r="W427" s="140" t="n">
        <v>0</v>
      </c>
      <c r="X427" s="140" t="b">
        <v>0</v>
      </c>
      <c r="Y427" s="143">
        <f>IF(H427=FALSE,VLOOKUP($C427,Sales!$C:$F,4,FALSE),1)</f>
        <v/>
      </c>
      <c r="Z427" s="140">
        <f>IF(Y427=0,"Release",IF(AND(L427&lt;J427,Y427=1,H427=FALSE,U427=FALSE,MONTH(L427)&amp;"/"&amp;YEAR(L427)&lt;&gt;MONTH(J427)&amp;"/"&amp;YEAR(J427)),"Release",""))</f>
        <v/>
      </c>
      <c r="AA427" s="144">
        <f>_xlfn.minifs($L:$L,$C:$C,$C427,$F:$F,"&lt;&gt;0")</f>
        <v/>
      </c>
      <c r="AB427" s="144">
        <f>C427&amp;"-"&amp;A427</f>
        <v/>
      </c>
      <c r="AC427" s="144">
        <f>L427</f>
        <v/>
      </c>
    </row>
    <row r="428">
      <c r="A428" s="140" t="inlineStr">
        <is>
          <t>ZVAN14</t>
        </is>
      </c>
      <c r="B428" s="140" t="n">
        <v>1</v>
      </c>
      <c r="C428" s="140" t="inlineStr">
        <is>
          <t>HVK402</t>
        </is>
      </c>
      <c r="D428" s="140" t="inlineStr">
        <is>
          <t>K</t>
        </is>
      </c>
      <c r="E428" s="140" t="inlineStr">
        <is>
          <t>van der Spuy Dorothy Anne</t>
        </is>
      </c>
      <c r="F428" s="141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</f>
        <v/>
      </c>
      <c r="G428" s="142" t="n">
        <v>45016</v>
      </c>
      <c r="H428" s="140">
        <f>VLOOKUP($C428,Sales!$C:$E,2,FALSE)</f>
        <v/>
      </c>
      <c r="I428" s="140">
        <f>VLOOKUP($C428,Sales!$C:$E,3,FALSE)</f>
        <v/>
      </c>
      <c r="J428" s="142">
        <f>SUMIFS(Sales!$H:$H,Sales!$C:$C,'Investor Exit List'!$C428)</f>
        <v/>
      </c>
      <c r="K428" s="142">
        <f>IF(I428=TRUE,J428,"")</f>
        <v/>
      </c>
      <c r="L428" s="142">
        <f>G428+730</f>
        <v/>
      </c>
      <c r="M428" s="142" t="n">
        <v>45443</v>
      </c>
      <c r="N428" s="143">
        <f>IFERROR(IF(G428&lt;&gt;"",IF(I428=TRUE,0,IF(U428=TRUE,0,L428-M428)),0),0)</f>
        <v/>
      </c>
      <c r="O428" s="143">
        <f>IF(N428&gt;0,IF(N428&lt;=180,N428,0),0)</f>
        <v/>
      </c>
      <c r="P428" s="141">
        <f>IF(AND(N428&lt;90,N428&gt;0),Q428,0)</f>
        <v/>
      </c>
      <c r="Q428" s="141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/>
      </c>
      <c r="R428" s="141">
        <f>IF(AND(H428=TRUE,I428=FALSE),Q428,0)</f>
        <v/>
      </c>
      <c r="S428" s="141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/>
      </c>
      <c r="T428" s="142">
        <f>IF(U428=TRUE,$J428,"")</f>
        <v/>
      </c>
      <c r="U428" s="140" t="b">
        <v>0</v>
      </c>
      <c r="V428" s="141">
        <f>IF(AND(H428=TRUE,OR(K428="",K428&gt;M428)),S428,0)</f>
        <v/>
      </c>
      <c r="W428" s="140" t="n">
        <v>0</v>
      </c>
      <c r="X428" s="140" t="b">
        <v>0</v>
      </c>
      <c r="Y428" s="143">
        <f>IF(H428=FALSE,VLOOKUP($C428,Sales!$C:$F,4,FALSE),1)</f>
        <v/>
      </c>
      <c r="Z428" s="140">
        <f>IF(Y428=0,"Release",IF(AND(L428&lt;J428,Y428=1,H428=FALSE,U428=FALSE,MONTH(L428)&amp;"/"&amp;YEAR(L428)&lt;&gt;MONTH(J428)&amp;"/"&amp;YEAR(J428)),"Release",""))</f>
        <v/>
      </c>
      <c r="AA428" s="144">
        <f>_xlfn.minifs($L:$L,$C:$C,$C428,$F:$F,"&lt;&gt;0")</f>
        <v/>
      </c>
      <c r="AB428" s="144">
        <f>C428&amp;"-"&amp;A428</f>
        <v/>
      </c>
      <c r="AC428" s="144">
        <f>L428</f>
        <v/>
      </c>
    </row>
    <row r="429">
      <c r="A429" s="140" t="inlineStr">
        <is>
          <t>ZALM01</t>
        </is>
      </c>
      <c r="B429" s="140" t="n">
        <v>9</v>
      </c>
      <c r="C429" s="140" t="inlineStr">
        <is>
          <t>HVK403</t>
        </is>
      </c>
      <c r="D429" s="140" t="inlineStr">
        <is>
          <t>K</t>
        </is>
      </c>
      <c r="E429" s="140" t="inlineStr">
        <is>
          <t>Lunau Marc</t>
        </is>
      </c>
      <c r="F429" s="141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</f>
        <v/>
      </c>
      <c r="G429" s="142" t="n">
        <v>45107</v>
      </c>
      <c r="H429" s="140">
        <f>VLOOKUP($C429,Sales!$C:$E,2,FALSE)</f>
        <v/>
      </c>
      <c r="I429" s="140">
        <f>VLOOKUP($C429,Sales!$C:$E,3,FALSE)</f>
        <v/>
      </c>
      <c r="J429" s="142">
        <f>SUMIFS(Sales!$H:$H,Sales!$C:$C,'Investor Exit List'!$C429)</f>
        <v/>
      </c>
      <c r="K429" s="142">
        <f>IF(I429=TRUE,J429,"")</f>
        <v/>
      </c>
      <c r="L429" s="142">
        <f>G429+730</f>
        <v/>
      </c>
      <c r="M429" s="142" t="n">
        <v>45443</v>
      </c>
      <c r="N429" s="143">
        <f>IFERROR(IF(G429&lt;&gt;"",IF(I429=TRUE,0,IF(U429=TRUE,0,L429-M429)),0),0)</f>
        <v/>
      </c>
      <c r="O429" s="143">
        <f>IF(N429&gt;0,IF(N429&lt;=180,N429,0),0)</f>
        <v/>
      </c>
      <c r="P429" s="141">
        <f>IF(AND(N429&lt;90,N429&gt;0),Q429,0)</f>
        <v/>
      </c>
      <c r="Q429" s="141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/>
      </c>
      <c r="R429" s="141">
        <f>IF(AND(H429=TRUE,I429=FALSE),Q429,0)</f>
        <v/>
      </c>
      <c r="S429" s="141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/>
      </c>
      <c r="T429" s="142">
        <f>IF(U429=TRUE,$J429,"")</f>
        <v/>
      </c>
      <c r="U429" s="140" t="b">
        <v>0</v>
      </c>
      <c r="V429" s="141">
        <f>IF(AND(H429=TRUE,OR(K429="",K429&gt;M429)),S429,0)</f>
        <v/>
      </c>
      <c r="W429" s="140" t="n">
        <v>0</v>
      </c>
      <c r="X429" s="140" t="b">
        <v>0</v>
      </c>
      <c r="Y429" s="143">
        <f>IF(H429=FALSE,VLOOKUP($C429,Sales!$C:$F,4,FALSE),1)</f>
        <v/>
      </c>
      <c r="Z429" s="140">
        <f>IF(Y429=0,"Release",IF(AND(L429&lt;J429,Y429=1,H429=FALSE,U429=FALSE,MONTH(L429)&amp;"/"&amp;YEAR(L429)&lt;&gt;MONTH(J429)&amp;"/"&amp;YEAR(J429)),"Release",""))</f>
        <v/>
      </c>
      <c r="AA429" s="144">
        <f>_xlfn.minifs($L:$L,$C:$C,$C429,$F:$F,"&lt;&gt;0")</f>
        <v/>
      </c>
      <c r="AB429" s="144">
        <f>C429&amp;"-"&amp;A429</f>
        <v/>
      </c>
      <c r="AC429" s="144">
        <f>L429</f>
        <v/>
      </c>
    </row>
    <row r="430">
      <c r="A430" s="140" t="inlineStr">
        <is>
          <t>ZGRA01</t>
        </is>
      </c>
      <c r="B430" s="140" t="n">
        <v>1</v>
      </c>
      <c r="C430" s="140" t="inlineStr">
        <is>
          <t>HVK403</t>
        </is>
      </c>
      <c r="D430" s="140" t="inlineStr">
        <is>
          <t>K</t>
        </is>
      </c>
      <c r="E430" s="140" t="inlineStr">
        <is>
          <t>Grabe Pieter</t>
        </is>
      </c>
      <c r="F430" s="141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</f>
        <v/>
      </c>
      <c r="G430" s="142" t="n">
        <v>45016</v>
      </c>
      <c r="H430" s="140">
        <f>VLOOKUP($C430,Sales!$C:$E,2,FALSE)</f>
        <v/>
      </c>
      <c r="I430" s="140">
        <f>VLOOKUP($C430,Sales!$C:$E,3,FALSE)</f>
        <v/>
      </c>
      <c r="J430" s="142">
        <f>SUMIFS(Sales!$H:$H,Sales!$C:$C,'Investor Exit List'!$C430)</f>
        <v/>
      </c>
      <c r="K430" s="142">
        <f>IF(I430=TRUE,J430,"")</f>
        <v/>
      </c>
      <c r="L430" s="142">
        <f>G430+730</f>
        <v/>
      </c>
      <c r="M430" s="142" t="n">
        <v>45443</v>
      </c>
      <c r="N430" s="143">
        <f>IFERROR(IF(G430&lt;&gt;"",IF(I430=TRUE,0,IF(U430=TRUE,0,L430-M430)),0),0)</f>
        <v/>
      </c>
      <c r="O430" s="143">
        <f>IF(N430&gt;0,IF(N430&lt;=180,N430,0),0)</f>
        <v/>
      </c>
      <c r="P430" s="141">
        <f>IF(AND(N430&lt;90,N430&gt;0),Q430,0)</f>
        <v/>
      </c>
      <c r="Q430" s="141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/>
      </c>
      <c r="R430" s="141">
        <f>IF(AND(H430=TRUE,I430=FALSE),Q430,0)</f>
        <v/>
      </c>
      <c r="S430" s="141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/>
      </c>
      <c r="T430" s="142">
        <f>IF(U430=TRUE,$J430,"")</f>
        <v/>
      </c>
      <c r="U430" s="140" t="b">
        <v>0</v>
      </c>
      <c r="V430" s="141">
        <f>IF(AND(H430=TRUE,OR(K430="",K430&gt;M430)),S430,0)</f>
        <v/>
      </c>
      <c r="W430" s="140" t="n">
        <v>0</v>
      </c>
      <c r="X430" s="140" t="b">
        <v>0</v>
      </c>
      <c r="Y430" s="143">
        <f>IF(H430=FALSE,VLOOKUP($C430,Sales!$C:$F,4,FALSE),1)</f>
        <v/>
      </c>
      <c r="Z430" s="140">
        <f>IF(Y430=0,"Release",IF(AND(L430&lt;J430,Y430=1,H430=FALSE,U430=FALSE,MONTH(L430)&amp;"/"&amp;YEAR(L430)&lt;&gt;MONTH(J430)&amp;"/"&amp;YEAR(J430)),"Release",""))</f>
        <v/>
      </c>
      <c r="AA430" s="144">
        <f>_xlfn.minifs($L:$L,$C:$C,$C430,$F:$F,"&lt;&gt;0")</f>
        <v/>
      </c>
      <c r="AB430" s="144">
        <f>C430&amp;"-"&amp;A430</f>
        <v/>
      </c>
      <c r="AC430" s="144">
        <f>L430</f>
        <v/>
      </c>
    </row>
    <row r="431">
      <c r="A431" s="140" t="inlineStr">
        <is>
          <t>ZHAN06</t>
        </is>
      </c>
      <c r="B431" s="140" t="n">
        <v>1</v>
      </c>
      <c r="C431" s="140" t="inlineStr">
        <is>
          <t>HVK403</t>
        </is>
      </c>
      <c r="D431" s="140" t="inlineStr">
        <is>
          <t>K</t>
        </is>
      </c>
      <c r="E431" s="140" t="inlineStr">
        <is>
          <t>Hanekom Derick</t>
        </is>
      </c>
      <c r="F431" s="141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</f>
        <v/>
      </c>
      <c r="G431" s="142" t="n">
        <v>45016</v>
      </c>
      <c r="H431" s="140">
        <f>VLOOKUP($C431,Sales!$C:$E,2,FALSE)</f>
        <v/>
      </c>
      <c r="I431" s="140">
        <f>VLOOKUP($C431,Sales!$C:$E,3,FALSE)</f>
        <v/>
      </c>
      <c r="J431" s="142">
        <f>SUMIFS(Sales!$H:$H,Sales!$C:$C,'Investor Exit List'!$C431)</f>
        <v/>
      </c>
      <c r="K431" s="142">
        <f>IF(I431=TRUE,J431,"")</f>
        <v/>
      </c>
      <c r="L431" s="142">
        <f>G431+730</f>
        <v/>
      </c>
      <c r="M431" s="142" t="n">
        <v>45443</v>
      </c>
      <c r="N431" s="143">
        <f>IFERROR(IF(G431&lt;&gt;"",IF(I431=TRUE,0,IF(U431=TRUE,0,L431-M431)),0),0)</f>
        <v/>
      </c>
      <c r="O431" s="143">
        <f>IF(N431&gt;0,IF(N431&lt;=180,N431,0),0)</f>
        <v/>
      </c>
      <c r="P431" s="141">
        <f>IF(AND(N431&lt;90,N431&gt;0),Q431,0)</f>
        <v/>
      </c>
      <c r="Q431" s="141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/>
      </c>
      <c r="R431" s="141">
        <f>IF(AND(H431=TRUE,I431=FALSE),Q431,0)</f>
        <v/>
      </c>
      <c r="S431" s="141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/>
      </c>
      <c r="T431" s="142">
        <f>IF(U431=TRUE,$J431,"")</f>
        <v/>
      </c>
      <c r="U431" s="140" t="b">
        <v>0</v>
      </c>
      <c r="V431" s="141">
        <f>IF(AND(H431=TRUE,OR(K431="",K431&gt;M431)),S431,0)</f>
        <v/>
      </c>
      <c r="W431" s="140" t="n">
        <v>0</v>
      </c>
      <c r="X431" s="140" t="b">
        <v>0</v>
      </c>
      <c r="Y431" s="143">
        <f>IF(H431=FALSE,VLOOKUP($C431,Sales!$C:$F,4,FALSE),1)</f>
        <v/>
      </c>
      <c r="Z431" s="140">
        <f>IF(Y431=0,"Release",IF(AND(L431&lt;J431,Y431=1,H431=FALSE,U431=FALSE,MONTH(L431)&amp;"/"&amp;YEAR(L431)&lt;&gt;MONTH(J431)&amp;"/"&amp;YEAR(J431)),"Release",""))</f>
        <v/>
      </c>
      <c r="AA431" s="144">
        <f>_xlfn.minifs($L:$L,$C:$C,$C431,$F:$F,"&lt;&gt;0")</f>
        <v/>
      </c>
      <c r="AB431" s="144">
        <f>C431&amp;"-"&amp;A431</f>
        <v/>
      </c>
      <c r="AC431" s="144">
        <f>L431</f>
        <v/>
      </c>
    </row>
    <row r="432">
      <c r="A432" s="140" t="inlineStr">
        <is>
          <t>ZINT01</t>
        </is>
      </c>
      <c r="B432" s="140" t="n">
        <v>12</v>
      </c>
      <c r="C432" s="140" t="inlineStr">
        <is>
          <t>HVK403</t>
        </is>
      </c>
      <c r="D432" s="140" t="inlineStr">
        <is>
          <t>K</t>
        </is>
      </c>
      <c r="E432" s="140" t="inlineStr">
        <is>
          <t>Lunau Marc</t>
        </is>
      </c>
      <c r="F432" s="141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</f>
        <v/>
      </c>
      <c r="G432" s="142" t="n">
        <v>45008</v>
      </c>
      <c r="H432" s="140">
        <f>VLOOKUP($C432,Sales!$C:$E,2,FALSE)</f>
        <v/>
      </c>
      <c r="I432" s="140">
        <f>VLOOKUP($C432,Sales!$C:$E,3,FALSE)</f>
        <v/>
      </c>
      <c r="J432" s="142">
        <f>SUMIFS(Sales!$H:$H,Sales!$C:$C,'Investor Exit List'!$C432)</f>
        <v/>
      </c>
      <c r="K432" s="142">
        <f>IF(I432=TRUE,J432,"")</f>
        <v/>
      </c>
      <c r="L432" s="142">
        <f>G432+730</f>
        <v/>
      </c>
      <c r="M432" s="142" t="n">
        <v>45443</v>
      </c>
      <c r="N432" s="143">
        <f>IFERROR(IF(G432&lt;&gt;"",IF(I432=TRUE,0,IF(U432=TRUE,0,L432-M432)),0),0)</f>
        <v/>
      </c>
      <c r="O432" s="143">
        <f>IF(N432&gt;0,IF(N432&lt;=180,N432,0),0)</f>
        <v/>
      </c>
      <c r="P432" s="141">
        <f>IF(AND(N432&lt;90,N432&gt;0),Q432,0)</f>
        <v/>
      </c>
      <c r="Q432" s="141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/>
      </c>
      <c r="R432" s="141">
        <f>IF(AND(H432=TRUE,I432=FALSE),Q432,0)</f>
        <v/>
      </c>
      <c r="S432" s="141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/>
      </c>
      <c r="T432" s="142">
        <f>IF(U432=TRUE,$J432,"")</f>
        <v/>
      </c>
      <c r="U432" s="140" t="b">
        <v>0</v>
      </c>
      <c r="V432" s="141">
        <f>IF(AND(H432=TRUE,OR(K432="",K432&gt;M432)),S432,0)</f>
        <v/>
      </c>
      <c r="W432" s="140" t="n">
        <v>0</v>
      </c>
      <c r="X432" s="140" t="b">
        <v>0</v>
      </c>
      <c r="Y432" s="143">
        <f>IF(H432=FALSE,VLOOKUP($C432,Sales!$C:$F,4,FALSE),1)</f>
        <v/>
      </c>
      <c r="Z432" s="140">
        <f>IF(Y432=0,"Release",IF(AND(L432&lt;J432,Y432=1,H432=FALSE,U432=FALSE,MONTH(L432)&amp;"/"&amp;YEAR(L432)&lt;&gt;MONTH(J432)&amp;"/"&amp;YEAR(J432)),"Release",""))</f>
        <v/>
      </c>
      <c r="AA432" s="144">
        <f>_xlfn.minifs($L:$L,$C:$C,$C432,$F:$F,"&lt;&gt;0")</f>
        <v/>
      </c>
      <c r="AB432" s="144">
        <f>C432&amp;"-"&amp;A432</f>
        <v/>
      </c>
      <c r="AC432" s="144">
        <f>L432</f>
        <v/>
      </c>
    </row>
    <row r="433">
      <c r="A433" s="140" t="inlineStr">
        <is>
          <t>ZKRO01</t>
        </is>
      </c>
      <c r="B433" s="140" t="n">
        <v>4</v>
      </c>
      <c r="C433" s="140" t="inlineStr">
        <is>
          <t>HVK403</t>
        </is>
      </c>
      <c r="D433" s="140" t="inlineStr">
        <is>
          <t>K</t>
        </is>
      </c>
      <c r="E433" s="140" t="inlineStr">
        <is>
          <t>van der Merwe Frans</t>
        </is>
      </c>
      <c r="F433" s="141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</f>
        <v/>
      </c>
      <c r="G433" s="142" t="n">
        <v>45072</v>
      </c>
      <c r="H433" s="140">
        <f>VLOOKUP($C433,Sales!$C:$E,2,FALSE)</f>
        <v/>
      </c>
      <c r="I433" s="140">
        <f>VLOOKUP($C433,Sales!$C:$E,3,FALSE)</f>
        <v/>
      </c>
      <c r="J433" s="142">
        <f>SUMIFS(Sales!$H:$H,Sales!$C:$C,'Investor Exit List'!$C433)</f>
        <v/>
      </c>
      <c r="K433" s="142">
        <f>IF(I433=TRUE,J433,"")</f>
        <v/>
      </c>
      <c r="L433" s="142">
        <f>G433+730</f>
        <v/>
      </c>
      <c r="M433" s="142" t="n">
        <v>45443</v>
      </c>
      <c r="N433" s="143">
        <f>IFERROR(IF(G433&lt;&gt;"",IF(I433=TRUE,0,IF(U433=TRUE,0,L433-M433)),0),0)</f>
        <v/>
      </c>
      <c r="O433" s="143">
        <f>IF(N433&gt;0,IF(N433&lt;=180,N433,0),0)</f>
        <v/>
      </c>
      <c r="P433" s="141">
        <f>IF(AND(N433&lt;90,N433&gt;0),Q433,0)</f>
        <v/>
      </c>
      <c r="Q433" s="141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/>
      </c>
      <c r="R433" s="141">
        <f>IF(AND(H433=TRUE,I433=FALSE),Q433,0)</f>
        <v/>
      </c>
      <c r="S433" s="141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/>
      </c>
      <c r="T433" s="142">
        <f>IF(U433=TRUE,$J433,"")</f>
        <v/>
      </c>
      <c r="U433" s="140" t="b">
        <v>0</v>
      </c>
      <c r="V433" s="141">
        <f>IF(AND(H433=TRUE,OR(K433="",K433&gt;M433)),S433,0)</f>
        <v/>
      </c>
      <c r="W433" s="140" t="n">
        <v>0</v>
      </c>
      <c r="X433" s="140" t="b">
        <v>0</v>
      </c>
      <c r="Y433" s="143">
        <f>IF(H433=FALSE,VLOOKUP($C433,Sales!$C:$F,4,FALSE),1)</f>
        <v/>
      </c>
      <c r="Z433" s="140">
        <f>IF(Y433=0,"Release",IF(AND(L433&lt;J433,Y433=1,H433=FALSE,U433=FALSE,MONTH(L433)&amp;"/"&amp;YEAR(L433)&lt;&gt;MONTH(J433)&amp;"/"&amp;YEAR(J433)),"Release",""))</f>
        <v/>
      </c>
      <c r="AA433" s="144">
        <f>_xlfn.minifs($L:$L,$C:$C,$C433,$F:$F,"&lt;&gt;0")</f>
        <v/>
      </c>
      <c r="AB433" s="144">
        <f>C433&amp;"-"&amp;A433</f>
        <v/>
      </c>
      <c r="AC433" s="144">
        <f>L433</f>
        <v/>
      </c>
    </row>
    <row r="434">
      <c r="A434" s="140" t="inlineStr">
        <is>
          <t>ZLUN01</t>
        </is>
      </c>
      <c r="B434" s="140" t="n">
        <v>7</v>
      </c>
      <c r="C434" s="140" t="inlineStr">
        <is>
          <t>HVK403</t>
        </is>
      </c>
      <c r="D434" s="140" t="inlineStr">
        <is>
          <t>K</t>
        </is>
      </c>
      <c r="E434" s="140" t="inlineStr">
        <is>
          <t>Lunau Marc</t>
        </is>
      </c>
      <c r="F434" s="141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</f>
        <v/>
      </c>
      <c r="G434" s="142" t="n">
        <v>45107</v>
      </c>
      <c r="H434" s="140">
        <f>VLOOKUP($C434,Sales!$C:$E,2,FALSE)</f>
        <v/>
      </c>
      <c r="I434" s="140">
        <f>VLOOKUP($C434,Sales!$C:$E,3,FALSE)</f>
        <v/>
      </c>
      <c r="J434" s="142">
        <f>SUMIFS(Sales!$H:$H,Sales!$C:$C,'Investor Exit List'!$C434)</f>
        <v/>
      </c>
      <c r="K434" s="142">
        <f>IF(I434=TRUE,J434,"")</f>
        <v/>
      </c>
      <c r="L434" s="142">
        <f>G434+730</f>
        <v/>
      </c>
      <c r="M434" s="142" t="n">
        <v>45443</v>
      </c>
      <c r="N434" s="143">
        <f>IFERROR(IF(G434&lt;&gt;"",IF(I434=TRUE,0,IF(U434=TRUE,0,L434-M434)),0),0)</f>
        <v/>
      </c>
      <c r="O434" s="143">
        <f>IF(N434&gt;0,IF(N434&lt;=180,N434,0),0)</f>
        <v/>
      </c>
      <c r="P434" s="141">
        <f>IF(AND(N434&lt;90,N434&gt;0),Q434,0)</f>
        <v/>
      </c>
      <c r="Q434" s="141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/>
      </c>
      <c r="R434" s="141">
        <f>IF(AND(H434=TRUE,I434=FALSE),Q434,0)</f>
        <v/>
      </c>
      <c r="S434" s="141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/>
      </c>
      <c r="T434" s="142">
        <f>IF(U434=TRUE,$J434,"")</f>
        <v/>
      </c>
      <c r="U434" s="140" t="b">
        <v>0</v>
      </c>
      <c r="V434" s="141">
        <f>IF(AND(H434=TRUE,OR(K434="",K434&gt;M434)),S434,0)</f>
        <v/>
      </c>
      <c r="W434" s="140" t="n">
        <v>0</v>
      </c>
      <c r="X434" s="140" t="b">
        <v>0</v>
      </c>
      <c r="Y434" s="143">
        <f>IF(H434=FALSE,VLOOKUP($C434,Sales!$C:$F,4,FALSE),1)</f>
        <v/>
      </c>
      <c r="Z434" s="140">
        <f>IF(Y434=0,"Release",IF(AND(L434&lt;J434,Y434=1,H434=FALSE,U434=FALSE,MONTH(L434)&amp;"/"&amp;YEAR(L434)&lt;&gt;MONTH(J434)&amp;"/"&amp;YEAR(J434)),"Release",""))</f>
        <v/>
      </c>
      <c r="AA434" s="144">
        <f>_xlfn.minifs($L:$L,$C:$C,$C434,$F:$F,"&lt;&gt;0")</f>
        <v/>
      </c>
      <c r="AB434" s="144">
        <f>C434&amp;"-"&amp;A434</f>
        <v/>
      </c>
      <c r="AC434" s="144">
        <f>L434</f>
        <v/>
      </c>
    </row>
    <row r="435">
      <c r="A435" s="140" t="inlineStr">
        <is>
          <t>ZMCK01</t>
        </is>
      </c>
      <c r="B435" s="140" t="n">
        <v>4</v>
      </c>
      <c r="C435" s="140" t="inlineStr">
        <is>
          <t>HVK403</t>
        </is>
      </c>
      <c r="D435" s="140" t="inlineStr">
        <is>
          <t>K</t>
        </is>
      </c>
      <c r="E435" s="140" t="inlineStr">
        <is>
          <t>MacKenzie-Jones Caitlin</t>
        </is>
      </c>
      <c r="F435" s="141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</f>
        <v/>
      </c>
      <c r="G435" s="142" t="n">
        <v>45072</v>
      </c>
      <c r="H435" s="140">
        <f>VLOOKUP($C435,Sales!$C:$E,2,FALSE)</f>
        <v/>
      </c>
      <c r="I435" s="140">
        <f>VLOOKUP($C435,Sales!$C:$E,3,FALSE)</f>
        <v/>
      </c>
      <c r="J435" s="142">
        <f>SUMIFS(Sales!$H:$H,Sales!$C:$C,'Investor Exit List'!$C435)</f>
        <v/>
      </c>
      <c r="K435" s="142">
        <f>IF(I435=TRUE,J435,"")</f>
        <v/>
      </c>
      <c r="L435" s="142">
        <f>G435+730</f>
        <v/>
      </c>
      <c r="M435" s="142" t="n">
        <v>45443</v>
      </c>
      <c r="N435" s="143">
        <f>IFERROR(IF(G435&lt;&gt;"",IF(I435=TRUE,0,IF(U435=TRUE,0,L435-M435)),0),0)</f>
        <v/>
      </c>
      <c r="O435" s="143">
        <f>IF(N435&gt;0,IF(N435&lt;=180,N435,0),0)</f>
        <v/>
      </c>
      <c r="P435" s="141">
        <f>IF(AND(N435&lt;90,N435&gt;0),Q435,0)</f>
        <v/>
      </c>
      <c r="Q435" s="141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/>
      </c>
      <c r="R435" s="141">
        <f>IF(AND(H435=TRUE,I435=FALSE),Q435,0)</f>
        <v/>
      </c>
      <c r="S435" s="141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/>
      </c>
      <c r="T435" s="142">
        <f>IF(U435=TRUE,$J435,"")</f>
        <v/>
      </c>
      <c r="U435" s="140" t="b">
        <v>0</v>
      </c>
      <c r="V435" s="141">
        <f>IF(AND(H435=TRUE,OR(K435="",K435&gt;M435)),S435,0)</f>
        <v/>
      </c>
      <c r="W435" s="140" t="n">
        <v>0</v>
      </c>
      <c r="X435" s="140" t="b">
        <v>0</v>
      </c>
      <c r="Y435" s="143">
        <f>IF(H435=FALSE,VLOOKUP($C435,Sales!$C:$F,4,FALSE),1)</f>
        <v/>
      </c>
      <c r="Z435" s="140">
        <f>IF(Y435=0,"Release",IF(AND(L435&lt;J435,Y435=1,H435=FALSE,U435=FALSE,MONTH(L435)&amp;"/"&amp;YEAR(L435)&lt;&gt;MONTH(J435)&amp;"/"&amp;YEAR(J435)),"Release",""))</f>
        <v/>
      </c>
      <c r="AA435" s="144">
        <f>_xlfn.minifs($L:$L,$C:$C,$C435,$F:$F,"&lt;&gt;0")</f>
        <v/>
      </c>
      <c r="AB435" s="144">
        <f>C435&amp;"-"&amp;A435</f>
        <v/>
      </c>
      <c r="AC435" s="144">
        <f>L435</f>
        <v/>
      </c>
    </row>
    <row r="436">
      <c r="A436" s="140" t="inlineStr">
        <is>
          <t>ZTHA01</t>
        </is>
      </c>
      <c r="B436" s="140" t="n">
        <v>3</v>
      </c>
      <c r="C436" s="140" t="inlineStr">
        <is>
          <t>HVK403</t>
        </is>
      </c>
      <c r="D436" s="140" t="inlineStr">
        <is>
          <t>K</t>
        </is>
      </c>
      <c r="E436" s="140" t="inlineStr">
        <is>
          <t>Matthee Gerald Adriaan Odendal</t>
        </is>
      </c>
      <c r="F436" s="141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</f>
        <v/>
      </c>
      <c r="G436" s="142" t="n">
        <v>45008</v>
      </c>
      <c r="H436" s="140">
        <f>VLOOKUP($C436,Sales!$C:$E,2,FALSE)</f>
        <v/>
      </c>
      <c r="I436" s="140">
        <f>VLOOKUP($C436,Sales!$C:$E,3,FALSE)</f>
        <v/>
      </c>
      <c r="J436" s="142">
        <f>SUMIFS(Sales!$H:$H,Sales!$C:$C,'Investor Exit List'!$C436)</f>
        <v/>
      </c>
      <c r="K436" s="142">
        <f>IF(I436=TRUE,J436,"")</f>
        <v/>
      </c>
      <c r="L436" s="142">
        <f>G436+730</f>
        <v/>
      </c>
      <c r="M436" s="142" t="n">
        <v>45443</v>
      </c>
      <c r="N436" s="143">
        <f>IFERROR(IF(G436&lt;&gt;"",IF(I436=TRUE,0,IF(U436=TRUE,0,L436-M436)),0),0)</f>
        <v/>
      </c>
      <c r="O436" s="143">
        <f>IF(N436&gt;0,IF(N436&lt;=180,N436,0),0)</f>
        <v/>
      </c>
      <c r="P436" s="141">
        <f>IF(AND(N436&lt;90,N436&gt;0),Q436,0)</f>
        <v/>
      </c>
      <c r="Q436" s="141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/>
      </c>
      <c r="R436" s="141">
        <f>IF(AND(H436=TRUE,I436=FALSE),Q436,0)</f>
        <v/>
      </c>
      <c r="S436" s="141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/>
      </c>
      <c r="T436" s="142">
        <f>IF(U436=TRUE,$J436,"")</f>
        <v/>
      </c>
      <c r="U436" s="140" t="b">
        <v>0</v>
      </c>
      <c r="V436" s="141">
        <f>IF(AND(H436=TRUE,OR(K436="",K436&gt;M436)),S436,0)</f>
        <v/>
      </c>
      <c r="W436" s="140" t="n">
        <v>0</v>
      </c>
      <c r="X436" s="140" t="b">
        <v>0</v>
      </c>
      <c r="Y436" s="143">
        <f>IF(H436=FALSE,VLOOKUP($C436,Sales!$C:$F,4,FALSE),1)</f>
        <v/>
      </c>
      <c r="Z436" s="140">
        <f>IF(Y436=0,"Release",IF(AND(L436&lt;J436,Y436=1,H436=FALSE,U436=FALSE,MONTH(L436)&amp;"/"&amp;YEAR(L436)&lt;&gt;MONTH(J436)&amp;"/"&amp;YEAR(J436)),"Release",""))</f>
        <v/>
      </c>
      <c r="AA436" s="144">
        <f>_xlfn.minifs($L:$L,$C:$C,$C436,$F:$F,"&lt;&gt;0")</f>
        <v/>
      </c>
      <c r="AB436" s="144">
        <f>C436&amp;"-"&amp;A436</f>
        <v/>
      </c>
      <c r="AC436" s="144">
        <f>L436</f>
        <v/>
      </c>
    </row>
    <row r="437">
      <c r="A437" s="140" t="inlineStr">
        <is>
          <t>ZMCK01</t>
        </is>
      </c>
      <c r="B437" s="140" t="n">
        <v>5</v>
      </c>
      <c r="C437" s="140" t="inlineStr">
        <is>
          <t>HVK404</t>
        </is>
      </c>
      <c r="D437" s="140" t="inlineStr">
        <is>
          <t>K</t>
        </is>
      </c>
      <c r="E437" s="140" t="inlineStr">
        <is>
          <t>MacKenzie-Jones Caitlin</t>
        </is>
      </c>
      <c r="F437" s="141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</f>
        <v/>
      </c>
      <c r="G437" s="142" t="n">
        <v>45072</v>
      </c>
      <c r="H437" s="140">
        <f>VLOOKUP($C437,Sales!$C:$E,2,FALSE)</f>
        <v/>
      </c>
      <c r="I437" s="140">
        <f>VLOOKUP($C437,Sales!$C:$E,3,FALSE)</f>
        <v/>
      </c>
      <c r="J437" s="142">
        <f>SUMIFS(Sales!$H:$H,Sales!$C:$C,'Investor Exit List'!$C437)</f>
        <v/>
      </c>
      <c r="K437" s="142">
        <f>IF(I437=TRUE,J437,"")</f>
        <v/>
      </c>
      <c r="L437" s="142">
        <f>G437+730</f>
        <v/>
      </c>
      <c r="M437" s="142" t="n">
        <v>45443</v>
      </c>
      <c r="N437" s="143">
        <f>IFERROR(IF(G437&lt;&gt;"",IF(I437=TRUE,0,IF(U437=TRUE,0,L437-M437)),0),0)</f>
        <v/>
      </c>
      <c r="O437" s="143">
        <f>IF(N437&gt;0,IF(N437&lt;=180,N437,0),0)</f>
        <v/>
      </c>
      <c r="P437" s="141">
        <f>IF(AND(N437&lt;90,N437&gt;0),Q437,0)</f>
        <v/>
      </c>
      <c r="Q437" s="141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/>
      </c>
      <c r="R437" s="141">
        <f>IF(AND(H437=TRUE,I437=FALSE),Q437,0)</f>
        <v/>
      </c>
      <c r="S437" s="141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/>
      </c>
      <c r="T437" s="142">
        <f>IF(U437=TRUE,$J437,"")</f>
        <v/>
      </c>
      <c r="U437" s="140" t="b">
        <v>0</v>
      </c>
      <c r="V437" s="141">
        <f>IF(AND(H437=TRUE,OR(K437="",K437&gt;M437)),S437,0)</f>
        <v/>
      </c>
      <c r="W437" s="140" t="n">
        <v>0</v>
      </c>
      <c r="X437" s="140" t="b">
        <v>0</v>
      </c>
      <c r="Y437" s="143">
        <f>IF(H437=FALSE,VLOOKUP($C437,Sales!$C:$F,4,FALSE),1)</f>
        <v/>
      </c>
      <c r="Z437" s="140">
        <f>IF(Y437=0,"Release",IF(AND(L437&lt;J437,Y437=1,H437=FALSE,U437=FALSE,MONTH(L437)&amp;"/"&amp;YEAR(L437)&lt;&gt;MONTH(J437)&amp;"/"&amp;YEAR(J437)),"Release",""))</f>
        <v/>
      </c>
      <c r="AA437" s="144">
        <f>_xlfn.minifs($L:$L,$C:$C,$C437,$F:$F,"&lt;&gt;0")</f>
        <v/>
      </c>
      <c r="AB437" s="144">
        <f>C437&amp;"-"&amp;A437</f>
        <v/>
      </c>
      <c r="AC437" s="144">
        <f>L437</f>
        <v/>
      </c>
    </row>
    <row r="438">
      <c r="A438" s="140" t="inlineStr">
        <is>
          <t>ZVAN15</t>
        </is>
      </c>
      <c r="B438" s="140" t="n">
        <v>1</v>
      </c>
      <c r="C438" s="140" t="inlineStr">
        <is>
          <t>HVK405</t>
        </is>
      </c>
      <c r="D438" s="140" t="inlineStr">
        <is>
          <t>K</t>
        </is>
      </c>
      <c r="E438" s="140" t="inlineStr">
        <is>
          <t>van Vuren Clifford Roy</t>
        </is>
      </c>
      <c r="F438" s="141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</f>
        <v/>
      </c>
      <c r="G438" s="142" t="n">
        <v>45072</v>
      </c>
      <c r="H438" s="140">
        <f>VLOOKUP($C438,Sales!$C:$E,2,FALSE)</f>
        <v/>
      </c>
      <c r="I438" s="140">
        <f>VLOOKUP($C438,Sales!$C:$E,3,FALSE)</f>
        <v/>
      </c>
      <c r="J438" s="142">
        <f>SUMIFS(Sales!$H:$H,Sales!$C:$C,'Investor Exit List'!$C438)</f>
        <v/>
      </c>
      <c r="K438" s="142">
        <f>IF(I438=TRUE,J438,"")</f>
        <v/>
      </c>
      <c r="L438" s="142">
        <f>G438+730</f>
        <v/>
      </c>
      <c r="M438" s="142" t="n">
        <v>45443</v>
      </c>
      <c r="N438" s="143">
        <f>IFERROR(IF(G438&lt;&gt;"",IF(I438=TRUE,0,IF(U438=TRUE,0,L438-M438)),0),0)</f>
        <v/>
      </c>
      <c r="O438" s="143">
        <f>IF(N438&gt;0,IF(N438&lt;=180,N438,0),0)</f>
        <v/>
      </c>
      <c r="P438" s="141">
        <f>IF(AND(N438&lt;90,N438&gt;0),Q438,0)</f>
        <v/>
      </c>
      <c r="Q438" s="141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/>
      </c>
      <c r="R438" s="141">
        <f>IF(AND(H438=TRUE,I438=FALSE),Q438,0)</f>
        <v/>
      </c>
      <c r="S438" s="141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/>
      </c>
      <c r="T438" s="142">
        <f>IF(U438=TRUE,$J438,"")</f>
        <v/>
      </c>
      <c r="U438" s="140" t="b">
        <v>0</v>
      </c>
      <c r="V438" s="141">
        <f>IF(AND(H438=TRUE,OR(K438="",K438&gt;M438)),S438,0)</f>
        <v/>
      </c>
      <c r="W438" s="140" t="n">
        <v>0</v>
      </c>
      <c r="X438" s="140" t="b">
        <v>0</v>
      </c>
      <c r="Y438" s="143">
        <f>IF(H438=FALSE,VLOOKUP($C438,Sales!$C:$F,4,FALSE),1)</f>
        <v/>
      </c>
      <c r="Z438" s="140">
        <f>IF(Y438=0,"Release",IF(AND(L438&lt;J438,Y438=1,H438=FALSE,U438=FALSE,MONTH(L438)&amp;"/"&amp;YEAR(L438)&lt;&gt;MONTH(J438)&amp;"/"&amp;YEAR(J438)),"Release",""))</f>
        <v/>
      </c>
      <c r="AA438" s="144">
        <f>_xlfn.minifs($L:$L,$C:$C,$C438,$F:$F,"&lt;&gt;0")</f>
        <v/>
      </c>
      <c r="AB438" s="144">
        <f>C438&amp;"-"&amp;A438</f>
        <v/>
      </c>
      <c r="AC438" s="144">
        <f>L438</f>
        <v/>
      </c>
    </row>
    <row r="439">
      <c r="A439" s="140" t="inlineStr">
        <is>
          <t>ZVER02</t>
        </is>
      </c>
      <c r="B439" s="140" t="n">
        <v>5</v>
      </c>
      <c r="C439" s="140" t="inlineStr">
        <is>
          <t>HVK405</t>
        </is>
      </c>
      <c r="D439" s="140" t="inlineStr">
        <is>
          <t>K</t>
        </is>
      </c>
      <c r="E439" s="140" t="inlineStr">
        <is>
          <t>Verhaeghe Jean-Jacques EP</t>
        </is>
      </c>
      <c r="F439" s="141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</f>
        <v/>
      </c>
      <c r="G439" s="142" t="n">
        <v>45072</v>
      </c>
      <c r="H439" s="140">
        <f>VLOOKUP($C439,Sales!$C:$E,2,FALSE)</f>
        <v/>
      </c>
      <c r="I439" s="140">
        <f>VLOOKUP($C439,Sales!$C:$E,3,FALSE)</f>
        <v/>
      </c>
      <c r="J439" s="142">
        <f>SUMIFS(Sales!$H:$H,Sales!$C:$C,'Investor Exit List'!$C439)</f>
        <v/>
      </c>
      <c r="K439" s="142">
        <f>IF(I439=TRUE,J439,"")</f>
        <v/>
      </c>
      <c r="L439" s="142">
        <f>G439+730</f>
        <v/>
      </c>
      <c r="M439" s="142" t="n">
        <v>45443</v>
      </c>
      <c r="N439" s="143">
        <f>IFERROR(IF(G439&lt;&gt;"",IF(I439=TRUE,0,IF(U439=TRUE,0,L439-M439)),0),0)</f>
        <v/>
      </c>
      <c r="O439" s="143">
        <f>IF(N439&gt;0,IF(N439&lt;=180,N439,0),0)</f>
        <v/>
      </c>
      <c r="P439" s="141">
        <f>IF(AND(N439&lt;90,N439&gt;0),Q439,0)</f>
        <v/>
      </c>
      <c r="Q439" s="141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/>
      </c>
      <c r="R439" s="141">
        <f>IF(AND(H439=TRUE,I439=FALSE),Q439,0)</f>
        <v/>
      </c>
      <c r="S439" s="141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/>
      </c>
      <c r="T439" s="142">
        <f>IF(U439=TRUE,$J439,"")</f>
        <v/>
      </c>
      <c r="U439" s="140" t="b">
        <v>0</v>
      </c>
      <c r="V439" s="141">
        <f>IF(AND(H439=TRUE,OR(K439="",K439&gt;M439)),S439,0)</f>
        <v/>
      </c>
      <c r="W439" s="140" t="n">
        <v>0</v>
      </c>
      <c r="X439" s="140" t="b">
        <v>0</v>
      </c>
      <c r="Y439" s="143">
        <f>IF(H439=FALSE,VLOOKUP($C439,Sales!$C:$F,4,FALSE),1)</f>
        <v/>
      </c>
      <c r="Z439" s="140">
        <f>IF(Y439=0,"Release",IF(AND(L439&lt;J439,Y439=1,H439=FALSE,U439=FALSE,MONTH(L439)&amp;"/"&amp;YEAR(L439)&lt;&gt;MONTH(J439)&amp;"/"&amp;YEAR(J439)),"Release",""))</f>
        <v/>
      </c>
      <c r="AA439" s="144">
        <f>_xlfn.minifs($L:$L,$C:$C,$C439,$F:$F,"&lt;&gt;0")</f>
        <v/>
      </c>
      <c r="AB439" s="144">
        <f>C439&amp;"-"&amp;A439</f>
        <v/>
      </c>
      <c r="AC439" s="144">
        <f>L439</f>
        <v/>
      </c>
    </row>
    <row r="440">
      <c r="A440" s="140" t="inlineStr">
        <is>
          <t>ZVAN13</t>
        </is>
      </c>
      <c r="B440" s="140" t="n">
        <v>2</v>
      </c>
      <c r="C440" s="140" t="inlineStr">
        <is>
          <t>HVK406</t>
        </is>
      </c>
      <c r="D440" s="140" t="inlineStr">
        <is>
          <t>K</t>
        </is>
      </c>
      <c r="E440" s="140" t="inlineStr">
        <is>
          <t>van der Spuy Gian</t>
        </is>
      </c>
      <c r="F440" s="141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</f>
        <v/>
      </c>
      <c r="G440" s="142" t="n">
        <v>45016</v>
      </c>
      <c r="H440" s="140">
        <f>VLOOKUP($C440,Sales!$C:$E,2,FALSE)</f>
        <v/>
      </c>
      <c r="I440" s="140">
        <f>VLOOKUP($C440,Sales!$C:$E,3,FALSE)</f>
        <v/>
      </c>
      <c r="J440" s="142">
        <f>SUMIFS(Sales!$H:$H,Sales!$C:$C,'Investor Exit List'!$C440)</f>
        <v/>
      </c>
      <c r="K440" s="142">
        <f>IF(I440=TRUE,J440,"")</f>
        <v/>
      </c>
      <c r="L440" s="142">
        <f>G440+730</f>
        <v/>
      </c>
      <c r="M440" s="142" t="n">
        <v>45443</v>
      </c>
      <c r="N440" s="143">
        <f>IFERROR(IF(G440&lt;&gt;"",IF(I440=TRUE,0,IF(U440=TRUE,0,L440-M440)),0),0)</f>
        <v/>
      </c>
      <c r="O440" s="143">
        <f>IF(N440&gt;0,IF(N440&lt;=180,N440,0),0)</f>
        <v/>
      </c>
      <c r="P440" s="141">
        <f>IF(AND(N440&lt;90,N440&gt;0),Q440,0)</f>
        <v/>
      </c>
      <c r="Q440" s="141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/>
      </c>
      <c r="R440" s="141">
        <f>IF(AND(H440=TRUE,I440=FALSE),Q440,0)</f>
        <v/>
      </c>
      <c r="S440" s="141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/>
      </c>
      <c r="T440" s="142">
        <f>IF(U440=TRUE,$J440,"")</f>
        <v/>
      </c>
      <c r="U440" s="140" t="b">
        <v>0</v>
      </c>
      <c r="V440" s="141">
        <f>IF(AND(H440=TRUE,OR(K440="",K440&gt;M440)),S440,0)</f>
        <v/>
      </c>
      <c r="W440" s="140" t="n">
        <v>0</v>
      </c>
      <c r="X440" s="140" t="b">
        <v>0</v>
      </c>
      <c r="Y440" s="143">
        <f>IF(H440=FALSE,VLOOKUP($C440,Sales!$C:$F,4,FALSE),1)</f>
        <v/>
      </c>
      <c r="Z440" s="140">
        <f>IF(Y440=0,"Release",IF(AND(L440&lt;J440,Y440=1,H440=FALSE,U440=FALSE,MONTH(L440)&amp;"/"&amp;YEAR(L440)&lt;&gt;MONTH(J440)&amp;"/"&amp;YEAR(J440)),"Release",""))</f>
        <v/>
      </c>
      <c r="AA440" s="144">
        <f>_xlfn.minifs($L:$L,$C:$C,$C440,$F:$F,"&lt;&gt;0")</f>
        <v/>
      </c>
      <c r="AB440" s="144">
        <f>C440&amp;"-"&amp;A440</f>
        <v/>
      </c>
      <c r="AC440" s="144">
        <f>L440</f>
        <v/>
      </c>
    </row>
    <row r="441">
      <c r="A441" s="140" t="inlineStr">
        <is>
          <t>ZVAN14</t>
        </is>
      </c>
      <c r="B441" s="140" t="n">
        <v>2</v>
      </c>
      <c r="C441" s="140" t="inlineStr">
        <is>
          <t>HVK406</t>
        </is>
      </c>
      <c r="D441" s="140" t="inlineStr">
        <is>
          <t>K</t>
        </is>
      </c>
      <c r="E441" s="140" t="inlineStr">
        <is>
          <t>van der Spuy Dorothy Anne</t>
        </is>
      </c>
      <c r="F441" s="141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</f>
        <v/>
      </c>
      <c r="G441" s="142" t="n">
        <v>45016</v>
      </c>
      <c r="H441" s="140">
        <f>VLOOKUP($C441,Sales!$C:$E,2,FALSE)</f>
        <v/>
      </c>
      <c r="I441" s="140">
        <f>VLOOKUP($C441,Sales!$C:$E,3,FALSE)</f>
        <v/>
      </c>
      <c r="J441" s="142">
        <f>SUMIFS(Sales!$H:$H,Sales!$C:$C,'Investor Exit List'!$C441)</f>
        <v/>
      </c>
      <c r="K441" s="142">
        <f>IF(I441=TRUE,J441,"")</f>
        <v/>
      </c>
      <c r="L441" s="142">
        <f>G441+730</f>
        <v/>
      </c>
      <c r="M441" s="142" t="n">
        <v>45443</v>
      </c>
      <c r="N441" s="143">
        <f>IFERROR(IF(G441&lt;&gt;"",IF(I441=TRUE,0,IF(U441=TRUE,0,L441-M441)),0),0)</f>
        <v/>
      </c>
      <c r="O441" s="143">
        <f>IF(N441&gt;0,IF(N441&lt;=180,N441,0),0)</f>
        <v/>
      </c>
      <c r="P441" s="141">
        <f>IF(AND(N441&lt;90,N441&gt;0),Q441,0)</f>
        <v/>
      </c>
      <c r="Q441" s="141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/>
      </c>
      <c r="R441" s="141">
        <f>IF(AND(H441=TRUE,I441=FALSE),Q441,0)</f>
        <v/>
      </c>
      <c r="S441" s="141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/>
      </c>
      <c r="T441" s="142">
        <f>IF(U441=TRUE,$J441,"")</f>
        <v/>
      </c>
      <c r="U441" s="140" t="b">
        <v>0</v>
      </c>
      <c r="V441" s="141">
        <f>IF(AND(H441=TRUE,OR(K441="",K441&gt;M441)),S441,0)</f>
        <v/>
      </c>
      <c r="W441" s="140" t="n">
        <v>0</v>
      </c>
      <c r="X441" s="140" t="b">
        <v>0</v>
      </c>
      <c r="Y441" s="143">
        <f>IF(H441=FALSE,VLOOKUP($C441,Sales!$C:$F,4,FALSE),1)</f>
        <v/>
      </c>
      <c r="Z441" s="140">
        <f>IF(Y441=0,"Release",IF(AND(L441&lt;J441,Y441=1,H441=FALSE,U441=FALSE,MONTH(L441)&amp;"/"&amp;YEAR(L441)&lt;&gt;MONTH(J441)&amp;"/"&amp;YEAR(J441)),"Release",""))</f>
        <v/>
      </c>
      <c r="AA441" s="144">
        <f>_xlfn.minifs($L:$L,$C:$C,$C441,$F:$F,"&lt;&gt;0")</f>
        <v/>
      </c>
      <c r="AB441" s="144">
        <f>C441&amp;"-"&amp;A441</f>
        <v/>
      </c>
      <c r="AC441" s="144">
        <f>L441</f>
        <v/>
      </c>
    </row>
    <row r="442">
      <c r="A442" s="140" t="inlineStr">
        <is>
          <t>ZVOL01</t>
        </is>
      </c>
      <c r="B442" s="140" t="n">
        <v>5</v>
      </c>
      <c r="C442" s="140" t="inlineStr">
        <is>
          <t>HVK406</t>
        </is>
      </c>
      <c r="D442" s="140" t="inlineStr">
        <is>
          <t>K</t>
        </is>
      </c>
      <c r="E442" s="140" t="inlineStr">
        <is>
          <t>Volschenk Gideon Cornelius</t>
        </is>
      </c>
      <c r="F442" s="141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</f>
        <v/>
      </c>
      <c r="G442" s="142" t="n">
        <v>45016</v>
      </c>
      <c r="H442" s="140">
        <f>VLOOKUP($C442,Sales!$C:$E,2,FALSE)</f>
        <v/>
      </c>
      <c r="I442" s="140">
        <f>VLOOKUP($C442,Sales!$C:$E,3,FALSE)</f>
        <v/>
      </c>
      <c r="J442" s="142">
        <f>SUMIFS(Sales!$H:$H,Sales!$C:$C,'Investor Exit List'!$C442)</f>
        <v/>
      </c>
      <c r="K442" s="142">
        <f>IF(I442=TRUE,J442,"")</f>
        <v/>
      </c>
      <c r="L442" s="142">
        <f>G442+730</f>
        <v/>
      </c>
      <c r="M442" s="142" t="n">
        <v>45443</v>
      </c>
      <c r="N442" s="143">
        <f>IFERROR(IF(G442&lt;&gt;"",IF(I442=TRUE,0,IF(U442=TRUE,0,L442-M442)),0),0)</f>
        <v/>
      </c>
      <c r="O442" s="143">
        <f>IF(N442&gt;0,IF(N442&lt;=180,N442,0),0)</f>
        <v/>
      </c>
      <c r="P442" s="141">
        <f>IF(AND(N442&lt;90,N442&gt;0),Q442,0)</f>
        <v/>
      </c>
      <c r="Q442" s="141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/>
      </c>
      <c r="R442" s="141">
        <f>IF(AND(H442=TRUE,I442=FALSE),Q442,0)</f>
        <v/>
      </c>
      <c r="S442" s="141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/>
      </c>
      <c r="T442" s="142">
        <f>IF(U442=TRUE,$J442,"")</f>
        <v/>
      </c>
      <c r="U442" s="140" t="b">
        <v>0</v>
      </c>
      <c r="V442" s="141">
        <f>IF(AND(H442=TRUE,OR(K442="",K442&gt;M442)),S442,0)</f>
        <v/>
      </c>
      <c r="W442" s="140" t="n">
        <v>0</v>
      </c>
      <c r="X442" s="140" t="b">
        <v>0</v>
      </c>
      <c r="Y442" s="143">
        <f>IF(H442=FALSE,VLOOKUP($C442,Sales!$C:$F,4,FALSE),1)</f>
        <v/>
      </c>
      <c r="Z442" s="140">
        <f>IF(Y442=0,"Release",IF(AND(L442&lt;J442,Y442=1,H442=FALSE,U442=FALSE,MONTH(L442)&amp;"/"&amp;YEAR(L442)&lt;&gt;MONTH(J442)&amp;"/"&amp;YEAR(J442)),"Release",""))</f>
        <v/>
      </c>
      <c r="AA442" s="144">
        <f>_xlfn.minifs($L:$L,$C:$C,$C442,$F:$F,"&lt;&gt;0")</f>
        <v/>
      </c>
      <c r="AB442" s="144">
        <f>C442&amp;"-"&amp;A442</f>
        <v/>
      </c>
      <c r="AC442" s="144">
        <f>L442</f>
        <v/>
      </c>
    </row>
    <row r="443">
      <c r="A443" s="140" t="inlineStr">
        <is>
          <t>ZMYB01</t>
        </is>
      </c>
      <c r="B443" s="140" t="n">
        <v>3</v>
      </c>
      <c r="C443" s="140" t="inlineStr">
        <is>
          <t>HVL101</t>
        </is>
      </c>
      <c r="D443" s="140" t="inlineStr">
        <is>
          <t>L</t>
        </is>
      </c>
      <c r="E443" s="140" t="inlineStr">
        <is>
          <t>Myburgh Hermanus Carel</t>
        </is>
      </c>
      <c r="F443" s="141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</f>
        <v/>
      </c>
      <c r="G443" s="142" t="n">
        <v>45280</v>
      </c>
      <c r="H443" s="140">
        <f>VLOOKUP($C443,Sales!$C:$E,2,FALSE)</f>
        <v/>
      </c>
      <c r="I443" s="140">
        <f>VLOOKUP($C443,Sales!$C:$E,3,FALSE)</f>
        <v/>
      </c>
      <c r="J443" s="142">
        <f>SUMIFS(Sales!$H:$H,Sales!$C:$C,'Investor Exit List'!$C443)</f>
        <v/>
      </c>
      <c r="K443" s="142">
        <f>IF(I443=TRUE,J443,"")</f>
        <v/>
      </c>
      <c r="L443" s="142">
        <f>G443+730</f>
        <v/>
      </c>
      <c r="M443" s="142" t="n">
        <v>45443</v>
      </c>
      <c r="N443" s="143">
        <f>IFERROR(IF(G443&lt;&gt;"",IF(I443=TRUE,0,IF(U443=TRUE,0,L443-M443)),0),0)</f>
        <v/>
      </c>
      <c r="O443" s="143">
        <f>IF(N443&gt;0,IF(N443&lt;=180,N443,0),0)</f>
        <v/>
      </c>
      <c r="P443" s="141">
        <f>IF(AND(N443&lt;90,N443&gt;0),Q443,0)</f>
        <v/>
      </c>
      <c r="Q443" s="141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/>
      </c>
      <c r="R443" s="141">
        <f>IF(AND(H443=TRUE,I443=FALSE),Q443,0)</f>
        <v/>
      </c>
      <c r="S443" s="141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/>
      </c>
      <c r="T443" s="142">
        <f>IF(U443=TRUE,$J443,"")</f>
        <v/>
      </c>
      <c r="U443" s="140" t="b">
        <v>0</v>
      </c>
      <c r="V443" s="141">
        <f>IF(AND(H443=TRUE,OR(K443="",K443&gt;M443)),S443,0)</f>
        <v/>
      </c>
      <c r="W443" s="140" t="n">
        <v>0</v>
      </c>
      <c r="X443" s="140" t="b">
        <v>0</v>
      </c>
      <c r="Y443" s="143">
        <f>IF(H443=FALSE,VLOOKUP($C443,Sales!$C:$F,4,FALSE),1)</f>
        <v/>
      </c>
      <c r="Z443" s="140">
        <f>IF(Y443=0,"Release",IF(AND(L443&lt;J443,Y443=1,H443=FALSE,U443=FALSE,MONTH(L443)&amp;"/"&amp;YEAR(L443)&lt;&gt;MONTH(J443)&amp;"/"&amp;YEAR(J443)),"Release",""))</f>
        <v/>
      </c>
      <c r="AA443" s="144">
        <f>_xlfn.minifs($L:$L,$C:$C,$C443,$F:$F,"&lt;&gt;0")</f>
        <v/>
      </c>
      <c r="AB443" s="144">
        <f>C443&amp;"-"&amp;A443</f>
        <v/>
      </c>
      <c r="AC443" s="144">
        <f>L443</f>
        <v/>
      </c>
    </row>
    <row r="444">
      <c r="A444" s="140" t="inlineStr">
        <is>
          <t>ZMYB01</t>
        </is>
      </c>
      <c r="B444" s="140" t="n">
        <v>4</v>
      </c>
      <c r="C444" s="140" t="inlineStr">
        <is>
          <t>HVL102</t>
        </is>
      </c>
      <c r="D444" s="140" t="inlineStr">
        <is>
          <t>L</t>
        </is>
      </c>
      <c r="E444" s="140" t="inlineStr">
        <is>
          <t>Myburgh Hermanus Carel</t>
        </is>
      </c>
      <c r="F444" s="141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</f>
        <v/>
      </c>
      <c r="G444" s="142" t="n">
        <v>45280</v>
      </c>
      <c r="H444" s="140">
        <f>VLOOKUP($C444,Sales!$C:$E,2,FALSE)</f>
        <v/>
      </c>
      <c r="I444" s="140">
        <f>VLOOKUP($C444,Sales!$C:$E,3,FALSE)</f>
        <v/>
      </c>
      <c r="J444" s="142">
        <f>SUMIFS(Sales!$H:$H,Sales!$C:$C,'Investor Exit List'!$C444)</f>
        <v/>
      </c>
      <c r="K444" s="142">
        <f>IF(I444=TRUE,J444,"")</f>
        <v/>
      </c>
      <c r="L444" s="142">
        <f>G444+730</f>
        <v/>
      </c>
      <c r="M444" s="142" t="n">
        <v>45443</v>
      </c>
      <c r="N444" s="143">
        <f>IFERROR(IF(G444&lt;&gt;"",IF(I444=TRUE,0,IF(U444=TRUE,0,L444-M444)),0),0)</f>
        <v/>
      </c>
      <c r="O444" s="143">
        <f>IF(N444&gt;0,IF(N444&lt;=180,N444,0),0)</f>
        <v/>
      </c>
      <c r="P444" s="141">
        <f>IF(AND(N444&lt;90,N444&gt;0),Q444,0)</f>
        <v/>
      </c>
      <c r="Q444" s="141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/>
      </c>
      <c r="R444" s="141">
        <f>IF(AND(H444=TRUE,I444=FALSE),Q444,0)</f>
        <v/>
      </c>
      <c r="S444" s="141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/>
      </c>
      <c r="T444" s="142">
        <f>IF(U444=TRUE,$J444,"")</f>
        <v/>
      </c>
      <c r="U444" s="140" t="b">
        <v>0</v>
      </c>
      <c r="V444" s="141">
        <f>IF(AND(H444=TRUE,OR(K444="",K444&gt;M444)),S444,0)</f>
        <v/>
      </c>
      <c r="W444" s="140" t="n">
        <v>0</v>
      </c>
      <c r="X444" s="140" t="b">
        <v>0</v>
      </c>
      <c r="Y444" s="143">
        <f>IF(H444=FALSE,VLOOKUP($C444,Sales!$C:$F,4,FALSE),1)</f>
        <v/>
      </c>
      <c r="Z444" s="140">
        <f>IF(Y444=0,"Release",IF(AND(L444&lt;J444,Y444=1,H444=FALSE,U444=FALSE,MONTH(L444)&amp;"/"&amp;YEAR(L444)&lt;&gt;MONTH(J444)&amp;"/"&amp;YEAR(J444)),"Release",""))</f>
        <v/>
      </c>
      <c r="AA444" s="144">
        <f>_xlfn.minifs($L:$L,$C:$C,$C444,$F:$F,"&lt;&gt;0")</f>
        <v/>
      </c>
      <c r="AB444" s="144">
        <f>C444&amp;"-"&amp;A444</f>
        <v/>
      </c>
      <c r="AC444" s="144">
        <f>L444</f>
        <v/>
      </c>
    </row>
    <row r="445">
      <c r="A445" s="140" t="inlineStr">
        <is>
          <t>ZTUR01</t>
        </is>
      </c>
      <c r="B445" s="140" t="n">
        <v>1</v>
      </c>
      <c r="C445" s="140" t="inlineStr">
        <is>
          <t>HVL102</t>
        </is>
      </c>
      <c r="D445" s="140" t="inlineStr">
        <is>
          <t>L</t>
        </is>
      </c>
      <c r="E445" s="140" t="inlineStr">
        <is>
          <t>Turunen Janne Petteri</t>
        </is>
      </c>
      <c r="F445" s="141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</f>
        <v/>
      </c>
      <c r="G445" s="142" t="n">
        <v>45259</v>
      </c>
      <c r="H445" s="140">
        <f>VLOOKUP($C445,Sales!$C:$E,2,FALSE)</f>
        <v/>
      </c>
      <c r="I445" s="140">
        <f>VLOOKUP($C445,Sales!$C:$E,3,FALSE)</f>
        <v/>
      </c>
      <c r="J445" s="142">
        <f>SUMIFS(Sales!$H:$H,Sales!$C:$C,'Investor Exit List'!$C445)</f>
        <v/>
      </c>
      <c r="K445" s="142">
        <f>IF(I445=TRUE,J445,"")</f>
        <v/>
      </c>
      <c r="L445" s="142">
        <f>G445+730</f>
        <v/>
      </c>
      <c r="M445" s="142" t="n">
        <v>45443</v>
      </c>
      <c r="N445" s="143">
        <f>IFERROR(IF(G445&lt;&gt;"",IF(I445=TRUE,0,IF(U445=TRUE,0,L445-M445)),0),0)</f>
        <v/>
      </c>
      <c r="O445" s="143">
        <f>IF(N445&gt;0,IF(N445&lt;=180,N445,0),0)</f>
        <v/>
      </c>
      <c r="P445" s="141">
        <f>IF(AND(N445&lt;90,N445&gt;0),Q445,0)</f>
        <v/>
      </c>
      <c r="Q445" s="141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/>
      </c>
      <c r="R445" s="141">
        <f>IF(AND(H445=TRUE,I445=FALSE),Q445,0)</f>
        <v/>
      </c>
      <c r="S445" s="141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/>
      </c>
      <c r="T445" s="142">
        <f>IF(U445=TRUE,$J445,"")</f>
        <v/>
      </c>
      <c r="U445" s="140" t="b">
        <v>0</v>
      </c>
      <c r="V445" s="141">
        <f>IF(AND(H445=TRUE,OR(K445="",K445&gt;M445)),S445,0)</f>
        <v/>
      </c>
      <c r="W445" s="140" t="n">
        <v>0</v>
      </c>
      <c r="X445" s="140" t="b">
        <v>0</v>
      </c>
      <c r="Y445" s="143">
        <f>IF(H445=FALSE,VLOOKUP($C445,Sales!$C:$F,4,FALSE),1)</f>
        <v/>
      </c>
      <c r="Z445" s="140">
        <f>IF(Y445=0,"Release",IF(AND(L445&lt;J445,Y445=1,H445=FALSE,U445=FALSE,MONTH(L445)&amp;"/"&amp;YEAR(L445)&lt;&gt;MONTH(J445)&amp;"/"&amp;YEAR(J445)),"Release",""))</f>
        <v/>
      </c>
      <c r="AA445" s="144">
        <f>_xlfn.minifs($L:$L,$C:$C,$C445,$F:$F,"&lt;&gt;0")</f>
        <v/>
      </c>
      <c r="AB445" s="144">
        <f>C445&amp;"-"&amp;A445</f>
        <v/>
      </c>
      <c r="AC445" s="144">
        <f>L445</f>
        <v/>
      </c>
    </row>
    <row r="446">
      <c r="A446" s="140" t="inlineStr">
        <is>
          <t>ZVOL01</t>
        </is>
      </c>
      <c r="B446" s="140" t="n">
        <v>6</v>
      </c>
      <c r="C446" s="140" t="inlineStr">
        <is>
          <t>HVL102</t>
        </is>
      </c>
      <c r="D446" s="140" t="inlineStr">
        <is>
          <t>L</t>
        </is>
      </c>
      <c r="E446" s="140" t="inlineStr">
        <is>
          <t>Volschenk Gideon Cornelius</t>
        </is>
      </c>
      <c r="F446" s="141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</f>
        <v/>
      </c>
      <c r="G446" s="142" t="n">
        <v>45259</v>
      </c>
      <c r="H446" s="140">
        <f>VLOOKUP($C446,Sales!$C:$E,2,FALSE)</f>
        <v/>
      </c>
      <c r="I446" s="140">
        <f>VLOOKUP($C446,Sales!$C:$E,3,FALSE)</f>
        <v/>
      </c>
      <c r="J446" s="142">
        <f>SUMIFS(Sales!$H:$H,Sales!$C:$C,'Investor Exit List'!$C446)</f>
        <v/>
      </c>
      <c r="K446" s="142">
        <f>IF(I446=TRUE,J446,"")</f>
        <v/>
      </c>
      <c r="L446" s="142">
        <f>G446+730</f>
        <v/>
      </c>
      <c r="M446" s="142" t="n">
        <v>45443</v>
      </c>
      <c r="N446" s="143">
        <f>IFERROR(IF(G446&lt;&gt;"",IF(I446=TRUE,0,IF(U446=TRUE,0,L446-M446)),0),0)</f>
        <v/>
      </c>
      <c r="O446" s="143">
        <f>IF(N446&gt;0,IF(N446&lt;=180,N446,0),0)</f>
        <v/>
      </c>
      <c r="P446" s="141">
        <f>IF(AND(N446&lt;90,N446&gt;0),Q446,0)</f>
        <v/>
      </c>
      <c r="Q446" s="141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/>
      </c>
      <c r="R446" s="141">
        <f>IF(AND(H446=TRUE,I446=FALSE),Q446,0)</f>
        <v/>
      </c>
      <c r="S446" s="141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/>
      </c>
      <c r="T446" s="142">
        <f>IF(U446=TRUE,$J446,"")</f>
        <v/>
      </c>
      <c r="U446" s="140" t="b">
        <v>0</v>
      </c>
      <c r="V446" s="141">
        <f>IF(AND(H446=TRUE,OR(K446="",K446&gt;M446)),S446,0)</f>
        <v/>
      </c>
      <c r="W446" s="140" t="n">
        <v>0</v>
      </c>
      <c r="X446" s="140" t="b">
        <v>0</v>
      </c>
      <c r="Y446" s="143">
        <f>IF(H446=FALSE,VLOOKUP($C446,Sales!$C:$F,4,FALSE),1)</f>
        <v/>
      </c>
      <c r="Z446" s="140">
        <f>IF(Y446=0,"Release",IF(AND(L446&lt;J446,Y446=1,H446=FALSE,U446=FALSE,MONTH(L446)&amp;"/"&amp;YEAR(L446)&lt;&gt;MONTH(J446)&amp;"/"&amp;YEAR(J446)),"Release",""))</f>
        <v/>
      </c>
      <c r="AA446" s="144">
        <f>_xlfn.minifs($L:$L,$C:$C,$C446,$F:$F,"&lt;&gt;0")</f>
        <v/>
      </c>
      <c r="AB446" s="144">
        <f>C446&amp;"-"&amp;A446</f>
        <v/>
      </c>
      <c r="AC446" s="144">
        <f>L446</f>
        <v/>
      </c>
    </row>
    <row r="447">
      <c r="A447" s="140" t="inlineStr">
        <is>
          <t>ZCRO02</t>
        </is>
      </c>
      <c r="B447" s="140" t="n">
        <v>2</v>
      </c>
      <c r="C447" s="140" t="inlineStr">
        <is>
          <t>HVL103</t>
        </is>
      </c>
      <c r="D447" s="140" t="inlineStr">
        <is>
          <t>L</t>
        </is>
      </c>
      <c r="E447" s="140" t="inlineStr">
        <is>
          <t>Crouse Gregory Murray</t>
        </is>
      </c>
      <c r="F447" s="141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</f>
        <v/>
      </c>
      <c r="G447" s="142" t="n">
        <v>45273</v>
      </c>
      <c r="H447" s="140">
        <f>VLOOKUP($C447,Sales!$C:$E,2,FALSE)</f>
        <v/>
      </c>
      <c r="I447" s="140">
        <f>VLOOKUP($C447,Sales!$C:$E,3,FALSE)</f>
        <v/>
      </c>
      <c r="J447" s="142">
        <f>SUMIFS(Sales!$H:$H,Sales!$C:$C,'Investor Exit List'!$C447)</f>
        <v/>
      </c>
      <c r="K447" s="142">
        <f>IF(I447=TRUE,J447,"")</f>
        <v/>
      </c>
      <c r="L447" s="142">
        <f>G447+730</f>
        <v/>
      </c>
      <c r="M447" s="142" t="n">
        <v>45443</v>
      </c>
      <c r="N447" s="143">
        <f>IFERROR(IF(G447&lt;&gt;"",IF(I447=TRUE,0,IF(U447=TRUE,0,L447-M447)),0),0)</f>
        <v/>
      </c>
      <c r="O447" s="143">
        <f>IF(N447&gt;0,IF(N447&lt;=180,N447,0),0)</f>
        <v/>
      </c>
      <c r="P447" s="141">
        <f>IF(AND(N447&lt;90,N447&gt;0),Q447,0)</f>
        <v/>
      </c>
      <c r="Q447" s="141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/>
      </c>
      <c r="R447" s="141">
        <f>IF(AND(H447=TRUE,I447=FALSE),Q447,0)</f>
        <v/>
      </c>
      <c r="S447" s="141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/>
      </c>
      <c r="T447" s="142">
        <f>IF(U447=TRUE,$J447,"")</f>
        <v/>
      </c>
      <c r="U447" s="140" t="b">
        <v>0</v>
      </c>
      <c r="V447" s="141">
        <f>IF(AND(H447=TRUE,OR(K447="",K447&gt;M447)),S447,0)</f>
        <v/>
      </c>
      <c r="W447" s="140" t="n">
        <v>0</v>
      </c>
      <c r="X447" s="140" t="b">
        <v>0</v>
      </c>
      <c r="Y447" s="143">
        <f>IF(H447=FALSE,VLOOKUP($C447,Sales!$C:$F,4,FALSE),1)</f>
        <v/>
      </c>
      <c r="Z447" s="140">
        <f>IF(Y447=0,"Release",IF(AND(L447&lt;J447,Y447=1,H447=FALSE,U447=FALSE,MONTH(L447)&amp;"/"&amp;YEAR(L447)&lt;&gt;MONTH(J447)&amp;"/"&amp;YEAR(J447)),"Release",""))</f>
        <v/>
      </c>
      <c r="AA447" s="144">
        <f>_xlfn.minifs($L:$L,$C:$C,$C447,$F:$F,"&lt;&gt;0")</f>
        <v/>
      </c>
      <c r="AB447" s="144">
        <f>C447&amp;"-"&amp;A447</f>
        <v/>
      </c>
      <c r="AC447" s="144">
        <f>L447</f>
        <v/>
      </c>
    </row>
    <row r="448">
      <c r="A448" s="140" t="inlineStr">
        <is>
          <t>ZSIP01</t>
        </is>
      </c>
      <c r="B448" s="140" t="n">
        <v>1</v>
      </c>
      <c r="C448" s="140" t="inlineStr">
        <is>
          <t>HVL103</t>
        </is>
      </c>
      <c r="D448" s="140" t="inlineStr">
        <is>
          <t>L</t>
        </is>
      </c>
      <c r="E448" s="140" t="inlineStr">
        <is>
          <t>Sipongo Elaine Christilene</t>
        </is>
      </c>
      <c r="F448" s="141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</f>
        <v/>
      </c>
      <c r="G448" s="142" t="n">
        <v>45259</v>
      </c>
      <c r="H448" s="140">
        <f>VLOOKUP($C448,Sales!$C:$E,2,FALSE)</f>
        <v/>
      </c>
      <c r="I448" s="140">
        <f>VLOOKUP($C448,Sales!$C:$E,3,FALSE)</f>
        <v/>
      </c>
      <c r="J448" s="142">
        <f>SUMIFS(Sales!$H:$H,Sales!$C:$C,'Investor Exit List'!$C448)</f>
        <v/>
      </c>
      <c r="K448" s="142">
        <f>IF(I448=TRUE,J448,"")</f>
        <v/>
      </c>
      <c r="L448" s="142">
        <f>G448+730</f>
        <v/>
      </c>
      <c r="M448" s="142" t="n">
        <v>45443</v>
      </c>
      <c r="N448" s="143">
        <f>IFERROR(IF(G448&lt;&gt;"",IF(I448=TRUE,0,IF(U448=TRUE,0,L448-M448)),0),0)</f>
        <v/>
      </c>
      <c r="O448" s="143">
        <f>IF(N448&gt;0,IF(N448&lt;=180,N448,0),0)</f>
        <v/>
      </c>
      <c r="P448" s="141">
        <f>IF(AND(N448&lt;90,N448&gt;0),Q448,0)</f>
        <v/>
      </c>
      <c r="Q448" s="141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/>
      </c>
      <c r="R448" s="141">
        <f>IF(AND(H448=TRUE,I448=FALSE),Q448,0)</f>
        <v/>
      </c>
      <c r="S448" s="141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/>
      </c>
      <c r="T448" s="142">
        <f>IF(U448=TRUE,$J448,"")</f>
        <v/>
      </c>
      <c r="U448" s="140" t="b">
        <v>0</v>
      </c>
      <c r="V448" s="141">
        <f>IF(AND(H448=TRUE,OR(K448="",K448&gt;M448)),S448,0)</f>
        <v/>
      </c>
      <c r="W448" s="140" t="n">
        <v>0</v>
      </c>
      <c r="X448" s="140" t="b">
        <v>0</v>
      </c>
      <c r="Y448" s="143">
        <f>IF(H448=FALSE,VLOOKUP($C448,Sales!$C:$F,4,FALSE),1)</f>
        <v/>
      </c>
      <c r="Z448" s="140">
        <f>IF(Y448=0,"Release",IF(AND(L448&lt;J448,Y448=1,H448=FALSE,U448=FALSE,MONTH(L448)&amp;"/"&amp;YEAR(L448)&lt;&gt;MONTH(J448)&amp;"/"&amp;YEAR(J448)),"Release",""))</f>
        <v/>
      </c>
      <c r="AA448" s="144">
        <f>_xlfn.minifs($L:$L,$C:$C,$C448,$F:$F,"&lt;&gt;0")</f>
        <v/>
      </c>
      <c r="AB448" s="144">
        <f>C448&amp;"-"&amp;A448</f>
        <v/>
      </c>
      <c r="AC448" s="144">
        <f>L448</f>
        <v/>
      </c>
    </row>
    <row r="449">
      <c r="A449" s="140" t="inlineStr">
        <is>
          <t>ZMYB01</t>
        </is>
      </c>
      <c r="B449" s="140" t="n">
        <v>5</v>
      </c>
      <c r="C449" s="140" t="inlineStr">
        <is>
          <t>HVL104</t>
        </is>
      </c>
      <c r="D449" s="140" t="inlineStr">
        <is>
          <t>L</t>
        </is>
      </c>
      <c r="E449" s="140" t="inlineStr">
        <is>
          <t>Myburgh Hermanus Carel</t>
        </is>
      </c>
      <c r="F449" s="141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</f>
        <v/>
      </c>
      <c r="G449" s="142" t="n">
        <v>45280</v>
      </c>
      <c r="H449" s="140">
        <f>VLOOKUP($C449,Sales!$C:$E,2,FALSE)</f>
        <v/>
      </c>
      <c r="I449" s="140">
        <f>VLOOKUP($C449,Sales!$C:$E,3,FALSE)</f>
        <v/>
      </c>
      <c r="J449" s="142">
        <f>SUMIFS(Sales!$H:$H,Sales!$C:$C,'Investor Exit List'!$C449)</f>
        <v/>
      </c>
      <c r="K449" s="142">
        <f>IF(I449=TRUE,J449,"")</f>
        <v/>
      </c>
      <c r="L449" s="142">
        <f>G449+730</f>
        <v/>
      </c>
      <c r="M449" s="142" t="n">
        <v>45443</v>
      </c>
      <c r="N449" s="143">
        <f>IFERROR(IF(G449&lt;&gt;"",IF(I449=TRUE,0,IF(U449=TRUE,0,L449-M449)),0),0)</f>
        <v/>
      </c>
      <c r="O449" s="143">
        <f>IF(N449&gt;0,IF(N449&lt;=180,N449,0),0)</f>
        <v/>
      </c>
      <c r="P449" s="141">
        <f>IF(AND(N449&lt;90,N449&gt;0),Q449,0)</f>
        <v/>
      </c>
      <c r="Q449" s="141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/>
      </c>
      <c r="R449" s="141">
        <f>IF(AND(H449=TRUE,I449=FALSE),Q449,0)</f>
        <v/>
      </c>
      <c r="S449" s="141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/>
      </c>
      <c r="T449" s="142">
        <f>IF(U449=TRUE,$J449,"")</f>
        <v/>
      </c>
      <c r="U449" s="140" t="b">
        <v>0</v>
      </c>
      <c r="V449" s="141">
        <f>IF(AND(H449=TRUE,OR(K449="",K449&gt;M449)),S449,0)</f>
        <v/>
      </c>
      <c r="W449" s="140" t="n">
        <v>0</v>
      </c>
      <c r="X449" s="140" t="b">
        <v>0</v>
      </c>
      <c r="Y449" s="143">
        <f>IF(H449=FALSE,VLOOKUP($C449,Sales!$C:$F,4,FALSE),1)</f>
        <v/>
      </c>
      <c r="Z449" s="140">
        <f>IF(Y449=0,"Release",IF(AND(L449&lt;J449,Y449=1,H449=FALSE,U449=FALSE,MONTH(L449)&amp;"/"&amp;YEAR(L449)&lt;&gt;MONTH(J449)&amp;"/"&amp;YEAR(J449)),"Release",""))</f>
        <v/>
      </c>
      <c r="AA449" s="144">
        <f>_xlfn.minifs($L:$L,$C:$C,$C449,$F:$F,"&lt;&gt;0")</f>
        <v/>
      </c>
      <c r="AB449" s="144">
        <f>C449&amp;"-"&amp;A449</f>
        <v/>
      </c>
      <c r="AC449" s="144">
        <f>L449</f>
        <v/>
      </c>
    </row>
    <row r="450">
      <c r="A450" s="140" t="inlineStr">
        <is>
          <t>ZHAL03</t>
        </is>
      </c>
      <c r="B450" s="140" t="n">
        <v>2</v>
      </c>
      <c r="C450" s="140" t="inlineStr">
        <is>
          <t>HVL201</t>
        </is>
      </c>
      <c r="D450" s="140" t="inlineStr">
        <is>
          <t>L</t>
        </is>
      </c>
      <c r="E450" s="140" t="inlineStr">
        <is>
          <t>Hall Graeme Haffenden</t>
        </is>
      </c>
      <c r="F450" s="141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</f>
        <v/>
      </c>
      <c r="G450" s="142" t="n">
        <v>45363</v>
      </c>
      <c r="H450" s="140">
        <f>VLOOKUP($C450,Sales!$C:$E,2,FALSE)</f>
        <v/>
      </c>
      <c r="I450" s="140">
        <f>VLOOKUP($C450,Sales!$C:$E,3,FALSE)</f>
        <v/>
      </c>
      <c r="J450" s="142">
        <f>SUMIFS(Sales!$H:$H,Sales!$C:$C,'Investor Exit List'!$C450)</f>
        <v/>
      </c>
      <c r="K450" s="142">
        <f>IF(I450=TRUE,J450,"")</f>
        <v/>
      </c>
      <c r="L450" s="142">
        <f>G450+730</f>
        <v/>
      </c>
      <c r="M450" s="142" t="n">
        <v>45443</v>
      </c>
      <c r="N450" s="143">
        <f>IFERROR(IF(G450&lt;&gt;"",IF(I450=TRUE,0,IF(U450=TRUE,0,L450-M450)),0),0)</f>
        <v/>
      </c>
      <c r="O450" s="143">
        <f>IF(N450&gt;0,IF(N450&lt;=180,N450,0),0)</f>
        <v/>
      </c>
      <c r="P450" s="141">
        <f>IF(AND(N450&lt;90,N450&gt;0),Q450,0)</f>
        <v/>
      </c>
      <c r="Q450" s="141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/>
      </c>
      <c r="R450" s="141">
        <f>IF(AND(H450=TRUE,I450=FALSE),Q450,0)</f>
        <v/>
      </c>
      <c r="S450" s="141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/>
      </c>
      <c r="T450" s="142">
        <f>IF(U450=TRUE,$J450,"")</f>
        <v/>
      </c>
      <c r="U450" s="140" t="b">
        <v>0</v>
      </c>
      <c r="V450" s="141">
        <f>IF(AND(H450=TRUE,OR(K450="",K450&gt;M450)),S450,0)</f>
        <v/>
      </c>
      <c r="W450" s="140" t="n">
        <v>0</v>
      </c>
      <c r="X450" s="140" t="b">
        <v>0</v>
      </c>
      <c r="Y450" s="143">
        <f>IF(H450=FALSE,VLOOKUP($C450,Sales!$C:$F,4,FALSE),1)</f>
        <v/>
      </c>
      <c r="Z450" s="140">
        <f>IF(Y450=0,"Release",IF(AND(L450&lt;J450,Y450=1,H450=FALSE,U450=FALSE,MONTH(L450)&amp;"/"&amp;YEAR(L450)&lt;&gt;MONTH(J450)&amp;"/"&amp;YEAR(J450)),"Release",""))</f>
        <v/>
      </c>
      <c r="AA450" s="144">
        <f>_xlfn.minifs($L:$L,$C:$C,$C450,$F:$F,"&lt;&gt;0")</f>
        <v/>
      </c>
      <c r="AB450" s="144">
        <f>C450&amp;"-"&amp;A450</f>
        <v/>
      </c>
      <c r="AC450" s="144">
        <f>L450</f>
        <v/>
      </c>
    </row>
    <row r="451">
      <c r="A451" s="140" t="inlineStr">
        <is>
          <t>ZHEN01</t>
        </is>
      </c>
      <c r="B451" s="140" t="n">
        <v>4</v>
      </c>
      <c r="C451" s="140" t="inlineStr">
        <is>
          <t>HVL201</t>
        </is>
      </c>
      <c r="D451" s="140" t="inlineStr">
        <is>
          <t>L</t>
        </is>
      </c>
      <c r="E451" s="140" t="inlineStr">
        <is>
          <t>Hendricks Theodore Shane</t>
        </is>
      </c>
      <c r="F451" s="141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</f>
        <v/>
      </c>
      <c r="G451" s="142" t="n">
        <v>45259</v>
      </c>
      <c r="H451" s="140">
        <f>VLOOKUP($C451,Sales!$C:$E,2,FALSE)</f>
        <v/>
      </c>
      <c r="I451" s="140">
        <f>VLOOKUP($C451,Sales!$C:$E,3,FALSE)</f>
        <v/>
      </c>
      <c r="J451" s="142">
        <f>SUMIFS(Sales!$H:$H,Sales!$C:$C,'Investor Exit List'!$C451)</f>
        <v/>
      </c>
      <c r="K451" s="142">
        <f>IF(I451=TRUE,J451,"")</f>
        <v/>
      </c>
      <c r="L451" s="142">
        <f>G451+730</f>
        <v/>
      </c>
      <c r="M451" s="142" t="n">
        <v>45443</v>
      </c>
      <c r="N451" s="143">
        <f>IFERROR(IF(G451&lt;&gt;"",IF(I451=TRUE,0,IF(U451=TRUE,0,L451-M451)),0),0)</f>
        <v/>
      </c>
      <c r="O451" s="143">
        <f>IF(N451&gt;0,IF(N451&lt;=180,N451,0),0)</f>
        <v/>
      </c>
      <c r="P451" s="141">
        <f>IF(AND(N451&lt;90,N451&gt;0),Q451,0)</f>
        <v/>
      </c>
      <c r="Q451" s="141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/>
      </c>
      <c r="R451" s="141">
        <f>IF(AND(H451=TRUE,I451=FALSE),Q451,0)</f>
        <v/>
      </c>
      <c r="S451" s="141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/>
      </c>
      <c r="T451" s="142">
        <f>IF(U451=TRUE,$J451,"")</f>
        <v/>
      </c>
      <c r="U451" s="140" t="b">
        <v>0</v>
      </c>
      <c r="V451" s="141">
        <f>IF(AND(H451=TRUE,OR(K451="",K451&gt;M451)),S451,0)</f>
        <v/>
      </c>
      <c r="W451" s="140" t="n">
        <v>0</v>
      </c>
      <c r="X451" s="140" t="b">
        <v>0</v>
      </c>
      <c r="Y451" s="143">
        <f>IF(H451=FALSE,VLOOKUP($C451,Sales!$C:$F,4,FALSE),1)</f>
        <v/>
      </c>
      <c r="Z451" s="140">
        <f>IF(Y451=0,"Release",IF(AND(L451&lt;J451,Y451=1,H451=FALSE,U451=FALSE,MONTH(L451)&amp;"/"&amp;YEAR(L451)&lt;&gt;MONTH(J451)&amp;"/"&amp;YEAR(J451)),"Release",""))</f>
        <v/>
      </c>
      <c r="AA451" s="144">
        <f>_xlfn.minifs($L:$L,$C:$C,$C451,$F:$F,"&lt;&gt;0")</f>
        <v/>
      </c>
      <c r="AB451" s="144">
        <f>C451&amp;"-"&amp;A451</f>
        <v/>
      </c>
      <c r="AC451" s="144">
        <f>L451</f>
        <v/>
      </c>
    </row>
    <row r="452">
      <c r="A452" s="140" t="inlineStr">
        <is>
          <t>ZINT01</t>
        </is>
      </c>
      <c r="B452" s="140" t="n">
        <v>18</v>
      </c>
      <c r="C452" s="140" t="inlineStr">
        <is>
          <t>HVL201</t>
        </is>
      </c>
      <c r="D452" s="140" t="inlineStr">
        <is>
          <t>L</t>
        </is>
      </c>
      <c r="E452" s="140" t="inlineStr">
        <is>
          <t>Lunau Marc</t>
        </is>
      </c>
      <c r="F452" s="141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</f>
        <v/>
      </c>
      <c r="G452" s="142" t="n">
        <v>45371</v>
      </c>
      <c r="H452" s="140">
        <f>VLOOKUP($C452,Sales!$C:$E,2,FALSE)</f>
        <v/>
      </c>
      <c r="I452" s="140">
        <f>VLOOKUP($C452,Sales!$C:$E,3,FALSE)</f>
        <v/>
      </c>
      <c r="J452" s="142">
        <f>SUMIFS(Sales!$H:$H,Sales!$C:$C,'Investor Exit List'!$C452)</f>
        <v/>
      </c>
      <c r="K452" s="142">
        <f>IF(I452=TRUE,J452,"")</f>
        <v/>
      </c>
      <c r="L452" s="142">
        <f>G452+730</f>
        <v/>
      </c>
      <c r="M452" s="142" t="n">
        <v>45443</v>
      </c>
      <c r="N452" s="143">
        <f>IFERROR(IF(G452&lt;&gt;"",IF(I452=TRUE,0,IF(U452=TRUE,0,L452-M452)),0),0)</f>
        <v/>
      </c>
      <c r="O452" s="143">
        <f>IF(N452&gt;0,IF(N452&lt;=180,N452,0),0)</f>
        <v/>
      </c>
      <c r="P452" s="141">
        <f>IF(AND(N452&lt;90,N452&gt;0),Q452,0)</f>
        <v/>
      </c>
      <c r="Q452" s="141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/>
      </c>
      <c r="R452" s="141">
        <f>IF(AND(H452=TRUE,I452=FALSE),Q452,0)</f>
        <v/>
      </c>
      <c r="S452" s="141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/>
      </c>
      <c r="T452" s="142">
        <f>IF(U452=TRUE,$J452,"")</f>
        <v/>
      </c>
      <c r="U452" s="140" t="b">
        <v>0</v>
      </c>
      <c r="V452" s="141">
        <f>IF(AND(H452=TRUE,OR(K452="",K452&gt;M452)),S452,0)</f>
        <v/>
      </c>
      <c r="W452" s="140" t="n">
        <v>0</v>
      </c>
      <c r="X452" s="140" t="b">
        <v>0</v>
      </c>
      <c r="Y452" s="143">
        <f>IF(H452=FALSE,VLOOKUP($C452,Sales!$C:$F,4,FALSE),1)</f>
        <v/>
      </c>
      <c r="Z452" s="140">
        <f>IF(Y452=0,"Release",IF(AND(L452&lt;J452,Y452=1,H452=FALSE,U452=FALSE,MONTH(L452)&amp;"/"&amp;YEAR(L452)&lt;&gt;MONTH(J452)&amp;"/"&amp;YEAR(J452)),"Release",""))</f>
        <v/>
      </c>
      <c r="AA452" s="144">
        <f>_xlfn.minifs($L:$L,$C:$C,$C452,$F:$F,"&lt;&gt;0")</f>
        <v/>
      </c>
      <c r="AB452" s="144">
        <f>C452&amp;"-"&amp;A452</f>
        <v/>
      </c>
      <c r="AC452" s="144">
        <f>L452</f>
        <v/>
      </c>
    </row>
    <row r="453">
      <c r="A453" s="140" t="inlineStr">
        <is>
          <t>ZKUS03</t>
        </is>
      </c>
      <c r="B453" s="140" t="n">
        <v>5</v>
      </c>
      <c r="C453" s="140" t="inlineStr">
        <is>
          <t>HVL201</t>
        </is>
      </c>
      <c r="D453" s="140" t="inlineStr">
        <is>
          <t>L</t>
        </is>
      </c>
      <c r="E453" s="140" t="inlineStr">
        <is>
          <t>Kuster Joanne Tracy</t>
        </is>
      </c>
      <c r="F453" s="141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</f>
        <v/>
      </c>
      <c r="G453" s="142" t="n">
        <v>45273</v>
      </c>
      <c r="H453" s="140">
        <f>VLOOKUP($C453,Sales!$C:$E,2,FALSE)</f>
        <v/>
      </c>
      <c r="I453" s="140">
        <f>VLOOKUP($C453,Sales!$C:$E,3,FALSE)</f>
        <v/>
      </c>
      <c r="J453" s="142">
        <f>SUMIFS(Sales!$H:$H,Sales!$C:$C,'Investor Exit List'!$C453)</f>
        <v/>
      </c>
      <c r="K453" s="142">
        <f>IF(I453=TRUE,J453,"")</f>
        <v/>
      </c>
      <c r="L453" s="142">
        <f>G453+730</f>
        <v/>
      </c>
      <c r="M453" s="142" t="n">
        <v>45443</v>
      </c>
      <c r="N453" s="143">
        <f>IFERROR(IF(G453&lt;&gt;"",IF(I453=TRUE,0,IF(U453=TRUE,0,L453-M453)),0),0)</f>
        <v/>
      </c>
      <c r="O453" s="143">
        <f>IF(N453&gt;0,IF(N453&lt;=180,N453,0),0)</f>
        <v/>
      </c>
      <c r="P453" s="141">
        <f>IF(AND(N453&lt;90,N453&gt;0),Q453,0)</f>
        <v/>
      </c>
      <c r="Q453" s="141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/>
      </c>
      <c r="R453" s="141">
        <f>IF(AND(H453=TRUE,I453=FALSE),Q453,0)</f>
        <v/>
      </c>
      <c r="S453" s="141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/>
      </c>
      <c r="T453" s="142">
        <f>IF(U453=TRUE,$J453,"")</f>
        <v/>
      </c>
      <c r="U453" s="140" t="b">
        <v>0</v>
      </c>
      <c r="V453" s="141">
        <f>IF(AND(H453=TRUE,OR(K453="",K453&gt;M453)),S453,0)</f>
        <v/>
      </c>
      <c r="W453" s="140" t="n">
        <v>0</v>
      </c>
      <c r="X453" s="140" t="b">
        <v>0</v>
      </c>
      <c r="Y453" s="143">
        <f>IF(H453=FALSE,VLOOKUP($C453,Sales!$C:$F,4,FALSE),1)</f>
        <v/>
      </c>
      <c r="Z453" s="140">
        <f>IF(Y453=0,"Release",IF(AND(L453&lt;J453,Y453=1,H453=FALSE,U453=FALSE,MONTH(L453)&amp;"/"&amp;YEAR(L453)&lt;&gt;MONTH(J453)&amp;"/"&amp;YEAR(J453)),"Release",""))</f>
        <v/>
      </c>
      <c r="AA453" s="144">
        <f>_xlfn.minifs($L:$L,$C:$C,$C453,$F:$F,"&lt;&gt;0")</f>
        <v/>
      </c>
      <c r="AB453" s="144">
        <f>C453&amp;"-"&amp;A453</f>
        <v/>
      </c>
      <c r="AC453" s="144">
        <f>L453</f>
        <v/>
      </c>
    </row>
    <row r="454">
      <c r="A454" s="140" t="inlineStr">
        <is>
          <t>ZDEL01</t>
        </is>
      </c>
      <c r="B454" s="140" t="n">
        <v>12</v>
      </c>
      <c r="C454" s="140" t="inlineStr">
        <is>
          <t>HVL202</t>
        </is>
      </c>
      <c r="D454" s="140" t="inlineStr">
        <is>
          <t>L</t>
        </is>
      </c>
      <c r="E454" s="140" t="inlineStr">
        <is>
          <t>Jansen van Vuuren Pieter</t>
        </is>
      </c>
      <c r="F454" s="141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</f>
        <v/>
      </c>
      <c r="G454" s="142" t="n">
        <v>45321</v>
      </c>
      <c r="H454" s="140">
        <f>VLOOKUP($C454,Sales!$C:$E,2,FALSE)</f>
        <v/>
      </c>
      <c r="I454" s="140">
        <f>VLOOKUP($C454,Sales!$C:$E,3,FALSE)</f>
        <v/>
      </c>
      <c r="J454" s="142">
        <f>SUMIFS(Sales!$H:$H,Sales!$C:$C,'Investor Exit List'!$C454)</f>
        <v/>
      </c>
      <c r="K454" s="142">
        <f>IF(I454=TRUE,J454,"")</f>
        <v/>
      </c>
      <c r="L454" s="142">
        <f>G454+730</f>
        <v/>
      </c>
      <c r="M454" s="142" t="n">
        <v>45443</v>
      </c>
      <c r="N454" s="143">
        <f>IFERROR(IF(G454&lt;&gt;"",IF(I454=TRUE,0,IF(U454=TRUE,0,L454-M454)),0),0)</f>
        <v/>
      </c>
      <c r="O454" s="143">
        <f>IF(N454&gt;0,IF(N454&lt;=180,N454,0),0)</f>
        <v/>
      </c>
      <c r="P454" s="141">
        <f>IF(AND(N454&lt;90,N454&gt;0),Q454,0)</f>
        <v/>
      </c>
      <c r="Q454" s="141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/>
      </c>
      <c r="R454" s="141">
        <f>IF(AND(H454=TRUE,I454=FALSE),Q454,0)</f>
        <v/>
      </c>
      <c r="S454" s="141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/>
      </c>
      <c r="T454" s="142">
        <f>IF(U454=TRUE,$J454,"")</f>
        <v/>
      </c>
      <c r="U454" s="140" t="b">
        <v>0</v>
      </c>
      <c r="V454" s="141">
        <f>IF(AND(H454=TRUE,OR(K454="",K454&gt;M454)),S454,0)</f>
        <v/>
      </c>
      <c r="W454" s="140" t="n">
        <v>0</v>
      </c>
      <c r="X454" s="140" t="b">
        <v>0</v>
      </c>
      <c r="Y454" s="143">
        <f>IF(H454=FALSE,VLOOKUP($C454,Sales!$C:$F,4,FALSE),1)</f>
        <v/>
      </c>
      <c r="Z454" s="140">
        <f>IF(Y454=0,"Release",IF(AND(L454&lt;J454,Y454=1,H454=FALSE,U454=FALSE,MONTH(L454)&amp;"/"&amp;YEAR(L454)&lt;&gt;MONTH(J454)&amp;"/"&amp;YEAR(J454)),"Release",""))</f>
        <v/>
      </c>
      <c r="AA454" s="144">
        <f>_xlfn.minifs($L:$L,$C:$C,$C454,$F:$F,"&lt;&gt;0")</f>
        <v/>
      </c>
      <c r="AB454" s="144">
        <f>C454&amp;"-"&amp;A454</f>
        <v/>
      </c>
      <c r="AC454" s="144">
        <f>L454</f>
        <v/>
      </c>
    </row>
    <row r="455">
      <c r="A455" s="140" t="inlineStr">
        <is>
          <t>ZBUM01</t>
        </is>
      </c>
      <c r="B455" s="140" t="n">
        <v>3</v>
      </c>
      <c r="C455" s="140" t="inlineStr">
        <is>
          <t>HVL203</t>
        </is>
      </c>
      <c r="D455" s="140" t="inlineStr">
        <is>
          <t>L</t>
        </is>
      </c>
      <c r="E455" s="140" t="inlineStr">
        <is>
          <t>Brummer Andre Gottfried</t>
        </is>
      </c>
      <c r="F455" s="141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</f>
        <v/>
      </c>
      <c r="G455" s="142" t="n">
        <v>45273</v>
      </c>
      <c r="H455" s="140">
        <f>VLOOKUP($C455,Sales!$C:$E,2,FALSE)</f>
        <v/>
      </c>
      <c r="I455" s="140">
        <f>VLOOKUP($C455,Sales!$C:$E,3,FALSE)</f>
        <v/>
      </c>
      <c r="J455" s="142">
        <f>SUMIFS(Sales!$H:$H,Sales!$C:$C,'Investor Exit List'!$C455)</f>
        <v/>
      </c>
      <c r="K455" s="142">
        <f>IF(I455=TRUE,J455,"")</f>
        <v/>
      </c>
      <c r="L455" s="142">
        <f>G455+730</f>
        <v/>
      </c>
      <c r="M455" s="142" t="n">
        <v>45443</v>
      </c>
      <c r="N455" s="143">
        <f>IFERROR(IF(G455&lt;&gt;"",IF(I455=TRUE,0,IF(U455=TRUE,0,L455-M455)),0),0)</f>
        <v/>
      </c>
      <c r="O455" s="143">
        <f>IF(N455&gt;0,IF(N455&lt;=180,N455,0),0)</f>
        <v/>
      </c>
      <c r="P455" s="141">
        <f>IF(AND(N455&lt;90,N455&gt;0),Q455,0)</f>
        <v/>
      </c>
      <c r="Q455" s="141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/>
      </c>
      <c r="R455" s="141">
        <f>IF(AND(H455=TRUE,I455=FALSE),Q455,0)</f>
        <v/>
      </c>
      <c r="S455" s="141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/>
      </c>
      <c r="T455" s="142">
        <f>IF(U455=TRUE,$J455,"")</f>
        <v/>
      </c>
      <c r="U455" s="140" t="b">
        <v>0</v>
      </c>
      <c r="V455" s="141">
        <f>IF(AND(H455=TRUE,OR(K455="",K455&gt;M455)),S455,0)</f>
        <v/>
      </c>
      <c r="W455" s="140" t="n">
        <v>0</v>
      </c>
      <c r="X455" s="140" t="b">
        <v>0</v>
      </c>
      <c r="Y455" s="143">
        <f>IF(H455=FALSE,VLOOKUP($C455,Sales!$C:$F,4,FALSE),1)</f>
        <v/>
      </c>
      <c r="Z455" s="140">
        <f>IF(Y455=0,"Release",IF(AND(L455&lt;J455,Y455=1,H455=FALSE,U455=FALSE,MONTH(L455)&amp;"/"&amp;YEAR(L455)&lt;&gt;MONTH(J455)&amp;"/"&amp;YEAR(J455)),"Release",""))</f>
        <v/>
      </c>
      <c r="AA455" s="144">
        <f>_xlfn.minifs($L:$L,$C:$C,$C455,$F:$F,"&lt;&gt;0")</f>
        <v/>
      </c>
      <c r="AB455" s="144">
        <f>C455&amp;"-"&amp;A455</f>
        <v/>
      </c>
      <c r="AC455" s="144">
        <f>L455</f>
        <v/>
      </c>
    </row>
    <row r="456">
      <c r="A456" s="140" t="inlineStr">
        <is>
          <t>ZDEL01</t>
        </is>
      </c>
      <c r="B456" s="140" t="n">
        <v>13</v>
      </c>
      <c r="C456" s="140" t="inlineStr">
        <is>
          <t>HVL203</t>
        </is>
      </c>
      <c r="D456" s="140" t="inlineStr">
        <is>
          <t>L</t>
        </is>
      </c>
      <c r="E456" s="140" t="inlineStr">
        <is>
          <t>Jansen van Vuuren Pieter</t>
        </is>
      </c>
      <c r="F456" s="141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</f>
        <v/>
      </c>
      <c r="G456" s="142" t="n">
        <v>45273</v>
      </c>
      <c r="H456" s="140">
        <f>VLOOKUP($C456,Sales!$C:$E,2,FALSE)</f>
        <v/>
      </c>
      <c r="I456" s="140">
        <f>VLOOKUP($C456,Sales!$C:$E,3,FALSE)</f>
        <v/>
      </c>
      <c r="J456" s="142">
        <f>SUMIFS(Sales!$H:$H,Sales!$C:$C,'Investor Exit List'!$C456)</f>
        <v/>
      </c>
      <c r="K456" s="142">
        <f>IF(I456=TRUE,J456,"")</f>
        <v/>
      </c>
      <c r="L456" s="142">
        <f>G456+730</f>
        <v/>
      </c>
      <c r="M456" s="142" t="n">
        <v>45443</v>
      </c>
      <c r="N456" s="143">
        <f>IFERROR(IF(G456&lt;&gt;"",IF(I456=TRUE,0,IF(U456=TRUE,0,L456-M456)),0),0)</f>
        <v/>
      </c>
      <c r="O456" s="143">
        <f>IF(N456&gt;0,IF(N456&lt;=180,N456,0),0)</f>
        <v/>
      </c>
      <c r="P456" s="141">
        <f>IF(AND(N456&lt;90,N456&gt;0),Q456,0)</f>
        <v/>
      </c>
      <c r="Q456" s="141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/>
      </c>
      <c r="R456" s="141">
        <f>IF(AND(H456=TRUE,I456=FALSE),Q456,0)</f>
        <v/>
      </c>
      <c r="S456" s="141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/>
      </c>
      <c r="T456" s="142">
        <f>IF(U456=TRUE,$J456,"")</f>
        <v/>
      </c>
      <c r="U456" s="140" t="b">
        <v>0</v>
      </c>
      <c r="V456" s="141">
        <f>IF(AND(H456=TRUE,OR(K456="",K456&gt;M456)),S456,0)</f>
        <v/>
      </c>
      <c r="W456" s="140" t="n">
        <v>0</v>
      </c>
      <c r="X456" s="140" t="b">
        <v>0</v>
      </c>
      <c r="Y456" s="143">
        <f>IF(H456=FALSE,VLOOKUP($C456,Sales!$C:$F,4,FALSE),1)</f>
        <v/>
      </c>
      <c r="Z456" s="140">
        <f>IF(Y456=0,"Release",IF(AND(L456&lt;J456,Y456=1,H456=FALSE,U456=FALSE,MONTH(L456)&amp;"/"&amp;YEAR(L456)&lt;&gt;MONTH(J456)&amp;"/"&amp;YEAR(J456)),"Release",""))</f>
        <v/>
      </c>
      <c r="AA456" s="144">
        <f>_xlfn.minifs($L:$L,$C:$C,$C456,$F:$F,"&lt;&gt;0")</f>
        <v/>
      </c>
      <c r="AB456" s="144">
        <f>C456&amp;"-"&amp;A456</f>
        <v/>
      </c>
      <c r="AC456" s="144">
        <f>L456</f>
        <v/>
      </c>
    </row>
    <row r="457">
      <c r="A457" s="140" t="inlineStr">
        <is>
          <t>ZERA02</t>
        </is>
      </c>
      <c r="B457" s="140" t="n">
        <v>3</v>
      </c>
      <c r="C457" s="140" t="inlineStr">
        <is>
          <t>HVL203</t>
        </is>
      </c>
      <c r="D457" s="140" t="inlineStr">
        <is>
          <t>L</t>
        </is>
      </c>
      <c r="E457" s="140" t="inlineStr">
        <is>
          <t>Erasmus Chantal Celeste Jafthaleen</t>
        </is>
      </c>
      <c r="F457" s="141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</f>
        <v/>
      </c>
      <c r="G457" s="142" t="n">
        <v>45273</v>
      </c>
      <c r="H457" s="140">
        <f>VLOOKUP($C457,Sales!$C:$E,2,FALSE)</f>
        <v/>
      </c>
      <c r="I457" s="140">
        <f>VLOOKUP($C457,Sales!$C:$E,3,FALSE)</f>
        <v/>
      </c>
      <c r="J457" s="142">
        <f>SUMIFS(Sales!$H:$H,Sales!$C:$C,'Investor Exit List'!$C457)</f>
        <v/>
      </c>
      <c r="K457" s="142">
        <f>IF(I457=TRUE,J457,"")</f>
        <v/>
      </c>
      <c r="L457" s="142">
        <f>G457+730</f>
        <v/>
      </c>
      <c r="M457" s="142" t="n">
        <v>45443</v>
      </c>
      <c r="N457" s="143">
        <f>IFERROR(IF(G457&lt;&gt;"",IF(I457=TRUE,0,IF(U457=TRUE,0,L457-M457)),0),0)</f>
        <v/>
      </c>
      <c r="O457" s="143">
        <f>IF(N457&gt;0,IF(N457&lt;=180,N457,0),0)</f>
        <v/>
      </c>
      <c r="P457" s="141">
        <f>IF(AND(N457&lt;90,N457&gt;0),Q457,0)</f>
        <v/>
      </c>
      <c r="Q457" s="141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/>
      </c>
      <c r="R457" s="141">
        <f>IF(AND(H457=TRUE,I457=FALSE),Q457,0)</f>
        <v/>
      </c>
      <c r="S457" s="141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/>
      </c>
      <c r="T457" s="142">
        <f>IF(U457=TRUE,$J457,"")</f>
        <v/>
      </c>
      <c r="U457" s="140" t="b">
        <v>0</v>
      </c>
      <c r="V457" s="141">
        <f>IF(AND(H457=TRUE,OR(K457="",K457&gt;M457)),S457,0)</f>
        <v/>
      </c>
      <c r="W457" s="140" t="n">
        <v>0</v>
      </c>
      <c r="X457" s="140" t="b">
        <v>0</v>
      </c>
      <c r="Y457" s="143">
        <f>IF(H457=FALSE,VLOOKUP($C457,Sales!$C:$F,4,FALSE),1)</f>
        <v/>
      </c>
      <c r="Z457" s="140">
        <f>IF(Y457=0,"Release",IF(AND(L457&lt;J457,Y457=1,H457=FALSE,U457=FALSE,MONTH(L457)&amp;"/"&amp;YEAR(L457)&lt;&gt;MONTH(J457)&amp;"/"&amp;YEAR(J457)),"Release",""))</f>
        <v/>
      </c>
      <c r="AA457" s="144">
        <f>_xlfn.minifs($L:$L,$C:$C,$C457,$F:$F,"&lt;&gt;0")</f>
        <v/>
      </c>
      <c r="AB457" s="144">
        <f>C457&amp;"-"&amp;A457</f>
        <v/>
      </c>
      <c r="AC457" s="144">
        <f>L457</f>
        <v/>
      </c>
    </row>
    <row r="458">
      <c r="A458" s="140" t="inlineStr">
        <is>
          <t>ZHEN01</t>
        </is>
      </c>
      <c r="B458" s="140" t="n">
        <v>5</v>
      </c>
      <c r="C458" s="140" t="inlineStr">
        <is>
          <t>HVL203</t>
        </is>
      </c>
      <c r="D458" s="140" t="inlineStr">
        <is>
          <t>L</t>
        </is>
      </c>
      <c r="E458" s="140" t="inlineStr">
        <is>
          <t>Hendricks Theodore Shane</t>
        </is>
      </c>
      <c r="F458" s="141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</f>
        <v/>
      </c>
      <c r="G458" s="142" t="n">
        <v>45363</v>
      </c>
      <c r="H458" s="140">
        <f>VLOOKUP($C458,Sales!$C:$E,2,FALSE)</f>
        <v/>
      </c>
      <c r="I458" s="140">
        <f>VLOOKUP($C458,Sales!$C:$E,3,FALSE)</f>
        <v/>
      </c>
      <c r="J458" s="142">
        <f>SUMIFS(Sales!$H:$H,Sales!$C:$C,'Investor Exit List'!$C458)</f>
        <v/>
      </c>
      <c r="K458" s="142">
        <f>IF(I458=TRUE,J458,"")</f>
        <v/>
      </c>
      <c r="L458" s="142">
        <f>G458+730</f>
        <v/>
      </c>
      <c r="M458" s="142" t="n">
        <v>45443</v>
      </c>
      <c r="N458" s="143">
        <f>IFERROR(IF(G458&lt;&gt;"",IF(I458=TRUE,0,IF(U458=TRUE,0,L458-M458)),0),0)</f>
        <v/>
      </c>
      <c r="O458" s="143">
        <f>IF(N458&gt;0,IF(N458&lt;=180,N458,0),0)</f>
        <v/>
      </c>
      <c r="P458" s="141">
        <f>IF(AND(N458&lt;90,N458&gt;0),Q458,0)</f>
        <v/>
      </c>
      <c r="Q458" s="141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/>
      </c>
      <c r="R458" s="141">
        <f>IF(AND(H458=TRUE,I458=FALSE),Q458,0)</f>
        <v/>
      </c>
      <c r="S458" s="141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/>
      </c>
      <c r="T458" s="142">
        <f>IF(U458=TRUE,$J458,"")</f>
        <v/>
      </c>
      <c r="U458" s="140" t="b">
        <v>0</v>
      </c>
      <c r="V458" s="141">
        <f>IF(AND(H458=TRUE,OR(K458="",K458&gt;M458)),S458,0)</f>
        <v/>
      </c>
      <c r="W458" s="140" t="n">
        <v>0</v>
      </c>
      <c r="X458" s="140" t="b">
        <v>0</v>
      </c>
      <c r="Y458" s="143">
        <f>IF(H458=FALSE,VLOOKUP($C458,Sales!$C:$F,4,FALSE),1)</f>
        <v/>
      </c>
      <c r="Z458" s="140">
        <f>IF(Y458=0,"Release",IF(AND(L458&lt;J458,Y458=1,H458=FALSE,U458=FALSE,MONTH(L458)&amp;"/"&amp;YEAR(L458)&lt;&gt;MONTH(J458)&amp;"/"&amp;YEAR(J458)),"Release",""))</f>
        <v/>
      </c>
      <c r="AA458" s="144">
        <f>_xlfn.minifs($L:$L,$C:$C,$C458,$F:$F,"&lt;&gt;0")</f>
        <v/>
      </c>
      <c r="AB458" s="144">
        <f>C458&amp;"-"&amp;A458</f>
        <v/>
      </c>
      <c r="AC458" s="144">
        <f>L458</f>
        <v/>
      </c>
    </row>
    <row r="459">
      <c r="A459" s="140" t="inlineStr">
        <is>
          <t>ZHUT01</t>
        </is>
      </c>
      <c r="B459" s="140" t="n">
        <v>9</v>
      </c>
      <c r="C459" s="140" t="inlineStr">
        <is>
          <t>HVL203</t>
        </is>
      </c>
      <c r="D459" s="140" t="inlineStr">
        <is>
          <t>L</t>
        </is>
      </c>
      <c r="E459" s="140" t="inlineStr">
        <is>
          <t>Hutchings Tracy Jane</t>
        </is>
      </c>
      <c r="F459" s="141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</f>
        <v/>
      </c>
      <c r="G459" s="142" t="n">
        <v>45371</v>
      </c>
      <c r="H459" s="140">
        <f>VLOOKUP($C459,Sales!$C:$E,2,FALSE)</f>
        <v/>
      </c>
      <c r="I459" s="140">
        <f>VLOOKUP($C459,Sales!$C:$E,3,FALSE)</f>
        <v/>
      </c>
      <c r="J459" s="142">
        <f>SUMIFS(Sales!$H:$H,Sales!$C:$C,'Investor Exit List'!$C459)</f>
        <v/>
      </c>
      <c r="K459" s="142">
        <f>IF(I459=TRUE,J459,"")</f>
        <v/>
      </c>
      <c r="L459" s="142">
        <f>G459+730</f>
        <v/>
      </c>
      <c r="M459" s="142" t="n">
        <v>45443</v>
      </c>
      <c r="N459" s="143">
        <f>IFERROR(IF(G459&lt;&gt;"",IF(I459=TRUE,0,IF(U459=TRUE,0,L459-M459)),0),0)</f>
        <v/>
      </c>
      <c r="O459" s="143">
        <f>IF(N459&gt;0,IF(N459&lt;=180,N459,0),0)</f>
        <v/>
      </c>
      <c r="P459" s="141">
        <f>IF(AND(N459&lt;90,N459&gt;0),Q459,0)</f>
        <v/>
      </c>
      <c r="Q459" s="141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/>
      </c>
      <c r="R459" s="141">
        <f>IF(AND(H459=TRUE,I459=FALSE),Q459,0)</f>
        <v/>
      </c>
      <c r="S459" s="141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/>
      </c>
      <c r="T459" s="142">
        <f>IF(U459=TRUE,$J459,"")</f>
        <v/>
      </c>
      <c r="U459" s="140" t="b">
        <v>0</v>
      </c>
      <c r="V459" s="141">
        <f>IF(AND(H459=TRUE,OR(K459="",K459&gt;M459)),S459,0)</f>
        <v/>
      </c>
      <c r="W459" s="140" t="n">
        <v>0</v>
      </c>
      <c r="X459" s="140" t="b">
        <v>0</v>
      </c>
      <c r="Y459" s="143">
        <f>IF(H459=FALSE,VLOOKUP($C459,Sales!$C:$F,4,FALSE),1)</f>
        <v/>
      </c>
      <c r="Z459" s="140">
        <f>IF(Y459=0,"Release",IF(AND(L459&lt;J459,Y459=1,H459=FALSE,U459=FALSE,MONTH(L459)&amp;"/"&amp;YEAR(L459)&lt;&gt;MONTH(J459)&amp;"/"&amp;YEAR(J459)),"Release",""))</f>
        <v/>
      </c>
      <c r="AA459" s="144">
        <f>_xlfn.minifs($L:$L,$C:$C,$C459,$F:$F,"&lt;&gt;0")</f>
        <v/>
      </c>
      <c r="AB459" s="144">
        <f>C459&amp;"-"&amp;A459</f>
        <v/>
      </c>
      <c r="AC459" s="144">
        <f>L459</f>
        <v/>
      </c>
    </row>
    <row r="460">
      <c r="A460" s="140" t="inlineStr">
        <is>
          <t>ZROD01</t>
        </is>
      </c>
      <c r="B460" s="140" t="n">
        <v>3</v>
      </c>
      <c r="C460" s="140" t="inlineStr">
        <is>
          <t>HVL203</t>
        </is>
      </c>
      <c r="D460" s="140" t="inlineStr">
        <is>
          <t>L</t>
        </is>
      </c>
      <c r="E460" s="140" t="inlineStr">
        <is>
          <t>Rodolo Vuyisile Eustace</t>
        </is>
      </c>
      <c r="F460" s="141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</f>
        <v/>
      </c>
      <c r="G460" s="142" t="n">
        <v>45363</v>
      </c>
      <c r="H460" s="140">
        <f>VLOOKUP($C460,Sales!$C:$E,2,FALSE)</f>
        <v/>
      </c>
      <c r="I460" s="140">
        <f>VLOOKUP($C460,Sales!$C:$E,3,FALSE)</f>
        <v/>
      </c>
      <c r="J460" s="142">
        <f>SUMIFS(Sales!$H:$H,Sales!$C:$C,'Investor Exit List'!$C460)</f>
        <v/>
      </c>
      <c r="K460" s="142">
        <f>IF(I460=TRUE,J460,"")</f>
        <v/>
      </c>
      <c r="L460" s="142">
        <f>G460+730</f>
        <v/>
      </c>
      <c r="M460" s="142" t="n">
        <v>45443</v>
      </c>
      <c r="N460" s="143">
        <f>IFERROR(IF(G460&lt;&gt;"",IF(I460=TRUE,0,IF(U460=TRUE,0,L460-M460)),0),0)</f>
        <v/>
      </c>
      <c r="O460" s="143">
        <f>IF(N460&gt;0,IF(N460&lt;=180,N460,0),0)</f>
        <v/>
      </c>
      <c r="P460" s="141">
        <f>IF(AND(N460&lt;90,N460&gt;0),Q460,0)</f>
        <v/>
      </c>
      <c r="Q460" s="141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/>
      </c>
      <c r="R460" s="141">
        <f>IF(AND(H460=TRUE,I460=FALSE),Q460,0)</f>
        <v/>
      </c>
      <c r="S460" s="141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/>
      </c>
      <c r="T460" s="142">
        <f>IF(U460=TRUE,$J460,"")</f>
        <v/>
      </c>
      <c r="U460" s="140" t="b">
        <v>0</v>
      </c>
      <c r="V460" s="141">
        <f>IF(AND(H460=TRUE,OR(K460="",K460&gt;M460)),S460,0)</f>
        <v/>
      </c>
      <c r="W460" s="140" t="n">
        <v>0</v>
      </c>
      <c r="X460" s="140" t="b">
        <v>0</v>
      </c>
      <c r="Y460" s="143">
        <f>IF(H460=FALSE,VLOOKUP($C460,Sales!$C:$F,4,FALSE),1)</f>
        <v/>
      </c>
      <c r="Z460" s="140">
        <f>IF(Y460=0,"Release",IF(AND(L460&lt;J460,Y460=1,H460=FALSE,U460=FALSE,MONTH(L460)&amp;"/"&amp;YEAR(L460)&lt;&gt;MONTH(J460)&amp;"/"&amp;YEAR(J460)),"Release",""))</f>
        <v/>
      </c>
      <c r="AA460" s="144">
        <f>_xlfn.minifs($L:$L,$C:$C,$C460,$F:$F,"&lt;&gt;0")</f>
        <v/>
      </c>
      <c r="AB460" s="144">
        <f>C460&amp;"-"&amp;A460</f>
        <v/>
      </c>
      <c r="AC460" s="144">
        <f>L460</f>
        <v/>
      </c>
    </row>
    <row r="461">
      <c r="A461" s="140" t="inlineStr">
        <is>
          <t>ZHEI01</t>
        </is>
      </c>
      <c r="B461" s="140" t="n">
        <v>12</v>
      </c>
      <c r="C461" s="140" t="inlineStr">
        <is>
          <t>HVL204</t>
        </is>
      </c>
      <c r="D461" s="140" t="inlineStr">
        <is>
          <t>L</t>
        </is>
      </c>
      <c r="E461" s="140" t="inlineStr">
        <is>
          <t>Heinze Dieter Raimund</t>
        </is>
      </c>
      <c r="F461" s="141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</f>
        <v/>
      </c>
      <c r="G461" s="142" t="n">
        <v>45371</v>
      </c>
      <c r="H461" s="140">
        <f>VLOOKUP($C461,Sales!$C:$E,2,FALSE)</f>
        <v/>
      </c>
      <c r="I461" s="140">
        <f>VLOOKUP($C461,Sales!$C:$E,3,FALSE)</f>
        <v/>
      </c>
      <c r="J461" s="142">
        <f>SUMIFS(Sales!$H:$H,Sales!$C:$C,'Investor Exit List'!$C461)</f>
        <v/>
      </c>
      <c r="K461" s="142">
        <f>IF(I461=TRUE,J461,"")</f>
        <v/>
      </c>
      <c r="L461" s="142">
        <f>G461+730</f>
        <v/>
      </c>
      <c r="M461" s="142" t="n">
        <v>45443</v>
      </c>
      <c r="N461" s="143">
        <f>IFERROR(IF(G461&lt;&gt;"",IF(I461=TRUE,0,IF(U461=TRUE,0,L461-M461)),0),0)</f>
        <v/>
      </c>
      <c r="O461" s="143">
        <f>IF(N461&gt;0,IF(N461&lt;=180,N461,0),0)</f>
        <v/>
      </c>
      <c r="P461" s="141">
        <f>IF(AND(N461&lt;90,N461&gt;0),Q461,0)</f>
        <v/>
      </c>
      <c r="Q461" s="141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/>
      </c>
      <c r="R461" s="141">
        <f>IF(AND(H461=TRUE,I461=FALSE),Q461,0)</f>
        <v/>
      </c>
      <c r="S461" s="141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/>
      </c>
      <c r="T461" s="142">
        <f>IF(U461=TRUE,$J461,"")</f>
        <v/>
      </c>
      <c r="U461" s="140" t="b">
        <v>0</v>
      </c>
      <c r="V461" s="141">
        <f>IF(AND(H461=TRUE,OR(K461="",K461&gt;M461)),S461,0)</f>
        <v/>
      </c>
      <c r="W461" s="140" t="n">
        <v>0</v>
      </c>
      <c r="X461" s="140" t="b">
        <v>0</v>
      </c>
      <c r="Y461" s="143">
        <f>IF(H461=FALSE,VLOOKUP($C461,Sales!$C:$F,4,FALSE),1)</f>
        <v/>
      </c>
      <c r="Z461" s="140">
        <f>IF(Y461=0,"Release",IF(AND(L461&lt;J461,Y461=1,H461=FALSE,U461=FALSE,MONTH(L461)&amp;"/"&amp;YEAR(L461)&lt;&gt;MONTH(J461)&amp;"/"&amp;YEAR(J461)),"Release",""))</f>
        <v/>
      </c>
      <c r="AA461" s="144">
        <f>_xlfn.minifs($L:$L,$C:$C,$C461,$F:$F,"&lt;&gt;0")</f>
        <v/>
      </c>
      <c r="AB461" s="144">
        <f>C461&amp;"-"&amp;A461</f>
        <v/>
      </c>
      <c r="AC461" s="144">
        <f>L461</f>
        <v/>
      </c>
    </row>
    <row r="462">
      <c r="A462" s="140" t="inlineStr">
        <is>
          <t>ZINT01</t>
        </is>
      </c>
      <c r="B462" s="140" t="n">
        <v>17</v>
      </c>
      <c r="C462" s="140" t="inlineStr">
        <is>
          <t>HVL204</t>
        </is>
      </c>
      <c r="D462" s="140" t="inlineStr">
        <is>
          <t>L</t>
        </is>
      </c>
      <c r="E462" s="140" t="inlineStr">
        <is>
          <t>Lunau Marc</t>
        </is>
      </c>
      <c r="F462" s="141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</f>
        <v/>
      </c>
      <c r="G462" s="142" t="n">
        <v>45161</v>
      </c>
      <c r="H462" s="140">
        <f>VLOOKUP($C462,Sales!$C:$E,2,FALSE)</f>
        <v/>
      </c>
      <c r="I462" s="140">
        <f>VLOOKUP($C462,Sales!$C:$E,3,FALSE)</f>
        <v/>
      </c>
      <c r="J462" s="142">
        <f>SUMIFS(Sales!$H:$H,Sales!$C:$C,'Investor Exit List'!$C462)</f>
        <v/>
      </c>
      <c r="K462" s="142">
        <f>IF(I462=TRUE,J462,"")</f>
        <v/>
      </c>
      <c r="L462" s="142">
        <f>G462+730</f>
        <v/>
      </c>
      <c r="M462" s="142" t="n">
        <v>45443</v>
      </c>
      <c r="N462" s="143">
        <f>IFERROR(IF(G462&lt;&gt;"",IF(I462=TRUE,0,IF(U462=TRUE,0,L462-M462)),0),0)</f>
        <v/>
      </c>
      <c r="O462" s="143">
        <f>IF(N462&gt;0,IF(N462&lt;=180,N462,0),0)</f>
        <v/>
      </c>
      <c r="P462" s="141">
        <f>IF(AND(N462&lt;90,N462&gt;0),Q462,0)</f>
        <v/>
      </c>
      <c r="Q462" s="141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/>
      </c>
      <c r="R462" s="141">
        <f>IF(AND(H462=TRUE,I462=FALSE),Q462,0)</f>
        <v/>
      </c>
      <c r="S462" s="141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/>
      </c>
      <c r="T462" s="142">
        <f>IF(U462=TRUE,$J462,"")</f>
        <v/>
      </c>
      <c r="U462" s="140" t="b">
        <v>0</v>
      </c>
      <c r="V462" s="141">
        <f>IF(AND(H462=TRUE,OR(K462="",K462&gt;M462)),S462,0)</f>
        <v/>
      </c>
      <c r="W462" s="140" t="n">
        <v>0</v>
      </c>
      <c r="X462" s="140" t="b">
        <v>0</v>
      </c>
      <c r="Y462" s="143">
        <f>IF(H462=FALSE,VLOOKUP($C462,Sales!$C:$F,4,FALSE),1)</f>
        <v/>
      </c>
      <c r="Z462" s="140">
        <f>IF(Y462=0,"Release",IF(AND(L462&lt;J462,Y462=1,H462=FALSE,U462=FALSE,MONTH(L462)&amp;"/"&amp;YEAR(L462)&lt;&gt;MONTH(J462)&amp;"/"&amp;YEAR(J462)),"Release",""))</f>
        <v/>
      </c>
      <c r="AA462" s="144">
        <f>_xlfn.minifs($L:$L,$C:$C,$C462,$F:$F,"&lt;&gt;0")</f>
        <v/>
      </c>
      <c r="AB462" s="144">
        <f>C462&amp;"-"&amp;A462</f>
        <v/>
      </c>
      <c r="AC462" s="144">
        <f>L462</f>
        <v/>
      </c>
    </row>
    <row r="463">
      <c r="A463" s="140" t="inlineStr">
        <is>
          <t>ZNIE02</t>
        </is>
      </c>
      <c r="B463" s="140" t="n">
        <v>3</v>
      </c>
      <c r="C463" s="140" t="inlineStr">
        <is>
          <t>HVL204</t>
        </is>
      </c>
      <c r="D463" s="140" t="inlineStr">
        <is>
          <t>L</t>
        </is>
      </c>
      <c r="E463" s="140" t="inlineStr">
        <is>
          <t>van Niekerk Linda Kathleen</t>
        </is>
      </c>
      <c r="F463" s="141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</f>
        <v/>
      </c>
      <c r="G463" s="142" t="n">
        <v>45273</v>
      </c>
      <c r="H463" s="140">
        <f>VLOOKUP($C463,Sales!$C:$E,2,FALSE)</f>
        <v/>
      </c>
      <c r="I463" s="140">
        <f>VLOOKUP($C463,Sales!$C:$E,3,FALSE)</f>
        <v/>
      </c>
      <c r="J463" s="142">
        <f>SUMIFS(Sales!$H:$H,Sales!$C:$C,'Investor Exit List'!$C463)</f>
        <v/>
      </c>
      <c r="K463" s="142">
        <f>IF(I463=TRUE,J463,"")</f>
        <v/>
      </c>
      <c r="L463" s="142">
        <f>G463+730</f>
        <v/>
      </c>
      <c r="M463" s="142" t="n">
        <v>45443</v>
      </c>
      <c r="N463" s="143">
        <f>IFERROR(IF(G463&lt;&gt;"",IF(I463=TRUE,0,IF(U463=TRUE,0,L463-M463)),0),0)</f>
        <v/>
      </c>
      <c r="O463" s="143">
        <f>IF(N463&gt;0,IF(N463&lt;=180,N463,0),0)</f>
        <v/>
      </c>
      <c r="P463" s="141">
        <f>IF(AND(N463&lt;90,N463&gt;0),Q463,0)</f>
        <v/>
      </c>
      <c r="Q463" s="141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/>
      </c>
      <c r="R463" s="141">
        <f>IF(AND(H463=TRUE,I463=FALSE),Q463,0)</f>
        <v/>
      </c>
      <c r="S463" s="141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/>
      </c>
      <c r="T463" s="142">
        <f>IF(U463=TRUE,$J463,"")</f>
        <v/>
      </c>
      <c r="U463" s="140" t="b">
        <v>0</v>
      </c>
      <c r="V463" s="141">
        <f>IF(AND(H463=TRUE,OR(K463="",K463&gt;M463)),S463,0)</f>
        <v/>
      </c>
      <c r="W463" s="140" t="n">
        <v>0</v>
      </c>
      <c r="X463" s="140" t="b">
        <v>0</v>
      </c>
      <c r="Y463" s="143">
        <f>IF(H463=FALSE,VLOOKUP($C463,Sales!$C:$F,4,FALSE),1)</f>
        <v/>
      </c>
      <c r="Z463" s="140">
        <f>IF(Y463=0,"Release",IF(AND(L463&lt;J463,Y463=1,H463=FALSE,U463=FALSE,MONTH(L463)&amp;"/"&amp;YEAR(L463)&lt;&gt;MONTH(J463)&amp;"/"&amp;YEAR(J463)),"Release",""))</f>
        <v/>
      </c>
      <c r="AA463" s="144">
        <f>_xlfn.minifs($L:$L,$C:$C,$C463,$F:$F,"&lt;&gt;0")</f>
        <v/>
      </c>
      <c r="AB463" s="144">
        <f>C463&amp;"-"&amp;A463</f>
        <v/>
      </c>
      <c r="AC463" s="144">
        <f>L463</f>
        <v/>
      </c>
    </row>
    <row r="464">
      <c r="A464" s="140" t="inlineStr">
        <is>
          <t>ZAFR01</t>
        </is>
      </c>
      <c r="B464" s="140" t="n">
        <v>4</v>
      </c>
      <c r="C464" s="140" t="inlineStr">
        <is>
          <t>HVM101</t>
        </is>
      </c>
      <c r="D464" s="140" t="inlineStr">
        <is>
          <t>M</t>
        </is>
      </c>
      <c r="E464" s="140" t="inlineStr">
        <is>
          <t>Zylstra John Robert</t>
        </is>
      </c>
      <c r="F464" s="141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</f>
        <v/>
      </c>
      <c r="G464" s="142" t="n">
        <v>45129</v>
      </c>
      <c r="H464" s="140">
        <f>VLOOKUP($C464,Sales!$C:$E,2,FALSE)</f>
        <v/>
      </c>
      <c r="I464" s="140">
        <f>VLOOKUP($C464,Sales!$C:$E,3,FALSE)</f>
        <v/>
      </c>
      <c r="J464" s="142">
        <f>SUMIFS(Sales!$H:$H,Sales!$C:$C,'Investor Exit List'!$C464)</f>
        <v/>
      </c>
      <c r="K464" s="142">
        <f>IF(I464=TRUE,J464,"")</f>
        <v/>
      </c>
      <c r="L464" s="142">
        <f>G464+730</f>
        <v/>
      </c>
      <c r="M464" s="142" t="n">
        <v>45443</v>
      </c>
      <c r="N464" s="143">
        <f>IFERROR(IF(G464&lt;&gt;"",IF(I464=TRUE,0,IF(U464=TRUE,0,L464-M464)),0),0)</f>
        <v/>
      </c>
      <c r="O464" s="143">
        <f>IF(N464&gt;0,IF(N464&lt;=180,N464,0),0)</f>
        <v/>
      </c>
      <c r="P464" s="141">
        <f>IF(AND(N464&lt;90,N464&gt;0),Q464,0)</f>
        <v/>
      </c>
      <c r="Q464" s="141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/>
      </c>
      <c r="R464" s="141">
        <f>IF(AND(H464=TRUE,I464=FALSE),Q464,0)</f>
        <v/>
      </c>
      <c r="S464" s="141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/>
      </c>
      <c r="T464" s="142">
        <f>IF(U464=TRUE,$J464,"")</f>
        <v/>
      </c>
      <c r="U464" s="140" t="b">
        <v>0</v>
      </c>
      <c r="V464" s="141">
        <f>IF(AND(H464=TRUE,OR(K464="",K464&gt;M464)),S464,0)</f>
        <v/>
      </c>
      <c r="W464" s="140" t="n">
        <v>0</v>
      </c>
      <c r="X464" s="140" t="b">
        <v>0</v>
      </c>
      <c r="Y464" s="143">
        <f>IF(H464=FALSE,VLOOKUP($C464,Sales!$C:$F,4,FALSE),1)</f>
        <v/>
      </c>
      <c r="Z464" s="140">
        <f>IF(Y464=0,"Release",IF(AND(L464&lt;J464,Y464=1,H464=FALSE,U464=FALSE,MONTH(L464)&amp;"/"&amp;YEAR(L464)&lt;&gt;MONTH(J464)&amp;"/"&amp;YEAR(J464)),"Release",""))</f>
        <v/>
      </c>
      <c r="AA464" s="144">
        <f>_xlfn.minifs($L:$L,$C:$C,$C464,$F:$F,"&lt;&gt;0")</f>
        <v/>
      </c>
      <c r="AB464" s="144">
        <f>C464&amp;"-"&amp;A464</f>
        <v/>
      </c>
      <c r="AC464" s="144">
        <f>L464</f>
        <v/>
      </c>
    </row>
    <row r="465">
      <c r="A465" s="140" t="inlineStr">
        <is>
          <t>ZKOO01</t>
        </is>
      </c>
      <c r="B465" s="140" t="n">
        <v>3</v>
      </c>
      <c r="C465" s="140" t="inlineStr">
        <is>
          <t>HVM101</t>
        </is>
      </c>
      <c r="D465" s="140" t="inlineStr">
        <is>
          <t>M</t>
        </is>
      </c>
      <c r="E465" s="140" t="inlineStr">
        <is>
          <t>Koovarjee Jayprakash Brijbukhandas</t>
        </is>
      </c>
      <c r="F465" s="141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</f>
        <v/>
      </c>
      <c r="G465" s="142" t="n">
        <v>45161</v>
      </c>
      <c r="H465" s="140">
        <f>VLOOKUP($C465,Sales!$C:$E,2,FALSE)</f>
        <v/>
      </c>
      <c r="I465" s="140">
        <f>VLOOKUP($C465,Sales!$C:$E,3,FALSE)</f>
        <v/>
      </c>
      <c r="J465" s="142">
        <f>SUMIFS(Sales!$H:$H,Sales!$C:$C,'Investor Exit List'!$C465)</f>
        <v/>
      </c>
      <c r="K465" s="142">
        <f>IF(I465=TRUE,J465,"")</f>
        <v/>
      </c>
      <c r="L465" s="142">
        <f>G465+730</f>
        <v/>
      </c>
      <c r="M465" s="142" t="n">
        <v>45443</v>
      </c>
      <c r="N465" s="143">
        <f>IFERROR(IF(G465&lt;&gt;"",IF(I465=TRUE,0,IF(U465=TRUE,0,L465-M465)),0),0)</f>
        <v/>
      </c>
      <c r="O465" s="143">
        <f>IF(N465&gt;0,IF(N465&lt;=180,N465,0),0)</f>
        <v/>
      </c>
      <c r="P465" s="141">
        <f>IF(AND(N465&lt;90,N465&gt;0),Q465,0)</f>
        <v/>
      </c>
      <c r="Q465" s="141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/>
      </c>
      <c r="R465" s="141">
        <f>IF(AND(H465=TRUE,I465=FALSE),Q465,0)</f>
        <v/>
      </c>
      <c r="S465" s="141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/>
      </c>
      <c r="T465" s="142">
        <f>IF(U465=TRUE,$J465,"")</f>
        <v/>
      </c>
      <c r="U465" s="140" t="b">
        <v>0</v>
      </c>
      <c r="V465" s="141">
        <f>IF(AND(H465=TRUE,OR(K465="",K465&gt;M465)),S465,0)</f>
        <v/>
      </c>
      <c r="W465" s="140" t="n">
        <v>0</v>
      </c>
      <c r="X465" s="140" t="b">
        <v>0</v>
      </c>
      <c r="Y465" s="143">
        <f>IF(H465=FALSE,VLOOKUP($C465,Sales!$C:$F,4,FALSE),1)</f>
        <v/>
      </c>
      <c r="Z465" s="140">
        <f>IF(Y465=0,"Release",IF(AND(L465&lt;J465,Y465=1,H465=FALSE,U465=FALSE,MONTH(L465)&amp;"/"&amp;YEAR(L465)&lt;&gt;MONTH(J465)&amp;"/"&amp;YEAR(J465)),"Release",""))</f>
        <v/>
      </c>
      <c r="AA465" s="144">
        <f>_xlfn.minifs($L:$L,$C:$C,$C465,$F:$F,"&lt;&gt;0")</f>
        <v/>
      </c>
      <c r="AB465" s="144">
        <f>C465&amp;"-"&amp;A465</f>
        <v/>
      </c>
      <c r="AC465" s="144">
        <f>L465</f>
        <v/>
      </c>
    </row>
    <row r="466">
      <c r="A466" s="140" t="inlineStr">
        <is>
          <t>ZRIT01</t>
        </is>
      </c>
      <c r="B466" s="140" t="n">
        <v>12</v>
      </c>
      <c r="C466" s="140" t="inlineStr">
        <is>
          <t>HVM101</t>
        </is>
      </c>
      <c r="D466" s="140" t="inlineStr">
        <is>
          <t>M</t>
        </is>
      </c>
      <c r="E466" s="140" t="inlineStr">
        <is>
          <t>Ritter Dennis</t>
        </is>
      </c>
      <c r="F466" s="141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</f>
        <v/>
      </c>
      <c r="G466" s="142" t="n">
        <v>45161</v>
      </c>
      <c r="H466" s="140">
        <f>VLOOKUP($C466,Sales!$C:$E,2,FALSE)</f>
        <v/>
      </c>
      <c r="I466" s="140">
        <f>VLOOKUP($C466,Sales!$C:$E,3,FALSE)</f>
        <v/>
      </c>
      <c r="J466" s="142">
        <f>SUMIFS(Sales!$H:$H,Sales!$C:$C,'Investor Exit List'!$C466)</f>
        <v/>
      </c>
      <c r="K466" s="142">
        <f>IF(I466=TRUE,J466,"")</f>
        <v/>
      </c>
      <c r="L466" s="142">
        <f>G466+730</f>
        <v/>
      </c>
      <c r="M466" s="142" t="n">
        <v>45443</v>
      </c>
      <c r="N466" s="143">
        <f>IFERROR(IF(G466&lt;&gt;"",IF(I466=TRUE,0,IF(U466=TRUE,0,L466-M466)),0),0)</f>
        <v/>
      </c>
      <c r="O466" s="143">
        <f>IF(N466&gt;0,IF(N466&lt;=180,N466,0),0)</f>
        <v/>
      </c>
      <c r="P466" s="141">
        <f>IF(AND(N466&lt;90,N466&gt;0),Q466,0)</f>
        <v/>
      </c>
      <c r="Q466" s="141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/>
      </c>
      <c r="R466" s="141">
        <f>IF(AND(H466=TRUE,I466=FALSE),Q466,0)</f>
        <v/>
      </c>
      <c r="S466" s="141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/>
      </c>
      <c r="T466" s="142">
        <f>IF(U466=TRUE,$J466,"")</f>
        <v/>
      </c>
      <c r="U466" s="140" t="b">
        <v>0</v>
      </c>
      <c r="V466" s="141">
        <f>IF(AND(H466=TRUE,OR(K466="",K466&gt;M466)),S466,0)</f>
        <v/>
      </c>
      <c r="W466" s="140" t="n">
        <v>0</v>
      </c>
      <c r="X466" s="140" t="b">
        <v>0</v>
      </c>
      <c r="Y466" s="143">
        <f>IF(H466=FALSE,VLOOKUP($C466,Sales!$C:$F,4,FALSE),1)</f>
        <v/>
      </c>
      <c r="Z466" s="140">
        <f>IF(Y466=0,"Release",IF(AND(L466&lt;J466,Y466=1,H466=FALSE,U466=FALSE,MONTH(L466)&amp;"/"&amp;YEAR(L466)&lt;&gt;MONTH(J466)&amp;"/"&amp;YEAR(J466)),"Release",""))</f>
        <v/>
      </c>
      <c r="AA466" s="144">
        <f>_xlfn.minifs($L:$L,$C:$C,$C466,$F:$F,"&lt;&gt;0")</f>
        <v/>
      </c>
      <c r="AB466" s="144">
        <f>C466&amp;"-"&amp;A466</f>
        <v/>
      </c>
      <c r="AC466" s="144">
        <f>L466</f>
        <v/>
      </c>
    </row>
    <row r="467">
      <c r="A467" s="140" t="inlineStr">
        <is>
          <t>ZNUN01</t>
        </is>
      </c>
      <c r="B467" s="140" t="n">
        <v>9</v>
      </c>
      <c r="C467" s="140" t="inlineStr">
        <is>
          <t>HVM102</t>
        </is>
      </c>
      <c r="D467" s="140" t="inlineStr">
        <is>
          <t>M</t>
        </is>
      </c>
      <c r="E467" s="140" t="inlineStr">
        <is>
          <t>Nunes Francisco Antonio</t>
        </is>
      </c>
      <c r="F467" s="141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</f>
        <v/>
      </c>
      <c r="G467" s="142" t="n">
        <v>45129</v>
      </c>
      <c r="H467" s="140">
        <f>VLOOKUP($C467,Sales!$C:$E,2,FALSE)</f>
        <v/>
      </c>
      <c r="I467" s="140">
        <f>VLOOKUP($C467,Sales!$C:$E,3,FALSE)</f>
        <v/>
      </c>
      <c r="J467" s="142">
        <f>SUMIFS(Sales!$H:$H,Sales!$C:$C,'Investor Exit List'!$C467)</f>
        <v/>
      </c>
      <c r="K467" s="142">
        <f>IF(I467=TRUE,J467,"")</f>
        <v/>
      </c>
      <c r="L467" s="142">
        <f>G467+730</f>
        <v/>
      </c>
      <c r="M467" s="142" t="n">
        <v>45443</v>
      </c>
      <c r="N467" s="143">
        <f>IFERROR(IF(G467&lt;&gt;"",IF(I467=TRUE,0,IF(U467=TRUE,0,L467-M467)),0),0)</f>
        <v/>
      </c>
      <c r="O467" s="143">
        <f>IF(N467&gt;0,IF(N467&lt;=180,N467,0),0)</f>
        <v/>
      </c>
      <c r="P467" s="141">
        <f>IF(AND(N467&lt;90,N467&gt;0),Q467,0)</f>
        <v/>
      </c>
      <c r="Q467" s="141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/>
      </c>
      <c r="R467" s="141">
        <f>IF(AND(H467=TRUE,I467=FALSE),Q467,0)</f>
        <v/>
      </c>
      <c r="S467" s="141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/>
      </c>
      <c r="T467" s="142">
        <f>IF(U467=TRUE,$J467,"")</f>
        <v/>
      </c>
      <c r="U467" s="140" t="b">
        <v>0</v>
      </c>
      <c r="V467" s="141">
        <f>IF(AND(H467=TRUE,OR(K467="",K467&gt;M467)),S467,0)</f>
        <v/>
      </c>
      <c r="W467" s="140" t="n">
        <v>0</v>
      </c>
      <c r="X467" s="140" t="b">
        <v>0</v>
      </c>
      <c r="Y467" s="143">
        <f>IF(H467=FALSE,VLOOKUP($C467,Sales!$C:$F,4,FALSE),1)</f>
        <v/>
      </c>
      <c r="Z467" s="140">
        <f>IF(Y467=0,"Release",IF(AND(L467&lt;J467,Y467=1,H467=FALSE,U467=FALSE,MONTH(L467)&amp;"/"&amp;YEAR(L467)&lt;&gt;MONTH(J467)&amp;"/"&amp;YEAR(J467)),"Release",""))</f>
        <v/>
      </c>
      <c r="AA467" s="144">
        <f>_xlfn.minifs($L:$L,$C:$C,$C467,$F:$F,"&lt;&gt;0")</f>
        <v/>
      </c>
      <c r="AB467" s="144">
        <f>C467&amp;"-"&amp;A467</f>
        <v/>
      </c>
      <c r="AC467" s="144">
        <f>L467</f>
        <v/>
      </c>
    </row>
    <row r="468">
      <c r="A468" s="140" t="inlineStr">
        <is>
          <t>ZRIT01</t>
        </is>
      </c>
      <c r="B468" s="140" t="n">
        <v>13</v>
      </c>
      <c r="C468" s="140" t="inlineStr">
        <is>
          <t>HVM102</t>
        </is>
      </c>
      <c r="D468" s="140" t="inlineStr">
        <is>
          <t>M</t>
        </is>
      </c>
      <c r="E468" s="140" t="inlineStr">
        <is>
          <t>Ritter Dennis</t>
        </is>
      </c>
      <c r="F468" s="141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</f>
        <v/>
      </c>
      <c r="G468" s="142" t="n">
        <v>45161</v>
      </c>
      <c r="H468" s="140">
        <f>VLOOKUP($C468,Sales!$C:$E,2,FALSE)</f>
        <v/>
      </c>
      <c r="I468" s="140">
        <f>VLOOKUP($C468,Sales!$C:$E,3,FALSE)</f>
        <v/>
      </c>
      <c r="J468" s="142">
        <f>SUMIFS(Sales!$H:$H,Sales!$C:$C,'Investor Exit List'!$C468)</f>
        <v/>
      </c>
      <c r="K468" s="142">
        <f>IF(I468=TRUE,J468,"")</f>
        <v/>
      </c>
      <c r="L468" s="142">
        <f>G468+730</f>
        <v/>
      </c>
      <c r="M468" s="142" t="n">
        <v>45443</v>
      </c>
      <c r="N468" s="143">
        <f>IFERROR(IF(G468&lt;&gt;"",IF(I468=TRUE,0,IF(U468=TRUE,0,L468-M468)),0),0)</f>
        <v/>
      </c>
      <c r="O468" s="143">
        <f>IF(N468&gt;0,IF(N468&lt;=180,N468,0),0)</f>
        <v/>
      </c>
      <c r="P468" s="141">
        <f>IF(AND(N468&lt;90,N468&gt;0),Q468,0)</f>
        <v/>
      </c>
      <c r="Q468" s="141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/>
      </c>
      <c r="R468" s="141">
        <f>IF(AND(H468=TRUE,I468=FALSE),Q468,0)</f>
        <v/>
      </c>
      <c r="S468" s="141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/>
      </c>
      <c r="T468" s="142">
        <f>IF(U468=TRUE,$J468,"")</f>
        <v/>
      </c>
      <c r="U468" s="140" t="b">
        <v>0</v>
      </c>
      <c r="V468" s="141">
        <f>IF(AND(H468=TRUE,OR(K468="",K468&gt;M468)),S468,0)</f>
        <v/>
      </c>
      <c r="W468" s="140" t="n">
        <v>0</v>
      </c>
      <c r="X468" s="140" t="b">
        <v>0</v>
      </c>
      <c r="Y468" s="143">
        <f>IF(H468=FALSE,VLOOKUP($C468,Sales!$C:$F,4,FALSE),1)</f>
        <v/>
      </c>
      <c r="Z468" s="140">
        <f>IF(Y468=0,"Release",IF(AND(L468&lt;J468,Y468=1,H468=FALSE,U468=FALSE,MONTH(L468)&amp;"/"&amp;YEAR(L468)&lt;&gt;MONTH(J468)&amp;"/"&amp;YEAR(J468)),"Release",""))</f>
        <v/>
      </c>
      <c r="AA468" s="144">
        <f>_xlfn.minifs($L:$L,$C:$C,$C468,$F:$F,"&lt;&gt;0")</f>
        <v/>
      </c>
      <c r="AB468" s="144">
        <f>C468&amp;"-"&amp;A468</f>
        <v/>
      </c>
      <c r="AC468" s="144">
        <f>L468</f>
        <v/>
      </c>
    </row>
    <row r="469">
      <c r="A469" s="140" t="inlineStr">
        <is>
          <t>ZSCH04</t>
        </is>
      </c>
      <c r="B469" s="140" t="n">
        <v>2</v>
      </c>
      <c r="C469" s="140" t="inlineStr">
        <is>
          <t>HVM102</t>
        </is>
      </c>
      <c r="D469" s="140" t="inlineStr">
        <is>
          <t>M</t>
        </is>
      </c>
      <c r="E469" s="140" t="inlineStr">
        <is>
          <t>Schroder Christiaan</t>
        </is>
      </c>
      <c r="F469" s="141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</f>
        <v/>
      </c>
      <c r="G469" s="142" t="n">
        <v>45129</v>
      </c>
      <c r="H469" s="140">
        <f>VLOOKUP($C469,Sales!$C:$E,2,FALSE)</f>
        <v/>
      </c>
      <c r="I469" s="140">
        <f>VLOOKUP($C469,Sales!$C:$E,3,FALSE)</f>
        <v/>
      </c>
      <c r="J469" s="142">
        <f>SUMIFS(Sales!$H:$H,Sales!$C:$C,'Investor Exit List'!$C469)</f>
        <v/>
      </c>
      <c r="K469" s="142">
        <f>IF(I469=TRUE,J469,"")</f>
        <v/>
      </c>
      <c r="L469" s="142">
        <f>G469+730</f>
        <v/>
      </c>
      <c r="M469" s="142" t="n">
        <v>45443</v>
      </c>
      <c r="N469" s="143">
        <f>IFERROR(IF(G469&lt;&gt;"",IF(I469=TRUE,0,IF(U469=TRUE,0,L469-M469)),0),0)</f>
        <v/>
      </c>
      <c r="O469" s="143">
        <f>IF(N469&gt;0,IF(N469&lt;=180,N469,0),0)</f>
        <v/>
      </c>
      <c r="P469" s="141">
        <f>IF(AND(N469&lt;90,N469&gt;0),Q469,0)</f>
        <v/>
      </c>
      <c r="Q469" s="141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/>
      </c>
      <c r="R469" s="141">
        <f>IF(AND(H469=TRUE,I469=FALSE),Q469,0)</f>
        <v/>
      </c>
      <c r="S469" s="141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/>
      </c>
      <c r="T469" s="142">
        <f>IF(U469=TRUE,$J469,"")</f>
        <v/>
      </c>
      <c r="U469" s="140" t="b">
        <v>0</v>
      </c>
      <c r="V469" s="141">
        <f>IF(AND(H469=TRUE,OR(K469="",K469&gt;M469)),S469,0)</f>
        <v/>
      </c>
      <c r="W469" s="140" t="n">
        <v>0</v>
      </c>
      <c r="X469" s="140" t="b">
        <v>0</v>
      </c>
      <c r="Y469" s="143">
        <f>IF(H469=FALSE,VLOOKUP($C469,Sales!$C:$F,4,FALSE),1)</f>
        <v/>
      </c>
      <c r="Z469" s="140">
        <f>IF(Y469=0,"Release",IF(AND(L469&lt;J469,Y469=1,H469=FALSE,U469=FALSE,MONTH(L469)&amp;"/"&amp;YEAR(L469)&lt;&gt;MONTH(J469)&amp;"/"&amp;YEAR(J469)),"Release",""))</f>
        <v/>
      </c>
      <c r="AA469" s="144">
        <f>_xlfn.minifs($L:$L,$C:$C,$C469,$F:$F,"&lt;&gt;0")</f>
        <v/>
      </c>
      <c r="AB469" s="144">
        <f>C469&amp;"-"&amp;A469</f>
        <v/>
      </c>
      <c r="AC469" s="144">
        <f>L469</f>
        <v/>
      </c>
    </row>
    <row r="470">
      <c r="A470" s="140" t="inlineStr">
        <is>
          <t>ZRIT01</t>
        </is>
      </c>
      <c r="B470" s="140" t="n">
        <v>14</v>
      </c>
      <c r="C470" s="140" t="inlineStr">
        <is>
          <t>HVM103</t>
        </is>
      </c>
      <c r="D470" s="140" t="inlineStr">
        <is>
          <t>M</t>
        </is>
      </c>
      <c r="E470" s="140" t="inlineStr">
        <is>
          <t>Ritter Dennis</t>
        </is>
      </c>
      <c r="F470" s="141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</f>
        <v/>
      </c>
      <c r="G470" s="142" t="n">
        <v>45161</v>
      </c>
      <c r="H470" s="140">
        <f>VLOOKUP($C470,Sales!$C:$E,2,FALSE)</f>
        <v/>
      </c>
      <c r="I470" s="140">
        <f>VLOOKUP($C470,Sales!$C:$E,3,FALSE)</f>
        <v/>
      </c>
      <c r="J470" s="142">
        <f>SUMIFS(Sales!$H:$H,Sales!$C:$C,'Investor Exit List'!$C470)</f>
        <v/>
      </c>
      <c r="K470" s="142">
        <f>IF(I470=TRUE,J470,"")</f>
        <v/>
      </c>
      <c r="L470" s="142">
        <f>G470+730</f>
        <v/>
      </c>
      <c r="M470" s="142" t="n">
        <v>45443</v>
      </c>
      <c r="N470" s="143">
        <f>IFERROR(IF(G470&lt;&gt;"",IF(I470=TRUE,0,IF(U470=TRUE,0,L470-M470)),0),0)</f>
        <v/>
      </c>
      <c r="O470" s="143">
        <f>IF(N470&gt;0,IF(N470&lt;=180,N470,0),0)</f>
        <v/>
      </c>
      <c r="P470" s="141">
        <f>IF(AND(N470&lt;90,N470&gt;0),Q470,0)</f>
        <v/>
      </c>
      <c r="Q470" s="141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/>
      </c>
      <c r="R470" s="141">
        <f>IF(AND(H470=TRUE,I470=FALSE),Q470,0)</f>
        <v/>
      </c>
      <c r="S470" s="141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/>
      </c>
      <c r="T470" s="142">
        <f>IF(U470=TRUE,$J470,"")</f>
        <v/>
      </c>
      <c r="U470" s="140" t="b">
        <v>0</v>
      </c>
      <c r="V470" s="141">
        <f>IF(AND(H470=TRUE,OR(K470="",K470&gt;M470)),S470,0)</f>
        <v/>
      </c>
      <c r="W470" s="140" t="n">
        <v>0</v>
      </c>
      <c r="X470" s="140" t="b">
        <v>0</v>
      </c>
      <c r="Y470" s="143">
        <f>IF(H470=FALSE,VLOOKUP($C470,Sales!$C:$F,4,FALSE),1)</f>
        <v/>
      </c>
      <c r="Z470" s="140">
        <f>IF(Y470=0,"Release",IF(AND(L470&lt;J470,Y470=1,H470=FALSE,U470=FALSE,MONTH(L470)&amp;"/"&amp;YEAR(L470)&lt;&gt;MONTH(J470)&amp;"/"&amp;YEAR(J470)),"Release",""))</f>
        <v/>
      </c>
      <c r="AA470" s="144">
        <f>_xlfn.minifs($L:$L,$C:$C,$C470,$F:$F,"&lt;&gt;0")</f>
        <v/>
      </c>
      <c r="AB470" s="144">
        <f>C470&amp;"-"&amp;A470</f>
        <v/>
      </c>
      <c r="AC470" s="144">
        <f>L470</f>
        <v/>
      </c>
    </row>
    <row r="471">
      <c r="A471" s="140" t="inlineStr">
        <is>
          <t>ZROU01</t>
        </is>
      </c>
      <c r="B471" s="140" t="n">
        <v>2</v>
      </c>
      <c r="C471" s="140" t="inlineStr">
        <is>
          <t>HVM103</t>
        </is>
      </c>
      <c r="D471" s="140" t="inlineStr">
        <is>
          <t>M</t>
        </is>
      </c>
      <c r="E471" s="140" t="inlineStr">
        <is>
          <t>Roux Laura</t>
        </is>
      </c>
      <c r="F471" s="141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</f>
        <v/>
      </c>
      <c r="G471" s="142" t="n">
        <v>45129</v>
      </c>
      <c r="H471" s="140">
        <f>VLOOKUP($C471,Sales!$C:$E,2,FALSE)</f>
        <v/>
      </c>
      <c r="I471" s="140">
        <f>VLOOKUP($C471,Sales!$C:$E,3,FALSE)</f>
        <v/>
      </c>
      <c r="J471" s="142">
        <f>SUMIFS(Sales!$H:$H,Sales!$C:$C,'Investor Exit List'!$C471)</f>
        <v/>
      </c>
      <c r="K471" s="142">
        <f>IF(I471=TRUE,J471,"")</f>
        <v/>
      </c>
      <c r="L471" s="142">
        <f>G471+730</f>
        <v/>
      </c>
      <c r="M471" s="142" t="n">
        <v>45443</v>
      </c>
      <c r="N471" s="143">
        <f>IFERROR(IF(G471&lt;&gt;"",IF(I471=TRUE,0,IF(U471=TRUE,0,L471-M471)),0),0)</f>
        <v/>
      </c>
      <c r="O471" s="143">
        <f>IF(N471&gt;0,IF(N471&lt;=180,N471,0),0)</f>
        <v/>
      </c>
      <c r="P471" s="141">
        <f>IF(AND(N471&lt;90,N471&gt;0),Q471,0)</f>
        <v/>
      </c>
      <c r="Q471" s="141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/>
      </c>
      <c r="R471" s="141">
        <f>IF(AND(H471=TRUE,I471=FALSE),Q471,0)</f>
        <v/>
      </c>
      <c r="S471" s="141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/>
      </c>
      <c r="T471" s="142">
        <f>IF(U471=TRUE,$J471,"")</f>
        <v/>
      </c>
      <c r="U471" s="140" t="b">
        <v>0</v>
      </c>
      <c r="V471" s="141">
        <f>IF(AND(H471=TRUE,OR(K471="",K471&gt;M471)),S471,0)</f>
        <v/>
      </c>
      <c r="W471" s="140" t="n">
        <v>0</v>
      </c>
      <c r="X471" s="140" t="b">
        <v>0</v>
      </c>
      <c r="Y471" s="143">
        <f>IF(H471=FALSE,VLOOKUP($C471,Sales!$C:$F,4,FALSE),1)</f>
        <v/>
      </c>
      <c r="Z471" s="140">
        <f>IF(Y471=0,"Release",IF(AND(L471&lt;J471,Y471=1,H471=FALSE,U471=FALSE,MONTH(L471)&amp;"/"&amp;YEAR(L471)&lt;&gt;MONTH(J471)&amp;"/"&amp;YEAR(J471)),"Release",""))</f>
        <v/>
      </c>
      <c r="AA471" s="144">
        <f>_xlfn.minifs($L:$L,$C:$C,$C471,$F:$F,"&lt;&gt;0")</f>
        <v/>
      </c>
      <c r="AB471" s="144">
        <f>C471&amp;"-"&amp;A471</f>
        <v/>
      </c>
      <c r="AC471" s="144">
        <f>L471</f>
        <v/>
      </c>
    </row>
    <row r="472">
      <c r="A472" s="140" t="inlineStr">
        <is>
          <t>ZSCH04</t>
        </is>
      </c>
      <c r="B472" s="140" t="n">
        <v>3</v>
      </c>
      <c r="C472" s="140" t="inlineStr">
        <is>
          <t>HVM103</t>
        </is>
      </c>
      <c r="D472" s="140" t="inlineStr">
        <is>
          <t>M</t>
        </is>
      </c>
      <c r="E472" s="140" t="inlineStr">
        <is>
          <t>Schroder Christiaan</t>
        </is>
      </c>
      <c r="F472" s="141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</f>
        <v/>
      </c>
      <c r="G472" s="142" t="n">
        <v>45161</v>
      </c>
      <c r="H472" s="140">
        <f>VLOOKUP($C472,Sales!$C:$E,2,FALSE)</f>
        <v/>
      </c>
      <c r="I472" s="140">
        <f>VLOOKUP($C472,Sales!$C:$E,3,FALSE)</f>
        <v/>
      </c>
      <c r="J472" s="142">
        <f>SUMIFS(Sales!$H:$H,Sales!$C:$C,'Investor Exit List'!$C472)</f>
        <v/>
      </c>
      <c r="K472" s="142">
        <f>IF(I472=TRUE,J472,"")</f>
        <v/>
      </c>
      <c r="L472" s="142">
        <f>G472+730</f>
        <v/>
      </c>
      <c r="M472" s="142" t="n">
        <v>45443</v>
      </c>
      <c r="N472" s="143">
        <f>IFERROR(IF(G472&lt;&gt;"",IF(I472=TRUE,0,IF(U472=TRUE,0,L472-M472)),0),0)</f>
        <v/>
      </c>
      <c r="O472" s="143">
        <f>IF(N472&gt;0,IF(N472&lt;=180,N472,0),0)</f>
        <v/>
      </c>
      <c r="P472" s="141">
        <f>IF(AND(N472&lt;90,N472&gt;0),Q472,0)</f>
        <v/>
      </c>
      <c r="Q472" s="141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/>
      </c>
      <c r="R472" s="141">
        <f>IF(AND(H472=TRUE,I472=FALSE),Q472,0)</f>
        <v/>
      </c>
      <c r="S472" s="141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/>
      </c>
      <c r="T472" s="142">
        <f>IF(U472=TRUE,$J472,"")</f>
        <v/>
      </c>
      <c r="U472" s="140" t="b">
        <v>0</v>
      </c>
      <c r="V472" s="141">
        <f>IF(AND(H472=TRUE,OR(K472="",K472&gt;M472)),S472,0)</f>
        <v/>
      </c>
      <c r="W472" s="140" t="n">
        <v>0</v>
      </c>
      <c r="X472" s="140" t="b">
        <v>0</v>
      </c>
      <c r="Y472" s="143">
        <f>IF(H472=FALSE,VLOOKUP($C472,Sales!$C:$F,4,FALSE),1)</f>
        <v/>
      </c>
      <c r="Z472" s="140">
        <f>IF(Y472=0,"Release",IF(AND(L472&lt;J472,Y472=1,H472=FALSE,U472=FALSE,MONTH(L472)&amp;"/"&amp;YEAR(L472)&lt;&gt;MONTH(J472)&amp;"/"&amp;YEAR(J472)),"Release",""))</f>
        <v/>
      </c>
      <c r="AA472" s="144">
        <f>_xlfn.minifs($L:$L,$C:$C,$C472,$F:$F,"&lt;&gt;0")</f>
        <v/>
      </c>
      <c r="AB472" s="144">
        <f>C472&amp;"-"&amp;A472</f>
        <v/>
      </c>
      <c r="AC472" s="144">
        <f>L472</f>
        <v/>
      </c>
    </row>
    <row r="473">
      <c r="A473" s="140" t="inlineStr">
        <is>
          <t>ZDEB01</t>
        </is>
      </c>
      <c r="B473" s="140" t="n">
        <v>8</v>
      </c>
      <c r="C473" s="140" t="inlineStr">
        <is>
          <t>HVM104</t>
        </is>
      </c>
      <c r="D473" s="140" t="inlineStr">
        <is>
          <t>M</t>
        </is>
      </c>
      <c r="E473" s="140" t="inlineStr">
        <is>
          <t>De Beer William Henry</t>
        </is>
      </c>
      <c r="F473" s="141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</f>
        <v/>
      </c>
      <c r="G473" s="142" t="n">
        <v>45107</v>
      </c>
      <c r="H473" s="140">
        <f>VLOOKUP($C473,Sales!$C:$E,2,FALSE)</f>
        <v/>
      </c>
      <c r="I473" s="140">
        <f>VLOOKUP($C473,Sales!$C:$E,3,FALSE)</f>
        <v/>
      </c>
      <c r="J473" s="142">
        <f>SUMIFS(Sales!$H:$H,Sales!$C:$C,'Investor Exit List'!$C473)</f>
        <v/>
      </c>
      <c r="K473" s="142">
        <f>IF(I473=TRUE,J473,"")</f>
        <v/>
      </c>
      <c r="L473" s="142">
        <f>G473+730</f>
        <v/>
      </c>
      <c r="M473" s="142" t="n">
        <v>45443</v>
      </c>
      <c r="N473" s="143">
        <f>IFERROR(IF(G473&lt;&gt;"",IF(I473=TRUE,0,IF(U473=TRUE,0,L473-M473)),0),0)</f>
        <v/>
      </c>
      <c r="O473" s="143">
        <f>IF(N473&gt;0,IF(N473&lt;=180,N473,0),0)</f>
        <v/>
      </c>
      <c r="P473" s="141">
        <f>IF(AND(N473&lt;90,N473&gt;0),Q473,0)</f>
        <v/>
      </c>
      <c r="Q473" s="141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/>
      </c>
      <c r="R473" s="141">
        <f>IF(AND(H473=TRUE,I473=FALSE),Q473,0)</f>
        <v/>
      </c>
      <c r="S473" s="141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/>
      </c>
      <c r="T473" s="142">
        <f>IF(U473=TRUE,$J473,"")</f>
        <v/>
      </c>
      <c r="U473" s="140" t="b">
        <v>0</v>
      </c>
      <c r="V473" s="141">
        <f>IF(AND(H473=TRUE,OR(K473="",K473&gt;M473)),S473,0)</f>
        <v/>
      </c>
      <c r="W473" s="140" t="n">
        <v>0</v>
      </c>
      <c r="X473" s="140" t="b">
        <v>0</v>
      </c>
      <c r="Y473" s="143">
        <f>IF(H473=FALSE,VLOOKUP($C473,Sales!$C:$F,4,FALSE),1)</f>
        <v/>
      </c>
      <c r="Z473" s="140">
        <f>IF(Y473=0,"Release",IF(AND(L473&lt;J473,Y473=1,H473=FALSE,U473=FALSE,MONTH(L473)&amp;"/"&amp;YEAR(L473)&lt;&gt;MONTH(J473)&amp;"/"&amp;YEAR(J473)),"Release",""))</f>
        <v/>
      </c>
      <c r="AA473" s="144">
        <f>_xlfn.minifs($L:$L,$C:$C,$C473,$F:$F,"&lt;&gt;0")</f>
        <v/>
      </c>
      <c r="AB473" s="144">
        <f>C473&amp;"-"&amp;A473</f>
        <v/>
      </c>
      <c r="AC473" s="144">
        <f>L473</f>
        <v/>
      </c>
    </row>
    <row r="474">
      <c r="A474" s="140" t="inlineStr">
        <is>
          <t>ZGOF01</t>
        </is>
      </c>
      <c r="B474" s="140" t="n">
        <v>2</v>
      </c>
      <c r="C474" s="140" t="inlineStr">
        <is>
          <t>HVM201</t>
        </is>
      </c>
      <c r="D474" s="140" t="inlineStr">
        <is>
          <t>M</t>
        </is>
      </c>
      <c r="E474" s="140" t="inlineStr">
        <is>
          <t>Goff Angela</t>
        </is>
      </c>
      <c r="F474" s="141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</f>
        <v/>
      </c>
      <c r="G474" s="142" t="n">
        <v>45129</v>
      </c>
      <c r="H474" s="140">
        <f>VLOOKUP($C474,Sales!$C:$E,2,FALSE)</f>
        <v/>
      </c>
      <c r="I474" s="140">
        <f>VLOOKUP($C474,Sales!$C:$E,3,FALSE)</f>
        <v/>
      </c>
      <c r="J474" s="142">
        <f>SUMIFS(Sales!$H:$H,Sales!$C:$C,'Investor Exit List'!$C474)</f>
        <v/>
      </c>
      <c r="K474" s="142">
        <f>IF(I474=TRUE,J474,"")</f>
        <v/>
      </c>
      <c r="L474" s="142">
        <f>G474+730</f>
        <v/>
      </c>
      <c r="M474" s="142" t="n">
        <v>45443</v>
      </c>
      <c r="N474" s="143">
        <f>IFERROR(IF(G474&lt;&gt;"",IF(I474=TRUE,0,IF(U474=TRUE,0,L474-M474)),0),0)</f>
        <v/>
      </c>
      <c r="O474" s="143">
        <f>IF(N474&gt;0,IF(N474&lt;=180,N474,0),0)</f>
        <v/>
      </c>
      <c r="P474" s="141">
        <f>IF(AND(N474&lt;90,N474&gt;0),Q474,0)</f>
        <v/>
      </c>
      <c r="Q474" s="141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/>
      </c>
      <c r="R474" s="141">
        <f>IF(AND(H474=TRUE,I474=FALSE),Q474,0)</f>
        <v/>
      </c>
      <c r="S474" s="141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/>
      </c>
      <c r="T474" s="142">
        <f>IF(U474=TRUE,$J474,"")</f>
        <v/>
      </c>
      <c r="U474" s="140" t="b">
        <v>0</v>
      </c>
      <c r="V474" s="141">
        <f>IF(AND(H474=TRUE,OR(K474="",K474&gt;M474)),S474,0)</f>
        <v/>
      </c>
      <c r="W474" s="140" t="n">
        <v>0</v>
      </c>
      <c r="X474" s="140" t="b">
        <v>0</v>
      </c>
      <c r="Y474" s="143">
        <f>IF(H474=FALSE,VLOOKUP($C474,Sales!$C:$F,4,FALSE),1)</f>
        <v/>
      </c>
      <c r="Z474" s="140">
        <f>IF(Y474=0,"Release",IF(AND(L474&lt;J474,Y474=1,H474=FALSE,U474=FALSE,MONTH(L474)&amp;"/"&amp;YEAR(L474)&lt;&gt;MONTH(J474)&amp;"/"&amp;YEAR(J474)),"Release",""))</f>
        <v/>
      </c>
      <c r="AA474" s="144">
        <f>_xlfn.minifs($L:$L,$C:$C,$C474,$F:$F,"&lt;&gt;0")</f>
        <v/>
      </c>
      <c r="AB474" s="144">
        <f>C474&amp;"-"&amp;A474</f>
        <v/>
      </c>
      <c r="AC474" s="144">
        <f>L474</f>
        <v/>
      </c>
    </row>
    <row r="475">
      <c r="A475" s="140" t="inlineStr">
        <is>
          <t>ZAFR01</t>
        </is>
      </c>
      <c r="B475" s="140" t="n">
        <v>5</v>
      </c>
      <c r="C475" s="140" t="inlineStr">
        <is>
          <t>HVM202</t>
        </is>
      </c>
      <c r="D475" s="140" t="inlineStr">
        <is>
          <t>M</t>
        </is>
      </c>
      <c r="E475" s="140" t="inlineStr">
        <is>
          <t>Zylstra John Robert</t>
        </is>
      </c>
      <c r="F475" s="141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</f>
        <v/>
      </c>
      <c r="G475" s="142" t="n">
        <v>45129</v>
      </c>
      <c r="H475" s="140">
        <f>VLOOKUP($C475,Sales!$C:$E,2,FALSE)</f>
        <v/>
      </c>
      <c r="I475" s="140">
        <f>VLOOKUP($C475,Sales!$C:$E,3,FALSE)</f>
        <v/>
      </c>
      <c r="J475" s="142">
        <f>SUMIFS(Sales!$H:$H,Sales!$C:$C,'Investor Exit List'!$C475)</f>
        <v/>
      </c>
      <c r="K475" s="142">
        <f>IF(I475=TRUE,J475,"")</f>
        <v/>
      </c>
      <c r="L475" s="142">
        <f>G475+730</f>
        <v/>
      </c>
      <c r="M475" s="142" t="n">
        <v>45443</v>
      </c>
      <c r="N475" s="143">
        <f>IFERROR(IF(G475&lt;&gt;"",IF(I475=TRUE,0,IF(U475=TRUE,0,L475-M475)),0),0)</f>
        <v/>
      </c>
      <c r="O475" s="143">
        <f>IF(N475&gt;0,IF(N475&lt;=180,N475,0),0)</f>
        <v/>
      </c>
      <c r="P475" s="141">
        <f>IF(AND(N475&lt;90,N475&gt;0),Q475,0)</f>
        <v/>
      </c>
      <c r="Q475" s="141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/>
      </c>
      <c r="R475" s="141">
        <f>IF(AND(H475=TRUE,I475=FALSE),Q475,0)</f>
        <v/>
      </c>
      <c r="S475" s="141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/>
      </c>
      <c r="T475" s="142">
        <f>IF(U475=TRUE,$J475,"")</f>
        <v/>
      </c>
      <c r="U475" s="140" t="b">
        <v>0</v>
      </c>
      <c r="V475" s="141">
        <f>IF(AND(H475=TRUE,OR(K475="",K475&gt;M475)),S475,0)</f>
        <v/>
      </c>
      <c r="W475" s="140" t="n">
        <v>0</v>
      </c>
      <c r="X475" s="140" t="b">
        <v>0</v>
      </c>
      <c r="Y475" s="143">
        <f>IF(H475=FALSE,VLOOKUP($C475,Sales!$C:$F,4,FALSE),1)</f>
        <v/>
      </c>
      <c r="Z475" s="140">
        <f>IF(Y475=0,"Release",IF(AND(L475&lt;J475,Y475=1,H475=FALSE,U475=FALSE,MONTH(L475)&amp;"/"&amp;YEAR(L475)&lt;&gt;MONTH(J475)&amp;"/"&amp;YEAR(J475)),"Release",""))</f>
        <v/>
      </c>
      <c r="AA475" s="144">
        <f>_xlfn.minifs($L:$L,$C:$C,$C475,$F:$F,"&lt;&gt;0")</f>
        <v/>
      </c>
      <c r="AB475" s="144">
        <f>C475&amp;"-"&amp;A475</f>
        <v/>
      </c>
      <c r="AC475" s="144">
        <f>L475</f>
        <v/>
      </c>
    </row>
    <row r="476">
      <c r="A476" s="140" t="inlineStr">
        <is>
          <t>ZPED01</t>
        </is>
      </c>
      <c r="B476" s="140" t="n">
        <v>4</v>
      </c>
      <c r="C476" s="140" t="inlineStr">
        <is>
          <t>HVM203</t>
        </is>
      </c>
      <c r="D476" s="140" t="inlineStr">
        <is>
          <t>M</t>
        </is>
      </c>
      <c r="E476" s="140" t="inlineStr">
        <is>
          <t>Pedersen Wendy</t>
        </is>
      </c>
      <c r="F476" s="141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</f>
        <v/>
      </c>
      <c r="G476" s="142" t="n">
        <v>45129</v>
      </c>
      <c r="H476" s="140">
        <f>VLOOKUP($C476,Sales!$C:$E,2,FALSE)</f>
        <v/>
      </c>
      <c r="I476" s="140">
        <f>VLOOKUP($C476,Sales!$C:$E,3,FALSE)</f>
        <v/>
      </c>
      <c r="J476" s="142">
        <f>SUMIFS(Sales!$H:$H,Sales!$C:$C,'Investor Exit List'!$C476)</f>
        <v/>
      </c>
      <c r="K476" s="142">
        <f>IF(I476=TRUE,J476,"")</f>
        <v/>
      </c>
      <c r="L476" s="142">
        <f>G476+730</f>
        <v/>
      </c>
      <c r="M476" s="142" t="n">
        <v>45443</v>
      </c>
      <c r="N476" s="143">
        <f>IFERROR(IF(G476&lt;&gt;"",IF(I476=TRUE,0,IF(U476=TRUE,0,L476-M476)),0),0)</f>
        <v/>
      </c>
      <c r="O476" s="143">
        <f>IF(N476&gt;0,IF(N476&lt;=180,N476,0),0)</f>
        <v/>
      </c>
      <c r="P476" s="141">
        <f>IF(AND(N476&lt;90,N476&gt;0),Q476,0)</f>
        <v/>
      </c>
      <c r="Q476" s="141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/>
      </c>
      <c r="R476" s="141">
        <f>IF(AND(H476=TRUE,I476=FALSE),Q476,0)</f>
        <v/>
      </c>
      <c r="S476" s="141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/>
      </c>
      <c r="T476" s="142">
        <f>IF(U476=TRUE,$J476,"")</f>
        <v/>
      </c>
      <c r="U476" s="140" t="b">
        <v>0</v>
      </c>
      <c r="V476" s="141">
        <f>IF(AND(H476=TRUE,OR(K476="",K476&gt;M476)),S476,0)</f>
        <v/>
      </c>
      <c r="W476" s="140" t="n">
        <v>0</v>
      </c>
      <c r="X476" s="140" t="b">
        <v>0</v>
      </c>
      <c r="Y476" s="143">
        <f>IF(H476=FALSE,VLOOKUP($C476,Sales!$C:$F,4,FALSE),1)</f>
        <v/>
      </c>
      <c r="Z476" s="140">
        <f>IF(Y476=0,"Release",IF(AND(L476&lt;J476,Y476=1,H476=FALSE,U476=FALSE,MONTH(L476)&amp;"/"&amp;YEAR(L476)&lt;&gt;MONTH(J476)&amp;"/"&amp;YEAR(J476)),"Release",""))</f>
        <v/>
      </c>
      <c r="AA476" s="144">
        <f>_xlfn.minifs($L:$L,$C:$C,$C476,$F:$F,"&lt;&gt;0")</f>
        <v/>
      </c>
      <c r="AB476" s="144">
        <f>C476&amp;"-"&amp;A476</f>
        <v/>
      </c>
      <c r="AC476" s="144">
        <f>L476</f>
        <v/>
      </c>
    </row>
    <row r="477">
      <c r="A477" s="140" t="inlineStr">
        <is>
          <t>ZDAD01</t>
        </is>
      </c>
      <c r="B477" s="140" t="n">
        <v>5</v>
      </c>
      <c r="C477" s="140" t="inlineStr">
        <is>
          <t>HVM204</t>
        </is>
      </c>
      <c r="D477" s="140" t="inlineStr">
        <is>
          <t>M</t>
        </is>
      </c>
      <c r="E477" s="140" t="inlineStr">
        <is>
          <t>Dadoo Feroz</t>
        </is>
      </c>
      <c r="F477" s="141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</f>
        <v/>
      </c>
      <c r="G477" s="142" t="n">
        <v>45129</v>
      </c>
      <c r="H477" s="140">
        <f>VLOOKUP($C477,Sales!$C:$E,2,FALSE)</f>
        <v/>
      </c>
      <c r="I477" s="140">
        <f>VLOOKUP($C477,Sales!$C:$E,3,FALSE)</f>
        <v/>
      </c>
      <c r="J477" s="142">
        <f>SUMIFS(Sales!$H:$H,Sales!$C:$C,'Investor Exit List'!$C477)</f>
        <v/>
      </c>
      <c r="K477" s="142">
        <f>IF(I477=TRUE,J477,"")</f>
        <v/>
      </c>
      <c r="L477" s="142">
        <f>G477+730</f>
        <v/>
      </c>
      <c r="M477" s="142" t="n">
        <v>45443</v>
      </c>
      <c r="N477" s="143">
        <f>IFERROR(IF(G477&lt;&gt;"",IF(I477=TRUE,0,IF(U477=TRUE,0,L477-M477)),0),0)</f>
        <v/>
      </c>
      <c r="O477" s="143">
        <f>IF(N477&gt;0,IF(N477&lt;=180,N477,0),0)</f>
        <v/>
      </c>
      <c r="P477" s="141">
        <f>IF(AND(N477&lt;90,N477&gt;0),Q477,0)</f>
        <v/>
      </c>
      <c r="Q477" s="141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/>
      </c>
      <c r="R477" s="141">
        <f>IF(AND(H477=TRUE,I477=FALSE),Q477,0)</f>
        <v/>
      </c>
      <c r="S477" s="141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/>
      </c>
      <c r="T477" s="142">
        <f>IF(U477=TRUE,$J477,"")</f>
        <v/>
      </c>
      <c r="U477" s="140" t="b">
        <v>0</v>
      </c>
      <c r="V477" s="141">
        <f>IF(AND(H477=TRUE,OR(K477="",K477&gt;M477)),S477,0)</f>
        <v/>
      </c>
      <c r="W477" s="140" t="n">
        <v>0</v>
      </c>
      <c r="X477" s="140" t="b">
        <v>0</v>
      </c>
      <c r="Y477" s="143">
        <f>IF(H477=FALSE,VLOOKUP($C477,Sales!$C:$F,4,FALSE),1)</f>
        <v/>
      </c>
      <c r="Z477" s="140">
        <f>IF(Y477=0,"Release",IF(AND(L477&lt;J477,Y477=1,H477=FALSE,U477=FALSE,MONTH(L477)&amp;"/"&amp;YEAR(L477)&lt;&gt;MONTH(J477)&amp;"/"&amp;YEAR(J477)),"Release",""))</f>
        <v/>
      </c>
      <c r="AA477" s="144">
        <f>_xlfn.minifs($L:$L,$C:$C,$C477,$F:$F,"&lt;&gt;0")</f>
        <v/>
      </c>
      <c r="AB477" s="144">
        <f>C477&amp;"-"&amp;A477</f>
        <v/>
      </c>
      <c r="AC477" s="144">
        <f>L477</f>
        <v/>
      </c>
    </row>
    <row r="478">
      <c r="A478" s="140" t="inlineStr">
        <is>
          <t>ZKRI03</t>
        </is>
      </c>
      <c r="B478" s="140" t="n">
        <v>2</v>
      </c>
      <c r="C478" s="140" t="inlineStr">
        <is>
          <t>HVM204</t>
        </is>
      </c>
      <c r="D478" s="140" t="inlineStr">
        <is>
          <t>M</t>
        </is>
      </c>
      <c r="E478" s="140" t="inlineStr">
        <is>
          <t>Kriel Helena Jacoba</t>
        </is>
      </c>
      <c r="F478" s="141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</f>
        <v/>
      </c>
      <c r="G478" s="142" t="n">
        <v>45168</v>
      </c>
      <c r="H478" s="140">
        <f>VLOOKUP($C478,Sales!$C:$E,2,FALSE)</f>
        <v/>
      </c>
      <c r="I478" s="140">
        <f>VLOOKUP($C478,Sales!$C:$E,3,FALSE)</f>
        <v/>
      </c>
      <c r="J478" s="142">
        <f>SUMIFS(Sales!$H:$H,Sales!$C:$C,'Investor Exit List'!$C478)</f>
        <v/>
      </c>
      <c r="K478" s="142">
        <f>IF(I478=TRUE,J478,"")</f>
        <v/>
      </c>
      <c r="L478" s="142">
        <f>G478+730</f>
        <v/>
      </c>
      <c r="M478" s="142" t="n">
        <v>45443</v>
      </c>
      <c r="N478" s="143">
        <f>IFERROR(IF(G478&lt;&gt;"",IF(I478=TRUE,0,IF(U478=TRUE,0,L478-M478)),0),0)</f>
        <v/>
      </c>
      <c r="O478" s="143">
        <f>IF(N478&gt;0,IF(N478&lt;=180,N478,0),0)</f>
        <v/>
      </c>
      <c r="P478" s="141">
        <f>IF(AND(N478&lt;90,N478&gt;0),Q478,0)</f>
        <v/>
      </c>
      <c r="Q478" s="141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/>
      </c>
      <c r="R478" s="141">
        <f>IF(AND(H478=TRUE,I478=FALSE),Q478,0)</f>
        <v/>
      </c>
      <c r="S478" s="141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/>
      </c>
      <c r="T478" s="142">
        <f>IF(U478=TRUE,$J478,"")</f>
        <v/>
      </c>
      <c r="U478" s="140" t="b">
        <v>0</v>
      </c>
      <c r="V478" s="141">
        <f>IF(AND(H478=TRUE,OR(K478="",K478&gt;M478)),S478,0)</f>
        <v/>
      </c>
      <c r="W478" s="140" t="n">
        <v>0</v>
      </c>
      <c r="X478" s="140" t="b">
        <v>0</v>
      </c>
      <c r="Y478" s="143">
        <f>IF(H478=FALSE,VLOOKUP($C478,Sales!$C:$F,4,FALSE),1)</f>
        <v/>
      </c>
      <c r="Z478" s="140">
        <f>IF(Y478=0,"Release",IF(AND(L478&lt;J478,Y478=1,H478=FALSE,U478=FALSE,MONTH(L478)&amp;"/"&amp;YEAR(L478)&lt;&gt;MONTH(J478)&amp;"/"&amp;YEAR(J478)),"Release",""))</f>
        <v/>
      </c>
      <c r="AA478" s="144">
        <f>_xlfn.minifs($L:$L,$C:$C,$C478,$F:$F,"&lt;&gt;0")</f>
        <v/>
      </c>
      <c r="AB478" s="144">
        <f>C478&amp;"-"&amp;A478</f>
        <v/>
      </c>
      <c r="AC478" s="144">
        <f>L478</f>
        <v/>
      </c>
    </row>
    <row r="479">
      <c r="A479" s="140" t="inlineStr">
        <is>
          <t>ZFER01</t>
        </is>
      </c>
      <c r="B479" s="140" t="n">
        <v>1</v>
      </c>
      <c r="C479" s="140" t="inlineStr">
        <is>
          <t>HVN101</t>
        </is>
      </c>
      <c r="D479" s="140" t="inlineStr">
        <is>
          <t>N</t>
        </is>
      </c>
      <c r="E479" s="140" t="inlineStr">
        <is>
          <t>Ferreira Leon</t>
        </is>
      </c>
      <c r="F479" s="141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</f>
        <v/>
      </c>
      <c r="G479" s="142" t="n">
        <v>44783</v>
      </c>
      <c r="H479" s="140">
        <f>VLOOKUP($C479,Sales!$C:$E,2,FALSE)</f>
        <v/>
      </c>
      <c r="I479" s="140">
        <f>VLOOKUP($C479,Sales!$C:$E,3,FALSE)</f>
        <v/>
      </c>
      <c r="J479" s="142">
        <f>SUMIFS(Sales!$H:$H,Sales!$C:$C,'Investor Exit List'!$C479)</f>
        <v/>
      </c>
      <c r="K479" s="142">
        <f>IF(I479=TRUE,J479,"")</f>
        <v/>
      </c>
      <c r="L479" s="142">
        <f>G479+730</f>
        <v/>
      </c>
      <c r="M479" s="142" t="n">
        <v>45443</v>
      </c>
      <c r="N479" s="143">
        <f>IFERROR(IF(G479&lt;&gt;"",IF(I479=TRUE,0,IF(U479=TRUE,0,L479-M479)),0),0)</f>
        <v/>
      </c>
      <c r="O479" s="143">
        <f>IF(N479&gt;0,IF(N479&lt;=180,N479,0),0)</f>
        <v/>
      </c>
      <c r="P479" s="141">
        <f>IF(AND(N479&lt;90,N479&gt;0),Q479,0)</f>
        <v/>
      </c>
      <c r="Q479" s="141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/>
      </c>
      <c r="R479" s="141">
        <f>IF(AND(H479=TRUE,I479=FALSE),Q479,0)</f>
        <v/>
      </c>
      <c r="S479" s="141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/>
      </c>
      <c r="T479" s="142">
        <f>IF(U479=TRUE,$J479,"")</f>
        <v/>
      </c>
      <c r="U479" s="140" t="b">
        <v>0</v>
      </c>
      <c r="V479" s="141">
        <f>IF(AND(H479=TRUE,OR(K479="",K479&gt;M479)),S479,0)</f>
        <v/>
      </c>
      <c r="W479" s="140" t="n">
        <v>0</v>
      </c>
      <c r="X479" s="140" t="b">
        <v>0</v>
      </c>
      <c r="Y479" s="143">
        <f>IF(H479=FALSE,VLOOKUP($C479,Sales!$C:$F,4,FALSE),1)</f>
        <v/>
      </c>
      <c r="Z479" s="140">
        <f>IF(Y479=0,"Release",IF(AND(L479&lt;J479,Y479=1,H479=FALSE,U479=FALSE,MONTH(L479)&amp;"/"&amp;YEAR(L479)&lt;&gt;MONTH(J479)&amp;"/"&amp;YEAR(J479)),"Release",""))</f>
        <v/>
      </c>
      <c r="AA479" s="144">
        <f>_xlfn.minifs($L:$L,$C:$C,$C479,$F:$F,"&lt;&gt;0")</f>
        <v/>
      </c>
      <c r="AB479" s="144">
        <f>C479&amp;"-"&amp;A479</f>
        <v/>
      </c>
      <c r="AC479" s="144">
        <f>L479</f>
        <v/>
      </c>
    </row>
    <row r="480">
      <c r="A480" s="140" t="inlineStr">
        <is>
          <t>ZMAQ01</t>
        </is>
      </c>
      <c r="B480" s="140" t="n">
        <v>1</v>
      </c>
      <c r="C480" s="140" t="inlineStr">
        <is>
          <t>HVN101</t>
        </is>
      </c>
      <c r="D480" s="140" t="inlineStr">
        <is>
          <t>N</t>
        </is>
      </c>
      <c r="E480" s="140" t="inlineStr">
        <is>
          <t>Maqubela Stanley Tamsanqa</t>
        </is>
      </c>
      <c r="F480" s="141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</f>
        <v/>
      </c>
      <c r="G480" s="142" t="n">
        <v>44783</v>
      </c>
      <c r="H480" s="140">
        <f>VLOOKUP($C480,Sales!$C:$E,2,FALSE)</f>
        <v/>
      </c>
      <c r="I480" s="140">
        <f>VLOOKUP($C480,Sales!$C:$E,3,FALSE)</f>
        <v/>
      </c>
      <c r="J480" s="142">
        <f>SUMIFS(Sales!$H:$H,Sales!$C:$C,'Investor Exit List'!$C480)</f>
        <v/>
      </c>
      <c r="K480" s="142">
        <f>IF(I480=TRUE,J480,"")</f>
        <v/>
      </c>
      <c r="L480" s="142">
        <f>G480+730</f>
        <v/>
      </c>
      <c r="M480" s="142" t="n">
        <v>45443</v>
      </c>
      <c r="N480" s="143">
        <f>IFERROR(IF(G480&lt;&gt;"",IF(I480=TRUE,0,IF(U480=TRUE,0,L480-M480)),0),0)</f>
        <v/>
      </c>
      <c r="O480" s="143">
        <f>IF(N480&gt;0,IF(N480&lt;=180,N480,0),0)</f>
        <v/>
      </c>
      <c r="P480" s="141">
        <f>IF(AND(N480&lt;90,N480&gt;0),Q480,0)</f>
        <v/>
      </c>
      <c r="Q480" s="141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/>
      </c>
      <c r="R480" s="141">
        <f>IF(AND(H480=TRUE,I480=FALSE),Q480,0)</f>
        <v/>
      </c>
      <c r="S480" s="141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/>
      </c>
      <c r="T480" s="142">
        <f>IF(U480=TRUE,$J480,"")</f>
        <v/>
      </c>
      <c r="U480" s="140" t="b">
        <v>0</v>
      </c>
      <c r="V480" s="141">
        <f>IF(AND(H480=TRUE,OR(K480="",K480&gt;M480)),S480,0)</f>
        <v/>
      </c>
      <c r="W480" s="140" t="n">
        <v>0</v>
      </c>
      <c r="X480" s="140" t="b">
        <v>0</v>
      </c>
      <c r="Y480" s="143">
        <f>IF(H480=FALSE,VLOOKUP($C480,Sales!$C:$F,4,FALSE),1)</f>
        <v/>
      </c>
      <c r="Z480" s="140">
        <f>IF(Y480=0,"Release",IF(AND(L480&lt;J480,Y480=1,H480=FALSE,U480=FALSE,MONTH(L480)&amp;"/"&amp;YEAR(L480)&lt;&gt;MONTH(J480)&amp;"/"&amp;YEAR(J480)),"Release",""))</f>
        <v/>
      </c>
      <c r="AA480" s="144">
        <f>_xlfn.minifs($L:$L,$C:$C,$C480,$F:$F,"&lt;&gt;0")</f>
        <v/>
      </c>
      <c r="AB480" s="144">
        <f>C480&amp;"-"&amp;A480</f>
        <v/>
      </c>
      <c r="AC480" s="144">
        <f>L480</f>
        <v/>
      </c>
    </row>
    <row r="481">
      <c r="A481" s="140" t="inlineStr">
        <is>
          <t>ZMAT01</t>
        </is>
      </c>
      <c r="B481" s="140" t="n">
        <v>5</v>
      </c>
      <c r="C481" s="140" t="inlineStr">
        <is>
          <t>HVN101</t>
        </is>
      </c>
      <c r="D481" s="140" t="inlineStr">
        <is>
          <t>N</t>
        </is>
      </c>
      <c r="E481" s="140" t="inlineStr">
        <is>
          <t>Matthews Natalie</t>
        </is>
      </c>
      <c r="F481" s="141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</f>
        <v/>
      </c>
      <c r="G481" s="142" t="n">
        <v>44777</v>
      </c>
      <c r="H481" s="140">
        <f>VLOOKUP($C481,Sales!$C:$E,2,FALSE)</f>
        <v/>
      </c>
      <c r="I481" s="140">
        <f>VLOOKUP($C481,Sales!$C:$E,3,FALSE)</f>
        <v/>
      </c>
      <c r="J481" s="142">
        <f>SUMIFS(Sales!$H:$H,Sales!$C:$C,'Investor Exit List'!$C481)</f>
        <v/>
      </c>
      <c r="K481" s="142">
        <f>IF(I481=TRUE,J481,"")</f>
        <v/>
      </c>
      <c r="L481" s="142">
        <f>G481+730</f>
        <v/>
      </c>
      <c r="M481" s="142" t="n">
        <v>45443</v>
      </c>
      <c r="N481" s="143">
        <f>IFERROR(IF(G481&lt;&gt;"",IF(I481=TRUE,0,IF(U481=TRUE,0,L481-M481)),0),0)</f>
        <v/>
      </c>
      <c r="O481" s="143">
        <f>IF(N481&gt;0,IF(N481&lt;=180,N481,0),0)</f>
        <v/>
      </c>
      <c r="P481" s="141">
        <f>IF(AND(N481&lt;90,N481&gt;0),Q481,0)</f>
        <v/>
      </c>
      <c r="Q481" s="141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/>
      </c>
      <c r="R481" s="141">
        <f>IF(AND(H481=TRUE,I481=FALSE),Q481,0)</f>
        <v/>
      </c>
      <c r="S481" s="141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/>
      </c>
      <c r="T481" s="142">
        <f>IF(U481=TRUE,$J481,"")</f>
        <v/>
      </c>
      <c r="U481" s="140" t="b">
        <v>0</v>
      </c>
      <c r="V481" s="141">
        <f>IF(AND(H481=TRUE,OR(K481="",K481&gt;M481)),S481,0)</f>
        <v/>
      </c>
      <c r="W481" s="140" t="n">
        <v>0</v>
      </c>
      <c r="X481" s="140" t="b">
        <v>0</v>
      </c>
      <c r="Y481" s="143">
        <f>IF(H481=FALSE,VLOOKUP($C481,Sales!$C:$F,4,FALSE),1)</f>
        <v/>
      </c>
      <c r="Z481" s="140">
        <f>IF(Y481=0,"Release",IF(AND(L481&lt;J481,Y481=1,H481=FALSE,U481=FALSE,MONTH(L481)&amp;"/"&amp;YEAR(L481)&lt;&gt;MONTH(J481)&amp;"/"&amp;YEAR(J481)),"Release",""))</f>
        <v/>
      </c>
      <c r="AA481" s="144">
        <f>_xlfn.minifs($L:$L,$C:$C,$C481,$F:$F,"&lt;&gt;0")</f>
        <v/>
      </c>
      <c r="AB481" s="144">
        <f>C481&amp;"-"&amp;A481</f>
        <v/>
      </c>
      <c r="AC481" s="144">
        <f>L481</f>
        <v/>
      </c>
    </row>
    <row r="482">
      <c r="A482" s="140" t="inlineStr">
        <is>
          <t>ZVAN03</t>
        </is>
      </c>
      <c r="B482" s="140" t="n">
        <v>2</v>
      </c>
      <c r="C482" s="140" t="inlineStr">
        <is>
          <t>HVN101</t>
        </is>
      </c>
      <c r="D482" s="140" t="inlineStr">
        <is>
          <t>N</t>
        </is>
      </c>
      <c r="E482" s="140" t="inlineStr">
        <is>
          <t>van der Westhuizen Johan George</t>
        </is>
      </c>
      <c r="F482" s="141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</f>
        <v/>
      </c>
      <c r="G482" s="142" t="n">
        <v>44743</v>
      </c>
      <c r="H482" s="140">
        <f>VLOOKUP($C482,Sales!$C:$E,2,FALSE)</f>
        <v/>
      </c>
      <c r="I482" s="140">
        <f>VLOOKUP($C482,Sales!$C:$E,3,FALSE)</f>
        <v/>
      </c>
      <c r="J482" s="142">
        <f>SUMIFS(Sales!$H:$H,Sales!$C:$C,'Investor Exit List'!$C482)</f>
        <v/>
      </c>
      <c r="K482" s="142">
        <f>IF(I482=TRUE,J482,"")</f>
        <v/>
      </c>
      <c r="L482" s="142">
        <f>G482+730</f>
        <v/>
      </c>
      <c r="M482" s="142" t="n">
        <v>45443</v>
      </c>
      <c r="N482" s="143">
        <f>IFERROR(IF(G482&lt;&gt;"",IF(I482=TRUE,0,IF(U482=TRUE,0,L482-M482)),0),0)</f>
        <v/>
      </c>
      <c r="O482" s="143">
        <f>IF(N482&gt;0,IF(N482&lt;=180,N482,0),0)</f>
        <v/>
      </c>
      <c r="P482" s="141">
        <f>IF(AND(N482&lt;90,N482&gt;0),Q482,0)</f>
        <v/>
      </c>
      <c r="Q482" s="141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/>
      </c>
      <c r="R482" s="141">
        <f>IF(AND(H482=TRUE,I482=FALSE),Q482,0)</f>
        <v/>
      </c>
      <c r="S482" s="141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/>
      </c>
      <c r="T482" s="142">
        <f>IF(U482=TRUE,$J482,"")</f>
        <v/>
      </c>
      <c r="U482" s="140" t="b">
        <v>0</v>
      </c>
      <c r="V482" s="141">
        <f>IF(AND(H482=TRUE,OR(K482="",K482&gt;M482)),S482,0)</f>
        <v/>
      </c>
      <c r="W482" s="140" t="n">
        <v>0</v>
      </c>
      <c r="X482" s="140" t="b">
        <v>0</v>
      </c>
      <c r="Y482" s="143">
        <f>IF(H482=FALSE,VLOOKUP($C482,Sales!$C:$F,4,FALSE),1)</f>
        <v/>
      </c>
      <c r="Z482" s="140">
        <f>IF(Y482=0,"Release",IF(AND(L482&lt;J482,Y482=1,H482=FALSE,U482=FALSE,MONTH(L482)&amp;"/"&amp;YEAR(L482)&lt;&gt;MONTH(J482)&amp;"/"&amp;YEAR(J482)),"Release",""))</f>
        <v/>
      </c>
      <c r="AA482" s="144">
        <f>_xlfn.minifs($L:$L,$C:$C,$C482,$F:$F,"&lt;&gt;0")</f>
        <v/>
      </c>
      <c r="AB482" s="144">
        <f>C482&amp;"-"&amp;A482</f>
        <v/>
      </c>
      <c r="AC482" s="144">
        <f>L482</f>
        <v/>
      </c>
    </row>
    <row r="483">
      <c r="A483" s="140" t="inlineStr">
        <is>
          <t>ZZYL01</t>
        </is>
      </c>
      <c r="B483" s="140" t="n">
        <v>4</v>
      </c>
      <c r="C483" s="140" t="inlineStr">
        <is>
          <t>HVN101</t>
        </is>
      </c>
      <c r="D483" s="140" t="inlineStr">
        <is>
          <t>N</t>
        </is>
      </c>
      <c r="E483" s="140" t="inlineStr">
        <is>
          <t>Zylstra John Robert</t>
        </is>
      </c>
      <c r="F483" s="141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</f>
        <v/>
      </c>
      <c r="G483" s="142" t="n">
        <v>44763</v>
      </c>
      <c r="H483" s="140">
        <f>VLOOKUP($C483,Sales!$C:$E,2,FALSE)</f>
        <v/>
      </c>
      <c r="I483" s="140">
        <f>VLOOKUP($C483,Sales!$C:$E,3,FALSE)</f>
        <v/>
      </c>
      <c r="J483" s="142">
        <f>SUMIFS(Sales!$H:$H,Sales!$C:$C,'Investor Exit List'!$C483)</f>
        <v/>
      </c>
      <c r="K483" s="142">
        <f>IF(I483=TRUE,J483,"")</f>
        <v/>
      </c>
      <c r="L483" s="142">
        <f>G483+730</f>
        <v/>
      </c>
      <c r="M483" s="142" t="n">
        <v>45443</v>
      </c>
      <c r="N483" s="143">
        <f>IFERROR(IF(G483&lt;&gt;"",IF(I483=TRUE,0,IF(U483=TRUE,0,L483-M483)),0),0)</f>
        <v/>
      </c>
      <c r="O483" s="143">
        <f>IF(N483&gt;0,IF(N483&lt;=180,N483,0),0)</f>
        <v/>
      </c>
      <c r="P483" s="141">
        <f>IF(AND(N483&lt;90,N483&gt;0),Q483,0)</f>
        <v/>
      </c>
      <c r="Q483" s="141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/>
      </c>
      <c r="R483" s="141">
        <f>IF(AND(H483=TRUE,I483=FALSE),Q483,0)</f>
        <v/>
      </c>
      <c r="S483" s="141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/>
      </c>
      <c r="T483" s="142">
        <f>IF(U483=TRUE,$J483,"")</f>
        <v/>
      </c>
      <c r="U483" s="140" t="b">
        <v>0</v>
      </c>
      <c r="V483" s="141">
        <f>IF(AND(H483=TRUE,OR(K483="",K483&gt;M483)),S483,0)</f>
        <v/>
      </c>
      <c r="W483" s="140" t="n">
        <v>0</v>
      </c>
      <c r="X483" s="140" t="b">
        <v>0</v>
      </c>
      <c r="Y483" s="143">
        <f>IF(H483=FALSE,VLOOKUP($C483,Sales!$C:$F,4,FALSE),1)</f>
        <v/>
      </c>
      <c r="Z483" s="140">
        <f>IF(Y483=0,"Release",IF(AND(L483&lt;J483,Y483=1,H483=FALSE,U483=FALSE,MONTH(L483)&amp;"/"&amp;YEAR(L483)&lt;&gt;MONTH(J483)&amp;"/"&amp;YEAR(J483)),"Release",""))</f>
        <v/>
      </c>
      <c r="AA483" s="144">
        <f>_xlfn.minifs($L:$L,$C:$C,$C483,$F:$F,"&lt;&gt;0")</f>
        <v/>
      </c>
      <c r="AB483" s="144">
        <f>C483&amp;"-"&amp;A483</f>
        <v/>
      </c>
      <c r="AC483" s="144">
        <f>L483</f>
        <v/>
      </c>
    </row>
    <row r="484">
      <c r="A484" s="140" t="inlineStr">
        <is>
          <t>ZZYL01</t>
        </is>
      </c>
      <c r="B484" s="140" t="n">
        <v>5</v>
      </c>
      <c r="C484" s="140" t="inlineStr">
        <is>
          <t>HVN102</t>
        </is>
      </c>
      <c r="D484" s="140" t="inlineStr">
        <is>
          <t>N</t>
        </is>
      </c>
      <c r="E484" s="140" t="inlineStr">
        <is>
          <t>Zylstra John Robert</t>
        </is>
      </c>
      <c r="F484" s="141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</f>
        <v/>
      </c>
      <c r="G484" s="142" t="n">
        <v>44770</v>
      </c>
      <c r="H484" s="140">
        <f>VLOOKUP($C484,Sales!$C:$E,2,FALSE)</f>
        <v/>
      </c>
      <c r="I484" s="140">
        <f>VLOOKUP($C484,Sales!$C:$E,3,FALSE)</f>
        <v/>
      </c>
      <c r="J484" s="142">
        <f>SUMIFS(Sales!$H:$H,Sales!$C:$C,'Investor Exit List'!$C484)</f>
        <v/>
      </c>
      <c r="K484" s="142">
        <f>IF(I484=TRUE,J484,"")</f>
        <v/>
      </c>
      <c r="L484" s="142">
        <f>G484+730</f>
        <v/>
      </c>
      <c r="M484" s="142" t="n">
        <v>45443</v>
      </c>
      <c r="N484" s="143">
        <f>IFERROR(IF(G484&lt;&gt;"",IF(I484=TRUE,0,IF(U484=TRUE,0,L484-M484)),0),0)</f>
        <v/>
      </c>
      <c r="O484" s="143">
        <f>IF(N484&gt;0,IF(N484&lt;=180,N484,0),0)</f>
        <v/>
      </c>
      <c r="P484" s="141">
        <f>IF(AND(N484&lt;90,N484&gt;0),Q484,0)</f>
        <v/>
      </c>
      <c r="Q484" s="141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/>
      </c>
      <c r="R484" s="141">
        <f>IF(AND(H484=TRUE,I484=FALSE),Q484,0)</f>
        <v/>
      </c>
      <c r="S484" s="141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/>
      </c>
      <c r="T484" s="142">
        <f>IF(U484=TRUE,$J484,"")</f>
        <v/>
      </c>
      <c r="U484" s="140" t="b">
        <v>0</v>
      </c>
      <c r="V484" s="141">
        <f>IF(AND(H484=TRUE,OR(K484="",K484&gt;M484)),S484,0)</f>
        <v/>
      </c>
      <c r="W484" s="140" t="n">
        <v>0</v>
      </c>
      <c r="X484" s="140" t="b">
        <v>0</v>
      </c>
      <c r="Y484" s="143">
        <f>IF(H484=FALSE,VLOOKUP($C484,Sales!$C:$F,4,FALSE),1)</f>
        <v/>
      </c>
      <c r="Z484" s="140">
        <f>IF(Y484=0,"Release",IF(AND(L484&lt;J484,Y484=1,H484=FALSE,U484=FALSE,MONTH(L484)&amp;"/"&amp;YEAR(L484)&lt;&gt;MONTH(J484)&amp;"/"&amp;YEAR(J484)),"Release",""))</f>
        <v/>
      </c>
      <c r="AA484" s="144">
        <f>_xlfn.minifs($L:$L,$C:$C,$C484,$F:$F,"&lt;&gt;0")</f>
        <v/>
      </c>
      <c r="AB484" s="144">
        <f>C484&amp;"-"&amp;A484</f>
        <v/>
      </c>
      <c r="AC484" s="144">
        <f>L484</f>
        <v/>
      </c>
    </row>
    <row r="485">
      <c r="A485" s="140" t="inlineStr">
        <is>
          <t>ZLER01</t>
        </is>
      </c>
      <c r="B485" s="140" t="n">
        <v>1</v>
      </c>
      <c r="C485" s="140" t="inlineStr">
        <is>
          <t>HVN103</t>
        </is>
      </c>
      <c r="D485" s="140" t="inlineStr">
        <is>
          <t>N</t>
        </is>
      </c>
      <c r="E485" s="140" t="inlineStr">
        <is>
          <t>Kloppers Lydia</t>
        </is>
      </c>
      <c r="F485" s="141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</f>
        <v/>
      </c>
      <c r="G485" s="142" t="n">
        <v>44763</v>
      </c>
      <c r="H485" s="140">
        <f>VLOOKUP($C485,Sales!$C:$E,2,FALSE)</f>
        <v/>
      </c>
      <c r="I485" s="140">
        <f>VLOOKUP($C485,Sales!$C:$E,3,FALSE)</f>
        <v/>
      </c>
      <c r="J485" s="142">
        <f>SUMIFS(Sales!$H:$H,Sales!$C:$C,'Investor Exit List'!$C485)</f>
        <v/>
      </c>
      <c r="K485" s="142">
        <f>IF(I485=TRUE,J485,"")</f>
        <v/>
      </c>
      <c r="L485" s="142">
        <f>G485+730</f>
        <v/>
      </c>
      <c r="M485" s="142" t="n">
        <v>45443</v>
      </c>
      <c r="N485" s="143">
        <f>IFERROR(IF(G485&lt;&gt;"",IF(I485=TRUE,0,IF(U485=TRUE,0,L485-M485)),0),0)</f>
        <v/>
      </c>
      <c r="O485" s="143">
        <f>IF(N485&gt;0,IF(N485&lt;=180,N485,0),0)</f>
        <v/>
      </c>
      <c r="P485" s="141">
        <f>IF(AND(N485&lt;90,N485&gt;0),Q485,0)</f>
        <v/>
      </c>
      <c r="Q485" s="141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/>
      </c>
      <c r="R485" s="141">
        <f>IF(AND(H485=TRUE,I485=FALSE),Q485,0)</f>
        <v/>
      </c>
      <c r="S485" s="141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/>
      </c>
      <c r="T485" s="142">
        <f>IF(U485=TRUE,$J485,"")</f>
        <v/>
      </c>
      <c r="U485" s="140" t="b">
        <v>0</v>
      </c>
      <c r="V485" s="141">
        <f>IF(AND(H485=TRUE,OR(K485="",K485&gt;M485)),S485,0)</f>
        <v/>
      </c>
      <c r="W485" s="140" t="n">
        <v>0</v>
      </c>
      <c r="X485" s="140" t="b">
        <v>0</v>
      </c>
      <c r="Y485" s="143">
        <f>IF(H485=FALSE,VLOOKUP($C485,Sales!$C:$F,4,FALSE),1)</f>
        <v/>
      </c>
      <c r="Z485" s="140">
        <f>IF(Y485=0,"Release",IF(AND(L485&lt;J485,Y485=1,H485=FALSE,U485=FALSE,MONTH(L485)&amp;"/"&amp;YEAR(L485)&lt;&gt;MONTH(J485)&amp;"/"&amp;YEAR(J485)),"Release",""))</f>
        <v/>
      </c>
      <c r="AA485" s="144">
        <f>_xlfn.minifs($L:$L,$C:$C,$C485,$F:$F,"&lt;&gt;0")</f>
        <v/>
      </c>
      <c r="AB485" s="144">
        <f>C485&amp;"-"&amp;A485</f>
        <v/>
      </c>
      <c r="AC485" s="144">
        <f>L485</f>
        <v/>
      </c>
    </row>
    <row r="486">
      <c r="A486" s="140" t="inlineStr">
        <is>
          <t>ZWAT01</t>
        </is>
      </c>
      <c r="B486" s="140" t="n">
        <v>12</v>
      </c>
      <c r="C486" s="140" t="inlineStr">
        <is>
          <t>HVN103</t>
        </is>
      </c>
      <c r="D486" s="140" t="inlineStr">
        <is>
          <t>N</t>
        </is>
      </c>
      <c r="E486" s="140" t="inlineStr">
        <is>
          <t>Watts Peter Gregory</t>
        </is>
      </c>
      <c r="F486" s="141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</f>
        <v/>
      </c>
      <c r="G486" s="142" t="n">
        <v>44743</v>
      </c>
      <c r="H486" s="140">
        <f>VLOOKUP($C486,Sales!$C:$E,2,FALSE)</f>
        <v/>
      </c>
      <c r="I486" s="140">
        <f>VLOOKUP($C486,Sales!$C:$E,3,FALSE)</f>
        <v/>
      </c>
      <c r="J486" s="142">
        <f>SUMIFS(Sales!$H:$H,Sales!$C:$C,'Investor Exit List'!$C486)</f>
        <v/>
      </c>
      <c r="K486" s="142">
        <f>IF(I486=TRUE,J486,"")</f>
        <v/>
      </c>
      <c r="L486" s="142">
        <f>G486+730</f>
        <v/>
      </c>
      <c r="M486" s="142" t="n">
        <v>45443</v>
      </c>
      <c r="N486" s="143">
        <f>IFERROR(IF(G486&lt;&gt;"",IF(I486=TRUE,0,IF(U486=TRUE,0,L486-M486)),0),0)</f>
        <v/>
      </c>
      <c r="O486" s="143">
        <f>IF(N486&gt;0,IF(N486&lt;=180,N486,0),0)</f>
        <v/>
      </c>
      <c r="P486" s="141">
        <f>IF(AND(N486&lt;90,N486&gt;0),Q486,0)</f>
        <v/>
      </c>
      <c r="Q486" s="141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/>
      </c>
      <c r="R486" s="141">
        <f>IF(AND(H486=TRUE,I486=FALSE),Q486,0)</f>
        <v/>
      </c>
      <c r="S486" s="141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/>
      </c>
      <c r="T486" s="142">
        <f>IF(U486=TRUE,$J486,"")</f>
        <v/>
      </c>
      <c r="U486" s="140" t="b">
        <v>1</v>
      </c>
      <c r="V486" s="141">
        <f>IF(AND(H486=TRUE,OR(K486="",K486&gt;M486)),S486,0)</f>
        <v/>
      </c>
      <c r="W486" s="140" t="n">
        <v>0</v>
      </c>
      <c r="X486" s="140" t="b">
        <v>0</v>
      </c>
      <c r="Y486" s="143">
        <f>IF(H486=FALSE,VLOOKUP($C486,Sales!$C:$F,4,FALSE),1)</f>
        <v/>
      </c>
      <c r="Z486" s="140">
        <f>IF(Y486=0,"Release",IF(AND(L486&lt;J486,Y486=1,H486=FALSE,U486=FALSE,MONTH(L486)&amp;"/"&amp;YEAR(L486)&lt;&gt;MONTH(J486)&amp;"/"&amp;YEAR(J486)),"Release",""))</f>
        <v/>
      </c>
      <c r="AA486" s="144">
        <f>_xlfn.minifs($L:$L,$C:$C,$C486,$F:$F,"&lt;&gt;0")</f>
        <v/>
      </c>
      <c r="AB486" s="144">
        <f>C486&amp;"-"&amp;A486</f>
        <v/>
      </c>
      <c r="AC486" s="144">
        <f>L486</f>
        <v/>
      </c>
    </row>
    <row r="487">
      <c r="A487" s="140" t="inlineStr">
        <is>
          <t>ZDEL01</t>
        </is>
      </c>
      <c r="B487" s="140" t="n">
        <v>4</v>
      </c>
      <c r="C487" s="140" t="inlineStr">
        <is>
          <t>HVN104</t>
        </is>
      </c>
      <c r="D487" s="140" t="inlineStr">
        <is>
          <t>N</t>
        </is>
      </c>
      <c r="E487" s="140" t="inlineStr">
        <is>
          <t>Jansen van Vuuren Pieter</t>
        </is>
      </c>
      <c r="F487" s="141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</f>
        <v/>
      </c>
      <c r="G487" s="142" t="n">
        <v>44743</v>
      </c>
      <c r="H487" s="140">
        <f>VLOOKUP($C487,Sales!$C:$E,2,FALSE)</f>
        <v/>
      </c>
      <c r="I487" s="140">
        <f>VLOOKUP($C487,Sales!$C:$E,3,FALSE)</f>
        <v/>
      </c>
      <c r="J487" s="142">
        <f>SUMIFS(Sales!$H:$H,Sales!$C:$C,'Investor Exit List'!$C487)</f>
        <v/>
      </c>
      <c r="K487" s="142">
        <f>IF(I487=TRUE,J487,"")</f>
        <v/>
      </c>
      <c r="L487" s="142">
        <f>G487+730</f>
        <v/>
      </c>
      <c r="M487" s="142" t="n">
        <v>45443</v>
      </c>
      <c r="N487" s="143">
        <f>IFERROR(IF(G487&lt;&gt;"",IF(I487=TRUE,0,IF(U487=TRUE,0,L487-M487)),0),0)</f>
        <v/>
      </c>
      <c r="O487" s="143">
        <f>IF(N487&gt;0,IF(N487&lt;=180,N487,0),0)</f>
        <v/>
      </c>
      <c r="P487" s="141">
        <f>IF(AND(N487&lt;90,N487&gt;0),Q487,0)</f>
        <v/>
      </c>
      <c r="Q487" s="141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/>
      </c>
      <c r="R487" s="141">
        <f>IF(AND(H487=TRUE,I487=FALSE),Q487,0)</f>
        <v/>
      </c>
      <c r="S487" s="141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/>
      </c>
      <c r="T487" s="142">
        <f>IF(U487=TRUE,$J487,"")</f>
        <v/>
      </c>
      <c r="U487" s="140" t="b">
        <v>0</v>
      </c>
      <c r="V487" s="141">
        <f>IF(AND(H487=TRUE,OR(K487="",K487&gt;M487)),S487,0)</f>
        <v/>
      </c>
      <c r="W487" s="140" t="n">
        <v>0</v>
      </c>
      <c r="X487" s="140" t="b">
        <v>0</v>
      </c>
      <c r="Y487" s="143">
        <f>IF(H487=FALSE,VLOOKUP($C487,Sales!$C:$F,4,FALSE),1)</f>
        <v/>
      </c>
      <c r="Z487" s="140">
        <f>IF(Y487=0,"Release",IF(AND(L487&lt;J487,Y487=1,H487=FALSE,U487=FALSE,MONTH(L487)&amp;"/"&amp;YEAR(L487)&lt;&gt;MONTH(J487)&amp;"/"&amp;YEAR(J487)),"Release",""))</f>
        <v/>
      </c>
      <c r="AA487" s="144">
        <f>_xlfn.minifs($L:$L,$C:$C,$C487,$F:$F,"&lt;&gt;0")</f>
        <v/>
      </c>
      <c r="AB487" s="144">
        <f>C487&amp;"-"&amp;A487</f>
        <v/>
      </c>
      <c r="AC487" s="144">
        <f>L487</f>
        <v/>
      </c>
    </row>
    <row r="488">
      <c r="A488" s="140" t="inlineStr">
        <is>
          <t>ZLEB01</t>
        </is>
      </c>
      <c r="B488" s="140" t="n">
        <v>12</v>
      </c>
      <c r="C488" s="140" t="inlineStr">
        <is>
          <t>HVN104</t>
        </is>
      </c>
      <c r="D488" s="140" t="inlineStr">
        <is>
          <t>N</t>
        </is>
      </c>
      <c r="E488" s="140" t="inlineStr">
        <is>
          <t>Lebusa Hopolang</t>
        </is>
      </c>
      <c r="F488" s="141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</f>
        <v/>
      </c>
      <c r="G488" s="142" t="n">
        <v>44743</v>
      </c>
      <c r="H488" s="140">
        <f>VLOOKUP($C488,Sales!$C:$E,2,FALSE)</f>
        <v/>
      </c>
      <c r="I488" s="140">
        <f>VLOOKUP($C488,Sales!$C:$E,3,FALSE)</f>
        <v/>
      </c>
      <c r="J488" s="142">
        <f>SUMIFS(Sales!$H:$H,Sales!$C:$C,'Investor Exit List'!$C488)</f>
        <v/>
      </c>
      <c r="K488" s="142">
        <f>IF(I488=TRUE,J488,"")</f>
        <v/>
      </c>
      <c r="L488" s="142">
        <f>G488+730</f>
        <v/>
      </c>
      <c r="M488" s="142" t="n">
        <v>45443</v>
      </c>
      <c r="N488" s="143">
        <f>IFERROR(IF(G488&lt;&gt;"",IF(I488=TRUE,0,IF(U488=TRUE,0,L488-M488)),0),0)</f>
        <v/>
      </c>
      <c r="O488" s="143">
        <f>IF(N488&gt;0,IF(N488&lt;=180,N488,0),0)</f>
        <v/>
      </c>
      <c r="P488" s="141">
        <f>IF(AND(N488&lt;90,N488&gt;0),Q488,0)</f>
        <v/>
      </c>
      <c r="Q488" s="141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/>
      </c>
      <c r="R488" s="141">
        <f>IF(AND(H488=TRUE,I488=FALSE),Q488,0)</f>
        <v/>
      </c>
      <c r="S488" s="141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/>
      </c>
      <c r="T488" s="142">
        <f>IF(U488=TRUE,$J488,"")</f>
        <v/>
      </c>
      <c r="U488" s="140" t="b">
        <v>0</v>
      </c>
      <c r="V488" s="141">
        <f>IF(AND(H488=TRUE,OR(K488="",K488&gt;M488)),S488,0)</f>
        <v/>
      </c>
      <c r="W488" s="140" t="n">
        <v>0</v>
      </c>
      <c r="X488" s="140" t="b">
        <v>0</v>
      </c>
      <c r="Y488" s="143">
        <f>IF(H488=FALSE,VLOOKUP($C488,Sales!$C:$F,4,FALSE),1)</f>
        <v/>
      </c>
      <c r="Z488" s="140">
        <f>IF(Y488=0,"Release",IF(AND(L488&lt;J488,Y488=1,H488=FALSE,U488=FALSE,MONTH(L488)&amp;"/"&amp;YEAR(L488)&lt;&gt;MONTH(J488)&amp;"/"&amp;YEAR(J488)),"Release",""))</f>
        <v/>
      </c>
      <c r="AA488" s="144">
        <f>_xlfn.minifs($L:$L,$C:$C,$C488,$F:$F,"&lt;&gt;0")</f>
        <v/>
      </c>
      <c r="AB488" s="144">
        <f>C488&amp;"-"&amp;A488</f>
        <v/>
      </c>
      <c r="AC488" s="144">
        <f>L488</f>
        <v/>
      </c>
    </row>
    <row r="489">
      <c r="A489" s="140" t="inlineStr">
        <is>
          <t>ZDEL01</t>
        </is>
      </c>
      <c r="B489" s="140" t="n">
        <v>5</v>
      </c>
      <c r="C489" s="140" t="inlineStr">
        <is>
          <t>HVN201</t>
        </is>
      </c>
      <c r="D489" s="140" t="inlineStr">
        <is>
          <t>N</t>
        </is>
      </c>
      <c r="E489" s="140" t="inlineStr">
        <is>
          <t>Jansen van Vuuren Pieter</t>
        </is>
      </c>
      <c r="F489" s="141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</f>
        <v/>
      </c>
      <c r="G489" s="142" t="n">
        <v>44743</v>
      </c>
      <c r="H489" s="140">
        <f>VLOOKUP($C489,Sales!$C:$E,2,FALSE)</f>
        <v/>
      </c>
      <c r="I489" s="140">
        <f>VLOOKUP($C489,Sales!$C:$E,3,FALSE)</f>
        <v/>
      </c>
      <c r="J489" s="142">
        <f>SUMIFS(Sales!$H:$H,Sales!$C:$C,'Investor Exit List'!$C489)</f>
        <v/>
      </c>
      <c r="K489" s="142">
        <f>IF(I489=TRUE,J489,"")</f>
        <v/>
      </c>
      <c r="L489" s="142">
        <f>G489+730</f>
        <v/>
      </c>
      <c r="M489" s="142" t="n">
        <v>45443</v>
      </c>
      <c r="N489" s="143">
        <f>IFERROR(IF(G489&lt;&gt;"",IF(I489=TRUE,0,IF(U489=TRUE,0,L489-M489)),0),0)</f>
        <v/>
      </c>
      <c r="O489" s="143">
        <f>IF(N489&gt;0,IF(N489&lt;=180,N489,0),0)</f>
        <v/>
      </c>
      <c r="P489" s="141">
        <f>IF(AND(N489&lt;90,N489&gt;0),Q489,0)</f>
        <v/>
      </c>
      <c r="Q489" s="141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/>
      </c>
      <c r="R489" s="141">
        <f>IF(AND(H489=TRUE,I489=FALSE),Q489,0)</f>
        <v/>
      </c>
      <c r="S489" s="141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/>
      </c>
      <c r="T489" s="142">
        <f>IF(U489=TRUE,$J489,"")</f>
        <v/>
      </c>
      <c r="U489" s="140" t="b">
        <v>0</v>
      </c>
      <c r="V489" s="141">
        <f>IF(AND(H489=TRUE,OR(K489="",K489&gt;M489)),S489,0)</f>
        <v/>
      </c>
      <c r="W489" s="140" t="n">
        <v>0</v>
      </c>
      <c r="X489" s="140" t="b">
        <v>0</v>
      </c>
      <c r="Y489" s="143">
        <f>IF(H489=FALSE,VLOOKUP($C489,Sales!$C:$F,4,FALSE),1)</f>
        <v/>
      </c>
      <c r="Z489" s="140">
        <f>IF(Y489=0,"Release",IF(AND(L489&lt;J489,Y489=1,H489=FALSE,U489=FALSE,MONTH(L489)&amp;"/"&amp;YEAR(L489)&lt;&gt;MONTH(J489)&amp;"/"&amp;YEAR(J489)),"Release",""))</f>
        <v/>
      </c>
      <c r="AA489" s="144">
        <f>_xlfn.minifs($L:$L,$C:$C,$C489,$F:$F,"&lt;&gt;0")</f>
        <v/>
      </c>
      <c r="AB489" s="144">
        <f>C489&amp;"-"&amp;A489</f>
        <v/>
      </c>
      <c r="AC489" s="144">
        <f>L489</f>
        <v/>
      </c>
    </row>
    <row r="490">
      <c r="A490" s="140" t="inlineStr">
        <is>
          <t>ZERF01</t>
        </is>
      </c>
      <c r="B490" s="140" t="n">
        <v>1</v>
      </c>
      <c r="C490" s="140" t="inlineStr">
        <is>
          <t>HVN202</t>
        </is>
      </c>
      <c r="D490" s="140" t="inlineStr">
        <is>
          <t>N</t>
        </is>
      </c>
      <c r="E490" s="140" t="inlineStr">
        <is>
          <t>Jansen van Vuuren Hermanus Gerhardus (Gerhard)</t>
        </is>
      </c>
      <c r="F490" s="141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</f>
        <v/>
      </c>
      <c r="G490" s="142" t="n">
        <v>44770</v>
      </c>
      <c r="H490" s="140">
        <f>VLOOKUP($C490,Sales!$C:$E,2,FALSE)</f>
        <v/>
      </c>
      <c r="I490" s="140">
        <f>VLOOKUP($C490,Sales!$C:$E,3,FALSE)</f>
        <v/>
      </c>
      <c r="J490" s="142">
        <f>SUMIFS(Sales!$H:$H,Sales!$C:$C,'Investor Exit List'!$C490)</f>
        <v/>
      </c>
      <c r="K490" s="142">
        <f>IF(I490=TRUE,J490,"")</f>
        <v/>
      </c>
      <c r="L490" s="142">
        <f>G490+730</f>
        <v/>
      </c>
      <c r="M490" s="142" t="n">
        <v>45443</v>
      </c>
      <c r="N490" s="143">
        <f>IFERROR(IF(G490&lt;&gt;"",IF(I490=TRUE,0,IF(U490=TRUE,0,L490-M490)),0),0)</f>
        <v/>
      </c>
      <c r="O490" s="143">
        <f>IF(N490&gt;0,IF(N490&lt;=180,N490,0),0)</f>
        <v/>
      </c>
      <c r="P490" s="141">
        <f>IF(AND(N490&lt;90,N490&gt;0),Q490,0)</f>
        <v/>
      </c>
      <c r="Q490" s="141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/>
      </c>
      <c r="R490" s="141">
        <f>IF(AND(H490=TRUE,I490=FALSE),Q490,0)</f>
        <v/>
      </c>
      <c r="S490" s="141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/>
      </c>
      <c r="T490" s="142">
        <f>IF(U490=TRUE,$J490,"")</f>
        <v/>
      </c>
      <c r="U490" s="140" t="b">
        <v>0</v>
      </c>
      <c r="V490" s="141">
        <f>IF(AND(H490=TRUE,OR(K490="",K490&gt;M490)),S490,0)</f>
        <v/>
      </c>
      <c r="W490" s="140" t="n">
        <v>0</v>
      </c>
      <c r="X490" s="140" t="b">
        <v>0</v>
      </c>
      <c r="Y490" s="143">
        <f>IF(H490=FALSE,VLOOKUP($C490,Sales!$C:$F,4,FALSE),1)</f>
        <v/>
      </c>
      <c r="Z490" s="140">
        <f>IF(Y490=0,"Release",IF(AND(L490&lt;J490,Y490=1,H490=FALSE,U490=FALSE,MONTH(L490)&amp;"/"&amp;YEAR(L490)&lt;&gt;MONTH(J490)&amp;"/"&amp;YEAR(J490)),"Release",""))</f>
        <v/>
      </c>
      <c r="AA490" s="144">
        <f>_xlfn.minifs($L:$L,$C:$C,$C490,$F:$F,"&lt;&gt;0")</f>
        <v/>
      </c>
      <c r="AB490" s="144">
        <f>C490&amp;"-"&amp;A490</f>
        <v/>
      </c>
      <c r="AC490" s="144">
        <f>L490</f>
        <v/>
      </c>
    </row>
    <row r="491">
      <c r="A491" s="140" t="inlineStr">
        <is>
          <t>ZDEL01</t>
        </is>
      </c>
      <c r="B491" s="140" t="n">
        <v>6</v>
      </c>
      <c r="C491" s="140" t="inlineStr">
        <is>
          <t>HVN203</t>
        </is>
      </c>
      <c r="D491" s="140" t="inlineStr">
        <is>
          <t>N</t>
        </is>
      </c>
      <c r="E491" s="140" t="inlineStr">
        <is>
          <t>Jansen van Vuuren Pieter</t>
        </is>
      </c>
      <c r="F491" s="141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</f>
        <v/>
      </c>
      <c r="G491" s="142" t="n">
        <v>44743</v>
      </c>
      <c r="H491" s="140">
        <f>VLOOKUP($C491,Sales!$C:$E,2,FALSE)</f>
        <v/>
      </c>
      <c r="I491" s="140">
        <f>VLOOKUP($C491,Sales!$C:$E,3,FALSE)</f>
        <v/>
      </c>
      <c r="J491" s="142">
        <f>SUMIFS(Sales!$H:$H,Sales!$C:$C,'Investor Exit List'!$C491)</f>
        <v/>
      </c>
      <c r="K491" s="142">
        <f>IF(I491=TRUE,J491,"")</f>
        <v/>
      </c>
      <c r="L491" s="142">
        <f>G491+730</f>
        <v/>
      </c>
      <c r="M491" s="142" t="n">
        <v>45443</v>
      </c>
      <c r="N491" s="143">
        <f>IFERROR(IF(G491&lt;&gt;"",IF(I491=TRUE,0,IF(U491=TRUE,0,L491-M491)),0),0)</f>
        <v/>
      </c>
      <c r="O491" s="143">
        <f>IF(N491&gt;0,IF(N491&lt;=180,N491,0),0)</f>
        <v/>
      </c>
      <c r="P491" s="141">
        <f>IF(AND(N491&lt;90,N491&gt;0),Q491,0)</f>
        <v/>
      </c>
      <c r="Q491" s="141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/>
      </c>
      <c r="R491" s="141">
        <f>IF(AND(H491=TRUE,I491=FALSE),Q491,0)</f>
        <v/>
      </c>
      <c r="S491" s="141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/>
      </c>
      <c r="T491" s="142">
        <f>IF(U491=TRUE,$J491,"")</f>
        <v/>
      </c>
      <c r="U491" s="140" t="b">
        <v>1</v>
      </c>
      <c r="V491" s="141">
        <f>IF(AND(H491=TRUE,OR(K491="",K491&gt;M491)),S491,0)</f>
        <v/>
      </c>
      <c r="W491" s="140" t="n">
        <v>0</v>
      </c>
      <c r="X491" s="140" t="b">
        <v>0</v>
      </c>
      <c r="Y491" s="143">
        <f>IF(H491=FALSE,VLOOKUP($C491,Sales!$C:$F,4,FALSE),1)</f>
        <v/>
      </c>
      <c r="Z491" s="140">
        <f>IF(Y491=0,"Release",IF(AND(L491&lt;J491,Y491=1,H491=FALSE,U491=FALSE,MONTH(L491)&amp;"/"&amp;YEAR(L491)&lt;&gt;MONTH(J491)&amp;"/"&amp;YEAR(J491)),"Release",""))</f>
        <v/>
      </c>
      <c r="AA491" s="144">
        <f>_xlfn.minifs($L:$L,$C:$C,$C491,$F:$F,"&lt;&gt;0")</f>
        <v/>
      </c>
      <c r="AB491" s="144">
        <f>C491&amp;"-"&amp;A491</f>
        <v/>
      </c>
      <c r="AC491" s="144">
        <f>L491</f>
        <v/>
      </c>
    </row>
    <row r="492">
      <c r="A492" s="140" t="inlineStr">
        <is>
          <t>ZLER01</t>
        </is>
      </c>
      <c r="B492" s="140" t="n">
        <v>2</v>
      </c>
      <c r="C492" s="140" t="inlineStr">
        <is>
          <t>HVN203</t>
        </is>
      </c>
      <c r="D492" s="140" t="inlineStr">
        <is>
          <t>N</t>
        </is>
      </c>
      <c r="E492" s="140" t="inlineStr">
        <is>
          <t>Kloppers Lydia</t>
        </is>
      </c>
      <c r="F492" s="141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</f>
        <v/>
      </c>
      <c r="G492" s="142" t="n">
        <v>44757</v>
      </c>
      <c r="H492" s="140">
        <f>VLOOKUP($C492,Sales!$C:$E,2,FALSE)</f>
        <v/>
      </c>
      <c r="I492" s="140">
        <f>VLOOKUP($C492,Sales!$C:$E,3,FALSE)</f>
        <v/>
      </c>
      <c r="J492" s="142">
        <f>SUMIFS(Sales!$H:$H,Sales!$C:$C,'Investor Exit List'!$C492)</f>
        <v/>
      </c>
      <c r="K492" s="142">
        <f>IF(I492=TRUE,J492,"")</f>
        <v/>
      </c>
      <c r="L492" s="142">
        <f>G492+730</f>
        <v/>
      </c>
      <c r="M492" s="142" t="n">
        <v>45443</v>
      </c>
      <c r="N492" s="143">
        <f>IFERROR(IF(G492&lt;&gt;"",IF(I492=TRUE,0,IF(U492=TRUE,0,L492-M492)),0),0)</f>
        <v/>
      </c>
      <c r="O492" s="143">
        <f>IF(N492&gt;0,IF(N492&lt;=180,N492,0),0)</f>
        <v/>
      </c>
      <c r="P492" s="141">
        <f>IF(AND(N492&lt;90,N492&gt;0),Q492,0)</f>
        <v/>
      </c>
      <c r="Q492" s="141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/>
      </c>
      <c r="R492" s="141">
        <f>IF(AND(H492=TRUE,I492=FALSE),Q492,0)</f>
        <v/>
      </c>
      <c r="S492" s="141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/>
      </c>
      <c r="T492" s="142">
        <f>IF(U492=TRUE,$J492,"")</f>
        <v/>
      </c>
      <c r="U492" s="140" t="b">
        <v>0</v>
      </c>
      <c r="V492" s="141">
        <f>IF(AND(H492=TRUE,OR(K492="",K492&gt;M492)),S492,0)</f>
        <v/>
      </c>
      <c r="W492" s="140" t="n">
        <v>0</v>
      </c>
      <c r="X492" s="140" t="b">
        <v>0</v>
      </c>
      <c r="Y492" s="143">
        <f>IF(H492=FALSE,VLOOKUP($C492,Sales!$C:$F,4,FALSE),1)</f>
        <v/>
      </c>
      <c r="Z492" s="140">
        <f>IF(Y492=0,"Release",IF(AND(L492&lt;J492,Y492=1,H492=FALSE,U492=FALSE,MONTH(L492)&amp;"/"&amp;YEAR(L492)&lt;&gt;MONTH(J492)&amp;"/"&amp;YEAR(J492)),"Release",""))</f>
        <v/>
      </c>
      <c r="AA492" s="144">
        <f>_xlfn.minifs($L:$L,$C:$C,$C492,$F:$F,"&lt;&gt;0")</f>
        <v/>
      </c>
      <c r="AB492" s="144">
        <f>C492&amp;"-"&amp;A492</f>
        <v/>
      </c>
      <c r="AC492" s="144">
        <f>L492</f>
        <v/>
      </c>
    </row>
    <row r="493">
      <c r="A493" s="140" t="inlineStr">
        <is>
          <t>ZVAL03</t>
        </is>
      </c>
      <c r="B493" s="140" t="n">
        <v>1</v>
      </c>
      <c r="C493" s="140" t="inlineStr">
        <is>
          <t>HVN204</t>
        </is>
      </c>
      <c r="D493" s="140" t="inlineStr">
        <is>
          <t>N</t>
        </is>
      </c>
      <c r="E493" s="140" t="inlineStr">
        <is>
          <t>Valentin Marinda</t>
        </is>
      </c>
      <c r="F493" s="141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</f>
        <v/>
      </c>
      <c r="G493" s="142" t="n">
        <v>44763</v>
      </c>
      <c r="H493" s="140">
        <f>VLOOKUP($C493,Sales!$C:$E,2,FALSE)</f>
        <v/>
      </c>
      <c r="I493" s="140">
        <f>VLOOKUP($C493,Sales!$C:$E,3,FALSE)</f>
        <v/>
      </c>
      <c r="J493" s="142">
        <f>SUMIFS(Sales!$H:$H,Sales!$C:$C,'Investor Exit List'!$C493)</f>
        <v/>
      </c>
      <c r="K493" s="142">
        <f>IF(I493=TRUE,J493,"")</f>
        <v/>
      </c>
      <c r="L493" s="142">
        <f>G493+730</f>
        <v/>
      </c>
      <c r="M493" s="142" t="n">
        <v>45443</v>
      </c>
      <c r="N493" s="143">
        <f>IFERROR(IF(G493&lt;&gt;"",IF(I493=TRUE,0,IF(U493=TRUE,0,L493-M493)),0),0)</f>
        <v/>
      </c>
      <c r="O493" s="143">
        <f>IF(N493&gt;0,IF(N493&lt;=180,N493,0),0)</f>
        <v/>
      </c>
      <c r="P493" s="141">
        <f>IF(AND(N493&lt;90,N493&gt;0),Q493,0)</f>
        <v/>
      </c>
      <c r="Q493" s="141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/>
      </c>
      <c r="R493" s="141">
        <f>IF(AND(H493=TRUE,I493=FALSE),Q493,0)</f>
        <v/>
      </c>
      <c r="S493" s="141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/>
      </c>
      <c r="T493" s="142">
        <f>IF(U493=TRUE,$J493,"")</f>
        <v/>
      </c>
      <c r="U493" s="140" t="b">
        <v>0</v>
      </c>
      <c r="V493" s="141">
        <f>IF(AND(H493=TRUE,OR(K493="",K493&gt;M493)),S493,0)</f>
        <v/>
      </c>
      <c r="W493" s="140" t="n">
        <v>0</v>
      </c>
      <c r="X493" s="140" t="b">
        <v>0</v>
      </c>
      <c r="Y493" s="143">
        <f>IF(H493=FALSE,VLOOKUP($C493,Sales!$C:$F,4,FALSE),1)</f>
        <v/>
      </c>
      <c r="Z493" s="140">
        <f>IF(Y493=0,"Release",IF(AND(L493&lt;J493,Y493=1,H493=FALSE,U493=FALSE,MONTH(L493)&amp;"/"&amp;YEAR(L493)&lt;&gt;MONTH(J493)&amp;"/"&amp;YEAR(J493)),"Release",""))</f>
        <v/>
      </c>
      <c r="AA493" s="144">
        <f>_xlfn.minifs($L:$L,$C:$C,$C493,$F:$F,"&lt;&gt;0")</f>
        <v/>
      </c>
      <c r="AB493" s="144">
        <f>C493&amp;"-"&amp;A493</f>
        <v/>
      </c>
      <c r="AC493" s="144">
        <f>L493</f>
        <v/>
      </c>
    </row>
    <row r="494">
      <c r="A494" s="140" t="inlineStr">
        <is>
          <t>ZDEL01</t>
        </is>
      </c>
      <c r="B494" s="140" t="n">
        <v>7</v>
      </c>
      <c r="C494" s="140" t="inlineStr">
        <is>
          <t>HVN301</t>
        </is>
      </c>
      <c r="D494" s="140" t="inlineStr">
        <is>
          <t>N</t>
        </is>
      </c>
      <c r="E494" s="140" t="inlineStr">
        <is>
          <t>Jansen van Vuuren Pieter</t>
        </is>
      </c>
      <c r="F494" s="141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</f>
        <v/>
      </c>
      <c r="G494" s="142" t="n">
        <v>44743</v>
      </c>
      <c r="H494" s="140">
        <f>VLOOKUP($C494,Sales!$C:$E,2,FALSE)</f>
        <v/>
      </c>
      <c r="I494" s="140">
        <f>VLOOKUP($C494,Sales!$C:$E,3,FALSE)</f>
        <v/>
      </c>
      <c r="J494" s="142">
        <f>SUMIFS(Sales!$H:$H,Sales!$C:$C,'Investor Exit List'!$C494)</f>
        <v/>
      </c>
      <c r="K494" s="142">
        <f>IF(I494=TRUE,J494,"")</f>
        <v/>
      </c>
      <c r="L494" s="142">
        <f>G494+730</f>
        <v/>
      </c>
      <c r="M494" s="142" t="n">
        <v>45443</v>
      </c>
      <c r="N494" s="143">
        <f>IFERROR(IF(G494&lt;&gt;"",IF(I494=TRUE,0,IF(U494=TRUE,0,L494-M494)),0),0)</f>
        <v/>
      </c>
      <c r="O494" s="143">
        <f>IF(N494&gt;0,IF(N494&lt;=180,N494,0),0)</f>
        <v/>
      </c>
      <c r="P494" s="141">
        <f>IF(AND(N494&lt;90,N494&gt;0),Q494,0)</f>
        <v/>
      </c>
      <c r="Q494" s="141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/>
      </c>
      <c r="R494" s="141">
        <f>IF(AND(H494=TRUE,I494=FALSE),Q494,0)</f>
        <v/>
      </c>
      <c r="S494" s="141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/>
      </c>
      <c r="T494" s="142">
        <f>IF(U494=TRUE,$J494,"")</f>
        <v/>
      </c>
      <c r="U494" s="140" t="b">
        <v>0</v>
      </c>
      <c r="V494" s="141">
        <f>IF(AND(H494=TRUE,OR(K494="",K494&gt;M494)),S494,0)</f>
        <v/>
      </c>
      <c r="W494" s="140" t="n">
        <v>0</v>
      </c>
      <c r="X494" s="140" t="b">
        <v>0</v>
      </c>
      <c r="Y494" s="143">
        <f>IF(H494=FALSE,VLOOKUP($C494,Sales!$C:$F,4,FALSE),1)</f>
        <v/>
      </c>
      <c r="Z494" s="140">
        <f>IF(Y494=0,"Release",IF(AND(L494&lt;J494,Y494=1,H494=FALSE,U494=FALSE,MONTH(L494)&amp;"/"&amp;YEAR(L494)&lt;&gt;MONTH(J494)&amp;"/"&amp;YEAR(J494)),"Release",""))</f>
        <v/>
      </c>
      <c r="AA494" s="144">
        <f>_xlfn.minifs($L:$L,$C:$C,$C494,$F:$F,"&lt;&gt;0")</f>
        <v/>
      </c>
      <c r="AB494" s="144">
        <f>C494&amp;"-"&amp;A494</f>
        <v/>
      </c>
      <c r="AC494" s="144">
        <f>L494</f>
        <v/>
      </c>
    </row>
    <row r="495">
      <c r="A495" s="140" t="inlineStr">
        <is>
          <t>ZAMP01</t>
        </is>
      </c>
      <c r="B495" s="140" t="n">
        <v>1</v>
      </c>
      <c r="C495" s="140" t="inlineStr">
        <is>
          <t>HVN302</t>
        </is>
      </c>
      <c r="D495" s="140" t="inlineStr">
        <is>
          <t>N</t>
        </is>
      </c>
      <c r="E495" s="140" t="inlineStr">
        <is>
          <t>De Villiers Andre</t>
        </is>
      </c>
      <c r="F495" s="141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</f>
        <v/>
      </c>
      <c r="G495" s="142" t="n">
        <v>44763</v>
      </c>
      <c r="H495" s="140">
        <f>VLOOKUP($C495,Sales!$C:$E,2,FALSE)</f>
        <v/>
      </c>
      <c r="I495" s="140">
        <f>VLOOKUP($C495,Sales!$C:$E,3,FALSE)</f>
        <v/>
      </c>
      <c r="J495" s="142">
        <f>SUMIFS(Sales!$H:$H,Sales!$C:$C,'Investor Exit List'!$C495)</f>
        <v/>
      </c>
      <c r="K495" s="142">
        <f>IF(I495=TRUE,J495,"")</f>
        <v/>
      </c>
      <c r="L495" s="142">
        <f>G495+730</f>
        <v/>
      </c>
      <c r="M495" s="142" t="n">
        <v>45443</v>
      </c>
      <c r="N495" s="143">
        <f>IFERROR(IF(G495&lt;&gt;"",IF(I495=TRUE,0,IF(U495=TRUE,0,L495-M495)),0),0)</f>
        <v/>
      </c>
      <c r="O495" s="143">
        <f>IF(N495&gt;0,IF(N495&lt;=180,N495,0),0)</f>
        <v/>
      </c>
      <c r="P495" s="141">
        <f>IF(AND(N495&lt;90,N495&gt;0),Q495,0)</f>
        <v/>
      </c>
      <c r="Q495" s="141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/>
      </c>
      <c r="R495" s="141">
        <f>IF(AND(H495=TRUE,I495=FALSE),Q495,0)</f>
        <v/>
      </c>
      <c r="S495" s="141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/>
      </c>
      <c r="T495" s="142">
        <f>IF(U495=TRUE,$J495,"")</f>
        <v/>
      </c>
      <c r="U495" s="140" t="b">
        <v>0</v>
      </c>
      <c r="V495" s="141">
        <f>IF(AND(H495=TRUE,OR(K495="",K495&gt;M495)),S495,0)</f>
        <v/>
      </c>
      <c r="W495" s="140" t="n">
        <v>0</v>
      </c>
      <c r="X495" s="140" t="b">
        <v>0</v>
      </c>
      <c r="Y495" s="143">
        <f>IF(H495=FALSE,VLOOKUP($C495,Sales!$C:$F,4,FALSE),1)</f>
        <v/>
      </c>
      <c r="Z495" s="140">
        <f>IF(Y495=0,"Release",IF(AND(L495&lt;J495,Y495=1,H495=FALSE,U495=FALSE,MONTH(L495)&amp;"/"&amp;YEAR(L495)&lt;&gt;MONTH(J495)&amp;"/"&amp;YEAR(J495)),"Release",""))</f>
        <v/>
      </c>
      <c r="AA495" s="144">
        <f>_xlfn.minifs($L:$L,$C:$C,$C495,$F:$F,"&lt;&gt;0")</f>
        <v/>
      </c>
      <c r="AB495" s="144">
        <f>C495&amp;"-"&amp;A495</f>
        <v/>
      </c>
      <c r="AC495" s="144">
        <f>L495</f>
        <v/>
      </c>
    </row>
    <row r="496">
      <c r="A496" s="140" t="inlineStr">
        <is>
          <t>ZERF01</t>
        </is>
      </c>
      <c r="B496" s="140" t="n">
        <v>2</v>
      </c>
      <c r="C496" s="140" t="inlineStr">
        <is>
          <t>HVN303</t>
        </is>
      </c>
      <c r="D496" s="140" t="inlineStr">
        <is>
          <t>N</t>
        </is>
      </c>
      <c r="E496" s="140" t="inlineStr">
        <is>
          <t>Jansen van Vuuren Hermanus Gerhardus (Gerhard)</t>
        </is>
      </c>
      <c r="F496" s="141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</f>
        <v/>
      </c>
      <c r="G496" s="142" t="n">
        <v>44777</v>
      </c>
      <c r="H496" s="140">
        <f>VLOOKUP($C496,Sales!$C:$E,2,FALSE)</f>
        <v/>
      </c>
      <c r="I496" s="140">
        <f>VLOOKUP($C496,Sales!$C:$E,3,FALSE)</f>
        <v/>
      </c>
      <c r="J496" s="142">
        <f>SUMIFS(Sales!$H:$H,Sales!$C:$C,'Investor Exit List'!$C496)</f>
        <v/>
      </c>
      <c r="K496" s="142">
        <f>IF(I496=TRUE,J496,"")</f>
        <v/>
      </c>
      <c r="L496" s="142">
        <f>G496+730</f>
        <v/>
      </c>
      <c r="M496" s="142" t="n">
        <v>45443</v>
      </c>
      <c r="N496" s="143">
        <f>IFERROR(IF(G496&lt;&gt;"",IF(I496=TRUE,0,IF(U496=TRUE,0,L496-M496)),0),0)</f>
        <v/>
      </c>
      <c r="O496" s="143">
        <f>IF(N496&gt;0,IF(N496&lt;=180,N496,0),0)</f>
        <v/>
      </c>
      <c r="P496" s="141">
        <f>IF(AND(N496&lt;90,N496&gt;0),Q496,0)</f>
        <v/>
      </c>
      <c r="Q496" s="141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/>
      </c>
      <c r="R496" s="141">
        <f>IF(AND(H496=TRUE,I496=FALSE),Q496,0)</f>
        <v/>
      </c>
      <c r="S496" s="141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/>
      </c>
      <c r="T496" s="142">
        <f>IF(U496=TRUE,$J496,"")</f>
        <v/>
      </c>
      <c r="U496" s="140" t="b">
        <v>0</v>
      </c>
      <c r="V496" s="141">
        <f>IF(AND(H496=TRUE,OR(K496="",K496&gt;M496)),S496,0)</f>
        <v/>
      </c>
      <c r="W496" s="140" t="n">
        <v>0</v>
      </c>
      <c r="X496" s="140" t="b">
        <v>0</v>
      </c>
      <c r="Y496" s="143">
        <f>IF(H496=FALSE,VLOOKUP($C496,Sales!$C:$F,4,FALSE),1)</f>
        <v/>
      </c>
      <c r="Z496" s="140">
        <f>IF(Y496=0,"Release",IF(AND(L496&lt;J496,Y496=1,H496=FALSE,U496=FALSE,MONTH(L496)&amp;"/"&amp;YEAR(L496)&lt;&gt;MONTH(J496)&amp;"/"&amp;YEAR(J496)),"Release",""))</f>
        <v/>
      </c>
      <c r="AA496" s="144">
        <f>_xlfn.minifs($L:$L,$C:$C,$C496,$F:$F,"&lt;&gt;0")</f>
        <v/>
      </c>
      <c r="AB496" s="144">
        <f>C496&amp;"-"&amp;A496</f>
        <v/>
      </c>
      <c r="AC496" s="144">
        <f>L496</f>
        <v/>
      </c>
    </row>
    <row r="497">
      <c r="A497" s="140" t="inlineStr">
        <is>
          <t>ZBLO01</t>
        </is>
      </c>
      <c r="B497" s="140" t="n">
        <v>4</v>
      </c>
      <c r="C497" s="140" t="inlineStr">
        <is>
          <t>HVN304</t>
        </is>
      </c>
      <c r="D497" s="140" t="inlineStr">
        <is>
          <t>N</t>
        </is>
      </c>
      <c r="E497" s="140" t="inlineStr">
        <is>
          <t>Blows Robert Errol</t>
        </is>
      </c>
      <c r="F497" s="141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</f>
        <v/>
      </c>
      <c r="G497" s="142" t="n">
        <v>45016</v>
      </c>
      <c r="H497" s="140">
        <f>VLOOKUP($C497,Sales!$C:$E,2,FALSE)</f>
        <v/>
      </c>
      <c r="I497" s="140">
        <f>VLOOKUP($C497,Sales!$C:$E,3,FALSE)</f>
        <v/>
      </c>
      <c r="J497" s="142">
        <f>SUMIFS(Sales!$H:$H,Sales!$C:$C,'Investor Exit List'!$C497)</f>
        <v/>
      </c>
      <c r="K497" s="142">
        <f>IF(I497=TRUE,J497,"")</f>
        <v/>
      </c>
      <c r="L497" s="142">
        <f>G497+730</f>
        <v/>
      </c>
      <c r="M497" s="142" t="n">
        <v>45443</v>
      </c>
      <c r="N497" s="143">
        <f>IFERROR(IF(G497&lt;&gt;"",IF(I497=TRUE,0,IF(U497=TRUE,0,L497-M497)),0),0)</f>
        <v/>
      </c>
      <c r="O497" s="143">
        <f>IF(N497&gt;0,IF(N497&lt;=180,N497,0),0)</f>
        <v/>
      </c>
      <c r="P497" s="141">
        <f>IF(AND(N497&lt;90,N497&gt;0),Q497,0)</f>
        <v/>
      </c>
      <c r="Q497" s="141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/>
      </c>
      <c r="R497" s="141">
        <f>IF(AND(H497=TRUE,I497=FALSE),Q497,0)</f>
        <v/>
      </c>
      <c r="S497" s="141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/>
      </c>
      <c r="T497" s="142">
        <f>IF(U497=TRUE,$J497,"")</f>
        <v/>
      </c>
      <c r="U497" s="140" t="b">
        <v>0</v>
      </c>
      <c r="V497" s="141">
        <f>IF(AND(H497=TRUE,OR(K497="",K497&gt;M497)),S497,0)</f>
        <v/>
      </c>
      <c r="W497" s="140" t="n">
        <v>0</v>
      </c>
      <c r="X497" s="140" t="b">
        <v>0</v>
      </c>
      <c r="Y497" s="143">
        <f>IF(H497=FALSE,VLOOKUP($C497,Sales!$C:$F,4,FALSE),1)</f>
        <v/>
      </c>
      <c r="Z497" s="140">
        <f>IF(Y497=0,"Release",IF(AND(L497&lt;J497,Y497=1,H497=FALSE,U497=FALSE,MONTH(L497)&amp;"/"&amp;YEAR(L497)&lt;&gt;MONTH(J497)&amp;"/"&amp;YEAR(J497)),"Release",""))</f>
        <v/>
      </c>
      <c r="AA497" s="144">
        <f>_xlfn.minifs($L:$L,$C:$C,$C497,$F:$F,"&lt;&gt;0")</f>
        <v/>
      </c>
      <c r="AB497" s="144">
        <f>C497&amp;"-"&amp;A497</f>
        <v/>
      </c>
      <c r="AC497" s="144">
        <f>L497</f>
        <v/>
      </c>
    </row>
    <row r="498">
      <c r="A498" s="140" t="inlineStr">
        <is>
          <t>ZDEL01</t>
        </is>
      </c>
      <c r="B498" s="140" t="n">
        <v>8</v>
      </c>
      <c r="C498" s="140" t="inlineStr">
        <is>
          <t>HVN304</t>
        </is>
      </c>
      <c r="D498" s="140" t="inlineStr">
        <is>
          <t>N</t>
        </is>
      </c>
      <c r="E498" s="140" t="inlineStr">
        <is>
          <t>Jansen van Vuuren Pieter</t>
        </is>
      </c>
      <c r="F498" s="141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</f>
        <v/>
      </c>
      <c r="G498" s="142" t="n">
        <v>44743</v>
      </c>
      <c r="H498" s="140">
        <f>VLOOKUP($C498,Sales!$C:$E,2,FALSE)</f>
        <v/>
      </c>
      <c r="I498" s="140">
        <f>VLOOKUP($C498,Sales!$C:$E,3,FALSE)</f>
        <v/>
      </c>
      <c r="J498" s="142">
        <f>SUMIFS(Sales!$H:$H,Sales!$C:$C,'Investor Exit List'!$C498)</f>
        <v/>
      </c>
      <c r="K498" s="142">
        <f>IF(I498=TRUE,J498,"")</f>
        <v/>
      </c>
      <c r="L498" s="142">
        <f>G498+730</f>
        <v/>
      </c>
      <c r="M498" s="142" t="n">
        <v>45443</v>
      </c>
      <c r="N498" s="143">
        <f>IFERROR(IF(G498&lt;&gt;"",IF(I498=TRUE,0,IF(U498=TRUE,0,L498-M498)),0),0)</f>
        <v/>
      </c>
      <c r="O498" s="143">
        <f>IF(N498&gt;0,IF(N498&lt;=180,N498,0),0)</f>
        <v/>
      </c>
      <c r="P498" s="141">
        <f>IF(AND(N498&lt;90,N498&gt;0),Q498,0)</f>
        <v/>
      </c>
      <c r="Q498" s="141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/>
      </c>
      <c r="R498" s="141">
        <f>IF(AND(H498=TRUE,I498=FALSE),Q498,0)</f>
        <v/>
      </c>
      <c r="S498" s="141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/>
      </c>
      <c r="T498" s="142">
        <f>IF(U498=TRUE,$J498,"")</f>
        <v/>
      </c>
      <c r="U498" s="140" t="b">
        <v>0</v>
      </c>
      <c r="V498" s="141">
        <f>IF(AND(H498=TRUE,OR(K498="",K498&gt;M498)),S498,0)</f>
        <v/>
      </c>
      <c r="W498" s="140" t="n">
        <v>0</v>
      </c>
      <c r="X498" s="140" t="b">
        <v>0</v>
      </c>
      <c r="Y498" s="143">
        <f>IF(H498=FALSE,VLOOKUP($C498,Sales!$C:$F,4,FALSE),1)</f>
        <v/>
      </c>
      <c r="Z498" s="140">
        <f>IF(Y498=0,"Release",IF(AND(L498&lt;J498,Y498=1,H498=FALSE,U498=FALSE,MONTH(L498)&amp;"/"&amp;YEAR(L498)&lt;&gt;MONTH(J498)&amp;"/"&amp;YEAR(J498)),"Release",""))</f>
        <v/>
      </c>
      <c r="AA498" s="144">
        <f>_xlfn.minifs($L:$L,$C:$C,$C498,$F:$F,"&lt;&gt;0")</f>
        <v/>
      </c>
      <c r="AB498" s="144">
        <f>C498&amp;"-"&amp;A498</f>
        <v/>
      </c>
      <c r="AC498" s="144">
        <f>L498</f>
        <v/>
      </c>
    </row>
    <row r="499">
      <c r="A499" s="140" t="inlineStr">
        <is>
          <t>ZMAD01</t>
        </is>
      </c>
      <c r="B499" s="140" t="n">
        <v>2</v>
      </c>
      <c r="C499" s="140" t="inlineStr">
        <is>
          <t>HVN304</t>
        </is>
      </c>
      <c r="D499" s="140" t="inlineStr">
        <is>
          <t>N</t>
        </is>
      </c>
      <c r="E499" s="140" t="inlineStr">
        <is>
          <t>Maduna Esther</t>
        </is>
      </c>
      <c r="F499" s="141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</f>
        <v/>
      </c>
      <c r="G499" s="142" t="n">
        <v>44743</v>
      </c>
      <c r="H499" s="140">
        <f>VLOOKUP($C499,Sales!$C:$E,2,FALSE)</f>
        <v/>
      </c>
      <c r="I499" s="140">
        <f>VLOOKUP($C499,Sales!$C:$E,3,FALSE)</f>
        <v/>
      </c>
      <c r="J499" s="142">
        <f>SUMIFS(Sales!$H:$H,Sales!$C:$C,'Investor Exit List'!$C499)</f>
        <v/>
      </c>
      <c r="K499" s="142">
        <f>IF(I499=TRUE,J499,"")</f>
        <v/>
      </c>
      <c r="L499" s="142">
        <f>G499+730</f>
        <v/>
      </c>
      <c r="M499" s="142" t="n">
        <v>45443</v>
      </c>
      <c r="N499" s="143">
        <f>IFERROR(IF(G499&lt;&gt;"",IF(I499=TRUE,0,IF(U499=TRUE,0,L499-M499)),0),0)</f>
        <v/>
      </c>
      <c r="O499" s="143">
        <f>IF(N499&gt;0,IF(N499&lt;=180,N499,0),0)</f>
        <v/>
      </c>
      <c r="P499" s="141">
        <f>IF(AND(N499&lt;90,N499&gt;0),Q499,0)</f>
        <v/>
      </c>
      <c r="Q499" s="141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/>
      </c>
      <c r="R499" s="141">
        <f>IF(AND(H499=TRUE,I499=FALSE),Q499,0)</f>
        <v/>
      </c>
      <c r="S499" s="141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/>
      </c>
      <c r="T499" s="142">
        <f>IF(U499=TRUE,$J499,"")</f>
        <v/>
      </c>
      <c r="U499" s="140" t="b">
        <v>0</v>
      </c>
      <c r="V499" s="141">
        <f>IF(AND(H499=TRUE,OR(K499="",K499&gt;M499)),S499,0)</f>
        <v/>
      </c>
      <c r="W499" s="140" t="n">
        <v>0</v>
      </c>
      <c r="X499" s="140" t="b">
        <v>0</v>
      </c>
      <c r="Y499" s="143">
        <f>IF(H499=FALSE,VLOOKUP($C499,Sales!$C:$F,4,FALSE),1)</f>
        <v/>
      </c>
      <c r="Z499" s="140">
        <f>IF(Y499=0,"Release",IF(AND(L499&lt;J499,Y499=1,H499=FALSE,U499=FALSE,MONTH(L499)&amp;"/"&amp;YEAR(L499)&lt;&gt;MONTH(J499)&amp;"/"&amp;YEAR(J499)),"Release",""))</f>
        <v/>
      </c>
      <c r="AA499" s="144">
        <f>_xlfn.minifs($L:$L,$C:$C,$C499,$F:$F,"&lt;&gt;0")</f>
        <v/>
      </c>
      <c r="AB499" s="144">
        <f>C499&amp;"-"&amp;A499</f>
        <v/>
      </c>
      <c r="AC499" s="144">
        <f>L499</f>
        <v/>
      </c>
    </row>
    <row r="500">
      <c r="A500" s="140" t="inlineStr">
        <is>
          <t>ZSCH01</t>
        </is>
      </c>
      <c r="B500" s="140" t="n">
        <v>15</v>
      </c>
      <c r="C500" s="140" t="inlineStr">
        <is>
          <t>HVN304</t>
        </is>
      </c>
      <c r="D500" s="140" t="inlineStr">
        <is>
          <t>N</t>
        </is>
      </c>
      <c r="E500" s="140" t="inlineStr">
        <is>
          <t>Schubert Inge</t>
        </is>
      </c>
      <c r="F500" s="141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</f>
        <v/>
      </c>
      <c r="G500" s="142" t="n">
        <v>44763</v>
      </c>
      <c r="H500" s="140">
        <f>VLOOKUP($C500,Sales!$C:$E,2,FALSE)</f>
        <v/>
      </c>
      <c r="I500" s="140">
        <f>VLOOKUP($C500,Sales!$C:$E,3,FALSE)</f>
        <v/>
      </c>
      <c r="J500" s="142">
        <f>SUMIFS(Sales!$H:$H,Sales!$C:$C,'Investor Exit List'!$C500)</f>
        <v/>
      </c>
      <c r="K500" s="142">
        <f>IF(I500=TRUE,J500,"")</f>
        <v/>
      </c>
      <c r="L500" s="142">
        <f>G500+730</f>
        <v/>
      </c>
      <c r="M500" s="142" t="n">
        <v>45443</v>
      </c>
      <c r="N500" s="143">
        <f>IFERROR(IF(G500&lt;&gt;"",IF(I500=TRUE,0,IF(U500=TRUE,0,L500-M500)),0),0)</f>
        <v/>
      </c>
      <c r="O500" s="143">
        <f>IF(N500&gt;0,IF(N500&lt;=180,N500,0),0)</f>
        <v/>
      </c>
      <c r="P500" s="141">
        <f>IF(AND(N500&lt;90,N500&gt;0),Q500,0)</f>
        <v/>
      </c>
      <c r="Q500" s="141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/>
      </c>
      <c r="R500" s="141">
        <f>IF(AND(H500=TRUE,I500=FALSE),Q500,0)</f>
        <v/>
      </c>
      <c r="S500" s="141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/>
      </c>
      <c r="T500" s="142">
        <f>IF(U500=TRUE,$J500,"")</f>
        <v/>
      </c>
      <c r="U500" s="140" t="b">
        <v>0</v>
      </c>
      <c r="V500" s="141">
        <f>IF(AND(H500=TRUE,OR(K500="",K500&gt;M500)),S500,0)</f>
        <v/>
      </c>
      <c r="W500" s="140" t="n">
        <v>0</v>
      </c>
      <c r="X500" s="140" t="b">
        <v>0</v>
      </c>
      <c r="Y500" s="143">
        <f>IF(H500=FALSE,VLOOKUP($C500,Sales!$C:$F,4,FALSE),1)</f>
        <v/>
      </c>
      <c r="Z500" s="140">
        <f>IF(Y500=0,"Release",IF(AND(L500&lt;J500,Y500=1,H500=FALSE,U500=FALSE,MONTH(L500)&amp;"/"&amp;YEAR(L500)&lt;&gt;MONTH(J500)&amp;"/"&amp;YEAR(J500)),"Release",""))</f>
        <v/>
      </c>
      <c r="AA500" s="144">
        <f>_xlfn.minifs($L:$L,$C:$C,$C500,$F:$F,"&lt;&gt;0")</f>
        <v/>
      </c>
      <c r="AB500" s="144">
        <f>C500&amp;"-"&amp;A500</f>
        <v/>
      </c>
      <c r="AC500" s="144">
        <f>L500</f>
        <v/>
      </c>
    </row>
    <row r="501">
      <c r="A501" s="140" t="inlineStr">
        <is>
          <t>ZVDM01</t>
        </is>
      </c>
      <c r="B501" s="140" t="n">
        <v>4</v>
      </c>
      <c r="C501" s="140" t="inlineStr">
        <is>
          <t>HVN304</t>
        </is>
      </c>
      <c r="D501" s="140" t="inlineStr">
        <is>
          <t>N</t>
        </is>
      </c>
      <c r="E501" s="140" t="inlineStr">
        <is>
          <t>van der Mescht Paula</t>
        </is>
      </c>
      <c r="F501" s="141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</f>
        <v/>
      </c>
      <c r="G501" s="142" t="n">
        <v>44743</v>
      </c>
      <c r="H501" s="140">
        <f>VLOOKUP($C501,Sales!$C:$E,2,FALSE)</f>
        <v/>
      </c>
      <c r="I501" s="140">
        <f>VLOOKUP($C501,Sales!$C:$E,3,FALSE)</f>
        <v/>
      </c>
      <c r="J501" s="142">
        <f>SUMIFS(Sales!$H:$H,Sales!$C:$C,'Investor Exit List'!$C501)</f>
        <v/>
      </c>
      <c r="K501" s="142">
        <f>IF(I501=TRUE,J501,"")</f>
        <v/>
      </c>
      <c r="L501" s="142">
        <f>G501+730</f>
        <v/>
      </c>
      <c r="M501" s="142" t="n">
        <v>45443</v>
      </c>
      <c r="N501" s="143">
        <f>IFERROR(IF(G501&lt;&gt;"",IF(I501=TRUE,0,IF(U501=TRUE,0,L501-M501)),0),0)</f>
        <v/>
      </c>
      <c r="O501" s="143">
        <f>IF(N501&gt;0,IF(N501&lt;=180,N501,0),0)</f>
        <v/>
      </c>
      <c r="P501" s="141">
        <f>IF(AND(N501&lt;90,N501&gt;0),Q501,0)</f>
        <v/>
      </c>
      <c r="Q501" s="141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/>
      </c>
      <c r="R501" s="141">
        <f>IF(AND(H501=TRUE,I501=FALSE),Q501,0)</f>
        <v/>
      </c>
      <c r="S501" s="141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/>
      </c>
      <c r="T501" s="142">
        <f>IF(U501=TRUE,$J501,"")</f>
        <v/>
      </c>
      <c r="U501" s="140" t="b">
        <v>0</v>
      </c>
      <c r="V501" s="141">
        <f>IF(AND(H501=TRUE,OR(K501="",K501&gt;M501)),S501,0)</f>
        <v/>
      </c>
      <c r="W501" s="140" t="n">
        <v>0</v>
      </c>
      <c r="X501" s="140" t="b">
        <v>0</v>
      </c>
      <c r="Y501" s="143">
        <f>IF(H501=FALSE,VLOOKUP($C501,Sales!$C:$F,4,FALSE),1)</f>
        <v/>
      </c>
      <c r="Z501" s="140">
        <f>IF(Y501=0,"Release",IF(AND(L501&lt;J501,Y501=1,H501=FALSE,U501=FALSE,MONTH(L501)&amp;"/"&amp;YEAR(L501)&lt;&gt;MONTH(J501)&amp;"/"&amp;YEAR(J501)),"Release",""))</f>
        <v/>
      </c>
      <c r="AA501" s="144">
        <f>_xlfn.minifs($L:$L,$C:$C,$C501,$F:$F,"&lt;&gt;0")</f>
        <v/>
      </c>
      <c r="AB501" s="144">
        <f>C501&amp;"-"&amp;A501</f>
        <v/>
      </c>
      <c r="AC501" s="144">
        <f>L501</f>
        <v/>
      </c>
    </row>
    <row r="502">
      <c r="A502" s="140" t="inlineStr">
        <is>
          <t>ZALM01</t>
        </is>
      </c>
      <c r="B502" s="140" t="n">
        <v>7</v>
      </c>
      <c r="C502" s="140" t="inlineStr">
        <is>
          <t>HVO101</t>
        </is>
      </c>
      <c r="D502" s="140" t="inlineStr">
        <is>
          <t>O</t>
        </is>
      </c>
      <c r="E502" s="140" t="inlineStr">
        <is>
          <t>Lunau Marc</t>
        </is>
      </c>
      <c r="F502" s="141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</f>
        <v/>
      </c>
      <c r="G502" s="142" t="n">
        <v>44980</v>
      </c>
      <c r="H502" s="140">
        <f>VLOOKUP($C502,Sales!$C:$E,2,FALSE)</f>
        <v/>
      </c>
      <c r="I502" s="140">
        <f>VLOOKUP($C502,Sales!$C:$E,3,FALSE)</f>
        <v/>
      </c>
      <c r="J502" s="142">
        <f>SUMIFS(Sales!$H:$H,Sales!$C:$C,'Investor Exit List'!$C502)</f>
        <v/>
      </c>
      <c r="K502" s="142">
        <f>IF(I502=TRUE,J502,"")</f>
        <v/>
      </c>
      <c r="L502" s="142">
        <f>G502+730</f>
        <v/>
      </c>
      <c r="M502" s="142" t="n">
        <v>45443</v>
      </c>
      <c r="N502" s="143">
        <f>IFERROR(IF(G502&lt;&gt;"",IF(I502=TRUE,0,IF(U502=TRUE,0,L502-M502)),0),0)</f>
        <v/>
      </c>
      <c r="O502" s="143">
        <f>IF(N502&gt;0,IF(N502&lt;=180,N502,0),0)</f>
        <v/>
      </c>
      <c r="P502" s="141">
        <f>IF(AND(N502&lt;90,N502&gt;0),Q502,0)</f>
        <v/>
      </c>
      <c r="Q502" s="141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/>
      </c>
      <c r="R502" s="141">
        <f>IF(AND(H502=TRUE,I502=FALSE),Q502,0)</f>
        <v/>
      </c>
      <c r="S502" s="141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/>
      </c>
      <c r="T502" s="142">
        <f>IF(U502=TRUE,$J502,"")</f>
        <v/>
      </c>
      <c r="U502" s="140" t="b">
        <v>0</v>
      </c>
      <c r="V502" s="141">
        <f>IF(AND(H502=TRUE,OR(K502="",K502&gt;M502)),S502,0)</f>
        <v/>
      </c>
      <c r="W502" s="140" t="n">
        <v>0</v>
      </c>
      <c r="X502" s="140" t="b">
        <v>0</v>
      </c>
      <c r="Y502" s="143">
        <f>IF(H502=FALSE,VLOOKUP($C502,Sales!$C:$F,4,FALSE),1)</f>
        <v/>
      </c>
      <c r="Z502" s="140">
        <f>IF(Y502=0,"Release",IF(AND(L502&lt;J502,Y502=1,H502=FALSE,U502=FALSE,MONTH(L502)&amp;"/"&amp;YEAR(L502)&lt;&gt;MONTH(J502)&amp;"/"&amp;YEAR(J502)),"Release",""))</f>
        <v/>
      </c>
      <c r="AA502" s="144">
        <f>_xlfn.minifs($L:$L,$C:$C,$C502,$F:$F,"&lt;&gt;0")</f>
        <v/>
      </c>
      <c r="AB502" s="144">
        <f>C502&amp;"-"&amp;A502</f>
        <v/>
      </c>
      <c r="AC502" s="144">
        <f>L502</f>
        <v/>
      </c>
    </row>
    <row r="503">
      <c r="A503" s="140" t="inlineStr">
        <is>
          <t>ZCRO01</t>
        </is>
      </c>
      <c r="B503" s="140" t="n">
        <v>12</v>
      </c>
      <c r="C503" s="140" t="inlineStr">
        <is>
          <t>HVO101</t>
        </is>
      </c>
      <c r="D503" s="140" t="inlineStr">
        <is>
          <t>O</t>
        </is>
      </c>
      <c r="E503" s="140" t="inlineStr">
        <is>
          <t>Lunau Marc</t>
        </is>
      </c>
      <c r="F503" s="141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</f>
        <v/>
      </c>
      <c r="G503" s="142" t="n">
        <v>45072</v>
      </c>
      <c r="H503" s="140">
        <f>VLOOKUP($C503,Sales!$C:$E,2,FALSE)</f>
        <v/>
      </c>
      <c r="I503" s="140">
        <f>VLOOKUP($C503,Sales!$C:$E,3,FALSE)</f>
        <v/>
      </c>
      <c r="J503" s="142">
        <f>SUMIFS(Sales!$H:$H,Sales!$C:$C,'Investor Exit List'!$C503)</f>
        <v/>
      </c>
      <c r="K503" s="142">
        <f>IF(I503=TRUE,J503,"")</f>
        <v/>
      </c>
      <c r="L503" s="142">
        <f>G503+730</f>
        <v/>
      </c>
      <c r="M503" s="142" t="n">
        <v>45443</v>
      </c>
      <c r="N503" s="143">
        <f>IFERROR(IF(G503&lt;&gt;"",IF(I503=TRUE,0,IF(U503=TRUE,0,L503-M503)),0),0)</f>
        <v/>
      </c>
      <c r="O503" s="143">
        <f>IF(N503&gt;0,IF(N503&lt;=180,N503,0),0)</f>
        <v/>
      </c>
      <c r="P503" s="141">
        <f>IF(AND(N503&lt;90,N503&gt;0),Q503,0)</f>
        <v/>
      </c>
      <c r="Q503" s="141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/>
      </c>
      <c r="R503" s="141">
        <f>IF(AND(H503=TRUE,I503=FALSE),Q503,0)</f>
        <v/>
      </c>
      <c r="S503" s="141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/>
      </c>
      <c r="T503" s="142">
        <f>IF(U503=TRUE,$J503,"")</f>
        <v/>
      </c>
      <c r="U503" s="140" t="b">
        <v>0</v>
      </c>
      <c r="V503" s="141">
        <f>IF(AND(H503=TRUE,OR(K503="",K503&gt;M503)),S503,0)</f>
        <v/>
      </c>
      <c r="W503" s="140" t="n">
        <v>0</v>
      </c>
      <c r="X503" s="140" t="b">
        <v>0</v>
      </c>
      <c r="Y503" s="143">
        <f>IF(H503=FALSE,VLOOKUP($C503,Sales!$C:$F,4,FALSE),1)</f>
        <v/>
      </c>
      <c r="Z503" s="140">
        <f>IF(Y503=0,"Release",IF(AND(L503&lt;J503,Y503=1,H503=FALSE,U503=FALSE,MONTH(L503)&amp;"/"&amp;YEAR(L503)&lt;&gt;MONTH(J503)&amp;"/"&amp;YEAR(J503)),"Release",""))</f>
        <v/>
      </c>
      <c r="AA503" s="144">
        <f>_xlfn.minifs($L:$L,$C:$C,$C503,$F:$F,"&lt;&gt;0")</f>
        <v/>
      </c>
      <c r="AB503" s="144">
        <f>C503&amp;"-"&amp;A503</f>
        <v/>
      </c>
      <c r="AC503" s="144">
        <f>L503</f>
        <v/>
      </c>
    </row>
    <row r="504">
      <c r="A504" s="140" t="inlineStr">
        <is>
          <t>ZINT01</t>
        </is>
      </c>
      <c r="B504" s="140" t="n">
        <v>13</v>
      </c>
      <c r="C504" s="140" t="inlineStr">
        <is>
          <t>HVO101</t>
        </is>
      </c>
      <c r="D504" s="140" t="inlineStr">
        <is>
          <t>O</t>
        </is>
      </c>
      <c r="E504" s="140" t="inlineStr">
        <is>
          <t>Lunau Marc</t>
        </is>
      </c>
      <c r="F504" s="141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</f>
        <v/>
      </c>
      <c r="G504" s="142" t="n">
        <v>45072</v>
      </c>
      <c r="H504" s="140">
        <f>VLOOKUP($C504,Sales!$C:$E,2,FALSE)</f>
        <v/>
      </c>
      <c r="I504" s="140">
        <f>VLOOKUP($C504,Sales!$C:$E,3,FALSE)</f>
        <v/>
      </c>
      <c r="J504" s="142">
        <f>SUMIFS(Sales!$H:$H,Sales!$C:$C,'Investor Exit List'!$C504)</f>
        <v/>
      </c>
      <c r="K504" s="142">
        <f>IF(I504=TRUE,J504,"")</f>
        <v/>
      </c>
      <c r="L504" s="142">
        <f>G504+730</f>
        <v/>
      </c>
      <c r="M504" s="142" t="n">
        <v>45443</v>
      </c>
      <c r="N504" s="143">
        <f>IFERROR(IF(G504&lt;&gt;"",IF(I504=TRUE,0,IF(U504=TRUE,0,L504-M504)),0),0)</f>
        <v/>
      </c>
      <c r="O504" s="143">
        <f>IF(N504&gt;0,IF(N504&lt;=180,N504,0),0)</f>
        <v/>
      </c>
      <c r="P504" s="141">
        <f>IF(AND(N504&lt;90,N504&gt;0),Q504,0)</f>
        <v/>
      </c>
      <c r="Q504" s="141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/>
      </c>
      <c r="R504" s="141">
        <f>IF(AND(H504=TRUE,I504=FALSE),Q504,0)</f>
        <v/>
      </c>
      <c r="S504" s="141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/>
      </c>
      <c r="T504" s="142">
        <f>IF(U504=TRUE,$J504,"")</f>
        <v/>
      </c>
      <c r="U504" s="140" t="b">
        <v>0</v>
      </c>
      <c r="V504" s="141">
        <f>IF(AND(H504=TRUE,OR(K504="",K504&gt;M504)),S504,0)</f>
        <v/>
      </c>
      <c r="W504" s="140" t="n">
        <v>0</v>
      </c>
      <c r="X504" s="140" t="b">
        <v>0</v>
      </c>
      <c r="Y504" s="143">
        <f>IF(H504=FALSE,VLOOKUP($C504,Sales!$C:$F,4,FALSE),1)</f>
        <v/>
      </c>
      <c r="Z504" s="140">
        <f>IF(Y504=0,"Release",IF(AND(L504&lt;J504,Y504=1,H504=FALSE,U504=FALSE,MONTH(L504)&amp;"/"&amp;YEAR(L504)&lt;&gt;MONTH(J504)&amp;"/"&amp;YEAR(J504)),"Release",""))</f>
        <v/>
      </c>
      <c r="AA504" s="144">
        <f>_xlfn.minifs($L:$L,$C:$C,$C504,$F:$F,"&lt;&gt;0")</f>
        <v/>
      </c>
      <c r="AB504" s="144">
        <f>C504&amp;"-"&amp;A504</f>
        <v/>
      </c>
      <c r="AC504" s="144">
        <f>L504</f>
        <v/>
      </c>
    </row>
    <row r="505">
      <c r="A505" s="140" t="inlineStr">
        <is>
          <t>ZJOH01</t>
        </is>
      </c>
      <c r="B505" s="140" t="n">
        <v>7</v>
      </c>
      <c r="C505" s="140" t="inlineStr">
        <is>
          <t>HVO101</t>
        </is>
      </c>
      <c r="D505" s="140" t="inlineStr">
        <is>
          <t>O</t>
        </is>
      </c>
      <c r="E505" s="140" t="inlineStr">
        <is>
          <t>Johns Lisa-Marie Natalie</t>
        </is>
      </c>
      <c r="F505" s="141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</f>
        <v/>
      </c>
      <c r="G505" s="142" t="n">
        <v>45072</v>
      </c>
      <c r="H505" s="140">
        <f>VLOOKUP($C505,Sales!$C:$E,2,FALSE)</f>
        <v/>
      </c>
      <c r="I505" s="140">
        <f>VLOOKUP($C505,Sales!$C:$E,3,FALSE)</f>
        <v/>
      </c>
      <c r="J505" s="142">
        <f>SUMIFS(Sales!$H:$H,Sales!$C:$C,'Investor Exit List'!$C505)</f>
        <v/>
      </c>
      <c r="K505" s="142">
        <f>IF(I505=TRUE,J505,"")</f>
        <v/>
      </c>
      <c r="L505" s="142">
        <f>G505+730</f>
        <v/>
      </c>
      <c r="M505" s="142" t="n">
        <v>45443</v>
      </c>
      <c r="N505" s="143">
        <f>IFERROR(IF(G505&lt;&gt;"",IF(I505=TRUE,0,IF(U505=TRUE,0,L505-M505)),0),0)</f>
        <v/>
      </c>
      <c r="O505" s="143">
        <f>IF(N505&gt;0,IF(N505&lt;=180,N505,0),0)</f>
        <v/>
      </c>
      <c r="P505" s="141">
        <f>IF(AND(N505&lt;90,N505&gt;0),Q505,0)</f>
        <v/>
      </c>
      <c r="Q505" s="141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/>
      </c>
      <c r="R505" s="141">
        <f>IF(AND(H505=TRUE,I505=FALSE),Q505,0)</f>
        <v/>
      </c>
      <c r="S505" s="141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/>
      </c>
      <c r="T505" s="142">
        <f>IF(U505=TRUE,$J505,"")</f>
        <v/>
      </c>
      <c r="U505" s="140" t="b">
        <v>0</v>
      </c>
      <c r="V505" s="141">
        <f>IF(AND(H505=TRUE,OR(K505="",K505&gt;M505)),S505,0)</f>
        <v/>
      </c>
      <c r="W505" s="140" t="n">
        <v>0</v>
      </c>
      <c r="X505" s="140" t="b">
        <v>0</v>
      </c>
      <c r="Y505" s="143">
        <f>IF(H505=FALSE,VLOOKUP($C505,Sales!$C:$F,4,FALSE),1)</f>
        <v/>
      </c>
      <c r="Z505" s="140">
        <f>IF(Y505=0,"Release",IF(AND(L505&lt;J505,Y505=1,H505=FALSE,U505=FALSE,MONTH(L505)&amp;"/"&amp;YEAR(L505)&lt;&gt;MONTH(J505)&amp;"/"&amp;YEAR(J505)),"Release",""))</f>
        <v/>
      </c>
      <c r="AA505" s="144">
        <f>_xlfn.minifs($L:$L,$C:$C,$C505,$F:$F,"&lt;&gt;0")</f>
        <v/>
      </c>
      <c r="AB505" s="144">
        <f>C505&amp;"-"&amp;A505</f>
        <v/>
      </c>
      <c r="AC505" s="144">
        <f>L505</f>
        <v/>
      </c>
    </row>
    <row r="506">
      <c r="A506" s="140" t="inlineStr">
        <is>
          <t>ZVOR01</t>
        </is>
      </c>
      <c r="B506" s="140" t="n">
        <v>5</v>
      </c>
      <c r="C506" s="140" t="inlineStr">
        <is>
          <t>HVO101</t>
        </is>
      </c>
      <c r="D506" s="140" t="inlineStr">
        <is>
          <t>O</t>
        </is>
      </c>
      <c r="E506" s="140" t="inlineStr">
        <is>
          <t xml:space="preserve">Vorster Sophia Maria Catharina </t>
        </is>
      </c>
      <c r="F506" s="141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</f>
        <v/>
      </c>
      <c r="G506" s="142" t="n">
        <v>45129</v>
      </c>
      <c r="H506" s="140">
        <f>VLOOKUP($C506,Sales!$C:$E,2,FALSE)</f>
        <v/>
      </c>
      <c r="I506" s="140">
        <f>VLOOKUP($C506,Sales!$C:$E,3,FALSE)</f>
        <v/>
      </c>
      <c r="J506" s="142">
        <f>SUMIFS(Sales!$H:$H,Sales!$C:$C,'Investor Exit List'!$C506)</f>
        <v/>
      </c>
      <c r="K506" s="142">
        <f>IF(I506=TRUE,J506,"")</f>
        <v/>
      </c>
      <c r="L506" s="142">
        <f>G506+730</f>
        <v/>
      </c>
      <c r="M506" s="142" t="n">
        <v>45443</v>
      </c>
      <c r="N506" s="143">
        <f>IFERROR(IF(G506&lt;&gt;"",IF(I506=TRUE,0,IF(U506=TRUE,0,L506-M506)),0),0)</f>
        <v/>
      </c>
      <c r="O506" s="143">
        <f>IF(N506&gt;0,IF(N506&lt;=180,N506,0),0)</f>
        <v/>
      </c>
      <c r="P506" s="141">
        <f>IF(AND(N506&lt;90,N506&gt;0),Q506,0)</f>
        <v/>
      </c>
      <c r="Q506" s="141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/>
      </c>
      <c r="R506" s="141">
        <f>IF(AND(H506=TRUE,I506=FALSE),Q506,0)</f>
        <v/>
      </c>
      <c r="S506" s="141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/>
      </c>
      <c r="T506" s="142">
        <f>IF(U506=TRUE,$J506,"")</f>
        <v/>
      </c>
      <c r="U506" s="140" t="b">
        <v>0</v>
      </c>
      <c r="V506" s="141">
        <f>IF(AND(H506=TRUE,OR(K506="",K506&gt;M506)),S506,0)</f>
        <v/>
      </c>
      <c r="W506" s="140" t="n">
        <v>0</v>
      </c>
      <c r="X506" s="140" t="b">
        <v>0</v>
      </c>
      <c r="Y506" s="143">
        <f>IF(H506=FALSE,VLOOKUP($C506,Sales!$C:$F,4,FALSE),1)</f>
        <v/>
      </c>
      <c r="Z506" s="140">
        <f>IF(Y506=0,"Release",IF(AND(L506&lt;J506,Y506=1,H506=FALSE,U506=FALSE,MONTH(L506)&amp;"/"&amp;YEAR(L506)&lt;&gt;MONTH(J506)&amp;"/"&amp;YEAR(J506)),"Release",""))</f>
        <v/>
      </c>
      <c r="AA506" s="144">
        <f>_xlfn.minifs($L:$L,$C:$C,$C506,$F:$F,"&lt;&gt;0")</f>
        <v/>
      </c>
      <c r="AB506" s="144">
        <f>C506&amp;"-"&amp;A506</f>
        <v/>
      </c>
      <c r="AC506" s="144">
        <f>L506</f>
        <v/>
      </c>
    </row>
    <row r="507">
      <c r="A507" s="140" t="inlineStr">
        <is>
          <t>ZWAT01</t>
        </is>
      </c>
      <c r="B507" s="140" t="n">
        <v>13</v>
      </c>
      <c r="C507" s="140" t="inlineStr">
        <is>
          <t>HVO101</t>
        </is>
      </c>
      <c r="D507" s="140" t="inlineStr">
        <is>
          <t>O</t>
        </is>
      </c>
      <c r="E507" s="140" t="inlineStr">
        <is>
          <t>Watts Peter Gregory</t>
        </is>
      </c>
      <c r="F507" s="141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</f>
        <v/>
      </c>
      <c r="G507" s="142" t="n">
        <v>45044</v>
      </c>
      <c r="H507" s="140">
        <f>VLOOKUP($C507,Sales!$C:$E,2,FALSE)</f>
        <v/>
      </c>
      <c r="I507" s="140">
        <f>VLOOKUP($C507,Sales!$C:$E,3,FALSE)</f>
        <v/>
      </c>
      <c r="J507" s="142">
        <f>SUMIFS(Sales!$H:$H,Sales!$C:$C,'Investor Exit List'!$C507)</f>
        <v/>
      </c>
      <c r="K507" s="142">
        <f>IF(I507=TRUE,J507,"")</f>
        <v/>
      </c>
      <c r="L507" s="142">
        <f>G507+730</f>
        <v/>
      </c>
      <c r="M507" s="142" t="n">
        <v>45443</v>
      </c>
      <c r="N507" s="143">
        <f>IFERROR(IF(G507&lt;&gt;"",IF(I507=TRUE,0,IF(U507=TRUE,0,L507-M507)),0),0)</f>
        <v/>
      </c>
      <c r="O507" s="143">
        <f>IF(N507&gt;0,IF(N507&lt;=180,N507,0),0)</f>
        <v/>
      </c>
      <c r="P507" s="141">
        <f>IF(AND(N507&lt;90,N507&gt;0),Q507,0)</f>
        <v/>
      </c>
      <c r="Q507" s="141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/>
      </c>
      <c r="R507" s="141">
        <f>IF(AND(H507=TRUE,I507=FALSE),Q507,0)</f>
        <v/>
      </c>
      <c r="S507" s="141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/>
      </c>
      <c r="T507" s="142">
        <f>IF(U507=TRUE,$J507,"")</f>
        <v/>
      </c>
      <c r="U507" s="140" t="b">
        <v>0</v>
      </c>
      <c r="V507" s="141">
        <f>IF(AND(H507=TRUE,OR(K507="",K507&gt;M507)),S507,0)</f>
        <v/>
      </c>
      <c r="W507" s="140" t="n">
        <v>0</v>
      </c>
      <c r="X507" s="140" t="b">
        <v>0</v>
      </c>
      <c r="Y507" s="143">
        <f>IF(H507=FALSE,VLOOKUP($C507,Sales!$C:$F,4,FALSE),1)</f>
        <v/>
      </c>
      <c r="Z507" s="140">
        <f>IF(Y507=0,"Release",IF(AND(L507&lt;J507,Y507=1,H507=FALSE,U507=FALSE,MONTH(L507)&amp;"/"&amp;YEAR(L507)&lt;&gt;MONTH(J507)&amp;"/"&amp;YEAR(J507)),"Release",""))</f>
        <v/>
      </c>
      <c r="AA507" s="144">
        <f>_xlfn.minifs($L:$L,$C:$C,$C507,$F:$F,"&lt;&gt;0")</f>
        <v/>
      </c>
      <c r="AB507" s="144">
        <f>C507&amp;"-"&amp;A507</f>
        <v/>
      </c>
      <c r="AC507" s="144">
        <f>L507</f>
        <v/>
      </c>
    </row>
    <row r="508">
      <c r="A508" s="140" t="inlineStr">
        <is>
          <t>ZALM01</t>
        </is>
      </c>
      <c r="B508" s="140" t="n">
        <v>8</v>
      </c>
      <c r="C508" s="140" t="inlineStr">
        <is>
          <t>HVO102</t>
        </is>
      </c>
      <c r="D508" s="140" t="inlineStr">
        <is>
          <t>O</t>
        </is>
      </c>
      <c r="E508" s="140" t="inlineStr">
        <is>
          <t>Lunau Marc</t>
        </is>
      </c>
      <c r="F508" s="141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</f>
        <v/>
      </c>
      <c r="G508" s="142" t="n">
        <v>44980</v>
      </c>
      <c r="H508" s="140">
        <f>VLOOKUP($C508,Sales!$C:$E,2,FALSE)</f>
        <v/>
      </c>
      <c r="I508" s="140">
        <f>VLOOKUP($C508,Sales!$C:$E,3,FALSE)</f>
        <v/>
      </c>
      <c r="J508" s="142">
        <f>SUMIFS(Sales!$H:$H,Sales!$C:$C,'Investor Exit List'!$C508)</f>
        <v/>
      </c>
      <c r="K508" s="142">
        <f>IF(I508=TRUE,J508,"")</f>
        <v/>
      </c>
      <c r="L508" s="142">
        <f>G508+730</f>
        <v/>
      </c>
      <c r="M508" s="142" t="n">
        <v>45443</v>
      </c>
      <c r="N508" s="143">
        <f>IFERROR(IF(G508&lt;&gt;"",IF(I508=TRUE,0,IF(U508=TRUE,0,L508-M508)),0),0)</f>
        <v/>
      </c>
      <c r="O508" s="143">
        <f>IF(N508&gt;0,IF(N508&lt;=180,N508,0),0)</f>
        <v/>
      </c>
      <c r="P508" s="141">
        <f>IF(AND(N508&lt;90,N508&gt;0),Q508,0)</f>
        <v/>
      </c>
      <c r="Q508" s="141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/>
      </c>
      <c r="R508" s="141">
        <f>IF(AND(H508=TRUE,I508=FALSE),Q508,0)</f>
        <v/>
      </c>
      <c r="S508" s="141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/>
      </c>
      <c r="T508" s="142">
        <f>IF(U508=TRUE,$J508,"")</f>
        <v/>
      </c>
      <c r="U508" s="140" t="b">
        <v>0</v>
      </c>
      <c r="V508" s="141">
        <f>IF(AND(H508=TRUE,OR(K508="",K508&gt;M508)),S508,0)</f>
        <v/>
      </c>
      <c r="W508" s="140" t="n">
        <v>0</v>
      </c>
      <c r="X508" s="140" t="b">
        <v>0</v>
      </c>
      <c r="Y508" s="143">
        <f>IF(H508=FALSE,VLOOKUP($C508,Sales!$C:$F,4,FALSE),1)</f>
        <v/>
      </c>
      <c r="Z508" s="140">
        <f>IF(Y508=0,"Release",IF(AND(L508&lt;J508,Y508=1,H508=FALSE,U508=FALSE,MONTH(L508)&amp;"/"&amp;YEAR(L508)&lt;&gt;MONTH(J508)&amp;"/"&amp;YEAR(J508)),"Release",""))</f>
        <v/>
      </c>
      <c r="AA508" s="144">
        <f>_xlfn.minifs($L:$L,$C:$C,$C508,$F:$F,"&lt;&gt;0")</f>
        <v/>
      </c>
      <c r="AB508" s="144">
        <f>C508&amp;"-"&amp;A508</f>
        <v/>
      </c>
      <c r="AC508" s="144">
        <f>L508</f>
        <v/>
      </c>
    </row>
    <row r="509">
      <c r="A509" s="140" t="inlineStr">
        <is>
          <t>ZKFT01</t>
        </is>
      </c>
      <c r="B509" s="140" t="n">
        <v>2</v>
      </c>
      <c r="C509" s="140" t="inlineStr">
        <is>
          <t>HVO102</t>
        </is>
      </c>
      <c r="D509" s="140" t="inlineStr">
        <is>
          <t>O</t>
        </is>
      </c>
      <c r="E509" s="140" t="inlineStr">
        <is>
          <t>Koovarjee Koovarjee Family Trust</t>
        </is>
      </c>
      <c r="F509" s="141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</f>
        <v/>
      </c>
      <c r="G509" s="142" t="n">
        <v>45016</v>
      </c>
      <c r="H509" s="140">
        <f>VLOOKUP($C509,Sales!$C:$E,2,FALSE)</f>
        <v/>
      </c>
      <c r="I509" s="140">
        <f>VLOOKUP($C509,Sales!$C:$E,3,FALSE)</f>
        <v/>
      </c>
      <c r="J509" s="142">
        <f>SUMIFS(Sales!$H:$H,Sales!$C:$C,'Investor Exit List'!$C509)</f>
        <v/>
      </c>
      <c r="K509" s="142">
        <f>IF(I509=TRUE,J509,"")</f>
        <v/>
      </c>
      <c r="L509" s="142">
        <f>G509+730</f>
        <v/>
      </c>
      <c r="M509" s="142" t="n">
        <v>45443</v>
      </c>
      <c r="N509" s="143">
        <f>IFERROR(IF(G509&lt;&gt;"",IF(I509=TRUE,0,IF(U509=TRUE,0,L509-M509)),0),0)</f>
        <v/>
      </c>
      <c r="O509" s="143">
        <f>IF(N509&gt;0,IF(N509&lt;=180,N509,0),0)</f>
        <v/>
      </c>
      <c r="P509" s="141">
        <f>IF(AND(N509&lt;90,N509&gt;0),Q509,0)</f>
        <v/>
      </c>
      <c r="Q509" s="141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/>
      </c>
      <c r="R509" s="141">
        <f>IF(AND(H509=TRUE,I509=FALSE),Q509,0)</f>
        <v/>
      </c>
      <c r="S509" s="141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/>
      </c>
      <c r="T509" s="142">
        <f>IF(U509=TRUE,$J509,"")</f>
        <v/>
      </c>
      <c r="U509" s="140" t="b">
        <v>0</v>
      </c>
      <c r="V509" s="141">
        <f>IF(AND(H509=TRUE,OR(K509="",K509&gt;M509)),S509,0)</f>
        <v/>
      </c>
      <c r="W509" s="140" t="n">
        <v>0</v>
      </c>
      <c r="X509" s="140" t="b">
        <v>0</v>
      </c>
      <c r="Y509" s="143">
        <f>IF(H509=FALSE,VLOOKUP($C509,Sales!$C:$F,4,FALSE),1)</f>
        <v/>
      </c>
      <c r="Z509" s="140">
        <f>IF(Y509=0,"Release",IF(AND(L509&lt;J509,Y509=1,H509=FALSE,U509=FALSE,MONTH(L509)&amp;"/"&amp;YEAR(L509)&lt;&gt;MONTH(J509)&amp;"/"&amp;YEAR(J509)),"Release",""))</f>
        <v/>
      </c>
      <c r="AA509" s="144">
        <f>_xlfn.minifs($L:$L,$C:$C,$C509,$F:$F,"&lt;&gt;0")</f>
        <v/>
      </c>
      <c r="AB509" s="144">
        <f>C509&amp;"-"&amp;A509</f>
        <v/>
      </c>
      <c r="AC509" s="144">
        <f>L509</f>
        <v/>
      </c>
    </row>
    <row r="510">
      <c r="A510" s="140" t="inlineStr">
        <is>
          <t>ZPED01</t>
        </is>
      </c>
      <c r="B510" s="140" t="n">
        <v>3</v>
      </c>
      <c r="C510" s="140" t="inlineStr">
        <is>
          <t>HVO102</t>
        </is>
      </c>
      <c r="D510" s="140" t="inlineStr">
        <is>
          <t>O</t>
        </is>
      </c>
      <c r="E510" s="140" t="inlineStr">
        <is>
          <t>Pedersen Wendy</t>
        </is>
      </c>
      <c r="F510" s="141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</f>
        <v/>
      </c>
      <c r="G510" s="142" t="n">
        <v>45072</v>
      </c>
      <c r="H510" s="140">
        <f>VLOOKUP($C510,Sales!$C:$E,2,FALSE)</f>
        <v/>
      </c>
      <c r="I510" s="140">
        <f>VLOOKUP($C510,Sales!$C:$E,3,FALSE)</f>
        <v/>
      </c>
      <c r="J510" s="142">
        <f>SUMIFS(Sales!$H:$H,Sales!$C:$C,'Investor Exit List'!$C510)</f>
        <v/>
      </c>
      <c r="K510" s="142">
        <f>IF(I510=TRUE,J510,"")</f>
        <v/>
      </c>
      <c r="L510" s="142">
        <f>G510+730</f>
        <v/>
      </c>
      <c r="M510" s="142" t="n">
        <v>45443</v>
      </c>
      <c r="N510" s="143">
        <f>IFERROR(IF(G510&lt;&gt;"",IF(I510=TRUE,0,IF(U510=TRUE,0,L510-M510)),0),0)</f>
        <v/>
      </c>
      <c r="O510" s="143">
        <f>IF(N510&gt;0,IF(N510&lt;=180,N510,0),0)</f>
        <v/>
      </c>
      <c r="P510" s="141">
        <f>IF(AND(N510&lt;90,N510&gt;0),Q510,0)</f>
        <v/>
      </c>
      <c r="Q510" s="141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/>
      </c>
      <c r="R510" s="141">
        <f>IF(AND(H510=TRUE,I510=FALSE),Q510,0)</f>
        <v/>
      </c>
      <c r="S510" s="141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/>
      </c>
      <c r="T510" s="142">
        <f>IF(U510=TRUE,$J510,"")</f>
        <v/>
      </c>
      <c r="U510" s="140" t="b">
        <v>0</v>
      </c>
      <c r="V510" s="141">
        <f>IF(AND(H510=TRUE,OR(K510="",K510&gt;M510)),S510,0)</f>
        <v/>
      </c>
      <c r="W510" s="140" t="n">
        <v>0</v>
      </c>
      <c r="X510" s="140" t="b">
        <v>0</v>
      </c>
      <c r="Y510" s="143">
        <f>IF(H510=FALSE,VLOOKUP($C510,Sales!$C:$F,4,FALSE),1)</f>
        <v/>
      </c>
      <c r="Z510" s="140">
        <f>IF(Y510=0,"Release",IF(AND(L510&lt;J510,Y510=1,H510=FALSE,U510=FALSE,MONTH(L510)&amp;"/"&amp;YEAR(L510)&lt;&gt;MONTH(J510)&amp;"/"&amp;YEAR(J510)),"Release",""))</f>
        <v/>
      </c>
      <c r="AA510" s="144">
        <f>_xlfn.minifs($L:$L,$C:$C,$C510,$F:$F,"&lt;&gt;0")</f>
        <v/>
      </c>
      <c r="AB510" s="144">
        <f>C510&amp;"-"&amp;A510</f>
        <v/>
      </c>
      <c r="AC510" s="144">
        <f>L510</f>
        <v/>
      </c>
    </row>
    <row r="511">
      <c r="A511" s="140" t="inlineStr">
        <is>
          <t>ZRIB01</t>
        </is>
      </c>
      <c r="B511" s="140" t="n">
        <v>2</v>
      </c>
      <c r="C511" s="140" t="inlineStr">
        <is>
          <t>HVO102</t>
        </is>
      </c>
      <c r="D511" s="140" t="inlineStr">
        <is>
          <t>O</t>
        </is>
      </c>
      <c r="E511" s="140" t="inlineStr">
        <is>
          <t>Ribeiro Paulo Sergio Da Silva</t>
        </is>
      </c>
      <c r="F511" s="141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</f>
        <v/>
      </c>
      <c r="G511" s="142" t="n">
        <v>45008</v>
      </c>
      <c r="H511" s="140">
        <f>VLOOKUP($C511,Sales!$C:$E,2,FALSE)</f>
        <v/>
      </c>
      <c r="I511" s="140">
        <f>VLOOKUP($C511,Sales!$C:$E,3,FALSE)</f>
        <v/>
      </c>
      <c r="J511" s="142">
        <f>SUMIFS(Sales!$H:$H,Sales!$C:$C,'Investor Exit List'!$C511)</f>
        <v/>
      </c>
      <c r="K511" s="142">
        <f>IF(I511=TRUE,J511,"")</f>
        <v/>
      </c>
      <c r="L511" s="142">
        <f>G511+730</f>
        <v/>
      </c>
      <c r="M511" s="142" t="n">
        <v>45443</v>
      </c>
      <c r="N511" s="143">
        <f>IFERROR(IF(G511&lt;&gt;"",IF(I511=TRUE,0,IF(U511=TRUE,0,L511-M511)),0),0)</f>
        <v/>
      </c>
      <c r="O511" s="143">
        <f>IF(N511&gt;0,IF(N511&lt;=180,N511,0),0)</f>
        <v/>
      </c>
      <c r="P511" s="141">
        <f>IF(AND(N511&lt;90,N511&gt;0),Q511,0)</f>
        <v/>
      </c>
      <c r="Q511" s="141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/>
      </c>
      <c r="R511" s="141">
        <f>IF(AND(H511=TRUE,I511=FALSE),Q511,0)</f>
        <v/>
      </c>
      <c r="S511" s="141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/>
      </c>
      <c r="T511" s="142">
        <f>IF(U511=TRUE,$J511,"")</f>
        <v/>
      </c>
      <c r="U511" s="140" t="b">
        <v>0</v>
      </c>
      <c r="V511" s="141">
        <f>IF(AND(H511=TRUE,OR(K511="",K511&gt;M511)),S511,0)</f>
        <v/>
      </c>
      <c r="W511" s="140" t="n">
        <v>0</v>
      </c>
      <c r="X511" s="140" t="b">
        <v>0</v>
      </c>
      <c r="Y511" s="143">
        <f>IF(H511=FALSE,VLOOKUP($C511,Sales!$C:$F,4,FALSE),1)</f>
        <v/>
      </c>
      <c r="Z511" s="140">
        <f>IF(Y511=0,"Release",IF(AND(L511&lt;J511,Y511=1,H511=FALSE,U511=FALSE,MONTH(L511)&amp;"/"&amp;YEAR(L511)&lt;&gt;MONTH(J511)&amp;"/"&amp;YEAR(J511)),"Release",""))</f>
        <v/>
      </c>
      <c r="AA511" s="144">
        <f>_xlfn.minifs($L:$L,$C:$C,$C511,$F:$F,"&lt;&gt;0")</f>
        <v/>
      </c>
      <c r="AB511" s="144">
        <f>C511&amp;"-"&amp;A511</f>
        <v/>
      </c>
      <c r="AC511" s="144">
        <f>L511</f>
        <v/>
      </c>
    </row>
    <row r="512">
      <c r="A512" s="140" t="inlineStr">
        <is>
          <t>ZRIT01</t>
        </is>
      </c>
      <c r="B512" s="140" t="n">
        <v>9</v>
      </c>
      <c r="C512" s="140" t="inlineStr">
        <is>
          <t>HVO102</t>
        </is>
      </c>
      <c r="D512" s="140" t="inlineStr">
        <is>
          <t>O</t>
        </is>
      </c>
      <c r="E512" s="140" t="inlineStr">
        <is>
          <t>Ritter Dennis</t>
        </is>
      </c>
      <c r="F512" s="141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</f>
        <v/>
      </c>
      <c r="G512" s="142" t="n">
        <v>45016</v>
      </c>
      <c r="H512" s="140">
        <f>VLOOKUP($C512,Sales!$C:$E,2,FALSE)</f>
        <v/>
      </c>
      <c r="I512" s="140">
        <f>VLOOKUP($C512,Sales!$C:$E,3,FALSE)</f>
        <v/>
      </c>
      <c r="J512" s="142">
        <f>SUMIFS(Sales!$H:$H,Sales!$C:$C,'Investor Exit List'!$C512)</f>
        <v/>
      </c>
      <c r="K512" s="142">
        <f>IF(I512=TRUE,J512,"")</f>
        <v/>
      </c>
      <c r="L512" s="142">
        <f>G512+730</f>
        <v/>
      </c>
      <c r="M512" s="142" t="n">
        <v>45443</v>
      </c>
      <c r="N512" s="143">
        <f>IFERROR(IF(G512&lt;&gt;"",IF(I512=TRUE,0,IF(U512=TRUE,0,L512-M512)),0),0)</f>
        <v/>
      </c>
      <c r="O512" s="143">
        <f>IF(N512&gt;0,IF(N512&lt;=180,N512,0),0)</f>
        <v/>
      </c>
      <c r="P512" s="141">
        <f>IF(AND(N512&lt;90,N512&gt;0),Q512,0)</f>
        <v/>
      </c>
      <c r="Q512" s="141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/>
      </c>
      <c r="R512" s="141">
        <f>IF(AND(H512=TRUE,I512=FALSE),Q512,0)</f>
        <v/>
      </c>
      <c r="S512" s="141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/>
      </c>
      <c r="T512" s="142">
        <f>IF(U512=TRUE,$J512,"")</f>
        <v/>
      </c>
      <c r="U512" s="140" t="b">
        <v>0</v>
      </c>
      <c r="V512" s="141">
        <f>IF(AND(H512=TRUE,OR(K512="",K512&gt;M512)),S512,0)</f>
        <v/>
      </c>
      <c r="W512" s="140" t="n">
        <v>0</v>
      </c>
      <c r="X512" s="140" t="b">
        <v>0</v>
      </c>
      <c r="Y512" s="143">
        <f>IF(H512=FALSE,VLOOKUP($C512,Sales!$C:$F,4,FALSE),1)</f>
        <v/>
      </c>
      <c r="Z512" s="140">
        <f>IF(Y512=0,"Release",IF(AND(L512&lt;J512,Y512=1,H512=FALSE,U512=FALSE,MONTH(L512)&amp;"/"&amp;YEAR(L512)&lt;&gt;MONTH(J512)&amp;"/"&amp;YEAR(J512)),"Release",""))</f>
        <v/>
      </c>
      <c r="AA512" s="144">
        <f>_xlfn.minifs($L:$L,$C:$C,$C512,$F:$F,"&lt;&gt;0")</f>
        <v/>
      </c>
      <c r="AB512" s="144">
        <f>C512&amp;"-"&amp;A512</f>
        <v/>
      </c>
      <c r="AC512" s="144">
        <f>L512</f>
        <v/>
      </c>
    </row>
    <row r="513">
      <c r="A513" s="140" t="inlineStr">
        <is>
          <t>ZMOO02</t>
        </is>
      </c>
      <c r="B513" s="140" t="n">
        <v>3</v>
      </c>
      <c r="C513" s="140" t="inlineStr">
        <is>
          <t>HVO103</t>
        </is>
      </c>
      <c r="D513" s="140" t="inlineStr">
        <is>
          <t>O</t>
        </is>
      </c>
      <c r="E513" s="140" t="inlineStr">
        <is>
          <t>Moodley Chreeson Loganathan</t>
        </is>
      </c>
      <c r="F513" s="141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</f>
        <v/>
      </c>
      <c r="G513" s="142" t="n">
        <v>45016</v>
      </c>
      <c r="H513" s="140">
        <f>VLOOKUP($C513,Sales!$C:$E,2,FALSE)</f>
        <v/>
      </c>
      <c r="I513" s="140">
        <f>VLOOKUP($C513,Sales!$C:$E,3,FALSE)</f>
        <v/>
      </c>
      <c r="J513" s="142">
        <f>SUMIFS(Sales!$H:$H,Sales!$C:$C,'Investor Exit List'!$C513)</f>
        <v/>
      </c>
      <c r="K513" s="142">
        <f>IF(I513=TRUE,J513,"")</f>
        <v/>
      </c>
      <c r="L513" s="142">
        <f>G513+730</f>
        <v/>
      </c>
      <c r="M513" s="142" t="n">
        <v>45443</v>
      </c>
      <c r="N513" s="143">
        <f>IFERROR(IF(G513&lt;&gt;"",IF(I513=TRUE,0,IF(U513=TRUE,0,L513-M513)),0),0)</f>
        <v/>
      </c>
      <c r="O513" s="143">
        <f>IF(N513&gt;0,IF(N513&lt;=180,N513,0),0)</f>
        <v/>
      </c>
      <c r="P513" s="141">
        <f>IF(AND(N513&lt;90,N513&gt;0),Q513,0)</f>
        <v/>
      </c>
      <c r="Q513" s="141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/>
      </c>
      <c r="R513" s="141">
        <f>IF(AND(H513=TRUE,I513=FALSE),Q513,0)</f>
        <v/>
      </c>
      <c r="S513" s="141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/>
      </c>
      <c r="T513" s="142">
        <f>IF(U513=TRUE,$J513,"")</f>
        <v/>
      </c>
      <c r="U513" s="140" t="b">
        <v>0</v>
      </c>
      <c r="V513" s="141">
        <f>IF(AND(H513=TRUE,OR(K513="",K513&gt;M513)),S513,0)</f>
        <v/>
      </c>
      <c r="W513" s="140" t="n">
        <v>0</v>
      </c>
      <c r="X513" s="140" t="b">
        <v>0</v>
      </c>
      <c r="Y513" s="143">
        <f>IF(H513=FALSE,VLOOKUP($C513,Sales!$C:$F,4,FALSE),1)</f>
        <v/>
      </c>
      <c r="Z513" s="140">
        <f>IF(Y513=0,"Release",IF(AND(L513&lt;J513,Y513=1,H513=FALSE,U513=FALSE,MONTH(L513)&amp;"/"&amp;YEAR(L513)&lt;&gt;MONTH(J513)&amp;"/"&amp;YEAR(J513)),"Release",""))</f>
        <v/>
      </c>
      <c r="AA513" s="144">
        <f>_xlfn.minifs($L:$L,$C:$C,$C513,$F:$F,"&lt;&gt;0")</f>
        <v/>
      </c>
      <c r="AB513" s="144">
        <f>C513&amp;"-"&amp;A513</f>
        <v/>
      </c>
      <c r="AC513" s="144">
        <f>L513</f>
        <v/>
      </c>
    </row>
    <row r="514">
      <c r="A514" s="140" t="inlineStr">
        <is>
          <t>ZNUN01</t>
        </is>
      </c>
      <c r="B514" s="140" t="n">
        <v>8</v>
      </c>
      <c r="C514" s="140" t="inlineStr">
        <is>
          <t>HVO103</t>
        </is>
      </c>
      <c r="D514" s="140" t="inlineStr">
        <is>
          <t>O</t>
        </is>
      </c>
      <c r="E514" s="140" t="inlineStr">
        <is>
          <t>Nunes Francisco Antonio</t>
        </is>
      </c>
      <c r="F514" s="141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</f>
        <v/>
      </c>
      <c r="G514" s="142" t="n">
        <v>45044</v>
      </c>
      <c r="H514" s="140">
        <f>VLOOKUP($C514,Sales!$C:$E,2,FALSE)</f>
        <v/>
      </c>
      <c r="I514" s="140">
        <f>VLOOKUP($C514,Sales!$C:$E,3,FALSE)</f>
        <v/>
      </c>
      <c r="J514" s="142">
        <f>SUMIFS(Sales!$H:$H,Sales!$C:$C,'Investor Exit List'!$C514)</f>
        <v/>
      </c>
      <c r="K514" s="142">
        <f>IF(I514=TRUE,J514,"")</f>
        <v/>
      </c>
      <c r="L514" s="142">
        <f>G514+730</f>
        <v/>
      </c>
      <c r="M514" s="142" t="n">
        <v>45443</v>
      </c>
      <c r="N514" s="143">
        <f>IFERROR(IF(G514&lt;&gt;"",IF(I514=TRUE,0,IF(U514=TRUE,0,L514-M514)),0),0)</f>
        <v/>
      </c>
      <c r="O514" s="143">
        <f>IF(N514&gt;0,IF(N514&lt;=180,N514,0),0)</f>
        <v/>
      </c>
      <c r="P514" s="141">
        <f>IF(AND(N514&lt;90,N514&gt;0),Q514,0)</f>
        <v/>
      </c>
      <c r="Q514" s="141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/>
      </c>
      <c r="R514" s="141">
        <f>IF(AND(H514=TRUE,I514=FALSE),Q514,0)</f>
        <v/>
      </c>
      <c r="S514" s="141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/>
      </c>
      <c r="T514" s="142">
        <f>IF(U514=TRUE,$J514,"")</f>
        <v/>
      </c>
      <c r="U514" s="140" t="b">
        <v>0</v>
      </c>
      <c r="V514" s="141">
        <f>IF(AND(H514=TRUE,OR(K514="",K514&gt;M514)),S514,0)</f>
        <v/>
      </c>
      <c r="W514" s="140" t="n">
        <v>0</v>
      </c>
      <c r="X514" s="140" t="b">
        <v>0</v>
      </c>
      <c r="Y514" s="143">
        <f>IF(H514=FALSE,VLOOKUP($C514,Sales!$C:$F,4,FALSE),1)</f>
        <v/>
      </c>
      <c r="Z514" s="140">
        <f>IF(Y514=0,"Release",IF(AND(L514&lt;J514,Y514=1,H514=FALSE,U514=FALSE,MONTH(L514)&amp;"/"&amp;YEAR(L514)&lt;&gt;MONTH(J514)&amp;"/"&amp;YEAR(J514)),"Release",""))</f>
        <v/>
      </c>
      <c r="AA514" s="144">
        <f>_xlfn.minifs($L:$L,$C:$C,$C514,$F:$F,"&lt;&gt;0")</f>
        <v/>
      </c>
      <c r="AB514" s="144">
        <f>C514&amp;"-"&amp;A514</f>
        <v/>
      </c>
      <c r="AC514" s="144">
        <f>L514</f>
        <v/>
      </c>
    </row>
    <row r="515">
      <c r="A515" s="140" t="inlineStr">
        <is>
          <t>ZRIT01</t>
        </is>
      </c>
      <c r="B515" s="140" t="n">
        <v>10</v>
      </c>
      <c r="C515" s="140" t="inlineStr">
        <is>
          <t>HVO103</t>
        </is>
      </c>
      <c r="D515" s="140" t="inlineStr">
        <is>
          <t>O</t>
        </is>
      </c>
      <c r="E515" s="140" t="inlineStr">
        <is>
          <t>Ritter Dennis</t>
        </is>
      </c>
      <c r="F515" s="141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</f>
        <v/>
      </c>
      <c r="G515" s="142" t="n">
        <v>45016</v>
      </c>
      <c r="H515" s="140">
        <f>VLOOKUP($C515,Sales!$C:$E,2,FALSE)</f>
        <v/>
      </c>
      <c r="I515" s="140">
        <f>VLOOKUP($C515,Sales!$C:$E,3,FALSE)</f>
        <v/>
      </c>
      <c r="J515" s="142">
        <f>SUMIFS(Sales!$H:$H,Sales!$C:$C,'Investor Exit List'!$C515)</f>
        <v/>
      </c>
      <c r="K515" s="142">
        <f>IF(I515=TRUE,J515,"")</f>
        <v/>
      </c>
      <c r="L515" s="142">
        <f>G515+730</f>
        <v/>
      </c>
      <c r="M515" s="142" t="n">
        <v>45443</v>
      </c>
      <c r="N515" s="143">
        <f>IFERROR(IF(G515&lt;&gt;"",IF(I515=TRUE,0,IF(U515=TRUE,0,L515-M515)),0),0)</f>
        <v/>
      </c>
      <c r="O515" s="143">
        <f>IF(N515&gt;0,IF(N515&lt;=180,N515,0),0)</f>
        <v/>
      </c>
      <c r="P515" s="141">
        <f>IF(AND(N515&lt;90,N515&gt;0),Q515,0)</f>
        <v/>
      </c>
      <c r="Q515" s="141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/>
      </c>
      <c r="R515" s="141">
        <f>IF(AND(H515=TRUE,I515=FALSE),Q515,0)</f>
        <v/>
      </c>
      <c r="S515" s="141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/>
      </c>
      <c r="T515" s="142">
        <f>IF(U515=TRUE,$J515,"")</f>
        <v/>
      </c>
      <c r="U515" s="140" t="b">
        <v>0</v>
      </c>
      <c r="V515" s="141">
        <f>IF(AND(H515=TRUE,OR(K515="",K515&gt;M515)),S515,0)</f>
        <v/>
      </c>
      <c r="W515" s="140" t="n">
        <v>0</v>
      </c>
      <c r="X515" s="140" t="b">
        <v>0</v>
      </c>
      <c r="Y515" s="143">
        <f>IF(H515=FALSE,VLOOKUP($C515,Sales!$C:$F,4,FALSE),1)</f>
        <v/>
      </c>
      <c r="Z515" s="140">
        <f>IF(Y515=0,"Release",IF(AND(L515&lt;J515,Y515=1,H515=FALSE,U515=FALSE,MONTH(L515)&amp;"/"&amp;YEAR(L515)&lt;&gt;MONTH(J515)&amp;"/"&amp;YEAR(J515)),"Release",""))</f>
        <v/>
      </c>
      <c r="AA515" s="144">
        <f>_xlfn.minifs($L:$L,$C:$C,$C515,$F:$F,"&lt;&gt;0")</f>
        <v/>
      </c>
      <c r="AB515" s="144">
        <f>C515&amp;"-"&amp;A515</f>
        <v/>
      </c>
      <c r="AC515" s="144">
        <f>L515</f>
        <v/>
      </c>
    </row>
    <row r="516">
      <c r="A516" s="140" t="inlineStr">
        <is>
          <t>ZLEW01</t>
        </is>
      </c>
      <c r="B516" s="140" t="n">
        <v>10</v>
      </c>
      <c r="C516" s="140" t="inlineStr">
        <is>
          <t>HVO104</t>
        </is>
      </c>
      <c r="D516" s="140" t="inlineStr">
        <is>
          <t>O</t>
        </is>
      </c>
      <c r="E516" s="140" t="inlineStr">
        <is>
          <t>Lewis Martina Christina</t>
        </is>
      </c>
      <c r="F516" s="141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</f>
        <v/>
      </c>
      <c r="G516" s="142" t="n">
        <v>45016</v>
      </c>
      <c r="H516" s="140">
        <f>VLOOKUP($C516,Sales!$C:$E,2,FALSE)</f>
        <v/>
      </c>
      <c r="I516" s="140">
        <f>VLOOKUP($C516,Sales!$C:$E,3,FALSE)</f>
        <v/>
      </c>
      <c r="J516" s="142">
        <f>SUMIFS(Sales!$H:$H,Sales!$C:$C,'Investor Exit List'!$C516)</f>
        <v/>
      </c>
      <c r="K516" s="142">
        <f>IF(I516=TRUE,J516,"")</f>
        <v/>
      </c>
      <c r="L516" s="142">
        <f>G516+730</f>
        <v/>
      </c>
      <c r="M516" s="142" t="n">
        <v>45443</v>
      </c>
      <c r="N516" s="143">
        <f>IFERROR(IF(G516&lt;&gt;"",IF(I516=TRUE,0,IF(U516=TRUE,0,L516-M516)),0),0)</f>
        <v/>
      </c>
      <c r="O516" s="143">
        <f>IF(N516&gt;0,IF(N516&lt;=180,N516,0),0)</f>
        <v/>
      </c>
      <c r="P516" s="141">
        <f>IF(AND(N516&lt;90,N516&gt;0),Q516,0)</f>
        <v/>
      </c>
      <c r="Q516" s="141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/>
      </c>
      <c r="R516" s="141">
        <f>IF(AND(H516=TRUE,I516=FALSE),Q516,0)</f>
        <v/>
      </c>
      <c r="S516" s="141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/>
      </c>
      <c r="T516" s="142">
        <f>IF(U516=TRUE,$J516,"")</f>
        <v/>
      </c>
      <c r="U516" s="140" t="b">
        <v>0</v>
      </c>
      <c r="V516" s="141">
        <f>IF(AND(H516=TRUE,OR(K516="",K516&gt;M516)),S516,0)</f>
        <v/>
      </c>
      <c r="W516" s="140" t="n">
        <v>0</v>
      </c>
      <c r="X516" s="140" t="b">
        <v>0</v>
      </c>
      <c r="Y516" s="143">
        <f>IF(H516=FALSE,VLOOKUP($C516,Sales!$C:$F,4,FALSE),1)</f>
        <v/>
      </c>
      <c r="Z516" s="140">
        <f>IF(Y516=0,"Release",IF(AND(L516&lt;J516,Y516=1,H516=FALSE,U516=FALSE,MONTH(L516)&amp;"/"&amp;YEAR(L516)&lt;&gt;MONTH(J516)&amp;"/"&amp;YEAR(J516)),"Release",""))</f>
        <v/>
      </c>
      <c r="AA516" s="144">
        <f>_xlfn.minifs($L:$L,$C:$C,$C516,$F:$F,"&lt;&gt;0")</f>
        <v/>
      </c>
      <c r="AB516" s="144">
        <f>C516&amp;"-"&amp;A516</f>
        <v/>
      </c>
      <c r="AC516" s="144">
        <f>L516</f>
        <v/>
      </c>
    </row>
    <row r="517">
      <c r="A517" s="140" t="inlineStr">
        <is>
          <t>ZDEL01</t>
        </is>
      </c>
      <c r="B517" s="140" t="n">
        <v>9</v>
      </c>
      <c r="C517" s="140" t="inlineStr">
        <is>
          <t>HVO105</t>
        </is>
      </c>
      <c r="D517" s="140" t="inlineStr">
        <is>
          <t>O</t>
        </is>
      </c>
      <c r="E517" s="140" t="inlineStr">
        <is>
          <t>Jansen van Vuuren Pieter</t>
        </is>
      </c>
      <c r="F517" s="141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</f>
        <v/>
      </c>
      <c r="G517" s="142" t="n">
        <v>45016</v>
      </c>
      <c r="H517" s="140">
        <f>VLOOKUP($C517,Sales!$C:$E,2,FALSE)</f>
        <v/>
      </c>
      <c r="I517" s="140">
        <f>VLOOKUP($C517,Sales!$C:$E,3,FALSE)</f>
        <v/>
      </c>
      <c r="J517" s="142">
        <f>SUMIFS(Sales!$H:$H,Sales!$C:$C,'Investor Exit List'!$C517)</f>
        <v/>
      </c>
      <c r="K517" s="142">
        <f>IF(I517=TRUE,J517,"")</f>
        <v/>
      </c>
      <c r="L517" s="142">
        <f>G517+730</f>
        <v/>
      </c>
      <c r="M517" s="142" t="n">
        <v>45443</v>
      </c>
      <c r="N517" s="143">
        <f>IFERROR(IF(G517&lt;&gt;"",IF(I517=TRUE,0,IF(U517=TRUE,0,L517-M517)),0),0)</f>
        <v/>
      </c>
      <c r="O517" s="143">
        <f>IF(N517&gt;0,IF(N517&lt;=180,N517,0),0)</f>
        <v/>
      </c>
      <c r="P517" s="141">
        <f>IF(AND(N517&lt;90,N517&gt;0),Q517,0)</f>
        <v/>
      </c>
      <c r="Q517" s="141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/>
      </c>
      <c r="R517" s="141">
        <f>IF(AND(H517=TRUE,I517=FALSE),Q517,0)</f>
        <v/>
      </c>
      <c r="S517" s="141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/>
      </c>
      <c r="T517" s="142">
        <f>IF(U517=TRUE,$J517,"")</f>
        <v/>
      </c>
      <c r="U517" s="140" t="b">
        <v>0</v>
      </c>
      <c r="V517" s="141">
        <f>IF(AND(H517=TRUE,OR(K517="",K517&gt;M517)),S517,0)</f>
        <v/>
      </c>
      <c r="W517" s="140" t="n">
        <v>0</v>
      </c>
      <c r="X517" s="140" t="b">
        <v>0</v>
      </c>
      <c r="Y517" s="143">
        <f>IF(H517=FALSE,VLOOKUP($C517,Sales!$C:$F,4,FALSE),1)</f>
        <v/>
      </c>
      <c r="Z517" s="140">
        <f>IF(Y517=0,"Release",IF(AND(L517&lt;J517,Y517=1,H517=FALSE,U517=FALSE,MONTH(L517)&amp;"/"&amp;YEAR(L517)&lt;&gt;MONTH(J517)&amp;"/"&amp;YEAR(J517)),"Release",""))</f>
        <v/>
      </c>
      <c r="AA517" s="144">
        <f>_xlfn.minifs($L:$L,$C:$C,$C517,$F:$F,"&lt;&gt;0")</f>
        <v/>
      </c>
      <c r="AB517" s="144">
        <f>C517&amp;"-"&amp;A517</f>
        <v/>
      </c>
      <c r="AC517" s="144">
        <f>L517</f>
        <v/>
      </c>
    </row>
    <row r="518">
      <c r="A518" s="140" t="inlineStr">
        <is>
          <t>ZDIC01</t>
        </is>
      </c>
      <c r="B518" s="140" t="n">
        <v>12</v>
      </c>
      <c r="C518" s="140" t="inlineStr">
        <is>
          <t>HVO105</t>
        </is>
      </c>
      <c r="D518" s="140" t="inlineStr">
        <is>
          <t>O</t>
        </is>
      </c>
      <c r="E518" s="140" t="inlineStr">
        <is>
          <t>Dickinson Grant Allan</t>
        </is>
      </c>
      <c r="F518" s="141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</f>
        <v/>
      </c>
      <c r="G518" s="142" t="n">
        <v>45044</v>
      </c>
      <c r="H518" s="140">
        <f>VLOOKUP($C518,Sales!$C:$E,2,FALSE)</f>
        <v/>
      </c>
      <c r="I518" s="140">
        <f>VLOOKUP($C518,Sales!$C:$E,3,FALSE)</f>
        <v/>
      </c>
      <c r="J518" s="142">
        <f>SUMIFS(Sales!$H:$H,Sales!$C:$C,'Investor Exit List'!$C518)</f>
        <v/>
      </c>
      <c r="K518" s="142">
        <f>IF(I518=TRUE,J518,"")</f>
        <v/>
      </c>
      <c r="L518" s="142">
        <f>G518+730</f>
        <v/>
      </c>
      <c r="M518" s="142" t="n">
        <v>45443</v>
      </c>
      <c r="N518" s="143">
        <f>IFERROR(IF(G518&lt;&gt;"",IF(I518=TRUE,0,IF(U518=TRUE,0,L518-M518)),0),0)</f>
        <v/>
      </c>
      <c r="O518" s="143">
        <f>IF(N518&gt;0,IF(N518&lt;=180,N518,0),0)</f>
        <v/>
      </c>
      <c r="P518" s="141">
        <f>IF(AND(N518&lt;90,N518&gt;0),Q518,0)</f>
        <v/>
      </c>
      <c r="Q518" s="141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/>
      </c>
      <c r="R518" s="141">
        <f>IF(AND(H518=TRUE,I518=FALSE),Q518,0)</f>
        <v/>
      </c>
      <c r="S518" s="141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/>
      </c>
      <c r="T518" s="142">
        <f>IF(U518=TRUE,$J518,"")</f>
        <v/>
      </c>
      <c r="U518" s="140" t="b">
        <v>0</v>
      </c>
      <c r="V518" s="141">
        <f>IF(AND(H518=TRUE,OR(K518="",K518&gt;M518)),S518,0)</f>
        <v/>
      </c>
      <c r="W518" s="140" t="n">
        <v>0</v>
      </c>
      <c r="X518" s="140" t="b">
        <v>0</v>
      </c>
      <c r="Y518" s="143">
        <f>IF(H518=FALSE,VLOOKUP($C518,Sales!$C:$F,4,FALSE),1)</f>
        <v/>
      </c>
      <c r="Z518" s="140">
        <f>IF(Y518=0,"Release",IF(AND(L518&lt;J518,Y518=1,H518=FALSE,U518=FALSE,MONTH(L518)&amp;"/"&amp;YEAR(L518)&lt;&gt;MONTH(J518)&amp;"/"&amp;YEAR(J518)),"Release",""))</f>
        <v/>
      </c>
      <c r="AA518" s="144">
        <f>_xlfn.minifs($L:$L,$C:$C,$C518,$F:$F,"&lt;&gt;0")</f>
        <v/>
      </c>
      <c r="AB518" s="144">
        <f>C518&amp;"-"&amp;A518</f>
        <v/>
      </c>
      <c r="AC518" s="144">
        <f>L518</f>
        <v/>
      </c>
    </row>
    <row r="519">
      <c r="A519" s="140" t="inlineStr">
        <is>
          <t>ZHUT01</t>
        </is>
      </c>
      <c r="B519" s="140" t="n">
        <v>8</v>
      </c>
      <c r="C519" s="140" t="inlineStr">
        <is>
          <t>HVO105</t>
        </is>
      </c>
      <c r="D519" s="140" t="inlineStr">
        <is>
          <t>O</t>
        </is>
      </c>
      <c r="E519" s="140" t="inlineStr">
        <is>
          <t>Hutchings Tracy Jane</t>
        </is>
      </c>
      <c r="F519" s="141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</f>
        <v/>
      </c>
      <c r="G519" s="142" t="n">
        <v>45008</v>
      </c>
      <c r="H519" s="140">
        <f>VLOOKUP($C519,Sales!$C:$E,2,FALSE)</f>
        <v/>
      </c>
      <c r="I519" s="140">
        <f>VLOOKUP($C519,Sales!$C:$E,3,FALSE)</f>
        <v/>
      </c>
      <c r="J519" s="142">
        <f>SUMIFS(Sales!$H:$H,Sales!$C:$C,'Investor Exit List'!$C519)</f>
        <v/>
      </c>
      <c r="K519" s="142">
        <f>IF(I519=TRUE,J519,"")</f>
        <v/>
      </c>
      <c r="L519" s="142">
        <f>G519+730</f>
        <v/>
      </c>
      <c r="M519" s="142" t="n">
        <v>45443</v>
      </c>
      <c r="N519" s="143">
        <f>IFERROR(IF(G519&lt;&gt;"",IF(I519=TRUE,0,IF(U519=TRUE,0,L519-M519)),0),0)</f>
        <v/>
      </c>
      <c r="O519" s="143">
        <f>IF(N519&gt;0,IF(N519&lt;=180,N519,0),0)</f>
        <v/>
      </c>
      <c r="P519" s="141">
        <f>IF(AND(N519&lt;90,N519&gt;0),Q519,0)</f>
        <v/>
      </c>
      <c r="Q519" s="141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/>
      </c>
      <c r="R519" s="141">
        <f>IF(AND(H519=TRUE,I519=FALSE),Q519,0)</f>
        <v/>
      </c>
      <c r="S519" s="141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/>
      </c>
      <c r="T519" s="142">
        <f>IF(U519=TRUE,$J519,"")</f>
        <v/>
      </c>
      <c r="U519" s="140" t="b">
        <v>0</v>
      </c>
      <c r="V519" s="141">
        <f>IF(AND(H519=TRUE,OR(K519="",K519&gt;M519)),S519,0)</f>
        <v/>
      </c>
      <c r="W519" s="140" t="n">
        <v>0</v>
      </c>
      <c r="X519" s="140" t="b">
        <v>0</v>
      </c>
      <c r="Y519" s="143">
        <f>IF(H519=FALSE,VLOOKUP($C519,Sales!$C:$F,4,FALSE),1)</f>
        <v/>
      </c>
      <c r="Z519" s="140">
        <f>IF(Y519=0,"Release",IF(AND(L519&lt;J519,Y519=1,H519=FALSE,U519=FALSE,MONTH(L519)&amp;"/"&amp;YEAR(L519)&lt;&gt;MONTH(J519)&amp;"/"&amp;YEAR(J519)),"Release",""))</f>
        <v/>
      </c>
      <c r="AA519" s="144">
        <f>_xlfn.minifs($L:$L,$C:$C,$C519,$F:$F,"&lt;&gt;0")</f>
        <v/>
      </c>
      <c r="AB519" s="144">
        <f>C519&amp;"-"&amp;A519</f>
        <v/>
      </c>
      <c r="AC519" s="144">
        <f>L519</f>
        <v/>
      </c>
    </row>
    <row r="520">
      <c r="A520" s="140" t="inlineStr">
        <is>
          <t>ZCRO01</t>
        </is>
      </c>
      <c r="B520" s="140" t="n">
        <v>10</v>
      </c>
      <c r="C520" s="140" t="inlineStr">
        <is>
          <t>HVO201</t>
        </is>
      </c>
      <c r="D520" s="140" t="inlineStr">
        <is>
          <t>O</t>
        </is>
      </c>
      <c r="E520" s="140" t="inlineStr">
        <is>
          <t>Lunau Marc</t>
        </is>
      </c>
      <c r="F520" s="141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</f>
        <v/>
      </c>
      <c r="G520" s="142" t="n">
        <v>45044</v>
      </c>
      <c r="H520" s="140">
        <f>VLOOKUP($C520,Sales!$C:$E,2,FALSE)</f>
        <v/>
      </c>
      <c r="I520" s="140">
        <f>VLOOKUP($C520,Sales!$C:$E,3,FALSE)</f>
        <v/>
      </c>
      <c r="J520" s="142">
        <f>SUMIFS(Sales!$H:$H,Sales!$C:$C,'Investor Exit List'!$C520)</f>
        <v/>
      </c>
      <c r="K520" s="142">
        <f>IF(I520=TRUE,J520,"")</f>
        <v/>
      </c>
      <c r="L520" s="142">
        <f>G520+730</f>
        <v/>
      </c>
      <c r="M520" s="142" t="n">
        <v>45443</v>
      </c>
      <c r="N520" s="143">
        <f>IFERROR(IF(G520&lt;&gt;"",IF(I520=TRUE,0,IF(U520=TRUE,0,L520-M520)),0),0)</f>
        <v/>
      </c>
      <c r="O520" s="143">
        <f>IF(N520&gt;0,IF(N520&lt;=180,N520,0),0)</f>
        <v/>
      </c>
      <c r="P520" s="141">
        <f>IF(AND(N520&lt;90,N520&gt;0),Q520,0)</f>
        <v/>
      </c>
      <c r="Q520" s="141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/>
      </c>
      <c r="R520" s="141">
        <f>IF(AND(H520=TRUE,I520=FALSE),Q520,0)</f>
        <v/>
      </c>
      <c r="S520" s="141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/>
      </c>
      <c r="T520" s="142">
        <f>IF(U520=TRUE,$J520,"")</f>
        <v/>
      </c>
      <c r="U520" s="140" t="b">
        <v>0</v>
      </c>
      <c r="V520" s="141">
        <f>IF(AND(H520=TRUE,OR(K520="",K520&gt;M520)),S520,0)</f>
        <v/>
      </c>
      <c r="W520" s="140" t="n">
        <v>0</v>
      </c>
      <c r="X520" s="140" t="b">
        <v>0</v>
      </c>
      <c r="Y520" s="143">
        <f>IF(H520=FALSE,VLOOKUP($C520,Sales!$C:$F,4,FALSE),1)</f>
        <v/>
      </c>
      <c r="Z520" s="140">
        <f>IF(Y520=0,"Release",IF(AND(L520&lt;J520,Y520=1,H520=FALSE,U520=FALSE,MONTH(L520)&amp;"/"&amp;YEAR(L520)&lt;&gt;MONTH(J520)&amp;"/"&amp;YEAR(J520)),"Release",""))</f>
        <v/>
      </c>
      <c r="AA520" s="144">
        <f>_xlfn.minifs($L:$L,$C:$C,$C520,$F:$F,"&lt;&gt;0")</f>
        <v/>
      </c>
      <c r="AB520" s="144">
        <f>C520&amp;"-"&amp;A520</f>
        <v/>
      </c>
      <c r="AC520" s="144">
        <f>L520</f>
        <v/>
      </c>
    </row>
    <row r="521">
      <c r="A521" s="140" t="inlineStr">
        <is>
          <t>ZJOH01</t>
        </is>
      </c>
      <c r="B521" s="140" t="n">
        <v>8</v>
      </c>
      <c r="C521" s="140" t="inlineStr">
        <is>
          <t>HVO201</t>
        </is>
      </c>
      <c r="D521" s="140" t="inlineStr">
        <is>
          <t>O</t>
        </is>
      </c>
      <c r="E521" s="140" t="inlineStr">
        <is>
          <t>Johns Lisa-Marie Natalie</t>
        </is>
      </c>
      <c r="F521" s="141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</f>
        <v/>
      </c>
      <c r="G521" s="142" t="n">
        <v>45072</v>
      </c>
      <c r="H521" s="140">
        <f>VLOOKUP($C521,Sales!$C:$E,2,FALSE)</f>
        <v/>
      </c>
      <c r="I521" s="140">
        <f>VLOOKUP($C521,Sales!$C:$E,3,FALSE)</f>
        <v/>
      </c>
      <c r="J521" s="142">
        <f>SUMIFS(Sales!$H:$H,Sales!$C:$C,'Investor Exit List'!$C521)</f>
        <v/>
      </c>
      <c r="K521" s="142">
        <f>IF(I521=TRUE,J521,"")</f>
        <v/>
      </c>
      <c r="L521" s="142">
        <f>G521+730</f>
        <v/>
      </c>
      <c r="M521" s="142" t="n">
        <v>45443</v>
      </c>
      <c r="N521" s="143">
        <f>IFERROR(IF(G521&lt;&gt;"",IF(I521=TRUE,0,IF(U521=TRUE,0,L521-M521)),0),0)</f>
        <v/>
      </c>
      <c r="O521" s="143">
        <f>IF(N521&gt;0,IF(N521&lt;=180,N521,0),0)</f>
        <v/>
      </c>
      <c r="P521" s="141">
        <f>IF(AND(N521&lt;90,N521&gt;0),Q521,0)</f>
        <v/>
      </c>
      <c r="Q521" s="141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/>
      </c>
      <c r="R521" s="141">
        <f>IF(AND(H521=TRUE,I521=FALSE),Q521,0)</f>
        <v/>
      </c>
      <c r="S521" s="141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/>
      </c>
      <c r="T521" s="142">
        <f>IF(U521=TRUE,$J521,"")</f>
        <v/>
      </c>
      <c r="U521" s="140" t="b">
        <v>0</v>
      </c>
      <c r="V521" s="141">
        <f>IF(AND(H521=TRUE,OR(K521="",K521&gt;M521)),S521,0)</f>
        <v/>
      </c>
      <c r="W521" s="140" t="n">
        <v>0</v>
      </c>
      <c r="X521" s="140" t="b">
        <v>0</v>
      </c>
      <c r="Y521" s="143">
        <f>IF(H521=FALSE,VLOOKUP($C521,Sales!$C:$F,4,FALSE),1)</f>
        <v/>
      </c>
      <c r="Z521" s="140">
        <f>IF(Y521=0,"Release",IF(AND(L521&lt;J521,Y521=1,H521=FALSE,U521=FALSE,MONTH(L521)&amp;"/"&amp;YEAR(L521)&lt;&gt;MONTH(J521)&amp;"/"&amp;YEAR(J521)),"Release",""))</f>
        <v/>
      </c>
      <c r="AA521" s="144">
        <f>_xlfn.minifs($L:$L,$C:$C,$C521,$F:$F,"&lt;&gt;0")</f>
        <v/>
      </c>
      <c r="AB521" s="144">
        <f>C521&amp;"-"&amp;A521</f>
        <v/>
      </c>
      <c r="AC521" s="144">
        <f>L521</f>
        <v/>
      </c>
    </row>
    <row r="522">
      <c r="A522" s="140" t="inlineStr">
        <is>
          <t>ZMAT01</t>
        </is>
      </c>
      <c r="B522" s="140" t="n">
        <v>6</v>
      </c>
      <c r="C522" s="140" t="inlineStr">
        <is>
          <t>HVO201</t>
        </is>
      </c>
      <c r="D522" s="140" t="inlineStr">
        <is>
          <t>O</t>
        </is>
      </c>
      <c r="E522" s="140" t="inlineStr">
        <is>
          <t>Matthews Natalie</t>
        </is>
      </c>
      <c r="F522" s="141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</f>
        <v/>
      </c>
      <c r="G522" s="142" t="n">
        <v>45072</v>
      </c>
      <c r="H522" s="140">
        <f>VLOOKUP($C522,Sales!$C:$E,2,FALSE)</f>
        <v/>
      </c>
      <c r="I522" s="140">
        <f>VLOOKUP($C522,Sales!$C:$E,3,FALSE)</f>
        <v/>
      </c>
      <c r="J522" s="142">
        <f>SUMIFS(Sales!$H:$H,Sales!$C:$C,'Investor Exit List'!$C522)</f>
        <v/>
      </c>
      <c r="K522" s="142">
        <f>IF(I522=TRUE,J522,"")</f>
        <v/>
      </c>
      <c r="L522" s="142">
        <f>G522+730</f>
        <v/>
      </c>
      <c r="M522" s="142" t="n">
        <v>45443</v>
      </c>
      <c r="N522" s="143">
        <f>IFERROR(IF(G522&lt;&gt;"",IF(I522=TRUE,0,IF(U522=TRUE,0,L522-M522)),0),0)</f>
        <v/>
      </c>
      <c r="O522" s="143">
        <f>IF(N522&gt;0,IF(N522&lt;=180,N522,0),0)</f>
        <v/>
      </c>
      <c r="P522" s="141">
        <f>IF(AND(N522&lt;90,N522&gt;0),Q522,0)</f>
        <v/>
      </c>
      <c r="Q522" s="141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/>
      </c>
      <c r="R522" s="141">
        <f>IF(AND(H522=TRUE,I522=FALSE),Q522,0)</f>
        <v/>
      </c>
      <c r="S522" s="141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/>
      </c>
      <c r="T522" s="142">
        <f>IF(U522=TRUE,$J522,"")</f>
        <v/>
      </c>
      <c r="U522" s="140" t="b">
        <v>0</v>
      </c>
      <c r="V522" s="141">
        <f>IF(AND(H522=TRUE,OR(K522="",K522&gt;M522)),S522,0)</f>
        <v/>
      </c>
      <c r="W522" s="140" t="n">
        <v>0</v>
      </c>
      <c r="X522" s="140" t="b">
        <v>0</v>
      </c>
      <c r="Y522" s="143">
        <f>IF(H522=FALSE,VLOOKUP($C522,Sales!$C:$F,4,FALSE),1)</f>
        <v/>
      </c>
      <c r="Z522" s="140">
        <f>IF(Y522=0,"Release",IF(AND(L522&lt;J522,Y522=1,H522=FALSE,U522=FALSE,MONTH(L522)&amp;"/"&amp;YEAR(L522)&lt;&gt;MONTH(J522)&amp;"/"&amp;YEAR(J522)),"Release",""))</f>
        <v/>
      </c>
      <c r="AA522" s="144">
        <f>_xlfn.minifs($L:$L,$C:$C,$C522,$F:$F,"&lt;&gt;0")</f>
        <v/>
      </c>
      <c r="AB522" s="144">
        <f>C522&amp;"-"&amp;A522</f>
        <v/>
      </c>
      <c r="AC522" s="144">
        <f>L522</f>
        <v/>
      </c>
    </row>
    <row r="523">
      <c r="A523" s="140" t="inlineStr">
        <is>
          <t>ZTHA01</t>
        </is>
      </c>
      <c r="B523" s="140" t="n">
        <v>4</v>
      </c>
      <c r="C523" s="140" t="inlineStr">
        <is>
          <t>HVO201</t>
        </is>
      </c>
      <c r="D523" s="140" t="inlineStr">
        <is>
          <t>O</t>
        </is>
      </c>
      <c r="E523" s="140" t="inlineStr">
        <is>
          <t>Matthee Gerald Adriaan Odendal</t>
        </is>
      </c>
      <c r="F523" s="141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</f>
        <v/>
      </c>
      <c r="G523" s="142" t="n">
        <v>45016</v>
      </c>
      <c r="H523" s="140">
        <f>VLOOKUP($C523,Sales!$C:$E,2,FALSE)</f>
        <v/>
      </c>
      <c r="I523" s="140">
        <f>VLOOKUP($C523,Sales!$C:$E,3,FALSE)</f>
        <v/>
      </c>
      <c r="J523" s="142">
        <f>SUMIFS(Sales!$H:$H,Sales!$C:$C,'Investor Exit List'!$C523)</f>
        <v/>
      </c>
      <c r="K523" s="142">
        <f>IF(I523=TRUE,J523,"")</f>
        <v/>
      </c>
      <c r="L523" s="142">
        <f>G523+730</f>
        <v/>
      </c>
      <c r="M523" s="142" t="n">
        <v>45443</v>
      </c>
      <c r="N523" s="143">
        <f>IFERROR(IF(G523&lt;&gt;"",IF(I523=TRUE,0,IF(U523=TRUE,0,L523-M523)),0),0)</f>
        <v/>
      </c>
      <c r="O523" s="143">
        <f>IF(N523&gt;0,IF(N523&lt;=180,N523,0),0)</f>
        <v/>
      </c>
      <c r="P523" s="141">
        <f>IF(AND(N523&lt;90,N523&gt;0),Q523,0)</f>
        <v/>
      </c>
      <c r="Q523" s="141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/>
      </c>
      <c r="R523" s="141">
        <f>IF(AND(H523=TRUE,I523=FALSE),Q523,0)</f>
        <v/>
      </c>
      <c r="S523" s="141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/>
      </c>
      <c r="T523" s="142">
        <f>IF(U523=TRUE,$J523,"")</f>
        <v/>
      </c>
      <c r="U523" s="140" t="b">
        <v>0</v>
      </c>
      <c r="V523" s="141">
        <f>IF(AND(H523=TRUE,OR(K523="",K523&gt;M523)),S523,0)</f>
        <v/>
      </c>
      <c r="W523" s="140" t="n">
        <v>0</v>
      </c>
      <c r="X523" s="140" t="b">
        <v>0</v>
      </c>
      <c r="Y523" s="143">
        <f>IF(H523=FALSE,VLOOKUP($C523,Sales!$C:$F,4,FALSE),1)</f>
        <v/>
      </c>
      <c r="Z523" s="140">
        <f>IF(Y523=0,"Release",IF(AND(L523&lt;J523,Y523=1,H523=FALSE,U523=FALSE,MONTH(L523)&amp;"/"&amp;YEAR(L523)&lt;&gt;MONTH(J523)&amp;"/"&amp;YEAR(J523)),"Release",""))</f>
        <v/>
      </c>
      <c r="AA523" s="144">
        <f>_xlfn.minifs($L:$L,$C:$C,$C523,$F:$F,"&lt;&gt;0")</f>
        <v/>
      </c>
      <c r="AB523" s="144">
        <f>C523&amp;"-"&amp;A523</f>
        <v/>
      </c>
      <c r="AC523" s="144">
        <f>L523</f>
        <v/>
      </c>
    </row>
    <row r="524">
      <c r="A524" s="140" t="inlineStr">
        <is>
          <t>ZVAN05</t>
        </is>
      </c>
      <c r="B524" s="140" t="n">
        <v>8</v>
      </c>
      <c r="C524" s="140" t="inlineStr">
        <is>
          <t>HVO201</t>
        </is>
      </c>
      <c r="D524" s="140" t="inlineStr">
        <is>
          <t>O</t>
        </is>
      </c>
      <c r="E524" s="140" t="inlineStr">
        <is>
          <t>van der Sandt Hermanus</t>
        </is>
      </c>
      <c r="F524" s="141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</f>
        <v/>
      </c>
      <c r="G524" s="142" t="n">
        <v>45107</v>
      </c>
      <c r="H524" s="140">
        <f>VLOOKUP($C524,Sales!$C:$E,2,FALSE)</f>
        <v/>
      </c>
      <c r="I524" s="140">
        <f>VLOOKUP($C524,Sales!$C:$E,3,FALSE)</f>
        <v/>
      </c>
      <c r="J524" s="142">
        <f>SUMIFS(Sales!$H:$H,Sales!$C:$C,'Investor Exit List'!$C524)</f>
        <v/>
      </c>
      <c r="K524" s="142">
        <f>IF(I524=TRUE,J524,"")</f>
        <v/>
      </c>
      <c r="L524" s="142">
        <f>G524+730</f>
        <v/>
      </c>
      <c r="M524" s="142" t="n">
        <v>45443</v>
      </c>
      <c r="N524" s="143">
        <f>IFERROR(IF(G524&lt;&gt;"",IF(I524=TRUE,0,IF(U524=TRUE,0,L524-M524)),0),0)</f>
        <v/>
      </c>
      <c r="O524" s="143">
        <f>IF(N524&gt;0,IF(N524&lt;=180,N524,0),0)</f>
        <v/>
      </c>
      <c r="P524" s="141">
        <f>IF(AND(N524&lt;90,N524&gt;0),Q524,0)</f>
        <v/>
      </c>
      <c r="Q524" s="141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/>
      </c>
      <c r="R524" s="141">
        <f>IF(AND(H524=TRUE,I524=FALSE),Q524,0)</f>
        <v/>
      </c>
      <c r="S524" s="141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/>
      </c>
      <c r="T524" s="142">
        <f>IF(U524=TRUE,$J524,"")</f>
        <v/>
      </c>
      <c r="U524" s="140" t="b">
        <v>0</v>
      </c>
      <c r="V524" s="141">
        <f>IF(AND(H524=TRUE,OR(K524="",K524&gt;M524)),S524,0)</f>
        <v/>
      </c>
      <c r="W524" s="140" t="n">
        <v>0</v>
      </c>
      <c r="X524" s="140" t="b">
        <v>0</v>
      </c>
      <c r="Y524" s="143">
        <f>IF(H524=FALSE,VLOOKUP($C524,Sales!$C:$F,4,FALSE),1)</f>
        <v/>
      </c>
      <c r="Z524" s="140">
        <f>IF(Y524=0,"Release",IF(AND(L524&lt;J524,Y524=1,H524=FALSE,U524=FALSE,MONTH(L524)&amp;"/"&amp;YEAR(L524)&lt;&gt;MONTH(J524)&amp;"/"&amp;YEAR(J524)),"Release",""))</f>
        <v/>
      </c>
      <c r="AA524" s="144">
        <f>_xlfn.minifs($L:$L,$C:$C,$C524,$F:$F,"&lt;&gt;0")</f>
        <v/>
      </c>
      <c r="AB524" s="144">
        <f>C524&amp;"-"&amp;A524</f>
        <v/>
      </c>
      <c r="AC524" s="144">
        <f>L524</f>
        <v/>
      </c>
    </row>
    <row r="525">
      <c r="A525" s="140" t="inlineStr">
        <is>
          <t>ZDEL01</t>
        </is>
      </c>
      <c r="B525" s="140" t="n">
        <v>10</v>
      </c>
      <c r="C525" s="140" t="inlineStr">
        <is>
          <t>HVO202</t>
        </is>
      </c>
      <c r="D525" s="140" t="inlineStr">
        <is>
          <t>O</t>
        </is>
      </c>
      <c r="E525" s="140" t="inlineStr">
        <is>
          <t>Jansen van Vuuren Pieter</t>
        </is>
      </c>
      <c r="F525" s="141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</f>
        <v/>
      </c>
      <c r="G525" s="142" t="n">
        <v>45044</v>
      </c>
      <c r="H525" s="140">
        <f>VLOOKUP($C525,Sales!$C:$E,2,FALSE)</f>
        <v/>
      </c>
      <c r="I525" s="140">
        <f>VLOOKUP($C525,Sales!$C:$E,3,FALSE)</f>
        <v/>
      </c>
      <c r="J525" s="142">
        <f>SUMIFS(Sales!$H:$H,Sales!$C:$C,'Investor Exit List'!$C525)</f>
        <v/>
      </c>
      <c r="K525" s="142">
        <f>IF(I525=TRUE,J525,"")</f>
        <v/>
      </c>
      <c r="L525" s="142">
        <f>G525+730</f>
        <v/>
      </c>
      <c r="M525" s="142" t="n">
        <v>45443</v>
      </c>
      <c r="N525" s="143">
        <f>IFERROR(IF(G525&lt;&gt;"",IF(I525=TRUE,0,IF(U525=TRUE,0,L525-M525)),0),0)</f>
        <v/>
      </c>
      <c r="O525" s="143">
        <f>IF(N525&gt;0,IF(N525&lt;=180,N525,0),0)</f>
        <v/>
      </c>
      <c r="P525" s="141">
        <f>IF(AND(N525&lt;90,N525&gt;0),Q525,0)</f>
        <v/>
      </c>
      <c r="Q525" s="141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/>
      </c>
      <c r="R525" s="141">
        <f>IF(AND(H525=TRUE,I525=FALSE),Q525,0)</f>
        <v/>
      </c>
      <c r="S525" s="141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/>
      </c>
      <c r="T525" s="142">
        <f>IF(U525=TRUE,$J525,"")</f>
        <v/>
      </c>
      <c r="U525" s="140" t="b">
        <v>0</v>
      </c>
      <c r="V525" s="141">
        <f>IF(AND(H525=TRUE,OR(K525="",K525&gt;M525)),S525,0)</f>
        <v/>
      </c>
      <c r="W525" s="140" t="n">
        <v>0</v>
      </c>
      <c r="X525" s="140" t="b">
        <v>0</v>
      </c>
      <c r="Y525" s="143">
        <f>IF(H525=FALSE,VLOOKUP($C525,Sales!$C:$F,4,FALSE),1)</f>
        <v/>
      </c>
      <c r="Z525" s="140">
        <f>IF(Y525=0,"Release",IF(AND(L525&lt;J525,Y525=1,H525=FALSE,U525=FALSE,MONTH(L525)&amp;"/"&amp;YEAR(L525)&lt;&gt;MONTH(J525)&amp;"/"&amp;YEAR(J525)),"Release",""))</f>
        <v/>
      </c>
      <c r="AA525" s="144">
        <f>_xlfn.minifs($L:$L,$C:$C,$C525,$F:$F,"&lt;&gt;0")</f>
        <v/>
      </c>
      <c r="AB525" s="144">
        <f>C525&amp;"-"&amp;A525</f>
        <v/>
      </c>
      <c r="AC525" s="144">
        <f>L525</f>
        <v/>
      </c>
    </row>
    <row r="526">
      <c r="A526" s="140" t="inlineStr">
        <is>
          <t>ZHEI01</t>
        </is>
      </c>
      <c r="B526" s="140" t="n">
        <v>11</v>
      </c>
      <c r="C526" s="140" t="inlineStr">
        <is>
          <t>HVO202</t>
        </is>
      </c>
      <c r="D526" s="140" t="inlineStr">
        <is>
          <t>O</t>
        </is>
      </c>
      <c r="E526" s="140" t="inlineStr">
        <is>
          <t>Heinze Dieter Raimund</t>
        </is>
      </c>
      <c r="F526" s="141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</f>
        <v/>
      </c>
      <c r="G526" s="142" t="n">
        <v>45072</v>
      </c>
      <c r="H526" s="140">
        <f>VLOOKUP($C526,Sales!$C:$E,2,FALSE)</f>
        <v/>
      </c>
      <c r="I526" s="140">
        <f>VLOOKUP($C526,Sales!$C:$E,3,FALSE)</f>
        <v/>
      </c>
      <c r="J526" s="142">
        <f>SUMIFS(Sales!$H:$H,Sales!$C:$C,'Investor Exit List'!$C526)</f>
        <v/>
      </c>
      <c r="K526" s="142">
        <f>IF(I526=TRUE,J526,"")</f>
        <v/>
      </c>
      <c r="L526" s="142">
        <f>G526+730</f>
        <v/>
      </c>
      <c r="M526" s="142" t="n">
        <v>45443</v>
      </c>
      <c r="N526" s="143">
        <f>IFERROR(IF(G526&lt;&gt;"",IF(I526=TRUE,0,IF(U526=TRUE,0,L526-M526)),0),0)</f>
        <v/>
      </c>
      <c r="O526" s="143">
        <f>IF(N526&gt;0,IF(N526&lt;=180,N526,0),0)</f>
        <v/>
      </c>
      <c r="P526" s="141">
        <f>IF(AND(N526&lt;90,N526&gt;0),Q526,0)</f>
        <v/>
      </c>
      <c r="Q526" s="141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/>
      </c>
      <c r="R526" s="141">
        <f>IF(AND(H526=TRUE,I526=FALSE),Q526,0)</f>
        <v/>
      </c>
      <c r="S526" s="141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/>
      </c>
      <c r="T526" s="142">
        <f>IF(U526=TRUE,$J526,"")</f>
        <v/>
      </c>
      <c r="U526" s="140" t="b">
        <v>0</v>
      </c>
      <c r="V526" s="141">
        <f>IF(AND(H526=TRUE,OR(K526="",K526&gt;M526)),S526,0)</f>
        <v/>
      </c>
      <c r="W526" s="140" t="n">
        <v>0</v>
      </c>
      <c r="X526" s="140" t="b">
        <v>0</v>
      </c>
      <c r="Y526" s="143">
        <f>IF(H526=FALSE,VLOOKUP($C526,Sales!$C:$F,4,FALSE),1)</f>
        <v/>
      </c>
      <c r="Z526" s="140">
        <f>IF(Y526=0,"Release",IF(AND(L526&lt;J526,Y526=1,H526=FALSE,U526=FALSE,MONTH(L526)&amp;"/"&amp;YEAR(L526)&lt;&gt;MONTH(J526)&amp;"/"&amp;YEAR(J526)),"Release",""))</f>
        <v/>
      </c>
      <c r="AA526" s="144">
        <f>_xlfn.minifs($L:$L,$C:$C,$C526,$F:$F,"&lt;&gt;0")</f>
        <v/>
      </c>
      <c r="AB526" s="144">
        <f>C526&amp;"-"&amp;A526</f>
        <v/>
      </c>
      <c r="AC526" s="144">
        <f>L526</f>
        <v/>
      </c>
    </row>
    <row r="527">
      <c r="A527" s="140" t="inlineStr">
        <is>
          <t>ZLOU03</t>
        </is>
      </c>
      <c r="B527" s="140" t="n">
        <v>2</v>
      </c>
      <c r="C527" s="140" t="inlineStr">
        <is>
          <t>HVO202</t>
        </is>
      </c>
      <c r="D527" s="140" t="inlineStr">
        <is>
          <t>O</t>
        </is>
      </c>
      <c r="E527" s="140" t="inlineStr">
        <is>
          <t>Louwrens Peter Arnold</t>
        </is>
      </c>
      <c r="F527" s="141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</f>
        <v/>
      </c>
      <c r="G527" s="142" t="n">
        <v>45044</v>
      </c>
      <c r="H527" s="140">
        <f>VLOOKUP($C527,Sales!$C:$E,2,FALSE)</f>
        <v/>
      </c>
      <c r="I527" s="140">
        <f>VLOOKUP($C527,Sales!$C:$E,3,FALSE)</f>
        <v/>
      </c>
      <c r="J527" s="142">
        <f>SUMIFS(Sales!$H:$H,Sales!$C:$C,'Investor Exit List'!$C527)</f>
        <v/>
      </c>
      <c r="K527" s="142">
        <f>IF(I527=TRUE,J527,"")</f>
        <v/>
      </c>
      <c r="L527" s="142">
        <f>G527+730</f>
        <v/>
      </c>
      <c r="M527" s="142" t="n">
        <v>45443</v>
      </c>
      <c r="N527" s="143">
        <f>IFERROR(IF(G527&lt;&gt;"",IF(I527=TRUE,0,IF(U527=TRUE,0,L527-M527)),0),0)</f>
        <v/>
      </c>
      <c r="O527" s="143">
        <f>IF(N527&gt;0,IF(N527&lt;=180,N527,0),0)</f>
        <v/>
      </c>
      <c r="P527" s="141">
        <f>IF(AND(N527&lt;90,N527&gt;0),Q527,0)</f>
        <v/>
      </c>
      <c r="Q527" s="141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/>
      </c>
      <c r="R527" s="141">
        <f>IF(AND(H527=TRUE,I527=FALSE),Q527,0)</f>
        <v/>
      </c>
      <c r="S527" s="141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/>
      </c>
      <c r="T527" s="142">
        <f>IF(U527=TRUE,$J527,"")</f>
        <v/>
      </c>
      <c r="U527" s="140" t="b">
        <v>0</v>
      </c>
      <c r="V527" s="141">
        <f>IF(AND(H527=TRUE,OR(K527="",K527&gt;M527)),S527,0)</f>
        <v/>
      </c>
      <c r="W527" s="140" t="n">
        <v>0</v>
      </c>
      <c r="X527" s="140" t="b">
        <v>0</v>
      </c>
      <c r="Y527" s="143">
        <f>IF(H527=FALSE,VLOOKUP($C527,Sales!$C:$F,4,FALSE),1)</f>
        <v/>
      </c>
      <c r="Z527" s="140">
        <f>IF(Y527=0,"Release",IF(AND(L527&lt;J527,Y527=1,H527=FALSE,U527=FALSE,MONTH(L527)&amp;"/"&amp;YEAR(L527)&lt;&gt;MONTH(J527)&amp;"/"&amp;YEAR(J527)),"Release",""))</f>
        <v/>
      </c>
      <c r="AA527" s="144">
        <f>_xlfn.minifs($L:$L,$C:$C,$C527,$F:$F,"&lt;&gt;0")</f>
        <v/>
      </c>
      <c r="AB527" s="144">
        <f>C527&amp;"-"&amp;A527</f>
        <v/>
      </c>
      <c r="AC527" s="144">
        <f>L527</f>
        <v/>
      </c>
    </row>
    <row r="528">
      <c r="A528" s="140" t="inlineStr">
        <is>
          <t>ZWAL01</t>
        </is>
      </c>
      <c r="B528" s="140" t="n">
        <v>2</v>
      </c>
      <c r="C528" s="140" t="inlineStr">
        <is>
          <t>HVO202</t>
        </is>
      </c>
      <c r="D528" s="140" t="inlineStr">
        <is>
          <t>O</t>
        </is>
      </c>
      <c r="E528" s="140" t="inlineStr">
        <is>
          <t>Walters Benedict Joseph</t>
        </is>
      </c>
      <c r="F528" s="141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</f>
        <v/>
      </c>
      <c r="G528" s="142" t="n">
        <v>45016</v>
      </c>
      <c r="H528" s="140">
        <f>VLOOKUP($C528,Sales!$C:$E,2,FALSE)</f>
        <v/>
      </c>
      <c r="I528" s="140">
        <f>VLOOKUP($C528,Sales!$C:$E,3,FALSE)</f>
        <v/>
      </c>
      <c r="J528" s="142">
        <f>SUMIFS(Sales!$H:$H,Sales!$C:$C,'Investor Exit List'!$C528)</f>
        <v/>
      </c>
      <c r="K528" s="142">
        <f>IF(I528=TRUE,J528,"")</f>
        <v/>
      </c>
      <c r="L528" s="142">
        <f>G528+730</f>
        <v/>
      </c>
      <c r="M528" s="142" t="n">
        <v>45443</v>
      </c>
      <c r="N528" s="143">
        <f>IFERROR(IF(G528&lt;&gt;"",IF(I528=TRUE,0,IF(U528=TRUE,0,L528-M528)),0),0)</f>
        <v/>
      </c>
      <c r="O528" s="143">
        <f>IF(N528&gt;0,IF(N528&lt;=180,N528,0),0)</f>
        <v/>
      </c>
      <c r="P528" s="141">
        <f>IF(AND(N528&lt;90,N528&gt;0),Q528,0)</f>
        <v/>
      </c>
      <c r="Q528" s="141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/>
      </c>
      <c r="R528" s="141">
        <f>IF(AND(H528=TRUE,I528=FALSE),Q528,0)</f>
        <v/>
      </c>
      <c r="S528" s="141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/>
      </c>
      <c r="T528" s="142">
        <f>IF(U528=TRUE,$J528,"")</f>
        <v/>
      </c>
      <c r="U528" s="140" t="b">
        <v>0</v>
      </c>
      <c r="V528" s="141">
        <f>IF(AND(H528=TRUE,OR(K528="",K528&gt;M528)),S528,0)</f>
        <v/>
      </c>
      <c r="W528" s="140" t="n">
        <v>0</v>
      </c>
      <c r="X528" s="140" t="b">
        <v>0</v>
      </c>
      <c r="Y528" s="143">
        <f>IF(H528=FALSE,VLOOKUP($C528,Sales!$C:$F,4,FALSE),1)</f>
        <v/>
      </c>
      <c r="Z528" s="140">
        <f>IF(Y528=0,"Release",IF(AND(L528&lt;J528,Y528=1,H528=FALSE,U528=FALSE,MONTH(L528)&amp;"/"&amp;YEAR(L528)&lt;&gt;MONTH(J528)&amp;"/"&amp;YEAR(J528)),"Release",""))</f>
        <v/>
      </c>
      <c r="AA528" s="144">
        <f>_xlfn.minifs($L:$L,$C:$C,$C528,$F:$F,"&lt;&gt;0")</f>
        <v/>
      </c>
      <c r="AB528" s="144">
        <f>C528&amp;"-"&amp;A528</f>
        <v/>
      </c>
      <c r="AC528" s="144">
        <f>L528</f>
        <v/>
      </c>
    </row>
    <row r="529">
      <c r="A529" s="140" t="inlineStr">
        <is>
          <t>ZCRO01</t>
        </is>
      </c>
      <c r="B529" s="140" t="n">
        <v>11</v>
      </c>
      <c r="C529" s="140" t="inlineStr">
        <is>
          <t>HVO203</t>
        </is>
      </c>
      <c r="D529" s="140" t="inlineStr">
        <is>
          <t>O</t>
        </is>
      </c>
      <c r="E529" s="140" t="inlineStr">
        <is>
          <t>Lunau Marc</t>
        </is>
      </c>
      <c r="F529" s="141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</f>
        <v/>
      </c>
      <c r="G529" s="142" t="n">
        <v>45072</v>
      </c>
      <c r="H529" s="140">
        <f>VLOOKUP($C529,Sales!$C:$E,2,FALSE)</f>
        <v/>
      </c>
      <c r="I529" s="140">
        <f>VLOOKUP($C529,Sales!$C:$E,3,FALSE)</f>
        <v/>
      </c>
      <c r="J529" s="142">
        <f>SUMIFS(Sales!$H:$H,Sales!$C:$C,'Investor Exit List'!$C529)</f>
        <v/>
      </c>
      <c r="K529" s="142">
        <f>IF(I529=TRUE,J529,"")</f>
        <v/>
      </c>
      <c r="L529" s="142">
        <f>G529+730</f>
        <v/>
      </c>
      <c r="M529" s="142" t="n">
        <v>45443</v>
      </c>
      <c r="N529" s="143">
        <f>IFERROR(IF(G529&lt;&gt;"",IF(I529=TRUE,0,IF(U529=TRUE,0,L529-M529)),0),0)</f>
        <v/>
      </c>
      <c r="O529" s="143">
        <f>IF(N529&gt;0,IF(N529&lt;=180,N529,0),0)</f>
        <v/>
      </c>
      <c r="P529" s="141">
        <f>IF(AND(N529&lt;90,N529&gt;0),Q529,0)</f>
        <v/>
      </c>
      <c r="Q529" s="141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/>
      </c>
      <c r="R529" s="141">
        <f>IF(AND(H529=TRUE,I529=FALSE),Q529,0)</f>
        <v/>
      </c>
      <c r="S529" s="141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/>
      </c>
      <c r="T529" s="142">
        <f>IF(U529=TRUE,$J529,"")</f>
        <v/>
      </c>
      <c r="U529" s="140" t="b">
        <v>0</v>
      </c>
      <c r="V529" s="141">
        <f>IF(AND(H529=TRUE,OR(K529="",K529&gt;M529)),S529,0)</f>
        <v/>
      </c>
      <c r="W529" s="140" t="n">
        <v>0</v>
      </c>
      <c r="X529" s="140" t="b">
        <v>0</v>
      </c>
      <c r="Y529" s="143">
        <f>IF(H529=FALSE,VLOOKUP($C529,Sales!$C:$F,4,FALSE),1)</f>
        <v/>
      </c>
      <c r="Z529" s="140">
        <f>IF(Y529=0,"Release",IF(AND(L529&lt;J529,Y529=1,H529=FALSE,U529=FALSE,MONTH(L529)&amp;"/"&amp;YEAR(L529)&lt;&gt;MONTH(J529)&amp;"/"&amp;YEAR(J529)),"Release",""))</f>
        <v/>
      </c>
      <c r="AA529" s="144">
        <f>_xlfn.minifs($L:$L,$C:$C,$C529,$F:$F,"&lt;&gt;0")</f>
        <v/>
      </c>
      <c r="AB529" s="144">
        <f>C529&amp;"-"&amp;A529</f>
        <v/>
      </c>
      <c r="AC529" s="144">
        <f>L529</f>
        <v/>
      </c>
    </row>
    <row r="530">
      <c r="A530" s="140" t="inlineStr">
        <is>
          <t>ZKRU01</t>
        </is>
      </c>
      <c r="B530" s="140" t="n">
        <v>7</v>
      </c>
      <c r="C530" s="140" t="inlineStr">
        <is>
          <t>HVO203</t>
        </is>
      </c>
      <c r="D530" s="140" t="inlineStr">
        <is>
          <t>O</t>
        </is>
      </c>
      <c r="E530" s="140" t="inlineStr">
        <is>
          <t>Kruger Jurgen</t>
        </is>
      </c>
      <c r="F530" s="141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</f>
        <v/>
      </c>
      <c r="G530" s="142" t="n">
        <v>45072</v>
      </c>
      <c r="H530" s="140">
        <f>VLOOKUP($C530,Sales!$C:$E,2,FALSE)</f>
        <v/>
      </c>
      <c r="I530" s="140">
        <f>VLOOKUP($C530,Sales!$C:$E,3,FALSE)</f>
        <v/>
      </c>
      <c r="J530" s="142">
        <f>SUMIFS(Sales!$H:$H,Sales!$C:$C,'Investor Exit List'!$C530)</f>
        <v/>
      </c>
      <c r="K530" s="142">
        <f>IF(I530=TRUE,J530,"")</f>
        <v/>
      </c>
      <c r="L530" s="142">
        <f>G530+730</f>
        <v/>
      </c>
      <c r="M530" s="142" t="n">
        <v>45443</v>
      </c>
      <c r="N530" s="143">
        <f>IFERROR(IF(G530&lt;&gt;"",IF(I530=TRUE,0,IF(U530=TRUE,0,L530-M530)),0),0)</f>
        <v/>
      </c>
      <c r="O530" s="143">
        <f>IF(N530&gt;0,IF(N530&lt;=180,N530,0),0)</f>
        <v/>
      </c>
      <c r="P530" s="141">
        <f>IF(AND(N530&lt;90,N530&gt;0),Q530,0)</f>
        <v/>
      </c>
      <c r="Q530" s="141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/>
      </c>
      <c r="R530" s="141">
        <f>IF(AND(H530=TRUE,I530=FALSE),Q530,0)</f>
        <v/>
      </c>
      <c r="S530" s="141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/>
      </c>
      <c r="T530" s="142">
        <f>IF(U530=TRUE,$J530,"")</f>
        <v/>
      </c>
      <c r="U530" s="140" t="b">
        <v>0</v>
      </c>
      <c r="V530" s="141">
        <f>IF(AND(H530=TRUE,OR(K530="",K530&gt;M530)),S530,0)</f>
        <v/>
      </c>
      <c r="W530" s="140" t="n">
        <v>0</v>
      </c>
      <c r="X530" s="140" t="b">
        <v>0</v>
      </c>
      <c r="Y530" s="143">
        <f>IF(H530=FALSE,VLOOKUP($C530,Sales!$C:$F,4,FALSE),1)</f>
        <v/>
      </c>
      <c r="Z530" s="140">
        <f>IF(Y530=0,"Release",IF(AND(L530&lt;J530,Y530=1,H530=FALSE,U530=FALSE,MONTH(L530)&amp;"/"&amp;YEAR(L530)&lt;&gt;MONTH(J530)&amp;"/"&amp;YEAR(J530)),"Release",""))</f>
        <v/>
      </c>
      <c r="AA530" s="144">
        <f>_xlfn.minifs($L:$L,$C:$C,$C530,$F:$F,"&lt;&gt;0")</f>
        <v/>
      </c>
      <c r="AB530" s="144">
        <f>C530&amp;"-"&amp;A530</f>
        <v/>
      </c>
      <c r="AC530" s="144">
        <f>L530</f>
        <v/>
      </c>
    </row>
    <row r="531">
      <c r="A531" s="140" t="inlineStr">
        <is>
          <t>ZVAL01</t>
        </is>
      </c>
      <c r="B531" s="140" t="n">
        <v>2</v>
      </c>
      <c r="C531" s="140" t="inlineStr">
        <is>
          <t>HVO203</t>
        </is>
      </c>
      <c r="D531" s="140" t="inlineStr">
        <is>
          <t>O</t>
        </is>
      </c>
      <c r="E531" s="140" t="inlineStr">
        <is>
          <t>Vallabh Manoj</t>
        </is>
      </c>
      <c r="F531" s="141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</f>
        <v/>
      </c>
      <c r="G531" s="142" t="n">
        <v>45129</v>
      </c>
      <c r="H531" s="140">
        <f>VLOOKUP($C531,Sales!$C:$E,2,FALSE)</f>
        <v/>
      </c>
      <c r="I531" s="140">
        <f>VLOOKUP($C531,Sales!$C:$E,3,FALSE)</f>
        <v/>
      </c>
      <c r="J531" s="142">
        <f>SUMIFS(Sales!$H:$H,Sales!$C:$C,'Investor Exit List'!$C531)</f>
        <v/>
      </c>
      <c r="K531" s="142">
        <f>IF(I531=TRUE,J531,"")</f>
        <v/>
      </c>
      <c r="L531" s="142">
        <f>G531+730</f>
        <v/>
      </c>
      <c r="M531" s="142" t="n">
        <v>45443</v>
      </c>
      <c r="N531" s="143">
        <f>IFERROR(IF(G531&lt;&gt;"",IF(I531=TRUE,0,IF(U531=TRUE,0,L531-M531)),0),0)</f>
        <v/>
      </c>
      <c r="O531" s="143">
        <f>IF(N531&gt;0,IF(N531&lt;=180,N531,0),0)</f>
        <v/>
      </c>
      <c r="P531" s="141">
        <f>IF(AND(N531&lt;90,N531&gt;0),Q531,0)</f>
        <v/>
      </c>
      <c r="Q531" s="141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/>
      </c>
      <c r="R531" s="141">
        <f>IF(AND(H531=TRUE,I531=FALSE),Q531,0)</f>
        <v/>
      </c>
      <c r="S531" s="141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/>
      </c>
      <c r="T531" s="142">
        <f>IF(U531=TRUE,$J531,"")</f>
        <v/>
      </c>
      <c r="U531" s="140" t="b">
        <v>0</v>
      </c>
      <c r="V531" s="141">
        <f>IF(AND(H531=TRUE,OR(K531="",K531&gt;M531)),S531,0)</f>
        <v/>
      </c>
      <c r="W531" s="140" t="n">
        <v>0</v>
      </c>
      <c r="X531" s="140" t="b">
        <v>0</v>
      </c>
      <c r="Y531" s="143">
        <f>IF(H531=FALSE,VLOOKUP($C531,Sales!$C:$F,4,FALSE),1)</f>
        <v/>
      </c>
      <c r="Z531" s="140">
        <f>IF(Y531=0,"Release",IF(AND(L531&lt;J531,Y531=1,H531=FALSE,U531=FALSE,MONTH(L531)&amp;"/"&amp;YEAR(L531)&lt;&gt;MONTH(J531)&amp;"/"&amp;YEAR(J531)),"Release",""))</f>
        <v/>
      </c>
      <c r="AA531" s="144">
        <f>_xlfn.minifs($L:$L,$C:$C,$C531,$F:$F,"&lt;&gt;0")</f>
        <v/>
      </c>
      <c r="AB531" s="144">
        <f>C531&amp;"-"&amp;A531</f>
        <v/>
      </c>
      <c r="AC531" s="144">
        <f>L531</f>
        <v/>
      </c>
    </row>
    <row r="532">
      <c r="A532" s="140" t="inlineStr">
        <is>
          <t>ZLAB01</t>
        </is>
      </c>
      <c r="B532" s="140" t="n">
        <v>4</v>
      </c>
      <c r="C532" s="140" t="inlineStr">
        <is>
          <t>HVO204</t>
        </is>
      </c>
      <c r="D532" s="140" t="inlineStr">
        <is>
          <t>O</t>
        </is>
      </c>
      <c r="E532" s="140" t="inlineStr">
        <is>
          <t>Labuschagne Andre Jan</t>
        </is>
      </c>
      <c r="F532" s="141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</f>
        <v/>
      </c>
      <c r="G532" s="142" t="n">
        <v>45072</v>
      </c>
      <c r="H532" s="140">
        <f>VLOOKUP($C532,Sales!$C:$E,2,FALSE)</f>
        <v/>
      </c>
      <c r="I532" s="140">
        <f>VLOOKUP($C532,Sales!$C:$E,3,FALSE)</f>
        <v/>
      </c>
      <c r="J532" s="142">
        <f>SUMIFS(Sales!$H:$H,Sales!$C:$C,'Investor Exit List'!$C532)</f>
        <v/>
      </c>
      <c r="K532" s="142">
        <f>IF(I532=TRUE,J532,"")</f>
        <v/>
      </c>
      <c r="L532" s="142">
        <f>G532+730</f>
        <v/>
      </c>
      <c r="M532" s="142" t="n">
        <v>45443</v>
      </c>
      <c r="N532" s="143">
        <f>IFERROR(IF(G532&lt;&gt;"",IF(I532=TRUE,0,IF(U532=TRUE,0,L532-M532)),0),0)</f>
        <v/>
      </c>
      <c r="O532" s="143">
        <f>IF(N532&gt;0,IF(N532&lt;=180,N532,0),0)</f>
        <v/>
      </c>
      <c r="P532" s="141">
        <f>IF(AND(N532&lt;90,N532&gt;0),Q532,0)</f>
        <v/>
      </c>
      <c r="Q532" s="141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/>
      </c>
      <c r="R532" s="141">
        <f>IF(AND(H532=TRUE,I532=FALSE),Q532,0)</f>
        <v/>
      </c>
      <c r="S532" s="141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/>
      </c>
      <c r="T532" s="142">
        <f>IF(U532=TRUE,$J532,"")</f>
        <v/>
      </c>
      <c r="U532" s="140" t="b">
        <v>0</v>
      </c>
      <c r="V532" s="141">
        <f>IF(AND(H532=TRUE,OR(K532="",K532&gt;M532)),S532,0)</f>
        <v/>
      </c>
      <c r="W532" s="140" t="n">
        <v>0</v>
      </c>
      <c r="X532" s="140" t="b">
        <v>0</v>
      </c>
      <c r="Y532" s="143">
        <f>IF(H532=FALSE,VLOOKUP($C532,Sales!$C:$F,4,FALSE),1)</f>
        <v/>
      </c>
      <c r="Z532" s="140">
        <f>IF(Y532=0,"Release",IF(AND(L532&lt;J532,Y532=1,H532=FALSE,U532=FALSE,MONTH(L532)&amp;"/"&amp;YEAR(L532)&lt;&gt;MONTH(J532)&amp;"/"&amp;YEAR(J532)),"Release",""))</f>
        <v/>
      </c>
      <c r="AA532" s="144">
        <f>_xlfn.minifs($L:$L,$C:$C,$C532,$F:$F,"&lt;&gt;0")</f>
        <v/>
      </c>
      <c r="AB532" s="144">
        <f>C532&amp;"-"&amp;A532</f>
        <v/>
      </c>
      <c r="AC532" s="144">
        <f>L532</f>
        <v/>
      </c>
    </row>
    <row r="533">
      <c r="A533" s="140" t="inlineStr">
        <is>
          <t>ZTSO01</t>
        </is>
      </c>
      <c r="B533" s="140" t="n">
        <v>2</v>
      </c>
      <c r="C533" s="140" t="inlineStr">
        <is>
          <t>HVO204</t>
        </is>
      </c>
      <c r="D533" s="140" t="inlineStr">
        <is>
          <t>O</t>
        </is>
      </c>
      <c r="E533" s="140" t="inlineStr">
        <is>
          <t>Tsoku Abram Matlotleng</t>
        </is>
      </c>
      <c r="F533" s="141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</f>
        <v/>
      </c>
      <c r="G533" s="142" t="n">
        <v>45072</v>
      </c>
      <c r="H533" s="140">
        <f>VLOOKUP($C533,Sales!$C:$E,2,FALSE)</f>
        <v/>
      </c>
      <c r="I533" s="140">
        <f>VLOOKUP($C533,Sales!$C:$E,3,FALSE)</f>
        <v/>
      </c>
      <c r="J533" s="142">
        <f>SUMIFS(Sales!$H:$H,Sales!$C:$C,'Investor Exit List'!$C533)</f>
        <v/>
      </c>
      <c r="K533" s="142">
        <f>IF(I533=TRUE,J533,"")</f>
        <v/>
      </c>
      <c r="L533" s="142">
        <f>G533+730</f>
        <v/>
      </c>
      <c r="M533" s="142" t="n">
        <v>45443</v>
      </c>
      <c r="N533" s="143">
        <f>IFERROR(IF(G533&lt;&gt;"",IF(I533=TRUE,0,IF(U533=TRUE,0,L533-M533)),0),0)</f>
        <v/>
      </c>
      <c r="O533" s="143">
        <f>IF(N533&gt;0,IF(N533&lt;=180,N533,0),0)</f>
        <v/>
      </c>
      <c r="P533" s="141">
        <f>IF(AND(N533&lt;90,N533&gt;0),Q533,0)</f>
        <v/>
      </c>
      <c r="Q533" s="141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/>
      </c>
      <c r="R533" s="141">
        <f>IF(AND(H533=TRUE,I533=FALSE),Q533,0)</f>
        <v/>
      </c>
      <c r="S533" s="141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/>
      </c>
      <c r="T533" s="142">
        <f>IF(U533=TRUE,$J533,"")</f>
        <v/>
      </c>
      <c r="U533" s="140" t="b">
        <v>0</v>
      </c>
      <c r="V533" s="141">
        <f>IF(AND(H533=TRUE,OR(K533="",K533&gt;M533)),S533,0)</f>
        <v/>
      </c>
      <c r="W533" s="140" t="n">
        <v>0</v>
      </c>
      <c r="X533" s="140" t="b">
        <v>0</v>
      </c>
      <c r="Y533" s="143">
        <f>IF(H533=FALSE,VLOOKUP($C533,Sales!$C:$F,4,FALSE),1)</f>
        <v/>
      </c>
      <c r="Z533" s="140">
        <f>IF(Y533=0,"Release",IF(AND(L533&lt;J533,Y533=1,H533=FALSE,U533=FALSE,MONTH(L533)&amp;"/"&amp;YEAR(L533)&lt;&gt;MONTH(J533)&amp;"/"&amp;YEAR(J533)),"Release",""))</f>
        <v/>
      </c>
      <c r="AA533" s="144">
        <f>_xlfn.minifs($L:$L,$C:$C,$C533,$F:$F,"&lt;&gt;0")</f>
        <v/>
      </c>
      <c r="AB533" s="144">
        <f>C533&amp;"-"&amp;A533</f>
        <v/>
      </c>
      <c r="AC533" s="144">
        <f>L533</f>
        <v/>
      </c>
    </row>
    <row r="534">
      <c r="A534" s="140" t="inlineStr">
        <is>
          <t>ZKUS04</t>
        </is>
      </c>
      <c r="B534" s="140" t="n">
        <v>2</v>
      </c>
      <c r="C534" s="140" t="inlineStr">
        <is>
          <t>HVO205</t>
        </is>
      </c>
      <c r="D534" s="140" t="inlineStr">
        <is>
          <t>O</t>
        </is>
      </c>
      <c r="E534" s="140" t="inlineStr">
        <is>
          <t>Kusel Willie</t>
        </is>
      </c>
      <c r="F534" s="141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</f>
        <v/>
      </c>
      <c r="G534" s="142" t="n">
        <v>45072</v>
      </c>
      <c r="H534" s="140">
        <f>VLOOKUP($C534,Sales!$C:$E,2,FALSE)</f>
        <v/>
      </c>
      <c r="I534" s="140">
        <f>VLOOKUP($C534,Sales!$C:$E,3,FALSE)</f>
        <v/>
      </c>
      <c r="J534" s="142">
        <f>SUMIFS(Sales!$H:$H,Sales!$C:$C,'Investor Exit List'!$C534)</f>
        <v/>
      </c>
      <c r="K534" s="142">
        <f>IF(I534=TRUE,J534,"")</f>
        <v/>
      </c>
      <c r="L534" s="142">
        <f>G534+730</f>
        <v/>
      </c>
      <c r="M534" s="142" t="n">
        <v>45443</v>
      </c>
      <c r="N534" s="143">
        <f>IFERROR(IF(G534&lt;&gt;"",IF(I534=TRUE,0,IF(U534=TRUE,0,L534-M534)),0),0)</f>
        <v/>
      </c>
      <c r="O534" s="143">
        <f>IF(N534&gt;0,IF(N534&lt;=180,N534,0),0)</f>
        <v/>
      </c>
      <c r="P534" s="141">
        <f>IF(AND(N534&lt;90,N534&gt;0),Q534,0)</f>
        <v/>
      </c>
      <c r="Q534" s="141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/>
      </c>
      <c r="R534" s="141">
        <f>IF(AND(H534=TRUE,I534=FALSE),Q534,0)</f>
        <v/>
      </c>
      <c r="S534" s="141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/>
      </c>
      <c r="T534" s="142">
        <f>IF(U534=TRUE,$J534,"")</f>
        <v/>
      </c>
      <c r="U534" s="140" t="b">
        <v>0</v>
      </c>
      <c r="V534" s="141">
        <f>IF(AND(H534=TRUE,OR(K534="",K534&gt;M534)),S534,0)</f>
        <v/>
      </c>
      <c r="W534" s="140" t="n">
        <v>0</v>
      </c>
      <c r="X534" s="140" t="b">
        <v>0</v>
      </c>
      <c r="Y534" s="143">
        <f>IF(H534=FALSE,VLOOKUP($C534,Sales!$C:$F,4,FALSE),1)</f>
        <v/>
      </c>
      <c r="Z534" s="140">
        <f>IF(Y534=0,"Release",IF(AND(L534&lt;J534,Y534=1,H534=FALSE,U534=FALSE,MONTH(L534)&amp;"/"&amp;YEAR(L534)&lt;&gt;MONTH(J534)&amp;"/"&amp;YEAR(J534)),"Release",""))</f>
        <v/>
      </c>
      <c r="AA534" s="144">
        <f>_xlfn.minifs($L:$L,$C:$C,$C534,$F:$F,"&lt;&gt;0")</f>
        <v/>
      </c>
      <c r="AB534" s="144">
        <f>C534&amp;"-"&amp;A534</f>
        <v/>
      </c>
      <c r="AC534" s="144">
        <f>L534</f>
        <v/>
      </c>
    </row>
    <row r="535">
      <c r="A535" s="140" t="inlineStr">
        <is>
          <t>ZVAN10</t>
        </is>
      </c>
      <c r="B535" s="140" t="n">
        <v>2</v>
      </c>
      <c r="C535" s="140" t="inlineStr">
        <is>
          <t>HVO205</t>
        </is>
      </c>
      <c r="D535" s="140" t="inlineStr">
        <is>
          <t>O</t>
        </is>
      </c>
      <c r="E535" s="140" t="inlineStr">
        <is>
          <t>van der Merwe Wilhelm Johannes</t>
        </is>
      </c>
      <c r="F535" s="141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</f>
        <v/>
      </c>
      <c r="G535" s="142" t="n">
        <v>45072</v>
      </c>
      <c r="H535" s="140">
        <f>VLOOKUP($C535,Sales!$C:$E,2,FALSE)</f>
        <v/>
      </c>
      <c r="I535" s="140">
        <f>VLOOKUP($C535,Sales!$C:$E,3,FALSE)</f>
        <v/>
      </c>
      <c r="J535" s="142">
        <f>SUMIFS(Sales!$H:$H,Sales!$C:$C,'Investor Exit List'!$C535)</f>
        <v/>
      </c>
      <c r="K535" s="142">
        <f>IF(I535=TRUE,J535,"")</f>
        <v/>
      </c>
      <c r="L535" s="142">
        <f>G535+730</f>
        <v/>
      </c>
      <c r="M535" s="142" t="n">
        <v>45443</v>
      </c>
      <c r="N535" s="143">
        <f>IFERROR(IF(G535&lt;&gt;"",IF(I535=TRUE,0,IF(U535=TRUE,0,L535-M535)),0),0)</f>
        <v/>
      </c>
      <c r="O535" s="143">
        <f>IF(N535&gt;0,IF(N535&lt;=180,N535,0),0)</f>
        <v/>
      </c>
      <c r="P535" s="141">
        <f>IF(AND(N535&lt;90,N535&gt;0),Q535,0)</f>
        <v/>
      </c>
      <c r="Q535" s="141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/>
      </c>
      <c r="R535" s="141">
        <f>IF(AND(H535=TRUE,I535=FALSE),Q535,0)</f>
        <v/>
      </c>
      <c r="S535" s="141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/>
      </c>
      <c r="T535" s="142">
        <f>IF(U535=TRUE,$J535,"")</f>
        <v/>
      </c>
      <c r="U535" s="140" t="b">
        <v>0</v>
      </c>
      <c r="V535" s="141">
        <f>IF(AND(H535=TRUE,OR(K535="",K535&gt;M535)),S535,0)</f>
        <v/>
      </c>
      <c r="W535" s="140" t="n">
        <v>0</v>
      </c>
      <c r="X535" s="140" t="b">
        <v>0</v>
      </c>
      <c r="Y535" s="143">
        <f>IF(H535=FALSE,VLOOKUP($C535,Sales!$C:$F,4,FALSE),1)</f>
        <v/>
      </c>
      <c r="Z535" s="140">
        <f>IF(Y535=0,"Release",IF(AND(L535&lt;J535,Y535=1,H535=FALSE,U535=FALSE,MONTH(L535)&amp;"/"&amp;YEAR(L535)&lt;&gt;MONTH(J535)&amp;"/"&amp;YEAR(J535)),"Release",""))</f>
        <v/>
      </c>
      <c r="AA535" s="144">
        <f>_xlfn.minifs($L:$L,$C:$C,$C535,$F:$F,"&lt;&gt;0")</f>
        <v/>
      </c>
      <c r="AB535" s="144">
        <f>C535&amp;"-"&amp;A535</f>
        <v/>
      </c>
      <c r="AC535" s="144">
        <f>L535</f>
        <v/>
      </c>
    </row>
    <row r="536">
      <c r="A536" s="140" t="inlineStr">
        <is>
          <t>ZDEV02</t>
        </is>
      </c>
      <c r="B536" s="140" t="n">
        <v>1</v>
      </c>
      <c r="C536" s="140" t="inlineStr">
        <is>
          <t>HVO301</t>
        </is>
      </c>
      <c r="D536" s="140" t="inlineStr">
        <is>
          <t>O</t>
        </is>
      </c>
      <c r="E536" s="140" t="inlineStr">
        <is>
          <t>de Villiers André Deric</t>
        </is>
      </c>
      <c r="F536" s="141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</f>
        <v/>
      </c>
      <c r="G536" s="142" t="n">
        <v>45107</v>
      </c>
      <c r="H536" s="140">
        <f>VLOOKUP($C536,Sales!$C:$E,2,FALSE)</f>
        <v/>
      </c>
      <c r="I536" s="140">
        <f>VLOOKUP($C536,Sales!$C:$E,3,FALSE)</f>
        <v/>
      </c>
      <c r="J536" s="142">
        <f>SUMIFS(Sales!$H:$H,Sales!$C:$C,'Investor Exit List'!$C536)</f>
        <v/>
      </c>
      <c r="K536" s="142">
        <f>IF(I536=TRUE,J536,"")</f>
        <v/>
      </c>
      <c r="L536" s="142">
        <f>G536+730</f>
        <v/>
      </c>
      <c r="M536" s="142" t="n">
        <v>45443</v>
      </c>
      <c r="N536" s="143">
        <f>IFERROR(IF(G536&lt;&gt;"",IF(I536=TRUE,0,IF(U536=TRUE,0,L536-M536)),0),0)</f>
        <v/>
      </c>
      <c r="O536" s="143">
        <f>IF(N536&gt;0,IF(N536&lt;=180,N536,0),0)</f>
        <v/>
      </c>
      <c r="P536" s="141">
        <f>IF(AND(N536&lt;90,N536&gt;0),Q536,0)</f>
        <v/>
      </c>
      <c r="Q536" s="141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/>
      </c>
      <c r="R536" s="141">
        <f>IF(AND(H536=TRUE,I536=FALSE),Q536,0)</f>
        <v/>
      </c>
      <c r="S536" s="141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/>
      </c>
      <c r="T536" s="142">
        <f>IF(U536=TRUE,$J536,"")</f>
        <v/>
      </c>
      <c r="U536" s="140" t="b">
        <v>0</v>
      </c>
      <c r="V536" s="141">
        <f>IF(AND(H536=TRUE,OR(K536="",K536&gt;M536)),S536,0)</f>
        <v/>
      </c>
      <c r="W536" s="140" t="n">
        <v>0</v>
      </c>
      <c r="X536" s="140" t="b">
        <v>0</v>
      </c>
      <c r="Y536" s="143">
        <f>IF(H536=FALSE,VLOOKUP($C536,Sales!$C:$F,4,FALSE),1)</f>
        <v/>
      </c>
      <c r="Z536" s="140">
        <f>IF(Y536=0,"Release",IF(AND(L536&lt;J536,Y536=1,H536=FALSE,U536=FALSE,MONTH(L536)&amp;"/"&amp;YEAR(L536)&lt;&gt;MONTH(J536)&amp;"/"&amp;YEAR(J536)),"Release",""))</f>
        <v/>
      </c>
      <c r="AA536" s="144">
        <f>_xlfn.minifs($L:$L,$C:$C,$C536,$F:$F,"&lt;&gt;0")</f>
        <v/>
      </c>
      <c r="AB536" s="144">
        <f>C536&amp;"-"&amp;A536</f>
        <v/>
      </c>
      <c r="AC536" s="144">
        <f>L536</f>
        <v/>
      </c>
    </row>
    <row r="537">
      <c r="A537" s="140" t="inlineStr">
        <is>
          <t>ZGOF01</t>
        </is>
      </c>
      <c r="B537" s="140" t="n">
        <v>3</v>
      </c>
      <c r="C537" s="140" t="inlineStr">
        <is>
          <t>HVO301</t>
        </is>
      </c>
      <c r="D537" s="140" t="inlineStr">
        <is>
          <t>O</t>
        </is>
      </c>
      <c r="E537" s="140" t="inlineStr">
        <is>
          <t>Goff Angela</t>
        </is>
      </c>
      <c r="F537" s="141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</f>
        <v/>
      </c>
      <c r="G537" s="142" t="n">
        <v>45129</v>
      </c>
      <c r="H537" s="140">
        <f>VLOOKUP($C537,Sales!$C:$E,2,FALSE)</f>
        <v/>
      </c>
      <c r="I537" s="140">
        <f>VLOOKUP($C537,Sales!$C:$E,3,FALSE)</f>
        <v/>
      </c>
      <c r="J537" s="142">
        <f>SUMIFS(Sales!$H:$H,Sales!$C:$C,'Investor Exit List'!$C537)</f>
        <v/>
      </c>
      <c r="K537" s="142">
        <f>IF(I537=TRUE,J537,"")</f>
        <v/>
      </c>
      <c r="L537" s="142">
        <f>G537+730</f>
        <v/>
      </c>
      <c r="M537" s="142" t="n">
        <v>45443</v>
      </c>
      <c r="N537" s="143">
        <f>IFERROR(IF(G537&lt;&gt;"",IF(I537=TRUE,0,IF(U537=TRUE,0,L537-M537)),0),0)</f>
        <v/>
      </c>
      <c r="O537" s="143">
        <f>IF(N537&gt;0,IF(N537&lt;=180,N537,0),0)</f>
        <v/>
      </c>
      <c r="P537" s="141">
        <f>IF(AND(N537&lt;90,N537&gt;0),Q537,0)</f>
        <v/>
      </c>
      <c r="Q537" s="141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/>
      </c>
      <c r="R537" s="141">
        <f>IF(AND(H537=TRUE,I537=FALSE),Q537,0)</f>
        <v/>
      </c>
      <c r="S537" s="141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/>
      </c>
      <c r="T537" s="142">
        <f>IF(U537=TRUE,$J537,"")</f>
        <v/>
      </c>
      <c r="U537" s="140" t="b">
        <v>0</v>
      </c>
      <c r="V537" s="141">
        <f>IF(AND(H537=TRUE,OR(K537="",K537&gt;M537)),S537,0)</f>
        <v/>
      </c>
      <c r="W537" s="140" t="n">
        <v>0</v>
      </c>
      <c r="X537" s="140" t="b">
        <v>0</v>
      </c>
      <c r="Y537" s="143">
        <f>IF(H537=FALSE,VLOOKUP($C537,Sales!$C:$F,4,FALSE),1)</f>
        <v/>
      </c>
      <c r="Z537" s="140">
        <f>IF(Y537=0,"Release",IF(AND(L537&lt;J537,Y537=1,H537=FALSE,U537=FALSE,MONTH(L537)&amp;"/"&amp;YEAR(L537)&lt;&gt;MONTH(J537)&amp;"/"&amp;YEAR(J537)),"Release",""))</f>
        <v/>
      </c>
      <c r="AA537" s="144">
        <f>_xlfn.minifs($L:$L,$C:$C,$C537,$F:$F,"&lt;&gt;0")</f>
        <v/>
      </c>
      <c r="AB537" s="144">
        <f>C537&amp;"-"&amp;A537</f>
        <v/>
      </c>
      <c r="AC537" s="144">
        <f>L537</f>
        <v/>
      </c>
    </row>
    <row r="538">
      <c r="A538" s="140" t="inlineStr">
        <is>
          <t>ZLAM01</t>
        </is>
      </c>
      <c r="B538" s="140" t="n">
        <v>1</v>
      </c>
      <c r="C538" s="140" t="inlineStr">
        <is>
          <t>HVO301</t>
        </is>
      </c>
      <c r="D538" s="140" t="inlineStr">
        <is>
          <t>O</t>
        </is>
      </c>
      <c r="E538" s="140" t="inlineStr">
        <is>
          <t>Lamb Oswald Robert (Ossie)</t>
        </is>
      </c>
      <c r="F538" s="141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</f>
        <v/>
      </c>
      <c r="G538" s="142" t="n">
        <v>45252</v>
      </c>
      <c r="H538" s="140">
        <f>VLOOKUP($C538,Sales!$C:$E,2,FALSE)</f>
        <v/>
      </c>
      <c r="I538" s="140">
        <f>VLOOKUP($C538,Sales!$C:$E,3,FALSE)</f>
        <v/>
      </c>
      <c r="J538" s="142">
        <f>SUMIFS(Sales!$H:$H,Sales!$C:$C,'Investor Exit List'!$C538)</f>
        <v/>
      </c>
      <c r="K538" s="142">
        <f>IF(I538=TRUE,J538,"")</f>
        <v/>
      </c>
      <c r="L538" s="142">
        <f>G538+730</f>
        <v/>
      </c>
      <c r="M538" s="142" t="n">
        <v>45443</v>
      </c>
      <c r="N538" s="143">
        <f>IFERROR(IF(G538&lt;&gt;"",IF(I538=TRUE,0,IF(U538=TRUE,0,L538-M538)),0),0)</f>
        <v/>
      </c>
      <c r="O538" s="143">
        <f>IF(N538&gt;0,IF(N538&lt;=180,N538,0),0)</f>
        <v/>
      </c>
      <c r="P538" s="141">
        <f>IF(AND(N538&lt;90,N538&gt;0),Q538,0)</f>
        <v/>
      </c>
      <c r="Q538" s="141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/>
      </c>
      <c r="R538" s="141">
        <f>IF(AND(H538=TRUE,I538=FALSE),Q538,0)</f>
        <v/>
      </c>
      <c r="S538" s="141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/>
      </c>
      <c r="T538" s="142">
        <f>IF(U538=TRUE,$J538,"")</f>
        <v/>
      </c>
      <c r="U538" s="140" t="b">
        <v>0</v>
      </c>
      <c r="V538" s="141">
        <f>IF(AND(H538=TRUE,OR(K538="",K538&gt;M538)),S538,0)</f>
        <v/>
      </c>
      <c r="W538" s="140" t="n">
        <v>0</v>
      </c>
      <c r="X538" s="140" t="b">
        <v>0</v>
      </c>
      <c r="Y538" s="143">
        <f>IF(H538=FALSE,VLOOKUP($C538,Sales!$C:$F,4,FALSE),1)</f>
        <v/>
      </c>
      <c r="Z538" s="140">
        <f>IF(Y538=0,"Release",IF(AND(L538&lt;J538,Y538=1,H538=FALSE,U538=FALSE,MONTH(L538)&amp;"/"&amp;YEAR(L538)&lt;&gt;MONTH(J538)&amp;"/"&amp;YEAR(J538)),"Release",""))</f>
        <v/>
      </c>
      <c r="AA538" s="144">
        <f>_xlfn.minifs($L:$L,$C:$C,$C538,$F:$F,"&lt;&gt;0")</f>
        <v/>
      </c>
      <c r="AB538" s="144">
        <f>C538&amp;"-"&amp;A538</f>
        <v/>
      </c>
      <c r="AC538" s="144">
        <f>L538</f>
        <v/>
      </c>
    </row>
    <row r="539">
      <c r="A539" s="140" t="inlineStr">
        <is>
          <t>ZMAT04</t>
        </is>
      </c>
      <c r="B539" s="140" t="n">
        <v>1</v>
      </c>
      <c r="C539" s="140" t="inlineStr">
        <is>
          <t>HVO301</t>
        </is>
      </c>
      <c r="D539" s="140" t="inlineStr">
        <is>
          <t>O</t>
        </is>
      </c>
      <c r="E539" s="140" t="inlineStr">
        <is>
          <t>Matang Mosweu Abraham Stephen</t>
        </is>
      </c>
      <c r="F539" s="141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</f>
        <v/>
      </c>
      <c r="G539" s="142" t="n">
        <v>45273</v>
      </c>
      <c r="H539" s="140">
        <f>VLOOKUP($C539,Sales!$C:$E,2,FALSE)</f>
        <v/>
      </c>
      <c r="I539" s="140">
        <f>VLOOKUP($C539,Sales!$C:$E,3,FALSE)</f>
        <v/>
      </c>
      <c r="J539" s="142">
        <f>SUMIFS(Sales!$H:$H,Sales!$C:$C,'Investor Exit List'!$C539)</f>
        <v/>
      </c>
      <c r="K539" s="142">
        <f>IF(I539=TRUE,J539,"")</f>
        <v/>
      </c>
      <c r="L539" s="142">
        <f>G539+730</f>
        <v/>
      </c>
      <c r="M539" s="142" t="n">
        <v>45443</v>
      </c>
      <c r="N539" s="143">
        <f>IFERROR(IF(G539&lt;&gt;"",IF(I539=TRUE,0,IF(U539=TRUE,0,L539-M539)),0),0)</f>
        <v/>
      </c>
      <c r="O539" s="143">
        <f>IF(N539&gt;0,IF(N539&lt;=180,N539,0),0)</f>
        <v/>
      </c>
      <c r="P539" s="141">
        <f>IF(AND(N539&lt;90,N539&gt;0),Q539,0)</f>
        <v/>
      </c>
      <c r="Q539" s="141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/>
      </c>
      <c r="R539" s="141">
        <f>IF(AND(H539=TRUE,I539=FALSE),Q539,0)</f>
        <v/>
      </c>
      <c r="S539" s="141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/>
      </c>
      <c r="T539" s="142">
        <f>IF(U539=TRUE,$J539,"")</f>
        <v/>
      </c>
      <c r="U539" s="140" t="b">
        <v>0</v>
      </c>
      <c r="V539" s="141">
        <f>IF(AND(H539=TRUE,OR(K539="",K539&gt;M539)),S539,0)</f>
        <v/>
      </c>
      <c r="W539" s="140" t="n">
        <v>0</v>
      </c>
      <c r="X539" s="140" t="b">
        <v>0</v>
      </c>
      <c r="Y539" s="143">
        <f>IF(H539=FALSE,VLOOKUP($C539,Sales!$C:$F,4,FALSE),1)</f>
        <v/>
      </c>
      <c r="Z539" s="140">
        <f>IF(Y539=0,"Release",IF(AND(L539&lt;J539,Y539=1,H539=FALSE,U539=FALSE,MONTH(L539)&amp;"/"&amp;YEAR(L539)&lt;&gt;MONTH(J539)&amp;"/"&amp;YEAR(J539)),"Release",""))</f>
        <v/>
      </c>
      <c r="AA539" s="144">
        <f>_xlfn.minifs($L:$L,$C:$C,$C539,$F:$F,"&lt;&gt;0")</f>
        <v/>
      </c>
      <c r="AB539" s="144">
        <f>C539&amp;"-"&amp;A539</f>
        <v/>
      </c>
      <c r="AC539" s="144">
        <f>L539</f>
        <v/>
      </c>
    </row>
    <row r="540">
      <c r="A540" s="140" t="inlineStr">
        <is>
          <t>ZVAN08</t>
        </is>
      </c>
      <c r="B540" s="140" t="n">
        <v>2</v>
      </c>
      <c r="C540" s="140" t="inlineStr">
        <is>
          <t>HVO301</t>
        </is>
      </c>
      <c r="D540" s="140" t="inlineStr">
        <is>
          <t>O</t>
        </is>
      </c>
      <c r="E540" s="140" t="inlineStr">
        <is>
          <t>van der Mescht Andree-Lauren</t>
        </is>
      </c>
      <c r="F540" s="141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</f>
        <v/>
      </c>
      <c r="G540" s="142" t="n">
        <v>45259</v>
      </c>
      <c r="H540" s="140">
        <f>VLOOKUP($C540,Sales!$C:$E,2,FALSE)</f>
        <v/>
      </c>
      <c r="I540" s="140">
        <f>VLOOKUP($C540,Sales!$C:$E,3,FALSE)</f>
        <v/>
      </c>
      <c r="J540" s="142">
        <f>SUMIFS(Sales!$H:$H,Sales!$C:$C,'Investor Exit List'!$C540)</f>
        <v/>
      </c>
      <c r="K540" s="142">
        <f>IF(I540=TRUE,J540,"")</f>
        <v/>
      </c>
      <c r="L540" s="142">
        <f>G540+730</f>
        <v/>
      </c>
      <c r="M540" s="142" t="n">
        <v>45443</v>
      </c>
      <c r="N540" s="143">
        <f>IFERROR(IF(G540&lt;&gt;"",IF(I540=TRUE,0,IF(U540=TRUE,0,L540-M540)),0),0)</f>
        <v/>
      </c>
      <c r="O540" s="143">
        <f>IF(N540&gt;0,IF(N540&lt;=180,N540,0),0)</f>
        <v/>
      </c>
      <c r="P540" s="141">
        <f>IF(AND(N540&lt;90,N540&gt;0),Q540,0)</f>
        <v/>
      </c>
      <c r="Q540" s="141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/>
      </c>
      <c r="R540" s="141">
        <f>IF(AND(H540=TRUE,I540=FALSE),Q540,0)</f>
        <v/>
      </c>
      <c r="S540" s="141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/>
      </c>
      <c r="T540" s="142">
        <f>IF(U540=TRUE,$J540,"")</f>
        <v/>
      </c>
      <c r="U540" s="140" t="b">
        <v>0</v>
      </c>
      <c r="V540" s="141">
        <f>IF(AND(H540=TRUE,OR(K540="",K540&gt;M540)),S540,0)</f>
        <v/>
      </c>
      <c r="W540" s="140" t="n">
        <v>0</v>
      </c>
      <c r="X540" s="140" t="b">
        <v>0</v>
      </c>
      <c r="Y540" s="143">
        <f>IF(H540=FALSE,VLOOKUP($C540,Sales!$C:$F,4,FALSE),1)</f>
        <v/>
      </c>
      <c r="Z540" s="140">
        <f>IF(Y540=0,"Release",IF(AND(L540&lt;J540,Y540=1,H540=FALSE,U540=FALSE,MONTH(L540)&amp;"/"&amp;YEAR(L540)&lt;&gt;MONTH(J540)&amp;"/"&amp;YEAR(J540)),"Release",""))</f>
        <v/>
      </c>
      <c r="AA540" s="144">
        <f>_xlfn.minifs($L:$L,$C:$C,$C540,$F:$F,"&lt;&gt;0")</f>
        <v/>
      </c>
      <c r="AB540" s="144">
        <f>C540&amp;"-"&amp;A540</f>
        <v/>
      </c>
      <c r="AC540" s="144">
        <f>L540</f>
        <v/>
      </c>
    </row>
    <row r="541">
      <c r="A541" s="140" t="inlineStr">
        <is>
          <t>ZLER02</t>
        </is>
      </c>
      <c r="B541" s="140" t="n">
        <v>1</v>
      </c>
      <c r="C541" s="140" t="inlineStr">
        <is>
          <t>HVO302</t>
        </is>
      </c>
      <c r="D541" s="140" t="inlineStr">
        <is>
          <t>O</t>
        </is>
      </c>
      <c r="E541" s="140" t="inlineStr">
        <is>
          <t>le Roux Jacques</t>
        </is>
      </c>
      <c r="F541" s="141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</f>
        <v/>
      </c>
      <c r="G541" s="142" t="n">
        <v>45129</v>
      </c>
      <c r="H541" s="140">
        <f>VLOOKUP($C541,Sales!$C:$E,2,FALSE)</f>
        <v/>
      </c>
      <c r="I541" s="140">
        <f>VLOOKUP($C541,Sales!$C:$E,3,FALSE)</f>
        <v/>
      </c>
      <c r="J541" s="142">
        <f>SUMIFS(Sales!$H:$H,Sales!$C:$C,'Investor Exit List'!$C541)</f>
        <v/>
      </c>
      <c r="K541" s="142">
        <f>IF(I541=TRUE,J541,"")</f>
        <v/>
      </c>
      <c r="L541" s="142">
        <f>G541+730</f>
        <v/>
      </c>
      <c r="M541" s="142" t="n">
        <v>45443</v>
      </c>
      <c r="N541" s="143">
        <f>IFERROR(IF(G541&lt;&gt;"",IF(I541=TRUE,0,IF(U541=TRUE,0,L541-M541)),0),0)</f>
        <v/>
      </c>
      <c r="O541" s="143">
        <f>IF(N541&gt;0,IF(N541&lt;=180,N541,0),0)</f>
        <v/>
      </c>
      <c r="P541" s="141">
        <f>IF(AND(N541&lt;90,N541&gt;0),Q541,0)</f>
        <v/>
      </c>
      <c r="Q541" s="141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/>
      </c>
      <c r="R541" s="141">
        <f>IF(AND(H541=TRUE,I541=FALSE),Q541,0)</f>
        <v/>
      </c>
      <c r="S541" s="141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/>
      </c>
      <c r="T541" s="142">
        <f>IF(U541=TRUE,$J541,"")</f>
        <v/>
      </c>
      <c r="U541" s="140" t="b">
        <v>0</v>
      </c>
      <c r="V541" s="141">
        <f>IF(AND(H541=TRUE,OR(K541="",K541&gt;M541)),S541,0)</f>
        <v/>
      </c>
      <c r="W541" s="140" t="n">
        <v>0</v>
      </c>
      <c r="X541" s="140" t="b">
        <v>0</v>
      </c>
      <c r="Y541" s="143">
        <f>IF(H541=FALSE,VLOOKUP($C541,Sales!$C:$F,4,FALSE),1)</f>
        <v/>
      </c>
      <c r="Z541" s="140">
        <f>IF(Y541=0,"Release",IF(AND(L541&lt;J541,Y541=1,H541=FALSE,U541=FALSE,MONTH(L541)&amp;"/"&amp;YEAR(L541)&lt;&gt;MONTH(J541)&amp;"/"&amp;YEAR(J541)),"Release",""))</f>
        <v/>
      </c>
      <c r="AA541" s="144">
        <f>_xlfn.minifs($L:$L,$C:$C,$C541,$F:$F,"&lt;&gt;0")</f>
        <v/>
      </c>
      <c r="AB541" s="144">
        <f>C541&amp;"-"&amp;A541</f>
        <v/>
      </c>
      <c r="AC541" s="144">
        <f>L541</f>
        <v/>
      </c>
    </row>
    <row r="542">
      <c r="A542" s="140" t="inlineStr">
        <is>
          <t>ZPED01</t>
        </is>
      </c>
      <c r="B542" s="140" t="n">
        <v>5</v>
      </c>
      <c r="C542" s="140" t="inlineStr">
        <is>
          <t>HVO302</t>
        </is>
      </c>
      <c r="D542" s="140" t="inlineStr">
        <is>
          <t>O</t>
        </is>
      </c>
      <c r="E542" s="140" t="inlineStr">
        <is>
          <t>Pedersen Wendy</t>
        </is>
      </c>
      <c r="F542" s="141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</f>
        <v/>
      </c>
      <c r="G542" s="142" t="n">
        <v>45129</v>
      </c>
      <c r="H542" s="140">
        <f>VLOOKUP($C542,Sales!$C:$E,2,FALSE)</f>
        <v/>
      </c>
      <c r="I542" s="140">
        <f>VLOOKUP($C542,Sales!$C:$E,3,FALSE)</f>
        <v/>
      </c>
      <c r="J542" s="142">
        <f>SUMIFS(Sales!$H:$H,Sales!$C:$C,'Investor Exit List'!$C542)</f>
        <v/>
      </c>
      <c r="K542" s="142">
        <f>IF(I542=TRUE,J542,"")</f>
        <v/>
      </c>
      <c r="L542" s="142">
        <f>G542+730</f>
        <v/>
      </c>
      <c r="M542" s="142" t="n">
        <v>45443</v>
      </c>
      <c r="N542" s="143">
        <f>IFERROR(IF(G542&lt;&gt;"",IF(I542=TRUE,0,IF(U542=TRUE,0,L542-M542)),0),0)</f>
        <v/>
      </c>
      <c r="O542" s="143">
        <f>IF(N542&gt;0,IF(N542&lt;=180,N542,0),0)</f>
        <v/>
      </c>
      <c r="P542" s="141">
        <f>IF(AND(N542&lt;90,N542&gt;0),Q542,0)</f>
        <v/>
      </c>
      <c r="Q542" s="141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/>
      </c>
      <c r="R542" s="141">
        <f>IF(AND(H542=TRUE,I542=FALSE),Q542,0)</f>
        <v/>
      </c>
      <c r="S542" s="141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/>
      </c>
      <c r="T542" s="142">
        <f>IF(U542=TRUE,$J542,"")</f>
        <v/>
      </c>
      <c r="U542" s="140" t="b">
        <v>0</v>
      </c>
      <c r="V542" s="141">
        <f>IF(AND(H542=TRUE,OR(K542="",K542&gt;M542)),S542,0)</f>
        <v/>
      </c>
      <c r="W542" s="140" t="n">
        <v>0</v>
      </c>
      <c r="X542" s="140" t="b">
        <v>0</v>
      </c>
      <c r="Y542" s="143">
        <f>IF(H542=FALSE,VLOOKUP($C542,Sales!$C:$F,4,FALSE),1)</f>
        <v/>
      </c>
      <c r="Z542" s="140">
        <f>IF(Y542=0,"Release",IF(AND(L542&lt;J542,Y542=1,H542=FALSE,U542=FALSE,MONTH(L542)&amp;"/"&amp;YEAR(L542)&lt;&gt;MONTH(J542)&amp;"/"&amp;YEAR(J542)),"Release",""))</f>
        <v/>
      </c>
      <c r="AA542" s="144">
        <f>_xlfn.minifs($L:$L,$C:$C,$C542,$F:$F,"&lt;&gt;0")</f>
        <v/>
      </c>
      <c r="AB542" s="144">
        <f>C542&amp;"-"&amp;A542</f>
        <v/>
      </c>
      <c r="AC542" s="144">
        <f>L542</f>
        <v/>
      </c>
    </row>
    <row r="543">
      <c r="A543" s="140" t="inlineStr">
        <is>
          <t>ZVIS03</t>
        </is>
      </c>
      <c r="B543" s="140" t="n">
        <v>1</v>
      </c>
      <c r="C543" s="140" t="inlineStr">
        <is>
          <t>HVO302</t>
        </is>
      </c>
      <c r="D543" s="140" t="inlineStr">
        <is>
          <t>O</t>
        </is>
      </c>
      <c r="E543" s="140" t="inlineStr">
        <is>
          <t>Visser Anton Patrick</t>
        </is>
      </c>
      <c r="F543" s="141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</f>
        <v/>
      </c>
      <c r="G543" s="142" t="n">
        <v>45107</v>
      </c>
      <c r="H543" s="140">
        <f>VLOOKUP($C543,Sales!$C:$E,2,FALSE)</f>
        <v/>
      </c>
      <c r="I543" s="140">
        <f>VLOOKUP($C543,Sales!$C:$E,3,FALSE)</f>
        <v/>
      </c>
      <c r="J543" s="142">
        <f>SUMIFS(Sales!$H:$H,Sales!$C:$C,'Investor Exit List'!$C543)</f>
        <v/>
      </c>
      <c r="K543" s="142">
        <f>IF(I543=TRUE,J543,"")</f>
        <v/>
      </c>
      <c r="L543" s="142">
        <f>G543+730</f>
        <v/>
      </c>
      <c r="M543" s="142" t="n">
        <v>45443</v>
      </c>
      <c r="N543" s="143">
        <f>IFERROR(IF(G543&lt;&gt;"",IF(I543=TRUE,0,IF(U543=TRUE,0,L543-M543)),0),0)</f>
        <v/>
      </c>
      <c r="O543" s="143">
        <f>IF(N543&gt;0,IF(N543&lt;=180,N543,0),0)</f>
        <v/>
      </c>
      <c r="P543" s="141">
        <f>IF(AND(N543&lt;90,N543&gt;0),Q543,0)</f>
        <v/>
      </c>
      <c r="Q543" s="141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/>
      </c>
      <c r="R543" s="141">
        <f>IF(AND(H543=TRUE,I543=FALSE),Q543,0)</f>
        <v/>
      </c>
      <c r="S543" s="141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/>
      </c>
      <c r="T543" s="142">
        <f>IF(U543=TRUE,$J543,"")</f>
        <v/>
      </c>
      <c r="U543" s="140" t="b">
        <v>0</v>
      </c>
      <c r="V543" s="141">
        <f>IF(AND(H543=TRUE,OR(K543="",K543&gt;M543)),S543,0)</f>
        <v/>
      </c>
      <c r="W543" s="140" t="n">
        <v>0</v>
      </c>
      <c r="X543" s="140" t="b">
        <v>0</v>
      </c>
      <c r="Y543" s="143">
        <f>IF(H543=FALSE,VLOOKUP($C543,Sales!$C:$F,4,FALSE),1)</f>
        <v/>
      </c>
      <c r="Z543" s="140">
        <f>IF(Y543=0,"Release",IF(AND(L543&lt;J543,Y543=1,H543=FALSE,U543=FALSE,MONTH(L543)&amp;"/"&amp;YEAR(L543)&lt;&gt;MONTH(J543)&amp;"/"&amp;YEAR(J543)),"Release",""))</f>
        <v/>
      </c>
      <c r="AA543" s="144">
        <f>_xlfn.minifs($L:$L,$C:$C,$C543,$F:$F,"&lt;&gt;0")</f>
        <v/>
      </c>
      <c r="AB543" s="144">
        <f>C543&amp;"-"&amp;A543</f>
        <v/>
      </c>
      <c r="AC543" s="144">
        <f>L543</f>
        <v/>
      </c>
    </row>
    <row r="544">
      <c r="A544" s="140" t="inlineStr">
        <is>
          <t>ZDEB01</t>
        </is>
      </c>
      <c r="B544" s="140" t="n">
        <v>7</v>
      </c>
      <c r="C544" s="140" t="inlineStr">
        <is>
          <t>HVO303</t>
        </is>
      </c>
      <c r="D544" s="140" t="inlineStr">
        <is>
          <t>O</t>
        </is>
      </c>
      <c r="E544" s="140" t="inlineStr">
        <is>
          <t>De Beer William Henry</t>
        </is>
      </c>
      <c r="F544" s="141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</f>
        <v/>
      </c>
      <c r="G544" s="142" t="n">
        <v>45107</v>
      </c>
      <c r="H544" s="140">
        <f>VLOOKUP($C544,Sales!$C:$E,2,FALSE)</f>
        <v/>
      </c>
      <c r="I544" s="140">
        <f>VLOOKUP($C544,Sales!$C:$E,3,FALSE)</f>
        <v/>
      </c>
      <c r="J544" s="142">
        <f>SUMIFS(Sales!$H:$H,Sales!$C:$C,'Investor Exit List'!$C544)</f>
        <v/>
      </c>
      <c r="K544" s="142">
        <f>IF(I544=TRUE,J544,"")</f>
        <v/>
      </c>
      <c r="L544" s="142">
        <f>G544+730</f>
        <v/>
      </c>
      <c r="M544" s="142" t="n">
        <v>45443</v>
      </c>
      <c r="N544" s="143">
        <f>IFERROR(IF(G544&lt;&gt;"",IF(I544=TRUE,0,IF(U544=TRUE,0,L544-M544)),0),0)</f>
        <v/>
      </c>
      <c r="O544" s="143">
        <f>IF(N544&gt;0,IF(N544&lt;=180,N544,0),0)</f>
        <v/>
      </c>
      <c r="P544" s="141">
        <f>IF(AND(N544&lt;90,N544&gt;0),Q544,0)</f>
        <v/>
      </c>
      <c r="Q544" s="141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/>
      </c>
      <c r="R544" s="141">
        <f>IF(AND(H544=TRUE,I544=FALSE),Q544,0)</f>
        <v/>
      </c>
      <c r="S544" s="141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/>
      </c>
      <c r="T544" s="142">
        <f>IF(U544=TRUE,$J544,"")</f>
        <v/>
      </c>
      <c r="U544" s="140" t="b">
        <v>0</v>
      </c>
      <c r="V544" s="141">
        <f>IF(AND(H544=TRUE,OR(K544="",K544&gt;M544)),S544,0)</f>
        <v/>
      </c>
      <c r="W544" s="140" t="n">
        <v>0</v>
      </c>
      <c r="X544" s="140" t="b">
        <v>0</v>
      </c>
      <c r="Y544" s="143">
        <f>IF(H544=FALSE,VLOOKUP($C544,Sales!$C:$F,4,FALSE),1)</f>
        <v/>
      </c>
      <c r="Z544" s="140">
        <f>IF(Y544=0,"Release",IF(AND(L544&lt;J544,Y544=1,H544=FALSE,U544=FALSE,MONTH(L544)&amp;"/"&amp;YEAR(L544)&lt;&gt;MONTH(J544)&amp;"/"&amp;YEAR(J544)),"Release",""))</f>
        <v/>
      </c>
      <c r="AA544" s="144">
        <f>_xlfn.minifs($L:$L,$C:$C,$C544,$F:$F,"&lt;&gt;0")</f>
        <v/>
      </c>
      <c r="AB544" s="144">
        <f>C544&amp;"-"&amp;A544</f>
        <v/>
      </c>
      <c r="AC544" s="144">
        <f>L544</f>
        <v/>
      </c>
    </row>
    <row r="545">
      <c r="A545" s="140" t="inlineStr">
        <is>
          <t>ZJAN03</t>
        </is>
      </c>
      <c r="B545" s="140" t="n">
        <v>2</v>
      </c>
      <c r="C545" s="140" t="inlineStr">
        <is>
          <t>HVO304</t>
        </is>
      </c>
      <c r="D545" s="140" t="inlineStr">
        <is>
          <t>O</t>
        </is>
      </c>
      <c r="E545" s="140" t="inlineStr">
        <is>
          <t>Jansen van Vuuren Rudolph Johannes</t>
        </is>
      </c>
      <c r="F545" s="141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</f>
        <v/>
      </c>
      <c r="G545" s="142" t="n">
        <v>45259</v>
      </c>
      <c r="H545" s="140">
        <f>VLOOKUP($C545,Sales!$C:$E,2,FALSE)</f>
        <v/>
      </c>
      <c r="I545" s="140">
        <f>VLOOKUP($C545,Sales!$C:$E,3,FALSE)</f>
        <v/>
      </c>
      <c r="J545" s="142">
        <f>SUMIFS(Sales!$H:$H,Sales!$C:$C,'Investor Exit List'!$C545)</f>
        <v/>
      </c>
      <c r="K545" s="142">
        <f>IF(I545=TRUE,J545,"")</f>
        <v/>
      </c>
      <c r="L545" s="142">
        <f>G545+730</f>
        <v/>
      </c>
      <c r="M545" s="142" t="n">
        <v>45443</v>
      </c>
      <c r="N545" s="143">
        <f>IFERROR(IF(G545&lt;&gt;"",IF(I545=TRUE,0,IF(U545=TRUE,0,L545-M545)),0),0)</f>
        <v/>
      </c>
      <c r="O545" s="143">
        <f>IF(N545&gt;0,IF(N545&lt;=180,N545,0),0)</f>
        <v/>
      </c>
      <c r="P545" s="141">
        <f>IF(AND(N545&lt;90,N545&gt;0),Q545,0)</f>
        <v/>
      </c>
      <c r="Q545" s="141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/>
      </c>
      <c r="R545" s="141">
        <f>IF(AND(H545=TRUE,I545=FALSE),Q545,0)</f>
        <v/>
      </c>
      <c r="S545" s="141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/>
      </c>
      <c r="T545" s="142">
        <f>IF(U545=TRUE,$J545,"")</f>
        <v/>
      </c>
      <c r="U545" s="140" t="b">
        <v>0</v>
      </c>
      <c r="V545" s="141">
        <f>IF(AND(H545=TRUE,OR(K545="",K545&gt;M545)),S545,0)</f>
        <v/>
      </c>
      <c r="W545" s="140" t="n">
        <v>0</v>
      </c>
      <c r="X545" s="140" t="b">
        <v>0</v>
      </c>
      <c r="Y545" s="143">
        <f>IF(H545=FALSE,VLOOKUP($C545,Sales!$C:$F,4,FALSE),1)</f>
        <v/>
      </c>
      <c r="Z545" s="140">
        <f>IF(Y545=0,"Release",IF(AND(L545&lt;J545,Y545=1,H545=FALSE,U545=FALSE,MONTH(L545)&amp;"/"&amp;YEAR(L545)&lt;&gt;MONTH(J545)&amp;"/"&amp;YEAR(J545)),"Release",""))</f>
        <v/>
      </c>
      <c r="AA545" s="144">
        <f>_xlfn.minifs($L:$L,$C:$C,$C545,$F:$F,"&lt;&gt;0")</f>
        <v/>
      </c>
      <c r="AB545" s="144">
        <f>C545&amp;"-"&amp;A545</f>
        <v/>
      </c>
      <c r="AC545" s="144">
        <f>L545</f>
        <v/>
      </c>
    </row>
    <row r="546">
      <c r="A546" s="140" t="inlineStr">
        <is>
          <t>ZVIS02</t>
        </is>
      </c>
      <c r="B546" s="140" t="n">
        <v>3</v>
      </c>
      <c r="C546" s="140" t="inlineStr">
        <is>
          <t>HVO304</t>
        </is>
      </c>
      <c r="D546" s="140" t="inlineStr">
        <is>
          <t>O</t>
        </is>
      </c>
      <c r="E546" s="140" t="inlineStr">
        <is>
          <t>Visser Jimke</t>
        </is>
      </c>
      <c r="F546" s="141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</f>
        <v/>
      </c>
      <c r="G546" s="142" t="n">
        <v>45259</v>
      </c>
      <c r="H546" s="140">
        <f>VLOOKUP($C546,Sales!$C:$E,2,FALSE)</f>
        <v/>
      </c>
      <c r="I546" s="140">
        <f>VLOOKUP($C546,Sales!$C:$E,3,FALSE)</f>
        <v/>
      </c>
      <c r="J546" s="142">
        <f>SUMIFS(Sales!$H:$H,Sales!$C:$C,'Investor Exit List'!$C546)</f>
        <v/>
      </c>
      <c r="K546" s="142">
        <f>IF(I546=TRUE,J546,"")</f>
        <v/>
      </c>
      <c r="L546" s="142">
        <f>G546+730</f>
        <v/>
      </c>
      <c r="M546" s="142" t="n">
        <v>45443</v>
      </c>
      <c r="N546" s="143">
        <f>IFERROR(IF(G546&lt;&gt;"",IF(I546=TRUE,0,IF(U546=TRUE,0,L546-M546)),0),0)</f>
        <v/>
      </c>
      <c r="O546" s="143">
        <f>IF(N546&gt;0,IF(N546&lt;=180,N546,0),0)</f>
        <v/>
      </c>
      <c r="P546" s="141">
        <f>IF(AND(N546&lt;90,N546&gt;0),Q546,0)</f>
        <v/>
      </c>
      <c r="Q546" s="141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/>
      </c>
      <c r="R546" s="141">
        <f>IF(AND(H546=TRUE,I546=FALSE),Q546,0)</f>
        <v/>
      </c>
      <c r="S546" s="141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/>
      </c>
      <c r="T546" s="142">
        <f>IF(U546=TRUE,$J546,"")</f>
        <v/>
      </c>
      <c r="U546" s="140" t="b">
        <v>0</v>
      </c>
      <c r="V546" s="141">
        <f>IF(AND(H546=TRUE,OR(K546="",K546&gt;M546)),S546,0)</f>
        <v/>
      </c>
      <c r="W546" s="140" t="n">
        <v>0</v>
      </c>
      <c r="X546" s="140" t="b">
        <v>0</v>
      </c>
      <c r="Y546" s="143">
        <f>IF(H546=FALSE,VLOOKUP($C546,Sales!$C:$F,4,FALSE),1)</f>
        <v/>
      </c>
      <c r="Z546" s="140">
        <f>IF(Y546=0,"Release",IF(AND(L546&lt;J546,Y546=1,H546=FALSE,U546=FALSE,MONTH(L546)&amp;"/"&amp;YEAR(L546)&lt;&gt;MONTH(J546)&amp;"/"&amp;YEAR(J546)),"Release",""))</f>
        <v/>
      </c>
      <c r="AA546" s="144">
        <f>_xlfn.minifs($L:$L,$C:$C,$C546,$F:$F,"&lt;&gt;0")</f>
        <v/>
      </c>
      <c r="AB546" s="144">
        <f>C546&amp;"-"&amp;A546</f>
        <v/>
      </c>
      <c r="AC546" s="144">
        <f>L546</f>
        <v/>
      </c>
    </row>
    <row r="547">
      <c r="A547" s="140" t="inlineStr">
        <is>
          <t>ZDEV01</t>
        </is>
      </c>
      <c r="B547" s="140" t="n">
        <v>2</v>
      </c>
      <c r="C547" s="140" t="inlineStr">
        <is>
          <t>HVO305</t>
        </is>
      </c>
      <c r="D547" s="140" t="inlineStr">
        <is>
          <t>O</t>
        </is>
      </c>
      <c r="E547" s="140" t="inlineStr">
        <is>
          <t>de Villiers Andre Deric</t>
        </is>
      </c>
      <c r="F547" s="141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</f>
        <v/>
      </c>
      <c r="G547" s="142" t="n">
        <v>45107</v>
      </c>
      <c r="H547" s="140">
        <f>VLOOKUP($C547,Sales!$C:$E,2,FALSE)</f>
        <v/>
      </c>
      <c r="I547" s="140">
        <f>VLOOKUP($C547,Sales!$C:$E,3,FALSE)</f>
        <v/>
      </c>
      <c r="J547" s="142">
        <f>SUMIFS(Sales!$H:$H,Sales!$C:$C,'Investor Exit List'!$C547)</f>
        <v/>
      </c>
      <c r="K547" s="142">
        <f>IF(I547=TRUE,J547,"")</f>
        <v/>
      </c>
      <c r="L547" s="142">
        <f>G547+730</f>
        <v/>
      </c>
      <c r="M547" s="142" t="n">
        <v>45443</v>
      </c>
      <c r="N547" s="143">
        <f>IFERROR(IF(G547&lt;&gt;"",IF(I547=TRUE,0,IF(U547=TRUE,0,L547-M547)),0),0)</f>
        <v/>
      </c>
      <c r="O547" s="143">
        <f>IF(N547&gt;0,IF(N547&lt;=180,N547,0),0)</f>
        <v/>
      </c>
      <c r="P547" s="141">
        <f>IF(AND(N547&lt;90,N547&gt;0),Q547,0)</f>
        <v/>
      </c>
      <c r="Q547" s="141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/>
      </c>
      <c r="R547" s="141">
        <f>IF(AND(H547=TRUE,I547=FALSE),Q547,0)</f>
        <v/>
      </c>
      <c r="S547" s="141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/>
      </c>
      <c r="T547" s="142">
        <f>IF(U547=TRUE,$J547,"")</f>
        <v/>
      </c>
      <c r="U547" s="140" t="b">
        <v>0</v>
      </c>
      <c r="V547" s="141">
        <f>IF(AND(H547=TRUE,OR(K547="",K547&gt;M547)),S547,0)</f>
        <v/>
      </c>
      <c r="W547" s="140" t="n">
        <v>0</v>
      </c>
      <c r="X547" s="140" t="b">
        <v>0</v>
      </c>
      <c r="Y547" s="143">
        <f>IF(H547=FALSE,VLOOKUP($C547,Sales!$C:$F,4,FALSE),1)</f>
        <v/>
      </c>
      <c r="Z547" s="140">
        <f>IF(Y547=0,"Release",IF(AND(L547&lt;J547,Y547=1,H547=FALSE,U547=FALSE,MONTH(L547)&amp;"/"&amp;YEAR(L547)&lt;&gt;MONTH(J547)&amp;"/"&amp;YEAR(J547)),"Release",""))</f>
        <v/>
      </c>
      <c r="AA547" s="144">
        <f>_xlfn.minifs($L:$L,$C:$C,$C547,$F:$F,"&lt;&gt;0")</f>
        <v/>
      </c>
      <c r="AB547" s="144">
        <f>C547&amp;"-"&amp;A547</f>
        <v/>
      </c>
      <c r="AC547" s="144">
        <f>L547</f>
        <v/>
      </c>
    </row>
    <row r="548">
      <c r="A548" s="140" t="inlineStr">
        <is>
          <t>ZFLA01</t>
        </is>
      </c>
      <c r="B548" s="140" t="n">
        <v>2</v>
      </c>
      <c r="C548" s="140" t="inlineStr">
        <is>
          <t>HVO305</t>
        </is>
      </c>
      <c r="D548" s="140" t="inlineStr">
        <is>
          <t>O</t>
        </is>
      </c>
      <c r="E548" s="140" t="inlineStr">
        <is>
          <t>Flamengo Jose Manuel Rezende</t>
        </is>
      </c>
      <c r="F548" s="141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</f>
        <v/>
      </c>
      <c r="G548" s="142" t="n">
        <v>45161</v>
      </c>
      <c r="H548" s="140">
        <f>VLOOKUP($C548,Sales!$C:$E,2,FALSE)</f>
        <v/>
      </c>
      <c r="I548" s="140">
        <f>VLOOKUP($C548,Sales!$C:$E,3,FALSE)</f>
        <v/>
      </c>
      <c r="J548" s="142">
        <f>SUMIFS(Sales!$H:$H,Sales!$C:$C,'Investor Exit List'!$C548)</f>
        <v/>
      </c>
      <c r="K548" s="142">
        <f>IF(I548=TRUE,J548,"")</f>
        <v/>
      </c>
      <c r="L548" s="142">
        <f>G548+730</f>
        <v/>
      </c>
      <c r="M548" s="142" t="n">
        <v>45443</v>
      </c>
      <c r="N548" s="143">
        <f>IFERROR(IF(G548&lt;&gt;"",IF(I548=TRUE,0,IF(U548=TRUE,0,L548-M548)),0),0)</f>
        <v/>
      </c>
      <c r="O548" s="143">
        <f>IF(N548&gt;0,IF(N548&lt;=180,N548,0),0)</f>
        <v/>
      </c>
      <c r="P548" s="141">
        <f>IF(AND(N548&lt;90,N548&gt;0),Q548,0)</f>
        <v/>
      </c>
      <c r="Q548" s="141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/>
      </c>
      <c r="R548" s="141">
        <f>IF(AND(H548=TRUE,I548=FALSE),Q548,0)</f>
        <v/>
      </c>
      <c r="S548" s="141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/>
      </c>
      <c r="T548" s="142">
        <f>IF(U548=TRUE,$J548,"")</f>
        <v/>
      </c>
      <c r="U548" s="140" t="b">
        <v>0</v>
      </c>
      <c r="V548" s="141">
        <f>IF(AND(H548=TRUE,OR(K548="",K548&gt;M548)),S548,0)</f>
        <v/>
      </c>
      <c r="W548" s="140" t="n">
        <v>0</v>
      </c>
      <c r="X548" s="140" t="b">
        <v>0</v>
      </c>
      <c r="Y548" s="143">
        <f>IF(H548=FALSE,VLOOKUP($C548,Sales!$C:$F,4,FALSE),1)</f>
        <v/>
      </c>
      <c r="Z548" s="140">
        <f>IF(Y548=0,"Release",IF(AND(L548&lt;J548,Y548=1,H548=FALSE,U548=FALSE,MONTH(L548)&amp;"/"&amp;YEAR(L548)&lt;&gt;MONTH(J548)&amp;"/"&amp;YEAR(J548)),"Release",""))</f>
        <v/>
      </c>
      <c r="AA548" s="144">
        <f>_xlfn.minifs($L:$L,$C:$C,$C548,$F:$F,"&lt;&gt;0")</f>
        <v/>
      </c>
      <c r="AB548" s="144">
        <f>C548&amp;"-"&amp;A548</f>
        <v/>
      </c>
      <c r="AC548" s="144">
        <f>L548</f>
        <v/>
      </c>
    </row>
    <row r="549">
      <c r="A549" s="140" t="inlineStr">
        <is>
          <t>ZLIN01</t>
        </is>
      </c>
      <c r="B549" s="140" t="n">
        <v>2</v>
      </c>
      <c r="C549" s="140" t="inlineStr">
        <is>
          <t>HVO305</t>
        </is>
      </c>
      <c r="D549" s="140" t="inlineStr">
        <is>
          <t>O</t>
        </is>
      </c>
      <c r="E549" s="140" t="inlineStr">
        <is>
          <t>Lines Charmain</t>
        </is>
      </c>
      <c r="F549" s="141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</f>
        <v/>
      </c>
      <c r="G549" s="142" t="n">
        <v>45129</v>
      </c>
      <c r="H549" s="140">
        <f>VLOOKUP($C549,Sales!$C:$E,2,FALSE)</f>
        <v/>
      </c>
      <c r="I549" s="140">
        <f>VLOOKUP($C549,Sales!$C:$E,3,FALSE)</f>
        <v/>
      </c>
      <c r="J549" s="142">
        <f>SUMIFS(Sales!$H:$H,Sales!$C:$C,'Investor Exit List'!$C549)</f>
        <v/>
      </c>
      <c r="K549" s="142">
        <f>IF(I549=TRUE,J549,"")</f>
        <v/>
      </c>
      <c r="L549" s="142">
        <f>G549+730</f>
        <v/>
      </c>
      <c r="M549" s="142" t="n">
        <v>45443</v>
      </c>
      <c r="N549" s="143">
        <f>IFERROR(IF(G549&lt;&gt;"",IF(I549=TRUE,0,IF(U549=TRUE,0,L549-M549)),0),0)</f>
        <v/>
      </c>
      <c r="O549" s="143">
        <f>IF(N549&gt;0,IF(N549&lt;=180,N549,0),0)</f>
        <v/>
      </c>
      <c r="P549" s="141">
        <f>IF(AND(N549&lt;90,N549&gt;0),Q549,0)</f>
        <v/>
      </c>
      <c r="Q549" s="141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/>
      </c>
      <c r="R549" s="141">
        <f>IF(AND(H549=TRUE,I549=FALSE),Q549,0)</f>
        <v/>
      </c>
      <c r="S549" s="141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/>
      </c>
      <c r="T549" s="142">
        <f>IF(U549=TRUE,$J549,"")</f>
        <v/>
      </c>
      <c r="U549" s="140" t="b">
        <v>0</v>
      </c>
      <c r="V549" s="141">
        <f>IF(AND(H549=TRUE,OR(K549="",K549&gt;M549)),S549,0)</f>
        <v/>
      </c>
      <c r="W549" s="140" t="n">
        <v>0</v>
      </c>
      <c r="X549" s="140" t="b">
        <v>0</v>
      </c>
      <c r="Y549" s="143">
        <f>IF(H549=FALSE,VLOOKUP($C549,Sales!$C:$F,4,FALSE),1)</f>
        <v/>
      </c>
      <c r="Z549" s="140">
        <f>IF(Y549=0,"Release",IF(AND(L549&lt;J549,Y549=1,H549=FALSE,U549=FALSE,MONTH(L549)&amp;"/"&amp;YEAR(L549)&lt;&gt;MONTH(J549)&amp;"/"&amp;YEAR(J549)),"Release",""))</f>
        <v/>
      </c>
      <c r="AA549" s="144">
        <f>_xlfn.minifs($L:$L,$C:$C,$C549,$F:$F,"&lt;&gt;0")</f>
        <v/>
      </c>
      <c r="AB549" s="144">
        <f>C549&amp;"-"&amp;A549</f>
        <v/>
      </c>
      <c r="AC549" s="144">
        <f>L549</f>
        <v/>
      </c>
    </row>
    <row r="550">
      <c r="A550" s="140" t="inlineStr">
        <is>
          <t>ZSOU02</t>
        </is>
      </c>
      <c r="B550" s="140" t="n">
        <v>2</v>
      </c>
      <c r="C550" s="140" t="inlineStr">
        <is>
          <t>HVO305</t>
        </is>
      </c>
      <c r="D550" s="140" t="inlineStr">
        <is>
          <t>O</t>
        </is>
      </c>
      <c r="E550" s="140" t="inlineStr">
        <is>
          <t>Sourgen Frances Leathem</t>
        </is>
      </c>
      <c r="F550" s="141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</f>
        <v/>
      </c>
      <c r="G550" s="142" t="n">
        <v>45161</v>
      </c>
      <c r="H550" s="140">
        <f>VLOOKUP($C550,Sales!$C:$E,2,FALSE)</f>
        <v/>
      </c>
      <c r="I550" s="140">
        <f>VLOOKUP($C550,Sales!$C:$E,3,FALSE)</f>
        <v/>
      </c>
      <c r="J550" s="142">
        <f>SUMIFS(Sales!$H:$H,Sales!$C:$C,'Investor Exit List'!$C550)</f>
        <v/>
      </c>
      <c r="K550" s="142">
        <f>IF(I550=TRUE,J550,"")</f>
        <v/>
      </c>
      <c r="L550" s="142">
        <f>G550+730</f>
        <v/>
      </c>
      <c r="M550" s="142" t="n">
        <v>45443</v>
      </c>
      <c r="N550" s="143">
        <f>IFERROR(IF(G550&lt;&gt;"",IF(I550=TRUE,0,IF(U550=TRUE,0,L550-M550)),0),0)</f>
        <v/>
      </c>
      <c r="O550" s="143">
        <f>IF(N550&gt;0,IF(N550&lt;=180,N550,0),0)</f>
        <v/>
      </c>
      <c r="P550" s="141">
        <f>IF(AND(N550&lt;90,N550&gt;0),Q550,0)</f>
        <v/>
      </c>
      <c r="Q550" s="141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/>
      </c>
      <c r="R550" s="141">
        <f>IF(AND(H550=TRUE,I550=FALSE),Q550,0)</f>
        <v/>
      </c>
      <c r="S550" s="141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/>
      </c>
      <c r="T550" s="142">
        <f>IF(U550=TRUE,$J550,"")</f>
        <v/>
      </c>
      <c r="U550" s="140" t="b">
        <v>0</v>
      </c>
      <c r="V550" s="141">
        <f>IF(AND(H550=TRUE,OR(K550="",K550&gt;M550)),S550,0)</f>
        <v/>
      </c>
      <c r="W550" s="140" t="n">
        <v>0</v>
      </c>
      <c r="X550" s="140" t="b">
        <v>0</v>
      </c>
      <c r="Y550" s="143">
        <f>IF(H550=FALSE,VLOOKUP($C550,Sales!$C:$F,4,FALSE),1)</f>
        <v/>
      </c>
      <c r="Z550" s="140">
        <f>IF(Y550=0,"Release",IF(AND(L550&lt;J550,Y550=1,H550=FALSE,U550=FALSE,MONTH(L550)&amp;"/"&amp;YEAR(L550)&lt;&gt;MONTH(J550)&amp;"/"&amp;YEAR(J550)),"Release",""))</f>
        <v/>
      </c>
      <c r="AA550" s="144">
        <f>_xlfn.minifs($L:$L,$C:$C,$C550,$F:$F,"&lt;&gt;0")</f>
        <v/>
      </c>
      <c r="AB550" s="144">
        <f>C550&amp;"-"&amp;A550</f>
        <v/>
      </c>
      <c r="AC550" s="144">
        <f>L550</f>
        <v/>
      </c>
    </row>
    <row r="551">
      <c r="A551" s="140" t="inlineStr">
        <is>
          <t>ZFER02</t>
        </is>
      </c>
      <c r="B551" s="140" t="n">
        <v>1</v>
      </c>
      <c r="C551" s="140" t="inlineStr">
        <is>
          <t>HVP101</t>
        </is>
      </c>
      <c r="D551" s="140" t="inlineStr">
        <is>
          <t>P</t>
        </is>
      </c>
      <c r="E551" s="140" t="inlineStr">
        <is>
          <t>Fernandes Olga Maria</t>
        </is>
      </c>
      <c r="F551" s="141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</f>
        <v/>
      </c>
      <c r="G551" s="142" t="n">
        <v>44791</v>
      </c>
      <c r="H551" s="140">
        <f>VLOOKUP($C551,Sales!$C:$E,2,FALSE)</f>
        <v/>
      </c>
      <c r="I551" s="140">
        <f>VLOOKUP($C551,Sales!$C:$E,3,FALSE)</f>
        <v/>
      </c>
      <c r="J551" s="142">
        <f>SUMIFS(Sales!$H:$H,Sales!$C:$C,'Investor Exit List'!$C551)</f>
        <v/>
      </c>
      <c r="K551" s="142">
        <f>IF(I551=TRUE,J551,"")</f>
        <v/>
      </c>
      <c r="L551" s="142">
        <f>G551+730</f>
        <v/>
      </c>
      <c r="M551" s="142" t="n">
        <v>45443</v>
      </c>
      <c r="N551" s="143">
        <f>IFERROR(IF(G551&lt;&gt;"",IF(I551=TRUE,0,IF(U551=TRUE,0,L551-M551)),0),0)</f>
        <v/>
      </c>
      <c r="O551" s="143">
        <f>IF(N551&gt;0,IF(N551&lt;=180,N551,0),0)</f>
        <v/>
      </c>
      <c r="P551" s="141">
        <f>IF(AND(N551&lt;90,N551&gt;0),Q551,0)</f>
        <v/>
      </c>
      <c r="Q551" s="141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/>
      </c>
      <c r="R551" s="141">
        <f>IF(AND(H551=TRUE,I551=FALSE),Q551,0)</f>
        <v/>
      </c>
      <c r="S551" s="141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/>
      </c>
      <c r="T551" s="142">
        <f>IF(U551=TRUE,$J551,"")</f>
        <v/>
      </c>
      <c r="U551" s="140" t="b">
        <v>0</v>
      </c>
      <c r="V551" s="141">
        <f>IF(AND(H551=TRUE,OR(K551="",K551&gt;M551)),S551,0)</f>
        <v/>
      </c>
      <c r="W551" s="140" t="n">
        <v>0</v>
      </c>
      <c r="X551" s="140" t="b">
        <v>0</v>
      </c>
      <c r="Y551" s="143">
        <f>IF(H551=FALSE,VLOOKUP($C551,Sales!$C:$F,4,FALSE),1)</f>
        <v/>
      </c>
      <c r="Z551" s="140">
        <f>IF(Y551=0,"Release",IF(AND(L551&lt;J551,Y551=1,H551=FALSE,U551=FALSE,MONTH(L551)&amp;"/"&amp;YEAR(L551)&lt;&gt;MONTH(J551)&amp;"/"&amp;YEAR(J551)),"Release",""))</f>
        <v/>
      </c>
      <c r="AA551" s="144">
        <f>_xlfn.minifs($L:$L,$C:$C,$C551,$F:$F,"&lt;&gt;0")</f>
        <v/>
      </c>
      <c r="AB551" s="144">
        <f>C551&amp;"-"&amp;A551</f>
        <v/>
      </c>
      <c r="AC551" s="144">
        <f>L551</f>
        <v/>
      </c>
    </row>
    <row r="552">
      <c r="A552" s="140" t="inlineStr">
        <is>
          <t>ZJOR01</t>
        </is>
      </c>
      <c r="B552" s="140" t="n">
        <v>3</v>
      </c>
      <c r="C552" s="140" t="inlineStr">
        <is>
          <t>HVP101</t>
        </is>
      </c>
      <c r="D552" s="140" t="inlineStr">
        <is>
          <t>P</t>
        </is>
      </c>
      <c r="E552" s="140" t="inlineStr">
        <is>
          <t>Jordaan Glen Rutherford</t>
        </is>
      </c>
      <c r="F552" s="141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</f>
        <v/>
      </c>
      <c r="G552" s="142" t="n">
        <v>44833</v>
      </c>
      <c r="H552" s="140">
        <f>VLOOKUP($C552,Sales!$C:$E,2,FALSE)</f>
        <v/>
      </c>
      <c r="I552" s="140">
        <f>VLOOKUP($C552,Sales!$C:$E,3,FALSE)</f>
        <v/>
      </c>
      <c r="J552" s="142">
        <f>SUMIFS(Sales!$H:$H,Sales!$C:$C,'Investor Exit List'!$C552)</f>
        <v/>
      </c>
      <c r="K552" s="142">
        <f>IF(I552=TRUE,J552,"")</f>
        <v/>
      </c>
      <c r="L552" s="142">
        <f>G552+730</f>
        <v/>
      </c>
      <c r="M552" s="142" t="n">
        <v>45443</v>
      </c>
      <c r="N552" s="143">
        <f>IFERROR(IF(G552&lt;&gt;"",IF(I552=TRUE,0,IF(U552=TRUE,0,L552-M552)),0),0)</f>
        <v/>
      </c>
      <c r="O552" s="143">
        <f>IF(N552&gt;0,IF(N552&lt;=180,N552,0),0)</f>
        <v/>
      </c>
      <c r="P552" s="141">
        <f>IF(AND(N552&lt;90,N552&gt;0),Q552,0)</f>
        <v/>
      </c>
      <c r="Q552" s="141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/>
      </c>
      <c r="R552" s="141">
        <f>IF(AND(H552=TRUE,I552=FALSE),Q552,0)</f>
        <v/>
      </c>
      <c r="S552" s="141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/>
      </c>
      <c r="T552" s="142">
        <f>IF(U552=TRUE,$J552,"")</f>
        <v/>
      </c>
      <c r="U552" s="140" t="b">
        <v>0</v>
      </c>
      <c r="V552" s="141">
        <f>IF(AND(H552=TRUE,OR(K552="",K552&gt;M552)),S552,0)</f>
        <v/>
      </c>
      <c r="W552" s="140" t="n">
        <v>0</v>
      </c>
      <c r="X552" s="140" t="b">
        <v>0</v>
      </c>
      <c r="Y552" s="143">
        <f>IF(H552=FALSE,VLOOKUP($C552,Sales!$C:$F,4,FALSE),1)</f>
        <v/>
      </c>
      <c r="Z552" s="140">
        <f>IF(Y552=0,"Release",IF(AND(L552&lt;J552,Y552=1,H552=FALSE,U552=FALSE,MONTH(L552)&amp;"/"&amp;YEAR(L552)&lt;&gt;MONTH(J552)&amp;"/"&amp;YEAR(J552)),"Release",""))</f>
        <v/>
      </c>
      <c r="AA552" s="144">
        <f>_xlfn.minifs($L:$L,$C:$C,$C552,$F:$F,"&lt;&gt;0")</f>
        <v/>
      </c>
      <c r="AB552" s="144">
        <f>C552&amp;"-"&amp;A552</f>
        <v/>
      </c>
      <c r="AC552" s="144">
        <f>L552</f>
        <v/>
      </c>
    </row>
    <row r="553">
      <c r="A553" s="140" t="inlineStr">
        <is>
          <t>ZKRU01</t>
        </is>
      </c>
      <c r="B553" s="140" t="n">
        <v>6</v>
      </c>
      <c r="C553" s="140" t="inlineStr">
        <is>
          <t>HVP101</t>
        </is>
      </c>
      <c r="D553" s="140" t="inlineStr">
        <is>
          <t>P</t>
        </is>
      </c>
      <c r="E553" s="140" t="inlineStr">
        <is>
          <t>Kruger Jurgen</t>
        </is>
      </c>
      <c r="F553" s="141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</f>
        <v/>
      </c>
      <c r="G553" s="142" t="n">
        <v>44819</v>
      </c>
      <c r="H553" s="140">
        <f>VLOOKUP($C553,Sales!$C:$E,2,FALSE)</f>
        <v/>
      </c>
      <c r="I553" s="140">
        <f>VLOOKUP($C553,Sales!$C:$E,3,FALSE)</f>
        <v/>
      </c>
      <c r="J553" s="142">
        <f>SUMIFS(Sales!$H:$H,Sales!$C:$C,'Investor Exit List'!$C553)</f>
        <v/>
      </c>
      <c r="K553" s="142">
        <f>IF(I553=TRUE,J553,"")</f>
        <v/>
      </c>
      <c r="L553" s="142">
        <f>G553+730</f>
        <v/>
      </c>
      <c r="M553" s="142" t="n">
        <v>45443</v>
      </c>
      <c r="N553" s="143">
        <f>IFERROR(IF(G553&lt;&gt;"",IF(I553=TRUE,0,IF(U553=TRUE,0,L553-M553)),0),0)</f>
        <v/>
      </c>
      <c r="O553" s="143">
        <f>IF(N553&gt;0,IF(N553&lt;=180,N553,0),0)</f>
        <v/>
      </c>
      <c r="P553" s="141">
        <f>IF(AND(N553&lt;90,N553&gt;0),Q553,0)</f>
        <v/>
      </c>
      <c r="Q553" s="141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/>
      </c>
      <c r="R553" s="141">
        <f>IF(AND(H553=TRUE,I553=FALSE),Q553,0)</f>
        <v/>
      </c>
      <c r="S553" s="141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/>
      </c>
      <c r="T553" s="142">
        <f>IF(U553=TRUE,$J553,"")</f>
        <v/>
      </c>
      <c r="U553" s="140" t="b">
        <v>0</v>
      </c>
      <c r="V553" s="141">
        <f>IF(AND(H553=TRUE,OR(K553="",K553&gt;M553)),S553,0)</f>
        <v/>
      </c>
      <c r="W553" s="140" t="n">
        <v>0</v>
      </c>
      <c r="X553" s="140" t="b">
        <v>0</v>
      </c>
      <c r="Y553" s="143">
        <f>IF(H553=FALSE,VLOOKUP($C553,Sales!$C:$F,4,FALSE),1)</f>
        <v/>
      </c>
      <c r="Z553" s="140">
        <f>IF(Y553=0,"Release",IF(AND(L553&lt;J553,Y553=1,H553=FALSE,U553=FALSE,MONTH(L553)&amp;"/"&amp;YEAR(L553)&lt;&gt;MONTH(J553)&amp;"/"&amp;YEAR(J553)),"Release",""))</f>
        <v/>
      </c>
      <c r="AA553" s="144">
        <f>_xlfn.minifs($L:$L,$C:$C,$C553,$F:$F,"&lt;&gt;0")</f>
        <v/>
      </c>
      <c r="AB553" s="144">
        <f>C553&amp;"-"&amp;A553</f>
        <v/>
      </c>
      <c r="AC553" s="144">
        <f>L553</f>
        <v/>
      </c>
    </row>
    <row r="554">
      <c r="A554" s="140" t="inlineStr">
        <is>
          <t>ZTHA01</t>
        </is>
      </c>
      <c r="B554" s="140" t="n">
        <v>1</v>
      </c>
      <c r="C554" s="140" t="inlineStr">
        <is>
          <t>HVP101</t>
        </is>
      </c>
      <c r="D554" s="140" t="inlineStr">
        <is>
          <t>P</t>
        </is>
      </c>
      <c r="E554" s="140" t="inlineStr">
        <is>
          <t>Matthee Gerald Adriaan Odendal</t>
        </is>
      </c>
      <c r="F554" s="141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</f>
        <v/>
      </c>
      <c r="G554" s="142" t="n">
        <v>44798</v>
      </c>
      <c r="H554" s="140">
        <f>VLOOKUP($C554,Sales!$C:$E,2,FALSE)</f>
        <v/>
      </c>
      <c r="I554" s="140">
        <f>VLOOKUP($C554,Sales!$C:$E,3,FALSE)</f>
        <v/>
      </c>
      <c r="J554" s="142">
        <f>SUMIFS(Sales!$H:$H,Sales!$C:$C,'Investor Exit List'!$C554)</f>
        <v/>
      </c>
      <c r="K554" s="142">
        <f>IF(I554=TRUE,J554,"")</f>
        <v/>
      </c>
      <c r="L554" s="142">
        <f>G554+730</f>
        <v/>
      </c>
      <c r="M554" s="142" t="n">
        <v>45443</v>
      </c>
      <c r="N554" s="143">
        <f>IFERROR(IF(G554&lt;&gt;"",IF(I554=TRUE,0,IF(U554=TRUE,0,L554-M554)),0),0)</f>
        <v/>
      </c>
      <c r="O554" s="143">
        <f>IF(N554&gt;0,IF(N554&lt;=180,N554,0),0)</f>
        <v/>
      </c>
      <c r="P554" s="141">
        <f>IF(AND(N554&lt;90,N554&gt;0),Q554,0)</f>
        <v/>
      </c>
      <c r="Q554" s="141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/>
      </c>
      <c r="R554" s="141">
        <f>IF(AND(H554=TRUE,I554=FALSE),Q554,0)</f>
        <v/>
      </c>
      <c r="S554" s="141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/>
      </c>
      <c r="T554" s="142">
        <f>IF(U554=TRUE,$J554,"")</f>
        <v/>
      </c>
      <c r="U554" s="140" t="b">
        <v>0</v>
      </c>
      <c r="V554" s="141">
        <f>IF(AND(H554=TRUE,OR(K554="",K554&gt;M554)),S554,0)</f>
        <v/>
      </c>
      <c r="W554" s="140" t="n">
        <v>0</v>
      </c>
      <c r="X554" s="140" t="b">
        <v>0</v>
      </c>
      <c r="Y554" s="143">
        <f>IF(H554=FALSE,VLOOKUP($C554,Sales!$C:$F,4,FALSE),1)</f>
        <v/>
      </c>
      <c r="Z554" s="140">
        <f>IF(Y554=0,"Release",IF(AND(L554&lt;J554,Y554=1,H554=FALSE,U554=FALSE,MONTH(L554)&amp;"/"&amp;YEAR(L554)&lt;&gt;MONTH(J554)&amp;"/"&amp;YEAR(J554)),"Release",""))</f>
        <v/>
      </c>
      <c r="AA554" s="144">
        <f>_xlfn.minifs($L:$L,$C:$C,$C554,$F:$F,"&lt;&gt;0")</f>
        <v/>
      </c>
      <c r="AB554" s="144">
        <f>C554&amp;"-"&amp;A554</f>
        <v/>
      </c>
      <c r="AC554" s="144">
        <f>L554</f>
        <v/>
      </c>
    </row>
    <row r="555">
      <c r="A555" s="140" t="inlineStr">
        <is>
          <t>ZVER02</t>
        </is>
      </c>
      <c r="B555" s="140" t="n">
        <v>4</v>
      </c>
      <c r="C555" s="140" t="inlineStr">
        <is>
          <t>HVP101</t>
        </is>
      </c>
      <c r="D555" s="140" t="inlineStr">
        <is>
          <t>P</t>
        </is>
      </c>
      <c r="E555" s="140" t="inlineStr">
        <is>
          <t>Verhaeghe Jean-Jacques EP</t>
        </is>
      </c>
      <c r="F555" s="141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</f>
        <v/>
      </c>
      <c r="G555" s="142" t="n">
        <v>44791</v>
      </c>
      <c r="H555" s="140">
        <f>VLOOKUP($C555,Sales!$C:$E,2,FALSE)</f>
        <v/>
      </c>
      <c r="I555" s="140">
        <f>VLOOKUP($C555,Sales!$C:$E,3,FALSE)</f>
        <v/>
      </c>
      <c r="J555" s="142">
        <f>SUMIFS(Sales!$H:$H,Sales!$C:$C,'Investor Exit List'!$C555)</f>
        <v/>
      </c>
      <c r="K555" s="142">
        <f>IF(I555=TRUE,J555,"")</f>
        <v/>
      </c>
      <c r="L555" s="142">
        <f>G555+730</f>
        <v/>
      </c>
      <c r="M555" s="142" t="n">
        <v>45443</v>
      </c>
      <c r="N555" s="143">
        <f>IFERROR(IF(G555&lt;&gt;"",IF(I555=TRUE,0,IF(U555=TRUE,0,L555-M555)),0),0)</f>
        <v/>
      </c>
      <c r="O555" s="143">
        <f>IF(N555&gt;0,IF(N555&lt;=180,N555,0),0)</f>
        <v/>
      </c>
      <c r="P555" s="141">
        <f>IF(AND(N555&lt;90,N555&gt;0),Q555,0)</f>
        <v/>
      </c>
      <c r="Q555" s="141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/>
      </c>
      <c r="R555" s="141">
        <f>IF(AND(H555=TRUE,I555=FALSE),Q555,0)</f>
        <v/>
      </c>
      <c r="S555" s="141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/>
      </c>
      <c r="T555" s="142">
        <f>IF(U555=TRUE,$J555,"")</f>
        <v/>
      </c>
      <c r="U555" s="140" t="b">
        <v>0</v>
      </c>
      <c r="V555" s="141">
        <f>IF(AND(H555=TRUE,OR(K555="",K555&gt;M555)),S555,0)</f>
        <v/>
      </c>
      <c r="W555" s="140" t="n">
        <v>0</v>
      </c>
      <c r="X555" s="140" t="b">
        <v>0</v>
      </c>
      <c r="Y555" s="143">
        <f>IF(H555=FALSE,VLOOKUP($C555,Sales!$C:$F,4,FALSE),1)</f>
        <v/>
      </c>
      <c r="Z555" s="140">
        <f>IF(Y555=0,"Release",IF(AND(L555&lt;J555,Y555=1,H555=FALSE,U555=FALSE,MONTH(L555)&amp;"/"&amp;YEAR(L555)&lt;&gt;MONTH(J555)&amp;"/"&amp;YEAR(J555)),"Release",""))</f>
        <v/>
      </c>
      <c r="AA555" s="144">
        <f>_xlfn.minifs($L:$L,$C:$C,$C555,$F:$F,"&lt;&gt;0")</f>
        <v/>
      </c>
      <c r="AB555" s="144">
        <f>C555&amp;"-"&amp;A555</f>
        <v/>
      </c>
      <c r="AC555" s="144">
        <f>L555</f>
        <v/>
      </c>
    </row>
    <row r="556">
      <c r="A556" s="140" t="inlineStr">
        <is>
          <t>ZHUM01</t>
        </is>
      </c>
      <c r="B556" s="140" t="n">
        <v>1</v>
      </c>
      <c r="C556" s="140" t="inlineStr">
        <is>
          <t>HVP102</t>
        </is>
      </c>
      <c r="D556" s="140" t="inlineStr">
        <is>
          <t>P</t>
        </is>
      </c>
      <c r="E556" s="140" t="inlineStr">
        <is>
          <t>Human Tralee Joan</t>
        </is>
      </c>
      <c r="F556" s="141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</f>
        <v/>
      </c>
      <c r="G556" s="142" t="n">
        <v>44840</v>
      </c>
      <c r="H556" s="140">
        <f>VLOOKUP($C556,Sales!$C:$E,2,FALSE)</f>
        <v/>
      </c>
      <c r="I556" s="140">
        <f>VLOOKUP($C556,Sales!$C:$E,3,FALSE)</f>
        <v/>
      </c>
      <c r="J556" s="142">
        <f>SUMIFS(Sales!$H:$H,Sales!$C:$C,'Investor Exit List'!$C556)</f>
        <v/>
      </c>
      <c r="K556" s="142">
        <f>IF(I556=TRUE,J556,"")</f>
        <v/>
      </c>
      <c r="L556" s="142">
        <f>G556+730</f>
        <v/>
      </c>
      <c r="M556" s="142" t="n">
        <v>45443</v>
      </c>
      <c r="N556" s="143">
        <f>IFERROR(IF(G556&lt;&gt;"",IF(I556=TRUE,0,IF(U556=TRUE,0,L556-M556)),0),0)</f>
        <v/>
      </c>
      <c r="O556" s="143">
        <f>IF(N556&gt;0,IF(N556&lt;=180,N556,0),0)</f>
        <v/>
      </c>
      <c r="P556" s="141">
        <f>IF(AND(N556&lt;90,N556&gt;0),Q556,0)</f>
        <v/>
      </c>
      <c r="Q556" s="141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/>
      </c>
      <c r="R556" s="141">
        <f>IF(AND(H556=TRUE,I556=FALSE),Q556,0)</f>
        <v/>
      </c>
      <c r="S556" s="141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/>
      </c>
      <c r="T556" s="142">
        <f>IF(U556=TRUE,$J556,"")</f>
        <v/>
      </c>
      <c r="U556" s="140" t="b">
        <v>0</v>
      </c>
      <c r="V556" s="141">
        <f>IF(AND(H556=TRUE,OR(K556="",K556&gt;M556)),S556,0)</f>
        <v/>
      </c>
      <c r="W556" s="140" t="n">
        <v>0</v>
      </c>
      <c r="X556" s="140" t="b">
        <v>0</v>
      </c>
      <c r="Y556" s="143">
        <f>IF(H556=FALSE,VLOOKUP($C556,Sales!$C:$F,4,FALSE),1)</f>
        <v/>
      </c>
      <c r="Z556" s="140">
        <f>IF(Y556=0,"Release",IF(AND(L556&lt;J556,Y556=1,H556=FALSE,U556=FALSE,MONTH(L556)&amp;"/"&amp;YEAR(L556)&lt;&gt;MONTH(J556)&amp;"/"&amp;YEAR(J556)),"Release",""))</f>
        <v/>
      </c>
      <c r="AA556" s="144">
        <f>_xlfn.minifs($L:$L,$C:$C,$C556,$F:$F,"&lt;&gt;0")</f>
        <v/>
      </c>
      <c r="AB556" s="144">
        <f>C556&amp;"-"&amp;A556</f>
        <v/>
      </c>
      <c r="AC556" s="144">
        <f>L556</f>
        <v/>
      </c>
    </row>
    <row r="557">
      <c r="A557" s="140" t="inlineStr">
        <is>
          <t>ZJEN02</t>
        </is>
      </c>
      <c r="B557" s="140" t="n">
        <v>1</v>
      </c>
      <c r="C557" s="140" t="inlineStr">
        <is>
          <t>HVP102</t>
        </is>
      </c>
      <c r="D557" s="140" t="inlineStr">
        <is>
          <t>P</t>
        </is>
      </c>
      <c r="E557" s="140" t="inlineStr">
        <is>
          <t>Jennings Andrew Bowden</t>
        </is>
      </c>
      <c r="F557" s="141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</f>
        <v/>
      </c>
      <c r="G557" s="142" t="n">
        <v>44833</v>
      </c>
      <c r="H557" s="140">
        <f>VLOOKUP($C557,Sales!$C:$E,2,FALSE)</f>
        <v/>
      </c>
      <c r="I557" s="140">
        <f>VLOOKUP($C557,Sales!$C:$E,3,FALSE)</f>
        <v/>
      </c>
      <c r="J557" s="142">
        <f>SUMIFS(Sales!$H:$H,Sales!$C:$C,'Investor Exit List'!$C557)</f>
        <v/>
      </c>
      <c r="K557" s="142">
        <f>IF(I557=TRUE,J557,"")</f>
        <v/>
      </c>
      <c r="L557" s="142">
        <f>G557+730</f>
        <v/>
      </c>
      <c r="M557" s="142" t="n">
        <v>45443</v>
      </c>
      <c r="N557" s="143">
        <f>IFERROR(IF(G557&lt;&gt;"",IF(I557=TRUE,0,IF(U557=TRUE,0,L557-M557)),0),0)</f>
        <v/>
      </c>
      <c r="O557" s="143">
        <f>IF(N557&gt;0,IF(N557&lt;=180,N557,0),0)</f>
        <v/>
      </c>
      <c r="P557" s="141">
        <f>IF(AND(N557&lt;90,N557&gt;0),Q557,0)</f>
        <v/>
      </c>
      <c r="Q557" s="141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/>
      </c>
      <c r="R557" s="141">
        <f>IF(AND(H557=TRUE,I557=FALSE),Q557,0)</f>
        <v/>
      </c>
      <c r="S557" s="141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/>
      </c>
      <c r="T557" s="142">
        <f>IF(U557=TRUE,$J557,"")</f>
        <v/>
      </c>
      <c r="U557" s="140" t="b">
        <v>0</v>
      </c>
      <c r="V557" s="141">
        <f>IF(AND(H557=TRUE,OR(K557="",K557&gt;M557)),S557,0)</f>
        <v/>
      </c>
      <c r="W557" s="140" t="n">
        <v>0</v>
      </c>
      <c r="X557" s="140" t="b">
        <v>0</v>
      </c>
      <c r="Y557" s="143">
        <f>IF(H557=FALSE,VLOOKUP($C557,Sales!$C:$F,4,FALSE),1)</f>
        <v/>
      </c>
      <c r="Z557" s="140">
        <f>IF(Y557=0,"Release",IF(AND(L557&lt;J557,Y557=1,H557=FALSE,U557=FALSE,MONTH(L557)&amp;"/"&amp;YEAR(L557)&lt;&gt;MONTH(J557)&amp;"/"&amp;YEAR(J557)),"Release",""))</f>
        <v/>
      </c>
      <c r="AA557" s="144">
        <f>_xlfn.minifs($L:$L,$C:$C,$C557,$F:$F,"&lt;&gt;0")</f>
        <v/>
      </c>
      <c r="AB557" s="144">
        <f>C557&amp;"-"&amp;A557</f>
        <v/>
      </c>
      <c r="AC557" s="144">
        <f>L557</f>
        <v/>
      </c>
    </row>
    <row r="558">
      <c r="A558" s="140" t="inlineStr">
        <is>
          <t>ZZEE01</t>
        </is>
      </c>
      <c r="B558" s="140" t="n">
        <v>1</v>
      </c>
      <c r="C558" s="140" t="inlineStr">
        <is>
          <t>HVP103</t>
        </is>
      </c>
      <c r="D558" s="140" t="inlineStr">
        <is>
          <t>P</t>
        </is>
      </c>
      <c r="E558" s="140" t="inlineStr">
        <is>
          <t>Zeeman Michael Christiaan</t>
        </is>
      </c>
      <c r="F558" s="141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</f>
        <v/>
      </c>
      <c r="G558" s="142" t="n">
        <v>44833</v>
      </c>
      <c r="H558" s="140">
        <f>VLOOKUP($C558,Sales!$C:$E,2,FALSE)</f>
        <v/>
      </c>
      <c r="I558" s="140">
        <f>VLOOKUP($C558,Sales!$C:$E,3,FALSE)</f>
        <v/>
      </c>
      <c r="J558" s="142">
        <f>SUMIFS(Sales!$H:$H,Sales!$C:$C,'Investor Exit List'!$C558)</f>
        <v/>
      </c>
      <c r="K558" s="142">
        <f>IF(I558=TRUE,J558,"")</f>
        <v/>
      </c>
      <c r="L558" s="142">
        <f>G558+730</f>
        <v/>
      </c>
      <c r="M558" s="142" t="n">
        <v>45443</v>
      </c>
      <c r="N558" s="143">
        <f>IFERROR(IF(G558&lt;&gt;"",IF(I558=TRUE,0,IF(U558=TRUE,0,L558-M558)),0),0)</f>
        <v/>
      </c>
      <c r="O558" s="143">
        <f>IF(N558&gt;0,IF(N558&lt;=180,N558,0),0)</f>
        <v/>
      </c>
      <c r="P558" s="141">
        <f>IF(AND(N558&lt;90,N558&gt;0),Q558,0)</f>
        <v/>
      </c>
      <c r="Q558" s="141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/>
      </c>
      <c r="R558" s="141">
        <f>IF(AND(H558=TRUE,I558=FALSE),Q558,0)</f>
        <v/>
      </c>
      <c r="S558" s="141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/>
      </c>
      <c r="T558" s="142">
        <f>IF(U558=TRUE,$J558,"")</f>
        <v/>
      </c>
      <c r="U558" s="140" t="b">
        <v>0</v>
      </c>
      <c r="V558" s="141">
        <f>IF(AND(H558=TRUE,OR(K558="",K558&gt;M558)),S558,0)</f>
        <v/>
      </c>
      <c r="W558" s="140" t="n">
        <v>0</v>
      </c>
      <c r="X558" s="140" t="b">
        <v>0</v>
      </c>
      <c r="Y558" s="143">
        <f>IF(H558=FALSE,VLOOKUP($C558,Sales!$C:$F,4,FALSE),1)</f>
        <v/>
      </c>
      <c r="Z558" s="140">
        <f>IF(Y558=0,"Release",IF(AND(L558&lt;J558,Y558=1,H558=FALSE,U558=FALSE,MONTH(L558)&amp;"/"&amp;YEAR(L558)&lt;&gt;MONTH(J558)&amp;"/"&amp;YEAR(J558)),"Release",""))</f>
        <v/>
      </c>
      <c r="AA558" s="144">
        <f>_xlfn.minifs($L:$L,$C:$C,$C558,$F:$F,"&lt;&gt;0")</f>
        <v/>
      </c>
      <c r="AB558" s="144">
        <f>C558&amp;"-"&amp;A558</f>
        <v/>
      </c>
      <c r="AC558" s="144">
        <f>L558</f>
        <v/>
      </c>
    </row>
    <row r="559">
      <c r="A559" s="140" t="inlineStr">
        <is>
          <t>ZBAL02</t>
        </is>
      </c>
      <c r="B559" s="140" t="n">
        <v>1</v>
      </c>
      <c r="C559" s="140" t="inlineStr">
        <is>
          <t>HVP201</t>
        </is>
      </c>
      <c r="D559" s="140" t="inlineStr">
        <is>
          <t>P</t>
        </is>
      </c>
      <c r="E559" s="140" t="inlineStr">
        <is>
          <t>Ballim Shaheda</t>
        </is>
      </c>
      <c r="F559" s="141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</f>
        <v/>
      </c>
      <c r="G559" s="142" t="n">
        <v>44861</v>
      </c>
      <c r="H559" s="140">
        <f>VLOOKUP($C559,Sales!$C:$E,2,FALSE)</f>
        <v/>
      </c>
      <c r="I559" s="140">
        <f>VLOOKUP($C559,Sales!$C:$E,3,FALSE)</f>
        <v/>
      </c>
      <c r="J559" s="142">
        <f>SUMIFS(Sales!$H:$H,Sales!$C:$C,'Investor Exit List'!$C559)</f>
        <v/>
      </c>
      <c r="K559" s="142">
        <f>IF(I559=TRUE,J559,"")</f>
        <v/>
      </c>
      <c r="L559" s="142">
        <f>G559+730</f>
        <v/>
      </c>
      <c r="M559" s="142" t="n">
        <v>45443</v>
      </c>
      <c r="N559" s="143">
        <f>IFERROR(IF(G559&lt;&gt;"",IF(I559=TRUE,0,IF(U559=TRUE,0,L559-M559)),0),0)</f>
        <v/>
      </c>
      <c r="O559" s="143">
        <f>IF(N559&gt;0,IF(N559&lt;=180,N559,0),0)</f>
        <v/>
      </c>
      <c r="P559" s="141">
        <f>IF(AND(N559&lt;90,N559&gt;0),Q559,0)</f>
        <v/>
      </c>
      <c r="Q559" s="141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/>
      </c>
      <c r="R559" s="141">
        <f>IF(AND(H559=TRUE,I559=FALSE),Q559,0)</f>
        <v/>
      </c>
      <c r="S559" s="141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/>
      </c>
      <c r="T559" s="142">
        <f>IF(U559=TRUE,$J559,"")</f>
        <v/>
      </c>
      <c r="U559" s="140" t="b">
        <v>0</v>
      </c>
      <c r="V559" s="141">
        <f>IF(AND(H559=TRUE,OR(K559="",K559&gt;M559)),S559,0)</f>
        <v/>
      </c>
      <c r="W559" s="140" t="n">
        <v>0</v>
      </c>
      <c r="X559" s="140" t="b">
        <v>0</v>
      </c>
      <c r="Y559" s="143">
        <f>IF(H559=FALSE,VLOOKUP($C559,Sales!$C:$F,4,FALSE),1)</f>
        <v/>
      </c>
      <c r="Z559" s="140">
        <f>IF(Y559=0,"Release",IF(AND(L559&lt;J559,Y559=1,H559=FALSE,U559=FALSE,MONTH(L559)&amp;"/"&amp;YEAR(L559)&lt;&gt;MONTH(J559)&amp;"/"&amp;YEAR(J559)),"Release",""))</f>
        <v/>
      </c>
      <c r="AA559" s="144">
        <f>_xlfn.minifs($L:$L,$C:$C,$C559,$F:$F,"&lt;&gt;0")</f>
        <v/>
      </c>
      <c r="AB559" s="144">
        <f>C559&amp;"-"&amp;A559</f>
        <v/>
      </c>
      <c r="AC559" s="144">
        <f>L559</f>
        <v/>
      </c>
    </row>
    <row r="560">
      <c r="A560" s="140" t="inlineStr">
        <is>
          <t>ZDEF01</t>
        </is>
      </c>
      <c r="B560" s="140" t="n">
        <v>1</v>
      </c>
      <c r="C560" s="140" t="inlineStr">
        <is>
          <t>HVP201</t>
        </is>
      </c>
      <c r="D560" s="140" t="inlineStr">
        <is>
          <t>P</t>
        </is>
      </c>
      <c r="E560" s="140" t="inlineStr">
        <is>
          <t>de Freitas Allan</t>
        </is>
      </c>
      <c r="F560" s="141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</f>
        <v/>
      </c>
      <c r="G560" s="142" t="n">
        <v>44848</v>
      </c>
      <c r="H560" s="140">
        <f>VLOOKUP($C560,Sales!$C:$E,2,FALSE)</f>
        <v/>
      </c>
      <c r="I560" s="140">
        <f>VLOOKUP($C560,Sales!$C:$E,3,FALSE)</f>
        <v/>
      </c>
      <c r="J560" s="142">
        <f>SUMIFS(Sales!$H:$H,Sales!$C:$C,'Investor Exit List'!$C560)</f>
        <v/>
      </c>
      <c r="K560" s="142">
        <f>IF(I560=TRUE,J560,"")</f>
        <v/>
      </c>
      <c r="L560" s="142">
        <f>G560+730</f>
        <v/>
      </c>
      <c r="M560" s="142" t="n">
        <v>45443</v>
      </c>
      <c r="N560" s="143">
        <f>IFERROR(IF(G560&lt;&gt;"",IF(I560=TRUE,0,IF(U560=TRUE,0,L560-M560)),0),0)</f>
        <v/>
      </c>
      <c r="O560" s="143">
        <f>IF(N560&gt;0,IF(N560&lt;=180,N560,0),0)</f>
        <v/>
      </c>
      <c r="P560" s="141">
        <f>IF(AND(N560&lt;90,N560&gt;0),Q560,0)</f>
        <v/>
      </c>
      <c r="Q560" s="141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/>
      </c>
      <c r="R560" s="141">
        <f>IF(AND(H560=TRUE,I560=FALSE),Q560,0)</f>
        <v/>
      </c>
      <c r="S560" s="141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/>
      </c>
      <c r="T560" s="142">
        <f>IF(U560=TRUE,$J560,"")</f>
        <v/>
      </c>
      <c r="U560" s="140" t="b">
        <v>0</v>
      </c>
      <c r="V560" s="141">
        <f>IF(AND(H560=TRUE,OR(K560="",K560&gt;M560)),S560,0)</f>
        <v/>
      </c>
      <c r="W560" s="140" t="n">
        <v>0</v>
      </c>
      <c r="X560" s="140" t="b">
        <v>0</v>
      </c>
      <c r="Y560" s="143">
        <f>IF(H560=FALSE,VLOOKUP($C560,Sales!$C:$F,4,FALSE),1)</f>
        <v/>
      </c>
      <c r="Z560" s="140">
        <f>IF(Y560=0,"Release",IF(AND(L560&lt;J560,Y560=1,H560=FALSE,U560=FALSE,MONTH(L560)&amp;"/"&amp;YEAR(L560)&lt;&gt;MONTH(J560)&amp;"/"&amp;YEAR(J560)),"Release",""))</f>
        <v/>
      </c>
      <c r="AA560" s="144">
        <f>_xlfn.minifs($L:$L,$C:$C,$C560,$F:$F,"&lt;&gt;0")</f>
        <v/>
      </c>
      <c r="AB560" s="144">
        <f>C560&amp;"-"&amp;A560</f>
        <v/>
      </c>
      <c r="AC560" s="144">
        <f>L560</f>
        <v/>
      </c>
    </row>
    <row r="561">
      <c r="A561" s="140" t="inlineStr">
        <is>
          <t>ZJAN05</t>
        </is>
      </c>
      <c r="B561" s="140" t="n">
        <v>1</v>
      </c>
      <c r="C561" s="140" t="inlineStr">
        <is>
          <t>HVP201</t>
        </is>
      </c>
      <c r="D561" s="140" t="inlineStr">
        <is>
          <t>P</t>
        </is>
      </c>
      <c r="E561" s="140" t="inlineStr">
        <is>
          <t>Janse van Rensburg Gerda</t>
        </is>
      </c>
      <c r="F561" s="141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</f>
        <v/>
      </c>
      <c r="G561" s="142" t="n">
        <v>44861</v>
      </c>
      <c r="H561" s="140">
        <f>VLOOKUP($C561,Sales!$C:$E,2,FALSE)</f>
        <v/>
      </c>
      <c r="I561" s="140">
        <f>VLOOKUP($C561,Sales!$C:$E,3,FALSE)</f>
        <v/>
      </c>
      <c r="J561" s="142">
        <f>SUMIFS(Sales!$H:$H,Sales!$C:$C,'Investor Exit List'!$C561)</f>
        <v/>
      </c>
      <c r="K561" s="142">
        <f>IF(I561=TRUE,J561,"")</f>
        <v/>
      </c>
      <c r="L561" s="142">
        <f>G561+730</f>
        <v/>
      </c>
      <c r="M561" s="142" t="n">
        <v>45443</v>
      </c>
      <c r="N561" s="143">
        <f>IFERROR(IF(G561&lt;&gt;"",IF(I561=TRUE,0,IF(U561=TRUE,0,L561-M561)),0),0)</f>
        <v/>
      </c>
      <c r="O561" s="143">
        <f>IF(N561&gt;0,IF(N561&lt;=180,N561,0),0)</f>
        <v/>
      </c>
      <c r="P561" s="141">
        <f>IF(AND(N561&lt;90,N561&gt;0),Q561,0)</f>
        <v/>
      </c>
      <c r="Q561" s="141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/>
      </c>
      <c r="R561" s="141">
        <f>IF(AND(H561=TRUE,I561=FALSE),Q561,0)</f>
        <v/>
      </c>
      <c r="S561" s="141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/>
      </c>
      <c r="T561" s="142">
        <f>IF(U561=TRUE,$J561,"")</f>
        <v/>
      </c>
      <c r="U561" s="140" t="b">
        <v>0</v>
      </c>
      <c r="V561" s="141">
        <f>IF(AND(H561=TRUE,OR(K561="",K561&gt;M561)),S561,0)</f>
        <v/>
      </c>
      <c r="W561" s="140" t="n">
        <v>0</v>
      </c>
      <c r="X561" s="140" t="b">
        <v>0</v>
      </c>
      <c r="Y561" s="143">
        <f>IF(H561=FALSE,VLOOKUP($C561,Sales!$C:$F,4,FALSE),1)</f>
        <v/>
      </c>
      <c r="Z561" s="140">
        <f>IF(Y561=0,"Release",IF(AND(L561&lt;J561,Y561=1,H561=FALSE,U561=FALSE,MONTH(L561)&amp;"/"&amp;YEAR(L561)&lt;&gt;MONTH(J561)&amp;"/"&amp;YEAR(J561)),"Release",""))</f>
        <v/>
      </c>
      <c r="AA561" s="144">
        <f>_xlfn.minifs($L:$L,$C:$C,$C561,$F:$F,"&lt;&gt;0")</f>
        <v/>
      </c>
      <c r="AB561" s="144">
        <f>C561&amp;"-"&amp;A561</f>
        <v/>
      </c>
      <c r="AC561" s="144">
        <f>L561</f>
        <v/>
      </c>
    </row>
    <row r="562">
      <c r="A562" s="140" t="inlineStr">
        <is>
          <t>ZNUN01</t>
        </is>
      </c>
      <c r="B562" s="140" t="n">
        <v>5</v>
      </c>
      <c r="C562" s="140" t="inlineStr">
        <is>
          <t>HVP201</t>
        </is>
      </c>
      <c r="D562" s="140" t="inlineStr">
        <is>
          <t>P</t>
        </is>
      </c>
      <c r="E562" s="140" t="inlineStr">
        <is>
          <t>Nunes Francisco Antonio</t>
        </is>
      </c>
      <c r="F562" s="141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</f>
        <v/>
      </c>
      <c r="G562" s="142" t="n">
        <v>44826</v>
      </c>
      <c r="H562" s="140">
        <f>VLOOKUP($C562,Sales!$C:$E,2,FALSE)</f>
        <v/>
      </c>
      <c r="I562" s="140">
        <f>VLOOKUP($C562,Sales!$C:$E,3,FALSE)</f>
        <v/>
      </c>
      <c r="J562" s="142">
        <f>SUMIFS(Sales!$H:$H,Sales!$C:$C,'Investor Exit List'!$C562)</f>
        <v/>
      </c>
      <c r="K562" s="142">
        <f>IF(I562=TRUE,J562,"")</f>
        <v/>
      </c>
      <c r="L562" s="142">
        <f>G562+730</f>
        <v/>
      </c>
      <c r="M562" s="142" t="n">
        <v>45443</v>
      </c>
      <c r="N562" s="143">
        <f>IFERROR(IF(G562&lt;&gt;"",IF(I562=TRUE,0,IF(U562=TRUE,0,L562-M562)),0),0)</f>
        <v/>
      </c>
      <c r="O562" s="143">
        <f>IF(N562&gt;0,IF(N562&lt;=180,N562,0),0)</f>
        <v/>
      </c>
      <c r="P562" s="141">
        <f>IF(AND(N562&lt;90,N562&gt;0),Q562,0)</f>
        <v/>
      </c>
      <c r="Q562" s="141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/>
      </c>
      <c r="R562" s="141">
        <f>IF(AND(H562=TRUE,I562=FALSE),Q562,0)</f>
        <v/>
      </c>
      <c r="S562" s="141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/>
      </c>
      <c r="T562" s="142">
        <f>IF(U562=TRUE,$J562,"")</f>
        <v/>
      </c>
      <c r="U562" s="140" t="b">
        <v>0</v>
      </c>
      <c r="V562" s="141">
        <f>IF(AND(H562=TRUE,OR(K562="",K562&gt;M562)),S562,0)</f>
        <v/>
      </c>
      <c r="W562" s="140" t="n">
        <v>0</v>
      </c>
      <c r="X562" s="140" t="b">
        <v>0</v>
      </c>
      <c r="Y562" s="143">
        <f>IF(H562=FALSE,VLOOKUP($C562,Sales!$C:$F,4,FALSE),1)</f>
        <v/>
      </c>
      <c r="Z562" s="140">
        <f>IF(Y562=0,"Release",IF(AND(L562&lt;J562,Y562=1,H562=FALSE,U562=FALSE,MONTH(L562)&amp;"/"&amp;YEAR(L562)&lt;&gt;MONTH(J562)&amp;"/"&amp;YEAR(J562)),"Release",""))</f>
        <v/>
      </c>
      <c r="AA562" s="144">
        <f>_xlfn.minifs($L:$L,$C:$C,$C562,$F:$F,"&lt;&gt;0")</f>
        <v/>
      </c>
      <c r="AB562" s="144">
        <f>C562&amp;"-"&amp;A562</f>
        <v/>
      </c>
      <c r="AC562" s="144">
        <f>L562</f>
        <v/>
      </c>
    </row>
    <row r="563">
      <c r="A563" s="140" t="inlineStr">
        <is>
          <t>ZZEE01</t>
        </is>
      </c>
      <c r="B563" s="140" t="n">
        <v>2</v>
      </c>
      <c r="C563" s="140" t="inlineStr">
        <is>
          <t>HVP201</t>
        </is>
      </c>
      <c r="D563" s="140" t="inlineStr">
        <is>
          <t>P</t>
        </is>
      </c>
      <c r="E563" s="140" t="inlineStr">
        <is>
          <t>Zeeman Michael Christiaan</t>
        </is>
      </c>
      <c r="F563" s="141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</f>
        <v/>
      </c>
      <c r="G563" s="142" t="n">
        <v>44826</v>
      </c>
      <c r="H563" s="140">
        <f>VLOOKUP($C563,Sales!$C:$E,2,FALSE)</f>
        <v/>
      </c>
      <c r="I563" s="140">
        <f>VLOOKUP($C563,Sales!$C:$E,3,FALSE)</f>
        <v/>
      </c>
      <c r="J563" s="142">
        <f>SUMIFS(Sales!$H:$H,Sales!$C:$C,'Investor Exit List'!$C563)</f>
        <v/>
      </c>
      <c r="K563" s="142">
        <f>IF(I563=TRUE,J563,"")</f>
        <v/>
      </c>
      <c r="L563" s="142">
        <f>G563+730</f>
        <v/>
      </c>
      <c r="M563" s="142" t="n">
        <v>45443</v>
      </c>
      <c r="N563" s="143">
        <f>IFERROR(IF(G563&lt;&gt;"",IF(I563=TRUE,0,IF(U563=TRUE,0,L563-M563)),0),0)</f>
        <v/>
      </c>
      <c r="O563" s="143">
        <f>IF(N563&gt;0,IF(N563&lt;=180,N563,0),0)</f>
        <v/>
      </c>
      <c r="P563" s="141">
        <f>IF(AND(N563&lt;90,N563&gt;0),Q563,0)</f>
        <v/>
      </c>
      <c r="Q563" s="141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/>
      </c>
      <c r="R563" s="141">
        <f>IF(AND(H563=TRUE,I563=FALSE),Q563,0)</f>
        <v/>
      </c>
      <c r="S563" s="141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/>
      </c>
      <c r="T563" s="142">
        <f>IF(U563=TRUE,$J563,"")</f>
        <v/>
      </c>
      <c r="U563" s="140" t="b">
        <v>0</v>
      </c>
      <c r="V563" s="141">
        <f>IF(AND(H563=TRUE,OR(K563="",K563&gt;M563)),S563,0)</f>
        <v/>
      </c>
      <c r="W563" s="140" t="n">
        <v>0</v>
      </c>
      <c r="X563" s="140" t="b">
        <v>0</v>
      </c>
      <c r="Y563" s="143">
        <f>IF(H563=FALSE,VLOOKUP($C563,Sales!$C:$F,4,FALSE),1)</f>
        <v/>
      </c>
      <c r="Z563" s="140">
        <f>IF(Y563=0,"Release",IF(AND(L563&lt;J563,Y563=1,H563=FALSE,U563=FALSE,MONTH(L563)&amp;"/"&amp;YEAR(L563)&lt;&gt;MONTH(J563)&amp;"/"&amp;YEAR(J563)),"Release",""))</f>
        <v/>
      </c>
      <c r="AA563" s="144">
        <f>_xlfn.minifs($L:$L,$C:$C,$C563,$F:$F,"&lt;&gt;0")</f>
        <v/>
      </c>
      <c r="AB563" s="144">
        <f>C563&amp;"-"&amp;A563</f>
        <v/>
      </c>
      <c r="AC563" s="144">
        <f>L563</f>
        <v/>
      </c>
    </row>
    <row r="564">
      <c r="A564" s="140" t="inlineStr">
        <is>
          <t>ZBUR01</t>
        </is>
      </c>
      <c r="B564" s="140" t="n">
        <v>2</v>
      </c>
      <c r="C564" s="140" t="inlineStr">
        <is>
          <t>HVP202</t>
        </is>
      </c>
      <c r="D564" s="140" t="inlineStr">
        <is>
          <t>P</t>
        </is>
      </c>
      <c r="E564" s="140" t="inlineStr">
        <is>
          <t>Burger Barend Frederik</t>
        </is>
      </c>
      <c r="F564" s="141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</f>
        <v/>
      </c>
      <c r="G564" s="142" t="n">
        <v>45107</v>
      </c>
      <c r="H564" s="140">
        <f>VLOOKUP($C564,Sales!$C:$E,2,FALSE)</f>
        <v/>
      </c>
      <c r="I564" s="140">
        <f>VLOOKUP($C564,Sales!$C:$E,3,FALSE)</f>
        <v/>
      </c>
      <c r="J564" s="142">
        <f>SUMIFS(Sales!$H:$H,Sales!$C:$C,'Investor Exit List'!$C564)</f>
        <v/>
      </c>
      <c r="K564" s="142">
        <f>IF(I564=TRUE,J564,"")</f>
        <v/>
      </c>
      <c r="L564" s="142">
        <f>G564+730</f>
        <v/>
      </c>
      <c r="M564" s="142" t="n">
        <v>45443</v>
      </c>
      <c r="N564" s="143">
        <f>IFERROR(IF(G564&lt;&gt;"",IF(I564=TRUE,0,IF(U564=TRUE,0,L564-M564)),0),0)</f>
        <v/>
      </c>
      <c r="O564" s="143">
        <f>IF(N564&gt;0,IF(N564&lt;=180,N564,0),0)</f>
        <v/>
      </c>
      <c r="P564" s="141">
        <f>IF(AND(N564&lt;90,N564&gt;0),Q564,0)</f>
        <v/>
      </c>
      <c r="Q564" s="141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/>
      </c>
      <c r="R564" s="141">
        <f>IF(AND(H564=TRUE,I564=FALSE),Q564,0)</f>
        <v/>
      </c>
      <c r="S564" s="141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/>
      </c>
      <c r="T564" s="142">
        <f>IF(U564=TRUE,$J564,"")</f>
        <v/>
      </c>
      <c r="U564" s="140" t="b">
        <v>0</v>
      </c>
      <c r="V564" s="141">
        <f>IF(AND(H564=TRUE,OR(K564="",K564&gt;M564)),S564,0)</f>
        <v/>
      </c>
      <c r="W564" s="140" t="n">
        <v>0</v>
      </c>
      <c r="X564" s="140" t="b">
        <v>0</v>
      </c>
      <c r="Y564" s="143">
        <f>IF(H564=FALSE,VLOOKUP($C564,Sales!$C:$F,4,FALSE),1)</f>
        <v/>
      </c>
      <c r="Z564" s="140">
        <f>IF(Y564=0,"Release",IF(AND(L564&lt;J564,Y564=1,H564=FALSE,U564=FALSE,MONTH(L564)&amp;"/"&amp;YEAR(L564)&lt;&gt;MONTH(J564)&amp;"/"&amp;YEAR(J564)),"Release",""))</f>
        <v/>
      </c>
      <c r="AA564" s="144">
        <f>_xlfn.minifs($L:$L,$C:$C,$C564,$F:$F,"&lt;&gt;0")</f>
        <v/>
      </c>
      <c r="AB564" s="144">
        <f>C564&amp;"-"&amp;A564</f>
        <v/>
      </c>
      <c r="AC564" s="144">
        <f>L564</f>
        <v/>
      </c>
    </row>
    <row r="565">
      <c r="A565" s="140" t="inlineStr">
        <is>
          <t>ZCRO01</t>
        </is>
      </c>
      <c r="B565" s="140" t="n">
        <v>15</v>
      </c>
      <c r="C565" s="140" t="inlineStr">
        <is>
          <t>HVP202</t>
        </is>
      </c>
      <c r="D565" s="140" t="inlineStr">
        <is>
          <t>P</t>
        </is>
      </c>
      <c r="E565" s="140" t="inlineStr">
        <is>
          <t>Lunau Marc</t>
        </is>
      </c>
      <c r="F565" s="141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</f>
        <v/>
      </c>
      <c r="G565" s="142" t="n">
        <v>45107</v>
      </c>
      <c r="H565" s="140">
        <f>VLOOKUP($C565,Sales!$C:$E,2,FALSE)</f>
        <v/>
      </c>
      <c r="I565" s="140">
        <f>VLOOKUP($C565,Sales!$C:$E,3,FALSE)</f>
        <v/>
      </c>
      <c r="J565" s="142">
        <f>SUMIFS(Sales!$H:$H,Sales!$C:$C,'Investor Exit List'!$C565)</f>
        <v/>
      </c>
      <c r="K565" s="142">
        <f>IF(I565=TRUE,J565,"")</f>
        <v/>
      </c>
      <c r="L565" s="142">
        <f>G565+730</f>
        <v/>
      </c>
      <c r="M565" s="142" t="n">
        <v>45443</v>
      </c>
      <c r="N565" s="143">
        <f>IFERROR(IF(G565&lt;&gt;"",IF(I565=TRUE,0,IF(U565=TRUE,0,L565-M565)),0),0)</f>
        <v/>
      </c>
      <c r="O565" s="143">
        <f>IF(N565&gt;0,IF(N565&lt;=180,N565,0),0)</f>
        <v/>
      </c>
      <c r="P565" s="141">
        <f>IF(AND(N565&lt;90,N565&gt;0),Q565,0)</f>
        <v/>
      </c>
      <c r="Q565" s="141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/>
      </c>
      <c r="R565" s="141">
        <f>IF(AND(H565=TRUE,I565=FALSE),Q565,0)</f>
        <v/>
      </c>
      <c r="S565" s="141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/>
      </c>
      <c r="T565" s="142">
        <f>IF(U565=TRUE,$J565,"")</f>
        <v/>
      </c>
      <c r="U565" s="140" t="b">
        <v>0</v>
      </c>
      <c r="V565" s="141">
        <f>IF(AND(H565=TRUE,OR(K565="",K565&gt;M565)),S565,0)</f>
        <v/>
      </c>
      <c r="W565" s="140" t="n">
        <v>0</v>
      </c>
      <c r="X565" s="140" t="b">
        <v>0</v>
      </c>
      <c r="Y565" s="143">
        <f>IF(H565=FALSE,VLOOKUP($C565,Sales!$C:$F,4,FALSE),1)</f>
        <v/>
      </c>
      <c r="Z565" s="140">
        <f>IF(Y565=0,"Release",IF(AND(L565&lt;J565,Y565=1,H565=FALSE,U565=FALSE,MONTH(L565)&amp;"/"&amp;YEAR(L565)&lt;&gt;MONTH(J565)&amp;"/"&amp;YEAR(J565)),"Release",""))</f>
        <v/>
      </c>
      <c r="AA565" s="144">
        <f>_xlfn.minifs($L:$L,$C:$C,$C565,$F:$F,"&lt;&gt;0")</f>
        <v/>
      </c>
      <c r="AB565" s="144">
        <f>C565&amp;"-"&amp;A565</f>
        <v/>
      </c>
      <c r="AC565" s="144">
        <f>L565</f>
        <v/>
      </c>
    </row>
    <row r="566">
      <c r="A566" s="140" t="inlineStr">
        <is>
          <t>ZDUP04</t>
        </is>
      </c>
      <c r="B566" s="140" t="n">
        <v>1</v>
      </c>
      <c r="C566" s="140" t="inlineStr">
        <is>
          <t>HVP202</t>
        </is>
      </c>
      <c r="D566" s="140" t="inlineStr">
        <is>
          <t>P</t>
        </is>
      </c>
      <c r="E566" s="140" t="inlineStr">
        <is>
          <t>du Plessis Emile</t>
        </is>
      </c>
      <c r="F566" s="141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</f>
        <v/>
      </c>
      <c r="G566" s="142" t="n">
        <v>44868</v>
      </c>
      <c r="H566" s="140">
        <f>VLOOKUP($C566,Sales!$C:$E,2,FALSE)</f>
        <v/>
      </c>
      <c r="I566" s="140">
        <f>VLOOKUP($C566,Sales!$C:$E,3,FALSE)</f>
        <v/>
      </c>
      <c r="J566" s="142">
        <f>SUMIFS(Sales!$H:$H,Sales!$C:$C,'Investor Exit List'!$C566)</f>
        <v/>
      </c>
      <c r="K566" s="142">
        <f>IF(I566=TRUE,J566,"")</f>
        <v/>
      </c>
      <c r="L566" s="142">
        <f>G566+730</f>
        <v/>
      </c>
      <c r="M566" s="142" t="n">
        <v>45443</v>
      </c>
      <c r="N566" s="143">
        <f>IFERROR(IF(G566&lt;&gt;"",IF(I566=TRUE,0,IF(U566=TRUE,0,L566-M566)),0),0)</f>
        <v/>
      </c>
      <c r="O566" s="143">
        <f>IF(N566&gt;0,IF(N566&lt;=180,N566,0),0)</f>
        <v/>
      </c>
      <c r="P566" s="141">
        <f>IF(AND(N566&lt;90,N566&gt;0),Q566,0)</f>
        <v/>
      </c>
      <c r="Q566" s="141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/>
      </c>
      <c r="R566" s="141">
        <f>IF(AND(H566=TRUE,I566=FALSE),Q566,0)</f>
        <v/>
      </c>
      <c r="S566" s="141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/>
      </c>
      <c r="T566" s="142">
        <f>IF(U566=TRUE,$J566,"")</f>
        <v/>
      </c>
      <c r="U566" s="140" t="b">
        <v>0</v>
      </c>
      <c r="V566" s="141">
        <f>IF(AND(H566=TRUE,OR(K566="",K566&gt;M566)),S566,0)</f>
        <v/>
      </c>
      <c r="W566" s="140" t="n">
        <v>0</v>
      </c>
      <c r="X566" s="140" t="b">
        <v>0</v>
      </c>
      <c r="Y566" s="143">
        <f>IF(H566=FALSE,VLOOKUP($C566,Sales!$C:$F,4,FALSE),1)</f>
        <v/>
      </c>
      <c r="Z566" s="140">
        <f>IF(Y566=0,"Release",IF(AND(L566&lt;J566,Y566=1,H566=FALSE,U566=FALSE,MONTH(L566)&amp;"/"&amp;YEAR(L566)&lt;&gt;MONTH(J566)&amp;"/"&amp;YEAR(J566)),"Release",""))</f>
        <v/>
      </c>
      <c r="AA566" s="144">
        <f>_xlfn.minifs($L:$L,$C:$C,$C566,$F:$F,"&lt;&gt;0")</f>
        <v/>
      </c>
      <c r="AB566" s="144">
        <f>C566&amp;"-"&amp;A566</f>
        <v/>
      </c>
      <c r="AC566" s="144">
        <f>L566</f>
        <v/>
      </c>
    </row>
    <row r="567">
      <c r="A567" s="140" t="inlineStr">
        <is>
          <t>ZVAN10</t>
        </is>
      </c>
      <c r="B567" s="140" t="n">
        <v>3</v>
      </c>
      <c r="C567" s="140" t="inlineStr">
        <is>
          <t>HVP202</t>
        </is>
      </c>
      <c r="D567" s="140" t="inlineStr">
        <is>
          <t>P</t>
        </is>
      </c>
      <c r="E567" s="140" t="inlineStr">
        <is>
          <t>van der Merwe Wilhelm Johannes</t>
        </is>
      </c>
      <c r="F567" s="141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</f>
        <v/>
      </c>
      <c r="G567" s="142" t="n">
        <v>45107</v>
      </c>
      <c r="H567" s="140">
        <f>VLOOKUP($C567,Sales!$C:$E,2,FALSE)</f>
        <v/>
      </c>
      <c r="I567" s="140">
        <f>VLOOKUP($C567,Sales!$C:$E,3,FALSE)</f>
        <v/>
      </c>
      <c r="J567" s="142">
        <f>SUMIFS(Sales!$H:$H,Sales!$C:$C,'Investor Exit List'!$C567)</f>
        <v/>
      </c>
      <c r="K567" s="142">
        <f>IF(I567=TRUE,J567,"")</f>
        <v/>
      </c>
      <c r="L567" s="142">
        <f>G567+730</f>
        <v/>
      </c>
      <c r="M567" s="142" t="n">
        <v>45443</v>
      </c>
      <c r="N567" s="143">
        <f>IFERROR(IF(G567&lt;&gt;"",IF(I567=TRUE,0,IF(U567=TRUE,0,L567-M567)),0),0)</f>
        <v/>
      </c>
      <c r="O567" s="143">
        <f>IF(N567&gt;0,IF(N567&lt;=180,N567,0),0)</f>
        <v/>
      </c>
      <c r="P567" s="141">
        <f>IF(AND(N567&lt;90,N567&gt;0),Q567,0)</f>
        <v/>
      </c>
      <c r="Q567" s="141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/>
      </c>
      <c r="R567" s="141">
        <f>IF(AND(H567=TRUE,I567=FALSE),Q567,0)</f>
        <v/>
      </c>
      <c r="S567" s="141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/>
      </c>
      <c r="T567" s="142">
        <f>IF(U567=TRUE,$J567,"")</f>
        <v/>
      </c>
      <c r="U567" s="140" t="b">
        <v>0</v>
      </c>
      <c r="V567" s="141">
        <f>IF(AND(H567=TRUE,OR(K567="",K567&gt;M567)),S567,0)</f>
        <v/>
      </c>
      <c r="W567" s="140" t="n">
        <v>0</v>
      </c>
      <c r="X567" s="140" t="b">
        <v>0</v>
      </c>
      <c r="Y567" s="143">
        <f>IF(H567=FALSE,VLOOKUP($C567,Sales!$C:$F,4,FALSE),1)</f>
        <v/>
      </c>
      <c r="Z567" s="140">
        <f>IF(Y567=0,"Release",IF(AND(L567&lt;J567,Y567=1,H567=FALSE,U567=FALSE,MONTH(L567)&amp;"/"&amp;YEAR(L567)&lt;&gt;MONTH(J567)&amp;"/"&amp;YEAR(J567)),"Release",""))</f>
        <v/>
      </c>
      <c r="AA567" s="144">
        <f>_xlfn.minifs($L:$L,$C:$C,$C567,$F:$F,"&lt;&gt;0")</f>
        <v/>
      </c>
      <c r="AB567" s="144">
        <f>C567&amp;"-"&amp;A567</f>
        <v/>
      </c>
      <c r="AC567" s="144">
        <f>L567</f>
        <v/>
      </c>
    </row>
    <row r="568">
      <c r="A568" s="140" t="inlineStr">
        <is>
          <t>ZSON01</t>
        </is>
      </c>
      <c r="B568" s="140" t="n">
        <v>13</v>
      </c>
      <c r="C568" s="140" t="inlineStr">
        <is>
          <t>HVP203</t>
        </is>
      </c>
      <c r="D568" s="140" t="inlineStr">
        <is>
          <t>P</t>
        </is>
      </c>
      <c r="E568" s="140" t="inlineStr">
        <is>
          <t>Maduna Charles</t>
        </is>
      </c>
      <c r="F568" s="141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</f>
        <v/>
      </c>
      <c r="G568" s="142" t="n">
        <v>44833</v>
      </c>
      <c r="H568" s="140">
        <f>VLOOKUP($C568,Sales!$C:$E,2,FALSE)</f>
        <v/>
      </c>
      <c r="I568" s="140">
        <f>VLOOKUP($C568,Sales!$C:$E,3,FALSE)</f>
        <v/>
      </c>
      <c r="J568" s="142">
        <f>SUMIFS(Sales!$H:$H,Sales!$C:$C,'Investor Exit List'!$C568)</f>
        <v/>
      </c>
      <c r="K568" s="142">
        <f>IF(I568=TRUE,J568,"")</f>
        <v/>
      </c>
      <c r="L568" s="142">
        <f>G568+730</f>
        <v/>
      </c>
      <c r="M568" s="142" t="n">
        <v>45443</v>
      </c>
      <c r="N568" s="143">
        <f>IFERROR(IF(G568&lt;&gt;"",IF(I568=TRUE,0,IF(U568=TRUE,0,L568-M568)),0),0)</f>
        <v/>
      </c>
      <c r="O568" s="143">
        <f>IF(N568&gt;0,IF(N568&lt;=180,N568,0),0)</f>
        <v/>
      </c>
      <c r="P568" s="141">
        <f>IF(AND(N568&lt;90,N568&gt;0),Q568,0)</f>
        <v/>
      </c>
      <c r="Q568" s="141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/>
      </c>
      <c r="R568" s="141">
        <f>IF(AND(H568=TRUE,I568=FALSE),Q568,0)</f>
        <v/>
      </c>
      <c r="S568" s="141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/>
      </c>
      <c r="T568" s="142">
        <f>IF(U568=TRUE,$J568,"")</f>
        <v/>
      </c>
      <c r="U568" s="140" t="b">
        <v>0</v>
      </c>
      <c r="V568" s="141">
        <f>IF(AND(H568=TRUE,OR(K568="",K568&gt;M568)),S568,0)</f>
        <v/>
      </c>
      <c r="W568" s="140" t="n">
        <v>0</v>
      </c>
      <c r="X568" s="140" t="b">
        <v>0</v>
      </c>
      <c r="Y568" s="143">
        <f>IF(H568=FALSE,VLOOKUP($C568,Sales!$C:$F,4,FALSE),1)</f>
        <v/>
      </c>
      <c r="Z568" s="140">
        <f>IF(Y568=0,"Release",IF(AND(L568&lt;J568,Y568=1,H568=FALSE,U568=FALSE,MONTH(L568)&amp;"/"&amp;YEAR(L568)&lt;&gt;MONTH(J568)&amp;"/"&amp;YEAR(J568)),"Release",""))</f>
        <v/>
      </c>
      <c r="AA568" s="144">
        <f>_xlfn.minifs($L:$L,$C:$C,$C568,$F:$F,"&lt;&gt;0")</f>
        <v/>
      </c>
      <c r="AB568" s="144">
        <f>C568&amp;"-"&amp;A568</f>
        <v/>
      </c>
      <c r="AC568" s="144">
        <f>L568</f>
        <v/>
      </c>
    </row>
    <row r="569">
      <c r="A569" s="140" t="inlineStr">
        <is>
          <t>ZTRU01</t>
        </is>
      </c>
      <c r="B569" s="140" t="n">
        <v>2</v>
      </c>
      <c r="C569" s="140" t="inlineStr">
        <is>
          <t>HVP301</t>
        </is>
      </c>
      <c r="D569" s="140" t="inlineStr">
        <is>
          <t>P</t>
        </is>
      </c>
      <c r="E569" s="140" t="inlineStr">
        <is>
          <t>Truter Cecil Ronald</t>
        </is>
      </c>
      <c r="F569" s="141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</f>
        <v/>
      </c>
      <c r="G569" s="142" t="n">
        <v>44868</v>
      </c>
      <c r="H569" s="140">
        <f>VLOOKUP($C569,Sales!$C:$E,2,FALSE)</f>
        <v/>
      </c>
      <c r="I569" s="140">
        <f>VLOOKUP($C569,Sales!$C:$E,3,FALSE)</f>
        <v/>
      </c>
      <c r="J569" s="142">
        <f>SUMIFS(Sales!$H:$H,Sales!$C:$C,'Investor Exit List'!$C569)</f>
        <v/>
      </c>
      <c r="K569" s="142">
        <f>IF(I569=TRUE,J569,"")</f>
        <v/>
      </c>
      <c r="L569" s="142">
        <f>G569+730</f>
        <v/>
      </c>
      <c r="M569" s="142" t="n">
        <v>45443</v>
      </c>
      <c r="N569" s="143">
        <f>IFERROR(IF(G569&lt;&gt;"",IF(I569=TRUE,0,IF(U569=TRUE,0,L569-M569)),0),0)</f>
        <v/>
      </c>
      <c r="O569" s="143">
        <f>IF(N569&gt;0,IF(N569&lt;=180,N569,0),0)</f>
        <v/>
      </c>
      <c r="P569" s="141">
        <f>IF(AND(N569&lt;90,N569&gt;0),Q569,0)</f>
        <v/>
      </c>
      <c r="Q569" s="141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/>
      </c>
      <c r="R569" s="141">
        <f>IF(AND(H569=TRUE,I569=FALSE),Q569,0)</f>
        <v/>
      </c>
      <c r="S569" s="141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/>
      </c>
      <c r="T569" s="142">
        <f>IF(U569=TRUE,$J569,"")</f>
        <v/>
      </c>
      <c r="U569" s="140" t="b">
        <v>0</v>
      </c>
      <c r="V569" s="141">
        <f>IF(AND(H569=TRUE,OR(K569="",K569&gt;M569)),S569,0)</f>
        <v/>
      </c>
      <c r="W569" s="140" t="n">
        <v>0</v>
      </c>
      <c r="X569" s="140" t="b">
        <v>0</v>
      </c>
      <c r="Y569" s="143">
        <f>IF(H569=FALSE,VLOOKUP($C569,Sales!$C:$F,4,FALSE),1)</f>
        <v/>
      </c>
      <c r="Z569" s="140">
        <f>IF(Y569=0,"Release",IF(AND(L569&lt;J569,Y569=1,H569=FALSE,U569=FALSE,MONTH(L569)&amp;"/"&amp;YEAR(L569)&lt;&gt;MONTH(J569)&amp;"/"&amp;YEAR(J569)),"Release",""))</f>
        <v/>
      </c>
      <c r="AA569" s="144">
        <f>_xlfn.minifs($L:$L,$C:$C,$C569,$F:$F,"&lt;&gt;0")</f>
        <v/>
      </c>
      <c r="AB569" s="144">
        <f>C569&amp;"-"&amp;A569</f>
        <v/>
      </c>
      <c r="AC569" s="144">
        <f>L569</f>
        <v/>
      </c>
    </row>
    <row r="570">
      <c r="A570" s="140" t="inlineStr">
        <is>
          <t>ZVAN09</t>
        </is>
      </c>
      <c r="B570" s="140" t="n">
        <v>1</v>
      </c>
      <c r="C570" s="140" t="inlineStr">
        <is>
          <t>HVP301</t>
        </is>
      </c>
      <c r="D570" s="140" t="inlineStr">
        <is>
          <t>P</t>
        </is>
      </c>
      <c r="E570" s="140" t="inlineStr">
        <is>
          <t>van Zyl Eugene Brandt</t>
        </is>
      </c>
      <c r="F570" s="141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</f>
        <v/>
      </c>
      <c r="G570" s="142" t="n">
        <v>44833</v>
      </c>
      <c r="H570" s="140">
        <f>VLOOKUP($C570,Sales!$C:$E,2,FALSE)</f>
        <v/>
      </c>
      <c r="I570" s="140">
        <f>VLOOKUP($C570,Sales!$C:$E,3,FALSE)</f>
        <v/>
      </c>
      <c r="J570" s="142">
        <f>SUMIFS(Sales!$H:$H,Sales!$C:$C,'Investor Exit List'!$C570)</f>
        <v/>
      </c>
      <c r="K570" s="142">
        <f>IF(I570=TRUE,J570,"")</f>
        <v/>
      </c>
      <c r="L570" s="142">
        <f>G570+730</f>
        <v/>
      </c>
      <c r="M570" s="142" t="n">
        <v>45443</v>
      </c>
      <c r="N570" s="143">
        <f>IFERROR(IF(G570&lt;&gt;"",IF(I570=TRUE,0,IF(U570=TRUE,0,L570-M570)),0),0)</f>
        <v/>
      </c>
      <c r="O570" s="143">
        <f>IF(N570&gt;0,IF(N570&lt;=180,N570,0),0)</f>
        <v/>
      </c>
      <c r="P570" s="141">
        <f>IF(AND(N570&lt;90,N570&gt;0),Q570,0)</f>
        <v/>
      </c>
      <c r="Q570" s="141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/>
      </c>
      <c r="R570" s="141">
        <f>IF(AND(H570=TRUE,I570=FALSE),Q570,0)</f>
        <v/>
      </c>
      <c r="S570" s="141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/>
      </c>
      <c r="T570" s="142">
        <f>IF(U570=TRUE,$J570,"")</f>
        <v/>
      </c>
      <c r="U570" s="140" t="b">
        <v>0</v>
      </c>
      <c r="V570" s="141">
        <f>IF(AND(H570=TRUE,OR(K570="",K570&gt;M570)),S570,0)</f>
        <v/>
      </c>
      <c r="W570" s="140" t="n">
        <v>0</v>
      </c>
      <c r="X570" s="140" t="b">
        <v>0</v>
      </c>
      <c r="Y570" s="143">
        <f>IF(H570=FALSE,VLOOKUP($C570,Sales!$C:$F,4,FALSE),1)</f>
        <v/>
      </c>
      <c r="Z570" s="140">
        <f>IF(Y570=0,"Release",IF(AND(L570&lt;J570,Y570=1,H570=FALSE,U570=FALSE,MONTH(L570)&amp;"/"&amp;YEAR(L570)&lt;&gt;MONTH(J570)&amp;"/"&amp;YEAR(J570)),"Release",""))</f>
        <v/>
      </c>
      <c r="AA570" s="144">
        <f>_xlfn.minifs($L:$L,$C:$C,$C570,$F:$F,"&lt;&gt;0")</f>
        <v/>
      </c>
      <c r="AB570" s="144">
        <f>C570&amp;"-"&amp;A570</f>
        <v/>
      </c>
      <c r="AC570" s="144">
        <f>L570</f>
        <v/>
      </c>
    </row>
    <row r="571">
      <c r="A571" s="140" t="inlineStr">
        <is>
          <t>ZAFR01</t>
        </is>
      </c>
      <c r="B571" s="140" t="n">
        <v>3</v>
      </c>
      <c r="C571" s="140" t="inlineStr">
        <is>
          <t>HVP302</t>
        </is>
      </c>
      <c r="D571" s="140" t="inlineStr">
        <is>
          <t>P</t>
        </is>
      </c>
      <c r="E571" s="140" t="inlineStr">
        <is>
          <t>Zylstra John Robert</t>
        </is>
      </c>
      <c r="F571" s="141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</f>
        <v/>
      </c>
      <c r="G571" s="142" t="n">
        <v>44889</v>
      </c>
      <c r="H571" s="140">
        <f>VLOOKUP($C571,Sales!$C:$E,2,FALSE)</f>
        <v/>
      </c>
      <c r="I571" s="140">
        <f>VLOOKUP($C571,Sales!$C:$E,3,FALSE)</f>
        <v/>
      </c>
      <c r="J571" s="142">
        <f>SUMIFS(Sales!$H:$H,Sales!$C:$C,'Investor Exit List'!$C571)</f>
        <v/>
      </c>
      <c r="K571" s="142">
        <f>IF(I571=TRUE,J571,"")</f>
        <v/>
      </c>
      <c r="L571" s="142">
        <f>G571+730</f>
        <v/>
      </c>
      <c r="M571" s="142" t="n">
        <v>45443</v>
      </c>
      <c r="N571" s="143">
        <f>IFERROR(IF(G571&lt;&gt;"",IF(I571=TRUE,0,IF(U571=TRUE,0,L571-M571)),0),0)</f>
        <v/>
      </c>
      <c r="O571" s="143">
        <f>IF(N571&gt;0,IF(N571&lt;=180,N571,0),0)</f>
        <v/>
      </c>
      <c r="P571" s="141">
        <f>IF(AND(N571&lt;90,N571&gt;0),Q571,0)</f>
        <v/>
      </c>
      <c r="Q571" s="141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/>
      </c>
      <c r="R571" s="141">
        <f>IF(AND(H571=TRUE,I571=FALSE),Q571,0)</f>
        <v/>
      </c>
      <c r="S571" s="141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/>
      </c>
      <c r="T571" s="142">
        <f>IF(U571=TRUE,$J571,"")</f>
        <v/>
      </c>
      <c r="U571" s="140" t="b">
        <v>0</v>
      </c>
      <c r="V571" s="141">
        <f>IF(AND(H571=TRUE,OR(K571="",K571&gt;M571)),S571,0)</f>
        <v/>
      </c>
      <c r="W571" s="140" t="n">
        <v>0</v>
      </c>
      <c r="X571" s="140" t="b">
        <v>0</v>
      </c>
      <c r="Y571" s="143">
        <f>IF(H571=FALSE,VLOOKUP($C571,Sales!$C:$F,4,FALSE),1)</f>
        <v/>
      </c>
      <c r="Z571" s="140">
        <f>IF(Y571=0,"Release",IF(AND(L571&lt;J571,Y571=1,H571=FALSE,U571=FALSE,MONTH(L571)&amp;"/"&amp;YEAR(L571)&lt;&gt;MONTH(J571)&amp;"/"&amp;YEAR(J571)),"Release",""))</f>
        <v/>
      </c>
      <c r="AA571" s="144">
        <f>_xlfn.minifs($L:$L,$C:$C,$C571,$F:$F,"&lt;&gt;0")</f>
        <v/>
      </c>
      <c r="AB571" s="144">
        <f>C571&amp;"-"&amp;A571</f>
        <v/>
      </c>
      <c r="AC571" s="144">
        <f>L571</f>
        <v/>
      </c>
    </row>
    <row r="572">
      <c r="A572" s="140" t="inlineStr">
        <is>
          <t>ZKRO01</t>
        </is>
      </c>
      <c r="B572" s="140" t="n">
        <v>2</v>
      </c>
      <c r="C572" s="140" t="inlineStr">
        <is>
          <t>HVP302</t>
        </is>
      </c>
      <c r="D572" s="140" t="inlineStr">
        <is>
          <t>P</t>
        </is>
      </c>
      <c r="E572" s="140" t="inlineStr">
        <is>
          <t>van der Merwe Frans</t>
        </is>
      </c>
      <c r="F572" s="141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</f>
        <v/>
      </c>
      <c r="G572" s="142" t="n">
        <v>44848</v>
      </c>
      <c r="H572" s="140">
        <f>VLOOKUP($C572,Sales!$C:$E,2,FALSE)</f>
        <v/>
      </c>
      <c r="I572" s="140">
        <f>VLOOKUP($C572,Sales!$C:$E,3,FALSE)</f>
        <v/>
      </c>
      <c r="J572" s="142">
        <f>SUMIFS(Sales!$H:$H,Sales!$C:$C,'Investor Exit List'!$C572)</f>
        <v/>
      </c>
      <c r="K572" s="142">
        <f>IF(I572=TRUE,J572,"")</f>
        <v/>
      </c>
      <c r="L572" s="142">
        <f>G572+730</f>
        <v/>
      </c>
      <c r="M572" s="142" t="n">
        <v>45443</v>
      </c>
      <c r="N572" s="143">
        <f>IFERROR(IF(G572&lt;&gt;"",IF(I572=TRUE,0,IF(U572=TRUE,0,L572-M572)),0),0)</f>
        <v/>
      </c>
      <c r="O572" s="143">
        <f>IF(N572&gt;0,IF(N572&lt;=180,N572,0),0)</f>
        <v/>
      </c>
      <c r="P572" s="141">
        <f>IF(AND(N572&lt;90,N572&gt;0),Q572,0)</f>
        <v/>
      </c>
      <c r="Q572" s="141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/>
      </c>
      <c r="R572" s="141">
        <f>IF(AND(H572=TRUE,I572=FALSE),Q572,0)</f>
        <v/>
      </c>
      <c r="S572" s="141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/>
      </c>
      <c r="T572" s="142">
        <f>IF(U572=TRUE,$J572,"")</f>
        <v/>
      </c>
      <c r="U572" s="140" t="b">
        <v>0</v>
      </c>
      <c r="V572" s="141">
        <f>IF(AND(H572=TRUE,OR(K572="",K572&gt;M572)),S572,0)</f>
        <v/>
      </c>
      <c r="W572" s="140" t="n">
        <v>0</v>
      </c>
      <c r="X572" s="140" t="b">
        <v>0</v>
      </c>
      <c r="Y572" s="143">
        <f>IF(H572=FALSE,VLOOKUP($C572,Sales!$C:$F,4,FALSE),1)</f>
        <v/>
      </c>
      <c r="Z572" s="140">
        <f>IF(Y572=0,"Release",IF(AND(L572&lt;J572,Y572=1,H572=FALSE,U572=FALSE,MONTH(L572)&amp;"/"&amp;YEAR(L572)&lt;&gt;MONTH(J572)&amp;"/"&amp;YEAR(J572)),"Release",""))</f>
        <v/>
      </c>
      <c r="AA572" s="144">
        <f>_xlfn.minifs($L:$L,$C:$C,$C572,$F:$F,"&lt;&gt;0")</f>
        <v/>
      </c>
      <c r="AB572" s="144">
        <f>C572&amp;"-"&amp;A572</f>
        <v/>
      </c>
      <c r="AC572" s="144">
        <f>L572</f>
        <v/>
      </c>
    </row>
    <row r="573">
      <c r="A573" s="140" t="inlineStr">
        <is>
          <t>ZNUN01</t>
        </is>
      </c>
      <c r="B573" s="140" t="n">
        <v>6</v>
      </c>
      <c r="C573" s="140" t="inlineStr">
        <is>
          <t>HVP302</t>
        </is>
      </c>
      <c r="D573" s="140" t="inlineStr">
        <is>
          <t>P</t>
        </is>
      </c>
      <c r="E573" s="140" t="inlineStr">
        <is>
          <t>Nunes Francisco Antonio</t>
        </is>
      </c>
      <c r="F573" s="141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</f>
        <v/>
      </c>
      <c r="G573" s="142" t="n">
        <v>44876</v>
      </c>
      <c r="H573" s="140">
        <f>VLOOKUP($C573,Sales!$C:$E,2,FALSE)</f>
        <v/>
      </c>
      <c r="I573" s="140">
        <f>VLOOKUP($C573,Sales!$C:$E,3,FALSE)</f>
        <v/>
      </c>
      <c r="J573" s="142">
        <f>SUMIFS(Sales!$H:$H,Sales!$C:$C,'Investor Exit List'!$C573)</f>
        <v/>
      </c>
      <c r="K573" s="142">
        <f>IF(I573=TRUE,J573,"")</f>
        <v/>
      </c>
      <c r="L573" s="142">
        <f>G573+730</f>
        <v/>
      </c>
      <c r="M573" s="142" t="n">
        <v>45443</v>
      </c>
      <c r="N573" s="143">
        <f>IFERROR(IF(G573&lt;&gt;"",IF(I573=TRUE,0,IF(U573=TRUE,0,L573-M573)),0),0)</f>
        <v/>
      </c>
      <c r="O573" s="143">
        <f>IF(N573&gt;0,IF(N573&lt;=180,N573,0),0)</f>
        <v/>
      </c>
      <c r="P573" s="141">
        <f>IF(AND(N573&lt;90,N573&gt;0),Q573,0)</f>
        <v/>
      </c>
      <c r="Q573" s="141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/>
      </c>
      <c r="R573" s="141">
        <f>IF(AND(H573=TRUE,I573=FALSE),Q573,0)</f>
        <v/>
      </c>
      <c r="S573" s="141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/>
      </c>
      <c r="T573" s="142">
        <f>IF(U573=TRUE,$J573,"")</f>
        <v/>
      </c>
      <c r="U573" s="140" t="b">
        <v>0</v>
      </c>
      <c r="V573" s="141">
        <f>IF(AND(H573=TRUE,OR(K573="",K573&gt;M573)),S573,0)</f>
        <v/>
      </c>
      <c r="W573" s="140" t="n">
        <v>0</v>
      </c>
      <c r="X573" s="140" t="b">
        <v>0</v>
      </c>
      <c r="Y573" s="143">
        <f>IF(H573=FALSE,VLOOKUP($C573,Sales!$C:$F,4,FALSE),1)</f>
        <v/>
      </c>
      <c r="Z573" s="140">
        <f>IF(Y573=0,"Release",IF(AND(L573&lt;J573,Y573=1,H573=FALSE,U573=FALSE,MONTH(L573)&amp;"/"&amp;YEAR(L573)&lt;&gt;MONTH(J573)&amp;"/"&amp;YEAR(J573)),"Release",""))</f>
        <v/>
      </c>
      <c r="AA573" s="144">
        <f>_xlfn.minifs($L:$L,$C:$C,$C573,$F:$F,"&lt;&gt;0")</f>
        <v/>
      </c>
      <c r="AB573" s="144">
        <f>C573&amp;"-"&amp;A573</f>
        <v/>
      </c>
      <c r="AC573" s="144">
        <f>L573</f>
        <v/>
      </c>
    </row>
    <row r="574">
      <c r="A574" s="140" t="inlineStr">
        <is>
          <t>ZKRI02</t>
        </is>
      </c>
      <c r="B574" s="140" t="n">
        <v>4</v>
      </c>
      <c r="C574" s="140" t="inlineStr">
        <is>
          <t>HVP303</t>
        </is>
      </c>
      <c r="D574" s="140" t="inlineStr">
        <is>
          <t>P</t>
        </is>
      </c>
      <c r="E574" s="140" t="inlineStr">
        <is>
          <t>Kriel Hermanus Johannes</t>
        </is>
      </c>
      <c r="F574" s="141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</f>
        <v/>
      </c>
      <c r="G574" s="142" t="n">
        <v>44861</v>
      </c>
      <c r="H574" s="140">
        <f>VLOOKUP($C574,Sales!$C:$E,2,FALSE)</f>
        <v/>
      </c>
      <c r="I574" s="140">
        <f>VLOOKUP($C574,Sales!$C:$E,3,FALSE)</f>
        <v/>
      </c>
      <c r="J574" s="142">
        <f>SUMIFS(Sales!$H:$H,Sales!$C:$C,'Investor Exit List'!$C574)</f>
        <v/>
      </c>
      <c r="K574" s="142">
        <f>IF(I574=TRUE,J574,"")</f>
        <v/>
      </c>
      <c r="L574" s="142">
        <f>G574+730</f>
        <v/>
      </c>
      <c r="M574" s="142" t="n">
        <v>45443</v>
      </c>
      <c r="N574" s="143">
        <f>IFERROR(IF(G574&lt;&gt;"",IF(I574=TRUE,0,IF(U574=TRUE,0,L574-M574)),0),0)</f>
        <v/>
      </c>
      <c r="O574" s="143">
        <f>IF(N574&gt;0,IF(N574&lt;=180,N574,0),0)</f>
        <v/>
      </c>
      <c r="P574" s="141">
        <f>IF(AND(N574&lt;90,N574&gt;0),Q574,0)</f>
        <v/>
      </c>
      <c r="Q574" s="141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/>
      </c>
      <c r="R574" s="141">
        <f>IF(AND(H574=TRUE,I574=FALSE),Q574,0)</f>
        <v/>
      </c>
      <c r="S574" s="141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/>
      </c>
      <c r="T574" s="142">
        <f>IF(U574=TRUE,$J574,"")</f>
        <v/>
      </c>
      <c r="U574" s="140" t="b">
        <v>0</v>
      </c>
      <c r="V574" s="141">
        <f>IF(AND(H574=TRUE,OR(K574="",K574&gt;M574)),S574,0)</f>
        <v/>
      </c>
      <c r="W574" s="140" t="n">
        <v>0</v>
      </c>
      <c r="X574" s="140" t="b">
        <v>0</v>
      </c>
      <c r="Y574" s="143">
        <f>IF(H574=FALSE,VLOOKUP($C574,Sales!$C:$F,4,FALSE),1)</f>
        <v/>
      </c>
      <c r="Z574" s="140">
        <f>IF(Y574=0,"Release",IF(AND(L574&lt;J574,Y574=1,H574=FALSE,U574=FALSE,MONTH(L574)&amp;"/"&amp;YEAR(L574)&lt;&gt;MONTH(J574)&amp;"/"&amp;YEAR(J574)),"Release",""))</f>
        <v/>
      </c>
      <c r="AA574" s="144">
        <f>_xlfn.minifs($L:$L,$C:$C,$C574,$F:$F,"&lt;&gt;0")</f>
        <v/>
      </c>
      <c r="AB574" s="144">
        <f>C574&amp;"-"&amp;A574</f>
        <v/>
      </c>
      <c r="AC574" s="144">
        <f>L574</f>
        <v/>
      </c>
    </row>
    <row r="575">
      <c r="A575" s="145" t="inlineStr">
        <is>
          <t>ZZUN01</t>
        </is>
      </c>
      <c r="B575" s="145" t="n">
        <v>0</v>
      </c>
      <c r="C575" s="145" t="inlineStr">
        <is>
          <t>HFB215</t>
        </is>
      </c>
      <c r="D575" s="145" t="inlineStr">
        <is>
          <t>B</t>
        </is>
      </c>
      <c r="E575" s="145" t="inlineStr">
        <is>
          <t>Dev Unit</t>
        </is>
      </c>
      <c r="F575" s="145" t="n">
        <v>0</v>
      </c>
      <c r="G575" s="145" t="inlineStr"/>
      <c r="H575" s="145" t="b">
        <v>0</v>
      </c>
      <c r="I575" s="145" t="b">
        <v>0</v>
      </c>
      <c r="J575" s="145" t="inlineStr"/>
      <c r="K575" s="145" t="inlineStr"/>
      <c r="L575" s="145" t="inlineStr"/>
      <c r="M575" s="145" t="inlineStr"/>
      <c r="N575" s="145" t="inlineStr"/>
      <c r="O575" s="145" t="inlineStr"/>
      <c r="P575" s="145" t="inlineStr"/>
      <c r="Q575" s="145" t="inlineStr"/>
      <c r="R575" s="145" t="inlineStr"/>
      <c r="S575" s="145" t="inlineStr"/>
      <c r="T575" s="145" t="inlineStr"/>
      <c r="U575" s="145" t="b">
        <v>0</v>
      </c>
      <c r="V575" s="145" t="inlineStr"/>
      <c r="W575" s="145" t="n">
        <v>1330640.05</v>
      </c>
      <c r="X575" s="145" t="b">
        <v>0</v>
      </c>
      <c r="Y575" s="145" t="n"/>
      <c r="Z575" s="145" t="n"/>
      <c r="AA575" s="145" t="n"/>
      <c r="AB575" s="145" t="n"/>
      <c r="AC575" s="145" t="n"/>
    </row>
    <row r="576"/>
  </sheetData>
  <mergeCells count="1">
    <mergeCell ref="A1:X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FF204E"/>
    <outlinePr summaryBelow="1" summaryRight="1"/>
    <pageSetUpPr/>
  </sheetPr>
  <dimension ref="A1:E73"/>
  <sheetViews>
    <sheetView workbookViewId="0">
      <selection activeCell="A1" sqref="A1"/>
    </sheetView>
  </sheetViews>
  <sheetFormatPr baseColWidth="8" defaultRowHeight="15"/>
  <cols>
    <col width="39" customWidth="1" min="1" max="1"/>
    <col width="39" customWidth="1" min="2" max="2"/>
    <col width="39" customWidth="1" min="3" max="3"/>
    <col width="39" customWidth="1" min="4" max="4"/>
  </cols>
  <sheetData>
    <row r="1">
      <c r="E1" s="146" t="inlineStr">
        <is>
          <t>7</t>
        </is>
      </c>
    </row>
    <row r="2">
      <c r="D2" s="147" t="inlineStr">
        <is>
          <t>C.3.b</t>
        </is>
      </c>
    </row>
    <row r="3">
      <c r="A3" s="135" t="inlineStr">
        <is>
          <t>Momentum Interest</t>
        </is>
      </c>
      <c r="B3" s="16" t="n"/>
      <c r="C3" s="16" t="n"/>
      <c r="D3" s="17" t="n"/>
    </row>
    <row r="6">
      <c r="A6" s="148" t="inlineStr">
        <is>
          <t>Month</t>
        </is>
      </c>
      <c r="B6" s="148" t="inlineStr">
        <is>
          <t>Interest</t>
        </is>
      </c>
      <c r="C6" s="148" t="inlineStr">
        <is>
          <t>Advice Fees (Exc Vat)</t>
        </is>
      </c>
      <c r="D6" s="148" t="inlineStr">
        <is>
          <t>Ongoing Advice Fees (Inc Vat)</t>
        </is>
      </c>
    </row>
    <row r="7">
      <c r="A7" s="149" t="n">
        <v>44439</v>
      </c>
      <c r="B7" s="150" t="n">
        <v>0.6899999999999999</v>
      </c>
      <c r="C7" s="150" t="n">
        <v>2.88</v>
      </c>
      <c r="D7" s="150" t="n">
        <v>0</v>
      </c>
    </row>
    <row r="8">
      <c r="A8" s="149" t="n">
        <v>44469</v>
      </c>
      <c r="B8" s="150" t="n">
        <v>6153.47</v>
      </c>
      <c r="C8" s="150" t="n">
        <v>20700</v>
      </c>
      <c r="D8" s="150" t="n">
        <v>142.83</v>
      </c>
    </row>
    <row r="9">
      <c r="A9" s="149" t="n">
        <v>44500</v>
      </c>
      <c r="B9" s="150" t="n">
        <v>27493.93</v>
      </c>
      <c r="C9" s="150" t="n">
        <v>39100</v>
      </c>
      <c r="D9" s="150" t="n">
        <v>1963.75</v>
      </c>
    </row>
    <row r="10">
      <c r="A10" s="149" t="n">
        <v>44530</v>
      </c>
      <c r="B10" s="150" t="n">
        <v>39490.47</v>
      </c>
      <c r="C10" s="150" t="n">
        <v>6612.5</v>
      </c>
      <c r="D10" s="150" t="n">
        <v>4603.54</v>
      </c>
    </row>
    <row r="11">
      <c r="A11" s="149" t="n">
        <v>44561</v>
      </c>
      <c r="B11" s="150" t="n">
        <v>34809.07</v>
      </c>
      <c r="C11" s="150" t="n">
        <v>0</v>
      </c>
      <c r="D11" s="150" t="n">
        <v>4987.02</v>
      </c>
    </row>
    <row r="12">
      <c r="A12" s="149" t="n">
        <v>44592</v>
      </c>
      <c r="B12" s="150" t="n">
        <v>25737.44</v>
      </c>
      <c r="C12" s="150" t="n">
        <v>0</v>
      </c>
      <c r="D12" s="150" t="n">
        <v>3416.75</v>
      </c>
    </row>
    <row r="13">
      <c r="A13" s="149" t="n">
        <v>44620</v>
      </c>
      <c r="B13" s="150" t="n">
        <v>17923.77</v>
      </c>
      <c r="C13" s="150" t="n">
        <v>2012.5</v>
      </c>
      <c r="D13" s="150" t="n">
        <v>2547.7</v>
      </c>
    </row>
    <row r="14">
      <c r="A14" s="149" t="n">
        <v>44651</v>
      </c>
      <c r="B14" s="150" t="n">
        <v>7694.95</v>
      </c>
      <c r="C14" s="150" t="n">
        <v>0</v>
      </c>
      <c r="D14" s="150" t="n">
        <v>1329.87</v>
      </c>
    </row>
    <row r="15">
      <c r="A15" s="149" t="n">
        <v>44681</v>
      </c>
      <c r="B15" s="150" t="n">
        <v>33565.07</v>
      </c>
      <c r="C15" s="150" t="n">
        <v>22274.94</v>
      </c>
      <c r="D15" s="150" t="n">
        <v>561.9</v>
      </c>
    </row>
    <row r="16">
      <c r="A16" s="149" t="n">
        <v>44712</v>
      </c>
      <c r="B16" s="150" t="n">
        <v>19911.29</v>
      </c>
      <c r="C16" s="150" t="n">
        <v>56298.31</v>
      </c>
      <c r="D16" s="150" t="n">
        <v>551.12</v>
      </c>
    </row>
    <row r="17">
      <c r="A17" s="149" t="n">
        <v>44742</v>
      </c>
      <c r="B17" s="150" t="n">
        <v>57111.6</v>
      </c>
      <c r="C17" s="150" t="n">
        <v>80343.78999999999</v>
      </c>
      <c r="D17" s="150" t="n">
        <v>3852.47</v>
      </c>
    </row>
    <row r="18">
      <c r="A18" s="149" t="n">
        <v>44773</v>
      </c>
      <c r="B18" s="150" t="n">
        <v>49997.61</v>
      </c>
      <c r="C18" s="150" t="n">
        <v>55413.57</v>
      </c>
      <c r="D18" s="150" t="n">
        <v>4675.82</v>
      </c>
    </row>
    <row r="19">
      <c r="A19" s="149" t="n">
        <v>44804</v>
      </c>
      <c r="B19" s="150" t="n">
        <v>49010.03</v>
      </c>
      <c r="C19" s="150" t="n">
        <v>30982.39</v>
      </c>
      <c r="D19" s="150" t="n">
        <v>4493.24</v>
      </c>
    </row>
    <row r="20">
      <c r="A20" s="149" t="n">
        <v>44834</v>
      </c>
      <c r="B20" s="150" t="n">
        <v>30938.76</v>
      </c>
      <c r="C20" s="150" t="n">
        <v>10350</v>
      </c>
      <c r="D20" s="150" t="n">
        <v>3425.4</v>
      </c>
    </row>
    <row r="21">
      <c r="A21" s="149" t="n">
        <v>44865</v>
      </c>
      <c r="B21" s="150" t="n">
        <v>31855.81</v>
      </c>
      <c r="C21" s="150" t="n">
        <v>0</v>
      </c>
      <c r="D21" s="150" t="n">
        <v>1362.36</v>
      </c>
    </row>
    <row r="22">
      <c r="A22" s="149" t="n">
        <v>44895</v>
      </c>
      <c r="B22" s="150" t="n">
        <v>57998.29</v>
      </c>
      <c r="C22" s="150" t="n">
        <v>0</v>
      </c>
      <c r="D22" s="150" t="n">
        <v>3649</v>
      </c>
    </row>
    <row r="23">
      <c r="A23" s="149" t="n">
        <v>44926</v>
      </c>
      <c r="B23" s="150" t="n">
        <v>49641.63</v>
      </c>
      <c r="C23" s="150" t="n">
        <v>0</v>
      </c>
      <c r="D23" s="150" t="n">
        <v>2707.2</v>
      </c>
    </row>
    <row r="24">
      <c r="A24" s="149" t="n">
        <v>44957</v>
      </c>
      <c r="B24" s="150" t="n">
        <v>71919.64</v>
      </c>
      <c r="C24" s="150" t="n">
        <v>0</v>
      </c>
      <c r="D24" s="150" t="n">
        <v>1766.93</v>
      </c>
    </row>
    <row r="25">
      <c r="A25" s="149" t="n">
        <v>44985</v>
      </c>
      <c r="B25" s="150" t="n">
        <v>116840.82</v>
      </c>
      <c r="C25" s="150" t="n">
        <v>0</v>
      </c>
      <c r="D25" s="150" t="n">
        <v>6530.48</v>
      </c>
    </row>
    <row r="26">
      <c r="A26" s="149" t="n">
        <v>45016</v>
      </c>
      <c r="B26" s="150" t="n">
        <v>224301.31</v>
      </c>
      <c r="C26" s="150" t="n">
        <v>0</v>
      </c>
      <c r="D26" s="150" t="n">
        <v>5945.09</v>
      </c>
    </row>
    <row r="27">
      <c r="A27" s="149" t="n">
        <v>45046</v>
      </c>
      <c r="B27" s="150" t="n">
        <v>106203.74</v>
      </c>
      <c r="C27" s="150" t="n">
        <v>0</v>
      </c>
      <c r="D27" s="150" t="n">
        <v>9664.42</v>
      </c>
    </row>
    <row r="28">
      <c r="A28" s="149" t="n">
        <v>45077</v>
      </c>
      <c r="B28" s="150" t="n">
        <v>222519.64</v>
      </c>
      <c r="C28" s="150" t="n">
        <v>0</v>
      </c>
      <c r="D28" s="150" t="n">
        <v>6054.16</v>
      </c>
    </row>
    <row r="29">
      <c r="A29" s="149" t="n">
        <v>45107</v>
      </c>
      <c r="B29" s="150" t="n">
        <v>393896.21</v>
      </c>
      <c r="C29" s="150" t="n">
        <v>0</v>
      </c>
      <c r="D29" s="150" t="n">
        <v>12101.97</v>
      </c>
    </row>
    <row r="30">
      <c r="A30" s="149" t="n">
        <v>45138</v>
      </c>
      <c r="B30" s="150" t="n">
        <v>259590.93</v>
      </c>
      <c r="C30" s="150" t="n">
        <v>0</v>
      </c>
      <c r="D30" s="150" t="n">
        <v>17468.09</v>
      </c>
    </row>
    <row r="31">
      <c r="A31" s="149" t="n">
        <v>45169</v>
      </c>
      <c r="B31" s="150" t="n">
        <v>241364.67</v>
      </c>
      <c r="C31" s="150" t="n">
        <v>0</v>
      </c>
      <c r="D31" s="150" t="n">
        <v>14897.28</v>
      </c>
    </row>
    <row r="32">
      <c r="A32" s="149" t="n">
        <v>45199</v>
      </c>
      <c r="B32" s="150" t="n">
        <v>291385.94</v>
      </c>
      <c r="C32" s="150" t="n">
        <v>0</v>
      </c>
      <c r="D32" s="150" t="n">
        <v>17422.06</v>
      </c>
    </row>
    <row r="33">
      <c r="A33" s="149" t="n">
        <v>45230</v>
      </c>
      <c r="B33" s="150" t="n">
        <v>342067.18</v>
      </c>
      <c r="C33" s="150" t="n">
        <v>0</v>
      </c>
      <c r="D33" s="150" t="n">
        <v>21887.62</v>
      </c>
    </row>
    <row r="34">
      <c r="A34" s="149" t="n">
        <v>45260</v>
      </c>
      <c r="B34" s="150" t="n">
        <v>289283.88</v>
      </c>
      <c r="C34" s="150" t="n">
        <v>0</v>
      </c>
      <c r="D34" s="150" t="n">
        <v>20676.71</v>
      </c>
    </row>
    <row r="35">
      <c r="A35" s="149" t="n">
        <v>45291</v>
      </c>
      <c r="B35" s="150" t="n">
        <v>158795.4</v>
      </c>
      <c r="C35" s="150" t="n">
        <v>0</v>
      </c>
      <c r="D35" s="150" t="n">
        <v>13562.87</v>
      </c>
    </row>
    <row r="36">
      <c r="A36" s="149" t="n">
        <v>45322</v>
      </c>
      <c r="B36" s="150" t="n">
        <v>125751.22</v>
      </c>
      <c r="C36" s="150" t="n">
        <v>0</v>
      </c>
      <c r="D36" s="150" t="n">
        <v>8270.969999999999</v>
      </c>
    </row>
    <row r="37">
      <c r="A37" s="149" t="n">
        <v>45351</v>
      </c>
      <c r="B37" s="150" t="n">
        <v>98288.58</v>
      </c>
      <c r="C37" s="150" t="n">
        <v>0</v>
      </c>
      <c r="D37" s="150" t="n">
        <v>7449.16</v>
      </c>
    </row>
    <row r="38">
      <c r="A38" s="149" t="n">
        <v>45382</v>
      </c>
      <c r="B38" s="150" t="n">
        <v>69622.62</v>
      </c>
      <c r="C38" s="150" t="n">
        <v>0</v>
      </c>
      <c r="D38" s="150" t="n">
        <v>5912.17</v>
      </c>
    </row>
    <row r="39">
      <c r="A39" s="149" t="n">
        <v>45412</v>
      </c>
      <c r="B39" s="150" t="n">
        <v>34734.9</v>
      </c>
      <c r="C39" s="150" t="n">
        <v>0</v>
      </c>
      <c r="D39" s="150" t="n">
        <v>2398.97</v>
      </c>
    </row>
    <row r="40">
      <c r="A40" s="149" t="n">
        <v>45443</v>
      </c>
      <c r="B40" s="150" t="n">
        <v>18893.57</v>
      </c>
      <c r="C40" s="150" t="n">
        <v>0</v>
      </c>
      <c r="D40" s="150" t="n">
        <v>1348.98</v>
      </c>
    </row>
    <row r="41">
      <c r="A41" s="151" t="inlineStr">
        <is>
          <t>TOTAL</t>
        </is>
      </c>
      <c r="B41" s="152">
        <f>SUM(B7:B40)</f>
        <v/>
      </c>
      <c r="C41" s="152">
        <f>SUM(C7:C40)</f>
        <v/>
      </c>
      <c r="D41" s="152">
        <f>SUM(D7:D40)</f>
        <v/>
      </c>
    </row>
    <row r="43">
      <c r="A43" s="153" t="inlineStr">
        <is>
          <t>MOMENTUM INVESTOR CAPITAL</t>
        </is>
      </c>
      <c r="B43" s="154">
        <f>(SUMIFS(Investors!$M:$M,Investors!$I:$I,"&lt;="&amp;'NSST Print'!B3,Investors!$J:$J,"&gt;"&amp;'NSST Print'!B3)+SUMIFS(Investors!$M:$M,Investors!$I:$I,"&lt;="&amp;'NSST Print'!B3,Investors!$J:$J,""))</f>
        <v/>
      </c>
      <c r="C43" s="155" t="n"/>
      <c r="D43" s="156" t="inlineStr">
        <is>
          <t>per App</t>
        </is>
      </c>
    </row>
    <row r="44">
      <c r="A44" s="18" t="inlineStr">
        <is>
          <t>MOMENTUM INTEREST EARNED SINCE INCEPTION</t>
        </is>
      </c>
      <c r="B44" s="157">
        <f>+B41</f>
        <v/>
      </c>
      <c r="D44" s="19" t="inlineStr">
        <is>
          <t>from Momentum</t>
        </is>
      </c>
    </row>
    <row r="45">
      <c r="A45" s="18" t="inlineStr">
        <is>
          <t xml:space="preserve">MOMENTUM ADVICE FEES </t>
        </is>
      </c>
      <c r="B45" s="157">
        <f>+D41</f>
        <v/>
      </c>
      <c r="D45" s="19" t="inlineStr">
        <is>
          <t>from Momentum</t>
        </is>
      </c>
    </row>
    <row r="46">
      <c r="A46" s="18" t="inlineStr">
        <is>
          <t>NET INTEREST</t>
        </is>
      </c>
      <c r="B46" s="157">
        <f>+B41-D41</f>
        <v/>
      </c>
      <c r="D46" s="19" t="inlineStr">
        <is>
          <t>Interest less Ongoing Advice Fees</t>
        </is>
      </c>
    </row>
    <row r="47">
      <c r="A47" s="18" t="inlineStr">
        <is>
          <t>ADVICE FEES</t>
        </is>
      </c>
      <c r="B47" s="157">
        <f>+C41</f>
        <v/>
      </c>
      <c r="D47" s="19" t="inlineStr"/>
    </row>
    <row r="48">
      <c r="A48" s="18" t="inlineStr">
        <is>
          <t>TOTAL INTEREST IN ACCOUNT</t>
        </is>
      </c>
      <c r="B48" s="157">
        <f>+B41-D41-C41</f>
        <v/>
      </c>
      <c r="D48" s="19" t="inlineStr"/>
    </row>
    <row r="49">
      <c r="A49" s="18" t="inlineStr">
        <is>
          <t>MOMENTUM INTEREST DRAWN TO DATE</t>
        </is>
      </c>
      <c r="B49" s="157" t="n">
        <v>1861191.23</v>
      </c>
      <c r="D49" s="19" t="inlineStr">
        <is>
          <t>Interest Draw on 3 October 2023</t>
        </is>
      </c>
    </row>
    <row r="50">
      <c r="A50" s="18" t="inlineStr">
        <is>
          <t>TOTAL MOMENTUM DRAWS</t>
        </is>
      </c>
      <c r="B50" s="157">
        <f>SUMIFS(Investors!$M:$M,Investors!$J:$J,"&lt;="&amp;'NSST Print'!B3)+137832.56</f>
        <v/>
      </c>
      <c r="D50" s="19" t="inlineStr"/>
    </row>
    <row r="51">
      <c r="A51" s="18" t="inlineStr">
        <is>
          <t>GLC NOT ON DRAW</t>
        </is>
      </c>
      <c r="B51" s="158" t="n">
        <v>4183000.82</v>
      </c>
      <c r="D51" s="19" t="inlineStr"/>
    </row>
    <row r="52">
      <c r="A52" s="18" t="inlineStr">
        <is>
          <t>C Oberholzer incorrect amount</t>
        </is>
      </c>
      <c r="B52" s="158" t="n">
        <v>-455</v>
      </c>
      <c r="D52" s="19" t="inlineStr"/>
    </row>
    <row r="53">
      <c r="A53" s="18" t="inlineStr">
        <is>
          <t>Draw 10 (Rudlynn Trust)</t>
        </is>
      </c>
      <c r="B53" s="158" t="n">
        <v>-150000</v>
      </c>
      <c r="D53" s="19" t="inlineStr"/>
    </row>
    <row r="54">
      <c r="A54" s="18" t="inlineStr">
        <is>
          <t>MOMENTUM BALANCE</t>
        </is>
      </c>
      <c r="B54" s="159" t="n">
        <v>0</v>
      </c>
      <c r="D54" s="19" t="inlineStr">
        <is>
          <t>Momentum Statement Balance</t>
        </is>
      </c>
    </row>
    <row r="55">
      <c r="A55" s="18" t="n"/>
      <c r="B55" s="157" t="n"/>
      <c r="D55" s="19" t="n"/>
    </row>
    <row r="56">
      <c r="A56" s="18" t="inlineStr"/>
      <c r="B56" s="157" t="inlineStr">
        <is>
          <t>RECONCILIATION</t>
        </is>
      </c>
      <c r="D56" s="19" t="inlineStr"/>
    </row>
    <row r="57">
      <c r="A57" s="18" t="n"/>
      <c r="B57" s="157" t="n"/>
      <c r="D57" s="19" t="n"/>
    </row>
    <row r="58">
      <c r="A58" s="18" t="inlineStr">
        <is>
          <t>Momentum Statement</t>
        </is>
      </c>
      <c r="B58" s="157">
        <f>+B54</f>
        <v/>
      </c>
      <c r="D58" s="19" t="inlineStr">
        <is>
          <t>per Statement</t>
        </is>
      </c>
    </row>
    <row r="59">
      <c r="A59" s="18" t="inlineStr">
        <is>
          <t>Momentum Xero</t>
        </is>
      </c>
      <c r="B59" s="157">
        <f>Dashboard!B13</f>
        <v/>
      </c>
      <c r="D59" s="19" t="inlineStr">
        <is>
          <t>Per App</t>
        </is>
      </c>
    </row>
    <row r="60">
      <c r="A60" s="18" t="inlineStr">
        <is>
          <t>Difference</t>
        </is>
      </c>
      <c r="B60" s="157">
        <f>+B58-B59</f>
        <v/>
      </c>
      <c r="D60" s="19" t="inlineStr"/>
    </row>
    <row r="61">
      <c r="A61" s="18" t="n"/>
      <c r="B61" s="157" t="n"/>
      <c r="D61" s="19" t="n"/>
    </row>
    <row r="62">
      <c r="A62" s="18" t="inlineStr">
        <is>
          <t>Momentum Xero</t>
        </is>
      </c>
      <c r="B62" s="157">
        <f>Dashboard!B13</f>
        <v/>
      </c>
      <c r="D62" s="19" t="inlineStr">
        <is>
          <t>per Xero</t>
        </is>
      </c>
    </row>
    <row r="63">
      <c r="A63" s="18" t="inlineStr">
        <is>
          <t>Momentum - App</t>
        </is>
      </c>
      <c r="B63" s="157">
        <f>(SUMIFS(Investors!$M:$M,Investors!$I:$I,"&lt;="&amp;'NSST Print'!B3,Investors!$J:$J,"&gt;"&amp;'NSST Print'!B3)+SUMIFS(Investors!$M:$M,Investors!$I:$I,"&lt;="&amp;'NSST Print'!B3,Investors!$J:$J,""))</f>
        <v/>
      </c>
      <c r="D63" s="19" t="inlineStr">
        <is>
          <t>per App</t>
        </is>
      </c>
    </row>
    <row r="64">
      <c r="A64" s="18" t="inlineStr">
        <is>
          <t>Difference</t>
        </is>
      </c>
      <c r="B64" s="157">
        <f>+B62-B63</f>
        <v/>
      </c>
      <c r="D64" s="19" t="inlineStr">
        <is>
          <t>Reconciled Below</t>
        </is>
      </c>
    </row>
    <row r="65">
      <c r="A65" s="18" t="n"/>
      <c r="B65" s="157" t="n"/>
      <c r="D65" s="19" t="n"/>
    </row>
    <row r="66">
      <c r="A66" s="18" t="inlineStr">
        <is>
          <t>TOTAL INTEREST IN ACCOUNT</t>
        </is>
      </c>
      <c r="B66" s="157">
        <f>+B41-D41-C41</f>
        <v/>
      </c>
      <c r="D66" s="19" t="inlineStr"/>
    </row>
    <row r="67">
      <c r="A67" s="18" t="inlineStr">
        <is>
          <t>MOMENTUM INTEREST DRAWN TO DATE</t>
        </is>
      </c>
      <c r="B67" s="157" t="n">
        <v>1861191.23</v>
      </c>
      <c r="D67" s="19" t="inlineStr">
        <is>
          <t>Interest Draw on 3 October 2023</t>
        </is>
      </c>
    </row>
    <row r="68">
      <c r="A68" s="18" t="inlineStr"/>
      <c r="B68" s="157">
        <f>+B66-B67</f>
        <v/>
      </c>
      <c r="D68" s="19" t="inlineStr"/>
    </row>
    <row r="69">
      <c r="A69" s="18" t="inlineStr"/>
      <c r="B69" s="157" t="n">
        <v>137832.56</v>
      </c>
      <c r="D69" s="19" t="inlineStr">
        <is>
          <t>Interest STBB</t>
        </is>
      </c>
    </row>
    <row r="70">
      <c r="A70" s="18" t="inlineStr"/>
      <c r="B70" s="157">
        <f>B68-B69-B71</f>
        <v/>
      </c>
      <c r="D70" s="19" t="inlineStr">
        <is>
          <t>to be reconciled</t>
        </is>
      </c>
    </row>
    <row r="71">
      <c r="A71" s="18" t="inlineStr"/>
      <c r="B71" s="157">
        <f>B64</f>
        <v/>
      </c>
      <c r="D71" s="19" t="inlineStr"/>
    </row>
    <row r="72">
      <c r="A72" s="18" t="n"/>
      <c r="B72" s="160" t="n"/>
      <c r="D72" s="19" t="n"/>
    </row>
    <row r="73">
      <c r="A73" s="96" t="n"/>
      <c r="B73" s="161" t="n"/>
      <c r="C73" s="97" t="n"/>
      <c r="D73" s="98" t="n"/>
    </row>
  </sheetData>
  <mergeCells count="30">
    <mergeCell ref="A3:D3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551A8B"/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62" t="inlineStr">
        <is>
          <t>Checklist</t>
        </is>
      </c>
    </row>
    <row r="5">
      <c r="A5" t="inlineStr">
        <is>
          <t>Check</t>
        </is>
      </c>
      <c r="B5" t="inlineStr">
        <is>
          <t>Explanation</t>
        </is>
      </c>
      <c r="C5" t="inlineStr">
        <is>
          <t xml:space="preserve"> Option 1</t>
        </is>
      </c>
      <c r="D5" t="inlineStr">
        <is>
          <t>Option 2</t>
        </is>
      </c>
      <c r="E5" t="inlineStr">
        <is>
          <t>Difference</t>
        </is>
      </c>
      <c r="F5" t="inlineStr">
        <is>
          <t>Reason for Difference</t>
        </is>
      </c>
    </row>
    <row r="6">
      <c r="A6" t="inlineStr">
        <is>
          <t>Funds Drawn Down</t>
        </is>
      </c>
      <c r="B6" t="inlineStr">
        <is>
          <t>Momentum vs NSST</t>
        </is>
      </c>
      <c r="C6">
        <f>Momentum!B50-Momentum!B69</f>
        <v/>
      </c>
      <c r="D6">
        <f>'NSST Print'!B8</f>
        <v/>
      </c>
      <c r="E6">
        <f>C6-D6</f>
        <v/>
      </c>
      <c r="F6" t="inlineStr"/>
    </row>
    <row r="7">
      <c r="A7" t="inlineStr">
        <is>
          <t>Momentum Investment Account</t>
        </is>
      </c>
      <c r="B7" t="inlineStr">
        <is>
          <t>Momentum Xero vs NSST Balance</t>
        </is>
      </c>
      <c r="C7">
        <f>Momentum!B62</f>
        <v/>
      </c>
      <c r="D7">
        <f>'NSST Print'!B9</f>
        <v/>
      </c>
      <c r="E7">
        <f>C7-D7</f>
        <v/>
      </c>
      <c r="F7" t="inlineStr"/>
    </row>
    <row r="8">
      <c r="A8" t="inlineStr">
        <is>
          <t>Momentum Balance</t>
        </is>
      </c>
      <c r="B8" t="inlineStr">
        <is>
          <t>Momentum vs Xero</t>
        </is>
      </c>
      <c r="C8">
        <f>Momentum!B54</f>
        <v/>
      </c>
      <c r="D8">
        <f>Momentum!B62</f>
        <v/>
      </c>
      <c r="E8">
        <f>C8-D8</f>
        <v/>
      </c>
      <c r="F8" t="inlineStr"/>
    </row>
    <row r="9">
      <c r="A9" t="inlineStr">
        <is>
          <t>Capital Still in Investments</t>
        </is>
      </c>
      <c r="B9" t="inlineStr">
        <is>
          <t>NSST vs Investor Exit List</t>
        </is>
      </c>
      <c r="C9">
        <f>'NSST Print'!B13</f>
        <v/>
      </c>
      <c r="D9">
        <f>'Investor Exit List'!F3</f>
        <v/>
      </c>
      <c r="E9">
        <f>C9-D9</f>
        <v/>
      </c>
      <c r="F9" t="inlineStr"/>
    </row>
    <row r="10">
      <c r="A10" t="inlineStr">
        <is>
          <t>Funds Available</t>
        </is>
      </c>
      <c r="B10" t="inlineStr">
        <is>
          <t>Dashboard vs Projection</t>
        </is>
      </c>
      <c r="C10">
        <f>'Cashflow Projection'!D61</f>
        <v/>
      </c>
      <c r="D10">
        <f>Dashboard!B20</f>
        <v/>
      </c>
      <c r="E10">
        <f>C10-D10</f>
        <v/>
      </c>
      <c r="F10" t="inlineStr"/>
    </row>
    <row r="11">
      <c r="A11" t="inlineStr">
        <is>
          <t>Units Unsold and Remaining</t>
        </is>
      </c>
      <c r="B11" t="inlineStr">
        <is>
          <t>NSST vs Investor Exit Report</t>
        </is>
      </c>
      <c r="C11">
        <f>'NSST Print'!D20+'NSST Print'!E20</f>
        <v/>
      </c>
      <c r="D11">
        <f>'Investor Exit List'!A3</f>
        <v/>
      </c>
      <c r="E11">
        <f>C11-D11</f>
        <v/>
      </c>
      <c r="F11" t="inlineStr"/>
    </row>
    <row r="12">
      <c r="A12" t="inlineStr">
        <is>
          <t>Investments Still in Development</t>
        </is>
      </c>
      <c r="B12" t="inlineStr">
        <is>
          <t>NSST vs Investor Exit Report</t>
        </is>
      </c>
      <c r="C12">
        <f>'NSST Print'!B17</f>
        <v/>
      </c>
      <c r="D12">
        <f>'NSST Print'!B17</f>
        <v/>
      </c>
      <c r="E12">
        <f>C12-D12</f>
        <v/>
      </c>
      <c r="F12" t="inlineStr"/>
    </row>
    <row r="13">
      <c r="A13" t="inlineStr">
        <is>
          <t>Total Income</t>
        </is>
      </c>
      <c r="B13" t="inlineStr">
        <is>
          <t>NSST vs Investor Exit Report</t>
        </is>
      </c>
      <c r="C13">
        <f>Dashboard!B11</f>
        <v/>
      </c>
      <c r="D13">
        <f>'Cashflow Projection'!D6</f>
        <v/>
      </c>
      <c r="E13">
        <f>C13-D13</f>
        <v/>
      </c>
      <c r="F13" t="inlineStr"/>
    </row>
    <row r="14">
      <c r="A14" t="inlineStr">
        <is>
          <t>Total Cash</t>
        </is>
      </c>
      <c r="B14" t="inlineStr">
        <is>
          <t>NSST vs Investor Exit Report</t>
        </is>
      </c>
      <c r="C14">
        <f>Dashboard!B20</f>
        <v/>
      </c>
      <c r="D14">
        <f>'Cashflow Projection'!D61</f>
        <v/>
      </c>
      <c r="E14">
        <f>C14-D14</f>
        <v/>
      </c>
      <c r="F14" t="inlineStr"/>
    </row>
    <row r="15">
      <c r="A15" t="inlineStr">
        <is>
          <t>Total Costs to Complete</t>
        </is>
      </c>
      <c r="B15" t="inlineStr">
        <is>
          <t>Dashboard vs Projection</t>
        </is>
      </c>
      <c r="C15">
        <f>Dashboard!B24</f>
        <v/>
      </c>
      <c r="D15">
        <f>'Cashflow Projection'!D38</f>
        <v/>
      </c>
      <c r="E15">
        <f>C15-D15</f>
        <v/>
      </c>
      <c r="F15" t="inlineStr"/>
    </row>
    <row r="16">
      <c r="A16" t="inlineStr">
        <is>
          <t>Total Running Costs</t>
        </is>
      </c>
      <c r="B16" t="inlineStr">
        <is>
          <t>Dashboard vs Projection</t>
        </is>
      </c>
      <c r="C16">
        <f>Dashboard!B24</f>
        <v/>
      </c>
      <c r="D16">
        <f>'Cashflow Projection'!D38</f>
        <v/>
      </c>
      <c r="E16">
        <f>C16-D16</f>
        <v/>
      </c>
      <c r="F16" t="inlineStr"/>
    </row>
    <row r="17">
      <c r="A17" t="inlineStr">
        <is>
          <t>Total VAT Payable / Receivable</t>
        </is>
      </c>
      <c r="B17" t="inlineStr">
        <is>
          <t>Dashboard vs Projection</t>
        </is>
      </c>
      <c r="C17">
        <f>Dashboard!B26</f>
        <v/>
      </c>
      <c r="D17">
        <f>'Cashflow Projection'!D26+'Cashflow Projection'!D55</f>
        <v/>
      </c>
      <c r="E17">
        <f>C17-D17</f>
        <v/>
      </c>
      <c r="F17" t="inlineStr"/>
    </row>
    <row r="18">
      <c r="A18" t="inlineStr">
        <is>
          <t>Total Net Effect</t>
        </is>
      </c>
      <c r="B18" t="inlineStr">
        <is>
          <t>Dashboard vs Projection</t>
        </is>
      </c>
      <c r="C18">
        <f>Dashboard!B30</f>
        <v/>
      </c>
      <c r="D18">
        <f>'Cashflow Projection'!D35+'Cashflow Projection'!D26+'Cashflow Projection'!D38+'Cashflow Projection'!D55+'Cashflow Projection'!D57</f>
        <v/>
      </c>
      <c r="E18">
        <f>C18-D18</f>
        <v/>
      </c>
      <c r="F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2024-06-19T13:13:18Z</dcterms:created>
  <dcterms:modified xmlns:dcterms="http://purl.org/dc/terms/" xmlns:xsi="http://www.w3.org/2001/XMLSchema-instance" xsi:type="dcterms:W3CDTF">2024-06-19T13:13:18Z</dcterms:modified>
</cp:coreProperties>
</file>